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ustomProperty3.bin" ContentType="application/vnd.openxmlformats-officedocument.spreadsheetml.customProperty"/>
  <Override PartName="/xl/pivotTables/pivotTable4.xml" ContentType="application/vnd.openxmlformats-officedocument.spreadsheetml.pivotTable+xml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omments1.xml" ContentType="application/vnd.openxmlformats-officedocument.spreadsheetml.comments+xml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pivotTables/pivotTable5.xml" ContentType="application/vnd.openxmlformats-officedocument.spreadsheetml.pivotTable+xml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pfito365-my.sharepoint.com/personal/witsanu_sir_cpf_co_th/Documents/PLP - เพิ่มประสิทธิภาพกุ้งแกลง/2_Raw mat/แผนผลิต/RM_planner/Data/Order/"/>
    </mc:Choice>
  </mc:AlternateContent>
  <xr:revisionPtr revIDLastSave="312" documentId="8_{77881634-3221-476C-88CE-A3734B78D808}" xr6:coauthVersionLast="47" xr6:coauthVersionMax="47" xr10:uidLastSave="{B84702A1-F9BE-4CBA-83C6-0BEE541D6BFF}"/>
  <bookViews>
    <workbookView xWindow="-110" yWindow="-110" windowWidth="19420" windowHeight="10300" tabRatio="653" activeTab="7" xr2:uid="{00000000-000D-0000-FFFF-FFFF00000000}"/>
  </bookViews>
  <sheets>
    <sheet name="แผนผลิต" sheetId="7" r:id="rId1"/>
    <sheet name="Sheet2" sheetId="12" state="hidden" r:id="rId2"/>
    <sheet name="RM &amp; PD" sheetId="11" r:id="rId3"/>
    <sheet name="Sheet5" sheetId="15" r:id="rId4"/>
    <sheet name="Assortment" sheetId="14" r:id="rId5"/>
    <sheet name="Plan" sheetId="16" r:id="rId6"/>
    <sheet name="Plan Adj" sheetId="17" r:id="rId7"/>
    <sheet name="Sheet4" sheetId="18" r:id="rId8"/>
    <sheet name="COOKED IN TRAY ผลิตโรง 2" sheetId="9" state="hidden" r:id="rId9"/>
    <sheet name="แผนล้างผัก" sheetId="10" state="hidden" r:id="rId10"/>
    <sheet name="Sheet1" sheetId="8" state="hidden" r:id="rId11"/>
    <sheet name="May-20" sheetId="4" state="hidden" r:id="rId12"/>
    <sheet name="Week" sheetId="2" state="hidden" r:id="rId13"/>
  </sheets>
  <externalReferences>
    <externalReference r:id="rId14"/>
    <externalReference r:id="rId15"/>
  </externalReferences>
  <definedNames>
    <definedName name="_xlnm._FilterDatabase" localSheetId="8" hidden="1">'COOKED IN TRAY ผลิตโรง 2'!$A$4:$AX$4</definedName>
    <definedName name="_xlnm._FilterDatabase" localSheetId="11" hidden="1">'May-20'!$A$2:$AU$194</definedName>
    <definedName name="_xlnm._FilterDatabase" localSheetId="0" hidden="1">แผนผลิต!$A$4:$BB$4071</definedName>
    <definedName name="_xlnm.Print_Titles" localSheetId="8">'COOKED IN TRAY ผลิตโรง 2'!$3:$4</definedName>
    <definedName name="_xlnm.Print_Titles" localSheetId="0">แผนผลิต!$3:$4</definedName>
  </definedNames>
  <calcPr calcId="191029"/>
  <pivotCaches>
    <pivotCache cacheId="0" r:id="rId16"/>
    <pivotCache cacheId="1" r:id="rId17"/>
    <pivotCache cacheId="2" r:id="rId18"/>
    <pivotCache cacheId="3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6" l="1" a="1"/>
  <c r="E25" i="16" s="1"/>
  <c r="D25" i="16" a="1"/>
  <c r="D25" i="16" s="1"/>
  <c r="C25" i="16" a="1"/>
  <c r="C25" i="16" s="1"/>
  <c r="E24" i="16"/>
  <c r="E24" i="16" a="1"/>
  <c r="D24" i="16" a="1"/>
  <c r="D24" i="16" s="1"/>
  <c r="C24" i="16" a="1"/>
  <c r="C24" i="16" s="1"/>
  <c r="E23" i="16" a="1"/>
  <c r="E23" i="16" s="1"/>
  <c r="D23" i="16" a="1"/>
  <c r="D23" i="16" s="1"/>
  <c r="C23" i="16" a="1"/>
  <c r="C23" i="16" s="1"/>
  <c r="E22" i="16" a="1"/>
  <c r="E22" i="16" s="1"/>
  <c r="D22" i="16" a="1"/>
  <c r="D22" i="16" s="1"/>
  <c r="C22" i="16" a="1"/>
  <c r="C22" i="16" s="1"/>
  <c r="E21" i="16" a="1"/>
  <c r="E21" i="16" s="1"/>
  <c r="D21" i="16" a="1"/>
  <c r="D21" i="16" s="1"/>
  <c r="C21" i="16" a="1"/>
  <c r="C21" i="16" s="1"/>
  <c r="E20" i="16" a="1"/>
  <c r="E20" i="16" s="1"/>
  <c r="D20" i="16" a="1"/>
  <c r="D20" i="16" s="1"/>
  <c r="C20" i="16" a="1"/>
  <c r="C20" i="16" s="1"/>
  <c r="E19" i="16" a="1"/>
  <c r="E19" i="16" s="1"/>
  <c r="D19" i="16" a="1"/>
  <c r="D19" i="16" s="1"/>
  <c r="C19" i="16" a="1"/>
  <c r="C19" i="16" s="1"/>
  <c r="B19" i="16" a="1"/>
  <c r="B19" i="16" s="1"/>
  <c r="B6" i="16" a="1"/>
  <c r="B6" i="16" s="1"/>
  <c r="AE3" i="7"/>
  <c r="AE4016" i="7"/>
  <c r="AF4016" i="7" s="1"/>
  <c r="N24" i="14"/>
  <c r="L24" i="14"/>
  <c r="J24" i="14"/>
  <c r="H24" i="14"/>
  <c r="F24" i="14"/>
  <c r="D24" i="14"/>
  <c r="B24" i="14"/>
  <c r="N23" i="14"/>
  <c r="L23" i="14"/>
  <c r="J23" i="14"/>
  <c r="H23" i="14"/>
  <c r="F23" i="14"/>
  <c r="D23" i="14"/>
  <c r="B23" i="14"/>
  <c r="N22" i="14"/>
  <c r="L22" i="14"/>
  <c r="J22" i="14"/>
  <c r="H22" i="14"/>
  <c r="F22" i="14"/>
  <c r="D22" i="14"/>
  <c r="B22" i="14"/>
  <c r="N21" i="14"/>
  <c r="L21" i="14"/>
  <c r="J21" i="14"/>
  <c r="H21" i="14"/>
  <c r="F21" i="14"/>
  <c r="D21" i="14"/>
  <c r="B21" i="14"/>
  <c r="N20" i="14"/>
  <c r="L20" i="14"/>
  <c r="J20" i="14"/>
  <c r="H20" i="14"/>
  <c r="F20" i="14"/>
  <c r="D20" i="14"/>
  <c r="B20" i="14"/>
  <c r="N19" i="14"/>
  <c r="L19" i="14"/>
  <c r="J19" i="14"/>
  <c r="H19" i="14"/>
  <c r="F19" i="14"/>
  <c r="D19" i="14"/>
  <c r="B19" i="14"/>
  <c r="N18" i="14"/>
  <c r="L18" i="14"/>
  <c r="J18" i="14"/>
  <c r="H18" i="14"/>
  <c r="F18" i="14"/>
  <c r="D18" i="14"/>
  <c r="B18" i="14"/>
  <c r="N17" i="14"/>
  <c r="L17" i="14"/>
  <c r="J17" i="14"/>
  <c r="H17" i="14"/>
  <c r="F17" i="14"/>
  <c r="D17" i="14"/>
  <c r="B17" i="14"/>
  <c r="N16" i="14"/>
  <c r="L16" i="14"/>
  <c r="J16" i="14"/>
  <c r="H16" i="14"/>
  <c r="F16" i="14"/>
  <c r="D16" i="14"/>
  <c r="B16" i="14"/>
  <c r="N15" i="14"/>
  <c r="L15" i="14"/>
  <c r="J15" i="14"/>
  <c r="H15" i="14"/>
  <c r="F15" i="14"/>
  <c r="D15" i="14"/>
  <c r="B15" i="14"/>
  <c r="N14" i="14"/>
  <c r="L14" i="14"/>
  <c r="J14" i="14"/>
  <c r="H14" i="14"/>
  <c r="F14" i="14"/>
  <c r="D14" i="14"/>
  <c r="B14" i="14"/>
  <c r="N13" i="14"/>
  <c r="L13" i="14"/>
  <c r="J13" i="14"/>
  <c r="H13" i="14"/>
  <c r="F13" i="14"/>
  <c r="D13" i="14"/>
  <c r="B13" i="14"/>
  <c r="N12" i="14"/>
  <c r="L12" i="14"/>
  <c r="J12" i="14"/>
  <c r="H12" i="14"/>
  <c r="F12" i="14"/>
  <c r="D12" i="14"/>
  <c r="B12" i="14"/>
  <c r="N11" i="14"/>
  <c r="L11" i="14"/>
  <c r="J11" i="14"/>
  <c r="H11" i="14"/>
  <c r="F11" i="14"/>
  <c r="D11" i="14"/>
  <c r="B11" i="14"/>
  <c r="N4" i="14"/>
  <c r="L4" i="14"/>
  <c r="L3" i="14" s="1"/>
  <c r="J4" i="14"/>
  <c r="J3" i="14" s="1"/>
  <c r="H4" i="14"/>
  <c r="H3" i="14" s="1"/>
  <c r="F4" i="14"/>
  <c r="F3" i="14" s="1"/>
  <c r="D4" i="14"/>
  <c r="D3" i="14" s="1"/>
  <c r="B4" i="14"/>
  <c r="B3" i="14" s="1"/>
  <c r="N3" i="14"/>
  <c r="K1" i="14"/>
  <c r="I1" i="14"/>
  <c r="G1" i="14"/>
  <c r="E1" i="14"/>
  <c r="C1" i="14"/>
  <c r="A1" i="14"/>
  <c r="O17" i="14" l="1"/>
  <c r="O16" i="14"/>
  <c r="O14" i="14"/>
  <c r="O22" i="14"/>
  <c r="O15" i="14"/>
  <c r="O23" i="14"/>
  <c r="O21" i="14"/>
  <c r="O13" i="14"/>
  <c r="O12" i="14"/>
  <c r="O20" i="14"/>
  <c r="O11" i="14"/>
  <c r="O19" i="14"/>
  <c r="O18" i="14"/>
  <c r="O24" i="14"/>
  <c r="F25" i="14"/>
  <c r="F26" i="14" s="1"/>
  <c r="D25" i="14"/>
  <c r="D26" i="14" s="1"/>
  <c r="H25" i="14"/>
  <c r="H26" i="14" s="1"/>
  <c r="B25" i="14"/>
  <c r="B26" i="14" s="1"/>
  <c r="J25" i="14"/>
  <c r="J26" i="14" s="1"/>
  <c r="L25" i="14"/>
  <c r="L26" i="14" s="1"/>
  <c r="N25" i="14"/>
  <c r="N26" i="14" s="1"/>
  <c r="V3908" i="7"/>
  <c r="AI3908" i="7" s="1"/>
  <c r="V3904" i="7"/>
  <c r="V3902" i="7"/>
  <c r="AI3902" i="7" s="1"/>
  <c r="AN3902" i="7"/>
  <c r="AG3902" i="7"/>
  <c r="F3902" i="7"/>
  <c r="D3902" i="7"/>
  <c r="AN3908" i="7"/>
  <c r="AG3908" i="7"/>
  <c r="F3908" i="7"/>
  <c r="D3908" i="7"/>
  <c r="V3868" i="7"/>
  <c r="AN3875" i="7"/>
  <c r="AM3875" i="7"/>
  <c r="AA3875" i="7"/>
  <c r="F3875" i="7"/>
  <c r="D3875" i="7"/>
  <c r="AN3845" i="7"/>
  <c r="AM3845" i="7"/>
  <c r="AA3845" i="7"/>
  <c r="F3845" i="7"/>
  <c r="D3845" i="7"/>
  <c r="V3867" i="7"/>
  <c r="AN3863" i="7"/>
  <c r="AI3863" i="7"/>
  <c r="AG3863" i="7"/>
  <c r="Y3863" i="7"/>
  <c r="Z3863" i="7" s="1"/>
  <c r="F3863" i="7"/>
  <c r="D3863" i="7"/>
  <c r="V3853" i="7"/>
  <c r="O26" i="14" l="1"/>
  <c r="O25" i="14"/>
  <c r="Y3902" i="7"/>
  <c r="Z3902" i="7" s="1"/>
  <c r="Y3908" i="7"/>
  <c r="Z3908" i="7" s="1"/>
  <c r="AE3863" i="7"/>
  <c r="AF3863" i="7" s="1"/>
  <c r="AC3863" i="7"/>
  <c r="AA3863" i="7"/>
  <c r="AM3863" i="7"/>
  <c r="AH3863" i="7"/>
  <c r="V3916" i="7"/>
  <c r="AI3916" i="7" s="1"/>
  <c r="V3914" i="7"/>
  <c r="AN3916" i="7"/>
  <c r="AG3916" i="7"/>
  <c r="F3916" i="7"/>
  <c r="D3916" i="7"/>
  <c r="AN3915" i="7"/>
  <c r="AI3915" i="7"/>
  <c r="AG3915" i="7"/>
  <c r="Y3915" i="7"/>
  <c r="Z3915" i="7" s="1"/>
  <c r="F3915" i="7"/>
  <c r="D3915" i="7"/>
  <c r="V3913" i="7"/>
  <c r="Y3913" i="7" s="1"/>
  <c r="Z3913" i="7" s="1"/>
  <c r="V3907" i="7"/>
  <c r="AN3913" i="7"/>
  <c r="AG3913" i="7"/>
  <c r="F3913" i="7"/>
  <c r="D3913" i="7"/>
  <c r="AN3911" i="7"/>
  <c r="AI3911" i="7"/>
  <c r="AG3911" i="7"/>
  <c r="Y3911" i="7"/>
  <c r="Z3911" i="7" s="1"/>
  <c r="F3911" i="7"/>
  <c r="D3911" i="7"/>
  <c r="AI3913" i="7" l="1"/>
  <c r="AH3902" i="7"/>
  <c r="AE3902" i="7"/>
  <c r="AF3902" i="7" s="1"/>
  <c r="AA3902" i="7"/>
  <c r="AC3902" i="7"/>
  <c r="AM3902" i="7"/>
  <c r="AH3908" i="7"/>
  <c r="AE3908" i="7"/>
  <c r="AF3908" i="7" s="1"/>
  <c r="AC3908" i="7"/>
  <c r="AA3908" i="7"/>
  <c r="AM3908" i="7"/>
  <c r="Y3916" i="7"/>
  <c r="Z3916" i="7" s="1"/>
  <c r="AM3916" i="7" s="1"/>
  <c r="AH3915" i="7"/>
  <c r="AM3915" i="7"/>
  <c r="AE3915" i="7"/>
  <c r="AF3915" i="7" s="1"/>
  <c r="AC3915" i="7"/>
  <c r="AA3915" i="7"/>
  <c r="AM3911" i="7"/>
  <c r="AH3911" i="7"/>
  <c r="AE3911" i="7"/>
  <c r="AF3911" i="7" s="1"/>
  <c r="AA3911" i="7"/>
  <c r="AC3911" i="7"/>
  <c r="AM3913" i="7"/>
  <c r="AH3913" i="7"/>
  <c r="AC3913" i="7"/>
  <c r="AA3913" i="7"/>
  <c r="AE3913" i="7"/>
  <c r="AF3913" i="7" s="1"/>
  <c r="AC3916" i="7" l="1"/>
  <c r="AE3916" i="7"/>
  <c r="AF3916" i="7" s="1"/>
  <c r="AA3916" i="7"/>
  <c r="AH3916" i="7"/>
  <c r="X3800" i="7"/>
  <c r="X3761" i="7"/>
  <c r="X3741" i="7"/>
  <c r="X3758" i="7"/>
  <c r="W3739" i="7"/>
  <c r="W3740" i="7"/>
  <c r="AN3857" i="7" l="1"/>
  <c r="AG3857" i="7"/>
  <c r="V3857" i="7"/>
  <c r="AI3857" i="7" s="1"/>
  <c r="F3857" i="7"/>
  <c r="D3857" i="7"/>
  <c r="Y3857" i="7" l="1"/>
  <c r="Z3857" i="7" s="1"/>
  <c r="AM3857" i="7" s="1"/>
  <c r="V3793" i="7"/>
  <c r="W3735" i="7"/>
  <c r="W3738" i="7"/>
  <c r="AH3857" i="7" l="1"/>
  <c r="AE3857" i="7"/>
  <c r="AF3857" i="7" s="1"/>
  <c r="AA3857" i="7"/>
  <c r="AC3857" i="7"/>
  <c r="AN3738" i="7"/>
  <c r="AI3738" i="7"/>
  <c r="AG3738" i="7"/>
  <c r="Y3738" i="7"/>
  <c r="Z3738" i="7" s="1"/>
  <c r="F3738" i="7"/>
  <c r="D3738" i="7"/>
  <c r="X3785" i="7"/>
  <c r="V3734" i="7"/>
  <c r="AE3738" i="7" l="1"/>
  <c r="AF3738" i="7" s="1"/>
  <c r="AC3738" i="7"/>
  <c r="AA3738" i="7"/>
  <c r="AH3738" i="7"/>
  <c r="AM3738" i="7"/>
  <c r="X3733" i="7"/>
  <c r="W3733" i="7"/>
  <c r="X3732" i="7"/>
  <c r="W3732" i="7"/>
  <c r="AN3887" i="7" l="1"/>
  <c r="AI3887" i="7"/>
  <c r="AG3887" i="7"/>
  <c r="Y3887" i="7"/>
  <c r="Z3887" i="7" s="1"/>
  <c r="F3887" i="7"/>
  <c r="D3887" i="7"/>
  <c r="AN3865" i="7"/>
  <c r="AG3865" i="7"/>
  <c r="AI3865" i="7"/>
  <c r="F3865" i="7"/>
  <c r="D3865" i="7"/>
  <c r="AN3872" i="7"/>
  <c r="AI3872" i="7"/>
  <c r="AG3872" i="7"/>
  <c r="Y3872" i="7"/>
  <c r="Z3872" i="7" s="1"/>
  <c r="AE3872" i="7" s="1"/>
  <c r="AF3872" i="7" s="1"/>
  <c r="F3872" i="7"/>
  <c r="D3872" i="7"/>
  <c r="V3903" i="7"/>
  <c r="AI3903" i="7" s="1"/>
  <c r="V3898" i="7"/>
  <c r="AN3903" i="7"/>
  <c r="AG3903" i="7"/>
  <c r="F3903" i="7"/>
  <c r="D3903" i="7"/>
  <c r="AN3901" i="7"/>
  <c r="AI3901" i="7"/>
  <c r="AG3901" i="7"/>
  <c r="Y3901" i="7"/>
  <c r="Z3901" i="7" s="1"/>
  <c r="F3901" i="7"/>
  <c r="D3901" i="7"/>
  <c r="V3881" i="7"/>
  <c r="AI3881" i="7" s="1"/>
  <c r="V3871" i="7"/>
  <c r="AN3881" i="7"/>
  <c r="AG3881" i="7"/>
  <c r="F3881" i="7"/>
  <c r="D3881" i="7"/>
  <c r="AN3876" i="7"/>
  <c r="AI3876" i="7"/>
  <c r="AG3876" i="7"/>
  <c r="Y3876" i="7"/>
  <c r="Z3876" i="7" s="1"/>
  <c r="F3876" i="7"/>
  <c r="D3876" i="7"/>
  <c r="AN3870" i="7"/>
  <c r="AI3870" i="7"/>
  <c r="AG3870" i="7"/>
  <c r="Y3870" i="7"/>
  <c r="Z3870" i="7" s="1"/>
  <c r="F3870" i="7"/>
  <c r="D3870" i="7"/>
  <c r="AN3868" i="7"/>
  <c r="AG3868" i="7"/>
  <c r="AI3868" i="7"/>
  <c r="F3868" i="7"/>
  <c r="D3868" i="7"/>
  <c r="V3905" i="7"/>
  <c r="AI3905" i="7" s="1"/>
  <c r="V3886" i="7"/>
  <c r="AN3905" i="7"/>
  <c r="AG3905" i="7"/>
  <c r="F3905" i="7"/>
  <c r="D3905" i="7"/>
  <c r="AN3856" i="7"/>
  <c r="AI3856" i="7"/>
  <c r="AG3856" i="7"/>
  <c r="Y3856" i="7"/>
  <c r="Z3856" i="7" s="1"/>
  <c r="F3856" i="7"/>
  <c r="D3856" i="7"/>
  <c r="AM3872" i="7" l="1"/>
  <c r="AH3887" i="7"/>
  <c r="AE3887" i="7"/>
  <c r="AF3887" i="7" s="1"/>
  <c r="AC3887" i="7"/>
  <c r="AA3887" i="7"/>
  <c r="AM3887" i="7"/>
  <c r="Y3865" i="7"/>
  <c r="Z3865" i="7" s="1"/>
  <c r="AA3872" i="7"/>
  <c r="AC3872" i="7"/>
  <c r="AH3872" i="7"/>
  <c r="Y3903" i="7"/>
  <c r="Z3903" i="7" s="1"/>
  <c r="AC3901" i="7"/>
  <c r="AH3901" i="7"/>
  <c r="AE3901" i="7"/>
  <c r="AF3901" i="7" s="1"/>
  <c r="AA3901" i="7"/>
  <c r="AM3901" i="7"/>
  <c r="Y3881" i="7"/>
  <c r="Z3881" i="7" s="1"/>
  <c r="AE3881" i="7" s="1"/>
  <c r="AF3881" i="7" s="1"/>
  <c r="AH3876" i="7"/>
  <c r="AE3876" i="7"/>
  <c r="AF3876" i="7" s="1"/>
  <c r="AC3876" i="7"/>
  <c r="AA3876" i="7"/>
  <c r="AM3876" i="7"/>
  <c r="AH3881" i="7"/>
  <c r="AH3870" i="7"/>
  <c r="AC3870" i="7"/>
  <c r="AA3870" i="7"/>
  <c r="AE3870" i="7"/>
  <c r="AF3870" i="7" s="1"/>
  <c r="AM3870" i="7"/>
  <c r="Y3868" i="7"/>
  <c r="Z3868" i="7" s="1"/>
  <c r="AM3868" i="7" s="1"/>
  <c r="Y3905" i="7"/>
  <c r="Z3905" i="7" s="1"/>
  <c r="AE3856" i="7"/>
  <c r="AF3856" i="7" s="1"/>
  <c r="AH3856" i="7"/>
  <c r="AC3856" i="7"/>
  <c r="AA3856" i="7"/>
  <c r="AM3856" i="7"/>
  <c r="Y3904" i="7"/>
  <c r="Z3904" i="7" s="1"/>
  <c r="AN3904" i="7"/>
  <c r="AG3904" i="7"/>
  <c r="F3904" i="7"/>
  <c r="D3904" i="7"/>
  <c r="AI3899" i="7"/>
  <c r="AN3899" i="7"/>
  <c r="AG3899" i="7"/>
  <c r="Y3899" i="7"/>
  <c r="Z3899" i="7" s="1"/>
  <c r="F3899" i="7"/>
  <c r="D3899" i="7"/>
  <c r="Y3886" i="7"/>
  <c r="Z3886" i="7" s="1"/>
  <c r="AN3886" i="7"/>
  <c r="AI3886" i="7"/>
  <c r="AG3886" i="7"/>
  <c r="F3886" i="7"/>
  <c r="D3886" i="7"/>
  <c r="AN3883" i="7"/>
  <c r="AG3883" i="7"/>
  <c r="V3883" i="7"/>
  <c r="Y3883" i="7" s="1"/>
  <c r="Z3883" i="7" s="1"/>
  <c r="F3883" i="7"/>
  <c r="D3883" i="7"/>
  <c r="AN3882" i="7"/>
  <c r="AI3882" i="7"/>
  <c r="AG3882" i="7"/>
  <c r="Y3882" i="7"/>
  <c r="Z3882" i="7" s="1"/>
  <c r="AE3882" i="7" s="1"/>
  <c r="AF3882" i="7" s="1"/>
  <c r="F3882" i="7"/>
  <c r="D3882" i="7"/>
  <c r="AN3884" i="7"/>
  <c r="AG3884" i="7"/>
  <c r="V3884" i="7"/>
  <c r="Y3884" i="7" s="1"/>
  <c r="Z3884" i="7" s="1"/>
  <c r="F3884" i="7"/>
  <c r="D3884" i="7"/>
  <c r="V3900" i="7"/>
  <c r="AI3900" i="7" s="1"/>
  <c r="AN3900" i="7"/>
  <c r="AG3900" i="7"/>
  <c r="F3900" i="7"/>
  <c r="D3900" i="7"/>
  <c r="V3834" i="7"/>
  <c r="Y3834" i="7" s="1"/>
  <c r="Z3834" i="7" s="1"/>
  <c r="AN3834" i="7"/>
  <c r="AG3834" i="7"/>
  <c r="F3834" i="7"/>
  <c r="D3834" i="7"/>
  <c r="V3833" i="7"/>
  <c r="AI3833" i="7" s="1"/>
  <c r="AN3833" i="7"/>
  <c r="AG3833" i="7"/>
  <c r="F3833" i="7"/>
  <c r="D3833" i="7"/>
  <c r="V3819" i="7"/>
  <c r="Y3819" i="7" s="1"/>
  <c r="Z3819" i="7" s="1"/>
  <c r="AN3819" i="7"/>
  <c r="AI3819" i="7"/>
  <c r="AG3819" i="7"/>
  <c r="F3819" i="7"/>
  <c r="D3819" i="7"/>
  <c r="AM3881" i="7" l="1"/>
  <c r="AA3881" i="7"/>
  <c r="AC3881" i="7"/>
  <c r="AH3865" i="7"/>
  <c r="AC3865" i="7"/>
  <c r="AE3865" i="7"/>
  <c r="AF3865" i="7" s="1"/>
  <c r="AA3865" i="7"/>
  <c r="AM3865" i="7"/>
  <c r="AH3903" i="7"/>
  <c r="AM3903" i="7"/>
  <c r="AA3903" i="7"/>
  <c r="AE3903" i="7"/>
  <c r="AF3903" i="7" s="1"/>
  <c r="AC3903" i="7"/>
  <c r="AH3868" i="7"/>
  <c r="AE3868" i="7"/>
  <c r="AF3868" i="7" s="1"/>
  <c r="AC3868" i="7"/>
  <c r="AA3868" i="7"/>
  <c r="AM3905" i="7"/>
  <c r="AE3905" i="7"/>
  <c r="AF3905" i="7" s="1"/>
  <c r="AC3905" i="7"/>
  <c r="AA3905" i="7"/>
  <c r="AI3904" i="7"/>
  <c r="AI3883" i="7"/>
  <c r="AM3882" i="7"/>
  <c r="AI3834" i="7"/>
  <c r="AI3884" i="7"/>
  <c r="AM3904" i="7"/>
  <c r="AH3904" i="7"/>
  <c r="AE3904" i="7"/>
  <c r="AF3904" i="7" s="1"/>
  <c r="AC3904" i="7"/>
  <c r="AA3904" i="7"/>
  <c r="AM3899" i="7"/>
  <c r="AH3899" i="7"/>
  <c r="AE3899" i="7"/>
  <c r="AF3899" i="7" s="1"/>
  <c r="AC3899" i="7"/>
  <c r="AA3899" i="7"/>
  <c r="AE3886" i="7"/>
  <c r="AF3886" i="7" s="1"/>
  <c r="AC3886" i="7"/>
  <c r="AA3886" i="7"/>
  <c r="AM3886" i="7"/>
  <c r="AM3883" i="7"/>
  <c r="AH3883" i="7"/>
  <c r="AE3883" i="7"/>
  <c r="AF3883" i="7" s="1"/>
  <c r="AC3883" i="7"/>
  <c r="AA3883" i="7"/>
  <c r="AC3882" i="7"/>
  <c r="AA3882" i="7"/>
  <c r="AH3882" i="7"/>
  <c r="AM3884" i="7"/>
  <c r="AH3884" i="7"/>
  <c r="AE3884" i="7"/>
  <c r="AF3884" i="7" s="1"/>
  <c r="AC3884" i="7"/>
  <c r="AA3884" i="7"/>
  <c r="Y3900" i="7"/>
  <c r="Z3900" i="7" s="1"/>
  <c r="AM3900" i="7" s="1"/>
  <c r="AH3834" i="7"/>
  <c r="AE3834" i="7"/>
  <c r="AF3834" i="7" s="1"/>
  <c r="AC3834" i="7"/>
  <c r="AA3834" i="7"/>
  <c r="AM3834" i="7"/>
  <c r="Y3833" i="7"/>
  <c r="Z3833" i="7" s="1"/>
  <c r="AM3819" i="7"/>
  <c r="AE3819" i="7"/>
  <c r="AF3819" i="7" s="1"/>
  <c r="AH3819" i="7"/>
  <c r="AC3819" i="7"/>
  <c r="AA3819" i="7"/>
  <c r="AH3900" i="7" l="1"/>
  <c r="AE3900" i="7"/>
  <c r="AF3900" i="7" s="1"/>
  <c r="AC3900" i="7"/>
  <c r="AA3900" i="7"/>
  <c r="AC3833" i="7"/>
  <c r="AH3833" i="7"/>
  <c r="AA3833" i="7"/>
  <c r="AE3833" i="7"/>
  <c r="AF3833" i="7" s="1"/>
  <c r="AM3833" i="7"/>
  <c r="V3813" i="7" l="1"/>
  <c r="AN3814" i="7"/>
  <c r="AG3814" i="7"/>
  <c r="V3814" i="7"/>
  <c r="AI3814" i="7" s="1"/>
  <c r="F3814" i="7"/>
  <c r="D3814" i="7"/>
  <c r="Y3814" i="7" l="1"/>
  <c r="Z3814" i="7" s="1"/>
  <c r="AH3814" i="7" l="1"/>
  <c r="AC3814" i="7"/>
  <c r="AE3814" i="7"/>
  <c r="AF3814" i="7" s="1"/>
  <c r="AA3814" i="7"/>
  <c r="AM3814" i="7"/>
  <c r="W3728" i="7" l="1"/>
  <c r="W3727" i="7"/>
  <c r="V3731" i="7"/>
  <c r="Y3731" i="7" s="1"/>
  <c r="Z3731" i="7" s="1"/>
  <c r="V3727" i="7"/>
  <c r="AN3731" i="7"/>
  <c r="AG3731" i="7"/>
  <c r="F3731" i="7"/>
  <c r="D3731" i="7"/>
  <c r="AI3731" i="7" l="1"/>
  <c r="AM3731" i="7"/>
  <c r="AH3731" i="7"/>
  <c r="AC3731" i="7"/>
  <c r="AE3731" i="7"/>
  <c r="AF3731" i="7" s="1"/>
  <c r="AA3731" i="7"/>
  <c r="X3726" i="7"/>
  <c r="F3954" i="7" l="1"/>
  <c r="A3" i="2"/>
  <c r="A4" i="2"/>
  <c r="A5" i="2"/>
  <c r="A6" i="2" s="1"/>
  <c r="A7" i="2" s="1"/>
  <c r="A8" i="2" s="1"/>
  <c r="A1097" i="2"/>
  <c r="A1098" i="2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D3954" i="7"/>
  <c r="F3953" i="7"/>
  <c r="D3953" i="7"/>
  <c r="AN3954" i="7"/>
  <c r="AG3954" i="7"/>
  <c r="V3954" i="7"/>
  <c r="AI3954" i="7" s="1"/>
  <c r="AN3953" i="7"/>
  <c r="AG3953" i="7"/>
  <c r="V3953" i="7"/>
  <c r="AI3953" i="7" s="1"/>
  <c r="F4001" i="7"/>
  <c r="D4001" i="7"/>
  <c r="AN4001" i="7"/>
  <c r="AG4001" i="7"/>
  <c r="Y4001" i="7"/>
  <c r="Z4001" i="7" s="1"/>
  <c r="AI4001" i="7"/>
  <c r="F3971" i="7"/>
  <c r="D3971" i="7"/>
  <c r="AN3971" i="7"/>
  <c r="V3971" i="7"/>
  <c r="Y3971" i="7" s="1"/>
  <c r="Z3971" i="7" s="1"/>
  <c r="AN3968" i="7"/>
  <c r="AG3968" i="7"/>
  <c r="Y3968" i="7"/>
  <c r="Z3968" i="7" s="1"/>
  <c r="AI3968" i="7"/>
  <c r="F3968" i="7"/>
  <c r="D3968" i="7"/>
  <c r="AN3966" i="7"/>
  <c r="AG3966" i="7"/>
  <c r="Y3966" i="7"/>
  <c r="Z3966" i="7" s="1"/>
  <c r="AI3966" i="7"/>
  <c r="F3966" i="7"/>
  <c r="D3966" i="7"/>
  <c r="F3957" i="7"/>
  <c r="D3957" i="7"/>
  <c r="AN3957" i="7"/>
  <c r="AG3957" i="7"/>
  <c r="V3957" i="7"/>
  <c r="Y3957" i="7" s="1"/>
  <c r="Z3957" i="7" s="1"/>
  <c r="V3955" i="7"/>
  <c r="Y3955" i="7" s="1"/>
  <c r="Z3955" i="7" s="1"/>
  <c r="F3956" i="7"/>
  <c r="D3956" i="7"/>
  <c r="F3955" i="7"/>
  <c r="D3955" i="7"/>
  <c r="AN3955" i="7"/>
  <c r="AG3955" i="7"/>
  <c r="AN3956" i="7"/>
  <c r="AG3956" i="7"/>
  <c r="V3956" i="7"/>
  <c r="Y3956" i="7" s="1"/>
  <c r="Z3956" i="7" s="1"/>
  <c r="F3958" i="7"/>
  <c r="D3958" i="7"/>
  <c r="AN3958" i="7"/>
  <c r="AG3958" i="7"/>
  <c r="V3958" i="7"/>
  <c r="AI3958" i="7" s="1"/>
  <c r="V3951" i="7"/>
  <c r="AI3951" i="7" s="1"/>
  <c r="AN3952" i="7"/>
  <c r="AG3952" i="7"/>
  <c r="V3952" i="7"/>
  <c r="AI3952" i="7" s="1"/>
  <c r="F3952" i="7"/>
  <c r="D3952" i="7"/>
  <c r="AN3951" i="7"/>
  <c r="AG3951" i="7"/>
  <c r="F3951" i="7"/>
  <c r="D3951" i="7"/>
  <c r="F3996" i="7"/>
  <c r="D3996" i="7"/>
  <c r="F3995" i="7"/>
  <c r="D3995" i="7"/>
  <c r="F3999" i="7"/>
  <c r="D3999" i="7"/>
  <c r="F4000" i="7"/>
  <c r="D4000" i="7"/>
  <c r="F3997" i="7"/>
  <c r="D3997" i="7"/>
  <c r="F3998" i="7"/>
  <c r="D3998" i="7"/>
  <c r="AN3996" i="7"/>
  <c r="AG3996" i="7"/>
  <c r="Y3996" i="7"/>
  <c r="Z3996" i="7" s="1"/>
  <c r="AI3996" i="7"/>
  <c r="AN3995" i="7"/>
  <c r="Y3995" i="7"/>
  <c r="Z3995" i="7" s="1"/>
  <c r="AN3999" i="7"/>
  <c r="AG3999" i="7"/>
  <c r="Y3999" i="7"/>
  <c r="Z3999" i="7" s="1"/>
  <c r="AI3999" i="7"/>
  <c r="AN4000" i="7"/>
  <c r="AG4000" i="7"/>
  <c r="Y4000" i="7"/>
  <c r="Z4000" i="7" s="1"/>
  <c r="AC4000" i="7" s="1"/>
  <c r="AI4000" i="7"/>
  <c r="AN3998" i="7"/>
  <c r="AG3998" i="7"/>
  <c r="Y3998" i="7"/>
  <c r="Z3998" i="7" s="1"/>
  <c r="AI3998" i="7"/>
  <c r="AN3997" i="7"/>
  <c r="AG3997" i="7"/>
  <c r="Y3997" i="7"/>
  <c r="Z3997" i="7" s="1"/>
  <c r="AI3997" i="7"/>
  <c r="AN3970" i="7"/>
  <c r="AG3970" i="7"/>
  <c r="Y3970" i="7"/>
  <c r="Z3970" i="7" s="1"/>
  <c r="AA3970" i="7" s="1"/>
  <c r="AI3970" i="7"/>
  <c r="F3970" i="7"/>
  <c r="D3970" i="7"/>
  <c r="F3991" i="7"/>
  <c r="D3991" i="7"/>
  <c r="F3990" i="7"/>
  <c r="D3990" i="7"/>
  <c r="AN3991" i="7"/>
  <c r="AG3991" i="7"/>
  <c r="Y3991" i="7"/>
  <c r="Z3991" i="7" s="1"/>
  <c r="AC3991" i="7" s="1"/>
  <c r="AI3991" i="7"/>
  <c r="AN3990" i="7"/>
  <c r="AG3990" i="7"/>
  <c r="Y3990" i="7"/>
  <c r="Z3990" i="7" s="1"/>
  <c r="AI3990" i="7"/>
  <c r="F3983" i="7"/>
  <c r="D3983" i="7"/>
  <c r="AN3983" i="7"/>
  <c r="AG3983" i="7"/>
  <c r="Y3983" i="7"/>
  <c r="Z3983" i="7" s="1"/>
  <c r="AA3983" i="7" s="1"/>
  <c r="AI3983" i="7"/>
  <c r="F3981" i="7"/>
  <c r="D3981" i="7"/>
  <c r="AN3981" i="7"/>
  <c r="AG3981" i="7"/>
  <c r="Y3981" i="7"/>
  <c r="Z3981" i="7" s="1"/>
  <c r="AI3981" i="7"/>
  <c r="F3979" i="7"/>
  <c r="D3979" i="7"/>
  <c r="AN3979" i="7"/>
  <c r="AG3979" i="7"/>
  <c r="Y3979" i="7"/>
  <c r="Z3979" i="7" s="1"/>
  <c r="AI3979" i="7"/>
  <c r="F4011" i="7"/>
  <c r="D4011" i="7"/>
  <c r="AN4011" i="7"/>
  <c r="AG4011" i="7"/>
  <c r="V4011" i="7"/>
  <c r="Y4011" i="7" s="1"/>
  <c r="Z4011" i="7" s="1"/>
  <c r="V4010" i="7"/>
  <c r="Y4010" i="7" s="1"/>
  <c r="Z4010" i="7" s="1"/>
  <c r="AM4010" i="7" s="1"/>
  <c r="AN4010" i="7"/>
  <c r="F4010" i="7"/>
  <c r="D4010" i="7"/>
  <c r="F4008" i="7"/>
  <c r="D4008" i="7"/>
  <c r="F4007" i="7"/>
  <c r="D4007" i="7"/>
  <c r="AN4008" i="7"/>
  <c r="AG4008" i="7"/>
  <c r="Y4008" i="7"/>
  <c r="Z4008" i="7" s="1"/>
  <c r="AA4008" i="7" s="1"/>
  <c r="AI4008" i="7"/>
  <c r="AN4007" i="7"/>
  <c r="AG4007" i="7"/>
  <c r="Y4007" i="7"/>
  <c r="Z4007" i="7" s="1"/>
  <c r="AI4007" i="7"/>
  <c r="F4005" i="7"/>
  <c r="D4005" i="7"/>
  <c r="F4004" i="7"/>
  <c r="D4004" i="7"/>
  <c r="AN4005" i="7"/>
  <c r="Y4005" i="7"/>
  <c r="Z4005" i="7" s="1"/>
  <c r="AE4005" i="7" s="1"/>
  <c r="AF4005" i="7" s="1"/>
  <c r="AN4004" i="7"/>
  <c r="Y4004" i="7"/>
  <c r="Z4004" i="7" s="1"/>
  <c r="AN3964" i="7"/>
  <c r="AG3964" i="7"/>
  <c r="Y3964" i="7"/>
  <c r="Z3964" i="7" s="1"/>
  <c r="AI3964" i="7"/>
  <c r="F3964" i="7"/>
  <c r="D3964" i="7"/>
  <c r="AN3963" i="7"/>
  <c r="AG3963" i="7"/>
  <c r="Y3963" i="7"/>
  <c r="Z3963" i="7" s="1"/>
  <c r="AI3963" i="7"/>
  <c r="F3963" i="7"/>
  <c r="D3963" i="7"/>
  <c r="F3989" i="7"/>
  <c r="D3989" i="7"/>
  <c r="F3988" i="7"/>
  <c r="D3988" i="7"/>
  <c r="AN3989" i="7"/>
  <c r="AG3989" i="7"/>
  <c r="V3989" i="7"/>
  <c r="Y3989" i="7" s="1"/>
  <c r="Z3989" i="7" s="1"/>
  <c r="AE3989" i="7" s="1"/>
  <c r="AF3989" i="7" s="1"/>
  <c r="AN3988" i="7"/>
  <c r="AG3988" i="7"/>
  <c r="V3988" i="7"/>
  <c r="Y3988" i="7" s="1"/>
  <c r="Z3988" i="7" s="1"/>
  <c r="AE3988" i="7" s="1"/>
  <c r="AF3988" i="7" s="1"/>
  <c r="AN3986" i="7"/>
  <c r="AG3986" i="7"/>
  <c r="Y3986" i="7"/>
  <c r="Z3986" i="7" s="1"/>
  <c r="AE3986" i="7" s="1"/>
  <c r="AF3986" i="7" s="1"/>
  <c r="AI3986" i="7"/>
  <c r="F3986" i="7"/>
  <c r="D3986" i="7"/>
  <c r="AN3985" i="7"/>
  <c r="AG3985" i="7"/>
  <c r="Y3985" i="7"/>
  <c r="Z3985" i="7" s="1"/>
  <c r="AI3985" i="7"/>
  <c r="F3985" i="7"/>
  <c r="D3985" i="7"/>
  <c r="F3987" i="7"/>
  <c r="D3987" i="7"/>
  <c r="F3984" i="7"/>
  <c r="D3984" i="7"/>
  <c r="AN3987" i="7"/>
  <c r="AG3987" i="7"/>
  <c r="Y3987" i="7"/>
  <c r="Z3987" i="7" s="1"/>
  <c r="AI3987" i="7"/>
  <c r="AN3984" i="7"/>
  <c r="AG3984" i="7"/>
  <c r="Y3984" i="7"/>
  <c r="Z3984" i="7" s="1"/>
  <c r="AI3984" i="7"/>
  <c r="AN3977" i="7"/>
  <c r="AG3977" i="7"/>
  <c r="Y3977" i="7"/>
  <c r="Z3977" i="7" s="1"/>
  <c r="AI3977" i="7"/>
  <c r="F3977" i="7"/>
  <c r="D3977" i="7"/>
  <c r="AN3976" i="7"/>
  <c r="AG3976" i="7"/>
  <c r="Y3976" i="7"/>
  <c r="Z3976" i="7" s="1"/>
  <c r="AI3976" i="7"/>
  <c r="F3976" i="7"/>
  <c r="D3976" i="7"/>
  <c r="F3974" i="7"/>
  <c r="D3974" i="7"/>
  <c r="F3973" i="7"/>
  <c r="D3973" i="7"/>
  <c r="AN3974" i="7"/>
  <c r="AG3974" i="7"/>
  <c r="Y3974" i="7"/>
  <c r="Z3974" i="7" s="1"/>
  <c r="AI3974" i="7"/>
  <c r="AN3973" i="7"/>
  <c r="AG3973" i="7"/>
  <c r="Y3973" i="7"/>
  <c r="Z3973" i="7" s="1"/>
  <c r="AI3973" i="7"/>
  <c r="V3947" i="7"/>
  <c r="Y3947" i="7" s="1"/>
  <c r="Z3947" i="7" s="1"/>
  <c r="F3947" i="7"/>
  <c r="D3947" i="7"/>
  <c r="AN3947" i="7"/>
  <c r="AG3947" i="7"/>
  <c r="AN3935" i="7"/>
  <c r="AG3935" i="7"/>
  <c r="Y3935" i="7"/>
  <c r="Z3935" i="7" s="1"/>
  <c r="AI3935" i="7"/>
  <c r="F3935" i="7"/>
  <c r="D3935" i="7"/>
  <c r="V3933" i="7"/>
  <c r="Y3933" i="7" s="1"/>
  <c r="Z3933" i="7" s="1"/>
  <c r="AN3933" i="7"/>
  <c r="AG3933" i="7"/>
  <c r="F3933" i="7"/>
  <c r="D3933" i="7"/>
  <c r="AN3941" i="7"/>
  <c r="AG3941" i="7"/>
  <c r="V3941" i="7"/>
  <c r="Y3941" i="7" s="1"/>
  <c r="Z3941" i="7" s="1"/>
  <c r="AE3941" i="7" s="1"/>
  <c r="AF3941" i="7" s="1"/>
  <c r="F3941" i="7"/>
  <c r="D3941" i="7"/>
  <c r="AN3940" i="7"/>
  <c r="AG3940" i="7"/>
  <c r="Y3940" i="7"/>
  <c r="Z3940" i="7" s="1"/>
  <c r="AI3940" i="7"/>
  <c r="F3940" i="7"/>
  <c r="D3940" i="7"/>
  <c r="F3944" i="7"/>
  <c r="D3944" i="7"/>
  <c r="AN3944" i="7"/>
  <c r="AG3944" i="7"/>
  <c r="Y3944" i="7"/>
  <c r="Z3944" i="7" s="1"/>
  <c r="AI3944" i="7"/>
  <c r="F3946" i="7"/>
  <c r="D3946" i="7"/>
  <c r="V3946" i="7"/>
  <c r="Y3946" i="7" s="1"/>
  <c r="Z3946" i="7" s="1"/>
  <c r="AN3946" i="7"/>
  <c r="AG3946" i="7"/>
  <c r="F3945" i="7"/>
  <c r="D3945" i="7"/>
  <c r="AN3945" i="7"/>
  <c r="AG3945" i="7"/>
  <c r="V3945" i="7"/>
  <c r="Y3945" i="7" s="1"/>
  <c r="Z3945" i="7" s="1"/>
  <c r="AA3945" i="7" s="1"/>
  <c r="V3943" i="7"/>
  <c r="Y3943" i="7" s="1"/>
  <c r="Z3943" i="7" s="1"/>
  <c r="V3942" i="7"/>
  <c r="Y3942" i="7" s="1"/>
  <c r="Z3942" i="7" s="1"/>
  <c r="AE3942" i="7" s="1"/>
  <c r="AF3942" i="7" s="1"/>
  <c r="AN3943" i="7"/>
  <c r="AG3943" i="7"/>
  <c r="F3943" i="7"/>
  <c r="D3943" i="7"/>
  <c r="AN3942" i="7"/>
  <c r="AG3942" i="7"/>
  <c r="F3942" i="7"/>
  <c r="D3942" i="7"/>
  <c r="V3938" i="7"/>
  <c r="Y3938" i="7" s="1"/>
  <c r="Z3938" i="7" s="1"/>
  <c r="V3937" i="7"/>
  <c r="Y3937" i="7" s="1"/>
  <c r="Z3937" i="7" s="1"/>
  <c r="AN3938" i="7"/>
  <c r="AG3938" i="7"/>
  <c r="F3938" i="7"/>
  <c r="D3938" i="7"/>
  <c r="AN3937" i="7"/>
  <c r="AG3937" i="7"/>
  <c r="F3937" i="7"/>
  <c r="D3937" i="7"/>
  <c r="AI3853" i="7"/>
  <c r="AN3853" i="7"/>
  <c r="AG3853" i="7"/>
  <c r="F3853" i="7"/>
  <c r="D3853" i="7"/>
  <c r="V3854" i="7"/>
  <c r="AI3854" i="7" s="1"/>
  <c r="AN3838" i="7"/>
  <c r="AI3838" i="7"/>
  <c r="AG3838" i="7"/>
  <c r="Y3838" i="7"/>
  <c r="Z3838" i="7" s="1"/>
  <c r="F3838" i="7"/>
  <c r="D3838" i="7"/>
  <c r="AN3836" i="7"/>
  <c r="AI3836" i="7"/>
  <c r="AG3836" i="7"/>
  <c r="Y3836" i="7"/>
  <c r="Z3836" i="7" s="1"/>
  <c r="F3836" i="7"/>
  <c r="D3836" i="7"/>
  <c r="AN3832" i="7"/>
  <c r="AG3832" i="7"/>
  <c r="AI3832" i="7"/>
  <c r="F3832" i="7"/>
  <c r="D3832" i="7"/>
  <c r="X3805" i="7"/>
  <c r="Y3805" i="7" s="1"/>
  <c r="Z3805" i="7" s="1"/>
  <c r="Y3832" i="7"/>
  <c r="Z3832" i="7" s="1"/>
  <c r="AN3926" i="7"/>
  <c r="AI3926" i="7"/>
  <c r="AG3926" i="7"/>
  <c r="Y3926" i="7"/>
  <c r="Z3926" i="7" s="1"/>
  <c r="F3926" i="7"/>
  <c r="D3926" i="7"/>
  <c r="AN3914" i="7"/>
  <c r="AI3914" i="7"/>
  <c r="AG3914" i="7"/>
  <c r="Y3914" i="7"/>
  <c r="Z3914" i="7" s="1"/>
  <c r="F3914" i="7"/>
  <c r="D3914" i="7"/>
  <c r="AN3907" i="7"/>
  <c r="AI3907" i="7"/>
  <c r="AG3907" i="7"/>
  <c r="Y3907" i="7"/>
  <c r="Z3907" i="7" s="1"/>
  <c r="F3907" i="7"/>
  <c r="D3907" i="7"/>
  <c r="AN3898" i="7"/>
  <c r="AI3898" i="7"/>
  <c r="AG3898" i="7"/>
  <c r="Y3898" i="7"/>
  <c r="Z3898" i="7" s="1"/>
  <c r="F3898" i="7"/>
  <c r="D3898" i="7"/>
  <c r="AN3871" i="7"/>
  <c r="AI3871" i="7"/>
  <c r="AG3871" i="7"/>
  <c r="Y3871" i="7"/>
  <c r="Z3871" i="7" s="1"/>
  <c r="F3871" i="7"/>
  <c r="D3871" i="7"/>
  <c r="V3791" i="7"/>
  <c r="Y3791" i="7" s="1"/>
  <c r="Z3791" i="7" s="1"/>
  <c r="Y3813" i="7"/>
  <c r="Z3813" i="7" s="1"/>
  <c r="AE3813" i="7" s="1"/>
  <c r="AF3813" i="7" s="1"/>
  <c r="AI3808" i="7"/>
  <c r="AN3813" i="7"/>
  <c r="AG3813" i="7"/>
  <c r="F3813" i="7"/>
  <c r="D3813" i="7"/>
  <c r="AN3808" i="7"/>
  <c r="AG3808" i="7"/>
  <c r="F3808" i="7"/>
  <c r="D3808" i="7"/>
  <c r="AI3805" i="7"/>
  <c r="AN3805" i="7"/>
  <c r="AG3805" i="7"/>
  <c r="F3805" i="7"/>
  <c r="D3805" i="7"/>
  <c r="AN4035" i="7"/>
  <c r="AG4035" i="7"/>
  <c r="V4035" i="7"/>
  <c r="AI4035" i="7" s="1"/>
  <c r="F4035" i="7"/>
  <c r="D4035" i="7"/>
  <c r="AN4034" i="7"/>
  <c r="AG4034" i="7"/>
  <c r="V4034" i="7"/>
  <c r="AI4034" i="7" s="1"/>
  <c r="F4034" i="7"/>
  <c r="D4034" i="7"/>
  <c r="AN4032" i="7"/>
  <c r="AG4032" i="7"/>
  <c r="V4032" i="7"/>
  <c r="Y4032" i="7" s="1"/>
  <c r="Z4032" i="7" s="1"/>
  <c r="F4032" i="7"/>
  <c r="D4032" i="7"/>
  <c r="AN4031" i="7"/>
  <c r="AG4031" i="7"/>
  <c r="V4031" i="7"/>
  <c r="Y4031" i="7" s="1"/>
  <c r="Z4031" i="7" s="1"/>
  <c r="F4031" i="7"/>
  <c r="D4031" i="7"/>
  <c r="AN4029" i="7"/>
  <c r="AG4029" i="7"/>
  <c r="V4029" i="7"/>
  <c r="Y4029" i="7" s="1"/>
  <c r="Z4029" i="7" s="1"/>
  <c r="F4029" i="7"/>
  <c r="D4029" i="7"/>
  <c r="AN4028" i="7"/>
  <c r="AG4028" i="7"/>
  <c r="V4028" i="7"/>
  <c r="AI4028" i="7" s="1"/>
  <c r="F4028" i="7"/>
  <c r="D4028" i="7"/>
  <c r="AN4026" i="7"/>
  <c r="AG4026" i="7"/>
  <c r="V4026" i="7"/>
  <c r="AI4026" i="7" s="1"/>
  <c r="F4026" i="7"/>
  <c r="D4026" i="7"/>
  <c r="AN4025" i="7"/>
  <c r="AG4025" i="7"/>
  <c r="V4025" i="7"/>
  <c r="AI4025" i="7" s="1"/>
  <c r="F4025" i="7"/>
  <c r="D4025" i="7"/>
  <c r="AN4023" i="7"/>
  <c r="AG4023" i="7"/>
  <c r="V4023" i="7"/>
  <c r="AI4023" i="7" s="1"/>
  <c r="F4023" i="7"/>
  <c r="D4023" i="7"/>
  <c r="AN4022" i="7"/>
  <c r="AG4022" i="7"/>
  <c r="V4022" i="7"/>
  <c r="Y4022" i="7" s="1"/>
  <c r="Z4022" i="7" s="1"/>
  <c r="F4022" i="7"/>
  <c r="D4022" i="7"/>
  <c r="AN4020" i="7"/>
  <c r="AI4020" i="7"/>
  <c r="AG4020" i="7"/>
  <c r="Y4020" i="7"/>
  <c r="Z4020" i="7" s="1"/>
  <c r="AC4020" i="7" s="1"/>
  <c r="F4020" i="7"/>
  <c r="D4020" i="7"/>
  <c r="AN4019" i="7"/>
  <c r="AI4019" i="7"/>
  <c r="AG4019" i="7"/>
  <c r="Y4019" i="7"/>
  <c r="Z4019" i="7" s="1"/>
  <c r="F4019" i="7"/>
  <c r="D4019" i="7"/>
  <c r="AN4017" i="7"/>
  <c r="AI4017" i="7"/>
  <c r="AG4017" i="7"/>
  <c r="Y4017" i="7"/>
  <c r="Z4017" i="7" s="1"/>
  <c r="AA4017" i="7" s="1"/>
  <c r="F4017" i="7"/>
  <c r="D4017" i="7"/>
  <c r="AN4016" i="7"/>
  <c r="AI4016" i="7"/>
  <c r="AG4016" i="7"/>
  <c r="Y4016" i="7"/>
  <c r="Z4016" i="7" s="1"/>
  <c r="F4016" i="7"/>
  <c r="D4016" i="7"/>
  <c r="AN4014" i="7"/>
  <c r="AG4014" i="7"/>
  <c r="V4014" i="7"/>
  <c r="Y4014" i="7" s="1"/>
  <c r="Z4014" i="7" s="1"/>
  <c r="F4014" i="7"/>
  <c r="D4014" i="7"/>
  <c r="AN4013" i="7"/>
  <c r="AG4013" i="7"/>
  <c r="V4013" i="7"/>
  <c r="AI4013" i="7" s="1"/>
  <c r="F4013" i="7"/>
  <c r="D4013" i="7"/>
  <c r="AN3842" i="7"/>
  <c r="AG3842" i="7"/>
  <c r="V3842" i="7"/>
  <c r="AI3842" i="7" s="1"/>
  <c r="F3842" i="7"/>
  <c r="D3842" i="7"/>
  <c r="W3659" i="7"/>
  <c r="W3660" i="7"/>
  <c r="W3661" i="7"/>
  <c r="W3662" i="7"/>
  <c r="W3663" i="7"/>
  <c r="W3664" i="7"/>
  <c r="Y3664" i="7" s="1"/>
  <c r="Z3664" i="7" s="1"/>
  <c r="AE3664" i="7" s="1"/>
  <c r="AF3664" i="7" s="1"/>
  <c r="W3722" i="7"/>
  <c r="X3723" i="7"/>
  <c r="Y3739" i="7"/>
  <c r="Z3739" i="7" s="1"/>
  <c r="X3721" i="7"/>
  <c r="W3720" i="7"/>
  <c r="Y3720" i="7" s="1"/>
  <c r="Z3720" i="7" s="1"/>
  <c r="AA3720" i="7" s="1"/>
  <c r="W3721" i="7"/>
  <c r="W3705" i="7"/>
  <c r="Y3705" i="7" s="1"/>
  <c r="Z3705" i="7" s="1"/>
  <c r="AC3705" i="7" s="1"/>
  <c r="AN3798" i="7"/>
  <c r="AI3798" i="7"/>
  <c r="AG3798" i="7"/>
  <c r="Y3798" i="7"/>
  <c r="Z3798" i="7" s="1"/>
  <c r="F3798" i="7"/>
  <c r="D3798" i="7"/>
  <c r="V3817" i="7"/>
  <c r="AI3817" i="7" s="1"/>
  <c r="V3719" i="7"/>
  <c r="Y3719" i="7" s="1"/>
  <c r="Z3719" i="7" s="1"/>
  <c r="AN3719" i="7"/>
  <c r="AG3719" i="7"/>
  <c r="F3719" i="7"/>
  <c r="D3719" i="7"/>
  <c r="X3797" i="7"/>
  <c r="Y3797" i="7" s="1"/>
  <c r="Z3797" i="7" s="1"/>
  <c r="X3717" i="7"/>
  <c r="Y3717" i="7" s="1"/>
  <c r="Z3717" i="7" s="1"/>
  <c r="AA3717" i="7" s="1"/>
  <c r="V3818" i="7"/>
  <c r="AI3818" i="7" s="1"/>
  <c r="W3715" i="7"/>
  <c r="V3715" i="7"/>
  <c r="AI3715" i="7" s="1"/>
  <c r="AN3715" i="7"/>
  <c r="AG3715" i="7"/>
  <c r="F3715" i="7"/>
  <c r="D3715" i="7"/>
  <c r="V3718" i="7"/>
  <c r="W3716" i="7"/>
  <c r="Y3716" i="7" s="1"/>
  <c r="Z3716" i="7" s="1"/>
  <c r="AA3716" i="7" s="1"/>
  <c r="X3746" i="7"/>
  <c r="V3822" i="7"/>
  <c r="AI3822" i="7" s="1"/>
  <c r="V3820" i="7"/>
  <c r="Y3820" i="7" s="1"/>
  <c r="Z3820" i="7" s="1"/>
  <c r="V3768" i="7"/>
  <c r="AI3768" i="7" s="1"/>
  <c r="AJ3768" i="7" s="1"/>
  <c r="F3822" i="7"/>
  <c r="D3822" i="7"/>
  <c r="F3820" i="7"/>
  <c r="D3820" i="7"/>
  <c r="AN3822" i="7"/>
  <c r="AG3822" i="7"/>
  <c r="AN3820" i="7"/>
  <c r="AN3768" i="7"/>
  <c r="AG3768" i="7"/>
  <c r="F3768" i="7"/>
  <c r="D3768" i="7"/>
  <c r="V3821" i="7"/>
  <c r="Y3821" i="7" s="1"/>
  <c r="Z3821" i="7" s="1"/>
  <c r="V3807" i="7"/>
  <c r="Y3807" i="7" s="1"/>
  <c r="Z3807" i="7" s="1"/>
  <c r="V3767" i="7"/>
  <c r="AI3767" i="7" s="1"/>
  <c r="AJ3767" i="7" s="1"/>
  <c r="AN3821" i="7"/>
  <c r="AG3821" i="7"/>
  <c r="F3821" i="7"/>
  <c r="D3821" i="7"/>
  <c r="AN3767" i="7"/>
  <c r="AG3767" i="7"/>
  <c r="F3767" i="7"/>
  <c r="D3767" i="7"/>
  <c r="AN3807" i="7"/>
  <c r="F3807" i="7"/>
  <c r="D3807" i="7"/>
  <c r="X3658" i="7"/>
  <c r="X3648" i="7"/>
  <c r="V3714" i="7"/>
  <c r="AI3714" i="7" s="1"/>
  <c r="W3713" i="7"/>
  <c r="Y3713" i="7" s="1"/>
  <c r="Z3713" i="7" s="1"/>
  <c r="AN3885" i="7"/>
  <c r="AG3885" i="7"/>
  <c r="V3885" i="7"/>
  <c r="Y3885" i="7" s="1"/>
  <c r="Z3885" i="7" s="1"/>
  <c r="F3885" i="7"/>
  <c r="D3885" i="7"/>
  <c r="AN3817" i="7"/>
  <c r="AG3817" i="7"/>
  <c r="F3817" i="7"/>
  <c r="D3817" i="7"/>
  <c r="V3765" i="7"/>
  <c r="AN3765" i="7"/>
  <c r="AG3765" i="7"/>
  <c r="F3765" i="7"/>
  <c r="D3765" i="7"/>
  <c r="V3869" i="7"/>
  <c r="AI3869" i="7" s="1"/>
  <c r="V3864" i="7"/>
  <c r="Y3864" i="7" s="1"/>
  <c r="Z3864" i="7" s="1"/>
  <c r="AH3864" i="7" s="1"/>
  <c r="AN3869" i="7"/>
  <c r="AG3869" i="7"/>
  <c r="F3869" i="7"/>
  <c r="D3869" i="7"/>
  <c r="AN3866" i="7"/>
  <c r="AI3866" i="7"/>
  <c r="AG3866" i="7"/>
  <c r="Y3866" i="7"/>
  <c r="Z3866" i="7" s="1"/>
  <c r="F3866" i="7"/>
  <c r="D3866" i="7"/>
  <c r="AI3737" i="7"/>
  <c r="V3735" i="7"/>
  <c r="AI3735" i="7" s="1"/>
  <c r="W3712" i="7"/>
  <c r="V3712" i="7"/>
  <c r="AN3712" i="7"/>
  <c r="AG3712" i="7"/>
  <c r="F3712" i="7"/>
  <c r="D3712" i="7"/>
  <c r="W3711" i="7"/>
  <c r="X3710" i="7"/>
  <c r="Y3710" i="7" s="1"/>
  <c r="Z3710" i="7" s="1"/>
  <c r="X3786" i="7"/>
  <c r="Y3786" i="7" s="1"/>
  <c r="Z3786" i="7" s="1"/>
  <c r="AC3786" i="7" s="1"/>
  <c r="X3709" i="7"/>
  <c r="W3709" i="7"/>
  <c r="X3675" i="7"/>
  <c r="V3816" i="7"/>
  <c r="V3810" i="7"/>
  <c r="Y3810" i="7" s="1"/>
  <c r="Z3810" i="7" s="1"/>
  <c r="AE3810" i="7" s="1"/>
  <c r="AF3810" i="7" s="1"/>
  <c r="AN3810" i="7"/>
  <c r="F3810" i="7"/>
  <c r="D3810" i="7"/>
  <c r="AN3816" i="7"/>
  <c r="AG3816" i="7"/>
  <c r="F3816" i="7"/>
  <c r="D3816" i="7"/>
  <c r="W3703" i="7"/>
  <c r="Y3703" i="7" s="1"/>
  <c r="Z3703" i="7" s="1"/>
  <c r="AA3703" i="7" s="1"/>
  <c r="V3939" i="7"/>
  <c r="AI3939" i="7" s="1"/>
  <c r="V3936" i="7"/>
  <c r="Y3936" i="7" s="1"/>
  <c r="Z3936" i="7" s="1"/>
  <c r="V3950" i="7"/>
  <c r="AI3950" i="7" s="1"/>
  <c r="V3994" i="7"/>
  <c r="Y3994" i="7" s="1"/>
  <c r="Z3994" i="7" s="1"/>
  <c r="F3994" i="7"/>
  <c r="D3994" i="7"/>
  <c r="AN3994" i="7"/>
  <c r="AG3994" i="7"/>
  <c r="V3982" i="7"/>
  <c r="V3980" i="7"/>
  <c r="Y3980" i="7" s="1"/>
  <c r="Z3980" i="7" s="1"/>
  <c r="V3978" i="7"/>
  <c r="AI3978" i="7" s="1"/>
  <c r="V3975" i="7"/>
  <c r="AI3975" i="7" s="1"/>
  <c r="X3706" i="7"/>
  <c r="Y3706" i="7" s="1"/>
  <c r="Z3706" i="7" s="1"/>
  <c r="AC3706" i="7" s="1"/>
  <c r="X3699" i="7"/>
  <c r="X3778" i="7"/>
  <c r="X3702" i="7"/>
  <c r="X3701" i="7"/>
  <c r="X3722" i="7"/>
  <c r="X3700" i="7"/>
  <c r="W3700" i="7"/>
  <c r="X3698" i="7"/>
  <c r="W3695" i="7"/>
  <c r="X3697" i="7"/>
  <c r="X3696" i="7"/>
  <c r="F3880" i="7"/>
  <c r="D3880" i="7"/>
  <c r="F3858" i="7"/>
  <c r="D3858" i="7"/>
  <c r="AN3880" i="7"/>
  <c r="AI3880" i="7"/>
  <c r="AG3880" i="7"/>
  <c r="Y3880" i="7"/>
  <c r="Z3880" i="7" s="1"/>
  <c r="AE3880" i="7" s="1"/>
  <c r="AF3880" i="7" s="1"/>
  <c r="AN3787" i="7"/>
  <c r="AI3787" i="7"/>
  <c r="AG3787" i="7"/>
  <c r="Y3787" i="7"/>
  <c r="Z3787" i="7" s="1"/>
  <c r="AE3787" i="7" s="1"/>
  <c r="AF3787" i="7" s="1"/>
  <c r="F3787" i="7"/>
  <c r="D3787" i="7"/>
  <c r="AN3858" i="7"/>
  <c r="AG3858" i="7"/>
  <c r="V3858" i="7"/>
  <c r="AI3858" i="7" s="1"/>
  <c r="V3879" i="7"/>
  <c r="AI3879" i="7" s="1"/>
  <c r="AN3879" i="7"/>
  <c r="AG3879" i="7"/>
  <c r="F3879" i="7"/>
  <c r="D3879" i="7"/>
  <c r="AN3878" i="7"/>
  <c r="AG3878" i="7"/>
  <c r="V3878" i="7"/>
  <c r="F3878" i="7"/>
  <c r="D3878" i="7"/>
  <c r="V3690" i="7"/>
  <c r="AI3690" i="7" s="1"/>
  <c r="W3690" i="7"/>
  <c r="W3694" i="7"/>
  <c r="Y3694" i="7" s="1"/>
  <c r="Z3694" i="7" s="1"/>
  <c r="AE3694" i="7" s="1"/>
  <c r="AF3694" i="7" s="1"/>
  <c r="W3687" i="7"/>
  <c r="X3728" i="7"/>
  <c r="Y3728" i="7" s="1"/>
  <c r="Z3728" i="7" s="1"/>
  <c r="W3693" i="7"/>
  <c r="AN3837" i="7"/>
  <c r="AG3837" i="7"/>
  <c r="V3837" i="7"/>
  <c r="AI3837" i="7" s="1"/>
  <c r="F3837" i="7"/>
  <c r="D3837" i="7"/>
  <c r="W3675" i="7"/>
  <c r="X3691" i="7"/>
  <c r="V3711" i="7"/>
  <c r="AI3711" i="7" s="1"/>
  <c r="W3681" i="7"/>
  <c r="Y3681" i="7" s="1"/>
  <c r="Z3681" i="7" s="1"/>
  <c r="AC3681" i="7" s="1"/>
  <c r="V3692" i="7"/>
  <c r="Y3692" i="7" s="1"/>
  <c r="Z3692" i="7" s="1"/>
  <c r="AC3692" i="7" s="1"/>
  <c r="F3769" i="7"/>
  <c r="D3769" i="7"/>
  <c r="F3766" i="7"/>
  <c r="D3766" i="7"/>
  <c r="AN3766" i="7"/>
  <c r="AG3766" i="7"/>
  <c r="Y3766" i="7"/>
  <c r="Z3766" i="7" s="1"/>
  <c r="AI3766" i="7"/>
  <c r="AN3769" i="7"/>
  <c r="AI3769" i="7"/>
  <c r="AG3769" i="7"/>
  <c r="Y3769" i="7"/>
  <c r="Z3769" i="7" s="1"/>
  <c r="AE3769" i="7" s="1"/>
  <c r="AF3769" i="7" s="1"/>
  <c r="V3773" i="7"/>
  <c r="AI3773" i="7" s="1"/>
  <c r="AN3775" i="7"/>
  <c r="AG3775" i="7"/>
  <c r="X3775" i="7"/>
  <c r="V3775" i="7"/>
  <c r="AI3775" i="7" s="1"/>
  <c r="F3775" i="7"/>
  <c r="D3775" i="7"/>
  <c r="AN3773" i="7"/>
  <c r="AG3773" i="7"/>
  <c r="X3773" i="7"/>
  <c r="F3773" i="7"/>
  <c r="D3773" i="7"/>
  <c r="AG3691" i="7"/>
  <c r="AG3746" i="7"/>
  <c r="AG3846" i="7"/>
  <c r="AN3823" i="7"/>
  <c r="AI3823" i="7"/>
  <c r="AG3823" i="7"/>
  <c r="Y3823" i="7"/>
  <c r="Z3823" i="7" s="1"/>
  <c r="AC3823" i="7" s="1"/>
  <c r="F3823" i="7"/>
  <c r="D3823" i="7"/>
  <c r="AN3799" i="7"/>
  <c r="AI3799" i="7"/>
  <c r="AG3799" i="7"/>
  <c r="Y3799" i="7"/>
  <c r="Z3799" i="7" s="1"/>
  <c r="F3799" i="7"/>
  <c r="D3799" i="7"/>
  <c r="AI3792" i="7"/>
  <c r="AN3792" i="7"/>
  <c r="AG3792" i="7"/>
  <c r="F3792" i="7"/>
  <c r="D3792" i="7"/>
  <c r="Y3792" i="7"/>
  <c r="Z3792" i="7" s="1"/>
  <c r="AC3792" i="7" s="1"/>
  <c r="AN3852" i="7"/>
  <c r="AG3852" i="7"/>
  <c r="AI3852" i="7"/>
  <c r="F3852" i="7"/>
  <c r="D3852" i="7"/>
  <c r="AN3867" i="7"/>
  <c r="AG3867" i="7"/>
  <c r="AI3867" i="7"/>
  <c r="F3867" i="7"/>
  <c r="D3867" i="7"/>
  <c r="AI3851" i="7"/>
  <c r="AN3851" i="7"/>
  <c r="AG3851" i="7"/>
  <c r="F3851" i="7"/>
  <c r="D3851" i="7"/>
  <c r="V3848" i="7"/>
  <c r="Y3848" i="7" s="1"/>
  <c r="Z3848" i="7" s="1"/>
  <c r="V3830" i="7"/>
  <c r="AI3830" i="7" s="1"/>
  <c r="V3855" i="7"/>
  <c r="AI3855" i="7" s="1"/>
  <c r="V3846" i="7"/>
  <c r="AI3846" i="7" s="1"/>
  <c r="AN3846" i="7"/>
  <c r="F3846" i="7"/>
  <c r="D3846" i="7"/>
  <c r="AN3855" i="7"/>
  <c r="AG3855" i="7"/>
  <c r="F3855" i="7"/>
  <c r="D3855" i="7"/>
  <c r="AN3830" i="7"/>
  <c r="AG3830" i="7"/>
  <c r="F3830" i="7"/>
  <c r="D3830" i="7"/>
  <c r="AN3849" i="7"/>
  <c r="AG3849" i="7"/>
  <c r="V3849" i="7"/>
  <c r="AI3849" i="7" s="1"/>
  <c r="F3849" i="7"/>
  <c r="D3849" i="7"/>
  <c r="AN3848" i="7"/>
  <c r="AG3848" i="7"/>
  <c r="F3848" i="7"/>
  <c r="D3848" i="7"/>
  <c r="AN3748" i="7"/>
  <c r="AI3748" i="7"/>
  <c r="AG3748" i="7"/>
  <c r="Y3748" i="7"/>
  <c r="Z3748" i="7" s="1"/>
  <c r="F3748" i="7"/>
  <c r="D3748" i="7"/>
  <c r="AN3854" i="7"/>
  <c r="AG3854" i="7"/>
  <c r="F3854" i="7"/>
  <c r="D3854" i="7"/>
  <c r="AN3818" i="7"/>
  <c r="AG3818" i="7"/>
  <c r="F3818" i="7"/>
  <c r="D3818" i="7"/>
  <c r="AN3753" i="7"/>
  <c r="AG3753" i="7"/>
  <c r="V3753" i="7"/>
  <c r="Y3753" i="7" s="1"/>
  <c r="Z3753" i="7" s="1"/>
  <c r="F3753" i="7"/>
  <c r="D3753" i="7"/>
  <c r="AN3750" i="7"/>
  <c r="AG3750" i="7"/>
  <c r="Y3750" i="7"/>
  <c r="Z3750" i="7" s="1"/>
  <c r="F3750" i="7"/>
  <c r="D3750" i="7"/>
  <c r="Y3852" i="7"/>
  <c r="Z3852" i="7" s="1"/>
  <c r="Y3867" i="7"/>
  <c r="Z3867" i="7" s="1"/>
  <c r="Y3851" i="7"/>
  <c r="Z3851" i="7" s="1"/>
  <c r="AI3750" i="7"/>
  <c r="AN3825" i="7"/>
  <c r="AG3825" i="7"/>
  <c r="V3825" i="7"/>
  <c r="Y3825" i="7" s="1"/>
  <c r="Z3825" i="7" s="1"/>
  <c r="F3825" i="7"/>
  <c r="D3825" i="7"/>
  <c r="AN3847" i="7"/>
  <c r="AG3847" i="7"/>
  <c r="V3847" i="7"/>
  <c r="AI3847" i="7" s="1"/>
  <c r="F3847" i="7"/>
  <c r="D3847" i="7"/>
  <c r="AN3747" i="7"/>
  <c r="AG3747" i="7"/>
  <c r="V3747" i="7"/>
  <c r="Y3747" i="7" s="1"/>
  <c r="Z3747" i="7" s="1"/>
  <c r="F3747" i="7"/>
  <c r="D3747" i="7"/>
  <c r="V3772" i="7"/>
  <c r="AI3772" i="7" s="1"/>
  <c r="V3801" i="7"/>
  <c r="AN3737" i="7"/>
  <c r="AG3737" i="7"/>
  <c r="F3737" i="7"/>
  <c r="D3737" i="7"/>
  <c r="W3678" i="7"/>
  <c r="X3782" i="7"/>
  <c r="X3682" i="7"/>
  <c r="AN3681" i="7"/>
  <c r="AI3681" i="7"/>
  <c r="AG3681" i="7"/>
  <c r="F3681" i="7"/>
  <c r="D3681" i="7"/>
  <c r="W3679" i="7"/>
  <c r="V3677" i="7"/>
  <c r="W3672" i="7"/>
  <c r="Y3672" i="7" s="1"/>
  <c r="Z3672" i="7" s="1"/>
  <c r="X3676" i="7"/>
  <c r="V3679" i="7"/>
  <c r="AI3679" i="7" s="1"/>
  <c r="W3674" i="7"/>
  <c r="V3674" i="7"/>
  <c r="AN3781" i="7"/>
  <c r="AI3781" i="7"/>
  <c r="AG3781" i="7"/>
  <c r="Y3781" i="7"/>
  <c r="Z3781" i="7" s="1"/>
  <c r="F3781" i="7"/>
  <c r="D3781" i="7"/>
  <c r="AN3780" i="7"/>
  <c r="AI3780" i="7"/>
  <c r="AG3780" i="7"/>
  <c r="Y3780" i="7"/>
  <c r="Z3780" i="7" s="1"/>
  <c r="F3780" i="7"/>
  <c r="D3780" i="7"/>
  <c r="V3928" i="7"/>
  <c r="AI3928" i="7" s="1"/>
  <c r="AN3928" i="7"/>
  <c r="AG3928" i="7"/>
  <c r="F3928" i="7"/>
  <c r="D3928" i="7"/>
  <c r="V3919" i="7"/>
  <c r="Y3919" i="7" s="1"/>
  <c r="Z3919" i="7" s="1"/>
  <c r="AC3919" i="7" s="1"/>
  <c r="V3764" i="7"/>
  <c r="AI3764" i="7" s="1"/>
  <c r="V3670" i="7"/>
  <c r="Y3670" i="7" s="1"/>
  <c r="Z3670" i="7" s="1"/>
  <c r="AN3670" i="7"/>
  <c r="AG3670" i="7"/>
  <c r="F3670" i="7"/>
  <c r="D3670" i="7"/>
  <c r="W3669" i="7"/>
  <c r="Y3669" i="7" s="1"/>
  <c r="Z3669" i="7" s="1"/>
  <c r="X3649" i="7"/>
  <c r="W3649" i="7"/>
  <c r="V3673" i="7"/>
  <c r="AI3673" i="7" s="1"/>
  <c r="V3668" i="7"/>
  <c r="AN3668" i="7"/>
  <c r="AG3668" i="7"/>
  <c r="F3668" i="7"/>
  <c r="D3668" i="7"/>
  <c r="AN3777" i="7"/>
  <c r="AI3777" i="7"/>
  <c r="AG3777" i="7"/>
  <c r="Y3777" i="7"/>
  <c r="Z3777" i="7" s="1"/>
  <c r="F3777" i="7"/>
  <c r="D3777" i="7"/>
  <c r="V3722" i="7"/>
  <c r="AN3778" i="7"/>
  <c r="AG3778" i="7"/>
  <c r="V3778" i="7"/>
  <c r="AI3778" i="7" s="1"/>
  <c r="F3778" i="7"/>
  <c r="D3778" i="7"/>
  <c r="AN3782" i="7"/>
  <c r="AG3782" i="7"/>
  <c r="V3782" i="7"/>
  <c r="AI3782" i="7" s="1"/>
  <c r="F3782" i="7"/>
  <c r="D3782" i="7"/>
  <c r="AN3824" i="7"/>
  <c r="AG3824" i="7"/>
  <c r="V3824" i="7"/>
  <c r="F3824" i="7"/>
  <c r="D3824" i="7"/>
  <c r="AN3761" i="7"/>
  <c r="AG3761" i="7"/>
  <c r="V3761" i="7"/>
  <c r="Y3761" i="7" s="1"/>
  <c r="Z3761" i="7" s="1"/>
  <c r="F3761" i="7"/>
  <c r="D3761" i="7"/>
  <c r="AN3771" i="7"/>
  <c r="AG3771" i="7"/>
  <c r="V3771" i="7"/>
  <c r="AI3771" i="7" s="1"/>
  <c r="F3771" i="7"/>
  <c r="D3771" i="7"/>
  <c r="V3660" i="7"/>
  <c r="V3659" i="7"/>
  <c r="AI3659" i="7" s="1"/>
  <c r="V3662" i="7"/>
  <c r="AI3662" i="7" s="1"/>
  <c r="X3653" i="7"/>
  <c r="W3653" i="7"/>
  <c r="W3652" i="7"/>
  <c r="V3658" i="7"/>
  <c r="X3654" i="7"/>
  <c r="Y3654" i="7" s="1"/>
  <c r="Z3654" i="7" s="1"/>
  <c r="W3655" i="7"/>
  <c r="W3656" i="7"/>
  <c r="Y3656" i="7" s="1"/>
  <c r="Z3656" i="7" s="1"/>
  <c r="AE3656" i="7" s="1"/>
  <c r="AF3656" i="7" s="1"/>
  <c r="V3671" i="7"/>
  <c r="AI3671" i="7" s="1"/>
  <c r="AN3930" i="7"/>
  <c r="AG3930" i="7"/>
  <c r="Y3930" i="7"/>
  <c r="Z3930" i="7" s="1"/>
  <c r="AI3930" i="7"/>
  <c r="F3930" i="7"/>
  <c r="D3930" i="7"/>
  <c r="X3647" i="7"/>
  <c r="W3647" i="7"/>
  <c r="X3646" i="7"/>
  <c r="X3651" i="7"/>
  <c r="X3650" i="7"/>
  <c r="X3611" i="7"/>
  <c r="W3611" i="7"/>
  <c r="AN3757" i="7"/>
  <c r="AI3757" i="7"/>
  <c r="AG3757" i="7"/>
  <c r="Y3757" i="7"/>
  <c r="Z3757" i="7" s="1"/>
  <c r="F3757" i="7"/>
  <c r="D3757" i="7"/>
  <c r="X3639" i="7"/>
  <c r="V3646" i="7"/>
  <c r="X3641" i="7"/>
  <c r="W3641" i="7"/>
  <c r="W3640" i="7"/>
  <c r="X3642" i="7"/>
  <c r="W3642" i="7"/>
  <c r="X3643" i="7"/>
  <c r="W3643" i="7"/>
  <c r="X3776" i="7"/>
  <c r="W3644" i="7"/>
  <c r="AN3733" i="7"/>
  <c r="AG3733" i="7"/>
  <c r="V3733" i="7"/>
  <c r="AI3733" i="7" s="1"/>
  <c r="F3733" i="7"/>
  <c r="D3733" i="7"/>
  <c r="AN3751" i="7"/>
  <c r="AG3751" i="7"/>
  <c r="V3751" i="7"/>
  <c r="Y3751" i="7" s="1"/>
  <c r="Z3751" i="7" s="1"/>
  <c r="F3751" i="7"/>
  <c r="D3751" i="7"/>
  <c r="V3835" i="7"/>
  <c r="AN3831" i="7"/>
  <c r="AI3831" i="7"/>
  <c r="AG3831" i="7"/>
  <c r="Y3831" i="7"/>
  <c r="Z3831" i="7" s="1"/>
  <c r="F3831" i="7"/>
  <c r="D3831" i="7"/>
  <c r="AN3828" i="7"/>
  <c r="AI3828" i="7"/>
  <c r="AG3828" i="7"/>
  <c r="Y3828" i="7"/>
  <c r="Z3828" i="7" s="1"/>
  <c r="F3828" i="7"/>
  <c r="D3828" i="7"/>
  <c r="AN3732" i="7"/>
  <c r="V3732" i="7"/>
  <c r="F3732" i="7"/>
  <c r="D3732" i="7"/>
  <c r="X3636" i="7"/>
  <c r="V3639" i="7"/>
  <c r="W3636" i="7"/>
  <c r="W3637" i="7"/>
  <c r="Y3637" i="7" s="1"/>
  <c r="Z3637" i="7" s="1"/>
  <c r="X3774" i="7"/>
  <c r="W3638" i="7"/>
  <c r="AN3815" i="7"/>
  <c r="AI3815" i="7"/>
  <c r="AG3815" i="7"/>
  <c r="Y3815" i="7"/>
  <c r="Z3815" i="7" s="1"/>
  <c r="AC3815" i="7" s="1"/>
  <c r="F3815" i="7"/>
  <c r="D3815" i="7"/>
  <c r="V3680" i="7"/>
  <c r="Y3680" i="7" s="1"/>
  <c r="Z3680" i="7" s="1"/>
  <c r="AN3673" i="7"/>
  <c r="AG3673" i="7"/>
  <c r="F3673" i="7"/>
  <c r="D3673" i="7"/>
  <c r="V3655" i="7"/>
  <c r="AI4018" i="7"/>
  <c r="F4018" i="7"/>
  <c r="D4018" i="7"/>
  <c r="AN4018" i="7"/>
  <c r="AG4018" i="7"/>
  <c r="Y4018" i="7"/>
  <c r="Z4018" i="7" s="1"/>
  <c r="AE4018" i="7" s="1"/>
  <c r="AF4018" i="7" s="1"/>
  <c r="AN3655" i="7"/>
  <c r="AG3655" i="7"/>
  <c r="F3655" i="7"/>
  <c r="D3655" i="7"/>
  <c r="X3802" i="7"/>
  <c r="X3595" i="7"/>
  <c r="AN3716" i="7"/>
  <c r="AG3716" i="7"/>
  <c r="AI3716" i="7"/>
  <c r="F3716" i="7"/>
  <c r="D3716" i="7"/>
  <c r="V3691" i="7"/>
  <c r="AI3691" i="7" s="1"/>
  <c r="AN3691" i="7"/>
  <c r="F3691" i="7"/>
  <c r="D3691" i="7"/>
  <c r="V3610" i="7"/>
  <c r="AI3610" i="7" s="1"/>
  <c r="W3539" i="7"/>
  <c r="S6" i="11"/>
  <c r="W6" i="11"/>
  <c r="AI3790" i="7"/>
  <c r="AN3790" i="7"/>
  <c r="AG3790" i="7"/>
  <c r="F3790" i="7"/>
  <c r="D3790" i="7"/>
  <c r="AI3756" i="7"/>
  <c r="AN3756" i="7"/>
  <c r="AG3756" i="7"/>
  <c r="F3756" i="7"/>
  <c r="D3756" i="7"/>
  <c r="AN3760" i="7"/>
  <c r="AI3760" i="7"/>
  <c r="AG3760" i="7"/>
  <c r="Y3760" i="7"/>
  <c r="Z3760" i="7" s="1"/>
  <c r="F3760" i="7"/>
  <c r="D3760" i="7"/>
  <c r="AN3779" i="7"/>
  <c r="AI3779" i="7"/>
  <c r="AG3779" i="7"/>
  <c r="Y3779" i="7"/>
  <c r="Z3779" i="7" s="1"/>
  <c r="AA3779" i="7" s="1"/>
  <c r="F3779" i="7"/>
  <c r="D3779" i="7"/>
  <c r="AN3759" i="7"/>
  <c r="AI3759" i="7"/>
  <c r="AG3759" i="7"/>
  <c r="Y3759" i="7"/>
  <c r="Z3759" i="7" s="1"/>
  <c r="AE3759" i="7" s="1"/>
  <c r="AF3759" i="7" s="1"/>
  <c r="F3759" i="7"/>
  <c r="D3759" i="7"/>
  <c r="AN3758" i="7"/>
  <c r="AI3758" i="7"/>
  <c r="AG3758" i="7"/>
  <c r="Y3758" i="7"/>
  <c r="Z3758" i="7" s="1"/>
  <c r="F3758" i="7"/>
  <c r="D3758" i="7"/>
  <c r="Y3790" i="7"/>
  <c r="Z3790" i="7" s="1"/>
  <c r="Y3756" i="7"/>
  <c r="Z3756" i="7" s="1"/>
  <c r="AE3756" i="7" s="1"/>
  <c r="AF3756" i="7" s="1"/>
  <c r="W2792" i="7"/>
  <c r="W2835" i="7"/>
  <c r="X2856" i="7"/>
  <c r="X2920" i="7"/>
  <c r="X3099" i="7"/>
  <c r="W3184" i="7"/>
  <c r="W3160" i="7"/>
  <c r="Y3160" i="7" s="1"/>
  <c r="Z3160" i="7" s="1"/>
  <c r="W3552" i="7"/>
  <c r="W3560" i="7"/>
  <c r="X3492" i="7"/>
  <c r="X3488" i="7"/>
  <c r="W3475" i="7"/>
  <c r="Y3475" i="7" s="1"/>
  <c r="Z3475" i="7" s="1"/>
  <c r="X3469" i="7"/>
  <c r="W3206" i="7"/>
  <c r="Y3206" i="7" s="1"/>
  <c r="Z3206" i="7" s="1"/>
  <c r="AN3920" i="7"/>
  <c r="AM3920" i="7"/>
  <c r="AA3920" i="7"/>
  <c r="F3920" i="7"/>
  <c r="D3920" i="7"/>
  <c r="AN3918" i="7"/>
  <c r="AM3918" i="7"/>
  <c r="AA3918" i="7"/>
  <c r="F3918" i="7"/>
  <c r="D3918" i="7"/>
  <c r="AN3909" i="7"/>
  <c r="AM3909" i="7"/>
  <c r="AA3909" i="7"/>
  <c r="F3909" i="7"/>
  <c r="D3909" i="7"/>
  <c r="AN3896" i="7"/>
  <c r="AM3896" i="7"/>
  <c r="AA3896" i="7"/>
  <c r="F3896" i="7"/>
  <c r="D3896" i="7"/>
  <c r="AN3895" i="7"/>
  <c r="AM3895" i="7"/>
  <c r="AA3895" i="7"/>
  <c r="F3895" i="7"/>
  <c r="D3895" i="7"/>
  <c r="AN3893" i="7"/>
  <c r="AM3893" i="7"/>
  <c r="AA3893" i="7"/>
  <c r="F3893" i="7"/>
  <c r="D3893" i="7"/>
  <c r="AN3891" i="7"/>
  <c r="AM3891" i="7"/>
  <c r="AA3891" i="7"/>
  <c r="F3891" i="7"/>
  <c r="D3891" i="7"/>
  <c r="AN3888" i="7"/>
  <c r="AM3888" i="7"/>
  <c r="AA3888" i="7"/>
  <c r="F3888" i="7"/>
  <c r="D3888" i="7"/>
  <c r="AN3860" i="7"/>
  <c r="AM3860" i="7"/>
  <c r="AA3860" i="7"/>
  <c r="F3860" i="7"/>
  <c r="D3860" i="7"/>
  <c r="AN3827" i="7"/>
  <c r="AM3827" i="7"/>
  <c r="AA3827" i="7"/>
  <c r="F3827" i="7"/>
  <c r="D3827" i="7"/>
  <c r="V3697" i="7"/>
  <c r="F3697" i="7"/>
  <c r="D3697" i="7"/>
  <c r="F3676" i="7"/>
  <c r="D3676" i="7"/>
  <c r="W3609" i="7"/>
  <c r="V3609" i="7"/>
  <c r="AI3609" i="7" s="1"/>
  <c r="X3597" i="7"/>
  <c r="F4033" i="7"/>
  <c r="D4033" i="7"/>
  <c r="F4030" i="7"/>
  <c r="D4030" i="7"/>
  <c r="F4027" i="7"/>
  <c r="D4027" i="7"/>
  <c r="AN4033" i="7"/>
  <c r="AG4033" i="7"/>
  <c r="V4033" i="7"/>
  <c r="AI4033" i="7" s="1"/>
  <c r="AN4030" i="7"/>
  <c r="AG4030" i="7"/>
  <c r="V4030" i="7"/>
  <c r="AI4030" i="7" s="1"/>
  <c r="AN4027" i="7"/>
  <c r="AG4027" i="7"/>
  <c r="V4027" i="7"/>
  <c r="Y4027" i="7" s="1"/>
  <c r="Z4027" i="7" s="1"/>
  <c r="F4024" i="7"/>
  <c r="D4024" i="7"/>
  <c r="AN4024" i="7"/>
  <c r="AG4024" i="7"/>
  <c r="V4024" i="7"/>
  <c r="AI4024" i="7" s="1"/>
  <c r="V4021" i="7"/>
  <c r="Y4021" i="7" s="1"/>
  <c r="Z4021" i="7" s="1"/>
  <c r="F4021" i="7"/>
  <c r="D4021" i="7"/>
  <c r="AN4021" i="7"/>
  <c r="AG4021" i="7"/>
  <c r="AI4015" i="7"/>
  <c r="F4015" i="7"/>
  <c r="D4015" i="7"/>
  <c r="AN4015" i="7"/>
  <c r="AG4015" i="7"/>
  <c r="AN4012" i="7"/>
  <c r="AG4012" i="7"/>
  <c r="V4012" i="7"/>
  <c r="F4012" i="7"/>
  <c r="D4012" i="7"/>
  <c r="F3993" i="7"/>
  <c r="D3993" i="7"/>
  <c r="F3992" i="7"/>
  <c r="D3992" i="7"/>
  <c r="AI3993" i="7"/>
  <c r="AN3993" i="7"/>
  <c r="AG3993" i="7"/>
  <c r="AI3992" i="7"/>
  <c r="AN3992" i="7"/>
  <c r="AG3992" i="7"/>
  <c r="F3919" i="7"/>
  <c r="D3919" i="7"/>
  <c r="AN3919" i="7"/>
  <c r="AG3919" i="7"/>
  <c r="F3967" i="7"/>
  <c r="D3967" i="7"/>
  <c r="F3965" i="7"/>
  <c r="D3965" i="7"/>
  <c r="AI3967" i="7"/>
  <c r="AI3965" i="7"/>
  <c r="AN3965" i="7"/>
  <c r="AG3965" i="7"/>
  <c r="AN3967" i="7"/>
  <c r="AG3967" i="7"/>
  <c r="F3950" i="7"/>
  <c r="D3950" i="7"/>
  <c r="AN3950" i="7"/>
  <c r="AG3950" i="7"/>
  <c r="F3969" i="7"/>
  <c r="D3969" i="7"/>
  <c r="AN3969" i="7"/>
  <c r="AI3969" i="7"/>
  <c r="AG3969" i="7"/>
  <c r="Y3969" i="7"/>
  <c r="Z3969" i="7" s="1"/>
  <c r="F3960" i="7"/>
  <c r="D3960" i="7"/>
  <c r="V3960" i="7"/>
  <c r="AN3960" i="7"/>
  <c r="AG3960" i="7"/>
  <c r="F3982" i="7"/>
  <c r="D3982" i="7"/>
  <c r="AN3982" i="7"/>
  <c r="AG3982" i="7"/>
  <c r="F3980" i="7"/>
  <c r="D3980" i="7"/>
  <c r="AN3980" i="7"/>
  <c r="AG3980" i="7"/>
  <c r="F3978" i="7"/>
  <c r="D3978" i="7"/>
  <c r="AN3978" i="7"/>
  <c r="AG3978" i="7"/>
  <c r="F3949" i="7"/>
  <c r="D3949" i="7"/>
  <c r="V3949" i="7"/>
  <c r="AI3949" i="7" s="1"/>
  <c r="AN3949" i="7"/>
  <c r="AG3949" i="7"/>
  <c r="F3948" i="7"/>
  <c r="D3948" i="7"/>
  <c r="V3948" i="7"/>
  <c r="AN3948" i="7"/>
  <c r="AG3948" i="7"/>
  <c r="V4009" i="7"/>
  <c r="Y4009" i="7" s="1"/>
  <c r="Z4009" i="7" s="1"/>
  <c r="F4009" i="7"/>
  <c r="D4009" i="7"/>
  <c r="AN4009" i="7"/>
  <c r="V4006" i="7"/>
  <c r="AI4006" i="7" s="1"/>
  <c r="F4006" i="7"/>
  <c r="D4006" i="7"/>
  <c r="AN4006" i="7"/>
  <c r="AG4006" i="7"/>
  <c r="F4003" i="7"/>
  <c r="D4003" i="7"/>
  <c r="F4002" i="7"/>
  <c r="D4002" i="7"/>
  <c r="V4003" i="7"/>
  <c r="Y4003" i="7" s="1"/>
  <c r="Z4003" i="7" s="1"/>
  <c r="V4002" i="7"/>
  <c r="Y4002" i="7" s="1"/>
  <c r="Z4002" i="7" s="1"/>
  <c r="AN4003" i="7"/>
  <c r="AN4002" i="7"/>
  <c r="F3962" i="7"/>
  <c r="D3962" i="7"/>
  <c r="AN3962" i="7"/>
  <c r="AI3962" i="7"/>
  <c r="AG3962" i="7"/>
  <c r="Y3962" i="7"/>
  <c r="Z3962" i="7" s="1"/>
  <c r="V3972" i="7"/>
  <c r="F3975" i="7"/>
  <c r="D3975" i="7"/>
  <c r="F3972" i="7"/>
  <c r="D3972" i="7"/>
  <c r="AN3975" i="7"/>
  <c r="AG3975" i="7"/>
  <c r="AN3972" i="7"/>
  <c r="AG3972" i="7"/>
  <c r="V3959" i="7"/>
  <c r="F3959" i="7"/>
  <c r="D3959" i="7"/>
  <c r="AN3959" i="7"/>
  <c r="AG3959" i="7"/>
  <c r="V3931" i="7"/>
  <c r="F3931" i="7"/>
  <c r="D3931" i="7"/>
  <c r="AN3931" i="7"/>
  <c r="AG3931" i="7"/>
  <c r="F3936" i="7"/>
  <c r="D3936" i="7"/>
  <c r="AN3936" i="7"/>
  <c r="AG3936" i="7"/>
  <c r="F3939" i="7"/>
  <c r="D3939" i="7"/>
  <c r="AN3939" i="7"/>
  <c r="AG3939" i="7"/>
  <c r="V3932" i="7"/>
  <c r="AI3932" i="7" s="1"/>
  <c r="F3932" i="7"/>
  <c r="D3932" i="7"/>
  <c r="AN3932" i="7"/>
  <c r="AG3932" i="7"/>
  <c r="F3934" i="7"/>
  <c r="D3934" i="7"/>
  <c r="AN3934" i="7"/>
  <c r="AG3934" i="7"/>
  <c r="V3934" i="7"/>
  <c r="AI3934" i="7" s="1"/>
  <c r="Y3992" i="7"/>
  <c r="Z3992" i="7" s="1"/>
  <c r="Y4015" i="7"/>
  <c r="Z4015" i="7" s="1"/>
  <c r="AE4015" i="7" s="1"/>
  <c r="AF4015" i="7" s="1"/>
  <c r="Y3993" i="7"/>
  <c r="Z3993" i="7" s="1"/>
  <c r="AE3993" i="7" s="1"/>
  <c r="AF3993" i="7" s="1"/>
  <c r="Y3965" i="7"/>
  <c r="Z3965" i="7" s="1"/>
  <c r="Y3967" i="7"/>
  <c r="Z3967" i="7" s="1"/>
  <c r="V3676" i="7"/>
  <c r="AI3676" i="7" s="1"/>
  <c r="V3702" i="7"/>
  <c r="AN3676" i="7"/>
  <c r="AG3676" i="7"/>
  <c r="AN3697" i="7"/>
  <c r="AG3697" i="7"/>
  <c r="AN3702" i="7"/>
  <c r="AG3702" i="7"/>
  <c r="F3702" i="7"/>
  <c r="D3702" i="7"/>
  <c r="X3754" i="7"/>
  <c r="Y3754" i="7" s="1"/>
  <c r="Z3754" i="7" s="1"/>
  <c r="AA3754" i="7" s="1"/>
  <c r="X3616" i="7"/>
  <c r="AN3671" i="7"/>
  <c r="AG3671" i="7"/>
  <c r="F3671" i="7"/>
  <c r="D3671" i="7"/>
  <c r="D3699" i="7"/>
  <c r="F3699" i="7"/>
  <c r="V3699" i="7"/>
  <c r="AG3699" i="7"/>
  <c r="AN3699" i="7"/>
  <c r="V3811" i="7"/>
  <c r="Y3811" i="7" s="1"/>
  <c r="Z3811" i="7" s="1"/>
  <c r="F3800" i="7"/>
  <c r="D3800" i="7"/>
  <c r="F3812" i="7"/>
  <c r="D3812" i="7"/>
  <c r="AN3800" i="7"/>
  <c r="AG3800" i="7"/>
  <c r="V3800" i="7"/>
  <c r="Y3800" i="7" s="1"/>
  <c r="Z3800" i="7" s="1"/>
  <c r="AE3800" i="7" s="1"/>
  <c r="AF3800" i="7" s="1"/>
  <c r="AN3812" i="7"/>
  <c r="AG3812" i="7"/>
  <c r="V3812" i="7"/>
  <c r="Y3812" i="7" s="1"/>
  <c r="Z3812" i="7" s="1"/>
  <c r="AN3811" i="7"/>
  <c r="AG3811" i="7"/>
  <c r="AM3811" i="7" s="1"/>
  <c r="F3811" i="7"/>
  <c r="D3811" i="7"/>
  <c r="AI3755" i="7"/>
  <c r="AN3755" i="7"/>
  <c r="AG3755" i="7"/>
  <c r="F3755" i="7"/>
  <c r="D3755" i="7"/>
  <c r="Y3755" i="7"/>
  <c r="Z3755" i="7" s="1"/>
  <c r="X3622" i="7"/>
  <c r="X3625" i="7"/>
  <c r="W3624" i="7"/>
  <c r="Y3624" i="7" s="1"/>
  <c r="Z3624" i="7" s="1"/>
  <c r="W3623" i="7"/>
  <c r="Y3623" i="7" s="1"/>
  <c r="Z3623" i="7" s="1"/>
  <c r="AE3623" i="7" s="1"/>
  <c r="AF3623" i="7" s="1"/>
  <c r="W3625" i="7"/>
  <c r="W3587" i="7"/>
  <c r="AI3729" i="7"/>
  <c r="AI3730" i="7"/>
  <c r="Y3734" i="7"/>
  <c r="Z3734" i="7" s="1"/>
  <c r="AN3744" i="7"/>
  <c r="AM3744" i="7"/>
  <c r="AA3744" i="7"/>
  <c r="F3744" i="7"/>
  <c r="D3744" i="7"/>
  <c r="AN3772" i="7"/>
  <c r="AG3772" i="7"/>
  <c r="F3772" i="7"/>
  <c r="D3772" i="7"/>
  <c r="AG3770" i="7"/>
  <c r="AI3785" i="7"/>
  <c r="AN3785" i="7"/>
  <c r="AG3785" i="7"/>
  <c r="F3785" i="7"/>
  <c r="D3785" i="7"/>
  <c r="AN3791" i="7"/>
  <c r="AG3791" i="7"/>
  <c r="F3791" i="7"/>
  <c r="D3791" i="7"/>
  <c r="AN3729" i="7"/>
  <c r="AG3729" i="7"/>
  <c r="F3729" i="7"/>
  <c r="D3729" i="7"/>
  <c r="AG3727" i="7"/>
  <c r="AN3734" i="7"/>
  <c r="AG3734" i="7"/>
  <c r="F3734" i="7"/>
  <c r="D3734" i="7"/>
  <c r="AN3730" i="7"/>
  <c r="AG3730" i="7"/>
  <c r="F3730" i="7"/>
  <c r="D3730" i="7"/>
  <c r="AN3803" i="7"/>
  <c r="AM3803" i="7"/>
  <c r="AA3803" i="7"/>
  <c r="F3803" i="7"/>
  <c r="D3803" i="7"/>
  <c r="AN3783" i="7"/>
  <c r="AM3783" i="7"/>
  <c r="AA3783" i="7"/>
  <c r="F3783" i="7"/>
  <c r="D3783" i="7"/>
  <c r="AN3763" i="7"/>
  <c r="AM3763" i="7"/>
  <c r="AA3763" i="7"/>
  <c r="F3763" i="7"/>
  <c r="D3763" i="7"/>
  <c r="AN3745" i="7"/>
  <c r="AM3745" i="7"/>
  <c r="AA3745" i="7"/>
  <c r="F3745" i="7"/>
  <c r="D3745" i="7"/>
  <c r="Y3729" i="7"/>
  <c r="Z3729" i="7" s="1"/>
  <c r="Y3785" i="7"/>
  <c r="Z3785" i="7" s="1"/>
  <c r="AC3785" i="7" s="1"/>
  <c r="X3601" i="7"/>
  <c r="X3618" i="7"/>
  <c r="W3618" i="7"/>
  <c r="AN3605" i="7"/>
  <c r="AI3605" i="7"/>
  <c r="AG3605" i="7"/>
  <c r="Y3605" i="7"/>
  <c r="Z3605" i="7" s="1"/>
  <c r="AA3605" i="7" s="1"/>
  <c r="F3605" i="7"/>
  <c r="D3605" i="7"/>
  <c r="V3686" i="7"/>
  <c r="Y3686" i="7" s="1"/>
  <c r="Z3686" i="7" s="1"/>
  <c r="W3621" i="7"/>
  <c r="X3556" i="7"/>
  <c r="Y3556" i="7" s="1"/>
  <c r="Z3556" i="7" s="1"/>
  <c r="W3599" i="7"/>
  <c r="X3620" i="7"/>
  <c r="W3620" i="7"/>
  <c r="X3617" i="7"/>
  <c r="X3619" i="7"/>
  <c r="W3616" i="7"/>
  <c r="W3614" i="7"/>
  <c r="Y3614" i="7" s="1"/>
  <c r="Z3614" i="7" s="1"/>
  <c r="AN3797" i="7"/>
  <c r="AI3797" i="7"/>
  <c r="AG3797" i="7"/>
  <c r="F3797" i="7"/>
  <c r="D3797" i="7"/>
  <c r="AN3717" i="7"/>
  <c r="AI3717" i="7"/>
  <c r="AG3717" i="7"/>
  <c r="F3717" i="7"/>
  <c r="D3717" i="7"/>
  <c r="V3723" i="7"/>
  <c r="AI3723" i="7" s="1"/>
  <c r="AN3723" i="7"/>
  <c r="AG3723" i="7"/>
  <c r="F3723" i="7"/>
  <c r="D3723" i="7"/>
  <c r="AN3680" i="7"/>
  <c r="AG3680" i="7"/>
  <c r="F3680" i="7"/>
  <c r="D3680" i="7"/>
  <c r="F3679" i="7"/>
  <c r="D3679" i="7"/>
  <c r="AI3656" i="7"/>
  <c r="AN3656" i="7"/>
  <c r="AG3656" i="7"/>
  <c r="F3656" i="7"/>
  <c r="D3656" i="7"/>
  <c r="W3595" i="7"/>
  <c r="W3612" i="7"/>
  <c r="W3613" i="7"/>
  <c r="Y3613" i="7" s="1"/>
  <c r="Z3613" i="7" s="1"/>
  <c r="AC3613" i="7" s="1"/>
  <c r="W3603" i="7"/>
  <c r="Y3603" i="7" s="1"/>
  <c r="Z3603" i="7" s="1"/>
  <c r="AC3603" i="7" s="1"/>
  <c r="W3604" i="7"/>
  <c r="AN3617" i="7"/>
  <c r="AG3617" i="7"/>
  <c r="V3617" i="7"/>
  <c r="AI3617" i="7" s="1"/>
  <c r="F3617" i="7"/>
  <c r="D3617" i="7"/>
  <c r="X3580" i="7"/>
  <c r="W3579" i="7"/>
  <c r="Y3579" i="7" s="1"/>
  <c r="Z3579" i="7" s="1"/>
  <c r="AC3579" i="7" s="1"/>
  <c r="W3607" i="7"/>
  <c r="V3701" i="7"/>
  <c r="AI3701" i="7" s="1"/>
  <c r="AN3701" i="7"/>
  <c r="AG3701" i="7"/>
  <c r="F3701" i="7"/>
  <c r="D3701" i="7"/>
  <c r="V3651" i="7"/>
  <c r="AI3651" i="7" s="1"/>
  <c r="AN3651" i="7"/>
  <c r="AG3651" i="7"/>
  <c r="F3651" i="7"/>
  <c r="D3651" i="7"/>
  <c r="V3696" i="7"/>
  <c r="AI3696" i="7" s="1"/>
  <c r="AN3696" i="7"/>
  <c r="AG3696" i="7"/>
  <c r="F3696" i="7"/>
  <c r="D3696" i="7"/>
  <c r="W3601" i="7"/>
  <c r="W3600" i="7"/>
  <c r="W3598" i="7"/>
  <c r="X3596" i="7"/>
  <c r="X3594" i="7"/>
  <c r="W3594" i="7"/>
  <c r="X3573" i="7"/>
  <c r="AG193" i="4"/>
  <c r="AE193" i="4"/>
  <c r="W193" i="4"/>
  <c r="X193" i="4"/>
  <c r="AE192" i="4"/>
  <c r="V192" i="4"/>
  <c r="U192" i="4"/>
  <c r="T192" i="4"/>
  <c r="AG192" i="4" s="1"/>
  <c r="AH192" i="4" s="1"/>
  <c r="AE191" i="4"/>
  <c r="V191" i="4"/>
  <c r="T191" i="4"/>
  <c r="W191" i="4"/>
  <c r="X191" i="4"/>
  <c r="AG190" i="4"/>
  <c r="AE190" i="4"/>
  <c r="V190" i="4"/>
  <c r="U190" i="4"/>
  <c r="AG189" i="4"/>
  <c r="AE189" i="4"/>
  <c r="V189" i="4"/>
  <c r="W189" i="4"/>
  <c r="X189" i="4"/>
  <c r="AG188" i="4"/>
  <c r="AE188" i="4"/>
  <c r="V188" i="4"/>
  <c r="W188" i="4"/>
  <c r="X188" i="4"/>
  <c r="AG187" i="4"/>
  <c r="AE187" i="4"/>
  <c r="U187" i="4"/>
  <c r="W187" i="4" s="1"/>
  <c r="X187" i="4" s="1"/>
  <c r="AC187" i="4" s="1"/>
  <c r="AD187" i="4" s="1"/>
  <c r="AG186" i="4"/>
  <c r="AE186" i="4"/>
  <c r="U186" i="4"/>
  <c r="W186" i="4"/>
  <c r="X186" i="4" s="1"/>
  <c r="AC186" i="4" s="1"/>
  <c r="AD186" i="4" s="1"/>
  <c r="AG185" i="4"/>
  <c r="AE185" i="4"/>
  <c r="V185" i="4"/>
  <c r="U185" i="4"/>
  <c r="AG184" i="4"/>
  <c r="AE184" i="4"/>
  <c r="V184" i="4"/>
  <c r="U184" i="4"/>
  <c r="AG183" i="4"/>
  <c r="AH183" i="4"/>
  <c r="AE183" i="4"/>
  <c r="V183" i="4"/>
  <c r="W183" i="4"/>
  <c r="X183" i="4" s="1"/>
  <c r="AE182" i="4"/>
  <c r="T182" i="4"/>
  <c r="W182" i="4"/>
  <c r="X182" i="4"/>
  <c r="Y182" i="4"/>
  <c r="AG181" i="4"/>
  <c r="AE181" i="4"/>
  <c r="V181" i="4"/>
  <c r="W181" i="4" s="1"/>
  <c r="X181" i="4" s="1"/>
  <c r="AA181" i="4" s="1"/>
  <c r="AE180" i="4"/>
  <c r="V180" i="4"/>
  <c r="T180" i="4"/>
  <c r="AG180" i="4"/>
  <c r="AE179" i="4"/>
  <c r="V179" i="4"/>
  <c r="W179" i="4" s="1"/>
  <c r="X179" i="4" s="1"/>
  <c r="T179" i="4"/>
  <c r="AG179" i="4"/>
  <c r="AG178" i="4"/>
  <c r="AE178" i="4"/>
  <c r="V178" i="4"/>
  <c r="W178" i="4" s="1"/>
  <c r="X178" i="4" s="1"/>
  <c r="AF178" i="4" s="1"/>
  <c r="AG177" i="4"/>
  <c r="AE177" i="4"/>
  <c r="V177" i="4"/>
  <c r="W177" i="4"/>
  <c r="X177" i="4"/>
  <c r="AC177" i="4"/>
  <c r="AD177" i="4" s="1"/>
  <c r="AG176" i="4"/>
  <c r="AE176" i="4"/>
  <c r="V176" i="4"/>
  <c r="W176" i="4"/>
  <c r="X176" i="4"/>
  <c r="AE175" i="4"/>
  <c r="V175" i="4"/>
  <c r="T175" i="4"/>
  <c r="AE174" i="4"/>
  <c r="T174" i="4"/>
  <c r="AG174" i="4"/>
  <c r="AE173" i="4"/>
  <c r="T173" i="4"/>
  <c r="AG173" i="4"/>
  <c r="AG172" i="4"/>
  <c r="AE172" i="4"/>
  <c r="V172" i="4"/>
  <c r="W172" i="4" s="1"/>
  <c r="X172" i="4" s="1"/>
  <c r="AE171" i="4"/>
  <c r="V171" i="4"/>
  <c r="T171" i="4"/>
  <c r="AG171" i="4"/>
  <c r="AG170" i="4"/>
  <c r="AE170" i="4"/>
  <c r="V170" i="4"/>
  <c r="W170" i="4"/>
  <c r="X170" i="4"/>
  <c r="AG169" i="4"/>
  <c r="AE169" i="4"/>
  <c r="V169" i="4"/>
  <c r="W169" i="4" s="1"/>
  <c r="X169" i="4" s="1"/>
  <c r="AF169" i="4" s="1"/>
  <c r="AE168" i="4"/>
  <c r="V168" i="4"/>
  <c r="T168" i="4"/>
  <c r="AG168" i="4"/>
  <c r="AG167" i="4"/>
  <c r="AE167" i="4"/>
  <c r="V167" i="4"/>
  <c r="W167" i="4" s="1"/>
  <c r="X167" i="4" s="1"/>
  <c r="AE166" i="4"/>
  <c r="V166" i="4"/>
  <c r="T166" i="4"/>
  <c r="AG166" i="4"/>
  <c r="AG165" i="4"/>
  <c r="AE165" i="4"/>
  <c r="V165" i="4"/>
  <c r="W165" i="4" s="1"/>
  <c r="X165" i="4" s="1"/>
  <c r="AF165" i="4" s="1"/>
  <c r="AE164" i="4"/>
  <c r="V164" i="4"/>
  <c r="T164" i="4"/>
  <c r="AG164" i="4"/>
  <c r="AE163" i="4"/>
  <c r="V163" i="4"/>
  <c r="T163" i="4"/>
  <c r="AG163" i="4"/>
  <c r="AE162" i="4"/>
  <c r="V162" i="4"/>
  <c r="T162" i="4"/>
  <c r="AG162" i="4"/>
  <c r="AE161" i="4"/>
  <c r="V161" i="4"/>
  <c r="T161" i="4"/>
  <c r="AG161" i="4"/>
  <c r="AG160" i="4"/>
  <c r="AE160" i="4"/>
  <c r="V160" i="4"/>
  <c r="W160" i="4"/>
  <c r="X160" i="4" s="1"/>
  <c r="AC160" i="4" s="1"/>
  <c r="AE159" i="4"/>
  <c r="V159" i="4"/>
  <c r="T159" i="4"/>
  <c r="AG159" i="4"/>
  <c r="AE158" i="4"/>
  <c r="V158" i="4"/>
  <c r="W158" i="4" s="1"/>
  <c r="X158" i="4" s="1"/>
  <c r="T158" i="4"/>
  <c r="AG158" i="4" s="1"/>
  <c r="AG157" i="4"/>
  <c r="AE157" i="4"/>
  <c r="V157" i="4"/>
  <c r="W157" i="4"/>
  <c r="X157" i="4"/>
  <c r="AG156" i="4"/>
  <c r="AE156" i="4"/>
  <c r="V156" i="4"/>
  <c r="W156" i="4"/>
  <c r="X156" i="4"/>
  <c r="AE155" i="4"/>
  <c r="V155" i="4"/>
  <c r="T155" i="4"/>
  <c r="AG155" i="4" s="1"/>
  <c r="AG154" i="4"/>
  <c r="AE154" i="4"/>
  <c r="V154" i="4"/>
  <c r="W154" i="4"/>
  <c r="X154" i="4"/>
  <c r="AE153" i="4"/>
  <c r="V153" i="4"/>
  <c r="T153" i="4"/>
  <c r="AG153" i="4" s="1"/>
  <c r="AG152" i="4"/>
  <c r="AE152" i="4"/>
  <c r="V152" i="4"/>
  <c r="U152" i="4"/>
  <c r="AE151" i="4"/>
  <c r="T151" i="4"/>
  <c r="AG151" i="4" s="1"/>
  <c r="AG150" i="4"/>
  <c r="AE150" i="4"/>
  <c r="W150" i="4"/>
  <c r="X150" i="4"/>
  <c r="AG149" i="4"/>
  <c r="AE149" i="4"/>
  <c r="W149" i="4"/>
  <c r="X149" i="4" s="1"/>
  <c r="AG148" i="4"/>
  <c r="AE148" i="4"/>
  <c r="W148" i="4"/>
  <c r="X148" i="4"/>
  <c r="T147" i="4"/>
  <c r="W147" i="4" s="1"/>
  <c r="X147" i="4" s="1"/>
  <c r="AG147" i="4"/>
  <c r="AE147" i="4"/>
  <c r="AG146" i="4"/>
  <c r="AE146" i="4"/>
  <c r="W146" i="4"/>
  <c r="X146" i="4"/>
  <c r="Y146" i="4"/>
  <c r="AE145" i="4"/>
  <c r="T145" i="4"/>
  <c r="AG145" i="4" s="1"/>
  <c r="AE144" i="4"/>
  <c r="T144" i="4"/>
  <c r="W144" i="4"/>
  <c r="X144" i="4"/>
  <c r="AG142" i="4"/>
  <c r="AE142" i="4"/>
  <c r="W142" i="4"/>
  <c r="X142" i="4" s="1"/>
  <c r="AG141" i="4"/>
  <c r="AE141" i="4"/>
  <c r="V141" i="4"/>
  <c r="W141" i="4"/>
  <c r="X141" i="4"/>
  <c r="AE140" i="4"/>
  <c r="V140" i="4"/>
  <c r="T140" i="4"/>
  <c r="AG140" i="4" s="1"/>
  <c r="AE139" i="4"/>
  <c r="V139" i="4"/>
  <c r="T139" i="4"/>
  <c r="AG139" i="4"/>
  <c r="AG138" i="4"/>
  <c r="AE138" i="4"/>
  <c r="V138" i="4"/>
  <c r="W138" i="4" s="1"/>
  <c r="X138" i="4" s="1"/>
  <c r="AC138" i="4" s="1"/>
  <c r="AD138" i="4" s="1"/>
  <c r="AG137" i="4"/>
  <c r="AE137" i="4"/>
  <c r="W137" i="4"/>
  <c r="X137" i="4" s="1"/>
  <c r="AE136" i="4"/>
  <c r="T136" i="4"/>
  <c r="W136" i="4"/>
  <c r="X136" i="4"/>
  <c r="AE135" i="4"/>
  <c r="V135" i="4"/>
  <c r="T135" i="4"/>
  <c r="AG135" i="4" s="1"/>
  <c r="AG134" i="4"/>
  <c r="AE134" i="4"/>
  <c r="W134" i="4"/>
  <c r="X134" i="4"/>
  <c r="AG133" i="4"/>
  <c r="AE133" i="4"/>
  <c r="W133" i="4"/>
  <c r="X133" i="4" s="1"/>
  <c r="AG132" i="4"/>
  <c r="AE132" i="4"/>
  <c r="W132" i="4"/>
  <c r="X132" i="4"/>
  <c r="AG131" i="4"/>
  <c r="AE131" i="4"/>
  <c r="W131" i="4"/>
  <c r="X131" i="4" s="1"/>
  <c r="AC131" i="4" s="1"/>
  <c r="AD131" i="4" s="1"/>
  <c r="AE130" i="4"/>
  <c r="V130" i="4"/>
  <c r="T130" i="4"/>
  <c r="AG129" i="4"/>
  <c r="AE129" i="4"/>
  <c r="W129" i="4"/>
  <c r="X129" i="4" s="1"/>
  <c r="AG128" i="4"/>
  <c r="AE128" i="4"/>
  <c r="T128" i="4"/>
  <c r="W128" i="4"/>
  <c r="X128" i="4"/>
  <c r="AE127" i="4"/>
  <c r="V127" i="4"/>
  <c r="T127" i="4"/>
  <c r="AG127" i="4"/>
  <c r="AG126" i="4"/>
  <c r="AE126" i="4"/>
  <c r="W126" i="4"/>
  <c r="X126" i="4"/>
  <c r="AG125" i="4"/>
  <c r="AE125" i="4"/>
  <c r="W125" i="4"/>
  <c r="X125" i="4"/>
  <c r="AG124" i="4"/>
  <c r="AE124" i="4"/>
  <c r="W124" i="4"/>
  <c r="X124" i="4"/>
  <c r="AC124" i="4" s="1"/>
  <c r="AD124" i="4" s="1"/>
  <c r="AG123" i="4"/>
  <c r="AE123" i="4"/>
  <c r="W123" i="4"/>
  <c r="X123" i="4"/>
  <c r="AG122" i="4"/>
  <c r="AE122" i="4"/>
  <c r="W122" i="4"/>
  <c r="X122" i="4" s="1"/>
  <c r="AE121" i="4"/>
  <c r="V121" i="4"/>
  <c r="T121" i="4"/>
  <c r="AG121" i="4"/>
  <c r="AG120" i="4"/>
  <c r="AE120" i="4"/>
  <c r="V120" i="4"/>
  <c r="W120" i="4" s="1"/>
  <c r="X120" i="4" s="1"/>
  <c r="AG119" i="4"/>
  <c r="AE119" i="4"/>
  <c r="V119" i="4"/>
  <c r="W119" i="4"/>
  <c r="X119" i="4"/>
  <c r="AG118" i="4"/>
  <c r="AE118" i="4"/>
  <c r="V118" i="4"/>
  <c r="W118" i="4"/>
  <c r="X118" i="4"/>
  <c r="AG117" i="4"/>
  <c r="AE117" i="4"/>
  <c r="U117" i="4"/>
  <c r="W117" i="4" s="1"/>
  <c r="X117" i="4" s="1"/>
  <c r="AC117" i="4" s="1"/>
  <c r="AD117" i="4" s="1"/>
  <c r="AG116" i="4"/>
  <c r="AE116" i="4"/>
  <c r="U116" i="4"/>
  <c r="W116" i="4"/>
  <c r="X116" i="4"/>
  <c r="AG115" i="4"/>
  <c r="AE115" i="4"/>
  <c r="W115" i="4"/>
  <c r="X115" i="4" s="1"/>
  <c r="AG114" i="4"/>
  <c r="AE114" i="4"/>
  <c r="W114" i="4"/>
  <c r="X114" i="4"/>
  <c r="AE113" i="4"/>
  <c r="T113" i="4"/>
  <c r="AG113" i="4" s="1"/>
  <c r="AG112" i="4"/>
  <c r="AE112" i="4"/>
  <c r="V112" i="4"/>
  <c r="U112" i="4"/>
  <c r="AE111" i="4"/>
  <c r="T111" i="4"/>
  <c r="AG111" i="4" s="1"/>
  <c r="AG110" i="4"/>
  <c r="AE110" i="4"/>
  <c r="V110" i="4"/>
  <c r="U110" i="4"/>
  <c r="AG109" i="4"/>
  <c r="AE109" i="4"/>
  <c r="W109" i="4"/>
  <c r="X109" i="4" s="1"/>
  <c r="AG108" i="4"/>
  <c r="AE108" i="4"/>
  <c r="V108" i="4"/>
  <c r="W108" i="4"/>
  <c r="X108" i="4"/>
  <c r="AE107" i="4"/>
  <c r="T107" i="4"/>
  <c r="W107" i="4" s="1"/>
  <c r="X107" i="4" s="1"/>
  <c r="AG106" i="4"/>
  <c r="AE106" i="4"/>
  <c r="V106" i="4"/>
  <c r="W106" i="4"/>
  <c r="X106" i="4"/>
  <c r="AG105" i="4"/>
  <c r="AE105" i="4"/>
  <c r="V105" i="4"/>
  <c r="W105" i="4" s="1"/>
  <c r="X105" i="4" s="1"/>
  <c r="AG104" i="4"/>
  <c r="AE104" i="4"/>
  <c r="W104" i="4"/>
  <c r="X104" i="4"/>
  <c r="AC104" i="4" s="1"/>
  <c r="AD104" i="4" s="1"/>
  <c r="AE103" i="4"/>
  <c r="T103" i="4"/>
  <c r="AG103" i="4"/>
  <c r="AG102" i="4"/>
  <c r="AE102" i="4"/>
  <c r="W102" i="4"/>
  <c r="X102" i="4" s="1"/>
  <c r="AC102" i="4" s="1"/>
  <c r="AD102" i="4" s="1"/>
  <c r="AE101" i="4"/>
  <c r="T101" i="4"/>
  <c r="W101" i="4"/>
  <c r="X101" i="4"/>
  <c r="AG100" i="4"/>
  <c r="AE100" i="4"/>
  <c r="W100" i="4"/>
  <c r="X100" i="4" s="1"/>
  <c r="AG99" i="4"/>
  <c r="AE99" i="4"/>
  <c r="V99" i="4"/>
  <c r="W99" i="4"/>
  <c r="X99" i="4"/>
  <c r="AE98" i="4"/>
  <c r="U98" i="4"/>
  <c r="T98" i="4"/>
  <c r="AG98" i="4"/>
  <c r="AG96" i="4"/>
  <c r="AE96" i="4"/>
  <c r="V96" i="4"/>
  <c r="W96" i="4"/>
  <c r="X96" i="4" s="1"/>
  <c r="AE95" i="4"/>
  <c r="T95" i="4"/>
  <c r="W95" i="4"/>
  <c r="X95" i="4"/>
  <c r="AG94" i="4"/>
  <c r="AE94" i="4"/>
  <c r="V94" i="4"/>
  <c r="W94" i="4" s="1"/>
  <c r="X94" i="4" s="1"/>
  <c r="AG93" i="4"/>
  <c r="AE93" i="4"/>
  <c r="W93" i="4"/>
  <c r="X93" i="4"/>
  <c r="AG92" i="4"/>
  <c r="AE92" i="4"/>
  <c r="W92" i="4"/>
  <c r="X92" i="4" s="1"/>
  <c r="AG91" i="4"/>
  <c r="AE91" i="4"/>
  <c r="W91" i="4"/>
  <c r="X91" i="4"/>
  <c r="AE90" i="4"/>
  <c r="T90" i="4"/>
  <c r="AG90" i="4" s="1"/>
  <c r="AG89" i="4"/>
  <c r="AE89" i="4"/>
  <c r="W89" i="4"/>
  <c r="X89" i="4"/>
  <c r="Y89" i="4"/>
  <c r="AG88" i="4"/>
  <c r="AE88" i="4"/>
  <c r="W88" i="4"/>
  <c r="X88" i="4" s="1"/>
  <c r="AG87" i="4"/>
  <c r="AE87" i="4"/>
  <c r="W87" i="4"/>
  <c r="X87" i="4"/>
  <c r="AG86" i="4"/>
  <c r="AE86" i="4"/>
  <c r="W86" i="4"/>
  <c r="X86" i="4" s="1"/>
  <c r="AG85" i="4"/>
  <c r="AE85" i="4"/>
  <c r="W85" i="4"/>
  <c r="X85" i="4"/>
  <c r="AG84" i="4"/>
  <c r="AE84" i="4"/>
  <c r="W84" i="4"/>
  <c r="X84" i="4" s="1"/>
  <c r="AE83" i="4"/>
  <c r="V83" i="4"/>
  <c r="T83" i="4"/>
  <c r="AG83" i="4"/>
  <c r="AG82" i="4"/>
  <c r="AE82" i="4"/>
  <c r="W82" i="4"/>
  <c r="X82" i="4"/>
  <c r="AC82" i="4"/>
  <c r="AD82" i="4"/>
  <c r="AE81" i="4"/>
  <c r="T81" i="4"/>
  <c r="W81" i="4" s="1"/>
  <c r="X81" i="4" s="1"/>
  <c r="AG80" i="4"/>
  <c r="AE80" i="4"/>
  <c r="V80" i="4"/>
  <c r="W80" i="4"/>
  <c r="X80" i="4"/>
  <c r="AG79" i="4"/>
  <c r="AE79" i="4"/>
  <c r="W79" i="4"/>
  <c r="X79" i="4" s="1"/>
  <c r="AG78" i="4"/>
  <c r="AE78" i="4"/>
  <c r="W78" i="4"/>
  <c r="X78" i="4"/>
  <c r="AG77" i="4"/>
  <c r="AE77" i="4"/>
  <c r="W77" i="4"/>
  <c r="X77" i="4" s="1"/>
  <c r="AC77" i="4" s="1"/>
  <c r="AD77" i="4" s="1"/>
  <c r="AG76" i="4"/>
  <c r="AE76" i="4"/>
  <c r="W76" i="4"/>
  <c r="X76" i="4"/>
  <c r="AC76" i="4"/>
  <c r="AD76" i="4" s="1"/>
  <c r="AE75" i="4"/>
  <c r="V75" i="4"/>
  <c r="T75" i="4"/>
  <c r="AG75" i="4"/>
  <c r="AG74" i="4"/>
  <c r="AE74" i="4"/>
  <c r="W74" i="4"/>
  <c r="X74" i="4" s="1"/>
  <c r="AA74" i="4" s="1"/>
  <c r="AG73" i="4"/>
  <c r="AE73" i="4"/>
  <c r="W73" i="4"/>
  <c r="X73" i="4"/>
  <c r="AE72" i="4"/>
  <c r="T72" i="4"/>
  <c r="AG72" i="4"/>
  <c r="AG71" i="4"/>
  <c r="AE71" i="4"/>
  <c r="W71" i="4"/>
  <c r="X71" i="4" s="1"/>
  <c r="AG70" i="4"/>
  <c r="AE70" i="4"/>
  <c r="W70" i="4"/>
  <c r="X70" i="4"/>
  <c r="AG69" i="4"/>
  <c r="AE69" i="4"/>
  <c r="W69" i="4"/>
  <c r="X69" i="4" s="1"/>
  <c r="AF69" i="4" s="1"/>
  <c r="AG68" i="4"/>
  <c r="AE68" i="4"/>
  <c r="W68" i="4"/>
  <c r="X68" i="4"/>
  <c r="AF68" i="4" s="1"/>
  <c r="AE67" i="4"/>
  <c r="T67" i="4"/>
  <c r="W67" i="4"/>
  <c r="X67" i="4"/>
  <c r="AG66" i="4"/>
  <c r="AE66" i="4"/>
  <c r="W66" i="4"/>
  <c r="X66" i="4" s="1"/>
  <c r="AG65" i="4"/>
  <c r="AE65" i="4"/>
  <c r="V65" i="4"/>
  <c r="W65" i="4"/>
  <c r="X65" i="4"/>
  <c r="AE64" i="4"/>
  <c r="T64" i="4"/>
  <c r="AG64" i="4" s="1"/>
  <c r="AG63" i="4"/>
  <c r="AE63" i="4"/>
  <c r="V63" i="4"/>
  <c r="W63" i="4"/>
  <c r="X63" i="4"/>
  <c r="AG62" i="4"/>
  <c r="AE62" i="4"/>
  <c r="V62" i="4"/>
  <c r="W62" i="4" s="1"/>
  <c r="X62" i="4" s="1"/>
  <c r="AG61" i="4"/>
  <c r="AE61" i="4"/>
  <c r="V61" i="4"/>
  <c r="W61" i="4"/>
  <c r="X61" i="4"/>
  <c r="AE60" i="4"/>
  <c r="V60" i="4"/>
  <c r="T60" i="4"/>
  <c r="AG59" i="4"/>
  <c r="AE59" i="4"/>
  <c r="V59" i="4"/>
  <c r="W59" i="4"/>
  <c r="X59" i="4"/>
  <c r="AG58" i="4"/>
  <c r="AE58" i="4"/>
  <c r="W58" i="4"/>
  <c r="X58" i="4" s="1"/>
  <c r="AE57" i="4"/>
  <c r="T57" i="4"/>
  <c r="W57" i="4"/>
  <c r="X57" i="4"/>
  <c r="AG56" i="4"/>
  <c r="AE56" i="4"/>
  <c r="W56" i="4"/>
  <c r="X56" i="4" s="1"/>
  <c r="AF56" i="4" s="1"/>
  <c r="AG55" i="4"/>
  <c r="AE55" i="4"/>
  <c r="W55" i="4"/>
  <c r="X55" i="4" s="1"/>
  <c r="AG54" i="4"/>
  <c r="AE54" i="4"/>
  <c r="V54" i="4"/>
  <c r="W54" i="4"/>
  <c r="X54" i="4"/>
  <c r="AG53" i="4"/>
  <c r="AE53" i="4"/>
  <c r="W53" i="4"/>
  <c r="X53" i="4" s="1"/>
  <c r="AA53" i="4" s="1"/>
  <c r="AG52" i="4"/>
  <c r="AE52" i="4"/>
  <c r="V52" i="4"/>
  <c r="W52" i="4"/>
  <c r="X52" i="4"/>
  <c r="AG51" i="4"/>
  <c r="AE51" i="4"/>
  <c r="U51" i="4"/>
  <c r="W51" i="4" s="1"/>
  <c r="X51" i="4" s="1"/>
  <c r="W49" i="4"/>
  <c r="X49" i="4"/>
  <c r="Y49" i="4"/>
  <c r="W48" i="4"/>
  <c r="X48" i="4" s="1"/>
  <c r="Y48" i="4" s="1"/>
  <c r="W47" i="4"/>
  <c r="X47" i="4" s="1"/>
  <c r="Y47" i="4" s="1"/>
  <c r="W46" i="4"/>
  <c r="X46" i="4"/>
  <c r="Y46" i="4"/>
  <c r="W45" i="4"/>
  <c r="X45" i="4" s="1"/>
  <c r="Y45" i="4" s="1"/>
  <c r="W44" i="4"/>
  <c r="X44" i="4"/>
  <c r="Y44" i="4"/>
  <c r="W43" i="4"/>
  <c r="X43" i="4"/>
  <c r="Y43" i="4" s="1"/>
  <c r="W42" i="4"/>
  <c r="X42" i="4" s="1"/>
  <c r="Y42" i="4" s="1"/>
  <c r="W41" i="4"/>
  <c r="X41" i="4"/>
  <c r="Y41" i="4"/>
  <c r="W40" i="4"/>
  <c r="X40" i="4" s="1"/>
  <c r="Y40" i="4" s="1"/>
  <c r="W39" i="4"/>
  <c r="X39" i="4" s="1"/>
  <c r="Y39" i="4" s="1"/>
  <c r="W38" i="4"/>
  <c r="X38" i="4"/>
  <c r="Y38" i="4"/>
  <c r="W37" i="4"/>
  <c r="X37" i="4" s="1"/>
  <c r="Y37" i="4" s="1"/>
  <c r="W36" i="4"/>
  <c r="X36" i="4"/>
  <c r="Y36" i="4"/>
  <c r="W35" i="4"/>
  <c r="X35" i="4"/>
  <c r="Y35" i="4" s="1"/>
  <c r="W34" i="4"/>
  <c r="X34" i="4" s="1"/>
  <c r="Y34" i="4" s="1"/>
  <c r="W33" i="4"/>
  <c r="X33" i="4"/>
  <c r="Y33" i="4"/>
  <c r="W32" i="4"/>
  <c r="X32" i="4" s="1"/>
  <c r="Y32" i="4" s="1"/>
  <c r="W31" i="4"/>
  <c r="X31" i="4" s="1"/>
  <c r="Y31" i="4" s="1"/>
  <c r="W30" i="4"/>
  <c r="X30" i="4"/>
  <c r="Y30" i="4"/>
  <c r="W29" i="4"/>
  <c r="X29" i="4" s="1"/>
  <c r="Y29" i="4" s="1"/>
  <c r="W28" i="4"/>
  <c r="X28" i="4"/>
  <c r="Y28" i="4"/>
  <c r="W27" i="4"/>
  <c r="X27" i="4"/>
  <c r="Y27" i="4" s="1"/>
  <c r="W26" i="4"/>
  <c r="X26" i="4" s="1"/>
  <c r="Y26" i="4" s="1"/>
  <c r="W25" i="4"/>
  <c r="X25" i="4"/>
  <c r="Y25" i="4"/>
  <c r="W24" i="4"/>
  <c r="X24" i="4" s="1"/>
  <c r="Y24" i="4" s="1"/>
  <c r="W23" i="4"/>
  <c r="X23" i="4" s="1"/>
  <c r="Y23" i="4" s="1"/>
  <c r="W22" i="4"/>
  <c r="X22" i="4"/>
  <c r="Y22" i="4"/>
  <c r="W21" i="4"/>
  <c r="X21" i="4" s="1"/>
  <c r="Y21" i="4" s="1"/>
  <c r="W20" i="4"/>
  <c r="X20" i="4"/>
  <c r="Y20" i="4"/>
  <c r="AG19" i="4"/>
  <c r="AE19" i="4"/>
  <c r="W19" i="4"/>
  <c r="X19" i="4" s="1"/>
  <c r="AG18" i="4"/>
  <c r="AE18" i="4"/>
  <c r="V18" i="4"/>
  <c r="W18" i="4"/>
  <c r="X18" i="4"/>
  <c r="AG17" i="4"/>
  <c r="AE17" i="4"/>
  <c r="W17" i="4"/>
  <c r="X17" i="4" s="1"/>
  <c r="AF17" i="4" s="1"/>
  <c r="AG16" i="4"/>
  <c r="AE16" i="4"/>
  <c r="W16" i="4"/>
  <c r="X16" i="4"/>
  <c r="Y16" i="4"/>
  <c r="AG15" i="4"/>
  <c r="AE15" i="4"/>
  <c r="W15" i="4"/>
  <c r="X15" i="4"/>
  <c r="AG14" i="4"/>
  <c r="AE14" i="4"/>
  <c r="W14" i="4"/>
  <c r="X14" i="4"/>
  <c r="AE13" i="4"/>
  <c r="T13" i="4"/>
  <c r="W13" i="4"/>
  <c r="X13" i="4" s="1"/>
  <c r="AG12" i="4"/>
  <c r="AE12" i="4"/>
  <c r="W12" i="4"/>
  <c r="X12" i="4"/>
  <c r="AG11" i="4"/>
  <c r="AE11" i="4"/>
  <c r="W11" i="4"/>
  <c r="X11" i="4" s="1"/>
  <c r="AG10" i="4"/>
  <c r="AE10" i="4"/>
  <c r="V10" i="4"/>
  <c r="W10" i="4"/>
  <c r="X10" i="4" s="1"/>
  <c r="AE9" i="4"/>
  <c r="V9" i="4"/>
  <c r="U9" i="4"/>
  <c r="T9" i="4"/>
  <c r="AG9" i="4"/>
  <c r="AE7" i="4"/>
  <c r="V7" i="4"/>
  <c r="T7" i="4"/>
  <c r="AG7" i="4" s="1"/>
  <c r="AG6" i="4"/>
  <c r="AE6" i="4"/>
  <c r="V6" i="4"/>
  <c r="W6" i="4"/>
  <c r="X6" i="4"/>
  <c r="AG5" i="4"/>
  <c r="AE5" i="4"/>
  <c r="V5" i="4"/>
  <c r="W5" i="4" s="1"/>
  <c r="X5" i="4" s="1"/>
  <c r="AG4" i="4"/>
  <c r="AE4" i="4"/>
  <c r="V4" i="4"/>
  <c r="W4" i="4"/>
  <c r="X4" i="4" s="1"/>
  <c r="AF4" i="4" s="1"/>
  <c r="E4" i="8"/>
  <c r="E29" i="8"/>
  <c r="H72" i="10"/>
  <c r="H71" i="10"/>
  <c r="H70" i="10"/>
  <c r="H69" i="10"/>
  <c r="H66" i="10"/>
  <c r="H65" i="10"/>
  <c r="H64" i="10"/>
  <c r="H60" i="10"/>
  <c r="H59" i="10"/>
  <c r="H58" i="10"/>
  <c r="H57" i="10"/>
  <c r="H54" i="10"/>
  <c r="H53" i="10"/>
  <c r="H52" i="10"/>
  <c r="H49" i="10"/>
  <c r="H48" i="10"/>
  <c r="H45" i="10"/>
  <c r="H44" i="10"/>
  <c r="H43" i="10"/>
  <c r="H42" i="10"/>
  <c r="H41" i="10"/>
  <c r="H40" i="10"/>
  <c r="H37" i="10"/>
  <c r="H36" i="10"/>
  <c r="H35" i="10"/>
  <c r="H34" i="10"/>
  <c r="H31" i="10"/>
  <c r="H30" i="10"/>
  <c r="H29" i="10"/>
  <c r="H28" i="10"/>
  <c r="H25" i="10"/>
  <c r="H24" i="10"/>
  <c r="H23" i="10"/>
  <c r="H22" i="10"/>
  <c r="H21" i="10"/>
  <c r="H19" i="10"/>
  <c r="H17" i="10"/>
  <c r="H16" i="10"/>
  <c r="H15" i="10"/>
  <c r="H12" i="10"/>
  <c r="H11" i="10"/>
  <c r="H10" i="10"/>
  <c r="H9" i="10"/>
  <c r="H6" i="10"/>
  <c r="AC32" i="9"/>
  <c r="AB32" i="9"/>
  <c r="AC31" i="9"/>
  <c r="AB31" i="9"/>
  <c r="AC30" i="9"/>
  <c r="AB30" i="9"/>
  <c r="AC29" i="9"/>
  <c r="AB29" i="9"/>
  <c r="AK22" i="9"/>
  <c r="AJ22" i="9"/>
  <c r="AB22" i="9"/>
  <c r="AK21" i="9"/>
  <c r="AF21" i="9"/>
  <c r="AD21" i="9"/>
  <c r="Z21" i="9"/>
  <c r="V21" i="9"/>
  <c r="W21" i="9"/>
  <c r="AK20" i="9"/>
  <c r="AD20" i="9"/>
  <c r="T20" i="9"/>
  <c r="S20" i="9"/>
  <c r="AF20" i="9"/>
  <c r="AK19" i="9"/>
  <c r="AD19" i="9"/>
  <c r="S19" i="9"/>
  <c r="Z19" i="9" s="1"/>
  <c r="U19" i="9"/>
  <c r="T19" i="9"/>
  <c r="AK18" i="9"/>
  <c r="AD18" i="9"/>
  <c r="T18" i="9"/>
  <c r="S18" i="9"/>
  <c r="AK17" i="9"/>
  <c r="AD17" i="9"/>
  <c r="T17" i="9"/>
  <c r="S17" i="9"/>
  <c r="Z17" i="9"/>
  <c r="AK16" i="9"/>
  <c r="AD16" i="9"/>
  <c r="T16" i="9"/>
  <c r="S16" i="9"/>
  <c r="AF16" i="9" s="1"/>
  <c r="AK15" i="9"/>
  <c r="AD15" i="9"/>
  <c r="S15" i="9"/>
  <c r="AK14" i="9"/>
  <c r="AD14" i="9"/>
  <c r="S14" i="9"/>
  <c r="AK13" i="9"/>
  <c r="AD13" i="9"/>
  <c r="T13" i="9"/>
  <c r="S13" i="9"/>
  <c r="AF13" i="9"/>
  <c r="AK12" i="9"/>
  <c r="AD12" i="9"/>
  <c r="T12" i="9"/>
  <c r="S12" i="9"/>
  <c r="AK11" i="9"/>
  <c r="AF11" i="9"/>
  <c r="AD11" i="9"/>
  <c r="Z11" i="9"/>
  <c r="T11" i="9"/>
  <c r="V11" i="9"/>
  <c r="W11" i="9"/>
  <c r="AK10" i="9"/>
  <c r="AD10" i="9"/>
  <c r="T10" i="9"/>
  <c r="S10" i="9"/>
  <c r="AK9" i="9"/>
  <c r="AD9" i="9"/>
  <c r="T9" i="9"/>
  <c r="S9" i="9"/>
  <c r="AK8" i="9"/>
  <c r="AD8" i="9"/>
  <c r="S8" i="9"/>
  <c r="V8" i="9"/>
  <c r="W8" i="9"/>
  <c r="AB8" i="9"/>
  <c r="AC8" i="9"/>
  <c r="AK7" i="9"/>
  <c r="AF7" i="9"/>
  <c r="AD7" i="9"/>
  <c r="Z7" i="9"/>
  <c r="T7" i="9"/>
  <c r="V7" i="9"/>
  <c r="W7" i="9"/>
  <c r="AK6" i="9"/>
  <c r="AD6" i="9"/>
  <c r="S6" i="9"/>
  <c r="AK5" i="9"/>
  <c r="AF5" i="9"/>
  <c r="AD5" i="9"/>
  <c r="Z5" i="9"/>
  <c r="U5" i="9"/>
  <c r="T5" i="9"/>
  <c r="F3" i="9"/>
  <c r="I13" i="12"/>
  <c r="G13" i="12"/>
  <c r="H13" i="12" s="1"/>
  <c r="I11" i="12"/>
  <c r="G11" i="12"/>
  <c r="H11" i="12"/>
  <c r="I7" i="12"/>
  <c r="G7" i="12"/>
  <c r="H7" i="12" s="1"/>
  <c r="J7" i="12" s="1"/>
  <c r="I6" i="12"/>
  <c r="H6" i="12"/>
  <c r="G6" i="12"/>
  <c r="I5" i="12"/>
  <c r="H5" i="12"/>
  <c r="G5" i="12"/>
  <c r="I4" i="12"/>
  <c r="H4" i="12"/>
  <c r="G4" i="12"/>
  <c r="I3" i="12"/>
  <c r="G3" i="12"/>
  <c r="H3" i="12"/>
  <c r="I2" i="12"/>
  <c r="G2" i="12"/>
  <c r="H2" i="12"/>
  <c r="AN4071" i="7"/>
  <c r="AM4071" i="7"/>
  <c r="AA4071" i="7"/>
  <c r="F4071" i="7"/>
  <c r="D4071" i="7"/>
  <c r="AN4070" i="7"/>
  <c r="AI4070" i="7"/>
  <c r="AG4070" i="7"/>
  <c r="Y4070" i="7"/>
  <c r="Z4070" i="7" s="1"/>
  <c r="F4070" i="7"/>
  <c r="D4070" i="7"/>
  <c r="AN4069" i="7"/>
  <c r="AI4069" i="7"/>
  <c r="AG4069" i="7"/>
  <c r="Y4069" i="7"/>
  <c r="Z4069" i="7" s="1"/>
  <c r="F4069" i="7"/>
  <c r="D4069" i="7"/>
  <c r="AN4068" i="7"/>
  <c r="AI4068" i="7"/>
  <c r="AG4068" i="7"/>
  <c r="Y4068" i="7"/>
  <c r="Z4068" i="7" s="1"/>
  <c r="F4068" i="7"/>
  <c r="D4068" i="7"/>
  <c r="AN4067" i="7"/>
  <c r="AI4067" i="7"/>
  <c r="AG4067" i="7"/>
  <c r="Y4067" i="7"/>
  <c r="Z4067" i="7" s="1"/>
  <c r="AE4067" i="7" s="1"/>
  <c r="AF4067" i="7" s="1"/>
  <c r="F4067" i="7"/>
  <c r="D4067" i="7"/>
  <c r="AN4066" i="7"/>
  <c r="AI4066" i="7"/>
  <c r="AG4066" i="7"/>
  <c r="Y4066" i="7"/>
  <c r="Z4066" i="7" s="1"/>
  <c r="F4066" i="7"/>
  <c r="D4066" i="7"/>
  <c r="AN4065" i="7"/>
  <c r="AI4065" i="7"/>
  <c r="AG4065" i="7"/>
  <c r="Y4065" i="7"/>
  <c r="Z4065" i="7" s="1"/>
  <c r="F4065" i="7"/>
  <c r="D4065" i="7"/>
  <c r="AN4064" i="7"/>
  <c r="AI4064" i="7"/>
  <c r="AG4064" i="7"/>
  <c r="Y4064" i="7"/>
  <c r="Z4064" i="7" s="1"/>
  <c r="F4064" i="7"/>
  <c r="D4064" i="7"/>
  <c r="AN4063" i="7"/>
  <c r="AI4063" i="7"/>
  <c r="AG4063" i="7"/>
  <c r="Y4063" i="7"/>
  <c r="Z4063" i="7" s="1"/>
  <c r="AH4063" i="7" s="1"/>
  <c r="F4063" i="7"/>
  <c r="D4063" i="7"/>
  <c r="AN4062" i="7"/>
  <c r="AI4062" i="7"/>
  <c r="AG4062" i="7"/>
  <c r="Y4062" i="7"/>
  <c r="Z4062" i="7" s="1"/>
  <c r="F4062" i="7"/>
  <c r="D4062" i="7"/>
  <c r="AN4061" i="7"/>
  <c r="AI4061" i="7"/>
  <c r="AG4061" i="7"/>
  <c r="Y4061" i="7"/>
  <c r="Z4061" i="7" s="1"/>
  <c r="F4061" i="7"/>
  <c r="D4061" i="7"/>
  <c r="AN4060" i="7"/>
  <c r="AI4060" i="7"/>
  <c r="AG4060" i="7"/>
  <c r="Y4060" i="7"/>
  <c r="Z4060" i="7" s="1"/>
  <c r="F4060" i="7"/>
  <c r="D4060" i="7"/>
  <c r="AN4059" i="7"/>
  <c r="AI4059" i="7"/>
  <c r="AG4059" i="7"/>
  <c r="Y4059" i="7"/>
  <c r="Z4059" i="7" s="1"/>
  <c r="AC4059" i="7" s="1"/>
  <c r="F4059" i="7"/>
  <c r="D4059" i="7"/>
  <c r="AN4058" i="7"/>
  <c r="AI4058" i="7"/>
  <c r="AG4058" i="7"/>
  <c r="Y4058" i="7"/>
  <c r="Z4058" i="7" s="1"/>
  <c r="F4058" i="7"/>
  <c r="D4058" i="7"/>
  <c r="AN4057" i="7"/>
  <c r="AI4057" i="7"/>
  <c r="AG4057" i="7"/>
  <c r="Y4057" i="7"/>
  <c r="Z4057" i="7" s="1"/>
  <c r="F4057" i="7"/>
  <c r="D4057" i="7"/>
  <c r="AN4056" i="7"/>
  <c r="AI4056" i="7"/>
  <c r="AG4056" i="7"/>
  <c r="Y4056" i="7"/>
  <c r="Z4056" i="7" s="1"/>
  <c r="F4056" i="7"/>
  <c r="D4056" i="7"/>
  <c r="AN4055" i="7"/>
  <c r="AI4055" i="7"/>
  <c r="AG4055" i="7"/>
  <c r="Y4055" i="7"/>
  <c r="Z4055" i="7" s="1"/>
  <c r="AA4055" i="7" s="1"/>
  <c r="F4055" i="7"/>
  <c r="D4055" i="7"/>
  <c r="AN4054" i="7"/>
  <c r="AI4054" i="7"/>
  <c r="AG4054" i="7"/>
  <c r="Y4054" i="7"/>
  <c r="Z4054" i="7" s="1"/>
  <c r="F4054" i="7"/>
  <c r="D4054" i="7"/>
  <c r="AN4053" i="7"/>
  <c r="AI4053" i="7"/>
  <c r="AG4053" i="7"/>
  <c r="Y4053" i="7"/>
  <c r="Z4053" i="7" s="1"/>
  <c r="F4053" i="7"/>
  <c r="D4053" i="7"/>
  <c r="AN4052" i="7"/>
  <c r="AI4052" i="7"/>
  <c r="AG4052" i="7"/>
  <c r="Y4052" i="7"/>
  <c r="Z4052" i="7" s="1"/>
  <c r="F4052" i="7"/>
  <c r="D4052" i="7"/>
  <c r="AN4051" i="7"/>
  <c r="AI4051" i="7"/>
  <c r="AG4051" i="7"/>
  <c r="Y4051" i="7"/>
  <c r="Z4051" i="7" s="1"/>
  <c r="AA4051" i="7" s="1"/>
  <c r="F4051" i="7"/>
  <c r="D4051" i="7"/>
  <c r="AN4050" i="7"/>
  <c r="AI4050" i="7"/>
  <c r="AG4050" i="7"/>
  <c r="Y4050" i="7"/>
  <c r="Z4050" i="7" s="1"/>
  <c r="F4050" i="7"/>
  <c r="D4050" i="7"/>
  <c r="AN4049" i="7"/>
  <c r="AI4049" i="7"/>
  <c r="AG4049" i="7"/>
  <c r="Y4049" i="7"/>
  <c r="Z4049" i="7" s="1"/>
  <c r="F4049" i="7"/>
  <c r="D4049" i="7"/>
  <c r="AN4048" i="7"/>
  <c r="AI4048" i="7"/>
  <c r="AG4048" i="7"/>
  <c r="Y4048" i="7"/>
  <c r="Z4048" i="7" s="1"/>
  <c r="F4048" i="7"/>
  <c r="D4048" i="7"/>
  <c r="AN4047" i="7"/>
  <c r="AI4047" i="7"/>
  <c r="AG4047" i="7"/>
  <c r="Y4047" i="7"/>
  <c r="Z4047" i="7" s="1"/>
  <c r="AH4047" i="7" s="1"/>
  <c r="F4047" i="7"/>
  <c r="D4047" i="7"/>
  <c r="AN4046" i="7"/>
  <c r="AI4046" i="7"/>
  <c r="AG4046" i="7"/>
  <c r="Y4046" i="7"/>
  <c r="Z4046" i="7" s="1"/>
  <c r="F4046" i="7"/>
  <c r="D4046" i="7"/>
  <c r="AN4045" i="7"/>
  <c r="AI4045" i="7"/>
  <c r="AG4045" i="7"/>
  <c r="Y4045" i="7"/>
  <c r="Z4045" i="7" s="1"/>
  <c r="F4045" i="7"/>
  <c r="D4045" i="7"/>
  <c r="AN4044" i="7"/>
  <c r="AI4044" i="7"/>
  <c r="AG4044" i="7"/>
  <c r="Y4044" i="7"/>
  <c r="Z4044" i="7" s="1"/>
  <c r="F4044" i="7"/>
  <c r="D4044" i="7"/>
  <c r="AN4043" i="7"/>
  <c r="AI4043" i="7"/>
  <c r="AG4043" i="7"/>
  <c r="Y4043" i="7"/>
  <c r="Z4043" i="7" s="1"/>
  <c r="AM4043" i="7" s="1"/>
  <c r="F4043" i="7"/>
  <c r="D4043" i="7"/>
  <c r="AN4042" i="7"/>
  <c r="AI4042" i="7"/>
  <c r="AG4042" i="7"/>
  <c r="Y4042" i="7"/>
  <c r="Z4042" i="7" s="1"/>
  <c r="F4042" i="7"/>
  <c r="D4042" i="7"/>
  <c r="AN4041" i="7"/>
  <c r="AI4041" i="7"/>
  <c r="AG4041" i="7"/>
  <c r="Y4041" i="7"/>
  <c r="Z4041" i="7" s="1"/>
  <c r="F4041" i="7"/>
  <c r="D4041" i="7"/>
  <c r="AN4040" i="7"/>
  <c r="AI4040" i="7"/>
  <c r="AG4040" i="7"/>
  <c r="Y4040" i="7"/>
  <c r="Z4040" i="7" s="1"/>
  <c r="F4040" i="7"/>
  <c r="D4040" i="7"/>
  <c r="AN4039" i="7"/>
  <c r="AI4039" i="7"/>
  <c r="AG4039" i="7"/>
  <c r="Y4039" i="7"/>
  <c r="Z4039" i="7" s="1"/>
  <c r="AH4039" i="7" s="1"/>
  <c r="F4039" i="7"/>
  <c r="D4039" i="7"/>
  <c r="AN4038" i="7"/>
  <c r="AI4038" i="7"/>
  <c r="AG4038" i="7"/>
  <c r="Y4038" i="7"/>
  <c r="Z4038" i="7" s="1"/>
  <c r="F4038" i="7"/>
  <c r="D4038" i="7"/>
  <c r="AN4037" i="7"/>
  <c r="AI4037" i="7"/>
  <c r="AG4037" i="7"/>
  <c r="Y4037" i="7"/>
  <c r="Z4037" i="7" s="1"/>
  <c r="F4037" i="7"/>
  <c r="D4037" i="7"/>
  <c r="AN4036" i="7"/>
  <c r="AI4036" i="7"/>
  <c r="AG4036" i="7"/>
  <c r="Y4036" i="7"/>
  <c r="Z4036" i="7" s="1"/>
  <c r="F4036" i="7"/>
  <c r="D4036" i="7"/>
  <c r="AN3961" i="7"/>
  <c r="AI3961" i="7"/>
  <c r="AG3961" i="7"/>
  <c r="Y3961" i="7"/>
  <c r="Z3961" i="7" s="1"/>
  <c r="AC3961" i="7" s="1"/>
  <c r="F3961" i="7"/>
  <c r="D3961" i="7"/>
  <c r="AN3841" i="7"/>
  <c r="AI3841" i="7"/>
  <c r="AG3841" i="7"/>
  <c r="Y3841" i="7"/>
  <c r="Z3841" i="7" s="1"/>
  <c r="F3841" i="7"/>
  <c r="D3841" i="7"/>
  <c r="AN3796" i="7"/>
  <c r="AI3796" i="7"/>
  <c r="AG3796" i="7"/>
  <c r="Y3796" i="7"/>
  <c r="Z3796" i="7" s="1"/>
  <c r="F3796" i="7"/>
  <c r="D3796" i="7"/>
  <c r="AN3840" i="7"/>
  <c r="AI3840" i="7"/>
  <c r="AG3840" i="7"/>
  <c r="Y3840" i="7"/>
  <c r="Z3840" i="7" s="1"/>
  <c r="F3840" i="7"/>
  <c r="D3840" i="7"/>
  <c r="AN3839" i="7"/>
  <c r="AI3839" i="7"/>
  <c r="AG3839" i="7"/>
  <c r="Y3839" i="7"/>
  <c r="Z3839" i="7" s="1"/>
  <c r="AA3839" i="7" s="1"/>
  <c r="F3839" i="7"/>
  <c r="D3839" i="7"/>
  <c r="AN3795" i="7"/>
  <c r="AI3795" i="7"/>
  <c r="AG3795" i="7"/>
  <c r="Y3795" i="7"/>
  <c r="Z3795" i="7" s="1"/>
  <c r="F3795" i="7"/>
  <c r="D3795" i="7"/>
  <c r="AN3794" i="7"/>
  <c r="AI3794" i="7"/>
  <c r="AG3794" i="7"/>
  <c r="Y3794" i="7"/>
  <c r="Z3794" i="7" s="1"/>
  <c r="F3794" i="7"/>
  <c r="D3794" i="7"/>
  <c r="AN3764" i="7"/>
  <c r="AG3764" i="7"/>
  <c r="F3764" i="7"/>
  <c r="D3764" i="7"/>
  <c r="AN3669" i="7"/>
  <c r="AI3669" i="7"/>
  <c r="AG3669" i="7"/>
  <c r="F3669" i="7"/>
  <c r="D3669" i="7"/>
  <c r="AN3929" i="7"/>
  <c r="AM3929" i="7"/>
  <c r="AA3929" i="7"/>
  <c r="F3929" i="7"/>
  <c r="D3929" i="7"/>
  <c r="AN3859" i="7"/>
  <c r="AG3859" i="7"/>
  <c r="V3859" i="7"/>
  <c r="AI3859" i="7" s="1"/>
  <c r="F3859" i="7"/>
  <c r="D3859" i="7"/>
  <c r="AN3925" i="7"/>
  <c r="AM3925" i="7"/>
  <c r="AA3925" i="7"/>
  <c r="F3925" i="7"/>
  <c r="D3925" i="7"/>
  <c r="AN3924" i="7"/>
  <c r="AM3924" i="7"/>
  <c r="AA3924" i="7"/>
  <c r="F3924" i="7"/>
  <c r="D3924" i="7"/>
  <c r="AN3923" i="7"/>
  <c r="AM3923" i="7"/>
  <c r="AA3923" i="7"/>
  <c r="F3923" i="7"/>
  <c r="D3923" i="7"/>
  <c r="AN3922" i="7"/>
  <c r="AM3922" i="7"/>
  <c r="AA3922" i="7"/>
  <c r="F3922" i="7"/>
  <c r="D3922" i="7"/>
  <c r="AN3921" i="7"/>
  <c r="AM3921" i="7"/>
  <c r="AA3921" i="7"/>
  <c r="F3921" i="7"/>
  <c r="D3921" i="7"/>
  <c r="AN3917" i="7"/>
  <c r="AM3917" i="7"/>
  <c r="AA3917" i="7"/>
  <c r="F3917" i="7"/>
  <c r="D3917" i="7"/>
  <c r="AN3910" i="7"/>
  <c r="AM3910" i="7"/>
  <c r="AA3910" i="7"/>
  <c r="F3910" i="7"/>
  <c r="D3910" i="7"/>
  <c r="AN3906" i="7"/>
  <c r="AM3906" i="7"/>
  <c r="AA3906" i="7"/>
  <c r="F3906" i="7"/>
  <c r="D3906" i="7"/>
  <c r="AN3897" i="7"/>
  <c r="AM3897" i="7"/>
  <c r="AA3897" i="7"/>
  <c r="F3897" i="7"/>
  <c r="D3897" i="7"/>
  <c r="AN3894" i="7"/>
  <c r="AM3894" i="7"/>
  <c r="AA3894" i="7"/>
  <c r="F3894" i="7"/>
  <c r="D3894" i="7"/>
  <c r="AN3802" i="7"/>
  <c r="AG3802" i="7"/>
  <c r="V3802" i="7"/>
  <c r="F3802" i="7"/>
  <c r="D3802" i="7"/>
  <c r="AN3892" i="7"/>
  <c r="AM3892" i="7"/>
  <c r="AA3892" i="7"/>
  <c r="F3892" i="7"/>
  <c r="D3892" i="7"/>
  <c r="AN3890" i="7"/>
  <c r="AM3890" i="7"/>
  <c r="AA3890" i="7"/>
  <c r="F3890" i="7"/>
  <c r="D3890" i="7"/>
  <c r="AN3864" i="7"/>
  <c r="AG3864" i="7"/>
  <c r="F3864" i="7"/>
  <c r="D3864" i="7"/>
  <c r="AN3862" i="7"/>
  <c r="AG3862" i="7"/>
  <c r="V3862" i="7"/>
  <c r="AI3862" i="7" s="1"/>
  <c r="F3862" i="7"/>
  <c r="D3862" i="7"/>
  <c r="AN3889" i="7"/>
  <c r="AM3889" i="7"/>
  <c r="AA3889" i="7"/>
  <c r="F3889" i="7"/>
  <c r="D3889" i="7"/>
  <c r="AN3874" i="7"/>
  <c r="AM3874" i="7"/>
  <c r="AA3874" i="7"/>
  <c r="F3874" i="7"/>
  <c r="D3874" i="7"/>
  <c r="AN3873" i="7"/>
  <c r="AM3873" i="7"/>
  <c r="AA3873" i="7"/>
  <c r="F3873" i="7"/>
  <c r="D3873" i="7"/>
  <c r="AN3861" i="7"/>
  <c r="AM3861" i="7"/>
  <c r="AA3861" i="7"/>
  <c r="F3861" i="7"/>
  <c r="D3861" i="7"/>
  <c r="AN3844" i="7"/>
  <c r="AM3844" i="7"/>
  <c r="AA3844" i="7"/>
  <c r="F3844" i="7"/>
  <c r="D3844" i="7"/>
  <c r="AN3843" i="7"/>
  <c r="AM3843" i="7"/>
  <c r="AA3843" i="7"/>
  <c r="F3843" i="7"/>
  <c r="D3843" i="7"/>
  <c r="AN3877" i="7"/>
  <c r="AI3877" i="7"/>
  <c r="AG3877" i="7"/>
  <c r="Y3877" i="7"/>
  <c r="Z3877" i="7" s="1"/>
  <c r="AA3877" i="7" s="1"/>
  <c r="F3877" i="7"/>
  <c r="D3877" i="7"/>
  <c r="AN3835" i="7"/>
  <c r="AG3835" i="7"/>
  <c r="F3835" i="7"/>
  <c r="D3835" i="7"/>
  <c r="AN3826" i="7"/>
  <c r="AM3826" i="7"/>
  <c r="AA3826" i="7"/>
  <c r="F3826" i="7"/>
  <c r="D3826" i="7"/>
  <c r="AN3927" i="7"/>
  <c r="AI3927" i="7"/>
  <c r="AG3927" i="7"/>
  <c r="Y3927" i="7"/>
  <c r="Z3927" i="7" s="1"/>
  <c r="F3927" i="7"/>
  <c r="D3927" i="7"/>
  <c r="AN3829" i="7"/>
  <c r="AI3829" i="7"/>
  <c r="AG3829" i="7"/>
  <c r="Y3829" i="7"/>
  <c r="Z3829" i="7" s="1"/>
  <c r="F3829" i="7"/>
  <c r="D3829" i="7"/>
  <c r="AN3804" i="7"/>
  <c r="AM3804" i="7"/>
  <c r="AA3804" i="7"/>
  <c r="F3804" i="7"/>
  <c r="D3804" i="7"/>
  <c r="AN3912" i="7"/>
  <c r="AI3912" i="7"/>
  <c r="AG3912" i="7"/>
  <c r="Y3912" i="7"/>
  <c r="Z3912" i="7" s="1"/>
  <c r="AE3912" i="7" s="1"/>
  <c r="AF3912" i="7" s="1"/>
  <c r="F3912" i="7"/>
  <c r="D3912" i="7"/>
  <c r="AN3789" i="7"/>
  <c r="AG3789" i="7"/>
  <c r="AH3789" i="7" s="1"/>
  <c r="Y3789" i="7"/>
  <c r="Z3789" i="7" s="1"/>
  <c r="F3789" i="7"/>
  <c r="D3789" i="7"/>
  <c r="AN3784" i="7"/>
  <c r="AM3784" i="7"/>
  <c r="AA3784" i="7"/>
  <c r="F3784" i="7"/>
  <c r="D3784" i="7"/>
  <c r="AN3741" i="7"/>
  <c r="AG3741" i="7"/>
  <c r="V3741" i="7"/>
  <c r="Y3741" i="7" s="1"/>
  <c r="Z3741" i="7" s="1"/>
  <c r="F3741" i="7"/>
  <c r="D3741" i="7"/>
  <c r="AN3850" i="7"/>
  <c r="AG3850" i="7"/>
  <c r="AI3850" i="7"/>
  <c r="F3850" i="7"/>
  <c r="D3850" i="7"/>
  <c r="AN3752" i="7"/>
  <c r="AG3752" i="7"/>
  <c r="V3752" i="7"/>
  <c r="F3752" i="7"/>
  <c r="D3752" i="7"/>
  <c r="AN3746" i="7"/>
  <c r="AI3746" i="7"/>
  <c r="F3746" i="7"/>
  <c r="D3746" i="7"/>
  <c r="AN3788" i="7"/>
  <c r="AI3788" i="7"/>
  <c r="AG3788" i="7"/>
  <c r="Y3788" i="7"/>
  <c r="Z3788" i="7" s="1"/>
  <c r="F3788" i="7"/>
  <c r="D3788" i="7"/>
  <c r="AN3754" i="7"/>
  <c r="AI3754" i="7"/>
  <c r="AG3754" i="7"/>
  <c r="F3754" i="7"/>
  <c r="D3754" i="7"/>
  <c r="AN3749" i="7"/>
  <c r="AG3749" i="7"/>
  <c r="V3749" i="7"/>
  <c r="AI3749" i="7" s="1"/>
  <c r="F3749" i="7"/>
  <c r="D3749" i="7"/>
  <c r="AN3809" i="7"/>
  <c r="AI3809" i="7"/>
  <c r="AG3809" i="7"/>
  <c r="Y3809" i="7"/>
  <c r="Z3809" i="7" s="1"/>
  <c r="AA3809" i="7" s="1"/>
  <c r="F3809" i="7"/>
  <c r="D3809" i="7"/>
  <c r="AN3770" i="7"/>
  <c r="AI3770" i="7"/>
  <c r="Y3770" i="7"/>
  <c r="Z3770" i="7" s="1"/>
  <c r="F3770" i="7"/>
  <c r="D3770" i="7"/>
  <c r="AN3762" i="7"/>
  <c r="AM3762" i="7"/>
  <c r="AA3762" i="7"/>
  <c r="F3762" i="7"/>
  <c r="D3762" i="7"/>
  <c r="AN3743" i="7"/>
  <c r="AG3743" i="7"/>
  <c r="V3743" i="7"/>
  <c r="Y3743" i="7" s="1"/>
  <c r="Z3743" i="7" s="1"/>
  <c r="F3743" i="7"/>
  <c r="D3743" i="7"/>
  <c r="AN3742" i="7"/>
  <c r="AG3742" i="7"/>
  <c r="V3742" i="7"/>
  <c r="F3742" i="7"/>
  <c r="D3742" i="7"/>
  <c r="AN3774" i="7"/>
  <c r="AG3774" i="7"/>
  <c r="V3774" i="7"/>
  <c r="AI3774" i="7" s="1"/>
  <c r="F3774" i="7"/>
  <c r="D3774" i="7"/>
  <c r="AN3776" i="7"/>
  <c r="AG3776" i="7"/>
  <c r="V3776" i="7"/>
  <c r="F3776" i="7"/>
  <c r="D3776" i="7"/>
  <c r="AN3806" i="7"/>
  <c r="AI3806" i="7"/>
  <c r="AG3806" i="7"/>
  <c r="Y3806" i="7"/>
  <c r="Z3806" i="7" s="1"/>
  <c r="F3806" i="7"/>
  <c r="D3806" i="7"/>
  <c r="AN3727" i="7"/>
  <c r="AI3727" i="7"/>
  <c r="Y3727" i="7"/>
  <c r="Z3727" i="7" s="1"/>
  <c r="F3727" i="7"/>
  <c r="D3727" i="7"/>
  <c r="AN3728" i="7"/>
  <c r="AG3728" i="7"/>
  <c r="F3728" i="7"/>
  <c r="D3728" i="7"/>
  <c r="AN3726" i="7"/>
  <c r="AG3726" i="7"/>
  <c r="V3726" i="7"/>
  <c r="F3726" i="7"/>
  <c r="D3726" i="7"/>
  <c r="AN3801" i="7"/>
  <c r="AG3801" i="7"/>
  <c r="F3801" i="7"/>
  <c r="D3801" i="7"/>
  <c r="AN3793" i="7"/>
  <c r="AI3793" i="7"/>
  <c r="AG3793" i="7"/>
  <c r="Y3793" i="7"/>
  <c r="Z3793" i="7" s="1"/>
  <c r="F3793" i="7"/>
  <c r="D3793" i="7"/>
  <c r="AN3736" i="7"/>
  <c r="AI3736" i="7"/>
  <c r="AG3736" i="7"/>
  <c r="AH3736" i="7" s="1"/>
  <c r="Y3736" i="7"/>
  <c r="Z3736" i="7" s="1"/>
  <c r="F3736" i="7"/>
  <c r="D3736" i="7"/>
  <c r="AN3735" i="7"/>
  <c r="AG3735" i="7"/>
  <c r="F3735" i="7"/>
  <c r="D3735" i="7"/>
  <c r="AN3786" i="7"/>
  <c r="AI3786" i="7"/>
  <c r="AG3786" i="7"/>
  <c r="AM3786" i="7" s="1"/>
  <c r="F3786" i="7"/>
  <c r="D3786" i="7"/>
  <c r="AN3725" i="7"/>
  <c r="AM3725" i="7"/>
  <c r="AA3725" i="7"/>
  <c r="F3725" i="7"/>
  <c r="D3725" i="7"/>
  <c r="AN3724" i="7"/>
  <c r="AM3724" i="7"/>
  <c r="AA3724" i="7"/>
  <c r="F3724" i="7"/>
  <c r="D3724" i="7"/>
  <c r="AN3714" i="7"/>
  <c r="AG3714" i="7"/>
  <c r="F3714" i="7"/>
  <c r="D3714" i="7"/>
  <c r="AN3710" i="7"/>
  <c r="AI3710" i="7"/>
  <c r="AG3710" i="7"/>
  <c r="F3710" i="7"/>
  <c r="D3710" i="7"/>
  <c r="AN3698" i="7"/>
  <c r="AG3698" i="7"/>
  <c r="V3698" i="7"/>
  <c r="AI3698" i="7" s="1"/>
  <c r="F3698" i="7"/>
  <c r="D3698" i="7"/>
  <c r="AN3740" i="7"/>
  <c r="AI3740" i="7"/>
  <c r="AG3740" i="7"/>
  <c r="Y3740" i="7"/>
  <c r="Z3740" i="7" s="1"/>
  <c r="AC3740" i="7" s="1"/>
  <c r="F3740" i="7"/>
  <c r="D3740" i="7"/>
  <c r="AN3718" i="7"/>
  <c r="AG3718" i="7"/>
  <c r="F3718" i="7"/>
  <c r="D3718" i="7"/>
  <c r="AN3708" i="7"/>
  <c r="AM3708" i="7"/>
  <c r="AA3708" i="7"/>
  <c r="F3708" i="7"/>
  <c r="D3708" i="7"/>
  <c r="AN3707" i="7"/>
  <c r="AM3707" i="7"/>
  <c r="AA3707" i="7"/>
  <c r="F3707" i="7"/>
  <c r="D3707" i="7"/>
  <c r="AN3739" i="7"/>
  <c r="AI3739" i="7"/>
  <c r="AG3739" i="7"/>
  <c r="F3739" i="7"/>
  <c r="D3739" i="7"/>
  <c r="AN3721" i="7"/>
  <c r="AI3721" i="7"/>
  <c r="AG3721" i="7"/>
  <c r="F3721" i="7"/>
  <c r="D3721" i="7"/>
  <c r="AN3720" i="7"/>
  <c r="AI3720" i="7"/>
  <c r="AG3720" i="7"/>
  <c r="F3720" i="7"/>
  <c r="D3720" i="7"/>
  <c r="AN3705" i="7"/>
  <c r="AI3705" i="7"/>
  <c r="AG3705" i="7"/>
  <c r="F3705" i="7"/>
  <c r="D3705" i="7"/>
  <c r="AN3713" i="7"/>
  <c r="AG3713" i="7"/>
  <c r="F3713" i="7"/>
  <c r="D3713" i="7"/>
  <c r="AN3690" i="7"/>
  <c r="AG3690" i="7"/>
  <c r="F3690" i="7"/>
  <c r="D3690" i="7"/>
  <c r="AN3689" i="7"/>
  <c r="AI3689" i="7"/>
  <c r="AG3689" i="7"/>
  <c r="Y3689" i="7"/>
  <c r="Z3689" i="7" s="1"/>
  <c r="AA3689" i="7" s="1"/>
  <c r="F3689" i="7"/>
  <c r="D3689" i="7"/>
  <c r="AN3694" i="7"/>
  <c r="AG3694" i="7"/>
  <c r="F3694" i="7"/>
  <c r="D3694" i="7"/>
  <c r="AN3687" i="7"/>
  <c r="AG3687" i="7"/>
  <c r="AI3687" i="7"/>
  <c r="F3687" i="7"/>
  <c r="D3687" i="7"/>
  <c r="AN3686" i="7"/>
  <c r="AG3686" i="7"/>
  <c r="F3686" i="7"/>
  <c r="D3686" i="7"/>
  <c r="AN3693" i="7"/>
  <c r="AG3693" i="7"/>
  <c r="V3693" i="7"/>
  <c r="AI3693" i="7" s="1"/>
  <c r="F3693" i="7"/>
  <c r="D3693" i="7"/>
  <c r="AN3692" i="7"/>
  <c r="AG3692" i="7"/>
  <c r="F3692" i="7"/>
  <c r="D3692" i="7"/>
  <c r="AN3706" i="7"/>
  <c r="AI3706" i="7"/>
  <c r="AG3706" i="7"/>
  <c r="F3706" i="7"/>
  <c r="D3706" i="7"/>
  <c r="AN3688" i="7"/>
  <c r="AG3688" i="7"/>
  <c r="AM3688" i="7" s="1"/>
  <c r="Y3688" i="7"/>
  <c r="Z3688" i="7" s="1"/>
  <c r="AC3688" i="7" s="1"/>
  <c r="F3688" i="7"/>
  <c r="D3688" i="7"/>
  <c r="AN3684" i="7"/>
  <c r="AM3684" i="7"/>
  <c r="AA3684" i="7"/>
  <c r="F3684" i="7"/>
  <c r="D3684" i="7"/>
  <c r="AN3683" i="7"/>
  <c r="AM3683" i="7"/>
  <c r="AA3683" i="7"/>
  <c r="F3683" i="7"/>
  <c r="D3683" i="7"/>
  <c r="AN3722" i="7"/>
  <c r="AG3722" i="7"/>
  <c r="F3722" i="7"/>
  <c r="D3722" i="7"/>
  <c r="AN3700" i="7"/>
  <c r="AG3700" i="7"/>
  <c r="F3700" i="7"/>
  <c r="D3700" i="7"/>
  <c r="AN3711" i="7"/>
  <c r="AG3711" i="7"/>
  <c r="F3711" i="7"/>
  <c r="D3711" i="7"/>
  <c r="AN3685" i="7"/>
  <c r="AG3685" i="7"/>
  <c r="Y3685" i="7"/>
  <c r="Z3685" i="7" s="1"/>
  <c r="AE3685" i="7" s="1"/>
  <c r="AF3685" i="7" s="1"/>
  <c r="F3685" i="7"/>
  <c r="D3685" i="7"/>
  <c r="AN3682" i="7"/>
  <c r="AG3682" i="7"/>
  <c r="V3682" i="7"/>
  <c r="AI3682" i="7" s="1"/>
  <c r="F3682" i="7"/>
  <c r="D3682" i="7"/>
  <c r="AN3704" i="7"/>
  <c r="AI3704" i="7"/>
  <c r="AG3704" i="7"/>
  <c r="Y3704" i="7"/>
  <c r="Z3704" i="7" s="1"/>
  <c r="F3704" i="7"/>
  <c r="D3704" i="7"/>
  <c r="AN3678" i="7"/>
  <c r="AG3678" i="7"/>
  <c r="F3678" i="7"/>
  <c r="D3678" i="7"/>
  <c r="AN3675" i="7"/>
  <c r="AG3675" i="7"/>
  <c r="V3675" i="7"/>
  <c r="F3675" i="7"/>
  <c r="D3675" i="7"/>
  <c r="AN3703" i="7"/>
  <c r="AI3703" i="7"/>
  <c r="AG3703" i="7"/>
  <c r="F3703" i="7"/>
  <c r="D3703" i="7"/>
  <c r="AN3695" i="7"/>
  <c r="AG3695" i="7"/>
  <c r="V3695" i="7"/>
  <c r="F3695" i="7"/>
  <c r="D3695" i="7"/>
  <c r="AN3677" i="7"/>
  <c r="AG3677" i="7"/>
  <c r="F3677" i="7"/>
  <c r="D3677" i="7"/>
  <c r="AN3709" i="7"/>
  <c r="AI3709" i="7"/>
  <c r="AG3709" i="7"/>
  <c r="F3709" i="7"/>
  <c r="D3709" i="7"/>
  <c r="AN3672" i="7"/>
  <c r="AI3672" i="7"/>
  <c r="AG3672" i="7"/>
  <c r="F3672" i="7"/>
  <c r="D3672" i="7"/>
  <c r="AN3667" i="7"/>
  <c r="AM3667" i="7"/>
  <c r="AA3667" i="7"/>
  <c r="F3667" i="7"/>
  <c r="D3667" i="7"/>
  <c r="AN3666" i="7"/>
  <c r="AM3666" i="7"/>
  <c r="AA3666" i="7"/>
  <c r="F3666" i="7"/>
  <c r="D3666" i="7"/>
  <c r="AN3665" i="7"/>
  <c r="AM3665" i="7"/>
  <c r="AA3665" i="7"/>
  <c r="F3665" i="7"/>
  <c r="D3665" i="7"/>
  <c r="AN3664" i="7"/>
  <c r="AG3664" i="7"/>
  <c r="F3664" i="7"/>
  <c r="D3664" i="7"/>
  <c r="AN3663" i="7"/>
  <c r="AG3663" i="7"/>
  <c r="V3663" i="7"/>
  <c r="AI3663" i="7" s="1"/>
  <c r="F3663" i="7"/>
  <c r="D3663" i="7"/>
  <c r="AN3662" i="7"/>
  <c r="AG3662" i="7"/>
  <c r="F3662" i="7"/>
  <c r="D3662" i="7"/>
  <c r="AN3661" i="7"/>
  <c r="AG3661" i="7"/>
  <c r="V3661" i="7"/>
  <c r="AI3661" i="7" s="1"/>
  <c r="F3661" i="7"/>
  <c r="D3661" i="7"/>
  <c r="AN3660" i="7"/>
  <c r="AG3660" i="7"/>
  <c r="F3660" i="7"/>
  <c r="D3660" i="7"/>
  <c r="AN3659" i="7"/>
  <c r="AG3659" i="7"/>
  <c r="F3659" i="7"/>
  <c r="D3659" i="7"/>
  <c r="AN3658" i="7"/>
  <c r="AG3658" i="7"/>
  <c r="F3658" i="7"/>
  <c r="D3658" i="7"/>
  <c r="AN3657" i="7"/>
  <c r="AI3657" i="7"/>
  <c r="AG3657" i="7"/>
  <c r="Y3657" i="7"/>
  <c r="Z3657" i="7" s="1"/>
  <c r="AE3657" i="7" s="1"/>
  <c r="AF3657" i="7" s="1"/>
  <c r="F3657" i="7"/>
  <c r="D3657" i="7"/>
  <c r="AN3679" i="7"/>
  <c r="AG3679" i="7"/>
  <c r="AN3674" i="7"/>
  <c r="AG3674" i="7"/>
  <c r="F3674" i="7"/>
  <c r="D3674" i="7"/>
  <c r="AN3654" i="7"/>
  <c r="AG3654" i="7"/>
  <c r="F3654" i="7"/>
  <c r="D3654" i="7"/>
  <c r="AN3653" i="7"/>
  <c r="AG3653" i="7"/>
  <c r="AI3653" i="7"/>
  <c r="F3653" i="7"/>
  <c r="D3653" i="7"/>
  <c r="AN3648" i="7"/>
  <c r="AG3648" i="7"/>
  <c r="AI3648" i="7"/>
  <c r="F3648" i="7"/>
  <c r="D3648" i="7"/>
  <c r="AN3647" i="7"/>
  <c r="AG3647" i="7"/>
  <c r="V3647" i="7"/>
  <c r="AI3647" i="7" s="1"/>
  <c r="F3647" i="7"/>
  <c r="D3647" i="7"/>
  <c r="AN3646" i="7"/>
  <c r="AG3646" i="7"/>
  <c r="F3646" i="7"/>
  <c r="D3646" i="7"/>
  <c r="AN3650" i="7"/>
  <c r="AG3650" i="7"/>
  <c r="V3650" i="7"/>
  <c r="F3650" i="7"/>
  <c r="D3650" i="7"/>
  <c r="AN3649" i="7"/>
  <c r="AG3649" i="7"/>
  <c r="V3649" i="7"/>
  <c r="F3649" i="7"/>
  <c r="D3649" i="7"/>
  <c r="AN3642" i="7"/>
  <c r="AG3642" i="7"/>
  <c r="V3642" i="7"/>
  <c r="F3642" i="7"/>
  <c r="D3642" i="7"/>
  <c r="AN3638" i="7"/>
  <c r="AG3638" i="7"/>
  <c r="V3638" i="7"/>
  <c r="AI3638" i="7" s="1"/>
  <c r="F3638" i="7"/>
  <c r="D3638" i="7"/>
  <c r="AN3641" i="7"/>
  <c r="AG3641" i="7"/>
  <c r="AI3641" i="7"/>
  <c r="F3641" i="7"/>
  <c r="D3641" i="7"/>
  <c r="AN3652" i="7"/>
  <c r="AG3652" i="7"/>
  <c r="V3652" i="7"/>
  <c r="F3652" i="7"/>
  <c r="D3652" i="7"/>
  <c r="AN3640" i="7"/>
  <c r="AG3640" i="7"/>
  <c r="V3640" i="7"/>
  <c r="F3640" i="7"/>
  <c r="D3640" i="7"/>
  <c r="AN3639" i="7"/>
  <c r="AG3639" i="7"/>
  <c r="F3639" i="7"/>
  <c r="D3639" i="7"/>
  <c r="AN3644" i="7"/>
  <c r="AG3644" i="7"/>
  <c r="V3644" i="7"/>
  <c r="AI3644" i="7" s="1"/>
  <c r="F3644" i="7"/>
  <c r="D3644" i="7"/>
  <c r="AN3643" i="7"/>
  <c r="AG3643" i="7"/>
  <c r="V3643" i="7"/>
  <c r="AI3643" i="7" s="1"/>
  <c r="F3643" i="7"/>
  <c r="D3643" i="7"/>
  <c r="AN3637" i="7"/>
  <c r="AI3637" i="7"/>
  <c r="AG3637" i="7"/>
  <c r="F3637" i="7"/>
  <c r="D3637" i="7"/>
  <c r="AN3636" i="7"/>
  <c r="AG3636" i="7"/>
  <c r="F3636" i="7"/>
  <c r="D3636" i="7"/>
  <c r="AN3635" i="7"/>
  <c r="AM3635" i="7"/>
  <c r="AA3635" i="7"/>
  <c r="F3635" i="7"/>
  <c r="D3635" i="7"/>
  <c r="AN3634" i="7"/>
  <c r="AM3634" i="7"/>
  <c r="AA3634" i="7"/>
  <c r="F3634" i="7"/>
  <c r="D3634" i="7"/>
  <c r="AN3633" i="7"/>
  <c r="AM3633" i="7"/>
  <c r="AA3633" i="7"/>
  <c r="F3633" i="7"/>
  <c r="D3633" i="7"/>
  <c r="AN3632" i="7"/>
  <c r="AM3632" i="7"/>
  <c r="AA3632" i="7"/>
  <c r="F3632" i="7"/>
  <c r="D3632" i="7"/>
  <c r="AN3631" i="7"/>
  <c r="AM3631" i="7"/>
  <c r="AA3631" i="7"/>
  <c r="F3631" i="7"/>
  <c r="D3631" i="7"/>
  <c r="AN3630" i="7"/>
  <c r="AM3630" i="7"/>
  <c r="AA3630" i="7"/>
  <c r="F3630" i="7"/>
  <c r="D3630" i="7"/>
  <c r="AN3629" i="7"/>
  <c r="AM3629" i="7"/>
  <c r="AA3629" i="7"/>
  <c r="F3629" i="7"/>
  <c r="D3629" i="7"/>
  <c r="AN3628" i="7"/>
  <c r="AM3628" i="7"/>
  <c r="AA3628" i="7"/>
  <c r="F3628" i="7"/>
  <c r="D3628" i="7"/>
  <c r="AN3627" i="7"/>
  <c r="AM3627" i="7"/>
  <c r="AA3627" i="7"/>
  <c r="F3627" i="7"/>
  <c r="D3627" i="7"/>
  <c r="AN3626" i="7"/>
  <c r="AM3626" i="7"/>
  <c r="AA3626" i="7"/>
  <c r="F3626" i="7"/>
  <c r="D3626" i="7"/>
  <c r="AN3625" i="7"/>
  <c r="AI3625" i="7"/>
  <c r="AG3625" i="7"/>
  <c r="F3625" i="7"/>
  <c r="D3625" i="7"/>
  <c r="AN3624" i="7"/>
  <c r="AI3624" i="7"/>
  <c r="AG3624" i="7"/>
  <c r="F3624" i="7"/>
  <c r="D3624" i="7"/>
  <c r="AN3622" i="7"/>
  <c r="AG3622" i="7"/>
  <c r="V3622" i="7"/>
  <c r="AI3622" i="7" s="1"/>
  <c r="F3622" i="7"/>
  <c r="D3622" i="7"/>
  <c r="AN3645" i="7"/>
  <c r="V3645" i="7"/>
  <c r="Y3645" i="7" s="1"/>
  <c r="Z3645" i="7" s="1"/>
  <c r="F3645" i="7"/>
  <c r="D3645" i="7"/>
  <c r="AN3619" i="7"/>
  <c r="AG3619" i="7"/>
  <c r="V3619" i="7"/>
  <c r="AI3619" i="7" s="1"/>
  <c r="F3619" i="7"/>
  <c r="D3619" i="7"/>
  <c r="AN3618" i="7"/>
  <c r="AG3618" i="7"/>
  <c r="V3618" i="7"/>
  <c r="F3618" i="7"/>
  <c r="D3618" i="7"/>
  <c r="AN3621" i="7"/>
  <c r="AG3621" i="7"/>
  <c r="AI3621" i="7"/>
  <c r="F3621" i="7"/>
  <c r="D3621" i="7"/>
  <c r="AN3620" i="7"/>
  <c r="AG3620" i="7"/>
  <c r="V3620" i="7"/>
  <c r="F3620" i="7"/>
  <c r="D3620" i="7"/>
  <c r="AN3616" i="7"/>
  <c r="AI3616" i="7"/>
  <c r="AG3616" i="7"/>
  <c r="F3616" i="7"/>
  <c r="D3616" i="7"/>
  <c r="AN3615" i="7"/>
  <c r="AG3615" i="7"/>
  <c r="V3615" i="7"/>
  <c r="F3615" i="7"/>
  <c r="D3615" i="7"/>
  <c r="AN3614" i="7"/>
  <c r="AG3614" i="7"/>
  <c r="AH3614" i="7" s="1"/>
  <c r="F3614" i="7"/>
  <c r="D3614" i="7"/>
  <c r="AN3613" i="7"/>
  <c r="AG3613" i="7"/>
  <c r="F3613" i="7"/>
  <c r="D3613" i="7"/>
  <c r="AN3612" i="7"/>
  <c r="AG3612" i="7"/>
  <c r="V3612" i="7"/>
  <c r="F3612" i="7"/>
  <c r="D3612" i="7"/>
  <c r="AN3611" i="7"/>
  <c r="AG3611" i="7"/>
  <c r="V3611" i="7"/>
  <c r="F3611" i="7"/>
  <c r="D3611" i="7"/>
  <c r="AN3610" i="7"/>
  <c r="AG3610" i="7"/>
  <c r="F3610" i="7"/>
  <c r="D3610" i="7"/>
  <c r="AN3609" i="7"/>
  <c r="AG3609" i="7"/>
  <c r="F3609" i="7"/>
  <c r="D3609" i="7"/>
  <c r="AN3608" i="7"/>
  <c r="AG3608" i="7"/>
  <c r="V3608" i="7"/>
  <c r="Y3608" i="7" s="1"/>
  <c r="Z3608" i="7" s="1"/>
  <c r="F3608" i="7"/>
  <c r="D3608" i="7"/>
  <c r="AN3607" i="7"/>
  <c r="AG3607" i="7"/>
  <c r="V3607" i="7"/>
  <c r="F3607" i="7"/>
  <c r="D3607" i="7"/>
  <c r="AN3606" i="7"/>
  <c r="AI3606" i="7"/>
  <c r="AG3606" i="7"/>
  <c r="Y3606" i="7"/>
  <c r="Z3606" i="7" s="1"/>
  <c r="AA3606" i="7" s="1"/>
  <c r="F3606" i="7"/>
  <c r="D3606" i="7"/>
  <c r="AN3604" i="7"/>
  <c r="AG3604" i="7"/>
  <c r="V3604" i="7"/>
  <c r="AI3604" i="7" s="1"/>
  <c r="F3604" i="7"/>
  <c r="D3604" i="7"/>
  <c r="AN3603" i="7"/>
  <c r="AI3603" i="7"/>
  <c r="AG3603" i="7"/>
  <c r="AM3603" i="7" s="1"/>
  <c r="F3603" i="7"/>
  <c r="D3603" i="7"/>
  <c r="AN3602" i="7"/>
  <c r="AM3602" i="7"/>
  <c r="AA3602" i="7"/>
  <c r="F3602" i="7"/>
  <c r="D3602" i="7"/>
  <c r="AN3601" i="7"/>
  <c r="AG3601" i="7"/>
  <c r="V3601" i="7"/>
  <c r="AI3601" i="7" s="1"/>
  <c r="F3601" i="7"/>
  <c r="D3601" i="7"/>
  <c r="AN3623" i="7"/>
  <c r="AI3623" i="7"/>
  <c r="AG3623" i="7"/>
  <c r="F3623" i="7"/>
  <c r="D3623" i="7"/>
  <c r="AN3600" i="7"/>
  <c r="AG3600" i="7"/>
  <c r="V3600" i="7"/>
  <c r="F3600" i="7"/>
  <c r="D3600" i="7"/>
  <c r="AN3599" i="7"/>
  <c r="AG3599" i="7"/>
  <c r="V3599" i="7"/>
  <c r="F3599" i="7"/>
  <c r="D3599" i="7"/>
  <c r="AN3598" i="7"/>
  <c r="AG3598" i="7"/>
  <c r="V3598" i="7"/>
  <c r="AI3598" i="7" s="1"/>
  <c r="F3598" i="7"/>
  <c r="D3598" i="7"/>
  <c r="AN3597" i="7"/>
  <c r="AG3597" i="7"/>
  <c r="V3597" i="7"/>
  <c r="F3597" i="7"/>
  <c r="D3597" i="7"/>
  <c r="AN3596" i="7"/>
  <c r="AG3596" i="7"/>
  <c r="V3596" i="7"/>
  <c r="F3596" i="7"/>
  <c r="D3596" i="7"/>
  <c r="AN3595" i="7"/>
  <c r="AG3595" i="7"/>
  <c r="V3595" i="7"/>
  <c r="F3595" i="7"/>
  <c r="D3595" i="7"/>
  <c r="AN3594" i="7"/>
  <c r="AI3594" i="7"/>
  <c r="AG3594" i="7"/>
  <c r="F3594" i="7"/>
  <c r="D3594" i="7"/>
  <c r="AN3593" i="7"/>
  <c r="AI3593" i="7"/>
  <c r="AG3593" i="7"/>
  <c r="W3593" i="7"/>
  <c r="Y3593" i="7" s="1"/>
  <c r="Z3593" i="7" s="1"/>
  <c r="AC3593" i="7" s="1"/>
  <c r="F3593" i="7"/>
  <c r="D3593" i="7"/>
  <c r="AN3592" i="7"/>
  <c r="AG3592" i="7"/>
  <c r="W3592" i="7"/>
  <c r="V3592" i="7"/>
  <c r="AI3592" i="7" s="1"/>
  <c r="F3592" i="7"/>
  <c r="D3592" i="7"/>
  <c r="AN3591" i="7"/>
  <c r="AG3591" i="7"/>
  <c r="W3591" i="7"/>
  <c r="V3591" i="7"/>
  <c r="AI3591" i="7" s="1"/>
  <c r="F3591" i="7"/>
  <c r="D3591" i="7"/>
  <c r="AN3590" i="7"/>
  <c r="AG3590" i="7"/>
  <c r="W3590" i="7"/>
  <c r="V3590" i="7"/>
  <c r="AI3590" i="7" s="1"/>
  <c r="F3590" i="7"/>
  <c r="D3590" i="7"/>
  <c r="AN3589" i="7"/>
  <c r="AI3589" i="7"/>
  <c r="AG3589" i="7"/>
  <c r="W3589" i="7"/>
  <c r="Y3589" i="7" s="1"/>
  <c r="Z3589" i="7" s="1"/>
  <c r="AC3589" i="7" s="1"/>
  <c r="F3589" i="7"/>
  <c r="D3589" i="7"/>
  <c r="AN3588" i="7"/>
  <c r="AG3588" i="7"/>
  <c r="W3588" i="7"/>
  <c r="V3588" i="7"/>
  <c r="AI3588" i="7" s="1"/>
  <c r="F3588" i="7"/>
  <c r="D3588" i="7"/>
  <c r="AN3587" i="7"/>
  <c r="AG3587" i="7"/>
  <c r="V3587" i="7"/>
  <c r="AI3587" i="7" s="1"/>
  <c r="F3587" i="7"/>
  <c r="D3587" i="7"/>
  <c r="AN3586" i="7"/>
  <c r="AG3586" i="7"/>
  <c r="V3586" i="7"/>
  <c r="F3586" i="7"/>
  <c r="D3586" i="7"/>
  <c r="AN3585" i="7"/>
  <c r="AG3585" i="7"/>
  <c r="W3585" i="7"/>
  <c r="V3585" i="7"/>
  <c r="F3585" i="7"/>
  <c r="D3585" i="7"/>
  <c r="AN3584" i="7"/>
  <c r="AI3584" i="7"/>
  <c r="AG3584" i="7"/>
  <c r="W3584" i="7"/>
  <c r="Y3584" i="7" s="1"/>
  <c r="Z3584" i="7" s="1"/>
  <c r="F3584" i="7"/>
  <c r="D3584" i="7"/>
  <c r="AN3583" i="7"/>
  <c r="AG3583" i="7"/>
  <c r="X3583" i="7"/>
  <c r="V3583" i="7"/>
  <c r="AI3583" i="7" s="1"/>
  <c r="F3583" i="7"/>
  <c r="D3583" i="7"/>
  <c r="AN3582" i="7"/>
  <c r="AG3582" i="7"/>
  <c r="X3582" i="7"/>
  <c r="V3582" i="7"/>
  <c r="AI3582" i="7" s="1"/>
  <c r="F3582" i="7"/>
  <c r="D3582" i="7"/>
  <c r="AN3581" i="7"/>
  <c r="AG3581" i="7"/>
  <c r="X3581" i="7"/>
  <c r="W3581" i="7"/>
  <c r="V3581" i="7"/>
  <c r="AI3581" i="7" s="1"/>
  <c r="F3581" i="7"/>
  <c r="D3581" i="7"/>
  <c r="AN3580" i="7"/>
  <c r="V3580" i="7"/>
  <c r="F3580" i="7"/>
  <c r="D3580" i="7"/>
  <c r="AN3579" i="7"/>
  <c r="AI3579" i="7"/>
  <c r="AG3579" i="7"/>
  <c r="AM3579" i="7" s="1"/>
  <c r="F3579" i="7"/>
  <c r="D3579" i="7"/>
  <c r="AN3578" i="7"/>
  <c r="AI3578" i="7"/>
  <c r="AG3578" i="7"/>
  <c r="W3578" i="7"/>
  <c r="Y3578" i="7" s="1"/>
  <c r="Z3578" i="7" s="1"/>
  <c r="F3578" i="7"/>
  <c r="D3578" i="7"/>
  <c r="AN3577" i="7"/>
  <c r="AM3577" i="7"/>
  <c r="AA3577" i="7"/>
  <c r="F3577" i="7"/>
  <c r="D3577" i="7"/>
  <c r="AN3576" i="7"/>
  <c r="AI3576" i="7"/>
  <c r="AG3576" i="7"/>
  <c r="AH3576" i="7" s="1"/>
  <c r="W3576" i="7"/>
  <c r="Y3576" i="7" s="1"/>
  <c r="Z3576" i="7" s="1"/>
  <c r="F3576" i="7"/>
  <c r="D3576" i="7"/>
  <c r="AN3575" i="7"/>
  <c r="AI3575" i="7"/>
  <c r="AG3575" i="7"/>
  <c r="Y3575" i="7"/>
  <c r="Z3575" i="7" s="1"/>
  <c r="AE3575" i="7" s="1"/>
  <c r="AF3575" i="7" s="1"/>
  <c r="F3575" i="7"/>
  <c r="D3575" i="7"/>
  <c r="AN3574" i="7"/>
  <c r="AI3574" i="7"/>
  <c r="AG3574" i="7"/>
  <c r="W3574" i="7"/>
  <c r="Y3574" i="7" s="1"/>
  <c r="Z3574" i="7" s="1"/>
  <c r="F3574" i="7"/>
  <c r="D3574" i="7"/>
  <c r="AN3573" i="7"/>
  <c r="AG3573" i="7"/>
  <c r="V3573" i="7"/>
  <c r="F3573" i="7"/>
  <c r="D3573" i="7"/>
  <c r="AN3572" i="7"/>
  <c r="AI3572" i="7"/>
  <c r="AG3572" i="7"/>
  <c r="Y3572" i="7"/>
  <c r="Z3572" i="7" s="1"/>
  <c r="AA3572" i="7" s="1"/>
  <c r="F3572" i="7"/>
  <c r="D3572" i="7"/>
  <c r="AN3571" i="7"/>
  <c r="AG3571" i="7"/>
  <c r="X3571" i="7"/>
  <c r="V3571" i="7"/>
  <c r="F3571" i="7"/>
  <c r="D3571" i="7"/>
  <c r="AN3570" i="7"/>
  <c r="AI3570" i="7"/>
  <c r="AG3570" i="7"/>
  <c r="W3570" i="7"/>
  <c r="Y3570" i="7" s="1"/>
  <c r="Z3570" i="7" s="1"/>
  <c r="F3570" i="7"/>
  <c r="D3570" i="7"/>
  <c r="AN3569" i="7"/>
  <c r="AI3569" i="7"/>
  <c r="AG3569" i="7"/>
  <c r="X3569" i="7"/>
  <c r="Y3569" i="7" s="1"/>
  <c r="Z3569" i="7" s="1"/>
  <c r="F3569" i="7"/>
  <c r="D3569" i="7"/>
  <c r="AN3568" i="7"/>
  <c r="AI3568" i="7"/>
  <c r="AG3568" i="7"/>
  <c r="W3568" i="7"/>
  <c r="Y3568" i="7" s="1"/>
  <c r="Z3568" i="7" s="1"/>
  <c r="AA3568" i="7" s="1"/>
  <c r="F3568" i="7"/>
  <c r="D3568" i="7"/>
  <c r="AN3567" i="7"/>
  <c r="AG3567" i="7"/>
  <c r="X3567" i="7"/>
  <c r="V3567" i="7"/>
  <c r="AI3567" i="7" s="1"/>
  <c r="F3567" i="7"/>
  <c r="D3567" i="7"/>
  <c r="AN3566" i="7"/>
  <c r="AG3566" i="7"/>
  <c r="X3566" i="7"/>
  <c r="V3566" i="7"/>
  <c r="F3566" i="7"/>
  <c r="D3566" i="7"/>
  <c r="AN3565" i="7"/>
  <c r="AG3565" i="7"/>
  <c r="W3565" i="7"/>
  <c r="V3565" i="7"/>
  <c r="AI3565" i="7" s="1"/>
  <c r="F3565" i="7"/>
  <c r="D3565" i="7"/>
  <c r="AN3564" i="7"/>
  <c r="AG3564" i="7"/>
  <c r="W3564" i="7"/>
  <c r="V3564" i="7"/>
  <c r="AI3564" i="7" s="1"/>
  <c r="F3564" i="7"/>
  <c r="D3564" i="7"/>
  <c r="AN3563" i="7"/>
  <c r="AG3563" i="7"/>
  <c r="X3563" i="7"/>
  <c r="W3563" i="7"/>
  <c r="V3563" i="7"/>
  <c r="AI3563" i="7" s="1"/>
  <c r="F3563" i="7"/>
  <c r="D3563" i="7"/>
  <c r="AN3562" i="7"/>
  <c r="AG3562" i="7"/>
  <c r="X3562" i="7"/>
  <c r="W3562" i="7"/>
  <c r="V3562" i="7"/>
  <c r="AI3562" i="7" s="1"/>
  <c r="F3562" i="7"/>
  <c r="D3562" i="7"/>
  <c r="AN3561" i="7"/>
  <c r="AM3561" i="7"/>
  <c r="AA3561" i="7"/>
  <c r="F3561" i="7"/>
  <c r="D3561" i="7"/>
  <c r="AN3560" i="7"/>
  <c r="AG3560" i="7"/>
  <c r="V3560" i="7"/>
  <c r="F3560" i="7"/>
  <c r="D3560" i="7"/>
  <c r="AN3559" i="7"/>
  <c r="AI3559" i="7"/>
  <c r="AG3559" i="7"/>
  <c r="W3559" i="7"/>
  <c r="Y3559" i="7" s="1"/>
  <c r="Z3559" i="7" s="1"/>
  <c r="AC3559" i="7" s="1"/>
  <c r="F3559" i="7"/>
  <c r="D3559" i="7"/>
  <c r="AN3558" i="7"/>
  <c r="AG3558" i="7"/>
  <c r="W3558" i="7"/>
  <c r="V3558" i="7"/>
  <c r="F3558" i="7"/>
  <c r="D3558" i="7"/>
  <c r="AN3557" i="7"/>
  <c r="AG3557" i="7"/>
  <c r="X3557" i="7"/>
  <c r="V3557" i="7"/>
  <c r="AI3557" i="7" s="1"/>
  <c r="F3557" i="7"/>
  <c r="D3557" i="7"/>
  <c r="AN3556" i="7"/>
  <c r="AI3556" i="7"/>
  <c r="AG3556" i="7"/>
  <c r="AH3556" i="7" s="1"/>
  <c r="F3556" i="7"/>
  <c r="D3556" i="7"/>
  <c r="AN3555" i="7"/>
  <c r="AG3555" i="7"/>
  <c r="X3555" i="7"/>
  <c r="W3555" i="7"/>
  <c r="V3555" i="7"/>
  <c r="F3555" i="7"/>
  <c r="D3555" i="7"/>
  <c r="AN3554" i="7"/>
  <c r="AG3554" i="7"/>
  <c r="X3554" i="7"/>
  <c r="W3554" i="7"/>
  <c r="V3554" i="7"/>
  <c r="AI3554" i="7" s="1"/>
  <c r="F3554" i="7"/>
  <c r="D3554" i="7"/>
  <c r="AN3553" i="7"/>
  <c r="AG3553" i="7"/>
  <c r="X3553" i="7"/>
  <c r="V3553" i="7"/>
  <c r="AI3553" i="7" s="1"/>
  <c r="F3553" i="7"/>
  <c r="D3553" i="7"/>
  <c r="AN3552" i="7"/>
  <c r="AG3552" i="7"/>
  <c r="X3552" i="7"/>
  <c r="V3552" i="7"/>
  <c r="AI3552" i="7" s="1"/>
  <c r="F3552" i="7"/>
  <c r="D3552" i="7"/>
  <c r="AN3551" i="7"/>
  <c r="AG3551" i="7"/>
  <c r="X3551" i="7"/>
  <c r="V3551" i="7"/>
  <c r="AI3551" i="7" s="1"/>
  <c r="F3551" i="7"/>
  <c r="D3551" i="7"/>
  <c r="AN3550" i="7"/>
  <c r="AG3550" i="7"/>
  <c r="X3550" i="7"/>
  <c r="W3550" i="7"/>
  <c r="V3550" i="7"/>
  <c r="AI3550" i="7" s="1"/>
  <c r="F3550" i="7"/>
  <c r="D3550" i="7"/>
  <c r="AN3549" i="7"/>
  <c r="AG3549" i="7"/>
  <c r="W3549" i="7"/>
  <c r="V3549" i="7"/>
  <c r="AI3549" i="7" s="1"/>
  <c r="F3549" i="7"/>
  <c r="D3549" i="7"/>
  <c r="AN3548" i="7"/>
  <c r="AG3548" i="7"/>
  <c r="AH3548" i="7" s="1"/>
  <c r="V3548" i="7"/>
  <c r="Y3548" i="7" s="1"/>
  <c r="Z3548" i="7" s="1"/>
  <c r="F3548" i="7"/>
  <c r="D3548" i="7"/>
  <c r="AN3547" i="7"/>
  <c r="AG3547" i="7"/>
  <c r="W3547" i="7"/>
  <c r="V3547" i="7"/>
  <c r="AI3547" i="7" s="1"/>
  <c r="AJ3547" i="7" s="1"/>
  <c r="F3547" i="7"/>
  <c r="D3547" i="7"/>
  <c r="AN3546" i="7"/>
  <c r="AG3546" i="7"/>
  <c r="W3546" i="7"/>
  <c r="V3546" i="7"/>
  <c r="AI3546" i="7" s="1"/>
  <c r="AJ3546" i="7" s="1"/>
  <c r="F3546" i="7"/>
  <c r="D3546" i="7"/>
  <c r="AN3545" i="7"/>
  <c r="AI3545" i="7"/>
  <c r="AG3545" i="7"/>
  <c r="X3545" i="7"/>
  <c r="W3545" i="7"/>
  <c r="F3545" i="7"/>
  <c r="D3545" i="7"/>
  <c r="AN3544" i="7"/>
  <c r="AM3544" i="7"/>
  <c r="AA3544" i="7"/>
  <c r="F3544" i="7"/>
  <c r="D3544" i="7"/>
  <c r="AN3543" i="7"/>
  <c r="AG3543" i="7"/>
  <c r="W3543" i="7"/>
  <c r="V3543" i="7"/>
  <c r="AI3543" i="7" s="1"/>
  <c r="F3543" i="7"/>
  <c r="D3543" i="7"/>
  <c r="AN3542" i="7"/>
  <c r="AI3542" i="7"/>
  <c r="AG3542" i="7"/>
  <c r="Y3542" i="7"/>
  <c r="Z3542" i="7" s="1"/>
  <c r="F3542" i="7"/>
  <c r="D3542" i="7"/>
  <c r="AN3541" i="7"/>
  <c r="AI3541" i="7"/>
  <c r="AG3541" i="7"/>
  <c r="Y3541" i="7"/>
  <c r="Z3541" i="7" s="1"/>
  <c r="F3541" i="7"/>
  <c r="D3541" i="7"/>
  <c r="AN3540" i="7"/>
  <c r="AI3540" i="7"/>
  <c r="AG3540" i="7"/>
  <c r="X3540" i="7"/>
  <c r="W3540" i="7"/>
  <c r="F3540" i="7"/>
  <c r="D3540" i="7"/>
  <c r="AN3539" i="7"/>
  <c r="AI3539" i="7"/>
  <c r="AG3539" i="7"/>
  <c r="F3539" i="7"/>
  <c r="D3539" i="7"/>
  <c r="AN3538" i="7"/>
  <c r="AG3538" i="7"/>
  <c r="W3538" i="7"/>
  <c r="V3538" i="7"/>
  <c r="AI3538" i="7" s="1"/>
  <c r="F3538" i="7"/>
  <c r="D3538" i="7"/>
  <c r="AN3537" i="7"/>
  <c r="AI3537" i="7"/>
  <c r="AG3537" i="7"/>
  <c r="W3537" i="7"/>
  <c r="Y3537" i="7" s="1"/>
  <c r="Z3537" i="7" s="1"/>
  <c r="AA3537" i="7" s="1"/>
  <c r="F3537" i="7"/>
  <c r="D3537" i="7"/>
  <c r="AN3536" i="7"/>
  <c r="AI3536" i="7"/>
  <c r="AG3536" i="7"/>
  <c r="W3536" i="7"/>
  <c r="Y3536" i="7" s="1"/>
  <c r="Z3536" i="7" s="1"/>
  <c r="AC3536" i="7" s="1"/>
  <c r="F3536" i="7"/>
  <c r="D3536" i="7"/>
  <c r="AN3535" i="7"/>
  <c r="AG3535" i="7"/>
  <c r="W3535" i="7"/>
  <c r="V3535" i="7"/>
  <c r="AI3535" i="7" s="1"/>
  <c r="F3535" i="7"/>
  <c r="D3535" i="7"/>
  <c r="AN3534" i="7"/>
  <c r="AI3534" i="7"/>
  <c r="AG3534" i="7"/>
  <c r="W3534" i="7"/>
  <c r="Y3534" i="7" s="1"/>
  <c r="Z3534" i="7" s="1"/>
  <c r="F3534" i="7"/>
  <c r="D3534" i="7"/>
  <c r="AN3533" i="7"/>
  <c r="AG3533" i="7"/>
  <c r="W3533" i="7"/>
  <c r="V3533" i="7"/>
  <c r="AI3533" i="7" s="1"/>
  <c r="F3533" i="7"/>
  <c r="D3533" i="7"/>
  <c r="AN3532" i="7"/>
  <c r="AG3532" i="7"/>
  <c r="W3532" i="7"/>
  <c r="V3532" i="7"/>
  <c r="AI3532" i="7" s="1"/>
  <c r="F3532" i="7"/>
  <c r="D3532" i="7"/>
  <c r="AN3531" i="7"/>
  <c r="AG3531" i="7"/>
  <c r="W3531" i="7"/>
  <c r="V3531" i="7"/>
  <c r="F3531" i="7"/>
  <c r="D3531" i="7"/>
  <c r="AN3530" i="7"/>
  <c r="AG3530" i="7"/>
  <c r="V3530" i="7"/>
  <c r="F3530" i="7"/>
  <c r="D3530" i="7"/>
  <c r="AN3529" i="7"/>
  <c r="AG3529" i="7"/>
  <c r="W3529" i="7"/>
  <c r="V3529" i="7"/>
  <c r="AI3529" i="7" s="1"/>
  <c r="F3529" i="7"/>
  <c r="D3529" i="7"/>
  <c r="AN3528" i="7"/>
  <c r="AI3528" i="7"/>
  <c r="AG3528" i="7"/>
  <c r="W3528" i="7"/>
  <c r="Y3528" i="7" s="1"/>
  <c r="Z3528" i="7" s="1"/>
  <c r="F3528" i="7"/>
  <c r="D3528" i="7"/>
  <c r="AN3527" i="7"/>
  <c r="AI3527" i="7"/>
  <c r="AG3527" i="7"/>
  <c r="Y3527" i="7"/>
  <c r="Z3527" i="7" s="1"/>
  <c r="F3527" i="7"/>
  <c r="D3527" i="7"/>
  <c r="AN3526" i="7"/>
  <c r="AI3526" i="7"/>
  <c r="AG3526" i="7"/>
  <c r="W3526" i="7"/>
  <c r="Y3526" i="7" s="1"/>
  <c r="Z3526" i="7" s="1"/>
  <c r="F3526" i="7"/>
  <c r="D3526" i="7"/>
  <c r="AN3525" i="7"/>
  <c r="X3525" i="7"/>
  <c r="V3525" i="7"/>
  <c r="F3525" i="7"/>
  <c r="D3525" i="7"/>
  <c r="AN3524" i="7"/>
  <c r="X3524" i="7"/>
  <c r="V3524" i="7"/>
  <c r="F3524" i="7"/>
  <c r="D3524" i="7"/>
  <c r="AN3523" i="7"/>
  <c r="X3523" i="7"/>
  <c r="V3523" i="7"/>
  <c r="F3523" i="7"/>
  <c r="D3523" i="7"/>
  <c r="AN3522" i="7"/>
  <c r="AI3522" i="7"/>
  <c r="AG3522" i="7"/>
  <c r="X3522" i="7"/>
  <c r="W3522" i="7"/>
  <c r="F3522" i="7"/>
  <c r="D3522" i="7"/>
  <c r="AN3521" i="7"/>
  <c r="AI3521" i="7"/>
  <c r="AG3521" i="7"/>
  <c r="Y3521" i="7"/>
  <c r="Z3521" i="7" s="1"/>
  <c r="AC3521" i="7" s="1"/>
  <c r="F3521" i="7"/>
  <c r="D3521" i="7"/>
  <c r="AN3520" i="7"/>
  <c r="AG3520" i="7"/>
  <c r="W3520" i="7"/>
  <c r="V3520" i="7"/>
  <c r="AI3520" i="7" s="1"/>
  <c r="F3520" i="7"/>
  <c r="D3520" i="7"/>
  <c r="AN3519" i="7"/>
  <c r="AI3519" i="7"/>
  <c r="AG3519" i="7"/>
  <c r="W3519" i="7"/>
  <c r="Y3519" i="7" s="1"/>
  <c r="Z3519" i="7" s="1"/>
  <c r="F3519" i="7"/>
  <c r="D3519" i="7"/>
  <c r="AN3518" i="7"/>
  <c r="AI3518" i="7"/>
  <c r="AG3518" i="7"/>
  <c r="W3518" i="7"/>
  <c r="Y3518" i="7" s="1"/>
  <c r="Z3518" i="7" s="1"/>
  <c r="AC3518" i="7" s="1"/>
  <c r="F3518" i="7"/>
  <c r="D3518" i="7"/>
  <c r="AN3517" i="7"/>
  <c r="AG3517" i="7"/>
  <c r="W3517" i="7"/>
  <c r="V3517" i="7"/>
  <c r="AI3517" i="7" s="1"/>
  <c r="F3517" i="7"/>
  <c r="D3517" i="7"/>
  <c r="AN3516" i="7"/>
  <c r="AM3516" i="7"/>
  <c r="AA3516" i="7"/>
  <c r="F3516" i="7"/>
  <c r="D3516" i="7"/>
  <c r="AN3515" i="7"/>
  <c r="AG3515" i="7"/>
  <c r="X3515" i="7"/>
  <c r="V3515" i="7"/>
  <c r="F3515" i="7"/>
  <c r="D3515" i="7"/>
  <c r="AN3514" i="7"/>
  <c r="AG3514" i="7"/>
  <c r="X3514" i="7"/>
  <c r="V3514" i="7"/>
  <c r="AI3514" i="7" s="1"/>
  <c r="F3514" i="7"/>
  <c r="D3514" i="7"/>
  <c r="AN3513" i="7"/>
  <c r="AG3513" i="7"/>
  <c r="X3513" i="7"/>
  <c r="V3513" i="7"/>
  <c r="AI3513" i="7" s="1"/>
  <c r="F3513" i="7"/>
  <c r="D3513" i="7"/>
  <c r="AN3512" i="7"/>
  <c r="AI3512" i="7"/>
  <c r="AG3512" i="7"/>
  <c r="X3512" i="7"/>
  <c r="Y3512" i="7" s="1"/>
  <c r="Z3512" i="7" s="1"/>
  <c r="F3512" i="7"/>
  <c r="D3512" i="7"/>
  <c r="AN3511" i="7"/>
  <c r="AG3511" i="7"/>
  <c r="X3511" i="7"/>
  <c r="V3511" i="7"/>
  <c r="AI3511" i="7" s="1"/>
  <c r="F3511" i="7"/>
  <c r="D3511" i="7"/>
  <c r="AN3510" i="7"/>
  <c r="AG3510" i="7"/>
  <c r="X3510" i="7"/>
  <c r="V3510" i="7"/>
  <c r="AI3510" i="7" s="1"/>
  <c r="F3510" i="7"/>
  <c r="D3510" i="7"/>
  <c r="AN3509" i="7"/>
  <c r="AG3509" i="7"/>
  <c r="X3509" i="7"/>
  <c r="V3509" i="7"/>
  <c r="AI3509" i="7" s="1"/>
  <c r="F3509" i="7"/>
  <c r="D3509" i="7"/>
  <c r="AN3508" i="7"/>
  <c r="AG3508" i="7"/>
  <c r="W3508" i="7"/>
  <c r="V3508" i="7"/>
  <c r="AI3508" i="7" s="1"/>
  <c r="F3508" i="7"/>
  <c r="D3508" i="7"/>
  <c r="AN3507" i="7"/>
  <c r="X3507" i="7"/>
  <c r="V3507" i="7"/>
  <c r="F3507" i="7"/>
  <c r="D3507" i="7"/>
  <c r="AN3506" i="7"/>
  <c r="AG3506" i="7"/>
  <c r="X3506" i="7"/>
  <c r="V3506" i="7"/>
  <c r="AI3506" i="7" s="1"/>
  <c r="F3506" i="7"/>
  <c r="D3506" i="7"/>
  <c r="AN3505" i="7"/>
  <c r="AG3505" i="7"/>
  <c r="X3505" i="7"/>
  <c r="V3505" i="7"/>
  <c r="AI3505" i="7" s="1"/>
  <c r="F3505" i="7"/>
  <c r="D3505" i="7"/>
  <c r="AN3504" i="7"/>
  <c r="AG3504" i="7"/>
  <c r="X3504" i="7"/>
  <c r="V3504" i="7"/>
  <c r="AI3504" i="7" s="1"/>
  <c r="F3504" i="7"/>
  <c r="D3504" i="7"/>
  <c r="AN3503" i="7"/>
  <c r="AI3503" i="7"/>
  <c r="AG3503" i="7"/>
  <c r="X3503" i="7"/>
  <c r="Y3503" i="7" s="1"/>
  <c r="Z3503" i="7" s="1"/>
  <c r="F3503" i="7"/>
  <c r="D3503" i="7"/>
  <c r="AN3502" i="7"/>
  <c r="AI3502" i="7"/>
  <c r="AG3502" i="7"/>
  <c r="Y3502" i="7"/>
  <c r="Z3502" i="7" s="1"/>
  <c r="F3502" i="7"/>
  <c r="D3502" i="7"/>
  <c r="AN3501" i="7"/>
  <c r="AI3501" i="7"/>
  <c r="AG3501" i="7"/>
  <c r="W3501" i="7"/>
  <c r="Y3501" i="7" s="1"/>
  <c r="Z3501" i="7" s="1"/>
  <c r="F3501" i="7"/>
  <c r="D3501" i="7"/>
  <c r="AN3500" i="7"/>
  <c r="AG3500" i="7"/>
  <c r="W3500" i="7"/>
  <c r="V3500" i="7"/>
  <c r="AI3500" i="7" s="1"/>
  <c r="F3500" i="7"/>
  <c r="D3500" i="7"/>
  <c r="AN3499" i="7"/>
  <c r="AG3499" i="7"/>
  <c r="W3499" i="7"/>
  <c r="V3499" i="7"/>
  <c r="AI3499" i="7" s="1"/>
  <c r="F3499" i="7"/>
  <c r="D3499" i="7"/>
  <c r="AN3498" i="7"/>
  <c r="AI3498" i="7"/>
  <c r="AG3498" i="7"/>
  <c r="X3498" i="7"/>
  <c r="Y3498" i="7" s="1"/>
  <c r="Z3498" i="7" s="1"/>
  <c r="F3498" i="7"/>
  <c r="D3498" i="7"/>
  <c r="AN3497" i="7"/>
  <c r="AG3497" i="7"/>
  <c r="W3497" i="7"/>
  <c r="V3497" i="7"/>
  <c r="AI3497" i="7" s="1"/>
  <c r="F3497" i="7"/>
  <c r="D3497" i="7"/>
  <c r="AN3496" i="7"/>
  <c r="AG3496" i="7"/>
  <c r="W3496" i="7"/>
  <c r="V3496" i="7"/>
  <c r="AI3496" i="7" s="1"/>
  <c r="F3496" i="7"/>
  <c r="D3496" i="7"/>
  <c r="AN3495" i="7"/>
  <c r="AG3495" i="7"/>
  <c r="W3495" i="7"/>
  <c r="V3495" i="7"/>
  <c r="AI3495" i="7" s="1"/>
  <c r="F3495" i="7"/>
  <c r="D3495" i="7"/>
  <c r="AN3494" i="7"/>
  <c r="AI3494" i="7"/>
  <c r="AG3494" i="7"/>
  <c r="X3494" i="7"/>
  <c r="Y3494" i="7" s="1"/>
  <c r="Z3494" i="7" s="1"/>
  <c r="F3494" i="7"/>
  <c r="D3494" i="7"/>
  <c r="AN3493" i="7"/>
  <c r="AG3493" i="7"/>
  <c r="W3493" i="7"/>
  <c r="V3493" i="7"/>
  <c r="F3493" i="7"/>
  <c r="D3493" i="7"/>
  <c r="AN3492" i="7"/>
  <c r="AG3492" i="7"/>
  <c r="V3492" i="7"/>
  <c r="AI3492" i="7" s="1"/>
  <c r="F3492" i="7"/>
  <c r="D3492" i="7"/>
  <c r="AN3491" i="7"/>
  <c r="AG3491" i="7"/>
  <c r="X3491" i="7"/>
  <c r="V3491" i="7"/>
  <c r="AI3491" i="7" s="1"/>
  <c r="F3491" i="7"/>
  <c r="D3491" i="7"/>
  <c r="AN3490" i="7"/>
  <c r="AG3490" i="7"/>
  <c r="W3490" i="7"/>
  <c r="V3490" i="7"/>
  <c r="AI3490" i="7" s="1"/>
  <c r="F3490" i="7"/>
  <c r="D3490" i="7"/>
  <c r="AN3489" i="7"/>
  <c r="AG3489" i="7"/>
  <c r="X3489" i="7"/>
  <c r="V3489" i="7"/>
  <c r="AI3489" i="7" s="1"/>
  <c r="F3489" i="7"/>
  <c r="D3489" i="7"/>
  <c r="AN3488" i="7"/>
  <c r="AG3488" i="7"/>
  <c r="V3488" i="7"/>
  <c r="AI3488" i="7" s="1"/>
  <c r="F3488" i="7"/>
  <c r="D3488" i="7"/>
  <c r="AN3487" i="7"/>
  <c r="AG3487" i="7"/>
  <c r="X3487" i="7"/>
  <c r="V3487" i="7"/>
  <c r="AI3487" i="7" s="1"/>
  <c r="F3487" i="7"/>
  <c r="D3487" i="7"/>
  <c r="AN3486" i="7"/>
  <c r="AG3486" i="7"/>
  <c r="W3486" i="7"/>
  <c r="AI3486" i="7"/>
  <c r="F3486" i="7"/>
  <c r="D3486" i="7"/>
  <c r="AN3485" i="7"/>
  <c r="AG3485" i="7"/>
  <c r="W3485" i="7"/>
  <c r="V3485" i="7"/>
  <c r="F3485" i="7"/>
  <c r="D3485" i="7"/>
  <c r="AN3484" i="7"/>
  <c r="AG3484" i="7"/>
  <c r="V3484" i="7"/>
  <c r="Y3484" i="7" s="1"/>
  <c r="Z3484" i="7" s="1"/>
  <c r="F3484" i="7"/>
  <c r="D3484" i="7"/>
  <c r="AN3483" i="7"/>
  <c r="AG3483" i="7"/>
  <c r="V3483" i="7"/>
  <c r="F3483" i="7"/>
  <c r="D3483" i="7"/>
  <c r="AN3482" i="7"/>
  <c r="AG3482" i="7"/>
  <c r="W3482" i="7"/>
  <c r="V3482" i="7"/>
  <c r="F3482" i="7"/>
  <c r="D3482" i="7"/>
  <c r="AN3481" i="7"/>
  <c r="AG3481" i="7"/>
  <c r="W3481" i="7"/>
  <c r="V3481" i="7"/>
  <c r="AI3481" i="7" s="1"/>
  <c r="F3481" i="7"/>
  <c r="D3481" i="7"/>
  <c r="AN3480" i="7"/>
  <c r="AG3480" i="7"/>
  <c r="W3480" i="7"/>
  <c r="V3480" i="7"/>
  <c r="F3480" i="7"/>
  <c r="D3480" i="7"/>
  <c r="AN3479" i="7"/>
  <c r="AG3479" i="7"/>
  <c r="W3479" i="7"/>
  <c r="V3479" i="7"/>
  <c r="AI3479" i="7" s="1"/>
  <c r="F3479" i="7"/>
  <c r="D3479" i="7"/>
  <c r="AN3478" i="7"/>
  <c r="AG3478" i="7"/>
  <c r="W3478" i="7"/>
  <c r="V3478" i="7"/>
  <c r="F3478" i="7"/>
  <c r="D3478" i="7"/>
  <c r="AN3477" i="7"/>
  <c r="AI3477" i="7"/>
  <c r="AG3477" i="7"/>
  <c r="W3477" i="7"/>
  <c r="Y3477" i="7" s="1"/>
  <c r="Z3477" i="7" s="1"/>
  <c r="AA3477" i="7" s="1"/>
  <c r="F3477" i="7"/>
  <c r="D3477" i="7"/>
  <c r="AN3476" i="7"/>
  <c r="AI3476" i="7"/>
  <c r="AG3476" i="7"/>
  <c r="X3476" i="7"/>
  <c r="W3476" i="7"/>
  <c r="F3476" i="7"/>
  <c r="D3476" i="7"/>
  <c r="AN3475" i="7"/>
  <c r="AI3475" i="7"/>
  <c r="AG3475" i="7"/>
  <c r="F3475" i="7"/>
  <c r="D3475" i="7"/>
  <c r="AN3474" i="7"/>
  <c r="AM3474" i="7"/>
  <c r="AA3474" i="7"/>
  <c r="F3474" i="7"/>
  <c r="D3474" i="7"/>
  <c r="AN3473" i="7"/>
  <c r="AM3473" i="7"/>
  <c r="AA3473" i="7"/>
  <c r="F3473" i="7"/>
  <c r="D3473" i="7"/>
  <c r="AN3472" i="7"/>
  <c r="AM3472" i="7"/>
  <c r="AA3472" i="7"/>
  <c r="F3472" i="7"/>
  <c r="D3472" i="7"/>
  <c r="AN3471" i="7"/>
  <c r="AM3471" i="7"/>
  <c r="AA3471" i="7"/>
  <c r="F3471" i="7"/>
  <c r="D3471" i="7"/>
  <c r="AN3470" i="7"/>
  <c r="AM3470" i="7"/>
  <c r="AA3470" i="7"/>
  <c r="F3470" i="7"/>
  <c r="D3470" i="7"/>
  <c r="AN3469" i="7"/>
  <c r="AG3469" i="7"/>
  <c r="V3469" i="7"/>
  <c r="F3469" i="7"/>
  <c r="D3469" i="7"/>
  <c r="AN3468" i="7"/>
  <c r="AG3468" i="7"/>
  <c r="X3468" i="7"/>
  <c r="V3468" i="7"/>
  <c r="AI3468" i="7" s="1"/>
  <c r="F3468" i="7"/>
  <c r="D3468" i="7"/>
  <c r="AN3467" i="7"/>
  <c r="AI3467" i="7"/>
  <c r="AG3467" i="7"/>
  <c r="W3467" i="7"/>
  <c r="Y3467" i="7" s="1"/>
  <c r="Z3467" i="7" s="1"/>
  <c r="F3467" i="7"/>
  <c r="D3467" i="7"/>
  <c r="AN3466" i="7"/>
  <c r="AG3466" i="7"/>
  <c r="W3466" i="7"/>
  <c r="V3466" i="7"/>
  <c r="F3466" i="7"/>
  <c r="D3466" i="7"/>
  <c r="AN3465" i="7"/>
  <c r="AG3465" i="7"/>
  <c r="X3465" i="7"/>
  <c r="V3465" i="7"/>
  <c r="AI3465" i="7" s="1"/>
  <c r="F3465" i="7"/>
  <c r="D3465" i="7"/>
  <c r="AN3464" i="7"/>
  <c r="AG3464" i="7"/>
  <c r="X3464" i="7"/>
  <c r="V3464" i="7"/>
  <c r="F3464" i="7"/>
  <c r="D3464" i="7"/>
  <c r="AN3463" i="7"/>
  <c r="AG3463" i="7"/>
  <c r="X3463" i="7"/>
  <c r="V3463" i="7"/>
  <c r="AI3463" i="7" s="1"/>
  <c r="F3463" i="7"/>
  <c r="D3463" i="7"/>
  <c r="AN3462" i="7"/>
  <c r="AG3462" i="7"/>
  <c r="W3462" i="7"/>
  <c r="V3462" i="7"/>
  <c r="AI3462" i="7" s="1"/>
  <c r="F3462" i="7"/>
  <c r="D3462" i="7"/>
  <c r="AN3461" i="7"/>
  <c r="AG3461" i="7"/>
  <c r="V3461" i="7"/>
  <c r="F3461" i="7"/>
  <c r="D3461" i="7"/>
  <c r="AN3460" i="7"/>
  <c r="AI3460" i="7"/>
  <c r="AG3460" i="7"/>
  <c r="X3460" i="7"/>
  <c r="Y3460" i="7" s="1"/>
  <c r="Z3460" i="7" s="1"/>
  <c r="F3460" i="7"/>
  <c r="D3460" i="7"/>
  <c r="AN3459" i="7"/>
  <c r="AI3459" i="7"/>
  <c r="AG3459" i="7"/>
  <c r="Y3459" i="7"/>
  <c r="Z3459" i="7" s="1"/>
  <c r="AE3459" i="7" s="1"/>
  <c r="AF3459" i="7" s="1"/>
  <c r="F3459" i="7"/>
  <c r="D3459" i="7"/>
  <c r="AN3458" i="7"/>
  <c r="AG3458" i="7"/>
  <c r="W3458" i="7"/>
  <c r="V3458" i="7"/>
  <c r="AI3458" i="7" s="1"/>
  <c r="F3458" i="7"/>
  <c r="D3458" i="7"/>
  <c r="AN3457" i="7"/>
  <c r="AG3457" i="7"/>
  <c r="X3457" i="7"/>
  <c r="W3457" i="7"/>
  <c r="V3457" i="7"/>
  <c r="F3457" i="7"/>
  <c r="D3457" i="7"/>
  <c r="AN3456" i="7"/>
  <c r="AG3456" i="7"/>
  <c r="W3456" i="7"/>
  <c r="V3456" i="7"/>
  <c r="F3456" i="7"/>
  <c r="D3456" i="7"/>
  <c r="AN3455" i="7"/>
  <c r="AG3455" i="7"/>
  <c r="X3455" i="7"/>
  <c r="W3455" i="7"/>
  <c r="V3455" i="7"/>
  <c r="AI3455" i="7" s="1"/>
  <c r="F3455" i="7"/>
  <c r="D3455" i="7"/>
  <c r="AN3454" i="7"/>
  <c r="AG3454" i="7"/>
  <c r="W3454" i="7"/>
  <c r="V3454" i="7"/>
  <c r="AI3454" i="7" s="1"/>
  <c r="F3454" i="7"/>
  <c r="D3454" i="7"/>
  <c r="AN3453" i="7"/>
  <c r="AG3453" i="7"/>
  <c r="X3453" i="7"/>
  <c r="W3453" i="7"/>
  <c r="V3453" i="7"/>
  <c r="F3453" i="7"/>
  <c r="D3453" i="7"/>
  <c r="AN3452" i="7"/>
  <c r="AG3452" i="7"/>
  <c r="X3452" i="7"/>
  <c r="W3452" i="7"/>
  <c r="V3452" i="7"/>
  <c r="AI3452" i="7" s="1"/>
  <c r="F3452" i="7"/>
  <c r="D3452" i="7"/>
  <c r="AN3451" i="7"/>
  <c r="AG3451" i="7"/>
  <c r="X3451" i="7"/>
  <c r="V3451" i="7"/>
  <c r="AI3451" i="7" s="1"/>
  <c r="F3451" i="7"/>
  <c r="D3451" i="7"/>
  <c r="AN3450" i="7"/>
  <c r="AG3450" i="7"/>
  <c r="W3450" i="7"/>
  <c r="V3450" i="7"/>
  <c r="AI3450" i="7" s="1"/>
  <c r="F3450" i="7"/>
  <c r="D3450" i="7"/>
  <c r="AN3449" i="7"/>
  <c r="AG3449" i="7"/>
  <c r="X3449" i="7"/>
  <c r="W3449" i="7"/>
  <c r="V3449" i="7"/>
  <c r="AI3449" i="7" s="1"/>
  <c r="F3449" i="7"/>
  <c r="D3449" i="7"/>
  <c r="AN3448" i="7"/>
  <c r="AG3448" i="7"/>
  <c r="X3448" i="7"/>
  <c r="V3448" i="7"/>
  <c r="AI3448" i="7" s="1"/>
  <c r="F3448" i="7"/>
  <c r="D3448" i="7"/>
  <c r="AN3447" i="7"/>
  <c r="AI3447" i="7"/>
  <c r="AG3447" i="7"/>
  <c r="W3447" i="7"/>
  <c r="Y3447" i="7" s="1"/>
  <c r="Z3447" i="7" s="1"/>
  <c r="F3447" i="7"/>
  <c r="D3447" i="7"/>
  <c r="AN3446" i="7"/>
  <c r="AG3446" i="7"/>
  <c r="V3446" i="7"/>
  <c r="AI3446" i="7" s="1"/>
  <c r="F3446" i="7"/>
  <c r="D3446" i="7"/>
  <c r="AN3445" i="7"/>
  <c r="AI3445" i="7"/>
  <c r="AG3445" i="7"/>
  <c r="X3445" i="7"/>
  <c r="W3445" i="7"/>
  <c r="F3445" i="7"/>
  <c r="D3445" i="7"/>
  <c r="AN3444" i="7"/>
  <c r="AG3444" i="7"/>
  <c r="X3444" i="7"/>
  <c r="W3444" i="7"/>
  <c r="V3444" i="7"/>
  <c r="F3444" i="7"/>
  <c r="D3444" i="7"/>
  <c r="AN3443" i="7"/>
  <c r="AM3443" i="7"/>
  <c r="AA3443" i="7"/>
  <c r="F3443" i="7"/>
  <c r="D3443" i="7"/>
  <c r="AN3442" i="7"/>
  <c r="AG3442" i="7"/>
  <c r="X3442" i="7"/>
  <c r="V3442" i="7"/>
  <c r="AI3442" i="7" s="1"/>
  <c r="F3442" i="7"/>
  <c r="D3442" i="7"/>
  <c r="AN3441" i="7"/>
  <c r="AG3441" i="7"/>
  <c r="X3441" i="7"/>
  <c r="V3441" i="7"/>
  <c r="AI3441" i="7" s="1"/>
  <c r="F3441" i="7"/>
  <c r="D3441" i="7"/>
  <c r="AN3440" i="7"/>
  <c r="AI3440" i="7"/>
  <c r="AG3440" i="7"/>
  <c r="X3440" i="7"/>
  <c r="W3440" i="7"/>
  <c r="F3440" i="7"/>
  <c r="D3440" i="7"/>
  <c r="AN3439" i="7"/>
  <c r="AG3439" i="7"/>
  <c r="X3439" i="7"/>
  <c r="W3439" i="7"/>
  <c r="V3439" i="7"/>
  <c r="F3439" i="7"/>
  <c r="D3439" i="7"/>
  <c r="AN3438" i="7"/>
  <c r="AG3438" i="7"/>
  <c r="W3438" i="7"/>
  <c r="V3438" i="7"/>
  <c r="AI3438" i="7" s="1"/>
  <c r="F3438" i="7"/>
  <c r="D3438" i="7"/>
  <c r="AN3437" i="7"/>
  <c r="AG3437" i="7"/>
  <c r="W3437" i="7"/>
  <c r="V3437" i="7"/>
  <c r="F3437" i="7"/>
  <c r="D3437" i="7"/>
  <c r="AN3436" i="7"/>
  <c r="AI3436" i="7"/>
  <c r="AG3436" i="7"/>
  <c r="Y3436" i="7"/>
  <c r="Z3436" i="7" s="1"/>
  <c r="F3436" i="7"/>
  <c r="D3436" i="7"/>
  <c r="AN3435" i="7"/>
  <c r="AG3435" i="7"/>
  <c r="W3435" i="7"/>
  <c r="V3435" i="7"/>
  <c r="AI3435" i="7" s="1"/>
  <c r="F3435" i="7"/>
  <c r="D3435" i="7"/>
  <c r="AN3434" i="7"/>
  <c r="AG3434" i="7"/>
  <c r="X3434" i="7"/>
  <c r="V3434" i="7"/>
  <c r="AI3434" i="7" s="1"/>
  <c r="F3434" i="7"/>
  <c r="D3434" i="7"/>
  <c r="AN3433" i="7"/>
  <c r="AG3433" i="7"/>
  <c r="X3433" i="7"/>
  <c r="V3433" i="7"/>
  <c r="AI3433" i="7" s="1"/>
  <c r="F3433" i="7"/>
  <c r="D3433" i="7"/>
  <c r="AN3432" i="7"/>
  <c r="AI3432" i="7"/>
  <c r="AG3432" i="7"/>
  <c r="X3432" i="7"/>
  <c r="W3432" i="7"/>
  <c r="F3432" i="7"/>
  <c r="D3432" i="7"/>
  <c r="AN3431" i="7"/>
  <c r="AI3431" i="7"/>
  <c r="AG3431" i="7"/>
  <c r="W3431" i="7"/>
  <c r="Y3431" i="7" s="1"/>
  <c r="Z3431" i="7" s="1"/>
  <c r="AE3431" i="7" s="1"/>
  <c r="AF3431" i="7" s="1"/>
  <c r="F3431" i="7"/>
  <c r="D3431" i="7"/>
  <c r="AN3430" i="7"/>
  <c r="AI3430" i="7"/>
  <c r="AG3430" i="7"/>
  <c r="W3430" i="7"/>
  <c r="Y3430" i="7" s="1"/>
  <c r="Z3430" i="7" s="1"/>
  <c r="F3430" i="7"/>
  <c r="D3430" i="7"/>
  <c r="AN3429" i="7"/>
  <c r="AI3429" i="7"/>
  <c r="AG3429" i="7"/>
  <c r="W3429" i="7"/>
  <c r="Y3429" i="7" s="1"/>
  <c r="Z3429" i="7" s="1"/>
  <c r="AA3429" i="7" s="1"/>
  <c r="F3429" i="7"/>
  <c r="D3429" i="7"/>
  <c r="AN3428" i="7"/>
  <c r="AG3428" i="7"/>
  <c r="X3428" i="7"/>
  <c r="V3428" i="7"/>
  <c r="F3428" i="7"/>
  <c r="D3428" i="7"/>
  <c r="AN3427" i="7"/>
  <c r="AI3427" i="7"/>
  <c r="AG3427" i="7"/>
  <c r="X3427" i="7"/>
  <c r="W3427" i="7"/>
  <c r="F3427" i="7"/>
  <c r="D3427" i="7"/>
  <c r="AN3426" i="7"/>
  <c r="AG3426" i="7"/>
  <c r="X3426" i="7"/>
  <c r="W3426" i="7"/>
  <c r="V3426" i="7"/>
  <c r="AI3426" i="7" s="1"/>
  <c r="F3426" i="7"/>
  <c r="D3426" i="7"/>
  <c r="AN3425" i="7"/>
  <c r="AI3425" i="7"/>
  <c r="AG3425" i="7"/>
  <c r="Y3425" i="7"/>
  <c r="Z3425" i="7" s="1"/>
  <c r="AA3425" i="7" s="1"/>
  <c r="F3425" i="7"/>
  <c r="D3425" i="7"/>
  <c r="AN3424" i="7"/>
  <c r="AG3424" i="7"/>
  <c r="W3424" i="7"/>
  <c r="V3424" i="7"/>
  <c r="AI3424" i="7" s="1"/>
  <c r="F3424" i="7"/>
  <c r="D3424" i="7"/>
  <c r="AN3423" i="7"/>
  <c r="AM3423" i="7"/>
  <c r="AA3423" i="7"/>
  <c r="F3423" i="7"/>
  <c r="D3423" i="7"/>
  <c r="AN3422" i="7"/>
  <c r="AG3422" i="7"/>
  <c r="X3422" i="7"/>
  <c r="V3422" i="7"/>
  <c r="AI3422" i="7" s="1"/>
  <c r="F3422" i="7"/>
  <c r="D3422" i="7"/>
  <c r="AN3421" i="7"/>
  <c r="AG3421" i="7"/>
  <c r="X3421" i="7"/>
  <c r="V3421" i="7"/>
  <c r="AI3421" i="7" s="1"/>
  <c r="F3421" i="7"/>
  <c r="D3421" i="7"/>
  <c r="AN3420" i="7"/>
  <c r="AG3420" i="7"/>
  <c r="X3420" i="7"/>
  <c r="V3420" i="7"/>
  <c r="AI3420" i="7" s="1"/>
  <c r="F3420" i="7"/>
  <c r="D3420" i="7"/>
  <c r="AN3419" i="7"/>
  <c r="AG3419" i="7"/>
  <c r="W3419" i="7"/>
  <c r="V3419" i="7"/>
  <c r="AI3419" i="7" s="1"/>
  <c r="F3419" i="7"/>
  <c r="D3419" i="7"/>
  <c r="AN3418" i="7"/>
  <c r="AG3418" i="7"/>
  <c r="W3418" i="7"/>
  <c r="V3418" i="7"/>
  <c r="AI3418" i="7" s="1"/>
  <c r="F3418" i="7"/>
  <c r="D3418" i="7"/>
  <c r="AN3417" i="7"/>
  <c r="AG3417" i="7"/>
  <c r="X3417" i="7"/>
  <c r="W3417" i="7"/>
  <c r="V3417" i="7"/>
  <c r="AI3417" i="7" s="1"/>
  <c r="F3417" i="7"/>
  <c r="D3417" i="7"/>
  <c r="AN3416" i="7"/>
  <c r="AI3416" i="7"/>
  <c r="AG3416" i="7"/>
  <c r="X3416" i="7"/>
  <c r="W3416" i="7"/>
  <c r="F3416" i="7"/>
  <c r="D3416" i="7"/>
  <c r="AN3415" i="7"/>
  <c r="AG3415" i="7"/>
  <c r="W3415" i="7"/>
  <c r="V3415" i="7"/>
  <c r="AI3415" i="7" s="1"/>
  <c r="F3415" i="7"/>
  <c r="D3415" i="7"/>
  <c r="AN3414" i="7"/>
  <c r="AG3414" i="7"/>
  <c r="W3414" i="7"/>
  <c r="V3414" i="7"/>
  <c r="AI3414" i="7" s="1"/>
  <c r="F3414" i="7"/>
  <c r="D3414" i="7"/>
  <c r="AN3413" i="7"/>
  <c r="AG3413" i="7"/>
  <c r="X3413" i="7"/>
  <c r="W3413" i="7"/>
  <c r="V3413" i="7"/>
  <c r="F3413" i="7"/>
  <c r="D3413" i="7"/>
  <c r="AN3412" i="7"/>
  <c r="AG3412" i="7"/>
  <c r="X3412" i="7"/>
  <c r="W3412" i="7"/>
  <c r="V3412" i="7"/>
  <c r="F3412" i="7"/>
  <c r="D3412" i="7"/>
  <c r="AN3411" i="7"/>
  <c r="AG3411" i="7"/>
  <c r="V3411" i="7"/>
  <c r="Y3411" i="7" s="1"/>
  <c r="Z3411" i="7" s="1"/>
  <c r="F3411" i="7"/>
  <c r="D3411" i="7"/>
  <c r="AN3410" i="7"/>
  <c r="AI3410" i="7"/>
  <c r="AG3410" i="7"/>
  <c r="W3410" i="7"/>
  <c r="Y3410" i="7" s="1"/>
  <c r="Z3410" i="7" s="1"/>
  <c r="AA3410" i="7" s="1"/>
  <c r="F3410" i="7"/>
  <c r="D3410" i="7"/>
  <c r="AN3409" i="7"/>
  <c r="AG3409" i="7"/>
  <c r="W3409" i="7"/>
  <c r="V3409" i="7"/>
  <c r="AI3409" i="7" s="1"/>
  <c r="F3409" i="7"/>
  <c r="D3409" i="7"/>
  <c r="AN3408" i="7"/>
  <c r="AG3408" i="7"/>
  <c r="W3408" i="7"/>
  <c r="V3408" i="7"/>
  <c r="AI3408" i="7" s="1"/>
  <c r="F3408" i="7"/>
  <c r="D3408" i="7"/>
  <c r="AN3407" i="7"/>
  <c r="AG3407" i="7"/>
  <c r="W3407" i="7"/>
  <c r="V3407" i="7"/>
  <c r="AI3407" i="7" s="1"/>
  <c r="F3407" i="7"/>
  <c r="D3407" i="7"/>
  <c r="AN3406" i="7"/>
  <c r="AM3406" i="7"/>
  <c r="AA3406" i="7"/>
  <c r="F3406" i="7"/>
  <c r="D3406" i="7"/>
  <c r="AN3405" i="7"/>
  <c r="AM3405" i="7"/>
  <c r="AA3405" i="7"/>
  <c r="F3405" i="7"/>
  <c r="D3405" i="7"/>
  <c r="AN3404" i="7"/>
  <c r="AM3404" i="7"/>
  <c r="AA3404" i="7"/>
  <c r="F3404" i="7"/>
  <c r="D3404" i="7"/>
  <c r="AN3403" i="7"/>
  <c r="AM3403" i="7"/>
  <c r="AA3403" i="7"/>
  <c r="F3403" i="7"/>
  <c r="D3403" i="7"/>
  <c r="AN3402" i="7"/>
  <c r="AI3402" i="7"/>
  <c r="AG3402" i="7"/>
  <c r="W3402" i="7"/>
  <c r="Y3402" i="7" s="1"/>
  <c r="Z3402" i="7" s="1"/>
  <c r="F3402" i="7"/>
  <c r="D3402" i="7"/>
  <c r="AN3401" i="7"/>
  <c r="X3401" i="7"/>
  <c r="V3401" i="7"/>
  <c r="F3401" i="7"/>
  <c r="D3401" i="7"/>
  <c r="AN3400" i="7"/>
  <c r="X3400" i="7"/>
  <c r="W3400" i="7"/>
  <c r="V3400" i="7"/>
  <c r="F3400" i="7"/>
  <c r="D3400" i="7"/>
  <c r="AN3399" i="7"/>
  <c r="AI3399" i="7"/>
  <c r="AG3399" i="7"/>
  <c r="W3399" i="7"/>
  <c r="Y3399" i="7" s="1"/>
  <c r="Z3399" i="7" s="1"/>
  <c r="AA3399" i="7" s="1"/>
  <c r="F3399" i="7"/>
  <c r="D3399" i="7"/>
  <c r="AN3398" i="7"/>
  <c r="AG3398" i="7"/>
  <c r="X3398" i="7"/>
  <c r="W3398" i="7"/>
  <c r="V3398" i="7"/>
  <c r="AI3398" i="7" s="1"/>
  <c r="F3398" i="7"/>
  <c r="D3398" i="7"/>
  <c r="AN3397" i="7"/>
  <c r="W3397" i="7"/>
  <c r="V3397" i="7"/>
  <c r="F3397" i="7"/>
  <c r="D3397" i="7"/>
  <c r="AN3396" i="7"/>
  <c r="AG3396" i="7"/>
  <c r="X3396" i="7"/>
  <c r="W3396" i="7"/>
  <c r="V3396" i="7"/>
  <c r="AI3396" i="7" s="1"/>
  <c r="F3396" i="7"/>
  <c r="E3396" i="7"/>
  <c r="D3396" i="7"/>
  <c r="AN3395" i="7"/>
  <c r="AG3395" i="7"/>
  <c r="X3395" i="7"/>
  <c r="W3395" i="7"/>
  <c r="V3395" i="7"/>
  <c r="AI3395" i="7" s="1"/>
  <c r="F3395" i="7"/>
  <c r="E3395" i="7"/>
  <c r="D3395" i="7"/>
  <c r="AN3394" i="7"/>
  <c r="AG3394" i="7"/>
  <c r="X3394" i="7"/>
  <c r="V3394" i="7"/>
  <c r="AI3394" i="7" s="1"/>
  <c r="F3394" i="7"/>
  <c r="D3394" i="7"/>
  <c r="AN3393" i="7"/>
  <c r="AG3393" i="7"/>
  <c r="X3393" i="7"/>
  <c r="V3393" i="7"/>
  <c r="F3393" i="7"/>
  <c r="D3393" i="7"/>
  <c r="AN3392" i="7"/>
  <c r="AG3392" i="7"/>
  <c r="X3392" i="7"/>
  <c r="W3392" i="7"/>
  <c r="V3392" i="7"/>
  <c r="AI3392" i="7" s="1"/>
  <c r="F3392" i="7"/>
  <c r="D3392" i="7"/>
  <c r="AN3391" i="7"/>
  <c r="AG3391" i="7"/>
  <c r="W3391" i="7"/>
  <c r="V3391" i="7"/>
  <c r="AI3391" i="7" s="1"/>
  <c r="F3391" i="7"/>
  <c r="D3391" i="7"/>
  <c r="AN3390" i="7"/>
  <c r="AI3390" i="7"/>
  <c r="AG3390" i="7"/>
  <c r="X3390" i="7"/>
  <c r="Y3390" i="7" s="1"/>
  <c r="Z3390" i="7" s="1"/>
  <c r="AC3390" i="7" s="1"/>
  <c r="F3390" i="7"/>
  <c r="D3390" i="7"/>
  <c r="AN3389" i="7"/>
  <c r="AI3389" i="7"/>
  <c r="AG3389" i="7"/>
  <c r="X3389" i="7"/>
  <c r="W3389" i="7"/>
  <c r="F3389" i="7"/>
  <c r="D3389" i="7"/>
  <c r="AN3388" i="7"/>
  <c r="AM3388" i="7"/>
  <c r="AA3388" i="7"/>
  <c r="F3388" i="7"/>
  <c r="D3388" i="7"/>
  <c r="AN3387" i="7"/>
  <c r="AI3387" i="7"/>
  <c r="AG3387" i="7"/>
  <c r="Y3387" i="7"/>
  <c r="Z3387" i="7" s="1"/>
  <c r="F3387" i="7"/>
  <c r="D3387" i="7"/>
  <c r="AN3386" i="7"/>
  <c r="AI3386" i="7"/>
  <c r="AG3386" i="7"/>
  <c r="X3386" i="7"/>
  <c r="W3386" i="7"/>
  <c r="F3386" i="7"/>
  <c r="D3386" i="7"/>
  <c r="AN3385" i="7"/>
  <c r="AI3385" i="7"/>
  <c r="AG3385" i="7"/>
  <c r="Y3385" i="7"/>
  <c r="Z3385" i="7" s="1"/>
  <c r="F3385" i="7"/>
  <c r="D3385" i="7"/>
  <c r="AN3384" i="7"/>
  <c r="AI3384" i="7"/>
  <c r="AG3384" i="7"/>
  <c r="Y3384" i="7"/>
  <c r="Z3384" i="7" s="1"/>
  <c r="AC3384" i="7" s="1"/>
  <c r="F3384" i="7"/>
  <c r="D3384" i="7"/>
  <c r="AN3383" i="7"/>
  <c r="AG3383" i="7"/>
  <c r="W3383" i="7"/>
  <c r="V3383" i="7"/>
  <c r="AI3383" i="7" s="1"/>
  <c r="F3383" i="7"/>
  <c r="D3383" i="7"/>
  <c r="AN3382" i="7"/>
  <c r="AG3382" i="7"/>
  <c r="W3382" i="7"/>
  <c r="V3382" i="7"/>
  <c r="AI3382" i="7" s="1"/>
  <c r="F3382" i="7"/>
  <c r="D3382" i="7"/>
  <c r="AN3381" i="7"/>
  <c r="AG3381" i="7"/>
  <c r="W3381" i="7"/>
  <c r="V3381" i="7"/>
  <c r="AI3381" i="7" s="1"/>
  <c r="F3381" i="7"/>
  <c r="D3381" i="7"/>
  <c r="AN3380" i="7"/>
  <c r="AG3380" i="7"/>
  <c r="W3380" i="7"/>
  <c r="V3380" i="7"/>
  <c r="AI3380" i="7" s="1"/>
  <c r="F3380" i="7"/>
  <c r="D3380" i="7"/>
  <c r="AN3379" i="7"/>
  <c r="AI3379" i="7"/>
  <c r="AG3379" i="7"/>
  <c r="W3379" i="7"/>
  <c r="Y3379" i="7" s="1"/>
  <c r="Z3379" i="7" s="1"/>
  <c r="F3379" i="7"/>
  <c r="D3379" i="7"/>
  <c r="AN3378" i="7"/>
  <c r="AG3378" i="7"/>
  <c r="W3378" i="7"/>
  <c r="V3378" i="7"/>
  <c r="AI3378" i="7" s="1"/>
  <c r="F3378" i="7"/>
  <c r="D3378" i="7"/>
  <c r="AN3377" i="7"/>
  <c r="AI3377" i="7"/>
  <c r="AG3377" i="7"/>
  <c r="W3377" i="7"/>
  <c r="Y3377" i="7" s="1"/>
  <c r="Z3377" i="7" s="1"/>
  <c r="AE3377" i="7" s="1"/>
  <c r="AF3377" i="7" s="1"/>
  <c r="F3377" i="7"/>
  <c r="D3377" i="7"/>
  <c r="AN3376" i="7"/>
  <c r="AI3376" i="7"/>
  <c r="AG3376" i="7"/>
  <c r="Y3376" i="7"/>
  <c r="Z3376" i="7" s="1"/>
  <c r="F3376" i="7"/>
  <c r="D3376" i="7"/>
  <c r="AN3375" i="7"/>
  <c r="AI3375" i="7"/>
  <c r="AG3375" i="7"/>
  <c r="X3375" i="7"/>
  <c r="W3375" i="7"/>
  <c r="F3375" i="7"/>
  <c r="D3375" i="7"/>
  <c r="AN3374" i="7"/>
  <c r="AG3374" i="7"/>
  <c r="W3374" i="7"/>
  <c r="V3374" i="7"/>
  <c r="F3374" i="7"/>
  <c r="D3374" i="7"/>
  <c r="AN3373" i="7"/>
  <c r="AG3373" i="7"/>
  <c r="W3373" i="7"/>
  <c r="V3373" i="7"/>
  <c r="AI3373" i="7" s="1"/>
  <c r="F3373" i="7"/>
  <c r="D3373" i="7"/>
  <c r="AN3372" i="7"/>
  <c r="AI3372" i="7"/>
  <c r="AG3372" i="7"/>
  <c r="W3372" i="7"/>
  <c r="Y3372" i="7" s="1"/>
  <c r="Z3372" i="7" s="1"/>
  <c r="AE3372" i="7" s="1"/>
  <c r="AF3372" i="7" s="1"/>
  <c r="F3372" i="7"/>
  <c r="D3372" i="7"/>
  <c r="AN3371" i="7"/>
  <c r="AI3371" i="7"/>
  <c r="AG3371" i="7"/>
  <c r="W3371" i="7"/>
  <c r="Y3371" i="7" s="1"/>
  <c r="Z3371" i="7" s="1"/>
  <c r="AA3371" i="7" s="1"/>
  <c r="F3371" i="7"/>
  <c r="D3371" i="7"/>
  <c r="AN3370" i="7"/>
  <c r="AM3370" i="7"/>
  <c r="AA3370" i="7"/>
  <c r="F3370" i="7"/>
  <c r="D3370" i="7"/>
  <c r="AN3369" i="7"/>
  <c r="AG3369" i="7"/>
  <c r="X3369" i="7"/>
  <c r="V3369" i="7"/>
  <c r="AI3369" i="7" s="1"/>
  <c r="F3369" i="7"/>
  <c r="D3369" i="7"/>
  <c r="AN3368" i="7"/>
  <c r="AI3368" i="7"/>
  <c r="AG3368" i="7"/>
  <c r="X3368" i="7"/>
  <c r="W3368" i="7"/>
  <c r="F3368" i="7"/>
  <c r="D3368" i="7"/>
  <c r="AN3367" i="7"/>
  <c r="AI3367" i="7"/>
  <c r="AG3367" i="7"/>
  <c r="Y3367" i="7"/>
  <c r="Z3367" i="7" s="1"/>
  <c r="F3367" i="7"/>
  <c r="D3367" i="7"/>
  <c r="AN3366" i="7"/>
  <c r="AI3366" i="7"/>
  <c r="AG3366" i="7"/>
  <c r="W3366" i="7"/>
  <c r="Y3366" i="7" s="1"/>
  <c r="Z3366" i="7" s="1"/>
  <c r="F3366" i="7"/>
  <c r="D3366" i="7"/>
  <c r="AN3365" i="7"/>
  <c r="AG3365" i="7"/>
  <c r="X3365" i="7"/>
  <c r="V3365" i="7"/>
  <c r="AI3365" i="7" s="1"/>
  <c r="F3365" i="7"/>
  <c r="D3365" i="7"/>
  <c r="AN3364" i="7"/>
  <c r="AG3364" i="7"/>
  <c r="X3364" i="7"/>
  <c r="V3364" i="7"/>
  <c r="AI3364" i="7" s="1"/>
  <c r="F3364" i="7"/>
  <c r="D3364" i="7"/>
  <c r="AN3363" i="7"/>
  <c r="AI3363" i="7"/>
  <c r="AG3363" i="7"/>
  <c r="X3363" i="7"/>
  <c r="Y3363" i="7" s="1"/>
  <c r="Z3363" i="7" s="1"/>
  <c r="F3363" i="7"/>
  <c r="D3363" i="7"/>
  <c r="AN3362" i="7"/>
  <c r="AG3362" i="7"/>
  <c r="X3362" i="7"/>
  <c r="V3362" i="7"/>
  <c r="AI3362" i="7" s="1"/>
  <c r="F3362" i="7"/>
  <c r="D3362" i="7"/>
  <c r="AN3361" i="7"/>
  <c r="AG3361" i="7"/>
  <c r="X3361" i="7"/>
  <c r="V3361" i="7"/>
  <c r="F3361" i="7"/>
  <c r="D3361" i="7"/>
  <c r="AN3360" i="7"/>
  <c r="AG3360" i="7"/>
  <c r="X3360" i="7"/>
  <c r="W3360" i="7"/>
  <c r="V3360" i="7"/>
  <c r="AI3360" i="7" s="1"/>
  <c r="F3360" i="7"/>
  <c r="E3360" i="7"/>
  <c r="D3360" i="7"/>
  <c r="AN3359" i="7"/>
  <c r="AI3359" i="7"/>
  <c r="AG3359" i="7"/>
  <c r="W3359" i="7"/>
  <c r="Y3359" i="7" s="1"/>
  <c r="Z3359" i="7" s="1"/>
  <c r="AE3359" i="7" s="1"/>
  <c r="AF3359" i="7" s="1"/>
  <c r="F3359" i="7"/>
  <c r="D3359" i="7"/>
  <c r="AN3358" i="7"/>
  <c r="AI3358" i="7"/>
  <c r="AG3358" i="7"/>
  <c r="X3358" i="7"/>
  <c r="Y3358" i="7" s="1"/>
  <c r="Z3358" i="7" s="1"/>
  <c r="F3358" i="7"/>
  <c r="D3358" i="7"/>
  <c r="AN3357" i="7"/>
  <c r="AG3357" i="7"/>
  <c r="X3357" i="7"/>
  <c r="V3357" i="7"/>
  <c r="AI3357" i="7" s="1"/>
  <c r="F3357" i="7"/>
  <c r="D3357" i="7"/>
  <c r="AN3356" i="7"/>
  <c r="AG3356" i="7"/>
  <c r="W3356" i="7"/>
  <c r="V3356" i="7"/>
  <c r="F3356" i="7"/>
  <c r="D3356" i="7"/>
  <c r="AN3355" i="7"/>
  <c r="AG3355" i="7"/>
  <c r="X3355" i="7"/>
  <c r="W3355" i="7"/>
  <c r="V3355" i="7"/>
  <c r="AI3355" i="7" s="1"/>
  <c r="F3355" i="7"/>
  <c r="D3355" i="7"/>
  <c r="AN3354" i="7"/>
  <c r="AI3354" i="7"/>
  <c r="AG3354" i="7"/>
  <c r="X3354" i="7"/>
  <c r="W3354" i="7"/>
  <c r="F3354" i="7"/>
  <c r="D3354" i="7"/>
  <c r="AN3353" i="7"/>
  <c r="AM3353" i="7"/>
  <c r="AA3353" i="7"/>
  <c r="F3353" i="7"/>
  <c r="D3353" i="7"/>
  <c r="AN3352" i="7"/>
  <c r="AM3352" i="7"/>
  <c r="AA3352" i="7"/>
  <c r="F3352" i="7"/>
  <c r="D3352" i="7"/>
  <c r="AN3351" i="7"/>
  <c r="AM3351" i="7"/>
  <c r="AA3351" i="7"/>
  <c r="F3351" i="7"/>
  <c r="D3351" i="7"/>
  <c r="AN3350" i="7"/>
  <c r="AM3350" i="7"/>
  <c r="AA3350" i="7"/>
  <c r="F3350" i="7"/>
  <c r="D3350" i="7"/>
  <c r="AN3349" i="7"/>
  <c r="AI3349" i="7"/>
  <c r="AG3349" i="7"/>
  <c r="AM3349" i="7" s="1"/>
  <c r="Y3349" i="7"/>
  <c r="Z3349" i="7" s="1"/>
  <c r="F3349" i="7"/>
  <c r="D3349" i="7"/>
  <c r="AN3348" i="7"/>
  <c r="AG3348" i="7"/>
  <c r="X3348" i="7"/>
  <c r="W3348" i="7"/>
  <c r="V3348" i="7"/>
  <c r="AI3348" i="7" s="1"/>
  <c r="F3348" i="7"/>
  <c r="D3348" i="7"/>
  <c r="AN3347" i="7"/>
  <c r="AI3347" i="7"/>
  <c r="AG3347" i="7"/>
  <c r="W3347" i="7"/>
  <c r="Y3347" i="7" s="1"/>
  <c r="Z3347" i="7" s="1"/>
  <c r="F3347" i="7"/>
  <c r="D3347" i="7"/>
  <c r="AN3346" i="7"/>
  <c r="AG3346" i="7"/>
  <c r="W3346" i="7"/>
  <c r="V3346" i="7"/>
  <c r="AI3346" i="7" s="1"/>
  <c r="F3346" i="7"/>
  <c r="D3346" i="7"/>
  <c r="AN3345" i="7"/>
  <c r="AG3345" i="7"/>
  <c r="X3345" i="7"/>
  <c r="W3345" i="7"/>
  <c r="V3345" i="7"/>
  <c r="AI3345" i="7" s="1"/>
  <c r="F3345" i="7"/>
  <c r="D3345" i="7"/>
  <c r="AN3344" i="7"/>
  <c r="AI3344" i="7"/>
  <c r="AG3344" i="7"/>
  <c r="AM3344" i="7" s="1"/>
  <c r="W3344" i="7"/>
  <c r="Y3344" i="7" s="1"/>
  <c r="Z3344" i="7" s="1"/>
  <c r="F3344" i="7"/>
  <c r="D3344" i="7"/>
  <c r="AN3343" i="7"/>
  <c r="AG3343" i="7"/>
  <c r="W3343" i="7"/>
  <c r="V3343" i="7"/>
  <c r="AI3343" i="7" s="1"/>
  <c r="F3343" i="7"/>
  <c r="D3343" i="7"/>
  <c r="AN3342" i="7"/>
  <c r="AI3342" i="7"/>
  <c r="AG3342" i="7"/>
  <c r="W3342" i="7"/>
  <c r="Y3342" i="7" s="1"/>
  <c r="Z3342" i="7" s="1"/>
  <c r="F3342" i="7"/>
  <c r="D3342" i="7"/>
  <c r="AN3341" i="7"/>
  <c r="AI3341" i="7"/>
  <c r="AG3341" i="7"/>
  <c r="Y3341" i="7"/>
  <c r="Z3341" i="7" s="1"/>
  <c r="AA3341" i="7" s="1"/>
  <c r="F3341" i="7"/>
  <c r="D3341" i="7"/>
  <c r="AN3340" i="7"/>
  <c r="AG3340" i="7"/>
  <c r="X3340" i="7"/>
  <c r="W3340" i="7"/>
  <c r="V3340" i="7"/>
  <c r="AI3340" i="7" s="1"/>
  <c r="F3340" i="7"/>
  <c r="D3340" i="7"/>
  <c r="AN3339" i="7"/>
  <c r="AI3339" i="7"/>
  <c r="AG3339" i="7"/>
  <c r="Y3339" i="7"/>
  <c r="Z3339" i="7" s="1"/>
  <c r="F3339" i="7"/>
  <c r="D3339" i="7"/>
  <c r="AN3338" i="7"/>
  <c r="AG3338" i="7"/>
  <c r="W3338" i="7"/>
  <c r="V3338" i="7"/>
  <c r="AI3338" i="7" s="1"/>
  <c r="F3338" i="7"/>
  <c r="D3338" i="7"/>
  <c r="AN3337" i="7"/>
  <c r="AG3337" i="7"/>
  <c r="V3337" i="7"/>
  <c r="Y3337" i="7" s="1"/>
  <c r="Z3337" i="7" s="1"/>
  <c r="AC3337" i="7" s="1"/>
  <c r="F3337" i="7"/>
  <c r="D3337" i="7"/>
  <c r="AN3336" i="7"/>
  <c r="AI3336" i="7"/>
  <c r="AG3336" i="7"/>
  <c r="AM3336" i="7" s="1"/>
  <c r="W3336" i="7"/>
  <c r="Y3336" i="7" s="1"/>
  <c r="Z3336" i="7" s="1"/>
  <c r="F3336" i="7"/>
  <c r="D3336" i="7"/>
  <c r="AN3335" i="7"/>
  <c r="AI3335" i="7"/>
  <c r="AG3335" i="7"/>
  <c r="Y3335" i="7"/>
  <c r="Z3335" i="7" s="1"/>
  <c r="F3335" i="7"/>
  <c r="D3335" i="7"/>
  <c r="AN3334" i="7"/>
  <c r="AI3334" i="7"/>
  <c r="AG3334" i="7"/>
  <c r="W3334" i="7"/>
  <c r="Y3334" i="7" s="1"/>
  <c r="Z3334" i="7" s="1"/>
  <c r="F3334" i="7"/>
  <c r="D3334" i="7"/>
  <c r="AN3333" i="7"/>
  <c r="AG3333" i="7"/>
  <c r="W3333" i="7"/>
  <c r="V3333" i="7"/>
  <c r="AI3333" i="7" s="1"/>
  <c r="F3333" i="7"/>
  <c r="D3333" i="7"/>
  <c r="AN3332" i="7"/>
  <c r="AI3332" i="7"/>
  <c r="AG3332" i="7"/>
  <c r="AH3332" i="7" s="1"/>
  <c r="Y3332" i="7"/>
  <c r="Z3332" i="7" s="1"/>
  <c r="AE3332" i="7" s="1"/>
  <c r="AF3332" i="7" s="1"/>
  <c r="F3332" i="7"/>
  <c r="D3332" i="7"/>
  <c r="AN3331" i="7"/>
  <c r="AI3331" i="7"/>
  <c r="AG3331" i="7"/>
  <c r="W3331" i="7"/>
  <c r="Y3331" i="7" s="1"/>
  <c r="Z3331" i="7" s="1"/>
  <c r="AC3331" i="7" s="1"/>
  <c r="F3331" i="7"/>
  <c r="D3331" i="7"/>
  <c r="AN3330" i="7"/>
  <c r="AI3330" i="7"/>
  <c r="AG3330" i="7"/>
  <c r="W3330" i="7"/>
  <c r="Y3330" i="7" s="1"/>
  <c r="Z3330" i="7" s="1"/>
  <c r="AC3330" i="7" s="1"/>
  <c r="F3330" i="7"/>
  <c r="D3330" i="7"/>
  <c r="AN3329" i="7"/>
  <c r="AG3329" i="7"/>
  <c r="W3329" i="7"/>
  <c r="V3329" i="7"/>
  <c r="F3329" i="7"/>
  <c r="D3329" i="7"/>
  <c r="AN3328" i="7"/>
  <c r="AI3328" i="7"/>
  <c r="AG3328" i="7"/>
  <c r="W3328" i="7"/>
  <c r="Y3328" i="7" s="1"/>
  <c r="Z3328" i="7" s="1"/>
  <c r="F3328" i="7"/>
  <c r="D3328" i="7"/>
  <c r="AN3327" i="7"/>
  <c r="AG3327" i="7"/>
  <c r="W3327" i="7"/>
  <c r="V3327" i="7"/>
  <c r="AI3327" i="7" s="1"/>
  <c r="F3327" i="7"/>
  <c r="D3327" i="7"/>
  <c r="AN3326" i="7"/>
  <c r="AG3326" i="7"/>
  <c r="X3326" i="7"/>
  <c r="W3326" i="7"/>
  <c r="V3326" i="7"/>
  <c r="AI3326" i="7" s="1"/>
  <c r="F3326" i="7"/>
  <c r="D3326" i="7"/>
  <c r="AN3325" i="7"/>
  <c r="AM3325" i="7"/>
  <c r="AA3325" i="7"/>
  <c r="F3325" i="7"/>
  <c r="D3325" i="7"/>
  <c r="AN3324" i="7"/>
  <c r="AG3324" i="7"/>
  <c r="W3324" i="7"/>
  <c r="V3324" i="7"/>
  <c r="F3324" i="7"/>
  <c r="D3324" i="7"/>
  <c r="AN3323" i="7"/>
  <c r="AG3323" i="7"/>
  <c r="W3323" i="7"/>
  <c r="V3323" i="7"/>
  <c r="F3323" i="7"/>
  <c r="D3323" i="7"/>
  <c r="AN3322" i="7"/>
  <c r="AG3322" i="7"/>
  <c r="X3322" i="7"/>
  <c r="V3322" i="7"/>
  <c r="AI3322" i="7" s="1"/>
  <c r="F3322" i="7"/>
  <c r="D3322" i="7"/>
  <c r="AN3321" i="7"/>
  <c r="AI3321" i="7"/>
  <c r="AG3321" i="7"/>
  <c r="X3321" i="7"/>
  <c r="W3321" i="7"/>
  <c r="F3321" i="7"/>
  <c r="D3321" i="7"/>
  <c r="AN3320" i="7"/>
  <c r="AG3320" i="7"/>
  <c r="W3320" i="7"/>
  <c r="V3320" i="7"/>
  <c r="AI3320" i="7" s="1"/>
  <c r="F3320" i="7"/>
  <c r="D3320" i="7"/>
  <c r="AN3319" i="7"/>
  <c r="AI3319" i="7"/>
  <c r="AG3319" i="7"/>
  <c r="Y3319" i="7"/>
  <c r="Z3319" i="7" s="1"/>
  <c r="F3319" i="7"/>
  <c r="D3319" i="7"/>
  <c r="AN3318" i="7"/>
  <c r="AI3318" i="7"/>
  <c r="AG3318" i="7"/>
  <c r="Y3318" i="7"/>
  <c r="Z3318" i="7" s="1"/>
  <c r="AA3318" i="7" s="1"/>
  <c r="F3318" i="7"/>
  <c r="D3318" i="7"/>
  <c r="AN3317" i="7"/>
  <c r="AG3317" i="7"/>
  <c r="X3317" i="7"/>
  <c r="W3317" i="7"/>
  <c r="V3317" i="7"/>
  <c r="AI3317" i="7" s="1"/>
  <c r="F3317" i="7"/>
  <c r="D3317" i="7"/>
  <c r="AN3316" i="7"/>
  <c r="AI3316" i="7"/>
  <c r="AG3316" i="7"/>
  <c r="Y3316" i="7"/>
  <c r="Z3316" i="7" s="1"/>
  <c r="AE3316" i="7" s="1"/>
  <c r="AF3316" i="7" s="1"/>
  <c r="F3316" i="7"/>
  <c r="D3316" i="7"/>
  <c r="AN3315" i="7"/>
  <c r="AG3315" i="7"/>
  <c r="W3315" i="7"/>
  <c r="V3315" i="7"/>
  <c r="AI3315" i="7" s="1"/>
  <c r="F3315" i="7"/>
  <c r="D3315" i="7"/>
  <c r="AN3314" i="7"/>
  <c r="AG3314" i="7"/>
  <c r="X3314" i="7"/>
  <c r="W3314" i="7"/>
  <c r="V3314" i="7"/>
  <c r="F3314" i="7"/>
  <c r="D3314" i="7"/>
  <c r="AN3313" i="7"/>
  <c r="AG3313" i="7"/>
  <c r="X3313" i="7"/>
  <c r="W3313" i="7"/>
  <c r="V3313" i="7"/>
  <c r="AI3313" i="7" s="1"/>
  <c r="F3313" i="7"/>
  <c r="D3313" i="7"/>
  <c r="AN3312" i="7"/>
  <c r="AI3312" i="7"/>
  <c r="AG3312" i="7"/>
  <c r="X3312" i="7"/>
  <c r="Y3312" i="7" s="1"/>
  <c r="Z3312" i="7" s="1"/>
  <c r="F3312" i="7"/>
  <c r="D3312" i="7"/>
  <c r="AN3311" i="7"/>
  <c r="AG3311" i="7"/>
  <c r="W3311" i="7"/>
  <c r="V3311" i="7"/>
  <c r="F3311" i="7"/>
  <c r="D3311" i="7"/>
  <c r="AN3310" i="7"/>
  <c r="AG3310" i="7"/>
  <c r="W3310" i="7"/>
  <c r="V3310" i="7"/>
  <c r="AI3310" i="7" s="1"/>
  <c r="F3310" i="7"/>
  <c r="D3310" i="7"/>
  <c r="AN3309" i="7"/>
  <c r="AG3309" i="7"/>
  <c r="W3309" i="7"/>
  <c r="V3309" i="7"/>
  <c r="AI3309" i="7" s="1"/>
  <c r="F3309" i="7"/>
  <c r="D3309" i="7"/>
  <c r="AN3308" i="7"/>
  <c r="AG3308" i="7"/>
  <c r="W3308" i="7"/>
  <c r="V3308" i="7"/>
  <c r="AI3308" i="7" s="1"/>
  <c r="F3308" i="7"/>
  <c r="D3308" i="7"/>
  <c r="AN3307" i="7"/>
  <c r="AG3307" i="7"/>
  <c r="X3307" i="7"/>
  <c r="W3307" i="7"/>
  <c r="V3307" i="7"/>
  <c r="AI3307" i="7" s="1"/>
  <c r="F3307" i="7"/>
  <c r="D3307" i="7"/>
  <c r="AN3306" i="7"/>
  <c r="AG3306" i="7"/>
  <c r="W3306" i="7"/>
  <c r="V3306" i="7"/>
  <c r="AI3306" i="7" s="1"/>
  <c r="F3306" i="7"/>
  <c r="D3306" i="7"/>
  <c r="AN3305" i="7"/>
  <c r="AG3305" i="7"/>
  <c r="W3305" i="7"/>
  <c r="V3305" i="7"/>
  <c r="AI3305" i="7" s="1"/>
  <c r="F3305" i="7"/>
  <c r="D3305" i="7"/>
  <c r="AN3304" i="7"/>
  <c r="AG3304" i="7"/>
  <c r="W3304" i="7"/>
  <c r="V3304" i="7"/>
  <c r="F3304" i="7"/>
  <c r="D3304" i="7"/>
  <c r="AN3303" i="7"/>
  <c r="AI3303" i="7"/>
  <c r="AG3303" i="7"/>
  <c r="W3303" i="7"/>
  <c r="Y3303" i="7" s="1"/>
  <c r="Z3303" i="7" s="1"/>
  <c r="AA3303" i="7" s="1"/>
  <c r="F3303" i="7"/>
  <c r="D3303" i="7"/>
  <c r="AN3302" i="7"/>
  <c r="AG3302" i="7"/>
  <c r="W3302" i="7"/>
  <c r="V3302" i="7"/>
  <c r="AI3302" i="7" s="1"/>
  <c r="F3302" i="7"/>
  <c r="D3302" i="7"/>
  <c r="AN3301" i="7"/>
  <c r="AG3301" i="7"/>
  <c r="W3301" i="7"/>
  <c r="V3301" i="7"/>
  <c r="AI3301" i="7" s="1"/>
  <c r="F3301" i="7"/>
  <c r="D3301" i="7"/>
  <c r="AN3300" i="7"/>
  <c r="AG3300" i="7"/>
  <c r="W3300" i="7"/>
  <c r="V3300" i="7"/>
  <c r="AI3300" i="7" s="1"/>
  <c r="F3300" i="7"/>
  <c r="D3300" i="7"/>
  <c r="AN3299" i="7"/>
  <c r="AG3299" i="7"/>
  <c r="W3299" i="7"/>
  <c r="V3299" i="7"/>
  <c r="F3299" i="7"/>
  <c r="D3299" i="7"/>
  <c r="AN3298" i="7"/>
  <c r="AI3298" i="7"/>
  <c r="AG3298" i="7"/>
  <c r="W3298" i="7"/>
  <c r="Y3298" i="7" s="1"/>
  <c r="Z3298" i="7" s="1"/>
  <c r="F3298" i="7"/>
  <c r="D3298" i="7"/>
  <c r="AN3297" i="7"/>
  <c r="AG3297" i="7"/>
  <c r="W3297" i="7"/>
  <c r="V3297" i="7"/>
  <c r="AI3297" i="7" s="1"/>
  <c r="F3297" i="7"/>
  <c r="D3297" i="7"/>
  <c r="AN3296" i="7"/>
  <c r="AG3296" i="7"/>
  <c r="X3296" i="7"/>
  <c r="W3296" i="7"/>
  <c r="V3296" i="7"/>
  <c r="F3296" i="7"/>
  <c r="D3296" i="7"/>
  <c r="AN3295" i="7"/>
  <c r="AG3295" i="7"/>
  <c r="W3295" i="7"/>
  <c r="V3295" i="7"/>
  <c r="AI3295" i="7" s="1"/>
  <c r="AJ3295" i="7" s="1"/>
  <c r="F3295" i="7"/>
  <c r="D3295" i="7"/>
  <c r="AN3294" i="7"/>
  <c r="AG3294" i="7"/>
  <c r="W3294" i="7"/>
  <c r="V3294" i="7"/>
  <c r="AI3294" i="7" s="1"/>
  <c r="F3294" i="7"/>
  <c r="D3294" i="7"/>
  <c r="AN3293" i="7"/>
  <c r="AG3293" i="7"/>
  <c r="W3293" i="7"/>
  <c r="V3293" i="7"/>
  <c r="AI3293" i="7" s="1"/>
  <c r="F3293" i="7"/>
  <c r="D3293" i="7"/>
  <c r="AN3292" i="7"/>
  <c r="AI3292" i="7"/>
  <c r="AG3292" i="7"/>
  <c r="Y3292" i="7"/>
  <c r="Z3292" i="7" s="1"/>
  <c r="AE3292" i="7" s="1"/>
  <c r="AF3292" i="7" s="1"/>
  <c r="F3292" i="7"/>
  <c r="D3292" i="7"/>
  <c r="AN3291" i="7"/>
  <c r="AI3291" i="7"/>
  <c r="AG3291" i="7"/>
  <c r="W3291" i="7"/>
  <c r="Y3291" i="7" s="1"/>
  <c r="Z3291" i="7" s="1"/>
  <c r="F3291" i="7"/>
  <c r="D3291" i="7"/>
  <c r="AN3290" i="7"/>
  <c r="AG3290" i="7"/>
  <c r="X3290" i="7"/>
  <c r="W3290" i="7"/>
  <c r="V3290" i="7"/>
  <c r="AI3290" i="7" s="1"/>
  <c r="F3290" i="7"/>
  <c r="D3290" i="7"/>
  <c r="AN3289" i="7"/>
  <c r="AI3289" i="7"/>
  <c r="AG3289" i="7"/>
  <c r="Y3289" i="7"/>
  <c r="Z3289" i="7" s="1"/>
  <c r="F3289" i="7"/>
  <c r="D3289" i="7"/>
  <c r="AN3288" i="7"/>
  <c r="AG3288" i="7"/>
  <c r="W3288" i="7"/>
  <c r="V3288" i="7"/>
  <c r="F3288" i="7"/>
  <c r="D3288" i="7"/>
  <c r="AN3287" i="7"/>
  <c r="AI3287" i="7"/>
  <c r="AG3287" i="7"/>
  <c r="W3287" i="7"/>
  <c r="Y3287" i="7" s="1"/>
  <c r="Z3287" i="7" s="1"/>
  <c r="F3287" i="7"/>
  <c r="D3287" i="7"/>
  <c r="AN3286" i="7"/>
  <c r="AI3286" i="7"/>
  <c r="AG3286" i="7"/>
  <c r="X3286" i="7"/>
  <c r="Y3286" i="7" s="1"/>
  <c r="Z3286" i="7" s="1"/>
  <c r="F3286" i="7"/>
  <c r="D3286" i="7"/>
  <c r="AN3285" i="7"/>
  <c r="AI3285" i="7"/>
  <c r="AG3285" i="7"/>
  <c r="X3285" i="7"/>
  <c r="W3285" i="7"/>
  <c r="F3285" i="7"/>
  <c r="D3285" i="7"/>
  <c r="AN3284" i="7"/>
  <c r="AI3284" i="7"/>
  <c r="AG3284" i="7"/>
  <c r="X3284" i="7"/>
  <c r="Y3284" i="7" s="1"/>
  <c r="Z3284" i="7" s="1"/>
  <c r="F3284" i="7"/>
  <c r="D3284" i="7"/>
  <c r="AN3283" i="7"/>
  <c r="W3283" i="7"/>
  <c r="V3283" i="7"/>
  <c r="F3283" i="7"/>
  <c r="D3283" i="7"/>
  <c r="AN3282" i="7"/>
  <c r="W3282" i="7"/>
  <c r="V3282" i="7"/>
  <c r="F3282" i="7"/>
  <c r="D3282" i="7"/>
  <c r="AN3281" i="7"/>
  <c r="AI3281" i="7"/>
  <c r="AG3281" i="7"/>
  <c r="W3281" i="7"/>
  <c r="Y3281" i="7" s="1"/>
  <c r="Z3281" i="7" s="1"/>
  <c r="F3281" i="7"/>
  <c r="D3281" i="7"/>
  <c r="AN3280" i="7"/>
  <c r="AI3280" i="7"/>
  <c r="AG3280" i="7"/>
  <c r="X3280" i="7"/>
  <c r="Y3280" i="7" s="1"/>
  <c r="Z3280" i="7" s="1"/>
  <c r="AA3280" i="7" s="1"/>
  <c r="F3280" i="7"/>
  <c r="D3280" i="7"/>
  <c r="AN3279" i="7"/>
  <c r="AM3279" i="7"/>
  <c r="AA3279" i="7"/>
  <c r="F3279" i="7"/>
  <c r="D3279" i="7"/>
  <c r="AN3278" i="7"/>
  <c r="AG3278" i="7"/>
  <c r="X3278" i="7"/>
  <c r="V3278" i="7"/>
  <c r="F3278" i="7"/>
  <c r="D3278" i="7"/>
  <c r="AN3277" i="7"/>
  <c r="AG3277" i="7"/>
  <c r="X3277" i="7"/>
  <c r="W3277" i="7"/>
  <c r="V3277" i="7"/>
  <c r="AI3277" i="7" s="1"/>
  <c r="F3277" i="7"/>
  <c r="D3277" i="7"/>
  <c r="AN3276" i="7"/>
  <c r="AI3276" i="7"/>
  <c r="AG3276" i="7"/>
  <c r="W3276" i="7"/>
  <c r="Y3276" i="7" s="1"/>
  <c r="Z3276" i="7" s="1"/>
  <c r="F3276" i="7"/>
  <c r="D3276" i="7"/>
  <c r="AN3275" i="7"/>
  <c r="AI3275" i="7"/>
  <c r="AG3275" i="7"/>
  <c r="W3275" i="7"/>
  <c r="Y3275" i="7" s="1"/>
  <c r="Z3275" i="7" s="1"/>
  <c r="F3275" i="7"/>
  <c r="D3275" i="7"/>
  <c r="AN3274" i="7"/>
  <c r="AI3274" i="7"/>
  <c r="AG3274" i="7"/>
  <c r="X3274" i="7"/>
  <c r="W3274" i="7"/>
  <c r="F3274" i="7"/>
  <c r="D3274" i="7"/>
  <c r="AN3273" i="7"/>
  <c r="AG3273" i="7"/>
  <c r="W3273" i="7"/>
  <c r="V3273" i="7"/>
  <c r="F3273" i="7"/>
  <c r="D3273" i="7"/>
  <c r="AN3272" i="7"/>
  <c r="AG3272" i="7"/>
  <c r="W3272" i="7"/>
  <c r="V3272" i="7"/>
  <c r="AI3272" i="7" s="1"/>
  <c r="F3272" i="7"/>
  <c r="D3272" i="7"/>
  <c r="AN3271" i="7"/>
  <c r="AG3271" i="7"/>
  <c r="V3271" i="7"/>
  <c r="F3271" i="7"/>
  <c r="D3271" i="7"/>
  <c r="AN3270" i="7"/>
  <c r="AI3270" i="7"/>
  <c r="AG3270" i="7"/>
  <c r="W3270" i="7"/>
  <c r="Y3270" i="7" s="1"/>
  <c r="Z3270" i="7" s="1"/>
  <c r="AA3270" i="7" s="1"/>
  <c r="F3270" i="7"/>
  <c r="D3270" i="7"/>
  <c r="AN3269" i="7"/>
  <c r="AI3269" i="7"/>
  <c r="AG3269" i="7"/>
  <c r="AM3269" i="7" s="1"/>
  <c r="W3269" i="7"/>
  <c r="Y3269" i="7" s="1"/>
  <c r="Z3269" i="7" s="1"/>
  <c r="F3269" i="7"/>
  <c r="D3269" i="7"/>
  <c r="AN3268" i="7"/>
  <c r="AI3268" i="7"/>
  <c r="AG3268" i="7"/>
  <c r="X3268" i="7"/>
  <c r="Y3268" i="7" s="1"/>
  <c r="Z3268" i="7" s="1"/>
  <c r="AA3268" i="7" s="1"/>
  <c r="F3268" i="7"/>
  <c r="D3268" i="7"/>
  <c r="AN3267" i="7"/>
  <c r="AG3267" i="7"/>
  <c r="X3267" i="7"/>
  <c r="V3267" i="7"/>
  <c r="AI3267" i="7" s="1"/>
  <c r="F3267" i="7"/>
  <c r="D3267" i="7"/>
  <c r="AN3266" i="7"/>
  <c r="AI3266" i="7"/>
  <c r="AG3266" i="7"/>
  <c r="W3266" i="7"/>
  <c r="Y3266" i="7" s="1"/>
  <c r="Z3266" i="7" s="1"/>
  <c r="F3266" i="7"/>
  <c r="D3266" i="7"/>
  <c r="AN3265" i="7"/>
  <c r="AG3265" i="7"/>
  <c r="W3265" i="7"/>
  <c r="V3265" i="7"/>
  <c r="AI3265" i="7" s="1"/>
  <c r="F3265" i="7"/>
  <c r="D3265" i="7"/>
  <c r="AN3264" i="7"/>
  <c r="AI3264" i="7"/>
  <c r="AG3264" i="7"/>
  <c r="W3264" i="7"/>
  <c r="Y3264" i="7" s="1"/>
  <c r="Z3264" i="7" s="1"/>
  <c r="F3264" i="7"/>
  <c r="D3264" i="7"/>
  <c r="AN3263" i="7"/>
  <c r="AI3263" i="7"/>
  <c r="AG3263" i="7"/>
  <c r="W3263" i="7"/>
  <c r="Y3263" i="7" s="1"/>
  <c r="Z3263" i="7" s="1"/>
  <c r="F3263" i="7"/>
  <c r="D3263" i="7"/>
  <c r="AN3262" i="7"/>
  <c r="AG3262" i="7"/>
  <c r="W3262" i="7"/>
  <c r="V3262" i="7"/>
  <c r="AI3262" i="7" s="1"/>
  <c r="F3262" i="7"/>
  <c r="D3262" i="7"/>
  <c r="AN3261" i="7"/>
  <c r="AI3261" i="7"/>
  <c r="AG3261" i="7"/>
  <c r="Y3261" i="7"/>
  <c r="Z3261" i="7" s="1"/>
  <c r="AE3261" i="7" s="1"/>
  <c r="AF3261" i="7" s="1"/>
  <c r="F3261" i="7"/>
  <c r="D3261" i="7"/>
  <c r="AN3260" i="7"/>
  <c r="AI3260" i="7"/>
  <c r="AG3260" i="7"/>
  <c r="W3260" i="7"/>
  <c r="Y3260" i="7" s="1"/>
  <c r="Z3260" i="7" s="1"/>
  <c r="F3260" i="7"/>
  <c r="D3260" i="7"/>
  <c r="AN3259" i="7"/>
  <c r="AI3259" i="7"/>
  <c r="AG3259" i="7"/>
  <c r="W3259" i="7"/>
  <c r="Y3259" i="7" s="1"/>
  <c r="Z3259" i="7" s="1"/>
  <c r="F3259" i="7"/>
  <c r="D3259" i="7"/>
  <c r="AN3258" i="7"/>
  <c r="AI3258" i="7"/>
  <c r="AG3258" i="7"/>
  <c r="W3258" i="7"/>
  <c r="Y3258" i="7" s="1"/>
  <c r="Z3258" i="7" s="1"/>
  <c r="AA3258" i="7" s="1"/>
  <c r="F3258" i="7"/>
  <c r="D3258" i="7"/>
  <c r="AN3257" i="7"/>
  <c r="AG3257" i="7"/>
  <c r="W3257" i="7"/>
  <c r="V3257" i="7"/>
  <c r="AI3257" i="7" s="1"/>
  <c r="F3257" i="7"/>
  <c r="D3257" i="7"/>
  <c r="AN3256" i="7"/>
  <c r="AG3256" i="7"/>
  <c r="X3256" i="7"/>
  <c r="V3256" i="7"/>
  <c r="AI3256" i="7" s="1"/>
  <c r="F3256" i="7"/>
  <c r="D3256" i="7"/>
  <c r="AN3255" i="7"/>
  <c r="AG3255" i="7"/>
  <c r="X3255" i="7"/>
  <c r="W3255" i="7"/>
  <c r="V3255" i="7"/>
  <c r="F3255" i="7"/>
  <c r="D3255" i="7"/>
  <c r="AN3254" i="7"/>
  <c r="AG3254" i="7"/>
  <c r="X3254" i="7"/>
  <c r="W3254" i="7"/>
  <c r="V3254" i="7"/>
  <c r="AI3254" i="7" s="1"/>
  <c r="F3254" i="7"/>
  <c r="D3254" i="7"/>
  <c r="AN3253" i="7"/>
  <c r="AI3253" i="7"/>
  <c r="AG3253" i="7"/>
  <c r="W3253" i="7"/>
  <c r="Y3253" i="7" s="1"/>
  <c r="Z3253" i="7" s="1"/>
  <c r="F3253" i="7"/>
  <c r="D3253" i="7"/>
  <c r="AN3252" i="7"/>
  <c r="AG3252" i="7"/>
  <c r="V3252" i="7"/>
  <c r="F3252" i="7"/>
  <c r="D3252" i="7"/>
  <c r="AN3251" i="7"/>
  <c r="AG3251" i="7"/>
  <c r="W3251" i="7"/>
  <c r="V3251" i="7"/>
  <c r="AI3251" i="7" s="1"/>
  <c r="AJ3251" i="7" s="1"/>
  <c r="F3251" i="7"/>
  <c r="D3251" i="7"/>
  <c r="AN3250" i="7"/>
  <c r="AG3250" i="7"/>
  <c r="W3250" i="7"/>
  <c r="V3250" i="7"/>
  <c r="F3250" i="7"/>
  <c r="D3250" i="7"/>
  <c r="AN3249" i="7"/>
  <c r="AM3249" i="7"/>
  <c r="AA3249" i="7"/>
  <c r="F3249" i="7"/>
  <c r="D3249" i="7"/>
  <c r="AN3248" i="7"/>
  <c r="AG3248" i="7"/>
  <c r="X3248" i="7"/>
  <c r="V3248" i="7"/>
  <c r="AI3248" i="7" s="1"/>
  <c r="F3248" i="7"/>
  <c r="D3248" i="7"/>
  <c r="AN3247" i="7"/>
  <c r="AI3247" i="7"/>
  <c r="AG3247" i="7"/>
  <c r="W3247" i="7"/>
  <c r="Y3247" i="7" s="1"/>
  <c r="Z3247" i="7" s="1"/>
  <c r="F3247" i="7"/>
  <c r="D3247" i="7"/>
  <c r="AN3246" i="7"/>
  <c r="AI3246" i="7"/>
  <c r="AG3246" i="7"/>
  <c r="W3246" i="7"/>
  <c r="Y3246" i="7" s="1"/>
  <c r="Z3246" i="7" s="1"/>
  <c r="AE3246" i="7" s="1"/>
  <c r="AF3246" i="7" s="1"/>
  <c r="F3246" i="7"/>
  <c r="D3246" i="7"/>
  <c r="AN3245" i="7"/>
  <c r="AI3245" i="7"/>
  <c r="AG3245" i="7"/>
  <c r="AH3245" i="7" s="1"/>
  <c r="W3245" i="7"/>
  <c r="Y3245" i="7" s="1"/>
  <c r="Z3245" i="7" s="1"/>
  <c r="F3245" i="7"/>
  <c r="D3245" i="7"/>
  <c r="AN3244" i="7"/>
  <c r="AI3244" i="7"/>
  <c r="AG3244" i="7"/>
  <c r="Y3244" i="7"/>
  <c r="Z3244" i="7" s="1"/>
  <c r="AC3244" i="7" s="1"/>
  <c r="F3244" i="7"/>
  <c r="D3244" i="7"/>
  <c r="AN3243" i="7"/>
  <c r="AG3243" i="7"/>
  <c r="W3243" i="7"/>
  <c r="V3243" i="7"/>
  <c r="AI3243" i="7" s="1"/>
  <c r="F3243" i="7"/>
  <c r="D3243" i="7"/>
  <c r="AN3242" i="7"/>
  <c r="AG3242" i="7"/>
  <c r="W3242" i="7"/>
  <c r="V3242" i="7"/>
  <c r="AI3242" i="7" s="1"/>
  <c r="F3242" i="7"/>
  <c r="D3242" i="7"/>
  <c r="AN3241" i="7"/>
  <c r="AG3241" i="7"/>
  <c r="W3241" i="7"/>
  <c r="V3241" i="7"/>
  <c r="AI3241" i="7" s="1"/>
  <c r="F3241" i="7"/>
  <c r="D3241" i="7"/>
  <c r="AN3240" i="7"/>
  <c r="AG3240" i="7"/>
  <c r="W3240" i="7"/>
  <c r="V3240" i="7"/>
  <c r="AI3240" i="7" s="1"/>
  <c r="F3240" i="7"/>
  <c r="D3240" i="7"/>
  <c r="AN3239" i="7"/>
  <c r="AI3239" i="7"/>
  <c r="AG3239" i="7"/>
  <c r="Y3239" i="7"/>
  <c r="Z3239" i="7" s="1"/>
  <c r="AA3239" i="7" s="1"/>
  <c r="F3239" i="7"/>
  <c r="D3239" i="7"/>
  <c r="AN3238" i="7"/>
  <c r="AI3238" i="7"/>
  <c r="AG3238" i="7"/>
  <c r="W3238" i="7"/>
  <c r="Y3238" i="7" s="1"/>
  <c r="Z3238" i="7" s="1"/>
  <c r="AE3238" i="7" s="1"/>
  <c r="AF3238" i="7" s="1"/>
  <c r="F3238" i="7"/>
  <c r="D3238" i="7"/>
  <c r="AN3237" i="7"/>
  <c r="AI3237" i="7"/>
  <c r="AG3237" i="7"/>
  <c r="W3237" i="7"/>
  <c r="Y3237" i="7" s="1"/>
  <c r="Z3237" i="7" s="1"/>
  <c r="F3237" i="7"/>
  <c r="D3237" i="7"/>
  <c r="AN3236" i="7"/>
  <c r="AG3236" i="7"/>
  <c r="X3236" i="7"/>
  <c r="W3236" i="7"/>
  <c r="V3236" i="7"/>
  <c r="AI3236" i="7" s="1"/>
  <c r="F3236" i="7"/>
  <c r="D3236" i="7"/>
  <c r="AN3235" i="7"/>
  <c r="AG3235" i="7"/>
  <c r="V3235" i="7"/>
  <c r="AI3235" i="7" s="1"/>
  <c r="F3235" i="7"/>
  <c r="D3235" i="7"/>
  <c r="AN3234" i="7"/>
  <c r="AG3234" i="7"/>
  <c r="W3234" i="7"/>
  <c r="V3234" i="7"/>
  <c r="AI3234" i="7" s="1"/>
  <c r="F3234" i="7"/>
  <c r="D3234" i="7"/>
  <c r="AN3233" i="7"/>
  <c r="AG3233" i="7"/>
  <c r="W3233" i="7"/>
  <c r="V3233" i="7"/>
  <c r="AI3233" i="7" s="1"/>
  <c r="F3233" i="7"/>
  <c r="D3233" i="7"/>
  <c r="AN3232" i="7"/>
  <c r="AG3232" i="7"/>
  <c r="W3232" i="7"/>
  <c r="V3232" i="7"/>
  <c r="AI3232" i="7" s="1"/>
  <c r="F3232" i="7"/>
  <c r="D3232" i="7"/>
  <c r="AN3231" i="7"/>
  <c r="AG3231" i="7"/>
  <c r="W3231" i="7"/>
  <c r="V3231" i="7"/>
  <c r="AI3231" i="7" s="1"/>
  <c r="F3231" i="7"/>
  <c r="D3231" i="7"/>
  <c r="AN3230" i="7"/>
  <c r="AG3230" i="7"/>
  <c r="V3230" i="7"/>
  <c r="F3230" i="7"/>
  <c r="D3230" i="7"/>
  <c r="AN3229" i="7"/>
  <c r="AG3229" i="7"/>
  <c r="V3229" i="7"/>
  <c r="AI3229" i="7" s="1"/>
  <c r="F3229" i="7"/>
  <c r="D3229" i="7"/>
  <c r="AN3228" i="7"/>
  <c r="AG3228" i="7"/>
  <c r="V3228" i="7"/>
  <c r="F3228" i="7"/>
  <c r="D3228" i="7"/>
  <c r="AN3227" i="7"/>
  <c r="AG3227" i="7"/>
  <c r="W3227" i="7"/>
  <c r="V3227" i="7"/>
  <c r="AI3227" i="7" s="1"/>
  <c r="F3227" i="7"/>
  <c r="D3227" i="7"/>
  <c r="AN3226" i="7"/>
  <c r="AG3226" i="7"/>
  <c r="W3226" i="7"/>
  <c r="V3226" i="7"/>
  <c r="AI3226" i="7" s="1"/>
  <c r="F3226" i="7"/>
  <c r="D3226" i="7"/>
  <c r="AN3225" i="7"/>
  <c r="AI3225" i="7"/>
  <c r="AG3225" i="7"/>
  <c r="W3225" i="7"/>
  <c r="Y3225" i="7" s="1"/>
  <c r="Z3225" i="7" s="1"/>
  <c r="F3225" i="7"/>
  <c r="D3225" i="7"/>
  <c r="AN3224" i="7"/>
  <c r="AG3224" i="7"/>
  <c r="V3224" i="7"/>
  <c r="AI3224" i="7" s="1"/>
  <c r="F3224" i="7"/>
  <c r="D3224" i="7"/>
  <c r="AN3223" i="7"/>
  <c r="AG3223" i="7"/>
  <c r="X3223" i="7"/>
  <c r="W3223" i="7"/>
  <c r="V3223" i="7"/>
  <c r="AI3223" i="7" s="1"/>
  <c r="F3223" i="7"/>
  <c r="D3223" i="7"/>
  <c r="AN3222" i="7"/>
  <c r="AG3222" i="7"/>
  <c r="W3222" i="7"/>
  <c r="V3222" i="7"/>
  <c r="F3222" i="7"/>
  <c r="D3222" i="7"/>
  <c r="AN3221" i="7"/>
  <c r="AG3221" i="7"/>
  <c r="V3221" i="7"/>
  <c r="Y3221" i="7" s="1"/>
  <c r="Z3221" i="7" s="1"/>
  <c r="F3221" i="7"/>
  <c r="D3221" i="7"/>
  <c r="AN3220" i="7"/>
  <c r="AI3220" i="7"/>
  <c r="AG3220" i="7"/>
  <c r="X3220" i="7"/>
  <c r="Y3220" i="7" s="1"/>
  <c r="Z3220" i="7" s="1"/>
  <c r="F3220" i="7"/>
  <c r="D3220" i="7"/>
  <c r="AN3219" i="7"/>
  <c r="AG3219" i="7"/>
  <c r="V3219" i="7"/>
  <c r="F3219" i="7"/>
  <c r="D3219" i="7"/>
  <c r="AN3218" i="7"/>
  <c r="AI3218" i="7"/>
  <c r="AG3218" i="7"/>
  <c r="Y3218" i="7"/>
  <c r="Z3218" i="7" s="1"/>
  <c r="AA3218" i="7" s="1"/>
  <c r="F3218" i="7"/>
  <c r="D3218" i="7"/>
  <c r="AN3217" i="7"/>
  <c r="AM3217" i="7"/>
  <c r="AA3217" i="7"/>
  <c r="F3217" i="7"/>
  <c r="D3217" i="7"/>
  <c r="AN3216" i="7"/>
  <c r="AG3216" i="7"/>
  <c r="W3216" i="7"/>
  <c r="V3216" i="7"/>
  <c r="AI3216" i="7" s="1"/>
  <c r="F3216" i="7"/>
  <c r="D3216" i="7"/>
  <c r="AN3215" i="7"/>
  <c r="AI3215" i="7"/>
  <c r="AG3215" i="7"/>
  <c r="W3215" i="7"/>
  <c r="Y3215" i="7" s="1"/>
  <c r="Z3215" i="7" s="1"/>
  <c r="AA3215" i="7" s="1"/>
  <c r="F3215" i="7"/>
  <c r="D3215" i="7"/>
  <c r="AN3214" i="7"/>
  <c r="AI3214" i="7"/>
  <c r="AG3214" i="7"/>
  <c r="W3214" i="7"/>
  <c r="Y3214" i="7" s="1"/>
  <c r="Z3214" i="7" s="1"/>
  <c r="F3214" i="7"/>
  <c r="D3214" i="7"/>
  <c r="AN3213" i="7"/>
  <c r="AG3213" i="7"/>
  <c r="W3213" i="7"/>
  <c r="V3213" i="7"/>
  <c r="AI3213" i="7" s="1"/>
  <c r="F3213" i="7"/>
  <c r="D3213" i="7"/>
  <c r="AN3212" i="7"/>
  <c r="AG3212" i="7"/>
  <c r="W3212" i="7"/>
  <c r="V3212" i="7"/>
  <c r="AI3212" i="7" s="1"/>
  <c r="F3212" i="7"/>
  <c r="D3212" i="7"/>
  <c r="AN3211" i="7"/>
  <c r="AI3211" i="7"/>
  <c r="AG3211" i="7"/>
  <c r="Y3211" i="7"/>
  <c r="Z3211" i="7" s="1"/>
  <c r="F3211" i="7"/>
  <c r="D3211" i="7"/>
  <c r="AN3210" i="7"/>
  <c r="AI3210" i="7"/>
  <c r="AG3210" i="7"/>
  <c r="W3210" i="7"/>
  <c r="Y3210" i="7" s="1"/>
  <c r="Z3210" i="7" s="1"/>
  <c r="F3210" i="7"/>
  <c r="D3210" i="7"/>
  <c r="AN3209" i="7"/>
  <c r="AI3209" i="7"/>
  <c r="AG3209" i="7"/>
  <c r="Y3209" i="7"/>
  <c r="Z3209" i="7" s="1"/>
  <c r="AE3209" i="7" s="1"/>
  <c r="AF3209" i="7" s="1"/>
  <c r="F3209" i="7"/>
  <c r="D3209" i="7"/>
  <c r="AN3208" i="7"/>
  <c r="AI3208" i="7"/>
  <c r="AG3208" i="7"/>
  <c r="W3208" i="7"/>
  <c r="Y3208" i="7" s="1"/>
  <c r="Z3208" i="7" s="1"/>
  <c r="F3208" i="7"/>
  <c r="D3208" i="7"/>
  <c r="AN3207" i="7"/>
  <c r="AG3207" i="7"/>
  <c r="V3207" i="7"/>
  <c r="AI3207" i="7" s="1"/>
  <c r="F3207" i="7"/>
  <c r="D3207" i="7"/>
  <c r="AN3206" i="7"/>
  <c r="AI3206" i="7"/>
  <c r="AG3206" i="7"/>
  <c r="F3206" i="7"/>
  <c r="D3206" i="7"/>
  <c r="AN3205" i="7"/>
  <c r="AI3205" i="7"/>
  <c r="AG3205" i="7"/>
  <c r="AH3205" i="7" s="1"/>
  <c r="W3205" i="7"/>
  <c r="Y3205" i="7" s="1"/>
  <c r="Z3205" i="7" s="1"/>
  <c r="F3205" i="7"/>
  <c r="D3205" i="7"/>
  <c r="AN3204" i="7"/>
  <c r="AG3204" i="7"/>
  <c r="X3204" i="7"/>
  <c r="W3204" i="7"/>
  <c r="V3204" i="7"/>
  <c r="F3204" i="7"/>
  <c r="D3204" i="7"/>
  <c r="AN3203" i="7"/>
  <c r="AG3203" i="7"/>
  <c r="X3203" i="7"/>
  <c r="W3203" i="7"/>
  <c r="V3203" i="7"/>
  <c r="AI3203" i="7" s="1"/>
  <c r="F3203" i="7"/>
  <c r="D3203" i="7"/>
  <c r="AN3202" i="7"/>
  <c r="AG3202" i="7"/>
  <c r="W3202" i="7"/>
  <c r="V3202" i="7"/>
  <c r="AI3202" i="7" s="1"/>
  <c r="F3202" i="7"/>
  <c r="D3202" i="7"/>
  <c r="AN3201" i="7"/>
  <c r="AG3201" i="7"/>
  <c r="W3201" i="7"/>
  <c r="V3201" i="7"/>
  <c r="F3201" i="7"/>
  <c r="D3201" i="7"/>
  <c r="AN3200" i="7"/>
  <c r="AG3200" i="7"/>
  <c r="V3200" i="7"/>
  <c r="F3200" i="7"/>
  <c r="D3200" i="7"/>
  <c r="AN3199" i="7"/>
  <c r="AG3199" i="7"/>
  <c r="W3199" i="7"/>
  <c r="V3199" i="7"/>
  <c r="AI3199" i="7" s="1"/>
  <c r="F3199" i="7"/>
  <c r="D3199" i="7"/>
  <c r="AN3198" i="7"/>
  <c r="AG3198" i="7"/>
  <c r="V3198" i="7"/>
  <c r="Y3198" i="7" s="1"/>
  <c r="Z3198" i="7" s="1"/>
  <c r="AE3198" i="7" s="1"/>
  <c r="AF3198" i="7" s="1"/>
  <c r="F3198" i="7"/>
  <c r="D3198" i="7"/>
  <c r="AN3197" i="7"/>
  <c r="AG3197" i="7"/>
  <c r="V3197" i="7"/>
  <c r="F3197" i="7"/>
  <c r="D3197" i="7"/>
  <c r="AN3196" i="7"/>
  <c r="AG3196" i="7"/>
  <c r="W3196" i="7"/>
  <c r="V3196" i="7"/>
  <c r="F3196" i="7"/>
  <c r="D3196" i="7"/>
  <c r="AN3195" i="7"/>
  <c r="AI3195" i="7"/>
  <c r="AG3195" i="7"/>
  <c r="W3195" i="7"/>
  <c r="Y3195" i="7" s="1"/>
  <c r="Z3195" i="7" s="1"/>
  <c r="AA3195" i="7" s="1"/>
  <c r="F3195" i="7"/>
  <c r="D3195" i="7"/>
  <c r="AN3194" i="7"/>
  <c r="AG3194" i="7"/>
  <c r="W3194" i="7"/>
  <c r="V3194" i="7"/>
  <c r="F3194" i="7"/>
  <c r="D3194" i="7"/>
  <c r="AN3193" i="7"/>
  <c r="AI3193" i="7"/>
  <c r="AG3193" i="7"/>
  <c r="W3193" i="7"/>
  <c r="Y3193" i="7" s="1"/>
  <c r="Z3193" i="7" s="1"/>
  <c r="AH3193" i="7" s="1"/>
  <c r="F3193" i="7"/>
  <c r="D3193" i="7"/>
  <c r="AN3192" i="7"/>
  <c r="AI3192" i="7"/>
  <c r="AG3192" i="7"/>
  <c r="Y3192" i="7"/>
  <c r="Z3192" i="7" s="1"/>
  <c r="F3192" i="7"/>
  <c r="D3192" i="7"/>
  <c r="AN3191" i="7"/>
  <c r="AI3191" i="7"/>
  <c r="AG3191" i="7"/>
  <c r="W3191" i="7"/>
  <c r="Y3191" i="7" s="1"/>
  <c r="Z3191" i="7" s="1"/>
  <c r="F3191" i="7"/>
  <c r="D3191" i="7"/>
  <c r="AN3190" i="7"/>
  <c r="AI3190" i="7"/>
  <c r="AG3190" i="7"/>
  <c r="W3190" i="7"/>
  <c r="Y3190" i="7" s="1"/>
  <c r="Z3190" i="7" s="1"/>
  <c r="F3190" i="7"/>
  <c r="D3190" i="7"/>
  <c r="AN3189" i="7"/>
  <c r="AI3189" i="7"/>
  <c r="AG3189" i="7"/>
  <c r="W3189" i="7"/>
  <c r="Y3189" i="7" s="1"/>
  <c r="Z3189" i="7" s="1"/>
  <c r="F3189" i="7"/>
  <c r="D3189" i="7"/>
  <c r="AN3188" i="7"/>
  <c r="AI3188" i="7"/>
  <c r="AG3188" i="7"/>
  <c r="W3188" i="7"/>
  <c r="Y3188" i="7" s="1"/>
  <c r="Z3188" i="7" s="1"/>
  <c r="F3188" i="7"/>
  <c r="D3188" i="7"/>
  <c r="AN3187" i="7"/>
  <c r="AG3187" i="7"/>
  <c r="W3187" i="7"/>
  <c r="V3187" i="7"/>
  <c r="AI3187" i="7" s="1"/>
  <c r="AJ3187" i="7" s="1"/>
  <c r="F3187" i="7"/>
  <c r="D3187" i="7"/>
  <c r="AN3186" i="7"/>
  <c r="AI3186" i="7"/>
  <c r="AG3186" i="7"/>
  <c r="W3186" i="7"/>
  <c r="Y3186" i="7" s="1"/>
  <c r="Z3186" i="7" s="1"/>
  <c r="F3186" i="7"/>
  <c r="D3186" i="7"/>
  <c r="AN3185" i="7"/>
  <c r="AM3185" i="7"/>
  <c r="AA3185" i="7"/>
  <c r="F3185" i="7"/>
  <c r="D3185" i="7"/>
  <c r="AN3184" i="7"/>
  <c r="AG3184" i="7"/>
  <c r="V3184" i="7"/>
  <c r="AI3184" i="7" s="1"/>
  <c r="F3184" i="7"/>
  <c r="D3184" i="7"/>
  <c r="AN3183" i="7"/>
  <c r="AI3183" i="7"/>
  <c r="AG3183" i="7"/>
  <c r="W3183" i="7"/>
  <c r="Y3183" i="7" s="1"/>
  <c r="Z3183" i="7" s="1"/>
  <c r="F3183" i="7"/>
  <c r="D3183" i="7"/>
  <c r="AN3182" i="7"/>
  <c r="AI3182" i="7"/>
  <c r="AG3182" i="7"/>
  <c r="W3182" i="7"/>
  <c r="Y3182" i="7" s="1"/>
  <c r="Z3182" i="7" s="1"/>
  <c r="F3182" i="7"/>
  <c r="D3182" i="7"/>
  <c r="AN3181" i="7"/>
  <c r="AG3181" i="7"/>
  <c r="W3181" i="7"/>
  <c r="V3181" i="7"/>
  <c r="AI3181" i="7" s="1"/>
  <c r="F3181" i="7"/>
  <c r="D3181" i="7"/>
  <c r="AN3180" i="7"/>
  <c r="AG3180" i="7"/>
  <c r="X3180" i="7"/>
  <c r="V3180" i="7"/>
  <c r="AI3180" i="7" s="1"/>
  <c r="F3180" i="7"/>
  <c r="D3180" i="7"/>
  <c r="AN3179" i="7"/>
  <c r="AG3179" i="7"/>
  <c r="V3179" i="7"/>
  <c r="F3179" i="7"/>
  <c r="D3179" i="7"/>
  <c r="AN3178" i="7"/>
  <c r="AG3178" i="7"/>
  <c r="V3178" i="7"/>
  <c r="F3178" i="7"/>
  <c r="D3178" i="7"/>
  <c r="AN3177" i="7"/>
  <c r="AI3177" i="7"/>
  <c r="AG3177" i="7"/>
  <c r="W3177" i="7"/>
  <c r="Y3177" i="7" s="1"/>
  <c r="Z3177" i="7" s="1"/>
  <c r="F3177" i="7"/>
  <c r="D3177" i="7"/>
  <c r="AN3176" i="7"/>
  <c r="AG3176" i="7"/>
  <c r="W3176" i="7"/>
  <c r="V3176" i="7"/>
  <c r="AI3176" i="7" s="1"/>
  <c r="F3176" i="7"/>
  <c r="D3176" i="7"/>
  <c r="AN3175" i="7"/>
  <c r="AI3175" i="7"/>
  <c r="AG3175" i="7"/>
  <c r="W3175" i="7"/>
  <c r="Y3175" i="7" s="1"/>
  <c r="Z3175" i="7" s="1"/>
  <c r="F3175" i="7"/>
  <c r="D3175" i="7"/>
  <c r="AN3174" i="7"/>
  <c r="AG3174" i="7"/>
  <c r="W3174" i="7"/>
  <c r="V3174" i="7"/>
  <c r="AI3174" i="7" s="1"/>
  <c r="F3174" i="7"/>
  <c r="D3174" i="7"/>
  <c r="AN3173" i="7"/>
  <c r="AI3173" i="7"/>
  <c r="AG3173" i="7"/>
  <c r="Y3173" i="7"/>
  <c r="Z3173" i="7" s="1"/>
  <c r="AE3173" i="7" s="1"/>
  <c r="AF3173" i="7" s="1"/>
  <c r="F3173" i="7"/>
  <c r="D3173" i="7"/>
  <c r="AN3172" i="7"/>
  <c r="AI3172" i="7"/>
  <c r="AG3172" i="7"/>
  <c r="W3172" i="7"/>
  <c r="Y3172" i="7" s="1"/>
  <c r="Z3172" i="7" s="1"/>
  <c r="F3172" i="7"/>
  <c r="D3172" i="7"/>
  <c r="AN3171" i="7"/>
  <c r="AI3171" i="7"/>
  <c r="AG3171" i="7"/>
  <c r="AM3171" i="7" s="1"/>
  <c r="Y3171" i="7"/>
  <c r="Z3171" i="7" s="1"/>
  <c r="F3171" i="7"/>
  <c r="D3171" i="7"/>
  <c r="AN3170" i="7"/>
  <c r="AI3170" i="7"/>
  <c r="AG3170" i="7"/>
  <c r="W3170" i="7"/>
  <c r="Y3170" i="7" s="1"/>
  <c r="Z3170" i="7" s="1"/>
  <c r="F3170" i="7"/>
  <c r="D3170" i="7"/>
  <c r="AN3169" i="7"/>
  <c r="AI3169" i="7"/>
  <c r="AG3169" i="7"/>
  <c r="W3169" i="7"/>
  <c r="Y3169" i="7" s="1"/>
  <c r="Z3169" i="7" s="1"/>
  <c r="F3169" i="7"/>
  <c r="D3169" i="7"/>
  <c r="AN3168" i="7"/>
  <c r="AI3168" i="7"/>
  <c r="AG3168" i="7"/>
  <c r="W3168" i="7"/>
  <c r="Y3168" i="7" s="1"/>
  <c r="Z3168" i="7" s="1"/>
  <c r="AA3168" i="7" s="1"/>
  <c r="F3168" i="7"/>
  <c r="D3168" i="7"/>
  <c r="AN3167" i="7"/>
  <c r="AI3167" i="7"/>
  <c r="AG3167" i="7"/>
  <c r="Y3167" i="7"/>
  <c r="Z3167" i="7" s="1"/>
  <c r="F3167" i="7"/>
  <c r="D3167" i="7"/>
  <c r="AN3166" i="7"/>
  <c r="AI3166" i="7"/>
  <c r="AG3166" i="7"/>
  <c r="W3166" i="7"/>
  <c r="Y3166" i="7" s="1"/>
  <c r="Z3166" i="7" s="1"/>
  <c r="F3166" i="7"/>
  <c r="D3166" i="7"/>
  <c r="AN3165" i="7"/>
  <c r="AG3165" i="7"/>
  <c r="W3165" i="7"/>
  <c r="V3165" i="7"/>
  <c r="AI3165" i="7" s="1"/>
  <c r="F3165" i="7"/>
  <c r="E3165" i="7"/>
  <c r="D3165" i="7"/>
  <c r="AN3164" i="7"/>
  <c r="AG3164" i="7"/>
  <c r="W3164" i="7"/>
  <c r="V3164" i="7"/>
  <c r="AI3164" i="7" s="1"/>
  <c r="F3164" i="7"/>
  <c r="E3164" i="7"/>
  <c r="D3164" i="7"/>
  <c r="AN3163" i="7"/>
  <c r="AI3163" i="7"/>
  <c r="AG3163" i="7"/>
  <c r="W3163" i="7"/>
  <c r="Y3163" i="7" s="1"/>
  <c r="Z3163" i="7" s="1"/>
  <c r="F3163" i="7"/>
  <c r="D3163" i="7"/>
  <c r="AN3162" i="7"/>
  <c r="AI3162" i="7"/>
  <c r="AG3162" i="7"/>
  <c r="W3162" i="7"/>
  <c r="Y3162" i="7" s="1"/>
  <c r="Z3162" i="7" s="1"/>
  <c r="F3162" i="7"/>
  <c r="D3162" i="7"/>
  <c r="AN3161" i="7"/>
  <c r="AG3161" i="7"/>
  <c r="X3161" i="7"/>
  <c r="V3161" i="7"/>
  <c r="AI3161" i="7" s="1"/>
  <c r="F3161" i="7"/>
  <c r="D3161" i="7"/>
  <c r="AN3160" i="7"/>
  <c r="AI3160" i="7"/>
  <c r="AG3160" i="7"/>
  <c r="F3160" i="7"/>
  <c r="D3160" i="7"/>
  <c r="AN3159" i="7"/>
  <c r="AI3159" i="7"/>
  <c r="AG3159" i="7"/>
  <c r="X3159" i="7"/>
  <c r="Y3159" i="7" s="1"/>
  <c r="Z3159" i="7" s="1"/>
  <c r="F3159" i="7"/>
  <c r="D3159" i="7"/>
  <c r="AN3158" i="7"/>
  <c r="AG3158" i="7"/>
  <c r="W3158" i="7"/>
  <c r="V3158" i="7"/>
  <c r="AI3158" i="7" s="1"/>
  <c r="F3158" i="7"/>
  <c r="E3158" i="7"/>
  <c r="D3158" i="7"/>
  <c r="AN3157" i="7"/>
  <c r="AI3157" i="7"/>
  <c r="AG3157" i="7"/>
  <c r="W3157" i="7"/>
  <c r="Y3157" i="7" s="1"/>
  <c r="Z3157" i="7" s="1"/>
  <c r="AA3157" i="7" s="1"/>
  <c r="F3157" i="7"/>
  <c r="D3157" i="7"/>
  <c r="AN3156" i="7"/>
  <c r="AG3156" i="7"/>
  <c r="X3156" i="7"/>
  <c r="W3156" i="7"/>
  <c r="V3156" i="7"/>
  <c r="F3156" i="7"/>
  <c r="D3156" i="7"/>
  <c r="AN3155" i="7"/>
  <c r="AG3155" i="7"/>
  <c r="W3155" i="7"/>
  <c r="V3155" i="7"/>
  <c r="AI3155" i="7" s="1"/>
  <c r="F3155" i="7"/>
  <c r="D3155" i="7"/>
  <c r="AN3154" i="7"/>
  <c r="AG3154" i="7"/>
  <c r="W3154" i="7"/>
  <c r="V3154" i="7"/>
  <c r="AI3154" i="7" s="1"/>
  <c r="F3154" i="7"/>
  <c r="D3154" i="7"/>
  <c r="AN3153" i="7"/>
  <c r="AM3153" i="7"/>
  <c r="AA3153" i="7"/>
  <c r="F3153" i="7"/>
  <c r="D3153" i="7"/>
  <c r="AN3152" i="7"/>
  <c r="AI3152" i="7"/>
  <c r="AG3152" i="7"/>
  <c r="W3152" i="7"/>
  <c r="Y3152" i="7" s="1"/>
  <c r="Z3152" i="7" s="1"/>
  <c r="F3152" i="7"/>
  <c r="D3152" i="7"/>
  <c r="AN3151" i="7"/>
  <c r="AG3151" i="7"/>
  <c r="W3151" i="7"/>
  <c r="V3151" i="7"/>
  <c r="AI3151" i="7" s="1"/>
  <c r="F3151" i="7"/>
  <c r="D3151" i="7"/>
  <c r="AN3150" i="7"/>
  <c r="AG3150" i="7"/>
  <c r="X3150" i="7"/>
  <c r="V3150" i="7"/>
  <c r="F3150" i="7"/>
  <c r="D3150" i="7"/>
  <c r="AN3149" i="7"/>
  <c r="AG3149" i="7"/>
  <c r="X3149" i="7"/>
  <c r="V3149" i="7"/>
  <c r="AI3149" i="7" s="1"/>
  <c r="F3149" i="7"/>
  <c r="E3149" i="7"/>
  <c r="D3149" i="7"/>
  <c r="AN3148" i="7"/>
  <c r="AG3148" i="7"/>
  <c r="X3148" i="7"/>
  <c r="V3148" i="7"/>
  <c r="AI3148" i="7" s="1"/>
  <c r="F3148" i="7"/>
  <c r="E3148" i="7"/>
  <c r="D3148" i="7"/>
  <c r="AN3147" i="7"/>
  <c r="AG3147" i="7"/>
  <c r="W3147" i="7"/>
  <c r="V3147" i="7"/>
  <c r="AI3147" i="7" s="1"/>
  <c r="F3147" i="7"/>
  <c r="D3147" i="7"/>
  <c r="AN3146" i="7"/>
  <c r="AG3146" i="7"/>
  <c r="W3146" i="7"/>
  <c r="V3146" i="7"/>
  <c r="AI3146" i="7" s="1"/>
  <c r="F3146" i="7"/>
  <c r="D3146" i="7"/>
  <c r="AN3145" i="7"/>
  <c r="AG3145" i="7"/>
  <c r="W3145" i="7"/>
  <c r="V3145" i="7"/>
  <c r="AI3145" i="7" s="1"/>
  <c r="F3145" i="7"/>
  <c r="D3145" i="7"/>
  <c r="AN3144" i="7"/>
  <c r="AI3144" i="7"/>
  <c r="AG3144" i="7"/>
  <c r="W3144" i="7"/>
  <c r="Y3144" i="7" s="1"/>
  <c r="Z3144" i="7" s="1"/>
  <c r="AE3144" i="7" s="1"/>
  <c r="AF3144" i="7" s="1"/>
  <c r="F3144" i="7"/>
  <c r="D3144" i="7"/>
  <c r="AN3143" i="7"/>
  <c r="AG3143" i="7"/>
  <c r="V3143" i="7"/>
  <c r="AI3143" i="7" s="1"/>
  <c r="F3143" i="7"/>
  <c r="D3143" i="7"/>
  <c r="AN3142" i="7"/>
  <c r="AG3142" i="7"/>
  <c r="V3142" i="7"/>
  <c r="F3142" i="7"/>
  <c r="D3142" i="7"/>
  <c r="AN3141" i="7"/>
  <c r="AG3141" i="7"/>
  <c r="X3141" i="7"/>
  <c r="W3141" i="7"/>
  <c r="V3141" i="7"/>
  <c r="AI3141" i="7" s="1"/>
  <c r="F3141" i="7"/>
  <c r="D3141" i="7"/>
  <c r="AN3140" i="7"/>
  <c r="AG3140" i="7"/>
  <c r="X3140" i="7"/>
  <c r="V3140" i="7"/>
  <c r="AI3140" i="7" s="1"/>
  <c r="F3140" i="7"/>
  <c r="D3140" i="7"/>
  <c r="AN3139" i="7"/>
  <c r="AI3139" i="7"/>
  <c r="AG3139" i="7"/>
  <c r="W3139" i="7"/>
  <c r="Y3139" i="7" s="1"/>
  <c r="Z3139" i="7" s="1"/>
  <c r="AE3139" i="7" s="1"/>
  <c r="AF3139" i="7" s="1"/>
  <c r="F3139" i="7"/>
  <c r="D3139" i="7"/>
  <c r="AN3138" i="7"/>
  <c r="AI3138" i="7"/>
  <c r="AG3138" i="7"/>
  <c r="X3138" i="7"/>
  <c r="Y3138" i="7" s="1"/>
  <c r="Z3138" i="7" s="1"/>
  <c r="F3138" i="7"/>
  <c r="D3138" i="7"/>
  <c r="AN3137" i="7"/>
  <c r="AG3137" i="7"/>
  <c r="X3137" i="7"/>
  <c r="V3137" i="7"/>
  <c r="AI3137" i="7" s="1"/>
  <c r="F3137" i="7"/>
  <c r="D3137" i="7"/>
  <c r="AN3136" i="7"/>
  <c r="AG3136" i="7"/>
  <c r="X3136" i="7"/>
  <c r="V3136" i="7"/>
  <c r="AI3136" i="7" s="1"/>
  <c r="F3136" i="7"/>
  <c r="D3136" i="7"/>
  <c r="AN3135" i="7"/>
  <c r="AI3135" i="7"/>
  <c r="AG3135" i="7"/>
  <c r="Y3135" i="7"/>
  <c r="Z3135" i="7" s="1"/>
  <c r="AA3135" i="7" s="1"/>
  <c r="F3135" i="7"/>
  <c r="D3135" i="7"/>
  <c r="AN3134" i="7"/>
  <c r="AG3134" i="7"/>
  <c r="X3134" i="7"/>
  <c r="W3134" i="7"/>
  <c r="V3134" i="7"/>
  <c r="AI3134" i="7" s="1"/>
  <c r="F3134" i="7"/>
  <c r="D3134" i="7"/>
  <c r="AN3133" i="7"/>
  <c r="AG3133" i="7"/>
  <c r="W3133" i="7"/>
  <c r="V3133" i="7"/>
  <c r="F3133" i="7"/>
  <c r="D3133" i="7"/>
  <c r="AN3132" i="7"/>
  <c r="AI3132" i="7"/>
  <c r="AG3132" i="7"/>
  <c r="W3132" i="7"/>
  <c r="Y3132" i="7" s="1"/>
  <c r="Z3132" i="7" s="1"/>
  <c r="F3132" i="7"/>
  <c r="D3132" i="7"/>
  <c r="AN3131" i="7"/>
  <c r="X3131" i="7"/>
  <c r="V3131" i="7"/>
  <c r="F3131" i="7"/>
  <c r="D3131" i="7"/>
  <c r="AN3130" i="7"/>
  <c r="AG3130" i="7"/>
  <c r="W3130" i="7"/>
  <c r="V3130" i="7"/>
  <c r="AI3130" i="7" s="1"/>
  <c r="F3130" i="7"/>
  <c r="D3130" i="7"/>
  <c r="AN3129" i="7"/>
  <c r="AG3129" i="7"/>
  <c r="V3129" i="7"/>
  <c r="F3129" i="7"/>
  <c r="D3129" i="7"/>
  <c r="AN3128" i="7"/>
  <c r="AM3128" i="7"/>
  <c r="AA3128" i="7"/>
  <c r="F3128" i="7"/>
  <c r="D3128" i="7"/>
  <c r="AN3127" i="7"/>
  <c r="AG3127" i="7"/>
  <c r="W3127" i="7"/>
  <c r="V3127" i="7"/>
  <c r="AI3127" i="7" s="1"/>
  <c r="F3127" i="7"/>
  <c r="D3127" i="7"/>
  <c r="AN3126" i="7"/>
  <c r="AI3126" i="7"/>
  <c r="AG3126" i="7"/>
  <c r="Y3126" i="7"/>
  <c r="Z3126" i="7" s="1"/>
  <c r="F3126" i="7"/>
  <c r="D3126" i="7"/>
  <c r="AN3125" i="7"/>
  <c r="AI3125" i="7"/>
  <c r="AG3125" i="7"/>
  <c r="W3125" i="7"/>
  <c r="Y3125" i="7" s="1"/>
  <c r="Z3125" i="7" s="1"/>
  <c r="F3125" i="7"/>
  <c r="D3125" i="7"/>
  <c r="AN3124" i="7"/>
  <c r="AI3124" i="7"/>
  <c r="AG3124" i="7"/>
  <c r="Y3124" i="7"/>
  <c r="Z3124" i="7" s="1"/>
  <c r="AA3124" i="7" s="1"/>
  <c r="F3124" i="7"/>
  <c r="D3124" i="7"/>
  <c r="AN3123" i="7"/>
  <c r="AI3123" i="7"/>
  <c r="AG3123" i="7"/>
  <c r="AH3123" i="7" s="1"/>
  <c r="W3123" i="7"/>
  <c r="Y3123" i="7" s="1"/>
  <c r="Z3123" i="7" s="1"/>
  <c r="AA3123" i="7" s="1"/>
  <c r="F3123" i="7"/>
  <c r="D3123" i="7"/>
  <c r="AN3122" i="7"/>
  <c r="AI3122" i="7"/>
  <c r="AG3122" i="7"/>
  <c r="W3122" i="7"/>
  <c r="Y3122" i="7" s="1"/>
  <c r="Z3122" i="7" s="1"/>
  <c r="AC3122" i="7" s="1"/>
  <c r="F3122" i="7"/>
  <c r="D3122" i="7"/>
  <c r="AN3121" i="7"/>
  <c r="AI3121" i="7"/>
  <c r="AG3121" i="7"/>
  <c r="W3121" i="7"/>
  <c r="Y3121" i="7" s="1"/>
  <c r="Z3121" i="7" s="1"/>
  <c r="AE3121" i="7" s="1"/>
  <c r="AF3121" i="7" s="1"/>
  <c r="F3121" i="7"/>
  <c r="D3121" i="7"/>
  <c r="AN3120" i="7"/>
  <c r="AI3120" i="7"/>
  <c r="AG3120" i="7"/>
  <c r="Y3120" i="7"/>
  <c r="Z3120" i="7" s="1"/>
  <c r="AE3120" i="7" s="1"/>
  <c r="AF3120" i="7" s="1"/>
  <c r="F3120" i="7"/>
  <c r="D3120" i="7"/>
  <c r="AN3119" i="7"/>
  <c r="AI3119" i="7"/>
  <c r="AG3119" i="7"/>
  <c r="W3119" i="7"/>
  <c r="Y3119" i="7" s="1"/>
  <c r="Z3119" i="7" s="1"/>
  <c r="F3119" i="7"/>
  <c r="D3119" i="7"/>
  <c r="AN3118" i="7"/>
  <c r="AI3118" i="7"/>
  <c r="AG3118" i="7"/>
  <c r="Y3118" i="7"/>
  <c r="Z3118" i="7" s="1"/>
  <c r="F3118" i="7"/>
  <c r="D3118" i="7"/>
  <c r="AN3117" i="7"/>
  <c r="AI3117" i="7"/>
  <c r="AG3117" i="7"/>
  <c r="W3117" i="7"/>
  <c r="Y3117" i="7" s="1"/>
  <c r="Z3117" i="7" s="1"/>
  <c r="F3117" i="7"/>
  <c r="D3117" i="7"/>
  <c r="AN3116" i="7"/>
  <c r="AG3116" i="7"/>
  <c r="W3116" i="7"/>
  <c r="V3116" i="7"/>
  <c r="AI3116" i="7" s="1"/>
  <c r="F3116" i="7"/>
  <c r="D3116" i="7"/>
  <c r="AN3115" i="7"/>
  <c r="AI3115" i="7"/>
  <c r="AG3115" i="7"/>
  <c r="AH3115" i="7" s="1"/>
  <c r="Y3115" i="7"/>
  <c r="Z3115" i="7" s="1"/>
  <c r="F3115" i="7"/>
  <c r="D3115" i="7"/>
  <c r="AN3114" i="7"/>
  <c r="AM3114" i="7"/>
  <c r="AA3114" i="7"/>
  <c r="F3114" i="7"/>
  <c r="D3114" i="7"/>
  <c r="AN3113" i="7"/>
  <c r="AG3113" i="7"/>
  <c r="V3113" i="7"/>
  <c r="Y3113" i="7" s="1"/>
  <c r="Z3113" i="7" s="1"/>
  <c r="AE3113" i="7" s="1"/>
  <c r="AF3113" i="7" s="1"/>
  <c r="F3113" i="7"/>
  <c r="D3113" i="7"/>
  <c r="AN3112" i="7"/>
  <c r="AG3112" i="7"/>
  <c r="V3112" i="7"/>
  <c r="F3112" i="7"/>
  <c r="D3112" i="7"/>
  <c r="AN3111" i="7"/>
  <c r="AM3111" i="7"/>
  <c r="AA3111" i="7"/>
  <c r="F3111" i="7"/>
  <c r="D3111" i="7"/>
  <c r="AN3110" i="7"/>
  <c r="AG3110" i="7"/>
  <c r="X3110" i="7"/>
  <c r="V3110" i="7"/>
  <c r="AI3110" i="7" s="1"/>
  <c r="F3110" i="7"/>
  <c r="D3110" i="7"/>
  <c r="AN3109" i="7"/>
  <c r="AI3109" i="7"/>
  <c r="AG3109" i="7"/>
  <c r="X3109" i="7"/>
  <c r="W3109" i="7"/>
  <c r="F3109" i="7"/>
  <c r="D3109" i="7"/>
  <c r="AN3108" i="7"/>
  <c r="AI3108" i="7"/>
  <c r="AG3108" i="7"/>
  <c r="Y3108" i="7"/>
  <c r="Z3108" i="7" s="1"/>
  <c r="F3108" i="7"/>
  <c r="D3108" i="7"/>
  <c r="AN3107" i="7"/>
  <c r="AI3107" i="7"/>
  <c r="AG3107" i="7"/>
  <c r="Y3107" i="7"/>
  <c r="Z3107" i="7" s="1"/>
  <c r="F3107" i="7"/>
  <c r="D3107" i="7"/>
  <c r="AN3106" i="7"/>
  <c r="AI3106" i="7"/>
  <c r="AG3106" i="7"/>
  <c r="Y3106" i="7"/>
  <c r="Z3106" i="7" s="1"/>
  <c r="F3106" i="7"/>
  <c r="D3106" i="7"/>
  <c r="AN3105" i="7"/>
  <c r="AG3105" i="7"/>
  <c r="V3105" i="7"/>
  <c r="F3105" i="7"/>
  <c r="D3105" i="7"/>
  <c r="AN3104" i="7"/>
  <c r="AG3104" i="7"/>
  <c r="V3104" i="7"/>
  <c r="F3104" i="7"/>
  <c r="D3104" i="7"/>
  <c r="AN3103" i="7"/>
  <c r="AI3103" i="7"/>
  <c r="AG3103" i="7"/>
  <c r="Y3103" i="7"/>
  <c r="Z3103" i="7" s="1"/>
  <c r="AC3103" i="7" s="1"/>
  <c r="F3103" i="7"/>
  <c r="D3103" i="7"/>
  <c r="AN3102" i="7"/>
  <c r="AG3102" i="7"/>
  <c r="W3102" i="7"/>
  <c r="V3102" i="7"/>
  <c r="F3102" i="7"/>
  <c r="D3102" i="7"/>
  <c r="AN3101" i="7"/>
  <c r="AG3101" i="7"/>
  <c r="V3101" i="7"/>
  <c r="AI3101" i="7" s="1"/>
  <c r="F3101" i="7"/>
  <c r="D3101" i="7"/>
  <c r="AN3100" i="7"/>
  <c r="AI3100" i="7"/>
  <c r="AG3100" i="7"/>
  <c r="Y3100" i="7"/>
  <c r="Z3100" i="7" s="1"/>
  <c r="F3100" i="7"/>
  <c r="D3100" i="7"/>
  <c r="AN3099" i="7"/>
  <c r="AG3099" i="7"/>
  <c r="W3099" i="7"/>
  <c r="V3099" i="7"/>
  <c r="AI3099" i="7" s="1"/>
  <c r="F3099" i="7"/>
  <c r="D3099" i="7"/>
  <c r="AN3098" i="7"/>
  <c r="AI3098" i="7"/>
  <c r="AG3098" i="7"/>
  <c r="AH3098" i="7" s="1"/>
  <c r="W3098" i="7"/>
  <c r="Y3098" i="7" s="1"/>
  <c r="Z3098" i="7" s="1"/>
  <c r="F3098" i="7"/>
  <c r="D3098" i="7"/>
  <c r="AN3097" i="7"/>
  <c r="AG3097" i="7"/>
  <c r="W3097" i="7"/>
  <c r="V3097" i="7"/>
  <c r="AI3097" i="7" s="1"/>
  <c r="F3097" i="7"/>
  <c r="D3097" i="7"/>
  <c r="AN3096" i="7"/>
  <c r="AI3096" i="7"/>
  <c r="AG3096" i="7"/>
  <c r="Y3096" i="7"/>
  <c r="Z3096" i="7" s="1"/>
  <c r="F3096" i="7"/>
  <c r="D3096" i="7"/>
  <c r="AN3095" i="7"/>
  <c r="AG3095" i="7"/>
  <c r="V3095" i="7"/>
  <c r="AI3095" i="7" s="1"/>
  <c r="F3095" i="7"/>
  <c r="D3095" i="7"/>
  <c r="AN3094" i="7"/>
  <c r="AG3094" i="7"/>
  <c r="V3094" i="7"/>
  <c r="AI3094" i="7" s="1"/>
  <c r="F3094" i="7"/>
  <c r="D3094" i="7"/>
  <c r="AN3093" i="7"/>
  <c r="AG3093" i="7"/>
  <c r="W3093" i="7"/>
  <c r="V3093" i="7"/>
  <c r="F3093" i="7"/>
  <c r="D3093" i="7"/>
  <c r="AN3092" i="7"/>
  <c r="AG3092" i="7"/>
  <c r="W3092" i="7"/>
  <c r="V3092" i="7"/>
  <c r="AI3092" i="7" s="1"/>
  <c r="F3092" i="7"/>
  <c r="D3092" i="7"/>
  <c r="AN3091" i="7"/>
  <c r="AG3091" i="7"/>
  <c r="W3091" i="7"/>
  <c r="V3091" i="7"/>
  <c r="AI3091" i="7" s="1"/>
  <c r="F3091" i="7"/>
  <c r="D3091" i="7"/>
  <c r="AN3090" i="7"/>
  <c r="AG3090" i="7"/>
  <c r="W3090" i="7"/>
  <c r="V3090" i="7"/>
  <c r="AI3090" i="7" s="1"/>
  <c r="F3090" i="7"/>
  <c r="D3090" i="7"/>
  <c r="AN3089" i="7"/>
  <c r="AG3089" i="7"/>
  <c r="W3089" i="7"/>
  <c r="V3089" i="7"/>
  <c r="AI3089" i="7" s="1"/>
  <c r="F3089" i="7"/>
  <c r="D3089" i="7"/>
  <c r="AN3088" i="7"/>
  <c r="AG3088" i="7"/>
  <c r="X3088" i="7"/>
  <c r="V3088" i="7"/>
  <c r="F3088" i="7"/>
  <c r="D3088" i="7"/>
  <c r="AN3087" i="7"/>
  <c r="AI3087" i="7"/>
  <c r="AG3087" i="7"/>
  <c r="W3087" i="7"/>
  <c r="Y3087" i="7" s="1"/>
  <c r="Z3087" i="7" s="1"/>
  <c r="F3087" i="7"/>
  <c r="D3087" i="7"/>
  <c r="AN3086" i="7"/>
  <c r="AG3086" i="7"/>
  <c r="X3086" i="7"/>
  <c r="V3086" i="7"/>
  <c r="AI3086" i="7" s="1"/>
  <c r="F3086" i="7"/>
  <c r="D3086" i="7"/>
  <c r="AN3085" i="7"/>
  <c r="AG3085" i="7"/>
  <c r="X3085" i="7"/>
  <c r="V3085" i="7"/>
  <c r="AI3085" i="7" s="1"/>
  <c r="F3085" i="7"/>
  <c r="D3085" i="7"/>
  <c r="AN3084" i="7"/>
  <c r="AG3084" i="7"/>
  <c r="V3084" i="7"/>
  <c r="AI3084" i="7" s="1"/>
  <c r="F3084" i="7"/>
  <c r="D3084" i="7"/>
  <c r="AN3083" i="7"/>
  <c r="AG3083" i="7"/>
  <c r="X3083" i="7"/>
  <c r="W3083" i="7"/>
  <c r="V3083" i="7"/>
  <c r="AI3083" i="7" s="1"/>
  <c r="F3083" i="7"/>
  <c r="D3083" i="7"/>
  <c r="AN3082" i="7"/>
  <c r="AG3082" i="7"/>
  <c r="W3082" i="7"/>
  <c r="V3082" i="7"/>
  <c r="AI3082" i="7" s="1"/>
  <c r="F3082" i="7"/>
  <c r="D3082" i="7"/>
  <c r="AN3081" i="7"/>
  <c r="AI3081" i="7"/>
  <c r="AG3081" i="7"/>
  <c r="X3081" i="7"/>
  <c r="Y3081" i="7" s="1"/>
  <c r="Z3081" i="7" s="1"/>
  <c r="F3081" i="7"/>
  <c r="D3081" i="7"/>
  <c r="AN3080" i="7"/>
  <c r="AI3080" i="7"/>
  <c r="AG3080" i="7"/>
  <c r="W3080" i="7"/>
  <c r="Y3080" i="7" s="1"/>
  <c r="Z3080" i="7" s="1"/>
  <c r="F3080" i="7"/>
  <c r="D3080" i="7"/>
  <c r="AN3079" i="7"/>
  <c r="AI3079" i="7"/>
  <c r="AG3079" i="7"/>
  <c r="X3079" i="7"/>
  <c r="W3079" i="7"/>
  <c r="F3079" i="7"/>
  <c r="D3079" i="7"/>
  <c r="AN3078" i="7"/>
  <c r="AM3078" i="7"/>
  <c r="AA3078" i="7"/>
  <c r="F3078" i="7"/>
  <c r="D3078" i="7"/>
  <c r="AN3077" i="7"/>
  <c r="AG3077" i="7"/>
  <c r="X3077" i="7"/>
  <c r="V3077" i="7"/>
  <c r="F3077" i="7"/>
  <c r="D3077" i="7"/>
  <c r="AN3076" i="7"/>
  <c r="AG3076" i="7"/>
  <c r="X3076" i="7"/>
  <c r="V3076" i="7"/>
  <c r="AI3076" i="7" s="1"/>
  <c r="F3076" i="7"/>
  <c r="D3076" i="7"/>
  <c r="AN3075" i="7"/>
  <c r="X3075" i="7"/>
  <c r="V3075" i="7"/>
  <c r="F3075" i="7"/>
  <c r="D3075" i="7"/>
  <c r="AN3074" i="7"/>
  <c r="AI3074" i="7"/>
  <c r="AG3074" i="7"/>
  <c r="W3074" i="7"/>
  <c r="Y3074" i="7" s="1"/>
  <c r="Z3074" i="7" s="1"/>
  <c r="F3074" i="7"/>
  <c r="D3074" i="7"/>
  <c r="AN3073" i="7"/>
  <c r="AG3073" i="7"/>
  <c r="W3073" i="7"/>
  <c r="V3073" i="7"/>
  <c r="AI3073" i="7" s="1"/>
  <c r="F3073" i="7"/>
  <c r="D3073" i="7"/>
  <c r="AN3072" i="7"/>
  <c r="AG3072" i="7"/>
  <c r="X3072" i="7"/>
  <c r="V3072" i="7"/>
  <c r="AI3072" i="7" s="1"/>
  <c r="F3072" i="7"/>
  <c r="D3072" i="7"/>
  <c r="AN3071" i="7"/>
  <c r="AG3071" i="7"/>
  <c r="X3071" i="7"/>
  <c r="V3071" i="7"/>
  <c r="AI3071" i="7" s="1"/>
  <c r="F3071" i="7"/>
  <c r="D3071" i="7"/>
  <c r="AN3070" i="7"/>
  <c r="AI3070" i="7"/>
  <c r="AG3070" i="7"/>
  <c r="W3070" i="7"/>
  <c r="Y3070" i="7" s="1"/>
  <c r="Z3070" i="7" s="1"/>
  <c r="F3070" i="7"/>
  <c r="D3070" i="7"/>
  <c r="AN3069" i="7"/>
  <c r="AG3069" i="7"/>
  <c r="X3069" i="7"/>
  <c r="W3069" i="7"/>
  <c r="V3069" i="7"/>
  <c r="AI3069" i="7" s="1"/>
  <c r="F3069" i="7"/>
  <c r="D3069" i="7"/>
  <c r="AN3068" i="7"/>
  <c r="AG3068" i="7"/>
  <c r="W3068" i="7"/>
  <c r="V3068" i="7"/>
  <c r="AI3068" i="7" s="1"/>
  <c r="F3068" i="7"/>
  <c r="D3068" i="7"/>
  <c r="AN3067" i="7"/>
  <c r="AG3067" i="7"/>
  <c r="W3067" i="7"/>
  <c r="V3067" i="7"/>
  <c r="AI3067" i="7" s="1"/>
  <c r="F3067" i="7"/>
  <c r="D3067" i="7"/>
  <c r="AN3066" i="7"/>
  <c r="AG3066" i="7"/>
  <c r="W3066" i="7"/>
  <c r="V3066" i="7"/>
  <c r="AI3066" i="7" s="1"/>
  <c r="F3066" i="7"/>
  <c r="D3066" i="7"/>
  <c r="AN3065" i="7"/>
  <c r="AI3065" i="7"/>
  <c r="AG3065" i="7"/>
  <c r="X3065" i="7"/>
  <c r="W3065" i="7"/>
  <c r="F3065" i="7"/>
  <c r="D3065" i="7"/>
  <c r="AN3064" i="7"/>
  <c r="AG3064" i="7"/>
  <c r="V3064" i="7"/>
  <c r="F3064" i="7"/>
  <c r="D3064" i="7"/>
  <c r="AN3063" i="7"/>
  <c r="AG3063" i="7"/>
  <c r="W3063" i="7"/>
  <c r="V3063" i="7"/>
  <c r="F3063" i="7"/>
  <c r="E3063" i="7"/>
  <c r="D3063" i="7"/>
  <c r="AN3062" i="7"/>
  <c r="AI3062" i="7"/>
  <c r="AG3062" i="7"/>
  <c r="W3062" i="7"/>
  <c r="Y3062" i="7" s="1"/>
  <c r="Z3062" i="7" s="1"/>
  <c r="F3062" i="7"/>
  <c r="D3062" i="7"/>
  <c r="AN3061" i="7"/>
  <c r="AG3061" i="7"/>
  <c r="X3061" i="7"/>
  <c r="W3061" i="7"/>
  <c r="V3061" i="7"/>
  <c r="AI3061" i="7" s="1"/>
  <c r="F3061" i="7"/>
  <c r="D3061" i="7"/>
  <c r="AN3060" i="7"/>
  <c r="AG3060" i="7"/>
  <c r="W3060" i="7"/>
  <c r="V3060" i="7"/>
  <c r="AI3060" i="7" s="1"/>
  <c r="F3060" i="7"/>
  <c r="D3060" i="7"/>
  <c r="AN3059" i="7"/>
  <c r="AG3059" i="7"/>
  <c r="W3059" i="7"/>
  <c r="V3059" i="7"/>
  <c r="F3059" i="7"/>
  <c r="D3059" i="7"/>
  <c r="AN3058" i="7"/>
  <c r="AI3058" i="7"/>
  <c r="AG3058" i="7"/>
  <c r="W3058" i="7"/>
  <c r="Y3058" i="7" s="1"/>
  <c r="Z3058" i="7" s="1"/>
  <c r="AC3058" i="7" s="1"/>
  <c r="F3058" i="7"/>
  <c r="D3058" i="7"/>
  <c r="AN3057" i="7"/>
  <c r="AI3057" i="7"/>
  <c r="AG3057" i="7"/>
  <c r="W3057" i="7"/>
  <c r="Y3057" i="7" s="1"/>
  <c r="Z3057" i="7" s="1"/>
  <c r="F3057" i="7"/>
  <c r="D3057" i="7"/>
  <c r="AN3056" i="7"/>
  <c r="AG3056" i="7"/>
  <c r="W3056" i="7"/>
  <c r="V3056" i="7"/>
  <c r="F3056" i="7"/>
  <c r="D3056" i="7"/>
  <c r="AN3055" i="7"/>
  <c r="AI3055" i="7"/>
  <c r="AG3055" i="7"/>
  <c r="W3055" i="7"/>
  <c r="Y3055" i="7" s="1"/>
  <c r="Z3055" i="7" s="1"/>
  <c r="F3055" i="7"/>
  <c r="D3055" i="7"/>
  <c r="AN3054" i="7"/>
  <c r="AG3054" i="7"/>
  <c r="W3054" i="7"/>
  <c r="V3054" i="7"/>
  <c r="AI3054" i="7" s="1"/>
  <c r="F3054" i="7"/>
  <c r="D3054" i="7"/>
  <c r="AN3053" i="7"/>
  <c r="AG3053" i="7"/>
  <c r="V3053" i="7"/>
  <c r="F3053" i="7"/>
  <c r="D3053" i="7"/>
  <c r="AN3052" i="7"/>
  <c r="AM3052" i="7"/>
  <c r="AA3052" i="7"/>
  <c r="F3052" i="7"/>
  <c r="D3052" i="7"/>
  <c r="AN3051" i="7"/>
  <c r="AI3051" i="7"/>
  <c r="AG3051" i="7"/>
  <c r="X3051" i="7"/>
  <c r="Y3051" i="7" s="1"/>
  <c r="Z3051" i="7" s="1"/>
  <c r="F3051" i="7"/>
  <c r="D3051" i="7"/>
  <c r="AN3050" i="7"/>
  <c r="AI3050" i="7"/>
  <c r="AG3050" i="7"/>
  <c r="W3050" i="7"/>
  <c r="Y3050" i="7" s="1"/>
  <c r="Z3050" i="7" s="1"/>
  <c r="AH3050" i="7" s="1"/>
  <c r="F3050" i="7"/>
  <c r="D3050" i="7"/>
  <c r="AN3049" i="7"/>
  <c r="AI3049" i="7"/>
  <c r="AG3049" i="7"/>
  <c r="W3049" i="7"/>
  <c r="Y3049" i="7" s="1"/>
  <c r="Z3049" i="7" s="1"/>
  <c r="F3049" i="7"/>
  <c r="D3049" i="7"/>
  <c r="AN3048" i="7"/>
  <c r="AI3048" i="7"/>
  <c r="AG3048" i="7"/>
  <c r="W3048" i="7"/>
  <c r="Y3048" i="7" s="1"/>
  <c r="Z3048" i="7" s="1"/>
  <c r="AE3048" i="7" s="1"/>
  <c r="AF3048" i="7" s="1"/>
  <c r="F3048" i="7"/>
  <c r="D3048" i="7"/>
  <c r="AN3047" i="7"/>
  <c r="AI3047" i="7"/>
  <c r="AG3047" i="7"/>
  <c r="W3047" i="7"/>
  <c r="Y3047" i="7" s="1"/>
  <c r="Z3047" i="7" s="1"/>
  <c r="F3047" i="7"/>
  <c r="D3047" i="7"/>
  <c r="AN3046" i="7"/>
  <c r="X3046" i="7"/>
  <c r="V3046" i="7"/>
  <c r="F3046" i="7"/>
  <c r="D3046" i="7"/>
  <c r="AN3045" i="7"/>
  <c r="AG3045" i="7"/>
  <c r="X3045" i="7"/>
  <c r="W3045" i="7"/>
  <c r="V3045" i="7"/>
  <c r="AI3045" i="7" s="1"/>
  <c r="F3045" i="7"/>
  <c r="D3045" i="7"/>
  <c r="AN3044" i="7"/>
  <c r="AI3044" i="7"/>
  <c r="AG3044" i="7"/>
  <c r="Y3044" i="7"/>
  <c r="Z3044" i="7" s="1"/>
  <c r="F3044" i="7"/>
  <c r="D3044" i="7"/>
  <c r="AN3043" i="7"/>
  <c r="AG3043" i="7"/>
  <c r="X3043" i="7"/>
  <c r="W3043" i="7"/>
  <c r="V3043" i="7"/>
  <c r="F3043" i="7"/>
  <c r="D3043" i="7"/>
  <c r="AN3042" i="7"/>
  <c r="AI3042" i="7"/>
  <c r="AG3042" i="7"/>
  <c r="Y3042" i="7"/>
  <c r="Z3042" i="7" s="1"/>
  <c r="F3042" i="7"/>
  <c r="D3042" i="7"/>
  <c r="AN3041" i="7"/>
  <c r="AI3041" i="7"/>
  <c r="AG3041" i="7"/>
  <c r="Y3041" i="7"/>
  <c r="Z3041" i="7" s="1"/>
  <c r="F3041" i="7"/>
  <c r="D3041" i="7"/>
  <c r="AN3040" i="7"/>
  <c r="AI3040" i="7"/>
  <c r="AG3040" i="7"/>
  <c r="W3040" i="7"/>
  <c r="Y3040" i="7" s="1"/>
  <c r="Z3040" i="7" s="1"/>
  <c r="F3040" i="7"/>
  <c r="D3040" i="7"/>
  <c r="AN3039" i="7"/>
  <c r="AI3039" i="7"/>
  <c r="AG3039" i="7"/>
  <c r="W3039" i="7"/>
  <c r="Y3039" i="7" s="1"/>
  <c r="Z3039" i="7" s="1"/>
  <c r="AE3039" i="7" s="1"/>
  <c r="AF3039" i="7" s="1"/>
  <c r="F3039" i="7"/>
  <c r="D3039" i="7"/>
  <c r="AN3038" i="7"/>
  <c r="AI3038" i="7"/>
  <c r="AG3038" i="7"/>
  <c r="W3038" i="7"/>
  <c r="Y3038" i="7" s="1"/>
  <c r="Z3038" i="7" s="1"/>
  <c r="AE3038" i="7" s="1"/>
  <c r="AF3038" i="7" s="1"/>
  <c r="F3038" i="7"/>
  <c r="D3038" i="7"/>
  <c r="AN3037" i="7"/>
  <c r="AI3037" i="7"/>
  <c r="AG3037" i="7"/>
  <c r="W3037" i="7"/>
  <c r="Y3037" i="7" s="1"/>
  <c r="Z3037" i="7" s="1"/>
  <c r="F3037" i="7"/>
  <c r="D3037" i="7"/>
  <c r="AN3036" i="7"/>
  <c r="AG3036" i="7"/>
  <c r="W3036" i="7"/>
  <c r="V3036" i="7"/>
  <c r="AI3036" i="7" s="1"/>
  <c r="F3036" i="7"/>
  <c r="D3036" i="7"/>
  <c r="AN3035" i="7"/>
  <c r="AI3035" i="7"/>
  <c r="AG3035" i="7"/>
  <c r="X3035" i="7"/>
  <c r="Y3035" i="7" s="1"/>
  <c r="Z3035" i="7" s="1"/>
  <c r="F3035" i="7"/>
  <c r="D3035" i="7"/>
  <c r="AN3034" i="7"/>
  <c r="AG3034" i="7"/>
  <c r="X3034" i="7"/>
  <c r="V3034" i="7"/>
  <c r="F3034" i="7"/>
  <c r="D3034" i="7"/>
  <c r="AN3033" i="7"/>
  <c r="AI3033" i="7"/>
  <c r="AG3033" i="7"/>
  <c r="W3033" i="7"/>
  <c r="Y3033" i="7" s="1"/>
  <c r="Z3033" i="7" s="1"/>
  <c r="F3033" i="7"/>
  <c r="D3033" i="7"/>
  <c r="AN3032" i="7"/>
  <c r="AG3032" i="7"/>
  <c r="W3032" i="7"/>
  <c r="V3032" i="7"/>
  <c r="F3032" i="7"/>
  <c r="D3032" i="7"/>
  <c r="AN3031" i="7"/>
  <c r="AI3031" i="7"/>
  <c r="AG3031" i="7"/>
  <c r="X3031" i="7"/>
  <c r="W3031" i="7"/>
  <c r="F3031" i="7"/>
  <c r="D3031" i="7"/>
  <c r="AN3030" i="7"/>
  <c r="AG3030" i="7"/>
  <c r="W3030" i="7"/>
  <c r="V3030" i="7"/>
  <c r="AI3030" i="7" s="1"/>
  <c r="F3030" i="7"/>
  <c r="D3030" i="7"/>
  <c r="AN3029" i="7"/>
  <c r="AG3029" i="7"/>
  <c r="W3029" i="7"/>
  <c r="V3029" i="7"/>
  <c r="F3029" i="7"/>
  <c r="D3029" i="7"/>
  <c r="AN3028" i="7"/>
  <c r="AM3028" i="7"/>
  <c r="AA3028" i="7"/>
  <c r="F3028" i="7"/>
  <c r="D3028" i="7"/>
  <c r="AN3027" i="7"/>
  <c r="AI3027" i="7"/>
  <c r="AG3027" i="7"/>
  <c r="X3027" i="7"/>
  <c r="Y3027" i="7" s="1"/>
  <c r="Z3027" i="7" s="1"/>
  <c r="F3027" i="7"/>
  <c r="D3027" i="7"/>
  <c r="AN3026" i="7"/>
  <c r="AI3026" i="7"/>
  <c r="AG3026" i="7"/>
  <c r="X3026" i="7"/>
  <c r="Y3026" i="7" s="1"/>
  <c r="Z3026" i="7" s="1"/>
  <c r="F3026" i="7"/>
  <c r="D3026" i="7"/>
  <c r="AN3025" i="7"/>
  <c r="AG3025" i="7"/>
  <c r="W3025" i="7"/>
  <c r="V3025" i="7"/>
  <c r="F3025" i="7"/>
  <c r="D3025" i="7"/>
  <c r="AN3024" i="7"/>
  <c r="AG3024" i="7"/>
  <c r="V3024" i="7"/>
  <c r="F3024" i="7"/>
  <c r="D3024" i="7"/>
  <c r="AN3023" i="7"/>
  <c r="AG3023" i="7"/>
  <c r="W3023" i="7"/>
  <c r="V3023" i="7"/>
  <c r="F3023" i="7"/>
  <c r="D3023" i="7"/>
  <c r="AN3022" i="7"/>
  <c r="AI3022" i="7"/>
  <c r="AG3022" i="7"/>
  <c r="Y3022" i="7"/>
  <c r="Z3022" i="7" s="1"/>
  <c r="AA3022" i="7" s="1"/>
  <c r="F3022" i="7"/>
  <c r="D3022" i="7"/>
  <c r="AN3021" i="7"/>
  <c r="AG3021" i="7"/>
  <c r="V3021" i="7"/>
  <c r="AI3021" i="7" s="1"/>
  <c r="F3021" i="7"/>
  <c r="D3021" i="7"/>
  <c r="AN3020" i="7"/>
  <c r="AG3020" i="7"/>
  <c r="V3020" i="7"/>
  <c r="F3020" i="7"/>
  <c r="D3020" i="7"/>
  <c r="AN3019" i="7"/>
  <c r="AG3019" i="7"/>
  <c r="W3019" i="7"/>
  <c r="V3019" i="7"/>
  <c r="AI3019" i="7" s="1"/>
  <c r="F3019" i="7"/>
  <c r="D3019" i="7"/>
  <c r="AN3018" i="7"/>
  <c r="AG3018" i="7"/>
  <c r="V3018" i="7"/>
  <c r="AI3018" i="7" s="1"/>
  <c r="F3018" i="7"/>
  <c r="D3018" i="7"/>
  <c r="AN3017" i="7"/>
  <c r="AG3017" i="7"/>
  <c r="W3017" i="7"/>
  <c r="V3017" i="7"/>
  <c r="F3017" i="7"/>
  <c r="D3017" i="7"/>
  <c r="AN3016" i="7"/>
  <c r="AI3016" i="7"/>
  <c r="AG3016" i="7"/>
  <c r="W3016" i="7"/>
  <c r="Y3016" i="7" s="1"/>
  <c r="Z3016" i="7" s="1"/>
  <c r="AE3016" i="7" s="1"/>
  <c r="AF3016" i="7" s="1"/>
  <c r="F3016" i="7"/>
  <c r="D3016" i="7"/>
  <c r="AN3015" i="7"/>
  <c r="AI3015" i="7"/>
  <c r="AG3015" i="7"/>
  <c r="W3015" i="7"/>
  <c r="Y3015" i="7" s="1"/>
  <c r="Z3015" i="7" s="1"/>
  <c r="AA3015" i="7" s="1"/>
  <c r="F3015" i="7"/>
  <c r="D3015" i="7"/>
  <c r="AN3014" i="7"/>
  <c r="AI3014" i="7"/>
  <c r="AG3014" i="7"/>
  <c r="W3014" i="7"/>
  <c r="Y3014" i="7" s="1"/>
  <c r="Z3014" i="7" s="1"/>
  <c r="AE3014" i="7" s="1"/>
  <c r="AF3014" i="7" s="1"/>
  <c r="F3014" i="7"/>
  <c r="D3014" i="7"/>
  <c r="AN3013" i="7"/>
  <c r="AI3013" i="7"/>
  <c r="AG3013" i="7"/>
  <c r="W3013" i="7"/>
  <c r="Y3013" i="7" s="1"/>
  <c r="Z3013" i="7" s="1"/>
  <c r="F3013" i="7"/>
  <c r="D3013" i="7"/>
  <c r="AN3012" i="7"/>
  <c r="AG3012" i="7"/>
  <c r="V3012" i="7"/>
  <c r="AI3012" i="7" s="1"/>
  <c r="F3012" i="7"/>
  <c r="D3012" i="7"/>
  <c r="AN3011" i="7"/>
  <c r="AI3011" i="7"/>
  <c r="AG3011" i="7"/>
  <c r="X3011" i="7"/>
  <c r="Y3011" i="7" s="1"/>
  <c r="Z3011" i="7" s="1"/>
  <c r="F3011" i="7"/>
  <c r="D3011" i="7"/>
  <c r="AN3010" i="7"/>
  <c r="AG3010" i="7"/>
  <c r="X3010" i="7"/>
  <c r="W3010" i="7"/>
  <c r="V3010" i="7"/>
  <c r="AI3010" i="7" s="1"/>
  <c r="F3010" i="7"/>
  <c r="D3010" i="7"/>
  <c r="AN3009" i="7"/>
  <c r="AG3009" i="7"/>
  <c r="W3009" i="7"/>
  <c r="V3009" i="7"/>
  <c r="AI3009" i="7" s="1"/>
  <c r="F3009" i="7"/>
  <c r="D3009" i="7"/>
  <c r="AN3008" i="7"/>
  <c r="AG3008" i="7"/>
  <c r="W3008" i="7"/>
  <c r="V3008" i="7"/>
  <c r="AI3008" i="7" s="1"/>
  <c r="F3008" i="7"/>
  <c r="D3008" i="7"/>
  <c r="AN3007" i="7"/>
  <c r="AG3007" i="7"/>
  <c r="X3007" i="7"/>
  <c r="V3007" i="7"/>
  <c r="F3007" i="7"/>
  <c r="D3007" i="7"/>
  <c r="AN3006" i="7"/>
  <c r="AI3006" i="7"/>
  <c r="AG3006" i="7"/>
  <c r="X3006" i="7"/>
  <c r="Y3006" i="7" s="1"/>
  <c r="Z3006" i="7" s="1"/>
  <c r="AE3006" i="7" s="1"/>
  <c r="AF3006" i="7" s="1"/>
  <c r="F3006" i="7"/>
  <c r="D3006" i="7"/>
  <c r="AN3005" i="7"/>
  <c r="AI3005" i="7"/>
  <c r="AG3005" i="7"/>
  <c r="X3005" i="7"/>
  <c r="Y3005" i="7" s="1"/>
  <c r="Z3005" i="7" s="1"/>
  <c r="F3005" i="7"/>
  <c r="D3005" i="7"/>
  <c r="AN3004" i="7"/>
  <c r="AG3004" i="7"/>
  <c r="X3004" i="7"/>
  <c r="V3004" i="7"/>
  <c r="AI3004" i="7" s="1"/>
  <c r="F3004" i="7"/>
  <c r="D3004" i="7"/>
  <c r="AN3003" i="7"/>
  <c r="AI3003" i="7"/>
  <c r="AG3003" i="7"/>
  <c r="W3003" i="7"/>
  <c r="Y3003" i="7" s="1"/>
  <c r="Z3003" i="7" s="1"/>
  <c r="AE3003" i="7" s="1"/>
  <c r="AF3003" i="7" s="1"/>
  <c r="F3003" i="7"/>
  <c r="D3003" i="7"/>
  <c r="AN3002" i="7"/>
  <c r="AM3002" i="7"/>
  <c r="AA3002" i="7"/>
  <c r="F3002" i="7"/>
  <c r="D3002" i="7"/>
  <c r="AN3001" i="7"/>
  <c r="AG3001" i="7"/>
  <c r="W3001" i="7"/>
  <c r="V3001" i="7"/>
  <c r="F3001" i="7"/>
  <c r="D3001" i="7"/>
  <c r="AN3000" i="7"/>
  <c r="AI3000" i="7"/>
  <c r="AG3000" i="7"/>
  <c r="W3000" i="7"/>
  <c r="Y3000" i="7" s="1"/>
  <c r="Z3000" i="7" s="1"/>
  <c r="F3000" i="7"/>
  <c r="D3000" i="7"/>
  <c r="AN2999" i="7"/>
  <c r="AG2999" i="7"/>
  <c r="V2999" i="7"/>
  <c r="F2999" i="7"/>
  <c r="D2999" i="7"/>
  <c r="AN2998" i="7"/>
  <c r="AG2998" i="7"/>
  <c r="V2998" i="7"/>
  <c r="F2998" i="7"/>
  <c r="D2998" i="7"/>
  <c r="AN2997" i="7"/>
  <c r="AI2997" i="7"/>
  <c r="AG2997" i="7"/>
  <c r="Y2997" i="7"/>
  <c r="Z2997" i="7" s="1"/>
  <c r="F2997" i="7"/>
  <c r="D2997" i="7"/>
  <c r="AN2996" i="7"/>
  <c r="AI2996" i="7"/>
  <c r="AG2996" i="7"/>
  <c r="X2996" i="7"/>
  <c r="W2996" i="7"/>
  <c r="F2996" i="7"/>
  <c r="D2996" i="7"/>
  <c r="AN2995" i="7"/>
  <c r="AI2995" i="7"/>
  <c r="AG2995" i="7"/>
  <c r="W2995" i="7"/>
  <c r="Y2995" i="7" s="1"/>
  <c r="Z2995" i="7" s="1"/>
  <c r="F2995" i="7"/>
  <c r="D2995" i="7"/>
  <c r="AN2994" i="7"/>
  <c r="AG2994" i="7"/>
  <c r="X2994" i="7"/>
  <c r="V2994" i="7"/>
  <c r="AI2994" i="7" s="1"/>
  <c r="F2994" i="7"/>
  <c r="D2994" i="7"/>
  <c r="AN2993" i="7"/>
  <c r="AG2993" i="7"/>
  <c r="W2993" i="7"/>
  <c r="V2993" i="7"/>
  <c r="F2993" i="7"/>
  <c r="D2993" i="7"/>
  <c r="AN2992" i="7"/>
  <c r="AG2992" i="7"/>
  <c r="V2992" i="7"/>
  <c r="F2992" i="7"/>
  <c r="D2992" i="7"/>
  <c r="AN2991" i="7"/>
  <c r="AG2991" i="7"/>
  <c r="X2991" i="7"/>
  <c r="V2991" i="7"/>
  <c r="AI2991" i="7" s="1"/>
  <c r="F2991" i="7"/>
  <c r="D2991" i="7"/>
  <c r="AN2990" i="7"/>
  <c r="AI2990" i="7"/>
  <c r="AG2990" i="7"/>
  <c r="W2990" i="7"/>
  <c r="Y2990" i="7" s="1"/>
  <c r="Z2990" i="7" s="1"/>
  <c r="F2990" i="7"/>
  <c r="D2990" i="7"/>
  <c r="AN2989" i="7"/>
  <c r="AG2989" i="7"/>
  <c r="V2989" i="7"/>
  <c r="AI2989" i="7" s="1"/>
  <c r="F2989" i="7"/>
  <c r="D2989" i="7"/>
  <c r="AN2988" i="7"/>
  <c r="AG2988" i="7"/>
  <c r="V2988" i="7"/>
  <c r="Y2988" i="7" s="1"/>
  <c r="Z2988" i="7" s="1"/>
  <c r="F2988" i="7"/>
  <c r="D2988" i="7"/>
  <c r="AN2987" i="7"/>
  <c r="AI2987" i="7"/>
  <c r="AG2987" i="7"/>
  <c r="X2987" i="7"/>
  <c r="Y2987" i="7" s="1"/>
  <c r="Z2987" i="7" s="1"/>
  <c r="AC2987" i="7" s="1"/>
  <c r="F2987" i="7"/>
  <c r="D2987" i="7"/>
  <c r="AN2986" i="7"/>
  <c r="AI2986" i="7"/>
  <c r="AG2986" i="7"/>
  <c r="W2986" i="7"/>
  <c r="Y2986" i="7" s="1"/>
  <c r="Z2986" i="7" s="1"/>
  <c r="AH2986" i="7" s="1"/>
  <c r="F2986" i="7"/>
  <c r="D2986" i="7"/>
  <c r="AN2985" i="7"/>
  <c r="AG2985" i="7"/>
  <c r="V2985" i="7"/>
  <c r="AI2985" i="7" s="1"/>
  <c r="F2985" i="7"/>
  <c r="D2985" i="7"/>
  <c r="AN2984" i="7"/>
  <c r="AG2984" i="7"/>
  <c r="X2984" i="7"/>
  <c r="V2984" i="7"/>
  <c r="AI2984" i="7" s="1"/>
  <c r="F2984" i="7"/>
  <c r="D2984" i="7"/>
  <c r="AN2983" i="7"/>
  <c r="AI2983" i="7"/>
  <c r="AG2983" i="7"/>
  <c r="X2983" i="7"/>
  <c r="W2983" i="7"/>
  <c r="F2983" i="7"/>
  <c r="D2983" i="7"/>
  <c r="AN2982" i="7"/>
  <c r="X2982" i="7"/>
  <c r="V2982" i="7"/>
  <c r="F2982" i="7"/>
  <c r="D2982" i="7"/>
  <c r="AN2981" i="7"/>
  <c r="AG2981" i="7"/>
  <c r="X2981" i="7"/>
  <c r="W2981" i="7"/>
  <c r="V2981" i="7"/>
  <c r="AI2981" i="7" s="1"/>
  <c r="F2981" i="7"/>
  <c r="D2981" i="7"/>
  <c r="AN2980" i="7"/>
  <c r="AI2980" i="7"/>
  <c r="AG2980" i="7"/>
  <c r="Y2980" i="7"/>
  <c r="Z2980" i="7" s="1"/>
  <c r="AC2980" i="7" s="1"/>
  <c r="F2980" i="7"/>
  <c r="D2980" i="7"/>
  <c r="AN2979" i="7"/>
  <c r="AG2979" i="7"/>
  <c r="V2979" i="7"/>
  <c r="AI2979" i="7" s="1"/>
  <c r="F2979" i="7"/>
  <c r="D2979" i="7"/>
  <c r="AN2978" i="7"/>
  <c r="AI2978" i="7"/>
  <c r="AG2978" i="7"/>
  <c r="X2978" i="7"/>
  <c r="Y2978" i="7" s="1"/>
  <c r="Z2978" i="7" s="1"/>
  <c r="F2978" i="7"/>
  <c r="D2978" i="7"/>
  <c r="AN2977" i="7"/>
  <c r="AG2977" i="7"/>
  <c r="V2977" i="7"/>
  <c r="AI2977" i="7" s="1"/>
  <c r="F2977" i="7"/>
  <c r="D2977" i="7"/>
  <c r="AN2976" i="7"/>
  <c r="AG2976" i="7"/>
  <c r="V2976" i="7"/>
  <c r="F2976" i="7"/>
  <c r="D2976" i="7"/>
  <c r="AN2975" i="7"/>
  <c r="AI2975" i="7"/>
  <c r="AG2975" i="7"/>
  <c r="W2975" i="7"/>
  <c r="Y2975" i="7" s="1"/>
  <c r="Z2975" i="7" s="1"/>
  <c r="F2975" i="7"/>
  <c r="D2975" i="7"/>
  <c r="AN2974" i="7"/>
  <c r="AI2974" i="7"/>
  <c r="AG2974" i="7"/>
  <c r="W2974" i="7"/>
  <c r="Y2974" i="7" s="1"/>
  <c r="Z2974" i="7" s="1"/>
  <c r="F2974" i="7"/>
  <c r="D2974" i="7"/>
  <c r="AN2973" i="7"/>
  <c r="AI2973" i="7"/>
  <c r="AG2973" i="7"/>
  <c r="W2973" i="7"/>
  <c r="Y2973" i="7" s="1"/>
  <c r="Z2973" i="7" s="1"/>
  <c r="F2973" i="7"/>
  <c r="D2973" i="7"/>
  <c r="AN2972" i="7"/>
  <c r="AG2972" i="7"/>
  <c r="W2972" i="7"/>
  <c r="V2972" i="7"/>
  <c r="F2972" i="7"/>
  <c r="D2972" i="7"/>
  <c r="AN2971" i="7"/>
  <c r="AI2971" i="7"/>
  <c r="AG2971" i="7"/>
  <c r="Y2971" i="7"/>
  <c r="Z2971" i="7" s="1"/>
  <c r="AC2971" i="7" s="1"/>
  <c r="F2971" i="7"/>
  <c r="D2971" i="7"/>
  <c r="AN2970" i="7"/>
  <c r="AI2970" i="7"/>
  <c r="AG2970" i="7"/>
  <c r="W2970" i="7"/>
  <c r="Y2970" i="7" s="1"/>
  <c r="Z2970" i="7" s="1"/>
  <c r="F2970" i="7"/>
  <c r="D2970" i="7"/>
  <c r="AN2969" i="7"/>
  <c r="AG2969" i="7"/>
  <c r="X2969" i="7"/>
  <c r="V2969" i="7"/>
  <c r="F2969" i="7"/>
  <c r="E2969" i="7"/>
  <c r="D2969" i="7"/>
  <c r="AN2968" i="7"/>
  <c r="AG2968" i="7"/>
  <c r="W2968" i="7"/>
  <c r="V2968" i="7"/>
  <c r="AI2968" i="7" s="1"/>
  <c r="F2968" i="7"/>
  <c r="D2968" i="7"/>
  <c r="AN2967" i="7"/>
  <c r="AG2967" i="7"/>
  <c r="W2967" i="7"/>
  <c r="V2967" i="7"/>
  <c r="AI2967" i="7" s="1"/>
  <c r="F2967" i="7"/>
  <c r="D2967" i="7"/>
  <c r="AN2966" i="7"/>
  <c r="AI2966" i="7"/>
  <c r="AG2966" i="7"/>
  <c r="X2966" i="7"/>
  <c r="W2966" i="7"/>
  <c r="F2966" i="7"/>
  <c r="D2966" i="7"/>
  <c r="AN2965" i="7"/>
  <c r="AG2965" i="7"/>
  <c r="X2965" i="7"/>
  <c r="W2965" i="7"/>
  <c r="V2965" i="7"/>
  <c r="AI2965" i="7" s="1"/>
  <c r="F2965" i="7"/>
  <c r="D2965" i="7"/>
  <c r="AN2964" i="7"/>
  <c r="AI2964" i="7"/>
  <c r="AG2964" i="7"/>
  <c r="X2964" i="7"/>
  <c r="Y2964" i="7" s="1"/>
  <c r="Z2964" i="7" s="1"/>
  <c r="AA2964" i="7" s="1"/>
  <c r="F2964" i="7"/>
  <c r="D2964" i="7"/>
  <c r="AN2963" i="7"/>
  <c r="AG2963" i="7"/>
  <c r="V2963" i="7"/>
  <c r="AI2963" i="7" s="1"/>
  <c r="F2963" i="7"/>
  <c r="D2963" i="7"/>
  <c r="AN2962" i="7"/>
  <c r="AI2962" i="7"/>
  <c r="AG2962" i="7"/>
  <c r="W2962" i="7"/>
  <c r="Y2962" i="7" s="1"/>
  <c r="Z2962" i="7" s="1"/>
  <c r="F2962" i="7"/>
  <c r="D2962" i="7"/>
  <c r="AN2961" i="7"/>
  <c r="AI2961" i="7"/>
  <c r="AG2961" i="7"/>
  <c r="X2961" i="7"/>
  <c r="W2961" i="7"/>
  <c r="F2961" i="7"/>
  <c r="D2961" i="7"/>
  <c r="AN2960" i="7"/>
  <c r="AM2960" i="7"/>
  <c r="AA2960" i="7"/>
  <c r="F2960" i="7"/>
  <c r="D2960" i="7"/>
  <c r="AN2959" i="7"/>
  <c r="AM2959" i="7"/>
  <c r="AA2959" i="7"/>
  <c r="F2959" i="7"/>
  <c r="D2959" i="7"/>
  <c r="AN2958" i="7"/>
  <c r="AM2958" i="7"/>
  <c r="AA2958" i="7"/>
  <c r="F2958" i="7"/>
  <c r="D2958" i="7"/>
  <c r="AN2957" i="7"/>
  <c r="AM2957" i="7"/>
  <c r="AA2957" i="7"/>
  <c r="F2957" i="7"/>
  <c r="D2957" i="7"/>
  <c r="AN2956" i="7"/>
  <c r="AM2956" i="7"/>
  <c r="AA2956" i="7"/>
  <c r="F2956" i="7"/>
  <c r="D2956" i="7"/>
  <c r="AN2955" i="7"/>
  <c r="AM2955" i="7"/>
  <c r="AA2955" i="7"/>
  <c r="F2955" i="7"/>
  <c r="D2955" i="7"/>
  <c r="AN2954" i="7"/>
  <c r="AM2954" i="7"/>
  <c r="AA2954" i="7"/>
  <c r="F2954" i="7"/>
  <c r="D2954" i="7"/>
  <c r="AN2953" i="7"/>
  <c r="AM2953" i="7"/>
  <c r="AA2953" i="7"/>
  <c r="F2953" i="7"/>
  <c r="D2953" i="7"/>
  <c r="AN2952" i="7"/>
  <c r="AM2952" i="7"/>
  <c r="AA2952" i="7"/>
  <c r="F2952" i="7"/>
  <c r="D2952" i="7"/>
  <c r="AN2951" i="7"/>
  <c r="AI2951" i="7"/>
  <c r="AG2951" i="7"/>
  <c r="W2951" i="7"/>
  <c r="Y2951" i="7" s="1"/>
  <c r="Z2951" i="7" s="1"/>
  <c r="F2951" i="7"/>
  <c r="D2951" i="7"/>
  <c r="AN2950" i="7"/>
  <c r="AG2950" i="7"/>
  <c r="X2950" i="7"/>
  <c r="W2950" i="7"/>
  <c r="V2950" i="7"/>
  <c r="AI2950" i="7" s="1"/>
  <c r="F2950" i="7"/>
  <c r="D2950" i="7"/>
  <c r="AN2949" i="7"/>
  <c r="AI2949" i="7"/>
  <c r="AG2949" i="7"/>
  <c r="X2949" i="7"/>
  <c r="W2949" i="7"/>
  <c r="F2949" i="7"/>
  <c r="D2949" i="7"/>
  <c r="AN2948" i="7"/>
  <c r="AI2948" i="7"/>
  <c r="AG2948" i="7"/>
  <c r="W2948" i="7"/>
  <c r="Y2948" i="7" s="1"/>
  <c r="Z2948" i="7" s="1"/>
  <c r="F2948" i="7"/>
  <c r="D2948" i="7"/>
  <c r="AN2947" i="7"/>
  <c r="AI2947" i="7"/>
  <c r="AG2947" i="7"/>
  <c r="W2947" i="7"/>
  <c r="Y2947" i="7" s="1"/>
  <c r="Z2947" i="7" s="1"/>
  <c r="F2947" i="7"/>
  <c r="D2947" i="7"/>
  <c r="AN2946" i="7"/>
  <c r="AI2946" i="7"/>
  <c r="AG2946" i="7"/>
  <c r="Y2946" i="7"/>
  <c r="Z2946" i="7" s="1"/>
  <c r="F2946" i="7"/>
  <c r="D2946" i="7"/>
  <c r="AN2945" i="7"/>
  <c r="AI2945" i="7"/>
  <c r="AG2945" i="7"/>
  <c r="X2945" i="7"/>
  <c r="W2945" i="7"/>
  <c r="F2945" i="7"/>
  <c r="D2945" i="7"/>
  <c r="AN2944" i="7"/>
  <c r="AG2944" i="7"/>
  <c r="X2944" i="7"/>
  <c r="W2944" i="7"/>
  <c r="V2944" i="7"/>
  <c r="AI2944" i="7" s="1"/>
  <c r="F2944" i="7"/>
  <c r="D2944" i="7"/>
  <c r="AN2943" i="7"/>
  <c r="AI2943" i="7"/>
  <c r="AG2943" i="7"/>
  <c r="X2943" i="7"/>
  <c r="W2943" i="7"/>
  <c r="F2943" i="7"/>
  <c r="D2943" i="7"/>
  <c r="AN2942" i="7"/>
  <c r="AG2942" i="7"/>
  <c r="X2942" i="7"/>
  <c r="V2942" i="7"/>
  <c r="AI2942" i="7" s="1"/>
  <c r="F2942" i="7"/>
  <c r="D2942" i="7"/>
  <c r="AN2941" i="7"/>
  <c r="AG2941" i="7"/>
  <c r="W2941" i="7"/>
  <c r="V2941" i="7"/>
  <c r="F2941" i="7"/>
  <c r="D2941" i="7"/>
  <c r="AN2940" i="7"/>
  <c r="AG2940" i="7"/>
  <c r="X2940" i="7"/>
  <c r="V2940" i="7"/>
  <c r="AI2940" i="7" s="1"/>
  <c r="F2940" i="7"/>
  <c r="D2940" i="7"/>
  <c r="AN2939" i="7"/>
  <c r="AI2939" i="7"/>
  <c r="AG2939" i="7"/>
  <c r="Y2939" i="7"/>
  <c r="Z2939" i="7" s="1"/>
  <c r="F2939" i="7"/>
  <c r="D2939" i="7"/>
  <c r="AN2938" i="7"/>
  <c r="AI2938" i="7"/>
  <c r="AG2938" i="7"/>
  <c r="Y2938" i="7"/>
  <c r="Z2938" i="7" s="1"/>
  <c r="F2938" i="7"/>
  <c r="D2938" i="7"/>
  <c r="AN2937" i="7"/>
  <c r="AG2937" i="7"/>
  <c r="V2937" i="7"/>
  <c r="AI2937" i="7" s="1"/>
  <c r="F2937" i="7"/>
  <c r="D2937" i="7"/>
  <c r="AN2936" i="7"/>
  <c r="AG2936" i="7"/>
  <c r="W2936" i="7"/>
  <c r="V2936" i="7"/>
  <c r="AI2936" i="7" s="1"/>
  <c r="F2936" i="7"/>
  <c r="D2936" i="7"/>
  <c r="AN2935" i="7"/>
  <c r="AG2935" i="7"/>
  <c r="X2935" i="7"/>
  <c r="W2935" i="7"/>
  <c r="V2935" i="7"/>
  <c r="AI2935" i="7" s="1"/>
  <c r="F2935" i="7"/>
  <c r="D2935" i="7"/>
  <c r="AN2934" i="7"/>
  <c r="AI2934" i="7"/>
  <c r="AG2934" i="7"/>
  <c r="X2934" i="7"/>
  <c r="W2934" i="7"/>
  <c r="F2934" i="7"/>
  <c r="D2934" i="7"/>
  <c r="AN2933" i="7"/>
  <c r="AM2933" i="7"/>
  <c r="AA2933" i="7"/>
  <c r="F2933" i="7"/>
  <c r="D2933" i="7"/>
  <c r="AN2932" i="7"/>
  <c r="AI2932" i="7"/>
  <c r="AG2932" i="7"/>
  <c r="Y2932" i="7"/>
  <c r="Z2932" i="7" s="1"/>
  <c r="AE2932" i="7" s="1"/>
  <c r="AF2932" i="7" s="1"/>
  <c r="F2932" i="7"/>
  <c r="D2932" i="7"/>
  <c r="AN2931" i="7"/>
  <c r="AI2931" i="7"/>
  <c r="AG2931" i="7"/>
  <c r="Y2931" i="7"/>
  <c r="Z2931" i="7" s="1"/>
  <c r="F2931" i="7"/>
  <c r="D2931" i="7"/>
  <c r="AN2930" i="7"/>
  <c r="AG2930" i="7"/>
  <c r="W2930" i="7"/>
  <c r="V2930" i="7"/>
  <c r="AI2930" i="7" s="1"/>
  <c r="F2930" i="7"/>
  <c r="D2930" i="7"/>
  <c r="AN2929" i="7"/>
  <c r="AG2929" i="7"/>
  <c r="V2929" i="7"/>
  <c r="AI2929" i="7" s="1"/>
  <c r="F2929" i="7"/>
  <c r="D2929" i="7"/>
  <c r="AN2928" i="7"/>
  <c r="AG2928" i="7"/>
  <c r="X2928" i="7"/>
  <c r="V2928" i="7"/>
  <c r="F2928" i="7"/>
  <c r="D2928" i="7"/>
  <c r="AN2927" i="7"/>
  <c r="AI2927" i="7"/>
  <c r="AG2927" i="7"/>
  <c r="W2927" i="7"/>
  <c r="Y2927" i="7" s="1"/>
  <c r="Z2927" i="7" s="1"/>
  <c r="F2927" i="7"/>
  <c r="D2927" i="7"/>
  <c r="AN2926" i="7"/>
  <c r="AI2926" i="7"/>
  <c r="AG2926" i="7"/>
  <c r="W2926" i="7"/>
  <c r="Y2926" i="7" s="1"/>
  <c r="Z2926" i="7" s="1"/>
  <c r="F2926" i="7"/>
  <c r="D2926" i="7"/>
  <c r="AN2925" i="7"/>
  <c r="AI2925" i="7"/>
  <c r="AG2925" i="7"/>
  <c r="Y2925" i="7"/>
  <c r="Z2925" i="7" s="1"/>
  <c r="F2925" i="7"/>
  <c r="D2925" i="7"/>
  <c r="AN2924" i="7"/>
  <c r="AG2924" i="7"/>
  <c r="W2924" i="7"/>
  <c r="V2924" i="7"/>
  <c r="AI2924" i="7" s="1"/>
  <c r="F2924" i="7"/>
  <c r="D2924" i="7"/>
  <c r="AN2923" i="7"/>
  <c r="AG2923" i="7"/>
  <c r="W2923" i="7"/>
  <c r="V2923" i="7"/>
  <c r="AI2923" i="7" s="1"/>
  <c r="F2923" i="7"/>
  <c r="D2923" i="7"/>
  <c r="AN2922" i="7"/>
  <c r="AG2922" i="7"/>
  <c r="W2922" i="7"/>
  <c r="V2922" i="7"/>
  <c r="AI2922" i="7" s="1"/>
  <c r="F2922" i="7"/>
  <c r="D2922" i="7"/>
  <c r="AN2921" i="7"/>
  <c r="AI2921" i="7"/>
  <c r="AG2921" i="7"/>
  <c r="X2921" i="7"/>
  <c r="W2921" i="7"/>
  <c r="F2921" i="7"/>
  <c r="D2921" i="7"/>
  <c r="AN2920" i="7"/>
  <c r="AG2920" i="7"/>
  <c r="V2920" i="7"/>
  <c r="AI2920" i="7" s="1"/>
  <c r="F2920" i="7"/>
  <c r="D2920" i="7"/>
  <c r="AN2919" i="7"/>
  <c r="AG2919" i="7"/>
  <c r="W2919" i="7"/>
  <c r="V2919" i="7"/>
  <c r="AI2919" i="7" s="1"/>
  <c r="F2919" i="7"/>
  <c r="D2919" i="7"/>
  <c r="AN2918" i="7"/>
  <c r="AI2918" i="7"/>
  <c r="AG2918" i="7"/>
  <c r="W2918" i="7"/>
  <c r="Y2918" i="7" s="1"/>
  <c r="Z2918" i="7" s="1"/>
  <c r="F2918" i="7"/>
  <c r="D2918" i="7"/>
  <c r="AN2917" i="7"/>
  <c r="AG2917" i="7"/>
  <c r="W2917" i="7"/>
  <c r="V2917" i="7"/>
  <c r="AI2917" i="7" s="1"/>
  <c r="F2917" i="7"/>
  <c r="D2917" i="7"/>
  <c r="AN2916" i="7"/>
  <c r="AG2916" i="7"/>
  <c r="X2916" i="7"/>
  <c r="W2916" i="7"/>
  <c r="V2916" i="7"/>
  <c r="AI2916" i="7" s="1"/>
  <c r="AJ2916" i="7" s="1"/>
  <c r="F2916" i="7"/>
  <c r="D2916" i="7"/>
  <c r="AN2915" i="7"/>
  <c r="AG2915" i="7"/>
  <c r="W2915" i="7"/>
  <c r="V2915" i="7"/>
  <c r="AI2915" i="7" s="1"/>
  <c r="AJ2915" i="7" s="1"/>
  <c r="F2915" i="7"/>
  <c r="D2915" i="7"/>
  <c r="AN2914" i="7"/>
  <c r="AG2914" i="7"/>
  <c r="W2914" i="7"/>
  <c r="V2914" i="7"/>
  <c r="AI2914" i="7" s="1"/>
  <c r="AJ2914" i="7" s="1"/>
  <c r="F2914" i="7"/>
  <c r="D2914" i="7"/>
  <c r="AN2913" i="7"/>
  <c r="AG2913" i="7"/>
  <c r="X2913" i="7"/>
  <c r="W2913" i="7"/>
  <c r="V2913" i="7"/>
  <c r="AI2913" i="7" s="1"/>
  <c r="F2913" i="7"/>
  <c r="D2913" i="7"/>
  <c r="AN2912" i="7"/>
  <c r="AI2912" i="7"/>
  <c r="AG2912" i="7"/>
  <c r="W2912" i="7"/>
  <c r="Y2912" i="7" s="1"/>
  <c r="Z2912" i="7" s="1"/>
  <c r="AA2912" i="7" s="1"/>
  <c r="F2912" i="7"/>
  <c r="D2912" i="7"/>
  <c r="AN2911" i="7"/>
  <c r="AG2911" i="7"/>
  <c r="W2911" i="7"/>
  <c r="V2911" i="7"/>
  <c r="AI2911" i="7" s="1"/>
  <c r="F2911" i="7"/>
  <c r="D2911" i="7"/>
  <c r="AN2910" i="7"/>
  <c r="AI2910" i="7"/>
  <c r="AG2910" i="7"/>
  <c r="W2910" i="7"/>
  <c r="Y2910" i="7" s="1"/>
  <c r="Z2910" i="7" s="1"/>
  <c r="F2910" i="7"/>
  <c r="D2910" i="7"/>
  <c r="AN2909" i="7"/>
  <c r="AG2909" i="7"/>
  <c r="W2909" i="7"/>
  <c r="V2909" i="7"/>
  <c r="F2909" i="7"/>
  <c r="E2909" i="7"/>
  <c r="D2909" i="7"/>
  <c r="AN2908" i="7"/>
  <c r="AG2908" i="7"/>
  <c r="W2908" i="7"/>
  <c r="V2908" i="7"/>
  <c r="AI2908" i="7" s="1"/>
  <c r="F2908" i="7"/>
  <c r="E2908" i="7"/>
  <c r="D2908" i="7"/>
  <c r="AN2907" i="7"/>
  <c r="AG2907" i="7"/>
  <c r="W2907" i="7"/>
  <c r="V2907" i="7"/>
  <c r="AI2907" i="7" s="1"/>
  <c r="F2907" i="7"/>
  <c r="E2907" i="7"/>
  <c r="D2907" i="7"/>
  <c r="AN2906" i="7"/>
  <c r="AG2906" i="7"/>
  <c r="W2906" i="7"/>
  <c r="V2906" i="7"/>
  <c r="AI2906" i="7" s="1"/>
  <c r="F2906" i="7"/>
  <c r="E2906" i="7"/>
  <c r="D2906" i="7"/>
  <c r="AN2905" i="7"/>
  <c r="AG2905" i="7"/>
  <c r="X2905" i="7"/>
  <c r="W2905" i="7"/>
  <c r="V2905" i="7"/>
  <c r="AI2905" i="7" s="1"/>
  <c r="F2905" i="7"/>
  <c r="E2905" i="7"/>
  <c r="D2905" i="7"/>
  <c r="AN2904" i="7"/>
  <c r="AI2904" i="7"/>
  <c r="AG2904" i="7"/>
  <c r="X2904" i="7"/>
  <c r="Y2904" i="7" s="1"/>
  <c r="Z2904" i="7" s="1"/>
  <c r="AE2904" i="7" s="1"/>
  <c r="AF2904" i="7" s="1"/>
  <c r="F2904" i="7"/>
  <c r="E2904" i="7"/>
  <c r="D2904" i="7"/>
  <c r="AN2903" i="7"/>
  <c r="AG2903" i="7"/>
  <c r="W2903" i="7"/>
  <c r="V2903" i="7"/>
  <c r="AI2903" i="7" s="1"/>
  <c r="F2903" i="7"/>
  <c r="E2903" i="7"/>
  <c r="D2903" i="7"/>
  <c r="AN2902" i="7"/>
  <c r="AG2902" i="7"/>
  <c r="W2902" i="7"/>
  <c r="V2902" i="7"/>
  <c r="AI2902" i="7" s="1"/>
  <c r="F2902" i="7"/>
  <c r="E2902" i="7"/>
  <c r="D2902" i="7"/>
  <c r="AN2901" i="7"/>
  <c r="AI2901" i="7"/>
  <c r="AG2901" i="7"/>
  <c r="X2901" i="7"/>
  <c r="W2901" i="7"/>
  <c r="F2901" i="7"/>
  <c r="D2901" i="7"/>
  <c r="AN2900" i="7"/>
  <c r="AI2900" i="7"/>
  <c r="AG2900" i="7"/>
  <c r="Y2900" i="7"/>
  <c r="Z2900" i="7" s="1"/>
  <c r="F2900" i="7"/>
  <c r="D2900" i="7"/>
  <c r="AN2899" i="7"/>
  <c r="AI2899" i="7"/>
  <c r="AG2899" i="7"/>
  <c r="Y2899" i="7"/>
  <c r="Z2899" i="7" s="1"/>
  <c r="F2899" i="7"/>
  <c r="D2899" i="7"/>
  <c r="AN2898" i="7"/>
  <c r="AI2898" i="7"/>
  <c r="AG2898" i="7"/>
  <c r="Y2898" i="7"/>
  <c r="Z2898" i="7" s="1"/>
  <c r="AE2898" i="7" s="1"/>
  <c r="AF2898" i="7" s="1"/>
  <c r="F2898" i="7"/>
  <c r="D2898" i="7"/>
  <c r="AN2897" i="7"/>
  <c r="AI2897" i="7"/>
  <c r="AG2897" i="7"/>
  <c r="Y2897" i="7"/>
  <c r="Z2897" i="7" s="1"/>
  <c r="F2897" i="7"/>
  <c r="D2897" i="7"/>
  <c r="AN2896" i="7"/>
  <c r="AG2896" i="7"/>
  <c r="V2896" i="7"/>
  <c r="F2896" i="7"/>
  <c r="D2896" i="7"/>
  <c r="AN2895" i="7"/>
  <c r="AI2895" i="7"/>
  <c r="AG2895" i="7"/>
  <c r="X2895" i="7"/>
  <c r="W2895" i="7"/>
  <c r="F2895" i="7"/>
  <c r="D2895" i="7"/>
  <c r="AN2894" i="7"/>
  <c r="AM2894" i="7"/>
  <c r="AA2894" i="7"/>
  <c r="F2894" i="7"/>
  <c r="D2894" i="7"/>
  <c r="AN2893" i="7"/>
  <c r="AI2893" i="7"/>
  <c r="AG2893" i="7"/>
  <c r="X2893" i="7"/>
  <c r="Y2893" i="7" s="1"/>
  <c r="Z2893" i="7" s="1"/>
  <c r="F2893" i="7"/>
  <c r="D2893" i="7"/>
  <c r="AN2892" i="7"/>
  <c r="AG2892" i="7"/>
  <c r="X2892" i="7"/>
  <c r="V2892" i="7"/>
  <c r="AI2892" i="7" s="1"/>
  <c r="F2892" i="7"/>
  <c r="D2892" i="7"/>
  <c r="AN2891" i="7"/>
  <c r="AI2891" i="7"/>
  <c r="AG2891" i="7"/>
  <c r="X2891" i="7"/>
  <c r="Y2891" i="7" s="1"/>
  <c r="Z2891" i="7" s="1"/>
  <c r="AC2891" i="7" s="1"/>
  <c r="F2891" i="7"/>
  <c r="D2891" i="7"/>
  <c r="AN2890" i="7"/>
  <c r="AI2890" i="7"/>
  <c r="AG2890" i="7"/>
  <c r="W2890" i="7"/>
  <c r="Y2890" i="7" s="1"/>
  <c r="Z2890" i="7" s="1"/>
  <c r="F2890" i="7"/>
  <c r="D2890" i="7"/>
  <c r="AN2889" i="7"/>
  <c r="AI2889" i="7"/>
  <c r="AG2889" i="7"/>
  <c r="X2889" i="7"/>
  <c r="W2889" i="7"/>
  <c r="F2889" i="7"/>
  <c r="D2889" i="7"/>
  <c r="AN2888" i="7"/>
  <c r="AG2888" i="7"/>
  <c r="W2888" i="7"/>
  <c r="V2888" i="7"/>
  <c r="AI2888" i="7" s="1"/>
  <c r="F2888" i="7"/>
  <c r="D2888" i="7"/>
  <c r="AN2887" i="7"/>
  <c r="AG2887" i="7"/>
  <c r="V2887" i="7"/>
  <c r="F2887" i="7"/>
  <c r="D2887" i="7"/>
  <c r="AN2886" i="7"/>
  <c r="AG2886" i="7"/>
  <c r="W2886" i="7"/>
  <c r="V2886" i="7"/>
  <c r="AI2886" i="7" s="1"/>
  <c r="F2886" i="7"/>
  <c r="D2886" i="7"/>
  <c r="AN2885" i="7"/>
  <c r="AG2885" i="7"/>
  <c r="W2885" i="7"/>
  <c r="V2885" i="7"/>
  <c r="AI2885" i="7" s="1"/>
  <c r="F2885" i="7"/>
  <c r="D2885" i="7"/>
  <c r="AN2884" i="7"/>
  <c r="AI2884" i="7"/>
  <c r="AG2884" i="7"/>
  <c r="Y2884" i="7"/>
  <c r="Z2884" i="7" s="1"/>
  <c r="F2884" i="7"/>
  <c r="D2884" i="7"/>
  <c r="AN2883" i="7"/>
  <c r="AG2883" i="7"/>
  <c r="W2883" i="7"/>
  <c r="V2883" i="7"/>
  <c r="AI2883" i="7" s="1"/>
  <c r="F2883" i="7"/>
  <c r="D2883" i="7"/>
  <c r="AN2882" i="7"/>
  <c r="AG2882" i="7"/>
  <c r="X2882" i="7"/>
  <c r="W2882" i="7"/>
  <c r="V2882" i="7"/>
  <c r="AI2882" i="7" s="1"/>
  <c r="F2882" i="7"/>
  <c r="D2882" i="7"/>
  <c r="AN2881" i="7"/>
  <c r="AG2881" i="7"/>
  <c r="W2881" i="7"/>
  <c r="V2881" i="7"/>
  <c r="AI2881" i="7" s="1"/>
  <c r="F2881" i="7"/>
  <c r="D2881" i="7"/>
  <c r="AN2880" i="7"/>
  <c r="AG2880" i="7"/>
  <c r="W2880" i="7"/>
  <c r="V2880" i="7"/>
  <c r="AI2880" i="7" s="1"/>
  <c r="F2880" i="7"/>
  <c r="D2880" i="7"/>
  <c r="AN2879" i="7"/>
  <c r="AG2879" i="7"/>
  <c r="W2879" i="7"/>
  <c r="V2879" i="7"/>
  <c r="AI2879" i="7" s="1"/>
  <c r="F2879" i="7"/>
  <c r="D2879" i="7"/>
  <c r="AN2878" i="7"/>
  <c r="AG2878" i="7"/>
  <c r="V2878" i="7"/>
  <c r="Y2878" i="7" s="1"/>
  <c r="Z2878" i="7" s="1"/>
  <c r="F2878" i="7"/>
  <c r="D2878" i="7"/>
  <c r="AN2877" i="7"/>
  <c r="AI2877" i="7"/>
  <c r="AG2877" i="7"/>
  <c r="Y2877" i="7"/>
  <c r="Z2877" i="7" s="1"/>
  <c r="AE2877" i="7" s="1"/>
  <c r="AF2877" i="7" s="1"/>
  <c r="F2877" i="7"/>
  <c r="D2877" i="7"/>
  <c r="AN2876" i="7"/>
  <c r="AG2876" i="7"/>
  <c r="X2876" i="7"/>
  <c r="W2876" i="7"/>
  <c r="V2876" i="7"/>
  <c r="F2876" i="7"/>
  <c r="D2876" i="7"/>
  <c r="AN2875" i="7"/>
  <c r="AI2875" i="7"/>
  <c r="AG2875" i="7"/>
  <c r="X2875" i="7"/>
  <c r="Y2875" i="7" s="1"/>
  <c r="Z2875" i="7" s="1"/>
  <c r="F2875" i="7"/>
  <c r="D2875" i="7"/>
  <c r="AN2874" i="7"/>
  <c r="AI2874" i="7"/>
  <c r="AG2874" i="7"/>
  <c r="W2874" i="7"/>
  <c r="Y2874" i="7" s="1"/>
  <c r="Z2874" i="7" s="1"/>
  <c r="AC2874" i="7" s="1"/>
  <c r="F2874" i="7"/>
  <c r="D2874" i="7"/>
  <c r="AN2873" i="7"/>
  <c r="AI2873" i="7"/>
  <c r="AG2873" i="7"/>
  <c r="Y2873" i="7"/>
  <c r="Z2873" i="7" s="1"/>
  <c r="AA2873" i="7" s="1"/>
  <c r="F2873" i="7"/>
  <c r="D2873" i="7"/>
  <c r="AN2872" i="7"/>
  <c r="AG2872" i="7"/>
  <c r="X2872" i="7"/>
  <c r="W2872" i="7"/>
  <c r="V2872" i="7"/>
  <c r="AI2872" i="7" s="1"/>
  <c r="F2872" i="7"/>
  <c r="D2872" i="7"/>
  <c r="AN2871" i="7"/>
  <c r="AG2871" i="7"/>
  <c r="W2871" i="7"/>
  <c r="V2871" i="7"/>
  <c r="F2871" i="7"/>
  <c r="D2871" i="7"/>
  <c r="AN2870" i="7"/>
  <c r="AI2870" i="7"/>
  <c r="AG2870" i="7"/>
  <c r="W2870" i="7"/>
  <c r="Y2870" i="7" s="1"/>
  <c r="Z2870" i="7" s="1"/>
  <c r="AM2870" i="7" s="1"/>
  <c r="F2870" i="7"/>
  <c r="D2870" i="7"/>
  <c r="AN2869" i="7"/>
  <c r="AG2869" i="7"/>
  <c r="W2869" i="7"/>
  <c r="V2869" i="7"/>
  <c r="AI2869" i="7" s="1"/>
  <c r="F2869" i="7"/>
  <c r="D2869" i="7"/>
  <c r="AN2868" i="7"/>
  <c r="AI2868" i="7"/>
  <c r="AG2868" i="7"/>
  <c r="Y2868" i="7"/>
  <c r="Z2868" i="7" s="1"/>
  <c r="F2868" i="7"/>
  <c r="D2868" i="7"/>
  <c r="AN2867" i="7"/>
  <c r="AG2867" i="7"/>
  <c r="W2867" i="7"/>
  <c r="V2867" i="7"/>
  <c r="AI2867" i="7" s="1"/>
  <c r="F2867" i="7"/>
  <c r="D2867" i="7"/>
  <c r="AN2866" i="7"/>
  <c r="AG2866" i="7"/>
  <c r="W2866" i="7"/>
  <c r="V2866" i="7"/>
  <c r="F2866" i="7"/>
  <c r="D2866" i="7"/>
  <c r="AN2865" i="7"/>
  <c r="X2865" i="7"/>
  <c r="W2865" i="7"/>
  <c r="V2865" i="7"/>
  <c r="F2865" i="7"/>
  <c r="D2865" i="7"/>
  <c r="AN2864" i="7"/>
  <c r="W2864" i="7"/>
  <c r="V2864" i="7"/>
  <c r="F2864" i="7"/>
  <c r="D2864" i="7"/>
  <c r="AN2863" i="7"/>
  <c r="AI2863" i="7"/>
  <c r="AG2863" i="7"/>
  <c r="X2863" i="7"/>
  <c r="Y2863" i="7" s="1"/>
  <c r="Z2863" i="7" s="1"/>
  <c r="AA2863" i="7" s="1"/>
  <c r="F2863" i="7"/>
  <c r="D2863" i="7"/>
  <c r="AN2862" i="7"/>
  <c r="AI2862" i="7"/>
  <c r="AG2862" i="7"/>
  <c r="X2862" i="7"/>
  <c r="W2862" i="7"/>
  <c r="F2862" i="7"/>
  <c r="D2862" i="7"/>
  <c r="AN2861" i="7"/>
  <c r="AM2861" i="7"/>
  <c r="AA2861" i="7"/>
  <c r="F2861" i="7"/>
  <c r="D2861" i="7"/>
  <c r="AN2860" i="7"/>
  <c r="AI2860" i="7"/>
  <c r="AG2860" i="7"/>
  <c r="Y2860" i="7"/>
  <c r="Z2860" i="7" s="1"/>
  <c r="F2860" i="7"/>
  <c r="D2860" i="7"/>
  <c r="AN2859" i="7"/>
  <c r="AI2859" i="7"/>
  <c r="AG2859" i="7"/>
  <c r="X2859" i="7"/>
  <c r="Y2859" i="7" s="1"/>
  <c r="Z2859" i="7" s="1"/>
  <c r="F2859" i="7"/>
  <c r="D2859" i="7"/>
  <c r="AN2858" i="7"/>
  <c r="AG2858" i="7"/>
  <c r="X2858" i="7"/>
  <c r="W2858" i="7"/>
  <c r="V2858" i="7"/>
  <c r="F2858" i="7"/>
  <c r="D2858" i="7"/>
  <c r="AN2857" i="7"/>
  <c r="AM2857" i="7"/>
  <c r="AA2857" i="7"/>
  <c r="F2857" i="7"/>
  <c r="D2857" i="7"/>
  <c r="AN2856" i="7"/>
  <c r="AG2856" i="7"/>
  <c r="V2856" i="7"/>
  <c r="AI2856" i="7" s="1"/>
  <c r="F2856" i="7"/>
  <c r="D2856" i="7"/>
  <c r="AN2855" i="7"/>
  <c r="AI2855" i="7"/>
  <c r="AG2855" i="7"/>
  <c r="X2855" i="7"/>
  <c r="Y2855" i="7" s="1"/>
  <c r="Z2855" i="7" s="1"/>
  <c r="F2855" i="7"/>
  <c r="D2855" i="7"/>
  <c r="AN2854" i="7"/>
  <c r="AG2854" i="7"/>
  <c r="X2854" i="7"/>
  <c r="V2854" i="7"/>
  <c r="AI2854" i="7" s="1"/>
  <c r="F2854" i="7"/>
  <c r="D2854" i="7"/>
  <c r="AN2853" i="7"/>
  <c r="AG2853" i="7"/>
  <c r="X2853" i="7"/>
  <c r="V2853" i="7"/>
  <c r="AI2853" i="7" s="1"/>
  <c r="F2853" i="7"/>
  <c r="D2853" i="7"/>
  <c r="AN2852" i="7"/>
  <c r="AI2852" i="7"/>
  <c r="AG2852" i="7"/>
  <c r="X2852" i="7"/>
  <c r="W2852" i="7"/>
  <c r="F2852" i="7"/>
  <c r="D2852" i="7"/>
  <c r="AN2851" i="7"/>
  <c r="AG2851" i="7"/>
  <c r="X2851" i="7"/>
  <c r="V2851" i="7"/>
  <c r="AI2851" i="7" s="1"/>
  <c r="F2851" i="7"/>
  <c r="D2851" i="7"/>
  <c r="AN2850" i="7"/>
  <c r="AI2850" i="7"/>
  <c r="AG2850" i="7"/>
  <c r="W2850" i="7"/>
  <c r="Y2850" i="7" s="1"/>
  <c r="Z2850" i="7" s="1"/>
  <c r="F2850" i="7"/>
  <c r="D2850" i="7"/>
  <c r="AN2849" i="7"/>
  <c r="AI2849" i="7"/>
  <c r="AG2849" i="7"/>
  <c r="W2849" i="7"/>
  <c r="Y2849" i="7" s="1"/>
  <c r="Z2849" i="7" s="1"/>
  <c r="AA2849" i="7" s="1"/>
  <c r="F2849" i="7"/>
  <c r="D2849" i="7"/>
  <c r="AN2848" i="7"/>
  <c r="AI2848" i="7"/>
  <c r="AG2848" i="7"/>
  <c r="X2848" i="7"/>
  <c r="W2848" i="7"/>
  <c r="F2848" i="7"/>
  <c r="D2848" i="7"/>
  <c r="AN2847" i="7"/>
  <c r="AI2847" i="7"/>
  <c r="AG2847" i="7"/>
  <c r="W2847" i="7"/>
  <c r="Y2847" i="7" s="1"/>
  <c r="Z2847" i="7" s="1"/>
  <c r="F2847" i="7"/>
  <c r="D2847" i="7"/>
  <c r="AN2846" i="7"/>
  <c r="AI2846" i="7"/>
  <c r="AG2846" i="7"/>
  <c r="W2846" i="7"/>
  <c r="Y2846" i="7" s="1"/>
  <c r="Z2846" i="7" s="1"/>
  <c r="AM2846" i="7" s="1"/>
  <c r="F2846" i="7"/>
  <c r="D2846" i="7"/>
  <c r="AN2845" i="7"/>
  <c r="AG2845" i="7"/>
  <c r="W2845" i="7"/>
  <c r="V2845" i="7"/>
  <c r="AI2845" i="7" s="1"/>
  <c r="F2845" i="7"/>
  <c r="D2845" i="7"/>
  <c r="AN2844" i="7"/>
  <c r="AG2844" i="7"/>
  <c r="W2844" i="7"/>
  <c r="V2844" i="7"/>
  <c r="F2844" i="7"/>
  <c r="D2844" i="7"/>
  <c r="AN2843" i="7"/>
  <c r="AG2843" i="7"/>
  <c r="X2843" i="7"/>
  <c r="W2843" i="7"/>
  <c r="V2843" i="7"/>
  <c r="F2843" i="7"/>
  <c r="D2843" i="7"/>
  <c r="AN2842" i="7"/>
  <c r="AG2842" i="7"/>
  <c r="X2842" i="7"/>
  <c r="W2842" i="7"/>
  <c r="V2842" i="7"/>
  <c r="AI2842" i="7" s="1"/>
  <c r="F2842" i="7"/>
  <c r="D2842" i="7"/>
  <c r="AN2841" i="7"/>
  <c r="AG2841" i="7"/>
  <c r="V2841" i="7"/>
  <c r="F2841" i="7"/>
  <c r="D2841" i="7"/>
  <c r="AN2840" i="7"/>
  <c r="AI2840" i="7"/>
  <c r="AG2840" i="7"/>
  <c r="W2840" i="7"/>
  <c r="Y2840" i="7" s="1"/>
  <c r="Z2840" i="7" s="1"/>
  <c r="F2840" i="7"/>
  <c r="D2840" i="7"/>
  <c r="AN2839" i="7"/>
  <c r="AG2839" i="7"/>
  <c r="V2839" i="7"/>
  <c r="F2839" i="7"/>
  <c r="D2839" i="7"/>
  <c r="AN2838" i="7"/>
  <c r="AM2838" i="7"/>
  <c r="AA2838" i="7"/>
  <c r="F2838" i="7"/>
  <c r="D2838" i="7"/>
  <c r="AN2837" i="7"/>
  <c r="AI2837" i="7"/>
  <c r="AG2837" i="7"/>
  <c r="W2837" i="7"/>
  <c r="Y2837" i="7" s="1"/>
  <c r="Z2837" i="7" s="1"/>
  <c r="F2837" i="7"/>
  <c r="D2837" i="7"/>
  <c r="AN2836" i="7"/>
  <c r="AG2836" i="7"/>
  <c r="X2836" i="7"/>
  <c r="V2836" i="7"/>
  <c r="AI2836" i="7" s="1"/>
  <c r="F2836" i="7"/>
  <c r="D2836" i="7"/>
  <c r="AN2835" i="7"/>
  <c r="AI2835" i="7"/>
  <c r="AG2835" i="7"/>
  <c r="X2835" i="7"/>
  <c r="F2835" i="7"/>
  <c r="D2835" i="7"/>
  <c r="AN2834" i="7"/>
  <c r="AI2834" i="7"/>
  <c r="AG2834" i="7"/>
  <c r="W2834" i="7"/>
  <c r="Y2834" i="7" s="1"/>
  <c r="Z2834" i="7" s="1"/>
  <c r="F2834" i="7"/>
  <c r="D2834" i="7"/>
  <c r="AN2833" i="7"/>
  <c r="AG2833" i="7"/>
  <c r="W2833" i="7"/>
  <c r="V2833" i="7"/>
  <c r="AI2833" i="7" s="1"/>
  <c r="F2833" i="7"/>
  <c r="D2833" i="7"/>
  <c r="AN2832" i="7"/>
  <c r="AG2832" i="7"/>
  <c r="V2832" i="7"/>
  <c r="F2832" i="7"/>
  <c r="D2832" i="7"/>
  <c r="AN2831" i="7"/>
  <c r="AG2831" i="7"/>
  <c r="W2831" i="7"/>
  <c r="V2831" i="7"/>
  <c r="F2831" i="7"/>
  <c r="D2831" i="7"/>
  <c r="AN2830" i="7"/>
  <c r="AG2830" i="7"/>
  <c r="X2830" i="7"/>
  <c r="V2830" i="7"/>
  <c r="AI2830" i="7" s="1"/>
  <c r="F2830" i="7"/>
  <c r="D2830" i="7"/>
  <c r="AN2829" i="7"/>
  <c r="AI2829" i="7"/>
  <c r="AG2829" i="7"/>
  <c r="W2829" i="7"/>
  <c r="Y2829" i="7" s="1"/>
  <c r="Z2829" i="7" s="1"/>
  <c r="F2829" i="7"/>
  <c r="D2829" i="7"/>
  <c r="AN2828" i="7"/>
  <c r="AI2828" i="7"/>
  <c r="AG2828" i="7"/>
  <c r="AM2828" i="7" s="1"/>
  <c r="Y2828" i="7"/>
  <c r="Z2828" i="7" s="1"/>
  <c r="F2828" i="7"/>
  <c r="D2828" i="7"/>
  <c r="AN2827" i="7"/>
  <c r="AI2827" i="7"/>
  <c r="AG2827" i="7"/>
  <c r="W2827" i="7"/>
  <c r="Y2827" i="7" s="1"/>
  <c r="Z2827" i="7" s="1"/>
  <c r="F2827" i="7"/>
  <c r="D2827" i="7"/>
  <c r="AN2826" i="7"/>
  <c r="AI2826" i="7"/>
  <c r="AG2826" i="7"/>
  <c r="W2826" i="7"/>
  <c r="Y2826" i="7" s="1"/>
  <c r="Z2826" i="7" s="1"/>
  <c r="F2826" i="7"/>
  <c r="D2826" i="7"/>
  <c r="AN2825" i="7"/>
  <c r="AI2825" i="7"/>
  <c r="AG2825" i="7"/>
  <c r="W2825" i="7"/>
  <c r="Y2825" i="7" s="1"/>
  <c r="Z2825" i="7" s="1"/>
  <c r="F2825" i="7"/>
  <c r="D2825" i="7"/>
  <c r="AN2824" i="7"/>
  <c r="AG2824" i="7"/>
  <c r="W2824" i="7"/>
  <c r="V2824" i="7"/>
  <c r="AI2824" i="7" s="1"/>
  <c r="F2824" i="7"/>
  <c r="D2824" i="7"/>
  <c r="AN2823" i="7"/>
  <c r="AI2823" i="7"/>
  <c r="AG2823" i="7"/>
  <c r="Y2823" i="7"/>
  <c r="Z2823" i="7" s="1"/>
  <c r="AM2823" i="7" s="1"/>
  <c r="F2823" i="7"/>
  <c r="D2823" i="7"/>
  <c r="AN2822" i="7"/>
  <c r="AG2822" i="7"/>
  <c r="V2822" i="7"/>
  <c r="F2822" i="7"/>
  <c r="D2822" i="7"/>
  <c r="AN2821" i="7"/>
  <c r="AG2821" i="7"/>
  <c r="W2821" i="7"/>
  <c r="V2821" i="7"/>
  <c r="AI2821" i="7" s="1"/>
  <c r="F2821" i="7"/>
  <c r="D2821" i="7"/>
  <c r="AN2820" i="7"/>
  <c r="AG2820" i="7"/>
  <c r="W2820" i="7"/>
  <c r="V2820" i="7"/>
  <c r="F2820" i="7"/>
  <c r="D2820" i="7"/>
  <c r="AN2819" i="7"/>
  <c r="AG2819" i="7"/>
  <c r="W2819" i="7"/>
  <c r="V2819" i="7"/>
  <c r="AI2819" i="7" s="1"/>
  <c r="F2819" i="7"/>
  <c r="D2819" i="7"/>
  <c r="AN2818" i="7"/>
  <c r="AI2818" i="7"/>
  <c r="AG2818" i="7"/>
  <c r="W2818" i="7"/>
  <c r="Y2818" i="7" s="1"/>
  <c r="Z2818" i="7" s="1"/>
  <c r="F2818" i="7"/>
  <c r="D2818" i="7"/>
  <c r="AN2817" i="7"/>
  <c r="AG2817" i="7"/>
  <c r="V2817" i="7"/>
  <c r="AI2817" i="7" s="1"/>
  <c r="F2817" i="7"/>
  <c r="D2817" i="7"/>
  <c r="AN2816" i="7"/>
  <c r="AG2816" i="7"/>
  <c r="W2816" i="7"/>
  <c r="V2816" i="7"/>
  <c r="AI2816" i="7" s="1"/>
  <c r="F2816" i="7"/>
  <c r="D2816" i="7"/>
  <c r="AN2815" i="7"/>
  <c r="AI2815" i="7"/>
  <c r="AG2815" i="7"/>
  <c r="W2815" i="7"/>
  <c r="Y2815" i="7" s="1"/>
  <c r="Z2815" i="7" s="1"/>
  <c r="F2815" i="7"/>
  <c r="D2815" i="7"/>
  <c r="AN2814" i="7"/>
  <c r="AI2814" i="7"/>
  <c r="AG2814" i="7"/>
  <c r="Y2814" i="7"/>
  <c r="Z2814" i="7" s="1"/>
  <c r="AA2814" i="7" s="1"/>
  <c r="F2814" i="7"/>
  <c r="D2814" i="7"/>
  <c r="AN2813" i="7"/>
  <c r="AM2813" i="7"/>
  <c r="AA2813" i="7"/>
  <c r="F2813" i="7"/>
  <c r="D2813" i="7"/>
  <c r="AN2812" i="7"/>
  <c r="AG2812" i="7"/>
  <c r="W2812" i="7"/>
  <c r="V2812" i="7"/>
  <c r="F2812" i="7"/>
  <c r="D2812" i="7"/>
  <c r="AN2811" i="7"/>
  <c r="AI2811" i="7"/>
  <c r="AG2811" i="7"/>
  <c r="Y2811" i="7"/>
  <c r="Z2811" i="7" s="1"/>
  <c r="F2811" i="7"/>
  <c r="D2811" i="7"/>
  <c r="AN2810" i="7"/>
  <c r="AG2810" i="7"/>
  <c r="V2810" i="7"/>
  <c r="AI2810" i="7" s="1"/>
  <c r="F2810" i="7"/>
  <c r="D2810" i="7"/>
  <c r="AN2809" i="7"/>
  <c r="AG2809" i="7"/>
  <c r="X2809" i="7"/>
  <c r="V2809" i="7"/>
  <c r="F2809" i="7"/>
  <c r="D2809" i="7"/>
  <c r="AN2808" i="7"/>
  <c r="AI2808" i="7"/>
  <c r="AG2808" i="7"/>
  <c r="Y2808" i="7"/>
  <c r="Z2808" i="7" s="1"/>
  <c r="F2808" i="7"/>
  <c r="D2808" i="7"/>
  <c r="AN2807" i="7"/>
  <c r="X2807" i="7"/>
  <c r="V2807" i="7"/>
  <c r="F2807" i="7"/>
  <c r="D2807" i="7"/>
  <c r="AN2806" i="7"/>
  <c r="X2806" i="7"/>
  <c r="V2806" i="7"/>
  <c r="F2806" i="7"/>
  <c r="D2806" i="7"/>
  <c r="AN2805" i="7"/>
  <c r="AI2805" i="7"/>
  <c r="AG2805" i="7"/>
  <c r="Y2805" i="7"/>
  <c r="Z2805" i="7" s="1"/>
  <c r="F2805" i="7"/>
  <c r="D2805" i="7"/>
  <c r="AN2804" i="7"/>
  <c r="AI2804" i="7"/>
  <c r="AG2804" i="7"/>
  <c r="Y2804" i="7"/>
  <c r="Z2804" i="7" s="1"/>
  <c r="F2804" i="7"/>
  <c r="D2804" i="7"/>
  <c r="AN2803" i="7"/>
  <c r="AG2803" i="7"/>
  <c r="W2803" i="7"/>
  <c r="V2803" i="7"/>
  <c r="AI2803" i="7" s="1"/>
  <c r="F2803" i="7"/>
  <c r="D2803" i="7"/>
  <c r="AN2802" i="7"/>
  <c r="AI2802" i="7"/>
  <c r="AG2802" i="7"/>
  <c r="W2802" i="7"/>
  <c r="Y2802" i="7" s="1"/>
  <c r="Z2802" i="7" s="1"/>
  <c r="AA2802" i="7" s="1"/>
  <c r="F2802" i="7"/>
  <c r="D2802" i="7"/>
  <c r="AN2801" i="7"/>
  <c r="AG2801" i="7"/>
  <c r="W2801" i="7"/>
  <c r="V2801" i="7"/>
  <c r="AI2801" i="7" s="1"/>
  <c r="F2801" i="7"/>
  <c r="D2801" i="7"/>
  <c r="AN2800" i="7"/>
  <c r="AI2800" i="7"/>
  <c r="AG2800" i="7"/>
  <c r="Y2800" i="7"/>
  <c r="Z2800" i="7" s="1"/>
  <c r="F2800" i="7"/>
  <c r="D2800" i="7"/>
  <c r="AN2799" i="7"/>
  <c r="AI2799" i="7"/>
  <c r="AG2799" i="7"/>
  <c r="Y2799" i="7"/>
  <c r="Z2799" i="7" s="1"/>
  <c r="F2799" i="7"/>
  <c r="D2799" i="7"/>
  <c r="AN2798" i="7"/>
  <c r="AI2798" i="7"/>
  <c r="AG2798" i="7"/>
  <c r="W2798" i="7"/>
  <c r="Y2798" i="7" s="1"/>
  <c r="Z2798" i="7" s="1"/>
  <c r="AM2798" i="7" s="1"/>
  <c r="F2798" i="7"/>
  <c r="D2798" i="7"/>
  <c r="AN2797" i="7"/>
  <c r="AI2797" i="7"/>
  <c r="AG2797" i="7"/>
  <c r="W2797" i="7"/>
  <c r="Y2797" i="7" s="1"/>
  <c r="Z2797" i="7" s="1"/>
  <c r="AC2797" i="7" s="1"/>
  <c r="F2797" i="7"/>
  <c r="D2797" i="7"/>
  <c r="AN2796" i="7"/>
  <c r="AI2796" i="7"/>
  <c r="AG2796" i="7"/>
  <c r="Y2796" i="7"/>
  <c r="Z2796" i="7" s="1"/>
  <c r="F2796" i="7"/>
  <c r="D2796" i="7"/>
  <c r="AN2795" i="7"/>
  <c r="AG2795" i="7"/>
  <c r="V2795" i="7"/>
  <c r="AI2795" i="7" s="1"/>
  <c r="F2795" i="7"/>
  <c r="D2795" i="7"/>
  <c r="AN2794" i="7"/>
  <c r="AG2794" i="7"/>
  <c r="V2794" i="7"/>
  <c r="Y2794" i="7" s="1"/>
  <c r="Z2794" i="7" s="1"/>
  <c r="F2794" i="7"/>
  <c r="D2794" i="7"/>
  <c r="AN2793" i="7"/>
  <c r="AM2793" i="7"/>
  <c r="AA2793" i="7"/>
  <c r="F2793" i="7"/>
  <c r="D2793" i="7"/>
  <c r="AN2792" i="7"/>
  <c r="AG2792" i="7"/>
  <c r="V2792" i="7"/>
  <c r="F2792" i="7"/>
  <c r="D2792" i="7"/>
  <c r="AN2791" i="7"/>
  <c r="AG2791" i="7"/>
  <c r="W2791" i="7"/>
  <c r="V2791" i="7"/>
  <c r="AI2791" i="7" s="1"/>
  <c r="F2791" i="7"/>
  <c r="D2791" i="7"/>
  <c r="AN2790" i="7"/>
  <c r="AI2790" i="7"/>
  <c r="AG2790" i="7"/>
  <c r="Y2790" i="7"/>
  <c r="Z2790" i="7" s="1"/>
  <c r="F2790" i="7"/>
  <c r="D2790" i="7"/>
  <c r="AN2789" i="7"/>
  <c r="AI2789" i="7"/>
  <c r="AG2789" i="7"/>
  <c r="Y2789" i="7"/>
  <c r="Z2789" i="7" s="1"/>
  <c r="AA2789" i="7" s="1"/>
  <c r="F2789" i="7"/>
  <c r="D2789" i="7"/>
  <c r="AN2788" i="7"/>
  <c r="AG2788" i="7"/>
  <c r="X2788" i="7"/>
  <c r="W2788" i="7"/>
  <c r="V2788" i="7"/>
  <c r="F2788" i="7"/>
  <c r="D2788" i="7"/>
  <c r="AN2787" i="7"/>
  <c r="AI2787" i="7"/>
  <c r="AG2787" i="7"/>
  <c r="W2787" i="7"/>
  <c r="Y2787" i="7" s="1"/>
  <c r="Z2787" i="7" s="1"/>
  <c r="F2787" i="7"/>
  <c r="D2787" i="7"/>
  <c r="AN2786" i="7"/>
  <c r="AG2786" i="7"/>
  <c r="V2786" i="7"/>
  <c r="F2786" i="7"/>
  <c r="D2786" i="7"/>
  <c r="AN2785" i="7"/>
  <c r="AI2785" i="7"/>
  <c r="AG2785" i="7"/>
  <c r="Y2785" i="7"/>
  <c r="Z2785" i="7" s="1"/>
  <c r="AE2785" i="7" s="1"/>
  <c r="AF2785" i="7" s="1"/>
  <c r="F2785" i="7"/>
  <c r="D2785" i="7"/>
  <c r="AN2784" i="7"/>
  <c r="AI2784" i="7"/>
  <c r="AG2784" i="7"/>
  <c r="W2784" i="7"/>
  <c r="Y2784" i="7" s="1"/>
  <c r="Z2784" i="7" s="1"/>
  <c r="AH2784" i="7" s="1"/>
  <c r="F2784" i="7"/>
  <c r="D2784" i="7"/>
  <c r="AN2783" i="7"/>
  <c r="AI2783" i="7"/>
  <c r="AG2783" i="7"/>
  <c r="W2783" i="7"/>
  <c r="Y2783" i="7" s="1"/>
  <c r="Z2783" i="7" s="1"/>
  <c r="AC2783" i="7" s="1"/>
  <c r="F2783" i="7"/>
  <c r="D2783" i="7"/>
  <c r="AN2782" i="7"/>
  <c r="AG2782" i="7"/>
  <c r="V2782" i="7"/>
  <c r="AI2782" i="7" s="1"/>
  <c r="F2782" i="7"/>
  <c r="D2782" i="7"/>
  <c r="AN2781" i="7"/>
  <c r="AG2781" i="7"/>
  <c r="W2781" i="7"/>
  <c r="V2781" i="7"/>
  <c r="F2781" i="7"/>
  <c r="D2781" i="7"/>
  <c r="AN2780" i="7"/>
  <c r="AG2780" i="7"/>
  <c r="W2780" i="7"/>
  <c r="V2780" i="7"/>
  <c r="AI2780" i="7" s="1"/>
  <c r="F2780" i="7"/>
  <c r="D2780" i="7"/>
  <c r="AN2779" i="7"/>
  <c r="AG2779" i="7"/>
  <c r="W2779" i="7"/>
  <c r="V2779" i="7"/>
  <c r="F2779" i="7"/>
  <c r="D2779" i="7"/>
  <c r="AN2778" i="7"/>
  <c r="AI2778" i="7"/>
  <c r="AG2778" i="7"/>
  <c r="W2778" i="7"/>
  <c r="Y2778" i="7" s="1"/>
  <c r="Z2778" i="7" s="1"/>
  <c r="F2778" i="7"/>
  <c r="D2778" i="7"/>
  <c r="AN2777" i="7"/>
  <c r="AG2777" i="7"/>
  <c r="V2777" i="7"/>
  <c r="F2777" i="7"/>
  <c r="D2777" i="7"/>
  <c r="AN2776" i="7"/>
  <c r="AI2776" i="7"/>
  <c r="AG2776" i="7"/>
  <c r="W2776" i="7"/>
  <c r="Y2776" i="7" s="1"/>
  <c r="Z2776" i="7" s="1"/>
  <c r="F2776" i="7"/>
  <c r="D2776" i="7"/>
  <c r="AN2775" i="7"/>
  <c r="AG2775" i="7"/>
  <c r="V2775" i="7"/>
  <c r="F2775" i="7"/>
  <c r="D2775" i="7"/>
  <c r="AN2774" i="7"/>
  <c r="AI2774" i="7"/>
  <c r="AG2774" i="7"/>
  <c r="X2774" i="7"/>
  <c r="Y2774" i="7" s="1"/>
  <c r="Z2774" i="7" s="1"/>
  <c r="F2774" i="7"/>
  <c r="D2774" i="7"/>
  <c r="AN2773" i="7"/>
  <c r="AI2773" i="7"/>
  <c r="AG2773" i="7"/>
  <c r="Y2773" i="7"/>
  <c r="Z2773" i="7" s="1"/>
  <c r="F2773" i="7"/>
  <c r="D2773" i="7"/>
  <c r="AN2772" i="7"/>
  <c r="AI2772" i="7"/>
  <c r="AG2772" i="7"/>
  <c r="X2772" i="7"/>
  <c r="W2772" i="7"/>
  <c r="F2772" i="7"/>
  <c r="D2772" i="7"/>
  <c r="AN2771" i="7"/>
  <c r="AI2771" i="7"/>
  <c r="AG2771" i="7"/>
  <c r="W2771" i="7"/>
  <c r="F2771" i="7"/>
  <c r="D2771" i="7"/>
  <c r="AN2770" i="7"/>
  <c r="AI2770" i="7"/>
  <c r="AG2770" i="7"/>
  <c r="X2770" i="7"/>
  <c r="Y2770" i="7" s="1"/>
  <c r="Z2770" i="7" s="1"/>
  <c r="F2770" i="7"/>
  <c r="D2770" i="7"/>
  <c r="AN2769" i="7"/>
  <c r="AI2769" i="7"/>
  <c r="AG2769" i="7"/>
  <c r="Y2769" i="7"/>
  <c r="Z2769" i="7" s="1"/>
  <c r="F2769" i="7"/>
  <c r="D2769" i="7"/>
  <c r="AN2768" i="7"/>
  <c r="AI2768" i="7"/>
  <c r="AG2768" i="7"/>
  <c r="W2768" i="7"/>
  <c r="Y2768" i="7" s="1"/>
  <c r="Z2768" i="7" s="1"/>
  <c r="AA2768" i="7" s="1"/>
  <c r="F2768" i="7"/>
  <c r="D2768" i="7"/>
  <c r="AN2767" i="7"/>
  <c r="AI2767" i="7"/>
  <c r="AG2767" i="7"/>
  <c r="X2767" i="7"/>
  <c r="W2767" i="7"/>
  <c r="F2767" i="7"/>
  <c r="D2767" i="7"/>
  <c r="AN2766" i="7"/>
  <c r="AM2766" i="7"/>
  <c r="AA2766" i="7"/>
  <c r="F2766" i="7"/>
  <c r="D2766" i="7"/>
  <c r="AN2765" i="7"/>
  <c r="AI2765" i="7"/>
  <c r="AG2765" i="7"/>
  <c r="W2765" i="7"/>
  <c r="Y2765" i="7" s="1"/>
  <c r="Z2765" i="7" s="1"/>
  <c r="AM2765" i="7" s="1"/>
  <c r="F2765" i="7"/>
  <c r="D2765" i="7"/>
  <c r="AN2764" i="7"/>
  <c r="AI2764" i="7"/>
  <c r="AG2764" i="7"/>
  <c r="W2764" i="7"/>
  <c r="Y2764" i="7" s="1"/>
  <c r="Z2764" i="7" s="1"/>
  <c r="AE2764" i="7" s="1"/>
  <c r="AF2764" i="7" s="1"/>
  <c r="F2764" i="7"/>
  <c r="D2764" i="7"/>
  <c r="AN2763" i="7"/>
  <c r="AI2763" i="7"/>
  <c r="AG2763" i="7"/>
  <c r="W2763" i="7"/>
  <c r="Y2763" i="7" s="1"/>
  <c r="Z2763" i="7" s="1"/>
  <c r="F2763" i="7"/>
  <c r="D2763" i="7"/>
  <c r="AN2762" i="7"/>
  <c r="AI2762" i="7"/>
  <c r="AG2762" i="7"/>
  <c r="AM2762" i="7" s="1"/>
  <c r="X2762" i="7"/>
  <c r="Y2762" i="7" s="1"/>
  <c r="Z2762" i="7" s="1"/>
  <c r="F2762" i="7"/>
  <c r="D2762" i="7"/>
  <c r="AN2761" i="7"/>
  <c r="AI2761" i="7"/>
  <c r="AG2761" i="7"/>
  <c r="Y2761" i="7"/>
  <c r="Z2761" i="7" s="1"/>
  <c r="AH2761" i="7" s="1"/>
  <c r="F2761" i="7"/>
  <c r="D2761" i="7"/>
  <c r="AN2760" i="7"/>
  <c r="AG2760" i="7"/>
  <c r="X2760" i="7"/>
  <c r="V2760" i="7"/>
  <c r="F2760" i="7"/>
  <c r="D2760" i="7"/>
  <c r="AN2759" i="7"/>
  <c r="AI2759" i="7"/>
  <c r="AG2759" i="7"/>
  <c r="W2759" i="7"/>
  <c r="Y2759" i="7" s="1"/>
  <c r="Z2759" i="7" s="1"/>
  <c r="F2759" i="7"/>
  <c r="D2759" i="7"/>
  <c r="AN2758" i="7"/>
  <c r="AI2758" i="7"/>
  <c r="AG2758" i="7"/>
  <c r="X2758" i="7"/>
  <c r="W2758" i="7"/>
  <c r="F2758" i="7"/>
  <c r="D2758" i="7"/>
  <c r="AN2757" i="7"/>
  <c r="AG2757" i="7"/>
  <c r="V2757" i="7"/>
  <c r="F2757" i="7"/>
  <c r="D2757" i="7"/>
  <c r="AN2756" i="7"/>
  <c r="AI2756" i="7"/>
  <c r="AG2756" i="7"/>
  <c r="X2756" i="7"/>
  <c r="W2756" i="7"/>
  <c r="F2756" i="7"/>
  <c r="D2756" i="7"/>
  <c r="AN2755" i="7"/>
  <c r="AI2755" i="7"/>
  <c r="AG2755" i="7"/>
  <c r="W2755" i="7"/>
  <c r="Y2755" i="7" s="1"/>
  <c r="Z2755" i="7" s="1"/>
  <c r="F2755" i="7"/>
  <c r="D2755" i="7"/>
  <c r="AN2754" i="7"/>
  <c r="AI2754" i="7"/>
  <c r="AG2754" i="7"/>
  <c r="W2754" i="7"/>
  <c r="Y2754" i="7" s="1"/>
  <c r="Z2754" i="7" s="1"/>
  <c r="F2754" i="7"/>
  <c r="D2754" i="7"/>
  <c r="AN2753" i="7"/>
  <c r="AI2753" i="7"/>
  <c r="AG2753" i="7"/>
  <c r="AD2753" i="7"/>
  <c r="Y2753" i="7"/>
  <c r="Z2753" i="7" s="1"/>
  <c r="F2753" i="7"/>
  <c r="D2753" i="7"/>
  <c r="AN2752" i="7"/>
  <c r="AG2752" i="7"/>
  <c r="W2752" i="7"/>
  <c r="V2752" i="7"/>
  <c r="F2752" i="7"/>
  <c r="D2752" i="7"/>
  <c r="AN2751" i="7"/>
  <c r="AI2751" i="7"/>
  <c r="AG2751" i="7"/>
  <c r="Y2751" i="7"/>
  <c r="Z2751" i="7" s="1"/>
  <c r="F2751" i="7"/>
  <c r="D2751" i="7"/>
  <c r="AN2750" i="7"/>
  <c r="AI2750" i="7"/>
  <c r="AG2750" i="7"/>
  <c r="Y2750" i="7"/>
  <c r="Z2750" i="7" s="1"/>
  <c r="F2750" i="7"/>
  <c r="D2750" i="7"/>
  <c r="AN2749" i="7"/>
  <c r="AG2749" i="7"/>
  <c r="W2749" i="7"/>
  <c r="V2749" i="7"/>
  <c r="F2749" i="7"/>
  <c r="D2749" i="7"/>
  <c r="AN2748" i="7"/>
  <c r="AI2748" i="7"/>
  <c r="AG2748" i="7"/>
  <c r="AD2748" i="7"/>
  <c r="W2748" i="7"/>
  <c r="Y2748" i="7" s="1"/>
  <c r="Z2748" i="7" s="1"/>
  <c r="AC2748" i="7" s="1"/>
  <c r="F2748" i="7"/>
  <c r="D2748" i="7"/>
  <c r="AN2747" i="7"/>
  <c r="AI2747" i="7"/>
  <c r="AG2747" i="7"/>
  <c r="W2747" i="7"/>
  <c r="Y2747" i="7" s="1"/>
  <c r="Z2747" i="7" s="1"/>
  <c r="AE2747" i="7" s="1"/>
  <c r="AF2747" i="7" s="1"/>
  <c r="F2747" i="7"/>
  <c r="D2747" i="7"/>
  <c r="AN2746" i="7"/>
  <c r="AI2746" i="7"/>
  <c r="AG2746" i="7"/>
  <c r="AD2746" i="7"/>
  <c r="X2746" i="7"/>
  <c r="W2746" i="7"/>
  <c r="F2746" i="7"/>
  <c r="D2746" i="7"/>
  <c r="AN2745" i="7"/>
  <c r="AM2745" i="7"/>
  <c r="AA2745" i="7"/>
  <c r="F2745" i="7"/>
  <c r="D2745" i="7"/>
  <c r="AN2744" i="7"/>
  <c r="AG2744" i="7"/>
  <c r="W2744" i="7"/>
  <c r="V2744" i="7"/>
  <c r="F2744" i="7"/>
  <c r="D2744" i="7"/>
  <c r="AN2743" i="7"/>
  <c r="AI2743" i="7"/>
  <c r="AG2743" i="7"/>
  <c r="Y2743" i="7"/>
  <c r="Z2743" i="7" s="1"/>
  <c r="AC2743" i="7" s="1"/>
  <c r="F2743" i="7"/>
  <c r="D2743" i="7"/>
  <c r="AN2742" i="7"/>
  <c r="AG2742" i="7"/>
  <c r="X2742" i="7"/>
  <c r="V2742" i="7"/>
  <c r="F2742" i="7"/>
  <c r="D2742" i="7"/>
  <c r="AN2741" i="7"/>
  <c r="AG2741" i="7"/>
  <c r="X2741" i="7"/>
  <c r="W2741" i="7"/>
  <c r="V2741" i="7"/>
  <c r="AI2741" i="7" s="1"/>
  <c r="F2741" i="7"/>
  <c r="D2741" i="7"/>
  <c r="AN2740" i="7"/>
  <c r="AI2740" i="7"/>
  <c r="AG2740" i="7"/>
  <c r="Y2740" i="7"/>
  <c r="Z2740" i="7" s="1"/>
  <c r="F2740" i="7"/>
  <c r="D2740" i="7"/>
  <c r="AN2739" i="7"/>
  <c r="AI2739" i="7"/>
  <c r="AG2739" i="7"/>
  <c r="W2739" i="7"/>
  <c r="Y2739" i="7" s="1"/>
  <c r="Z2739" i="7" s="1"/>
  <c r="F2739" i="7"/>
  <c r="D2739" i="7"/>
  <c r="AN2738" i="7"/>
  <c r="AI2738" i="7"/>
  <c r="AG2738" i="7"/>
  <c r="W2738" i="7"/>
  <c r="Y2738" i="7" s="1"/>
  <c r="Z2738" i="7" s="1"/>
  <c r="AA2738" i="7" s="1"/>
  <c r="F2738" i="7"/>
  <c r="D2738" i="7"/>
  <c r="AN2737" i="7"/>
  <c r="AI2737" i="7"/>
  <c r="AG2737" i="7"/>
  <c r="Y2737" i="7"/>
  <c r="Z2737" i="7" s="1"/>
  <c r="AA2737" i="7" s="1"/>
  <c r="F2737" i="7"/>
  <c r="D2737" i="7"/>
  <c r="AN2736" i="7"/>
  <c r="AI2736" i="7"/>
  <c r="AG2736" i="7"/>
  <c r="X2736" i="7"/>
  <c r="Y2736" i="7" s="1"/>
  <c r="Z2736" i="7" s="1"/>
  <c r="F2736" i="7"/>
  <c r="D2736" i="7"/>
  <c r="AN2735" i="7"/>
  <c r="AI2735" i="7"/>
  <c r="AG2735" i="7"/>
  <c r="W2735" i="7"/>
  <c r="Y2735" i="7" s="1"/>
  <c r="Z2735" i="7" s="1"/>
  <c r="AA2735" i="7" s="1"/>
  <c r="F2735" i="7"/>
  <c r="D2735" i="7"/>
  <c r="AN2734" i="7"/>
  <c r="AI2734" i="7"/>
  <c r="AG2734" i="7"/>
  <c r="W2734" i="7"/>
  <c r="Y2734" i="7" s="1"/>
  <c r="Z2734" i="7" s="1"/>
  <c r="F2734" i="7"/>
  <c r="D2734" i="7"/>
  <c r="AN2733" i="7"/>
  <c r="AG2733" i="7"/>
  <c r="W2733" i="7"/>
  <c r="V2733" i="7"/>
  <c r="AI2733" i="7" s="1"/>
  <c r="F2733" i="7"/>
  <c r="D2733" i="7"/>
  <c r="AN2732" i="7"/>
  <c r="AI2732" i="7"/>
  <c r="AG2732" i="7"/>
  <c r="Y2732" i="7"/>
  <c r="Z2732" i="7" s="1"/>
  <c r="F2732" i="7"/>
  <c r="D2732" i="7"/>
  <c r="AN2731" i="7"/>
  <c r="AG2731" i="7"/>
  <c r="W2731" i="7"/>
  <c r="V2731" i="7"/>
  <c r="AI2731" i="7" s="1"/>
  <c r="F2731" i="7"/>
  <c r="D2731" i="7"/>
  <c r="AN2730" i="7"/>
  <c r="AI2730" i="7"/>
  <c r="AG2730" i="7"/>
  <c r="X2730" i="7"/>
  <c r="W2730" i="7"/>
  <c r="F2730" i="7"/>
  <c r="D2730" i="7"/>
  <c r="AN2729" i="7"/>
  <c r="AI2729" i="7"/>
  <c r="AG2729" i="7"/>
  <c r="Y2729" i="7"/>
  <c r="Z2729" i="7" s="1"/>
  <c r="F2729" i="7"/>
  <c r="D2729" i="7"/>
  <c r="AN2728" i="7"/>
  <c r="AM2728" i="7"/>
  <c r="AA2728" i="7"/>
  <c r="F2728" i="7"/>
  <c r="D2728" i="7"/>
  <c r="AN2727" i="7"/>
  <c r="AI2727" i="7"/>
  <c r="AG2727" i="7"/>
  <c r="Y2727" i="7"/>
  <c r="Z2727" i="7" s="1"/>
  <c r="F2727" i="7"/>
  <c r="D2727" i="7"/>
  <c r="AN2726" i="7"/>
  <c r="AG2726" i="7"/>
  <c r="W2726" i="7"/>
  <c r="V2726" i="7"/>
  <c r="AI2726" i="7" s="1"/>
  <c r="F2726" i="7"/>
  <c r="D2726" i="7"/>
  <c r="AN2725" i="7"/>
  <c r="AG2725" i="7"/>
  <c r="X2725" i="7"/>
  <c r="V2725" i="7"/>
  <c r="AI2725" i="7" s="1"/>
  <c r="F2725" i="7"/>
  <c r="D2725" i="7"/>
  <c r="AN2724" i="7"/>
  <c r="AG2724" i="7"/>
  <c r="X2724" i="7"/>
  <c r="V2724" i="7"/>
  <c r="F2724" i="7"/>
  <c r="D2724" i="7"/>
  <c r="AN2723" i="7"/>
  <c r="AI2723" i="7"/>
  <c r="AG2723" i="7"/>
  <c r="W2723" i="7"/>
  <c r="Y2723" i="7" s="1"/>
  <c r="Z2723" i="7" s="1"/>
  <c r="F2723" i="7"/>
  <c r="D2723" i="7"/>
  <c r="AN2722" i="7"/>
  <c r="AI2722" i="7"/>
  <c r="AG2722" i="7"/>
  <c r="X2722" i="7"/>
  <c r="Y2722" i="7" s="1"/>
  <c r="Z2722" i="7" s="1"/>
  <c r="AA2722" i="7" s="1"/>
  <c r="F2722" i="7"/>
  <c r="D2722" i="7"/>
  <c r="AN2721" i="7"/>
  <c r="AG2721" i="7"/>
  <c r="V2721" i="7"/>
  <c r="Y2721" i="7" s="1"/>
  <c r="Z2721" i="7" s="1"/>
  <c r="AA2721" i="7" s="1"/>
  <c r="F2721" i="7"/>
  <c r="D2721" i="7"/>
  <c r="AN2720" i="7"/>
  <c r="AI2720" i="7"/>
  <c r="AG2720" i="7"/>
  <c r="Y2720" i="7"/>
  <c r="Z2720" i="7" s="1"/>
  <c r="F2720" i="7"/>
  <c r="D2720" i="7"/>
  <c r="AN2719" i="7"/>
  <c r="AI2719" i="7"/>
  <c r="AG2719" i="7"/>
  <c r="Y2719" i="7"/>
  <c r="Z2719" i="7" s="1"/>
  <c r="AA2719" i="7" s="1"/>
  <c r="F2719" i="7"/>
  <c r="D2719" i="7"/>
  <c r="AN2718" i="7"/>
  <c r="AG2718" i="7"/>
  <c r="W2718" i="7"/>
  <c r="V2718" i="7"/>
  <c r="F2718" i="7"/>
  <c r="D2718" i="7"/>
  <c r="AN2717" i="7"/>
  <c r="AI2717" i="7"/>
  <c r="AG2717" i="7"/>
  <c r="W2717" i="7"/>
  <c r="Y2717" i="7" s="1"/>
  <c r="Z2717" i="7" s="1"/>
  <c r="AE2717" i="7" s="1"/>
  <c r="AF2717" i="7" s="1"/>
  <c r="F2717" i="7"/>
  <c r="D2717" i="7"/>
  <c r="AN2716" i="7"/>
  <c r="AI2716" i="7"/>
  <c r="AG2716" i="7"/>
  <c r="Y2716" i="7"/>
  <c r="Z2716" i="7" s="1"/>
  <c r="AA2716" i="7" s="1"/>
  <c r="F2716" i="7"/>
  <c r="D2716" i="7"/>
  <c r="AN2715" i="7"/>
  <c r="AG2715" i="7"/>
  <c r="W2715" i="7"/>
  <c r="V2715" i="7"/>
  <c r="AI2715" i="7" s="1"/>
  <c r="F2715" i="7"/>
  <c r="D2715" i="7"/>
  <c r="AN2714" i="7"/>
  <c r="AI2714" i="7"/>
  <c r="AG2714" i="7"/>
  <c r="Y2714" i="7"/>
  <c r="Z2714" i="7" s="1"/>
  <c r="F2714" i="7"/>
  <c r="D2714" i="7"/>
  <c r="AN2713" i="7"/>
  <c r="AG2713" i="7"/>
  <c r="W2713" i="7"/>
  <c r="V2713" i="7"/>
  <c r="AI2713" i="7" s="1"/>
  <c r="F2713" i="7"/>
  <c r="D2713" i="7"/>
  <c r="AN2712" i="7"/>
  <c r="AI2712" i="7"/>
  <c r="AG2712" i="7"/>
  <c r="W2712" i="7"/>
  <c r="Y2712" i="7" s="1"/>
  <c r="Z2712" i="7" s="1"/>
  <c r="F2712" i="7"/>
  <c r="D2712" i="7"/>
  <c r="AN2711" i="7"/>
  <c r="AG2711" i="7"/>
  <c r="V2711" i="7"/>
  <c r="Y2711" i="7" s="1"/>
  <c r="Z2711" i="7" s="1"/>
  <c r="AC2711" i="7" s="1"/>
  <c r="F2711" i="7"/>
  <c r="D2711" i="7"/>
  <c r="AN2710" i="7"/>
  <c r="AG2710" i="7"/>
  <c r="W2710" i="7"/>
  <c r="V2710" i="7"/>
  <c r="AI2710" i="7" s="1"/>
  <c r="F2710" i="7"/>
  <c r="D2710" i="7"/>
  <c r="AN2709" i="7"/>
  <c r="AI2709" i="7"/>
  <c r="AG2709" i="7"/>
  <c r="W2709" i="7"/>
  <c r="Y2709" i="7" s="1"/>
  <c r="Z2709" i="7" s="1"/>
  <c r="F2709" i="7"/>
  <c r="D2709" i="7"/>
  <c r="AN2708" i="7"/>
  <c r="AI2708" i="7"/>
  <c r="AG2708" i="7"/>
  <c r="X2708" i="7"/>
  <c r="Y2708" i="7" s="1"/>
  <c r="Z2708" i="7" s="1"/>
  <c r="AE2708" i="7" s="1"/>
  <c r="AF2708" i="7" s="1"/>
  <c r="F2708" i="7"/>
  <c r="D2708" i="7"/>
  <c r="AN2707" i="7"/>
  <c r="AI2707" i="7"/>
  <c r="AG2707" i="7"/>
  <c r="X2707" i="7"/>
  <c r="W2707" i="7"/>
  <c r="F2707" i="7"/>
  <c r="D2707" i="7"/>
  <c r="AN2706" i="7"/>
  <c r="AI2706" i="7"/>
  <c r="AG2706" i="7"/>
  <c r="X2706" i="7"/>
  <c r="Y2706" i="7" s="1"/>
  <c r="Z2706" i="7" s="1"/>
  <c r="F2706" i="7"/>
  <c r="D2706" i="7"/>
  <c r="AN2705" i="7"/>
  <c r="AM2705" i="7"/>
  <c r="AA2705" i="7"/>
  <c r="F2705" i="7"/>
  <c r="D2705" i="7"/>
  <c r="AN2704" i="7"/>
  <c r="AG2704" i="7"/>
  <c r="X2704" i="7"/>
  <c r="V2704" i="7"/>
  <c r="AI2704" i="7" s="1"/>
  <c r="F2704" i="7"/>
  <c r="D2704" i="7"/>
  <c r="AN2703" i="7"/>
  <c r="AG2703" i="7"/>
  <c r="X2703" i="7"/>
  <c r="W2703" i="7"/>
  <c r="V2703" i="7"/>
  <c r="AI2703" i="7" s="1"/>
  <c r="F2703" i="7"/>
  <c r="D2703" i="7"/>
  <c r="AN2702" i="7"/>
  <c r="AG2702" i="7"/>
  <c r="W2702" i="7"/>
  <c r="V2702" i="7"/>
  <c r="F2702" i="7"/>
  <c r="D2702" i="7"/>
  <c r="AN2701" i="7"/>
  <c r="AG2701" i="7"/>
  <c r="X2701" i="7"/>
  <c r="V2701" i="7"/>
  <c r="AI2701" i="7" s="1"/>
  <c r="F2701" i="7"/>
  <c r="D2701" i="7"/>
  <c r="AN2700" i="7"/>
  <c r="AG2700" i="7"/>
  <c r="X2700" i="7"/>
  <c r="V2700" i="7"/>
  <c r="F2700" i="7"/>
  <c r="D2700" i="7"/>
  <c r="AN2699" i="7"/>
  <c r="AG2699" i="7"/>
  <c r="W2699" i="7"/>
  <c r="V2699" i="7"/>
  <c r="AI2699" i="7" s="1"/>
  <c r="F2699" i="7"/>
  <c r="D2699" i="7"/>
  <c r="AN2698" i="7"/>
  <c r="AI2698" i="7"/>
  <c r="AG2698" i="7"/>
  <c r="W2698" i="7"/>
  <c r="Y2698" i="7" s="1"/>
  <c r="Z2698" i="7" s="1"/>
  <c r="AA2698" i="7" s="1"/>
  <c r="F2698" i="7"/>
  <c r="D2698" i="7"/>
  <c r="AN2697" i="7"/>
  <c r="AI2697" i="7"/>
  <c r="AG2697" i="7"/>
  <c r="W2697" i="7"/>
  <c r="Y2697" i="7" s="1"/>
  <c r="Z2697" i="7" s="1"/>
  <c r="F2697" i="7"/>
  <c r="D2697" i="7"/>
  <c r="AN2696" i="7"/>
  <c r="AI2696" i="7"/>
  <c r="AG2696" i="7"/>
  <c r="X2696" i="7"/>
  <c r="Y2696" i="7" s="1"/>
  <c r="Z2696" i="7" s="1"/>
  <c r="F2696" i="7"/>
  <c r="D2696" i="7"/>
  <c r="AN2695" i="7"/>
  <c r="AG2695" i="7"/>
  <c r="X2695" i="7"/>
  <c r="V2695" i="7"/>
  <c r="AI2695" i="7" s="1"/>
  <c r="F2695" i="7"/>
  <c r="D2695" i="7"/>
  <c r="AN2694" i="7"/>
  <c r="AG2694" i="7"/>
  <c r="W2694" i="7"/>
  <c r="V2694" i="7"/>
  <c r="F2694" i="7"/>
  <c r="D2694" i="7"/>
  <c r="AN2693" i="7"/>
  <c r="AG2693" i="7"/>
  <c r="W2693" i="7"/>
  <c r="V2693" i="7"/>
  <c r="AI2693" i="7" s="1"/>
  <c r="F2693" i="7"/>
  <c r="D2693" i="7"/>
  <c r="AN2692" i="7"/>
  <c r="AG2692" i="7"/>
  <c r="V2692" i="7"/>
  <c r="AI2692" i="7" s="1"/>
  <c r="F2692" i="7"/>
  <c r="D2692" i="7"/>
  <c r="AN2691" i="7"/>
  <c r="AG2691" i="7"/>
  <c r="W2691" i="7"/>
  <c r="V2691" i="7"/>
  <c r="AI2691" i="7" s="1"/>
  <c r="F2691" i="7"/>
  <c r="D2691" i="7"/>
  <c r="AN2690" i="7"/>
  <c r="AG2690" i="7"/>
  <c r="V2690" i="7"/>
  <c r="F2690" i="7"/>
  <c r="D2690" i="7"/>
  <c r="AN2689" i="7"/>
  <c r="AG2689" i="7"/>
  <c r="X2689" i="7"/>
  <c r="W2689" i="7"/>
  <c r="V2689" i="7"/>
  <c r="AI2689" i="7" s="1"/>
  <c r="F2689" i="7"/>
  <c r="D2689" i="7"/>
  <c r="AN2688" i="7"/>
  <c r="AI2688" i="7"/>
  <c r="AG2688" i="7"/>
  <c r="W2688" i="7"/>
  <c r="Y2688" i="7" s="1"/>
  <c r="Z2688" i="7" s="1"/>
  <c r="F2688" i="7"/>
  <c r="D2688" i="7"/>
  <c r="AN2687" i="7"/>
  <c r="AG2687" i="7"/>
  <c r="W2687" i="7"/>
  <c r="V2687" i="7"/>
  <c r="AI2687" i="7" s="1"/>
  <c r="F2687" i="7"/>
  <c r="D2687" i="7"/>
  <c r="AN2686" i="7"/>
  <c r="AG2686" i="7"/>
  <c r="W2686" i="7"/>
  <c r="V2686" i="7"/>
  <c r="AI2686" i="7" s="1"/>
  <c r="F2686" i="7"/>
  <c r="D2686" i="7"/>
  <c r="AN2685" i="7"/>
  <c r="AM2685" i="7"/>
  <c r="AA2685" i="7"/>
  <c r="F2685" i="7"/>
  <c r="D2685" i="7"/>
  <c r="AN2684" i="7"/>
  <c r="AM2684" i="7"/>
  <c r="AA2684" i="7"/>
  <c r="F2684" i="7"/>
  <c r="D2684" i="7"/>
  <c r="AN2683" i="7"/>
  <c r="AG2683" i="7"/>
  <c r="X2683" i="7"/>
  <c r="V2683" i="7"/>
  <c r="AI2683" i="7" s="1"/>
  <c r="F2683" i="7"/>
  <c r="D2683" i="7"/>
  <c r="AN2682" i="7"/>
  <c r="AI2682" i="7"/>
  <c r="AG2682" i="7"/>
  <c r="X2682" i="7"/>
  <c r="W2682" i="7"/>
  <c r="F2682" i="7"/>
  <c r="D2682" i="7"/>
  <c r="AN2681" i="7"/>
  <c r="AG2681" i="7"/>
  <c r="X2681" i="7"/>
  <c r="W2681" i="7"/>
  <c r="V2681" i="7"/>
  <c r="AI2681" i="7" s="1"/>
  <c r="F2681" i="7"/>
  <c r="D2681" i="7"/>
  <c r="AN2680" i="7"/>
  <c r="AI2680" i="7"/>
  <c r="AG2680" i="7"/>
  <c r="W2680" i="7"/>
  <c r="Y2680" i="7" s="1"/>
  <c r="Z2680" i="7" s="1"/>
  <c r="AE2680" i="7" s="1"/>
  <c r="AF2680" i="7" s="1"/>
  <c r="F2680" i="7"/>
  <c r="D2680" i="7"/>
  <c r="AN2679" i="7"/>
  <c r="AG2679" i="7"/>
  <c r="W2679" i="7"/>
  <c r="V2679" i="7"/>
  <c r="AI2679" i="7" s="1"/>
  <c r="F2679" i="7"/>
  <c r="D2679" i="7"/>
  <c r="AN2678" i="7"/>
  <c r="AG2678" i="7"/>
  <c r="V2678" i="7"/>
  <c r="F2678" i="7"/>
  <c r="D2678" i="7"/>
  <c r="AN2677" i="7"/>
  <c r="AI2677" i="7"/>
  <c r="AG2677" i="7"/>
  <c r="Y2677" i="7"/>
  <c r="Z2677" i="7" s="1"/>
  <c r="F2677" i="7"/>
  <c r="D2677" i="7"/>
  <c r="AN2676" i="7"/>
  <c r="AM2676" i="7"/>
  <c r="AA2676" i="7"/>
  <c r="F2676" i="7"/>
  <c r="D2676" i="7"/>
  <c r="AN2675" i="7"/>
  <c r="AI2675" i="7"/>
  <c r="AG2675" i="7"/>
  <c r="Y2675" i="7"/>
  <c r="Z2675" i="7" s="1"/>
  <c r="F2675" i="7"/>
  <c r="D2675" i="7"/>
  <c r="AN2674" i="7"/>
  <c r="AG2674" i="7"/>
  <c r="V2674" i="7"/>
  <c r="AI2674" i="7" s="1"/>
  <c r="F2674" i="7"/>
  <c r="D2674" i="7"/>
  <c r="AN2673" i="7"/>
  <c r="AI2673" i="7"/>
  <c r="AG2673" i="7"/>
  <c r="Y2673" i="7"/>
  <c r="Z2673" i="7" s="1"/>
  <c r="F2673" i="7"/>
  <c r="D2673" i="7"/>
  <c r="AN2672" i="7"/>
  <c r="AM2672" i="7"/>
  <c r="AA2672" i="7"/>
  <c r="F2672" i="7"/>
  <c r="D2672" i="7"/>
  <c r="AN2671" i="7"/>
  <c r="AI2671" i="7"/>
  <c r="AG2671" i="7"/>
  <c r="X2671" i="7"/>
  <c r="W2671" i="7"/>
  <c r="F2671" i="7"/>
  <c r="D2671" i="7"/>
  <c r="AN2670" i="7"/>
  <c r="AI2670" i="7"/>
  <c r="AG2670" i="7"/>
  <c r="AH2670" i="7" s="1"/>
  <c r="Y2670" i="7"/>
  <c r="Z2670" i="7" s="1"/>
  <c r="F2670" i="7"/>
  <c r="D2670" i="7"/>
  <c r="AN2669" i="7"/>
  <c r="AI2669" i="7"/>
  <c r="AG2669" i="7"/>
  <c r="W2669" i="7"/>
  <c r="Y2669" i="7" s="1"/>
  <c r="Z2669" i="7" s="1"/>
  <c r="AA2669" i="7" s="1"/>
  <c r="F2669" i="7"/>
  <c r="D2669" i="7"/>
  <c r="AN2668" i="7"/>
  <c r="AI2668" i="7"/>
  <c r="AG2668" i="7"/>
  <c r="X2668" i="7"/>
  <c r="Y2668" i="7" s="1"/>
  <c r="Z2668" i="7" s="1"/>
  <c r="AA2668" i="7" s="1"/>
  <c r="F2668" i="7"/>
  <c r="D2668" i="7"/>
  <c r="AN2667" i="7"/>
  <c r="AG2667" i="7"/>
  <c r="X2667" i="7"/>
  <c r="W2667" i="7"/>
  <c r="V2667" i="7"/>
  <c r="AI2667" i="7" s="1"/>
  <c r="F2667" i="7"/>
  <c r="D2667" i="7"/>
  <c r="AN2666" i="7"/>
  <c r="AG2666" i="7"/>
  <c r="W2666" i="7"/>
  <c r="V2666" i="7"/>
  <c r="F2666" i="7"/>
  <c r="D2666" i="7"/>
  <c r="AN2665" i="7"/>
  <c r="AI2665" i="7"/>
  <c r="AG2665" i="7"/>
  <c r="X2665" i="7"/>
  <c r="W2665" i="7"/>
  <c r="F2665" i="7"/>
  <c r="D2665" i="7"/>
  <c r="AN2664" i="7"/>
  <c r="AG2664" i="7"/>
  <c r="V2664" i="7"/>
  <c r="Y2664" i="7" s="1"/>
  <c r="Z2664" i="7" s="1"/>
  <c r="AC2664" i="7" s="1"/>
  <c r="F2664" i="7"/>
  <c r="D2664" i="7"/>
  <c r="AN2663" i="7"/>
  <c r="AG2663" i="7"/>
  <c r="W2663" i="7"/>
  <c r="V2663" i="7"/>
  <c r="AI2663" i="7" s="1"/>
  <c r="F2663" i="7"/>
  <c r="D2663" i="7"/>
  <c r="AN2662" i="7"/>
  <c r="AG2662" i="7"/>
  <c r="W2662" i="7"/>
  <c r="V2662" i="7"/>
  <c r="AI2662" i="7" s="1"/>
  <c r="F2662" i="7"/>
  <c r="D2662" i="7"/>
  <c r="AN2661" i="7"/>
  <c r="AI2661" i="7"/>
  <c r="AG2661" i="7"/>
  <c r="W2661" i="7"/>
  <c r="Y2661" i="7" s="1"/>
  <c r="Z2661" i="7" s="1"/>
  <c r="F2661" i="7"/>
  <c r="D2661" i="7"/>
  <c r="AN2660" i="7"/>
  <c r="AG2660" i="7"/>
  <c r="V2660" i="7"/>
  <c r="Y2660" i="7" s="1"/>
  <c r="Z2660" i="7" s="1"/>
  <c r="F2660" i="7"/>
  <c r="D2660" i="7"/>
  <c r="AN2659" i="7"/>
  <c r="AI2659" i="7"/>
  <c r="AG2659" i="7"/>
  <c r="Y2659" i="7"/>
  <c r="Z2659" i="7" s="1"/>
  <c r="F2659" i="7"/>
  <c r="D2659" i="7"/>
  <c r="AN2658" i="7"/>
  <c r="AG2658" i="7"/>
  <c r="X2658" i="7"/>
  <c r="V2658" i="7"/>
  <c r="F2658" i="7"/>
  <c r="D2658" i="7"/>
  <c r="AN2657" i="7"/>
  <c r="AG2657" i="7"/>
  <c r="W2657" i="7"/>
  <c r="V2657" i="7"/>
  <c r="AI2657" i="7" s="1"/>
  <c r="AJ2657" i="7" s="1"/>
  <c r="F2657" i="7"/>
  <c r="D2657" i="7"/>
  <c r="AN2656" i="7"/>
  <c r="AM2656" i="7"/>
  <c r="AA2656" i="7"/>
  <c r="F2656" i="7"/>
  <c r="D2656" i="7"/>
  <c r="AN2655" i="7"/>
  <c r="AI2655" i="7"/>
  <c r="AG2655" i="7"/>
  <c r="X2655" i="7"/>
  <c r="Y2655" i="7" s="1"/>
  <c r="Z2655" i="7" s="1"/>
  <c r="F2655" i="7"/>
  <c r="D2655" i="7"/>
  <c r="AN2654" i="7"/>
  <c r="AG2654" i="7"/>
  <c r="X2654" i="7"/>
  <c r="V2654" i="7"/>
  <c r="F2654" i="7"/>
  <c r="D2654" i="7"/>
  <c r="AN2653" i="7"/>
  <c r="AG2653" i="7"/>
  <c r="X2653" i="7"/>
  <c r="V2653" i="7"/>
  <c r="AI2653" i="7" s="1"/>
  <c r="F2653" i="7"/>
  <c r="D2653" i="7"/>
  <c r="AN2652" i="7"/>
  <c r="W2652" i="7"/>
  <c r="V2652" i="7"/>
  <c r="F2652" i="7"/>
  <c r="D2652" i="7"/>
  <c r="AN2651" i="7"/>
  <c r="W2651" i="7"/>
  <c r="V2651" i="7"/>
  <c r="F2651" i="7"/>
  <c r="D2651" i="7"/>
  <c r="AN2650" i="7"/>
  <c r="AI2650" i="7"/>
  <c r="AG2650" i="7"/>
  <c r="Y2650" i="7"/>
  <c r="Z2650" i="7" s="1"/>
  <c r="F2650" i="7"/>
  <c r="D2650" i="7"/>
  <c r="AN2649" i="7"/>
  <c r="AI2649" i="7"/>
  <c r="AG2649" i="7"/>
  <c r="W2649" i="7"/>
  <c r="Y2649" i="7" s="1"/>
  <c r="Z2649" i="7" s="1"/>
  <c r="AC2649" i="7" s="1"/>
  <c r="F2649" i="7"/>
  <c r="D2649" i="7"/>
  <c r="AN2648" i="7"/>
  <c r="AG2648" i="7"/>
  <c r="W2648" i="7"/>
  <c r="V2648" i="7"/>
  <c r="AI2648" i="7" s="1"/>
  <c r="F2648" i="7"/>
  <c r="D2648" i="7"/>
  <c r="AN2647" i="7"/>
  <c r="AI2647" i="7"/>
  <c r="AG2647" i="7"/>
  <c r="Y2647" i="7"/>
  <c r="Z2647" i="7" s="1"/>
  <c r="F2647" i="7"/>
  <c r="D2647" i="7"/>
  <c r="AN2646" i="7"/>
  <c r="AI2646" i="7"/>
  <c r="AG2646" i="7"/>
  <c r="W2646" i="7"/>
  <c r="Y2646" i="7" s="1"/>
  <c r="Z2646" i="7" s="1"/>
  <c r="F2646" i="7"/>
  <c r="D2646" i="7"/>
  <c r="AN2645" i="7"/>
  <c r="AI2645" i="7"/>
  <c r="AG2645" i="7"/>
  <c r="Y2645" i="7"/>
  <c r="Z2645" i="7" s="1"/>
  <c r="F2645" i="7"/>
  <c r="D2645" i="7"/>
  <c r="AN2644" i="7"/>
  <c r="AI2644" i="7"/>
  <c r="AG2644" i="7"/>
  <c r="W2644" i="7"/>
  <c r="Y2644" i="7" s="1"/>
  <c r="Z2644" i="7" s="1"/>
  <c r="F2644" i="7"/>
  <c r="D2644" i="7"/>
  <c r="AN2643" i="7"/>
  <c r="AG2643" i="7"/>
  <c r="W2643" i="7"/>
  <c r="V2643" i="7"/>
  <c r="F2643" i="7"/>
  <c r="D2643" i="7"/>
  <c r="AN2642" i="7"/>
  <c r="AM2642" i="7"/>
  <c r="AA2642" i="7"/>
  <c r="F2642" i="7"/>
  <c r="D2642" i="7"/>
  <c r="AN2641" i="7"/>
  <c r="AG2641" i="7"/>
  <c r="W2641" i="7"/>
  <c r="V2641" i="7"/>
  <c r="AI2641" i="7" s="1"/>
  <c r="F2641" i="7"/>
  <c r="D2641" i="7"/>
  <c r="AN2640" i="7"/>
  <c r="AI2640" i="7"/>
  <c r="AG2640" i="7"/>
  <c r="X2640" i="7"/>
  <c r="Y2640" i="7" s="1"/>
  <c r="Z2640" i="7" s="1"/>
  <c r="AC2640" i="7" s="1"/>
  <c r="F2640" i="7"/>
  <c r="D2640" i="7"/>
  <c r="AN2639" i="7"/>
  <c r="AI2639" i="7"/>
  <c r="AG2639" i="7"/>
  <c r="W2639" i="7"/>
  <c r="Y2639" i="7" s="1"/>
  <c r="Z2639" i="7" s="1"/>
  <c r="F2639" i="7"/>
  <c r="D2639" i="7"/>
  <c r="AN2638" i="7"/>
  <c r="AI2638" i="7"/>
  <c r="AG2638" i="7"/>
  <c r="Y2638" i="7"/>
  <c r="Z2638" i="7" s="1"/>
  <c r="F2638" i="7"/>
  <c r="D2638" i="7"/>
  <c r="AN2637" i="7"/>
  <c r="AG2637" i="7"/>
  <c r="X2637" i="7"/>
  <c r="W2637" i="7"/>
  <c r="V2637" i="7"/>
  <c r="AI2637" i="7" s="1"/>
  <c r="F2637" i="7"/>
  <c r="D2637" i="7"/>
  <c r="AN2636" i="7"/>
  <c r="AI2636" i="7"/>
  <c r="AG2636" i="7"/>
  <c r="W2636" i="7"/>
  <c r="Y2636" i="7" s="1"/>
  <c r="Z2636" i="7" s="1"/>
  <c r="F2636" i="7"/>
  <c r="D2636" i="7"/>
  <c r="AN2635" i="7"/>
  <c r="AI2635" i="7"/>
  <c r="AG2635" i="7"/>
  <c r="W2635" i="7"/>
  <c r="Y2635" i="7" s="1"/>
  <c r="Z2635" i="7" s="1"/>
  <c r="F2635" i="7"/>
  <c r="D2635" i="7"/>
  <c r="AN2634" i="7"/>
  <c r="AG2634" i="7"/>
  <c r="X2634" i="7"/>
  <c r="W2634" i="7"/>
  <c r="V2634" i="7"/>
  <c r="F2634" i="7"/>
  <c r="D2634" i="7"/>
  <c r="AN2633" i="7"/>
  <c r="AG2633" i="7"/>
  <c r="W2633" i="7"/>
  <c r="V2633" i="7"/>
  <c r="AI2633" i="7" s="1"/>
  <c r="F2633" i="7"/>
  <c r="D2633" i="7"/>
  <c r="AN2632" i="7"/>
  <c r="AG2632" i="7"/>
  <c r="W2632" i="7"/>
  <c r="V2632" i="7"/>
  <c r="AI2632" i="7" s="1"/>
  <c r="F2632" i="7"/>
  <c r="D2632" i="7"/>
  <c r="AN2631" i="7"/>
  <c r="AG2631" i="7"/>
  <c r="W2631" i="7"/>
  <c r="V2631" i="7"/>
  <c r="F2631" i="7"/>
  <c r="D2631" i="7"/>
  <c r="AN2630" i="7"/>
  <c r="AI2630" i="7"/>
  <c r="AG2630" i="7"/>
  <c r="Y2630" i="7"/>
  <c r="Z2630" i="7" s="1"/>
  <c r="AE2630" i="7" s="1"/>
  <c r="AF2630" i="7" s="1"/>
  <c r="F2630" i="7"/>
  <c r="D2630" i="7"/>
  <c r="AN2629" i="7"/>
  <c r="AI2629" i="7"/>
  <c r="AG2629" i="7"/>
  <c r="W2629" i="7"/>
  <c r="Y2629" i="7" s="1"/>
  <c r="Z2629" i="7" s="1"/>
  <c r="F2629" i="7"/>
  <c r="D2629" i="7"/>
  <c r="AN2628" i="7"/>
  <c r="AG2628" i="7"/>
  <c r="W2628" i="7"/>
  <c r="V2628" i="7"/>
  <c r="F2628" i="7"/>
  <c r="D2628" i="7"/>
  <c r="AN2627" i="7"/>
  <c r="AI2627" i="7"/>
  <c r="AG2627" i="7"/>
  <c r="W2627" i="7"/>
  <c r="Y2627" i="7" s="1"/>
  <c r="Z2627" i="7" s="1"/>
  <c r="F2627" i="7"/>
  <c r="D2627" i="7"/>
  <c r="AN2626" i="7"/>
  <c r="AG2626" i="7"/>
  <c r="V2626" i="7"/>
  <c r="F2626" i="7"/>
  <c r="D2626" i="7"/>
  <c r="AN2625" i="7"/>
  <c r="AG2625" i="7"/>
  <c r="X2625" i="7"/>
  <c r="V2625" i="7"/>
  <c r="F2625" i="7"/>
  <c r="D2625" i="7"/>
  <c r="AN2624" i="7"/>
  <c r="AG2624" i="7"/>
  <c r="X2624" i="7"/>
  <c r="V2624" i="7"/>
  <c r="AI2624" i="7" s="1"/>
  <c r="F2624" i="7"/>
  <c r="D2624" i="7"/>
  <c r="AN2623" i="7"/>
  <c r="AI2623" i="7"/>
  <c r="AG2623" i="7"/>
  <c r="W2623" i="7"/>
  <c r="Y2623" i="7" s="1"/>
  <c r="Z2623" i="7" s="1"/>
  <c r="F2623" i="7"/>
  <c r="D2623" i="7"/>
  <c r="AN2622" i="7"/>
  <c r="AI2622" i="7"/>
  <c r="AG2622" i="7"/>
  <c r="W2622" i="7"/>
  <c r="Y2622" i="7" s="1"/>
  <c r="Z2622" i="7" s="1"/>
  <c r="F2622" i="7"/>
  <c r="D2622" i="7"/>
  <c r="AN2621" i="7"/>
  <c r="AG2621" i="7"/>
  <c r="X2621" i="7"/>
  <c r="W2621" i="7"/>
  <c r="V2621" i="7"/>
  <c r="AI2621" i="7" s="1"/>
  <c r="F2621" i="7"/>
  <c r="D2621" i="7"/>
  <c r="AN2620" i="7"/>
  <c r="AM2620" i="7"/>
  <c r="AA2620" i="7"/>
  <c r="F2620" i="7"/>
  <c r="D2620" i="7"/>
  <c r="AN2619" i="7"/>
  <c r="AG2619" i="7"/>
  <c r="V2619" i="7"/>
  <c r="F2619" i="7"/>
  <c r="D2619" i="7"/>
  <c r="AN2618" i="7"/>
  <c r="AI2618" i="7"/>
  <c r="AG2618" i="7"/>
  <c r="W2618" i="7"/>
  <c r="Y2618" i="7" s="1"/>
  <c r="Z2618" i="7" s="1"/>
  <c r="F2618" i="7"/>
  <c r="D2618" i="7"/>
  <c r="AN2617" i="7"/>
  <c r="AI2617" i="7"/>
  <c r="AG2617" i="7"/>
  <c r="Y2617" i="7"/>
  <c r="Z2617" i="7" s="1"/>
  <c r="F2617" i="7"/>
  <c r="D2617" i="7"/>
  <c r="AN2616" i="7"/>
  <c r="AI2616" i="7"/>
  <c r="AG2616" i="7"/>
  <c r="W2616" i="7"/>
  <c r="Y2616" i="7" s="1"/>
  <c r="Z2616" i="7" s="1"/>
  <c r="AE2616" i="7" s="1"/>
  <c r="AF2616" i="7" s="1"/>
  <c r="F2616" i="7"/>
  <c r="D2616" i="7"/>
  <c r="AN2615" i="7"/>
  <c r="AG2615" i="7"/>
  <c r="V2615" i="7"/>
  <c r="F2615" i="7"/>
  <c r="D2615" i="7"/>
  <c r="AN2614" i="7"/>
  <c r="AI2614" i="7"/>
  <c r="AG2614" i="7"/>
  <c r="W2614" i="7"/>
  <c r="Y2614" i="7" s="1"/>
  <c r="Z2614" i="7" s="1"/>
  <c r="F2614" i="7"/>
  <c r="D2614" i="7"/>
  <c r="AN2613" i="7"/>
  <c r="AI2613" i="7"/>
  <c r="AG2613" i="7"/>
  <c r="W2613" i="7"/>
  <c r="Y2613" i="7" s="1"/>
  <c r="Z2613" i="7" s="1"/>
  <c r="AA2613" i="7" s="1"/>
  <c r="F2613" i="7"/>
  <c r="D2613" i="7"/>
  <c r="AN2612" i="7"/>
  <c r="AG2612" i="7"/>
  <c r="W2612" i="7"/>
  <c r="V2612" i="7"/>
  <c r="AI2612" i="7" s="1"/>
  <c r="F2612" i="7"/>
  <c r="D2612" i="7"/>
  <c r="AN2611" i="7"/>
  <c r="AI2611" i="7"/>
  <c r="AG2611" i="7"/>
  <c r="W2611" i="7"/>
  <c r="Y2611" i="7" s="1"/>
  <c r="Z2611" i="7" s="1"/>
  <c r="AA2611" i="7" s="1"/>
  <c r="F2611" i="7"/>
  <c r="D2611" i="7"/>
  <c r="AN2610" i="7"/>
  <c r="AI2610" i="7"/>
  <c r="AG2610" i="7"/>
  <c r="W2610" i="7"/>
  <c r="Y2610" i="7" s="1"/>
  <c r="Z2610" i="7" s="1"/>
  <c r="F2610" i="7"/>
  <c r="D2610" i="7"/>
  <c r="AN2609" i="7"/>
  <c r="AI2609" i="7"/>
  <c r="AG2609" i="7"/>
  <c r="Y2609" i="7"/>
  <c r="Z2609" i="7" s="1"/>
  <c r="F2609" i="7"/>
  <c r="D2609" i="7"/>
  <c r="AN2608" i="7"/>
  <c r="AG2608" i="7"/>
  <c r="V2608" i="7"/>
  <c r="F2608" i="7"/>
  <c r="D2608" i="7"/>
  <c r="AN2607" i="7"/>
  <c r="AG2607" i="7"/>
  <c r="W2607" i="7"/>
  <c r="V2607" i="7"/>
  <c r="AI2607" i="7" s="1"/>
  <c r="F2607" i="7"/>
  <c r="D2607" i="7"/>
  <c r="AN2606" i="7"/>
  <c r="AI2606" i="7"/>
  <c r="AG2606" i="7"/>
  <c r="W2606" i="7"/>
  <c r="Y2606" i="7" s="1"/>
  <c r="Z2606" i="7" s="1"/>
  <c r="F2606" i="7"/>
  <c r="D2606" i="7"/>
  <c r="AN2605" i="7"/>
  <c r="AI2605" i="7"/>
  <c r="AG2605" i="7"/>
  <c r="AH2605" i="7" s="1"/>
  <c r="W2605" i="7"/>
  <c r="Y2605" i="7" s="1"/>
  <c r="Z2605" i="7" s="1"/>
  <c r="F2605" i="7"/>
  <c r="D2605" i="7"/>
  <c r="AN2604" i="7"/>
  <c r="AG2604" i="7"/>
  <c r="W2604" i="7"/>
  <c r="V2604" i="7"/>
  <c r="AI2604" i="7" s="1"/>
  <c r="F2604" i="7"/>
  <c r="D2604" i="7"/>
  <c r="AN2603" i="7"/>
  <c r="AG2603" i="7"/>
  <c r="V2603" i="7"/>
  <c r="F2603" i="7"/>
  <c r="D2603" i="7"/>
  <c r="AN2602" i="7"/>
  <c r="AG2602" i="7"/>
  <c r="V2602" i="7"/>
  <c r="F2602" i="7"/>
  <c r="D2602" i="7"/>
  <c r="AN2601" i="7"/>
  <c r="AI2601" i="7"/>
  <c r="AG2601" i="7"/>
  <c r="W2601" i="7"/>
  <c r="Y2601" i="7" s="1"/>
  <c r="Z2601" i="7" s="1"/>
  <c r="AE2601" i="7" s="1"/>
  <c r="AF2601" i="7" s="1"/>
  <c r="F2601" i="7"/>
  <c r="D2601" i="7"/>
  <c r="AN2600" i="7"/>
  <c r="AI2600" i="7"/>
  <c r="AG2600" i="7"/>
  <c r="X2600" i="7"/>
  <c r="W2600" i="7"/>
  <c r="F2600" i="7"/>
  <c r="D2600" i="7"/>
  <c r="AN2599" i="7"/>
  <c r="X2599" i="7"/>
  <c r="V2599" i="7"/>
  <c r="F2599" i="7"/>
  <c r="D2599" i="7"/>
  <c r="AN2598" i="7"/>
  <c r="AI2598" i="7"/>
  <c r="AG2598" i="7"/>
  <c r="X2598" i="7"/>
  <c r="W2598" i="7"/>
  <c r="F2598" i="7"/>
  <c r="D2598" i="7"/>
  <c r="AN2597" i="7"/>
  <c r="AI2597" i="7"/>
  <c r="AG2597" i="7"/>
  <c r="W2597" i="7"/>
  <c r="Y2597" i="7" s="1"/>
  <c r="Z2597" i="7" s="1"/>
  <c r="F2597" i="7"/>
  <c r="D2597" i="7"/>
  <c r="AN2596" i="7"/>
  <c r="AG2596" i="7"/>
  <c r="X2596" i="7"/>
  <c r="V2596" i="7"/>
  <c r="AI2596" i="7" s="1"/>
  <c r="F2596" i="7"/>
  <c r="D2596" i="7"/>
  <c r="AN2595" i="7"/>
  <c r="AI2595" i="7"/>
  <c r="AG2595" i="7"/>
  <c r="W2595" i="7"/>
  <c r="Y2595" i="7" s="1"/>
  <c r="Z2595" i="7" s="1"/>
  <c r="AE2595" i="7" s="1"/>
  <c r="AF2595" i="7" s="1"/>
  <c r="F2595" i="7"/>
  <c r="D2595" i="7"/>
  <c r="AN2594" i="7"/>
  <c r="AG2594" i="7"/>
  <c r="W2594" i="7"/>
  <c r="V2594" i="7"/>
  <c r="AI2594" i="7" s="1"/>
  <c r="F2594" i="7"/>
  <c r="D2594" i="7"/>
  <c r="AN2593" i="7"/>
  <c r="AG2593" i="7"/>
  <c r="W2593" i="7"/>
  <c r="V2593" i="7"/>
  <c r="AI2593" i="7" s="1"/>
  <c r="F2593" i="7"/>
  <c r="D2593" i="7"/>
  <c r="AN2592" i="7"/>
  <c r="AI2592" i="7"/>
  <c r="AG2592" i="7"/>
  <c r="X2592" i="7"/>
  <c r="Y2592" i="7" s="1"/>
  <c r="Z2592" i="7" s="1"/>
  <c r="AC2592" i="7" s="1"/>
  <c r="F2592" i="7"/>
  <c r="D2592" i="7"/>
  <c r="AN2591" i="7"/>
  <c r="AM2591" i="7"/>
  <c r="AA2591" i="7"/>
  <c r="F2591" i="7"/>
  <c r="D2591" i="7"/>
  <c r="AN2590" i="7"/>
  <c r="AI2590" i="7"/>
  <c r="AG2590" i="7"/>
  <c r="Y2590" i="7"/>
  <c r="Z2590" i="7" s="1"/>
  <c r="AC2590" i="7" s="1"/>
  <c r="F2590" i="7"/>
  <c r="D2590" i="7"/>
  <c r="AN2589" i="7"/>
  <c r="AI2589" i="7"/>
  <c r="AG2589" i="7"/>
  <c r="Y2589" i="7"/>
  <c r="Z2589" i="7" s="1"/>
  <c r="AE2589" i="7" s="1"/>
  <c r="AF2589" i="7" s="1"/>
  <c r="F2589" i="7"/>
  <c r="D2589" i="7"/>
  <c r="AN2588" i="7"/>
  <c r="AI2588" i="7"/>
  <c r="AG2588" i="7"/>
  <c r="W2588" i="7"/>
  <c r="Y2588" i="7" s="1"/>
  <c r="Z2588" i="7" s="1"/>
  <c r="AA2588" i="7" s="1"/>
  <c r="F2588" i="7"/>
  <c r="D2588" i="7"/>
  <c r="AN2587" i="7"/>
  <c r="AI2587" i="7"/>
  <c r="AG2587" i="7"/>
  <c r="X2587" i="7"/>
  <c r="Y2587" i="7" s="1"/>
  <c r="Z2587" i="7" s="1"/>
  <c r="AA2587" i="7" s="1"/>
  <c r="F2587" i="7"/>
  <c r="D2587" i="7"/>
  <c r="AN2586" i="7"/>
  <c r="AI2586" i="7"/>
  <c r="AG2586" i="7"/>
  <c r="X2586" i="7"/>
  <c r="W2586" i="7"/>
  <c r="F2586" i="7"/>
  <c r="D2586" i="7"/>
  <c r="AN2585" i="7"/>
  <c r="AI2585" i="7"/>
  <c r="AG2585" i="7"/>
  <c r="W2585" i="7"/>
  <c r="Y2585" i="7" s="1"/>
  <c r="Z2585" i="7" s="1"/>
  <c r="F2585" i="7"/>
  <c r="D2585" i="7"/>
  <c r="AN2584" i="7"/>
  <c r="AI2584" i="7"/>
  <c r="AG2584" i="7"/>
  <c r="Y2584" i="7"/>
  <c r="Z2584" i="7" s="1"/>
  <c r="F2584" i="7"/>
  <c r="D2584" i="7"/>
  <c r="AN2583" i="7"/>
  <c r="AI2583" i="7"/>
  <c r="AG2583" i="7"/>
  <c r="W2583" i="7"/>
  <c r="Y2583" i="7" s="1"/>
  <c r="Z2583" i="7" s="1"/>
  <c r="F2583" i="7"/>
  <c r="D2583" i="7"/>
  <c r="AN2582" i="7"/>
  <c r="AG2582" i="7"/>
  <c r="X2582" i="7"/>
  <c r="W2582" i="7"/>
  <c r="V2582" i="7"/>
  <c r="AI2582" i="7" s="1"/>
  <c r="F2582" i="7"/>
  <c r="D2582" i="7"/>
  <c r="AN2581" i="7"/>
  <c r="AG2581" i="7"/>
  <c r="V2581" i="7"/>
  <c r="AI2581" i="7" s="1"/>
  <c r="F2581" i="7"/>
  <c r="D2581" i="7"/>
  <c r="AN2580" i="7"/>
  <c r="AG2580" i="7"/>
  <c r="X2580" i="7"/>
  <c r="W2580" i="7"/>
  <c r="V2580" i="7"/>
  <c r="AI2580" i="7" s="1"/>
  <c r="F2580" i="7"/>
  <c r="D2580" i="7"/>
  <c r="AN2579" i="7"/>
  <c r="AI2579" i="7"/>
  <c r="AG2579" i="7"/>
  <c r="X2579" i="7"/>
  <c r="Y2579" i="7" s="1"/>
  <c r="Z2579" i="7" s="1"/>
  <c r="F2579" i="7"/>
  <c r="D2579" i="7"/>
  <c r="AN2578" i="7"/>
  <c r="AI2578" i="7"/>
  <c r="AG2578" i="7"/>
  <c r="X2578" i="7"/>
  <c r="W2578" i="7"/>
  <c r="F2578" i="7"/>
  <c r="D2578" i="7"/>
  <c r="AN2577" i="7"/>
  <c r="AG2577" i="7"/>
  <c r="X2577" i="7"/>
  <c r="V2577" i="7"/>
  <c r="AI2577" i="7" s="1"/>
  <c r="F2577" i="7"/>
  <c r="D2577" i="7"/>
  <c r="AN2576" i="7"/>
  <c r="AI2576" i="7"/>
  <c r="AG2576" i="7"/>
  <c r="X2576" i="7"/>
  <c r="Y2576" i="7" s="1"/>
  <c r="Z2576" i="7" s="1"/>
  <c r="F2576" i="7"/>
  <c r="D2576" i="7"/>
  <c r="AN2575" i="7"/>
  <c r="AI2575" i="7"/>
  <c r="AG2575" i="7"/>
  <c r="W2575" i="7"/>
  <c r="Y2575" i="7" s="1"/>
  <c r="Z2575" i="7" s="1"/>
  <c r="F2575" i="7"/>
  <c r="D2575" i="7"/>
  <c r="AN2574" i="7"/>
  <c r="AG2574" i="7"/>
  <c r="W2574" i="7"/>
  <c r="V2574" i="7"/>
  <c r="AI2574" i="7" s="1"/>
  <c r="F2574" i="7"/>
  <c r="D2574" i="7"/>
  <c r="AN2573" i="7"/>
  <c r="AI2573" i="7"/>
  <c r="AG2573" i="7"/>
  <c r="W2573" i="7"/>
  <c r="Y2573" i="7" s="1"/>
  <c r="Z2573" i="7" s="1"/>
  <c r="AE2573" i="7" s="1"/>
  <c r="AF2573" i="7" s="1"/>
  <c r="F2573" i="7"/>
  <c r="D2573" i="7"/>
  <c r="AN2572" i="7"/>
  <c r="AG2572" i="7"/>
  <c r="V2572" i="7"/>
  <c r="F2572" i="7"/>
  <c r="D2572" i="7"/>
  <c r="AN2571" i="7"/>
  <c r="AG2571" i="7"/>
  <c r="X2571" i="7"/>
  <c r="W2571" i="7"/>
  <c r="V2571" i="7"/>
  <c r="AI2571" i="7" s="1"/>
  <c r="F2571" i="7"/>
  <c r="D2571" i="7"/>
  <c r="AN2570" i="7"/>
  <c r="AG2570" i="7"/>
  <c r="W2570" i="7"/>
  <c r="V2570" i="7"/>
  <c r="AI2570" i="7" s="1"/>
  <c r="F2570" i="7"/>
  <c r="D2570" i="7"/>
  <c r="AN2569" i="7"/>
  <c r="AI2569" i="7"/>
  <c r="AG2569" i="7"/>
  <c r="W2569" i="7"/>
  <c r="Y2569" i="7" s="1"/>
  <c r="Z2569" i="7" s="1"/>
  <c r="F2569" i="7"/>
  <c r="D2569" i="7"/>
  <c r="AN2568" i="7"/>
  <c r="AG2568" i="7"/>
  <c r="W2568" i="7"/>
  <c r="V2568" i="7"/>
  <c r="F2568" i="7"/>
  <c r="D2568" i="7"/>
  <c r="AN2567" i="7"/>
  <c r="AG2567" i="7"/>
  <c r="X2567" i="7"/>
  <c r="V2567" i="7"/>
  <c r="AI2567" i="7" s="1"/>
  <c r="F2567" i="7"/>
  <c r="D2567" i="7"/>
  <c r="AN2566" i="7"/>
  <c r="AG2566" i="7"/>
  <c r="X2566" i="7"/>
  <c r="V2566" i="7"/>
  <c r="F2566" i="7"/>
  <c r="D2566" i="7"/>
  <c r="AN2565" i="7"/>
  <c r="AG2565" i="7"/>
  <c r="W2565" i="7"/>
  <c r="V2565" i="7"/>
  <c r="F2565" i="7"/>
  <c r="D2565" i="7"/>
  <c r="AN2564" i="7"/>
  <c r="AG2564" i="7"/>
  <c r="W2564" i="7"/>
  <c r="V2564" i="7"/>
  <c r="AI2564" i="7" s="1"/>
  <c r="F2564" i="7"/>
  <c r="D2564" i="7"/>
  <c r="AN2563" i="7"/>
  <c r="AG2563" i="7"/>
  <c r="X2563" i="7"/>
  <c r="W2563" i="7"/>
  <c r="V2563" i="7"/>
  <c r="F2563" i="7"/>
  <c r="D2563" i="7"/>
  <c r="AN2562" i="7"/>
  <c r="AG2562" i="7"/>
  <c r="W2562" i="7"/>
  <c r="V2562" i="7"/>
  <c r="AI2562" i="7" s="1"/>
  <c r="F2562" i="7"/>
  <c r="D2562" i="7"/>
  <c r="AN2561" i="7"/>
  <c r="AI2561" i="7"/>
  <c r="AG2561" i="7"/>
  <c r="W2561" i="7"/>
  <c r="Y2561" i="7" s="1"/>
  <c r="Z2561" i="7" s="1"/>
  <c r="F2561" i="7"/>
  <c r="D2561" i="7"/>
  <c r="AN2560" i="7"/>
  <c r="AG2560" i="7"/>
  <c r="W2560" i="7"/>
  <c r="V2560" i="7"/>
  <c r="F2560" i="7"/>
  <c r="D2560" i="7"/>
  <c r="AN2559" i="7"/>
  <c r="X2559" i="7"/>
  <c r="V2559" i="7"/>
  <c r="F2559" i="7"/>
  <c r="D2559" i="7"/>
  <c r="AN2558" i="7"/>
  <c r="X2558" i="7"/>
  <c r="V2558" i="7"/>
  <c r="F2558" i="7"/>
  <c r="D2558" i="7"/>
  <c r="AN2557" i="7"/>
  <c r="AG2557" i="7"/>
  <c r="X2557" i="7"/>
  <c r="V2557" i="7"/>
  <c r="AI2557" i="7" s="1"/>
  <c r="F2557" i="7"/>
  <c r="D2557" i="7"/>
  <c r="AN2556" i="7"/>
  <c r="AM2556" i="7"/>
  <c r="AA2556" i="7"/>
  <c r="F2556" i="7"/>
  <c r="D2556" i="7"/>
  <c r="AN2555" i="7"/>
  <c r="AI2555" i="7"/>
  <c r="AG2555" i="7"/>
  <c r="W2555" i="7"/>
  <c r="Y2555" i="7" s="1"/>
  <c r="Z2555" i="7" s="1"/>
  <c r="AA2555" i="7" s="1"/>
  <c r="F2555" i="7"/>
  <c r="D2555" i="7"/>
  <c r="AN2554" i="7"/>
  <c r="AG2554" i="7"/>
  <c r="W2554" i="7"/>
  <c r="V2554" i="7"/>
  <c r="AI2554" i="7" s="1"/>
  <c r="F2554" i="7"/>
  <c r="D2554" i="7"/>
  <c r="AN2553" i="7"/>
  <c r="AI2553" i="7"/>
  <c r="AG2553" i="7"/>
  <c r="Y2553" i="7"/>
  <c r="Z2553" i="7" s="1"/>
  <c r="F2553" i="7"/>
  <c r="D2553" i="7"/>
  <c r="AN2552" i="7"/>
  <c r="AI2552" i="7"/>
  <c r="AG2552" i="7"/>
  <c r="W2552" i="7"/>
  <c r="Y2552" i="7" s="1"/>
  <c r="Z2552" i="7" s="1"/>
  <c r="AE2552" i="7" s="1"/>
  <c r="AF2552" i="7" s="1"/>
  <c r="F2552" i="7"/>
  <c r="D2552" i="7"/>
  <c r="AN2551" i="7"/>
  <c r="AI2551" i="7"/>
  <c r="AG2551" i="7"/>
  <c r="Y2551" i="7"/>
  <c r="Z2551" i="7" s="1"/>
  <c r="F2551" i="7"/>
  <c r="D2551" i="7"/>
  <c r="AN2550" i="7"/>
  <c r="AG2550" i="7"/>
  <c r="W2550" i="7"/>
  <c r="V2550" i="7"/>
  <c r="AI2550" i="7" s="1"/>
  <c r="F2550" i="7"/>
  <c r="D2550" i="7"/>
  <c r="AN2549" i="7"/>
  <c r="AI2549" i="7"/>
  <c r="AG2549" i="7"/>
  <c r="X2549" i="7"/>
  <c r="W2549" i="7"/>
  <c r="F2549" i="7"/>
  <c r="D2549" i="7"/>
  <c r="AN2548" i="7"/>
  <c r="AG2548" i="7"/>
  <c r="W2548" i="7"/>
  <c r="V2548" i="7"/>
  <c r="AI2548" i="7" s="1"/>
  <c r="F2548" i="7"/>
  <c r="D2548" i="7"/>
  <c r="AN2547" i="7"/>
  <c r="AG2547" i="7"/>
  <c r="V2547" i="7"/>
  <c r="AI2547" i="7" s="1"/>
  <c r="F2547" i="7"/>
  <c r="D2547" i="7"/>
  <c r="AN2546" i="7"/>
  <c r="AG2546" i="7"/>
  <c r="W2546" i="7"/>
  <c r="V2546" i="7"/>
  <c r="F2546" i="7"/>
  <c r="D2546" i="7"/>
  <c r="AN2545" i="7"/>
  <c r="AI2545" i="7"/>
  <c r="AG2545" i="7"/>
  <c r="X2545" i="7"/>
  <c r="W2545" i="7"/>
  <c r="F2545" i="7"/>
  <c r="D2545" i="7"/>
  <c r="AN2544" i="7"/>
  <c r="AI2544" i="7"/>
  <c r="AG2544" i="7"/>
  <c r="Y2544" i="7"/>
  <c r="Z2544" i="7" s="1"/>
  <c r="AE2544" i="7" s="1"/>
  <c r="AF2544" i="7" s="1"/>
  <c r="F2544" i="7"/>
  <c r="D2544" i="7"/>
  <c r="AN2543" i="7"/>
  <c r="AG2543" i="7"/>
  <c r="W2543" i="7"/>
  <c r="V2543" i="7"/>
  <c r="AI2543" i="7" s="1"/>
  <c r="F2543" i="7"/>
  <c r="D2543" i="7"/>
  <c r="AN2542" i="7"/>
  <c r="AI2542" i="7"/>
  <c r="AG2542" i="7"/>
  <c r="Y2542" i="7"/>
  <c r="Z2542" i="7" s="1"/>
  <c r="AE2542" i="7" s="1"/>
  <c r="AF2542" i="7" s="1"/>
  <c r="F2542" i="7"/>
  <c r="D2542" i="7"/>
  <c r="AN2541" i="7"/>
  <c r="AI2541" i="7"/>
  <c r="AG2541" i="7"/>
  <c r="Y2541" i="7"/>
  <c r="Z2541" i="7" s="1"/>
  <c r="AC2541" i="7" s="1"/>
  <c r="F2541" i="7"/>
  <c r="D2541" i="7"/>
  <c r="AN2540" i="7"/>
  <c r="AG2540" i="7"/>
  <c r="V2540" i="7"/>
  <c r="AI2540" i="7" s="1"/>
  <c r="F2540" i="7"/>
  <c r="D2540" i="7"/>
  <c r="AN2539" i="7"/>
  <c r="AG2539" i="7"/>
  <c r="V2539" i="7"/>
  <c r="F2539" i="7"/>
  <c r="D2539" i="7"/>
  <c r="AN2538" i="7"/>
  <c r="AG2538" i="7"/>
  <c r="W2538" i="7"/>
  <c r="V2538" i="7"/>
  <c r="AI2538" i="7" s="1"/>
  <c r="F2538" i="7"/>
  <c r="D2538" i="7"/>
  <c r="AN2537" i="7"/>
  <c r="AI2537" i="7"/>
  <c r="AG2537" i="7"/>
  <c r="Y2537" i="7"/>
  <c r="Z2537" i="7" s="1"/>
  <c r="AE2537" i="7" s="1"/>
  <c r="AF2537" i="7" s="1"/>
  <c r="F2537" i="7"/>
  <c r="D2537" i="7"/>
  <c r="AN2536" i="7"/>
  <c r="AI2536" i="7"/>
  <c r="AG2536" i="7"/>
  <c r="Y2536" i="7"/>
  <c r="Z2536" i="7" s="1"/>
  <c r="F2536" i="7"/>
  <c r="D2536" i="7"/>
  <c r="AN2535" i="7"/>
  <c r="AG2535" i="7"/>
  <c r="W2535" i="7"/>
  <c r="V2535" i="7"/>
  <c r="F2535" i="7"/>
  <c r="D2535" i="7"/>
  <c r="AN2534" i="7"/>
  <c r="AG2534" i="7"/>
  <c r="V2534" i="7"/>
  <c r="Y2534" i="7" s="1"/>
  <c r="Z2534" i="7" s="1"/>
  <c r="F2534" i="7"/>
  <c r="D2534" i="7"/>
  <c r="AN2533" i="7"/>
  <c r="AI2533" i="7"/>
  <c r="AG2533" i="7"/>
  <c r="W2533" i="7"/>
  <c r="Y2533" i="7" s="1"/>
  <c r="Z2533" i="7" s="1"/>
  <c r="F2533" i="7"/>
  <c r="D2533" i="7"/>
  <c r="AN2532" i="7"/>
  <c r="AG2532" i="7"/>
  <c r="V2532" i="7"/>
  <c r="F2532" i="7"/>
  <c r="D2532" i="7"/>
  <c r="AN2531" i="7"/>
  <c r="AM2531" i="7"/>
  <c r="AA2531" i="7"/>
  <c r="F2531" i="7"/>
  <c r="D2531" i="7"/>
  <c r="AN2530" i="7"/>
  <c r="AI2530" i="7"/>
  <c r="AG2530" i="7"/>
  <c r="W2530" i="7"/>
  <c r="Y2530" i="7" s="1"/>
  <c r="Z2530" i="7" s="1"/>
  <c r="F2530" i="7"/>
  <c r="D2530" i="7"/>
  <c r="AN2529" i="7"/>
  <c r="AI2529" i="7"/>
  <c r="AG2529" i="7"/>
  <c r="W2529" i="7"/>
  <c r="Y2529" i="7" s="1"/>
  <c r="Z2529" i="7" s="1"/>
  <c r="F2529" i="7"/>
  <c r="D2529" i="7"/>
  <c r="AN2528" i="7"/>
  <c r="AI2528" i="7"/>
  <c r="AG2528" i="7"/>
  <c r="Y2528" i="7"/>
  <c r="Z2528" i="7" s="1"/>
  <c r="F2528" i="7"/>
  <c r="D2528" i="7"/>
  <c r="AN2527" i="7"/>
  <c r="AI2527" i="7"/>
  <c r="AG2527" i="7"/>
  <c r="W2527" i="7"/>
  <c r="Y2527" i="7" s="1"/>
  <c r="Z2527" i="7" s="1"/>
  <c r="F2527" i="7"/>
  <c r="D2527" i="7"/>
  <c r="AN2526" i="7"/>
  <c r="AI2526" i="7"/>
  <c r="AG2526" i="7"/>
  <c r="Y2526" i="7"/>
  <c r="Z2526" i="7" s="1"/>
  <c r="AA2526" i="7" s="1"/>
  <c r="F2526" i="7"/>
  <c r="D2526" i="7"/>
  <c r="AN2525" i="7"/>
  <c r="AI2525" i="7"/>
  <c r="AG2525" i="7"/>
  <c r="W2525" i="7"/>
  <c r="Y2525" i="7" s="1"/>
  <c r="Z2525" i="7" s="1"/>
  <c r="AA2525" i="7" s="1"/>
  <c r="F2525" i="7"/>
  <c r="D2525" i="7"/>
  <c r="AN2524" i="7"/>
  <c r="AI2524" i="7"/>
  <c r="AG2524" i="7"/>
  <c r="Y2524" i="7"/>
  <c r="Z2524" i="7" s="1"/>
  <c r="F2524" i="7"/>
  <c r="D2524" i="7"/>
  <c r="AN2523" i="7"/>
  <c r="AG2523" i="7"/>
  <c r="W2523" i="7"/>
  <c r="V2523" i="7"/>
  <c r="F2523" i="7"/>
  <c r="D2523" i="7"/>
  <c r="AN2522" i="7"/>
  <c r="AG2522" i="7"/>
  <c r="V2522" i="7"/>
  <c r="F2522" i="7"/>
  <c r="D2522" i="7"/>
  <c r="AN2521" i="7"/>
  <c r="AG2521" i="7"/>
  <c r="V2521" i="7"/>
  <c r="AI2521" i="7" s="1"/>
  <c r="F2521" i="7"/>
  <c r="D2521" i="7"/>
  <c r="AN2520" i="7"/>
  <c r="AG2520" i="7"/>
  <c r="W2520" i="7"/>
  <c r="V2520" i="7"/>
  <c r="F2520" i="7"/>
  <c r="D2520" i="7"/>
  <c r="AN2519" i="7"/>
  <c r="AI2519" i="7"/>
  <c r="AG2519" i="7"/>
  <c r="W2519" i="7"/>
  <c r="Y2519" i="7" s="1"/>
  <c r="Z2519" i="7" s="1"/>
  <c r="F2519" i="7"/>
  <c r="D2519" i="7"/>
  <c r="AN2518" i="7"/>
  <c r="AG2518" i="7"/>
  <c r="V2518" i="7"/>
  <c r="F2518" i="7"/>
  <c r="D2518" i="7"/>
  <c r="AN2517" i="7"/>
  <c r="AG2517" i="7"/>
  <c r="V2517" i="7"/>
  <c r="AI2517" i="7" s="1"/>
  <c r="F2517" i="7"/>
  <c r="D2517" i="7"/>
  <c r="AN2516" i="7"/>
  <c r="AI2516" i="7"/>
  <c r="AG2516" i="7"/>
  <c r="W2516" i="7"/>
  <c r="Y2516" i="7" s="1"/>
  <c r="Z2516" i="7" s="1"/>
  <c r="F2516" i="7"/>
  <c r="D2516" i="7"/>
  <c r="AN2515" i="7"/>
  <c r="AI2515" i="7"/>
  <c r="AG2515" i="7"/>
  <c r="W2515" i="7"/>
  <c r="Y2515" i="7" s="1"/>
  <c r="Z2515" i="7" s="1"/>
  <c r="AA2515" i="7" s="1"/>
  <c r="F2515" i="7"/>
  <c r="D2515" i="7"/>
  <c r="AN2514" i="7"/>
  <c r="AG2514" i="7"/>
  <c r="V2514" i="7"/>
  <c r="AI2514" i="7" s="1"/>
  <c r="F2514" i="7"/>
  <c r="D2514" i="7"/>
  <c r="AN2513" i="7"/>
  <c r="AI2513" i="7"/>
  <c r="AG2513" i="7"/>
  <c r="W2513" i="7"/>
  <c r="Y2513" i="7" s="1"/>
  <c r="Z2513" i="7" s="1"/>
  <c r="AC2513" i="7" s="1"/>
  <c r="F2513" i="7"/>
  <c r="D2513" i="7"/>
  <c r="AN2512" i="7"/>
  <c r="AG2512" i="7"/>
  <c r="V2512" i="7"/>
  <c r="F2512" i="7"/>
  <c r="D2512" i="7"/>
  <c r="AN2511" i="7"/>
  <c r="AG2511" i="7"/>
  <c r="V2511" i="7"/>
  <c r="Y2511" i="7" s="1"/>
  <c r="Z2511" i="7" s="1"/>
  <c r="AA2511" i="7" s="1"/>
  <c r="F2511" i="7"/>
  <c r="D2511" i="7"/>
  <c r="AN2510" i="7"/>
  <c r="AG2510" i="7"/>
  <c r="W2510" i="7"/>
  <c r="V2510" i="7"/>
  <c r="F2510" i="7"/>
  <c r="D2510" i="7"/>
  <c r="AN2509" i="7"/>
  <c r="AG2509" i="7"/>
  <c r="W2509" i="7"/>
  <c r="V2509" i="7"/>
  <c r="F2509" i="7"/>
  <c r="D2509" i="7"/>
  <c r="AN2508" i="7"/>
  <c r="AG2508" i="7"/>
  <c r="W2508" i="7"/>
  <c r="V2508" i="7"/>
  <c r="F2508" i="7"/>
  <c r="D2508" i="7"/>
  <c r="AN2507" i="7"/>
  <c r="AG2507" i="7"/>
  <c r="W2507" i="7"/>
  <c r="V2507" i="7"/>
  <c r="AI2507" i="7" s="1"/>
  <c r="F2507" i="7"/>
  <c r="D2507" i="7"/>
  <c r="AN2506" i="7"/>
  <c r="AI2506" i="7"/>
  <c r="AG2506" i="7"/>
  <c r="X2506" i="7"/>
  <c r="Y2506" i="7" s="1"/>
  <c r="Z2506" i="7" s="1"/>
  <c r="F2506" i="7"/>
  <c r="D2506" i="7"/>
  <c r="AN2505" i="7"/>
  <c r="AG2505" i="7"/>
  <c r="X2505" i="7"/>
  <c r="V2505" i="7"/>
  <c r="AI2505" i="7" s="1"/>
  <c r="F2505" i="7"/>
  <c r="D2505" i="7"/>
  <c r="AN2504" i="7"/>
  <c r="AI2504" i="7"/>
  <c r="AG2504" i="7"/>
  <c r="X2504" i="7"/>
  <c r="Y2504" i="7" s="1"/>
  <c r="Z2504" i="7" s="1"/>
  <c r="F2504" i="7"/>
  <c r="D2504" i="7"/>
  <c r="AN2503" i="7"/>
  <c r="AG2503" i="7"/>
  <c r="X2503" i="7"/>
  <c r="V2503" i="7"/>
  <c r="F2503" i="7"/>
  <c r="D2503" i="7"/>
  <c r="AN2502" i="7"/>
  <c r="AI2502" i="7"/>
  <c r="AG2502" i="7"/>
  <c r="Y2502" i="7"/>
  <c r="Z2502" i="7" s="1"/>
  <c r="F2502" i="7"/>
  <c r="D2502" i="7"/>
  <c r="AN2501" i="7"/>
  <c r="AG2501" i="7"/>
  <c r="X2501" i="7"/>
  <c r="V2501" i="7"/>
  <c r="AI2501" i="7" s="1"/>
  <c r="F2501" i="7"/>
  <c r="D2501" i="7"/>
  <c r="AN2500" i="7"/>
  <c r="X2500" i="7"/>
  <c r="V2500" i="7"/>
  <c r="F2500" i="7"/>
  <c r="D2500" i="7"/>
  <c r="AN2499" i="7"/>
  <c r="AG2499" i="7"/>
  <c r="W2499" i="7"/>
  <c r="V2499" i="7"/>
  <c r="F2499" i="7"/>
  <c r="D2499" i="7"/>
  <c r="AN2498" i="7"/>
  <c r="AI2498" i="7"/>
  <c r="AG2498" i="7"/>
  <c r="Y2498" i="7"/>
  <c r="Z2498" i="7" s="1"/>
  <c r="F2498" i="7"/>
  <c r="D2498" i="7"/>
  <c r="AN2497" i="7"/>
  <c r="AM2497" i="7"/>
  <c r="AA2497" i="7"/>
  <c r="F2497" i="7"/>
  <c r="D2497" i="7"/>
  <c r="AN2496" i="7"/>
  <c r="AG2496" i="7"/>
  <c r="X2496" i="7"/>
  <c r="V2496" i="7"/>
  <c r="AI2496" i="7" s="1"/>
  <c r="F2496" i="7"/>
  <c r="D2496" i="7"/>
  <c r="AN2495" i="7"/>
  <c r="AI2495" i="7"/>
  <c r="AG2495" i="7"/>
  <c r="W2495" i="7"/>
  <c r="Y2495" i="7" s="1"/>
  <c r="Z2495" i="7" s="1"/>
  <c r="AA2495" i="7" s="1"/>
  <c r="F2495" i="7"/>
  <c r="D2495" i="7"/>
  <c r="AN2494" i="7"/>
  <c r="AI2494" i="7"/>
  <c r="AG2494" i="7"/>
  <c r="W2494" i="7"/>
  <c r="Y2494" i="7" s="1"/>
  <c r="Z2494" i="7" s="1"/>
  <c r="F2494" i="7"/>
  <c r="D2494" i="7"/>
  <c r="AN2493" i="7"/>
  <c r="AI2493" i="7"/>
  <c r="AG2493" i="7"/>
  <c r="W2493" i="7"/>
  <c r="Y2493" i="7" s="1"/>
  <c r="Z2493" i="7" s="1"/>
  <c r="F2493" i="7"/>
  <c r="D2493" i="7"/>
  <c r="AN2492" i="7"/>
  <c r="AG2492" i="7"/>
  <c r="W2492" i="7"/>
  <c r="V2492" i="7"/>
  <c r="F2492" i="7"/>
  <c r="D2492" i="7"/>
  <c r="AN2491" i="7"/>
  <c r="AI2491" i="7"/>
  <c r="AG2491" i="7"/>
  <c r="X2491" i="7"/>
  <c r="W2491" i="7"/>
  <c r="F2491" i="7"/>
  <c r="D2491" i="7"/>
  <c r="AN2490" i="7"/>
  <c r="AI2490" i="7"/>
  <c r="AG2490" i="7"/>
  <c r="W2490" i="7"/>
  <c r="Y2490" i="7" s="1"/>
  <c r="Z2490" i="7" s="1"/>
  <c r="F2490" i="7"/>
  <c r="D2490" i="7"/>
  <c r="AN2489" i="7"/>
  <c r="AG2489" i="7"/>
  <c r="V2489" i="7"/>
  <c r="F2489" i="7"/>
  <c r="D2489" i="7"/>
  <c r="AN2488" i="7"/>
  <c r="AG2488" i="7"/>
  <c r="X2488" i="7"/>
  <c r="V2488" i="7"/>
  <c r="F2488" i="7"/>
  <c r="D2488" i="7"/>
  <c r="AN2487" i="7"/>
  <c r="AI2487" i="7"/>
  <c r="AG2487" i="7"/>
  <c r="X2487" i="7"/>
  <c r="Y2487" i="7" s="1"/>
  <c r="Z2487" i="7" s="1"/>
  <c r="AC2487" i="7" s="1"/>
  <c r="F2487" i="7"/>
  <c r="D2487" i="7"/>
  <c r="AN2486" i="7"/>
  <c r="AI2486" i="7"/>
  <c r="AG2486" i="7"/>
  <c r="W2486" i="7"/>
  <c r="Y2486" i="7" s="1"/>
  <c r="Z2486" i="7" s="1"/>
  <c r="AA2486" i="7" s="1"/>
  <c r="F2486" i="7"/>
  <c r="D2486" i="7"/>
  <c r="AN2485" i="7"/>
  <c r="AI2485" i="7"/>
  <c r="AG2485" i="7"/>
  <c r="Y2485" i="7"/>
  <c r="Z2485" i="7" s="1"/>
  <c r="AE2485" i="7" s="1"/>
  <c r="AF2485" i="7" s="1"/>
  <c r="F2485" i="7"/>
  <c r="D2485" i="7"/>
  <c r="AN2484" i="7"/>
  <c r="AI2484" i="7"/>
  <c r="AG2484" i="7"/>
  <c r="W2484" i="7"/>
  <c r="Y2484" i="7" s="1"/>
  <c r="Z2484" i="7" s="1"/>
  <c r="F2484" i="7"/>
  <c r="D2484" i="7"/>
  <c r="AN2483" i="7"/>
  <c r="AG2483" i="7"/>
  <c r="X2483" i="7"/>
  <c r="W2483" i="7"/>
  <c r="V2483" i="7"/>
  <c r="F2483" i="7"/>
  <c r="D2483" i="7"/>
  <c r="AN2482" i="7"/>
  <c r="AM2482" i="7"/>
  <c r="AA2482" i="7"/>
  <c r="F2482" i="7"/>
  <c r="D2482" i="7"/>
  <c r="AN2481" i="7"/>
  <c r="AI2481" i="7"/>
  <c r="AG2481" i="7"/>
  <c r="X2481" i="7"/>
  <c r="Y2481" i="7" s="1"/>
  <c r="Z2481" i="7" s="1"/>
  <c r="F2481" i="7"/>
  <c r="D2481" i="7"/>
  <c r="AN2480" i="7"/>
  <c r="AG2480" i="7"/>
  <c r="W2480" i="7"/>
  <c r="V2480" i="7"/>
  <c r="AI2480" i="7" s="1"/>
  <c r="F2480" i="7"/>
  <c r="D2480" i="7"/>
  <c r="AN2479" i="7"/>
  <c r="AI2479" i="7"/>
  <c r="AG2479" i="7"/>
  <c r="X2479" i="7"/>
  <c r="Y2479" i="7" s="1"/>
  <c r="Z2479" i="7" s="1"/>
  <c r="AE2479" i="7" s="1"/>
  <c r="AF2479" i="7" s="1"/>
  <c r="F2479" i="7"/>
  <c r="D2479" i="7"/>
  <c r="AN2478" i="7"/>
  <c r="AI2478" i="7"/>
  <c r="AG2478" i="7"/>
  <c r="X2478" i="7"/>
  <c r="Y2478" i="7" s="1"/>
  <c r="Z2478" i="7" s="1"/>
  <c r="AC2478" i="7" s="1"/>
  <c r="F2478" i="7"/>
  <c r="D2478" i="7"/>
  <c r="AN2477" i="7"/>
  <c r="AG2477" i="7"/>
  <c r="W2477" i="7"/>
  <c r="V2477" i="7"/>
  <c r="F2477" i="7"/>
  <c r="D2477" i="7"/>
  <c r="AN2476" i="7"/>
  <c r="AM2476" i="7"/>
  <c r="AA2476" i="7"/>
  <c r="F2476" i="7"/>
  <c r="D2476" i="7"/>
  <c r="AN2475" i="7"/>
  <c r="AG2475" i="7"/>
  <c r="W2475" i="7"/>
  <c r="V2475" i="7"/>
  <c r="AI2475" i="7" s="1"/>
  <c r="F2475" i="7"/>
  <c r="D2475" i="7"/>
  <c r="AN2474" i="7"/>
  <c r="AI2474" i="7"/>
  <c r="AG2474" i="7"/>
  <c r="W2474" i="7"/>
  <c r="Y2474" i="7" s="1"/>
  <c r="Z2474" i="7" s="1"/>
  <c r="AA2474" i="7" s="1"/>
  <c r="F2474" i="7"/>
  <c r="D2474" i="7"/>
  <c r="AN2473" i="7"/>
  <c r="AG2473" i="7"/>
  <c r="W2473" i="7"/>
  <c r="V2473" i="7"/>
  <c r="AI2473" i="7" s="1"/>
  <c r="F2473" i="7"/>
  <c r="D2473" i="7"/>
  <c r="AN2472" i="7"/>
  <c r="AG2472" i="7"/>
  <c r="W2472" i="7"/>
  <c r="V2472" i="7"/>
  <c r="F2472" i="7"/>
  <c r="D2472" i="7"/>
  <c r="AN2471" i="7"/>
  <c r="AG2471" i="7"/>
  <c r="W2471" i="7"/>
  <c r="V2471" i="7"/>
  <c r="AI2471" i="7" s="1"/>
  <c r="F2471" i="7"/>
  <c r="D2471" i="7"/>
  <c r="AN2470" i="7"/>
  <c r="AG2470" i="7"/>
  <c r="W2470" i="7"/>
  <c r="V2470" i="7"/>
  <c r="AI2470" i="7" s="1"/>
  <c r="F2470" i="7"/>
  <c r="D2470" i="7"/>
  <c r="AN2469" i="7"/>
  <c r="AG2469" i="7"/>
  <c r="X2469" i="7"/>
  <c r="W2469" i="7"/>
  <c r="V2469" i="7"/>
  <c r="F2469" i="7"/>
  <c r="D2469" i="7"/>
  <c r="AN2468" i="7"/>
  <c r="AG2468" i="7"/>
  <c r="W2468" i="7"/>
  <c r="V2468" i="7"/>
  <c r="F2468" i="7"/>
  <c r="D2468" i="7"/>
  <c r="AN2467" i="7"/>
  <c r="AG2467" i="7"/>
  <c r="W2467" i="7"/>
  <c r="V2467" i="7"/>
  <c r="F2467" i="7"/>
  <c r="D2467" i="7"/>
  <c r="AN2466" i="7"/>
  <c r="AI2466" i="7"/>
  <c r="AG2466" i="7"/>
  <c r="Y2466" i="7"/>
  <c r="Z2466" i="7" s="1"/>
  <c r="F2466" i="7"/>
  <c r="D2466" i="7"/>
  <c r="AN2465" i="7"/>
  <c r="AI2465" i="7"/>
  <c r="AG2465" i="7"/>
  <c r="Y2465" i="7"/>
  <c r="Z2465" i="7" s="1"/>
  <c r="F2465" i="7"/>
  <c r="D2465" i="7"/>
  <c r="AN2464" i="7"/>
  <c r="AI2464" i="7"/>
  <c r="AG2464" i="7"/>
  <c r="W2464" i="7"/>
  <c r="Y2464" i="7" s="1"/>
  <c r="Z2464" i="7" s="1"/>
  <c r="AE2464" i="7" s="1"/>
  <c r="AF2464" i="7" s="1"/>
  <c r="F2464" i="7"/>
  <c r="D2464" i="7"/>
  <c r="AN2463" i="7"/>
  <c r="AI2463" i="7"/>
  <c r="AG2463" i="7"/>
  <c r="W2463" i="7"/>
  <c r="Y2463" i="7" s="1"/>
  <c r="Z2463" i="7" s="1"/>
  <c r="AC2463" i="7" s="1"/>
  <c r="F2463" i="7"/>
  <c r="D2463" i="7"/>
  <c r="AN2462" i="7"/>
  <c r="AI2462" i="7"/>
  <c r="AG2462" i="7"/>
  <c r="W2462" i="7"/>
  <c r="Y2462" i="7" s="1"/>
  <c r="Z2462" i="7" s="1"/>
  <c r="F2462" i="7"/>
  <c r="D2462" i="7"/>
  <c r="AN2461" i="7"/>
  <c r="AI2461" i="7"/>
  <c r="AG2461" i="7"/>
  <c r="Y2461" i="7"/>
  <c r="Z2461" i="7" s="1"/>
  <c r="AC2461" i="7" s="1"/>
  <c r="F2461" i="7"/>
  <c r="D2461" i="7"/>
  <c r="AN2460" i="7"/>
  <c r="AI2460" i="7"/>
  <c r="AG2460" i="7"/>
  <c r="W2460" i="7"/>
  <c r="Y2460" i="7" s="1"/>
  <c r="Z2460" i="7" s="1"/>
  <c r="F2460" i="7"/>
  <c r="D2460" i="7"/>
  <c r="AN2459" i="7"/>
  <c r="AI2459" i="7"/>
  <c r="AG2459" i="7"/>
  <c r="W2459" i="7"/>
  <c r="Y2459" i="7" s="1"/>
  <c r="Z2459" i="7" s="1"/>
  <c r="AE2459" i="7" s="1"/>
  <c r="AF2459" i="7" s="1"/>
  <c r="F2459" i="7"/>
  <c r="D2459" i="7"/>
  <c r="AN2458" i="7"/>
  <c r="AG2458" i="7"/>
  <c r="W2458" i="7"/>
  <c r="V2458" i="7"/>
  <c r="AI2458" i="7" s="1"/>
  <c r="F2458" i="7"/>
  <c r="D2458" i="7"/>
  <c r="AN2457" i="7"/>
  <c r="AI2457" i="7"/>
  <c r="AG2457" i="7"/>
  <c r="W2457" i="7"/>
  <c r="Y2457" i="7" s="1"/>
  <c r="Z2457" i="7" s="1"/>
  <c r="AC2457" i="7" s="1"/>
  <c r="F2457" i="7"/>
  <c r="D2457" i="7"/>
  <c r="AN2456" i="7"/>
  <c r="AG2456" i="7"/>
  <c r="W2456" i="7"/>
  <c r="V2456" i="7"/>
  <c r="AI2456" i="7" s="1"/>
  <c r="F2456" i="7"/>
  <c r="D2456" i="7"/>
  <c r="AN2455" i="7"/>
  <c r="AG2455" i="7"/>
  <c r="W2455" i="7"/>
  <c r="V2455" i="7"/>
  <c r="AI2455" i="7" s="1"/>
  <c r="F2455" i="7"/>
  <c r="D2455" i="7"/>
  <c r="AN2454" i="7"/>
  <c r="AI2454" i="7"/>
  <c r="AG2454" i="7"/>
  <c r="X2454" i="7"/>
  <c r="W2454" i="7"/>
  <c r="F2454" i="7"/>
  <c r="D2454" i="7"/>
  <c r="AN2453" i="7"/>
  <c r="AI2453" i="7"/>
  <c r="AG2453" i="7"/>
  <c r="X2453" i="7"/>
  <c r="W2453" i="7"/>
  <c r="F2453" i="7"/>
  <c r="D2453" i="7"/>
  <c r="AN2452" i="7"/>
  <c r="AG2452" i="7"/>
  <c r="X2452" i="7"/>
  <c r="W2452" i="7"/>
  <c r="V2452" i="7"/>
  <c r="AI2452" i="7" s="1"/>
  <c r="F2452" i="7"/>
  <c r="D2452" i="7"/>
  <c r="AN2451" i="7"/>
  <c r="AI2451" i="7"/>
  <c r="AG2451" i="7"/>
  <c r="Y2451" i="7"/>
  <c r="Z2451" i="7" s="1"/>
  <c r="F2451" i="7"/>
  <c r="D2451" i="7"/>
  <c r="AN2450" i="7"/>
  <c r="AG2450" i="7"/>
  <c r="W2450" i="7"/>
  <c r="V2450" i="7"/>
  <c r="AI2450" i="7" s="1"/>
  <c r="F2450" i="7"/>
  <c r="D2450" i="7"/>
  <c r="AN2449" i="7"/>
  <c r="AG2449" i="7"/>
  <c r="W2449" i="7"/>
  <c r="V2449" i="7"/>
  <c r="AI2449" i="7" s="1"/>
  <c r="F2449" i="7"/>
  <c r="D2449" i="7"/>
  <c r="AN2448" i="7"/>
  <c r="AM2448" i="7"/>
  <c r="AA2448" i="7"/>
  <c r="F2448" i="7"/>
  <c r="D2448" i="7"/>
  <c r="AN2447" i="7"/>
  <c r="AI2447" i="7"/>
  <c r="AG2447" i="7"/>
  <c r="AM2447" i="7" s="1"/>
  <c r="X2447" i="7"/>
  <c r="Y2447" i="7" s="1"/>
  <c r="Z2447" i="7" s="1"/>
  <c r="AA2447" i="7" s="1"/>
  <c r="F2447" i="7"/>
  <c r="D2447" i="7"/>
  <c r="AN2446" i="7"/>
  <c r="AI2446" i="7"/>
  <c r="AG2446" i="7"/>
  <c r="W2446" i="7"/>
  <c r="Y2446" i="7" s="1"/>
  <c r="Z2446" i="7" s="1"/>
  <c r="AH2446" i="7" s="1"/>
  <c r="F2446" i="7"/>
  <c r="D2446" i="7"/>
  <c r="AN2445" i="7"/>
  <c r="AI2445" i="7"/>
  <c r="AG2445" i="7"/>
  <c r="W2445" i="7"/>
  <c r="Y2445" i="7" s="1"/>
  <c r="Z2445" i="7" s="1"/>
  <c r="AC2445" i="7" s="1"/>
  <c r="F2445" i="7"/>
  <c r="D2445" i="7"/>
  <c r="AN2444" i="7"/>
  <c r="AI2444" i="7"/>
  <c r="AG2444" i="7"/>
  <c r="X2444" i="7"/>
  <c r="W2444" i="7"/>
  <c r="F2444" i="7"/>
  <c r="D2444" i="7"/>
  <c r="AN2443" i="7"/>
  <c r="AG2443" i="7"/>
  <c r="X2443" i="7"/>
  <c r="W2443" i="7"/>
  <c r="V2443" i="7"/>
  <c r="F2443" i="7"/>
  <c r="D2443" i="7"/>
  <c r="AN2442" i="7"/>
  <c r="AG2442" i="7"/>
  <c r="W2442" i="7"/>
  <c r="V2442" i="7"/>
  <c r="F2442" i="7"/>
  <c r="D2442" i="7"/>
  <c r="AN2441" i="7"/>
  <c r="AG2441" i="7"/>
  <c r="X2441" i="7"/>
  <c r="W2441" i="7"/>
  <c r="V2441" i="7"/>
  <c r="AI2441" i="7" s="1"/>
  <c r="F2441" i="7"/>
  <c r="D2441" i="7"/>
  <c r="AN2440" i="7"/>
  <c r="AG2440" i="7"/>
  <c r="X2440" i="7"/>
  <c r="W2440" i="7"/>
  <c r="V2440" i="7"/>
  <c r="F2440" i="7"/>
  <c r="D2440" i="7"/>
  <c r="AN2439" i="7"/>
  <c r="AG2439" i="7"/>
  <c r="X2439" i="7"/>
  <c r="W2439" i="7"/>
  <c r="V2439" i="7"/>
  <c r="AI2439" i="7" s="1"/>
  <c r="F2439" i="7"/>
  <c r="D2439" i="7"/>
  <c r="AN2438" i="7"/>
  <c r="AG2438" i="7"/>
  <c r="W2438" i="7"/>
  <c r="V2438" i="7"/>
  <c r="AI2438" i="7" s="1"/>
  <c r="F2438" i="7"/>
  <c r="D2438" i="7"/>
  <c r="AN2437" i="7"/>
  <c r="AM2437" i="7"/>
  <c r="AA2437" i="7"/>
  <c r="F2437" i="7"/>
  <c r="D2437" i="7"/>
  <c r="AN2436" i="7"/>
  <c r="AM2436" i="7"/>
  <c r="AA2436" i="7"/>
  <c r="F2436" i="7"/>
  <c r="D2436" i="7"/>
  <c r="AN2435" i="7"/>
  <c r="AI2435" i="7"/>
  <c r="AG2435" i="7"/>
  <c r="W2435" i="7"/>
  <c r="Y2435" i="7" s="1"/>
  <c r="Z2435" i="7" s="1"/>
  <c r="AE2435" i="7" s="1"/>
  <c r="AF2435" i="7" s="1"/>
  <c r="F2435" i="7"/>
  <c r="D2435" i="7"/>
  <c r="AN2434" i="7"/>
  <c r="AG2434" i="7"/>
  <c r="V2434" i="7"/>
  <c r="F2434" i="7"/>
  <c r="D2434" i="7"/>
  <c r="AN2433" i="7"/>
  <c r="AG2433" i="7"/>
  <c r="W2433" i="7"/>
  <c r="V2433" i="7"/>
  <c r="F2433" i="7"/>
  <c r="D2433" i="7"/>
  <c r="AN2432" i="7"/>
  <c r="AM2432" i="7"/>
  <c r="AA2432" i="7"/>
  <c r="F2432" i="7"/>
  <c r="D2432" i="7"/>
  <c r="AN2431" i="7"/>
  <c r="AG2431" i="7"/>
  <c r="W2431" i="7"/>
  <c r="V2431" i="7"/>
  <c r="AI2431" i="7" s="1"/>
  <c r="F2431" i="7"/>
  <c r="D2431" i="7"/>
  <c r="AN2430" i="7"/>
  <c r="AI2430" i="7"/>
  <c r="AG2430" i="7"/>
  <c r="Y2430" i="7"/>
  <c r="Z2430" i="7" s="1"/>
  <c r="AA2430" i="7" s="1"/>
  <c r="F2430" i="7"/>
  <c r="D2430" i="7"/>
  <c r="AN2429" i="7"/>
  <c r="AI2429" i="7"/>
  <c r="AG2429" i="7"/>
  <c r="W2429" i="7"/>
  <c r="Y2429" i="7" s="1"/>
  <c r="Z2429" i="7" s="1"/>
  <c r="AC2429" i="7" s="1"/>
  <c r="F2429" i="7"/>
  <c r="D2429" i="7"/>
  <c r="AN2428" i="7"/>
  <c r="AG2428" i="7"/>
  <c r="W2428" i="7"/>
  <c r="V2428" i="7"/>
  <c r="AI2428" i="7" s="1"/>
  <c r="F2428" i="7"/>
  <c r="D2428" i="7"/>
  <c r="AN2427" i="7"/>
  <c r="AG2427" i="7"/>
  <c r="W2427" i="7"/>
  <c r="V2427" i="7"/>
  <c r="AI2427" i="7" s="1"/>
  <c r="F2427" i="7"/>
  <c r="D2427" i="7"/>
  <c r="AN2426" i="7"/>
  <c r="AI2426" i="7"/>
  <c r="AG2426" i="7"/>
  <c r="W2426" i="7"/>
  <c r="Y2426" i="7" s="1"/>
  <c r="Z2426" i="7" s="1"/>
  <c r="F2426" i="7"/>
  <c r="D2426" i="7"/>
  <c r="AN2425" i="7"/>
  <c r="AG2425" i="7"/>
  <c r="W2425" i="7"/>
  <c r="V2425" i="7"/>
  <c r="AI2425" i="7" s="1"/>
  <c r="F2425" i="7"/>
  <c r="D2425" i="7"/>
  <c r="AN2424" i="7"/>
  <c r="AI2424" i="7"/>
  <c r="AG2424" i="7"/>
  <c r="Y2424" i="7"/>
  <c r="Z2424" i="7" s="1"/>
  <c r="F2424" i="7"/>
  <c r="D2424" i="7"/>
  <c r="AN2423" i="7"/>
  <c r="AG2423" i="7"/>
  <c r="W2423" i="7"/>
  <c r="V2423" i="7"/>
  <c r="AI2423" i="7" s="1"/>
  <c r="F2423" i="7"/>
  <c r="D2423" i="7"/>
  <c r="AN2422" i="7"/>
  <c r="AG2422" i="7"/>
  <c r="W2422" i="7"/>
  <c r="V2422" i="7"/>
  <c r="AI2422" i="7" s="1"/>
  <c r="F2422" i="7"/>
  <c r="D2422" i="7"/>
  <c r="AN2421" i="7"/>
  <c r="AI2421" i="7"/>
  <c r="AG2421" i="7"/>
  <c r="Y2421" i="7"/>
  <c r="Z2421" i="7" s="1"/>
  <c r="F2421" i="7"/>
  <c r="D2421" i="7"/>
  <c r="AN2420" i="7"/>
  <c r="AI2420" i="7"/>
  <c r="AG2420" i="7"/>
  <c r="Y2420" i="7"/>
  <c r="Z2420" i="7" s="1"/>
  <c r="F2420" i="7"/>
  <c r="D2420" i="7"/>
  <c r="AN2419" i="7"/>
  <c r="AI2419" i="7"/>
  <c r="AG2419" i="7"/>
  <c r="Y2419" i="7"/>
  <c r="Z2419" i="7" s="1"/>
  <c r="F2419" i="7"/>
  <c r="D2419" i="7"/>
  <c r="AN2418" i="7"/>
  <c r="AG2418" i="7"/>
  <c r="W2418" i="7"/>
  <c r="V2418" i="7"/>
  <c r="AI2418" i="7" s="1"/>
  <c r="F2418" i="7"/>
  <c r="D2418" i="7"/>
  <c r="AN2417" i="7"/>
  <c r="AG2417" i="7"/>
  <c r="W2417" i="7"/>
  <c r="V2417" i="7"/>
  <c r="AI2417" i="7" s="1"/>
  <c r="F2417" i="7"/>
  <c r="D2417" i="7"/>
  <c r="AN2416" i="7"/>
  <c r="AI2416" i="7"/>
  <c r="AG2416" i="7"/>
  <c r="Y2416" i="7"/>
  <c r="Z2416" i="7" s="1"/>
  <c r="AE2416" i="7" s="1"/>
  <c r="AF2416" i="7" s="1"/>
  <c r="F2416" i="7"/>
  <c r="D2416" i="7"/>
  <c r="AN2415" i="7"/>
  <c r="AG2415" i="7"/>
  <c r="W2415" i="7"/>
  <c r="V2415" i="7"/>
  <c r="AI2415" i="7" s="1"/>
  <c r="F2415" i="7"/>
  <c r="D2415" i="7"/>
  <c r="AN2414" i="7"/>
  <c r="AI2414" i="7"/>
  <c r="AG2414" i="7"/>
  <c r="X2414" i="7"/>
  <c r="W2414" i="7"/>
  <c r="F2414" i="7"/>
  <c r="D2414" i="7"/>
  <c r="AN2413" i="7"/>
  <c r="AG2413" i="7"/>
  <c r="W2413" i="7"/>
  <c r="V2413" i="7"/>
  <c r="AI2413" i="7" s="1"/>
  <c r="F2413" i="7"/>
  <c r="D2413" i="7"/>
  <c r="AN2412" i="7"/>
  <c r="AI2412" i="7"/>
  <c r="AG2412" i="7"/>
  <c r="W2412" i="7"/>
  <c r="Y2412" i="7" s="1"/>
  <c r="Z2412" i="7" s="1"/>
  <c r="F2412" i="7"/>
  <c r="D2412" i="7"/>
  <c r="AN2411" i="7"/>
  <c r="AI2411" i="7"/>
  <c r="AG2411" i="7"/>
  <c r="W2411" i="7"/>
  <c r="Y2411" i="7" s="1"/>
  <c r="Z2411" i="7" s="1"/>
  <c r="F2411" i="7"/>
  <c r="D2411" i="7"/>
  <c r="AN2410" i="7"/>
  <c r="AG2410" i="7"/>
  <c r="W2410" i="7"/>
  <c r="V2410" i="7"/>
  <c r="AI2410" i="7" s="1"/>
  <c r="F2410" i="7"/>
  <c r="D2410" i="7"/>
  <c r="AN2409" i="7"/>
  <c r="AG2409" i="7"/>
  <c r="W2409" i="7"/>
  <c r="V2409" i="7"/>
  <c r="F2409" i="7"/>
  <c r="D2409" i="7"/>
  <c r="AN2408" i="7"/>
  <c r="AG2408" i="7"/>
  <c r="W2408" i="7"/>
  <c r="V2408" i="7"/>
  <c r="AI2408" i="7" s="1"/>
  <c r="F2408" i="7"/>
  <c r="D2408" i="7"/>
  <c r="AN2407" i="7"/>
  <c r="AI2407" i="7"/>
  <c r="AG2407" i="7"/>
  <c r="X2407" i="7"/>
  <c r="Y2407" i="7" s="1"/>
  <c r="Z2407" i="7" s="1"/>
  <c r="F2407" i="7"/>
  <c r="D2407" i="7"/>
  <c r="AN2406" i="7"/>
  <c r="AI2406" i="7"/>
  <c r="AG2406" i="7"/>
  <c r="AM2406" i="7" s="1"/>
  <c r="X2406" i="7"/>
  <c r="Y2406" i="7" s="1"/>
  <c r="Z2406" i="7" s="1"/>
  <c r="F2406" i="7"/>
  <c r="D2406" i="7"/>
  <c r="AN2405" i="7"/>
  <c r="AG2405" i="7"/>
  <c r="X2405" i="7"/>
  <c r="V2405" i="7"/>
  <c r="F2405" i="7"/>
  <c r="D2405" i="7"/>
  <c r="AN2404" i="7"/>
  <c r="AG2404" i="7"/>
  <c r="V2404" i="7"/>
  <c r="AI2404" i="7" s="1"/>
  <c r="F2404" i="7"/>
  <c r="D2404" i="7"/>
  <c r="AN2403" i="7"/>
  <c r="AG2403" i="7"/>
  <c r="V2403" i="7"/>
  <c r="F2403" i="7"/>
  <c r="D2403" i="7"/>
  <c r="AN2402" i="7"/>
  <c r="AG2402" i="7"/>
  <c r="X2402" i="7"/>
  <c r="V2402" i="7"/>
  <c r="AI2402" i="7" s="1"/>
  <c r="F2402" i="7"/>
  <c r="D2402" i="7"/>
  <c r="AN2401" i="7"/>
  <c r="AI2401" i="7"/>
  <c r="AG2401" i="7"/>
  <c r="AM2401" i="7" s="1"/>
  <c r="X2401" i="7"/>
  <c r="Y2401" i="7" s="1"/>
  <c r="Z2401" i="7" s="1"/>
  <c r="F2401" i="7"/>
  <c r="D2401" i="7"/>
  <c r="AN2400" i="7"/>
  <c r="AI2400" i="7"/>
  <c r="AG2400" i="7"/>
  <c r="W2400" i="7"/>
  <c r="Y2400" i="7" s="1"/>
  <c r="Z2400" i="7" s="1"/>
  <c r="AA2400" i="7" s="1"/>
  <c r="F2400" i="7"/>
  <c r="D2400" i="7"/>
  <c r="AN2399" i="7"/>
  <c r="AI2399" i="7"/>
  <c r="AG2399" i="7"/>
  <c r="Y2399" i="7"/>
  <c r="Z2399" i="7" s="1"/>
  <c r="AC2399" i="7" s="1"/>
  <c r="F2399" i="7"/>
  <c r="D2399" i="7"/>
  <c r="AN2398" i="7"/>
  <c r="AI2398" i="7"/>
  <c r="AG2398" i="7"/>
  <c r="X2398" i="7"/>
  <c r="W2398" i="7"/>
  <c r="F2398" i="7"/>
  <c r="D2398" i="7"/>
  <c r="AN2397" i="7"/>
  <c r="AM2397" i="7"/>
  <c r="AA2397" i="7"/>
  <c r="F2397" i="7"/>
  <c r="D2397" i="7"/>
  <c r="AN2396" i="7"/>
  <c r="AI2396" i="7"/>
  <c r="AG2396" i="7"/>
  <c r="X2396" i="7"/>
  <c r="W2396" i="7"/>
  <c r="F2396" i="7"/>
  <c r="D2396" i="7"/>
  <c r="AN2395" i="7"/>
  <c r="AI2395" i="7"/>
  <c r="AG2395" i="7"/>
  <c r="Y2395" i="7"/>
  <c r="Z2395" i="7" s="1"/>
  <c r="F2395" i="7"/>
  <c r="D2395" i="7"/>
  <c r="AN2394" i="7"/>
  <c r="AI2394" i="7"/>
  <c r="AG2394" i="7"/>
  <c r="Y2394" i="7"/>
  <c r="Z2394" i="7" s="1"/>
  <c r="F2394" i="7"/>
  <c r="D2394" i="7"/>
  <c r="AN2393" i="7"/>
  <c r="AI2393" i="7"/>
  <c r="AG2393" i="7"/>
  <c r="Y2393" i="7"/>
  <c r="Z2393" i="7" s="1"/>
  <c r="F2393" i="7"/>
  <c r="D2393" i="7"/>
  <c r="AN2392" i="7"/>
  <c r="AI2392" i="7"/>
  <c r="AG2392" i="7"/>
  <c r="Y2392" i="7"/>
  <c r="Z2392" i="7" s="1"/>
  <c r="F2392" i="7"/>
  <c r="D2392" i="7"/>
  <c r="AN2391" i="7"/>
  <c r="AG2391" i="7"/>
  <c r="W2391" i="7"/>
  <c r="V2391" i="7"/>
  <c r="AI2391" i="7" s="1"/>
  <c r="F2391" i="7"/>
  <c r="D2391" i="7"/>
  <c r="AN2390" i="7"/>
  <c r="AG2390" i="7"/>
  <c r="V2390" i="7"/>
  <c r="Y2390" i="7" s="1"/>
  <c r="Z2390" i="7" s="1"/>
  <c r="AM2390" i="7" s="1"/>
  <c r="F2390" i="7"/>
  <c r="D2390" i="7"/>
  <c r="AN2389" i="7"/>
  <c r="AI2389" i="7"/>
  <c r="AG2389" i="7"/>
  <c r="W2389" i="7"/>
  <c r="Y2389" i="7" s="1"/>
  <c r="Z2389" i="7" s="1"/>
  <c r="F2389" i="7"/>
  <c r="D2389" i="7"/>
  <c r="AN2388" i="7"/>
  <c r="AG2388" i="7"/>
  <c r="V2388" i="7"/>
  <c r="Y2388" i="7" s="1"/>
  <c r="Z2388" i="7" s="1"/>
  <c r="AC2388" i="7" s="1"/>
  <c r="F2388" i="7"/>
  <c r="D2388" i="7"/>
  <c r="AN2387" i="7"/>
  <c r="AG2387" i="7"/>
  <c r="X2387" i="7"/>
  <c r="W2387" i="7"/>
  <c r="V2387" i="7"/>
  <c r="AI2387" i="7" s="1"/>
  <c r="F2387" i="7"/>
  <c r="D2387" i="7"/>
  <c r="AN2386" i="7"/>
  <c r="AG2386" i="7"/>
  <c r="W2386" i="7"/>
  <c r="V2386" i="7"/>
  <c r="AI2386" i="7" s="1"/>
  <c r="F2386" i="7"/>
  <c r="D2386" i="7"/>
  <c r="AN2385" i="7"/>
  <c r="AG2385" i="7"/>
  <c r="W2385" i="7"/>
  <c r="V2385" i="7"/>
  <c r="AI2385" i="7" s="1"/>
  <c r="F2385" i="7"/>
  <c r="D2385" i="7"/>
  <c r="AN2384" i="7"/>
  <c r="AI2384" i="7"/>
  <c r="AG2384" i="7"/>
  <c r="W2384" i="7"/>
  <c r="Y2384" i="7" s="1"/>
  <c r="Z2384" i="7" s="1"/>
  <c r="AA2384" i="7" s="1"/>
  <c r="F2384" i="7"/>
  <c r="D2384" i="7"/>
  <c r="AN2383" i="7"/>
  <c r="AG2383" i="7"/>
  <c r="W2383" i="7"/>
  <c r="V2383" i="7"/>
  <c r="AI2383" i="7" s="1"/>
  <c r="F2383" i="7"/>
  <c r="D2383" i="7"/>
  <c r="AN2382" i="7"/>
  <c r="AG2382" i="7"/>
  <c r="W2382" i="7"/>
  <c r="V2382" i="7"/>
  <c r="AI2382" i="7" s="1"/>
  <c r="F2382" i="7"/>
  <c r="D2382" i="7"/>
  <c r="AN2381" i="7"/>
  <c r="AI2381" i="7"/>
  <c r="AG2381" i="7"/>
  <c r="Y2381" i="7"/>
  <c r="Z2381" i="7" s="1"/>
  <c r="AE2381" i="7" s="1"/>
  <c r="AF2381" i="7" s="1"/>
  <c r="F2381" i="7"/>
  <c r="D2381" i="7"/>
  <c r="AN2380" i="7"/>
  <c r="AG2380" i="7"/>
  <c r="W2380" i="7"/>
  <c r="V2380" i="7"/>
  <c r="AI2380" i="7" s="1"/>
  <c r="F2380" i="7"/>
  <c r="D2380" i="7"/>
  <c r="AN2379" i="7"/>
  <c r="AI2379" i="7"/>
  <c r="AG2379" i="7"/>
  <c r="AM2379" i="7" s="1"/>
  <c r="W2379" i="7"/>
  <c r="Y2379" i="7" s="1"/>
  <c r="Z2379" i="7" s="1"/>
  <c r="F2379" i="7"/>
  <c r="D2379" i="7"/>
  <c r="AN2378" i="7"/>
  <c r="AG2378" i="7"/>
  <c r="V2378" i="7"/>
  <c r="AI2378" i="7" s="1"/>
  <c r="F2378" i="7"/>
  <c r="D2378" i="7"/>
  <c r="AN2377" i="7"/>
  <c r="AI2377" i="7"/>
  <c r="AG2377" i="7"/>
  <c r="X2377" i="7"/>
  <c r="Y2377" i="7" s="1"/>
  <c r="Z2377" i="7" s="1"/>
  <c r="F2377" i="7"/>
  <c r="D2377" i="7"/>
  <c r="AN2376" i="7"/>
  <c r="AI2376" i="7"/>
  <c r="AG2376" i="7"/>
  <c r="Y2376" i="7"/>
  <c r="Z2376" i="7" s="1"/>
  <c r="F2376" i="7"/>
  <c r="D2376" i="7"/>
  <c r="AN2375" i="7"/>
  <c r="AI2375" i="7"/>
  <c r="AG2375" i="7"/>
  <c r="Y2375" i="7"/>
  <c r="Z2375" i="7" s="1"/>
  <c r="F2375" i="7"/>
  <c r="D2375" i="7"/>
  <c r="AN2374" i="7"/>
  <c r="AI2374" i="7"/>
  <c r="AG2374" i="7"/>
  <c r="Y2374" i="7"/>
  <c r="Z2374" i="7" s="1"/>
  <c r="AE2374" i="7" s="1"/>
  <c r="AF2374" i="7" s="1"/>
  <c r="F2374" i="7"/>
  <c r="D2374" i="7"/>
  <c r="AN2373" i="7"/>
  <c r="AG2373" i="7"/>
  <c r="W2373" i="7"/>
  <c r="V2373" i="7"/>
  <c r="AI2373" i="7" s="1"/>
  <c r="F2373" i="7"/>
  <c r="D2373" i="7"/>
  <c r="AN2372" i="7"/>
  <c r="AG2372" i="7"/>
  <c r="V2372" i="7"/>
  <c r="AI2372" i="7" s="1"/>
  <c r="F2372" i="7"/>
  <c r="D2372" i="7"/>
  <c r="AN2371" i="7"/>
  <c r="AI2371" i="7"/>
  <c r="AG2371" i="7"/>
  <c r="Y2371" i="7"/>
  <c r="Z2371" i="7" s="1"/>
  <c r="AE2371" i="7" s="1"/>
  <c r="AF2371" i="7" s="1"/>
  <c r="F2371" i="7"/>
  <c r="D2371" i="7"/>
  <c r="AN2370" i="7"/>
  <c r="AG2370" i="7"/>
  <c r="W2370" i="7"/>
  <c r="V2370" i="7"/>
  <c r="AI2370" i="7" s="1"/>
  <c r="F2370" i="7"/>
  <c r="D2370" i="7"/>
  <c r="AN2369" i="7"/>
  <c r="AI2369" i="7"/>
  <c r="AG2369" i="7"/>
  <c r="W2369" i="7"/>
  <c r="Y2369" i="7" s="1"/>
  <c r="Z2369" i="7" s="1"/>
  <c r="AC2369" i="7" s="1"/>
  <c r="F2369" i="7"/>
  <c r="D2369" i="7"/>
  <c r="AN2368" i="7"/>
  <c r="AM2368" i="7"/>
  <c r="AA2368" i="7"/>
  <c r="F2368" i="7"/>
  <c r="D2368" i="7"/>
  <c r="AN2367" i="7"/>
  <c r="AI2367" i="7"/>
  <c r="AG2367" i="7"/>
  <c r="Y2367" i="7"/>
  <c r="Z2367" i="7" s="1"/>
  <c r="F2367" i="7"/>
  <c r="D2367" i="7"/>
  <c r="AN2366" i="7"/>
  <c r="AG2366" i="7"/>
  <c r="W2366" i="7"/>
  <c r="V2366" i="7"/>
  <c r="AI2366" i="7" s="1"/>
  <c r="F2366" i="7"/>
  <c r="D2366" i="7"/>
  <c r="AN2365" i="7"/>
  <c r="AI2365" i="7"/>
  <c r="AG2365" i="7"/>
  <c r="W2365" i="7"/>
  <c r="Y2365" i="7" s="1"/>
  <c r="Z2365" i="7" s="1"/>
  <c r="F2365" i="7"/>
  <c r="D2365" i="7"/>
  <c r="AN2364" i="7"/>
  <c r="AG2364" i="7"/>
  <c r="X2364" i="7"/>
  <c r="W2364" i="7"/>
  <c r="V2364" i="7"/>
  <c r="AI2364" i="7" s="1"/>
  <c r="F2364" i="7"/>
  <c r="D2364" i="7"/>
  <c r="AN2363" i="7"/>
  <c r="AG2363" i="7"/>
  <c r="W2363" i="7"/>
  <c r="V2363" i="7"/>
  <c r="AI2363" i="7" s="1"/>
  <c r="F2363" i="7"/>
  <c r="D2363" i="7"/>
  <c r="AN2362" i="7"/>
  <c r="AG2362" i="7"/>
  <c r="W2362" i="7"/>
  <c r="V2362" i="7"/>
  <c r="F2362" i="7"/>
  <c r="D2362" i="7"/>
  <c r="AN2361" i="7"/>
  <c r="AI2361" i="7"/>
  <c r="AG2361" i="7"/>
  <c r="Y2361" i="7"/>
  <c r="Z2361" i="7" s="1"/>
  <c r="AE2361" i="7" s="1"/>
  <c r="AF2361" i="7" s="1"/>
  <c r="F2361" i="7"/>
  <c r="D2361" i="7"/>
  <c r="AN2360" i="7"/>
  <c r="AI2360" i="7"/>
  <c r="AG2360" i="7"/>
  <c r="Y2360" i="7"/>
  <c r="Z2360" i="7" s="1"/>
  <c r="AA2360" i="7" s="1"/>
  <c r="F2360" i="7"/>
  <c r="D2360" i="7"/>
  <c r="AN2359" i="7"/>
  <c r="AG2359" i="7"/>
  <c r="V2359" i="7"/>
  <c r="F2359" i="7"/>
  <c r="D2359" i="7"/>
  <c r="AN2358" i="7"/>
  <c r="AI2358" i="7"/>
  <c r="AG2358" i="7"/>
  <c r="X2358" i="7"/>
  <c r="W2358" i="7"/>
  <c r="F2358" i="7"/>
  <c r="D2358" i="7"/>
  <c r="AN2357" i="7"/>
  <c r="AI2357" i="7"/>
  <c r="AG2357" i="7"/>
  <c r="W2357" i="7"/>
  <c r="Y2357" i="7" s="1"/>
  <c r="Z2357" i="7" s="1"/>
  <c r="AA2357" i="7" s="1"/>
  <c r="F2357" i="7"/>
  <c r="D2357" i="7"/>
  <c r="AN2356" i="7"/>
  <c r="AI2356" i="7"/>
  <c r="AG2356" i="7"/>
  <c r="AH2356" i="7" s="1"/>
  <c r="W2356" i="7"/>
  <c r="Y2356" i="7" s="1"/>
  <c r="Z2356" i="7" s="1"/>
  <c r="AC2356" i="7" s="1"/>
  <c r="F2356" i="7"/>
  <c r="D2356" i="7"/>
  <c r="AN2355" i="7"/>
  <c r="AG2355" i="7"/>
  <c r="W2355" i="7"/>
  <c r="V2355" i="7"/>
  <c r="F2355" i="7"/>
  <c r="D2355" i="7"/>
  <c r="AN2354" i="7"/>
  <c r="AI2354" i="7"/>
  <c r="AG2354" i="7"/>
  <c r="W2354" i="7"/>
  <c r="Y2354" i="7" s="1"/>
  <c r="Z2354" i="7" s="1"/>
  <c r="F2354" i="7"/>
  <c r="D2354" i="7"/>
  <c r="AN2353" i="7"/>
  <c r="AI2353" i="7"/>
  <c r="AG2353" i="7"/>
  <c r="X2353" i="7"/>
  <c r="Y2353" i="7" s="1"/>
  <c r="Z2353" i="7" s="1"/>
  <c r="AE2353" i="7" s="1"/>
  <c r="AF2353" i="7" s="1"/>
  <c r="F2353" i="7"/>
  <c r="D2353" i="7"/>
  <c r="AN2352" i="7"/>
  <c r="AG2352" i="7"/>
  <c r="X2352" i="7"/>
  <c r="V2352" i="7"/>
  <c r="F2352" i="7"/>
  <c r="D2352" i="7"/>
  <c r="AN2351" i="7"/>
  <c r="AI2351" i="7"/>
  <c r="AG2351" i="7"/>
  <c r="W2351" i="7"/>
  <c r="Y2351" i="7" s="1"/>
  <c r="Z2351" i="7" s="1"/>
  <c r="AC2351" i="7" s="1"/>
  <c r="F2351" i="7"/>
  <c r="D2351" i="7"/>
  <c r="AN2350" i="7"/>
  <c r="AI2350" i="7"/>
  <c r="AG2350" i="7"/>
  <c r="X2350" i="7"/>
  <c r="W2350" i="7"/>
  <c r="F2350" i="7"/>
  <c r="D2350" i="7"/>
  <c r="AN2349" i="7"/>
  <c r="AG2349" i="7"/>
  <c r="V2349" i="7"/>
  <c r="F2349" i="7"/>
  <c r="D2349" i="7"/>
  <c r="AN2348" i="7"/>
  <c r="AI2348" i="7"/>
  <c r="AG2348" i="7"/>
  <c r="X2348" i="7"/>
  <c r="Y2348" i="7" s="1"/>
  <c r="Z2348" i="7" s="1"/>
  <c r="F2348" i="7"/>
  <c r="D2348" i="7"/>
  <c r="AN2347" i="7"/>
  <c r="AI2347" i="7"/>
  <c r="AG2347" i="7"/>
  <c r="W2347" i="7"/>
  <c r="Y2347" i="7" s="1"/>
  <c r="Z2347" i="7" s="1"/>
  <c r="AC2347" i="7" s="1"/>
  <c r="F2347" i="7"/>
  <c r="D2347" i="7"/>
  <c r="AN2346" i="7"/>
  <c r="AI2346" i="7"/>
  <c r="AG2346" i="7"/>
  <c r="W2346" i="7"/>
  <c r="Y2346" i="7" s="1"/>
  <c r="Z2346" i="7" s="1"/>
  <c r="F2346" i="7"/>
  <c r="D2346" i="7"/>
  <c r="AN2345" i="7"/>
  <c r="AI2345" i="7"/>
  <c r="AG2345" i="7"/>
  <c r="W2345" i="7"/>
  <c r="Y2345" i="7" s="1"/>
  <c r="Z2345" i="7" s="1"/>
  <c r="AE2345" i="7" s="1"/>
  <c r="AF2345" i="7" s="1"/>
  <c r="F2345" i="7"/>
  <c r="D2345" i="7"/>
  <c r="AN2344" i="7"/>
  <c r="AI2344" i="7"/>
  <c r="AG2344" i="7"/>
  <c r="Y2344" i="7"/>
  <c r="Z2344" i="7" s="1"/>
  <c r="F2344" i="7"/>
  <c r="D2344" i="7"/>
  <c r="AN2343" i="7"/>
  <c r="AI2343" i="7"/>
  <c r="AG2343" i="7"/>
  <c r="W2343" i="7"/>
  <c r="Y2343" i="7" s="1"/>
  <c r="Z2343" i="7" s="1"/>
  <c r="AA2343" i="7" s="1"/>
  <c r="F2343" i="7"/>
  <c r="D2343" i="7"/>
  <c r="AN2342" i="7"/>
  <c r="AG2342" i="7"/>
  <c r="X2342" i="7"/>
  <c r="W2342" i="7"/>
  <c r="V2342" i="7"/>
  <c r="AI2342" i="7" s="1"/>
  <c r="F2342" i="7"/>
  <c r="D2342" i="7"/>
  <c r="AN2341" i="7"/>
  <c r="AM2341" i="7"/>
  <c r="AA2341" i="7"/>
  <c r="F2341" i="7"/>
  <c r="D2341" i="7"/>
  <c r="AN2340" i="7"/>
  <c r="AG2340" i="7"/>
  <c r="W2340" i="7"/>
  <c r="V2340" i="7"/>
  <c r="F2340" i="7"/>
  <c r="D2340" i="7"/>
  <c r="AN2339" i="7"/>
  <c r="AG2339" i="7"/>
  <c r="X2339" i="7"/>
  <c r="W2339" i="7"/>
  <c r="V2339" i="7"/>
  <c r="AI2339" i="7" s="1"/>
  <c r="F2339" i="7"/>
  <c r="D2339" i="7"/>
  <c r="AN2338" i="7"/>
  <c r="AI2338" i="7"/>
  <c r="AG2338" i="7"/>
  <c r="W2338" i="7"/>
  <c r="Y2338" i="7" s="1"/>
  <c r="Z2338" i="7" s="1"/>
  <c r="F2338" i="7"/>
  <c r="D2338" i="7"/>
  <c r="AN2337" i="7"/>
  <c r="AG2337" i="7"/>
  <c r="V2337" i="7"/>
  <c r="F2337" i="7"/>
  <c r="D2337" i="7"/>
  <c r="AN2336" i="7"/>
  <c r="AI2336" i="7"/>
  <c r="AG2336" i="7"/>
  <c r="W2336" i="7"/>
  <c r="Y2336" i="7" s="1"/>
  <c r="Z2336" i="7" s="1"/>
  <c r="AE2336" i="7" s="1"/>
  <c r="AF2336" i="7" s="1"/>
  <c r="F2336" i="7"/>
  <c r="D2336" i="7"/>
  <c r="AN2335" i="7"/>
  <c r="AG2335" i="7"/>
  <c r="X2335" i="7"/>
  <c r="V2335" i="7"/>
  <c r="AI2335" i="7" s="1"/>
  <c r="F2335" i="7"/>
  <c r="D2335" i="7"/>
  <c r="AN2334" i="7"/>
  <c r="AG2334" i="7"/>
  <c r="X2334" i="7"/>
  <c r="V2334" i="7"/>
  <c r="F2334" i="7"/>
  <c r="D2334" i="7"/>
  <c r="AN2333" i="7"/>
  <c r="AG2333" i="7"/>
  <c r="X2333" i="7"/>
  <c r="W2333" i="7"/>
  <c r="V2333" i="7"/>
  <c r="AI2333" i="7" s="1"/>
  <c r="F2333" i="7"/>
  <c r="D2333" i="7"/>
  <c r="AN2332" i="7"/>
  <c r="AG2332" i="7"/>
  <c r="X2332" i="7"/>
  <c r="V2332" i="7"/>
  <c r="AI2332" i="7" s="1"/>
  <c r="F2332" i="7"/>
  <c r="D2332" i="7"/>
  <c r="AN2331" i="7"/>
  <c r="AI2331" i="7"/>
  <c r="AG2331" i="7"/>
  <c r="X2331" i="7"/>
  <c r="W2331" i="7"/>
  <c r="F2331" i="7"/>
  <c r="D2331" i="7"/>
  <c r="AN2330" i="7"/>
  <c r="AM2330" i="7"/>
  <c r="AA2330" i="7"/>
  <c r="F2330" i="7"/>
  <c r="D2330" i="7"/>
  <c r="AN2329" i="7"/>
  <c r="AI2329" i="7"/>
  <c r="AG2329" i="7"/>
  <c r="X2329" i="7"/>
  <c r="Y2329" i="7" s="1"/>
  <c r="Z2329" i="7" s="1"/>
  <c r="F2329" i="7"/>
  <c r="D2329" i="7"/>
  <c r="AN2328" i="7"/>
  <c r="AI2328" i="7"/>
  <c r="AG2328" i="7"/>
  <c r="W2328" i="7"/>
  <c r="Y2328" i="7" s="1"/>
  <c r="Z2328" i="7" s="1"/>
  <c r="F2328" i="7"/>
  <c r="D2328" i="7"/>
  <c r="AN2327" i="7"/>
  <c r="AM2327" i="7"/>
  <c r="AA2327" i="7"/>
  <c r="F2327" i="7"/>
  <c r="D2327" i="7"/>
  <c r="AN2326" i="7"/>
  <c r="AG2326" i="7"/>
  <c r="X2326" i="7"/>
  <c r="V2326" i="7"/>
  <c r="F2326" i="7"/>
  <c r="D2326" i="7"/>
  <c r="AN2325" i="7"/>
  <c r="AG2325" i="7"/>
  <c r="X2325" i="7"/>
  <c r="V2325" i="7"/>
  <c r="F2325" i="7"/>
  <c r="D2325" i="7"/>
  <c r="AN2324" i="7"/>
  <c r="AG2324" i="7"/>
  <c r="X2324" i="7"/>
  <c r="V2324" i="7"/>
  <c r="AI2324" i="7" s="1"/>
  <c r="F2324" i="7"/>
  <c r="D2324" i="7"/>
  <c r="AN2323" i="7"/>
  <c r="AG2323" i="7"/>
  <c r="X2323" i="7"/>
  <c r="V2323" i="7"/>
  <c r="F2323" i="7"/>
  <c r="D2323" i="7"/>
  <c r="AN2322" i="7"/>
  <c r="AG2322" i="7"/>
  <c r="X2322" i="7"/>
  <c r="V2322" i="7"/>
  <c r="AI2322" i="7" s="1"/>
  <c r="F2322" i="7"/>
  <c r="D2322" i="7"/>
  <c r="AN2321" i="7"/>
  <c r="AG2321" i="7"/>
  <c r="X2321" i="7"/>
  <c r="V2321" i="7"/>
  <c r="F2321" i="7"/>
  <c r="D2321" i="7"/>
  <c r="AN2320" i="7"/>
  <c r="AG2320" i="7"/>
  <c r="X2320" i="7"/>
  <c r="V2320" i="7"/>
  <c r="AI2320" i="7" s="1"/>
  <c r="F2320" i="7"/>
  <c r="D2320" i="7"/>
  <c r="AN2319" i="7"/>
  <c r="AG2319" i="7"/>
  <c r="X2319" i="7"/>
  <c r="V2319" i="7"/>
  <c r="F2319" i="7"/>
  <c r="D2319" i="7"/>
  <c r="AN2318" i="7"/>
  <c r="AG2318" i="7"/>
  <c r="X2318" i="7"/>
  <c r="V2318" i="7"/>
  <c r="F2318" i="7"/>
  <c r="D2318" i="7"/>
  <c r="AN2317" i="7"/>
  <c r="AI2317" i="7"/>
  <c r="AG2317" i="7"/>
  <c r="Y2317" i="7"/>
  <c r="Z2317" i="7" s="1"/>
  <c r="AE2317" i="7" s="1"/>
  <c r="AF2317" i="7" s="1"/>
  <c r="F2317" i="7"/>
  <c r="D2317" i="7"/>
  <c r="AN2316" i="7"/>
  <c r="AI2316" i="7"/>
  <c r="AG2316" i="7"/>
  <c r="X2316" i="7"/>
  <c r="Y2316" i="7" s="1"/>
  <c r="Z2316" i="7" s="1"/>
  <c r="F2316" i="7"/>
  <c r="D2316" i="7"/>
  <c r="AN2315" i="7"/>
  <c r="AG2315" i="7"/>
  <c r="X2315" i="7"/>
  <c r="V2315" i="7"/>
  <c r="F2315" i="7"/>
  <c r="D2315" i="7"/>
  <c r="AN2314" i="7"/>
  <c r="AG2314" i="7"/>
  <c r="X2314" i="7"/>
  <c r="V2314" i="7"/>
  <c r="F2314" i="7"/>
  <c r="D2314" i="7"/>
  <c r="AN2313" i="7"/>
  <c r="AG2313" i="7"/>
  <c r="X2313" i="7"/>
  <c r="V2313" i="7"/>
  <c r="AI2313" i="7" s="1"/>
  <c r="F2313" i="7"/>
  <c r="D2313" i="7"/>
  <c r="AN2312" i="7"/>
  <c r="AG2312" i="7"/>
  <c r="X2312" i="7"/>
  <c r="V2312" i="7"/>
  <c r="F2312" i="7"/>
  <c r="D2312" i="7"/>
  <c r="AN2311" i="7"/>
  <c r="AG2311" i="7"/>
  <c r="X2311" i="7"/>
  <c r="V2311" i="7"/>
  <c r="AI2311" i="7" s="1"/>
  <c r="F2311" i="7"/>
  <c r="D2311" i="7"/>
  <c r="AN2310" i="7"/>
  <c r="AI2310" i="7"/>
  <c r="AG2310" i="7"/>
  <c r="AM2310" i="7" s="1"/>
  <c r="X2310" i="7"/>
  <c r="Y2310" i="7" s="1"/>
  <c r="Z2310" i="7" s="1"/>
  <c r="F2310" i="7"/>
  <c r="D2310" i="7"/>
  <c r="AN2309" i="7"/>
  <c r="AG2309" i="7"/>
  <c r="X2309" i="7"/>
  <c r="V2309" i="7"/>
  <c r="F2309" i="7"/>
  <c r="D2309" i="7"/>
  <c r="AN2308" i="7"/>
  <c r="AG2308" i="7"/>
  <c r="X2308" i="7"/>
  <c r="V2308" i="7"/>
  <c r="F2308" i="7"/>
  <c r="D2308" i="7"/>
  <c r="AN2307" i="7"/>
  <c r="AI2307" i="7"/>
  <c r="AG2307" i="7"/>
  <c r="X2307" i="7"/>
  <c r="Y2307" i="7" s="1"/>
  <c r="Z2307" i="7" s="1"/>
  <c r="AC2307" i="7" s="1"/>
  <c r="F2307" i="7"/>
  <c r="D2307" i="7"/>
  <c r="AN2306" i="7"/>
  <c r="AI2306" i="7"/>
  <c r="AG2306" i="7"/>
  <c r="X2306" i="7"/>
  <c r="W2306" i="7"/>
  <c r="F2306" i="7"/>
  <c r="D2306" i="7"/>
  <c r="AN2305" i="7"/>
  <c r="AI2305" i="7"/>
  <c r="AG2305" i="7"/>
  <c r="Y2305" i="7"/>
  <c r="Z2305" i="7" s="1"/>
  <c r="F2305" i="7"/>
  <c r="D2305" i="7"/>
  <c r="AN2304" i="7"/>
  <c r="AI2304" i="7"/>
  <c r="AG2304" i="7"/>
  <c r="X2304" i="7"/>
  <c r="Y2304" i="7" s="1"/>
  <c r="Z2304" i="7" s="1"/>
  <c r="F2304" i="7"/>
  <c r="D2304" i="7"/>
  <c r="AN2303" i="7"/>
  <c r="AG2303" i="7"/>
  <c r="X2303" i="7"/>
  <c r="W2303" i="7"/>
  <c r="V2303" i="7"/>
  <c r="AI2303" i="7" s="1"/>
  <c r="F2303" i="7"/>
  <c r="D2303" i="7"/>
  <c r="AN2302" i="7"/>
  <c r="AG2302" i="7"/>
  <c r="X2302" i="7"/>
  <c r="W2302" i="7"/>
  <c r="V2302" i="7"/>
  <c r="AI2302" i="7" s="1"/>
  <c r="F2302" i="7"/>
  <c r="D2302" i="7"/>
  <c r="AN2301" i="7"/>
  <c r="AG2301" i="7"/>
  <c r="W2301" i="7"/>
  <c r="V2301" i="7"/>
  <c r="AI2301" i="7" s="1"/>
  <c r="F2301" i="7"/>
  <c r="D2301" i="7"/>
  <c r="AN2300" i="7"/>
  <c r="AI2300" i="7"/>
  <c r="AG2300" i="7"/>
  <c r="X2300" i="7"/>
  <c r="Y2300" i="7" s="1"/>
  <c r="Z2300" i="7" s="1"/>
  <c r="AH2300" i="7" s="1"/>
  <c r="F2300" i="7"/>
  <c r="D2300" i="7"/>
  <c r="AN2299" i="7"/>
  <c r="AG2299" i="7"/>
  <c r="V2299" i="7"/>
  <c r="F2299" i="7"/>
  <c r="D2299" i="7"/>
  <c r="AN2298" i="7"/>
  <c r="AG2298" i="7"/>
  <c r="V2298" i="7"/>
  <c r="F2298" i="7"/>
  <c r="D2298" i="7"/>
  <c r="AN2297" i="7"/>
  <c r="AI2297" i="7"/>
  <c r="AG2297" i="7"/>
  <c r="W2297" i="7"/>
  <c r="Y2297" i="7" s="1"/>
  <c r="Z2297" i="7" s="1"/>
  <c r="AE2297" i="7" s="1"/>
  <c r="AF2297" i="7" s="1"/>
  <c r="F2297" i="7"/>
  <c r="D2297" i="7"/>
  <c r="AN2296" i="7"/>
  <c r="AI2296" i="7"/>
  <c r="AG2296" i="7"/>
  <c r="X2296" i="7"/>
  <c r="W2296" i="7"/>
  <c r="F2296" i="7"/>
  <c r="D2296" i="7"/>
  <c r="AN2295" i="7"/>
  <c r="AI2295" i="7"/>
  <c r="AG2295" i="7"/>
  <c r="W2295" i="7"/>
  <c r="Y2295" i="7" s="1"/>
  <c r="Z2295" i="7" s="1"/>
  <c r="F2295" i="7"/>
  <c r="D2295" i="7"/>
  <c r="AN2294" i="7"/>
  <c r="AI2294" i="7"/>
  <c r="AG2294" i="7"/>
  <c r="X2294" i="7"/>
  <c r="W2294" i="7"/>
  <c r="F2294" i="7"/>
  <c r="D2294" i="7"/>
  <c r="AN2293" i="7"/>
  <c r="AG2293" i="7"/>
  <c r="W2293" i="7"/>
  <c r="V2293" i="7"/>
  <c r="AI2293" i="7" s="1"/>
  <c r="F2293" i="7"/>
  <c r="D2293" i="7"/>
  <c r="AN2292" i="7"/>
  <c r="AM2292" i="7"/>
  <c r="AA2292" i="7"/>
  <c r="F2292" i="7"/>
  <c r="D2292" i="7"/>
  <c r="AN2291" i="7"/>
  <c r="AG2291" i="7"/>
  <c r="X2291" i="7"/>
  <c r="W2291" i="7"/>
  <c r="V2291" i="7"/>
  <c r="AI2291" i="7" s="1"/>
  <c r="F2291" i="7"/>
  <c r="D2291" i="7"/>
  <c r="AN2290" i="7"/>
  <c r="AG2290" i="7"/>
  <c r="X2290" i="7"/>
  <c r="V2290" i="7"/>
  <c r="AI2290" i="7" s="1"/>
  <c r="F2290" i="7"/>
  <c r="D2290" i="7"/>
  <c r="AN2289" i="7"/>
  <c r="AG2289" i="7"/>
  <c r="V2289" i="7"/>
  <c r="F2289" i="7"/>
  <c r="D2289" i="7"/>
  <c r="AN2288" i="7"/>
  <c r="AG2288" i="7"/>
  <c r="V2288" i="7"/>
  <c r="F2288" i="7"/>
  <c r="D2288" i="7"/>
  <c r="AN2287" i="7"/>
  <c r="AG2287" i="7"/>
  <c r="V2287" i="7"/>
  <c r="F2287" i="7"/>
  <c r="D2287" i="7"/>
  <c r="AN2286" i="7"/>
  <c r="AG2286" i="7"/>
  <c r="V2286" i="7"/>
  <c r="AI2286" i="7" s="1"/>
  <c r="F2286" i="7"/>
  <c r="D2286" i="7"/>
  <c r="AN2285" i="7"/>
  <c r="AI2285" i="7"/>
  <c r="AG2285" i="7"/>
  <c r="W2285" i="7"/>
  <c r="Y2285" i="7" s="1"/>
  <c r="Z2285" i="7" s="1"/>
  <c r="F2285" i="7"/>
  <c r="D2285" i="7"/>
  <c r="AN2284" i="7"/>
  <c r="AI2284" i="7"/>
  <c r="AG2284" i="7"/>
  <c r="W2284" i="7"/>
  <c r="Y2284" i="7" s="1"/>
  <c r="Z2284" i="7" s="1"/>
  <c r="F2284" i="7"/>
  <c r="D2284" i="7"/>
  <c r="AN2283" i="7"/>
  <c r="AG2283" i="7"/>
  <c r="W2283" i="7"/>
  <c r="V2283" i="7"/>
  <c r="F2283" i="7"/>
  <c r="D2283" i="7"/>
  <c r="AN2282" i="7"/>
  <c r="AG2282" i="7"/>
  <c r="W2282" i="7"/>
  <c r="V2282" i="7"/>
  <c r="AI2282" i="7" s="1"/>
  <c r="F2282" i="7"/>
  <c r="D2282" i="7"/>
  <c r="AN2281" i="7"/>
  <c r="AG2281" i="7"/>
  <c r="W2281" i="7"/>
  <c r="V2281" i="7"/>
  <c r="F2281" i="7"/>
  <c r="D2281" i="7"/>
  <c r="AN2280" i="7"/>
  <c r="AG2280" i="7"/>
  <c r="W2280" i="7"/>
  <c r="V2280" i="7"/>
  <c r="F2280" i="7"/>
  <c r="D2280" i="7"/>
  <c r="AN2279" i="7"/>
  <c r="AG2279" i="7"/>
  <c r="W2279" i="7"/>
  <c r="V2279" i="7"/>
  <c r="F2279" i="7"/>
  <c r="D2279" i="7"/>
  <c r="AN2278" i="7"/>
  <c r="AG2278" i="7"/>
  <c r="W2278" i="7"/>
  <c r="V2278" i="7"/>
  <c r="AI2278" i="7" s="1"/>
  <c r="F2278" i="7"/>
  <c r="D2278" i="7"/>
  <c r="AN2277" i="7"/>
  <c r="AG2277" i="7"/>
  <c r="W2277" i="7"/>
  <c r="V2277" i="7"/>
  <c r="AI2277" i="7" s="1"/>
  <c r="F2277" i="7"/>
  <c r="D2277" i="7"/>
  <c r="AN2276" i="7"/>
  <c r="AG2276" i="7"/>
  <c r="W2276" i="7"/>
  <c r="V2276" i="7"/>
  <c r="AI2276" i="7" s="1"/>
  <c r="F2276" i="7"/>
  <c r="D2276" i="7"/>
  <c r="AN2275" i="7"/>
  <c r="AG2275" i="7"/>
  <c r="W2275" i="7"/>
  <c r="V2275" i="7"/>
  <c r="F2275" i="7"/>
  <c r="D2275" i="7"/>
  <c r="AN2274" i="7"/>
  <c r="AI2274" i="7"/>
  <c r="AG2274" i="7"/>
  <c r="Y2274" i="7"/>
  <c r="Z2274" i="7" s="1"/>
  <c r="F2274" i="7"/>
  <c r="D2274" i="7"/>
  <c r="AN2273" i="7"/>
  <c r="AI2273" i="7"/>
  <c r="AG2273" i="7"/>
  <c r="Y2273" i="7"/>
  <c r="Z2273" i="7" s="1"/>
  <c r="F2273" i="7"/>
  <c r="D2273" i="7"/>
  <c r="AN2272" i="7"/>
  <c r="AI2272" i="7"/>
  <c r="AG2272" i="7"/>
  <c r="X2272" i="7"/>
  <c r="Y2272" i="7" s="1"/>
  <c r="Z2272" i="7" s="1"/>
  <c r="F2272" i="7"/>
  <c r="D2272" i="7"/>
  <c r="AN2271" i="7"/>
  <c r="AI2271" i="7"/>
  <c r="AG2271" i="7"/>
  <c r="X2271" i="7"/>
  <c r="Y2271" i="7" s="1"/>
  <c r="Z2271" i="7" s="1"/>
  <c r="AA2271" i="7" s="1"/>
  <c r="F2271" i="7"/>
  <c r="D2271" i="7"/>
  <c r="AN2270" i="7"/>
  <c r="AG2270" i="7"/>
  <c r="W2270" i="7"/>
  <c r="V2270" i="7"/>
  <c r="AI2270" i="7" s="1"/>
  <c r="F2270" i="7"/>
  <c r="D2270" i="7"/>
  <c r="AN2269" i="7"/>
  <c r="AG2269" i="7"/>
  <c r="V2269" i="7"/>
  <c r="F2269" i="7"/>
  <c r="D2269" i="7"/>
  <c r="AN2268" i="7"/>
  <c r="AG2268" i="7"/>
  <c r="W2268" i="7"/>
  <c r="V2268" i="7"/>
  <c r="F2268" i="7"/>
  <c r="D2268" i="7"/>
  <c r="AN2267" i="7"/>
  <c r="AG2267" i="7"/>
  <c r="W2267" i="7"/>
  <c r="V2267" i="7"/>
  <c r="AI2267" i="7" s="1"/>
  <c r="F2267" i="7"/>
  <c r="D2267" i="7"/>
  <c r="AN2266" i="7"/>
  <c r="AG2266" i="7"/>
  <c r="X2266" i="7"/>
  <c r="V2266" i="7"/>
  <c r="AI2266" i="7" s="1"/>
  <c r="F2266" i="7"/>
  <c r="D2266" i="7"/>
  <c r="AN2265" i="7"/>
  <c r="AG2265" i="7"/>
  <c r="X2265" i="7"/>
  <c r="V2265" i="7"/>
  <c r="F2265" i="7"/>
  <c r="D2265" i="7"/>
  <c r="AN2264" i="7"/>
  <c r="AG2264" i="7"/>
  <c r="X2264" i="7"/>
  <c r="V2264" i="7"/>
  <c r="AI2264" i="7" s="1"/>
  <c r="F2264" i="7"/>
  <c r="D2264" i="7"/>
  <c r="AN2263" i="7"/>
  <c r="AG2263" i="7"/>
  <c r="X2263" i="7"/>
  <c r="V2263" i="7"/>
  <c r="AI2263" i="7" s="1"/>
  <c r="F2263" i="7"/>
  <c r="D2263" i="7"/>
  <c r="AN2262" i="7"/>
  <c r="AG2262" i="7"/>
  <c r="X2262" i="7"/>
  <c r="V2262" i="7"/>
  <c r="AI2262" i="7" s="1"/>
  <c r="F2262" i="7"/>
  <c r="D2262" i="7"/>
  <c r="AN2261" i="7"/>
  <c r="AG2261" i="7"/>
  <c r="X2261" i="7"/>
  <c r="V2261" i="7"/>
  <c r="AI2261" i="7" s="1"/>
  <c r="F2261" i="7"/>
  <c r="D2261" i="7"/>
  <c r="AN2260" i="7"/>
  <c r="AG2260" i="7"/>
  <c r="V2260" i="7"/>
  <c r="AI2260" i="7" s="1"/>
  <c r="F2260" i="7"/>
  <c r="D2260" i="7"/>
  <c r="AN2259" i="7"/>
  <c r="AG2259" i="7"/>
  <c r="X2259" i="7"/>
  <c r="V2259" i="7"/>
  <c r="AI2259" i="7" s="1"/>
  <c r="F2259" i="7"/>
  <c r="D2259" i="7"/>
  <c r="AN2258" i="7"/>
  <c r="AI2258" i="7"/>
  <c r="AG2258" i="7"/>
  <c r="X2258" i="7"/>
  <c r="W2258" i="7"/>
  <c r="F2258" i="7"/>
  <c r="D2258" i="7"/>
  <c r="AN2257" i="7"/>
  <c r="AI2257" i="7"/>
  <c r="AG2257" i="7"/>
  <c r="X2257" i="7"/>
  <c r="Y2257" i="7" s="1"/>
  <c r="Z2257" i="7" s="1"/>
  <c r="F2257" i="7"/>
  <c r="D2257" i="7"/>
  <c r="AN2256" i="7"/>
  <c r="AI2256" i="7"/>
  <c r="AG2256" i="7"/>
  <c r="W2256" i="7"/>
  <c r="Y2256" i="7" s="1"/>
  <c r="Z2256" i="7" s="1"/>
  <c r="AA2256" i="7" s="1"/>
  <c r="F2256" i="7"/>
  <c r="D2256" i="7"/>
  <c r="AN2255" i="7"/>
  <c r="AG2255" i="7"/>
  <c r="W2255" i="7"/>
  <c r="V2255" i="7"/>
  <c r="AI2255" i="7" s="1"/>
  <c r="F2255" i="7"/>
  <c r="D2255" i="7"/>
  <c r="AN2254" i="7"/>
  <c r="AG2254" i="7"/>
  <c r="W2254" i="7"/>
  <c r="V2254" i="7"/>
  <c r="F2254" i="7"/>
  <c r="D2254" i="7"/>
  <c r="AN2253" i="7"/>
  <c r="AG2253" i="7"/>
  <c r="W2253" i="7"/>
  <c r="V2253" i="7"/>
  <c r="AI2253" i="7" s="1"/>
  <c r="F2253" i="7"/>
  <c r="D2253" i="7"/>
  <c r="AN2252" i="7"/>
  <c r="AG2252" i="7"/>
  <c r="W2252" i="7"/>
  <c r="V2252" i="7"/>
  <c r="AI2252" i="7" s="1"/>
  <c r="F2252" i="7"/>
  <c r="D2252" i="7"/>
  <c r="AN2251" i="7"/>
  <c r="AI2251" i="7"/>
  <c r="AG2251" i="7"/>
  <c r="W2251" i="7"/>
  <c r="Y2251" i="7" s="1"/>
  <c r="Z2251" i="7" s="1"/>
  <c r="AA2251" i="7" s="1"/>
  <c r="F2251" i="7"/>
  <c r="D2251" i="7"/>
  <c r="AN2250" i="7"/>
  <c r="AI2250" i="7"/>
  <c r="AG2250" i="7"/>
  <c r="Y2250" i="7"/>
  <c r="Z2250" i="7" s="1"/>
  <c r="F2250" i="7"/>
  <c r="D2250" i="7"/>
  <c r="AN2249" i="7"/>
  <c r="AG2249" i="7"/>
  <c r="V2249" i="7"/>
  <c r="AI2249" i="7" s="1"/>
  <c r="F2249" i="7"/>
  <c r="D2249" i="7"/>
  <c r="AN2248" i="7"/>
  <c r="AM2248" i="7"/>
  <c r="AC2248" i="7"/>
  <c r="AA2248" i="7"/>
  <c r="F2248" i="7"/>
  <c r="D2248" i="7"/>
  <c r="AN2247" i="7"/>
  <c r="AG2247" i="7"/>
  <c r="W2247" i="7"/>
  <c r="V2247" i="7"/>
  <c r="F2247" i="7"/>
  <c r="D2247" i="7"/>
  <c r="AN2246" i="7"/>
  <c r="AG2246" i="7"/>
  <c r="X2246" i="7"/>
  <c r="W2246" i="7"/>
  <c r="V2246" i="7"/>
  <c r="AI2246" i="7" s="1"/>
  <c r="F2246" i="7"/>
  <c r="D2246" i="7"/>
  <c r="AN2245" i="7"/>
  <c r="AI2245" i="7"/>
  <c r="AG2245" i="7"/>
  <c r="AM2245" i="7" s="1"/>
  <c r="W2245" i="7"/>
  <c r="Y2245" i="7" s="1"/>
  <c r="Z2245" i="7" s="1"/>
  <c r="F2245" i="7"/>
  <c r="D2245" i="7"/>
  <c r="AN2244" i="7"/>
  <c r="AI2244" i="7"/>
  <c r="AG2244" i="7"/>
  <c r="X2244" i="7"/>
  <c r="W2244" i="7"/>
  <c r="F2244" i="7"/>
  <c r="D2244" i="7"/>
  <c r="AN2243" i="7"/>
  <c r="AI2243" i="7"/>
  <c r="AG2243" i="7"/>
  <c r="W2243" i="7"/>
  <c r="Y2243" i="7" s="1"/>
  <c r="Z2243" i="7" s="1"/>
  <c r="F2243" i="7"/>
  <c r="D2243" i="7"/>
  <c r="AN2242" i="7"/>
  <c r="AI2242" i="7"/>
  <c r="AG2242" i="7"/>
  <c r="Y2242" i="7"/>
  <c r="Z2242" i="7" s="1"/>
  <c r="F2242" i="7"/>
  <c r="D2242" i="7"/>
  <c r="AN2241" i="7"/>
  <c r="AG2241" i="7"/>
  <c r="V2241" i="7"/>
  <c r="AI2241" i="7" s="1"/>
  <c r="F2241" i="7"/>
  <c r="D2241" i="7"/>
  <c r="AN2240" i="7"/>
  <c r="AG2240" i="7"/>
  <c r="V2240" i="7"/>
  <c r="AI2240" i="7" s="1"/>
  <c r="F2240" i="7"/>
  <c r="D2240" i="7"/>
  <c r="AN2239" i="7"/>
  <c r="AG2239" i="7"/>
  <c r="V2239" i="7"/>
  <c r="Y2239" i="7" s="1"/>
  <c r="Z2239" i="7" s="1"/>
  <c r="F2239" i="7"/>
  <c r="D2239" i="7"/>
  <c r="AN2238" i="7"/>
  <c r="AG2238" i="7"/>
  <c r="W2238" i="7"/>
  <c r="V2238" i="7"/>
  <c r="F2238" i="7"/>
  <c r="D2238" i="7"/>
  <c r="AN2237" i="7"/>
  <c r="AG2237" i="7"/>
  <c r="V2237" i="7"/>
  <c r="Y2237" i="7" s="1"/>
  <c r="Z2237" i="7" s="1"/>
  <c r="F2237" i="7"/>
  <c r="D2237" i="7"/>
  <c r="AN2236" i="7"/>
  <c r="AI2236" i="7"/>
  <c r="AG2236" i="7"/>
  <c r="W2236" i="7"/>
  <c r="Y2236" i="7" s="1"/>
  <c r="Z2236" i="7" s="1"/>
  <c r="AA2236" i="7" s="1"/>
  <c r="F2236" i="7"/>
  <c r="D2236" i="7"/>
  <c r="AN2235" i="7"/>
  <c r="AI2235" i="7"/>
  <c r="AG2235" i="7"/>
  <c r="Y2235" i="7"/>
  <c r="Z2235" i="7" s="1"/>
  <c r="F2235" i="7"/>
  <c r="D2235" i="7"/>
  <c r="AN2234" i="7"/>
  <c r="AG2234" i="7"/>
  <c r="V2234" i="7"/>
  <c r="AI2234" i="7" s="1"/>
  <c r="F2234" i="7"/>
  <c r="D2234" i="7"/>
  <c r="AN2233" i="7"/>
  <c r="AG2233" i="7"/>
  <c r="V2233" i="7"/>
  <c r="Y2233" i="7" s="1"/>
  <c r="Z2233" i="7" s="1"/>
  <c r="AA2233" i="7" s="1"/>
  <c r="F2233" i="7"/>
  <c r="D2233" i="7"/>
  <c r="AN2232" i="7"/>
  <c r="AI2232" i="7"/>
  <c r="AG2232" i="7"/>
  <c r="W2232" i="7"/>
  <c r="Y2232" i="7" s="1"/>
  <c r="Z2232" i="7" s="1"/>
  <c r="F2232" i="7"/>
  <c r="D2232" i="7"/>
  <c r="AN2231" i="7"/>
  <c r="AM2231" i="7"/>
  <c r="AC2231" i="7"/>
  <c r="AA2231" i="7"/>
  <c r="F2231" i="7"/>
  <c r="D2231" i="7"/>
  <c r="AN2230" i="7"/>
  <c r="AM2230" i="7"/>
  <c r="AC2230" i="7"/>
  <c r="AA2230" i="7"/>
  <c r="F2230" i="7"/>
  <c r="D2230" i="7"/>
  <c r="AN2229" i="7"/>
  <c r="AI2229" i="7"/>
  <c r="AG2229" i="7"/>
  <c r="X2229" i="7"/>
  <c r="W2229" i="7"/>
  <c r="F2229" i="7"/>
  <c r="D2229" i="7"/>
  <c r="AN2228" i="7"/>
  <c r="AI2228" i="7"/>
  <c r="AG2228" i="7"/>
  <c r="Y2228" i="7"/>
  <c r="Z2228" i="7" s="1"/>
  <c r="AE2228" i="7" s="1"/>
  <c r="AF2228" i="7" s="1"/>
  <c r="F2228" i="7"/>
  <c r="D2228" i="7"/>
  <c r="AN2227" i="7"/>
  <c r="AG2227" i="7"/>
  <c r="V2227" i="7"/>
  <c r="F2227" i="7"/>
  <c r="D2227" i="7"/>
  <c r="AN2226" i="7"/>
  <c r="AG2226" i="7"/>
  <c r="W2226" i="7"/>
  <c r="V2226" i="7"/>
  <c r="F2226" i="7"/>
  <c r="D2226" i="7"/>
  <c r="AN2225" i="7"/>
  <c r="AG2225" i="7"/>
  <c r="W2225" i="7"/>
  <c r="V2225" i="7"/>
  <c r="AI2225" i="7" s="1"/>
  <c r="F2225" i="7"/>
  <c r="D2225" i="7"/>
  <c r="AN2224" i="7"/>
  <c r="AG2224" i="7"/>
  <c r="W2224" i="7"/>
  <c r="V2224" i="7"/>
  <c r="F2224" i="7"/>
  <c r="D2224" i="7"/>
  <c r="AN2223" i="7"/>
  <c r="AI2223" i="7"/>
  <c r="AG2223" i="7"/>
  <c r="Y2223" i="7"/>
  <c r="Z2223" i="7" s="1"/>
  <c r="F2223" i="7"/>
  <c r="D2223" i="7"/>
  <c r="AN2222" i="7"/>
  <c r="AI2222" i="7"/>
  <c r="AG2222" i="7"/>
  <c r="Y2222" i="7"/>
  <c r="Z2222" i="7" s="1"/>
  <c r="AA2222" i="7" s="1"/>
  <c r="F2222" i="7"/>
  <c r="D2222" i="7"/>
  <c r="AN2221" i="7"/>
  <c r="AI2221" i="7"/>
  <c r="AG2221" i="7"/>
  <c r="Y2221" i="7"/>
  <c r="Z2221" i="7" s="1"/>
  <c r="F2221" i="7"/>
  <c r="D2221" i="7"/>
  <c r="AN2220" i="7"/>
  <c r="AG2220" i="7"/>
  <c r="V2220" i="7"/>
  <c r="Y2220" i="7" s="1"/>
  <c r="Z2220" i="7" s="1"/>
  <c r="F2220" i="7"/>
  <c r="D2220" i="7"/>
  <c r="AN2219" i="7"/>
  <c r="AG2219" i="7"/>
  <c r="X2219" i="7"/>
  <c r="W2219" i="7"/>
  <c r="V2219" i="7"/>
  <c r="F2219" i="7"/>
  <c r="D2219" i="7"/>
  <c r="AN2218" i="7"/>
  <c r="AI2218" i="7"/>
  <c r="AG2218" i="7"/>
  <c r="X2218" i="7"/>
  <c r="W2218" i="7"/>
  <c r="F2218" i="7"/>
  <c r="D2218" i="7"/>
  <c r="AN2217" i="7"/>
  <c r="AI2217" i="7"/>
  <c r="AG2217" i="7"/>
  <c r="Y2217" i="7"/>
  <c r="Z2217" i="7" s="1"/>
  <c r="F2217" i="7"/>
  <c r="D2217" i="7"/>
  <c r="AN2216" i="7"/>
  <c r="AI2216" i="7"/>
  <c r="AG2216" i="7"/>
  <c r="Y2216" i="7"/>
  <c r="Z2216" i="7" s="1"/>
  <c r="AC2216" i="7" s="1"/>
  <c r="F2216" i="7"/>
  <c r="D2216" i="7"/>
  <c r="AN2215" i="7"/>
  <c r="AG2215" i="7"/>
  <c r="V2215" i="7"/>
  <c r="AI2215" i="7" s="1"/>
  <c r="F2215" i="7"/>
  <c r="D2215" i="7"/>
  <c r="AN2214" i="7"/>
  <c r="AI2214" i="7"/>
  <c r="AG2214" i="7"/>
  <c r="Y2214" i="7"/>
  <c r="Z2214" i="7" s="1"/>
  <c r="F2214" i="7"/>
  <c r="D2214" i="7"/>
  <c r="AN2213" i="7"/>
  <c r="AI2213" i="7"/>
  <c r="AG2213" i="7"/>
  <c r="Y2213" i="7"/>
  <c r="Z2213" i="7" s="1"/>
  <c r="AC2213" i="7" s="1"/>
  <c r="F2213" i="7"/>
  <c r="D2213" i="7"/>
  <c r="AN2212" i="7"/>
  <c r="AG2212" i="7"/>
  <c r="V2212" i="7"/>
  <c r="AI2212" i="7" s="1"/>
  <c r="F2212" i="7"/>
  <c r="D2212" i="7"/>
  <c r="AN2211" i="7"/>
  <c r="AI2211" i="7"/>
  <c r="AG2211" i="7"/>
  <c r="W2211" i="7"/>
  <c r="Y2211" i="7" s="1"/>
  <c r="Z2211" i="7" s="1"/>
  <c r="AA2211" i="7" s="1"/>
  <c r="F2211" i="7"/>
  <c r="D2211" i="7"/>
  <c r="AN2210" i="7"/>
  <c r="AI2210" i="7"/>
  <c r="AG2210" i="7"/>
  <c r="AM2210" i="7" s="1"/>
  <c r="Y2210" i="7"/>
  <c r="Z2210" i="7" s="1"/>
  <c r="F2210" i="7"/>
  <c r="D2210" i="7"/>
  <c r="AN2209" i="7"/>
  <c r="AG2209" i="7"/>
  <c r="V2209" i="7"/>
  <c r="AI2209" i="7" s="1"/>
  <c r="F2209" i="7"/>
  <c r="D2209" i="7"/>
  <c r="AN2208" i="7"/>
  <c r="AI2208" i="7"/>
  <c r="AG2208" i="7"/>
  <c r="W2208" i="7"/>
  <c r="Y2208" i="7" s="1"/>
  <c r="Z2208" i="7" s="1"/>
  <c r="AH2208" i="7" s="1"/>
  <c r="F2208" i="7"/>
  <c r="D2208" i="7"/>
  <c r="AN2207" i="7"/>
  <c r="AI2207" i="7"/>
  <c r="AG2207" i="7"/>
  <c r="W2207" i="7"/>
  <c r="Y2207" i="7" s="1"/>
  <c r="Z2207" i="7" s="1"/>
  <c r="F2207" i="7"/>
  <c r="D2207" i="7"/>
  <c r="AN2206" i="7"/>
  <c r="AI2206" i="7"/>
  <c r="AG2206" i="7"/>
  <c r="X2206" i="7"/>
  <c r="W2206" i="7"/>
  <c r="F2206" i="7"/>
  <c r="D2206" i="7"/>
  <c r="AN2205" i="7"/>
  <c r="AI2205" i="7"/>
  <c r="AG2205" i="7"/>
  <c r="X2205" i="7"/>
  <c r="Y2205" i="7" s="1"/>
  <c r="Z2205" i="7" s="1"/>
  <c r="F2205" i="7"/>
  <c r="D2205" i="7"/>
  <c r="AN2204" i="7"/>
  <c r="AM2204" i="7"/>
  <c r="AC2204" i="7"/>
  <c r="AA2204" i="7"/>
  <c r="F2204" i="7"/>
  <c r="D2204" i="7"/>
  <c r="AN2203" i="7"/>
  <c r="AG2203" i="7"/>
  <c r="W2203" i="7"/>
  <c r="V2203" i="7"/>
  <c r="AI2203" i="7" s="1"/>
  <c r="F2203" i="7"/>
  <c r="D2203" i="7"/>
  <c r="AN2202" i="7"/>
  <c r="AI2202" i="7"/>
  <c r="AG2202" i="7"/>
  <c r="AM2202" i="7" s="1"/>
  <c r="W2202" i="7"/>
  <c r="Y2202" i="7" s="1"/>
  <c r="Z2202" i="7" s="1"/>
  <c r="F2202" i="7"/>
  <c r="D2202" i="7"/>
  <c r="AN2201" i="7"/>
  <c r="AG2201" i="7"/>
  <c r="W2201" i="7"/>
  <c r="V2201" i="7"/>
  <c r="F2201" i="7"/>
  <c r="D2201" i="7"/>
  <c r="AN2200" i="7"/>
  <c r="AI2200" i="7"/>
  <c r="AG2200" i="7"/>
  <c r="Y2200" i="7"/>
  <c r="Z2200" i="7" s="1"/>
  <c r="F2200" i="7"/>
  <c r="D2200" i="7"/>
  <c r="AN2199" i="7"/>
  <c r="AI2199" i="7"/>
  <c r="AG2199" i="7"/>
  <c r="Y2199" i="7"/>
  <c r="Z2199" i="7" s="1"/>
  <c r="AE2199" i="7" s="1"/>
  <c r="AF2199" i="7" s="1"/>
  <c r="F2199" i="7"/>
  <c r="D2199" i="7"/>
  <c r="AN2198" i="7"/>
  <c r="AG2198" i="7"/>
  <c r="V2198" i="7"/>
  <c r="F2198" i="7"/>
  <c r="D2198" i="7"/>
  <c r="AN2197" i="7"/>
  <c r="AG2197" i="7"/>
  <c r="W2197" i="7"/>
  <c r="V2197" i="7"/>
  <c r="AI2197" i="7" s="1"/>
  <c r="F2197" i="7"/>
  <c r="D2197" i="7"/>
  <c r="AN2196" i="7"/>
  <c r="AI2196" i="7"/>
  <c r="AG2196" i="7"/>
  <c r="Y2196" i="7"/>
  <c r="Z2196" i="7" s="1"/>
  <c r="F2196" i="7"/>
  <c r="D2196" i="7"/>
  <c r="AN2195" i="7"/>
  <c r="AI2195" i="7"/>
  <c r="AG2195" i="7"/>
  <c r="Y2195" i="7"/>
  <c r="Z2195" i="7" s="1"/>
  <c r="F2195" i="7"/>
  <c r="D2195" i="7"/>
  <c r="AN2194" i="7"/>
  <c r="AI2194" i="7"/>
  <c r="AG2194" i="7"/>
  <c r="Y2194" i="7"/>
  <c r="Z2194" i="7" s="1"/>
  <c r="AE2194" i="7" s="1"/>
  <c r="AF2194" i="7" s="1"/>
  <c r="F2194" i="7"/>
  <c r="D2194" i="7"/>
  <c r="AN2193" i="7"/>
  <c r="AG2193" i="7"/>
  <c r="W2193" i="7"/>
  <c r="V2193" i="7"/>
  <c r="AI2193" i="7" s="1"/>
  <c r="F2193" i="7"/>
  <c r="D2193" i="7"/>
  <c r="AN2192" i="7"/>
  <c r="AG2192" i="7"/>
  <c r="X2192" i="7"/>
  <c r="V2192" i="7"/>
  <c r="AI2192" i="7" s="1"/>
  <c r="F2192" i="7"/>
  <c r="D2192" i="7"/>
  <c r="AN2191" i="7"/>
  <c r="AM2191" i="7"/>
  <c r="AC2191" i="7"/>
  <c r="AA2191" i="7"/>
  <c r="F2191" i="7"/>
  <c r="D2191" i="7"/>
  <c r="AN2190" i="7"/>
  <c r="AI2190" i="7"/>
  <c r="AG2190" i="7"/>
  <c r="W2190" i="7"/>
  <c r="Y2190" i="7" s="1"/>
  <c r="Z2190" i="7" s="1"/>
  <c r="AC2190" i="7" s="1"/>
  <c r="F2190" i="7"/>
  <c r="D2190" i="7"/>
  <c r="AN2189" i="7"/>
  <c r="AG2189" i="7"/>
  <c r="V2189" i="7"/>
  <c r="F2189" i="7"/>
  <c r="D2189" i="7"/>
  <c r="AN2188" i="7"/>
  <c r="AG2188" i="7"/>
  <c r="X2188" i="7"/>
  <c r="V2188" i="7"/>
  <c r="AI2188" i="7" s="1"/>
  <c r="F2188" i="7"/>
  <c r="D2188" i="7"/>
  <c r="AN2187" i="7"/>
  <c r="AI2187" i="7"/>
  <c r="AG2187" i="7"/>
  <c r="X2187" i="7"/>
  <c r="W2187" i="7"/>
  <c r="F2187" i="7"/>
  <c r="D2187" i="7"/>
  <c r="AN2186" i="7"/>
  <c r="AG2186" i="7"/>
  <c r="V2186" i="7"/>
  <c r="Y2186" i="7" s="1"/>
  <c r="Z2186" i="7" s="1"/>
  <c r="F2186" i="7"/>
  <c r="D2186" i="7"/>
  <c r="AN2185" i="7"/>
  <c r="AI2185" i="7"/>
  <c r="AG2185" i="7"/>
  <c r="W2185" i="7"/>
  <c r="Y2185" i="7" s="1"/>
  <c r="Z2185" i="7" s="1"/>
  <c r="F2185" i="7"/>
  <c r="D2185" i="7"/>
  <c r="AN2184" i="7"/>
  <c r="AI2184" i="7"/>
  <c r="AG2184" i="7"/>
  <c r="W2184" i="7"/>
  <c r="Y2184" i="7" s="1"/>
  <c r="Z2184" i="7" s="1"/>
  <c r="AM2184" i="7" s="1"/>
  <c r="F2184" i="7"/>
  <c r="D2184" i="7"/>
  <c r="AN2183" i="7"/>
  <c r="AI2183" i="7"/>
  <c r="AG2183" i="7"/>
  <c r="Y2183" i="7"/>
  <c r="Z2183" i="7" s="1"/>
  <c r="F2183" i="7"/>
  <c r="D2183" i="7"/>
  <c r="AN2182" i="7"/>
  <c r="AG2182" i="7"/>
  <c r="V2182" i="7"/>
  <c r="AI2182" i="7" s="1"/>
  <c r="F2182" i="7"/>
  <c r="D2182" i="7"/>
  <c r="AN2181" i="7"/>
  <c r="AG2181" i="7"/>
  <c r="X2181" i="7"/>
  <c r="W2181" i="7"/>
  <c r="V2181" i="7"/>
  <c r="AI2181" i="7" s="1"/>
  <c r="F2181" i="7"/>
  <c r="D2181" i="7"/>
  <c r="AN2180" i="7"/>
  <c r="AG2180" i="7"/>
  <c r="W2180" i="7"/>
  <c r="V2180" i="7"/>
  <c r="AI2180" i="7" s="1"/>
  <c r="F2180" i="7"/>
  <c r="D2180" i="7"/>
  <c r="AN2179" i="7"/>
  <c r="AM2179" i="7"/>
  <c r="AC2179" i="7"/>
  <c r="AA2179" i="7"/>
  <c r="F2179" i="7"/>
  <c r="D2179" i="7"/>
  <c r="AN2178" i="7"/>
  <c r="AG2178" i="7"/>
  <c r="W2178" i="7"/>
  <c r="V2178" i="7"/>
  <c r="AI2178" i="7" s="1"/>
  <c r="F2178" i="7"/>
  <c r="D2178" i="7"/>
  <c r="AN2177" i="7"/>
  <c r="AI2177" i="7"/>
  <c r="AG2177" i="7"/>
  <c r="X2177" i="7"/>
  <c r="W2177" i="7"/>
  <c r="F2177" i="7"/>
  <c r="D2177" i="7"/>
  <c r="AN2176" i="7"/>
  <c r="AI2176" i="7"/>
  <c r="AG2176" i="7"/>
  <c r="X2176" i="7"/>
  <c r="W2176" i="7"/>
  <c r="F2176" i="7"/>
  <c r="D2176" i="7"/>
  <c r="AN2175" i="7"/>
  <c r="AI2175" i="7"/>
  <c r="AG2175" i="7"/>
  <c r="Y2175" i="7"/>
  <c r="Z2175" i="7" s="1"/>
  <c r="AA2175" i="7" s="1"/>
  <c r="F2175" i="7"/>
  <c r="D2175" i="7"/>
  <c r="AN2174" i="7"/>
  <c r="AI2174" i="7"/>
  <c r="AG2174" i="7"/>
  <c r="W2174" i="7"/>
  <c r="Y2174" i="7" s="1"/>
  <c r="Z2174" i="7" s="1"/>
  <c r="F2174" i="7"/>
  <c r="D2174" i="7"/>
  <c r="AN2173" i="7"/>
  <c r="AI2173" i="7"/>
  <c r="AG2173" i="7"/>
  <c r="W2173" i="7"/>
  <c r="Y2173" i="7" s="1"/>
  <c r="Z2173" i="7" s="1"/>
  <c r="F2173" i="7"/>
  <c r="D2173" i="7"/>
  <c r="AN2172" i="7"/>
  <c r="AG2172" i="7"/>
  <c r="W2172" i="7"/>
  <c r="V2172" i="7"/>
  <c r="AI2172" i="7" s="1"/>
  <c r="F2172" i="7"/>
  <c r="D2172" i="7"/>
  <c r="AN2171" i="7"/>
  <c r="AG2171" i="7"/>
  <c r="V2171" i="7"/>
  <c r="F2171" i="7"/>
  <c r="D2171" i="7"/>
  <c r="AN2170" i="7"/>
  <c r="AI2170" i="7"/>
  <c r="AG2170" i="7"/>
  <c r="Y2170" i="7"/>
  <c r="Z2170" i="7" s="1"/>
  <c r="AH2170" i="7" s="1"/>
  <c r="F2170" i="7"/>
  <c r="D2170" i="7"/>
  <c r="AN2169" i="7"/>
  <c r="AG2169" i="7"/>
  <c r="V2169" i="7"/>
  <c r="AI2169" i="7" s="1"/>
  <c r="F2169" i="7"/>
  <c r="D2169" i="7"/>
  <c r="AN2168" i="7"/>
  <c r="AG2168" i="7"/>
  <c r="V2168" i="7"/>
  <c r="F2168" i="7"/>
  <c r="D2168" i="7"/>
  <c r="AN2167" i="7"/>
  <c r="AG2167" i="7"/>
  <c r="V2167" i="7"/>
  <c r="Y2167" i="7" s="1"/>
  <c r="Z2167" i="7" s="1"/>
  <c r="F2167" i="7"/>
  <c r="D2167" i="7"/>
  <c r="AN2166" i="7"/>
  <c r="AG2166" i="7"/>
  <c r="W2166" i="7"/>
  <c r="V2166" i="7"/>
  <c r="AI2166" i="7" s="1"/>
  <c r="F2166" i="7"/>
  <c r="D2166" i="7"/>
  <c r="AN2165" i="7"/>
  <c r="AG2165" i="7"/>
  <c r="W2165" i="7"/>
  <c r="V2165" i="7"/>
  <c r="AI2165" i="7" s="1"/>
  <c r="F2165" i="7"/>
  <c r="D2165" i="7"/>
  <c r="AN2164" i="7"/>
  <c r="AI2164" i="7"/>
  <c r="AG2164" i="7"/>
  <c r="Y2164" i="7"/>
  <c r="Z2164" i="7" s="1"/>
  <c r="F2164" i="7"/>
  <c r="D2164" i="7"/>
  <c r="AN2163" i="7"/>
  <c r="AG2163" i="7"/>
  <c r="V2163" i="7"/>
  <c r="F2163" i="7"/>
  <c r="D2163" i="7"/>
  <c r="AN2162" i="7"/>
  <c r="AI2162" i="7"/>
  <c r="AG2162" i="7"/>
  <c r="W2162" i="7"/>
  <c r="Y2162" i="7" s="1"/>
  <c r="Z2162" i="7" s="1"/>
  <c r="F2162" i="7"/>
  <c r="D2162" i="7"/>
  <c r="AN2161" i="7"/>
  <c r="AG2161" i="7"/>
  <c r="W2161" i="7"/>
  <c r="V2161" i="7"/>
  <c r="F2161" i="7"/>
  <c r="D2161" i="7"/>
  <c r="AN2160" i="7"/>
  <c r="AG2160" i="7"/>
  <c r="V2160" i="7"/>
  <c r="AI2160" i="7" s="1"/>
  <c r="F2160" i="7"/>
  <c r="D2160" i="7"/>
  <c r="AN2159" i="7"/>
  <c r="AI2159" i="7"/>
  <c r="AG2159" i="7"/>
  <c r="Y2159" i="7"/>
  <c r="Z2159" i="7" s="1"/>
  <c r="F2159" i="7"/>
  <c r="D2159" i="7"/>
  <c r="AN2158" i="7"/>
  <c r="AI2158" i="7"/>
  <c r="AG2158" i="7"/>
  <c r="W2158" i="7"/>
  <c r="Y2158" i="7" s="1"/>
  <c r="Z2158" i="7" s="1"/>
  <c r="AE2158" i="7" s="1"/>
  <c r="AF2158" i="7" s="1"/>
  <c r="F2158" i="7"/>
  <c r="D2158" i="7"/>
  <c r="AN2157" i="7"/>
  <c r="AG2157" i="7"/>
  <c r="W2157" i="7"/>
  <c r="Y2157" i="7" s="1"/>
  <c r="Z2157" i="7" s="1"/>
  <c r="AC2157" i="7" s="1"/>
  <c r="V2157" i="7"/>
  <c r="AI2157" i="7" s="1"/>
  <c r="F2157" i="7"/>
  <c r="D2157" i="7"/>
  <c r="AN2156" i="7"/>
  <c r="AI2156" i="7"/>
  <c r="AG2156" i="7"/>
  <c r="W2156" i="7"/>
  <c r="Y2156" i="7" s="1"/>
  <c r="Z2156" i="7" s="1"/>
  <c r="F2156" i="7"/>
  <c r="D2156" i="7"/>
  <c r="AN2155" i="7"/>
  <c r="AG2155" i="7"/>
  <c r="W2155" i="7"/>
  <c r="V2155" i="7"/>
  <c r="AI2155" i="7" s="1"/>
  <c r="F2155" i="7"/>
  <c r="D2155" i="7"/>
  <c r="AN2154" i="7"/>
  <c r="AG2154" i="7"/>
  <c r="V2154" i="7"/>
  <c r="Y2154" i="7" s="1"/>
  <c r="Z2154" i="7" s="1"/>
  <c r="F2154" i="7"/>
  <c r="D2154" i="7"/>
  <c r="AN2153" i="7"/>
  <c r="AG2153" i="7"/>
  <c r="W2153" i="7"/>
  <c r="V2153" i="7"/>
  <c r="AI2153" i="7" s="1"/>
  <c r="F2153" i="7"/>
  <c r="D2153" i="7"/>
  <c r="AN2152" i="7"/>
  <c r="AG2152" i="7"/>
  <c r="W2152" i="7"/>
  <c r="V2152" i="7"/>
  <c r="AI2152" i="7" s="1"/>
  <c r="F2152" i="7"/>
  <c r="D2152" i="7"/>
  <c r="AN2151" i="7"/>
  <c r="AG2151" i="7"/>
  <c r="W2151" i="7"/>
  <c r="V2151" i="7"/>
  <c r="AI2151" i="7" s="1"/>
  <c r="F2151" i="7"/>
  <c r="D2151" i="7"/>
  <c r="AN2150" i="7"/>
  <c r="AG2150" i="7"/>
  <c r="W2150" i="7"/>
  <c r="V2150" i="7"/>
  <c r="AI2150" i="7" s="1"/>
  <c r="F2150" i="7"/>
  <c r="D2150" i="7"/>
  <c r="AN2149" i="7"/>
  <c r="AI2149" i="7"/>
  <c r="AG2149" i="7"/>
  <c r="W2149" i="7"/>
  <c r="Y2149" i="7" s="1"/>
  <c r="Z2149" i="7" s="1"/>
  <c r="AE2149" i="7" s="1"/>
  <c r="AF2149" i="7" s="1"/>
  <c r="F2149" i="7"/>
  <c r="D2149" i="7"/>
  <c r="AN2148" i="7"/>
  <c r="AG2148" i="7"/>
  <c r="W2148" i="7"/>
  <c r="V2148" i="7"/>
  <c r="AI2148" i="7" s="1"/>
  <c r="F2148" i="7"/>
  <c r="D2148" i="7"/>
  <c r="AN2147" i="7"/>
  <c r="AG2147" i="7"/>
  <c r="V2147" i="7"/>
  <c r="Y2147" i="7" s="1"/>
  <c r="Z2147" i="7" s="1"/>
  <c r="AM2147" i="7" s="1"/>
  <c r="F2147" i="7"/>
  <c r="D2147" i="7"/>
  <c r="AN2146" i="7"/>
  <c r="AI2146" i="7"/>
  <c r="AG2146" i="7"/>
  <c r="X2146" i="7"/>
  <c r="W2146" i="7"/>
  <c r="F2146" i="7"/>
  <c r="D2146" i="7"/>
  <c r="AN2145" i="7"/>
  <c r="AG2145" i="7"/>
  <c r="X2145" i="7"/>
  <c r="W2145" i="7"/>
  <c r="V2145" i="7"/>
  <c r="AI2145" i="7" s="1"/>
  <c r="F2145" i="7"/>
  <c r="D2145" i="7"/>
  <c r="AN2144" i="7"/>
  <c r="AI2144" i="7"/>
  <c r="AG2144" i="7"/>
  <c r="W2144" i="7"/>
  <c r="Y2144" i="7" s="1"/>
  <c r="Z2144" i="7" s="1"/>
  <c r="F2144" i="7"/>
  <c r="D2144" i="7"/>
  <c r="AN2143" i="7"/>
  <c r="AM2143" i="7"/>
  <c r="AC2143" i="7"/>
  <c r="AA2143" i="7"/>
  <c r="F2143" i="7"/>
  <c r="D2143" i="7"/>
  <c r="AN2142" i="7"/>
  <c r="AI2142" i="7"/>
  <c r="AG2142" i="7"/>
  <c r="X2142" i="7"/>
  <c r="W2142" i="7"/>
  <c r="F2142" i="7"/>
  <c r="D2142" i="7"/>
  <c r="AN2141" i="7"/>
  <c r="AG2141" i="7"/>
  <c r="W2141" i="7"/>
  <c r="V2141" i="7"/>
  <c r="F2141" i="7"/>
  <c r="D2141" i="7"/>
  <c r="AN2140" i="7"/>
  <c r="AG2140" i="7"/>
  <c r="X2140" i="7"/>
  <c r="W2140" i="7"/>
  <c r="V2140" i="7"/>
  <c r="AI2140" i="7" s="1"/>
  <c r="F2140" i="7"/>
  <c r="D2140" i="7"/>
  <c r="AN2139" i="7"/>
  <c r="AG2139" i="7"/>
  <c r="W2139" i="7"/>
  <c r="V2139" i="7"/>
  <c r="AI2139" i="7" s="1"/>
  <c r="F2139" i="7"/>
  <c r="D2139" i="7"/>
  <c r="AN2138" i="7"/>
  <c r="AI2138" i="7"/>
  <c r="AG2138" i="7"/>
  <c r="W2138" i="7"/>
  <c r="Y2138" i="7" s="1"/>
  <c r="Z2138" i="7" s="1"/>
  <c r="F2138" i="7"/>
  <c r="D2138" i="7"/>
  <c r="AN2137" i="7"/>
  <c r="AG2137" i="7"/>
  <c r="V2137" i="7"/>
  <c r="AI2137" i="7" s="1"/>
  <c r="F2137" i="7"/>
  <c r="D2137" i="7"/>
  <c r="AN2136" i="7"/>
  <c r="AI2136" i="7"/>
  <c r="AG2136" i="7"/>
  <c r="W2136" i="7"/>
  <c r="Y2136" i="7" s="1"/>
  <c r="Z2136" i="7" s="1"/>
  <c r="AE2136" i="7" s="1"/>
  <c r="AF2136" i="7" s="1"/>
  <c r="F2136" i="7"/>
  <c r="D2136" i="7"/>
  <c r="AN2135" i="7"/>
  <c r="AM2135" i="7"/>
  <c r="AC2135" i="7"/>
  <c r="AA2135" i="7"/>
  <c r="F2135" i="7"/>
  <c r="D2135" i="7"/>
  <c r="AN2134" i="7"/>
  <c r="AM2134" i="7"/>
  <c r="AC2134" i="7"/>
  <c r="AA2134" i="7"/>
  <c r="F2134" i="7"/>
  <c r="D2134" i="7"/>
  <c r="AN2133" i="7"/>
  <c r="AM2133" i="7"/>
  <c r="AC2133" i="7"/>
  <c r="AA2133" i="7"/>
  <c r="F2133" i="7"/>
  <c r="D2133" i="7"/>
  <c r="AN2132" i="7"/>
  <c r="AM2132" i="7"/>
  <c r="AC2132" i="7"/>
  <c r="AA2132" i="7"/>
  <c r="F2132" i="7"/>
  <c r="D2132" i="7"/>
  <c r="AN2131" i="7"/>
  <c r="AG2131" i="7"/>
  <c r="W2131" i="7"/>
  <c r="V2131" i="7"/>
  <c r="AI2131" i="7" s="1"/>
  <c r="F2131" i="7"/>
  <c r="D2131" i="7"/>
  <c r="AN2130" i="7"/>
  <c r="AG2130" i="7"/>
  <c r="X2130" i="7"/>
  <c r="V2130" i="7"/>
  <c r="AI2130" i="7" s="1"/>
  <c r="F2130" i="7"/>
  <c r="D2130" i="7"/>
  <c r="AN2129" i="7"/>
  <c r="AI2129" i="7"/>
  <c r="AG2129" i="7"/>
  <c r="W2129" i="7"/>
  <c r="Y2129" i="7" s="1"/>
  <c r="Z2129" i="7" s="1"/>
  <c r="F2129" i="7"/>
  <c r="D2129" i="7"/>
  <c r="AN2128" i="7"/>
  <c r="AG2128" i="7"/>
  <c r="X2128" i="7"/>
  <c r="V2128" i="7"/>
  <c r="AI2128" i="7" s="1"/>
  <c r="F2128" i="7"/>
  <c r="D2128" i="7"/>
  <c r="AN2127" i="7"/>
  <c r="AG2127" i="7"/>
  <c r="X2127" i="7"/>
  <c r="V2127" i="7"/>
  <c r="AI2127" i="7" s="1"/>
  <c r="F2127" i="7"/>
  <c r="D2127" i="7"/>
  <c r="AN2126" i="7"/>
  <c r="AG2126" i="7"/>
  <c r="X2126" i="7"/>
  <c r="V2126" i="7"/>
  <c r="AI2126" i="7" s="1"/>
  <c r="F2126" i="7"/>
  <c r="D2126" i="7"/>
  <c r="AN2125" i="7"/>
  <c r="AG2125" i="7"/>
  <c r="X2125" i="7"/>
  <c r="V2125" i="7"/>
  <c r="AI2125" i="7" s="1"/>
  <c r="F2125" i="7"/>
  <c r="D2125" i="7"/>
  <c r="AN2124" i="7"/>
  <c r="AG2124" i="7"/>
  <c r="X2124" i="7"/>
  <c r="W2124" i="7"/>
  <c r="V2124" i="7"/>
  <c r="AI2124" i="7" s="1"/>
  <c r="F2124" i="7"/>
  <c r="D2124" i="7"/>
  <c r="AN2123" i="7"/>
  <c r="AG2123" i="7"/>
  <c r="X2123" i="7"/>
  <c r="W2123" i="7"/>
  <c r="V2123" i="7"/>
  <c r="AI2123" i="7" s="1"/>
  <c r="F2123" i="7"/>
  <c r="D2123" i="7"/>
  <c r="AN2122" i="7"/>
  <c r="AI2122" i="7"/>
  <c r="AG2122" i="7"/>
  <c r="X2122" i="7"/>
  <c r="Y2122" i="7" s="1"/>
  <c r="Z2122" i="7" s="1"/>
  <c r="F2122" i="7"/>
  <c r="D2122" i="7"/>
  <c r="AN2121" i="7"/>
  <c r="AI2121" i="7"/>
  <c r="AG2121" i="7"/>
  <c r="X2121" i="7"/>
  <c r="Y2121" i="7" s="1"/>
  <c r="Z2121" i="7" s="1"/>
  <c r="F2121" i="7"/>
  <c r="D2121" i="7"/>
  <c r="AN2120" i="7"/>
  <c r="AG2120" i="7"/>
  <c r="W2120" i="7"/>
  <c r="V2120" i="7"/>
  <c r="AI2120" i="7" s="1"/>
  <c r="F2120" i="7"/>
  <c r="D2120" i="7"/>
  <c r="AN2119" i="7"/>
  <c r="AG2119" i="7"/>
  <c r="W2119" i="7"/>
  <c r="V2119" i="7"/>
  <c r="F2119" i="7"/>
  <c r="D2119" i="7"/>
  <c r="AN2118" i="7"/>
  <c r="AG2118" i="7"/>
  <c r="X2118" i="7"/>
  <c r="V2118" i="7"/>
  <c r="AI2118" i="7" s="1"/>
  <c r="F2118" i="7"/>
  <c r="D2118" i="7"/>
  <c r="AN2117" i="7"/>
  <c r="AG2117" i="7"/>
  <c r="X2117" i="7"/>
  <c r="V2117" i="7"/>
  <c r="AI2117" i="7" s="1"/>
  <c r="F2117" i="7"/>
  <c r="D2117" i="7"/>
  <c r="AN2116" i="7"/>
  <c r="AG2116" i="7"/>
  <c r="X2116" i="7"/>
  <c r="V2116" i="7"/>
  <c r="F2116" i="7"/>
  <c r="D2116" i="7"/>
  <c r="AN2115" i="7"/>
  <c r="AG2115" i="7"/>
  <c r="X2115" i="7"/>
  <c r="V2115" i="7"/>
  <c r="AI2115" i="7" s="1"/>
  <c r="F2115" i="7"/>
  <c r="D2115" i="7"/>
  <c r="AN2114" i="7"/>
  <c r="AG2114" i="7"/>
  <c r="X2114" i="7"/>
  <c r="V2114" i="7"/>
  <c r="AI2114" i="7" s="1"/>
  <c r="F2114" i="7"/>
  <c r="D2114" i="7"/>
  <c r="AN2113" i="7"/>
  <c r="AI2113" i="7"/>
  <c r="AG2113" i="7"/>
  <c r="X2113" i="7"/>
  <c r="W2113" i="7"/>
  <c r="F2113" i="7"/>
  <c r="D2113" i="7"/>
  <c r="AN2112" i="7"/>
  <c r="AI2112" i="7"/>
  <c r="AG2112" i="7"/>
  <c r="Y2112" i="7"/>
  <c r="Z2112" i="7" s="1"/>
  <c r="AH2112" i="7" s="1"/>
  <c r="F2112" i="7"/>
  <c r="D2112" i="7"/>
  <c r="AN2111" i="7"/>
  <c r="AI2111" i="7"/>
  <c r="AG2111" i="7"/>
  <c r="AM2111" i="7" s="1"/>
  <c r="Y2111" i="7"/>
  <c r="Z2111" i="7" s="1"/>
  <c r="AE2111" i="7" s="1"/>
  <c r="AF2111" i="7" s="1"/>
  <c r="F2111" i="7"/>
  <c r="D2111" i="7"/>
  <c r="AN2110" i="7"/>
  <c r="AI2110" i="7"/>
  <c r="AG2110" i="7"/>
  <c r="W2110" i="7"/>
  <c r="Y2110" i="7" s="1"/>
  <c r="Z2110" i="7" s="1"/>
  <c r="AE2110" i="7" s="1"/>
  <c r="AF2110" i="7" s="1"/>
  <c r="F2110" i="7"/>
  <c r="D2110" i="7"/>
  <c r="AN2109" i="7"/>
  <c r="AI2109" i="7"/>
  <c r="AG2109" i="7"/>
  <c r="X2109" i="7"/>
  <c r="W2109" i="7"/>
  <c r="F2109" i="7"/>
  <c r="D2109" i="7"/>
  <c r="AN2108" i="7"/>
  <c r="AG2108" i="7"/>
  <c r="W2108" i="7"/>
  <c r="V2108" i="7"/>
  <c r="AI2108" i="7" s="1"/>
  <c r="F2108" i="7"/>
  <c r="D2108" i="7"/>
  <c r="AN2107" i="7"/>
  <c r="AG2107" i="7"/>
  <c r="W2107" i="7"/>
  <c r="V2107" i="7"/>
  <c r="AI2107" i="7" s="1"/>
  <c r="F2107" i="7"/>
  <c r="D2107" i="7"/>
  <c r="AN2106" i="7"/>
  <c r="AI2106" i="7"/>
  <c r="AG2106" i="7"/>
  <c r="W2106" i="7"/>
  <c r="Y2106" i="7" s="1"/>
  <c r="Z2106" i="7" s="1"/>
  <c r="F2106" i="7"/>
  <c r="D2106" i="7"/>
  <c r="AN2105" i="7"/>
  <c r="AG2105" i="7"/>
  <c r="W2105" i="7"/>
  <c r="V2105" i="7"/>
  <c r="AI2105" i="7" s="1"/>
  <c r="F2105" i="7"/>
  <c r="D2105" i="7"/>
  <c r="AN2104" i="7"/>
  <c r="AG2104" i="7"/>
  <c r="W2104" i="7"/>
  <c r="V2104" i="7"/>
  <c r="AI2104" i="7" s="1"/>
  <c r="F2104" i="7"/>
  <c r="D2104" i="7"/>
  <c r="AN2103" i="7"/>
  <c r="AG2103" i="7"/>
  <c r="W2103" i="7"/>
  <c r="V2103" i="7"/>
  <c r="AI2103" i="7" s="1"/>
  <c r="F2103" i="7"/>
  <c r="D2103" i="7"/>
  <c r="AN2102" i="7"/>
  <c r="AG2102" i="7"/>
  <c r="V2102" i="7"/>
  <c r="Y2102" i="7" s="1"/>
  <c r="Z2102" i="7" s="1"/>
  <c r="F2102" i="7"/>
  <c r="D2102" i="7"/>
  <c r="AN2101" i="7"/>
  <c r="AI2101" i="7"/>
  <c r="AG2101" i="7"/>
  <c r="W2101" i="7"/>
  <c r="Y2101" i="7" s="1"/>
  <c r="Z2101" i="7" s="1"/>
  <c r="AC2101" i="7" s="1"/>
  <c r="F2101" i="7"/>
  <c r="D2101" i="7"/>
  <c r="AN2100" i="7"/>
  <c r="AG2100" i="7"/>
  <c r="V2100" i="7"/>
  <c r="Y2100" i="7" s="1"/>
  <c r="Z2100" i="7" s="1"/>
  <c r="AE2100" i="7" s="1"/>
  <c r="AF2100" i="7" s="1"/>
  <c r="F2100" i="7"/>
  <c r="D2100" i="7"/>
  <c r="AN2099" i="7"/>
  <c r="AG2099" i="7"/>
  <c r="V2099" i="7"/>
  <c r="AI2099" i="7" s="1"/>
  <c r="F2099" i="7"/>
  <c r="D2099" i="7"/>
  <c r="AN2098" i="7"/>
  <c r="AG2098" i="7"/>
  <c r="V2098" i="7"/>
  <c r="F2098" i="7"/>
  <c r="D2098" i="7"/>
  <c r="AN2097" i="7"/>
  <c r="AM2097" i="7"/>
  <c r="AC2097" i="7"/>
  <c r="AA2097" i="7"/>
  <c r="F2097" i="7"/>
  <c r="D2097" i="7"/>
  <c r="AN2096" i="7"/>
  <c r="AG2096" i="7"/>
  <c r="W2096" i="7"/>
  <c r="V2096" i="7"/>
  <c r="AI2096" i="7" s="1"/>
  <c r="F2096" i="7"/>
  <c r="D2096" i="7"/>
  <c r="AN2095" i="7"/>
  <c r="AG2095" i="7"/>
  <c r="W2095" i="7"/>
  <c r="V2095" i="7"/>
  <c r="AI2095" i="7" s="1"/>
  <c r="F2095" i="7"/>
  <c r="D2095" i="7"/>
  <c r="AN2094" i="7"/>
  <c r="AG2094" i="7"/>
  <c r="X2094" i="7"/>
  <c r="V2094" i="7"/>
  <c r="F2094" i="7"/>
  <c r="D2094" i="7"/>
  <c r="AN2093" i="7"/>
  <c r="X2093" i="7"/>
  <c r="V2093" i="7"/>
  <c r="F2093" i="7"/>
  <c r="D2093" i="7"/>
  <c r="AN2092" i="7"/>
  <c r="AG2092" i="7"/>
  <c r="X2092" i="7"/>
  <c r="W2092" i="7"/>
  <c r="V2092" i="7"/>
  <c r="AI2092" i="7" s="1"/>
  <c r="F2092" i="7"/>
  <c r="D2092" i="7"/>
  <c r="AN2091" i="7"/>
  <c r="AI2091" i="7"/>
  <c r="AG2091" i="7"/>
  <c r="Y2091" i="7"/>
  <c r="Z2091" i="7" s="1"/>
  <c r="AA2091" i="7" s="1"/>
  <c r="F2091" i="7"/>
  <c r="D2091" i="7"/>
  <c r="AN2090" i="7"/>
  <c r="AI2090" i="7"/>
  <c r="AG2090" i="7"/>
  <c r="W2090" i="7"/>
  <c r="Y2090" i="7" s="1"/>
  <c r="Z2090" i="7" s="1"/>
  <c r="F2090" i="7"/>
  <c r="D2090" i="7"/>
  <c r="AN2089" i="7"/>
  <c r="AI2089" i="7"/>
  <c r="AG2089" i="7"/>
  <c r="X2089" i="7"/>
  <c r="Y2089" i="7" s="1"/>
  <c r="Z2089" i="7" s="1"/>
  <c r="AA2089" i="7" s="1"/>
  <c r="F2089" i="7"/>
  <c r="D2089" i="7"/>
  <c r="AN2088" i="7"/>
  <c r="AG2088" i="7"/>
  <c r="X2088" i="7"/>
  <c r="V2088" i="7"/>
  <c r="AI2088" i="7" s="1"/>
  <c r="F2088" i="7"/>
  <c r="D2088" i="7"/>
  <c r="AN2087" i="7"/>
  <c r="AG2087" i="7"/>
  <c r="W2087" i="7"/>
  <c r="V2087" i="7"/>
  <c r="F2087" i="7"/>
  <c r="D2087" i="7"/>
  <c r="AN2086" i="7"/>
  <c r="AI2086" i="7"/>
  <c r="AG2086" i="7"/>
  <c r="X2086" i="7"/>
  <c r="Y2086" i="7" s="1"/>
  <c r="Z2086" i="7" s="1"/>
  <c r="F2086" i="7"/>
  <c r="D2086" i="7"/>
  <c r="AN2085" i="7"/>
  <c r="AG2085" i="7"/>
  <c r="W2085" i="7"/>
  <c r="V2085" i="7"/>
  <c r="AI2085" i="7" s="1"/>
  <c r="F2085" i="7"/>
  <c r="D2085" i="7"/>
  <c r="AN2084" i="7"/>
  <c r="AG2084" i="7"/>
  <c r="V2084" i="7"/>
  <c r="F2084" i="7"/>
  <c r="D2084" i="7"/>
  <c r="AN2083" i="7"/>
  <c r="AI2083" i="7"/>
  <c r="AG2083" i="7"/>
  <c r="W2083" i="7"/>
  <c r="Y2083" i="7" s="1"/>
  <c r="Z2083" i="7" s="1"/>
  <c r="F2083" i="7"/>
  <c r="D2083" i="7"/>
  <c r="AN2082" i="7"/>
  <c r="AI2082" i="7"/>
  <c r="AG2082" i="7"/>
  <c r="W2082" i="7"/>
  <c r="Y2082" i="7" s="1"/>
  <c r="Z2082" i="7" s="1"/>
  <c r="AH2082" i="7" s="1"/>
  <c r="F2082" i="7"/>
  <c r="D2082" i="7"/>
  <c r="AN2081" i="7"/>
  <c r="AM2081" i="7"/>
  <c r="AC2081" i="7"/>
  <c r="AA2081" i="7"/>
  <c r="F2081" i="7"/>
  <c r="D2081" i="7"/>
  <c r="AN2080" i="7"/>
  <c r="AG2080" i="7"/>
  <c r="X2080" i="7"/>
  <c r="W2080" i="7"/>
  <c r="V2080" i="7"/>
  <c r="AI2080" i="7" s="1"/>
  <c r="F2080" i="7"/>
  <c r="D2080" i="7"/>
  <c r="AN2079" i="7"/>
  <c r="AI2079" i="7"/>
  <c r="AG2079" i="7"/>
  <c r="X2079" i="7"/>
  <c r="W2079" i="7"/>
  <c r="F2079" i="7"/>
  <c r="D2079" i="7"/>
  <c r="AN2078" i="7"/>
  <c r="AG2078" i="7"/>
  <c r="X2078" i="7"/>
  <c r="W2078" i="7"/>
  <c r="V2078" i="7"/>
  <c r="AI2078" i="7" s="1"/>
  <c r="F2078" i="7"/>
  <c r="D2078" i="7"/>
  <c r="AN2077" i="7"/>
  <c r="AI2077" i="7"/>
  <c r="AG2077" i="7"/>
  <c r="X2077" i="7"/>
  <c r="W2077" i="7"/>
  <c r="F2077" i="7"/>
  <c r="D2077" i="7"/>
  <c r="AN2076" i="7"/>
  <c r="AG2076" i="7"/>
  <c r="W2076" i="7"/>
  <c r="V2076" i="7"/>
  <c r="AI2076" i="7" s="1"/>
  <c r="F2076" i="7"/>
  <c r="D2076" i="7"/>
  <c r="AN2075" i="7"/>
  <c r="AI2075" i="7"/>
  <c r="AG2075" i="7"/>
  <c r="AM2075" i="7" s="1"/>
  <c r="Y2075" i="7"/>
  <c r="Z2075" i="7" s="1"/>
  <c r="F2075" i="7"/>
  <c r="D2075" i="7"/>
  <c r="AN2074" i="7"/>
  <c r="AG2074" i="7"/>
  <c r="V2074" i="7"/>
  <c r="Y2074" i="7" s="1"/>
  <c r="Z2074" i="7" s="1"/>
  <c r="F2074" i="7"/>
  <c r="D2074" i="7"/>
  <c r="AN2073" i="7"/>
  <c r="AI2073" i="7"/>
  <c r="AG2073" i="7"/>
  <c r="W2073" i="7"/>
  <c r="Y2073" i="7" s="1"/>
  <c r="Z2073" i="7" s="1"/>
  <c r="F2073" i="7"/>
  <c r="D2073" i="7"/>
  <c r="AN2072" i="7"/>
  <c r="AG2072" i="7"/>
  <c r="V2072" i="7"/>
  <c r="AI2072" i="7" s="1"/>
  <c r="F2072" i="7"/>
  <c r="D2072" i="7"/>
  <c r="AN2071" i="7"/>
  <c r="AI2071" i="7"/>
  <c r="AG2071" i="7"/>
  <c r="X2071" i="7"/>
  <c r="Y2071" i="7" s="1"/>
  <c r="Z2071" i="7" s="1"/>
  <c r="AC2071" i="7" s="1"/>
  <c r="F2071" i="7"/>
  <c r="D2071" i="7"/>
  <c r="AN2070" i="7"/>
  <c r="AG2070" i="7"/>
  <c r="X2070" i="7"/>
  <c r="V2070" i="7"/>
  <c r="F2070" i="7"/>
  <c r="D2070" i="7"/>
  <c r="AN2069" i="7"/>
  <c r="AI2069" i="7"/>
  <c r="AG2069" i="7"/>
  <c r="W2069" i="7"/>
  <c r="Y2069" i="7" s="1"/>
  <c r="Z2069" i="7" s="1"/>
  <c r="AA2069" i="7" s="1"/>
  <c r="F2069" i="7"/>
  <c r="D2069" i="7"/>
  <c r="AN2068" i="7"/>
  <c r="AG2068" i="7"/>
  <c r="W2068" i="7"/>
  <c r="V2068" i="7"/>
  <c r="F2068" i="7"/>
  <c r="D2068" i="7"/>
  <c r="AN2067" i="7"/>
  <c r="AG2067" i="7"/>
  <c r="W2067" i="7"/>
  <c r="V2067" i="7"/>
  <c r="AI2067" i="7" s="1"/>
  <c r="F2067" i="7"/>
  <c r="D2067" i="7"/>
  <c r="AN2066" i="7"/>
  <c r="AG2066" i="7"/>
  <c r="W2066" i="7"/>
  <c r="V2066" i="7"/>
  <c r="AI2066" i="7" s="1"/>
  <c r="F2066" i="7"/>
  <c r="D2066" i="7"/>
  <c r="AN2065" i="7"/>
  <c r="AG2065" i="7"/>
  <c r="W2065" i="7"/>
  <c r="V2065" i="7"/>
  <c r="AI2065" i="7" s="1"/>
  <c r="F2065" i="7"/>
  <c r="D2065" i="7"/>
  <c r="AN2064" i="7"/>
  <c r="AI2064" i="7"/>
  <c r="AG2064" i="7"/>
  <c r="W2064" i="7"/>
  <c r="Y2064" i="7" s="1"/>
  <c r="Z2064" i="7" s="1"/>
  <c r="AC2064" i="7" s="1"/>
  <c r="F2064" i="7"/>
  <c r="D2064" i="7"/>
  <c r="AN2063" i="7"/>
  <c r="AI2063" i="7"/>
  <c r="AG2063" i="7"/>
  <c r="W2063" i="7"/>
  <c r="Y2063" i="7" s="1"/>
  <c r="Z2063" i="7" s="1"/>
  <c r="AE2063" i="7" s="1"/>
  <c r="AF2063" i="7" s="1"/>
  <c r="F2063" i="7"/>
  <c r="D2063" i="7"/>
  <c r="AN2062" i="7"/>
  <c r="AG2062" i="7"/>
  <c r="X2062" i="7"/>
  <c r="W2062" i="7"/>
  <c r="V2062" i="7"/>
  <c r="AI2062" i="7" s="1"/>
  <c r="F2062" i="7"/>
  <c r="D2062" i="7"/>
  <c r="AN2061" i="7"/>
  <c r="AM2061" i="7"/>
  <c r="AC2061" i="7"/>
  <c r="AA2061" i="7"/>
  <c r="F2061" i="7"/>
  <c r="D2061" i="7"/>
  <c r="AN2060" i="7"/>
  <c r="AG2060" i="7"/>
  <c r="X2060" i="7"/>
  <c r="V2060" i="7"/>
  <c r="AI2060" i="7" s="1"/>
  <c r="F2060" i="7"/>
  <c r="D2060" i="7"/>
  <c r="AN2059" i="7"/>
  <c r="AG2059" i="7"/>
  <c r="X2059" i="7"/>
  <c r="V2059" i="7"/>
  <c r="AI2059" i="7" s="1"/>
  <c r="F2059" i="7"/>
  <c r="D2059" i="7"/>
  <c r="AN2058" i="7"/>
  <c r="AI2058" i="7"/>
  <c r="AG2058" i="7"/>
  <c r="X2058" i="7"/>
  <c r="W2058" i="7"/>
  <c r="F2058" i="7"/>
  <c r="D2058" i="7"/>
  <c r="AN2057" i="7"/>
  <c r="AI2057" i="7"/>
  <c r="AG2057" i="7"/>
  <c r="X2057" i="7"/>
  <c r="W2057" i="7"/>
  <c r="F2057" i="7"/>
  <c r="D2057" i="7"/>
  <c r="AN2056" i="7"/>
  <c r="AI2056" i="7"/>
  <c r="AG2056" i="7"/>
  <c r="X2056" i="7"/>
  <c r="Y2056" i="7" s="1"/>
  <c r="Z2056" i="7" s="1"/>
  <c r="AC2056" i="7" s="1"/>
  <c r="F2056" i="7"/>
  <c r="D2056" i="7"/>
  <c r="AN2055" i="7"/>
  <c r="AG2055" i="7"/>
  <c r="X2055" i="7"/>
  <c r="V2055" i="7"/>
  <c r="AI2055" i="7" s="1"/>
  <c r="F2055" i="7"/>
  <c r="D2055" i="7"/>
  <c r="AN2054" i="7"/>
  <c r="AG2054" i="7"/>
  <c r="X2054" i="7"/>
  <c r="V2054" i="7"/>
  <c r="AI2054" i="7" s="1"/>
  <c r="F2054" i="7"/>
  <c r="D2054" i="7"/>
  <c r="AN2053" i="7"/>
  <c r="AG2053" i="7"/>
  <c r="V2053" i="7"/>
  <c r="F2053" i="7"/>
  <c r="D2053" i="7"/>
  <c r="AN2052" i="7"/>
  <c r="AG2052" i="7"/>
  <c r="V2052" i="7"/>
  <c r="AI2052" i="7" s="1"/>
  <c r="F2052" i="7"/>
  <c r="D2052" i="7"/>
  <c r="AN2051" i="7"/>
  <c r="AG2051" i="7"/>
  <c r="X2051" i="7"/>
  <c r="V2051" i="7"/>
  <c r="F2051" i="7"/>
  <c r="D2051" i="7"/>
  <c r="AN2050" i="7"/>
  <c r="AG2050" i="7"/>
  <c r="W2050" i="7"/>
  <c r="V2050" i="7"/>
  <c r="AI2050" i="7" s="1"/>
  <c r="F2050" i="7"/>
  <c r="D2050" i="7"/>
  <c r="AN2049" i="7"/>
  <c r="AG2049" i="7"/>
  <c r="V2049" i="7"/>
  <c r="AI2049" i="7" s="1"/>
  <c r="F2049" i="7"/>
  <c r="D2049" i="7"/>
  <c r="AN2048" i="7"/>
  <c r="AG2048" i="7"/>
  <c r="V2048" i="7"/>
  <c r="AI2048" i="7" s="1"/>
  <c r="F2048" i="7"/>
  <c r="D2048" i="7"/>
  <c r="AN2047" i="7"/>
  <c r="AI2047" i="7"/>
  <c r="AG2047" i="7"/>
  <c r="W2047" i="7"/>
  <c r="Y2047" i="7" s="1"/>
  <c r="Z2047" i="7" s="1"/>
  <c r="F2047" i="7"/>
  <c r="D2047" i="7"/>
  <c r="AN2046" i="7"/>
  <c r="AI2046" i="7"/>
  <c r="AG2046" i="7"/>
  <c r="W2046" i="7"/>
  <c r="Y2046" i="7" s="1"/>
  <c r="Z2046" i="7" s="1"/>
  <c r="AC2046" i="7" s="1"/>
  <c r="F2046" i="7"/>
  <c r="D2046" i="7"/>
  <c r="AN2045" i="7"/>
  <c r="AI2045" i="7"/>
  <c r="AG2045" i="7"/>
  <c r="X2045" i="7"/>
  <c r="W2045" i="7"/>
  <c r="F2045" i="7"/>
  <c r="D2045" i="7"/>
  <c r="AN2044" i="7"/>
  <c r="AG2044" i="7"/>
  <c r="W2044" i="7"/>
  <c r="V2044" i="7"/>
  <c r="F2044" i="7"/>
  <c r="D2044" i="7"/>
  <c r="AN2043" i="7"/>
  <c r="AI2043" i="7"/>
  <c r="AG2043" i="7"/>
  <c r="Y2043" i="7"/>
  <c r="Z2043" i="7" s="1"/>
  <c r="AE2043" i="7" s="1"/>
  <c r="AF2043" i="7" s="1"/>
  <c r="F2043" i="7"/>
  <c r="D2043" i="7"/>
  <c r="AN2042" i="7"/>
  <c r="AG2042" i="7"/>
  <c r="W2042" i="7"/>
  <c r="V2042" i="7"/>
  <c r="F2042" i="7"/>
  <c r="D2042" i="7"/>
  <c r="AN2041" i="7"/>
  <c r="AG2041" i="7"/>
  <c r="W2041" i="7"/>
  <c r="V2041" i="7"/>
  <c r="AI2041" i="7" s="1"/>
  <c r="F2041" i="7"/>
  <c r="D2041" i="7"/>
  <c r="AN2040" i="7"/>
  <c r="AI2040" i="7"/>
  <c r="AG2040" i="7"/>
  <c r="Y2040" i="7"/>
  <c r="Z2040" i="7" s="1"/>
  <c r="AE2040" i="7" s="1"/>
  <c r="AF2040" i="7" s="1"/>
  <c r="F2040" i="7"/>
  <c r="D2040" i="7"/>
  <c r="AN2039" i="7"/>
  <c r="AG2039" i="7"/>
  <c r="W2039" i="7"/>
  <c r="V2039" i="7"/>
  <c r="AI2039" i="7" s="1"/>
  <c r="F2039" i="7"/>
  <c r="D2039" i="7"/>
  <c r="AN2038" i="7"/>
  <c r="AM2038" i="7"/>
  <c r="AC2038" i="7"/>
  <c r="AA2038" i="7"/>
  <c r="F2038" i="7"/>
  <c r="D2038" i="7"/>
  <c r="AN2037" i="7"/>
  <c r="AI2037" i="7"/>
  <c r="AG2037" i="7"/>
  <c r="X2037" i="7"/>
  <c r="W2037" i="7"/>
  <c r="F2037" i="7"/>
  <c r="D2037" i="7"/>
  <c r="AN2036" i="7"/>
  <c r="X2036" i="7"/>
  <c r="W2036" i="7"/>
  <c r="V2036" i="7"/>
  <c r="F2036" i="7"/>
  <c r="D2036" i="7"/>
  <c r="AN2035" i="7"/>
  <c r="W2035" i="7"/>
  <c r="V2035" i="7"/>
  <c r="F2035" i="7"/>
  <c r="D2035" i="7"/>
  <c r="AN2034" i="7"/>
  <c r="AI2034" i="7"/>
  <c r="AG2034" i="7"/>
  <c r="W2034" i="7"/>
  <c r="Y2034" i="7" s="1"/>
  <c r="Z2034" i="7" s="1"/>
  <c r="F2034" i="7"/>
  <c r="D2034" i="7"/>
  <c r="AN2033" i="7"/>
  <c r="AG2033" i="7"/>
  <c r="V2033" i="7"/>
  <c r="F2033" i="7"/>
  <c r="D2033" i="7"/>
  <c r="AN2032" i="7"/>
  <c r="AI2032" i="7"/>
  <c r="AG2032" i="7"/>
  <c r="W2032" i="7"/>
  <c r="Y2032" i="7" s="1"/>
  <c r="Z2032" i="7" s="1"/>
  <c r="F2032" i="7"/>
  <c r="D2032" i="7"/>
  <c r="AN2031" i="7"/>
  <c r="AG2031" i="7"/>
  <c r="W2031" i="7"/>
  <c r="V2031" i="7"/>
  <c r="AI2031" i="7" s="1"/>
  <c r="F2031" i="7"/>
  <c r="D2031" i="7"/>
  <c r="AN2030" i="7"/>
  <c r="AI2030" i="7"/>
  <c r="AG2030" i="7"/>
  <c r="X2030" i="7"/>
  <c r="Y2030" i="7" s="1"/>
  <c r="Z2030" i="7" s="1"/>
  <c r="AA2030" i="7" s="1"/>
  <c r="F2030" i="7"/>
  <c r="D2030" i="7"/>
  <c r="AN2029" i="7"/>
  <c r="AI2029" i="7"/>
  <c r="AG2029" i="7"/>
  <c r="X2029" i="7"/>
  <c r="Y2029" i="7" s="1"/>
  <c r="Z2029" i="7" s="1"/>
  <c r="F2029" i="7"/>
  <c r="D2029" i="7"/>
  <c r="AN2028" i="7"/>
  <c r="AI2028" i="7"/>
  <c r="AG2028" i="7"/>
  <c r="X2028" i="7"/>
  <c r="W2028" i="7"/>
  <c r="F2028" i="7"/>
  <c r="D2028" i="7"/>
  <c r="AN2027" i="7"/>
  <c r="AI2027" i="7"/>
  <c r="AG2027" i="7"/>
  <c r="W2027" i="7"/>
  <c r="Y2027" i="7" s="1"/>
  <c r="Z2027" i="7" s="1"/>
  <c r="AE2027" i="7" s="1"/>
  <c r="AF2027" i="7" s="1"/>
  <c r="F2027" i="7"/>
  <c r="D2027" i="7"/>
  <c r="AN2026" i="7"/>
  <c r="AG2026" i="7"/>
  <c r="W2026" i="7"/>
  <c r="V2026" i="7"/>
  <c r="AI2026" i="7" s="1"/>
  <c r="F2026" i="7"/>
  <c r="D2026" i="7"/>
  <c r="AN2025" i="7"/>
  <c r="AG2025" i="7"/>
  <c r="W2025" i="7"/>
  <c r="V2025" i="7"/>
  <c r="AI2025" i="7" s="1"/>
  <c r="F2025" i="7"/>
  <c r="D2025" i="7"/>
  <c r="AN2024" i="7"/>
  <c r="AG2024" i="7"/>
  <c r="W2024" i="7"/>
  <c r="V2024" i="7"/>
  <c r="F2024" i="7"/>
  <c r="D2024" i="7"/>
  <c r="AN2023" i="7"/>
  <c r="AG2023" i="7"/>
  <c r="W2023" i="7"/>
  <c r="V2023" i="7"/>
  <c r="AI2023" i="7" s="1"/>
  <c r="F2023" i="7"/>
  <c r="D2023" i="7"/>
  <c r="AN2022" i="7"/>
  <c r="AI2022" i="7"/>
  <c r="AG2022" i="7"/>
  <c r="Y2022" i="7"/>
  <c r="Z2022" i="7" s="1"/>
  <c r="F2022" i="7"/>
  <c r="D2022" i="7"/>
  <c r="AN2021" i="7"/>
  <c r="AG2021" i="7"/>
  <c r="V2021" i="7"/>
  <c r="AI2021" i="7" s="1"/>
  <c r="F2021" i="7"/>
  <c r="D2021" i="7"/>
  <c r="AN2020" i="7"/>
  <c r="AG2020" i="7"/>
  <c r="W2020" i="7"/>
  <c r="V2020" i="7"/>
  <c r="F2020" i="7"/>
  <c r="D2020" i="7"/>
  <c r="AN2019" i="7"/>
  <c r="AI2019" i="7"/>
  <c r="AG2019" i="7"/>
  <c r="Y2019" i="7"/>
  <c r="Z2019" i="7" s="1"/>
  <c r="F2019" i="7"/>
  <c r="D2019" i="7"/>
  <c r="AN2018" i="7"/>
  <c r="AG2018" i="7"/>
  <c r="W2018" i="7"/>
  <c r="V2018" i="7"/>
  <c r="F2018" i="7"/>
  <c r="D2018" i="7"/>
  <c r="AN2017" i="7"/>
  <c r="AG2017" i="7"/>
  <c r="X2017" i="7"/>
  <c r="W2017" i="7"/>
  <c r="V2017" i="7"/>
  <c r="AI2017" i="7" s="1"/>
  <c r="F2017" i="7"/>
  <c r="D2017" i="7"/>
  <c r="AN2016" i="7"/>
  <c r="AG2016" i="7"/>
  <c r="W2016" i="7"/>
  <c r="V2016" i="7"/>
  <c r="F2016" i="7"/>
  <c r="D2016" i="7"/>
  <c r="AN2015" i="7"/>
  <c r="AG2015" i="7"/>
  <c r="W2015" i="7"/>
  <c r="V2015" i="7"/>
  <c r="AI2015" i="7" s="1"/>
  <c r="F2015" i="7"/>
  <c r="D2015" i="7"/>
  <c r="AN2014" i="7"/>
  <c r="AG2014" i="7"/>
  <c r="W2014" i="7"/>
  <c r="V2014" i="7"/>
  <c r="AI2014" i="7" s="1"/>
  <c r="F2014" i="7"/>
  <c r="D2014" i="7"/>
  <c r="AN2013" i="7"/>
  <c r="AI2013" i="7"/>
  <c r="AG2013" i="7"/>
  <c r="W2013" i="7"/>
  <c r="Y2013" i="7" s="1"/>
  <c r="Z2013" i="7" s="1"/>
  <c r="AA2013" i="7" s="1"/>
  <c r="F2013" i="7"/>
  <c r="D2013" i="7"/>
  <c r="AN2012" i="7"/>
  <c r="AG2012" i="7"/>
  <c r="X2012" i="7"/>
  <c r="V2012" i="7"/>
  <c r="F2012" i="7"/>
  <c r="D2012" i="7"/>
  <c r="AN2011" i="7"/>
  <c r="AI2011" i="7"/>
  <c r="AG2011" i="7"/>
  <c r="W2011" i="7"/>
  <c r="Y2011" i="7" s="1"/>
  <c r="Z2011" i="7" s="1"/>
  <c r="AA2011" i="7" s="1"/>
  <c r="F2011" i="7"/>
  <c r="D2011" i="7"/>
  <c r="AN2010" i="7"/>
  <c r="AI2010" i="7"/>
  <c r="AG2010" i="7"/>
  <c r="Y2010" i="7"/>
  <c r="Z2010" i="7" s="1"/>
  <c r="F2010" i="7"/>
  <c r="D2010" i="7"/>
  <c r="AN2009" i="7"/>
  <c r="AI2009" i="7"/>
  <c r="AG2009" i="7"/>
  <c r="Y2009" i="7"/>
  <c r="Z2009" i="7" s="1"/>
  <c r="AA2009" i="7" s="1"/>
  <c r="F2009" i="7"/>
  <c r="D2009" i="7"/>
  <c r="AN2008" i="7"/>
  <c r="AG2008" i="7"/>
  <c r="W2008" i="7"/>
  <c r="V2008" i="7"/>
  <c r="F2008" i="7"/>
  <c r="D2008" i="7"/>
  <c r="AN2007" i="7"/>
  <c r="AG2007" i="7"/>
  <c r="W2007" i="7"/>
  <c r="V2007" i="7"/>
  <c r="AI2007" i="7" s="1"/>
  <c r="F2007" i="7"/>
  <c r="D2007" i="7"/>
  <c r="AN2006" i="7"/>
  <c r="AG2006" i="7"/>
  <c r="V2006" i="7"/>
  <c r="AI2006" i="7" s="1"/>
  <c r="F2006" i="7"/>
  <c r="D2006" i="7"/>
  <c r="AN2005" i="7"/>
  <c r="AG2005" i="7"/>
  <c r="V2005" i="7"/>
  <c r="F2005" i="7"/>
  <c r="D2005" i="7"/>
  <c r="AN2004" i="7"/>
  <c r="AG2004" i="7"/>
  <c r="V2004" i="7"/>
  <c r="AI2004" i="7" s="1"/>
  <c r="AJ2004" i="7" s="1"/>
  <c r="F2004" i="7"/>
  <c r="D2004" i="7"/>
  <c r="AN2003" i="7"/>
  <c r="AG2003" i="7"/>
  <c r="X2003" i="7"/>
  <c r="W2003" i="7"/>
  <c r="V2003" i="7"/>
  <c r="F2003" i="7"/>
  <c r="D2003" i="7"/>
  <c r="AN2002" i="7"/>
  <c r="AG2002" i="7"/>
  <c r="V2002" i="7"/>
  <c r="F2002" i="7"/>
  <c r="D2002" i="7"/>
  <c r="AN2001" i="7"/>
  <c r="AM2001" i="7"/>
  <c r="AC2001" i="7"/>
  <c r="AA2001" i="7"/>
  <c r="F2001" i="7"/>
  <c r="D2001" i="7"/>
  <c r="AN2000" i="7"/>
  <c r="AG2000" i="7"/>
  <c r="X2000" i="7"/>
  <c r="W2000" i="7"/>
  <c r="V2000" i="7"/>
  <c r="F2000" i="7"/>
  <c r="D2000" i="7"/>
  <c r="AN1999" i="7"/>
  <c r="AI1999" i="7"/>
  <c r="AG1999" i="7"/>
  <c r="Y1999" i="7"/>
  <c r="Z1999" i="7" s="1"/>
  <c r="AC1999" i="7" s="1"/>
  <c r="F1999" i="7"/>
  <c r="D1999" i="7"/>
  <c r="AN1998" i="7"/>
  <c r="AG1998" i="7"/>
  <c r="X1998" i="7"/>
  <c r="W1998" i="7"/>
  <c r="V1998" i="7"/>
  <c r="F1998" i="7"/>
  <c r="D1998" i="7"/>
  <c r="AN1997" i="7"/>
  <c r="AG1997" i="7"/>
  <c r="W1997" i="7"/>
  <c r="V1997" i="7"/>
  <c r="AI1997" i="7" s="1"/>
  <c r="F1997" i="7"/>
  <c r="D1997" i="7"/>
  <c r="AN1996" i="7"/>
  <c r="AG1996" i="7"/>
  <c r="W1996" i="7"/>
  <c r="V1996" i="7"/>
  <c r="F1996" i="7"/>
  <c r="D1996" i="7"/>
  <c r="AN1995" i="7"/>
  <c r="AG1995" i="7"/>
  <c r="X1995" i="7"/>
  <c r="W1995" i="7"/>
  <c r="V1995" i="7"/>
  <c r="AI1995" i="7" s="1"/>
  <c r="F1995" i="7"/>
  <c r="D1995" i="7"/>
  <c r="AN1994" i="7"/>
  <c r="AG1994" i="7"/>
  <c r="W1994" i="7"/>
  <c r="V1994" i="7"/>
  <c r="AI1994" i="7" s="1"/>
  <c r="F1994" i="7"/>
  <c r="D1994" i="7"/>
  <c r="AN1993" i="7"/>
  <c r="AI1993" i="7"/>
  <c r="AG1993" i="7"/>
  <c r="Y1993" i="7"/>
  <c r="Z1993" i="7" s="1"/>
  <c r="AE1993" i="7" s="1"/>
  <c r="AF1993" i="7" s="1"/>
  <c r="F1993" i="7"/>
  <c r="D1993" i="7"/>
  <c r="AN1992" i="7"/>
  <c r="AG1992" i="7"/>
  <c r="W1992" i="7"/>
  <c r="V1992" i="7"/>
  <c r="AI1992" i="7" s="1"/>
  <c r="F1992" i="7"/>
  <c r="D1992" i="7"/>
  <c r="AN1991" i="7"/>
  <c r="AI1991" i="7"/>
  <c r="AG1991" i="7"/>
  <c r="W1991" i="7"/>
  <c r="Y1991" i="7" s="1"/>
  <c r="Z1991" i="7" s="1"/>
  <c r="AC1991" i="7" s="1"/>
  <c r="F1991" i="7"/>
  <c r="D1991" i="7"/>
  <c r="AN1990" i="7"/>
  <c r="AI1990" i="7"/>
  <c r="AG1990" i="7"/>
  <c r="W1990" i="7"/>
  <c r="Y1990" i="7" s="1"/>
  <c r="Z1990" i="7" s="1"/>
  <c r="AE1990" i="7" s="1"/>
  <c r="AF1990" i="7" s="1"/>
  <c r="F1990" i="7"/>
  <c r="D1990" i="7"/>
  <c r="AN1989" i="7"/>
  <c r="AG1989" i="7"/>
  <c r="W1989" i="7"/>
  <c r="V1989" i="7"/>
  <c r="AI1989" i="7" s="1"/>
  <c r="F1989" i="7"/>
  <c r="D1989" i="7"/>
  <c r="AN1988" i="7"/>
  <c r="AG1988" i="7"/>
  <c r="X1988" i="7"/>
  <c r="V1988" i="7"/>
  <c r="F1988" i="7"/>
  <c r="D1988" i="7"/>
  <c r="AN1987" i="7"/>
  <c r="AM1987" i="7"/>
  <c r="AC1987" i="7"/>
  <c r="AA1987" i="7"/>
  <c r="F1987" i="7"/>
  <c r="D1987" i="7"/>
  <c r="AN1986" i="7"/>
  <c r="AI1986" i="7"/>
  <c r="AG1986" i="7"/>
  <c r="Y1986" i="7"/>
  <c r="Z1986" i="7" s="1"/>
  <c r="F1986" i="7"/>
  <c r="D1986" i="7"/>
  <c r="AN1985" i="7"/>
  <c r="AG1985" i="7"/>
  <c r="W1985" i="7"/>
  <c r="V1985" i="7"/>
  <c r="AI1985" i="7" s="1"/>
  <c r="F1985" i="7"/>
  <c r="D1985" i="7"/>
  <c r="AN1984" i="7"/>
  <c r="AI1984" i="7"/>
  <c r="AG1984" i="7"/>
  <c r="Y1984" i="7"/>
  <c r="Z1984" i="7" s="1"/>
  <c r="F1984" i="7"/>
  <c r="D1984" i="7"/>
  <c r="AN1983" i="7"/>
  <c r="AI1983" i="7"/>
  <c r="AG1983" i="7"/>
  <c r="Y1983" i="7"/>
  <c r="Z1983" i="7" s="1"/>
  <c r="AA1983" i="7" s="1"/>
  <c r="F1983" i="7"/>
  <c r="D1983" i="7"/>
  <c r="AN1982" i="7"/>
  <c r="AI1982" i="7"/>
  <c r="AG1982" i="7"/>
  <c r="Y1982" i="7"/>
  <c r="Z1982" i="7" s="1"/>
  <c r="F1982" i="7"/>
  <c r="D1982" i="7"/>
  <c r="AN1981" i="7"/>
  <c r="AI1981" i="7"/>
  <c r="AG1981" i="7"/>
  <c r="Y1981" i="7"/>
  <c r="Z1981" i="7" s="1"/>
  <c r="AE1981" i="7" s="1"/>
  <c r="AF1981" i="7" s="1"/>
  <c r="F1981" i="7"/>
  <c r="D1981" i="7"/>
  <c r="AN1980" i="7"/>
  <c r="AI1980" i="7"/>
  <c r="AG1980" i="7"/>
  <c r="X1980" i="7"/>
  <c r="W1980" i="7"/>
  <c r="F1980" i="7"/>
  <c r="D1980" i="7"/>
  <c r="AN1979" i="7"/>
  <c r="AI1979" i="7"/>
  <c r="AG1979" i="7"/>
  <c r="W1979" i="7"/>
  <c r="Y1979" i="7" s="1"/>
  <c r="Z1979" i="7" s="1"/>
  <c r="AC1979" i="7" s="1"/>
  <c r="F1979" i="7"/>
  <c r="D1979" i="7"/>
  <c r="AN1978" i="7"/>
  <c r="AG1978" i="7"/>
  <c r="X1978" i="7"/>
  <c r="W1978" i="7"/>
  <c r="V1978" i="7"/>
  <c r="AI1978" i="7" s="1"/>
  <c r="F1978" i="7"/>
  <c r="D1978" i="7"/>
  <c r="AN1977" i="7"/>
  <c r="AG1977" i="7"/>
  <c r="X1977" i="7"/>
  <c r="W1977" i="7"/>
  <c r="V1977" i="7"/>
  <c r="AI1977" i="7" s="1"/>
  <c r="F1977" i="7"/>
  <c r="D1977" i="7"/>
  <c r="AN1976" i="7"/>
  <c r="AG1976" i="7"/>
  <c r="W1976" i="7"/>
  <c r="V1976" i="7"/>
  <c r="AI1976" i="7" s="1"/>
  <c r="AJ1976" i="7" s="1"/>
  <c r="F1976" i="7"/>
  <c r="D1976" i="7"/>
  <c r="AN1975" i="7"/>
  <c r="AG1975" i="7"/>
  <c r="W1975" i="7"/>
  <c r="V1975" i="7"/>
  <c r="AI1975" i="7" s="1"/>
  <c r="F1975" i="7"/>
  <c r="D1975" i="7"/>
  <c r="AN1974" i="7"/>
  <c r="AG1974" i="7"/>
  <c r="W1974" i="7"/>
  <c r="V1974" i="7"/>
  <c r="F1974" i="7"/>
  <c r="D1974" i="7"/>
  <c r="AN1973" i="7"/>
  <c r="AG1973" i="7"/>
  <c r="W1973" i="7"/>
  <c r="V1973" i="7"/>
  <c r="AI1973" i="7" s="1"/>
  <c r="F1973" i="7"/>
  <c r="D1973" i="7"/>
  <c r="AN1972" i="7"/>
  <c r="AG1972" i="7"/>
  <c r="W1972" i="7"/>
  <c r="V1972" i="7"/>
  <c r="AI1972" i="7" s="1"/>
  <c r="F1972" i="7"/>
  <c r="D1972" i="7"/>
  <c r="AN1971" i="7"/>
  <c r="AG1971" i="7"/>
  <c r="W1971" i="7"/>
  <c r="V1971" i="7"/>
  <c r="AI1971" i="7" s="1"/>
  <c r="F1971" i="7"/>
  <c r="D1971" i="7"/>
  <c r="AN1970" i="7"/>
  <c r="AM1970" i="7"/>
  <c r="AC1970" i="7"/>
  <c r="AA1970" i="7"/>
  <c r="F1970" i="7"/>
  <c r="D1970" i="7"/>
  <c r="AN1969" i="7"/>
  <c r="AI1969" i="7"/>
  <c r="AG1969" i="7"/>
  <c r="W1969" i="7"/>
  <c r="Y1969" i="7" s="1"/>
  <c r="Z1969" i="7" s="1"/>
  <c r="F1969" i="7"/>
  <c r="D1969" i="7"/>
  <c r="AN1968" i="7"/>
  <c r="AI1968" i="7"/>
  <c r="AG1968" i="7"/>
  <c r="W1968" i="7"/>
  <c r="Y1968" i="7" s="1"/>
  <c r="Z1968" i="7" s="1"/>
  <c r="AE1968" i="7" s="1"/>
  <c r="AF1968" i="7" s="1"/>
  <c r="F1968" i="7"/>
  <c r="D1968" i="7"/>
  <c r="AN1967" i="7"/>
  <c r="AG1967" i="7"/>
  <c r="W1967" i="7"/>
  <c r="V1967" i="7"/>
  <c r="AI1967" i="7" s="1"/>
  <c r="F1967" i="7"/>
  <c r="D1967" i="7"/>
  <c r="AN1966" i="7"/>
  <c r="AG1966" i="7"/>
  <c r="W1966" i="7"/>
  <c r="V1966" i="7"/>
  <c r="AI1966" i="7" s="1"/>
  <c r="F1966" i="7"/>
  <c r="D1966" i="7"/>
  <c r="AN1965" i="7"/>
  <c r="AG1965" i="7"/>
  <c r="W1965" i="7"/>
  <c r="V1965" i="7"/>
  <c r="AI1965" i="7" s="1"/>
  <c r="F1965" i="7"/>
  <c r="D1965" i="7"/>
  <c r="AN1964" i="7"/>
  <c r="AG1964" i="7"/>
  <c r="W1964" i="7"/>
  <c r="V1964" i="7"/>
  <c r="F1964" i="7"/>
  <c r="D1964" i="7"/>
  <c r="AN1963" i="7"/>
  <c r="AG1963" i="7"/>
  <c r="W1963" i="7"/>
  <c r="V1963" i="7"/>
  <c r="AI1963" i="7" s="1"/>
  <c r="F1963" i="7"/>
  <c r="D1963" i="7"/>
  <c r="AN1962" i="7"/>
  <c r="AI1962" i="7"/>
  <c r="AG1962" i="7"/>
  <c r="W1962" i="7"/>
  <c r="Y1962" i="7" s="1"/>
  <c r="Z1962" i="7" s="1"/>
  <c r="AE1962" i="7" s="1"/>
  <c r="AF1962" i="7" s="1"/>
  <c r="F1962" i="7"/>
  <c r="D1962" i="7"/>
  <c r="AN1961" i="7"/>
  <c r="AG1961" i="7"/>
  <c r="W1961" i="7"/>
  <c r="V1961" i="7"/>
  <c r="AI1961" i="7" s="1"/>
  <c r="F1961" i="7"/>
  <c r="D1961" i="7"/>
  <c r="AN1960" i="7"/>
  <c r="AG1960" i="7"/>
  <c r="W1960" i="7"/>
  <c r="V1960" i="7"/>
  <c r="AI1960" i="7" s="1"/>
  <c r="F1960" i="7"/>
  <c r="D1960" i="7"/>
  <c r="AN1959" i="7"/>
  <c r="AG1959" i="7"/>
  <c r="W1959" i="7"/>
  <c r="V1959" i="7"/>
  <c r="AI1959" i="7" s="1"/>
  <c r="F1959" i="7"/>
  <c r="D1959" i="7"/>
  <c r="AN1958" i="7"/>
  <c r="AG1958" i="7"/>
  <c r="W1958" i="7"/>
  <c r="V1958" i="7"/>
  <c r="AI1958" i="7" s="1"/>
  <c r="F1958" i="7"/>
  <c r="D1958" i="7"/>
  <c r="AN1957" i="7"/>
  <c r="AG1957" i="7"/>
  <c r="W1957" i="7"/>
  <c r="V1957" i="7"/>
  <c r="AI1957" i="7" s="1"/>
  <c r="F1957" i="7"/>
  <c r="D1957" i="7"/>
  <c r="AN1956" i="7"/>
  <c r="AG1956" i="7"/>
  <c r="W1956" i="7"/>
  <c r="V1956" i="7"/>
  <c r="AI1956" i="7" s="1"/>
  <c r="F1956" i="7"/>
  <c r="D1956" i="7"/>
  <c r="AN1955" i="7"/>
  <c r="AG1955" i="7"/>
  <c r="W1955" i="7"/>
  <c r="V1955" i="7"/>
  <c r="AI1955" i="7" s="1"/>
  <c r="F1955" i="7"/>
  <c r="D1955" i="7"/>
  <c r="AN1954" i="7"/>
  <c r="AG1954" i="7"/>
  <c r="W1954" i="7"/>
  <c r="V1954" i="7"/>
  <c r="AI1954" i="7" s="1"/>
  <c r="F1954" i="7"/>
  <c r="D1954" i="7"/>
  <c r="AN1953" i="7"/>
  <c r="AG1953" i="7"/>
  <c r="W1953" i="7"/>
  <c r="V1953" i="7"/>
  <c r="F1953" i="7"/>
  <c r="D1953" i="7"/>
  <c r="AN1952" i="7"/>
  <c r="X1952" i="7"/>
  <c r="V1952" i="7"/>
  <c r="F1952" i="7"/>
  <c r="D1952" i="7"/>
  <c r="AN1951" i="7"/>
  <c r="X1951" i="7"/>
  <c r="V1951" i="7"/>
  <c r="F1951" i="7"/>
  <c r="D1951" i="7"/>
  <c r="AN1950" i="7"/>
  <c r="X1950" i="7"/>
  <c r="V1950" i="7"/>
  <c r="F1950" i="7"/>
  <c r="D1950" i="7"/>
  <c r="AN1949" i="7"/>
  <c r="AG1949" i="7"/>
  <c r="X1949" i="7"/>
  <c r="W1949" i="7"/>
  <c r="V1949" i="7"/>
  <c r="AI1949" i="7" s="1"/>
  <c r="F1949" i="7"/>
  <c r="D1949" i="7"/>
  <c r="AN1948" i="7"/>
  <c r="AG1948" i="7"/>
  <c r="X1948" i="7"/>
  <c r="V1948" i="7"/>
  <c r="F1948" i="7"/>
  <c r="D1948" i="7"/>
  <c r="AN1947" i="7"/>
  <c r="AG1947" i="7"/>
  <c r="W1947" i="7"/>
  <c r="V1947" i="7"/>
  <c r="AI1947" i="7" s="1"/>
  <c r="F1947" i="7"/>
  <c r="D1947" i="7"/>
  <c r="AN1946" i="7"/>
  <c r="AG1946" i="7"/>
  <c r="X1946" i="7"/>
  <c r="W1946" i="7"/>
  <c r="V1946" i="7"/>
  <c r="F1946" i="7"/>
  <c r="D1946" i="7"/>
  <c r="AN1945" i="7"/>
  <c r="AG1945" i="7"/>
  <c r="X1945" i="7"/>
  <c r="V1945" i="7"/>
  <c r="AI1945" i="7" s="1"/>
  <c r="F1945" i="7"/>
  <c r="D1945" i="7"/>
  <c r="AN1944" i="7"/>
  <c r="AG1944" i="7"/>
  <c r="X1944" i="7"/>
  <c r="V1944" i="7"/>
  <c r="AI1944" i="7" s="1"/>
  <c r="F1944" i="7"/>
  <c r="D1944" i="7"/>
  <c r="AN1943" i="7"/>
  <c r="AG1943" i="7"/>
  <c r="X1943" i="7"/>
  <c r="V1943" i="7"/>
  <c r="AI1943" i="7" s="1"/>
  <c r="F1943" i="7"/>
  <c r="D1943" i="7"/>
  <c r="AN1942" i="7"/>
  <c r="AG1942" i="7"/>
  <c r="X1942" i="7"/>
  <c r="V1942" i="7"/>
  <c r="F1942" i="7"/>
  <c r="D1942" i="7"/>
  <c r="AN1941" i="7"/>
  <c r="AG1941" i="7"/>
  <c r="X1941" i="7"/>
  <c r="W1941" i="7"/>
  <c r="V1941" i="7"/>
  <c r="AI1941" i="7" s="1"/>
  <c r="F1941" i="7"/>
  <c r="D1941" i="7"/>
  <c r="AN1940" i="7"/>
  <c r="AM1940" i="7"/>
  <c r="AC1940" i="7"/>
  <c r="AA1940" i="7"/>
  <c r="F1940" i="7"/>
  <c r="D1940" i="7"/>
  <c r="AN1939" i="7"/>
  <c r="AG1939" i="7"/>
  <c r="X1939" i="7"/>
  <c r="V1939" i="7"/>
  <c r="AI1939" i="7" s="1"/>
  <c r="F1939" i="7"/>
  <c r="D1939" i="7"/>
  <c r="AN1938" i="7"/>
  <c r="AI1938" i="7"/>
  <c r="AG1938" i="7"/>
  <c r="X1938" i="7"/>
  <c r="W1938" i="7"/>
  <c r="F1938" i="7"/>
  <c r="D1938" i="7"/>
  <c r="AN1937" i="7"/>
  <c r="AI1937" i="7"/>
  <c r="AG1937" i="7"/>
  <c r="W1937" i="7"/>
  <c r="Y1937" i="7" s="1"/>
  <c r="Z1937" i="7" s="1"/>
  <c r="F1937" i="7"/>
  <c r="D1937" i="7"/>
  <c r="AN1936" i="7"/>
  <c r="AI1936" i="7"/>
  <c r="AG1936" i="7"/>
  <c r="X1936" i="7"/>
  <c r="W1936" i="7"/>
  <c r="F1936" i="7"/>
  <c r="D1936" i="7"/>
  <c r="AN1935" i="7"/>
  <c r="AI1935" i="7"/>
  <c r="AG1935" i="7"/>
  <c r="W1935" i="7"/>
  <c r="Y1935" i="7" s="1"/>
  <c r="Z1935" i="7" s="1"/>
  <c r="F1935" i="7"/>
  <c r="D1935" i="7"/>
  <c r="AN1934" i="7"/>
  <c r="AG1934" i="7"/>
  <c r="X1934" i="7"/>
  <c r="V1934" i="7"/>
  <c r="F1934" i="7"/>
  <c r="D1934" i="7"/>
  <c r="AN1933" i="7"/>
  <c r="AG1933" i="7"/>
  <c r="X1933" i="7"/>
  <c r="W1933" i="7"/>
  <c r="V1933" i="7"/>
  <c r="AI1933" i="7" s="1"/>
  <c r="F1933" i="7"/>
  <c r="D1933" i="7"/>
  <c r="AN1932" i="7"/>
  <c r="AG1932" i="7"/>
  <c r="W1932" i="7"/>
  <c r="V1932" i="7"/>
  <c r="AI1932" i="7" s="1"/>
  <c r="F1932" i="7"/>
  <c r="D1932" i="7"/>
  <c r="AN1931" i="7"/>
  <c r="AG1931" i="7"/>
  <c r="W1931" i="7"/>
  <c r="V1931" i="7"/>
  <c r="F1931" i="7"/>
  <c r="D1931" i="7"/>
  <c r="AN1930" i="7"/>
  <c r="AG1930" i="7"/>
  <c r="W1930" i="7"/>
  <c r="V1930" i="7"/>
  <c r="AI1930" i="7" s="1"/>
  <c r="F1930" i="7"/>
  <c r="D1930" i="7"/>
  <c r="AN1929" i="7"/>
  <c r="AG1929" i="7"/>
  <c r="W1929" i="7"/>
  <c r="V1929" i="7"/>
  <c r="F1929" i="7"/>
  <c r="D1929" i="7"/>
  <c r="AN1928" i="7"/>
  <c r="AI1928" i="7"/>
  <c r="AG1928" i="7"/>
  <c r="W1928" i="7"/>
  <c r="Y1928" i="7" s="1"/>
  <c r="Z1928" i="7" s="1"/>
  <c r="AE1928" i="7" s="1"/>
  <c r="AF1928" i="7" s="1"/>
  <c r="F1928" i="7"/>
  <c r="D1928" i="7"/>
  <c r="AN1927" i="7"/>
  <c r="AG1927" i="7"/>
  <c r="X1927" i="7"/>
  <c r="W1927" i="7"/>
  <c r="V1927" i="7"/>
  <c r="AI1927" i="7" s="1"/>
  <c r="F1927" i="7"/>
  <c r="D1927" i="7"/>
  <c r="AN1926" i="7"/>
  <c r="AG1926" i="7"/>
  <c r="W1926" i="7"/>
  <c r="V1926" i="7"/>
  <c r="AI1926" i="7" s="1"/>
  <c r="F1926" i="7"/>
  <c r="D1926" i="7"/>
  <c r="AN1925" i="7"/>
  <c r="AM1925" i="7"/>
  <c r="AC1925" i="7"/>
  <c r="AA1925" i="7"/>
  <c r="F1925" i="7"/>
  <c r="D1925" i="7"/>
  <c r="AN1924" i="7"/>
  <c r="AI1924" i="7"/>
  <c r="AG1924" i="7"/>
  <c r="W1924" i="7"/>
  <c r="Y1924" i="7" s="1"/>
  <c r="Z1924" i="7" s="1"/>
  <c r="AA1924" i="7" s="1"/>
  <c r="F1924" i="7"/>
  <c r="D1924" i="7"/>
  <c r="AN1923" i="7"/>
  <c r="AI1923" i="7"/>
  <c r="AG1923" i="7"/>
  <c r="W1923" i="7"/>
  <c r="Y1923" i="7" s="1"/>
  <c r="Z1923" i="7" s="1"/>
  <c r="F1923" i="7"/>
  <c r="D1923" i="7"/>
  <c r="AN1922" i="7"/>
  <c r="AI1922" i="7"/>
  <c r="AG1922" i="7"/>
  <c r="W1922" i="7"/>
  <c r="Y1922" i="7" s="1"/>
  <c r="Z1922" i="7" s="1"/>
  <c r="F1922" i="7"/>
  <c r="D1922" i="7"/>
  <c r="AN1921" i="7"/>
  <c r="AG1921" i="7"/>
  <c r="W1921" i="7"/>
  <c r="V1921" i="7"/>
  <c r="AI1921" i="7" s="1"/>
  <c r="F1921" i="7"/>
  <c r="D1921" i="7"/>
  <c r="AN1920" i="7"/>
  <c r="AI1920" i="7"/>
  <c r="AG1920" i="7"/>
  <c r="W1920" i="7"/>
  <c r="Y1920" i="7" s="1"/>
  <c r="Z1920" i="7" s="1"/>
  <c r="F1920" i="7"/>
  <c r="D1920" i="7"/>
  <c r="AN1919" i="7"/>
  <c r="AM1919" i="7"/>
  <c r="AC1919" i="7"/>
  <c r="AA1919" i="7"/>
  <c r="F1919" i="7"/>
  <c r="D1919" i="7"/>
  <c r="AN1918" i="7"/>
  <c r="AG1918" i="7"/>
  <c r="X1918" i="7"/>
  <c r="W1918" i="7"/>
  <c r="V1918" i="7"/>
  <c r="AI1918" i="7" s="1"/>
  <c r="F1918" i="7"/>
  <c r="D1918" i="7"/>
  <c r="AN1917" i="7"/>
  <c r="AG1917" i="7"/>
  <c r="W1917" i="7"/>
  <c r="V1917" i="7"/>
  <c r="AI1917" i="7" s="1"/>
  <c r="F1917" i="7"/>
  <c r="D1917" i="7"/>
  <c r="AN1916" i="7"/>
  <c r="AG1916" i="7"/>
  <c r="W1916" i="7"/>
  <c r="V1916" i="7"/>
  <c r="AI1916" i="7" s="1"/>
  <c r="F1916" i="7"/>
  <c r="D1916" i="7"/>
  <c r="AN1915" i="7"/>
  <c r="AI1915" i="7"/>
  <c r="AG1915" i="7"/>
  <c r="W1915" i="7"/>
  <c r="Y1915" i="7" s="1"/>
  <c r="Z1915" i="7" s="1"/>
  <c r="F1915" i="7"/>
  <c r="D1915" i="7"/>
  <c r="AN1914" i="7"/>
  <c r="AI1914" i="7"/>
  <c r="AG1914" i="7"/>
  <c r="Y1914" i="7"/>
  <c r="Z1914" i="7" s="1"/>
  <c r="AE1914" i="7" s="1"/>
  <c r="AF1914" i="7" s="1"/>
  <c r="F1914" i="7"/>
  <c r="D1914" i="7"/>
  <c r="AN1913" i="7"/>
  <c r="AI1913" i="7"/>
  <c r="AG1913" i="7"/>
  <c r="W1913" i="7"/>
  <c r="Y1913" i="7" s="1"/>
  <c r="Z1913" i="7" s="1"/>
  <c r="F1913" i="7"/>
  <c r="D1913" i="7"/>
  <c r="AN1912" i="7"/>
  <c r="AG1912" i="7"/>
  <c r="W1912" i="7"/>
  <c r="V1912" i="7"/>
  <c r="F1912" i="7"/>
  <c r="D1912" i="7"/>
  <c r="AN1911" i="7"/>
  <c r="AG1911" i="7"/>
  <c r="V1911" i="7"/>
  <c r="F1911" i="7"/>
  <c r="D1911" i="7"/>
  <c r="AN1910" i="7"/>
  <c r="AG1910" i="7"/>
  <c r="V1910" i="7"/>
  <c r="Y1910" i="7" s="1"/>
  <c r="Z1910" i="7" s="1"/>
  <c r="AE1910" i="7" s="1"/>
  <c r="AF1910" i="7" s="1"/>
  <c r="F1910" i="7"/>
  <c r="D1910" i="7"/>
  <c r="AN1909" i="7"/>
  <c r="AG1909" i="7"/>
  <c r="W1909" i="7"/>
  <c r="V1909" i="7"/>
  <c r="F1909" i="7"/>
  <c r="D1909" i="7"/>
  <c r="AN1908" i="7"/>
  <c r="AG1908" i="7"/>
  <c r="W1908" i="7"/>
  <c r="V1908" i="7"/>
  <c r="AI1908" i="7" s="1"/>
  <c r="F1908" i="7"/>
  <c r="D1908" i="7"/>
  <c r="AN1907" i="7"/>
  <c r="AG1907" i="7"/>
  <c r="W1907" i="7"/>
  <c r="V1907" i="7"/>
  <c r="AI1907" i="7" s="1"/>
  <c r="F1907" i="7"/>
  <c r="D1907" i="7"/>
  <c r="AN1906" i="7"/>
  <c r="AG1906" i="7"/>
  <c r="W1906" i="7"/>
  <c r="V1906" i="7"/>
  <c r="AI1906" i="7" s="1"/>
  <c r="F1906" i="7"/>
  <c r="D1906" i="7"/>
  <c r="AN1905" i="7"/>
  <c r="AG1905" i="7"/>
  <c r="W1905" i="7"/>
  <c r="V1905" i="7"/>
  <c r="AI1905" i="7" s="1"/>
  <c r="F1905" i="7"/>
  <c r="D1905" i="7"/>
  <c r="AN1904" i="7"/>
  <c r="AG1904" i="7"/>
  <c r="V1904" i="7"/>
  <c r="Y1904" i="7" s="1"/>
  <c r="Z1904" i="7" s="1"/>
  <c r="F1904" i="7"/>
  <c r="D1904" i="7"/>
  <c r="AN1903" i="7"/>
  <c r="AI1903" i="7"/>
  <c r="AG1903" i="7"/>
  <c r="Y1903" i="7"/>
  <c r="Z1903" i="7" s="1"/>
  <c r="AE1903" i="7" s="1"/>
  <c r="AF1903" i="7" s="1"/>
  <c r="F1903" i="7"/>
  <c r="D1903" i="7"/>
  <c r="AN1902" i="7"/>
  <c r="AI1902" i="7"/>
  <c r="AG1902" i="7"/>
  <c r="X1902" i="7"/>
  <c r="W1902" i="7"/>
  <c r="F1902" i="7"/>
  <c r="D1902" i="7"/>
  <c r="AN1901" i="7"/>
  <c r="AI1901" i="7"/>
  <c r="AG1901" i="7"/>
  <c r="Y1901" i="7"/>
  <c r="Z1901" i="7" s="1"/>
  <c r="F1901" i="7"/>
  <c r="D1901" i="7"/>
  <c r="AN1900" i="7"/>
  <c r="AI1900" i="7"/>
  <c r="AG1900" i="7"/>
  <c r="Y1900" i="7"/>
  <c r="Z1900" i="7" s="1"/>
  <c r="AA1900" i="7" s="1"/>
  <c r="F1900" i="7"/>
  <c r="D1900" i="7"/>
  <c r="AN1899" i="7"/>
  <c r="AI1899" i="7"/>
  <c r="AG1899" i="7"/>
  <c r="AM1899" i="7" s="1"/>
  <c r="Y1899" i="7"/>
  <c r="Z1899" i="7" s="1"/>
  <c r="AE1899" i="7" s="1"/>
  <c r="AF1899" i="7" s="1"/>
  <c r="F1899" i="7"/>
  <c r="D1899" i="7"/>
  <c r="AN1898" i="7"/>
  <c r="AG1898" i="7"/>
  <c r="V1898" i="7"/>
  <c r="F1898" i="7"/>
  <c r="D1898" i="7"/>
  <c r="AN1897" i="7"/>
  <c r="AG1897" i="7"/>
  <c r="W1897" i="7"/>
  <c r="V1897" i="7"/>
  <c r="AI1897" i="7" s="1"/>
  <c r="F1897" i="7"/>
  <c r="D1897" i="7"/>
  <c r="AN1896" i="7"/>
  <c r="AG1896" i="7"/>
  <c r="W1896" i="7"/>
  <c r="V1896" i="7"/>
  <c r="AI1896" i="7" s="1"/>
  <c r="F1896" i="7"/>
  <c r="D1896" i="7"/>
  <c r="AN1895" i="7"/>
  <c r="AM1895" i="7"/>
  <c r="AE1895" i="7"/>
  <c r="AF1895" i="7" s="1"/>
  <c r="AC1895" i="7"/>
  <c r="AA1895" i="7"/>
  <c r="F1895" i="7"/>
  <c r="D1895" i="7"/>
  <c r="AN1894" i="7"/>
  <c r="AG1894" i="7"/>
  <c r="V1894" i="7"/>
  <c r="Y1894" i="7" s="1"/>
  <c r="Z1894" i="7" s="1"/>
  <c r="F1894" i="7"/>
  <c r="D1894" i="7"/>
  <c r="AN1893" i="7"/>
  <c r="AI1893" i="7"/>
  <c r="AG1893" i="7"/>
  <c r="X1893" i="7"/>
  <c r="W1893" i="7"/>
  <c r="F1893" i="7"/>
  <c r="D1893" i="7"/>
  <c r="AN1892" i="7"/>
  <c r="AI1892" i="7"/>
  <c r="AG1892" i="7"/>
  <c r="Y1892" i="7"/>
  <c r="Z1892" i="7" s="1"/>
  <c r="AA1892" i="7" s="1"/>
  <c r="F1892" i="7"/>
  <c r="D1892" i="7"/>
  <c r="AN1891" i="7"/>
  <c r="AI1891" i="7"/>
  <c r="AG1891" i="7"/>
  <c r="Y1891" i="7"/>
  <c r="Z1891" i="7" s="1"/>
  <c r="F1891" i="7"/>
  <c r="D1891" i="7"/>
  <c r="AN1890" i="7"/>
  <c r="AG1890" i="7"/>
  <c r="W1890" i="7"/>
  <c r="V1890" i="7"/>
  <c r="AI1890" i="7" s="1"/>
  <c r="F1890" i="7"/>
  <c r="D1890" i="7"/>
  <c r="AN1889" i="7"/>
  <c r="AG1889" i="7"/>
  <c r="W1889" i="7"/>
  <c r="V1889" i="7"/>
  <c r="AI1889" i="7" s="1"/>
  <c r="F1889" i="7"/>
  <c r="D1889" i="7"/>
  <c r="AN1888" i="7"/>
  <c r="AI1888" i="7"/>
  <c r="AG1888" i="7"/>
  <c r="Y1888" i="7"/>
  <c r="Z1888" i="7" s="1"/>
  <c r="AA1888" i="7" s="1"/>
  <c r="F1888" i="7"/>
  <c r="D1888" i="7"/>
  <c r="AN1887" i="7"/>
  <c r="AI1887" i="7"/>
  <c r="AG1887" i="7"/>
  <c r="Y1887" i="7"/>
  <c r="Z1887" i="7" s="1"/>
  <c r="F1887" i="7"/>
  <c r="D1887" i="7"/>
  <c r="AN1886" i="7"/>
  <c r="AI1886" i="7"/>
  <c r="AG1886" i="7"/>
  <c r="Y1886" i="7"/>
  <c r="Z1886" i="7" s="1"/>
  <c r="AC1886" i="7" s="1"/>
  <c r="F1886" i="7"/>
  <c r="D1886" i="7"/>
  <c r="AN1885" i="7"/>
  <c r="AI1885" i="7"/>
  <c r="AG1885" i="7"/>
  <c r="Y1885" i="7"/>
  <c r="Z1885" i="7" s="1"/>
  <c r="F1885" i="7"/>
  <c r="D1885" i="7"/>
  <c r="AN1884" i="7"/>
  <c r="AI1884" i="7"/>
  <c r="AG1884" i="7"/>
  <c r="Y1884" i="7"/>
  <c r="Z1884" i="7" s="1"/>
  <c r="AC1884" i="7" s="1"/>
  <c r="F1884" i="7"/>
  <c r="D1884" i="7"/>
  <c r="AN1883" i="7"/>
  <c r="AG1883" i="7"/>
  <c r="W1883" i="7"/>
  <c r="V1883" i="7"/>
  <c r="F1883" i="7"/>
  <c r="D1883" i="7"/>
  <c r="AN1882" i="7"/>
  <c r="AG1882" i="7"/>
  <c r="V1882" i="7"/>
  <c r="F1882" i="7"/>
  <c r="D1882" i="7"/>
  <c r="AN1881" i="7"/>
  <c r="AG1881" i="7"/>
  <c r="X1881" i="7"/>
  <c r="V1881" i="7"/>
  <c r="AI1881" i="7" s="1"/>
  <c r="F1881" i="7"/>
  <c r="D1881" i="7"/>
  <c r="AN1880" i="7"/>
  <c r="AI1880" i="7"/>
  <c r="AG1880" i="7"/>
  <c r="X1880" i="7"/>
  <c r="Y1880" i="7" s="1"/>
  <c r="Z1880" i="7" s="1"/>
  <c r="AC1880" i="7" s="1"/>
  <c r="F1880" i="7"/>
  <c r="D1880" i="7"/>
  <c r="AN1879" i="7"/>
  <c r="AG1879" i="7"/>
  <c r="W1879" i="7"/>
  <c r="V1879" i="7"/>
  <c r="AI1879" i="7" s="1"/>
  <c r="F1879" i="7"/>
  <c r="D1879" i="7"/>
  <c r="AN1878" i="7"/>
  <c r="AM1878" i="7"/>
  <c r="AC1878" i="7"/>
  <c r="AA1878" i="7"/>
  <c r="F1878" i="7"/>
  <c r="D1878" i="7"/>
  <c r="AN1877" i="7"/>
  <c r="AI1877" i="7"/>
  <c r="AG1877" i="7"/>
  <c r="W1877" i="7"/>
  <c r="Y1877" i="7" s="1"/>
  <c r="Z1877" i="7" s="1"/>
  <c r="AA1877" i="7" s="1"/>
  <c r="F1877" i="7"/>
  <c r="D1877" i="7"/>
  <c r="AN1876" i="7"/>
  <c r="AI1876" i="7"/>
  <c r="AG1876" i="7"/>
  <c r="Y1876" i="7"/>
  <c r="Z1876" i="7" s="1"/>
  <c r="AA1876" i="7" s="1"/>
  <c r="F1876" i="7"/>
  <c r="D1876" i="7"/>
  <c r="AN1875" i="7"/>
  <c r="AG1875" i="7"/>
  <c r="W1875" i="7"/>
  <c r="V1875" i="7"/>
  <c r="AI1875" i="7" s="1"/>
  <c r="F1875" i="7"/>
  <c r="D1875" i="7"/>
  <c r="AN1874" i="7"/>
  <c r="AI1874" i="7"/>
  <c r="AG1874" i="7"/>
  <c r="Y1874" i="7"/>
  <c r="Z1874" i="7" s="1"/>
  <c r="F1874" i="7"/>
  <c r="D1874" i="7"/>
  <c r="AN1873" i="7"/>
  <c r="AG1873" i="7"/>
  <c r="V1873" i="7"/>
  <c r="F1873" i="7"/>
  <c r="D1873" i="7"/>
  <c r="AN1872" i="7"/>
  <c r="AG1872" i="7"/>
  <c r="X1872" i="7"/>
  <c r="W1872" i="7"/>
  <c r="V1872" i="7"/>
  <c r="AI1872" i="7" s="1"/>
  <c r="F1872" i="7"/>
  <c r="D1872" i="7"/>
  <c r="AN1871" i="7"/>
  <c r="AG1871" i="7"/>
  <c r="X1871" i="7"/>
  <c r="W1871" i="7"/>
  <c r="V1871" i="7"/>
  <c r="AI1871" i="7" s="1"/>
  <c r="F1871" i="7"/>
  <c r="D1871" i="7"/>
  <c r="AN1870" i="7"/>
  <c r="AI1870" i="7"/>
  <c r="AG1870" i="7"/>
  <c r="Y1870" i="7"/>
  <c r="Z1870" i="7" s="1"/>
  <c r="AC1870" i="7" s="1"/>
  <c r="F1870" i="7"/>
  <c r="D1870" i="7"/>
  <c r="AN1869" i="7"/>
  <c r="AG1869" i="7"/>
  <c r="W1869" i="7"/>
  <c r="V1869" i="7"/>
  <c r="AI1869" i="7" s="1"/>
  <c r="F1869" i="7"/>
  <c r="D1869" i="7"/>
  <c r="AN1868" i="7"/>
  <c r="AI1868" i="7"/>
  <c r="AG1868" i="7"/>
  <c r="X1868" i="7"/>
  <c r="Y1868" i="7" s="1"/>
  <c r="Z1868" i="7" s="1"/>
  <c r="AC1868" i="7" s="1"/>
  <c r="F1868" i="7"/>
  <c r="D1868" i="7"/>
  <c r="AN1867" i="7"/>
  <c r="AM1867" i="7"/>
  <c r="AC1867" i="7"/>
  <c r="AA1867" i="7"/>
  <c r="F1867" i="7"/>
  <c r="D1867" i="7"/>
  <c r="AN1866" i="7"/>
  <c r="AI1866" i="7"/>
  <c r="AG1866" i="7"/>
  <c r="Y1866" i="7"/>
  <c r="Z1866" i="7" s="1"/>
  <c r="AC1866" i="7" s="1"/>
  <c r="F1866" i="7"/>
  <c r="D1866" i="7"/>
  <c r="AN1865" i="7"/>
  <c r="AI1865" i="7"/>
  <c r="AG1865" i="7"/>
  <c r="W1865" i="7"/>
  <c r="Y1865" i="7" s="1"/>
  <c r="Z1865" i="7" s="1"/>
  <c r="F1865" i="7"/>
  <c r="D1865" i="7"/>
  <c r="AN1864" i="7"/>
  <c r="AG1864" i="7"/>
  <c r="X1864" i="7"/>
  <c r="V1864" i="7"/>
  <c r="AI1864" i="7" s="1"/>
  <c r="F1864" i="7"/>
  <c r="D1864" i="7"/>
  <c r="AN1863" i="7"/>
  <c r="AI1863" i="7"/>
  <c r="AG1863" i="7"/>
  <c r="AM1863" i="7" s="1"/>
  <c r="W1863" i="7"/>
  <c r="Y1863" i="7" s="1"/>
  <c r="Z1863" i="7" s="1"/>
  <c r="F1863" i="7"/>
  <c r="D1863" i="7"/>
  <c r="AN1862" i="7"/>
  <c r="AI1862" i="7"/>
  <c r="AG1862" i="7"/>
  <c r="Y1862" i="7"/>
  <c r="Z1862" i="7" s="1"/>
  <c r="AA1862" i="7" s="1"/>
  <c r="F1862" i="7"/>
  <c r="D1862" i="7"/>
  <c r="AN1861" i="7"/>
  <c r="AI1861" i="7"/>
  <c r="AG1861" i="7"/>
  <c r="W1861" i="7"/>
  <c r="Y1861" i="7" s="1"/>
  <c r="Z1861" i="7" s="1"/>
  <c r="F1861" i="7"/>
  <c r="D1861" i="7"/>
  <c r="AN1860" i="7"/>
  <c r="AG1860" i="7"/>
  <c r="W1860" i="7"/>
  <c r="V1860" i="7"/>
  <c r="AI1860" i="7" s="1"/>
  <c r="F1860" i="7"/>
  <c r="D1860" i="7"/>
  <c r="AN1859" i="7"/>
  <c r="AG1859" i="7"/>
  <c r="V1859" i="7"/>
  <c r="F1859" i="7"/>
  <c r="D1859" i="7"/>
  <c r="AN1858" i="7"/>
  <c r="AG1858" i="7"/>
  <c r="W1858" i="7"/>
  <c r="V1858" i="7"/>
  <c r="AI1858" i="7" s="1"/>
  <c r="F1858" i="7"/>
  <c r="D1858" i="7"/>
  <c r="AN1857" i="7"/>
  <c r="AI1857" i="7"/>
  <c r="AG1857" i="7"/>
  <c r="Y1857" i="7"/>
  <c r="Z1857" i="7" s="1"/>
  <c r="AA1857" i="7" s="1"/>
  <c r="F1857" i="7"/>
  <c r="D1857" i="7"/>
  <c r="AN1856" i="7"/>
  <c r="AI1856" i="7"/>
  <c r="AG1856" i="7"/>
  <c r="Y1856" i="7"/>
  <c r="Z1856" i="7" s="1"/>
  <c r="F1856" i="7"/>
  <c r="D1856" i="7"/>
  <c r="AN1855" i="7"/>
  <c r="AI1855" i="7"/>
  <c r="AG1855" i="7"/>
  <c r="W1855" i="7"/>
  <c r="Y1855" i="7" s="1"/>
  <c r="Z1855" i="7" s="1"/>
  <c r="F1855" i="7"/>
  <c r="D1855" i="7"/>
  <c r="AN1854" i="7"/>
  <c r="AG1854" i="7"/>
  <c r="X1854" i="7"/>
  <c r="W1854" i="7"/>
  <c r="V1854" i="7"/>
  <c r="AI1854" i="7" s="1"/>
  <c r="F1854" i="7"/>
  <c r="D1854" i="7"/>
  <c r="AN1853" i="7"/>
  <c r="AG1853" i="7"/>
  <c r="W1853" i="7"/>
  <c r="V1853" i="7"/>
  <c r="AI1853" i="7" s="1"/>
  <c r="F1853" i="7"/>
  <c r="D1853" i="7"/>
  <c r="AN1852" i="7"/>
  <c r="AG1852" i="7"/>
  <c r="W1852" i="7"/>
  <c r="V1852" i="7"/>
  <c r="AI1852" i="7" s="1"/>
  <c r="F1852" i="7"/>
  <c r="D1852" i="7"/>
  <c r="AN1851" i="7"/>
  <c r="AM1851" i="7"/>
  <c r="AC1851" i="7"/>
  <c r="AA1851" i="7"/>
  <c r="F1851" i="7"/>
  <c r="D1851" i="7"/>
  <c r="AN1850" i="7"/>
  <c r="AG1850" i="7"/>
  <c r="X1850" i="7"/>
  <c r="V1850" i="7"/>
  <c r="AI1850" i="7" s="1"/>
  <c r="F1850" i="7"/>
  <c r="D1850" i="7"/>
  <c r="AN1849" i="7"/>
  <c r="AG1849" i="7"/>
  <c r="X1849" i="7"/>
  <c r="V1849" i="7"/>
  <c r="F1849" i="7"/>
  <c r="D1849" i="7"/>
  <c r="AN1848" i="7"/>
  <c r="AG1848" i="7"/>
  <c r="X1848" i="7"/>
  <c r="V1848" i="7"/>
  <c r="AI1848" i="7" s="1"/>
  <c r="F1848" i="7"/>
  <c r="D1848" i="7"/>
  <c r="AN1847" i="7"/>
  <c r="AI1847" i="7"/>
  <c r="AG1847" i="7"/>
  <c r="W1847" i="7"/>
  <c r="Y1847" i="7" s="1"/>
  <c r="Z1847" i="7" s="1"/>
  <c r="AA1847" i="7" s="1"/>
  <c r="F1847" i="7"/>
  <c r="D1847" i="7"/>
  <c r="AN1846" i="7"/>
  <c r="AG1846" i="7"/>
  <c r="W1846" i="7"/>
  <c r="V1846" i="7"/>
  <c r="AI1846" i="7" s="1"/>
  <c r="F1846" i="7"/>
  <c r="D1846" i="7"/>
  <c r="AN1845" i="7"/>
  <c r="AG1845" i="7"/>
  <c r="X1845" i="7"/>
  <c r="V1845" i="7"/>
  <c r="F1845" i="7"/>
  <c r="D1845" i="7"/>
  <c r="AN1844" i="7"/>
  <c r="AG1844" i="7"/>
  <c r="X1844" i="7"/>
  <c r="V1844" i="7"/>
  <c r="AI1844" i="7" s="1"/>
  <c r="F1844" i="7"/>
  <c r="D1844" i="7"/>
  <c r="AN1843" i="7"/>
  <c r="AG1843" i="7"/>
  <c r="V1843" i="7"/>
  <c r="Y1843" i="7" s="1"/>
  <c r="Z1843" i="7" s="1"/>
  <c r="F1843" i="7"/>
  <c r="D1843" i="7"/>
  <c r="AN1842" i="7"/>
  <c r="AI1842" i="7"/>
  <c r="AG1842" i="7"/>
  <c r="W1842" i="7"/>
  <c r="Y1842" i="7" s="1"/>
  <c r="Z1842" i="7" s="1"/>
  <c r="F1842" i="7"/>
  <c r="D1842" i="7"/>
  <c r="AN1841" i="7"/>
  <c r="AG1841" i="7"/>
  <c r="X1841" i="7"/>
  <c r="V1841" i="7"/>
  <c r="F1841" i="7"/>
  <c r="D1841" i="7"/>
  <c r="AN1840" i="7"/>
  <c r="AG1840" i="7"/>
  <c r="X1840" i="7"/>
  <c r="V1840" i="7"/>
  <c r="AI1840" i="7" s="1"/>
  <c r="F1840" i="7"/>
  <c r="D1840" i="7"/>
  <c r="AN1839" i="7"/>
  <c r="AG1839" i="7"/>
  <c r="X1839" i="7"/>
  <c r="W1839" i="7"/>
  <c r="V1839" i="7"/>
  <c r="AI1839" i="7" s="1"/>
  <c r="F1839" i="7"/>
  <c r="D1839" i="7"/>
  <c r="AN1838" i="7"/>
  <c r="AG1838" i="7"/>
  <c r="W1838" i="7"/>
  <c r="V1838" i="7"/>
  <c r="AI1838" i="7" s="1"/>
  <c r="F1838" i="7"/>
  <c r="D1838" i="7"/>
  <c r="AN1837" i="7"/>
  <c r="AG1837" i="7"/>
  <c r="W1837" i="7"/>
  <c r="V1837" i="7"/>
  <c r="F1837" i="7"/>
  <c r="D1837" i="7"/>
  <c r="AN1836" i="7"/>
  <c r="AG1836" i="7"/>
  <c r="W1836" i="7"/>
  <c r="V1836" i="7"/>
  <c r="AI1836" i="7" s="1"/>
  <c r="F1836" i="7"/>
  <c r="D1836" i="7"/>
  <c r="AN1835" i="7"/>
  <c r="AG1835" i="7"/>
  <c r="W1835" i="7"/>
  <c r="V1835" i="7"/>
  <c r="F1835" i="7"/>
  <c r="D1835" i="7"/>
  <c r="AN1834" i="7"/>
  <c r="AG1834" i="7"/>
  <c r="W1834" i="7"/>
  <c r="V1834" i="7"/>
  <c r="AI1834" i="7" s="1"/>
  <c r="F1834" i="7"/>
  <c r="D1834" i="7"/>
  <c r="AN1833" i="7"/>
  <c r="AG1833" i="7"/>
  <c r="W1833" i="7"/>
  <c r="V1833" i="7"/>
  <c r="F1833" i="7"/>
  <c r="D1833" i="7"/>
  <c r="AN1832" i="7"/>
  <c r="AG1832" i="7"/>
  <c r="W1832" i="7"/>
  <c r="V1832" i="7"/>
  <c r="AI1832" i="7" s="1"/>
  <c r="F1832" i="7"/>
  <c r="D1832" i="7"/>
  <c r="AN1831" i="7"/>
  <c r="AG1831" i="7"/>
  <c r="V1831" i="7"/>
  <c r="F1831" i="7"/>
  <c r="D1831" i="7"/>
  <c r="AN1830" i="7"/>
  <c r="AG1830" i="7"/>
  <c r="W1830" i="7"/>
  <c r="V1830" i="7"/>
  <c r="AI1830" i="7" s="1"/>
  <c r="F1830" i="7"/>
  <c r="D1830" i="7"/>
  <c r="AN1829" i="7"/>
  <c r="AG1829" i="7"/>
  <c r="W1829" i="7"/>
  <c r="V1829" i="7"/>
  <c r="AI1829" i="7" s="1"/>
  <c r="F1829" i="7"/>
  <c r="D1829" i="7"/>
  <c r="AN1828" i="7"/>
  <c r="AG1828" i="7"/>
  <c r="W1828" i="7"/>
  <c r="V1828" i="7"/>
  <c r="AI1828" i="7" s="1"/>
  <c r="F1828" i="7"/>
  <c r="D1828" i="7"/>
  <c r="AN1827" i="7"/>
  <c r="AG1827" i="7"/>
  <c r="W1827" i="7"/>
  <c r="V1827" i="7"/>
  <c r="AI1827" i="7" s="1"/>
  <c r="F1827" i="7"/>
  <c r="D1827" i="7"/>
  <c r="AN1826" i="7"/>
  <c r="AG1826" i="7"/>
  <c r="W1826" i="7"/>
  <c r="V1826" i="7"/>
  <c r="F1826" i="7"/>
  <c r="D1826" i="7"/>
  <c r="AN1825" i="7"/>
  <c r="AI1825" i="7"/>
  <c r="AG1825" i="7"/>
  <c r="W1825" i="7"/>
  <c r="Y1825" i="7" s="1"/>
  <c r="Z1825" i="7" s="1"/>
  <c r="AC1825" i="7" s="1"/>
  <c r="F1825" i="7"/>
  <c r="D1825" i="7"/>
  <c r="AN1824" i="7"/>
  <c r="AG1824" i="7"/>
  <c r="W1824" i="7"/>
  <c r="V1824" i="7"/>
  <c r="AI1824" i="7" s="1"/>
  <c r="F1824" i="7"/>
  <c r="D1824" i="7"/>
  <c r="AN1823" i="7"/>
  <c r="AG1823" i="7"/>
  <c r="W1823" i="7"/>
  <c r="V1823" i="7"/>
  <c r="AI1823" i="7" s="1"/>
  <c r="F1823" i="7"/>
  <c r="D1823" i="7"/>
  <c r="AN1822" i="7"/>
  <c r="AG1822" i="7"/>
  <c r="W1822" i="7"/>
  <c r="V1822" i="7"/>
  <c r="AI1822" i="7" s="1"/>
  <c r="F1822" i="7"/>
  <c r="D1822" i="7"/>
  <c r="AN1821" i="7"/>
  <c r="AG1821" i="7"/>
  <c r="V1821" i="7"/>
  <c r="Y1821" i="7" s="1"/>
  <c r="Z1821" i="7" s="1"/>
  <c r="AC1821" i="7" s="1"/>
  <c r="F1821" i="7"/>
  <c r="D1821" i="7"/>
  <c r="AN1820" i="7"/>
  <c r="AG1820" i="7"/>
  <c r="W1820" i="7"/>
  <c r="V1820" i="7"/>
  <c r="AI1820" i="7" s="1"/>
  <c r="F1820" i="7"/>
  <c r="D1820" i="7"/>
  <c r="AN1819" i="7"/>
  <c r="AG1819" i="7"/>
  <c r="X1819" i="7"/>
  <c r="W1819" i="7"/>
  <c r="V1819" i="7"/>
  <c r="AI1819" i="7" s="1"/>
  <c r="F1819" i="7"/>
  <c r="D1819" i="7"/>
  <c r="AN1818" i="7"/>
  <c r="AG1818" i="7"/>
  <c r="W1818" i="7"/>
  <c r="V1818" i="7"/>
  <c r="AI1818" i="7" s="1"/>
  <c r="F1818" i="7"/>
  <c r="D1818" i="7"/>
  <c r="AN1817" i="7"/>
  <c r="AG1817" i="7"/>
  <c r="W1817" i="7"/>
  <c r="V1817" i="7"/>
  <c r="F1817" i="7"/>
  <c r="D1817" i="7"/>
  <c r="AN1816" i="7"/>
  <c r="AM1816" i="7"/>
  <c r="AC1816" i="7"/>
  <c r="AA1816" i="7"/>
  <c r="F1816" i="7"/>
  <c r="D1816" i="7"/>
  <c r="AN1815" i="7"/>
  <c r="AG1815" i="7"/>
  <c r="V1815" i="7"/>
  <c r="F1815" i="7"/>
  <c r="D1815" i="7"/>
  <c r="AN1814" i="7"/>
  <c r="AG1814" i="7"/>
  <c r="X1814" i="7"/>
  <c r="V1814" i="7"/>
  <c r="AI1814" i="7" s="1"/>
  <c r="F1814" i="7"/>
  <c r="D1814" i="7"/>
  <c r="AN1813" i="7"/>
  <c r="AG1813" i="7"/>
  <c r="V1813" i="7"/>
  <c r="F1813" i="7"/>
  <c r="D1813" i="7"/>
  <c r="AN1812" i="7"/>
  <c r="AI1812" i="7"/>
  <c r="AG1812" i="7"/>
  <c r="W1812" i="7"/>
  <c r="Y1812" i="7" s="1"/>
  <c r="Z1812" i="7" s="1"/>
  <c r="AA1812" i="7" s="1"/>
  <c r="F1812" i="7"/>
  <c r="D1812" i="7"/>
  <c r="AN1811" i="7"/>
  <c r="AG1811" i="7"/>
  <c r="W1811" i="7"/>
  <c r="V1811" i="7"/>
  <c r="AI1811" i="7" s="1"/>
  <c r="F1811" i="7"/>
  <c r="D1811" i="7"/>
  <c r="AN1810" i="7"/>
  <c r="AG1810" i="7"/>
  <c r="W1810" i="7"/>
  <c r="V1810" i="7"/>
  <c r="AI1810" i="7" s="1"/>
  <c r="F1810" i="7"/>
  <c r="D1810" i="7"/>
  <c r="AN1809" i="7"/>
  <c r="AI1809" i="7"/>
  <c r="AG1809" i="7"/>
  <c r="W1809" i="7"/>
  <c r="Y1809" i="7" s="1"/>
  <c r="Z1809" i="7" s="1"/>
  <c r="AC1809" i="7" s="1"/>
  <c r="F1809" i="7"/>
  <c r="D1809" i="7"/>
  <c r="AN1808" i="7"/>
  <c r="AI1808" i="7"/>
  <c r="AG1808" i="7"/>
  <c r="W1808" i="7"/>
  <c r="Y1808" i="7" s="1"/>
  <c r="Z1808" i="7" s="1"/>
  <c r="AA1808" i="7" s="1"/>
  <c r="F1808" i="7"/>
  <c r="D1808" i="7"/>
  <c r="AN1807" i="7"/>
  <c r="AG1807" i="7"/>
  <c r="V1807" i="7"/>
  <c r="AI1807" i="7" s="1"/>
  <c r="F1807" i="7"/>
  <c r="D1807" i="7"/>
  <c r="AN1806" i="7"/>
  <c r="AG1806" i="7"/>
  <c r="W1806" i="7"/>
  <c r="V1806" i="7"/>
  <c r="AI1806" i="7" s="1"/>
  <c r="F1806" i="7"/>
  <c r="D1806" i="7"/>
  <c r="AN1805" i="7"/>
  <c r="AI1805" i="7"/>
  <c r="AG1805" i="7"/>
  <c r="W1805" i="7"/>
  <c r="Y1805" i="7" s="1"/>
  <c r="Z1805" i="7" s="1"/>
  <c r="F1805" i="7"/>
  <c r="D1805" i="7"/>
  <c r="AN1804" i="7"/>
  <c r="AI1804" i="7"/>
  <c r="AG1804" i="7"/>
  <c r="Y1804" i="7"/>
  <c r="Z1804" i="7" s="1"/>
  <c r="AA1804" i="7" s="1"/>
  <c r="F1804" i="7"/>
  <c r="D1804" i="7"/>
  <c r="AN1803" i="7"/>
  <c r="AG1803" i="7"/>
  <c r="X1803" i="7"/>
  <c r="W1803" i="7"/>
  <c r="V1803" i="7"/>
  <c r="AI1803" i="7" s="1"/>
  <c r="F1803" i="7"/>
  <c r="D1803" i="7"/>
  <c r="AN1802" i="7"/>
  <c r="AG1802" i="7"/>
  <c r="W1802" i="7"/>
  <c r="V1802" i="7"/>
  <c r="AI1802" i="7" s="1"/>
  <c r="F1802" i="7"/>
  <c r="D1802" i="7"/>
  <c r="AN1801" i="7"/>
  <c r="AI1801" i="7"/>
  <c r="AG1801" i="7"/>
  <c r="W1801" i="7"/>
  <c r="Y1801" i="7" s="1"/>
  <c r="Z1801" i="7" s="1"/>
  <c r="AA1801" i="7" s="1"/>
  <c r="F1801" i="7"/>
  <c r="D1801" i="7"/>
  <c r="AN1800" i="7"/>
  <c r="AG1800" i="7"/>
  <c r="W1800" i="7"/>
  <c r="V1800" i="7"/>
  <c r="F1800" i="7"/>
  <c r="D1800" i="7"/>
  <c r="AN1799" i="7"/>
  <c r="AI1799" i="7"/>
  <c r="AG1799" i="7"/>
  <c r="W1799" i="7"/>
  <c r="Y1799" i="7" s="1"/>
  <c r="Z1799" i="7" s="1"/>
  <c r="AC1799" i="7" s="1"/>
  <c r="F1799" i="7"/>
  <c r="D1799" i="7"/>
  <c r="AN1798" i="7"/>
  <c r="AG1798" i="7"/>
  <c r="W1798" i="7"/>
  <c r="V1798" i="7"/>
  <c r="AI1798" i="7" s="1"/>
  <c r="F1798" i="7"/>
  <c r="D1798" i="7"/>
  <c r="AN1797" i="7"/>
  <c r="AG1797" i="7"/>
  <c r="X1797" i="7"/>
  <c r="W1797" i="7"/>
  <c r="V1797" i="7"/>
  <c r="AI1797" i="7" s="1"/>
  <c r="AJ1797" i="7" s="1"/>
  <c r="F1797" i="7"/>
  <c r="D1797" i="7"/>
  <c r="AN1796" i="7"/>
  <c r="AM1796" i="7"/>
  <c r="F1796" i="7"/>
  <c r="D1796" i="7"/>
  <c r="AN1795" i="7"/>
  <c r="AM1795" i="7"/>
  <c r="F1795" i="7"/>
  <c r="D1795" i="7"/>
  <c r="AN1794" i="7"/>
  <c r="AM1794" i="7"/>
  <c r="F1794" i="7"/>
  <c r="D1794" i="7"/>
  <c r="AN1793" i="7"/>
  <c r="AM1793" i="7"/>
  <c r="F1793" i="7"/>
  <c r="D1793" i="7"/>
  <c r="AN1792" i="7"/>
  <c r="AM1792" i="7"/>
  <c r="F1792" i="7"/>
  <c r="D1792" i="7"/>
  <c r="AN1791" i="7"/>
  <c r="AM1791" i="7"/>
  <c r="F1791" i="7"/>
  <c r="D1791" i="7"/>
  <c r="AN1790" i="7"/>
  <c r="AM1790" i="7"/>
  <c r="F1790" i="7"/>
  <c r="D1790" i="7"/>
  <c r="AN1789" i="7"/>
  <c r="AM1789" i="7"/>
  <c r="F1789" i="7"/>
  <c r="D1789" i="7"/>
  <c r="AN1788" i="7"/>
  <c r="AM1788" i="7"/>
  <c r="F1788" i="7"/>
  <c r="D1788" i="7"/>
  <c r="AN1787" i="7"/>
  <c r="AM1787" i="7"/>
  <c r="F1787" i="7"/>
  <c r="D1787" i="7"/>
  <c r="AN1786" i="7"/>
  <c r="AM1786" i="7"/>
  <c r="F1786" i="7"/>
  <c r="D1786" i="7"/>
  <c r="AN1785" i="7"/>
  <c r="AI1785" i="7"/>
  <c r="AG1785" i="7"/>
  <c r="W1785" i="7"/>
  <c r="Y1785" i="7" s="1"/>
  <c r="Z1785" i="7" s="1"/>
  <c r="F1785" i="7"/>
  <c r="D1785" i="7"/>
  <c r="AN1784" i="7"/>
  <c r="AI1784" i="7"/>
  <c r="AG1784" i="7"/>
  <c r="Y1784" i="7"/>
  <c r="Z1784" i="7" s="1"/>
  <c r="F1784" i="7"/>
  <c r="D1784" i="7"/>
  <c r="AN1783" i="7"/>
  <c r="AG1783" i="7"/>
  <c r="W1783" i="7"/>
  <c r="V1783" i="7"/>
  <c r="AI1783" i="7" s="1"/>
  <c r="F1783" i="7"/>
  <c r="D1783" i="7"/>
  <c r="AN1782" i="7"/>
  <c r="AI1782" i="7"/>
  <c r="AG1782" i="7"/>
  <c r="X1782" i="7"/>
  <c r="W1782" i="7"/>
  <c r="F1782" i="7"/>
  <c r="D1782" i="7"/>
  <c r="AN1781" i="7"/>
  <c r="AG1781" i="7"/>
  <c r="V1781" i="7"/>
  <c r="F1781" i="7"/>
  <c r="D1781" i="7"/>
  <c r="AN1780" i="7"/>
  <c r="AI1780" i="7"/>
  <c r="AG1780" i="7"/>
  <c r="W1780" i="7"/>
  <c r="Y1780" i="7" s="1"/>
  <c r="Z1780" i="7" s="1"/>
  <c r="F1780" i="7"/>
  <c r="D1780" i="7"/>
  <c r="AN1779" i="7"/>
  <c r="AI1779" i="7"/>
  <c r="AG1779" i="7"/>
  <c r="AH1779" i="7" s="1"/>
  <c r="W1779" i="7"/>
  <c r="Y1779" i="7" s="1"/>
  <c r="Z1779" i="7" s="1"/>
  <c r="F1779" i="7"/>
  <c r="D1779" i="7"/>
  <c r="AN1778" i="7"/>
  <c r="AI1778" i="7"/>
  <c r="AG1778" i="7"/>
  <c r="X1778" i="7"/>
  <c r="W1778" i="7"/>
  <c r="F1778" i="7"/>
  <c r="D1778" i="7"/>
  <c r="AN1777" i="7"/>
  <c r="AI1777" i="7"/>
  <c r="AG1777" i="7"/>
  <c r="W1777" i="7"/>
  <c r="Y1777" i="7" s="1"/>
  <c r="Z1777" i="7" s="1"/>
  <c r="F1777" i="7"/>
  <c r="D1777" i="7"/>
  <c r="AN1776" i="7"/>
  <c r="AG1776" i="7"/>
  <c r="W1776" i="7"/>
  <c r="V1776" i="7"/>
  <c r="AI1776" i="7" s="1"/>
  <c r="F1776" i="7"/>
  <c r="D1776" i="7"/>
  <c r="AN1775" i="7"/>
  <c r="AG1775" i="7"/>
  <c r="V1775" i="7"/>
  <c r="F1775" i="7"/>
  <c r="D1775" i="7"/>
  <c r="AN1774" i="7"/>
  <c r="AI1774" i="7"/>
  <c r="AG1774" i="7"/>
  <c r="W1774" i="7"/>
  <c r="Y1774" i="7" s="1"/>
  <c r="Z1774" i="7" s="1"/>
  <c r="F1774" i="7"/>
  <c r="D1774" i="7"/>
  <c r="AN1773" i="7"/>
  <c r="AG1773" i="7"/>
  <c r="W1773" i="7"/>
  <c r="V1773" i="7"/>
  <c r="F1773" i="7"/>
  <c r="D1773" i="7"/>
  <c r="AN1772" i="7"/>
  <c r="AI1772" i="7"/>
  <c r="AG1772" i="7"/>
  <c r="W1772" i="7"/>
  <c r="Y1772" i="7" s="1"/>
  <c r="Z1772" i="7" s="1"/>
  <c r="F1772" i="7"/>
  <c r="D1772" i="7"/>
  <c r="AN1771" i="7"/>
  <c r="AM1771" i="7"/>
  <c r="F1771" i="7"/>
  <c r="D1771" i="7"/>
  <c r="AN1770" i="7"/>
  <c r="AG1770" i="7"/>
  <c r="X1770" i="7"/>
  <c r="W1770" i="7"/>
  <c r="V1770" i="7"/>
  <c r="AI1770" i="7" s="1"/>
  <c r="F1770" i="7"/>
  <c r="D1770" i="7"/>
  <c r="AN1769" i="7"/>
  <c r="AG1769" i="7"/>
  <c r="W1769" i="7"/>
  <c r="V1769" i="7"/>
  <c r="AI1769" i="7" s="1"/>
  <c r="F1769" i="7"/>
  <c r="D1769" i="7"/>
  <c r="AN1768" i="7"/>
  <c r="AG1768" i="7"/>
  <c r="X1768" i="7"/>
  <c r="W1768" i="7"/>
  <c r="V1768" i="7"/>
  <c r="AI1768" i="7" s="1"/>
  <c r="F1768" i="7"/>
  <c r="D1768" i="7"/>
  <c r="AN1767" i="7"/>
  <c r="AG1767" i="7"/>
  <c r="W1767" i="7"/>
  <c r="V1767" i="7"/>
  <c r="F1767" i="7"/>
  <c r="D1767" i="7"/>
  <c r="AN1766" i="7"/>
  <c r="AG1766" i="7"/>
  <c r="X1766" i="7"/>
  <c r="W1766" i="7"/>
  <c r="V1766" i="7"/>
  <c r="AI1766" i="7" s="1"/>
  <c r="F1766" i="7"/>
  <c r="D1766" i="7"/>
  <c r="AN1765" i="7"/>
  <c r="AG1765" i="7"/>
  <c r="X1765" i="7"/>
  <c r="W1765" i="7"/>
  <c r="V1765" i="7"/>
  <c r="AI1765" i="7" s="1"/>
  <c r="F1765" i="7"/>
  <c r="D1765" i="7"/>
  <c r="AN1764" i="7"/>
  <c r="AG1764" i="7"/>
  <c r="W1764" i="7"/>
  <c r="V1764" i="7"/>
  <c r="AI1764" i="7" s="1"/>
  <c r="F1764" i="7"/>
  <c r="D1764" i="7"/>
  <c r="AN1763" i="7"/>
  <c r="AG1763" i="7"/>
  <c r="W1763" i="7"/>
  <c r="V1763" i="7"/>
  <c r="AI1763" i="7" s="1"/>
  <c r="F1763" i="7"/>
  <c r="D1763" i="7"/>
  <c r="AN1762" i="7"/>
  <c r="AI1762" i="7"/>
  <c r="AG1762" i="7"/>
  <c r="Y1762" i="7"/>
  <c r="Z1762" i="7" s="1"/>
  <c r="F1762" i="7"/>
  <c r="D1762" i="7"/>
  <c r="AN1761" i="7"/>
  <c r="AG1761" i="7"/>
  <c r="W1761" i="7"/>
  <c r="V1761" i="7"/>
  <c r="AI1761" i="7" s="1"/>
  <c r="F1761" i="7"/>
  <c r="D1761" i="7"/>
  <c r="AN1760" i="7"/>
  <c r="AI1760" i="7"/>
  <c r="AG1760" i="7"/>
  <c r="AM1760" i="7" s="1"/>
  <c r="W1760" i="7"/>
  <c r="Y1760" i="7" s="1"/>
  <c r="Z1760" i="7" s="1"/>
  <c r="F1760" i="7"/>
  <c r="D1760" i="7"/>
  <c r="AN1759" i="7"/>
  <c r="AG1759" i="7"/>
  <c r="W1759" i="7"/>
  <c r="V1759" i="7"/>
  <c r="AI1759" i="7" s="1"/>
  <c r="F1759" i="7"/>
  <c r="D1759" i="7"/>
  <c r="AN1758" i="7"/>
  <c r="AG1758" i="7"/>
  <c r="X1758" i="7"/>
  <c r="V1758" i="7"/>
  <c r="AI1758" i="7" s="1"/>
  <c r="F1758" i="7"/>
  <c r="D1758" i="7"/>
  <c r="AN1757" i="7"/>
  <c r="AG1757" i="7"/>
  <c r="W1757" i="7"/>
  <c r="V1757" i="7"/>
  <c r="AI1757" i="7" s="1"/>
  <c r="F1757" i="7"/>
  <c r="D1757" i="7"/>
  <c r="AN1756" i="7"/>
  <c r="AG1756" i="7"/>
  <c r="W1756" i="7"/>
  <c r="V1756" i="7"/>
  <c r="AI1756" i="7" s="1"/>
  <c r="F1756" i="7"/>
  <c r="D1756" i="7"/>
  <c r="AN1755" i="7"/>
  <c r="AG1755" i="7"/>
  <c r="W1755" i="7"/>
  <c r="V1755" i="7"/>
  <c r="AI1755" i="7" s="1"/>
  <c r="F1755" i="7"/>
  <c r="D1755" i="7"/>
  <c r="AN1754" i="7"/>
  <c r="AI1754" i="7"/>
  <c r="AG1754" i="7"/>
  <c r="AH1754" i="7" s="1"/>
  <c r="Y1754" i="7"/>
  <c r="Z1754" i="7" s="1"/>
  <c r="AC1754" i="7" s="1"/>
  <c r="F1754" i="7"/>
  <c r="D1754" i="7"/>
  <c r="AN1753" i="7"/>
  <c r="AG1753" i="7"/>
  <c r="W1753" i="7"/>
  <c r="V1753" i="7"/>
  <c r="AI1753" i="7" s="1"/>
  <c r="F1753" i="7"/>
  <c r="D1753" i="7"/>
  <c r="AN1752" i="7"/>
  <c r="AI1752" i="7"/>
  <c r="AG1752" i="7"/>
  <c r="W1752" i="7"/>
  <c r="Y1752" i="7" s="1"/>
  <c r="Z1752" i="7" s="1"/>
  <c r="F1752" i="7"/>
  <c r="D1752" i="7"/>
  <c r="AN1751" i="7"/>
  <c r="AG1751" i="7"/>
  <c r="X1751" i="7"/>
  <c r="V1751" i="7"/>
  <c r="AI1751" i="7" s="1"/>
  <c r="F1751" i="7"/>
  <c r="D1751" i="7"/>
  <c r="AN1750" i="7"/>
  <c r="AG1750" i="7"/>
  <c r="V1750" i="7"/>
  <c r="F1750" i="7"/>
  <c r="D1750" i="7"/>
  <c r="AN1749" i="7"/>
  <c r="AG1749" i="7"/>
  <c r="V1749" i="7"/>
  <c r="F1749" i="7"/>
  <c r="D1749" i="7"/>
  <c r="AN1748" i="7"/>
  <c r="AG1748" i="7"/>
  <c r="W1748" i="7"/>
  <c r="V1748" i="7"/>
  <c r="AI1748" i="7" s="1"/>
  <c r="F1748" i="7"/>
  <c r="D1748" i="7"/>
  <c r="AN1747" i="7"/>
  <c r="AG1747" i="7"/>
  <c r="V1747" i="7"/>
  <c r="F1747" i="7"/>
  <c r="D1747" i="7"/>
  <c r="AN1746" i="7"/>
  <c r="AG1746" i="7"/>
  <c r="W1746" i="7"/>
  <c r="V1746" i="7"/>
  <c r="AI1746" i="7" s="1"/>
  <c r="F1746" i="7"/>
  <c r="D1746" i="7"/>
  <c r="AN1745" i="7"/>
  <c r="AG1745" i="7"/>
  <c r="W1745" i="7"/>
  <c r="V1745" i="7"/>
  <c r="AI1745" i="7" s="1"/>
  <c r="F1745" i="7"/>
  <c r="D1745" i="7"/>
  <c r="AN1744" i="7"/>
  <c r="AI1744" i="7"/>
  <c r="AG1744" i="7"/>
  <c r="X1744" i="7"/>
  <c r="Y1744" i="7" s="1"/>
  <c r="Z1744" i="7" s="1"/>
  <c r="F1744" i="7"/>
  <c r="D1744" i="7"/>
  <c r="AN1743" i="7"/>
  <c r="AI1743" i="7"/>
  <c r="AG1743" i="7"/>
  <c r="W1743" i="7"/>
  <c r="Y1743" i="7" s="1"/>
  <c r="Z1743" i="7" s="1"/>
  <c r="F1743" i="7"/>
  <c r="D1743" i="7"/>
  <c r="AN1742" i="7"/>
  <c r="AI1742" i="7"/>
  <c r="AG1742" i="7"/>
  <c r="W1742" i="7"/>
  <c r="Y1742" i="7" s="1"/>
  <c r="Z1742" i="7" s="1"/>
  <c r="F1742" i="7"/>
  <c r="D1742" i="7"/>
  <c r="AN1741" i="7"/>
  <c r="AI1741" i="7"/>
  <c r="AG1741" i="7"/>
  <c r="W1741" i="7"/>
  <c r="Y1741" i="7" s="1"/>
  <c r="Z1741" i="7" s="1"/>
  <c r="AH1741" i="7" s="1"/>
  <c r="F1741" i="7"/>
  <c r="D1741" i="7"/>
  <c r="AN1740" i="7"/>
  <c r="AG1740" i="7"/>
  <c r="X1740" i="7"/>
  <c r="V1740" i="7"/>
  <c r="AI1740" i="7" s="1"/>
  <c r="F1740" i="7"/>
  <c r="D1740" i="7"/>
  <c r="AN1739" i="7"/>
  <c r="AG1739" i="7"/>
  <c r="X1739" i="7"/>
  <c r="W1739" i="7"/>
  <c r="V1739" i="7"/>
  <c r="F1739" i="7"/>
  <c r="D1739" i="7"/>
  <c r="AN1738" i="7"/>
  <c r="AI1738" i="7"/>
  <c r="AG1738" i="7"/>
  <c r="Y1738" i="7"/>
  <c r="Z1738" i="7" s="1"/>
  <c r="F1738" i="7"/>
  <c r="D1738" i="7"/>
  <c r="AN1737" i="7"/>
  <c r="AI1737" i="7"/>
  <c r="AG1737" i="7"/>
  <c r="Y1737" i="7"/>
  <c r="Z1737" i="7" s="1"/>
  <c r="F1737" i="7"/>
  <c r="D1737" i="7"/>
  <c r="AN1736" i="7"/>
  <c r="AI1736" i="7"/>
  <c r="AG1736" i="7"/>
  <c r="X1736" i="7"/>
  <c r="W1736" i="7"/>
  <c r="F1736" i="7"/>
  <c r="D1736" i="7"/>
  <c r="AN1735" i="7"/>
  <c r="AG1735" i="7"/>
  <c r="X1735" i="7"/>
  <c r="W1735" i="7"/>
  <c r="V1735" i="7"/>
  <c r="AI1735" i="7" s="1"/>
  <c r="F1735" i="7"/>
  <c r="D1735" i="7"/>
  <c r="AN1734" i="7"/>
  <c r="AM1734" i="7"/>
  <c r="F1734" i="7"/>
  <c r="D1734" i="7"/>
  <c r="AN1733" i="7"/>
  <c r="AG1733" i="7"/>
  <c r="X1733" i="7"/>
  <c r="W1733" i="7"/>
  <c r="V1733" i="7"/>
  <c r="AI1733" i="7" s="1"/>
  <c r="F1733" i="7"/>
  <c r="D1733" i="7"/>
  <c r="AN1732" i="7"/>
  <c r="AG1732" i="7"/>
  <c r="X1732" i="7"/>
  <c r="W1732" i="7"/>
  <c r="V1732" i="7"/>
  <c r="AI1732" i="7" s="1"/>
  <c r="F1732" i="7"/>
  <c r="D1732" i="7"/>
  <c r="AN1731" i="7"/>
  <c r="AI1731" i="7"/>
  <c r="AG1731" i="7"/>
  <c r="X1731" i="7"/>
  <c r="W1731" i="7"/>
  <c r="F1731" i="7"/>
  <c r="D1731" i="7"/>
  <c r="AN1730" i="7"/>
  <c r="AG1730" i="7"/>
  <c r="X1730" i="7"/>
  <c r="W1730" i="7"/>
  <c r="V1730" i="7"/>
  <c r="AI1730" i="7" s="1"/>
  <c r="F1730" i="7"/>
  <c r="D1730" i="7"/>
  <c r="AN1729" i="7"/>
  <c r="AI1729" i="7"/>
  <c r="AG1729" i="7"/>
  <c r="X1729" i="7"/>
  <c r="Y1729" i="7" s="1"/>
  <c r="Z1729" i="7" s="1"/>
  <c r="F1729" i="7"/>
  <c r="D1729" i="7"/>
  <c r="AN1728" i="7"/>
  <c r="AI1728" i="7"/>
  <c r="AG1728" i="7"/>
  <c r="X1728" i="7"/>
  <c r="Y1728" i="7" s="1"/>
  <c r="Z1728" i="7" s="1"/>
  <c r="F1728" i="7"/>
  <c r="D1728" i="7"/>
  <c r="AN1727" i="7"/>
  <c r="AG1727" i="7"/>
  <c r="X1727" i="7"/>
  <c r="W1727" i="7"/>
  <c r="V1727" i="7"/>
  <c r="AI1727" i="7" s="1"/>
  <c r="F1727" i="7"/>
  <c r="D1727" i="7"/>
  <c r="AN1726" i="7"/>
  <c r="AI1726" i="7"/>
  <c r="AG1726" i="7"/>
  <c r="W1726" i="7"/>
  <c r="Y1726" i="7" s="1"/>
  <c r="Z1726" i="7" s="1"/>
  <c r="AH1726" i="7" s="1"/>
  <c r="F1726" i="7"/>
  <c r="D1726" i="7"/>
  <c r="AN1725" i="7"/>
  <c r="AG1725" i="7"/>
  <c r="V1725" i="7"/>
  <c r="F1725" i="7"/>
  <c r="D1725" i="7"/>
  <c r="AN1724" i="7"/>
  <c r="AG1724" i="7"/>
  <c r="W1724" i="7"/>
  <c r="V1724" i="7"/>
  <c r="F1724" i="7"/>
  <c r="D1724" i="7"/>
  <c r="AN1723" i="7"/>
  <c r="AI1723" i="7"/>
  <c r="AG1723" i="7"/>
  <c r="Y1723" i="7"/>
  <c r="Z1723" i="7" s="1"/>
  <c r="F1723" i="7"/>
  <c r="D1723" i="7"/>
  <c r="AN1722" i="7"/>
  <c r="AI1722" i="7"/>
  <c r="AG1722" i="7"/>
  <c r="Y1722" i="7"/>
  <c r="Z1722" i="7" s="1"/>
  <c r="F1722" i="7"/>
  <c r="D1722" i="7"/>
  <c r="AN1721" i="7"/>
  <c r="AG1721" i="7"/>
  <c r="V1721" i="7"/>
  <c r="F1721" i="7"/>
  <c r="D1721" i="7"/>
  <c r="AN1720" i="7"/>
  <c r="AI1720" i="7"/>
  <c r="AG1720" i="7"/>
  <c r="X1720" i="7"/>
  <c r="W1720" i="7"/>
  <c r="F1720" i="7"/>
  <c r="D1720" i="7"/>
  <c r="AN1719" i="7"/>
  <c r="AI1719" i="7"/>
  <c r="AG1719" i="7"/>
  <c r="Y1719" i="7"/>
  <c r="Z1719" i="7" s="1"/>
  <c r="F1719" i="7"/>
  <c r="D1719" i="7"/>
  <c r="AN1718" i="7"/>
  <c r="AI1718" i="7"/>
  <c r="AG1718" i="7"/>
  <c r="Y1718" i="7"/>
  <c r="Z1718" i="7" s="1"/>
  <c r="F1718" i="7"/>
  <c r="D1718" i="7"/>
  <c r="AN1717" i="7"/>
  <c r="AI1717" i="7"/>
  <c r="AG1717" i="7"/>
  <c r="Y1717" i="7"/>
  <c r="Z1717" i="7" s="1"/>
  <c r="F1717" i="7"/>
  <c r="D1717" i="7"/>
  <c r="AN1716" i="7"/>
  <c r="AG1716" i="7"/>
  <c r="X1716" i="7"/>
  <c r="W1716" i="7"/>
  <c r="V1716" i="7"/>
  <c r="AI1716" i="7" s="1"/>
  <c r="F1716" i="7"/>
  <c r="D1716" i="7"/>
  <c r="AN1715" i="7"/>
  <c r="AM1715" i="7"/>
  <c r="F1715" i="7"/>
  <c r="D1715" i="7"/>
  <c r="AN1714" i="7"/>
  <c r="AG1714" i="7"/>
  <c r="W1714" i="7"/>
  <c r="V1714" i="7"/>
  <c r="AI1714" i="7" s="1"/>
  <c r="F1714" i="7"/>
  <c r="D1714" i="7"/>
  <c r="AN1713" i="7"/>
  <c r="AI1713" i="7"/>
  <c r="AG1713" i="7"/>
  <c r="W1713" i="7"/>
  <c r="Y1713" i="7" s="1"/>
  <c r="Z1713" i="7" s="1"/>
  <c r="F1713" i="7"/>
  <c r="D1713" i="7"/>
  <c r="AN1712" i="7"/>
  <c r="AG1712" i="7"/>
  <c r="W1712" i="7"/>
  <c r="V1712" i="7"/>
  <c r="AI1712" i="7" s="1"/>
  <c r="F1712" i="7"/>
  <c r="D1712" i="7"/>
  <c r="AN1711" i="7"/>
  <c r="AM1711" i="7"/>
  <c r="F1711" i="7"/>
  <c r="D1711" i="7"/>
  <c r="AN1710" i="7"/>
  <c r="AG1710" i="7"/>
  <c r="V1710" i="7"/>
  <c r="AI1710" i="7" s="1"/>
  <c r="F1710" i="7"/>
  <c r="D1710" i="7"/>
  <c r="AN1709" i="7"/>
  <c r="AG1709" i="7"/>
  <c r="V1709" i="7"/>
  <c r="F1709" i="7"/>
  <c r="D1709" i="7"/>
  <c r="AN1708" i="7"/>
  <c r="AI1708" i="7"/>
  <c r="AG1708" i="7"/>
  <c r="W1708" i="7"/>
  <c r="Y1708" i="7" s="1"/>
  <c r="Z1708" i="7" s="1"/>
  <c r="AC1708" i="7" s="1"/>
  <c r="F1708" i="7"/>
  <c r="D1708" i="7"/>
  <c r="AN1707" i="7"/>
  <c r="AG1707" i="7"/>
  <c r="V1707" i="7"/>
  <c r="Y1707" i="7" s="1"/>
  <c r="Z1707" i="7" s="1"/>
  <c r="F1707" i="7"/>
  <c r="D1707" i="7"/>
  <c r="AN1706" i="7"/>
  <c r="AI1706" i="7"/>
  <c r="AG1706" i="7"/>
  <c r="Y1706" i="7"/>
  <c r="Z1706" i="7" s="1"/>
  <c r="AC1706" i="7" s="1"/>
  <c r="F1706" i="7"/>
  <c r="D1706" i="7"/>
  <c r="AN1705" i="7"/>
  <c r="AG1705" i="7"/>
  <c r="W1705" i="7"/>
  <c r="V1705" i="7"/>
  <c r="F1705" i="7"/>
  <c r="D1705" i="7"/>
  <c r="AN1704" i="7"/>
  <c r="AM1704" i="7"/>
  <c r="F1704" i="7"/>
  <c r="D1704" i="7"/>
  <c r="AN1703" i="7"/>
  <c r="AI1703" i="7"/>
  <c r="AG1703" i="7"/>
  <c r="X1703" i="7"/>
  <c r="Y1703" i="7" s="1"/>
  <c r="Z1703" i="7" s="1"/>
  <c r="F1703" i="7"/>
  <c r="D1703" i="7"/>
  <c r="AN1702" i="7"/>
  <c r="AI1702" i="7"/>
  <c r="AG1702" i="7"/>
  <c r="W1702" i="7"/>
  <c r="Y1702" i="7" s="1"/>
  <c r="Z1702" i="7" s="1"/>
  <c r="F1702" i="7"/>
  <c r="D1702" i="7"/>
  <c r="AN1701" i="7"/>
  <c r="AI1701" i="7"/>
  <c r="AG1701" i="7"/>
  <c r="Y1701" i="7"/>
  <c r="Z1701" i="7" s="1"/>
  <c r="F1701" i="7"/>
  <c r="D1701" i="7"/>
  <c r="AN1700" i="7"/>
  <c r="AI1700" i="7"/>
  <c r="AG1700" i="7"/>
  <c r="Y1700" i="7"/>
  <c r="Z1700" i="7" s="1"/>
  <c r="F1700" i="7"/>
  <c r="D1700" i="7"/>
  <c r="AN1699" i="7"/>
  <c r="AI1699" i="7"/>
  <c r="AG1699" i="7"/>
  <c r="AM1699" i="7" s="1"/>
  <c r="Y1699" i="7"/>
  <c r="Z1699" i="7" s="1"/>
  <c r="F1699" i="7"/>
  <c r="D1699" i="7"/>
  <c r="AN1698" i="7"/>
  <c r="AG1698" i="7"/>
  <c r="V1698" i="7"/>
  <c r="F1698" i="7"/>
  <c r="D1698" i="7"/>
  <c r="AN1697" i="7"/>
  <c r="AG1697" i="7"/>
  <c r="W1697" i="7"/>
  <c r="V1697" i="7"/>
  <c r="AI1697" i="7" s="1"/>
  <c r="F1697" i="7"/>
  <c r="D1697" i="7"/>
  <c r="AN1696" i="7"/>
  <c r="AI1696" i="7"/>
  <c r="AG1696" i="7"/>
  <c r="Y1696" i="7"/>
  <c r="Z1696" i="7" s="1"/>
  <c r="F1696" i="7"/>
  <c r="D1696" i="7"/>
  <c r="AN1695" i="7"/>
  <c r="AI1695" i="7"/>
  <c r="AG1695" i="7"/>
  <c r="Y1695" i="7"/>
  <c r="Z1695" i="7" s="1"/>
  <c r="F1695" i="7"/>
  <c r="D1695" i="7"/>
  <c r="AN1694" i="7"/>
  <c r="AI1694" i="7"/>
  <c r="AG1694" i="7"/>
  <c r="Y1694" i="7"/>
  <c r="Z1694" i="7" s="1"/>
  <c r="F1694" i="7"/>
  <c r="D1694" i="7"/>
  <c r="AN1693" i="7"/>
  <c r="AI1693" i="7"/>
  <c r="AG1693" i="7"/>
  <c r="Y1693" i="7"/>
  <c r="Z1693" i="7" s="1"/>
  <c r="F1693" i="7"/>
  <c r="D1693" i="7"/>
  <c r="AN1692" i="7"/>
  <c r="AG1692" i="7"/>
  <c r="W1692" i="7"/>
  <c r="V1692" i="7"/>
  <c r="AI1692" i="7" s="1"/>
  <c r="F1692" i="7"/>
  <c r="D1692" i="7"/>
  <c r="AN1691" i="7"/>
  <c r="AG1691" i="7"/>
  <c r="W1691" i="7"/>
  <c r="V1691" i="7"/>
  <c r="AI1691" i="7" s="1"/>
  <c r="F1691" i="7"/>
  <c r="D1691" i="7"/>
  <c r="AN1690" i="7"/>
  <c r="AI1690" i="7"/>
  <c r="AG1690" i="7"/>
  <c r="X1690" i="7"/>
  <c r="W1690" i="7"/>
  <c r="F1690" i="7"/>
  <c r="D1690" i="7"/>
  <c r="AN1689" i="7"/>
  <c r="AG1689" i="7"/>
  <c r="W1689" i="7"/>
  <c r="V1689" i="7"/>
  <c r="AI1689" i="7" s="1"/>
  <c r="F1689" i="7"/>
  <c r="D1689" i="7"/>
  <c r="AN1688" i="7"/>
  <c r="AG1688" i="7"/>
  <c r="V1688" i="7"/>
  <c r="F1688" i="7"/>
  <c r="D1688" i="7"/>
  <c r="AN1687" i="7"/>
  <c r="AG1687" i="7"/>
  <c r="V1687" i="7"/>
  <c r="Y1687" i="7" s="1"/>
  <c r="Z1687" i="7" s="1"/>
  <c r="AA1687" i="7" s="1"/>
  <c r="F1687" i="7"/>
  <c r="D1687" i="7"/>
  <c r="AN1686" i="7"/>
  <c r="AG1686" i="7"/>
  <c r="V1686" i="7"/>
  <c r="F1686" i="7"/>
  <c r="D1686" i="7"/>
  <c r="AN1685" i="7"/>
  <c r="AG1685" i="7"/>
  <c r="W1685" i="7"/>
  <c r="V1685" i="7"/>
  <c r="AI1685" i="7" s="1"/>
  <c r="F1685" i="7"/>
  <c r="D1685" i="7"/>
  <c r="AN1684" i="7"/>
  <c r="AG1684" i="7"/>
  <c r="W1684" i="7"/>
  <c r="V1684" i="7"/>
  <c r="F1684" i="7"/>
  <c r="D1684" i="7"/>
  <c r="AN1683" i="7"/>
  <c r="AG1683" i="7"/>
  <c r="W1683" i="7"/>
  <c r="V1683" i="7"/>
  <c r="AI1683" i="7" s="1"/>
  <c r="F1683" i="7"/>
  <c r="D1683" i="7"/>
  <c r="AN1682" i="7"/>
  <c r="AI1682" i="7"/>
  <c r="AG1682" i="7"/>
  <c r="Y1682" i="7"/>
  <c r="Z1682" i="7" s="1"/>
  <c r="F1682" i="7"/>
  <c r="D1682" i="7"/>
  <c r="AN1681" i="7"/>
  <c r="AI1681" i="7"/>
  <c r="AG1681" i="7"/>
  <c r="Y1681" i="7"/>
  <c r="Z1681" i="7" s="1"/>
  <c r="F1681" i="7"/>
  <c r="D1681" i="7"/>
  <c r="AN1680" i="7"/>
  <c r="AI1680" i="7"/>
  <c r="AG1680" i="7"/>
  <c r="Y1680" i="7"/>
  <c r="Z1680" i="7" s="1"/>
  <c r="F1680" i="7"/>
  <c r="D1680" i="7"/>
  <c r="AN1679" i="7"/>
  <c r="AI1679" i="7"/>
  <c r="AG1679" i="7"/>
  <c r="Y1679" i="7"/>
  <c r="Z1679" i="7" s="1"/>
  <c r="F1679" i="7"/>
  <c r="D1679" i="7"/>
  <c r="AN1678" i="7"/>
  <c r="AG1678" i="7"/>
  <c r="W1678" i="7"/>
  <c r="V1678" i="7"/>
  <c r="AI1678" i="7" s="1"/>
  <c r="F1678" i="7"/>
  <c r="D1678" i="7"/>
  <c r="AN1677" i="7"/>
  <c r="AG1677" i="7"/>
  <c r="W1677" i="7"/>
  <c r="V1677" i="7"/>
  <c r="AI1677" i="7" s="1"/>
  <c r="F1677" i="7"/>
  <c r="D1677" i="7"/>
  <c r="AN1676" i="7"/>
  <c r="AI1676" i="7"/>
  <c r="AG1676" i="7"/>
  <c r="Y1676" i="7"/>
  <c r="Z1676" i="7" s="1"/>
  <c r="F1676" i="7"/>
  <c r="D1676" i="7"/>
  <c r="AN1675" i="7"/>
  <c r="AI1675" i="7"/>
  <c r="AG1675" i="7"/>
  <c r="Y1675" i="7"/>
  <c r="Z1675" i="7" s="1"/>
  <c r="F1675" i="7"/>
  <c r="D1675" i="7"/>
  <c r="AN1674" i="7"/>
  <c r="AI1674" i="7"/>
  <c r="AG1674" i="7"/>
  <c r="Y1674" i="7"/>
  <c r="Z1674" i="7" s="1"/>
  <c r="F1674" i="7"/>
  <c r="D1674" i="7"/>
  <c r="AN1673" i="7"/>
  <c r="AI1673" i="7"/>
  <c r="AG1673" i="7"/>
  <c r="Y1673" i="7"/>
  <c r="Z1673" i="7" s="1"/>
  <c r="F1673" i="7"/>
  <c r="D1673" i="7"/>
  <c r="AN1672" i="7"/>
  <c r="AG1672" i="7"/>
  <c r="W1672" i="7"/>
  <c r="V1672" i="7"/>
  <c r="F1672" i="7"/>
  <c r="D1672" i="7"/>
  <c r="AN1671" i="7"/>
  <c r="AM1671" i="7"/>
  <c r="F1671" i="7"/>
  <c r="D1671" i="7"/>
  <c r="AN1670" i="7"/>
  <c r="AI1670" i="7"/>
  <c r="AG1670" i="7"/>
  <c r="X1670" i="7"/>
  <c r="Y1670" i="7" s="1"/>
  <c r="Z1670" i="7" s="1"/>
  <c r="F1670" i="7"/>
  <c r="D1670" i="7"/>
  <c r="AN1669" i="7"/>
  <c r="AI1669" i="7"/>
  <c r="AG1669" i="7"/>
  <c r="W1669" i="7"/>
  <c r="Y1669" i="7" s="1"/>
  <c r="Z1669" i="7" s="1"/>
  <c r="F1669" i="7"/>
  <c r="D1669" i="7"/>
  <c r="AN1668" i="7"/>
  <c r="AI1668" i="7"/>
  <c r="AG1668" i="7"/>
  <c r="X1668" i="7"/>
  <c r="W1668" i="7"/>
  <c r="F1668" i="7"/>
  <c r="D1668" i="7"/>
  <c r="AN1667" i="7"/>
  <c r="AI1667" i="7"/>
  <c r="AG1667" i="7"/>
  <c r="W1667" i="7"/>
  <c r="Y1667" i="7" s="1"/>
  <c r="Z1667" i="7" s="1"/>
  <c r="F1667" i="7"/>
  <c r="D1667" i="7"/>
  <c r="AN1666" i="7"/>
  <c r="AI1666" i="7"/>
  <c r="AG1666" i="7"/>
  <c r="W1666" i="7"/>
  <c r="Y1666" i="7" s="1"/>
  <c r="Z1666" i="7" s="1"/>
  <c r="F1666" i="7"/>
  <c r="D1666" i="7"/>
  <c r="AN1665" i="7"/>
  <c r="AI1665" i="7"/>
  <c r="AG1665" i="7"/>
  <c r="X1665" i="7"/>
  <c r="Y1665" i="7" s="1"/>
  <c r="Z1665" i="7" s="1"/>
  <c r="F1665" i="7"/>
  <c r="D1665" i="7"/>
  <c r="AN1664" i="7"/>
  <c r="AI1664" i="7"/>
  <c r="AG1664" i="7"/>
  <c r="W1664" i="7"/>
  <c r="Y1664" i="7" s="1"/>
  <c r="Z1664" i="7" s="1"/>
  <c r="F1664" i="7"/>
  <c r="D1664" i="7"/>
  <c r="AN1663" i="7"/>
  <c r="AI1663" i="7"/>
  <c r="AG1663" i="7"/>
  <c r="W1663" i="7"/>
  <c r="Y1663" i="7" s="1"/>
  <c r="Z1663" i="7" s="1"/>
  <c r="F1663" i="7"/>
  <c r="D1663" i="7"/>
  <c r="AN1662" i="7"/>
  <c r="AG1662" i="7"/>
  <c r="X1662" i="7"/>
  <c r="W1662" i="7"/>
  <c r="V1662" i="7"/>
  <c r="F1662" i="7"/>
  <c r="D1662" i="7"/>
  <c r="AN1661" i="7"/>
  <c r="AG1661" i="7"/>
  <c r="X1661" i="7"/>
  <c r="W1661" i="7"/>
  <c r="V1661" i="7"/>
  <c r="AI1661" i="7" s="1"/>
  <c r="F1661" i="7"/>
  <c r="D1661" i="7"/>
  <c r="AN1660" i="7"/>
  <c r="AG1660" i="7"/>
  <c r="X1660" i="7"/>
  <c r="W1660" i="7"/>
  <c r="V1660" i="7"/>
  <c r="AI1660" i="7" s="1"/>
  <c r="F1660" i="7"/>
  <c r="D1660" i="7"/>
  <c r="AN1659" i="7"/>
  <c r="AG1659" i="7"/>
  <c r="W1659" i="7"/>
  <c r="V1659" i="7"/>
  <c r="AI1659" i="7" s="1"/>
  <c r="F1659" i="7"/>
  <c r="D1659" i="7"/>
  <c r="AN1658" i="7"/>
  <c r="AG1658" i="7"/>
  <c r="W1658" i="7"/>
  <c r="V1658" i="7"/>
  <c r="AI1658" i="7" s="1"/>
  <c r="F1658" i="7"/>
  <c r="D1658" i="7"/>
  <c r="AN1657" i="7"/>
  <c r="AG1657" i="7"/>
  <c r="W1657" i="7"/>
  <c r="V1657" i="7"/>
  <c r="AI1657" i="7" s="1"/>
  <c r="F1657" i="7"/>
  <c r="D1657" i="7"/>
  <c r="AN1656" i="7"/>
  <c r="X1656" i="7"/>
  <c r="V1656" i="7"/>
  <c r="F1656" i="7"/>
  <c r="D1656" i="7"/>
  <c r="AN1655" i="7"/>
  <c r="W1655" i="7"/>
  <c r="V1655" i="7"/>
  <c r="F1655" i="7"/>
  <c r="D1655" i="7"/>
  <c r="AN1654" i="7"/>
  <c r="W1654" i="7"/>
  <c r="V1654" i="7"/>
  <c r="F1654" i="7"/>
  <c r="D1654" i="7"/>
  <c r="AN1653" i="7"/>
  <c r="AI1653" i="7"/>
  <c r="AG1653" i="7"/>
  <c r="W1653" i="7"/>
  <c r="Y1653" i="7" s="1"/>
  <c r="Z1653" i="7" s="1"/>
  <c r="F1653" i="7"/>
  <c r="D1653" i="7"/>
  <c r="AN1652" i="7"/>
  <c r="AG1652" i="7"/>
  <c r="W1652" i="7"/>
  <c r="V1652" i="7"/>
  <c r="AI1652" i="7" s="1"/>
  <c r="F1652" i="7"/>
  <c r="D1652" i="7"/>
  <c r="AN1651" i="7"/>
  <c r="AG1651" i="7"/>
  <c r="X1651" i="7"/>
  <c r="W1651" i="7"/>
  <c r="V1651" i="7"/>
  <c r="AI1651" i="7" s="1"/>
  <c r="F1651" i="7"/>
  <c r="D1651" i="7"/>
  <c r="AN1650" i="7"/>
  <c r="AG1650" i="7"/>
  <c r="X1650" i="7"/>
  <c r="W1650" i="7"/>
  <c r="V1650" i="7"/>
  <c r="AI1650" i="7" s="1"/>
  <c r="F1650" i="7"/>
  <c r="D1650" i="7"/>
  <c r="AN1649" i="7"/>
  <c r="AG1649" i="7"/>
  <c r="W1649" i="7"/>
  <c r="V1649" i="7"/>
  <c r="AI1649" i="7" s="1"/>
  <c r="F1649" i="7"/>
  <c r="D1649" i="7"/>
  <c r="AN1648" i="7"/>
  <c r="AG1648" i="7"/>
  <c r="X1648" i="7"/>
  <c r="W1648" i="7"/>
  <c r="V1648" i="7"/>
  <c r="AI1648" i="7" s="1"/>
  <c r="F1648" i="7"/>
  <c r="D1648" i="7"/>
  <c r="AN1647" i="7"/>
  <c r="AI1647" i="7"/>
  <c r="AG1647" i="7"/>
  <c r="X1647" i="7"/>
  <c r="W1647" i="7"/>
  <c r="F1647" i="7"/>
  <c r="D1647" i="7"/>
  <c r="AN1646" i="7"/>
  <c r="AG1646" i="7"/>
  <c r="X1646" i="7"/>
  <c r="V1646" i="7"/>
  <c r="F1646" i="7"/>
  <c r="D1646" i="7"/>
  <c r="AN1645" i="7"/>
  <c r="AI1645" i="7"/>
  <c r="AG1645" i="7"/>
  <c r="X1645" i="7"/>
  <c r="W1645" i="7"/>
  <c r="F1645" i="7"/>
  <c r="D1645" i="7"/>
  <c r="AN1644" i="7"/>
  <c r="AG1644" i="7"/>
  <c r="X1644" i="7"/>
  <c r="W1644" i="7"/>
  <c r="V1644" i="7"/>
  <c r="AI1644" i="7" s="1"/>
  <c r="F1644" i="7"/>
  <c r="D1644" i="7"/>
  <c r="AN1643" i="7"/>
  <c r="AG1643" i="7"/>
  <c r="W1643" i="7"/>
  <c r="V1643" i="7"/>
  <c r="AI1643" i="7" s="1"/>
  <c r="F1643" i="7"/>
  <c r="D1643" i="7"/>
  <c r="AN1642" i="7"/>
  <c r="AG1642" i="7"/>
  <c r="X1642" i="7"/>
  <c r="W1642" i="7"/>
  <c r="V1642" i="7"/>
  <c r="AI1642" i="7" s="1"/>
  <c r="F1642" i="7"/>
  <c r="D1642" i="7"/>
  <c r="AN1641" i="7"/>
  <c r="AI1641" i="7"/>
  <c r="AG1641" i="7"/>
  <c r="Y1641" i="7"/>
  <c r="Z1641" i="7" s="1"/>
  <c r="F1641" i="7"/>
  <c r="D1641" i="7"/>
  <c r="AN1640" i="7"/>
  <c r="AG1640" i="7"/>
  <c r="V1640" i="7"/>
  <c r="F1640" i="7"/>
  <c r="D1640" i="7"/>
  <c r="AN1639" i="7"/>
  <c r="AM1639" i="7"/>
  <c r="F1639" i="7"/>
  <c r="D1639" i="7"/>
  <c r="AN1638" i="7"/>
  <c r="AG1638" i="7"/>
  <c r="W1638" i="7"/>
  <c r="V1638" i="7"/>
  <c r="F1638" i="7"/>
  <c r="D1638" i="7"/>
  <c r="AN1637" i="7"/>
  <c r="AG1637" i="7"/>
  <c r="W1637" i="7"/>
  <c r="V1637" i="7"/>
  <c r="F1637" i="7"/>
  <c r="D1637" i="7"/>
  <c r="AN1636" i="7"/>
  <c r="AI1636" i="7"/>
  <c r="AG1636" i="7"/>
  <c r="W1636" i="7"/>
  <c r="Y1636" i="7" s="1"/>
  <c r="Z1636" i="7" s="1"/>
  <c r="AC1636" i="7" s="1"/>
  <c r="F1636" i="7"/>
  <c r="D1636" i="7"/>
  <c r="AN1635" i="7"/>
  <c r="AG1635" i="7"/>
  <c r="V1635" i="7"/>
  <c r="F1635" i="7"/>
  <c r="D1635" i="7"/>
  <c r="AN1634" i="7"/>
  <c r="AG1634" i="7"/>
  <c r="W1634" i="7"/>
  <c r="V1634" i="7"/>
  <c r="F1634" i="7"/>
  <c r="D1634" i="7"/>
  <c r="AN1633" i="7"/>
  <c r="AI1633" i="7"/>
  <c r="AG1633" i="7"/>
  <c r="Y1633" i="7"/>
  <c r="Z1633" i="7" s="1"/>
  <c r="F1633" i="7"/>
  <c r="D1633" i="7"/>
  <c r="AN1632" i="7"/>
  <c r="AG1632" i="7"/>
  <c r="V1632" i="7"/>
  <c r="Y1632" i="7" s="1"/>
  <c r="Z1632" i="7" s="1"/>
  <c r="F1632" i="7"/>
  <c r="D1632" i="7"/>
  <c r="AN1631" i="7"/>
  <c r="AG1631" i="7"/>
  <c r="V1631" i="7"/>
  <c r="Y1631" i="7" s="1"/>
  <c r="Z1631" i="7" s="1"/>
  <c r="F1631" i="7"/>
  <c r="D1631" i="7"/>
  <c r="AN1630" i="7"/>
  <c r="AG1630" i="7"/>
  <c r="V1630" i="7"/>
  <c r="F1630" i="7"/>
  <c r="D1630" i="7"/>
  <c r="AN1629" i="7"/>
  <c r="AG1629" i="7"/>
  <c r="V1629" i="7"/>
  <c r="F1629" i="7"/>
  <c r="D1629" i="7"/>
  <c r="AN1628" i="7"/>
  <c r="AI1628" i="7"/>
  <c r="AG1628" i="7"/>
  <c r="Y1628" i="7"/>
  <c r="Z1628" i="7" s="1"/>
  <c r="F1628" i="7"/>
  <c r="D1628" i="7"/>
  <c r="AN1627" i="7"/>
  <c r="AG1627" i="7"/>
  <c r="V1627" i="7"/>
  <c r="F1627" i="7"/>
  <c r="D1627" i="7"/>
  <c r="AN1626" i="7"/>
  <c r="AG1626" i="7"/>
  <c r="V1626" i="7"/>
  <c r="F1626" i="7"/>
  <c r="D1626" i="7"/>
  <c r="AN1625" i="7"/>
  <c r="AG1625" i="7"/>
  <c r="W1625" i="7"/>
  <c r="V1625" i="7"/>
  <c r="AI1625" i="7" s="1"/>
  <c r="F1625" i="7"/>
  <c r="D1625" i="7"/>
  <c r="AN1624" i="7"/>
  <c r="AG1624" i="7"/>
  <c r="V1624" i="7"/>
  <c r="Y1624" i="7" s="1"/>
  <c r="Z1624" i="7" s="1"/>
  <c r="F1624" i="7"/>
  <c r="D1624" i="7"/>
  <c r="AN1623" i="7"/>
  <c r="AG1623" i="7"/>
  <c r="W1623" i="7"/>
  <c r="V1623" i="7"/>
  <c r="F1623" i="7"/>
  <c r="D1623" i="7"/>
  <c r="AN1622" i="7"/>
  <c r="AG1622" i="7"/>
  <c r="V1622" i="7"/>
  <c r="Y1622" i="7" s="1"/>
  <c r="Z1622" i="7" s="1"/>
  <c r="F1622" i="7"/>
  <c r="D1622" i="7"/>
  <c r="AN1621" i="7"/>
  <c r="AG1621" i="7"/>
  <c r="W1621" i="7"/>
  <c r="V1621" i="7"/>
  <c r="F1621" i="7"/>
  <c r="D1621" i="7"/>
  <c r="AN1620" i="7"/>
  <c r="AG1620" i="7"/>
  <c r="W1620" i="7"/>
  <c r="V1620" i="7"/>
  <c r="AI1620" i="7" s="1"/>
  <c r="F1620" i="7"/>
  <c r="D1620" i="7"/>
  <c r="AN1619" i="7"/>
  <c r="AG1619" i="7"/>
  <c r="W1619" i="7"/>
  <c r="V1619" i="7"/>
  <c r="AI1619" i="7" s="1"/>
  <c r="F1619" i="7"/>
  <c r="D1619" i="7"/>
  <c r="AN1618" i="7"/>
  <c r="AG1618" i="7"/>
  <c r="W1618" i="7"/>
  <c r="V1618" i="7"/>
  <c r="F1618" i="7"/>
  <c r="D1618" i="7"/>
  <c r="AN1617" i="7"/>
  <c r="AG1617" i="7"/>
  <c r="W1617" i="7"/>
  <c r="V1617" i="7"/>
  <c r="F1617" i="7"/>
  <c r="D1617" i="7"/>
  <c r="AN1616" i="7"/>
  <c r="AG1616" i="7"/>
  <c r="V1616" i="7"/>
  <c r="Y1616" i="7" s="1"/>
  <c r="Z1616" i="7" s="1"/>
  <c r="F1616" i="7"/>
  <c r="D1616" i="7"/>
  <c r="AN1615" i="7"/>
  <c r="AG1615" i="7"/>
  <c r="V1615" i="7"/>
  <c r="F1615" i="7"/>
  <c r="D1615" i="7"/>
  <c r="AN1614" i="7"/>
  <c r="AG1614" i="7"/>
  <c r="W1614" i="7"/>
  <c r="V1614" i="7"/>
  <c r="AI1614" i="7" s="1"/>
  <c r="F1614" i="7"/>
  <c r="D1614" i="7"/>
  <c r="AN1613" i="7"/>
  <c r="AG1613" i="7"/>
  <c r="V1613" i="7"/>
  <c r="F1613" i="7"/>
  <c r="D1613" i="7"/>
  <c r="AN1612" i="7"/>
  <c r="AG1612" i="7"/>
  <c r="W1612" i="7"/>
  <c r="V1612" i="7"/>
  <c r="F1612" i="7"/>
  <c r="D1612" i="7"/>
  <c r="AN1611" i="7"/>
  <c r="AG1611" i="7"/>
  <c r="V1611" i="7"/>
  <c r="Y1611" i="7" s="1"/>
  <c r="Z1611" i="7" s="1"/>
  <c r="F1611" i="7"/>
  <c r="D1611" i="7"/>
  <c r="AN1610" i="7"/>
  <c r="AG1610" i="7"/>
  <c r="W1610" i="7"/>
  <c r="V1610" i="7"/>
  <c r="AI1610" i="7" s="1"/>
  <c r="F1610" i="7"/>
  <c r="D1610" i="7"/>
  <c r="AN1609" i="7"/>
  <c r="AG1609" i="7"/>
  <c r="W1609" i="7"/>
  <c r="V1609" i="7"/>
  <c r="AI1609" i="7" s="1"/>
  <c r="F1609" i="7"/>
  <c r="D1609" i="7"/>
  <c r="AN1608" i="7"/>
  <c r="AG1608" i="7"/>
  <c r="W1608" i="7"/>
  <c r="V1608" i="7"/>
  <c r="AI1608" i="7" s="1"/>
  <c r="F1608" i="7"/>
  <c r="D1608" i="7"/>
  <c r="AN1607" i="7"/>
  <c r="AG1607" i="7"/>
  <c r="X1607" i="7"/>
  <c r="W1607" i="7"/>
  <c r="V1607" i="7"/>
  <c r="AI1607" i="7" s="1"/>
  <c r="F1607" i="7"/>
  <c r="D1607" i="7"/>
  <c r="AN1606" i="7"/>
  <c r="AI1606" i="7"/>
  <c r="AG1606" i="7"/>
  <c r="Y1606" i="7"/>
  <c r="Z1606" i="7" s="1"/>
  <c r="F1606" i="7"/>
  <c r="D1606" i="7"/>
  <c r="AN1605" i="7"/>
  <c r="AI1605" i="7"/>
  <c r="AG1605" i="7"/>
  <c r="AH1605" i="7" s="1"/>
  <c r="W1605" i="7"/>
  <c r="Y1605" i="7" s="1"/>
  <c r="Z1605" i="7" s="1"/>
  <c r="F1605" i="7"/>
  <c r="D1605" i="7"/>
  <c r="AN1604" i="7"/>
  <c r="AM1604" i="7"/>
  <c r="F1604" i="7"/>
  <c r="D1604" i="7"/>
  <c r="AN1603" i="7"/>
  <c r="AG1603" i="7"/>
  <c r="X1603" i="7"/>
  <c r="W1603" i="7"/>
  <c r="V1603" i="7"/>
  <c r="AI1603" i="7" s="1"/>
  <c r="F1603" i="7"/>
  <c r="D1603" i="7"/>
  <c r="AN1602" i="7"/>
  <c r="AI1602" i="7"/>
  <c r="AG1602" i="7"/>
  <c r="Y1602" i="7"/>
  <c r="Z1602" i="7" s="1"/>
  <c r="F1602" i="7"/>
  <c r="D1602" i="7"/>
  <c r="AN1601" i="7"/>
  <c r="AI1601" i="7"/>
  <c r="AG1601" i="7"/>
  <c r="Y1601" i="7"/>
  <c r="Z1601" i="7" s="1"/>
  <c r="F1601" i="7"/>
  <c r="D1601" i="7"/>
  <c r="AN1600" i="7"/>
  <c r="AI1600" i="7"/>
  <c r="AG1600" i="7"/>
  <c r="Y1600" i="7"/>
  <c r="Z1600" i="7" s="1"/>
  <c r="F1600" i="7"/>
  <c r="D1600" i="7"/>
  <c r="AN1599" i="7"/>
  <c r="AG1599" i="7"/>
  <c r="W1599" i="7"/>
  <c r="V1599" i="7"/>
  <c r="AI1599" i="7" s="1"/>
  <c r="F1599" i="7"/>
  <c r="D1599" i="7"/>
  <c r="AN1598" i="7"/>
  <c r="AI1598" i="7"/>
  <c r="AG1598" i="7"/>
  <c r="X1598" i="7"/>
  <c r="W1598" i="7"/>
  <c r="F1598" i="7"/>
  <c r="D1598" i="7"/>
  <c r="AN1597" i="7"/>
  <c r="AI1597" i="7"/>
  <c r="AG1597" i="7"/>
  <c r="Y1597" i="7"/>
  <c r="Z1597" i="7" s="1"/>
  <c r="F1597" i="7"/>
  <c r="D1597" i="7"/>
  <c r="AN1596" i="7"/>
  <c r="AG1596" i="7"/>
  <c r="X1596" i="7"/>
  <c r="W1596" i="7"/>
  <c r="V1596" i="7"/>
  <c r="AI1596" i="7" s="1"/>
  <c r="F1596" i="7"/>
  <c r="D1596" i="7"/>
  <c r="AN1595" i="7"/>
  <c r="AI1595" i="7"/>
  <c r="AG1595" i="7"/>
  <c r="W1595" i="7"/>
  <c r="Y1595" i="7" s="1"/>
  <c r="Z1595" i="7" s="1"/>
  <c r="F1595" i="7"/>
  <c r="D1595" i="7"/>
  <c r="AN1594" i="7"/>
  <c r="AG1594" i="7"/>
  <c r="W1594" i="7"/>
  <c r="V1594" i="7"/>
  <c r="AI1594" i="7" s="1"/>
  <c r="F1594" i="7"/>
  <c r="D1594" i="7"/>
  <c r="AN1593" i="7"/>
  <c r="AG1593" i="7"/>
  <c r="W1593" i="7"/>
  <c r="V1593" i="7"/>
  <c r="AI1593" i="7" s="1"/>
  <c r="F1593" i="7"/>
  <c r="D1593" i="7"/>
  <c r="AN1592" i="7"/>
  <c r="AG1592" i="7"/>
  <c r="W1592" i="7"/>
  <c r="V1592" i="7"/>
  <c r="AI1592" i="7" s="1"/>
  <c r="F1592" i="7"/>
  <c r="D1592" i="7"/>
  <c r="AN1591" i="7"/>
  <c r="AI1591" i="7"/>
  <c r="AG1591" i="7"/>
  <c r="X1591" i="7"/>
  <c r="W1591" i="7"/>
  <c r="F1591" i="7"/>
  <c r="D1591" i="7"/>
  <c r="AN1590" i="7"/>
  <c r="AG1590" i="7"/>
  <c r="X1590" i="7"/>
  <c r="W1590" i="7"/>
  <c r="V1590" i="7"/>
  <c r="AI1590" i="7" s="1"/>
  <c r="F1590" i="7"/>
  <c r="D1590" i="7"/>
  <c r="AN1589" i="7"/>
  <c r="AG1589" i="7"/>
  <c r="X1589" i="7"/>
  <c r="W1589" i="7"/>
  <c r="V1589" i="7"/>
  <c r="AI1589" i="7" s="1"/>
  <c r="F1589" i="7"/>
  <c r="D1589" i="7"/>
  <c r="AN1588" i="7"/>
  <c r="AI1588" i="7"/>
  <c r="AG1588" i="7"/>
  <c r="X1588" i="7"/>
  <c r="Y1588" i="7" s="1"/>
  <c r="Z1588" i="7" s="1"/>
  <c r="F1588" i="7"/>
  <c r="D1588" i="7"/>
  <c r="AN1587" i="7"/>
  <c r="AG1587" i="7"/>
  <c r="X1587" i="7"/>
  <c r="V1587" i="7"/>
  <c r="AI1587" i="7" s="1"/>
  <c r="F1587" i="7"/>
  <c r="D1587" i="7"/>
  <c r="AN1586" i="7"/>
  <c r="AI1586" i="7"/>
  <c r="AG1586" i="7"/>
  <c r="Y1586" i="7"/>
  <c r="Z1586" i="7" s="1"/>
  <c r="F1586" i="7"/>
  <c r="D1586" i="7"/>
  <c r="AN1585" i="7"/>
  <c r="AI1585" i="7"/>
  <c r="AG1585" i="7"/>
  <c r="X1585" i="7"/>
  <c r="W1585" i="7"/>
  <c r="F1585" i="7"/>
  <c r="D1585" i="7"/>
  <c r="AN1584" i="7"/>
  <c r="AI1584" i="7"/>
  <c r="AG1584" i="7"/>
  <c r="Y1584" i="7"/>
  <c r="Z1584" i="7" s="1"/>
  <c r="F1584" i="7"/>
  <c r="D1584" i="7"/>
  <c r="AN1583" i="7"/>
  <c r="AI1583" i="7"/>
  <c r="AG1583" i="7"/>
  <c r="Y1583" i="7"/>
  <c r="Z1583" i="7" s="1"/>
  <c r="F1583" i="7"/>
  <c r="D1583" i="7"/>
  <c r="AN1582" i="7"/>
  <c r="AG1582" i="7"/>
  <c r="V1582" i="7"/>
  <c r="AI1582" i="7" s="1"/>
  <c r="F1582" i="7"/>
  <c r="D1582" i="7"/>
  <c r="AN1581" i="7"/>
  <c r="AI1581" i="7"/>
  <c r="AG1581" i="7"/>
  <c r="X1581" i="7"/>
  <c r="Y1581" i="7" s="1"/>
  <c r="Z1581" i="7" s="1"/>
  <c r="F1581" i="7"/>
  <c r="D1581" i="7"/>
  <c r="AN1580" i="7"/>
  <c r="AG1580" i="7"/>
  <c r="W1580" i="7"/>
  <c r="V1580" i="7"/>
  <c r="AI1580" i="7" s="1"/>
  <c r="F1580" i="7"/>
  <c r="D1580" i="7"/>
  <c r="AN1579" i="7"/>
  <c r="AI1579" i="7"/>
  <c r="AG1579" i="7"/>
  <c r="Y1579" i="7"/>
  <c r="Z1579" i="7" s="1"/>
  <c r="F1579" i="7"/>
  <c r="D1579" i="7"/>
  <c r="AN1578" i="7"/>
  <c r="AI1578" i="7"/>
  <c r="AG1578" i="7"/>
  <c r="Y1578" i="7"/>
  <c r="Z1578" i="7" s="1"/>
  <c r="F1578" i="7"/>
  <c r="D1578" i="7"/>
  <c r="AN1577" i="7"/>
  <c r="AG1577" i="7"/>
  <c r="W1577" i="7"/>
  <c r="V1577" i="7"/>
  <c r="AI1577" i="7" s="1"/>
  <c r="F1577" i="7"/>
  <c r="D1577" i="7"/>
  <c r="AN1576" i="7"/>
  <c r="AG1576" i="7"/>
  <c r="W1576" i="7"/>
  <c r="V1576" i="7"/>
  <c r="AI1576" i="7" s="1"/>
  <c r="F1576" i="7"/>
  <c r="D1576" i="7"/>
  <c r="AN1575" i="7"/>
  <c r="AM1575" i="7"/>
  <c r="F1575" i="7"/>
  <c r="D1575" i="7"/>
  <c r="AN1574" i="7"/>
  <c r="AG1574" i="7"/>
  <c r="X1574" i="7"/>
  <c r="W1574" i="7"/>
  <c r="V1574" i="7"/>
  <c r="AI1574" i="7" s="1"/>
  <c r="AJ1574" i="7" s="1"/>
  <c r="F1574" i="7"/>
  <c r="D1574" i="7"/>
  <c r="AN1573" i="7"/>
  <c r="AG1573" i="7"/>
  <c r="W1573" i="7"/>
  <c r="V1573" i="7"/>
  <c r="AI1573" i="7" s="1"/>
  <c r="F1573" i="7"/>
  <c r="D1573" i="7"/>
  <c r="AN1572" i="7"/>
  <c r="AG1572" i="7"/>
  <c r="W1572" i="7"/>
  <c r="V1572" i="7"/>
  <c r="AI1572" i="7" s="1"/>
  <c r="AJ1572" i="7" s="1"/>
  <c r="F1572" i="7"/>
  <c r="D1572" i="7"/>
  <c r="AN1571" i="7"/>
  <c r="AG1571" i="7"/>
  <c r="W1571" i="7"/>
  <c r="V1571" i="7"/>
  <c r="AI1571" i="7" s="1"/>
  <c r="F1571" i="7"/>
  <c r="D1571" i="7"/>
  <c r="AN1570" i="7"/>
  <c r="AG1570" i="7"/>
  <c r="W1570" i="7"/>
  <c r="V1570" i="7"/>
  <c r="AI1570" i="7" s="1"/>
  <c r="AJ1570" i="7" s="1"/>
  <c r="F1570" i="7"/>
  <c r="D1570" i="7"/>
  <c r="AN1569" i="7"/>
  <c r="AG1569" i="7"/>
  <c r="X1569" i="7"/>
  <c r="W1569" i="7"/>
  <c r="V1569" i="7"/>
  <c r="AI1569" i="7" s="1"/>
  <c r="F1569" i="7"/>
  <c r="D1569" i="7"/>
  <c r="AN1568" i="7"/>
  <c r="AG1568" i="7"/>
  <c r="V1568" i="7"/>
  <c r="Y1568" i="7" s="1"/>
  <c r="Z1568" i="7" s="1"/>
  <c r="F1568" i="7"/>
  <c r="D1568" i="7"/>
  <c r="AN1567" i="7"/>
  <c r="AG1567" i="7"/>
  <c r="W1567" i="7"/>
  <c r="V1567" i="7"/>
  <c r="AI1567" i="7" s="1"/>
  <c r="F1567" i="7"/>
  <c r="D1567" i="7"/>
  <c r="AN1566" i="7"/>
  <c r="AG1566" i="7"/>
  <c r="X1566" i="7"/>
  <c r="W1566" i="7"/>
  <c r="V1566" i="7"/>
  <c r="AI1566" i="7" s="1"/>
  <c r="F1566" i="7"/>
  <c r="D1566" i="7"/>
  <c r="AN1565" i="7"/>
  <c r="AG1565" i="7"/>
  <c r="W1565" i="7"/>
  <c r="V1565" i="7"/>
  <c r="AI1565" i="7" s="1"/>
  <c r="F1565" i="7"/>
  <c r="D1565" i="7"/>
  <c r="AN1564" i="7"/>
  <c r="AI1564" i="7"/>
  <c r="AG1564" i="7"/>
  <c r="W1564" i="7"/>
  <c r="Y1564" i="7" s="1"/>
  <c r="Z1564" i="7" s="1"/>
  <c r="AC1564" i="7" s="1"/>
  <c r="F1564" i="7"/>
  <c r="D1564" i="7"/>
  <c r="AN1563" i="7"/>
  <c r="AG1563" i="7"/>
  <c r="W1563" i="7"/>
  <c r="V1563" i="7"/>
  <c r="AI1563" i="7" s="1"/>
  <c r="F1563" i="7"/>
  <c r="D1563" i="7"/>
  <c r="AN1562" i="7"/>
  <c r="AI1562" i="7"/>
  <c r="AG1562" i="7"/>
  <c r="W1562" i="7"/>
  <c r="Y1562" i="7" s="1"/>
  <c r="Z1562" i="7" s="1"/>
  <c r="F1562" i="7"/>
  <c r="D1562" i="7"/>
  <c r="AN1561" i="7"/>
  <c r="AI1561" i="7"/>
  <c r="AG1561" i="7"/>
  <c r="Y1561" i="7"/>
  <c r="Z1561" i="7" s="1"/>
  <c r="F1561" i="7"/>
  <c r="D1561" i="7"/>
  <c r="AN1560" i="7"/>
  <c r="AI1560" i="7"/>
  <c r="AG1560" i="7"/>
  <c r="W1560" i="7"/>
  <c r="Y1560" i="7" s="1"/>
  <c r="Z1560" i="7" s="1"/>
  <c r="F1560" i="7"/>
  <c r="D1560" i="7"/>
  <c r="AN1559" i="7"/>
  <c r="AG1559" i="7"/>
  <c r="W1559" i="7"/>
  <c r="V1559" i="7"/>
  <c r="F1559" i="7"/>
  <c r="D1559" i="7"/>
  <c r="AN1558" i="7"/>
  <c r="AI1558" i="7"/>
  <c r="AG1558" i="7"/>
  <c r="W1558" i="7"/>
  <c r="Y1558" i="7" s="1"/>
  <c r="Z1558" i="7" s="1"/>
  <c r="F1558" i="7"/>
  <c r="D1558" i="7"/>
  <c r="AN1557" i="7"/>
  <c r="AG1557" i="7"/>
  <c r="X1557" i="7"/>
  <c r="W1557" i="7"/>
  <c r="V1557" i="7"/>
  <c r="AI1557" i="7" s="1"/>
  <c r="F1557" i="7"/>
  <c r="D1557" i="7"/>
  <c r="AN1556" i="7"/>
  <c r="AM1556" i="7"/>
  <c r="F1556" i="7"/>
  <c r="D1556" i="7"/>
  <c r="AN1555" i="7"/>
  <c r="AG1555" i="7"/>
  <c r="W1555" i="7"/>
  <c r="V1555" i="7"/>
  <c r="AI1555" i="7" s="1"/>
  <c r="F1555" i="7"/>
  <c r="D1555" i="7"/>
  <c r="AN1554" i="7"/>
  <c r="AI1554" i="7"/>
  <c r="AG1554" i="7"/>
  <c r="X1554" i="7"/>
  <c r="W1554" i="7"/>
  <c r="F1554" i="7"/>
  <c r="D1554" i="7"/>
  <c r="AN1553" i="7"/>
  <c r="AI1553" i="7"/>
  <c r="AG1553" i="7"/>
  <c r="Y1553" i="7"/>
  <c r="Z1553" i="7" s="1"/>
  <c r="F1553" i="7"/>
  <c r="D1553" i="7"/>
  <c r="AN1552" i="7"/>
  <c r="AI1552" i="7"/>
  <c r="AG1552" i="7"/>
  <c r="Y1552" i="7"/>
  <c r="Z1552" i="7" s="1"/>
  <c r="F1552" i="7"/>
  <c r="D1552" i="7"/>
  <c r="AN1551" i="7"/>
  <c r="AI1551" i="7"/>
  <c r="AG1551" i="7"/>
  <c r="Y1551" i="7"/>
  <c r="Z1551" i="7" s="1"/>
  <c r="F1551" i="7"/>
  <c r="D1551" i="7"/>
  <c r="AN1550" i="7"/>
  <c r="AI1550" i="7"/>
  <c r="AG1550" i="7"/>
  <c r="Y1550" i="7"/>
  <c r="Z1550" i="7" s="1"/>
  <c r="F1550" i="7"/>
  <c r="D1550" i="7"/>
  <c r="AN1549" i="7"/>
  <c r="AI1549" i="7"/>
  <c r="AG1549" i="7"/>
  <c r="Y1549" i="7"/>
  <c r="Z1549" i="7" s="1"/>
  <c r="F1549" i="7"/>
  <c r="D1549" i="7"/>
  <c r="AN1548" i="7"/>
  <c r="AG1548" i="7"/>
  <c r="V1548" i="7"/>
  <c r="Y1548" i="7" s="1"/>
  <c r="Z1548" i="7" s="1"/>
  <c r="F1548" i="7"/>
  <c r="D1548" i="7"/>
  <c r="AN1547" i="7"/>
  <c r="AG1547" i="7"/>
  <c r="X1547" i="7"/>
  <c r="W1547" i="7"/>
  <c r="V1547" i="7"/>
  <c r="AI1547" i="7" s="1"/>
  <c r="F1547" i="7"/>
  <c r="D1547" i="7"/>
  <c r="AN1546" i="7"/>
  <c r="AG1546" i="7"/>
  <c r="W1546" i="7"/>
  <c r="V1546" i="7"/>
  <c r="AI1546" i="7" s="1"/>
  <c r="F1546" i="7"/>
  <c r="D1546" i="7"/>
  <c r="AN1545" i="7"/>
  <c r="AI1545" i="7"/>
  <c r="AG1545" i="7"/>
  <c r="Y1545" i="7"/>
  <c r="Z1545" i="7" s="1"/>
  <c r="F1545" i="7"/>
  <c r="D1545" i="7"/>
  <c r="AN1544" i="7"/>
  <c r="AI1544" i="7"/>
  <c r="AG1544" i="7"/>
  <c r="Y1544" i="7"/>
  <c r="Z1544" i="7" s="1"/>
  <c r="F1544" i="7"/>
  <c r="D1544" i="7"/>
  <c r="AN1543" i="7"/>
  <c r="AG1543" i="7"/>
  <c r="W1543" i="7"/>
  <c r="V1543" i="7"/>
  <c r="AI1543" i="7" s="1"/>
  <c r="F1543" i="7"/>
  <c r="D1543" i="7"/>
  <c r="AN1542" i="7"/>
  <c r="AI1542" i="7"/>
  <c r="AG1542" i="7"/>
  <c r="Y1542" i="7"/>
  <c r="Z1542" i="7" s="1"/>
  <c r="F1542" i="7"/>
  <c r="D1542" i="7"/>
  <c r="AN1541" i="7"/>
  <c r="AI1541" i="7"/>
  <c r="AG1541" i="7"/>
  <c r="W1541" i="7"/>
  <c r="Y1541" i="7" s="1"/>
  <c r="Z1541" i="7" s="1"/>
  <c r="F1541" i="7"/>
  <c r="D1541" i="7"/>
  <c r="AN1540" i="7"/>
  <c r="AM1540" i="7"/>
  <c r="F1540" i="7"/>
  <c r="D1540" i="7"/>
  <c r="AN1539" i="7"/>
  <c r="AG1539" i="7"/>
  <c r="X1539" i="7"/>
  <c r="V1539" i="7"/>
  <c r="AI1539" i="7" s="1"/>
  <c r="F1539" i="7"/>
  <c r="D1539" i="7"/>
  <c r="AN1538" i="7"/>
  <c r="AG1538" i="7"/>
  <c r="W1538" i="7"/>
  <c r="V1538" i="7"/>
  <c r="AI1538" i="7" s="1"/>
  <c r="F1538" i="7"/>
  <c r="D1538" i="7"/>
  <c r="AN1537" i="7"/>
  <c r="AG1537" i="7"/>
  <c r="W1537" i="7"/>
  <c r="V1537" i="7"/>
  <c r="AI1537" i="7" s="1"/>
  <c r="F1537" i="7"/>
  <c r="D1537" i="7"/>
  <c r="AN1536" i="7"/>
  <c r="AG1536" i="7"/>
  <c r="W1536" i="7"/>
  <c r="Y1536" i="7" s="1"/>
  <c r="Z1536" i="7" s="1"/>
  <c r="V1536" i="7"/>
  <c r="AI1536" i="7" s="1"/>
  <c r="F1536" i="7"/>
  <c r="D1536" i="7"/>
  <c r="AN1535" i="7"/>
  <c r="AG1535" i="7"/>
  <c r="W1535" i="7"/>
  <c r="V1535" i="7"/>
  <c r="AI1535" i="7" s="1"/>
  <c r="F1535" i="7"/>
  <c r="D1535" i="7"/>
  <c r="AN1534" i="7"/>
  <c r="AG1534" i="7"/>
  <c r="W1534" i="7"/>
  <c r="V1534" i="7"/>
  <c r="AI1534" i="7" s="1"/>
  <c r="F1534" i="7"/>
  <c r="D1534" i="7"/>
  <c r="AN1533" i="7"/>
  <c r="AG1533" i="7"/>
  <c r="W1533" i="7"/>
  <c r="V1533" i="7"/>
  <c r="AI1533" i="7" s="1"/>
  <c r="F1533" i="7"/>
  <c r="D1533" i="7"/>
  <c r="AN1532" i="7"/>
  <c r="AG1532" i="7"/>
  <c r="W1532" i="7"/>
  <c r="V1532" i="7"/>
  <c r="AI1532" i="7" s="1"/>
  <c r="F1532" i="7"/>
  <c r="D1532" i="7"/>
  <c r="AN1531" i="7"/>
  <c r="AM1531" i="7"/>
  <c r="F1531" i="7"/>
  <c r="D1531" i="7"/>
  <c r="AN1530" i="7"/>
  <c r="AG1530" i="7"/>
  <c r="W1530" i="7"/>
  <c r="V1530" i="7"/>
  <c r="AI1530" i="7" s="1"/>
  <c r="F1530" i="7"/>
  <c r="D1530" i="7"/>
  <c r="AN1529" i="7"/>
  <c r="AI1529" i="7"/>
  <c r="AG1529" i="7"/>
  <c r="AM1529" i="7" s="1"/>
  <c r="W1529" i="7"/>
  <c r="Y1529" i="7" s="1"/>
  <c r="Z1529" i="7" s="1"/>
  <c r="F1529" i="7"/>
  <c r="D1529" i="7"/>
  <c r="AN1528" i="7"/>
  <c r="X1528" i="7"/>
  <c r="V1528" i="7"/>
  <c r="F1528" i="7"/>
  <c r="D1528" i="7"/>
  <c r="AN1527" i="7"/>
  <c r="X1527" i="7"/>
  <c r="V1527" i="7"/>
  <c r="F1527" i="7"/>
  <c r="D1527" i="7"/>
  <c r="AN1526" i="7"/>
  <c r="AG1526" i="7"/>
  <c r="W1526" i="7"/>
  <c r="V1526" i="7"/>
  <c r="F1526" i="7"/>
  <c r="D1526" i="7"/>
  <c r="AN1525" i="7"/>
  <c r="AG1525" i="7"/>
  <c r="X1525" i="7"/>
  <c r="W1525" i="7"/>
  <c r="V1525" i="7"/>
  <c r="F1525" i="7"/>
  <c r="D1525" i="7"/>
  <c r="AN1524" i="7"/>
  <c r="AI1524" i="7"/>
  <c r="AG1524" i="7"/>
  <c r="Y1524" i="7"/>
  <c r="Z1524" i="7" s="1"/>
  <c r="F1524" i="7"/>
  <c r="D1524" i="7"/>
  <c r="AN1523" i="7"/>
  <c r="AI1523" i="7"/>
  <c r="AG1523" i="7"/>
  <c r="Y1523" i="7"/>
  <c r="Z1523" i="7" s="1"/>
  <c r="F1523" i="7"/>
  <c r="D1523" i="7"/>
  <c r="AN1522" i="7"/>
  <c r="AI1522" i="7"/>
  <c r="AG1522" i="7"/>
  <c r="Y1522" i="7"/>
  <c r="Z1522" i="7" s="1"/>
  <c r="F1522" i="7"/>
  <c r="D1522" i="7"/>
  <c r="AN1521" i="7"/>
  <c r="AI1521" i="7"/>
  <c r="AG1521" i="7"/>
  <c r="W1521" i="7"/>
  <c r="Y1521" i="7" s="1"/>
  <c r="Z1521" i="7" s="1"/>
  <c r="F1521" i="7"/>
  <c r="D1521" i="7"/>
  <c r="AN1520" i="7"/>
  <c r="AG1520" i="7"/>
  <c r="W1520" i="7"/>
  <c r="V1520" i="7"/>
  <c r="AI1520" i="7" s="1"/>
  <c r="F1520" i="7"/>
  <c r="D1520" i="7"/>
  <c r="AN1519" i="7"/>
  <c r="AM1519" i="7"/>
  <c r="F1519" i="7"/>
  <c r="D1519" i="7"/>
  <c r="AN1518" i="7"/>
  <c r="AI1518" i="7"/>
  <c r="AG1518" i="7"/>
  <c r="X1518" i="7"/>
  <c r="W1518" i="7"/>
  <c r="F1518" i="7"/>
  <c r="D1518" i="7"/>
  <c r="AN1517" i="7"/>
  <c r="AG1517" i="7"/>
  <c r="X1517" i="7"/>
  <c r="V1517" i="7"/>
  <c r="AI1517" i="7" s="1"/>
  <c r="F1517" i="7"/>
  <c r="D1517" i="7"/>
  <c r="AN1516" i="7"/>
  <c r="AG1516" i="7"/>
  <c r="X1516" i="7"/>
  <c r="V1516" i="7"/>
  <c r="AI1516" i="7" s="1"/>
  <c r="F1516" i="7"/>
  <c r="D1516" i="7"/>
  <c r="AN1515" i="7"/>
  <c r="AG1515" i="7"/>
  <c r="V1515" i="7"/>
  <c r="AI1515" i="7" s="1"/>
  <c r="F1515" i="7"/>
  <c r="D1515" i="7"/>
  <c r="AN1514" i="7"/>
  <c r="AG1514" i="7"/>
  <c r="X1514" i="7"/>
  <c r="V1514" i="7"/>
  <c r="AI1514" i="7" s="1"/>
  <c r="F1514" i="7"/>
  <c r="D1514" i="7"/>
  <c r="AN1513" i="7"/>
  <c r="AG1513" i="7"/>
  <c r="W1513" i="7"/>
  <c r="V1513" i="7"/>
  <c r="AI1513" i="7" s="1"/>
  <c r="F1513" i="7"/>
  <c r="D1513" i="7"/>
  <c r="AN1512" i="7"/>
  <c r="AG1512" i="7"/>
  <c r="W1512" i="7"/>
  <c r="V1512" i="7"/>
  <c r="AI1512" i="7" s="1"/>
  <c r="F1512" i="7"/>
  <c r="D1512" i="7"/>
  <c r="AN1511" i="7"/>
  <c r="AG1511" i="7"/>
  <c r="V1511" i="7"/>
  <c r="Y1511" i="7" s="1"/>
  <c r="Z1511" i="7" s="1"/>
  <c r="F1511" i="7"/>
  <c r="D1511" i="7"/>
  <c r="AN1510" i="7"/>
  <c r="AG1510" i="7"/>
  <c r="X1510" i="7"/>
  <c r="V1510" i="7"/>
  <c r="F1510" i="7"/>
  <c r="D1510" i="7"/>
  <c r="AN1509" i="7"/>
  <c r="AI1509" i="7"/>
  <c r="AG1509" i="7"/>
  <c r="X1509" i="7"/>
  <c r="Y1509" i="7" s="1"/>
  <c r="Z1509" i="7" s="1"/>
  <c r="F1509" i="7"/>
  <c r="D1509" i="7"/>
  <c r="AN1508" i="7"/>
  <c r="AG1508" i="7"/>
  <c r="X1508" i="7"/>
  <c r="V1508" i="7"/>
  <c r="AI1508" i="7" s="1"/>
  <c r="F1508" i="7"/>
  <c r="D1508" i="7"/>
  <c r="AN1507" i="7"/>
  <c r="AI1507" i="7"/>
  <c r="AG1507" i="7"/>
  <c r="W1507" i="7"/>
  <c r="Y1507" i="7" s="1"/>
  <c r="Z1507" i="7" s="1"/>
  <c r="F1507" i="7"/>
  <c r="D1507" i="7"/>
  <c r="AN1506" i="7"/>
  <c r="AG1506" i="7"/>
  <c r="X1506" i="7"/>
  <c r="V1506" i="7"/>
  <c r="AI1506" i="7" s="1"/>
  <c r="F1506" i="7"/>
  <c r="D1506" i="7"/>
  <c r="AN1505" i="7"/>
  <c r="AG1505" i="7"/>
  <c r="V1505" i="7"/>
  <c r="Y1505" i="7" s="1"/>
  <c r="Z1505" i="7" s="1"/>
  <c r="F1505" i="7"/>
  <c r="D1505" i="7"/>
  <c r="AN1504" i="7"/>
  <c r="AI1504" i="7"/>
  <c r="AG1504" i="7"/>
  <c r="Y1504" i="7"/>
  <c r="Z1504" i="7" s="1"/>
  <c r="F1504" i="7"/>
  <c r="D1504" i="7"/>
  <c r="AN1503" i="7"/>
  <c r="AG1503" i="7"/>
  <c r="W1503" i="7"/>
  <c r="V1503" i="7"/>
  <c r="AI1503" i="7" s="1"/>
  <c r="F1503" i="7"/>
  <c r="D1503" i="7"/>
  <c r="AN1502" i="7"/>
  <c r="AG1502" i="7"/>
  <c r="X1502" i="7"/>
  <c r="W1502" i="7"/>
  <c r="V1502" i="7"/>
  <c r="AI1502" i="7" s="1"/>
  <c r="F1502" i="7"/>
  <c r="D1502" i="7"/>
  <c r="AN1501" i="7"/>
  <c r="AM1501" i="7"/>
  <c r="F1501" i="7"/>
  <c r="D1501" i="7"/>
  <c r="AN1500" i="7"/>
  <c r="AM1500" i="7"/>
  <c r="F1500" i="7"/>
  <c r="D1500" i="7"/>
  <c r="AN1499" i="7"/>
  <c r="AG1499" i="7"/>
  <c r="W1499" i="7"/>
  <c r="V1499" i="7"/>
  <c r="F1499" i="7"/>
  <c r="D1499" i="7"/>
  <c r="AN1498" i="7"/>
  <c r="AI1498" i="7"/>
  <c r="AG1498" i="7"/>
  <c r="Y1498" i="7"/>
  <c r="Z1498" i="7" s="1"/>
  <c r="F1498" i="7"/>
  <c r="D1498" i="7"/>
  <c r="AN1497" i="7"/>
  <c r="AG1497" i="7"/>
  <c r="W1497" i="7"/>
  <c r="V1497" i="7"/>
  <c r="F1497" i="7"/>
  <c r="D1497" i="7"/>
  <c r="AN1496" i="7"/>
  <c r="AI1496" i="7"/>
  <c r="AG1496" i="7"/>
  <c r="W1496" i="7"/>
  <c r="Y1496" i="7" s="1"/>
  <c r="Z1496" i="7" s="1"/>
  <c r="F1496" i="7"/>
  <c r="D1496" i="7"/>
  <c r="AN1495" i="7"/>
  <c r="AG1495" i="7"/>
  <c r="X1495" i="7"/>
  <c r="W1495" i="7"/>
  <c r="V1495" i="7"/>
  <c r="AI1495" i="7" s="1"/>
  <c r="F1495" i="7"/>
  <c r="D1495" i="7"/>
  <c r="AN1494" i="7"/>
  <c r="AI1494" i="7"/>
  <c r="AG1494" i="7"/>
  <c r="W1494" i="7"/>
  <c r="Y1494" i="7" s="1"/>
  <c r="Z1494" i="7" s="1"/>
  <c r="F1494" i="7"/>
  <c r="D1494" i="7"/>
  <c r="AN1493" i="7"/>
  <c r="AG1493" i="7"/>
  <c r="W1493" i="7"/>
  <c r="V1493" i="7"/>
  <c r="AI1493" i="7" s="1"/>
  <c r="F1493" i="7"/>
  <c r="D1493" i="7"/>
  <c r="AN1492" i="7"/>
  <c r="AG1492" i="7"/>
  <c r="W1492" i="7"/>
  <c r="V1492" i="7"/>
  <c r="F1492" i="7"/>
  <c r="D1492" i="7"/>
  <c r="AN1491" i="7"/>
  <c r="AG1491" i="7"/>
  <c r="X1491" i="7"/>
  <c r="V1491" i="7"/>
  <c r="AI1491" i="7" s="1"/>
  <c r="F1491" i="7"/>
  <c r="D1491" i="7"/>
  <c r="AN1490" i="7"/>
  <c r="AG1490" i="7"/>
  <c r="W1490" i="7"/>
  <c r="V1490" i="7"/>
  <c r="F1490" i="7"/>
  <c r="D1490" i="7"/>
  <c r="AN1489" i="7"/>
  <c r="AG1489" i="7"/>
  <c r="X1489" i="7"/>
  <c r="V1489" i="7"/>
  <c r="AI1489" i="7" s="1"/>
  <c r="F1489" i="7"/>
  <c r="D1489" i="7"/>
  <c r="AN1488" i="7"/>
  <c r="AI1488" i="7"/>
  <c r="AG1488" i="7"/>
  <c r="Y1488" i="7"/>
  <c r="Z1488" i="7" s="1"/>
  <c r="F1488" i="7"/>
  <c r="D1488" i="7"/>
  <c r="AN1487" i="7"/>
  <c r="AG1487" i="7"/>
  <c r="W1487" i="7"/>
  <c r="V1487" i="7"/>
  <c r="AI1487" i="7" s="1"/>
  <c r="F1487" i="7"/>
  <c r="D1487" i="7"/>
  <c r="AN1486" i="7"/>
  <c r="AG1486" i="7"/>
  <c r="W1486" i="7"/>
  <c r="V1486" i="7"/>
  <c r="F1486" i="7"/>
  <c r="D1486" i="7"/>
  <c r="AN1485" i="7"/>
  <c r="AG1485" i="7"/>
  <c r="W1485" i="7"/>
  <c r="V1485" i="7"/>
  <c r="AI1485" i="7" s="1"/>
  <c r="F1485" i="7"/>
  <c r="D1485" i="7"/>
  <c r="AN1484" i="7"/>
  <c r="AG1484" i="7"/>
  <c r="W1484" i="7"/>
  <c r="V1484" i="7"/>
  <c r="AI1484" i="7" s="1"/>
  <c r="F1484" i="7"/>
  <c r="D1484" i="7"/>
  <c r="AN1483" i="7"/>
  <c r="AG1483" i="7"/>
  <c r="X1483" i="7"/>
  <c r="V1483" i="7"/>
  <c r="AI1483" i="7" s="1"/>
  <c r="F1483" i="7"/>
  <c r="D1483" i="7"/>
  <c r="AN1482" i="7"/>
  <c r="AG1482" i="7"/>
  <c r="W1482" i="7"/>
  <c r="V1482" i="7"/>
  <c r="F1482" i="7"/>
  <c r="D1482" i="7"/>
  <c r="AN1481" i="7"/>
  <c r="AG1481" i="7"/>
  <c r="W1481" i="7"/>
  <c r="V1481" i="7"/>
  <c r="AI1481" i="7" s="1"/>
  <c r="F1481" i="7"/>
  <c r="D1481" i="7"/>
  <c r="AN1480" i="7"/>
  <c r="AG1480" i="7"/>
  <c r="V1480" i="7"/>
  <c r="AI1480" i="7" s="1"/>
  <c r="F1480" i="7"/>
  <c r="D1480" i="7"/>
  <c r="AN1479" i="7"/>
  <c r="AG1479" i="7"/>
  <c r="W1479" i="7"/>
  <c r="V1479" i="7"/>
  <c r="F1479" i="7"/>
  <c r="D1479" i="7"/>
  <c r="AN1478" i="7"/>
  <c r="AG1478" i="7"/>
  <c r="W1478" i="7"/>
  <c r="V1478" i="7"/>
  <c r="AI1478" i="7" s="1"/>
  <c r="F1478" i="7"/>
  <c r="D1478" i="7"/>
  <c r="AN1477" i="7"/>
  <c r="AI1477" i="7"/>
  <c r="AG1477" i="7"/>
  <c r="W1477" i="7"/>
  <c r="Y1477" i="7" s="1"/>
  <c r="Z1477" i="7" s="1"/>
  <c r="F1477" i="7"/>
  <c r="D1477" i="7"/>
  <c r="AN1476" i="7"/>
  <c r="AG1476" i="7"/>
  <c r="W1476" i="7"/>
  <c r="V1476" i="7"/>
  <c r="AI1476" i="7" s="1"/>
  <c r="F1476" i="7"/>
  <c r="D1476" i="7"/>
  <c r="AN1475" i="7"/>
  <c r="AM1475" i="7"/>
  <c r="F1475" i="7"/>
  <c r="D1475" i="7"/>
  <c r="AN1474" i="7"/>
  <c r="AI1474" i="7"/>
  <c r="AG1474" i="7"/>
  <c r="X1474" i="7"/>
  <c r="W1474" i="7"/>
  <c r="F1474" i="7"/>
  <c r="D1474" i="7"/>
  <c r="AN1473" i="7"/>
  <c r="AG1473" i="7"/>
  <c r="W1473" i="7"/>
  <c r="V1473" i="7"/>
  <c r="F1473" i="7"/>
  <c r="D1473" i="7"/>
  <c r="AN1472" i="7"/>
  <c r="AG1472" i="7"/>
  <c r="X1472" i="7"/>
  <c r="V1472" i="7"/>
  <c r="AI1472" i="7" s="1"/>
  <c r="F1472" i="7"/>
  <c r="D1472" i="7"/>
  <c r="AN1471" i="7"/>
  <c r="AI1471" i="7"/>
  <c r="AG1471" i="7"/>
  <c r="X1471" i="7"/>
  <c r="W1471" i="7"/>
  <c r="F1471" i="7"/>
  <c r="D1471" i="7"/>
  <c r="AN1470" i="7"/>
  <c r="AI1470" i="7"/>
  <c r="AG1470" i="7"/>
  <c r="Y1470" i="7"/>
  <c r="Z1470" i="7" s="1"/>
  <c r="F1470" i="7"/>
  <c r="D1470" i="7"/>
  <c r="AN1469" i="7"/>
  <c r="AI1469" i="7"/>
  <c r="AG1469" i="7"/>
  <c r="Y1469" i="7"/>
  <c r="Z1469" i="7" s="1"/>
  <c r="F1469" i="7"/>
  <c r="D1469" i="7"/>
  <c r="AN1468" i="7"/>
  <c r="AG1468" i="7"/>
  <c r="V1468" i="7"/>
  <c r="Y1468" i="7" s="1"/>
  <c r="Z1468" i="7" s="1"/>
  <c r="F1468" i="7"/>
  <c r="D1468" i="7"/>
  <c r="AN1467" i="7"/>
  <c r="AG1467" i="7"/>
  <c r="W1467" i="7"/>
  <c r="V1467" i="7"/>
  <c r="AI1467" i="7" s="1"/>
  <c r="F1467" i="7"/>
  <c r="D1467" i="7"/>
  <c r="AN1466" i="7"/>
  <c r="AI1466" i="7"/>
  <c r="AG1466" i="7"/>
  <c r="X1466" i="7"/>
  <c r="W1466" i="7"/>
  <c r="F1466" i="7"/>
  <c r="D1466" i="7"/>
  <c r="AN1465" i="7"/>
  <c r="AG1465" i="7"/>
  <c r="W1465" i="7"/>
  <c r="V1465" i="7"/>
  <c r="AI1465" i="7" s="1"/>
  <c r="F1465" i="7"/>
  <c r="D1465" i="7"/>
  <c r="AN1464" i="7"/>
  <c r="AG1464" i="7"/>
  <c r="W1464" i="7"/>
  <c r="V1464" i="7"/>
  <c r="AI1464" i="7" s="1"/>
  <c r="F1464" i="7"/>
  <c r="D1464" i="7"/>
  <c r="AN1463" i="7"/>
  <c r="AI1463" i="7"/>
  <c r="AG1463" i="7"/>
  <c r="Y1463" i="7"/>
  <c r="Z1463" i="7" s="1"/>
  <c r="F1463" i="7"/>
  <c r="D1463" i="7"/>
  <c r="AN1462" i="7"/>
  <c r="AG1462" i="7"/>
  <c r="W1462" i="7"/>
  <c r="V1462" i="7"/>
  <c r="AI1462" i="7" s="1"/>
  <c r="F1462" i="7"/>
  <c r="D1462" i="7"/>
  <c r="AN1461" i="7"/>
  <c r="AI1461" i="7"/>
  <c r="AG1461" i="7"/>
  <c r="W1461" i="7"/>
  <c r="Y1461" i="7" s="1"/>
  <c r="Z1461" i="7" s="1"/>
  <c r="F1461" i="7"/>
  <c r="D1461" i="7"/>
  <c r="AN1460" i="7"/>
  <c r="AG1460" i="7"/>
  <c r="W1460" i="7"/>
  <c r="V1460" i="7"/>
  <c r="F1460" i="7"/>
  <c r="D1460" i="7"/>
  <c r="AN1459" i="7"/>
  <c r="AG1459" i="7"/>
  <c r="W1459" i="7"/>
  <c r="V1459" i="7"/>
  <c r="AI1459" i="7" s="1"/>
  <c r="F1459" i="7"/>
  <c r="D1459" i="7"/>
  <c r="AN1458" i="7"/>
  <c r="AG1458" i="7"/>
  <c r="W1458" i="7"/>
  <c r="V1458" i="7"/>
  <c r="AI1458" i="7" s="1"/>
  <c r="F1458" i="7"/>
  <c r="D1458" i="7"/>
  <c r="AN1457" i="7"/>
  <c r="AI1457" i="7"/>
  <c r="AG1457" i="7"/>
  <c r="Y1457" i="7"/>
  <c r="Z1457" i="7" s="1"/>
  <c r="F1457" i="7"/>
  <c r="D1457" i="7"/>
  <c r="AN1456" i="7"/>
  <c r="AI1456" i="7"/>
  <c r="AG1456" i="7"/>
  <c r="Y1456" i="7"/>
  <c r="Z1456" i="7" s="1"/>
  <c r="F1456" i="7"/>
  <c r="D1456" i="7"/>
  <c r="AN1455" i="7"/>
  <c r="AI1455" i="7"/>
  <c r="AG1455" i="7"/>
  <c r="Y1455" i="7"/>
  <c r="Z1455" i="7" s="1"/>
  <c r="F1455" i="7"/>
  <c r="D1455" i="7"/>
  <c r="AN1454" i="7"/>
  <c r="AI1454" i="7"/>
  <c r="AG1454" i="7"/>
  <c r="Y1454" i="7"/>
  <c r="Z1454" i="7" s="1"/>
  <c r="F1454" i="7"/>
  <c r="D1454" i="7"/>
  <c r="AN1453" i="7"/>
  <c r="AG1453" i="7"/>
  <c r="W1453" i="7"/>
  <c r="V1453" i="7"/>
  <c r="AI1453" i="7" s="1"/>
  <c r="F1453" i="7"/>
  <c r="D1453" i="7"/>
  <c r="AN1452" i="7"/>
  <c r="AI1452" i="7"/>
  <c r="AG1452" i="7"/>
  <c r="W1452" i="7"/>
  <c r="Y1452" i="7" s="1"/>
  <c r="Z1452" i="7" s="1"/>
  <c r="F1452" i="7"/>
  <c r="D1452" i="7"/>
  <c r="AN1451" i="7"/>
  <c r="AI1451" i="7"/>
  <c r="AG1451" i="7"/>
  <c r="W1451" i="7"/>
  <c r="Y1451" i="7" s="1"/>
  <c r="Z1451" i="7" s="1"/>
  <c r="F1451" i="7"/>
  <c r="D1451" i="7"/>
  <c r="AN1450" i="7"/>
  <c r="AI1450" i="7"/>
  <c r="AG1450" i="7"/>
  <c r="W1450" i="7"/>
  <c r="Y1450" i="7" s="1"/>
  <c r="Z1450" i="7" s="1"/>
  <c r="F1450" i="7"/>
  <c r="D1450" i="7"/>
  <c r="AN1449" i="7"/>
  <c r="AG1449" i="7"/>
  <c r="W1449" i="7"/>
  <c r="V1449" i="7"/>
  <c r="AI1449" i="7" s="1"/>
  <c r="F1449" i="7"/>
  <c r="D1449" i="7"/>
  <c r="AN1448" i="7"/>
  <c r="AM1448" i="7"/>
  <c r="F1448" i="7"/>
  <c r="D1448" i="7"/>
  <c r="AN1447" i="7"/>
  <c r="AI1447" i="7"/>
  <c r="AG1447" i="7"/>
  <c r="X1447" i="7"/>
  <c r="Y1447" i="7" s="1"/>
  <c r="Z1447" i="7" s="1"/>
  <c r="F1447" i="7"/>
  <c r="D1447" i="7"/>
  <c r="AN1446" i="7"/>
  <c r="AG1446" i="7"/>
  <c r="W1446" i="7"/>
  <c r="V1446" i="7"/>
  <c r="AI1446" i="7" s="1"/>
  <c r="F1446" i="7"/>
  <c r="D1446" i="7"/>
  <c r="AN1445" i="7"/>
  <c r="AI1445" i="7"/>
  <c r="AG1445" i="7"/>
  <c r="Y1445" i="7"/>
  <c r="Z1445" i="7" s="1"/>
  <c r="F1445" i="7"/>
  <c r="D1445" i="7"/>
  <c r="AN1444" i="7"/>
  <c r="AI1444" i="7"/>
  <c r="AG1444" i="7"/>
  <c r="Y1444" i="7"/>
  <c r="Z1444" i="7" s="1"/>
  <c r="F1444" i="7"/>
  <c r="D1444" i="7"/>
  <c r="AN1443" i="7"/>
  <c r="AI1443" i="7"/>
  <c r="AG1443" i="7"/>
  <c r="X1443" i="7"/>
  <c r="W1443" i="7"/>
  <c r="F1443" i="7"/>
  <c r="D1443" i="7"/>
  <c r="AN1442" i="7"/>
  <c r="AI1442" i="7"/>
  <c r="AG1442" i="7"/>
  <c r="W1442" i="7"/>
  <c r="Y1442" i="7" s="1"/>
  <c r="Z1442" i="7" s="1"/>
  <c r="F1442" i="7"/>
  <c r="D1442" i="7"/>
  <c r="AN1441" i="7"/>
  <c r="AI1441" i="7"/>
  <c r="AG1441" i="7"/>
  <c r="W1441" i="7"/>
  <c r="Y1441" i="7" s="1"/>
  <c r="Z1441" i="7" s="1"/>
  <c r="F1441" i="7"/>
  <c r="D1441" i="7"/>
  <c r="AN1440" i="7"/>
  <c r="AG1440" i="7"/>
  <c r="W1440" i="7"/>
  <c r="V1440" i="7"/>
  <c r="AI1440" i="7" s="1"/>
  <c r="F1440" i="7"/>
  <c r="D1440" i="7"/>
  <c r="AN1439" i="7"/>
  <c r="AI1439" i="7"/>
  <c r="AG1439" i="7"/>
  <c r="X1439" i="7"/>
  <c r="Y1439" i="7" s="1"/>
  <c r="Z1439" i="7" s="1"/>
  <c r="F1439" i="7"/>
  <c r="D1439" i="7"/>
  <c r="AN1438" i="7"/>
  <c r="AG1438" i="7"/>
  <c r="X1438" i="7"/>
  <c r="V1438" i="7"/>
  <c r="AI1438" i="7" s="1"/>
  <c r="F1438" i="7"/>
  <c r="D1438" i="7"/>
  <c r="AN1437" i="7"/>
  <c r="AI1437" i="7"/>
  <c r="AG1437" i="7"/>
  <c r="X1437" i="7"/>
  <c r="Y1437" i="7" s="1"/>
  <c r="Z1437" i="7" s="1"/>
  <c r="F1437" i="7"/>
  <c r="D1437" i="7"/>
  <c r="AN1436" i="7"/>
  <c r="AG1436" i="7"/>
  <c r="V1436" i="7"/>
  <c r="F1436" i="7"/>
  <c r="D1436" i="7"/>
  <c r="AN1435" i="7"/>
  <c r="AI1435" i="7"/>
  <c r="AG1435" i="7"/>
  <c r="Y1435" i="7"/>
  <c r="Z1435" i="7" s="1"/>
  <c r="F1435" i="7"/>
  <c r="D1435" i="7"/>
  <c r="AN1434" i="7"/>
  <c r="AI1434" i="7"/>
  <c r="AG1434" i="7"/>
  <c r="W1434" i="7"/>
  <c r="Y1434" i="7" s="1"/>
  <c r="Z1434" i="7" s="1"/>
  <c r="F1434" i="7"/>
  <c r="D1434" i="7"/>
  <c r="AN1433" i="7"/>
  <c r="AI1433" i="7"/>
  <c r="AG1433" i="7"/>
  <c r="W1433" i="7"/>
  <c r="Y1433" i="7" s="1"/>
  <c r="Z1433" i="7" s="1"/>
  <c r="F1433" i="7"/>
  <c r="D1433" i="7"/>
  <c r="AN1432" i="7"/>
  <c r="AG1432" i="7"/>
  <c r="X1432" i="7"/>
  <c r="V1432" i="7"/>
  <c r="AI1432" i="7" s="1"/>
  <c r="F1432" i="7"/>
  <c r="D1432" i="7"/>
  <c r="AN1431" i="7"/>
  <c r="AI1431" i="7"/>
  <c r="AG1431" i="7"/>
  <c r="W1431" i="7"/>
  <c r="Y1431" i="7" s="1"/>
  <c r="Z1431" i="7" s="1"/>
  <c r="F1431" i="7"/>
  <c r="D1431" i="7"/>
  <c r="AN1430" i="7"/>
  <c r="AG1430" i="7"/>
  <c r="W1430" i="7"/>
  <c r="V1430" i="7"/>
  <c r="AI1430" i="7" s="1"/>
  <c r="F1430" i="7"/>
  <c r="D1430" i="7"/>
  <c r="AN1429" i="7"/>
  <c r="AG1429" i="7"/>
  <c r="W1429" i="7"/>
  <c r="V1429" i="7"/>
  <c r="AI1429" i="7" s="1"/>
  <c r="F1429" i="7"/>
  <c r="D1429" i="7"/>
  <c r="AN1428" i="7"/>
  <c r="AI1428" i="7"/>
  <c r="AG1428" i="7"/>
  <c r="W1428" i="7"/>
  <c r="Y1428" i="7" s="1"/>
  <c r="Z1428" i="7" s="1"/>
  <c r="F1428" i="7"/>
  <c r="D1428" i="7"/>
  <c r="AN1427" i="7"/>
  <c r="AG1427" i="7"/>
  <c r="X1427" i="7"/>
  <c r="W1427" i="7"/>
  <c r="V1427" i="7"/>
  <c r="AI1427" i="7" s="1"/>
  <c r="F1427" i="7"/>
  <c r="D1427" i="7"/>
  <c r="AN1426" i="7"/>
  <c r="AG1426" i="7"/>
  <c r="W1426" i="7"/>
  <c r="V1426" i="7"/>
  <c r="AI1426" i="7" s="1"/>
  <c r="F1426" i="7"/>
  <c r="D1426" i="7"/>
  <c r="AN1425" i="7"/>
  <c r="AI1425" i="7"/>
  <c r="AG1425" i="7"/>
  <c r="W1425" i="7"/>
  <c r="Y1425" i="7" s="1"/>
  <c r="Z1425" i="7" s="1"/>
  <c r="AM1425" i="7" s="1"/>
  <c r="F1425" i="7"/>
  <c r="D1425" i="7"/>
  <c r="AN1424" i="7"/>
  <c r="AG1424" i="7"/>
  <c r="W1424" i="7"/>
  <c r="V1424" i="7"/>
  <c r="AI1424" i="7" s="1"/>
  <c r="F1424" i="7"/>
  <c r="D1424" i="7"/>
  <c r="AN1423" i="7"/>
  <c r="AG1423" i="7"/>
  <c r="W1423" i="7"/>
  <c r="V1423" i="7"/>
  <c r="F1423" i="7"/>
  <c r="D1423" i="7"/>
  <c r="AN1422" i="7"/>
  <c r="AI1422" i="7"/>
  <c r="AG1422" i="7"/>
  <c r="Y1422" i="7"/>
  <c r="Z1422" i="7" s="1"/>
  <c r="F1422" i="7"/>
  <c r="D1422" i="7"/>
  <c r="AN1421" i="7"/>
  <c r="AI1421" i="7"/>
  <c r="AG1421" i="7"/>
  <c r="Y1421" i="7"/>
  <c r="Z1421" i="7" s="1"/>
  <c r="AM1421" i="7" s="1"/>
  <c r="F1421" i="7"/>
  <c r="D1421" i="7"/>
  <c r="AN1420" i="7"/>
  <c r="AG1420" i="7"/>
  <c r="W1420" i="7"/>
  <c r="Y1420" i="7" s="1"/>
  <c r="Z1420" i="7" s="1"/>
  <c r="AC1420" i="7" s="1"/>
  <c r="V1420" i="7"/>
  <c r="AI1420" i="7" s="1"/>
  <c r="F1420" i="7"/>
  <c r="D1420" i="7"/>
  <c r="AN1419" i="7"/>
  <c r="AG1419" i="7"/>
  <c r="X1419" i="7"/>
  <c r="W1419" i="7"/>
  <c r="V1419" i="7"/>
  <c r="AI1419" i="7" s="1"/>
  <c r="F1419" i="7"/>
  <c r="D1419" i="7"/>
  <c r="AN1418" i="7"/>
  <c r="AG1418" i="7"/>
  <c r="W1418" i="7"/>
  <c r="V1418" i="7"/>
  <c r="F1418" i="7"/>
  <c r="D1418" i="7"/>
  <c r="AN1417" i="7"/>
  <c r="AG1417" i="7"/>
  <c r="W1417" i="7"/>
  <c r="V1417" i="7"/>
  <c r="AI1417" i="7" s="1"/>
  <c r="F1417" i="7"/>
  <c r="D1417" i="7"/>
  <c r="AN1416" i="7"/>
  <c r="AG1416" i="7"/>
  <c r="V1416" i="7"/>
  <c r="AI1416" i="7" s="1"/>
  <c r="F1416" i="7"/>
  <c r="D1416" i="7"/>
  <c r="AN1415" i="7"/>
  <c r="AG1415" i="7"/>
  <c r="W1415" i="7"/>
  <c r="V1415" i="7"/>
  <c r="AI1415" i="7" s="1"/>
  <c r="F1415" i="7"/>
  <c r="D1415" i="7"/>
  <c r="AN1414" i="7"/>
  <c r="AM1414" i="7"/>
  <c r="F1414" i="7"/>
  <c r="D1414" i="7"/>
  <c r="AN1413" i="7"/>
  <c r="AI1413" i="7"/>
  <c r="AG1413" i="7"/>
  <c r="X1413" i="7"/>
  <c r="Y1413" i="7" s="1"/>
  <c r="Z1413" i="7" s="1"/>
  <c r="F1413" i="7"/>
  <c r="D1413" i="7"/>
  <c r="AN1412" i="7"/>
  <c r="AI1412" i="7"/>
  <c r="AG1412" i="7"/>
  <c r="W1412" i="7"/>
  <c r="Y1412" i="7" s="1"/>
  <c r="Z1412" i="7" s="1"/>
  <c r="F1412" i="7"/>
  <c r="D1412" i="7"/>
  <c r="AN1411" i="7"/>
  <c r="AI1411" i="7"/>
  <c r="AG1411" i="7"/>
  <c r="W1411" i="7"/>
  <c r="Y1411" i="7" s="1"/>
  <c r="Z1411" i="7" s="1"/>
  <c r="F1411" i="7"/>
  <c r="D1411" i="7"/>
  <c r="AN1410" i="7"/>
  <c r="AI1410" i="7"/>
  <c r="AG1410" i="7"/>
  <c r="X1410" i="7"/>
  <c r="W1410" i="7"/>
  <c r="F1410" i="7"/>
  <c r="D1410" i="7"/>
  <c r="AN1409" i="7"/>
  <c r="AI1409" i="7"/>
  <c r="AG1409" i="7"/>
  <c r="W1409" i="7"/>
  <c r="Y1409" i="7" s="1"/>
  <c r="Z1409" i="7" s="1"/>
  <c r="F1409" i="7"/>
  <c r="D1409" i="7"/>
  <c r="AN1408" i="7"/>
  <c r="AG1408" i="7"/>
  <c r="X1408" i="7"/>
  <c r="W1408" i="7"/>
  <c r="V1408" i="7"/>
  <c r="AI1408" i="7" s="1"/>
  <c r="F1408" i="7"/>
  <c r="D1408" i="7"/>
  <c r="AN1407" i="7"/>
  <c r="AI1407" i="7"/>
  <c r="AG1407" i="7"/>
  <c r="Y1407" i="7"/>
  <c r="Z1407" i="7" s="1"/>
  <c r="F1407" i="7"/>
  <c r="D1407" i="7"/>
  <c r="AN1406" i="7"/>
  <c r="AI1406" i="7"/>
  <c r="AG1406" i="7"/>
  <c r="Y1406" i="7"/>
  <c r="Z1406" i="7" s="1"/>
  <c r="F1406" i="7"/>
  <c r="D1406" i="7"/>
  <c r="AN1405" i="7"/>
  <c r="AG1405" i="7"/>
  <c r="W1405" i="7"/>
  <c r="V1405" i="7"/>
  <c r="AI1405" i="7" s="1"/>
  <c r="F1405" i="7"/>
  <c r="D1405" i="7"/>
  <c r="AN1404" i="7"/>
  <c r="AI1404" i="7"/>
  <c r="AG1404" i="7"/>
  <c r="Y1404" i="7"/>
  <c r="Z1404" i="7" s="1"/>
  <c r="F1404" i="7"/>
  <c r="D1404" i="7"/>
  <c r="AN1403" i="7"/>
  <c r="AI1403" i="7"/>
  <c r="AG1403" i="7"/>
  <c r="Y1403" i="7"/>
  <c r="Z1403" i="7" s="1"/>
  <c r="AH1403" i="7" s="1"/>
  <c r="F1403" i="7"/>
  <c r="D1403" i="7"/>
  <c r="AN1402" i="7"/>
  <c r="AI1402" i="7"/>
  <c r="AG1402" i="7"/>
  <c r="Y1402" i="7"/>
  <c r="Z1402" i="7" s="1"/>
  <c r="F1402" i="7"/>
  <c r="D1402" i="7"/>
  <c r="AN1401" i="7"/>
  <c r="AG1401" i="7"/>
  <c r="W1401" i="7"/>
  <c r="V1401" i="7"/>
  <c r="F1401" i="7"/>
  <c r="D1401" i="7"/>
  <c r="AN1400" i="7"/>
  <c r="AG1400" i="7"/>
  <c r="X1400" i="7"/>
  <c r="V1400" i="7"/>
  <c r="AI1400" i="7" s="1"/>
  <c r="F1400" i="7"/>
  <c r="D1400" i="7"/>
  <c r="AN1399" i="7"/>
  <c r="AI1399" i="7"/>
  <c r="AG1399" i="7"/>
  <c r="W1399" i="7"/>
  <c r="Y1399" i="7" s="1"/>
  <c r="Z1399" i="7" s="1"/>
  <c r="AH1399" i="7" s="1"/>
  <c r="F1399" i="7"/>
  <c r="D1399" i="7"/>
  <c r="AN1398" i="7"/>
  <c r="AG1398" i="7"/>
  <c r="W1398" i="7"/>
  <c r="V1398" i="7"/>
  <c r="AI1398" i="7" s="1"/>
  <c r="F1398" i="7"/>
  <c r="D1398" i="7"/>
  <c r="AN1397" i="7"/>
  <c r="AI1397" i="7"/>
  <c r="AG1397" i="7"/>
  <c r="Y1397" i="7"/>
  <c r="Z1397" i="7" s="1"/>
  <c r="F1397" i="7"/>
  <c r="D1397" i="7"/>
  <c r="AN1396" i="7"/>
  <c r="AG1396" i="7"/>
  <c r="V1396" i="7"/>
  <c r="F1396" i="7"/>
  <c r="D1396" i="7"/>
  <c r="AN1395" i="7"/>
  <c r="AG1395" i="7"/>
  <c r="W1395" i="7"/>
  <c r="V1395" i="7"/>
  <c r="AI1395" i="7" s="1"/>
  <c r="F1395" i="7"/>
  <c r="D1395" i="7"/>
  <c r="AN1394" i="7"/>
  <c r="AI1394" i="7"/>
  <c r="AG1394" i="7"/>
  <c r="W1394" i="7"/>
  <c r="Y1394" i="7" s="1"/>
  <c r="Z1394" i="7" s="1"/>
  <c r="F1394" i="7"/>
  <c r="D1394" i="7"/>
  <c r="AN1393" i="7"/>
  <c r="AG1393" i="7"/>
  <c r="X1393" i="7"/>
  <c r="W1393" i="7"/>
  <c r="V1393" i="7"/>
  <c r="F1393" i="7"/>
  <c r="D1393" i="7"/>
  <c r="AN1392" i="7"/>
  <c r="AG1392" i="7"/>
  <c r="W1392" i="7"/>
  <c r="Y1392" i="7" s="1"/>
  <c r="Z1392" i="7" s="1"/>
  <c r="AC1392" i="7" s="1"/>
  <c r="V1392" i="7"/>
  <c r="F1392" i="7"/>
  <c r="D1392" i="7"/>
  <c r="AN1391" i="7"/>
  <c r="AG1391" i="7"/>
  <c r="W1391" i="7"/>
  <c r="V1391" i="7"/>
  <c r="F1391" i="7"/>
  <c r="D1391" i="7"/>
  <c r="AN1390" i="7"/>
  <c r="AI1390" i="7"/>
  <c r="AG1390" i="7"/>
  <c r="Y1390" i="7"/>
  <c r="Z1390" i="7" s="1"/>
  <c r="F1390" i="7"/>
  <c r="D1390" i="7"/>
  <c r="AN1389" i="7"/>
  <c r="AI1389" i="7"/>
  <c r="AG1389" i="7"/>
  <c r="Y1389" i="7"/>
  <c r="Z1389" i="7" s="1"/>
  <c r="F1389" i="7"/>
  <c r="D1389" i="7"/>
  <c r="AN1388" i="7"/>
  <c r="AG1388" i="7"/>
  <c r="W1388" i="7"/>
  <c r="V1388" i="7"/>
  <c r="AI1388" i="7" s="1"/>
  <c r="F1388" i="7"/>
  <c r="D1388" i="7"/>
  <c r="AN1387" i="7"/>
  <c r="AI1387" i="7"/>
  <c r="AG1387" i="7"/>
  <c r="X1387" i="7"/>
  <c r="W1387" i="7"/>
  <c r="F1387" i="7"/>
  <c r="D1387" i="7"/>
  <c r="AN1386" i="7"/>
  <c r="AG1386" i="7"/>
  <c r="V1386" i="7"/>
  <c r="AI1386" i="7" s="1"/>
  <c r="F1386" i="7"/>
  <c r="D1386" i="7"/>
  <c r="AN1385" i="7"/>
  <c r="AI1385" i="7"/>
  <c r="AG1385" i="7"/>
  <c r="W1385" i="7"/>
  <c r="Y1385" i="7" s="1"/>
  <c r="Z1385" i="7" s="1"/>
  <c r="AH1385" i="7" s="1"/>
  <c r="F1385" i="7"/>
  <c r="D1385" i="7"/>
  <c r="AN1384" i="7"/>
  <c r="AG1384" i="7"/>
  <c r="V1384" i="7"/>
  <c r="F1384" i="7"/>
  <c r="D1384" i="7"/>
  <c r="AN1383" i="7"/>
  <c r="AG1383" i="7"/>
  <c r="W1383" i="7"/>
  <c r="V1383" i="7"/>
  <c r="AI1383" i="7" s="1"/>
  <c r="F1383" i="7"/>
  <c r="D1383" i="7"/>
  <c r="AN1382" i="7"/>
  <c r="AG1382" i="7"/>
  <c r="V1382" i="7"/>
  <c r="AI1382" i="7" s="1"/>
  <c r="F1382" i="7"/>
  <c r="D1382" i="7"/>
  <c r="AN1381" i="7"/>
  <c r="AI1381" i="7"/>
  <c r="AG1381" i="7"/>
  <c r="W1381" i="7"/>
  <c r="Y1381" i="7" s="1"/>
  <c r="Z1381" i="7" s="1"/>
  <c r="F1381" i="7"/>
  <c r="D1381" i="7"/>
  <c r="AN1380" i="7"/>
  <c r="AG1380" i="7"/>
  <c r="X1380" i="7"/>
  <c r="W1380" i="7"/>
  <c r="V1380" i="7"/>
  <c r="F1380" i="7"/>
  <c r="D1380" i="7"/>
  <c r="AN1379" i="7"/>
  <c r="AM1379" i="7"/>
  <c r="F1379" i="7"/>
  <c r="D1379" i="7"/>
  <c r="AN1378" i="7"/>
  <c r="AG1378" i="7"/>
  <c r="W1378" i="7"/>
  <c r="V1378" i="7"/>
  <c r="AI1378" i="7" s="1"/>
  <c r="F1378" i="7"/>
  <c r="D1378" i="7"/>
  <c r="AN1377" i="7"/>
  <c r="AI1377" i="7"/>
  <c r="AG1377" i="7"/>
  <c r="Y1377" i="7"/>
  <c r="Z1377" i="7" s="1"/>
  <c r="F1377" i="7"/>
  <c r="D1377" i="7"/>
  <c r="AN1376" i="7"/>
  <c r="AI1376" i="7"/>
  <c r="AG1376" i="7"/>
  <c r="Y1376" i="7"/>
  <c r="Z1376" i="7" s="1"/>
  <c r="F1376" i="7"/>
  <c r="D1376" i="7"/>
  <c r="AN1375" i="7"/>
  <c r="AG1375" i="7"/>
  <c r="W1375" i="7"/>
  <c r="V1375" i="7"/>
  <c r="AI1375" i="7" s="1"/>
  <c r="F1375" i="7"/>
  <c r="D1375" i="7"/>
  <c r="AN1374" i="7"/>
  <c r="AI1374" i="7"/>
  <c r="AG1374" i="7"/>
  <c r="W1374" i="7"/>
  <c r="Y1374" i="7" s="1"/>
  <c r="Z1374" i="7" s="1"/>
  <c r="F1374" i="7"/>
  <c r="D1374" i="7"/>
  <c r="AN1373" i="7"/>
  <c r="AG1373" i="7"/>
  <c r="W1373" i="7"/>
  <c r="V1373" i="7"/>
  <c r="AI1373" i="7" s="1"/>
  <c r="F1373" i="7"/>
  <c r="D1373" i="7"/>
  <c r="AN1372" i="7"/>
  <c r="AI1372" i="7"/>
  <c r="AG1372" i="7"/>
  <c r="Y1372" i="7"/>
  <c r="Z1372" i="7" s="1"/>
  <c r="F1372" i="7"/>
  <c r="D1372" i="7"/>
  <c r="AN1371" i="7"/>
  <c r="AI1371" i="7"/>
  <c r="AG1371" i="7"/>
  <c r="AM1371" i="7" s="1"/>
  <c r="Y1371" i="7"/>
  <c r="Z1371" i="7" s="1"/>
  <c r="F1371" i="7"/>
  <c r="D1371" i="7"/>
  <c r="AN1370" i="7"/>
  <c r="AI1370" i="7"/>
  <c r="AG1370" i="7"/>
  <c r="Y1370" i="7"/>
  <c r="Z1370" i="7" s="1"/>
  <c r="F1370" i="7"/>
  <c r="D1370" i="7"/>
  <c r="AN1369" i="7"/>
  <c r="AI1369" i="7"/>
  <c r="AG1369" i="7"/>
  <c r="AM1369" i="7" s="1"/>
  <c r="W1369" i="7"/>
  <c r="Y1369" i="7" s="1"/>
  <c r="Z1369" i="7" s="1"/>
  <c r="F1369" i="7"/>
  <c r="D1369" i="7"/>
  <c r="AN1368" i="7"/>
  <c r="AG1368" i="7"/>
  <c r="X1368" i="7"/>
  <c r="Y1368" i="7" s="1"/>
  <c r="Z1368" i="7" s="1"/>
  <c r="V1368" i="7"/>
  <c r="AI1368" i="7" s="1"/>
  <c r="F1368" i="7"/>
  <c r="D1368" i="7"/>
  <c r="AN1367" i="7"/>
  <c r="AG1367" i="7"/>
  <c r="X1367" i="7"/>
  <c r="V1367" i="7"/>
  <c r="AI1367" i="7" s="1"/>
  <c r="F1367" i="7"/>
  <c r="D1367" i="7"/>
  <c r="AN1366" i="7"/>
  <c r="AG1366" i="7"/>
  <c r="X1366" i="7"/>
  <c r="V1366" i="7"/>
  <c r="AI1366" i="7" s="1"/>
  <c r="F1366" i="7"/>
  <c r="D1366" i="7"/>
  <c r="AN1365" i="7"/>
  <c r="AI1365" i="7"/>
  <c r="AG1365" i="7"/>
  <c r="X1365" i="7"/>
  <c r="Y1365" i="7" s="1"/>
  <c r="Z1365" i="7" s="1"/>
  <c r="F1365" i="7"/>
  <c r="D1365" i="7"/>
  <c r="AN1364" i="7"/>
  <c r="AI1364" i="7"/>
  <c r="AG1364" i="7"/>
  <c r="X1364" i="7"/>
  <c r="Y1364" i="7" s="1"/>
  <c r="Z1364" i="7" s="1"/>
  <c r="F1364" i="7"/>
  <c r="D1364" i="7"/>
  <c r="AN1363" i="7"/>
  <c r="AI1363" i="7"/>
  <c r="AG1363" i="7"/>
  <c r="AM1363" i="7" s="1"/>
  <c r="W1363" i="7"/>
  <c r="Y1363" i="7" s="1"/>
  <c r="Z1363" i="7" s="1"/>
  <c r="F1363" i="7"/>
  <c r="D1363" i="7"/>
  <c r="AN1362" i="7"/>
  <c r="AI1362" i="7"/>
  <c r="AG1362" i="7"/>
  <c r="W1362" i="7"/>
  <c r="Y1362" i="7" s="1"/>
  <c r="Z1362" i="7" s="1"/>
  <c r="F1362" i="7"/>
  <c r="D1362" i="7"/>
  <c r="AN1361" i="7"/>
  <c r="AG1361" i="7"/>
  <c r="X1361" i="7"/>
  <c r="V1361" i="7"/>
  <c r="AI1361" i="7" s="1"/>
  <c r="F1361" i="7"/>
  <c r="D1361" i="7"/>
  <c r="AN1360" i="7"/>
  <c r="AG1360" i="7"/>
  <c r="W1360" i="7"/>
  <c r="V1360" i="7"/>
  <c r="AI1360" i="7" s="1"/>
  <c r="F1360" i="7"/>
  <c r="D1360" i="7"/>
  <c r="AN1359" i="7"/>
  <c r="AI1359" i="7"/>
  <c r="AG1359" i="7"/>
  <c r="Y1359" i="7"/>
  <c r="Z1359" i="7" s="1"/>
  <c r="F1359" i="7"/>
  <c r="D1359" i="7"/>
  <c r="AN1358" i="7"/>
  <c r="AI1358" i="7"/>
  <c r="AG1358" i="7"/>
  <c r="Y1358" i="7"/>
  <c r="Z1358" i="7" s="1"/>
  <c r="F1358" i="7"/>
  <c r="D1358" i="7"/>
  <c r="AN1357" i="7"/>
  <c r="AG1357" i="7"/>
  <c r="W1357" i="7"/>
  <c r="V1357" i="7"/>
  <c r="AI1357" i="7" s="1"/>
  <c r="F1357" i="7"/>
  <c r="D1357" i="7"/>
  <c r="AN1356" i="7"/>
  <c r="AG1356" i="7"/>
  <c r="W1356" i="7"/>
  <c r="V1356" i="7"/>
  <c r="AI1356" i="7" s="1"/>
  <c r="F1356" i="7"/>
  <c r="D1356" i="7"/>
  <c r="AN1355" i="7"/>
  <c r="AG1355" i="7"/>
  <c r="X1355" i="7"/>
  <c r="W1355" i="7"/>
  <c r="V1355" i="7"/>
  <c r="AI1355" i="7" s="1"/>
  <c r="F1355" i="7"/>
  <c r="D1355" i="7"/>
  <c r="AN1354" i="7"/>
  <c r="AG1354" i="7"/>
  <c r="W1354" i="7"/>
  <c r="V1354" i="7"/>
  <c r="AI1354" i="7" s="1"/>
  <c r="F1354" i="7"/>
  <c r="D1354" i="7"/>
  <c r="AN1353" i="7"/>
  <c r="AI1353" i="7"/>
  <c r="AG1353" i="7"/>
  <c r="W1353" i="7"/>
  <c r="Y1353" i="7" s="1"/>
  <c r="Z1353" i="7" s="1"/>
  <c r="F1353" i="7"/>
  <c r="D1353" i="7"/>
  <c r="AN1352" i="7"/>
  <c r="AM1352" i="7"/>
  <c r="F1352" i="7"/>
  <c r="D1352" i="7"/>
  <c r="AN1351" i="7"/>
  <c r="AG1351" i="7"/>
  <c r="W1351" i="7"/>
  <c r="V1351" i="7"/>
  <c r="AI1351" i="7" s="1"/>
  <c r="F1351" i="7"/>
  <c r="D1351" i="7"/>
  <c r="AN1350" i="7"/>
  <c r="AI1350" i="7"/>
  <c r="AG1350" i="7"/>
  <c r="Y1350" i="7"/>
  <c r="Z1350" i="7" s="1"/>
  <c r="F1350" i="7"/>
  <c r="D1350" i="7"/>
  <c r="AN1349" i="7"/>
  <c r="AI1349" i="7"/>
  <c r="AG1349" i="7"/>
  <c r="Y1349" i="7"/>
  <c r="Z1349" i="7" s="1"/>
  <c r="F1349" i="7"/>
  <c r="D1349" i="7"/>
  <c r="AN1348" i="7"/>
  <c r="AI1348" i="7"/>
  <c r="AG1348" i="7"/>
  <c r="Y1348" i="7"/>
  <c r="Z1348" i="7" s="1"/>
  <c r="F1348" i="7"/>
  <c r="D1348" i="7"/>
  <c r="AN1347" i="7"/>
  <c r="AI1347" i="7"/>
  <c r="AG1347" i="7"/>
  <c r="Y1347" i="7"/>
  <c r="Z1347" i="7" s="1"/>
  <c r="F1347" i="7"/>
  <c r="D1347" i="7"/>
  <c r="AN1346" i="7"/>
  <c r="AI1346" i="7"/>
  <c r="AG1346" i="7"/>
  <c r="Y1346" i="7"/>
  <c r="Z1346" i="7" s="1"/>
  <c r="F1346" i="7"/>
  <c r="D1346" i="7"/>
  <c r="AN1345" i="7"/>
  <c r="AG1345" i="7"/>
  <c r="W1345" i="7"/>
  <c r="V1345" i="7"/>
  <c r="AI1345" i="7" s="1"/>
  <c r="F1345" i="7"/>
  <c r="D1345" i="7"/>
  <c r="AN1344" i="7"/>
  <c r="AG1344" i="7"/>
  <c r="X1344" i="7"/>
  <c r="W1344" i="7"/>
  <c r="V1344" i="7"/>
  <c r="AI1344" i="7" s="1"/>
  <c r="F1344" i="7"/>
  <c r="D1344" i="7"/>
  <c r="AN1343" i="7"/>
  <c r="AG1343" i="7"/>
  <c r="W1343" i="7"/>
  <c r="Y1343" i="7" s="1"/>
  <c r="Z1343" i="7" s="1"/>
  <c r="AC1343" i="7" s="1"/>
  <c r="V1343" i="7"/>
  <c r="AI1343" i="7" s="1"/>
  <c r="F1343" i="7"/>
  <c r="D1343" i="7"/>
  <c r="AN1342" i="7"/>
  <c r="AG1342" i="7"/>
  <c r="X1342" i="7"/>
  <c r="W1342" i="7"/>
  <c r="V1342" i="7"/>
  <c r="AI1342" i="7" s="1"/>
  <c r="F1342" i="7"/>
  <c r="D1342" i="7"/>
  <c r="AN1341" i="7"/>
  <c r="AI1341" i="7"/>
  <c r="AG1341" i="7"/>
  <c r="W1341" i="7"/>
  <c r="Y1341" i="7" s="1"/>
  <c r="Z1341" i="7" s="1"/>
  <c r="F1341" i="7"/>
  <c r="D1341" i="7"/>
  <c r="AN1340" i="7"/>
  <c r="AI1340" i="7"/>
  <c r="AG1340" i="7"/>
  <c r="W1340" i="7"/>
  <c r="Y1340" i="7" s="1"/>
  <c r="Z1340" i="7" s="1"/>
  <c r="F1340" i="7"/>
  <c r="D1340" i="7"/>
  <c r="AN1339" i="7"/>
  <c r="AG1339" i="7"/>
  <c r="W1339" i="7"/>
  <c r="V1339" i="7"/>
  <c r="AI1339" i="7" s="1"/>
  <c r="F1339" i="7"/>
  <c r="D1339" i="7"/>
  <c r="AN1338" i="7"/>
  <c r="AG1338" i="7"/>
  <c r="W1338" i="7"/>
  <c r="V1338" i="7"/>
  <c r="AI1338" i="7" s="1"/>
  <c r="F1338" i="7"/>
  <c r="D1338" i="7"/>
  <c r="AN1337" i="7"/>
  <c r="AG1337" i="7"/>
  <c r="W1337" i="7"/>
  <c r="V1337" i="7"/>
  <c r="AI1337" i="7" s="1"/>
  <c r="F1337" i="7"/>
  <c r="D1337" i="7"/>
  <c r="AN1336" i="7"/>
  <c r="AI1336" i="7"/>
  <c r="AG1336" i="7"/>
  <c r="Y1336" i="7"/>
  <c r="Z1336" i="7" s="1"/>
  <c r="F1336" i="7"/>
  <c r="D1336" i="7"/>
  <c r="AN1335" i="7"/>
  <c r="AG1335" i="7"/>
  <c r="W1335" i="7"/>
  <c r="V1335" i="7"/>
  <c r="AI1335" i="7" s="1"/>
  <c r="F1335" i="7"/>
  <c r="D1335" i="7"/>
  <c r="AN1334" i="7"/>
  <c r="AI1334" i="7"/>
  <c r="AG1334" i="7"/>
  <c r="W1334" i="7"/>
  <c r="Y1334" i="7" s="1"/>
  <c r="Z1334" i="7" s="1"/>
  <c r="F1334" i="7"/>
  <c r="D1334" i="7"/>
  <c r="AN1333" i="7"/>
  <c r="AG1333" i="7"/>
  <c r="W1333" i="7"/>
  <c r="V1333" i="7"/>
  <c r="AI1333" i="7" s="1"/>
  <c r="F1333" i="7"/>
  <c r="D1333" i="7"/>
  <c r="AN1332" i="7"/>
  <c r="AI1332" i="7"/>
  <c r="AG1332" i="7"/>
  <c r="Y1332" i="7"/>
  <c r="Z1332" i="7" s="1"/>
  <c r="AM1332" i="7" s="1"/>
  <c r="F1332" i="7"/>
  <c r="D1332" i="7"/>
  <c r="AN1331" i="7"/>
  <c r="AI1331" i="7"/>
  <c r="AG1331" i="7"/>
  <c r="Y1331" i="7"/>
  <c r="Z1331" i="7" s="1"/>
  <c r="F1331" i="7"/>
  <c r="D1331" i="7"/>
  <c r="AN1330" i="7"/>
  <c r="AG1330" i="7"/>
  <c r="W1330" i="7"/>
  <c r="V1330" i="7"/>
  <c r="F1330" i="7"/>
  <c r="D1330" i="7"/>
  <c r="AN1329" i="7"/>
  <c r="AG1329" i="7"/>
  <c r="X1329" i="7"/>
  <c r="W1329" i="7"/>
  <c r="V1329" i="7"/>
  <c r="AI1329" i="7" s="1"/>
  <c r="F1329" i="7"/>
  <c r="D1329" i="7"/>
  <c r="AN1328" i="7"/>
  <c r="AG1328" i="7"/>
  <c r="W1328" i="7"/>
  <c r="V1328" i="7"/>
  <c r="AI1328" i="7" s="1"/>
  <c r="F1328" i="7"/>
  <c r="D1328" i="7"/>
  <c r="AN1327" i="7"/>
  <c r="AM1327" i="7"/>
  <c r="F1327" i="7"/>
  <c r="D1327" i="7"/>
  <c r="AN1326" i="7"/>
  <c r="AG1326" i="7"/>
  <c r="W1326" i="7"/>
  <c r="V1326" i="7"/>
  <c r="AI1326" i="7" s="1"/>
  <c r="F1326" i="7"/>
  <c r="D1326" i="7"/>
  <c r="AN1325" i="7"/>
  <c r="AG1325" i="7"/>
  <c r="W1325" i="7"/>
  <c r="V1325" i="7"/>
  <c r="AI1325" i="7" s="1"/>
  <c r="F1325" i="7"/>
  <c r="D1325" i="7"/>
  <c r="AN1324" i="7"/>
  <c r="AI1324" i="7"/>
  <c r="AG1324" i="7"/>
  <c r="W1324" i="7"/>
  <c r="Y1324" i="7" s="1"/>
  <c r="Z1324" i="7" s="1"/>
  <c r="F1324" i="7"/>
  <c r="D1324" i="7"/>
  <c r="AN1323" i="7"/>
  <c r="AI1323" i="7"/>
  <c r="AG1323" i="7"/>
  <c r="X1323" i="7"/>
  <c r="W1323" i="7"/>
  <c r="F1323" i="7"/>
  <c r="D1323" i="7"/>
  <c r="AN1322" i="7"/>
  <c r="AG1322" i="7"/>
  <c r="X1322" i="7"/>
  <c r="W1322" i="7"/>
  <c r="V1322" i="7"/>
  <c r="AI1322" i="7" s="1"/>
  <c r="F1322" i="7"/>
  <c r="D1322" i="7"/>
  <c r="AN1321" i="7"/>
  <c r="AI1321" i="7"/>
  <c r="AG1321" i="7"/>
  <c r="Y1321" i="7"/>
  <c r="Z1321" i="7" s="1"/>
  <c r="F1321" i="7"/>
  <c r="D1321" i="7"/>
  <c r="AN1320" i="7"/>
  <c r="AI1320" i="7"/>
  <c r="AG1320" i="7"/>
  <c r="Y1320" i="7"/>
  <c r="Z1320" i="7" s="1"/>
  <c r="F1320" i="7"/>
  <c r="D1320" i="7"/>
  <c r="AN1319" i="7"/>
  <c r="AI1319" i="7"/>
  <c r="AG1319" i="7"/>
  <c r="Y1319" i="7"/>
  <c r="Z1319" i="7" s="1"/>
  <c r="F1319" i="7"/>
  <c r="D1319" i="7"/>
  <c r="AN1318" i="7"/>
  <c r="AG1318" i="7"/>
  <c r="V1318" i="7"/>
  <c r="Y1318" i="7" s="1"/>
  <c r="Z1318" i="7" s="1"/>
  <c r="F1318" i="7"/>
  <c r="D1318" i="7"/>
  <c r="AN1317" i="7"/>
  <c r="AI1317" i="7"/>
  <c r="AG1317" i="7"/>
  <c r="X1317" i="7"/>
  <c r="W1317" i="7"/>
  <c r="F1317" i="7"/>
  <c r="D1317" i="7"/>
  <c r="AN1316" i="7"/>
  <c r="AG1316" i="7"/>
  <c r="W1316" i="7"/>
  <c r="V1316" i="7"/>
  <c r="AI1316" i="7" s="1"/>
  <c r="F1316" i="7"/>
  <c r="D1316" i="7"/>
  <c r="AN1315" i="7"/>
  <c r="AG1315" i="7"/>
  <c r="W1315" i="7"/>
  <c r="V1315" i="7"/>
  <c r="AI1315" i="7" s="1"/>
  <c r="F1315" i="7"/>
  <c r="D1315" i="7"/>
  <c r="AN1314" i="7"/>
  <c r="AI1314" i="7"/>
  <c r="AG1314" i="7"/>
  <c r="X1314" i="7"/>
  <c r="Y1314" i="7" s="1"/>
  <c r="Z1314" i="7" s="1"/>
  <c r="F1314" i="7"/>
  <c r="D1314" i="7"/>
  <c r="AN1313" i="7"/>
  <c r="AI1313" i="7"/>
  <c r="AG1313" i="7"/>
  <c r="Y1313" i="7"/>
  <c r="Z1313" i="7" s="1"/>
  <c r="F1313" i="7"/>
  <c r="D1313" i="7"/>
  <c r="AN1312" i="7"/>
  <c r="AI1312" i="7"/>
  <c r="AG1312" i="7"/>
  <c r="X1312" i="7"/>
  <c r="Y1312" i="7" s="1"/>
  <c r="Z1312" i="7" s="1"/>
  <c r="F1312" i="7"/>
  <c r="D1312" i="7"/>
  <c r="AN1311" i="7"/>
  <c r="AI1311" i="7"/>
  <c r="AG1311" i="7"/>
  <c r="Y1311" i="7"/>
  <c r="Z1311" i="7" s="1"/>
  <c r="F1311" i="7"/>
  <c r="D1311" i="7"/>
  <c r="AN1310" i="7"/>
  <c r="AI1310" i="7"/>
  <c r="AG1310" i="7"/>
  <c r="X1310" i="7"/>
  <c r="Y1310" i="7" s="1"/>
  <c r="Z1310" i="7" s="1"/>
  <c r="F1310" i="7"/>
  <c r="D1310" i="7"/>
  <c r="AN1309" i="7"/>
  <c r="AG1309" i="7"/>
  <c r="W1309" i="7"/>
  <c r="V1309" i="7"/>
  <c r="F1309" i="7"/>
  <c r="D1309" i="7"/>
  <c r="AN1308" i="7"/>
  <c r="AG1308" i="7"/>
  <c r="W1308" i="7"/>
  <c r="V1308" i="7"/>
  <c r="AI1308" i="7" s="1"/>
  <c r="F1308" i="7"/>
  <c r="D1308" i="7"/>
  <c r="AN1307" i="7"/>
  <c r="AG1307" i="7"/>
  <c r="W1307" i="7"/>
  <c r="V1307" i="7"/>
  <c r="F1307" i="7"/>
  <c r="D1307" i="7"/>
  <c r="AN1306" i="7"/>
  <c r="AI1306" i="7"/>
  <c r="AG1306" i="7"/>
  <c r="Y1306" i="7"/>
  <c r="Z1306" i="7" s="1"/>
  <c r="F1306" i="7"/>
  <c r="D1306" i="7"/>
  <c r="AN1305" i="7"/>
  <c r="AI1305" i="7"/>
  <c r="AG1305" i="7"/>
  <c r="Y1305" i="7"/>
  <c r="Z1305" i="7" s="1"/>
  <c r="F1305" i="7"/>
  <c r="D1305" i="7"/>
  <c r="AN1304" i="7"/>
  <c r="AG1304" i="7"/>
  <c r="W1304" i="7"/>
  <c r="V1304" i="7"/>
  <c r="AI1304" i="7" s="1"/>
  <c r="F1304" i="7"/>
  <c r="D1304" i="7"/>
  <c r="AN1303" i="7"/>
  <c r="AI1303" i="7"/>
  <c r="AG1303" i="7"/>
  <c r="Y1303" i="7"/>
  <c r="Z1303" i="7" s="1"/>
  <c r="AC1303" i="7" s="1"/>
  <c r="F1303" i="7"/>
  <c r="D1303" i="7"/>
  <c r="AN1302" i="7"/>
  <c r="AI1302" i="7"/>
  <c r="AG1302" i="7"/>
  <c r="W1302" i="7"/>
  <c r="Y1302" i="7" s="1"/>
  <c r="Z1302" i="7" s="1"/>
  <c r="F1302" i="7"/>
  <c r="D1302" i="7"/>
  <c r="AN1301" i="7"/>
  <c r="AG1301" i="7"/>
  <c r="V1301" i="7"/>
  <c r="Y1301" i="7" s="1"/>
  <c r="Z1301" i="7" s="1"/>
  <c r="F1301" i="7"/>
  <c r="D1301" i="7"/>
  <c r="AN1300" i="7"/>
  <c r="AI1300" i="7"/>
  <c r="AG1300" i="7"/>
  <c r="Y1300" i="7"/>
  <c r="Z1300" i="7" s="1"/>
  <c r="F1300" i="7"/>
  <c r="D1300" i="7"/>
  <c r="AN1299" i="7"/>
  <c r="AG1299" i="7"/>
  <c r="V1299" i="7"/>
  <c r="F1299" i="7"/>
  <c r="D1299" i="7"/>
  <c r="AN1298" i="7"/>
  <c r="AI1298" i="7"/>
  <c r="AG1298" i="7"/>
  <c r="W1298" i="7"/>
  <c r="Y1298" i="7" s="1"/>
  <c r="Z1298" i="7" s="1"/>
  <c r="F1298" i="7"/>
  <c r="D1298" i="7"/>
  <c r="AN1297" i="7"/>
  <c r="AG1297" i="7"/>
  <c r="X1297" i="7"/>
  <c r="W1297" i="7"/>
  <c r="V1297" i="7"/>
  <c r="AI1297" i="7" s="1"/>
  <c r="F1297" i="7"/>
  <c r="D1297" i="7"/>
  <c r="AN1296" i="7"/>
  <c r="AI1296" i="7"/>
  <c r="AG1296" i="7"/>
  <c r="Y1296" i="7"/>
  <c r="Z1296" i="7" s="1"/>
  <c r="F1296" i="7"/>
  <c r="D1296" i="7"/>
  <c r="AN1295" i="7"/>
  <c r="AI1295" i="7"/>
  <c r="AG1295" i="7"/>
  <c r="X1295" i="7"/>
  <c r="Y1295" i="7" s="1"/>
  <c r="Z1295" i="7" s="1"/>
  <c r="F1295" i="7"/>
  <c r="D1295" i="7"/>
  <c r="AN1294" i="7"/>
  <c r="AI1294" i="7"/>
  <c r="AG1294" i="7"/>
  <c r="Y1294" i="7"/>
  <c r="Z1294" i="7" s="1"/>
  <c r="F1294" i="7"/>
  <c r="D1294" i="7"/>
  <c r="AN1293" i="7"/>
  <c r="AI1293" i="7"/>
  <c r="AG1293" i="7"/>
  <c r="X1293" i="7"/>
  <c r="W1293" i="7"/>
  <c r="F1293" i="7"/>
  <c r="D1293" i="7"/>
  <c r="AN1292" i="7"/>
  <c r="AG1292" i="7"/>
  <c r="W1292" i="7"/>
  <c r="V1292" i="7"/>
  <c r="AI1292" i="7" s="1"/>
  <c r="F1292" i="7"/>
  <c r="D1292" i="7"/>
  <c r="AN1291" i="7"/>
  <c r="AG1291" i="7"/>
  <c r="X1291" i="7"/>
  <c r="W1291" i="7"/>
  <c r="V1291" i="7"/>
  <c r="AI1291" i="7" s="1"/>
  <c r="F1291" i="7"/>
  <c r="D1291" i="7"/>
  <c r="AN1290" i="7"/>
  <c r="AI1290" i="7"/>
  <c r="AG1290" i="7"/>
  <c r="Y1290" i="7"/>
  <c r="Z1290" i="7" s="1"/>
  <c r="F1290" i="7"/>
  <c r="D1290" i="7"/>
  <c r="AN1289" i="7"/>
  <c r="AI1289" i="7"/>
  <c r="AG1289" i="7"/>
  <c r="X1289" i="7"/>
  <c r="W1289" i="7"/>
  <c r="F1289" i="7"/>
  <c r="D1289" i="7"/>
  <c r="AN1288" i="7"/>
  <c r="AI1288" i="7"/>
  <c r="AG1288" i="7"/>
  <c r="Y1288" i="7"/>
  <c r="Z1288" i="7" s="1"/>
  <c r="F1288" i="7"/>
  <c r="D1288" i="7"/>
  <c r="AN1287" i="7"/>
  <c r="AI1287" i="7"/>
  <c r="AG1287" i="7"/>
  <c r="X1287" i="7"/>
  <c r="Y1287" i="7" s="1"/>
  <c r="Z1287" i="7" s="1"/>
  <c r="F1287" i="7"/>
  <c r="D1287" i="7"/>
  <c r="AN1286" i="7"/>
  <c r="AI1286" i="7"/>
  <c r="AG1286" i="7"/>
  <c r="Y1286" i="7"/>
  <c r="Z1286" i="7" s="1"/>
  <c r="F1286" i="7"/>
  <c r="D1286" i="7"/>
  <c r="AN1285" i="7"/>
  <c r="AI1285" i="7"/>
  <c r="AG1285" i="7"/>
  <c r="X1285" i="7"/>
  <c r="Y1285" i="7" s="1"/>
  <c r="Z1285" i="7" s="1"/>
  <c r="F1285" i="7"/>
  <c r="D1285" i="7"/>
  <c r="AN1284" i="7"/>
  <c r="AG1284" i="7"/>
  <c r="W1284" i="7"/>
  <c r="V1284" i="7"/>
  <c r="AI1284" i="7" s="1"/>
  <c r="F1284" i="7"/>
  <c r="D1284" i="7"/>
  <c r="AN1283" i="7"/>
  <c r="AM1283" i="7"/>
  <c r="F1283" i="7"/>
  <c r="D1283" i="7"/>
  <c r="AN1282" i="7"/>
  <c r="AI1282" i="7"/>
  <c r="AG1282" i="7"/>
  <c r="X1282" i="7"/>
  <c r="W1282" i="7"/>
  <c r="F1282" i="7"/>
  <c r="D1282" i="7"/>
  <c r="AN1281" i="7"/>
  <c r="AI1281" i="7"/>
  <c r="AG1281" i="7"/>
  <c r="X1281" i="7"/>
  <c r="Y1281" i="7" s="1"/>
  <c r="Z1281" i="7" s="1"/>
  <c r="AH1281" i="7" s="1"/>
  <c r="F1281" i="7"/>
  <c r="D1281" i="7"/>
  <c r="AN1280" i="7"/>
  <c r="AI1280" i="7"/>
  <c r="AG1280" i="7"/>
  <c r="W1280" i="7"/>
  <c r="Y1280" i="7" s="1"/>
  <c r="Z1280" i="7" s="1"/>
  <c r="F1280" i="7"/>
  <c r="D1280" i="7"/>
  <c r="AN1279" i="7"/>
  <c r="AI1279" i="7"/>
  <c r="AG1279" i="7"/>
  <c r="X1279" i="7"/>
  <c r="W1279" i="7"/>
  <c r="F1279" i="7"/>
  <c r="D1279" i="7"/>
  <c r="AN1278" i="7"/>
  <c r="AI1278" i="7"/>
  <c r="AG1278" i="7"/>
  <c r="X1278" i="7"/>
  <c r="W1278" i="7"/>
  <c r="F1278" i="7"/>
  <c r="D1278" i="7"/>
  <c r="AN1277" i="7"/>
  <c r="AI1277" i="7"/>
  <c r="AG1277" i="7"/>
  <c r="X1277" i="7"/>
  <c r="Y1277" i="7" s="1"/>
  <c r="Z1277" i="7" s="1"/>
  <c r="W1277" i="7"/>
  <c r="F1277" i="7"/>
  <c r="D1277" i="7"/>
  <c r="AN1276" i="7"/>
  <c r="AI1276" i="7"/>
  <c r="AG1276" i="7"/>
  <c r="AM1276" i="7" s="1"/>
  <c r="W1276" i="7"/>
  <c r="Y1276" i="7" s="1"/>
  <c r="Z1276" i="7" s="1"/>
  <c r="F1276" i="7"/>
  <c r="D1276" i="7"/>
  <c r="AN1275" i="7"/>
  <c r="AI1275" i="7"/>
  <c r="AG1275" i="7"/>
  <c r="W1275" i="7"/>
  <c r="Y1275" i="7" s="1"/>
  <c r="Z1275" i="7" s="1"/>
  <c r="F1275" i="7"/>
  <c r="D1275" i="7"/>
  <c r="AN1274" i="7"/>
  <c r="AI1274" i="7"/>
  <c r="AG1274" i="7"/>
  <c r="W1274" i="7"/>
  <c r="Y1274" i="7" s="1"/>
  <c r="Z1274" i="7" s="1"/>
  <c r="AA1274" i="7" s="1"/>
  <c r="F1274" i="7"/>
  <c r="D1274" i="7"/>
  <c r="AN1273" i="7"/>
  <c r="AG1273" i="7"/>
  <c r="W1273" i="7"/>
  <c r="Y1273" i="7" s="1"/>
  <c r="Z1273" i="7" s="1"/>
  <c r="V1273" i="7"/>
  <c r="F1273" i="7"/>
  <c r="D1273" i="7"/>
  <c r="AN1272" i="7"/>
  <c r="AG1272" i="7"/>
  <c r="V1272" i="7"/>
  <c r="F1272" i="7"/>
  <c r="D1272" i="7"/>
  <c r="AN1271" i="7"/>
  <c r="AG1271" i="7"/>
  <c r="V1271" i="7"/>
  <c r="Y1271" i="7" s="1"/>
  <c r="Z1271" i="7" s="1"/>
  <c r="F1271" i="7"/>
  <c r="D1271" i="7"/>
  <c r="AN1270" i="7"/>
  <c r="AG1270" i="7"/>
  <c r="W1270" i="7"/>
  <c r="V1270" i="7"/>
  <c r="AI1270" i="7" s="1"/>
  <c r="F1270" i="7"/>
  <c r="D1270" i="7"/>
  <c r="AN1269" i="7"/>
  <c r="AG1269" i="7"/>
  <c r="W1269" i="7"/>
  <c r="V1269" i="7"/>
  <c r="F1269" i="7"/>
  <c r="D1269" i="7"/>
  <c r="AN1268" i="7"/>
  <c r="AG1268" i="7"/>
  <c r="W1268" i="7"/>
  <c r="V1268" i="7"/>
  <c r="AI1268" i="7" s="1"/>
  <c r="F1268" i="7"/>
  <c r="D1268" i="7"/>
  <c r="AN1267" i="7"/>
  <c r="AG1267" i="7"/>
  <c r="W1267" i="7"/>
  <c r="V1267" i="7"/>
  <c r="AI1267" i="7" s="1"/>
  <c r="F1267" i="7"/>
  <c r="D1267" i="7"/>
  <c r="AN1266" i="7"/>
  <c r="AG1266" i="7"/>
  <c r="V1266" i="7"/>
  <c r="Y1266" i="7" s="1"/>
  <c r="Z1266" i="7" s="1"/>
  <c r="AC1266" i="7" s="1"/>
  <c r="F1266" i="7"/>
  <c r="D1266" i="7"/>
  <c r="AN1265" i="7"/>
  <c r="AG1265" i="7"/>
  <c r="W1265" i="7"/>
  <c r="V1265" i="7"/>
  <c r="AI1265" i="7" s="1"/>
  <c r="F1265" i="7"/>
  <c r="D1265" i="7"/>
  <c r="AN1264" i="7"/>
  <c r="AG1264" i="7"/>
  <c r="W1264" i="7"/>
  <c r="V1264" i="7"/>
  <c r="AI1264" i="7" s="1"/>
  <c r="F1264" i="7"/>
  <c r="D1264" i="7"/>
  <c r="AN1263" i="7"/>
  <c r="AI1263" i="7"/>
  <c r="AG1263" i="7"/>
  <c r="W1263" i="7"/>
  <c r="Y1263" i="7" s="1"/>
  <c r="Z1263" i="7" s="1"/>
  <c r="AC1263" i="7" s="1"/>
  <c r="F1263" i="7"/>
  <c r="D1263" i="7"/>
  <c r="AN1262" i="7"/>
  <c r="AI1262" i="7"/>
  <c r="AG1262" i="7"/>
  <c r="W1262" i="7"/>
  <c r="Y1262" i="7" s="1"/>
  <c r="Z1262" i="7" s="1"/>
  <c r="F1262" i="7"/>
  <c r="D1262" i="7"/>
  <c r="AN1261" i="7"/>
  <c r="AG1261" i="7"/>
  <c r="W1261" i="7"/>
  <c r="V1261" i="7"/>
  <c r="AI1261" i="7" s="1"/>
  <c r="F1261" i="7"/>
  <c r="D1261" i="7"/>
  <c r="AN1260" i="7"/>
  <c r="AG1260" i="7"/>
  <c r="V1260" i="7"/>
  <c r="F1260" i="7"/>
  <c r="D1260" i="7"/>
  <c r="AN1259" i="7"/>
  <c r="AG1259" i="7"/>
  <c r="W1259" i="7"/>
  <c r="V1259" i="7"/>
  <c r="F1259" i="7"/>
  <c r="D1259" i="7"/>
  <c r="AN1258" i="7"/>
  <c r="AG1258" i="7"/>
  <c r="W1258" i="7"/>
  <c r="V1258" i="7"/>
  <c r="AI1258" i="7" s="1"/>
  <c r="F1258" i="7"/>
  <c r="D1258" i="7"/>
  <c r="AN1257" i="7"/>
  <c r="AI1257" i="7"/>
  <c r="AG1257" i="7"/>
  <c r="Y1257" i="7"/>
  <c r="Z1257" i="7" s="1"/>
  <c r="F1257" i="7"/>
  <c r="D1257" i="7"/>
  <c r="AN1256" i="7"/>
  <c r="AI1256" i="7"/>
  <c r="AG1256" i="7"/>
  <c r="W1256" i="7"/>
  <c r="Y1256" i="7" s="1"/>
  <c r="Z1256" i="7" s="1"/>
  <c r="F1256" i="7"/>
  <c r="D1256" i="7"/>
  <c r="AN1255" i="7"/>
  <c r="AG1255" i="7"/>
  <c r="W1255" i="7"/>
  <c r="V1255" i="7"/>
  <c r="F1255" i="7"/>
  <c r="D1255" i="7"/>
  <c r="AN1254" i="7"/>
  <c r="AI1254" i="7"/>
  <c r="AG1254" i="7"/>
  <c r="W1254" i="7"/>
  <c r="Y1254" i="7" s="1"/>
  <c r="Z1254" i="7" s="1"/>
  <c r="F1254" i="7"/>
  <c r="D1254" i="7"/>
  <c r="AN1253" i="7"/>
  <c r="AG1253" i="7"/>
  <c r="W1253" i="7"/>
  <c r="V1253" i="7"/>
  <c r="F1253" i="7"/>
  <c r="D1253" i="7"/>
  <c r="AN1252" i="7"/>
  <c r="AG1252" i="7"/>
  <c r="W1252" i="7"/>
  <c r="V1252" i="7"/>
  <c r="AI1252" i="7" s="1"/>
  <c r="F1252" i="7"/>
  <c r="D1252" i="7"/>
  <c r="AN1251" i="7"/>
  <c r="AG1251" i="7"/>
  <c r="W1251" i="7"/>
  <c r="V1251" i="7"/>
  <c r="AI1251" i="7" s="1"/>
  <c r="F1251" i="7"/>
  <c r="D1251" i="7"/>
  <c r="AN1250" i="7"/>
  <c r="AG1250" i="7"/>
  <c r="W1250" i="7"/>
  <c r="V1250" i="7"/>
  <c r="AI1250" i="7" s="1"/>
  <c r="F1250" i="7"/>
  <c r="D1250" i="7"/>
  <c r="AN1249" i="7"/>
  <c r="AG1249" i="7"/>
  <c r="W1249" i="7"/>
  <c r="V1249" i="7"/>
  <c r="F1249" i="7"/>
  <c r="D1249" i="7"/>
  <c r="AN1248" i="7"/>
  <c r="AI1248" i="7"/>
  <c r="AG1248" i="7"/>
  <c r="W1248" i="7"/>
  <c r="Y1248" i="7" s="1"/>
  <c r="Z1248" i="7" s="1"/>
  <c r="F1248" i="7"/>
  <c r="D1248" i="7"/>
  <c r="AN1247" i="7"/>
  <c r="AG1247" i="7"/>
  <c r="X1247" i="7"/>
  <c r="W1247" i="7"/>
  <c r="V1247" i="7"/>
  <c r="AI1247" i="7" s="1"/>
  <c r="F1247" i="7"/>
  <c r="D1247" i="7"/>
  <c r="AN1246" i="7"/>
  <c r="AI1246" i="7"/>
  <c r="AG1246" i="7"/>
  <c r="X1246" i="7"/>
  <c r="W1246" i="7"/>
  <c r="F1246" i="7"/>
  <c r="D1246" i="7"/>
  <c r="AN1245" i="7"/>
  <c r="AI1245" i="7"/>
  <c r="AG1245" i="7"/>
  <c r="X1245" i="7"/>
  <c r="W1245" i="7"/>
  <c r="F1245" i="7"/>
  <c r="D1245" i="7"/>
  <c r="AN1244" i="7"/>
  <c r="AG1244" i="7"/>
  <c r="W1244" i="7"/>
  <c r="V1244" i="7"/>
  <c r="F1244" i="7"/>
  <c r="D1244" i="7"/>
  <c r="AN1243" i="7"/>
  <c r="AI1243" i="7"/>
  <c r="AG1243" i="7"/>
  <c r="Y1243" i="7"/>
  <c r="Z1243" i="7" s="1"/>
  <c r="F1243" i="7"/>
  <c r="D1243" i="7"/>
  <c r="AN1242" i="7"/>
  <c r="AI1242" i="7"/>
  <c r="AG1242" i="7"/>
  <c r="Y1242" i="7"/>
  <c r="Z1242" i="7" s="1"/>
  <c r="F1242" i="7"/>
  <c r="D1242" i="7"/>
  <c r="AN1241" i="7"/>
  <c r="AG1241" i="7"/>
  <c r="W1241" i="7"/>
  <c r="V1241" i="7"/>
  <c r="AI1241" i="7" s="1"/>
  <c r="F1241" i="7"/>
  <c r="D1241" i="7"/>
  <c r="AN1240" i="7"/>
  <c r="AG1240" i="7"/>
  <c r="W1240" i="7"/>
  <c r="V1240" i="7"/>
  <c r="F1240" i="7"/>
  <c r="D1240" i="7"/>
  <c r="AN1239" i="7"/>
  <c r="AI1239" i="7"/>
  <c r="AG1239" i="7"/>
  <c r="W1239" i="7"/>
  <c r="Y1239" i="7" s="1"/>
  <c r="Z1239" i="7" s="1"/>
  <c r="F1239" i="7"/>
  <c r="D1239" i="7"/>
  <c r="AN1238" i="7"/>
  <c r="AI1238" i="7"/>
  <c r="AG1238" i="7"/>
  <c r="W1238" i="7"/>
  <c r="Y1238" i="7" s="1"/>
  <c r="Z1238" i="7" s="1"/>
  <c r="F1238" i="7"/>
  <c r="D1238" i="7"/>
  <c r="AN1237" i="7"/>
  <c r="AG1237" i="7"/>
  <c r="W1237" i="7"/>
  <c r="V1237" i="7"/>
  <c r="AI1237" i="7" s="1"/>
  <c r="F1237" i="7"/>
  <c r="D1237" i="7"/>
  <c r="AN1236" i="7"/>
  <c r="AM1236" i="7"/>
  <c r="F1236" i="7"/>
  <c r="D1236" i="7"/>
  <c r="AN1235" i="7"/>
  <c r="AG1235" i="7"/>
  <c r="W1235" i="7"/>
  <c r="V1235" i="7"/>
  <c r="AI1235" i="7" s="1"/>
  <c r="F1235" i="7"/>
  <c r="D1235" i="7"/>
  <c r="AN1234" i="7"/>
  <c r="AG1234" i="7"/>
  <c r="X1234" i="7"/>
  <c r="V1234" i="7"/>
  <c r="F1234" i="7"/>
  <c r="D1234" i="7"/>
  <c r="AN1233" i="7"/>
  <c r="AG1233" i="7"/>
  <c r="X1233" i="7"/>
  <c r="V1233" i="7"/>
  <c r="AI1233" i="7" s="1"/>
  <c r="F1233" i="7"/>
  <c r="D1233" i="7"/>
  <c r="AN1232" i="7"/>
  <c r="AI1232" i="7"/>
  <c r="AG1232" i="7"/>
  <c r="X1232" i="7"/>
  <c r="Y1232" i="7" s="1"/>
  <c r="Z1232" i="7" s="1"/>
  <c r="F1232" i="7"/>
  <c r="D1232" i="7"/>
  <c r="AN1231" i="7"/>
  <c r="AI1231" i="7"/>
  <c r="AG1231" i="7"/>
  <c r="X1231" i="7"/>
  <c r="Y1231" i="7" s="1"/>
  <c r="Z1231" i="7" s="1"/>
  <c r="F1231" i="7"/>
  <c r="D1231" i="7"/>
  <c r="AN1230" i="7"/>
  <c r="AG1230" i="7"/>
  <c r="X1230" i="7"/>
  <c r="V1230" i="7"/>
  <c r="F1230" i="7"/>
  <c r="D1230" i="7"/>
  <c r="AN1229" i="7"/>
  <c r="AG1229" i="7"/>
  <c r="X1229" i="7"/>
  <c r="V1229" i="7"/>
  <c r="AI1229" i="7" s="1"/>
  <c r="F1229" i="7"/>
  <c r="D1229" i="7"/>
  <c r="AN1228" i="7"/>
  <c r="AI1228" i="7"/>
  <c r="AG1228" i="7"/>
  <c r="Y1228" i="7"/>
  <c r="Z1228" i="7" s="1"/>
  <c r="F1228" i="7"/>
  <c r="D1228" i="7"/>
  <c r="AN1227" i="7"/>
  <c r="AI1227" i="7"/>
  <c r="AG1227" i="7"/>
  <c r="X1227" i="7"/>
  <c r="Y1227" i="7" s="1"/>
  <c r="Z1227" i="7" s="1"/>
  <c r="F1227" i="7"/>
  <c r="D1227" i="7"/>
  <c r="AN1226" i="7"/>
  <c r="AG1226" i="7"/>
  <c r="W1226" i="7"/>
  <c r="V1226" i="7"/>
  <c r="AI1226" i="7" s="1"/>
  <c r="F1226" i="7"/>
  <c r="D1226" i="7"/>
  <c r="AN1225" i="7"/>
  <c r="AG1225" i="7"/>
  <c r="X1225" i="7"/>
  <c r="W1225" i="7"/>
  <c r="V1225" i="7"/>
  <c r="AI1225" i="7" s="1"/>
  <c r="F1225" i="7"/>
  <c r="D1225" i="7"/>
  <c r="AN1224" i="7"/>
  <c r="AI1224" i="7"/>
  <c r="AG1224" i="7"/>
  <c r="Y1224" i="7"/>
  <c r="Z1224" i="7" s="1"/>
  <c r="F1224" i="7"/>
  <c r="D1224" i="7"/>
  <c r="AN1223" i="7"/>
  <c r="AI1223" i="7"/>
  <c r="AG1223" i="7"/>
  <c r="Y1223" i="7"/>
  <c r="Z1223" i="7" s="1"/>
  <c r="F1223" i="7"/>
  <c r="D1223" i="7"/>
  <c r="AN1222" i="7"/>
  <c r="AG1222" i="7"/>
  <c r="V1222" i="7"/>
  <c r="AI1222" i="7" s="1"/>
  <c r="F1222" i="7"/>
  <c r="D1222" i="7"/>
  <c r="AN1221" i="7"/>
  <c r="AG1221" i="7"/>
  <c r="W1221" i="7"/>
  <c r="V1221" i="7"/>
  <c r="AI1221" i="7" s="1"/>
  <c r="F1221" i="7"/>
  <c r="D1221" i="7"/>
  <c r="AN1220" i="7"/>
  <c r="AG1220" i="7"/>
  <c r="X1220" i="7"/>
  <c r="W1220" i="7"/>
  <c r="V1220" i="7"/>
  <c r="AI1220" i="7" s="1"/>
  <c r="F1220" i="7"/>
  <c r="D1220" i="7"/>
  <c r="AN1219" i="7"/>
  <c r="AI1219" i="7"/>
  <c r="AG1219" i="7"/>
  <c r="Y1219" i="7"/>
  <c r="Z1219" i="7" s="1"/>
  <c r="F1219" i="7"/>
  <c r="D1219" i="7"/>
  <c r="AN1218" i="7"/>
  <c r="AI1218" i="7"/>
  <c r="AG1218" i="7"/>
  <c r="Y1218" i="7"/>
  <c r="Z1218" i="7" s="1"/>
  <c r="F1218" i="7"/>
  <c r="D1218" i="7"/>
  <c r="AN1217" i="7"/>
  <c r="AI1217" i="7"/>
  <c r="AG1217" i="7"/>
  <c r="Y1217" i="7"/>
  <c r="Z1217" i="7" s="1"/>
  <c r="F1217" i="7"/>
  <c r="D1217" i="7"/>
  <c r="AN1216" i="7"/>
  <c r="AG1216" i="7"/>
  <c r="W1216" i="7"/>
  <c r="V1216" i="7"/>
  <c r="AI1216" i="7" s="1"/>
  <c r="F1216" i="7"/>
  <c r="D1216" i="7"/>
  <c r="AN1215" i="7"/>
  <c r="AG1215" i="7"/>
  <c r="W1215" i="7"/>
  <c r="V1215" i="7"/>
  <c r="AI1215" i="7" s="1"/>
  <c r="F1215" i="7"/>
  <c r="D1215" i="7"/>
  <c r="AN1214" i="7"/>
  <c r="AI1214" i="7"/>
  <c r="AG1214" i="7"/>
  <c r="Y1214" i="7"/>
  <c r="Z1214" i="7" s="1"/>
  <c r="F1214" i="7"/>
  <c r="D1214" i="7"/>
  <c r="AN1213" i="7"/>
  <c r="AI1213" i="7"/>
  <c r="AG1213" i="7"/>
  <c r="Y1213" i="7"/>
  <c r="Z1213" i="7" s="1"/>
  <c r="F1213" i="7"/>
  <c r="D1213" i="7"/>
  <c r="AN1212" i="7"/>
  <c r="AI1212" i="7"/>
  <c r="AG1212" i="7"/>
  <c r="Y1212" i="7"/>
  <c r="Z1212" i="7" s="1"/>
  <c r="F1212" i="7"/>
  <c r="D1212" i="7"/>
  <c r="AN1211" i="7"/>
  <c r="AI1211" i="7"/>
  <c r="AG1211" i="7"/>
  <c r="Y1211" i="7"/>
  <c r="Z1211" i="7" s="1"/>
  <c r="F1211" i="7"/>
  <c r="D1211" i="7"/>
  <c r="AN1210" i="7"/>
  <c r="AG1210" i="7"/>
  <c r="W1210" i="7"/>
  <c r="V1210" i="7"/>
  <c r="AI1210" i="7" s="1"/>
  <c r="F1210" i="7"/>
  <c r="D1210" i="7"/>
  <c r="AN1209" i="7"/>
  <c r="AG1209" i="7"/>
  <c r="W1209" i="7"/>
  <c r="V1209" i="7"/>
  <c r="AI1209" i="7" s="1"/>
  <c r="F1209" i="7"/>
  <c r="D1209" i="7"/>
  <c r="AN1208" i="7"/>
  <c r="AI1208" i="7"/>
  <c r="AG1208" i="7"/>
  <c r="Y1208" i="7"/>
  <c r="Z1208" i="7" s="1"/>
  <c r="F1208" i="7"/>
  <c r="D1208" i="7"/>
  <c r="AN1207" i="7"/>
  <c r="AG1207" i="7"/>
  <c r="W1207" i="7"/>
  <c r="V1207" i="7"/>
  <c r="AI1207" i="7" s="1"/>
  <c r="F1207" i="7"/>
  <c r="D1207" i="7"/>
  <c r="AN1206" i="7"/>
  <c r="AI1206" i="7"/>
  <c r="AG1206" i="7"/>
  <c r="Y1206" i="7"/>
  <c r="Z1206" i="7" s="1"/>
  <c r="F1206" i="7"/>
  <c r="D1206" i="7"/>
  <c r="AN1205" i="7"/>
  <c r="AI1205" i="7"/>
  <c r="AG1205" i="7"/>
  <c r="Y1205" i="7"/>
  <c r="Z1205" i="7" s="1"/>
  <c r="F1205" i="7"/>
  <c r="D1205" i="7"/>
  <c r="AN1204" i="7"/>
  <c r="AG1204" i="7"/>
  <c r="W1204" i="7"/>
  <c r="V1204" i="7"/>
  <c r="AI1204" i="7" s="1"/>
  <c r="F1204" i="7"/>
  <c r="D1204" i="7"/>
  <c r="AN1203" i="7"/>
  <c r="AM1203" i="7"/>
  <c r="F1203" i="7"/>
  <c r="D1203" i="7"/>
  <c r="AN1202" i="7"/>
  <c r="AM1202" i="7"/>
  <c r="F1202" i="7"/>
  <c r="D1202" i="7"/>
  <c r="AN1201" i="7"/>
  <c r="AG1201" i="7"/>
  <c r="W1201" i="7"/>
  <c r="V1201" i="7"/>
  <c r="AI1201" i="7" s="1"/>
  <c r="F1201" i="7"/>
  <c r="D1201" i="7"/>
  <c r="AN1200" i="7"/>
  <c r="AI1200" i="7"/>
  <c r="AG1200" i="7"/>
  <c r="X1200" i="7"/>
  <c r="Y1200" i="7" s="1"/>
  <c r="Z1200" i="7" s="1"/>
  <c r="F1200" i="7"/>
  <c r="D1200" i="7"/>
  <c r="AN1199" i="7"/>
  <c r="AG1199" i="7"/>
  <c r="W1199" i="7"/>
  <c r="Y1199" i="7" s="1"/>
  <c r="Z1199" i="7" s="1"/>
  <c r="V1199" i="7"/>
  <c r="AI1199" i="7" s="1"/>
  <c r="F1199" i="7"/>
  <c r="D1199" i="7"/>
  <c r="AN1198" i="7"/>
  <c r="AI1198" i="7"/>
  <c r="AG1198" i="7"/>
  <c r="Y1198" i="7"/>
  <c r="Z1198" i="7" s="1"/>
  <c r="F1198" i="7"/>
  <c r="D1198" i="7"/>
  <c r="AN1197" i="7"/>
  <c r="AG1197" i="7"/>
  <c r="W1197" i="7"/>
  <c r="V1197" i="7"/>
  <c r="AI1197" i="7" s="1"/>
  <c r="F1197" i="7"/>
  <c r="D1197" i="7"/>
  <c r="AN1196" i="7"/>
  <c r="AG1196" i="7"/>
  <c r="X1196" i="7"/>
  <c r="W1196" i="7"/>
  <c r="V1196" i="7"/>
  <c r="AI1196" i="7" s="1"/>
  <c r="F1196" i="7"/>
  <c r="D1196" i="7"/>
  <c r="AN1195" i="7"/>
  <c r="AI1195" i="7"/>
  <c r="AG1195" i="7"/>
  <c r="Y1195" i="7"/>
  <c r="Z1195" i="7" s="1"/>
  <c r="F1195" i="7"/>
  <c r="D1195" i="7"/>
  <c r="AN1194" i="7"/>
  <c r="AI1194" i="7"/>
  <c r="AG1194" i="7"/>
  <c r="Y1194" i="7"/>
  <c r="Z1194" i="7" s="1"/>
  <c r="F1194" i="7"/>
  <c r="D1194" i="7"/>
  <c r="AN1193" i="7"/>
  <c r="AG1193" i="7"/>
  <c r="V1193" i="7"/>
  <c r="AI1193" i="7" s="1"/>
  <c r="F1193" i="7"/>
  <c r="D1193" i="7"/>
  <c r="AN1192" i="7"/>
  <c r="AG1192" i="7"/>
  <c r="W1192" i="7"/>
  <c r="V1192" i="7"/>
  <c r="F1192" i="7"/>
  <c r="D1192" i="7"/>
  <c r="AN1191" i="7"/>
  <c r="AI1191" i="7"/>
  <c r="AG1191" i="7"/>
  <c r="AC1191" i="7"/>
  <c r="X1191" i="7"/>
  <c r="W1191" i="7"/>
  <c r="F1191" i="7"/>
  <c r="D1191" i="7"/>
  <c r="AN1190" i="7"/>
  <c r="AG1190" i="7"/>
  <c r="W1190" i="7"/>
  <c r="V1190" i="7"/>
  <c r="AI1190" i="7" s="1"/>
  <c r="F1190" i="7"/>
  <c r="D1190" i="7"/>
  <c r="AN1189" i="7"/>
  <c r="AI1189" i="7"/>
  <c r="AG1189" i="7"/>
  <c r="W1189" i="7"/>
  <c r="Y1189" i="7" s="1"/>
  <c r="Z1189" i="7" s="1"/>
  <c r="F1189" i="7"/>
  <c r="D1189" i="7"/>
  <c r="AN1188" i="7"/>
  <c r="AI1188" i="7"/>
  <c r="AG1188" i="7"/>
  <c r="X1188" i="7"/>
  <c r="Y1188" i="7" s="1"/>
  <c r="Z1188" i="7" s="1"/>
  <c r="F1188" i="7"/>
  <c r="D1188" i="7"/>
  <c r="AN1187" i="7"/>
  <c r="AG1187" i="7"/>
  <c r="X1187" i="7"/>
  <c r="W1187" i="7"/>
  <c r="V1187" i="7"/>
  <c r="AI1187" i="7" s="1"/>
  <c r="F1187" i="7"/>
  <c r="D1187" i="7"/>
  <c r="AN1186" i="7"/>
  <c r="AG1186" i="7"/>
  <c r="W1186" i="7"/>
  <c r="V1186" i="7"/>
  <c r="AC1186" i="7" s="1"/>
  <c r="F1186" i="7"/>
  <c r="D1186" i="7"/>
  <c r="AN1185" i="7"/>
  <c r="AI1185" i="7"/>
  <c r="AG1185" i="7"/>
  <c r="Y1185" i="7"/>
  <c r="Z1185" i="7" s="1"/>
  <c r="AM1185" i="7" s="1"/>
  <c r="F1185" i="7"/>
  <c r="D1185" i="7"/>
  <c r="AN1184" i="7"/>
  <c r="AI1184" i="7"/>
  <c r="AG1184" i="7"/>
  <c r="W1184" i="7"/>
  <c r="Y1184" i="7" s="1"/>
  <c r="Z1184" i="7" s="1"/>
  <c r="F1184" i="7"/>
  <c r="D1184" i="7"/>
  <c r="AN1183" i="7"/>
  <c r="AG1183" i="7"/>
  <c r="W1183" i="7"/>
  <c r="V1183" i="7"/>
  <c r="F1183" i="7"/>
  <c r="D1183" i="7"/>
  <c r="AN1182" i="7"/>
  <c r="AG1182" i="7"/>
  <c r="X1182" i="7"/>
  <c r="W1182" i="7"/>
  <c r="V1182" i="7"/>
  <c r="AI1182" i="7" s="1"/>
  <c r="F1182" i="7"/>
  <c r="D1182" i="7"/>
  <c r="AN1181" i="7"/>
  <c r="AG1181" i="7"/>
  <c r="W1181" i="7"/>
  <c r="V1181" i="7"/>
  <c r="AI1181" i="7" s="1"/>
  <c r="F1181" i="7"/>
  <c r="D1181" i="7"/>
  <c r="AN1180" i="7"/>
  <c r="AG1180" i="7"/>
  <c r="X1180" i="7"/>
  <c r="W1180" i="7"/>
  <c r="V1180" i="7"/>
  <c r="F1180" i="7"/>
  <c r="D1180" i="7"/>
  <c r="AN1179" i="7"/>
  <c r="AI1179" i="7"/>
  <c r="AG1179" i="7"/>
  <c r="X1179" i="7"/>
  <c r="W1179" i="7"/>
  <c r="F1179" i="7"/>
  <c r="D1179" i="7"/>
  <c r="AN1178" i="7"/>
  <c r="AM1178" i="7"/>
  <c r="F1178" i="7"/>
  <c r="D1178" i="7"/>
  <c r="AN1177" i="7"/>
  <c r="AI1177" i="7"/>
  <c r="AG1177" i="7"/>
  <c r="X1177" i="7"/>
  <c r="W1177" i="7"/>
  <c r="F1177" i="7"/>
  <c r="D1177" i="7"/>
  <c r="AN1176" i="7"/>
  <c r="AG1176" i="7"/>
  <c r="W1176" i="7"/>
  <c r="V1176" i="7"/>
  <c r="F1176" i="7"/>
  <c r="D1176" i="7"/>
  <c r="AN1175" i="7"/>
  <c r="AI1175" i="7"/>
  <c r="AG1175" i="7"/>
  <c r="Y1175" i="7"/>
  <c r="Z1175" i="7" s="1"/>
  <c r="F1175" i="7"/>
  <c r="D1175" i="7"/>
  <c r="AN1174" i="7"/>
  <c r="AI1174" i="7"/>
  <c r="AG1174" i="7"/>
  <c r="Y1174" i="7"/>
  <c r="Z1174" i="7" s="1"/>
  <c r="F1174" i="7"/>
  <c r="D1174" i="7"/>
  <c r="AN1173" i="7"/>
  <c r="AI1173" i="7"/>
  <c r="AG1173" i="7"/>
  <c r="Y1173" i="7"/>
  <c r="Z1173" i="7" s="1"/>
  <c r="F1173" i="7"/>
  <c r="D1173" i="7"/>
  <c r="AN1172" i="7"/>
  <c r="AG1172" i="7"/>
  <c r="W1172" i="7"/>
  <c r="V1172" i="7"/>
  <c r="F1172" i="7"/>
  <c r="D1172" i="7"/>
  <c r="AN1171" i="7"/>
  <c r="AG1171" i="7"/>
  <c r="W1171" i="7"/>
  <c r="V1171" i="7"/>
  <c r="AI1171" i="7" s="1"/>
  <c r="F1171" i="7"/>
  <c r="D1171" i="7"/>
  <c r="AN1170" i="7"/>
  <c r="AG1170" i="7"/>
  <c r="W1170" i="7"/>
  <c r="V1170" i="7"/>
  <c r="F1170" i="7"/>
  <c r="D1170" i="7"/>
  <c r="AN1169" i="7"/>
  <c r="AI1169" i="7"/>
  <c r="AG1169" i="7"/>
  <c r="Y1169" i="7"/>
  <c r="Z1169" i="7" s="1"/>
  <c r="F1169" i="7"/>
  <c r="D1169" i="7"/>
  <c r="AN1168" i="7"/>
  <c r="AI1168" i="7"/>
  <c r="AG1168" i="7"/>
  <c r="Y1168" i="7"/>
  <c r="Z1168" i="7" s="1"/>
  <c r="F1168" i="7"/>
  <c r="D1168" i="7"/>
  <c r="AN1167" i="7"/>
  <c r="AG1167" i="7"/>
  <c r="V1167" i="7"/>
  <c r="Y1167" i="7" s="1"/>
  <c r="Z1167" i="7" s="1"/>
  <c r="F1167" i="7"/>
  <c r="D1167" i="7"/>
  <c r="AN1166" i="7"/>
  <c r="AG1166" i="7"/>
  <c r="W1166" i="7"/>
  <c r="V1166" i="7"/>
  <c r="AI1166" i="7" s="1"/>
  <c r="F1166" i="7"/>
  <c r="D1166" i="7"/>
  <c r="AN1165" i="7"/>
  <c r="AG1165" i="7"/>
  <c r="X1165" i="7"/>
  <c r="W1165" i="7"/>
  <c r="V1165" i="7"/>
  <c r="F1165" i="7"/>
  <c r="D1165" i="7"/>
  <c r="AN1164" i="7"/>
  <c r="X1164" i="7"/>
  <c r="V1164" i="7"/>
  <c r="F1164" i="7"/>
  <c r="D1164" i="7"/>
  <c r="AN1163" i="7"/>
  <c r="AG1163" i="7"/>
  <c r="W1163" i="7"/>
  <c r="V1163" i="7"/>
  <c r="AI1163" i="7" s="1"/>
  <c r="F1163" i="7"/>
  <c r="D1163" i="7"/>
  <c r="AN1162" i="7"/>
  <c r="AG1162" i="7"/>
  <c r="X1162" i="7"/>
  <c r="V1162" i="7"/>
  <c r="AI1162" i="7" s="1"/>
  <c r="F1162" i="7"/>
  <c r="D1162" i="7"/>
  <c r="AN1161" i="7"/>
  <c r="AI1161" i="7"/>
  <c r="AG1161" i="7"/>
  <c r="X1161" i="7"/>
  <c r="Y1161" i="7" s="1"/>
  <c r="Z1161" i="7" s="1"/>
  <c r="F1161" i="7"/>
  <c r="D1161" i="7"/>
  <c r="AN1160" i="7"/>
  <c r="AG1160" i="7"/>
  <c r="X1160" i="7"/>
  <c r="V1160" i="7"/>
  <c r="AI1160" i="7" s="1"/>
  <c r="F1160" i="7"/>
  <c r="D1160" i="7"/>
  <c r="AN1159" i="7"/>
  <c r="AG1159" i="7"/>
  <c r="X1159" i="7"/>
  <c r="V1159" i="7"/>
  <c r="AI1159" i="7" s="1"/>
  <c r="F1159" i="7"/>
  <c r="D1159" i="7"/>
  <c r="AN1158" i="7"/>
  <c r="AI1158" i="7"/>
  <c r="AG1158" i="7"/>
  <c r="X1158" i="7"/>
  <c r="W1158" i="7"/>
  <c r="F1158" i="7"/>
  <c r="D1158" i="7"/>
  <c r="AN1157" i="7"/>
  <c r="AI1157" i="7"/>
  <c r="AG1157" i="7"/>
  <c r="W1157" i="7"/>
  <c r="Y1157" i="7" s="1"/>
  <c r="Z1157" i="7" s="1"/>
  <c r="F1157" i="7"/>
  <c r="D1157" i="7"/>
  <c r="AN1156" i="7"/>
  <c r="AI1156" i="7"/>
  <c r="AG1156" i="7"/>
  <c r="Y1156" i="7"/>
  <c r="Z1156" i="7" s="1"/>
  <c r="F1156" i="7"/>
  <c r="D1156" i="7"/>
  <c r="AN1155" i="7"/>
  <c r="AI1155" i="7"/>
  <c r="AG1155" i="7"/>
  <c r="W1155" i="7"/>
  <c r="Y1155" i="7" s="1"/>
  <c r="Z1155" i="7" s="1"/>
  <c r="F1155" i="7"/>
  <c r="D1155" i="7"/>
  <c r="AN1154" i="7"/>
  <c r="AI1154" i="7"/>
  <c r="AG1154" i="7"/>
  <c r="W1154" i="7"/>
  <c r="Y1154" i="7" s="1"/>
  <c r="Z1154" i="7" s="1"/>
  <c r="F1154" i="7"/>
  <c r="D1154" i="7"/>
  <c r="AN1153" i="7"/>
  <c r="AG1153" i="7"/>
  <c r="V1153" i="7"/>
  <c r="Y1153" i="7" s="1"/>
  <c r="Z1153" i="7" s="1"/>
  <c r="F1153" i="7"/>
  <c r="D1153" i="7"/>
  <c r="AN1152" i="7"/>
  <c r="AG1152" i="7"/>
  <c r="X1152" i="7"/>
  <c r="W1152" i="7"/>
  <c r="V1152" i="7"/>
  <c r="F1152" i="7"/>
  <c r="D1152" i="7"/>
  <c r="AN1151" i="7"/>
  <c r="AI1151" i="7"/>
  <c r="AG1151" i="7"/>
  <c r="W1151" i="7"/>
  <c r="Y1151" i="7" s="1"/>
  <c r="Z1151" i="7" s="1"/>
  <c r="F1151" i="7"/>
  <c r="D1151" i="7"/>
  <c r="AN1150" i="7"/>
  <c r="AM1150" i="7"/>
  <c r="F1150" i="7"/>
  <c r="D1150" i="7"/>
  <c r="AN1149" i="7"/>
  <c r="AM1149" i="7"/>
  <c r="F1149" i="7"/>
  <c r="D1149" i="7"/>
  <c r="AN1148" i="7"/>
  <c r="AI1148" i="7"/>
  <c r="AG1148" i="7"/>
  <c r="X1148" i="7"/>
  <c r="Y1148" i="7" s="1"/>
  <c r="Z1148" i="7" s="1"/>
  <c r="F1148" i="7"/>
  <c r="D1148" i="7"/>
  <c r="AN1147" i="7"/>
  <c r="AI1147" i="7"/>
  <c r="AG1147" i="7"/>
  <c r="Y1147" i="7"/>
  <c r="Z1147" i="7" s="1"/>
  <c r="F1147" i="7"/>
  <c r="D1147" i="7"/>
  <c r="AN1146" i="7"/>
  <c r="AI1146" i="7"/>
  <c r="AG1146" i="7"/>
  <c r="W1146" i="7"/>
  <c r="Y1146" i="7" s="1"/>
  <c r="Z1146" i="7" s="1"/>
  <c r="F1146" i="7"/>
  <c r="D1146" i="7"/>
  <c r="AN1145" i="7"/>
  <c r="AI1145" i="7"/>
  <c r="AG1145" i="7"/>
  <c r="Y1145" i="7"/>
  <c r="Z1145" i="7" s="1"/>
  <c r="F1145" i="7"/>
  <c r="D1145" i="7"/>
  <c r="AN1144" i="7"/>
  <c r="AI1144" i="7"/>
  <c r="AG1144" i="7"/>
  <c r="W1144" i="7"/>
  <c r="Y1144" i="7" s="1"/>
  <c r="Z1144" i="7" s="1"/>
  <c r="F1144" i="7"/>
  <c r="D1144" i="7"/>
  <c r="AN1143" i="7"/>
  <c r="AG1143" i="7"/>
  <c r="X1143" i="7"/>
  <c r="W1143" i="7"/>
  <c r="V1143" i="7"/>
  <c r="AI1143" i="7" s="1"/>
  <c r="F1143" i="7"/>
  <c r="D1143" i="7"/>
  <c r="AN1142" i="7"/>
  <c r="AG1142" i="7"/>
  <c r="V1142" i="7"/>
  <c r="Y1142" i="7" s="1"/>
  <c r="Z1142" i="7" s="1"/>
  <c r="F1142" i="7"/>
  <c r="D1142" i="7"/>
  <c r="AN1141" i="7"/>
  <c r="AG1141" i="7"/>
  <c r="W1141" i="7"/>
  <c r="V1141" i="7"/>
  <c r="AI1141" i="7" s="1"/>
  <c r="F1141" i="7"/>
  <c r="D1141" i="7"/>
  <c r="AN1140" i="7"/>
  <c r="AI1140" i="7"/>
  <c r="AG1140" i="7"/>
  <c r="W1140" i="7"/>
  <c r="Y1140" i="7" s="1"/>
  <c r="Z1140" i="7" s="1"/>
  <c r="F1140" i="7"/>
  <c r="D1140" i="7"/>
  <c r="AN1139" i="7"/>
  <c r="AG1139" i="7"/>
  <c r="W1139" i="7"/>
  <c r="V1139" i="7"/>
  <c r="AI1139" i="7" s="1"/>
  <c r="F1139" i="7"/>
  <c r="D1139" i="7"/>
  <c r="AN1138" i="7"/>
  <c r="AG1138" i="7"/>
  <c r="W1138" i="7"/>
  <c r="V1138" i="7"/>
  <c r="AI1138" i="7" s="1"/>
  <c r="F1138" i="7"/>
  <c r="D1138" i="7"/>
  <c r="AN1137" i="7"/>
  <c r="AI1137" i="7"/>
  <c r="AG1137" i="7"/>
  <c r="W1137" i="7"/>
  <c r="Y1137" i="7" s="1"/>
  <c r="Z1137" i="7" s="1"/>
  <c r="F1137" i="7"/>
  <c r="D1137" i="7"/>
  <c r="AN1136" i="7"/>
  <c r="AG1136" i="7"/>
  <c r="V1136" i="7"/>
  <c r="Y1136" i="7" s="1"/>
  <c r="Z1136" i="7" s="1"/>
  <c r="F1136" i="7"/>
  <c r="D1136" i="7"/>
  <c r="AN1135" i="7"/>
  <c r="AG1135" i="7"/>
  <c r="W1135" i="7"/>
  <c r="V1135" i="7"/>
  <c r="F1135" i="7"/>
  <c r="D1135" i="7"/>
  <c r="AN1134" i="7"/>
  <c r="AG1134" i="7"/>
  <c r="W1134" i="7"/>
  <c r="V1134" i="7"/>
  <c r="F1134" i="7"/>
  <c r="D1134" i="7"/>
  <c r="AN1133" i="7"/>
  <c r="AI1133" i="7"/>
  <c r="AG1133" i="7"/>
  <c r="W1133" i="7"/>
  <c r="Y1133" i="7" s="1"/>
  <c r="Z1133" i="7" s="1"/>
  <c r="F1133" i="7"/>
  <c r="D1133" i="7"/>
  <c r="AN1132" i="7"/>
  <c r="AG1132" i="7"/>
  <c r="W1132" i="7"/>
  <c r="V1132" i="7"/>
  <c r="AI1132" i="7" s="1"/>
  <c r="F1132" i="7"/>
  <c r="D1132" i="7"/>
  <c r="AN1131" i="7"/>
  <c r="AG1131" i="7"/>
  <c r="W1131" i="7"/>
  <c r="Y1131" i="7" s="1"/>
  <c r="Z1131" i="7" s="1"/>
  <c r="V1131" i="7"/>
  <c r="AI1131" i="7" s="1"/>
  <c r="F1131" i="7"/>
  <c r="D1131" i="7"/>
  <c r="AN1130" i="7"/>
  <c r="AG1130" i="7"/>
  <c r="W1130" i="7"/>
  <c r="V1130" i="7"/>
  <c r="AI1130" i="7" s="1"/>
  <c r="F1130" i="7"/>
  <c r="D1130" i="7"/>
  <c r="AN1129" i="7"/>
  <c r="AG1129" i="7"/>
  <c r="W1129" i="7"/>
  <c r="V1129" i="7"/>
  <c r="F1129" i="7"/>
  <c r="D1129" i="7"/>
  <c r="AN1128" i="7"/>
  <c r="AG1128" i="7"/>
  <c r="W1128" i="7"/>
  <c r="V1128" i="7"/>
  <c r="AI1128" i="7" s="1"/>
  <c r="F1128" i="7"/>
  <c r="D1128" i="7"/>
  <c r="AN1127" i="7"/>
  <c r="AI1127" i="7"/>
  <c r="AG1127" i="7"/>
  <c r="AH1127" i="7" s="1"/>
  <c r="W1127" i="7"/>
  <c r="Y1127" i="7" s="1"/>
  <c r="Z1127" i="7" s="1"/>
  <c r="AA1127" i="7" s="1"/>
  <c r="F1127" i="7"/>
  <c r="D1127" i="7"/>
  <c r="AN1126" i="7"/>
  <c r="AI1126" i="7"/>
  <c r="AG1126" i="7"/>
  <c r="W1126" i="7"/>
  <c r="Y1126" i="7" s="1"/>
  <c r="Z1126" i="7" s="1"/>
  <c r="AA1126" i="7" s="1"/>
  <c r="F1126" i="7"/>
  <c r="D1126" i="7"/>
  <c r="AN1125" i="7"/>
  <c r="AG1125" i="7"/>
  <c r="W1125" i="7"/>
  <c r="V1125" i="7"/>
  <c r="AI1125" i="7" s="1"/>
  <c r="F1125" i="7"/>
  <c r="D1125" i="7"/>
  <c r="AN1124" i="7"/>
  <c r="AI1124" i="7"/>
  <c r="AG1124" i="7"/>
  <c r="W1124" i="7"/>
  <c r="Y1124" i="7" s="1"/>
  <c r="Z1124" i="7" s="1"/>
  <c r="F1124" i="7"/>
  <c r="D1124" i="7"/>
  <c r="AN1123" i="7"/>
  <c r="AG1123" i="7"/>
  <c r="X1123" i="7"/>
  <c r="W1123" i="7"/>
  <c r="V1123" i="7"/>
  <c r="AI1123" i="7" s="1"/>
  <c r="F1123" i="7"/>
  <c r="D1123" i="7"/>
  <c r="AN1122" i="7"/>
  <c r="AI1122" i="7"/>
  <c r="AG1122" i="7"/>
  <c r="Y1122" i="7"/>
  <c r="Z1122" i="7" s="1"/>
  <c r="F1122" i="7"/>
  <c r="D1122" i="7"/>
  <c r="AN1121" i="7"/>
  <c r="AI1121" i="7"/>
  <c r="AG1121" i="7"/>
  <c r="W1121" i="7"/>
  <c r="Y1121" i="7" s="1"/>
  <c r="Z1121" i="7" s="1"/>
  <c r="F1121" i="7"/>
  <c r="D1121" i="7"/>
  <c r="AN1120" i="7"/>
  <c r="AI1120" i="7"/>
  <c r="AG1120" i="7"/>
  <c r="W1120" i="7"/>
  <c r="Y1120" i="7" s="1"/>
  <c r="Z1120" i="7" s="1"/>
  <c r="F1120" i="7"/>
  <c r="D1120" i="7"/>
  <c r="AN1119" i="7"/>
  <c r="AG1119" i="7"/>
  <c r="V1119" i="7"/>
  <c r="F1119" i="7"/>
  <c r="D1119" i="7"/>
  <c r="AN1118" i="7"/>
  <c r="AG1118" i="7"/>
  <c r="W1118" i="7"/>
  <c r="V1118" i="7"/>
  <c r="AI1118" i="7" s="1"/>
  <c r="F1118" i="7"/>
  <c r="D1118" i="7"/>
  <c r="AN1117" i="7"/>
  <c r="AI1117" i="7"/>
  <c r="AG1117" i="7"/>
  <c r="W1117" i="7"/>
  <c r="Y1117" i="7" s="1"/>
  <c r="Z1117" i="7" s="1"/>
  <c r="F1117" i="7"/>
  <c r="D1117" i="7"/>
  <c r="AN1116" i="7"/>
  <c r="AG1116" i="7"/>
  <c r="W1116" i="7"/>
  <c r="V1116" i="7"/>
  <c r="AI1116" i="7" s="1"/>
  <c r="F1116" i="7"/>
  <c r="D1116" i="7"/>
  <c r="AN1115" i="7"/>
  <c r="AM1115" i="7"/>
  <c r="F1115" i="7"/>
  <c r="D1115" i="7"/>
  <c r="AN1114" i="7"/>
  <c r="AG1114" i="7"/>
  <c r="W1114" i="7"/>
  <c r="V1114" i="7"/>
  <c r="AI1114" i="7" s="1"/>
  <c r="F1114" i="7"/>
  <c r="D1114" i="7"/>
  <c r="AN1113" i="7"/>
  <c r="AI1113" i="7"/>
  <c r="AG1113" i="7"/>
  <c r="Y1113" i="7"/>
  <c r="Z1113" i="7" s="1"/>
  <c r="AA1113" i="7" s="1"/>
  <c r="F1113" i="7"/>
  <c r="D1113" i="7"/>
  <c r="AN1112" i="7"/>
  <c r="AI1112" i="7"/>
  <c r="AG1112" i="7"/>
  <c r="W1112" i="7"/>
  <c r="Y1112" i="7" s="1"/>
  <c r="Z1112" i="7" s="1"/>
  <c r="AA1112" i="7" s="1"/>
  <c r="F1112" i="7"/>
  <c r="D1112" i="7"/>
  <c r="AN1111" i="7"/>
  <c r="AI1111" i="7"/>
  <c r="AG1111" i="7"/>
  <c r="W1111" i="7"/>
  <c r="Y1111" i="7" s="1"/>
  <c r="Z1111" i="7" s="1"/>
  <c r="F1111" i="7"/>
  <c r="D1111" i="7"/>
  <c r="AN1110" i="7"/>
  <c r="AG1110" i="7"/>
  <c r="W1110" i="7"/>
  <c r="V1110" i="7"/>
  <c r="AI1110" i="7" s="1"/>
  <c r="F1110" i="7"/>
  <c r="D1110" i="7"/>
  <c r="AN1109" i="7"/>
  <c r="AI1109" i="7"/>
  <c r="AG1109" i="7"/>
  <c r="Y1109" i="7"/>
  <c r="Z1109" i="7" s="1"/>
  <c r="F1109" i="7"/>
  <c r="D1109" i="7"/>
  <c r="AN1108" i="7"/>
  <c r="AI1108" i="7"/>
  <c r="AG1108" i="7"/>
  <c r="Y1108" i="7"/>
  <c r="Z1108" i="7" s="1"/>
  <c r="F1108" i="7"/>
  <c r="D1108" i="7"/>
  <c r="AN1107" i="7"/>
  <c r="AG1107" i="7"/>
  <c r="W1107" i="7"/>
  <c r="V1107" i="7"/>
  <c r="AI1107" i="7" s="1"/>
  <c r="F1107" i="7"/>
  <c r="D1107" i="7"/>
  <c r="AN1106" i="7"/>
  <c r="AI1106" i="7"/>
  <c r="AG1106" i="7"/>
  <c r="W1106" i="7"/>
  <c r="Y1106" i="7" s="1"/>
  <c r="Z1106" i="7" s="1"/>
  <c r="F1106" i="7"/>
  <c r="D1106" i="7"/>
  <c r="AN1105" i="7"/>
  <c r="AG1105" i="7"/>
  <c r="V1105" i="7"/>
  <c r="AI1105" i="7" s="1"/>
  <c r="F1105" i="7"/>
  <c r="D1105" i="7"/>
  <c r="AN1104" i="7"/>
  <c r="AG1104" i="7"/>
  <c r="W1104" i="7"/>
  <c r="V1104" i="7"/>
  <c r="AI1104" i="7" s="1"/>
  <c r="F1104" i="7"/>
  <c r="D1104" i="7"/>
  <c r="AN1103" i="7"/>
  <c r="AI1103" i="7"/>
  <c r="AG1103" i="7"/>
  <c r="W1103" i="7"/>
  <c r="Y1103" i="7" s="1"/>
  <c r="Z1103" i="7" s="1"/>
  <c r="F1103" i="7"/>
  <c r="D1103" i="7"/>
  <c r="AN1102" i="7"/>
  <c r="AI1102" i="7"/>
  <c r="AG1102" i="7"/>
  <c r="X1102" i="7"/>
  <c r="W1102" i="7"/>
  <c r="F1102" i="7"/>
  <c r="D1102" i="7"/>
  <c r="AN1101" i="7"/>
  <c r="AI1101" i="7"/>
  <c r="AG1101" i="7"/>
  <c r="W1101" i="7"/>
  <c r="Y1101" i="7" s="1"/>
  <c r="Z1101" i="7" s="1"/>
  <c r="F1101" i="7"/>
  <c r="D1101" i="7"/>
  <c r="AN1100" i="7"/>
  <c r="AI1100" i="7"/>
  <c r="AG1100" i="7"/>
  <c r="W1100" i="7"/>
  <c r="Y1100" i="7" s="1"/>
  <c r="Z1100" i="7" s="1"/>
  <c r="F1100" i="7"/>
  <c r="D1100" i="7"/>
  <c r="AN1099" i="7"/>
  <c r="AG1099" i="7"/>
  <c r="X1099" i="7"/>
  <c r="W1099" i="7"/>
  <c r="V1099" i="7"/>
  <c r="F1099" i="7"/>
  <c r="D1099" i="7"/>
  <c r="AN1098" i="7"/>
  <c r="AG1098" i="7"/>
  <c r="W1098" i="7"/>
  <c r="V1098" i="7"/>
  <c r="AI1098" i="7" s="1"/>
  <c r="F1098" i="7"/>
  <c r="D1098" i="7"/>
  <c r="AN1097" i="7"/>
  <c r="AI1097" i="7"/>
  <c r="AG1097" i="7"/>
  <c r="Y1097" i="7"/>
  <c r="Z1097" i="7" s="1"/>
  <c r="F1097" i="7"/>
  <c r="D1097" i="7"/>
  <c r="AN1096" i="7"/>
  <c r="AI1096" i="7"/>
  <c r="AG1096" i="7"/>
  <c r="Y1096" i="7"/>
  <c r="Z1096" i="7" s="1"/>
  <c r="F1096" i="7"/>
  <c r="D1096" i="7"/>
  <c r="AN1095" i="7"/>
  <c r="AI1095" i="7"/>
  <c r="AG1095" i="7"/>
  <c r="X1095" i="7"/>
  <c r="W1095" i="7"/>
  <c r="F1095" i="7"/>
  <c r="D1095" i="7"/>
  <c r="AN1094" i="7"/>
  <c r="AI1094" i="7"/>
  <c r="AG1094" i="7"/>
  <c r="Y1094" i="7"/>
  <c r="Z1094" i="7" s="1"/>
  <c r="F1094" i="7"/>
  <c r="D1094" i="7"/>
  <c r="AN1093" i="7"/>
  <c r="AI1093" i="7"/>
  <c r="AG1093" i="7"/>
  <c r="Y1093" i="7"/>
  <c r="Z1093" i="7" s="1"/>
  <c r="F1093" i="7"/>
  <c r="D1093" i="7"/>
  <c r="AN1092" i="7"/>
  <c r="AI1092" i="7"/>
  <c r="AG1092" i="7"/>
  <c r="Y1092" i="7"/>
  <c r="Z1092" i="7" s="1"/>
  <c r="F1092" i="7"/>
  <c r="D1092" i="7"/>
  <c r="AN1091" i="7"/>
  <c r="AI1091" i="7"/>
  <c r="AG1091" i="7"/>
  <c r="Y1091" i="7"/>
  <c r="Z1091" i="7" s="1"/>
  <c r="F1091" i="7"/>
  <c r="D1091" i="7"/>
  <c r="AN1090" i="7"/>
  <c r="AG1090" i="7"/>
  <c r="W1090" i="7"/>
  <c r="V1090" i="7"/>
  <c r="AI1090" i="7" s="1"/>
  <c r="F1090" i="7"/>
  <c r="D1090" i="7"/>
  <c r="AN1089" i="7"/>
  <c r="AM1089" i="7"/>
  <c r="F1089" i="7"/>
  <c r="D1089" i="7"/>
  <c r="AN1088" i="7"/>
  <c r="AG1088" i="7"/>
  <c r="W1088" i="7"/>
  <c r="V1088" i="7"/>
  <c r="AI1088" i="7" s="1"/>
  <c r="F1088" i="7"/>
  <c r="D1088" i="7"/>
  <c r="AN1087" i="7"/>
  <c r="AG1087" i="7"/>
  <c r="W1087" i="7"/>
  <c r="V1087" i="7"/>
  <c r="AI1087" i="7" s="1"/>
  <c r="F1087" i="7"/>
  <c r="D1087" i="7"/>
  <c r="AN1086" i="7"/>
  <c r="AI1086" i="7"/>
  <c r="AG1086" i="7"/>
  <c r="Y1086" i="7"/>
  <c r="Z1086" i="7" s="1"/>
  <c r="F1086" i="7"/>
  <c r="D1086" i="7"/>
  <c r="AN1085" i="7"/>
  <c r="AG1085" i="7"/>
  <c r="W1085" i="7"/>
  <c r="V1085" i="7"/>
  <c r="AI1085" i="7" s="1"/>
  <c r="F1085" i="7"/>
  <c r="D1085" i="7"/>
  <c r="AN1084" i="7"/>
  <c r="AG1084" i="7"/>
  <c r="W1084" i="7"/>
  <c r="V1084" i="7"/>
  <c r="F1084" i="7"/>
  <c r="D1084" i="7"/>
  <c r="AN1083" i="7"/>
  <c r="AI1083" i="7"/>
  <c r="AG1083" i="7"/>
  <c r="Y1083" i="7"/>
  <c r="Z1083" i="7" s="1"/>
  <c r="F1083" i="7"/>
  <c r="D1083" i="7"/>
  <c r="AN1082" i="7"/>
  <c r="AI1082" i="7"/>
  <c r="AG1082" i="7"/>
  <c r="Y1082" i="7"/>
  <c r="Z1082" i="7" s="1"/>
  <c r="F1082" i="7"/>
  <c r="D1082" i="7"/>
  <c r="AN1081" i="7"/>
  <c r="AI1081" i="7"/>
  <c r="AG1081" i="7"/>
  <c r="Y1081" i="7"/>
  <c r="Z1081" i="7" s="1"/>
  <c r="F1081" i="7"/>
  <c r="D1081" i="7"/>
  <c r="AN1080" i="7"/>
  <c r="AI1080" i="7"/>
  <c r="AG1080" i="7"/>
  <c r="Y1080" i="7"/>
  <c r="Z1080" i="7" s="1"/>
  <c r="F1080" i="7"/>
  <c r="D1080" i="7"/>
  <c r="AN1079" i="7"/>
  <c r="AI1079" i="7"/>
  <c r="AG1079" i="7"/>
  <c r="Y1079" i="7"/>
  <c r="Z1079" i="7" s="1"/>
  <c r="F1079" i="7"/>
  <c r="D1079" i="7"/>
  <c r="AN1078" i="7"/>
  <c r="AG1078" i="7"/>
  <c r="W1078" i="7"/>
  <c r="V1078" i="7"/>
  <c r="AI1078" i="7" s="1"/>
  <c r="F1078" i="7"/>
  <c r="D1078" i="7"/>
  <c r="AN1077" i="7"/>
  <c r="AG1077" i="7"/>
  <c r="W1077" i="7"/>
  <c r="V1077" i="7"/>
  <c r="F1077" i="7"/>
  <c r="D1077" i="7"/>
  <c r="AN1076" i="7"/>
  <c r="AI1076" i="7"/>
  <c r="AG1076" i="7"/>
  <c r="Y1076" i="7"/>
  <c r="Z1076" i="7" s="1"/>
  <c r="F1076" i="7"/>
  <c r="D1076" i="7"/>
  <c r="AN1075" i="7"/>
  <c r="AI1075" i="7"/>
  <c r="AG1075" i="7"/>
  <c r="Y1075" i="7"/>
  <c r="Z1075" i="7" s="1"/>
  <c r="F1075" i="7"/>
  <c r="D1075" i="7"/>
  <c r="AN1074" i="7"/>
  <c r="AG1074" i="7"/>
  <c r="W1074" i="7"/>
  <c r="V1074" i="7"/>
  <c r="AI1074" i="7" s="1"/>
  <c r="F1074" i="7"/>
  <c r="D1074" i="7"/>
  <c r="AN1073" i="7"/>
  <c r="AI1073" i="7"/>
  <c r="AG1073" i="7"/>
  <c r="Y1073" i="7"/>
  <c r="Z1073" i="7" s="1"/>
  <c r="F1073" i="7"/>
  <c r="D1073" i="7"/>
  <c r="AN1072" i="7"/>
  <c r="AG1072" i="7"/>
  <c r="V1072" i="7"/>
  <c r="AI1072" i="7" s="1"/>
  <c r="F1072" i="7"/>
  <c r="D1072" i="7"/>
  <c r="AN1071" i="7"/>
  <c r="AG1071" i="7"/>
  <c r="W1071" i="7"/>
  <c r="Y1071" i="7" s="1"/>
  <c r="Z1071" i="7" s="1"/>
  <c r="V1071" i="7"/>
  <c r="AI1071" i="7" s="1"/>
  <c r="F1071" i="7"/>
  <c r="D1071" i="7"/>
  <c r="AN1070" i="7"/>
  <c r="AI1070" i="7"/>
  <c r="AG1070" i="7"/>
  <c r="Y1070" i="7"/>
  <c r="Z1070" i="7" s="1"/>
  <c r="AH1070" i="7" s="1"/>
  <c r="F1070" i="7"/>
  <c r="D1070" i="7"/>
  <c r="AN1069" i="7"/>
  <c r="AI1069" i="7"/>
  <c r="AG1069" i="7"/>
  <c r="Y1069" i="7"/>
  <c r="Z1069" i="7" s="1"/>
  <c r="F1069" i="7"/>
  <c r="D1069" i="7"/>
  <c r="AN1068" i="7"/>
  <c r="AI1068" i="7"/>
  <c r="AG1068" i="7"/>
  <c r="W1068" i="7"/>
  <c r="Y1068" i="7" s="1"/>
  <c r="Z1068" i="7" s="1"/>
  <c r="F1068" i="7"/>
  <c r="D1068" i="7"/>
  <c r="AN1067" i="7"/>
  <c r="AG1067" i="7"/>
  <c r="W1067" i="7"/>
  <c r="V1067" i="7"/>
  <c r="F1067" i="7"/>
  <c r="D1067" i="7"/>
  <c r="AN1066" i="7"/>
  <c r="AG1066" i="7"/>
  <c r="V1066" i="7"/>
  <c r="F1066" i="7"/>
  <c r="D1066" i="7"/>
  <c r="AN1065" i="7"/>
  <c r="AI1065" i="7"/>
  <c r="AG1065" i="7"/>
  <c r="X1065" i="7"/>
  <c r="Y1065" i="7" s="1"/>
  <c r="Z1065" i="7" s="1"/>
  <c r="F1065" i="7"/>
  <c r="D1065" i="7"/>
  <c r="AN1064" i="7"/>
  <c r="AG1064" i="7"/>
  <c r="V1064" i="7"/>
  <c r="F1064" i="7"/>
  <c r="D1064" i="7"/>
  <c r="AN1063" i="7"/>
  <c r="AG1063" i="7"/>
  <c r="V1063" i="7"/>
  <c r="AI1063" i="7" s="1"/>
  <c r="F1063" i="7"/>
  <c r="D1063" i="7"/>
  <c r="AN1062" i="7"/>
  <c r="AG1062" i="7"/>
  <c r="W1062" i="7"/>
  <c r="Y1062" i="7" s="1"/>
  <c r="Z1062" i="7" s="1"/>
  <c r="V1062" i="7"/>
  <c r="AI1062" i="7" s="1"/>
  <c r="F1062" i="7"/>
  <c r="D1062" i="7"/>
  <c r="AN1061" i="7"/>
  <c r="AG1061" i="7"/>
  <c r="W1061" i="7"/>
  <c r="V1061" i="7"/>
  <c r="AI1061" i="7" s="1"/>
  <c r="F1061" i="7"/>
  <c r="D1061" i="7"/>
  <c r="AN1060" i="7"/>
  <c r="AG1060" i="7"/>
  <c r="W1060" i="7"/>
  <c r="V1060" i="7"/>
  <c r="AI1060" i="7" s="1"/>
  <c r="F1060" i="7"/>
  <c r="D1060" i="7"/>
  <c r="AN1059" i="7"/>
  <c r="AI1059" i="7"/>
  <c r="AG1059" i="7"/>
  <c r="W1059" i="7"/>
  <c r="Y1059" i="7" s="1"/>
  <c r="Z1059" i="7" s="1"/>
  <c r="F1059" i="7"/>
  <c r="D1059" i="7"/>
  <c r="AN1058" i="7"/>
  <c r="AM1058" i="7"/>
  <c r="F1058" i="7"/>
  <c r="D1058" i="7"/>
  <c r="AN1057" i="7"/>
  <c r="AG1057" i="7"/>
  <c r="X1057" i="7"/>
  <c r="V1057" i="7"/>
  <c r="AI1057" i="7" s="1"/>
  <c r="F1057" i="7"/>
  <c r="D1057" i="7"/>
  <c r="AN1056" i="7"/>
  <c r="AG1056" i="7"/>
  <c r="V1056" i="7"/>
  <c r="F1056" i="7"/>
  <c r="D1056" i="7"/>
  <c r="AN1055" i="7"/>
  <c r="AG1055" i="7"/>
  <c r="X1055" i="7"/>
  <c r="V1055" i="7"/>
  <c r="AI1055" i="7" s="1"/>
  <c r="F1055" i="7"/>
  <c r="D1055" i="7"/>
  <c r="AN1054" i="7"/>
  <c r="AI1054" i="7"/>
  <c r="AG1054" i="7"/>
  <c r="W1054" i="7"/>
  <c r="Y1054" i="7" s="1"/>
  <c r="Z1054" i="7" s="1"/>
  <c r="F1054" i="7"/>
  <c r="D1054" i="7"/>
  <c r="AN1053" i="7"/>
  <c r="V1053" i="7"/>
  <c r="Y1053" i="7" s="1"/>
  <c r="Z1053" i="7" s="1"/>
  <c r="F1053" i="7"/>
  <c r="D1053" i="7"/>
  <c r="AN1052" i="7"/>
  <c r="W1052" i="7"/>
  <c r="V1052" i="7"/>
  <c r="F1052" i="7"/>
  <c r="D1052" i="7"/>
  <c r="AN1051" i="7"/>
  <c r="AI1051" i="7"/>
  <c r="AG1051" i="7"/>
  <c r="X1051" i="7"/>
  <c r="W1051" i="7"/>
  <c r="F1051" i="7"/>
  <c r="D1051" i="7"/>
  <c r="AN1050" i="7"/>
  <c r="AG1050" i="7"/>
  <c r="W1050" i="7"/>
  <c r="V1050" i="7"/>
  <c r="AI1050" i="7" s="1"/>
  <c r="AJ1050" i="7" s="1"/>
  <c r="F1050" i="7"/>
  <c r="D1050" i="7"/>
  <c r="AN1049" i="7"/>
  <c r="AG1049" i="7"/>
  <c r="W1049" i="7"/>
  <c r="V1049" i="7"/>
  <c r="F1049" i="7"/>
  <c r="D1049" i="7"/>
  <c r="AN1048" i="7"/>
  <c r="AG1048" i="7"/>
  <c r="W1048" i="7"/>
  <c r="V1048" i="7"/>
  <c r="AI1048" i="7" s="1"/>
  <c r="AJ1048" i="7" s="1"/>
  <c r="F1048" i="7"/>
  <c r="D1048" i="7"/>
  <c r="AN1047" i="7"/>
  <c r="AG1047" i="7"/>
  <c r="W1047" i="7"/>
  <c r="V1047" i="7"/>
  <c r="AI1047" i="7" s="1"/>
  <c r="AJ1047" i="7" s="1"/>
  <c r="F1047" i="7"/>
  <c r="D1047" i="7"/>
  <c r="AN1046" i="7"/>
  <c r="AI1046" i="7"/>
  <c r="AG1046" i="7"/>
  <c r="W1046" i="7"/>
  <c r="Y1046" i="7" s="1"/>
  <c r="Z1046" i="7" s="1"/>
  <c r="AC1046" i="7" s="1"/>
  <c r="F1046" i="7"/>
  <c r="D1046" i="7"/>
  <c r="AN1045" i="7"/>
  <c r="AG1045" i="7"/>
  <c r="V1045" i="7"/>
  <c r="F1045" i="7"/>
  <c r="D1045" i="7"/>
  <c r="AN1044" i="7"/>
  <c r="AI1044" i="7"/>
  <c r="AG1044" i="7"/>
  <c r="W1044" i="7"/>
  <c r="Y1044" i="7" s="1"/>
  <c r="Z1044" i="7" s="1"/>
  <c r="F1044" i="7"/>
  <c r="D1044" i="7"/>
  <c r="AN1043" i="7"/>
  <c r="AI1043" i="7"/>
  <c r="AG1043" i="7"/>
  <c r="Y1043" i="7"/>
  <c r="Z1043" i="7" s="1"/>
  <c r="F1043" i="7"/>
  <c r="D1043" i="7"/>
  <c r="AN1042" i="7"/>
  <c r="AG1042" i="7"/>
  <c r="V1042" i="7"/>
  <c r="AI1042" i="7" s="1"/>
  <c r="F1042" i="7"/>
  <c r="D1042" i="7"/>
  <c r="AN1041" i="7"/>
  <c r="AG1041" i="7"/>
  <c r="W1041" i="7"/>
  <c r="V1041" i="7"/>
  <c r="AI1041" i="7" s="1"/>
  <c r="F1041" i="7"/>
  <c r="D1041" i="7"/>
  <c r="AN1040" i="7"/>
  <c r="AG1040" i="7"/>
  <c r="W1040" i="7"/>
  <c r="V1040" i="7"/>
  <c r="AI1040" i="7" s="1"/>
  <c r="F1040" i="7"/>
  <c r="D1040" i="7"/>
  <c r="AN1039" i="7"/>
  <c r="AI1039" i="7"/>
  <c r="AG1039" i="7"/>
  <c r="Y1039" i="7"/>
  <c r="Z1039" i="7" s="1"/>
  <c r="F1039" i="7"/>
  <c r="D1039" i="7"/>
  <c r="AN1038" i="7"/>
  <c r="AI1038" i="7"/>
  <c r="AG1038" i="7"/>
  <c r="Y1038" i="7"/>
  <c r="Z1038" i="7" s="1"/>
  <c r="F1038" i="7"/>
  <c r="D1038" i="7"/>
  <c r="AN1037" i="7"/>
  <c r="AG1037" i="7"/>
  <c r="W1037" i="7"/>
  <c r="V1037" i="7"/>
  <c r="F1037" i="7"/>
  <c r="D1037" i="7"/>
  <c r="AN1036" i="7"/>
  <c r="AI1036" i="7"/>
  <c r="AG1036" i="7"/>
  <c r="Y1036" i="7"/>
  <c r="Z1036" i="7" s="1"/>
  <c r="F1036" i="7"/>
  <c r="D1036" i="7"/>
  <c r="AN1035" i="7"/>
  <c r="AG1035" i="7"/>
  <c r="W1035" i="7"/>
  <c r="V1035" i="7"/>
  <c r="F1035" i="7"/>
  <c r="D1035" i="7"/>
  <c r="AN1034" i="7"/>
  <c r="AI1034" i="7"/>
  <c r="AG1034" i="7"/>
  <c r="W1034" i="7"/>
  <c r="Y1034" i="7" s="1"/>
  <c r="Z1034" i="7" s="1"/>
  <c r="AA1034" i="7" s="1"/>
  <c r="F1034" i="7"/>
  <c r="D1034" i="7"/>
  <c r="AN1033" i="7"/>
  <c r="AI1033" i="7"/>
  <c r="AG1033" i="7"/>
  <c r="W1033" i="7"/>
  <c r="Y1033" i="7" s="1"/>
  <c r="Z1033" i="7" s="1"/>
  <c r="AC1033" i="7" s="1"/>
  <c r="F1033" i="7"/>
  <c r="D1033" i="7"/>
  <c r="AN1032" i="7"/>
  <c r="AG1032" i="7"/>
  <c r="W1032" i="7"/>
  <c r="V1032" i="7"/>
  <c r="AI1032" i="7" s="1"/>
  <c r="F1032" i="7"/>
  <c r="D1032" i="7"/>
  <c r="AN1031" i="7"/>
  <c r="AI1031" i="7"/>
  <c r="AG1031" i="7"/>
  <c r="Y1031" i="7"/>
  <c r="Z1031" i="7" s="1"/>
  <c r="F1031" i="7"/>
  <c r="D1031" i="7"/>
  <c r="AN1030" i="7"/>
  <c r="AI1030" i="7"/>
  <c r="AG1030" i="7"/>
  <c r="Y1030" i="7"/>
  <c r="Z1030" i="7" s="1"/>
  <c r="F1030" i="7"/>
  <c r="D1030" i="7"/>
  <c r="AN1029" i="7"/>
  <c r="AI1029" i="7"/>
  <c r="AG1029" i="7"/>
  <c r="Y1029" i="7"/>
  <c r="Z1029" i="7" s="1"/>
  <c r="F1029" i="7"/>
  <c r="D1029" i="7"/>
  <c r="AN1028" i="7"/>
  <c r="AI1028" i="7"/>
  <c r="AG1028" i="7"/>
  <c r="Y1028" i="7"/>
  <c r="Z1028" i="7" s="1"/>
  <c r="F1028" i="7"/>
  <c r="D1028" i="7"/>
  <c r="AN1027" i="7"/>
  <c r="AG1027" i="7"/>
  <c r="W1027" i="7"/>
  <c r="V1027" i="7"/>
  <c r="AI1027" i="7" s="1"/>
  <c r="F1027" i="7"/>
  <c r="D1027" i="7"/>
  <c r="AN1026" i="7"/>
  <c r="AG1026" i="7"/>
  <c r="V1026" i="7"/>
  <c r="Y1026" i="7" s="1"/>
  <c r="Z1026" i="7" s="1"/>
  <c r="F1026" i="7"/>
  <c r="D1026" i="7"/>
  <c r="AN1025" i="7"/>
  <c r="AG1025" i="7"/>
  <c r="W1025" i="7"/>
  <c r="V1025" i="7"/>
  <c r="AI1025" i="7" s="1"/>
  <c r="F1025" i="7"/>
  <c r="D1025" i="7"/>
  <c r="AN1024" i="7"/>
  <c r="AI1024" i="7"/>
  <c r="AG1024" i="7"/>
  <c r="Y1024" i="7"/>
  <c r="Z1024" i="7" s="1"/>
  <c r="F1024" i="7"/>
  <c r="D1024" i="7"/>
  <c r="AN1023" i="7"/>
  <c r="AI1023" i="7"/>
  <c r="AG1023" i="7"/>
  <c r="Y1023" i="7"/>
  <c r="Z1023" i="7" s="1"/>
  <c r="F1023" i="7"/>
  <c r="D1023" i="7"/>
  <c r="AN1022" i="7"/>
  <c r="AI1022" i="7"/>
  <c r="AG1022" i="7"/>
  <c r="W1022" i="7"/>
  <c r="Y1022" i="7" s="1"/>
  <c r="Z1022" i="7" s="1"/>
  <c r="F1022" i="7"/>
  <c r="D1022" i="7"/>
  <c r="AN1021" i="7"/>
  <c r="AI1021" i="7"/>
  <c r="AG1021" i="7"/>
  <c r="X1021" i="7"/>
  <c r="Y1021" i="7" s="1"/>
  <c r="Z1021" i="7" s="1"/>
  <c r="F1021" i="7"/>
  <c r="D1021" i="7"/>
  <c r="AN1020" i="7"/>
  <c r="AI1020" i="7"/>
  <c r="AG1020" i="7"/>
  <c r="X1020" i="7"/>
  <c r="Y1020" i="7" s="1"/>
  <c r="Z1020" i="7" s="1"/>
  <c r="F1020" i="7"/>
  <c r="D1020" i="7"/>
  <c r="AN1019" i="7"/>
  <c r="AG1019" i="7"/>
  <c r="X1019" i="7"/>
  <c r="W1019" i="7"/>
  <c r="V1019" i="7"/>
  <c r="AI1019" i="7" s="1"/>
  <c r="F1019" i="7"/>
  <c r="D1019" i="7"/>
  <c r="AN1018" i="7"/>
  <c r="AI1018" i="7"/>
  <c r="AG1018" i="7"/>
  <c r="Y1018" i="7"/>
  <c r="Z1018" i="7" s="1"/>
  <c r="F1018" i="7"/>
  <c r="D1018" i="7"/>
  <c r="AN1017" i="7"/>
  <c r="AI1017" i="7"/>
  <c r="AG1017" i="7"/>
  <c r="Y1017" i="7"/>
  <c r="Z1017" i="7" s="1"/>
  <c r="F1017" i="7"/>
  <c r="D1017" i="7"/>
  <c r="AN1016" i="7"/>
  <c r="AG1016" i="7"/>
  <c r="V1016" i="7"/>
  <c r="AI1016" i="7" s="1"/>
  <c r="F1016" i="7"/>
  <c r="D1016" i="7"/>
  <c r="AN1015" i="7"/>
  <c r="AM1015" i="7"/>
  <c r="F1015" i="7"/>
  <c r="D1015" i="7"/>
  <c r="AN1014" i="7"/>
  <c r="AI1014" i="7"/>
  <c r="AG1014" i="7"/>
  <c r="AC1014" i="7"/>
  <c r="X1014" i="7"/>
  <c r="Y1014" i="7" s="1"/>
  <c r="Z1014" i="7" s="1"/>
  <c r="F1014" i="7"/>
  <c r="D1014" i="7"/>
  <c r="AN1013" i="7"/>
  <c r="AI1013" i="7"/>
  <c r="AG1013" i="7"/>
  <c r="AC1013" i="7"/>
  <c r="Y1013" i="7"/>
  <c r="Z1013" i="7" s="1"/>
  <c r="F1013" i="7"/>
  <c r="D1013" i="7"/>
  <c r="AN1012" i="7"/>
  <c r="AI1012" i="7"/>
  <c r="AG1012" i="7"/>
  <c r="W1012" i="7"/>
  <c r="Y1012" i="7" s="1"/>
  <c r="Z1012" i="7" s="1"/>
  <c r="F1012" i="7"/>
  <c r="D1012" i="7"/>
  <c r="AN1011" i="7"/>
  <c r="AG1011" i="7"/>
  <c r="W1011" i="7"/>
  <c r="V1011" i="7"/>
  <c r="AI1011" i="7" s="1"/>
  <c r="F1011" i="7"/>
  <c r="D1011" i="7"/>
  <c r="AN1010" i="7"/>
  <c r="AI1010" i="7"/>
  <c r="AG1010" i="7"/>
  <c r="X1010" i="7"/>
  <c r="Y1010" i="7" s="1"/>
  <c r="Z1010" i="7" s="1"/>
  <c r="F1010" i="7"/>
  <c r="D1010" i="7"/>
  <c r="AN1009" i="7"/>
  <c r="AI1009" i="7"/>
  <c r="AG1009" i="7"/>
  <c r="X1009" i="7"/>
  <c r="W1009" i="7"/>
  <c r="F1009" i="7"/>
  <c r="D1009" i="7"/>
  <c r="AN1008" i="7"/>
  <c r="AI1008" i="7"/>
  <c r="AG1008" i="7"/>
  <c r="W1008" i="7"/>
  <c r="Y1008" i="7" s="1"/>
  <c r="Z1008" i="7" s="1"/>
  <c r="F1008" i="7"/>
  <c r="D1008" i="7"/>
  <c r="AN1007" i="7"/>
  <c r="AI1007" i="7"/>
  <c r="AG1007" i="7"/>
  <c r="W1007" i="7"/>
  <c r="Y1007" i="7" s="1"/>
  <c r="Z1007" i="7" s="1"/>
  <c r="F1007" i="7"/>
  <c r="D1007" i="7"/>
  <c r="AN1006" i="7"/>
  <c r="AI1006" i="7"/>
  <c r="AG1006" i="7"/>
  <c r="X1006" i="7"/>
  <c r="Y1006" i="7" s="1"/>
  <c r="Z1006" i="7" s="1"/>
  <c r="F1006" i="7"/>
  <c r="D1006" i="7"/>
  <c r="AN1005" i="7"/>
  <c r="AI1005" i="7"/>
  <c r="AG1005" i="7"/>
  <c r="X1005" i="7"/>
  <c r="Y1005" i="7" s="1"/>
  <c r="Z1005" i="7" s="1"/>
  <c r="F1005" i="7"/>
  <c r="D1005" i="7"/>
  <c r="AN1004" i="7"/>
  <c r="AI1004" i="7"/>
  <c r="AG1004" i="7"/>
  <c r="X1004" i="7"/>
  <c r="Y1004" i="7" s="1"/>
  <c r="Z1004" i="7" s="1"/>
  <c r="F1004" i="7"/>
  <c r="D1004" i="7"/>
  <c r="AN1003" i="7"/>
  <c r="AI1003" i="7"/>
  <c r="AG1003" i="7"/>
  <c r="X1003" i="7"/>
  <c r="W1003" i="7"/>
  <c r="F1003" i="7"/>
  <c r="D1003" i="7"/>
  <c r="AN1002" i="7"/>
  <c r="AI1002" i="7"/>
  <c r="AG1002" i="7"/>
  <c r="W1002" i="7"/>
  <c r="Y1002" i="7" s="1"/>
  <c r="Z1002" i="7" s="1"/>
  <c r="F1002" i="7"/>
  <c r="D1002" i="7"/>
  <c r="AN1001" i="7"/>
  <c r="AI1001" i="7"/>
  <c r="AG1001" i="7"/>
  <c r="X1001" i="7"/>
  <c r="W1001" i="7"/>
  <c r="F1001" i="7"/>
  <c r="D1001" i="7"/>
  <c r="AN1000" i="7"/>
  <c r="AI1000" i="7"/>
  <c r="AG1000" i="7"/>
  <c r="W1000" i="7"/>
  <c r="Y1000" i="7" s="1"/>
  <c r="Z1000" i="7" s="1"/>
  <c r="F1000" i="7"/>
  <c r="D1000" i="7"/>
  <c r="AN999" i="7"/>
  <c r="AI999" i="7"/>
  <c r="AG999" i="7"/>
  <c r="X999" i="7"/>
  <c r="W999" i="7"/>
  <c r="F999" i="7"/>
  <c r="D999" i="7"/>
  <c r="AN998" i="7"/>
  <c r="AI998" i="7"/>
  <c r="AG998" i="7"/>
  <c r="X998" i="7"/>
  <c r="Y998" i="7" s="1"/>
  <c r="Z998" i="7" s="1"/>
  <c r="W998" i="7"/>
  <c r="F998" i="7"/>
  <c r="D998" i="7"/>
  <c r="AN997" i="7"/>
  <c r="AG997" i="7"/>
  <c r="X997" i="7"/>
  <c r="W997" i="7"/>
  <c r="V997" i="7"/>
  <c r="AI997" i="7" s="1"/>
  <c r="F997" i="7"/>
  <c r="D997" i="7"/>
  <c r="AN996" i="7"/>
  <c r="AI996" i="7"/>
  <c r="AG996" i="7"/>
  <c r="X996" i="7"/>
  <c r="W996" i="7"/>
  <c r="F996" i="7"/>
  <c r="D996" i="7"/>
  <c r="AN995" i="7"/>
  <c r="AG995" i="7"/>
  <c r="X995" i="7"/>
  <c r="W995" i="7"/>
  <c r="V995" i="7"/>
  <c r="F995" i="7"/>
  <c r="D995" i="7"/>
  <c r="AN994" i="7"/>
  <c r="Y994" i="7"/>
  <c r="Z994" i="7" s="1"/>
  <c r="AM994" i="7" s="1"/>
  <c r="F994" i="7"/>
  <c r="D994" i="7"/>
  <c r="AN993" i="7"/>
  <c r="V993" i="7"/>
  <c r="Y993" i="7" s="1"/>
  <c r="Z993" i="7" s="1"/>
  <c r="AM993" i="7" s="1"/>
  <c r="F993" i="7"/>
  <c r="D993" i="7"/>
  <c r="AN992" i="7"/>
  <c r="V992" i="7"/>
  <c r="Y992" i="7" s="1"/>
  <c r="Z992" i="7" s="1"/>
  <c r="AM992" i="7" s="1"/>
  <c r="F992" i="7"/>
  <c r="D992" i="7"/>
  <c r="AN991" i="7"/>
  <c r="V991" i="7"/>
  <c r="Y991" i="7" s="1"/>
  <c r="Z991" i="7" s="1"/>
  <c r="AM991" i="7" s="1"/>
  <c r="F991" i="7"/>
  <c r="D991" i="7"/>
  <c r="AN990" i="7"/>
  <c r="V990" i="7"/>
  <c r="Y990" i="7" s="1"/>
  <c r="Z990" i="7" s="1"/>
  <c r="AH990" i="7" s="1"/>
  <c r="F990" i="7"/>
  <c r="D990" i="7"/>
  <c r="AN989" i="7"/>
  <c r="X989" i="7"/>
  <c r="V989" i="7"/>
  <c r="F989" i="7"/>
  <c r="D989" i="7"/>
  <c r="AN988" i="7"/>
  <c r="AI988" i="7"/>
  <c r="AG988" i="7"/>
  <c r="Y988" i="7"/>
  <c r="Z988" i="7" s="1"/>
  <c r="F988" i="7"/>
  <c r="D988" i="7"/>
  <c r="AN987" i="7"/>
  <c r="AM987" i="7"/>
  <c r="F987" i="7"/>
  <c r="D987" i="7"/>
  <c r="AN986" i="7"/>
  <c r="AI986" i="7"/>
  <c r="AG986" i="7"/>
  <c r="Y986" i="7"/>
  <c r="Z986" i="7" s="1"/>
  <c r="AA986" i="7" s="1"/>
  <c r="F986" i="7"/>
  <c r="D986" i="7"/>
  <c r="AN985" i="7"/>
  <c r="AG985" i="7"/>
  <c r="W985" i="7"/>
  <c r="V985" i="7"/>
  <c r="AI985" i="7" s="1"/>
  <c r="F985" i="7"/>
  <c r="D985" i="7"/>
  <c r="AN984" i="7"/>
  <c r="AI984" i="7"/>
  <c r="AG984" i="7"/>
  <c r="X984" i="7"/>
  <c r="Y984" i="7" s="1"/>
  <c r="Z984" i="7" s="1"/>
  <c r="F984" i="7"/>
  <c r="D984" i="7"/>
  <c r="AN983" i="7"/>
  <c r="AI983" i="7"/>
  <c r="AG983" i="7"/>
  <c r="X983" i="7"/>
  <c r="W983" i="7"/>
  <c r="F983" i="7"/>
  <c r="D983" i="7"/>
  <c r="AN982" i="7"/>
  <c r="AI982" i="7"/>
  <c r="AG982" i="7"/>
  <c r="Y982" i="7"/>
  <c r="Z982" i="7" s="1"/>
  <c r="F982" i="7"/>
  <c r="D982" i="7"/>
  <c r="AN981" i="7"/>
  <c r="AI981" i="7"/>
  <c r="AG981" i="7"/>
  <c r="Y981" i="7"/>
  <c r="Z981" i="7" s="1"/>
  <c r="F981" i="7"/>
  <c r="D981" i="7"/>
  <c r="AN980" i="7"/>
  <c r="AI980" i="7"/>
  <c r="AG980" i="7"/>
  <c r="AM980" i="7" s="1"/>
  <c r="Y980" i="7"/>
  <c r="Z980" i="7" s="1"/>
  <c r="F980" i="7"/>
  <c r="D980" i="7"/>
  <c r="AN979" i="7"/>
  <c r="AI979" i="7"/>
  <c r="AG979" i="7"/>
  <c r="Y979" i="7"/>
  <c r="Z979" i="7" s="1"/>
  <c r="F979" i="7"/>
  <c r="D979" i="7"/>
  <c r="AN978" i="7"/>
  <c r="AG978" i="7"/>
  <c r="V978" i="7"/>
  <c r="F978" i="7"/>
  <c r="D978" i="7"/>
  <c r="AN977" i="7"/>
  <c r="AI977" i="7"/>
  <c r="AG977" i="7"/>
  <c r="Y977" i="7"/>
  <c r="Z977" i="7" s="1"/>
  <c r="AC977" i="7" s="1"/>
  <c r="F977" i="7"/>
  <c r="D977" i="7"/>
  <c r="AN976" i="7"/>
  <c r="AG976" i="7"/>
  <c r="W976" i="7"/>
  <c r="V976" i="7"/>
  <c r="AI976" i="7" s="1"/>
  <c r="F976" i="7"/>
  <c r="D976" i="7"/>
  <c r="AN975" i="7"/>
  <c r="AG975" i="7"/>
  <c r="X975" i="7"/>
  <c r="W975" i="7"/>
  <c r="V975" i="7"/>
  <c r="AI975" i="7" s="1"/>
  <c r="F975" i="7"/>
  <c r="D975" i="7"/>
  <c r="AN974" i="7"/>
  <c r="AG974" i="7"/>
  <c r="W974" i="7"/>
  <c r="V974" i="7"/>
  <c r="AI974" i="7" s="1"/>
  <c r="F974" i="7"/>
  <c r="D974" i="7"/>
  <c r="AN973" i="7"/>
  <c r="AG973" i="7"/>
  <c r="W973" i="7"/>
  <c r="Y973" i="7" s="1"/>
  <c r="Z973" i="7" s="1"/>
  <c r="V973" i="7"/>
  <c r="AI973" i="7" s="1"/>
  <c r="F973" i="7"/>
  <c r="D973" i="7"/>
  <c r="AN972" i="7"/>
  <c r="AI972" i="7"/>
  <c r="AG972" i="7"/>
  <c r="AM972" i="7" s="1"/>
  <c r="W972" i="7"/>
  <c r="Y972" i="7" s="1"/>
  <c r="Z972" i="7" s="1"/>
  <c r="F972" i="7"/>
  <c r="D972" i="7"/>
  <c r="AN971" i="7"/>
  <c r="AG971" i="7"/>
  <c r="W971" i="7"/>
  <c r="V971" i="7"/>
  <c r="AI971" i="7" s="1"/>
  <c r="F971" i="7"/>
  <c r="D971" i="7"/>
  <c r="AN970" i="7"/>
  <c r="AG970" i="7"/>
  <c r="X970" i="7"/>
  <c r="W970" i="7"/>
  <c r="V970" i="7"/>
  <c r="AI970" i="7" s="1"/>
  <c r="F970" i="7"/>
  <c r="D970" i="7"/>
  <c r="AN969" i="7"/>
  <c r="AG969" i="7"/>
  <c r="V969" i="7"/>
  <c r="AI969" i="7" s="1"/>
  <c r="F969" i="7"/>
  <c r="D969" i="7"/>
  <c r="AN968" i="7"/>
  <c r="AG968" i="7"/>
  <c r="W968" i="7"/>
  <c r="V968" i="7"/>
  <c r="AI968" i="7" s="1"/>
  <c r="F968" i="7"/>
  <c r="D968" i="7"/>
  <c r="AN967" i="7"/>
  <c r="AG967" i="7"/>
  <c r="W967" i="7"/>
  <c r="V967" i="7"/>
  <c r="AI967" i="7" s="1"/>
  <c r="F967" i="7"/>
  <c r="D967" i="7"/>
  <c r="AN966" i="7"/>
  <c r="AG966" i="7"/>
  <c r="W966" i="7"/>
  <c r="V966" i="7"/>
  <c r="AI966" i="7" s="1"/>
  <c r="F966" i="7"/>
  <c r="D966" i="7"/>
  <c r="AN965" i="7"/>
  <c r="AI965" i="7"/>
  <c r="AG965" i="7"/>
  <c r="W965" i="7"/>
  <c r="Y965" i="7" s="1"/>
  <c r="Z965" i="7" s="1"/>
  <c r="F965" i="7"/>
  <c r="D965" i="7"/>
  <c r="AN964" i="7"/>
  <c r="AG964" i="7"/>
  <c r="V964" i="7"/>
  <c r="F964" i="7"/>
  <c r="D964" i="7"/>
  <c r="AN963" i="7"/>
  <c r="AG963" i="7"/>
  <c r="W963" i="7"/>
  <c r="V963" i="7"/>
  <c r="AI963" i="7" s="1"/>
  <c r="F963" i="7"/>
  <c r="D963" i="7"/>
  <c r="AN962" i="7"/>
  <c r="AI962" i="7"/>
  <c r="AG962" i="7"/>
  <c r="Y962" i="7"/>
  <c r="Z962" i="7" s="1"/>
  <c r="F962" i="7"/>
  <c r="D962" i="7"/>
  <c r="AN961" i="7"/>
  <c r="AI961" i="7"/>
  <c r="AG961" i="7"/>
  <c r="Y961" i="7"/>
  <c r="Z961" i="7" s="1"/>
  <c r="F961" i="7"/>
  <c r="D961" i="7"/>
  <c r="AN960" i="7"/>
  <c r="AI960" i="7"/>
  <c r="AG960" i="7"/>
  <c r="Y960" i="7"/>
  <c r="Z960" i="7" s="1"/>
  <c r="F960" i="7"/>
  <c r="D960" i="7"/>
  <c r="AN959" i="7"/>
  <c r="AI959" i="7"/>
  <c r="AG959" i="7"/>
  <c r="Y959" i="7"/>
  <c r="Z959" i="7" s="1"/>
  <c r="F959" i="7"/>
  <c r="D959" i="7"/>
  <c r="AN958" i="7"/>
  <c r="AG958" i="7"/>
  <c r="W958" i="7"/>
  <c r="V958" i="7"/>
  <c r="AI958" i="7" s="1"/>
  <c r="F958" i="7"/>
  <c r="D958" i="7"/>
  <c r="AN957" i="7"/>
  <c r="AI957" i="7"/>
  <c r="AG957" i="7"/>
  <c r="Y957" i="7"/>
  <c r="Z957" i="7" s="1"/>
  <c r="AC957" i="7" s="1"/>
  <c r="F957" i="7"/>
  <c r="D957" i="7"/>
  <c r="AN956" i="7"/>
  <c r="AG956" i="7"/>
  <c r="W956" i="7"/>
  <c r="V956" i="7"/>
  <c r="AI956" i="7" s="1"/>
  <c r="F956" i="7"/>
  <c r="D956" i="7"/>
  <c r="AN955" i="7"/>
  <c r="AI955" i="7"/>
  <c r="AG955" i="7"/>
  <c r="Y955" i="7"/>
  <c r="Z955" i="7" s="1"/>
  <c r="F955" i="7"/>
  <c r="D955" i="7"/>
  <c r="AN954" i="7"/>
  <c r="AI954" i="7"/>
  <c r="AG954" i="7"/>
  <c r="Y954" i="7"/>
  <c r="Z954" i="7" s="1"/>
  <c r="F954" i="7"/>
  <c r="D954" i="7"/>
  <c r="AN953" i="7"/>
  <c r="AI953" i="7"/>
  <c r="AG953" i="7"/>
  <c r="Y953" i="7"/>
  <c r="Z953" i="7" s="1"/>
  <c r="F953" i="7"/>
  <c r="D953" i="7"/>
  <c r="AN952" i="7"/>
  <c r="AI952" i="7"/>
  <c r="AG952" i="7"/>
  <c r="Y952" i="7"/>
  <c r="Z952" i="7" s="1"/>
  <c r="F952" i="7"/>
  <c r="D952" i="7"/>
  <c r="AN951" i="7"/>
  <c r="AG951" i="7"/>
  <c r="W951" i="7"/>
  <c r="V951" i="7"/>
  <c r="AI951" i="7" s="1"/>
  <c r="F951" i="7"/>
  <c r="D951" i="7"/>
  <c r="AN950" i="7"/>
  <c r="AI950" i="7"/>
  <c r="AG950" i="7"/>
  <c r="Y950" i="7"/>
  <c r="Z950" i="7" s="1"/>
  <c r="F950" i="7"/>
  <c r="D950" i="7"/>
  <c r="AN949" i="7"/>
  <c r="AG949" i="7"/>
  <c r="W949" i="7"/>
  <c r="V949" i="7"/>
  <c r="AI949" i="7" s="1"/>
  <c r="F949" i="7"/>
  <c r="D949" i="7"/>
  <c r="AN948" i="7"/>
  <c r="AG948" i="7"/>
  <c r="W948" i="7"/>
  <c r="V948" i="7"/>
  <c r="AI948" i="7" s="1"/>
  <c r="F948" i="7"/>
  <c r="D948" i="7"/>
  <c r="AN947" i="7"/>
  <c r="AG947" i="7"/>
  <c r="W947" i="7"/>
  <c r="V947" i="7"/>
  <c r="AI947" i="7" s="1"/>
  <c r="F947" i="7"/>
  <c r="D947" i="7"/>
  <c r="AN946" i="7"/>
  <c r="AG946" i="7"/>
  <c r="W946" i="7"/>
  <c r="V946" i="7"/>
  <c r="AI946" i="7" s="1"/>
  <c r="F946" i="7"/>
  <c r="D946" i="7"/>
  <c r="AN945" i="7"/>
  <c r="AM945" i="7"/>
  <c r="F945" i="7"/>
  <c r="D945" i="7"/>
  <c r="AN944" i="7"/>
  <c r="AI944" i="7"/>
  <c r="AG944" i="7"/>
  <c r="W944" i="7"/>
  <c r="Y944" i="7" s="1"/>
  <c r="Z944" i="7" s="1"/>
  <c r="AC944" i="7" s="1"/>
  <c r="F944" i="7"/>
  <c r="D944" i="7"/>
  <c r="AN943" i="7"/>
  <c r="AG943" i="7"/>
  <c r="X943" i="7"/>
  <c r="V943" i="7"/>
  <c r="AI943" i="7" s="1"/>
  <c r="F943" i="7"/>
  <c r="D943" i="7"/>
  <c r="AN942" i="7"/>
  <c r="AG942" i="7"/>
  <c r="X942" i="7"/>
  <c r="V942" i="7"/>
  <c r="AI942" i="7" s="1"/>
  <c r="F942" i="7"/>
  <c r="D942" i="7"/>
  <c r="AN941" i="7"/>
  <c r="AG941" i="7"/>
  <c r="X941" i="7"/>
  <c r="V941" i="7"/>
  <c r="AI941" i="7" s="1"/>
  <c r="F941" i="7"/>
  <c r="D941" i="7"/>
  <c r="AN940" i="7"/>
  <c r="AI940" i="7"/>
  <c r="AG940" i="7"/>
  <c r="X940" i="7"/>
  <c r="Y940" i="7" s="1"/>
  <c r="Z940" i="7" s="1"/>
  <c r="F940" i="7"/>
  <c r="D940" i="7"/>
  <c r="AN939" i="7"/>
  <c r="AI939" i="7"/>
  <c r="AG939" i="7"/>
  <c r="X939" i="7"/>
  <c r="Y939" i="7" s="1"/>
  <c r="Z939" i="7" s="1"/>
  <c r="F939" i="7"/>
  <c r="D939" i="7"/>
  <c r="AN938" i="7"/>
  <c r="AG938" i="7"/>
  <c r="X938" i="7"/>
  <c r="V938" i="7"/>
  <c r="AI938" i="7" s="1"/>
  <c r="F938" i="7"/>
  <c r="D938" i="7"/>
  <c r="AN937" i="7"/>
  <c r="AI937" i="7"/>
  <c r="AG937" i="7"/>
  <c r="X937" i="7"/>
  <c r="Y937" i="7" s="1"/>
  <c r="Z937" i="7" s="1"/>
  <c r="F937" i="7"/>
  <c r="D937" i="7"/>
  <c r="AN936" i="7"/>
  <c r="AI936" i="7"/>
  <c r="AG936" i="7"/>
  <c r="X936" i="7"/>
  <c r="Y936" i="7" s="1"/>
  <c r="Z936" i="7" s="1"/>
  <c r="F936" i="7"/>
  <c r="D936" i="7"/>
  <c r="AN935" i="7"/>
  <c r="AG935" i="7"/>
  <c r="W935" i="7"/>
  <c r="V935" i="7"/>
  <c r="AI935" i="7" s="1"/>
  <c r="F935" i="7"/>
  <c r="D935" i="7"/>
  <c r="AN934" i="7"/>
  <c r="AG934" i="7"/>
  <c r="W934" i="7"/>
  <c r="V934" i="7"/>
  <c r="AI934" i="7" s="1"/>
  <c r="F934" i="7"/>
  <c r="D934" i="7"/>
  <c r="AN933" i="7"/>
  <c r="AI933" i="7"/>
  <c r="AG933" i="7"/>
  <c r="W933" i="7"/>
  <c r="Y933" i="7" s="1"/>
  <c r="Z933" i="7" s="1"/>
  <c r="F933" i="7"/>
  <c r="D933" i="7"/>
  <c r="AN932" i="7"/>
  <c r="AI932" i="7"/>
  <c r="AG932" i="7"/>
  <c r="W932" i="7"/>
  <c r="Y932" i="7" s="1"/>
  <c r="Z932" i="7" s="1"/>
  <c r="F932" i="7"/>
  <c r="D932" i="7"/>
  <c r="AN931" i="7"/>
  <c r="AG931" i="7"/>
  <c r="V931" i="7"/>
  <c r="F931" i="7"/>
  <c r="D931" i="7"/>
  <c r="AN930" i="7"/>
  <c r="AI930" i="7"/>
  <c r="AG930" i="7"/>
  <c r="W930" i="7"/>
  <c r="Y930" i="7" s="1"/>
  <c r="Z930" i="7" s="1"/>
  <c r="AC930" i="7" s="1"/>
  <c r="F930" i="7"/>
  <c r="D930" i="7"/>
  <c r="AN929" i="7"/>
  <c r="AG929" i="7"/>
  <c r="V929" i="7"/>
  <c r="AI929" i="7" s="1"/>
  <c r="F929" i="7"/>
  <c r="D929" i="7"/>
  <c r="AN928" i="7"/>
  <c r="AI928" i="7"/>
  <c r="AG928" i="7"/>
  <c r="X928" i="7"/>
  <c r="W928" i="7"/>
  <c r="F928" i="7"/>
  <c r="D928" i="7"/>
  <c r="AN927" i="7"/>
  <c r="AI927" i="7"/>
  <c r="AG927" i="7"/>
  <c r="W927" i="7"/>
  <c r="Y927" i="7" s="1"/>
  <c r="Z927" i="7" s="1"/>
  <c r="F927" i="7"/>
  <c r="D927" i="7"/>
  <c r="AN926" i="7"/>
  <c r="AI926" i="7"/>
  <c r="AG926" i="7"/>
  <c r="X926" i="7"/>
  <c r="W926" i="7"/>
  <c r="F926" i="7"/>
  <c r="D926" i="7"/>
  <c r="AN925" i="7"/>
  <c r="AI925" i="7"/>
  <c r="AG925" i="7"/>
  <c r="W925" i="7"/>
  <c r="Y925" i="7" s="1"/>
  <c r="Z925" i="7" s="1"/>
  <c r="F925" i="7"/>
  <c r="D925" i="7"/>
  <c r="AN924" i="7"/>
  <c r="AI924" i="7"/>
  <c r="AG924" i="7"/>
  <c r="X924" i="7"/>
  <c r="Y924" i="7" s="1"/>
  <c r="Z924" i="7" s="1"/>
  <c r="F924" i="7"/>
  <c r="D924" i="7"/>
  <c r="AN923" i="7"/>
  <c r="AG923" i="7"/>
  <c r="W923" i="7"/>
  <c r="V923" i="7"/>
  <c r="AI923" i="7" s="1"/>
  <c r="F923" i="7"/>
  <c r="D923" i="7"/>
  <c r="AN922" i="7"/>
  <c r="AG922" i="7"/>
  <c r="X922" i="7"/>
  <c r="W922" i="7"/>
  <c r="V922" i="7"/>
  <c r="AI922" i="7" s="1"/>
  <c r="F922" i="7"/>
  <c r="D922" i="7"/>
  <c r="AN921" i="7"/>
  <c r="AG921" i="7"/>
  <c r="W921" i="7"/>
  <c r="V921" i="7"/>
  <c r="F921" i="7"/>
  <c r="D921" i="7"/>
  <c r="AN920" i="7"/>
  <c r="AI920" i="7"/>
  <c r="AG920" i="7"/>
  <c r="Y920" i="7"/>
  <c r="Z920" i="7" s="1"/>
  <c r="F920" i="7"/>
  <c r="D920" i="7"/>
  <c r="AN919" i="7"/>
  <c r="AI919" i="7"/>
  <c r="AG919" i="7"/>
  <c r="Y919" i="7"/>
  <c r="Z919" i="7" s="1"/>
  <c r="F919" i="7"/>
  <c r="D919" i="7"/>
  <c r="AN918" i="7"/>
  <c r="AI918" i="7"/>
  <c r="AG918" i="7"/>
  <c r="Y918" i="7"/>
  <c r="Z918" i="7" s="1"/>
  <c r="F918" i="7"/>
  <c r="D918" i="7"/>
  <c r="AN917" i="7"/>
  <c r="AI917" i="7"/>
  <c r="AG917" i="7"/>
  <c r="Y917" i="7"/>
  <c r="Z917" i="7" s="1"/>
  <c r="F917" i="7"/>
  <c r="D917" i="7"/>
  <c r="AN916" i="7"/>
  <c r="AG916" i="7"/>
  <c r="W916" i="7"/>
  <c r="V916" i="7"/>
  <c r="F916" i="7"/>
  <c r="D916" i="7"/>
  <c r="AN915" i="7"/>
  <c r="AI915" i="7"/>
  <c r="AG915" i="7"/>
  <c r="X915" i="7"/>
  <c r="W915" i="7"/>
  <c r="F915" i="7"/>
  <c r="D915" i="7"/>
  <c r="AN914" i="7"/>
  <c r="AI914" i="7"/>
  <c r="AG914" i="7"/>
  <c r="X914" i="7"/>
  <c r="W914" i="7"/>
  <c r="F914" i="7"/>
  <c r="D914" i="7"/>
  <c r="AN913" i="7"/>
  <c r="AG913" i="7"/>
  <c r="W913" i="7"/>
  <c r="Y913" i="7" s="1"/>
  <c r="Z913" i="7" s="1"/>
  <c r="V913" i="7"/>
  <c r="AI913" i="7" s="1"/>
  <c r="F913" i="7"/>
  <c r="D913" i="7"/>
  <c r="AN912" i="7"/>
  <c r="AI912" i="7"/>
  <c r="AG912" i="7"/>
  <c r="W912" i="7"/>
  <c r="Y912" i="7" s="1"/>
  <c r="Z912" i="7" s="1"/>
  <c r="F912" i="7"/>
  <c r="D912" i="7"/>
  <c r="AN911" i="7"/>
  <c r="AG911" i="7"/>
  <c r="W911" i="7"/>
  <c r="V911" i="7"/>
  <c r="AI911" i="7" s="1"/>
  <c r="F911" i="7"/>
  <c r="D911" i="7"/>
  <c r="AN910" i="7"/>
  <c r="AG910" i="7"/>
  <c r="W910" i="7"/>
  <c r="V910" i="7"/>
  <c r="AI910" i="7" s="1"/>
  <c r="F910" i="7"/>
  <c r="D910" i="7"/>
  <c r="AN909" i="7"/>
  <c r="AI909" i="7"/>
  <c r="AG909" i="7"/>
  <c r="Y909" i="7"/>
  <c r="Z909" i="7" s="1"/>
  <c r="F909" i="7"/>
  <c r="D909" i="7"/>
  <c r="AN908" i="7"/>
  <c r="AI908" i="7"/>
  <c r="AG908" i="7"/>
  <c r="Y908" i="7"/>
  <c r="Z908" i="7" s="1"/>
  <c r="F908" i="7"/>
  <c r="D908" i="7"/>
  <c r="AN907" i="7"/>
  <c r="AI907" i="7"/>
  <c r="AG907" i="7"/>
  <c r="Y907" i="7"/>
  <c r="Z907" i="7" s="1"/>
  <c r="F907" i="7"/>
  <c r="D907" i="7"/>
  <c r="AN906" i="7"/>
  <c r="AI906" i="7"/>
  <c r="AG906" i="7"/>
  <c r="Y906" i="7"/>
  <c r="Z906" i="7" s="1"/>
  <c r="F906" i="7"/>
  <c r="D906" i="7"/>
  <c r="AN905" i="7"/>
  <c r="AI905" i="7"/>
  <c r="AG905" i="7"/>
  <c r="Y905" i="7"/>
  <c r="Z905" i="7" s="1"/>
  <c r="F905" i="7"/>
  <c r="D905" i="7"/>
  <c r="AN904" i="7"/>
  <c r="AG904" i="7"/>
  <c r="W904" i="7"/>
  <c r="V904" i="7"/>
  <c r="AI904" i="7" s="1"/>
  <c r="F904" i="7"/>
  <c r="D904" i="7"/>
  <c r="AN903" i="7"/>
  <c r="AI903" i="7"/>
  <c r="AG903" i="7"/>
  <c r="Y903" i="7"/>
  <c r="Z903" i="7" s="1"/>
  <c r="AC903" i="7" s="1"/>
  <c r="F903" i="7"/>
  <c r="D903" i="7"/>
  <c r="AN902" i="7"/>
  <c r="AG902" i="7"/>
  <c r="W902" i="7"/>
  <c r="V902" i="7"/>
  <c r="AI902" i="7" s="1"/>
  <c r="F902" i="7"/>
  <c r="D902" i="7"/>
  <c r="AN901" i="7"/>
  <c r="AI901" i="7"/>
  <c r="AG901" i="7"/>
  <c r="Y901" i="7"/>
  <c r="Z901" i="7" s="1"/>
  <c r="F901" i="7"/>
  <c r="D901" i="7"/>
  <c r="AN900" i="7"/>
  <c r="AI900" i="7"/>
  <c r="AG900" i="7"/>
  <c r="Y900" i="7"/>
  <c r="Z900" i="7" s="1"/>
  <c r="F900" i="7"/>
  <c r="D900" i="7"/>
  <c r="AN899" i="7"/>
  <c r="AI899" i="7"/>
  <c r="AG899" i="7"/>
  <c r="Y899" i="7"/>
  <c r="Z899" i="7" s="1"/>
  <c r="F899" i="7"/>
  <c r="D899" i="7"/>
  <c r="AN898" i="7"/>
  <c r="AG898" i="7"/>
  <c r="W898" i="7"/>
  <c r="V898" i="7"/>
  <c r="AI898" i="7" s="1"/>
  <c r="F898" i="7"/>
  <c r="D898" i="7"/>
  <c r="AN897" i="7"/>
  <c r="AI897" i="7"/>
  <c r="AG897" i="7"/>
  <c r="X897" i="7"/>
  <c r="Y897" i="7" s="1"/>
  <c r="Z897" i="7" s="1"/>
  <c r="F897" i="7"/>
  <c r="D897" i="7"/>
  <c r="AN896" i="7"/>
  <c r="AM896" i="7"/>
  <c r="F896" i="7"/>
  <c r="D896" i="7"/>
  <c r="AN895" i="7"/>
  <c r="AI895" i="7"/>
  <c r="AG895" i="7"/>
  <c r="Y895" i="7"/>
  <c r="Z895" i="7" s="1"/>
  <c r="F895" i="7"/>
  <c r="D895" i="7"/>
  <c r="AN894" i="7"/>
  <c r="AI894" i="7"/>
  <c r="AG894" i="7"/>
  <c r="X894" i="7"/>
  <c r="W894" i="7"/>
  <c r="F894" i="7"/>
  <c r="D894" i="7"/>
  <c r="AN893" i="7"/>
  <c r="AI893" i="7"/>
  <c r="AG893" i="7"/>
  <c r="X893" i="7"/>
  <c r="Y893" i="7" s="1"/>
  <c r="Z893" i="7" s="1"/>
  <c r="W893" i="7"/>
  <c r="F893" i="7"/>
  <c r="D893" i="7"/>
  <c r="AN892" i="7"/>
  <c r="AI892" i="7"/>
  <c r="AG892" i="7"/>
  <c r="X892" i="7"/>
  <c r="W892" i="7"/>
  <c r="F892" i="7"/>
  <c r="D892" i="7"/>
  <c r="AN891" i="7"/>
  <c r="AI891" i="7"/>
  <c r="AG891" i="7"/>
  <c r="W891" i="7"/>
  <c r="Y891" i="7" s="1"/>
  <c r="Z891" i="7" s="1"/>
  <c r="F891" i="7"/>
  <c r="D891" i="7"/>
  <c r="AN890" i="7"/>
  <c r="AG890" i="7"/>
  <c r="W890" i="7"/>
  <c r="V890" i="7"/>
  <c r="AI890" i="7" s="1"/>
  <c r="F890" i="7"/>
  <c r="D890" i="7"/>
  <c r="AN889" i="7"/>
  <c r="AG889" i="7"/>
  <c r="W889" i="7"/>
  <c r="V889" i="7"/>
  <c r="AI889" i="7" s="1"/>
  <c r="F889" i="7"/>
  <c r="D889" i="7"/>
  <c r="AN888" i="7"/>
  <c r="AG888" i="7"/>
  <c r="V888" i="7"/>
  <c r="F888" i="7"/>
  <c r="D888" i="7"/>
  <c r="AN887" i="7"/>
  <c r="AG887" i="7"/>
  <c r="W887" i="7"/>
  <c r="V887" i="7"/>
  <c r="AI887" i="7" s="1"/>
  <c r="F887" i="7"/>
  <c r="D887" i="7"/>
  <c r="AN886" i="7"/>
  <c r="AG886" i="7"/>
  <c r="W886" i="7"/>
  <c r="V886" i="7"/>
  <c r="AI886" i="7" s="1"/>
  <c r="F886" i="7"/>
  <c r="D886" i="7"/>
  <c r="AN885" i="7"/>
  <c r="AI885" i="7"/>
  <c r="AG885" i="7"/>
  <c r="W885" i="7"/>
  <c r="Y885" i="7" s="1"/>
  <c r="Z885" i="7" s="1"/>
  <c r="F885" i="7"/>
  <c r="D885" i="7"/>
  <c r="AN884" i="7"/>
  <c r="AG884" i="7"/>
  <c r="W884" i="7"/>
  <c r="V884" i="7"/>
  <c r="AI884" i="7" s="1"/>
  <c r="F884" i="7"/>
  <c r="D884" i="7"/>
  <c r="AN883" i="7"/>
  <c r="AI883" i="7"/>
  <c r="AG883" i="7"/>
  <c r="Y883" i="7"/>
  <c r="Z883" i="7" s="1"/>
  <c r="F883" i="7"/>
  <c r="D883" i="7"/>
  <c r="AN882" i="7"/>
  <c r="AG882" i="7"/>
  <c r="W882" i="7"/>
  <c r="V882" i="7"/>
  <c r="AI882" i="7" s="1"/>
  <c r="F882" i="7"/>
  <c r="D882" i="7"/>
  <c r="AN881" i="7"/>
  <c r="AI881" i="7"/>
  <c r="AG881" i="7"/>
  <c r="W881" i="7"/>
  <c r="Y881" i="7" s="1"/>
  <c r="Z881" i="7" s="1"/>
  <c r="F881" i="7"/>
  <c r="D881" i="7"/>
  <c r="AN880" i="7"/>
  <c r="AG880" i="7"/>
  <c r="W880" i="7"/>
  <c r="V880" i="7"/>
  <c r="AI880" i="7" s="1"/>
  <c r="F880" i="7"/>
  <c r="D880" i="7"/>
  <c r="AN879" i="7"/>
  <c r="AI879" i="7"/>
  <c r="AG879" i="7"/>
  <c r="Y879" i="7"/>
  <c r="Z879" i="7" s="1"/>
  <c r="F879" i="7"/>
  <c r="D879" i="7"/>
  <c r="AN878" i="7"/>
  <c r="AI878" i="7"/>
  <c r="AG878" i="7"/>
  <c r="Y878" i="7"/>
  <c r="Z878" i="7" s="1"/>
  <c r="F878" i="7"/>
  <c r="D878" i="7"/>
  <c r="AN877" i="7"/>
  <c r="AI877" i="7"/>
  <c r="AG877" i="7"/>
  <c r="Y877" i="7"/>
  <c r="Z877" i="7" s="1"/>
  <c r="F877" i="7"/>
  <c r="D877" i="7"/>
  <c r="AN876" i="7"/>
  <c r="AG876" i="7"/>
  <c r="W876" i="7"/>
  <c r="V876" i="7"/>
  <c r="AI876" i="7" s="1"/>
  <c r="F876" i="7"/>
  <c r="D876" i="7"/>
  <c r="AN875" i="7"/>
  <c r="AG875" i="7"/>
  <c r="W875" i="7"/>
  <c r="V875" i="7"/>
  <c r="AI875" i="7" s="1"/>
  <c r="F875" i="7"/>
  <c r="D875" i="7"/>
  <c r="AN874" i="7"/>
  <c r="AI874" i="7"/>
  <c r="AG874" i="7"/>
  <c r="Y874" i="7"/>
  <c r="Z874" i="7" s="1"/>
  <c r="F874" i="7"/>
  <c r="D874" i="7"/>
  <c r="AN873" i="7"/>
  <c r="AI873" i="7"/>
  <c r="AG873" i="7"/>
  <c r="Y873" i="7"/>
  <c r="Z873" i="7" s="1"/>
  <c r="F873" i="7"/>
  <c r="D873" i="7"/>
  <c r="AN872" i="7"/>
  <c r="AI872" i="7"/>
  <c r="AG872" i="7"/>
  <c r="AM872" i="7" s="1"/>
  <c r="Y872" i="7"/>
  <c r="Z872" i="7" s="1"/>
  <c r="F872" i="7"/>
  <c r="D872" i="7"/>
  <c r="AN871" i="7"/>
  <c r="AG871" i="7"/>
  <c r="W871" i="7"/>
  <c r="V871" i="7"/>
  <c r="AI871" i="7" s="1"/>
  <c r="F871" i="7"/>
  <c r="D871" i="7"/>
  <c r="AN870" i="7"/>
  <c r="AI870" i="7"/>
  <c r="AG870" i="7"/>
  <c r="X870" i="7"/>
  <c r="Y870" i="7" s="1"/>
  <c r="Z870" i="7" s="1"/>
  <c r="F870" i="7"/>
  <c r="D870" i="7"/>
  <c r="AN869" i="7"/>
  <c r="AM869" i="7"/>
  <c r="F869" i="7"/>
  <c r="D869" i="7"/>
  <c r="AN868" i="7"/>
  <c r="AM868" i="7"/>
  <c r="F868" i="7"/>
  <c r="D868" i="7"/>
  <c r="AN867" i="7"/>
  <c r="AG867" i="7"/>
  <c r="V867" i="7"/>
  <c r="Y867" i="7" s="1"/>
  <c r="Z867" i="7" s="1"/>
  <c r="F867" i="7"/>
  <c r="D867" i="7"/>
  <c r="AN866" i="7"/>
  <c r="AG866" i="7"/>
  <c r="W866" i="7"/>
  <c r="V866" i="7"/>
  <c r="AI866" i="7" s="1"/>
  <c r="F866" i="7"/>
  <c r="D866" i="7"/>
  <c r="AN865" i="7"/>
  <c r="AI865" i="7"/>
  <c r="AG865" i="7"/>
  <c r="Y865" i="7"/>
  <c r="Z865" i="7" s="1"/>
  <c r="F865" i="7"/>
  <c r="D865" i="7"/>
  <c r="AN864" i="7"/>
  <c r="AI864" i="7"/>
  <c r="AG864" i="7"/>
  <c r="Y864" i="7"/>
  <c r="Z864" i="7" s="1"/>
  <c r="F864" i="7"/>
  <c r="D864" i="7"/>
  <c r="AN863" i="7"/>
  <c r="AI863" i="7"/>
  <c r="AG863" i="7"/>
  <c r="Y863" i="7"/>
  <c r="Z863" i="7" s="1"/>
  <c r="F863" i="7"/>
  <c r="D863" i="7"/>
  <c r="AN862" i="7"/>
  <c r="AI862" i="7"/>
  <c r="AG862" i="7"/>
  <c r="Y862" i="7"/>
  <c r="Z862" i="7" s="1"/>
  <c r="F862" i="7"/>
  <c r="D862" i="7"/>
  <c r="AN861" i="7"/>
  <c r="AG861" i="7"/>
  <c r="W861" i="7"/>
  <c r="V861" i="7"/>
  <c r="F861" i="7"/>
  <c r="D861" i="7"/>
  <c r="AN860" i="7"/>
  <c r="AI860" i="7"/>
  <c r="AG860" i="7"/>
  <c r="Y860" i="7"/>
  <c r="Z860" i="7" s="1"/>
  <c r="AA860" i="7" s="1"/>
  <c r="F860" i="7"/>
  <c r="D860" i="7"/>
  <c r="AN859" i="7"/>
  <c r="AI859" i="7"/>
  <c r="AG859" i="7"/>
  <c r="Y859" i="7"/>
  <c r="Z859" i="7" s="1"/>
  <c r="F859" i="7"/>
  <c r="D859" i="7"/>
  <c r="AN858" i="7"/>
  <c r="AI858" i="7"/>
  <c r="AG858" i="7"/>
  <c r="Y858" i="7"/>
  <c r="Z858" i="7" s="1"/>
  <c r="F858" i="7"/>
  <c r="D858" i="7"/>
  <c r="AN857" i="7"/>
  <c r="AI857" i="7"/>
  <c r="AG857" i="7"/>
  <c r="Y857" i="7"/>
  <c r="Z857" i="7" s="1"/>
  <c r="F857" i="7"/>
  <c r="D857" i="7"/>
  <c r="AN856" i="7"/>
  <c r="AG856" i="7"/>
  <c r="V856" i="7"/>
  <c r="F856" i="7"/>
  <c r="D856" i="7"/>
  <c r="AN855" i="7"/>
  <c r="AI855" i="7"/>
  <c r="AG855" i="7"/>
  <c r="W855" i="7"/>
  <c r="Y855" i="7" s="1"/>
  <c r="Z855" i="7" s="1"/>
  <c r="F855" i="7"/>
  <c r="D855" i="7"/>
  <c r="AN854" i="7"/>
  <c r="AI854" i="7"/>
  <c r="AG854" i="7"/>
  <c r="W854" i="7"/>
  <c r="Y854" i="7" s="1"/>
  <c r="Z854" i="7" s="1"/>
  <c r="AC854" i="7" s="1"/>
  <c r="F854" i="7"/>
  <c r="D854" i="7"/>
  <c r="AN853" i="7"/>
  <c r="AI853" i="7"/>
  <c r="AG853" i="7"/>
  <c r="W853" i="7"/>
  <c r="Y853" i="7" s="1"/>
  <c r="Z853" i="7" s="1"/>
  <c r="F853" i="7"/>
  <c r="D853" i="7"/>
  <c r="AN852" i="7"/>
  <c r="AG852" i="7"/>
  <c r="W852" i="7"/>
  <c r="Y852" i="7" s="1"/>
  <c r="Z852" i="7" s="1"/>
  <c r="V852" i="7"/>
  <c r="AI852" i="7" s="1"/>
  <c r="F852" i="7"/>
  <c r="D852" i="7"/>
  <c r="AN851" i="7"/>
  <c r="AI851" i="7"/>
  <c r="AG851" i="7"/>
  <c r="W851" i="7"/>
  <c r="Y851" i="7" s="1"/>
  <c r="Z851" i="7" s="1"/>
  <c r="F851" i="7"/>
  <c r="D851" i="7"/>
  <c r="AN850" i="7"/>
  <c r="X850" i="7"/>
  <c r="V850" i="7"/>
  <c r="F850" i="7"/>
  <c r="D850" i="7"/>
  <c r="AN849" i="7"/>
  <c r="X849" i="7"/>
  <c r="W849" i="7"/>
  <c r="V849" i="7"/>
  <c r="F849" i="7"/>
  <c r="D849" i="7"/>
  <c r="AN848" i="7"/>
  <c r="W848" i="7"/>
  <c r="V848" i="7"/>
  <c r="F848" i="7"/>
  <c r="D848" i="7"/>
  <c r="AN847" i="7"/>
  <c r="AG847" i="7"/>
  <c r="V847" i="7"/>
  <c r="F847" i="7"/>
  <c r="D847" i="7"/>
  <c r="AN846" i="7"/>
  <c r="AI846" i="7"/>
  <c r="AJ846" i="7" s="1"/>
  <c r="AG846" i="7"/>
  <c r="Y846" i="7"/>
  <c r="Z846" i="7" s="1"/>
  <c r="F846" i="7"/>
  <c r="D846" i="7"/>
  <c r="AN845" i="7"/>
  <c r="AG845" i="7"/>
  <c r="X845" i="7"/>
  <c r="V845" i="7"/>
  <c r="F845" i="7"/>
  <c r="D845" i="7"/>
  <c r="AN844" i="7"/>
  <c r="AG844" i="7"/>
  <c r="V844" i="7"/>
  <c r="F844" i="7"/>
  <c r="D844" i="7"/>
  <c r="AN843" i="7"/>
  <c r="AG843" i="7"/>
  <c r="X843" i="7"/>
  <c r="V843" i="7"/>
  <c r="AI843" i="7" s="1"/>
  <c r="F843" i="7"/>
  <c r="D843" i="7"/>
  <c r="AN842" i="7"/>
  <c r="AI842" i="7"/>
  <c r="AG842" i="7"/>
  <c r="X842" i="7"/>
  <c r="W842" i="7"/>
  <c r="F842" i="7"/>
  <c r="D842" i="7"/>
  <c r="AN841" i="7"/>
  <c r="AI841" i="7"/>
  <c r="AG841" i="7"/>
  <c r="W841" i="7"/>
  <c r="Y841" i="7" s="1"/>
  <c r="Z841" i="7" s="1"/>
  <c r="F841" i="7"/>
  <c r="D841" i="7"/>
  <c r="AN840" i="7"/>
  <c r="AG840" i="7"/>
  <c r="X840" i="7"/>
  <c r="V840" i="7"/>
  <c r="AI840" i="7" s="1"/>
  <c r="F840" i="7"/>
  <c r="D840" i="7"/>
  <c r="AN839" i="7"/>
  <c r="AI839" i="7"/>
  <c r="AG839" i="7"/>
  <c r="X839" i="7"/>
  <c r="Y839" i="7" s="1"/>
  <c r="Z839" i="7" s="1"/>
  <c r="F839" i="7"/>
  <c r="D839" i="7"/>
  <c r="AN838" i="7"/>
  <c r="AI838" i="7"/>
  <c r="AG838" i="7"/>
  <c r="W838" i="7"/>
  <c r="Y838" i="7" s="1"/>
  <c r="Z838" i="7" s="1"/>
  <c r="F838" i="7"/>
  <c r="D838" i="7"/>
  <c r="AN837" i="7"/>
  <c r="AG837" i="7"/>
  <c r="W837" i="7"/>
  <c r="V837" i="7"/>
  <c r="AI837" i="7" s="1"/>
  <c r="F837" i="7"/>
  <c r="D837" i="7"/>
  <c r="AN836" i="7"/>
  <c r="AG836" i="7"/>
  <c r="X836" i="7"/>
  <c r="V836" i="7"/>
  <c r="F836" i="7"/>
  <c r="D836" i="7"/>
  <c r="AN835" i="7"/>
  <c r="AG835" i="7"/>
  <c r="X835" i="7"/>
  <c r="W835" i="7"/>
  <c r="V835" i="7"/>
  <c r="F835" i="7"/>
  <c r="D835" i="7"/>
  <c r="AN834" i="7"/>
  <c r="AG834" i="7"/>
  <c r="X834" i="7"/>
  <c r="W834" i="7"/>
  <c r="V834" i="7"/>
  <c r="AI834" i="7" s="1"/>
  <c r="F834" i="7"/>
  <c r="D834" i="7"/>
  <c r="AN833" i="7"/>
  <c r="AI833" i="7"/>
  <c r="AJ833" i="7" s="1"/>
  <c r="AG833" i="7"/>
  <c r="W833" i="7"/>
  <c r="Y833" i="7" s="1"/>
  <c r="Z833" i="7" s="1"/>
  <c r="F833" i="7"/>
  <c r="D833" i="7"/>
  <c r="AN832" i="7"/>
  <c r="AI832" i="7"/>
  <c r="AG832" i="7"/>
  <c r="W832" i="7"/>
  <c r="Y832" i="7" s="1"/>
  <c r="Z832" i="7" s="1"/>
  <c r="AC832" i="7" s="1"/>
  <c r="F832" i="7"/>
  <c r="D832" i="7"/>
  <c r="AN831" i="7"/>
  <c r="AG831" i="7"/>
  <c r="X831" i="7"/>
  <c r="W831" i="7"/>
  <c r="V831" i="7"/>
  <c r="AI831" i="7" s="1"/>
  <c r="F831" i="7"/>
  <c r="D831" i="7"/>
  <c r="AN830" i="7"/>
  <c r="AG830" i="7"/>
  <c r="X830" i="7"/>
  <c r="V830" i="7"/>
  <c r="AI830" i="7" s="1"/>
  <c r="F830" i="7"/>
  <c r="D830" i="7"/>
  <c r="AN829" i="7"/>
  <c r="AI829" i="7"/>
  <c r="AG829" i="7"/>
  <c r="X829" i="7"/>
  <c r="W829" i="7"/>
  <c r="F829" i="7"/>
  <c r="D829" i="7"/>
  <c r="AN828" i="7"/>
  <c r="AI828" i="7"/>
  <c r="AG828" i="7"/>
  <c r="Y828" i="7"/>
  <c r="Z828" i="7" s="1"/>
  <c r="F828" i="7"/>
  <c r="D828" i="7"/>
  <c r="AN827" i="7"/>
  <c r="AI827" i="7"/>
  <c r="AG827" i="7"/>
  <c r="Y827" i="7"/>
  <c r="Z827" i="7" s="1"/>
  <c r="F827" i="7"/>
  <c r="D827" i="7"/>
  <c r="AN826" i="7"/>
  <c r="AI826" i="7"/>
  <c r="AG826" i="7"/>
  <c r="Y826" i="7"/>
  <c r="Z826" i="7" s="1"/>
  <c r="F826" i="7"/>
  <c r="D826" i="7"/>
  <c r="AN825" i="7"/>
  <c r="AI825" i="7"/>
  <c r="AG825" i="7"/>
  <c r="Y825" i="7"/>
  <c r="Z825" i="7" s="1"/>
  <c r="F825" i="7"/>
  <c r="D825" i="7"/>
  <c r="AN824" i="7"/>
  <c r="AI824" i="7"/>
  <c r="AG824" i="7"/>
  <c r="Y824" i="7"/>
  <c r="Z824" i="7" s="1"/>
  <c r="F824" i="7"/>
  <c r="D824" i="7"/>
  <c r="AN823" i="7"/>
  <c r="AI823" i="7"/>
  <c r="AG823" i="7"/>
  <c r="W823" i="7"/>
  <c r="Y823" i="7" s="1"/>
  <c r="Z823" i="7" s="1"/>
  <c r="F823" i="7"/>
  <c r="D823" i="7"/>
  <c r="AN822" i="7"/>
  <c r="AG822" i="7"/>
  <c r="X822" i="7"/>
  <c r="W822" i="7"/>
  <c r="V822" i="7"/>
  <c r="AI822" i="7" s="1"/>
  <c r="F822" i="7"/>
  <c r="D822" i="7"/>
  <c r="AN821" i="7"/>
  <c r="AI821" i="7"/>
  <c r="AG821" i="7"/>
  <c r="X821" i="7"/>
  <c r="W821" i="7"/>
  <c r="F821" i="7"/>
  <c r="D821" i="7"/>
  <c r="AN820" i="7"/>
  <c r="AI820" i="7"/>
  <c r="AG820" i="7"/>
  <c r="Y820" i="7"/>
  <c r="Z820" i="7" s="1"/>
  <c r="F820" i="7"/>
  <c r="D820" i="7"/>
  <c r="AN819" i="7"/>
  <c r="AI819" i="7"/>
  <c r="AG819" i="7"/>
  <c r="Y819" i="7"/>
  <c r="Z819" i="7" s="1"/>
  <c r="F819" i="7"/>
  <c r="D819" i="7"/>
  <c r="AN818" i="7"/>
  <c r="AI818" i="7"/>
  <c r="AG818" i="7"/>
  <c r="Y818" i="7"/>
  <c r="Z818" i="7" s="1"/>
  <c r="F818" i="7"/>
  <c r="D818" i="7"/>
  <c r="AN817" i="7"/>
  <c r="AI817" i="7"/>
  <c r="AG817" i="7"/>
  <c r="Y817" i="7"/>
  <c r="Z817" i="7" s="1"/>
  <c r="F817" i="7"/>
  <c r="D817" i="7"/>
  <c r="AN816" i="7"/>
  <c r="AG816" i="7"/>
  <c r="V816" i="7"/>
  <c r="F816" i="7"/>
  <c r="D816" i="7"/>
  <c r="AN815" i="7"/>
  <c r="AM815" i="7"/>
  <c r="F815" i="7"/>
  <c r="D815" i="7"/>
  <c r="AN814" i="7"/>
  <c r="AI814" i="7"/>
  <c r="AG814" i="7"/>
  <c r="W814" i="7"/>
  <c r="Y814" i="7" s="1"/>
  <c r="Z814" i="7" s="1"/>
  <c r="AC814" i="7" s="1"/>
  <c r="F814" i="7"/>
  <c r="D814" i="7"/>
  <c r="AN813" i="7"/>
  <c r="AG813" i="7"/>
  <c r="W813" i="7"/>
  <c r="V813" i="7"/>
  <c r="AI813" i="7" s="1"/>
  <c r="F813" i="7"/>
  <c r="D813" i="7"/>
  <c r="AN812" i="7"/>
  <c r="AI812" i="7"/>
  <c r="AG812" i="7"/>
  <c r="X812" i="7"/>
  <c r="Y812" i="7" s="1"/>
  <c r="Z812" i="7" s="1"/>
  <c r="F812" i="7"/>
  <c r="D812" i="7"/>
  <c r="AN811" i="7"/>
  <c r="AI811" i="7"/>
  <c r="AG811" i="7"/>
  <c r="X811" i="7"/>
  <c r="W811" i="7"/>
  <c r="F811" i="7"/>
  <c r="D811" i="7"/>
  <c r="AN810" i="7"/>
  <c r="AI810" i="7"/>
  <c r="AG810" i="7"/>
  <c r="Y810" i="7"/>
  <c r="Z810" i="7" s="1"/>
  <c r="F810" i="7"/>
  <c r="D810" i="7"/>
  <c r="AN809" i="7"/>
  <c r="AG809" i="7"/>
  <c r="X809" i="7"/>
  <c r="V809" i="7"/>
  <c r="F809" i="7"/>
  <c r="D809" i="7"/>
  <c r="AN808" i="7"/>
  <c r="AI808" i="7"/>
  <c r="AG808" i="7"/>
  <c r="W808" i="7"/>
  <c r="Y808" i="7" s="1"/>
  <c r="Z808" i="7" s="1"/>
  <c r="F808" i="7"/>
  <c r="D808" i="7"/>
  <c r="AN807" i="7"/>
  <c r="AG807" i="7"/>
  <c r="W807" i="7"/>
  <c r="V807" i="7"/>
  <c r="F807" i="7"/>
  <c r="D807" i="7"/>
  <c r="AN806" i="7"/>
  <c r="AG806" i="7"/>
  <c r="W806" i="7"/>
  <c r="V806" i="7"/>
  <c r="AI806" i="7" s="1"/>
  <c r="F806" i="7"/>
  <c r="D806" i="7"/>
  <c r="AN805" i="7"/>
  <c r="AI805" i="7"/>
  <c r="AG805" i="7"/>
  <c r="W805" i="7"/>
  <c r="Y805" i="7" s="1"/>
  <c r="Z805" i="7" s="1"/>
  <c r="F805" i="7"/>
  <c r="D805" i="7"/>
  <c r="AN804" i="7"/>
  <c r="AG804" i="7"/>
  <c r="W804" i="7"/>
  <c r="V804" i="7"/>
  <c r="AI804" i="7" s="1"/>
  <c r="F804" i="7"/>
  <c r="D804" i="7"/>
  <c r="AN803" i="7"/>
  <c r="AI803" i="7"/>
  <c r="AG803" i="7"/>
  <c r="Y803" i="7"/>
  <c r="Z803" i="7" s="1"/>
  <c r="F803" i="7"/>
  <c r="D803" i="7"/>
  <c r="AN802" i="7"/>
  <c r="AI802" i="7"/>
  <c r="AG802" i="7"/>
  <c r="W802" i="7"/>
  <c r="Y802" i="7" s="1"/>
  <c r="Z802" i="7" s="1"/>
  <c r="F802" i="7"/>
  <c r="D802" i="7"/>
  <c r="AN801" i="7"/>
  <c r="AG801" i="7"/>
  <c r="V801" i="7"/>
  <c r="F801" i="7"/>
  <c r="D801" i="7"/>
  <c r="AN800" i="7"/>
  <c r="AG800" i="7"/>
  <c r="W800" i="7"/>
  <c r="V800" i="7"/>
  <c r="F800" i="7"/>
  <c r="D800" i="7"/>
  <c r="AN799" i="7"/>
  <c r="AG799" i="7"/>
  <c r="W799" i="7"/>
  <c r="V799" i="7"/>
  <c r="F799" i="7"/>
  <c r="D799" i="7"/>
  <c r="AN798" i="7"/>
  <c r="AG798" i="7"/>
  <c r="W798" i="7"/>
  <c r="V798" i="7"/>
  <c r="AI798" i="7" s="1"/>
  <c r="F798" i="7"/>
  <c r="D798" i="7"/>
  <c r="AN797" i="7"/>
  <c r="AG797" i="7"/>
  <c r="W797" i="7"/>
  <c r="V797" i="7"/>
  <c r="F797" i="7"/>
  <c r="D797" i="7"/>
  <c r="AN796" i="7"/>
  <c r="AI796" i="7"/>
  <c r="AG796" i="7"/>
  <c r="X796" i="7"/>
  <c r="Y796" i="7" s="1"/>
  <c r="Z796" i="7" s="1"/>
  <c r="AC796" i="7" s="1"/>
  <c r="F796" i="7"/>
  <c r="D796" i="7"/>
  <c r="AN795" i="7"/>
  <c r="AI795" i="7"/>
  <c r="AG795" i="7"/>
  <c r="X795" i="7"/>
  <c r="W795" i="7"/>
  <c r="F795" i="7"/>
  <c r="D795" i="7"/>
  <c r="AN794" i="7"/>
  <c r="AG794" i="7"/>
  <c r="X794" i="7"/>
  <c r="W794" i="7"/>
  <c r="V794" i="7"/>
  <c r="AI794" i="7" s="1"/>
  <c r="F794" i="7"/>
  <c r="D794" i="7"/>
  <c r="AN793" i="7"/>
  <c r="AG793" i="7"/>
  <c r="X793" i="7"/>
  <c r="V793" i="7"/>
  <c r="AI793" i="7" s="1"/>
  <c r="F793" i="7"/>
  <c r="D793" i="7"/>
  <c r="AN792" i="7"/>
  <c r="AG792" i="7"/>
  <c r="W792" i="7"/>
  <c r="V792" i="7"/>
  <c r="AI792" i="7" s="1"/>
  <c r="F792" i="7"/>
  <c r="D792" i="7"/>
  <c r="AN791" i="7"/>
  <c r="AG791" i="7"/>
  <c r="V791" i="7"/>
  <c r="F791" i="7"/>
  <c r="D791" i="7"/>
  <c r="AN790" i="7"/>
  <c r="AG790" i="7"/>
  <c r="W790" i="7"/>
  <c r="V790" i="7"/>
  <c r="AI790" i="7" s="1"/>
  <c r="F790" i="7"/>
  <c r="D790" i="7"/>
  <c r="AN789" i="7"/>
  <c r="AI789" i="7"/>
  <c r="AG789" i="7"/>
  <c r="W789" i="7"/>
  <c r="Y789" i="7" s="1"/>
  <c r="Z789" i="7" s="1"/>
  <c r="F789" i="7"/>
  <c r="D789" i="7"/>
  <c r="AN788" i="7"/>
  <c r="AI788" i="7"/>
  <c r="AG788" i="7"/>
  <c r="W788" i="7"/>
  <c r="Y788" i="7" s="1"/>
  <c r="Z788" i="7" s="1"/>
  <c r="F788" i="7"/>
  <c r="D788" i="7"/>
  <c r="AN787" i="7"/>
  <c r="AG787" i="7"/>
  <c r="W787" i="7"/>
  <c r="V787" i="7"/>
  <c r="AI787" i="7" s="1"/>
  <c r="F787" i="7"/>
  <c r="D787" i="7"/>
  <c r="AN786" i="7"/>
  <c r="AG786" i="7"/>
  <c r="V786" i="7"/>
  <c r="F786" i="7"/>
  <c r="D786" i="7"/>
  <c r="AN785" i="7"/>
  <c r="AI785" i="7"/>
  <c r="AG785" i="7"/>
  <c r="Y785" i="7"/>
  <c r="Z785" i="7" s="1"/>
  <c r="F785" i="7"/>
  <c r="D785" i="7"/>
  <c r="AN784" i="7"/>
  <c r="AI784" i="7"/>
  <c r="AG784" i="7"/>
  <c r="W784" i="7"/>
  <c r="Y784" i="7" s="1"/>
  <c r="Z784" i="7" s="1"/>
  <c r="F784" i="7"/>
  <c r="D784" i="7"/>
  <c r="AN783" i="7"/>
  <c r="AI783" i="7"/>
  <c r="AG783" i="7"/>
  <c r="Y783" i="7"/>
  <c r="Z783" i="7" s="1"/>
  <c r="F783" i="7"/>
  <c r="D783" i="7"/>
  <c r="AN782" i="7"/>
  <c r="AI782" i="7"/>
  <c r="AG782" i="7"/>
  <c r="W782" i="7"/>
  <c r="Y782" i="7" s="1"/>
  <c r="Z782" i="7" s="1"/>
  <c r="F782" i="7"/>
  <c r="D782" i="7"/>
  <c r="AN781" i="7"/>
  <c r="AI781" i="7"/>
  <c r="AG781" i="7"/>
  <c r="W781" i="7"/>
  <c r="Y781" i="7" s="1"/>
  <c r="Z781" i="7" s="1"/>
  <c r="F781" i="7"/>
  <c r="D781" i="7"/>
  <c r="AN780" i="7"/>
  <c r="AI780" i="7"/>
  <c r="AG780" i="7"/>
  <c r="W780" i="7"/>
  <c r="Y780" i="7" s="1"/>
  <c r="Z780" i="7" s="1"/>
  <c r="F780" i="7"/>
  <c r="D780" i="7"/>
  <c r="AN779" i="7"/>
  <c r="X779" i="7"/>
  <c r="V779" i="7"/>
  <c r="F779" i="7"/>
  <c r="D779" i="7"/>
  <c r="AN778" i="7"/>
  <c r="X778" i="7"/>
  <c r="Y778" i="7" s="1"/>
  <c r="Z778" i="7" s="1"/>
  <c r="F778" i="7"/>
  <c r="D778" i="7"/>
  <c r="AN777" i="7"/>
  <c r="Y777" i="7"/>
  <c r="Z777" i="7" s="1"/>
  <c r="AM777" i="7" s="1"/>
  <c r="F777" i="7"/>
  <c r="D777" i="7"/>
  <c r="AN776" i="7"/>
  <c r="AI776" i="7"/>
  <c r="AG776" i="7"/>
  <c r="W776" i="7"/>
  <c r="Y776" i="7" s="1"/>
  <c r="Z776" i="7" s="1"/>
  <c r="F776" i="7"/>
  <c r="D776" i="7"/>
  <c r="AN775" i="7"/>
  <c r="AM775" i="7"/>
  <c r="F775" i="7"/>
  <c r="D775" i="7"/>
  <c r="AN774" i="7"/>
  <c r="AG774" i="7"/>
  <c r="W774" i="7"/>
  <c r="V774" i="7"/>
  <c r="F774" i="7"/>
  <c r="D774" i="7"/>
  <c r="AN773" i="7"/>
  <c r="AI773" i="7"/>
  <c r="AG773" i="7"/>
  <c r="Y773" i="7"/>
  <c r="Z773" i="7" s="1"/>
  <c r="F773" i="7"/>
  <c r="D773" i="7"/>
  <c r="AN772" i="7"/>
  <c r="AI772" i="7"/>
  <c r="AG772" i="7"/>
  <c r="Y772" i="7"/>
  <c r="Z772" i="7" s="1"/>
  <c r="F772" i="7"/>
  <c r="D772" i="7"/>
  <c r="AN771" i="7"/>
  <c r="AI771" i="7"/>
  <c r="AG771" i="7"/>
  <c r="Y771" i="7"/>
  <c r="Z771" i="7" s="1"/>
  <c r="F771" i="7"/>
  <c r="D771" i="7"/>
  <c r="AN770" i="7"/>
  <c r="AI770" i="7"/>
  <c r="AG770" i="7"/>
  <c r="Y770" i="7"/>
  <c r="Z770" i="7" s="1"/>
  <c r="F770" i="7"/>
  <c r="D770" i="7"/>
  <c r="AN769" i="7"/>
  <c r="AG769" i="7"/>
  <c r="W769" i="7"/>
  <c r="V769" i="7"/>
  <c r="AI769" i="7" s="1"/>
  <c r="F769" i="7"/>
  <c r="D769" i="7"/>
  <c r="AN768" i="7"/>
  <c r="AG768" i="7"/>
  <c r="W768" i="7"/>
  <c r="V768" i="7"/>
  <c r="AI768" i="7" s="1"/>
  <c r="F768" i="7"/>
  <c r="D768" i="7"/>
  <c r="AN767" i="7"/>
  <c r="AI767" i="7"/>
  <c r="AG767" i="7"/>
  <c r="Y767" i="7"/>
  <c r="Z767" i="7" s="1"/>
  <c r="F767" i="7"/>
  <c r="D767" i="7"/>
  <c r="AN766" i="7"/>
  <c r="AI766" i="7"/>
  <c r="AG766" i="7"/>
  <c r="Y766" i="7"/>
  <c r="Z766" i="7" s="1"/>
  <c r="F766" i="7"/>
  <c r="D766" i="7"/>
  <c r="AN765" i="7"/>
  <c r="AI765" i="7"/>
  <c r="AG765" i="7"/>
  <c r="Y765" i="7"/>
  <c r="Z765" i="7" s="1"/>
  <c r="F765" i="7"/>
  <c r="D765" i="7"/>
  <c r="AN764" i="7"/>
  <c r="AG764" i="7"/>
  <c r="W764" i="7"/>
  <c r="V764" i="7"/>
  <c r="AI764" i="7" s="1"/>
  <c r="F764" i="7"/>
  <c r="D764" i="7"/>
  <c r="AN763" i="7"/>
  <c r="AI763" i="7"/>
  <c r="AG763" i="7"/>
  <c r="W763" i="7"/>
  <c r="Y763" i="7" s="1"/>
  <c r="Z763" i="7" s="1"/>
  <c r="F763" i="7"/>
  <c r="D763" i="7"/>
  <c r="AN762" i="7"/>
  <c r="AI762" i="7"/>
  <c r="AG762" i="7"/>
  <c r="W762" i="7"/>
  <c r="Y762" i="7" s="1"/>
  <c r="Z762" i="7" s="1"/>
  <c r="F762" i="7"/>
  <c r="D762" i="7"/>
  <c r="AN761" i="7"/>
  <c r="AI761" i="7"/>
  <c r="AG761" i="7"/>
  <c r="X761" i="7"/>
  <c r="Y761" i="7" s="1"/>
  <c r="Z761" i="7" s="1"/>
  <c r="F761" i="7"/>
  <c r="D761" i="7"/>
  <c r="AN760" i="7"/>
  <c r="AG760" i="7"/>
  <c r="X760" i="7"/>
  <c r="V760" i="7"/>
  <c r="AI760" i="7" s="1"/>
  <c r="F760" i="7"/>
  <c r="D760" i="7"/>
  <c r="AN759" i="7"/>
  <c r="AG759" i="7"/>
  <c r="X759" i="7"/>
  <c r="V759" i="7"/>
  <c r="AI759" i="7" s="1"/>
  <c r="F759" i="7"/>
  <c r="D759" i="7"/>
  <c r="AN758" i="7"/>
  <c r="AI758" i="7"/>
  <c r="AG758" i="7"/>
  <c r="X758" i="7"/>
  <c r="Y758" i="7" s="1"/>
  <c r="Z758" i="7" s="1"/>
  <c r="F758" i="7"/>
  <c r="D758" i="7"/>
  <c r="AN757" i="7"/>
  <c r="AG757" i="7"/>
  <c r="W757" i="7"/>
  <c r="V757" i="7"/>
  <c r="AI757" i="7" s="1"/>
  <c r="F757" i="7"/>
  <c r="D757" i="7"/>
  <c r="AN756" i="7"/>
  <c r="AI756" i="7"/>
  <c r="AG756" i="7"/>
  <c r="Y756" i="7"/>
  <c r="Z756" i="7" s="1"/>
  <c r="F756" i="7"/>
  <c r="D756" i="7"/>
  <c r="AN755" i="7"/>
  <c r="AI755" i="7"/>
  <c r="AG755" i="7"/>
  <c r="Y755" i="7"/>
  <c r="Z755" i="7" s="1"/>
  <c r="F755" i="7"/>
  <c r="D755" i="7"/>
  <c r="AN754" i="7"/>
  <c r="AI754" i="7"/>
  <c r="AG754" i="7"/>
  <c r="Y754" i="7"/>
  <c r="Z754" i="7" s="1"/>
  <c r="F754" i="7"/>
  <c r="D754" i="7"/>
  <c r="AN753" i="7"/>
  <c r="AI753" i="7"/>
  <c r="AG753" i="7"/>
  <c r="Y753" i="7"/>
  <c r="Z753" i="7" s="1"/>
  <c r="F753" i="7"/>
  <c r="D753" i="7"/>
  <c r="AN752" i="7"/>
  <c r="AG752" i="7"/>
  <c r="V752" i="7"/>
  <c r="Y752" i="7" s="1"/>
  <c r="Z752" i="7" s="1"/>
  <c r="F752" i="7"/>
  <c r="D752" i="7"/>
  <c r="AN751" i="7"/>
  <c r="AI751" i="7"/>
  <c r="AG751" i="7"/>
  <c r="W751" i="7"/>
  <c r="Y751" i="7" s="1"/>
  <c r="Z751" i="7" s="1"/>
  <c r="F751" i="7"/>
  <c r="D751" i="7"/>
  <c r="AN750" i="7"/>
  <c r="AG750" i="7"/>
  <c r="W750" i="7"/>
  <c r="V750" i="7"/>
  <c r="AI750" i="7" s="1"/>
  <c r="F750" i="7"/>
  <c r="D750" i="7"/>
  <c r="AN749" i="7"/>
  <c r="AG749" i="7"/>
  <c r="W749" i="7"/>
  <c r="V749" i="7"/>
  <c r="AI749" i="7" s="1"/>
  <c r="F749" i="7"/>
  <c r="D749" i="7"/>
  <c r="AN748" i="7"/>
  <c r="AG748" i="7"/>
  <c r="W748" i="7"/>
  <c r="V748" i="7"/>
  <c r="AI748" i="7" s="1"/>
  <c r="F748" i="7"/>
  <c r="D748" i="7"/>
  <c r="AN747" i="7"/>
  <c r="AI747" i="7"/>
  <c r="AG747" i="7"/>
  <c r="X747" i="7"/>
  <c r="W747" i="7"/>
  <c r="F747" i="7"/>
  <c r="D747" i="7"/>
  <c r="AN746" i="7"/>
  <c r="X746" i="7"/>
  <c r="V746" i="7"/>
  <c r="F746" i="7"/>
  <c r="D746" i="7"/>
  <c r="AN745" i="7"/>
  <c r="AG745" i="7"/>
  <c r="X745" i="7"/>
  <c r="V745" i="7"/>
  <c r="F745" i="7"/>
  <c r="D745" i="7"/>
  <c r="AN744" i="7"/>
  <c r="AG744" i="7"/>
  <c r="X744" i="7"/>
  <c r="V744" i="7"/>
  <c r="AI744" i="7" s="1"/>
  <c r="F744" i="7"/>
  <c r="D744" i="7"/>
  <c r="AN743" i="7"/>
  <c r="AI743" i="7"/>
  <c r="AG743" i="7"/>
  <c r="X743" i="7"/>
  <c r="Y743" i="7" s="1"/>
  <c r="Z743" i="7" s="1"/>
  <c r="F743" i="7"/>
  <c r="D743" i="7"/>
  <c r="AN742" i="7"/>
  <c r="AI742" i="7"/>
  <c r="AG742" i="7"/>
  <c r="X742" i="7"/>
  <c r="W742" i="7"/>
  <c r="F742" i="7"/>
  <c r="D742" i="7"/>
  <c r="AN741" i="7"/>
  <c r="AI741" i="7"/>
  <c r="AG741" i="7"/>
  <c r="Y741" i="7"/>
  <c r="Z741" i="7" s="1"/>
  <c r="F741" i="7"/>
  <c r="D741" i="7"/>
  <c r="AN740" i="7"/>
  <c r="AI740" i="7"/>
  <c r="AG740" i="7"/>
  <c r="W740" i="7"/>
  <c r="Y740" i="7" s="1"/>
  <c r="Z740" i="7" s="1"/>
  <c r="F740" i="7"/>
  <c r="D740" i="7"/>
  <c r="AN739" i="7"/>
  <c r="AG739" i="7"/>
  <c r="X739" i="7"/>
  <c r="V739" i="7"/>
  <c r="F739" i="7"/>
  <c r="D739" i="7"/>
  <c r="AN738" i="7"/>
  <c r="AG738" i="7"/>
  <c r="X738" i="7"/>
  <c r="V738" i="7"/>
  <c r="AI738" i="7" s="1"/>
  <c r="F738" i="7"/>
  <c r="D738" i="7"/>
  <c r="AN737" i="7"/>
  <c r="AG737" i="7"/>
  <c r="X737" i="7"/>
  <c r="V737" i="7"/>
  <c r="AI737" i="7" s="1"/>
  <c r="F737" i="7"/>
  <c r="D737" i="7"/>
  <c r="AN736" i="7"/>
  <c r="AM736" i="7"/>
  <c r="F736" i="7"/>
  <c r="D736" i="7"/>
  <c r="AN735" i="7"/>
  <c r="AI735" i="7"/>
  <c r="AG735" i="7"/>
  <c r="W735" i="7"/>
  <c r="Y735" i="7" s="1"/>
  <c r="Z735" i="7" s="1"/>
  <c r="F735" i="7"/>
  <c r="D735" i="7"/>
  <c r="AN734" i="7"/>
  <c r="AI734" i="7"/>
  <c r="AG734" i="7"/>
  <c r="W734" i="7"/>
  <c r="Y734" i="7" s="1"/>
  <c r="Z734" i="7" s="1"/>
  <c r="F734" i="7"/>
  <c r="D734" i="7"/>
  <c r="AN733" i="7"/>
  <c r="AG733" i="7"/>
  <c r="W733" i="7"/>
  <c r="V733" i="7"/>
  <c r="AI733" i="7" s="1"/>
  <c r="F733" i="7"/>
  <c r="D733" i="7"/>
  <c r="AN732" i="7"/>
  <c r="AI732" i="7"/>
  <c r="AG732" i="7"/>
  <c r="W732" i="7"/>
  <c r="Y732" i="7" s="1"/>
  <c r="Z732" i="7" s="1"/>
  <c r="F732" i="7"/>
  <c r="D732" i="7"/>
  <c r="AN731" i="7"/>
  <c r="AI731" i="7"/>
  <c r="AG731" i="7"/>
  <c r="W731" i="7"/>
  <c r="Y731" i="7" s="1"/>
  <c r="Z731" i="7" s="1"/>
  <c r="F731" i="7"/>
  <c r="D731" i="7"/>
  <c r="AN730" i="7"/>
  <c r="AG730" i="7"/>
  <c r="W730" i="7"/>
  <c r="V730" i="7"/>
  <c r="AI730" i="7" s="1"/>
  <c r="F730" i="7"/>
  <c r="D730" i="7"/>
  <c r="AN729" i="7"/>
  <c r="AI729" i="7"/>
  <c r="AG729" i="7"/>
  <c r="Y729" i="7"/>
  <c r="Z729" i="7" s="1"/>
  <c r="F729" i="7"/>
  <c r="D729" i="7"/>
  <c r="AN728" i="7"/>
  <c r="AG728" i="7"/>
  <c r="V728" i="7"/>
  <c r="AI728" i="7" s="1"/>
  <c r="F728" i="7"/>
  <c r="D728" i="7"/>
  <c r="AN727" i="7"/>
  <c r="AI727" i="7"/>
  <c r="AG727" i="7"/>
  <c r="Y727" i="7"/>
  <c r="Z727" i="7" s="1"/>
  <c r="F727" i="7"/>
  <c r="D727" i="7"/>
  <c r="AN726" i="7"/>
  <c r="V726" i="7"/>
  <c r="Y726" i="7" s="1"/>
  <c r="Z726" i="7" s="1"/>
  <c r="F726" i="7"/>
  <c r="D726" i="7"/>
  <c r="AN725" i="7"/>
  <c r="X725" i="7"/>
  <c r="V725" i="7"/>
  <c r="F725" i="7"/>
  <c r="D725" i="7"/>
  <c r="AN724" i="7"/>
  <c r="AG724" i="7"/>
  <c r="W724" i="7"/>
  <c r="V724" i="7"/>
  <c r="F724" i="7"/>
  <c r="D724" i="7"/>
  <c r="AN723" i="7"/>
  <c r="AI723" i="7"/>
  <c r="AG723" i="7"/>
  <c r="Y723" i="7"/>
  <c r="Z723" i="7" s="1"/>
  <c r="F723" i="7"/>
  <c r="D723" i="7"/>
  <c r="AN722" i="7"/>
  <c r="AI722" i="7"/>
  <c r="AG722" i="7"/>
  <c r="Y722" i="7"/>
  <c r="Z722" i="7" s="1"/>
  <c r="F722" i="7"/>
  <c r="D722" i="7"/>
  <c r="AN721" i="7"/>
  <c r="AI721" i="7"/>
  <c r="AG721" i="7"/>
  <c r="Y721" i="7"/>
  <c r="Z721" i="7" s="1"/>
  <c r="F721" i="7"/>
  <c r="D721" i="7"/>
  <c r="AN720" i="7"/>
  <c r="AG720" i="7"/>
  <c r="W720" i="7"/>
  <c r="V720" i="7"/>
  <c r="F720" i="7"/>
  <c r="D720" i="7"/>
  <c r="AN719" i="7"/>
  <c r="AG719" i="7"/>
  <c r="W719" i="7"/>
  <c r="V719" i="7"/>
  <c r="AI719" i="7" s="1"/>
  <c r="F719" i="7"/>
  <c r="D719" i="7"/>
  <c r="AN718" i="7"/>
  <c r="AI718" i="7"/>
  <c r="AG718" i="7"/>
  <c r="Y718" i="7"/>
  <c r="Z718" i="7" s="1"/>
  <c r="F718" i="7"/>
  <c r="D718" i="7"/>
  <c r="AN717" i="7"/>
  <c r="AI717" i="7"/>
  <c r="AG717" i="7"/>
  <c r="Y717" i="7"/>
  <c r="Z717" i="7" s="1"/>
  <c r="F717" i="7"/>
  <c r="D717" i="7"/>
  <c r="AN716" i="7"/>
  <c r="AI716" i="7"/>
  <c r="AG716" i="7"/>
  <c r="Y716" i="7"/>
  <c r="Z716" i="7" s="1"/>
  <c r="F716" i="7"/>
  <c r="D716" i="7"/>
  <c r="AN715" i="7"/>
  <c r="AI715" i="7"/>
  <c r="AG715" i="7"/>
  <c r="Y715" i="7"/>
  <c r="Z715" i="7" s="1"/>
  <c r="F715" i="7"/>
  <c r="D715" i="7"/>
  <c r="AN714" i="7"/>
  <c r="AG714" i="7"/>
  <c r="W714" i="7"/>
  <c r="V714" i="7"/>
  <c r="AI714" i="7" s="1"/>
  <c r="F714" i="7"/>
  <c r="D714" i="7"/>
  <c r="AN713" i="7"/>
  <c r="AI713" i="7"/>
  <c r="AG713" i="7"/>
  <c r="Y713" i="7"/>
  <c r="Z713" i="7" s="1"/>
  <c r="F713" i="7"/>
  <c r="D713" i="7"/>
  <c r="AN712" i="7"/>
  <c r="AG712" i="7"/>
  <c r="W712" i="7"/>
  <c r="V712" i="7"/>
  <c r="AI712" i="7" s="1"/>
  <c r="F712" i="7"/>
  <c r="D712" i="7"/>
  <c r="AN711" i="7"/>
  <c r="AI711" i="7"/>
  <c r="AG711" i="7"/>
  <c r="Y711" i="7"/>
  <c r="Z711" i="7" s="1"/>
  <c r="F711" i="7"/>
  <c r="D711" i="7"/>
  <c r="AN710" i="7"/>
  <c r="AI710" i="7"/>
  <c r="AG710" i="7"/>
  <c r="Y710" i="7"/>
  <c r="Z710" i="7" s="1"/>
  <c r="F710" i="7"/>
  <c r="D710" i="7"/>
  <c r="AN709" i="7"/>
  <c r="AG709" i="7"/>
  <c r="V709" i="7"/>
  <c r="AI709" i="7" s="1"/>
  <c r="F709" i="7"/>
  <c r="D709" i="7"/>
  <c r="AN708" i="7"/>
  <c r="AG708" i="7"/>
  <c r="W708" i="7"/>
  <c r="V708" i="7"/>
  <c r="AI708" i="7" s="1"/>
  <c r="F708" i="7"/>
  <c r="D708" i="7"/>
  <c r="AN707" i="7"/>
  <c r="AI707" i="7"/>
  <c r="AG707" i="7"/>
  <c r="Y707" i="7"/>
  <c r="Z707" i="7" s="1"/>
  <c r="F707" i="7"/>
  <c r="D707" i="7"/>
  <c r="AN706" i="7"/>
  <c r="AI706" i="7"/>
  <c r="AG706" i="7"/>
  <c r="Y706" i="7"/>
  <c r="Z706" i="7" s="1"/>
  <c r="F706" i="7"/>
  <c r="D706" i="7"/>
  <c r="AN705" i="7"/>
  <c r="AI705" i="7"/>
  <c r="AG705" i="7"/>
  <c r="Y705" i="7"/>
  <c r="Z705" i="7" s="1"/>
  <c r="F705" i="7"/>
  <c r="D705" i="7"/>
  <c r="AN704" i="7"/>
  <c r="AI704" i="7"/>
  <c r="AG704" i="7"/>
  <c r="Y704" i="7"/>
  <c r="Z704" i="7" s="1"/>
  <c r="F704" i="7"/>
  <c r="D704" i="7"/>
  <c r="AN703" i="7"/>
  <c r="AG703" i="7"/>
  <c r="W703" i="7"/>
  <c r="V703" i="7"/>
  <c r="AI703" i="7" s="1"/>
  <c r="F703" i="7"/>
  <c r="D703" i="7"/>
  <c r="AN702" i="7"/>
  <c r="AM702" i="7"/>
  <c r="F702" i="7"/>
  <c r="D702" i="7"/>
  <c r="AN701" i="7"/>
  <c r="AG701" i="7"/>
  <c r="W701" i="7"/>
  <c r="V701" i="7"/>
  <c r="AI701" i="7" s="1"/>
  <c r="F701" i="7"/>
  <c r="D701" i="7"/>
  <c r="AN700" i="7"/>
  <c r="AG700" i="7"/>
  <c r="W700" i="7"/>
  <c r="V700" i="7"/>
  <c r="F700" i="7"/>
  <c r="D700" i="7"/>
  <c r="AN699" i="7"/>
  <c r="AI699" i="7"/>
  <c r="AG699" i="7"/>
  <c r="W699" i="7"/>
  <c r="Y699" i="7" s="1"/>
  <c r="Z699" i="7" s="1"/>
  <c r="F699" i="7"/>
  <c r="D699" i="7"/>
  <c r="AN698" i="7"/>
  <c r="AI698" i="7"/>
  <c r="AG698" i="7"/>
  <c r="Y698" i="7"/>
  <c r="Z698" i="7" s="1"/>
  <c r="F698" i="7"/>
  <c r="D698" i="7"/>
  <c r="AN697" i="7"/>
  <c r="AI697" i="7"/>
  <c r="AG697" i="7"/>
  <c r="Y697" i="7"/>
  <c r="Z697" i="7" s="1"/>
  <c r="F697" i="7"/>
  <c r="D697" i="7"/>
  <c r="AN696" i="7"/>
  <c r="AI696" i="7"/>
  <c r="AG696" i="7"/>
  <c r="Y696" i="7"/>
  <c r="Z696" i="7" s="1"/>
  <c r="F696" i="7"/>
  <c r="D696" i="7"/>
  <c r="AN695" i="7"/>
  <c r="AI695" i="7"/>
  <c r="AG695" i="7"/>
  <c r="W695" i="7"/>
  <c r="Y695" i="7" s="1"/>
  <c r="Z695" i="7" s="1"/>
  <c r="F695" i="7"/>
  <c r="D695" i="7"/>
  <c r="AN694" i="7"/>
  <c r="AI694" i="7"/>
  <c r="AG694" i="7"/>
  <c r="W694" i="7"/>
  <c r="Y694" i="7" s="1"/>
  <c r="Z694" i="7" s="1"/>
  <c r="F694" i="7"/>
  <c r="D694" i="7"/>
  <c r="AN693" i="7"/>
  <c r="AG693" i="7"/>
  <c r="W693" i="7"/>
  <c r="V693" i="7"/>
  <c r="AI693" i="7" s="1"/>
  <c r="F693" i="7"/>
  <c r="D693" i="7"/>
  <c r="AN692" i="7"/>
  <c r="AG692" i="7"/>
  <c r="X692" i="7"/>
  <c r="V692" i="7"/>
  <c r="AI692" i="7" s="1"/>
  <c r="F692" i="7"/>
  <c r="D692" i="7"/>
  <c r="AN691" i="7"/>
  <c r="AI691" i="7"/>
  <c r="AG691" i="7"/>
  <c r="W691" i="7"/>
  <c r="Y691" i="7" s="1"/>
  <c r="Z691" i="7" s="1"/>
  <c r="F691" i="7"/>
  <c r="D691" i="7"/>
  <c r="AN690" i="7"/>
  <c r="AI690" i="7"/>
  <c r="AG690" i="7"/>
  <c r="W690" i="7"/>
  <c r="Y690" i="7" s="1"/>
  <c r="Z690" i="7" s="1"/>
  <c r="F690" i="7"/>
  <c r="D690" i="7"/>
  <c r="AN689" i="7"/>
  <c r="AG689" i="7"/>
  <c r="W689" i="7"/>
  <c r="V689" i="7"/>
  <c r="F689" i="7"/>
  <c r="D689" i="7"/>
  <c r="AN688" i="7"/>
  <c r="AI688" i="7"/>
  <c r="AG688" i="7"/>
  <c r="Y688" i="7"/>
  <c r="Z688" i="7" s="1"/>
  <c r="F688" i="7"/>
  <c r="D688" i="7"/>
  <c r="AN687" i="7"/>
  <c r="AG687" i="7"/>
  <c r="X687" i="7"/>
  <c r="V687" i="7"/>
  <c r="AI687" i="7" s="1"/>
  <c r="F687" i="7"/>
  <c r="D687" i="7"/>
  <c r="AN686" i="7"/>
  <c r="AI686" i="7"/>
  <c r="AG686" i="7"/>
  <c r="X686" i="7"/>
  <c r="Y686" i="7" s="1"/>
  <c r="Z686" i="7" s="1"/>
  <c r="F686" i="7"/>
  <c r="D686" i="7"/>
  <c r="AN685" i="7"/>
  <c r="AI685" i="7"/>
  <c r="AG685" i="7"/>
  <c r="Y685" i="7"/>
  <c r="Z685" i="7" s="1"/>
  <c r="F685" i="7"/>
  <c r="D685" i="7"/>
  <c r="AN684" i="7"/>
  <c r="AG684" i="7"/>
  <c r="W684" i="7"/>
  <c r="V684" i="7"/>
  <c r="AI684" i="7" s="1"/>
  <c r="F684" i="7"/>
  <c r="D684" i="7"/>
  <c r="AN683" i="7"/>
  <c r="AI683" i="7"/>
  <c r="AG683" i="7"/>
  <c r="Y683" i="7"/>
  <c r="Z683" i="7" s="1"/>
  <c r="F683" i="7"/>
  <c r="D683" i="7"/>
  <c r="AN682" i="7"/>
  <c r="AG682" i="7"/>
  <c r="V682" i="7"/>
  <c r="AI682" i="7" s="1"/>
  <c r="F682" i="7"/>
  <c r="D682" i="7"/>
  <c r="AN681" i="7"/>
  <c r="AG681" i="7"/>
  <c r="W681" i="7"/>
  <c r="V681" i="7"/>
  <c r="AI681" i="7" s="1"/>
  <c r="F681" i="7"/>
  <c r="D681" i="7"/>
  <c r="AN680" i="7"/>
  <c r="AI680" i="7"/>
  <c r="AG680" i="7"/>
  <c r="Y680" i="7"/>
  <c r="Z680" i="7" s="1"/>
  <c r="F680" i="7"/>
  <c r="D680" i="7"/>
  <c r="AN679" i="7"/>
  <c r="X679" i="7"/>
  <c r="V679" i="7"/>
  <c r="F679" i="7"/>
  <c r="D679" i="7"/>
  <c r="AN678" i="7"/>
  <c r="AM678" i="7"/>
  <c r="F678" i="7"/>
  <c r="D678" i="7"/>
  <c r="AN677" i="7"/>
  <c r="AI677" i="7"/>
  <c r="AG677" i="7"/>
  <c r="Y677" i="7"/>
  <c r="Z677" i="7" s="1"/>
  <c r="AA677" i="7" s="1"/>
  <c r="F677" i="7"/>
  <c r="D677" i="7"/>
  <c r="AN676" i="7"/>
  <c r="AG676" i="7"/>
  <c r="W676" i="7"/>
  <c r="V676" i="7"/>
  <c r="F676" i="7"/>
  <c r="D676" i="7"/>
  <c r="AN675" i="7"/>
  <c r="AG675" i="7"/>
  <c r="V675" i="7"/>
  <c r="Y675" i="7" s="1"/>
  <c r="Z675" i="7" s="1"/>
  <c r="F675" i="7"/>
  <c r="D675" i="7"/>
  <c r="AN674" i="7"/>
  <c r="AG674" i="7"/>
  <c r="V674" i="7"/>
  <c r="Y674" i="7" s="1"/>
  <c r="Z674" i="7" s="1"/>
  <c r="F674" i="7"/>
  <c r="D674" i="7"/>
  <c r="AN673" i="7"/>
  <c r="AI673" i="7"/>
  <c r="AG673" i="7"/>
  <c r="W673" i="7"/>
  <c r="Y673" i="7" s="1"/>
  <c r="Z673" i="7" s="1"/>
  <c r="F673" i="7"/>
  <c r="D673" i="7"/>
  <c r="AN672" i="7"/>
  <c r="AI672" i="7"/>
  <c r="AG672" i="7"/>
  <c r="X672" i="7"/>
  <c r="W672" i="7"/>
  <c r="F672" i="7"/>
  <c r="D672" i="7"/>
  <c r="AN671" i="7"/>
  <c r="AG671" i="7"/>
  <c r="V671" i="7"/>
  <c r="F671" i="7"/>
  <c r="D671" i="7"/>
  <c r="AN670" i="7"/>
  <c r="AI670" i="7"/>
  <c r="AG670" i="7"/>
  <c r="W670" i="7"/>
  <c r="Y670" i="7" s="1"/>
  <c r="Z670" i="7" s="1"/>
  <c r="F670" i="7"/>
  <c r="D670" i="7"/>
  <c r="AN669" i="7"/>
  <c r="AI669" i="7"/>
  <c r="AG669" i="7"/>
  <c r="Y669" i="7"/>
  <c r="Z669" i="7" s="1"/>
  <c r="F669" i="7"/>
  <c r="D669" i="7"/>
  <c r="AN668" i="7"/>
  <c r="AI668" i="7"/>
  <c r="AG668" i="7"/>
  <c r="Y668" i="7"/>
  <c r="Z668" i="7" s="1"/>
  <c r="F668" i="7"/>
  <c r="D668" i="7"/>
  <c r="AN667" i="7"/>
  <c r="AI667" i="7"/>
  <c r="AG667" i="7"/>
  <c r="Y667" i="7"/>
  <c r="Z667" i="7" s="1"/>
  <c r="F667" i="7"/>
  <c r="D667" i="7"/>
  <c r="AN666" i="7"/>
  <c r="AG666" i="7"/>
  <c r="V666" i="7"/>
  <c r="AI666" i="7" s="1"/>
  <c r="F666" i="7"/>
  <c r="D666" i="7"/>
  <c r="AN665" i="7"/>
  <c r="AM665" i="7"/>
  <c r="F665" i="7"/>
  <c r="D665" i="7"/>
  <c r="AN664" i="7"/>
  <c r="AG664" i="7"/>
  <c r="W664" i="7"/>
  <c r="V664" i="7"/>
  <c r="AI664" i="7" s="1"/>
  <c r="F664" i="7"/>
  <c r="D664" i="7"/>
  <c r="AN663" i="7"/>
  <c r="AI663" i="7"/>
  <c r="AG663" i="7"/>
  <c r="W663" i="7"/>
  <c r="Y663" i="7" s="1"/>
  <c r="Z663" i="7" s="1"/>
  <c r="F663" i="7"/>
  <c r="D663" i="7"/>
  <c r="AN662" i="7"/>
  <c r="AI662" i="7"/>
  <c r="AG662" i="7"/>
  <c r="Y662" i="7"/>
  <c r="Z662" i="7" s="1"/>
  <c r="F662" i="7"/>
  <c r="D662" i="7"/>
  <c r="AN661" i="7"/>
  <c r="AI661" i="7"/>
  <c r="AG661" i="7"/>
  <c r="W661" i="7"/>
  <c r="Y661" i="7" s="1"/>
  <c r="Z661" i="7" s="1"/>
  <c r="F661" i="7"/>
  <c r="D661" i="7"/>
  <c r="AN660" i="7"/>
  <c r="AG660" i="7"/>
  <c r="W660" i="7"/>
  <c r="V660" i="7"/>
  <c r="AI660" i="7" s="1"/>
  <c r="F660" i="7"/>
  <c r="D660" i="7"/>
  <c r="AN659" i="7"/>
  <c r="AI659" i="7"/>
  <c r="AG659" i="7"/>
  <c r="Y659" i="7"/>
  <c r="Z659" i="7" s="1"/>
  <c r="F659" i="7"/>
  <c r="D659" i="7"/>
  <c r="AN658" i="7"/>
  <c r="AI658" i="7"/>
  <c r="AG658" i="7"/>
  <c r="Y658" i="7"/>
  <c r="Z658" i="7" s="1"/>
  <c r="F658" i="7"/>
  <c r="D658" i="7"/>
  <c r="AN657" i="7"/>
  <c r="AI657" i="7"/>
  <c r="AG657" i="7"/>
  <c r="Y657" i="7"/>
  <c r="Z657" i="7" s="1"/>
  <c r="F657" i="7"/>
  <c r="D657" i="7"/>
  <c r="AN656" i="7"/>
  <c r="AG656" i="7"/>
  <c r="W656" i="7"/>
  <c r="V656" i="7"/>
  <c r="AI656" i="7" s="1"/>
  <c r="F656" i="7"/>
  <c r="D656" i="7"/>
  <c r="AN655" i="7"/>
  <c r="AG655" i="7"/>
  <c r="W655" i="7"/>
  <c r="V655" i="7"/>
  <c r="AI655" i="7" s="1"/>
  <c r="F655" i="7"/>
  <c r="D655" i="7"/>
  <c r="AN654" i="7"/>
  <c r="AI654" i="7"/>
  <c r="AG654" i="7"/>
  <c r="W654" i="7"/>
  <c r="Y654" i="7" s="1"/>
  <c r="Z654" i="7" s="1"/>
  <c r="AC654" i="7" s="1"/>
  <c r="F654" i="7"/>
  <c r="D654" i="7"/>
  <c r="AN653" i="7"/>
  <c r="AG653" i="7"/>
  <c r="W653" i="7"/>
  <c r="V653" i="7"/>
  <c r="F653" i="7"/>
  <c r="D653" i="7"/>
  <c r="AN652" i="7"/>
  <c r="AG652" i="7"/>
  <c r="W652" i="7"/>
  <c r="V652" i="7"/>
  <c r="AI652" i="7" s="1"/>
  <c r="F652" i="7"/>
  <c r="D652" i="7"/>
  <c r="AN651" i="7"/>
  <c r="AI651" i="7"/>
  <c r="AG651" i="7"/>
  <c r="Y651" i="7"/>
  <c r="Z651" i="7" s="1"/>
  <c r="F651" i="7"/>
  <c r="D651" i="7"/>
  <c r="AN650" i="7"/>
  <c r="AI650" i="7"/>
  <c r="AG650" i="7"/>
  <c r="Y650" i="7"/>
  <c r="Z650" i="7" s="1"/>
  <c r="F650" i="7"/>
  <c r="D650" i="7"/>
  <c r="AN649" i="7"/>
  <c r="AI649" i="7"/>
  <c r="AG649" i="7"/>
  <c r="Y649" i="7"/>
  <c r="Z649" i="7" s="1"/>
  <c r="F649" i="7"/>
  <c r="D649" i="7"/>
  <c r="AN648" i="7"/>
  <c r="AG648" i="7"/>
  <c r="W648" i="7"/>
  <c r="V648" i="7"/>
  <c r="F648" i="7"/>
  <c r="D648" i="7"/>
  <c r="AN647" i="7"/>
  <c r="AI647" i="7"/>
  <c r="AG647" i="7"/>
  <c r="Y647" i="7"/>
  <c r="Z647" i="7" s="1"/>
  <c r="F647" i="7"/>
  <c r="D647" i="7"/>
  <c r="AN646" i="7"/>
  <c r="AG646" i="7"/>
  <c r="V646" i="7"/>
  <c r="Y646" i="7" s="1"/>
  <c r="Z646" i="7" s="1"/>
  <c r="F646" i="7"/>
  <c r="D646" i="7"/>
  <c r="AN645" i="7"/>
  <c r="AI645" i="7"/>
  <c r="AG645" i="7"/>
  <c r="W645" i="7"/>
  <c r="Y645" i="7" s="1"/>
  <c r="Z645" i="7" s="1"/>
  <c r="F645" i="7"/>
  <c r="D645" i="7"/>
  <c r="AN644" i="7"/>
  <c r="AG644" i="7"/>
  <c r="W644" i="7"/>
  <c r="V644" i="7"/>
  <c r="AI644" i="7" s="1"/>
  <c r="F644" i="7"/>
  <c r="D644" i="7"/>
  <c r="AN643" i="7"/>
  <c r="AI643" i="7"/>
  <c r="AG643" i="7"/>
  <c r="W643" i="7"/>
  <c r="Y643" i="7" s="1"/>
  <c r="Z643" i="7" s="1"/>
  <c r="F643" i="7"/>
  <c r="D643" i="7"/>
  <c r="AN642" i="7"/>
  <c r="AI642" i="7"/>
  <c r="AG642" i="7"/>
  <c r="Y642" i="7"/>
  <c r="Z642" i="7" s="1"/>
  <c r="F642" i="7"/>
  <c r="D642" i="7"/>
  <c r="AN641" i="7"/>
  <c r="AG641" i="7"/>
  <c r="W641" i="7"/>
  <c r="V641" i="7"/>
  <c r="AI641" i="7" s="1"/>
  <c r="F641" i="7"/>
  <c r="D641" i="7"/>
  <c r="AN640" i="7"/>
  <c r="AI640" i="7"/>
  <c r="AG640" i="7"/>
  <c r="W640" i="7"/>
  <c r="Y640" i="7" s="1"/>
  <c r="Z640" i="7" s="1"/>
  <c r="F640" i="7"/>
  <c r="D640" i="7"/>
  <c r="AN639" i="7"/>
  <c r="AI639" i="7"/>
  <c r="AG639" i="7"/>
  <c r="W639" i="7"/>
  <c r="Y639" i="7" s="1"/>
  <c r="Z639" i="7" s="1"/>
  <c r="F639" i="7"/>
  <c r="D639" i="7"/>
  <c r="AN638" i="7"/>
  <c r="AI638" i="7"/>
  <c r="AG638" i="7"/>
  <c r="W638" i="7"/>
  <c r="Y638" i="7" s="1"/>
  <c r="Z638" i="7" s="1"/>
  <c r="F638" i="7"/>
  <c r="D638" i="7"/>
  <c r="AN637" i="7"/>
  <c r="AI637" i="7"/>
  <c r="AG637" i="7"/>
  <c r="W637" i="7"/>
  <c r="Y637" i="7" s="1"/>
  <c r="Z637" i="7" s="1"/>
  <c r="F637" i="7"/>
  <c r="D637" i="7"/>
  <c r="AN636" i="7"/>
  <c r="AI636" i="7"/>
  <c r="AG636" i="7"/>
  <c r="W636" i="7"/>
  <c r="Y636" i="7" s="1"/>
  <c r="Z636" i="7" s="1"/>
  <c r="AC636" i="7" s="1"/>
  <c r="F636" i="7"/>
  <c r="D636" i="7"/>
  <c r="AN635" i="7"/>
  <c r="AI635" i="7"/>
  <c r="AG635" i="7"/>
  <c r="W635" i="7"/>
  <c r="Y635" i="7" s="1"/>
  <c r="Z635" i="7" s="1"/>
  <c r="F635" i="7"/>
  <c r="D635" i="7"/>
  <c r="AN634" i="7"/>
  <c r="AI634" i="7"/>
  <c r="AG634" i="7"/>
  <c r="W634" i="7"/>
  <c r="Y634" i="7" s="1"/>
  <c r="Z634" i="7" s="1"/>
  <c r="F634" i="7"/>
  <c r="D634" i="7"/>
  <c r="AN633" i="7"/>
  <c r="AI633" i="7"/>
  <c r="AG633" i="7"/>
  <c r="W633" i="7"/>
  <c r="Y633" i="7" s="1"/>
  <c r="Z633" i="7" s="1"/>
  <c r="F633" i="7"/>
  <c r="D633" i="7"/>
  <c r="AN632" i="7"/>
  <c r="AI632" i="7"/>
  <c r="AG632" i="7"/>
  <c r="W632" i="7"/>
  <c r="Y632" i="7" s="1"/>
  <c r="Z632" i="7" s="1"/>
  <c r="F632" i="7"/>
  <c r="D632" i="7"/>
  <c r="AN631" i="7"/>
  <c r="AI631" i="7"/>
  <c r="AG631" i="7"/>
  <c r="X631" i="7"/>
  <c r="Y631" i="7" s="1"/>
  <c r="Z631" i="7" s="1"/>
  <c r="F631" i="7"/>
  <c r="D631" i="7"/>
  <c r="AN630" i="7"/>
  <c r="AG630" i="7"/>
  <c r="V630" i="7"/>
  <c r="AI630" i="7" s="1"/>
  <c r="F630" i="7"/>
  <c r="D630" i="7"/>
  <c r="AN629" i="7"/>
  <c r="AG629" i="7"/>
  <c r="V629" i="7"/>
  <c r="AI629" i="7" s="1"/>
  <c r="F629" i="7"/>
  <c r="D629" i="7"/>
  <c r="AN628" i="7"/>
  <c r="AG628" i="7"/>
  <c r="W628" i="7"/>
  <c r="V628" i="7"/>
  <c r="AI628" i="7" s="1"/>
  <c r="F628" i="7"/>
  <c r="D628" i="7"/>
  <c r="AN627" i="7"/>
  <c r="AI627" i="7"/>
  <c r="AG627" i="7"/>
  <c r="W627" i="7"/>
  <c r="Y627" i="7" s="1"/>
  <c r="Z627" i="7" s="1"/>
  <c r="F627" i="7"/>
  <c r="D627" i="7"/>
  <c r="AN626" i="7"/>
  <c r="AI626" i="7"/>
  <c r="AG626" i="7"/>
  <c r="Y626" i="7"/>
  <c r="Z626" i="7" s="1"/>
  <c r="F626" i="7"/>
  <c r="D626" i="7"/>
  <c r="AN625" i="7"/>
  <c r="AI625" i="7"/>
  <c r="AG625" i="7"/>
  <c r="Y625" i="7"/>
  <c r="Z625" i="7" s="1"/>
  <c r="F625" i="7"/>
  <c r="D625" i="7"/>
  <c r="AN624" i="7"/>
  <c r="AI624" i="7"/>
  <c r="AG624" i="7"/>
  <c r="Y624" i="7"/>
  <c r="Z624" i="7" s="1"/>
  <c r="F624" i="7"/>
  <c r="D624" i="7"/>
  <c r="AN623" i="7"/>
  <c r="AI623" i="7"/>
  <c r="AG623" i="7"/>
  <c r="Y623" i="7"/>
  <c r="Z623" i="7" s="1"/>
  <c r="F623" i="7"/>
  <c r="D623" i="7"/>
  <c r="AN622" i="7"/>
  <c r="AI622" i="7"/>
  <c r="AG622" i="7"/>
  <c r="Y622" i="7"/>
  <c r="Z622" i="7" s="1"/>
  <c r="F622" i="7"/>
  <c r="D622" i="7"/>
  <c r="AN621" i="7"/>
  <c r="AG621" i="7"/>
  <c r="W621" i="7"/>
  <c r="V621" i="7"/>
  <c r="AI621" i="7" s="1"/>
  <c r="F621" i="7"/>
  <c r="D621" i="7"/>
  <c r="AN620" i="7"/>
  <c r="AM620" i="7"/>
  <c r="F620" i="7"/>
  <c r="D620" i="7"/>
  <c r="AN619" i="7"/>
  <c r="AI619" i="7"/>
  <c r="AG619" i="7"/>
  <c r="W619" i="7"/>
  <c r="Y619" i="7" s="1"/>
  <c r="Z619" i="7" s="1"/>
  <c r="AC619" i="7" s="1"/>
  <c r="F619" i="7"/>
  <c r="D619" i="7"/>
  <c r="AN618" i="7"/>
  <c r="AG618" i="7"/>
  <c r="X618" i="7"/>
  <c r="W618" i="7"/>
  <c r="V618" i="7"/>
  <c r="AI618" i="7" s="1"/>
  <c r="F618" i="7"/>
  <c r="D618" i="7"/>
  <c r="AN617" i="7"/>
  <c r="AG617" i="7"/>
  <c r="W617" i="7"/>
  <c r="V617" i="7"/>
  <c r="AI617" i="7" s="1"/>
  <c r="F617" i="7"/>
  <c r="D617" i="7"/>
  <c r="AN616" i="7"/>
  <c r="AI616" i="7"/>
  <c r="AG616" i="7"/>
  <c r="Y616" i="7"/>
  <c r="Z616" i="7" s="1"/>
  <c r="F616" i="7"/>
  <c r="D616" i="7"/>
  <c r="AN615" i="7"/>
  <c r="AI615" i="7"/>
  <c r="AG615" i="7"/>
  <c r="W615" i="7"/>
  <c r="Y615" i="7" s="1"/>
  <c r="Z615" i="7" s="1"/>
  <c r="F615" i="7"/>
  <c r="D615" i="7"/>
  <c r="AN614" i="7"/>
  <c r="AI614" i="7"/>
  <c r="AG614" i="7"/>
  <c r="W614" i="7"/>
  <c r="Y614" i="7" s="1"/>
  <c r="Z614" i="7" s="1"/>
  <c r="F614" i="7"/>
  <c r="D614" i="7"/>
  <c r="AN613" i="7"/>
  <c r="AG613" i="7"/>
  <c r="W613" i="7"/>
  <c r="V613" i="7"/>
  <c r="AI613" i="7" s="1"/>
  <c r="F613" i="7"/>
  <c r="D613" i="7"/>
  <c r="AN612" i="7"/>
  <c r="AG612" i="7"/>
  <c r="W612" i="7"/>
  <c r="V612" i="7"/>
  <c r="AI612" i="7" s="1"/>
  <c r="F612" i="7"/>
  <c r="D612" i="7"/>
  <c r="AN611" i="7"/>
  <c r="AG611" i="7"/>
  <c r="W611" i="7"/>
  <c r="V611" i="7"/>
  <c r="AI611" i="7" s="1"/>
  <c r="F611" i="7"/>
  <c r="D611" i="7"/>
  <c r="AN610" i="7"/>
  <c r="AG610" i="7"/>
  <c r="W610" i="7"/>
  <c r="V610" i="7"/>
  <c r="F610" i="7"/>
  <c r="D610" i="7"/>
  <c r="AN609" i="7"/>
  <c r="AI609" i="7"/>
  <c r="AG609" i="7"/>
  <c r="Y609" i="7"/>
  <c r="Z609" i="7" s="1"/>
  <c r="F609" i="7"/>
  <c r="D609" i="7"/>
  <c r="AN608" i="7"/>
  <c r="AI608" i="7"/>
  <c r="AG608" i="7"/>
  <c r="Y608" i="7"/>
  <c r="Z608" i="7" s="1"/>
  <c r="F608" i="7"/>
  <c r="D608" i="7"/>
  <c r="AN607" i="7"/>
  <c r="AG607" i="7"/>
  <c r="W607" i="7"/>
  <c r="V607" i="7"/>
  <c r="AI607" i="7" s="1"/>
  <c r="F607" i="7"/>
  <c r="D607" i="7"/>
  <c r="AN606" i="7"/>
  <c r="AG606" i="7"/>
  <c r="W606" i="7"/>
  <c r="V606" i="7"/>
  <c r="AI606" i="7" s="1"/>
  <c r="F606" i="7"/>
  <c r="D606" i="7"/>
  <c r="AN605" i="7"/>
  <c r="AI605" i="7"/>
  <c r="AG605" i="7"/>
  <c r="Y605" i="7"/>
  <c r="Z605" i="7" s="1"/>
  <c r="F605" i="7"/>
  <c r="D605" i="7"/>
  <c r="AN604" i="7"/>
  <c r="AI604" i="7"/>
  <c r="AG604" i="7"/>
  <c r="Y604" i="7"/>
  <c r="Z604" i="7" s="1"/>
  <c r="F604" i="7"/>
  <c r="D604" i="7"/>
  <c r="AN603" i="7"/>
  <c r="AI603" i="7"/>
  <c r="AG603" i="7"/>
  <c r="Y603" i="7"/>
  <c r="Z603" i="7" s="1"/>
  <c r="F603" i="7"/>
  <c r="D603" i="7"/>
  <c r="AN602" i="7"/>
  <c r="AI602" i="7"/>
  <c r="AG602" i="7"/>
  <c r="Y602" i="7"/>
  <c r="Z602" i="7" s="1"/>
  <c r="F602" i="7"/>
  <c r="D602" i="7"/>
  <c r="AN601" i="7"/>
  <c r="AG601" i="7"/>
  <c r="W601" i="7"/>
  <c r="V601" i="7"/>
  <c r="AI601" i="7" s="1"/>
  <c r="F601" i="7"/>
  <c r="D601" i="7"/>
  <c r="AN600" i="7"/>
  <c r="AM600" i="7"/>
  <c r="F600" i="7"/>
  <c r="D600" i="7"/>
  <c r="AN599" i="7"/>
  <c r="AM599" i="7"/>
  <c r="F599" i="7"/>
  <c r="D599" i="7"/>
  <c r="AN598" i="7"/>
  <c r="AM598" i="7"/>
  <c r="F598" i="7"/>
  <c r="D598" i="7"/>
  <c r="AN597" i="7"/>
  <c r="AM597" i="7"/>
  <c r="F597" i="7"/>
  <c r="D597" i="7"/>
  <c r="AN596" i="7"/>
  <c r="AI596" i="7"/>
  <c r="AG596" i="7"/>
  <c r="W596" i="7"/>
  <c r="Y596" i="7" s="1"/>
  <c r="Z596" i="7" s="1"/>
  <c r="F596" i="7"/>
  <c r="D596" i="7"/>
  <c r="AN595" i="7"/>
  <c r="AI595" i="7"/>
  <c r="AG595" i="7"/>
  <c r="Y595" i="7"/>
  <c r="Z595" i="7" s="1"/>
  <c r="F595" i="7"/>
  <c r="D595" i="7"/>
  <c r="AN594" i="7"/>
  <c r="AI594" i="7"/>
  <c r="AG594" i="7"/>
  <c r="Y594" i="7"/>
  <c r="Z594" i="7" s="1"/>
  <c r="F594" i="7"/>
  <c r="D594" i="7"/>
  <c r="AN593" i="7"/>
  <c r="AI593" i="7"/>
  <c r="AG593" i="7"/>
  <c r="Y593" i="7"/>
  <c r="Z593" i="7" s="1"/>
  <c r="F593" i="7"/>
  <c r="D593" i="7"/>
  <c r="AN592" i="7"/>
  <c r="AI592" i="7"/>
  <c r="AG592" i="7"/>
  <c r="Y592" i="7"/>
  <c r="Z592" i="7" s="1"/>
  <c r="F592" i="7"/>
  <c r="D592" i="7"/>
  <c r="AN591" i="7"/>
  <c r="AG591" i="7"/>
  <c r="W591" i="7"/>
  <c r="V591" i="7"/>
  <c r="AI591" i="7" s="1"/>
  <c r="F591" i="7"/>
  <c r="D591" i="7"/>
  <c r="AN590" i="7"/>
  <c r="AG590" i="7"/>
  <c r="W590" i="7"/>
  <c r="V590" i="7"/>
  <c r="AI590" i="7" s="1"/>
  <c r="F590" i="7"/>
  <c r="D590" i="7"/>
  <c r="AN589" i="7"/>
  <c r="AI589" i="7"/>
  <c r="AG589" i="7"/>
  <c r="Y589" i="7"/>
  <c r="Z589" i="7" s="1"/>
  <c r="F589" i="7"/>
  <c r="D589" i="7"/>
  <c r="AN588" i="7"/>
  <c r="AI588" i="7"/>
  <c r="AG588" i="7"/>
  <c r="W588" i="7"/>
  <c r="Y588" i="7" s="1"/>
  <c r="Z588" i="7" s="1"/>
  <c r="F588" i="7"/>
  <c r="D588" i="7"/>
  <c r="AN587" i="7"/>
  <c r="AI587" i="7"/>
  <c r="AG587" i="7"/>
  <c r="W587" i="7"/>
  <c r="Y587" i="7" s="1"/>
  <c r="Z587" i="7" s="1"/>
  <c r="F587" i="7"/>
  <c r="D587" i="7"/>
  <c r="AN586" i="7"/>
  <c r="AG586" i="7"/>
  <c r="V586" i="7"/>
  <c r="Y586" i="7" s="1"/>
  <c r="Z586" i="7" s="1"/>
  <c r="F586" i="7"/>
  <c r="D586" i="7"/>
  <c r="AN585" i="7"/>
  <c r="AI585" i="7"/>
  <c r="AG585" i="7"/>
  <c r="W585" i="7"/>
  <c r="Y585" i="7" s="1"/>
  <c r="Z585" i="7" s="1"/>
  <c r="F585" i="7"/>
  <c r="D585" i="7"/>
  <c r="AN584" i="7"/>
  <c r="AG584" i="7"/>
  <c r="W584" i="7"/>
  <c r="V584" i="7"/>
  <c r="AI584" i="7" s="1"/>
  <c r="F584" i="7"/>
  <c r="D584" i="7"/>
  <c r="AN583" i="7"/>
  <c r="AI583" i="7"/>
  <c r="AG583" i="7"/>
  <c r="Y583" i="7"/>
  <c r="Z583" i="7" s="1"/>
  <c r="F583" i="7"/>
  <c r="D583" i="7"/>
  <c r="AN582" i="7"/>
  <c r="AG582" i="7"/>
  <c r="W582" i="7"/>
  <c r="V582" i="7"/>
  <c r="AI582" i="7" s="1"/>
  <c r="F582" i="7"/>
  <c r="D582" i="7"/>
  <c r="AN581" i="7"/>
  <c r="AG581" i="7"/>
  <c r="W581" i="7"/>
  <c r="V581" i="7"/>
  <c r="AI581" i="7" s="1"/>
  <c r="F581" i="7"/>
  <c r="D581" i="7"/>
  <c r="AN580" i="7"/>
  <c r="AI580" i="7"/>
  <c r="AG580" i="7"/>
  <c r="W580" i="7"/>
  <c r="Y580" i="7" s="1"/>
  <c r="Z580" i="7" s="1"/>
  <c r="F580" i="7"/>
  <c r="D580" i="7"/>
  <c r="AN579" i="7"/>
  <c r="AI579" i="7"/>
  <c r="AG579" i="7"/>
  <c r="W579" i="7"/>
  <c r="Y579" i="7" s="1"/>
  <c r="Z579" i="7" s="1"/>
  <c r="F579" i="7"/>
  <c r="D579" i="7"/>
  <c r="AN578" i="7"/>
  <c r="AI578" i="7"/>
  <c r="AG578" i="7"/>
  <c r="W578" i="7"/>
  <c r="Y578" i="7" s="1"/>
  <c r="Z578" i="7" s="1"/>
  <c r="F578" i="7"/>
  <c r="D578" i="7"/>
  <c r="AN577" i="7"/>
  <c r="AG577" i="7"/>
  <c r="W577" i="7"/>
  <c r="V577" i="7"/>
  <c r="AI577" i="7" s="1"/>
  <c r="F577" i="7"/>
  <c r="D577" i="7"/>
  <c r="AN576" i="7"/>
  <c r="AI576" i="7"/>
  <c r="AG576" i="7"/>
  <c r="W576" i="7"/>
  <c r="Y576" i="7" s="1"/>
  <c r="Z576" i="7" s="1"/>
  <c r="F576" i="7"/>
  <c r="D576" i="7"/>
  <c r="AN575" i="7"/>
  <c r="AG575" i="7"/>
  <c r="W575" i="7"/>
  <c r="V575" i="7"/>
  <c r="AI575" i="7" s="1"/>
  <c r="F575" i="7"/>
  <c r="D575" i="7"/>
  <c r="AN574" i="7"/>
  <c r="AI574" i="7"/>
  <c r="AG574" i="7"/>
  <c r="Y574" i="7"/>
  <c r="Z574" i="7" s="1"/>
  <c r="F574" i="7"/>
  <c r="D574" i="7"/>
  <c r="AN573" i="7"/>
  <c r="AI573" i="7"/>
  <c r="AG573" i="7"/>
  <c r="Y573" i="7"/>
  <c r="Z573" i="7" s="1"/>
  <c r="F573" i="7"/>
  <c r="D573" i="7"/>
  <c r="AN572" i="7"/>
  <c r="AI572" i="7"/>
  <c r="AG572" i="7"/>
  <c r="Y572" i="7"/>
  <c r="Z572" i="7" s="1"/>
  <c r="F572" i="7"/>
  <c r="D572" i="7"/>
  <c r="AN571" i="7"/>
  <c r="AI571" i="7"/>
  <c r="AG571" i="7"/>
  <c r="Y571" i="7"/>
  <c r="Z571" i="7" s="1"/>
  <c r="F571" i="7"/>
  <c r="D571" i="7"/>
  <c r="AN570" i="7"/>
  <c r="AG570" i="7"/>
  <c r="W570" i="7"/>
  <c r="V570" i="7"/>
  <c r="AI570" i="7" s="1"/>
  <c r="F570" i="7"/>
  <c r="D570" i="7"/>
  <c r="AN569" i="7"/>
  <c r="AM569" i="7"/>
  <c r="F569" i="7"/>
  <c r="D569" i="7"/>
  <c r="AN568" i="7"/>
  <c r="AI568" i="7"/>
  <c r="AG568" i="7"/>
  <c r="W568" i="7"/>
  <c r="Y568" i="7" s="1"/>
  <c r="Z568" i="7" s="1"/>
  <c r="F568" i="7"/>
  <c r="D568" i="7"/>
  <c r="AN567" i="7"/>
  <c r="AI567" i="7"/>
  <c r="AG567" i="7"/>
  <c r="X567" i="7"/>
  <c r="W567" i="7"/>
  <c r="F567" i="7"/>
  <c r="D567" i="7"/>
  <c r="AN566" i="7"/>
  <c r="AI566" i="7"/>
  <c r="AG566" i="7"/>
  <c r="W566" i="7"/>
  <c r="Y566" i="7" s="1"/>
  <c r="Z566" i="7" s="1"/>
  <c r="F566" i="7"/>
  <c r="D566" i="7"/>
  <c r="AN565" i="7"/>
  <c r="AI565" i="7"/>
  <c r="AG565" i="7"/>
  <c r="X565" i="7"/>
  <c r="W565" i="7"/>
  <c r="F565" i="7"/>
  <c r="D565" i="7"/>
  <c r="AN564" i="7"/>
  <c r="AG564" i="7"/>
  <c r="X564" i="7"/>
  <c r="V564" i="7"/>
  <c r="AI564" i="7" s="1"/>
  <c r="F564" i="7"/>
  <c r="D564" i="7"/>
  <c r="AN563" i="7"/>
  <c r="AI563" i="7"/>
  <c r="AG563" i="7"/>
  <c r="X563" i="7"/>
  <c r="Y563" i="7" s="1"/>
  <c r="Z563" i="7" s="1"/>
  <c r="F563" i="7"/>
  <c r="D563" i="7"/>
  <c r="AN562" i="7"/>
  <c r="AI562" i="7"/>
  <c r="AG562" i="7"/>
  <c r="W562" i="7"/>
  <c r="Y562" i="7" s="1"/>
  <c r="Z562" i="7" s="1"/>
  <c r="F562" i="7"/>
  <c r="D562" i="7"/>
  <c r="AN561" i="7"/>
  <c r="AG561" i="7"/>
  <c r="W561" i="7"/>
  <c r="V561" i="7"/>
  <c r="F561" i="7"/>
  <c r="D561" i="7"/>
  <c r="AN560" i="7"/>
  <c r="AI560" i="7"/>
  <c r="AG560" i="7"/>
  <c r="Y560" i="7"/>
  <c r="Z560" i="7" s="1"/>
  <c r="F560" i="7"/>
  <c r="D560" i="7"/>
  <c r="AN559" i="7"/>
  <c r="AI559" i="7"/>
  <c r="AG559" i="7"/>
  <c r="Y559" i="7"/>
  <c r="Z559" i="7" s="1"/>
  <c r="F559" i="7"/>
  <c r="D559" i="7"/>
  <c r="AN558" i="7"/>
  <c r="AI558" i="7"/>
  <c r="AG558" i="7"/>
  <c r="Y558" i="7"/>
  <c r="Z558" i="7" s="1"/>
  <c r="F558" i="7"/>
  <c r="D558" i="7"/>
  <c r="AN557" i="7"/>
  <c r="AI557" i="7"/>
  <c r="AG557" i="7"/>
  <c r="W557" i="7"/>
  <c r="Y557" i="7" s="1"/>
  <c r="Z557" i="7" s="1"/>
  <c r="F557" i="7"/>
  <c r="D557" i="7"/>
  <c r="AN556" i="7"/>
  <c r="AI556" i="7"/>
  <c r="AG556" i="7"/>
  <c r="X556" i="7"/>
  <c r="W556" i="7"/>
  <c r="F556" i="7"/>
  <c r="D556" i="7"/>
  <c r="AN555" i="7"/>
  <c r="AG555" i="7"/>
  <c r="W555" i="7"/>
  <c r="V555" i="7"/>
  <c r="AI555" i="7" s="1"/>
  <c r="F555" i="7"/>
  <c r="D555" i="7"/>
  <c r="AN554" i="7"/>
  <c r="Y554" i="7"/>
  <c r="Z554" i="7" s="1"/>
  <c r="F554" i="7"/>
  <c r="D554" i="7"/>
  <c r="AN553" i="7"/>
  <c r="AI553" i="7"/>
  <c r="AG553" i="7"/>
  <c r="X553" i="7"/>
  <c r="Y553" i="7" s="1"/>
  <c r="Z553" i="7" s="1"/>
  <c r="F553" i="7"/>
  <c r="D553" i="7"/>
  <c r="AN552" i="7"/>
  <c r="AG552" i="7"/>
  <c r="X552" i="7"/>
  <c r="V552" i="7"/>
  <c r="AI552" i="7" s="1"/>
  <c r="F552" i="7"/>
  <c r="D552" i="7"/>
  <c r="AN551" i="7"/>
  <c r="AG551" i="7"/>
  <c r="W551" i="7"/>
  <c r="V551" i="7"/>
  <c r="AI551" i="7" s="1"/>
  <c r="F551" i="7"/>
  <c r="D551" i="7"/>
  <c r="AN550" i="7"/>
  <c r="AI550" i="7"/>
  <c r="AG550" i="7"/>
  <c r="Y550" i="7"/>
  <c r="Z550" i="7" s="1"/>
  <c r="F550" i="7"/>
  <c r="D550" i="7"/>
  <c r="AN549" i="7"/>
  <c r="AI549" i="7"/>
  <c r="AG549" i="7"/>
  <c r="Y549" i="7"/>
  <c r="Z549" i="7" s="1"/>
  <c r="F549" i="7"/>
  <c r="D549" i="7"/>
  <c r="AN548" i="7"/>
  <c r="AI548" i="7"/>
  <c r="AG548" i="7"/>
  <c r="Y548" i="7"/>
  <c r="Z548" i="7" s="1"/>
  <c r="F548" i="7"/>
  <c r="D548" i="7"/>
  <c r="AN547" i="7"/>
  <c r="AI547" i="7"/>
  <c r="AG547" i="7"/>
  <c r="Y547" i="7"/>
  <c r="Z547" i="7" s="1"/>
  <c r="F547" i="7"/>
  <c r="D547" i="7"/>
  <c r="AN546" i="7"/>
  <c r="AG546" i="7"/>
  <c r="W546" i="7"/>
  <c r="V546" i="7"/>
  <c r="AI546" i="7" s="1"/>
  <c r="F546" i="7"/>
  <c r="D546" i="7"/>
  <c r="AN545" i="7"/>
  <c r="AI545" i="7"/>
  <c r="AG545" i="7"/>
  <c r="W545" i="7"/>
  <c r="Y545" i="7" s="1"/>
  <c r="Z545" i="7" s="1"/>
  <c r="F545" i="7"/>
  <c r="D545" i="7"/>
  <c r="AN544" i="7"/>
  <c r="AM544" i="7"/>
  <c r="F544" i="7"/>
  <c r="D544" i="7"/>
  <c r="AN543" i="7"/>
  <c r="AG543" i="7"/>
  <c r="X543" i="7"/>
  <c r="W543" i="7"/>
  <c r="V543" i="7"/>
  <c r="AI543" i="7" s="1"/>
  <c r="F543" i="7"/>
  <c r="D543" i="7"/>
  <c r="AN542" i="7"/>
  <c r="AI542" i="7"/>
  <c r="AG542" i="7"/>
  <c r="W542" i="7"/>
  <c r="Y542" i="7" s="1"/>
  <c r="Z542" i="7" s="1"/>
  <c r="F542" i="7"/>
  <c r="D542" i="7"/>
  <c r="AN541" i="7"/>
  <c r="AI541" i="7"/>
  <c r="AG541" i="7"/>
  <c r="W541" i="7"/>
  <c r="Y541" i="7" s="1"/>
  <c r="Z541" i="7" s="1"/>
  <c r="F541" i="7"/>
  <c r="D541" i="7"/>
  <c r="AN540" i="7"/>
  <c r="AG540" i="7"/>
  <c r="W540" i="7"/>
  <c r="V540" i="7"/>
  <c r="F540" i="7"/>
  <c r="D540" i="7"/>
  <c r="AN539" i="7"/>
  <c r="AI539" i="7"/>
  <c r="AG539" i="7"/>
  <c r="Y539" i="7"/>
  <c r="Z539" i="7" s="1"/>
  <c r="F539" i="7"/>
  <c r="D539" i="7"/>
  <c r="AN538" i="7"/>
  <c r="AI538" i="7"/>
  <c r="AG538" i="7"/>
  <c r="Y538" i="7"/>
  <c r="Z538" i="7" s="1"/>
  <c r="F538" i="7"/>
  <c r="D538" i="7"/>
  <c r="AN537" i="7"/>
  <c r="AG537" i="7"/>
  <c r="W537" i="7"/>
  <c r="V537" i="7"/>
  <c r="AI537" i="7" s="1"/>
  <c r="F537" i="7"/>
  <c r="D537" i="7"/>
  <c r="AN536" i="7"/>
  <c r="AI536" i="7"/>
  <c r="AG536" i="7"/>
  <c r="X536" i="7"/>
  <c r="W536" i="7"/>
  <c r="F536" i="7"/>
  <c r="D536" i="7"/>
  <c r="AN535" i="7"/>
  <c r="AG535" i="7"/>
  <c r="X535" i="7"/>
  <c r="W535" i="7"/>
  <c r="V535" i="7"/>
  <c r="AI535" i="7" s="1"/>
  <c r="AJ535" i="7" s="1"/>
  <c r="F535" i="7"/>
  <c r="D535" i="7"/>
  <c r="AN534" i="7"/>
  <c r="AG534" i="7"/>
  <c r="W534" i="7"/>
  <c r="V534" i="7"/>
  <c r="AI534" i="7" s="1"/>
  <c r="F534" i="7"/>
  <c r="D534" i="7"/>
  <c r="AN533" i="7"/>
  <c r="AI533" i="7"/>
  <c r="AG533" i="7"/>
  <c r="Y533" i="7"/>
  <c r="Z533" i="7" s="1"/>
  <c r="F533" i="7"/>
  <c r="D533" i="7"/>
  <c r="AN532" i="7"/>
  <c r="AI532" i="7"/>
  <c r="AG532" i="7"/>
  <c r="Y532" i="7"/>
  <c r="Z532" i="7" s="1"/>
  <c r="F532" i="7"/>
  <c r="D532" i="7"/>
  <c r="AN531" i="7"/>
  <c r="AI531" i="7"/>
  <c r="AG531" i="7"/>
  <c r="Y531" i="7"/>
  <c r="Z531" i="7" s="1"/>
  <c r="F531" i="7"/>
  <c r="D531" i="7"/>
  <c r="AN530" i="7"/>
  <c r="AG530" i="7"/>
  <c r="W530" i="7"/>
  <c r="V530" i="7"/>
  <c r="F530" i="7"/>
  <c r="D530" i="7"/>
  <c r="AN529" i="7"/>
  <c r="AG529" i="7"/>
  <c r="W529" i="7"/>
  <c r="V529" i="7"/>
  <c r="AI529" i="7" s="1"/>
  <c r="F529" i="7"/>
  <c r="D529" i="7"/>
  <c r="AN528" i="7"/>
  <c r="AG528" i="7"/>
  <c r="W528" i="7"/>
  <c r="V528" i="7"/>
  <c r="F528" i="7"/>
  <c r="D528" i="7"/>
  <c r="AN527" i="7"/>
  <c r="AG527" i="7"/>
  <c r="V527" i="7"/>
  <c r="AI527" i="7" s="1"/>
  <c r="F527" i="7"/>
  <c r="D527" i="7"/>
  <c r="AN526" i="7"/>
  <c r="AG526" i="7"/>
  <c r="W526" i="7"/>
  <c r="V526" i="7"/>
  <c r="AI526" i="7" s="1"/>
  <c r="F526" i="7"/>
  <c r="D526" i="7"/>
  <c r="AN525" i="7"/>
  <c r="AG525" i="7"/>
  <c r="W525" i="7"/>
  <c r="V525" i="7"/>
  <c r="AI525" i="7" s="1"/>
  <c r="F525" i="7"/>
  <c r="D525" i="7"/>
  <c r="AN524" i="7"/>
  <c r="AI524" i="7"/>
  <c r="AG524" i="7"/>
  <c r="Y524" i="7"/>
  <c r="Z524" i="7" s="1"/>
  <c r="F524" i="7"/>
  <c r="D524" i="7"/>
  <c r="AN523" i="7"/>
  <c r="AI523" i="7"/>
  <c r="AG523" i="7"/>
  <c r="Y523" i="7"/>
  <c r="Z523" i="7" s="1"/>
  <c r="F523" i="7"/>
  <c r="D523" i="7"/>
  <c r="AN522" i="7"/>
  <c r="AI522" i="7"/>
  <c r="AG522" i="7"/>
  <c r="Y522" i="7"/>
  <c r="Z522" i="7" s="1"/>
  <c r="F522" i="7"/>
  <c r="D522" i="7"/>
  <c r="AN521" i="7"/>
  <c r="AG521" i="7"/>
  <c r="W521" i="7"/>
  <c r="V521" i="7"/>
  <c r="AI521" i="7" s="1"/>
  <c r="F521" i="7"/>
  <c r="D521" i="7"/>
  <c r="AN520" i="7"/>
  <c r="AI520" i="7"/>
  <c r="AG520" i="7"/>
  <c r="Y520" i="7"/>
  <c r="Z520" i="7" s="1"/>
  <c r="F520" i="7"/>
  <c r="D520" i="7"/>
  <c r="AN519" i="7"/>
  <c r="AI519" i="7"/>
  <c r="AG519" i="7"/>
  <c r="Y519" i="7"/>
  <c r="Z519" i="7" s="1"/>
  <c r="AA519" i="7" s="1"/>
  <c r="F519" i="7"/>
  <c r="D519" i="7"/>
  <c r="AN518" i="7"/>
  <c r="AG518" i="7"/>
  <c r="X518" i="7"/>
  <c r="W518" i="7"/>
  <c r="V518" i="7"/>
  <c r="F518" i="7"/>
  <c r="D518" i="7"/>
  <c r="AN517" i="7"/>
  <c r="AG517" i="7"/>
  <c r="W517" i="7"/>
  <c r="V517" i="7"/>
  <c r="AI517" i="7" s="1"/>
  <c r="F517" i="7"/>
  <c r="D517" i="7"/>
  <c r="AN516" i="7"/>
  <c r="AG516" i="7"/>
  <c r="X516" i="7"/>
  <c r="W516" i="7"/>
  <c r="V516" i="7"/>
  <c r="AI516" i="7" s="1"/>
  <c r="F516" i="7"/>
  <c r="D516" i="7"/>
  <c r="AN515" i="7"/>
  <c r="AI515" i="7"/>
  <c r="AG515" i="7"/>
  <c r="W515" i="7"/>
  <c r="Y515" i="7" s="1"/>
  <c r="Z515" i="7" s="1"/>
  <c r="F515" i="7"/>
  <c r="D515" i="7"/>
  <c r="AN514" i="7"/>
  <c r="AI514" i="7"/>
  <c r="AG514" i="7"/>
  <c r="Y514" i="7"/>
  <c r="Z514" i="7" s="1"/>
  <c r="F514" i="7"/>
  <c r="D514" i="7"/>
  <c r="AN513" i="7"/>
  <c r="AI513" i="7"/>
  <c r="AG513" i="7"/>
  <c r="X513" i="7"/>
  <c r="Y513" i="7" s="1"/>
  <c r="Z513" i="7" s="1"/>
  <c r="F513" i="7"/>
  <c r="D513" i="7"/>
  <c r="AN512" i="7"/>
  <c r="AG512" i="7"/>
  <c r="W512" i="7"/>
  <c r="V512" i="7"/>
  <c r="AI512" i="7" s="1"/>
  <c r="F512" i="7"/>
  <c r="D512" i="7"/>
  <c r="AN511" i="7"/>
  <c r="AI511" i="7"/>
  <c r="AG511" i="7"/>
  <c r="Y511" i="7"/>
  <c r="Z511" i="7" s="1"/>
  <c r="F511" i="7"/>
  <c r="D511" i="7"/>
  <c r="AN510" i="7"/>
  <c r="AG510" i="7"/>
  <c r="V510" i="7"/>
  <c r="AI510" i="7" s="1"/>
  <c r="F510" i="7"/>
  <c r="D510" i="7"/>
  <c r="AN509" i="7"/>
  <c r="AG509" i="7"/>
  <c r="V509" i="7"/>
  <c r="F509" i="7"/>
  <c r="D509" i="7"/>
  <c r="AN508" i="7"/>
  <c r="AI508" i="7"/>
  <c r="AG508" i="7"/>
  <c r="X508" i="7"/>
  <c r="W508" i="7"/>
  <c r="F508" i="7"/>
  <c r="D508" i="7"/>
  <c r="AN507" i="7"/>
  <c r="AI507" i="7"/>
  <c r="AG507" i="7"/>
  <c r="Y507" i="7"/>
  <c r="Z507" i="7" s="1"/>
  <c r="F507" i="7"/>
  <c r="D507" i="7"/>
  <c r="AN506" i="7"/>
  <c r="AI506" i="7"/>
  <c r="AG506" i="7"/>
  <c r="Y506" i="7"/>
  <c r="Z506" i="7" s="1"/>
  <c r="F506" i="7"/>
  <c r="D506" i="7"/>
  <c r="AN505" i="7"/>
  <c r="AG505" i="7"/>
  <c r="W505" i="7"/>
  <c r="V505" i="7"/>
  <c r="AI505" i="7" s="1"/>
  <c r="F505" i="7"/>
  <c r="D505" i="7"/>
  <c r="AN504" i="7"/>
  <c r="AI504" i="7"/>
  <c r="AG504" i="7"/>
  <c r="Y504" i="7"/>
  <c r="Z504" i="7" s="1"/>
  <c r="AA504" i="7" s="1"/>
  <c r="F504" i="7"/>
  <c r="D504" i="7"/>
  <c r="AN503" i="7"/>
  <c r="AI503" i="7"/>
  <c r="AG503" i="7"/>
  <c r="X503" i="7"/>
  <c r="Y503" i="7" s="1"/>
  <c r="Z503" i="7" s="1"/>
  <c r="F503" i="7"/>
  <c r="D503" i="7"/>
  <c r="AN502" i="7"/>
  <c r="AG502" i="7"/>
  <c r="V502" i="7"/>
  <c r="Y502" i="7" s="1"/>
  <c r="Z502" i="7" s="1"/>
  <c r="F502" i="7"/>
  <c r="D502" i="7"/>
  <c r="AN501" i="7"/>
  <c r="AI501" i="7"/>
  <c r="AG501" i="7"/>
  <c r="Y501" i="7"/>
  <c r="Z501" i="7" s="1"/>
  <c r="F501" i="7"/>
  <c r="D501" i="7"/>
  <c r="AN500" i="7"/>
  <c r="AI500" i="7"/>
  <c r="AG500" i="7"/>
  <c r="X500" i="7"/>
  <c r="W500" i="7"/>
  <c r="F500" i="7"/>
  <c r="D500" i="7"/>
  <c r="AN499" i="7"/>
  <c r="AI499" i="7"/>
  <c r="AG499" i="7"/>
  <c r="X499" i="7"/>
  <c r="W499" i="7"/>
  <c r="F499" i="7"/>
  <c r="D499" i="7"/>
  <c r="AN498" i="7"/>
  <c r="AI498" i="7"/>
  <c r="AG498" i="7"/>
  <c r="X498" i="7"/>
  <c r="Y498" i="7" s="1"/>
  <c r="Z498" i="7" s="1"/>
  <c r="F498" i="7"/>
  <c r="D498" i="7"/>
  <c r="AN497" i="7"/>
  <c r="AI497" i="7"/>
  <c r="AG497" i="7"/>
  <c r="X497" i="7"/>
  <c r="Y497" i="7" s="1"/>
  <c r="Z497" i="7" s="1"/>
  <c r="F497" i="7"/>
  <c r="D497" i="7"/>
  <c r="AN496" i="7"/>
  <c r="AI496" i="7"/>
  <c r="AG496" i="7"/>
  <c r="X496" i="7"/>
  <c r="Y496" i="7" s="1"/>
  <c r="Z496" i="7" s="1"/>
  <c r="F496" i="7"/>
  <c r="D496" i="7"/>
  <c r="AN495" i="7"/>
  <c r="AI495" i="7"/>
  <c r="AG495" i="7"/>
  <c r="X495" i="7"/>
  <c r="Y495" i="7" s="1"/>
  <c r="Z495" i="7" s="1"/>
  <c r="F495" i="7"/>
  <c r="D495" i="7"/>
  <c r="AN494" i="7"/>
  <c r="AG494" i="7"/>
  <c r="X494" i="7"/>
  <c r="V494" i="7"/>
  <c r="F494" i="7"/>
  <c r="D494" i="7"/>
  <c r="AN493" i="7"/>
  <c r="AI493" i="7"/>
  <c r="AG493" i="7"/>
  <c r="Y493" i="7"/>
  <c r="Z493" i="7" s="1"/>
  <c r="F493" i="7"/>
  <c r="D493" i="7"/>
  <c r="AN492" i="7"/>
  <c r="AI492" i="7"/>
  <c r="AG492" i="7"/>
  <c r="W492" i="7"/>
  <c r="Y492" i="7" s="1"/>
  <c r="Z492" i="7" s="1"/>
  <c r="F492" i="7"/>
  <c r="D492" i="7"/>
  <c r="AN491" i="7"/>
  <c r="AI491" i="7"/>
  <c r="AG491" i="7"/>
  <c r="Y491" i="7"/>
  <c r="Z491" i="7" s="1"/>
  <c r="F491" i="7"/>
  <c r="D491" i="7"/>
  <c r="AN490" i="7"/>
  <c r="AI490" i="7"/>
  <c r="AG490" i="7"/>
  <c r="X490" i="7"/>
  <c r="Y490" i="7" s="1"/>
  <c r="Z490" i="7" s="1"/>
  <c r="F490" i="7"/>
  <c r="D490" i="7"/>
  <c r="AN489" i="7"/>
  <c r="AI489" i="7"/>
  <c r="AG489" i="7"/>
  <c r="Y489" i="7"/>
  <c r="Z489" i="7" s="1"/>
  <c r="AC489" i="7" s="1"/>
  <c r="F489" i="7"/>
  <c r="D489" i="7"/>
  <c r="AN488" i="7"/>
  <c r="AG488" i="7"/>
  <c r="W488" i="7"/>
  <c r="V488" i="7"/>
  <c r="F488" i="7"/>
  <c r="D488" i="7"/>
  <c r="AN487" i="7"/>
  <c r="AI487" i="7"/>
  <c r="AG487" i="7"/>
  <c r="Y487" i="7"/>
  <c r="Z487" i="7" s="1"/>
  <c r="F487" i="7"/>
  <c r="D487" i="7"/>
  <c r="AN486" i="7"/>
  <c r="AI486" i="7"/>
  <c r="AG486" i="7"/>
  <c r="Y486" i="7"/>
  <c r="Z486" i="7" s="1"/>
  <c r="F486" i="7"/>
  <c r="D486" i="7"/>
  <c r="AN485" i="7"/>
  <c r="AI485" i="7"/>
  <c r="AG485" i="7"/>
  <c r="Y485" i="7"/>
  <c r="Z485" i="7" s="1"/>
  <c r="F485" i="7"/>
  <c r="D485" i="7"/>
  <c r="AN484" i="7"/>
  <c r="AI484" i="7"/>
  <c r="AG484" i="7"/>
  <c r="Y484" i="7"/>
  <c r="Z484" i="7" s="1"/>
  <c r="F484" i="7"/>
  <c r="D484" i="7"/>
  <c r="AN483" i="7"/>
  <c r="AG483" i="7"/>
  <c r="W483" i="7"/>
  <c r="V483" i="7"/>
  <c r="AI483" i="7" s="1"/>
  <c r="F483" i="7"/>
  <c r="D483" i="7"/>
  <c r="AN482" i="7"/>
  <c r="AI482" i="7"/>
  <c r="AG482" i="7"/>
  <c r="X482" i="7"/>
  <c r="W482" i="7"/>
  <c r="F482" i="7"/>
  <c r="D482" i="7"/>
  <c r="AN481" i="7"/>
  <c r="AG481" i="7"/>
  <c r="X481" i="7"/>
  <c r="W481" i="7"/>
  <c r="V481" i="7"/>
  <c r="AI481" i="7" s="1"/>
  <c r="F481" i="7"/>
  <c r="D481" i="7"/>
  <c r="AN480" i="7"/>
  <c r="AG480" i="7"/>
  <c r="W480" i="7"/>
  <c r="V480" i="7"/>
  <c r="AI480" i="7" s="1"/>
  <c r="F480" i="7"/>
  <c r="D480" i="7"/>
  <c r="AN479" i="7"/>
  <c r="AI479" i="7"/>
  <c r="AG479" i="7"/>
  <c r="Y479" i="7"/>
  <c r="Z479" i="7" s="1"/>
  <c r="F479" i="7"/>
  <c r="D479" i="7"/>
  <c r="AN478" i="7"/>
  <c r="AI478" i="7"/>
  <c r="AG478" i="7"/>
  <c r="Y478" i="7"/>
  <c r="Z478" i="7" s="1"/>
  <c r="F478" i="7"/>
  <c r="D478" i="7"/>
  <c r="AN477" i="7"/>
  <c r="AG477" i="7"/>
  <c r="W477" i="7"/>
  <c r="V477" i="7"/>
  <c r="AI477" i="7" s="1"/>
  <c r="F477" i="7"/>
  <c r="D477" i="7"/>
  <c r="AN476" i="7"/>
  <c r="AI476" i="7"/>
  <c r="AG476" i="7"/>
  <c r="X476" i="7"/>
  <c r="W476" i="7"/>
  <c r="F476" i="7"/>
  <c r="D476" i="7"/>
  <c r="AN475" i="7"/>
  <c r="AG475" i="7"/>
  <c r="V475" i="7"/>
  <c r="F475" i="7"/>
  <c r="D475" i="7"/>
  <c r="AN474" i="7"/>
  <c r="AG474" i="7"/>
  <c r="X474" i="7"/>
  <c r="W474" i="7"/>
  <c r="V474" i="7"/>
  <c r="AI474" i="7" s="1"/>
  <c r="F474" i="7"/>
  <c r="D474" i="7"/>
  <c r="AN473" i="7"/>
  <c r="AI473" i="7"/>
  <c r="AG473" i="7"/>
  <c r="X473" i="7"/>
  <c r="W473" i="7"/>
  <c r="F473" i="7"/>
  <c r="D473" i="7"/>
  <c r="AN472" i="7"/>
  <c r="AG472" i="7"/>
  <c r="X472" i="7"/>
  <c r="V472" i="7"/>
  <c r="F472" i="7"/>
  <c r="D472" i="7"/>
  <c r="AN471" i="7"/>
  <c r="AI471" i="7"/>
  <c r="AG471" i="7"/>
  <c r="Y471" i="7"/>
  <c r="Z471" i="7" s="1"/>
  <c r="AC471" i="7" s="1"/>
  <c r="F471" i="7"/>
  <c r="D471" i="7"/>
  <c r="AN470" i="7"/>
  <c r="AG470" i="7"/>
  <c r="X470" i="7"/>
  <c r="W470" i="7"/>
  <c r="V470" i="7"/>
  <c r="AI470" i="7" s="1"/>
  <c r="F470" i="7"/>
  <c r="D470" i="7"/>
  <c r="AN469" i="7"/>
  <c r="AG469" i="7"/>
  <c r="W469" i="7"/>
  <c r="V469" i="7"/>
  <c r="AI469" i="7" s="1"/>
  <c r="F469" i="7"/>
  <c r="D469" i="7"/>
  <c r="AN468" i="7"/>
  <c r="AG468" i="7"/>
  <c r="V468" i="7"/>
  <c r="Y468" i="7" s="1"/>
  <c r="Z468" i="7" s="1"/>
  <c r="F468" i="7"/>
  <c r="D468" i="7"/>
  <c r="AN467" i="7"/>
  <c r="AI467" i="7"/>
  <c r="AG467" i="7"/>
  <c r="W467" i="7"/>
  <c r="Y467" i="7" s="1"/>
  <c r="Z467" i="7" s="1"/>
  <c r="AC467" i="7" s="1"/>
  <c r="F467" i="7"/>
  <c r="D467" i="7"/>
  <c r="AN466" i="7"/>
  <c r="AG466" i="7"/>
  <c r="W466" i="7"/>
  <c r="V466" i="7"/>
  <c r="AI466" i="7" s="1"/>
  <c r="F466" i="7"/>
  <c r="D466" i="7"/>
  <c r="AN465" i="7"/>
  <c r="AI465" i="7"/>
  <c r="AG465" i="7"/>
  <c r="Y465" i="7"/>
  <c r="Z465" i="7" s="1"/>
  <c r="F465" i="7"/>
  <c r="D465" i="7"/>
  <c r="AN464" i="7"/>
  <c r="AI464" i="7"/>
  <c r="AG464" i="7"/>
  <c r="Y464" i="7"/>
  <c r="Z464" i="7" s="1"/>
  <c r="F464" i="7"/>
  <c r="D464" i="7"/>
  <c r="AN463" i="7"/>
  <c r="AG463" i="7"/>
  <c r="W463" i="7"/>
  <c r="V463" i="7"/>
  <c r="AI463" i="7" s="1"/>
  <c r="F463" i="7"/>
  <c r="D463" i="7"/>
  <c r="AN462" i="7"/>
  <c r="AI462" i="7"/>
  <c r="AG462" i="7"/>
  <c r="Y462" i="7"/>
  <c r="Z462" i="7" s="1"/>
  <c r="F462" i="7"/>
  <c r="D462" i="7"/>
  <c r="AN461" i="7"/>
  <c r="AI461" i="7"/>
  <c r="AG461" i="7"/>
  <c r="Y461" i="7"/>
  <c r="Z461" i="7" s="1"/>
  <c r="F461" i="7"/>
  <c r="D461" i="7"/>
  <c r="AN460" i="7"/>
  <c r="AG460" i="7"/>
  <c r="W460" i="7"/>
  <c r="V460" i="7"/>
  <c r="F460" i="7"/>
  <c r="D460" i="7"/>
  <c r="AN459" i="7"/>
  <c r="AI459" i="7"/>
  <c r="AG459" i="7"/>
  <c r="X459" i="7"/>
  <c r="Y459" i="7" s="1"/>
  <c r="Z459" i="7" s="1"/>
  <c r="F459" i="7"/>
  <c r="D459" i="7"/>
  <c r="AN458" i="7"/>
  <c r="AI458" i="7"/>
  <c r="AG458" i="7"/>
  <c r="Y458" i="7"/>
  <c r="Z458" i="7" s="1"/>
  <c r="F458" i="7"/>
  <c r="D458" i="7"/>
  <c r="AN457" i="7"/>
  <c r="AI457" i="7"/>
  <c r="AG457" i="7"/>
  <c r="Y457" i="7"/>
  <c r="Z457" i="7" s="1"/>
  <c r="F457" i="7"/>
  <c r="D457" i="7"/>
  <c r="AN456" i="7"/>
  <c r="AG456" i="7"/>
  <c r="W456" i="7"/>
  <c r="V456" i="7"/>
  <c r="AI456" i="7" s="1"/>
  <c r="F456" i="7"/>
  <c r="D456" i="7"/>
  <c r="AN455" i="7"/>
  <c r="AI455" i="7"/>
  <c r="AG455" i="7"/>
  <c r="Y455" i="7"/>
  <c r="Z455" i="7" s="1"/>
  <c r="F455" i="7"/>
  <c r="D455" i="7"/>
  <c r="AN454" i="7"/>
  <c r="AI454" i="7"/>
  <c r="AG454" i="7"/>
  <c r="Y454" i="7"/>
  <c r="Z454" i="7" s="1"/>
  <c r="F454" i="7"/>
  <c r="D454" i="7"/>
  <c r="AN453" i="7"/>
  <c r="AG453" i="7"/>
  <c r="W453" i="7"/>
  <c r="V453" i="7"/>
  <c r="AI453" i="7" s="1"/>
  <c r="F453" i="7"/>
  <c r="D453" i="7"/>
  <c r="AN452" i="7"/>
  <c r="AI452" i="7"/>
  <c r="AG452" i="7"/>
  <c r="Y452" i="7"/>
  <c r="Z452" i="7" s="1"/>
  <c r="F452" i="7"/>
  <c r="D452" i="7"/>
  <c r="AN451" i="7"/>
  <c r="AG451" i="7"/>
  <c r="V451" i="7"/>
  <c r="F451" i="7"/>
  <c r="D451" i="7"/>
  <c r="AN450" i="7"/>
  <c r="AG450" i="7"/>
  <c r="X450" i="7"/>
  <c r="W450" i="7"/>
  <c r="V450" i="7"/>
  <c r="F450" i="7"/>
  <c r="D450" i="7"/>
  <c r="AN449" i="7"/>
  <c r="AG449" i="7"/>
  <c r="W449" i="7"/>
  <c r="V449" i="7"/>
  <c r="F449" i="7"/>
  <c r="D449" i="7"/>
  <c r="AN448" i="7"/>
  <c r="AI448" i="7"/>
  <c r="AG448" i="7"/>
  <c r="X448" i="7"/>
  <c r="Y448" i="7" s="1"/>
  <c r="Z448" i="7" s="1"/>
  <c r="F448" i="7"/>
  <c r="D448" i="7"/>
  <c r="AN447" i="7"/>
  <c r="AG447" i="7"/>
  <c r="W447" i="7"/>
  <c r="V447" i="7"/>
  <c r="F447" i="7"/>
  <c r="D447" i="7"/>
  <c r="AN446" i="7"/>
  <c r="AI446" i="7"/>
  <c r="AG446" i="7"/>
  <c r="Y446" i="7"/>
  <c r="Z446" i="7" s="1"/>
  <c r="F446" i="7"/>
  <c r="D446" i="7"/>
  <c r="AN445" i="7"/>
  <c r="AI445" i="7"/>
  <c r="AG445" i="7"/>
  <c r="Y445" i="7"/>
  <c r="Z445" i="7" s="1"/>
  <c r="F445" i="7"/>
  <c r="D445" i="7"/>
  <c r="AN444" i="7"/>
  <c r="AI444" i="7"/>
  <c r="AG444" i="7"/>
  <c r="Y444" i="7"/>
  <c r="Z444" i="7" s="1"/>
  <c r="F444" i="7"/>
  <c r="D444" i="7"/>
  <c r="AN443" i="7"/>
  <c r="AG443" i="7"/>
  <c r="W443" i="7"/>
  <c r="V443" i="7"/>
  <c r="F443" i="7"/>
  <c r="D443" i="7"/>
  <c r="AN442" i="7"/>
  <c r="AI442" i="7"/>
  <c r="AG442" i="7"/>
  <c r="Y442" i="7"/>
  <c r="Z442" i="7" s="1"/>
  <c r="F442" i="7"/>
  <c r="D442" i="7"/>
  <c r="AN441" i="7"/>
  <c r="AG441" i="7"/>
  <c r="W441" i="7"/>
  <c r="V441" i="7"/>
  <c r="F441" i="7"/>
  <c r="D441" i="7"/>
  <c r="AN440" i="7"/>
  <c r="AI440" i="7"/>
  <c r="AG440" i="7"/>
  <c r="Y440" i="7"/>
  <c r="Z440" i="7" s="1"/>
  <c r="F440" i="7"/>
  <c r="D440" i="7"/>
  <c r="AN439" i="7"/>
  <c r="AI439" i="7"/>
  <c r="AG439" i="7"/>
  <c r="Y439" i="7"/>
  <c r="Z439" i="7" s="1"/>
  <c r="F439" i="7"/>
  <c r="D439" i="7"/>
  <c r="AN438" i="7"/>
  <c r="AI438" i="7"/>
  <c r="AG438" i="7"/>
  <c r="Y438" i="7"/>
  <c r="Z438" i="7" s="1"/>
  <c r="F438" i="7"/>
  <c r="D438" i="7"/>
  <c r="AN437" i="7"/>
  <c r="AI437" i="7"/>
  <c r="AG437" i="7"/>
  <c r="Y437" i="7"/>
  <c r="Z437" i="7" s="1"/>
  <c r="F437" i="7"/>
  <c r="D437" i="7"/>
  <c r="AN436" i="7"/>
  <c r="AG436" i="7"/>
  <c r="W436" i="7"/>
  <c r="V436" i="7"/>
  <c r="AI436" i="7" s="1"/>
  <c r="F436" i="7"/>
  <c r="D436" i="7"/>
  <c r="AN435" i="7"/>
  <c r="AI435" i="7"/>
  <c r="AG435" i="7"/>
  <c r="W435" i="7"/>
  <c r="Y435" i="7" s="1"/>
  <c r="Z435" i="7" s="1"/>
  <c r="AA435" i="7" s="1"/>
  <c r="F435" i="7"/>
  <c r="D435" i="7"/>
  <c r="AN434" i="7"/>
  <c r="AG434" i="7"/>
  <c r="W434" i="7"/>
  <c r="V434" i="7"/>
  <c r="AI434" i="7" s="1"/>
  <c r="F434" i="7"/>
  <c r="D434" i="7"/>
  <c r="AN433" i="7"/>
  <c r="AI433" i="7"/>
  <c r="AG433" i="7"/>
  <c r="Y433" i="7"/>
  <c r="Z433" i="7" s="1"/>
  <c r="F433" i="7"/>
  <c r="D433" i="7"/>
  <c r="AN432" i="7"/>
  <c r="AI432" i="7"/>
  <c r="AG432" i="7"/>
  <c r="Y432" i="7"/>
  <c r="Z432" i="7" s="1"/>
  <c r="F432" i="7"/>
  <c r="D432" i="7"/>
  <c r="AN431" i="7"/>
  <c r="AI431" i="7"/>
  <c r="AG431" i="7"/>
  <c r="Y431" i="7"/>
  <c r="Z431" i="7" s="1"/>
  <c r="F431" i="7"/>
  <c r="D431" i="7"/>
  <c r="AN430" i="7"/>
  <c r="AG430" i="7"/>
  <c r="W430" i="7"/>
  <c r="V430" i="7"/>
  <c r="AI430" i="7" s="1"/>
  <c r="F430" i="7"/>
  <c r="D430" i="7"/>
  <c r="AN429" i="7"/>
  <c r="AI429" i="7"/>
  <c r="AG429" i="7"/>
  <c r="X429" i="7"/>
  <c r="W429" i="7"/>
  <c r="F429" i="7"/>
  <c r="D429" i="7"/>
  <c r="AN428" i="7"/>
  <c r="AG428" i="7"/>
  <c r="W428" i="7"/>
  <c r="V428" i="7"/>
  <c r="AI428" i="7" s="1"/>
  <c r="F428" i="7"/>
  <c r="D428" i="7"/>
  <c r="AN427" i="7"/>
  <c r="AI427" i="7"/>
  <c r="AG427" i="7"/>
  <c r="W427" i="7"/>
  <c r="Y427" i="7" s="1"/>
  <c r="Z427" i="7" s="1"/>
  <c r="F427" i="7"/>
  <c r="D427" i="7"/>
  <c r="AN426" i="7"/>
  <c r="AI426" i="7"/>
  <c r="AG426" i="7"/>
  <c r="Y426" i="7"/>
  <c r="Z426" i="7" s="1"/>
  <c r="F426" i="7"/>
  <c r="D426" i="7"/>
  <c r="AN425" i="7"/>
  <c r="AG425" i="7"/>
  <c r="V425" i="7"/>
  <c r="F425" i="7"/>
  <c r="D425" i="7"/>
  <c r="AN424" i="7"/>
  <c r="Y424" i="7"/>
  <c r="Z424" i="7" s="1"/>
  <c r="F424" i="7"/>
  <c r="D424" i="7"/>
  <c r="AN423" i="7"/>
  <c r="V423" i="7"/>
  <c r="Y423" i="7" s="1"/>
  <c r="Z423" i="7" s="1"/>
  <c r="AM423" i="7" s="1"/>
  <c r="F423" i="7"/>
  <c r="D423" i="7"/>
  <c r="AN422" i="7"/>
  <c r="Y422" i="7"/>
  <c r="Z422" i="7" s="1"/>
  <c r="AM422" i="7" s="1"/>
  <c r="F422" i="7"/>
  <c r="D422" i="7"/>
  <c r="AN421" i="7"/>
  <c r="V421" i="7"/>
  <c r="Y421" i="7" s="1"/>
  <c r="Z421" i="7" s="1"/>
  <c r="F421" i="7"/>
  <c r="D421" i="7"/>
  <c r="AN420" i="7"/>
  <c r="AI420" i="7"/>
  <c r="AG420" i="7"/>
  <c r="Y420" i="7"/>
  <c r="Z420" i="7" s="1"/>
  <c r="F420" i="7"/>
  <c r="D420" i="7"/>
  <c r="AN419" i="7"/>
  <c r="AI419" i="7"/>
  <c r="AG419" i="7"/>
  <c r="X419" i="7"/>
  <c r="W419" i="7"/>
  <c r="F419" i="7"/>
  <c r="D419" i="7"/>
  <c r="AN418" i="7"/>
  <c r="AI418" i="7"/>
  <c r="AG418" i="7"/>
  <c r="Y418" i="7"/>
  <c r="Z418" i="7" s="1"/>
  <c r="F418" i="7"/>
  <c r="D418" i="7"/>
  <c r="AN417" i="7"/>
  <c r="AG417" i="7"/>
  <c r="W417" i="7"/>
  <c r="V417" i="7"/>
  <c r="AI417" i="7" s="1"/>
  <c r="F417" i="7"/>
  <c r="D417" i="7"/>
  <c r="AN416" i="7"/>
  <c r="AI416" i="7"/>
  <c r="AG416" i="7"/>
  <c r="Y416" i="7"/>
  <c r="Z416" i="7" s="1"/>
  <c r="F416" i="7"/>
  <c r="D416" i="7"/>
  <c r="AN415" i="7"/>
  <c r="AI415" i="7"/>
  <c r="AG415" i="7"/>
  <c r="Y415" i="7"/>
  <c r="Z415" i="7" s="1"/>
  <c r="F415" i="7"/>
  <c r="D415" i="7"/>
  <c r="AN414" i="7"/>
  <c r="AI414" i="7"/>
  <c r="AG414" i="7"/>
  <c r="Y414" i="7"/>
  <c r="Z414" i="7" s="1"/>
  <c r="F414" i="7"/>
  <c r="D414" i="7"/>
  <c r="AN413" i="7"/>
  <c r="AI413" i="7"/>
  <c r="AG413" i="7"/>
  <c r="Y413" i="7"/>
  <c r="Z413" i="7" s="1"/>
  <c r="F413" i="7"/>
  <c r="D413" i="7"/>
  <c r="AN412" i="7"/>
  <c r="AG412" i="7"/>
  <c r="W412" i="7"/>
  <c r="V412" i="7"/>
  <c r="F412" i="7"/>
  <c r="D412" i="7"/>
  <c r="AN411" i="7"/>
  <c r="AI411" i="7"/>
  <c r="AG411" i="7"/>
  <c r="Y411" i="7"/>
  <c r="Z411" i="7" s="1"/>
  <c r="F411" i="7"/>
  <c r="D411" i="7"/>
  <c r="AN410" i="7"/>
  <c r="AI410" i="7"/>
  <c r="AG410" i="7"/>
  <c r="Y410" i="7"/>
  <c r="Z410" i="7" s="1"/>
  <c r="F410" i="7"/>
  <c r="D410" i="7"/>
  <c r="AN409" i="7"/>
  <c r="AG409" i="7"/>
  <c r="W409" i="7"/>
  <c r="V409" i="7"/>
  <c r="AI409" i="7" s="1"/>
  <c r="F409" i="7"/>
  <c r="D409" i="7"/>
  <c r="AN408" i="7"/>
  <c r="AI408" i="7"/>
  <c r="AG408" i="7"/>
  <c r="Y408" i="7"/>
  <c r="Z408" i="7" s="1"/>
  <c r="F408" i="7"/>
  <c r="D408" i="7"/>
  <c r="AN407" i="7"/>
  <c r="AI407" i="7"/>
  <c r="AG407" i="7"/>
  <c r="Y407" i="7"/>
  <c r="Z407" i="7" s="1"/>
  <c r="F407" i="7"/>
  <c r="D407" i="7"/>
  <c r="AN406" i="7"/>
  <c r="AI406" i="7"/>
  <c r="AG406" i="7"/>
  <c r="Y406" i="7"/>
  <c r="Z406" i="7" s="1"/>
  <c r="F406" i="7"/>
  <c r="D406" i="7"/>
  <c r="AN405" i="7"/>
  <c r="AI405" i="7"/>
  <c r="AG405" i="7"/>
  <c r="Y405" i="7"/>
  <c r="Z405" i="7" s="1"/>
  <c r="F405" i="7"/>
  <c r="D405" i="7"/>
  <c r="AN404" i="7"/>
  <c r="AG404" i="7"/>
  <c r="W404" i="7"/>
  <c r="V404" i="7"/>
  <c r="F404" i="7"/>
  <c r="D404" i="7"/>
  <c r="AN403" i="7"/>
  <c r="AI403" i="7"/>
  <c r="AG403" i="7"/>
  <c r="Y403" i="7"/>
  <c r="Z403" i="7" s="1"/>
  <c r="F403" i="7"/>
  <c r="D403" i="7"/>
  <c r="AN402" i="7"/>
  <c r="AG402" i="7"/>
  <c r="W402" i="7"/>
  <c r="V402" i="7"/>
  <c r="F402" i="7"/>
  <c r="D402" i="7"/>
  <c r="AN401" i="7"/>
  <c r="AI401" i="7"/>
  <c r="AG401" i="7"/>
  <c r="Y401" i="7"/>
  <c r="Z401" i="7" s="1"/>
  <c r="F401" i="7"/>
  <c r="D401" i="7"/>
  <c r="AN400" i="7"/>
  <c r="AI400" i="7"/>
  <c r="AG400" i="7"/>
  <c r="Y400" i="7"/>
  <c r="Z400" i="7" s="1"/>
  <c r="F400" i="7"/>
  <c r="D400" i="7"/>
  <c r="AN399" i="7"/>
  <c r="AI399" i="7"/>
  <c r="AG399" i="7"/>
  <c r="Y399" i="7"/>
  <c r="Z399" i="7" s="1"/>
  <c r="F399" i="7"/>
  <c r="D399" i="7"/>
  <c r="AN398" i="7"/>
  <c r="AI398" i="7"/>
  <c r="AG398" i="7"/>
  <c r="Y398" i="7"/>
  <c r="Z398" i="7" s="1"/>
  <c r="F398" i="7"/>
  <c r="D398" i="7"/>
  <c r="AN397" i="7"/>
  <c r="AG397" i="7"/>
  <c r="W397" i="7"/>
  <c r="V397" i="7"/>
  <c r="AI397" i="7" s="1"/>
  <c r="F397" i="7"/>
  <c r="D397" i="7"/>
  <c r="AN396" i="7"/>
  <c r="AI396" i="7"/>
  <c r="AG396" i="7"/>
  <c r="Y396" i="7"/>
  <c r="Z396" i="7" s="1"/>
  <c r="F396" i="7"/>
  <c r="D396" i="7"/>
  <c r="AN395" i="7"/>
  <c r="AI395" i="7"/>
  <c r="AG395" i="7"/>
  <c r="X395" i="7"/>
  <c r="W395" i="7"/>
  <c r="F395" i="7"/>
  <c r="D395" i="7"/>
  <c r="AN394" i="7"/>
  <c r="AG394" i="7"/>
  <c r="V394" i="7"/>
  <c r="F394" i="7"/>
  <c r="D394" i="7"/>
  <c r="AN393" i="7"/>
  <c r="AG393" i="7"/>
  <c r="W393" i="7"/>
  <c r="V393" i="7"/>
  <c r="AI393" i="7" s="1"/>
  <c r="F393" i="7"/>
  <c r="D393" i="7"/>
  <c r="AN392" i="7"/>
  <c r="AI392" i="7"/>
  <c r="AG392" i="7"/>
  <c r="Y392" i="7"/>
  <c r="Z392" i="7" s="1"/>
  <c r="F392" i="7"/>
  <c r="D392" i="7"/>
  <c r="AN391" i="7"/>
  <c r="AI391" i="7"/>
  <c r="AG391" i="7"/>
  <c r="Y391" i="7"/>
  <c r="Z391" i="7" s="1"/>
  <c r="F391" i="7"/>
  <c r="D391" i="7"/>
  <c r="AN390" i="7"/>
  <c r="AI390" i="7"/>
  <c r="AG390" i="7"/>
  <c r="AD390" i="7"/>
  <c r="Y390" i="7"/>
  <c r="Z390" i="7" s="1"/>
  <c r="F390" i="7"/>
  <c r="D390" i="7"/>
  <c r="AN389" i="7"/>
  <c r="AI389" i="7"/>
  <c r="AG389" i="7"/>
  <c r="AD389" i="7"/>
  <c r="Y389" i="7"/>
  <c r="Z389" i="7" s="1"/>
  <c r="F389" i="7"/>
  <c r="D389" i="7"/>
  <c r="AN388" i="7"/>
  <c r="AG388" i="7"/>
  <c r="W388" i="7"/>
  <c r="V388" i="7"/>
  <c r="F388" i="7"/>
  <c r="D388" i="7"/>
  <c r="AN387" i="7"/>
  <c r="AI387" i="7"/>
  <c r="AG387" i="7"/>
  <c r="Y387" i="7"/>
  <c r="Z387" i="7" s="1"/>
  <c r="AC387" i="7" s="1"/>
  <c r="F387" i="7"/>
  <c r="D387" i="7"/>
  <c r="AN386" i="7"/>
  <c r="AG386" i="7"/>
  <c r="V386" i="7"/>
  <c r="F386" i="7"/>
  <c r="D386" i="7"/>
  <c r="AN385" i="7"/>
  <c r="AG385" i="7"/>
  <c r="W385" i="7"/>
  <c r="V385" i="7"/>
  <c r="AI385" i="7" s="1"/>
  <c r="F385" i="7"/>
  <c r="D385" i="7"/>
  <c r="AN384" i="7"/>
  <c r="AI384" i="7"/>
  <c r="AG384" i="7"/>
  <c r="Y384" i="7"/>
  <c r="Z384" i="7" s="1"/>
  <c r="F384" i="7"/>
  <c r="D384" i="7"/>
  <c r="AN383" i="7"/>
  <c r="AI383" i="7"/>
  <c r="AG383" i="7"/>
  <c r="Y383" i="7"/>
  <c r="Z383" i="7" s="1"/>
  <c r="F383" i="7"/>
  <c r="D383" i="7"/>
  <c r="AN382" i="7"/>
  <c r="AG382" i="7"/>
  <c r="W382" i="7"/>
  <c r="V382" i="7"/>
  <c r="AI382" i="7" s="1"/>
  <c r="F382" i="7"/>
  <c r="D382" i="7"/>
  <c r="AN381" i="7"/>
  <c r="AI381" i="7"/>
  <c r="AG381" i="7"/>
  <c r="X381" i="7"/>
  <c r="Y381" i="7" s="1"/>
  <c r="Z381" i="7" s="1"/>
  <c r="F381" i="7"/>
  <c r="D381" i="7"/>
  <c r="AN380" i="7"/>
  <c r="AI380" i="7"/>
  <c r="AG380" i="7"/>
  <c r="Y380" i="7"/>
  <c r="Z380" i="7" s="1"/>
  <c r="AA380" i="7" s="1"/>
  <c r="F380" i="7"/>
  <c r="D380" i="7"/>
  <c r="AN379" i="7"/>
  <c r="AG379" i="7"/>
  <c r="W379" i="7"/>
  <c r="V379" i="7"/>
  <c r="AI379" i="7" s="1"/>
  <c r="F379" i="7"/>
  <c r="D379" i="7"/>
  <c r="AN378" i="7"/>
  <c r="AI378" i="7"/>
  <c r="AG378" i="7"/>
  <c r="Y378" i="7"/>
  <c r="Z378" i="7" s="1"/>
  <c r="F378" i="7"/>
  <c r="D378" i="7"/>
  <c r="AN377" i="7"/>
  <c r="AI377" i="7"/>
  <c r="AG377" i="7"/>
  <c r="Y377" i="7"/>
  <c r="Z377" i="7" s="1"/>
  <c r="F377" i="7"/>
  <c r="D377" i="7"/>
  <c r="AN376" i="7"/>
  <c r="AI376" i="7"/>
  <c r="AG376" i="7"/>
  <c r="Y376" i="7"/>
  <c r="Z376" i="7" s="1"/>
  <c r="F376" i="7"/>
  <c r="D376" i="7"/>
  <c r="AN375" i="7"/>
  <c r="AG375" i="7"/>
  <c r="W375" i="7"/>
  <c r="V375" i="7"/>
  <c r="AI375" i="7" s="1"/>
  <c r="F375" i="7"/>
  <c r="D375" i="7"/>
  <c r="AN374" i="7"/>
  <c r="AI374" i="7"/>
  <c r="AG374" i="7"/>
  <c r="X374" i="7"/>
  <c r="Y374" i="7" s="1"/>
  <c r="Z374" i="7" s="1"/>
  <c r="F374" i="7"/>
  <c r="D374" i="7"/>
  <c r="AN373" i="7"/>
  <c r="AI373" i="7"/>
  <c r="AG373" i="7"/>
  <c r="X373" i="7"/>
  <c r="Y373" i="7" s="1"/>
  <c r="Z373" i="7" s="1"/>
  <c r="F373" i="7"/>
  <c r="D373" i="7"/>
  <c r="AN372" i="7"/>
  <c r="AI372" i="7"/>
  <c r="AG372" i="7"/>
  <c r="Y372" i="7"/>
  <c r="Z372" i="7" s="1"/>
  <c r="F372" i="7"/>
  <c r="D372" i="7"/>
  <c r="AN371" i="7"/>
  <c r="AG371" i="7"/>
  <c r="W371" i="7"/>
  <c r="V371" i="7"/>
  <c r="F371" i="7"/>
  <c r="D371" i="7"/>
  <c r="AN370" i="7"/>
  <c r="AI370" i="7"/>
  <c r="AG370" i="7"/>
  <c r="Y370" i="7"/>
  <c r="Z370" i="7" s="1"/>
  <c r="F370" i="7"/>
  <c r="D370" i="7"/>
  <c r="AN369" i="7"/>
  <c r="AI369" i="7"/>
  <c r="AG369" i="7"/>
  <c r="Y369" i="7"/>
  <c r="Z369" i="7" s="1"/>
  <c r="F369" i="7"/>
  <c r="D369" i="7"/>
  <c r="AN368" i="7"/>
  <c r="AI368" i="7"/>
  <c r="AG368" i="7"/>
  <c r="Y368" i="7"/>
  <c r="Z368" i="7" s="1"/>
  <c r="F368" i="7"/>
  <c r="D368" i="7"/>
  <c r="AN367" i="7"/>
  <c r="AI367" i="7"/>
  <c r="AG367" i="7"/>
  <c r="Y367" i="7"/>
  <c r="Z367" i="7" s="1"/>
  <c r="F367" i="7"/>
  <c r="D367" i="7"/>
  <c r="AN366" i="7"/>
  <c r="AG366" i="7"/>
  <c r="W366" i="7"/>
  <c r="V366" i="7"/>
  <c r="AI366" i="7" s="1"/>
  <c r="F366" i="7"/>
  <c r="D366" i="7"/>
  <c r="AN365" i="7"/>
  <c r="AI365" i="7"/>
  <c r="AG365" i="7"/>
  <c r="W365" i="7"/>
  <c r="Y365" i="7" s="1"/>
  <c r="Z365" i="7" s="1"/>
  <c r="F365" i="7"/>
  <c r="D365" i="7"/>
  <c r="AN364" i="7"/>
  <c r="AI364" i="7"/>
  <c r="AG364" i="7"/>
  <c r="W364" i="7"/>
  <c r="Y364" i="7" s="1"/>
  <c r="Z364" i="7" s="1"/>
  <c r="F364" i="7"/>
  <c r="D364" i="7"/>
  <c r="AN363" i="7"/>
  <c r="AM363" i="7"/>
  <c r="F363" i="7"/>
  <c r="D363" i="7"/>
  <c r="AN362" i="7"/>
  <c r="AG362" i="7"/>
  <c r="W362" i="7"/>
  <c r="V362" i="7"/>
  <c r="AI362" i="7" s="1"/>
  <c r="AJ362" i="7" s="1"/>
  <c r="F362" i="7"/>
  <c r="D362" i="7"/>
  <c r="AN361" i="7"/>
  <c r="V361" i="7"/>
  <c r="Y361" i="7" s="1"/>
  <c r="Z361" i="7" s="1"/>
  <c r="F361" i="7"/>
  <c r="D361" i="7"/>
  <c r="AN360" i="7"/>
  <c r="Y360" i="7"/>
  <c r="Z360" i="7" s="1"/>
  <c r="F360" i="7"/>
  <c r="D360" i="7"/>
  <c r="AN359" i="7"/>
  <c r="Y359" i="7"/>
  <c r="Z359" i="7" s="1"/>
  <c r="F359" i="7"/>
  <c r="D359" i="7"/>
  <c r="AN358" i="7"/>
  <c r="V358" i="7"/>
  <c r="Y358" i="7" s="1"/>
  <c r="Z358" i="7" s="1"/>
  <c r="F358" i="7"/>
  <c r="D358" i="7"/>
  <c r="AN357" i="7"/>
  <c r="X357" i="7"/>
  <c r="Y357" i="7" s="1"/>
  <c r="Z357" i="7" s="1"/>
  <c r="F357" i="7"/>
  <c r="D357" i="7"/>
  <c r="AN356" i="7"/>
  <c r="AI356" i="7"/>
  <c r="AG356" i="7"/>
  <c r="W356" i="7"/>
  <c r="Y356" i="7" s="1"/>
  <c r="Z356" i="7" s="1"/>
  <c r="F356" i="7"/>
  <c r="D356" i="7"/>
  <c r="AN355" i="7"/>
  <c r="AI355" i="7"/>
  <c r="AG355" i="7"/>
  <c r="W355" i="7"/>
  <c r="Y355" i="7" s="1"/>
  <c r="Z355" i="7" s="1"/>
  <c r="F355" i="7"/>
  <c r="D355" i="7"/>
  <c r="AN354" i="7"/>
  <c r="AI354" i="7"/>
  <c r="AJ354" i="7" s="1"/>
  <c r="AG354" i="7"/>
  <c r="X354" i="7"/>
  <c r="W354" i="7"/>
  <c r="F354" i="7"/>
  <c r="D354" i="7"/>
  <c r="AN353" i="7"/>
  <c r="AG353" i="7"/>
  <c r="X353" i="7"/>
  <c r="W353" i="7"/>
  <c r="V353" i="7"/>
  <c r="AI353" i="7" s="1"/>
  <c r="F353" i="7"/>
  <c r="D353" i="7"/>
  <c r="AN352" i="7"/>
  <c r="AI352" i="7"/>
  <c r="AG352" i="7"/>
  <c r="AC352" i="7"/>
  <c r="X352" i="7"/>
  <c r="Y352" i="7" s="1"/>
  <c r="Z352" i="7" s="1"/>
  <c r="F352" i="7"/>
  <c r="D352" i="7"/>
  <c r="AN351" i="7"/>
  <c r="AI351" i="7"/>
  <c r="AG351" i="7"/>
  <c r="AC351" i="7"/>
  <c r="X351" i="7"/>
  <c r="Y351" i="7" s="1"/>
  <c r="Z351" i="7" s="1"/>
  <c r="F351" i="7"/>
  <c r="D351" i="7"/>
  <c r="AN350" i="7"/>
  <c r="AI350" i="7"/>
  <c r="AG350" i="7"/>
  <c r="AC350" i="7"/>
  <c r="X350" i="7"/>
  <c r="Y350" i="7" s="1"/>
  <c r="Z350" i="7" s="1"/>
  <c r="F350" i="7"/>
  <c r="D350" i="7"/>
  <c r="AN349" i="7"/>
  <c r="AI349" i="7"/>
  <c r="AG349" i="7"/>
  <c r="AC349" i="7"/>
  <c r="X349" i="7"/>
  <c r="Y349" i="7" s="1"/>
  <c r="Z349" i="7" s="1"/>
  <c r="F349" i="7"/>
  <c r="D349" i="7"/>
  <c r="AN348" i="7"/>
  <c r="AI348" i="7"/>
  <c r="AG348" i="7"/>
  <c r="AC348" i="7"/>
  <c r="X348" i="7"/>
  <c r="Y348" i="7" s="1"/>
  <c r="Z348" i="7" s="1"/>
  <c r="F348" i="7"/>
  <c r="D348" i="7"/>
  <c r="AN347" i="7"/>
  <c r="AI347" i="7"/>
  <c r="AG347" i="7"/>
  <c r="AC347" i="7"/>
  <c r="X347" i="7"/>
  <c r="Y347" i="7" s="1"/>
  <c r="Z347" i="7" s="1"/>
  <c r="F347" i="7"/>
  <c r="D347" i="7"/>
  <c r="AN346" i="7"/>
  <c r="AI346" i="7"/>
  <c r="AG346" i="7"/>
  <c r="AC346" i="7"/>
  <c r="X346" i="7"/>
  <c r="W346" i="7"/>
  <c r="F346" i="7"/>
  <c r="D346" i="7"/>
  <c r="AN345" i="7"/>
  <c r="AI345" i="7"/>
  <c r="AG345" i="7"/>
  <c r="AC345" i="7"/>
  <c r="Y345" i="7"/>
  <c r="Z345" i="7" s="1"/>
  <c r="F345" i="7"/>
  <c r="D345" i="7"/>
  <c r="AN344" i="7"/>
  <c r="AI344" i="7"/>
  <c r="AG344" i="7"/>
  <c r="Y344" i="7"/>
  <c r="Z344" i="7" s="1"/>
  <c r="AC344" i="7" s="1"/>
  <c r="F344" i="7"/>
  <c r="D344" i="7"/>
  <c r="AN343" i="7"/>
  <c r="AI343" i="7"/>
  <c r="AG343" i="7"/>
  <c r="W343" i="7"/>
  <c r="Y343" i="7" s="1"/>
  <c r="Z343" i="7" s="1"/>
  <c r="F343" i="7"/>
  <c r="D343" i="7"/>
  <c r="AN342" i="7"/>
  <c r="AI342" i="7"/>
  <c r="AG342" i="7"/>
  <c r="X342" i="7"/>
  <c r="W342" i="7"/>
  <c r="F342" i="7"/>
  <c r="D342" i="7"/>
  <c r="AN341" i="7"/>
  <c r="AI341" i="7"/>
  <c r="AG341" i="7"/>
  <c r="W341" i="7"/>
  <c r="Y341" i="7" s="1"/>
  <c r="Z341" i="7" s="1"/>
  <c r="F341" i="7"/>
  <c r="D341" i="7"/>
  <c r="AN340" i="7"/>
  <c r="AI340" i="7"/>
  <c r="AG340" i="7"/>
  <c r="W340" i="7"/>
  <c r="Y340" i="7" s="1"/>
  <c r="Z340" i="7" s="1"/>
  <c r="F340" i="7"/>
  <c r="D340" i="7"/>
  <c r="AN339" i="7"/>
  <c r="AI339" i="7"/>
  <c r="AG339" i="7"/>
  <c r="W339" i="7"/>
  <c r="Y339" i="7" s="1"/>
  <c r="Z339" i="7" s="1"/>
  <c r="F339" i="7"/>
  <c r="D339" i="7"/>
  <c r="AN338" i="7"/>
  <c r="AI338" i="7"/>
  <c r="AG338" i="7"/>
  <c r="X338" i="7"/>
  <c r="W338" i="7"/>
  <c r="F338" i="7"/>
  <c r="D338" i="7"/>
  <c r="AN337" i="7"/>
  <c r="AI337" i="7"/>
  <c r="AG337" i="7"/>
  <c r="W337" i="7"/>
  <c r="Y337" i="7" s="1"/>
  <c r="Z337" i="7" s="1"/>
  <c r="F337" i="7"/>
  <c r="D337" i="7"/>
  <c r="AN336" i="7"/>
  <c r="AG336" i="7"/>
  <c r="W336" i="7"/>
  <c r="V336" i="7"/>
  <c r="AI336" i="7" s="1"/>
  <c r="F336" i="7"/>
  <c r="D336" i="7"/>
  <c r="AN335" i="7"/>
  <c r="AI335" i="7"/>
  <c r="AG335" i="7"/>
  <c r="W335" i="7"/>
  <c r="Y335" i="7" s="1"/>
  <c r="Z335" i="7" s="1"/>
  <c r="F335" i="7"/>
  <c r="D335" i="7"/>
  <c r="AN334" i="7"/>
  <c r="AI334" i="7"/>
  <c r="AG334" i="7"/>
  <c r="Y334" i="7"/>
  <c r="Z334" i="7" s="1"/>
  <c r="F334" i="7"/>
  <c r="D334" i="7"/>
  <c r="AN333" i="7"/>
  <c r="AI333" i="7"/>
  <c r="AG333" i="7"/>
  <c r="Y333" i="7"/>
  <c r="Z333" i="7" s="1"/>
  <c r="F333" i="7"/>
  <c r="D333" i="7"/>
  <c r="AN332" i="7"/>
  <c r="AI332" i="7"/>
  <c r="AG332" i="7"/>
  <c r="Y332" i="7"/>
  <c r="Z332" i="7" s="1"/>
  <c r="F332" i="7"/>
  <c r="D332" i="7"/>
  <c r="AN331" i="7"/>
  <c r="AG331" i="7"/>
  <c r="W331" i="7"/>
  <c r="V331" i="7"/>
  <c r="F331" i="7"/>
  <c r="D331" i="7"/>
  <c r="AN330" i="7"/>
  <c r="AI330" i="7"/>
  <c r="AG330" i="7"/>
  <c r="Y330" i="7"/>
  <c r="Z330" i="7" s="1"/>
  <c r="F330" i="7"/>
  <c r="D330" i="7"/>
  <c r="AN329" i="7"/>
  <c r="AI329" i="7"/>
  <c r="AG329" i="7"/>
  <c r="X329" i="7"/>
  <c r="Y329" i="7" s="1"/>
  <c r="Z329" i="7" s="1"/>
  <c r="F329" i="7"/>
  <c r="D329" i="7"/>
  <c r="AN328" i="7"/>
  <c r="AI328" i="7"/>
  <c r="AG328" i="7"/>
  <c r="Y328" i="7"/>
  <c r="Z328" i="7" s="1"/>
  <c r="AA328" i="7" s="1"/>
  <c r="F328" i="7"/>
  <c r="D328" i="7"/>
  <c r="AN327" i="7"/>
  <c r="AG327" i="7"/>
  <c r="V327" i="7"/>
  <c r="F327" i="7"/>
  <c r="D327" i="7"/>
  <c r="AN326" i="7"/>
  <c r="AG326" i="7"/>
  <c r="W326" i="7"/>
  <c r="V326" i="7"/>
  <c r="AI326" i="7" s="1"/>
  <c r="F326" i="7"/>
  <c r="D326" i="7"/>
  <c r="AN325" i="7"/>
  <c r="AI325" i="7"/>
  <c r="AG325" i="7"/>
  <c r="Y325" i="7"/>
  <c r="Z325" i="7" s="1"/>
  <c r="F325" i="7"/>
  <c r="D325" i="7"/>
  <c r="AN324" i="7"/>
  <c r="AI324" i="7"/>
  <c r="AG324" i="7"/>
  <c r="Y324" i="7"/>
  <c r="Z324" i="7" s="1"/>
  <c r="F324" i="7"/>
  <c r="D324" i="7"/>
  <c r="AN323" i="7"/>
  <c r="AI323" i="7"/>
  <c r="AG323" i="7"/>
  <c r="Y323" i="7"/>
  <c r="Z323" i="7" s="1"/>
  <c r="F323" i="7"/>
  <c r="D323" i="7"/>
  <c r="AN322" i="7"/>
  <c r="AI322" i="7"/>
  <c r="AG322" i="7"/>
  <c r="Y322" i="7"/>
  <c r="Z322" i="7" s="1"/>
  <c r="F322" i="7"/>
  <c r="D322" i="7"/>
  <c r="AN321" i="7"/>
  <c r="AG321" i="7"/>
  <c r="W321" i="7"/>
  <c r="V321" i="7"/>
  <c r="AI321" i="7" s="1"/>
  <c r="F321" i="7"/>
  <c r="D321" i="7"/>
  <c r="AN320" i="7"/>
  <c r="AM320" i="7"/>
  <c r="F320" i="7"/>
  <c r="D320" i="7"/>
  <c r="AN319" i="7"/>
  <c r="AI319" i="7"/>
  <c r="AG319" i="7"/>
  <c r="X319" i="7"/>
  <c r="W319" i="7"/>
  <c r="F319" i="7"/>
  <c r="D319" i="7"/>
  <c r="AN318" i="7"/>
  <c r="AI318" i="7"/>
  <c r="AG318" i="7"/>
  <c r="Y318" i="7"/>
  <c r="Z318" i="7" s="1"/>
  <c r="F318" i="7"/>
  <c r="D318" i="7"/>
  <c r="AN317" i="7"/>
  <c r="AI317" i="7"/>
  <c r="AG317" i="7"/>
  <c r="W317" i="7"/>
  <c r="Y317" i="7" s="1"/>
  <c r="Z317" i="7" s="1"/>
  <c r="F317" i="7"/>
  <c r="D317" i="7"/>
  <c r="AN316" i="7"/>
  <c r="AI316" i="7"/>
  <c r="AG316" i="7"/>
  <c r="Y316" i="7"/>
  <c r="Z316" i="7" s="1"/>
  <c r="F316" i="7"/>
  <c r="D316" i="7"/>
  <c r="AN315" i="7"/>
  <c r="AG315" i="7"/>
  <c r="V315" i="7"/>
  <c r="F315" i="7"/>
  <c r="D315" i="7"/>
  <c r="AN314" i="7"/>
  <c r="AI314" i="7"/>
  <c r="AG314" i="7"/>
  <c r="W314" i="7"/>
  <c r="Y314" i="7" s="1"/>
  <c r="Z314" i="7" s="1"/>
  <c r="F314" i="7"/>
  <c r="D314" i="7"/>
  <c r="AN313" i="7"/>
  <c r="AG313" i="7"/>
  <c r="V313" i="7"/>
  <c r="F313" i="7"/>
  <c r="D313" i="7"/>
  <c r="AN312" i="7"/>
  <c r="AG312" i="7"/>
  <c r="V312" i="7"/>
  <c r="AI312" i="7" s="1"/>
  <c r="F312" i="7"/>
  <c r="D312" i="7"/>
  <c r="AN311" i="7"/>
  <c r="AI311" i="7"/>
  <c r="AG311" i="7"/>
  <c r="W311" i="7"/>
  <c r="Y311" i="7" s="1"/>
  <c r="Z311" i="7" s="1"/>
  <c r="F311" i="7"/>
  <c r="D311" i="7"/>
  <c r="AN310" i="7"/>
  <c r="AI310" i="7"/>
  <c r="AG310" i="7"/>
  <c r="W310" i="7"/>
  <c r="Y310" i="7" s="1"/>
  <c r="Z310" i="7" s="1"/>
  <c r="F310" i="7"/>
  <c r="D310" i="7"/>
  <c r="AN309" i="7"/>
  <c r="AG309" i="7"/>
  <c r="W309" i="7"/>
  <c r="V309" i="7"/>
  <c r="AI309" i="7" s="1"/>
  <c r="F309" i="7"/>
  <c r="D309" i="7"/>
  <c r="AN308" i="7"/>
  <c r="AI308" i="7"/>
  <c r="AG308" i="7"/>
  <c r="Y308" i="7"/>
  <c r="Z308" i="7" s="1"/>
  <c r="F308" i="7"/>
  <c r="D308" i="7"/>
  <c r="AN307" i="7"/>
  <c r="AG307" i="7"/>
  <c r="V307" i="7"/>
  <c r="F307" i="7"/>
  <c r="D307" i="7"/>
  <c r="AN306" i="7"/>
  <c r="AI306" i="7"/>
  <c r="AG306" i="7"/>
  <c r="X306" i="7"/>
  <c r="Y306" i="7" s="1"/>
  <c r="Z306" i="7" s="1"/>
  <c r="F306" i="7"/>
  <c r="D306" i="7"/>
  <c r="AN305" i="7"/>
  <c r="AI305" i="7"/>
  <c r="AG305" i="7"/>
  <c r="W305" i="7"/>
  <c r="Y305" i="7" s="1"/>
  <c r="Z305" i="7" s="1"/>
  <c r="AC305" i="7" s="1"/>
  <c r="F305" i="7"/>
  <c r="D305" i="7"/>
  <c r="AN304" i="7"/>
  <c r="AG304" i="7"/>
  <c r="V304" i="7"/>
  <c r="F304" i="7"/>
  <c r="D304" i="7"/>
  <c r="AN303" i="7"/>
  <c r="AG303" i="7"/>
  <c r="W303" i="7"/>
  <c r="V303" i="7"/>
  <c r="AI303" i="7" s="1"/>
  <c r="F303" i="7"/>
  <c r="D303" i="7"/>
  <c r="AN302" i="7"/>
  <c r="AG302" i="7"/>
  <c r="W302" i="7"/>
  <c r="V302" i="7"/>
  <c r="AI302" i="7" s="1"/>
  <c r="F302" i="7"/>
  <c r="D302" i="7"/>
  <c r="AN301" i="7"/>
  <c r="AI301" i="7"/>
  <c r="AG301" i="7"/>
  <c r="W301" i="7"/>
  <c r="Y301" i="7" s="1"/>
  <c r="Z301" i="7" s="1"/>
  <c r="AC301" i="7" s="1"/>
  <c r="F301" i="7"/>
  <c r="D301" i="7"/>
  <c r="AN300" i="7"/>
  <c r="AI300" i="7"/>
  <c r="AG300" i="7"/>
  <c r="W300" i="7"/>
  <c r="Y300" i="7" s="1"/>
  <c r="Z300" i="7" s="1"/>
  <c r="F300" i="7"/>
  <c r="D300" i="7"/>
  <c r="AN299" i="7"/>
  <c r="AG299" i="7"/>
  <c r="W299" i="7"/>
  <c r="V299" i="7"/>
  <c r="AI299" i="7" s="1"/>
  <c r="F299" i="7"/>
  <c r="D299" i="7"/>
  <c r="AN298" i="7"/>
  <c r="AI298" i="7"/>
  <c r="AG298" i="7"/>
  <c r="W298" i="7"/>
  <c r="Y298" i="7" s="1"/>
  <c r="Z298" i="7" s="1"/>
  <c r="F298" i="7"/>
  <c r="D298" i="7"/>
  <c r="AN297" i="7"/>
  <c r="AI297" i="7"/>
  <c r="AG297" i="7"/>
  <c r="Y297" i="7"/>
  <c r="Z297" i="7" s="1"/>
  <c r="F297" i="7"/>
  <c r="D297" i="7"/>
  <c r="AN296" i="7"/>
  <c r="AI296" i="7"/>
  <c r="AG296" i="7"/>
  <c r="Y296" i="7"/>
  <c r="Z296" i="7" s="1"/>
  <c r="F296" i="7"/>
  <c r="D296" i="7"/>
  <c r="AN295" i="7"/>
  <c r="AI295" i="7"/>
  <c r="AG295" i="7"/>
  <c r="W295" i="7"/>
  <c r="Y295" i="7" s="1"/>
  <c r="Z295" i="7" s="1"/>
  <c r="F295" i="7"/>
  <c r="D295" i="7"/>
  <c r="AN294" i="7"/>
  <c r="AI294" i="7"/>
  <c r="AG294" i="7"/>
  <c r="Y294" i="7"/>
  <c r="Z294" i="7" s="1"/>
  <c r="F294" i="7"/>
  <c r="D294" i="7"/>
  <c r="AN293" i="7"/>
  <c r="AI293" i="7"/>
  <c r="AG293" i="7"/>
  <c r="Y293" i="7"/>
  <c r="Z293" i="7" s="1"/>
  <c r="F293" i="7"/>
  <c r="D293" i="7"/>
  <c r="AN292" i="7"/>
  <c r="AG292" i="7"/>
  <c r="V292" i="7"/>
  <c r="Y292" i="7" s="1"/>
  <c r="Z292" i="7" s="1"/>
  <c r="F292" i="7"/>
  <c r="D292" i="7"/>
  <c r="AN291" i="7"/>
  <c r="AG291" i="7"/>
  <c r="V291" i="7"/>
  <c r="F291" i="7"/>
  <c r="D291" i="7"/>
  <c r="AN290" i="7"/>
  <c r="AG290" i="7"/>
  <c r="V290" i="7"/>
  <c r="Y290" i="7" s="1"/>
  <c r="Z290" i="7" s="1"/>
  <c r="F290" i="7"/>
  <c r="D290" i="7"/>
  <c r="AN289" i="7"/>
  <c r="AI289" i="7"/>
  <c r="AG289" i="7"/>
  <c r="Y289" i="7"/>
  <c r="Z289" i="7" s="1"/>
  <c r="F289" i="7"/>
  <c r="D289" i="7"/>
  <c r="AN288" i="7"/>
  <c r="AG288" i="7"/>
  <c r="X288" i="7"/>
  <c r="V288" i="7"/>
  <c r="AI288" i="7" s="1"/>
  <c r="F288" i="7"/>
  <c r="D288" i="7"/>
  <c r="AN287" i="7"/>
  <c r="AI287" i="7"/>
  <c r="AG287" i="7"/>
  <c r="W287" i="7"/>
  <c r="Y287" i="7" s="1"/>
  <c r="Z287" i="7" s="1"/>
  <c r="F287" i="7"/>
  <c r="D287" i="7"/>
  <c r="AN286" i="7"/>
  <c r="AI286" i="7"/>
  <c r="AG286" i="7"/>
  <c r="W286" i="7"/>
  <c r="Y286" i="7" s="1"/>
  <c r="Z286" i="7" s="1"/>
  <c r="AA286" i="7" s="1"/>
  <c r="F286" i="7"/>
  <c r="D286" i="7"/>
  <c r="AN285" i="7"/>
  <c r="AG285" i="7"/>
  <c r="X285" i="7"/>
  <c r="V285" i="7"/>
  <c r="F285" i="7"/>
  <c r="D285" i="7"/>
  <c r="AN284" i="7"/>
  <c r="AI284" i="7"/>
  <c r="AG284" i="7"/>
  <c r="Y284" i="7"/>
  <c r="Z284" i="7" s="1"/>
  <c r="F284" i="7"/>
  <c r="D284" i="7"/>
  <c r="AN283" i="7"/>
  <c r="AG283" i="7"/>
  <c r="W283" i="7"/>
  <c r="V283" i="7"/>
  <c r="F283" i="7"/>
  <c r="D283" i="7"/>
  <c r="AN282" i="7"/>
  <c r="AI282" i="7"/>
  <c r="AG282" i="7"/>
  <c r="W282" i="7"/>
  <c r="Y282" i="7" s="1"/>
  <c r="Z282" i="7" s="1"/>
  <c r="AC282" i="7" s="1"/>
  <c r="F282" i="7"/>
  <c r="D282" i="7"/>
  <c r="AN281" i="7"/>
  <c r="AI281" i="7"/>
  <c r="AG281" i="7"/>
  <c r="W281" i="7"/>
  <c r="Y281" i="7" s="1"/>
  <c r="Z281" i="7" s="1"/>
  <c r="F281" i="7"/>
  <c r="D281" i="7"/>
  <c r="AN280" i="7"/>
  <c r="X280" i="7"/>
  <c r="V280" i="7"/>
  <c r="F280" i="7"/>
  <c r="D280" i="7"/>
  <c r="AN279" i="7"/>
  <c r="X279" i="7"/>
  <c r="V279" i="7"/>
  <c r="F279" i="7"/>
  <c r="D279" i="7"/>
  <c r="AN278" i="7"/>
  <c r="AG278" i="7"/>
  <c r="X278" i="7"/>
  <c r="V278" i="7"/>
  <c r="AI278" i="7" s="1"/>
  <c r="F278" i="7"/>
  <c r="D278" i="7"/>
  <c r="AN277" i="7"/>
  <c r="AI277" i="7"/>
  <c r="AG277" i="7"/>
  <c r="W277" i="7"/>
  <c r="Y277" i="7" s="1"/>
  <c r="Z277" i="7" s="1"/>
  <c r="F277" i="7"/>
  <c r="D277" i="7"/>
  <c r="AN276" i="7"/>
  <c r="AI276" i="7"/>
  <c r="AG276" i="7"/>
  <c r="X276" i="7"/>
  <c r="W276" i="7"/>
  <c r="F276" i="7"/>
  <c r="D276" i="7"/>
  <c r="AN275" i="7"/>
  <c r="AG275" i="7"/>
  <c r="V275" i="7"/>
  <c r="F275" i="7"/>
  <c r="D275" i="7"/>
  <c r="AN274" i="7"/>
  <c r="AG274" i="7"/>
  <c r="W274" i="7"/>
  <c r="V274" i="7"/>
  <c r="AI274" i="7" s="1"/>
  <c r="F274" i="7"/>
  <c r="D274" i="7"/>
  <c r="AN273" i="7"/>
  <c r="AI273" i="7"/>
  <c r="AG273" i="7"/>
  <c r="Y273" i="7"/>
  <c r="Z273" i="7" s="1"/>
  <c r="F273" i="7"/>
  <c r="D273" i="7"/>
  <c r="AN272" i="7"/>
  <c r="AI272" i="7"/>
  <c r="AG272" i="7"/>
  <c r="Y272" i="7"/>
  <c r="Z272" i="7" s="1"/>
  <c r="F272" i="7"/>
  <c r="D272" i="7"/>
  <c r="AN271" i="7"/>
  <c r="AI271" i="7"/>
  <c r="AG271" i="7"/>
  <c r="Y271" i="7"/>
  <c r="Z271" i="7" s="1"/>
  <c r="F271" i="7"/>
  <c r="D271" i="7"/>
  <c r="AN270" i="7"/>
  <c r="AG270" i="7"/>
  <c r="W270" i="7"/>
  <c r="V270" i="7"/>
  <c r="AI270" i="7" s="1"/>
  <c r="F270" i="7"/>
  <c r="D270" i="7"/>
  <c r="AN269" i="7"/>
  <c r="AM269" i="7"/>
  <c r="F269" i="7"/>
  <c r="D269" i="7"/>
  <c r="AN268" i="7"/>
  <c r="AI268" i="7"/>
  <c r="AG268" i="7"/>
  <c r="Y268" i="7"/>
  <c r="Z268" i="7" s="1"/>
  <c r="F268" i="7"/>
  <c r="D268" i="7"/>
  <c r="AN267" i="7"/>
  <c r="AG267" i="7"/>
  <c r="W267" i="7"/>
  <c r="V267" i="7"/>
  <c r="F267" i="7"/>
  <c r="D267" i="7"/>
  <c r="AN266" i="7"/>
  <c r="AI266" i="7"/>
  <c r="AG266" i="7"/>
  <c r="Y266" i="7"/>
  <c r="Z266" i="7" s="1"/>
  <c r="F266" i="7"/>
  <c r="D266" i="7"/>
  <c r="AN265" i="7"/>
  <c r="AI265" i="7"/>
  <c r="AG265" i="7"/>
  <c r="Y265" i="7"/>
  <c r="Z265" i="7" s="1"/>
  <c r="F265" i="7"/>
  <c r="D265" i="7"/>
  <c r="AN264" i="7"/>
  <c r="AG264" i="7"/>
  <c r="W264" i="7"/>
  <c r="V264" i="7"/>
  <c r="F264" i="7"/>
  <c r="D264" i="7"/>
  <c r="AN263" i="7"/>
  <c r="AI263" i="7"/>
  <c r="AG263" i="7"/>
  <c r="W263" i="7"/>
  <c r="Y263" i="7" s="1"/>
  <c r="Z263" i="7" s="1"/>
  <c r="F263" i="7"/>
  <c r="D263" i="7"/>
  <c r="AN262" i="7"/>
  <c r="AI262" i="7"/>
  <c r="AG262" i="7"/>
  <c r="Y262" i="7"/>
  <c r="Z262" i="7" s="1"/>
  <c r="F262" i="7"/>
  <c r="D262" i="7"/>
  <c r="AN261" i="7"/>
  <c r="AG261" i="7"/>
  <c r="V261" i="7"/>
  <c r="AI261" i="7" s="1"/>
  <c r="F261" i="7"/>
  <c r="D261" i="7"/>
  <c r="AN260" i="7"/>
  <c r="AI260" i="7"/>
  <c r="AG260" i="7"/>
  <c r="Y260" i="7"/>
  <c r="Z260" i="7" s="1"/>
  <c r="F260" i="7"/>
  <c r="D260" i="7"/>
  <c r="AN259" i="7"/>
  <c r="AG259" i="7"/>
  <c r="V259" i="7"/>
  <c r="AI259" i="7" s="1"/>
  <c r="F259" i="7"/>
  <c r="D259" i="7"/>
  <c r="AN258" i="7"/>
  <c r="AI258" i="7"/>
  <c r="AG258" i="7"/>
  <c r="Y258" i="7"/>
  <c r="Z258" i="7" s="1"/>
  <c r="F258" i="7"/>
  <c r="D258" i="7"/>
  <c r="AN257" i="7"/>
  <c r="AI257" i="7"/>
  <c r="AG257" i="7"/>
  <c r="Y257" i="7"/>
  <c r="Z257" i="7" s="1"/>
  <c r="F257" i="7"/>
  <c r="D257" i="7"/>
  <c r="AN256" i="7"/>
  <c r="AI256" i="7"/>
  <c r="AG256" i="7"/>
  <c r="Y256" i="7"/>
  <c r="Z256" i="7" s="1"/>
  <c r="F256" i="7"/>
  <c r="D256" i="7"/>
  <c r="AN255" i="7"/>
  <c r="AG255" i="7"/>
  <c r="W255" i="7"/>
  <c r="V255" i="7"/>
  <c r="F255" i="7"/>
  <c r="D255" i="7"/>
  <c r="AN254" i="7"/>
  <c r="AI254" i="7"/>
  <c r="AG254" i="7"/>
  <c r="Y254" i="7"/>
  <c r="Z254" i="7" s="1"/>
  <c r="F254" i="7"/>
  <c r="D254" i="7"/>
  <c r="AN253" i="7"/>
  <c r="AI253" i="7"/>
  <c r="AG253" i="7"/>
  <c r="W253" i="7"/>
  <c r="Y253" i="7" s="1"/>
  <c r="Z253" i="7" s="1"/>
  <c r="F253" i="7"/>
  <c r="D253" i="7"/>
  <c r="AN252" i="7"/>
  <c r="AI252" i="7"/>
  <c r="AG252" i="7"/>
  <c r="X252" i="7"/>
  <c r="W252" i="7"/>
  <c r="F252" i="7"/>
  <c r="D252" i="7"/>
  <c r="AN251" i="7"/>
  <c r="AI251" i="7"/>
  <c r="AG251" i="7"/>
  <c r="Y251" i="7"/>
  <c r="Z251" i="7" s="1"/>
  <c r="F251" i="7"/>
  <c r="D251" i="7"/>
  <c r="AN250" i="7"/>
  <c r="AG250" i="7"/>
  <c r="V250" i="7"/>
  <c r="AI250" i="7" s="1"/>
  <c r="F250" i="7"/>
  <c r="D250" i="7"/>
  <c r="AN249" i="7"/>
  <c r="AG249" i="7"/>
  <c r="V249" i="7"/>
  <c r="F249" i="7"/>
  <c r="D249" i="7"/>
  <c r="AN248" i="7"/>
  <c r="AI248" i="7"/>
  <c r="AG248" i="7"/>
  <c r="W248" i="7"/>
  <c r="Y248" i="7" s="1"/>
  <c r="Z248" i="7" s="1"/>
  <c r="F248" i="7"/>
  <c r="D248" i="7"/>
  <c r="AN247" i="7"/>
  <c r="AM247" i="7"/>
  <c r="F247" i="7"/>
  <c r="D247" i="7"/>
  <c r="AN246" i="7"/>
  <c r="AI246" i="7"/>
  <c r="AG246" i="7"/>
  <c r="Y246" i="7"/>
  <c r="Z246" i="7" s="1"/>
  <c r="F246" i="7"/>
  <c r="D246" i="7"/>
  <c r="AN245" i="7"/>
  <c r="AI245" i="7"/>
  <c r="AG245" i="7"/>
  <c r="Y245" i="7"/>
  <c r="Z245" i="7" s="1"/>
  <c r="F245" i="7"/>
  <c r="D245" i="7"/>
  <c r="AN244" i="7"/>
  <c r="AI244" i="7"/>
  <c r="AG244" i="7"/>
  <c r="X244" i="7"/>
  <c r="W244" i="7"/>
  <c r="F244" i="7"/>
  <c r="D244" i="7"/>
  <c r="AN243" i="7"/>
  <c r="AI243" i="7"/>
  <c r="AG243" i="7"/>
  <c r="W243" i="7"/>
  <c r="Y243" i="7" s="1"/>
  <c r="Z243" i="7" s="1"/>
  <c r="F243" i="7"/>
  <c r="D243" i="7"/>
  <c r="AN242" i="7"/>
  <c r="AI242" i="7"/>
  <c r="AG242" i="7"/>
  <c r="W242" i="7"/>
  <c r="Y242" i="7" s="1"/>
  <c r="Z242" i="7" s="1"/>
  <c r="F242" i="7"/>
  <c r="D242" i="7"/>
  <c r="AN241" i="7"/>
  <c r="AM241" i="7"/>
  <c r="F241" i="7"/>
  <c r="D241" i="7"/>
  <c r="AN240" i="7"/>
  <c r="AM240" i="7"/>
  <c r="F240" i="7"/>
  <c r="D240" i="7"/>
  <c r="AN239" i="7"/>
  <c r="AM239" i="7"/>
  <c r="F239" i="7"/>
  <c r="D239" i="7"/>
  <c r="AN238" i="7"/>
  <c r="AI238" i="7"/>
  <c r="AG238" i="7"/>
  <c r="W238" i="7"/>
  <c r="Y238" i="7" s="1"/>
  <c r="Z238" i="7" s="1"/>
  <c r="F238" i="7"/>
  <c r="D238" i="7"/>
  <c r="AN237" i="7"/>
  <c r="AG237" i="7"/>
  <c r="V237" i="7"/>
  <c r="AI237" i="7" s="1"/>
  <c r="F237" i="7"/>
  <c r="D237" i="7"/>
  <c r="AN236" i="7"/>
  <c r="AI236" i="7"/>
  <c r="AG236" i="7"/>
  <c r="W236" i="7"/>
  <c r="Y236" i="7" s="1"/>
  <c r="Z236" i="7" s="1"/>
  <c r="F236" i="7"/>
  <c r="D236" i="7"/>
  <c r="AN235" i="7"/>
  <c r="AI235" i="7"/>
  <c r="AG235" i="7"/>
  <c r="W235" i="7"/>
  <c r="Y235" i="7" s="1"/>
  <c r="Z235" i="7" s="1"/>
  <c r="F235" i="7"/>
  <c r="D235" i="7"/>
  <c r="AN234" i="7"/>
  <c r="AI234" i="7"/>
  <c r="AG234" i="7"/>
  <c r="W234" i="7"/>
  <c r="Y234" i="7" s="1"/>
  <c r="Z234" i="7" s="1"/>
  <c r="F234" i="7"/>
  <c r="D234" i="7"/>
  <c r="AN233" i="7"/>
  <c r="AI233" i="7"/>
  <c r="AG233" i="7"/>
  <c r="Y233" i="7"/>
  <c r="Z233" i="7" s="1"/>
  <c r="F233" i="7"/>
  <c r="D233" i="7"/>
  <c r="AN232" i="7"/>
  <c r="AG232" i="7"/>
  <c r="W232" i="7"/>
  <c r="V232" i="7"/>
  <c r="AI232" i="7" s="1"/>
  <c r="F232" i="7"/>
  <c r="D232" i="7"/>
  <c r="AN231" i="7"/>
  <c r="AI231" i="7"/>
  <c r="AG231" i="7"/>
  <c r="Y231" i="7"/>
  <c r="Z231" i="7" s="1"/>
  <c r="F231" i="7"/>
  <c r="D231" i="7"/>
  <c r="AN230" i="7"/>
  <c r="AI230" i="7"/>
  <c r="AG230" i="7"/>
  <c r="Y230" i="7"/>
  <c r="Z230" i="7" s="1"/>
  <c r="F230" i="7"/>
  <c r="D230" i="7"/>
  <c r="AN229" i="7"/>
  <c r="AI229" i="7"/>
  <c r="AG229" i="7"/>
  <c r="Y229" i="7"/>
  <c r="Z229" i="7" s="1"/>
  <c r="F229" i="7"/>
  <c r="D229" i="7"/>
  <c r="AN228" i="7"/>
  <c r="AG228" i="7"/>
  <c r="W228" i="7"/>
  <c r="V228" i="7"/>
  <c r="AI228" i="7" s="1"/>
  <c r="F228" i="7"/>
  <c r="D228" i="7"/>
  <c r="AN227" i="7"/>
  <c r="AI227" i="7"/>
  <c r="AG227" i="7"/>
  <c r="X227" i="7"/>
  <c r="Y227" i="7" s="1"/>
  <c r="Z227" i="7" s="1"/>
  <c r="F227" i="7"/>
  <c r="D227" i="7"/>
  <c r="AN226" i="7"/>
  <c r="AI226" i="7"/>
  <c r="AG226" i="7"/>
  <c r="Y226" i="7"/>
  <c r="Z226" i="7" s="1"/>
  <c r="AC226" i="7" s="1"/>
  <c r="F226" i="7"/>
  <c r="D226" i="7"/>
  <c r="AN225" i="7"/>
  <c r="AG225" i="7"/>
  <c r="W225" i="7"/>
  <c r="V225" i="7"/>
  <c r="AI225" i="7" s="1"/>
  <c r="F225" i="7"/>
  <c r="D225" i="7"/>
  <c r="AN224" i="7"/>
  <c r="AI224" i="7"/>
  <c r="AG224" i="7"/>
  <c r="Y224" i="7"/>
  <c r="Z224" i="7" s="1"/>
  <c r="F224" i="7"/>
  <c r="D224" i="7"/>
  <c r="AN223" i="7"/>
  <c r="AI223" i="7"/>
  <c r="AG223" i="7"/>
  <c r="Y223" i="7"/>
  <c r="Z223" i="7" s="1"/>
  <c r="F223" i="7"/>
  <c r="D223" i="7"/>
  <c r="AN222" i="7"/>
  <c r="AI222" i="7"/>
  <c r="AG222" i="7"/>
  <c r="Y222" i="7"/>
  <c r="Z222" i="7" s="1"/>
  <c r="F222" i="7"/>
  <c r="D222" i="7"/>
  <c r="AN221" i="7"/>
  <c r="AG221" i="7"/>
  <c r="W221" i="7"/>
  <c r="V221" i="7"/>
  <c r="F221" i="7"/>
  <c r="D221" i="7"/>
  <c r="AN220" i="7"/>
  <c r="AG220" i="7"/>
  <c r="X220" i="7"/>
  <c r="W220" i="7"/>
  <c r="V220" i="7"/>
  <c r="AC220" i="7" s="1"/>
  <c r="F220" i="7"/>
  <c r="D220" i="7"/>
  <c r="AN219" i="7"/>
  <c r="AG219" i="7"/>
  <c r="W219" i="7"/>
  <c r="V219" i="7"/>
  <c r="F219" i="7"/>
  <c r="D219" i="7"/>
  <c r="AN218" i="7"/>
  <c r="AG218" i="7"/>
  <c r="V218" i="7"/>
  <c r="AI218" i="7" s="1"/>
  <c r="F218" i="7"/>
  <c r="D218" i="7"/>
  <c r="AN217" i="7"/>
  <c r="AI217" i="7"/>
  <c r="AG217" i="7"/>
  <c r="W217" i="7"/>
  <c r="Y217" i="7" s="1"/>
  <c r="Z217" i="7" s="1"/>
  <c r="F217" i="7"/>
  <c r="D217" i="7"/>
  <c r="AN216" i="7"/>
  <c r="AI216" i="7"/>
  <c r="AG216" i="7"/>
  <c r="Y216" i="7"/>
  <c r="Z216" i="7" s="1"/>
  <c r="F216" i="7"/>
  <c r="D216" i="7"/>
  <c r="AN215" i="7"/>
  <c r="AI215" i="7"/>
  <c r="AG215" i="7"/>
  <c r="Y215" i="7"/>
  <c r="Z215" i="7" s="1"/>
  <c r="F215" i="7"/>
  <c r="D215" i="7"/>
  <c r="AN214" i="7"/>
  <c r="AG214" i="7"/>
  <c r="W214" i="7"/>
  <c r="V214" i="7"/>
  <c r="AI214" i="7" s="1"/>
  <c r="F214" i="7"/>
  <c r="D214" i="7"/>
  <c r="AN213" i="7"/>
  <c r="AI213" i="7"/>
  <c r="AG213" i="7"/>
  <c r="W213" i="7"/>
  <c r="Y213" i="7" s="1"/>
  <c r="Z213" i="7" s="1"/>
  <c r="F213" i="7"/>
  <c r="D213" i="7"/>
  <c r="AN212" i="7"/>
  <c r="AG212" i="7"/>
  <c r="W212" i="7"/>
  <c r="V212" i="7"/>
  <c r="AI212" i="7" s="1"/>
  <c r="F212" i="7"/>
  <c r="D212" i="7"/>
  <c r="AN211" i="7"/>
  <c r="AI211" i="7"/>
  <c r="AG211" i="7"/>
  <c r="W211" i="7"/>
  <c r="Y211" i="7" s="1"/>
  <c r="Z211" i="7" s="1"/>
  <c r="F211" i="7"/>
  <c r="D211" i="7"/>
  <c r="AN210" i="7"/>
  <c r="AG210" i="7"/>
  <c r="AD210" i="7"/>
  <c r="X210" i="7"/>
  <c r="V210" i="7"/>
  <c r="AI210" i="7" s="1"/>
  <c r="F210" i="7"/>
  <c r="D210" i="7"/>
  <c r="AN209" i="7"/>
  <c r="AI209" i="7"/>
  <c r="AG209" i="7"/>
  <c r="W209" i="7"/>
  <c r="Y209" i="7" s="1"/>
  <c r="Z209" i="7" s="1"/>
  <c r="F209" i="7"/>
  <c r="D209" i="7"/>
  <c r="AN208" i="7"/>
  <c r="AI208" i="7"/>
  <c r="AG208" i="7"/>
  <c r="AC208" i="7"/>
  <c r="W208" i="7"/>
  <c r="Y208" i="7" s="1"/>
  <c r="Z208" i="7" s="1"/>
  <c r="F208" i="7"/>
  <c r="D208" i="7"/>
  <c r="AN207" i="7"/>
  <c r="AM207" i="7"/>
  <c r="F207" i="7"/>
  <c r="D207" i="7"/>
  <c r="AN206" i="7"/>
  <c r="AI206" i="7"/>
  <c r="AG206" i="7"/>
  <c r="W206" i="7"/>
  <c r="Y206" i="7" s="1"/>
  <c r="Z206" i="7" s="1"/>
  <c r="AA206" i="7" s="1"/>
  <c r="F206" i="7"/>
  <c r="D206" i="7"/>
  <c r="AN205" i="7"/>
  <c r="AI205" i="7"/>
  <c r="AG205" i="7"/>
  <c r="Y205" i="7"/>
  <c r="Z205" i="7" s="1"/>
  <c r="F205" i="7"/>
  <c r="D205" i="7"/>
  <c r="AN204" i="7"/>
  <c r="AI204" i="7"/>
  <c r="AG204" i="7"/>
  <c r="Y204" i="7"/>
  <c r="Z204" i="7" s="1"/>
  <c r="F204" i="7"/>
  <c r="D204" i="7"/>
  <c r="AN203" i="7"/>
  <c r="AI203" i="7"/>
  <c r="AG203" i="7"/>
  <c r="Y203" i="7"/>
  <c r="Z203" i="7" s="1"/>
  <c r="F203" i="7"/>
  <c r="D203" i="7"/>
  <c r="AN202" i="7"/>
  <c r="AI202" i="7"/>
  <c r="AG202" i="7"/>
  <c r="Y202" i="7"/>
  <c r="Z202" i="7" s="1"/>
  <c r="F202" i="7"/>
  <c r="D202" i="7"/>
  <c r="AN201" i="7"/>
  <c r="AI201" i="7"/>
  <c r="AG201" i="7"/>
  <c r="W201" i="7"/>
  <c r="Y201" i="7" s="1"/>
  <c r="Z201" i="7" s="1"/>
  <c r="F201" i="7"/>
  <c r="D201" i="7"/>
  <c r="AN200" i="7"/>
  <c r="AI200" i="7"/>
  <c r="AG200" i="7"/>
  <c r="W200" i="7"/>
  <c r="Y200" i="7" s="1"/>
  <c r="Z200" i="7" s="1"/>
  <c r="F200" i="7"/>
  <c r="D200" i="7"/>
  <c r="AN199" i="7"/>
  <c r="AI199" i="7"/>
  <c r="AG199" i="7"/>
  <c r="Y199" i="7"/>
  <c r="Z199" i="7" s="1"/>
  <c r="AC199" i="7" s="1"/>
  <c r="F199" i="7"/>
  <c r="D199" i="7"/>
  <c r="AN198" i="7"/>
  <c r="AI198" i="7"/>
  <c r="AG198" i="7"/>
  <c r="Y198" i="7"/>
  <c r="Z198" i="7" s="1"/>
  <c r="F198" i="7"/>
  <c r="D198" i="7"/>
  <c r="AN197" i="7"/>
  <c r="AG197" i="7"/>
  <c r="V197" i="7"/>
  <c r="Y197" i="7" s="1"/>
  <c r="Z197" i="7" s="1"/>
  <c r="AC197" i="7" s="1"/>
  <c r="F197" i="7"/>
  <c r="D197" i="7"/>
  <c r="AN196" i="7"/>
  <c r="AI196" i="7"/>
  <c r="AG196" i="7"/>
  <c r="W196" i="7"/>
  <c r="Y196" i="7" s="1"/>
  <c r="Z196" i="7" s="1"/>
  <c r="F196" i="7"/>
  <c r="D196" i="7"/>
  <c r="AN195" i="7"/>
  <c r="AI195" i="7"/>
  <c r="AG195" i="7"/>
  <c r="W195" i="7"/>
  <c r="Y195" i="7" s="1"/>
  <c r="Z195" i="7" s="1"/>
  <c r="F195" i="7"/>
  <c r="D195" i="7"/>
  <c r="AN194" i="7"/>
  <c r="AI194" i="7"/>
  <c r="AG194" i="7"/>
  <c r="W194" i="7"/>
  <c r="Y194" i="7" s="1"/>
  <c r="Z194" i="7" s="1"/>
  <c r="F194" i="7"/>
  <c r="D194" i="7"/>
  <c r="AN193" i="7"/>
  <c r="AI193" i="7"/>
  <c r="AG193" i="7"/>
  <c r="Y193" i="7"/>
  <c r="Z193" i="7" s="1"/>
  <c r="F193" i="7"/>
  <c r="D193" i="7"/>
  <c r="AN192" i="7"/>
  <c r="AI192" i="7"/>
  <c r="AG192" i="7"/>
  <c r="Y192" i="7"/>
  <c r="Z192" i="7" s="1"/>
  <c r="F192" i="7"/>
  <c r="D192" i="7"/>
  <c r="AN191" i="7"/>
  <c r="AG191" i="7"/>
  <c r="X191" i="7"/>
  <c r="V191" i="7"/>
  <c r="AI191" i="7" s="1"/>
  <c r="F191" i="7"/>
  <c r="D191" i="7"/>
  <c r="AN190" i="7"/>
  <c r="AI190" i="7"/>
  <c r="AG190" i="7"/>
  <c r="Y190" i="7"/>
  <c r="Z190" i="7" s="1"/>
  <c r="F190" i="7"/>
  <c r="D190" i="7"/>
  <c r="AN189" i="7"/>
  <c r="AG189" i="7"/>
  <c r="V189" i="7"/>
  <c r="F189" i="7"/>
  <c r="D189" i="7"/>
  <c r="AN188" i="7"/>
  <c r="AG188" i="7"/>
  <c r="V188" i="7"/>
  <c r="F188" i="7"/>
  <c r="D188" i="7"/>
  <c r="AN187" i="7"/>
  <c r="AI187" i="7"/>
  <c r="AG187" i="7"/>
  <c r="W187" i="7"/>
  <c r="Y187" i="7" s="1"/>
  <c r="Z187" i="7" s="1"/>
  <c r="F187" i="7"/>
  <c r="D187" i="7"/>
  <c r="AN186" i="7"/>
  <c r="AI186" i="7"/>
  <c r="AG186" i="7"/>
  <c r="Y186" i="7"/>
  <c r="Z186" i="7" s="1"/>
  <c r="F186" i="7"/>
  <c r="D186" i="7"/>
  <c r="AN185" i="7"/>
  <c r="AI185" i="7"/>
  <c r="AG185" i="7"/>
  <c r="Y185" i="7"/>
  <c r="Z185" i="7" s="1"/>
  <c r="F185" i="7"/>
  <c r="D185" i="7"/>
  <c r="AN184" i="7"/>
  <c r="AI184" i="7"/>
  <c r="AG184" i="7"/>
  <c r="AM184" i="7" s="1"/>
  <c r="Y184" i="7"/>
  <c r="Z184" i="7" s="1"/>
  <c r="F184" i="7"/>
  <c r="D184" i="7"/>
  <c r="AN183" i="7"/>
  <c r="AI183" i="7"/>
  <c r="AG183" i="7"/>
  <c r="Y183" i="7"/>
  <c r="Z183" i="7" s="1"/>
  <c r="F183" i="7"/>
  <c r="D183" i="7"/>
  <c r="AN182" i="7"/>
  <c r="AG182" i="7"/>
  <c r="W182" i="7"/>
  <c r="V182" i="7"/>
  <c r="AI182" i="7" s="1"/>
  <c r="F182" i="7"/>
  <c r="D182" i="7"/>
  <c r="AN181" i="7"/>
  <c r="AI181" i="7"/>
  <c r="AG181" i="7"/>
  <c r="W181" i="7"/>
  <c r="Y181" i="7" s="1"/>
  <c r="Z181" i="7" s="1"/>
  <c r="AC181" i="7" s="1"/>
  <c r="F181" i="7"/>
  <c r="D181" i="7"/>
  <c r="AN180" i="7"/>
  <c r="AG180" i="7"/>
  <c r="V180" i="7"/>
  <c r="AI180" i="7" s="1"/>
  <c r="F180" i="7"/>
  <c r="D180" i="7"/>
  <c r="AN179" i="7"/>
  <c r="AG179" i="7"/>
  <c r="W179" i="7"/>
  <c r="V179" i="7"/>
  <c r="AI179" i="7" s="1"/>
  <c r="F179" i="7"/>
  <c r="D179" i="7"/>
  <c r="AN178" i="7"/>
  <c r="AI178" i="7"/>
  <c r="AG178" i="7"/>
  <c r="Y178" i="7"/>
  <c r="Z178" i="7" s="1"/>
  <c r="F178" i="7"/>
  <c r="D178" i="7"/>
  <c r="AN177" i="7"/>
  <c r="AI177" i="7"/>
  <c r="AG177" i="7"/>
  <c r="Y177" i="7"/>
  <c r="Z177" i="7" s="1"/>
  <c r="F177" i="7"/>
  <c r="D177" i="7"/>
  <c r="AN176" i="7"/>
  <c r="AI176" i="7"/>
  <c r="AG176" i="7"/>
  <c r="Y176" i="7"/>
  <c r="Z176" i="7" s="1"/>
  <c r="F176" i="7"/>
  <c r="D176" i="7"/>
  <c r="AN175" i="7"/>
  <c r="AI175" i="7"/>
  <c r="AG175" i="7"/>
  <c r="Y175" i="7"/>
  <c r="Z175" i="7" s="1"/>
  <c r="F175" i="7"/>
  <c r="D175" i="7"/>
  <c r="AN174" i="7"/>
  <c r="AG174" i="7"/>
  <c r="W174" i="7"/>
  <c r="V174" i="7"/>
  <c r="AI174" i="7" s="1"/>
  <c r="F174" i="7"/>
  <c r="D174" i="7"/>
  <c r="AN173" i="7"/>
  <c r="AI173" i="7"/>
  <c r="AG173" i="7"/>
  <c r="Y173" i="7"/>
  <c r="Z173" i="7" s="1"/>
  <c r="AC173" i="7" s="1"/>
  <c r="F173" i="7"/>
  <c r="D173" i="7"/>
  <c r="AN172" i="7"/>
  <c r="AI172" i="7"/>
  <c r="AG172" i="7"/>
  <c r="W172" i="7"/>
  <c r="Y172" i="7" s="1"/>
  <c r="Z172" i="7" s="1"/>
  <c r="F172" i="7"/>
  <c r="D172" i="7"/>
  <c r="AN171" i="7"/>
  <c r="AM171" i="7"/>
  <c r="F171" i="7"/>
  <c r="D171" i="7"/>
  <c r="AN170" i="7"/>
  <c r="AI170" i="7"/>
  <c r="AG170" i="7"/>
  <c r="Y170" i="7"/>
  <c r="Z170" i="7" s="1"/>
  <c r="F170" i="7"/>
  <c r="D170" i="7"/>
  <c r="AN169" i="7"/>
  <c r="AI169" i="7"/>
  <c r="AG169" i="7"/>
  <c r="X169" i="7"/>
  <c r="Y169" i="7" s="1"/>
  <c r="Z169" i="7" s="1"/>
  <c r="F169" i="7"/>
  <c r="D169" i="7"/>
  <c r="AN168" i="7"/>
  <c r="AI168" i="7"/>
  <c r="AG168" i="7"/>
  <c r="X168" i="7"/>
  <c r="Y168" i="7" s="1"/>
  <c r="Z168" i="7" s="1"/>
  <c r="F168" i="7"/>
  <c r="D168" i="7"/>
  <c r="AN167" i="7"/>
  <c r="AI167" i="7"/>
  <c r="AG167" i="7"/>
  <c r="Y167" i="7"/>
  <c r="Z167" i="7" s="1"/>
  <c r="F167" i="7"/>
  <c r="D167" i="7"/>
  <c r="AN166" i="7"/>
  <c r="AI166" i="7"/>
  <c r="AG166" i="7"/>
  <c r="W166" i="7"/>
  <c r="Y166" i="7" s="1"/>
  <c r="Z166" i="7" s="1"/>
  <c r="F166" i="7"/>
  <c r="D166" i="7"/>
  <c r="AN165" i="7"/>
  <c r="AG165" i="7"/>
  <c r="X165" i="7"/>
  <c r="V165" i="7"/>
  <c r="F165" i="7"/>
  <c r="D165" i="7"/>
  <c r="AN164" i="7"/>
  <c r="AI164" i="7"/>
  <c r="AG164" i="7"/>
  <c r="W164" i="7"/>
  <c r="Y164" i="7" s="1"/>
  <c r="Z164" i="7" s="1"/>
  <c r="F164" i="7"/>
  <c r="D164" i="7"/>
  <c r="AN163" i="7"/>
  <c r="AI163" i="7"/>
  <c r="AG163" i="7"/>
  <c r="W163" i="7"/>
  <c r="Y163" i="7" s="1"/>
  <c r="Z163" i="7" s="1"/>
  <c r="F163" i="7"/>
  <c r="D163" i="7"/>
  <c r="AN162" i="7"/>
  <c r="AG162" i="7"/>
  <c r="V162" i="7"/>
  <c r="AI162" i="7" s="1"/>
  <c r="F162" i="7"/>
  <c r="D162" i="7"/>
  <c r="AN161" i="7"/>
  <c r="AG161" i="7"/>
  <c r="W161" i="7"/>
  <c r="V161" i="7"/>
  <c r="AI161" i="7" s="1"/>
  <c r="F161" i="7"/>
  <c r="D161" i="7"/>
  <c r="AN160" i="7"/>
  <c r="AI160" i="7"/>
  <c r="AG160" i="7"/>
  <c r="Y160" i="7"/>
  <c r="Z160" i="7" s="1"/>
  <c r="F160" i="7"/>
  <c r="D160" i="7"/>
  <c r="AN159" i="7"/>
  <c r="AI159" i="7"/>
  <c r="AG159" i="7"/>
  <c r="Y159" i="7"/>
  <c r="Z159" i="7" s="1"/>
  <c r="F159" i="7"/>
  <c r="D159" i="7"/>
  <c r="AN158" i="7"/>
  <c r="AI158" i="7"/>
  <c r="AG158" i="7"/>
  <c r="Y158" i="7"/>
  <c r="Z158" i="7" s="1"/>
  <c r="F158" i="7"/>
  <c r="D158" i="7"/>
  <c r="AN157" i="7"/>
  <c r="AI157" i="7"/>
  <c r="AG157" i="7"/>
  <c r="Y157" i="7"/>
  <c r="Z157" i="7" s="1"/>
  <c r="F157" i="7"/>
  <c r="D157" i="7"/>
  <c r="AN156" i="7"/>
  <c r="AG156" i="7"/>
  <c r="V156" i="7"/>
  <c r="Y156" i="7" s="1"/>
  <c r="Z156" i="7" s="1"/>
  <c r="F156" i="7"/>
  <c r="D156" i="7"/>
  <c r="AN155" i="7"/>
  <c r="AI155" i="7"/>
  <c r="AG155" i="7"/>
  <c r="W155" i="7"/>
  <c r="Y155" i="7" s="1"/>
  <c r="Z155" i="7" s="1"/>
  <c r="AC155" i="7" s="1"/>
  <c r="F155" i="7"/>
  <c r="D155" i="7"/>
  <c r="AN154" i="7"/>
  <c r="AG154" i="7"/>
  <c r="W154" i="7"/>
  <c r="V154" i="7"/>
  <c r="AI154" i="7" s="1"/>
  <c r="F154" i="7"/>
  <c r="D154" i="7"/>
  <c r="AN153" i="7"/>
  <c r="AI153" i="7"/>
  <c r="AG153" i="7"/>
  <c r="X153" i="7"/>
  <c r="W153" i="7"/>
  <c r="F153" i="7"/>
  <c r="D153" i="7"/>
  <c r="AN152" i="7"/>
  <c r="AI152" i="7"/>
  <c r="AG152" i="7"/>
  <c r="W152" i="7"/>
  <c r="Y152" i="7" s="1"/>
  <c r="Z152" i="7" s="1"/>
  <c r="F152" i="7"/>
  <c r="D152" i="7"/>
  <c r="AN151" i="7"/>
  <c r="AI151" i="7"/>
  <c r="AG151" i="7"/>
  <c r="W151" i="7"/>
  <c r="Y151" i="7" s="1"/>
  <c r="Z151" i="7" s="1"/>
  <c r="F151" i="7"/>
  <c r="D151" i="7"/>
  <c r="AN150" i="7"/>
  <c r="AI150" i="7"/>
  <c r="AG150" i="7"/>
  <c r="W150" i="7"/>
  <c r="Y150" i="7" s="1"/>
  <c r="Z150" i="7" s="1"/>
  <c r="F150" i="7"/>
  <c r="D150" i="7"/>
  <c r="AN149" i="7"/>
  <c r="AG149" i="7"/>
  <c r="W149" i="7"/>
  <c r="V149" i="7"/>
  <c r="AI149" i="7" s="1"/>
  <c r="F149" i="7"/>
  <c r="D149" i="7"/>
  <c r="AN148" i="7"/>
  <c r="AG148" i="7"/>
  <c r="X148" i="7"/>
  <c r="W148" i="7"/>
  <c r="V148" i="7"/>
  <c r="AI148" i="7" s="1"/>
  <c r="F148" i="7"/>
  <c r="D148" i="7"/>
  <c r="AN147" i="7"/>
  <c r="AG147" i="7"/>
  <c r="V147" i="7"/>
  <c r="F147" i="7"/>
  <c r="D147" i="7"/>
  <c r="AN146" i="7"/>
  <c r="AI146" i="7"/>
  <c r="AJ146" i="7" s="1"/>
  <c r="AG146" i="7"/>
  <c r="W146" i="7"/>
  <c r="Y146" i="7" s="1"/>
  <c r="Z146" i="7" s="1"/>
  <c r="AC146" i="7" s="1"/>
  <c r="F146" i="7"/>
  <c r="D146" i="7"/>
  <c r="AN145" i="7"/>
  <c r="AI145" i="7"/>
  <c r="AJ145" i="7" s="1"/>
  <c r="AG145" i="7"/>
  <c r="W145" i="7"/>
  <c r="Y145" i="7" s="1"/>
  <c r="Z145" i="7" s="1"/>
  <c r="F145" i="7"/>
  <c r="D145" i="7"/>
  <c r="AN144" i="7"/>
  <c r="AI144" i="7"/>
  <c r="AG144" i="7"/>
  <c r="W144" i="7"/>
  <c r="Y144" i="7" s="1"/>
  <c r="Z144" i="7" s="1"/>
  <c r="F144" i="7"/>
  <c r="D144" i="7"/>
  <c r="AN143" i="7"/>
  <c r="AG143" i="7"/>
  <c r="W143" i="7"/>
  <c r="V143" i="7"/>
  <c r="AI143" i="7" s="1"/>
  <c r="F143" i="7"/>
  <c r="D143" i="7"/>
  <c r="AN142" i="7"/>
  <c r="AI142" i="7"/>
  <c r="AG142" i="7"/>
  <c r="W142" i="7"/>
  <c r="Y142" i="7" s="1"/>
  <c r="Z142" i="7" s="1"/>
  <c r="F142" i="7"/>
  <c r="D142" i="7"/>
  <c r="AN141" i="7"/>
  <c r="AG141" i="7"/>
  <c r="W141" i="7"/>
  <c r="V141" i="7"/>
  <c r="AI141" i="7" s="1"/>
  <c r="F141" i="7"/>
  <c r="D141" i="7"/>
  <c r="AN140" i="7"/>
  <c r="AG140" i="7"/>
  <c r="W140" i="7"/>
  <c r="V140" i="7"/>
  <c r="AI140" i="7" s="1"/>
  <c r="F140" i="7"/>
  <c r="D140" i="7"/>
  <c r="AN139" i="7"/>
  <c r="AG139" i="7"/>
  <c r="W139" i="7"/>
  <c r="V139" i="7"/>
  <c r="F139" i="7"/>
  <c r="D139" i="7"/>
  <c r="AN138" i="7"/>
  <c r="AI138" i="7"/>
  <c r="AG138" i="7"/>
  <c r="Y138" i="7"/>
  <c r="Z138" i="7" s="1"/>
  <c r="F138" i="7"/>
  <c r="D138" i="7"/>
  <c r="AN137" i="7"/>
  <c r="AG137" i="7"/>
  <c r="W137" i="7"/>
  <c r="V137" i="7"/>
  <c r="AI137" i="7" s="1"/>
  <c r="F137" i="7"/>
  <c r="D137" i="7"/>
  <c r="AN136" i="7"/>
  <c r="AI136" i="7"/>
  <c r="AG136" i="7"/>
  <c r="Y136" i="7"/>
  <c r="Z136" i="7" s="1"/>
  <c r="F136" i="7"/>
  <c r="D136" i="7"/>
  <c r="AN135" i="7"/>
  <c r="AI135" i="7"/>
  <c r="AG135" i="7"/>
  <c r="Y135" i="7"/>
  <c r="Z135" i="7" s="1"/>
  <c r="AA135" i="7" s="1"/>
  <c r="F135" i="7"/>
  <c r="D135" i="7"/>
  <c r="AN134" i="7"/>
  <c r="AG134" i="7"/>
  <c r="W134" i="7"/>
  <c r="V134" i="7"/>
  <c r="AI134" i="7" s="1"/>
  <c r="F134" i="7"/>
  <c r="D134" i="7"/>
  <c r="AN133" i="7"/>
  <c r="AI133" i="7"/>
  <c r="AG133" i="7"/>
  <c r="Y133" i="7"/>
  <c r="Z133" i="7" s="1"/>
  <c r="F133" i="7"/>
  <c r="D133" i="7"/>
  <c r="AN132" i="7"/>
  <c r="AI132" i="7"/>
  <c r="AG132" i="7"/>
  <c r="Y132" i="7"/>
  <c r="Z132" i="7" s="1"/>
  <c r="F132" i="7"/>
  <c r="D132" i="7"/>
  <c r="AN131" i="7"/>
  <c r="AG131" i="7"/>
  <c r="W131" i="7"/>
  <c r="V131" i="7"/>
  <c r="AI131" i="7" s="1"/>
  <c r="F131" i="7"/>
  <c r="D131" i="7"/>
  <c r="AN130" i="7"/>
  <c r="AG130" i="7"/>
  <c r="W130" i="7"/>
  <c r="V130" i="7"/>
  <c r="F130" i="7"/>
  <c r="D130" i="7"/>
  <c r="AN129" i="7"/>
  <c r="AG129" i="7"/>
  <c r="W129" i="7"/>
  <c r="V129" i="7"/>
  <c r="AI129" i="7" s="1"/>
  <c r="F129" i="7"/>
  <c r="D129" i="7"/>
  <c r="AN128" i="7"/>
  <c r="W128" i="7"/>
  <c r="V128" i="7"/>
  <c r="F128" i="7"/>
  <c r="D128" i="7"/>
  <c r="AN127" i="7"/>
  <c r="V127" i="7"/>
  <c r="Y127" i="7" s="1"/>
  <c r="Z127" i="7" s="1"/>
  <c r="AH127" i="7" s="1"/>
  <c r="F127" i="7"/>
  <c r="D127" i="7"/>
  <c r="AN126" i="7"/>
  <c r="AI126" i="7"/>
  <c r="AG126" i="7"/>
  <c r="Y126" i="7"/>
  <c r="Z126" i="7" s="1"/>
  <c r="F126" i="7"/>
  <c r="D126" i="7"/>
  <c r="AN125" i="7"/>
  <c r="AG125" i="7"/>
  <c r="W125" i="7"/>
  <c r="V125" i="7"/>
  <c r="AI125" i="7" s="1"/>
  <c r="F125" i="7"/>
  <c r="D125" i="7"/>
  <c r="AN124" i="7"/>
  <c r="AI124" i="7"/>
  <c r="AG124" i="7"/>
  <c r="Y124" i="7"/>
  <c r="Z124" i="7" s="1"/>
  <c r="F124" i="7"/>
  <c r="D124" i="7"/>
  <c r="AN123" i="7"/>
  <c r="AI123" i="7"/>
  <c r="AG123" i="7"/>
  <c r="Y123" i="7"/>
  <c r="Z123" i="7" s="1"/>
  <c r="F123" i="7"/>
  <c r="D123" i="7"/>
  <c r="AN122" i="7"/>
  <c r="AI122" i="7"/>
  <c r="AG122" i="7"/>
  <c r="Y122" i="7"/>
  <c r="Z122" i="7" s="1"/>
  <c r="F122" i="7"/>
  <c r="D122" i="7"/>
  <c r="AN121" i="7"/>
  <c r="AG121" i="7"/>
  <c r="W121" i="7"/>
  <c r="V121" i="7"/>
  <c r="AI121" i="7" s="1"/>
  <c r="F121" i="7"/>
  <c r="D121" i="7"/>
  <c r="AN120" i="7"/>
  <c r="AG120" i="7"/>
  <c r="X120" i="7"/>
  <c r="W120" i="7"/>
  <c r="V120" i="7"/>
  <c r="AI120" i="7" s="1"/>
  <c r="F120" i="7"/>
  <c r="D120" i="7"/>
  <c r="AN119" i="7"/>
  <c r="AI119" i="7"/>
  <c r="AG119" i="7"/>
  <c r="W119" i="7"/>
  <c r="Y119" i="7" s="1"/>
  <c r="Z119" i="7" s="1"/>
  <c r="F119" i="7"/>
  <c r="D119" i="7"/>
  <c r="AN118" i="7"/>
  <c r="AM118" i="7"/>
  <c r="F118" i="7"/>
  <c r="D118" i="7"/>
  <c r="AN117" i="7"/>
  <c r="AI117" i="7"/>
  <c r="AG117" i="7"/>
  <c r="W117" i="7"/>
  <c r="Y117" i="7" s="1"/>
  <c r="Z117" i="7" s="1"/>
  <c r="F117" i="7"/>
  <c r="D117" i="7"/>
  <c r="AN116" i="7"/>
  <c r="AG116" i="7"/>
  <c r="V116" i="7"/>
  <c r="F116" i="7"/>
  <c r="D116" i="7"/>
  <c r="AN115" i="7"/>
  <c r="AI115" i="7"/>
  <c r="AG115" i="7"/>
  <c r="X115" i="7"/>
  <c r="Y115" i="7" s="1"/>
  <c r="Z115" i="7" s="1"/>
  <c r="F115" i="7"/>
  <c r="D115" i="7"/>
  <c r="AN114" i="7"/>
  <c r="AG114" i="7"/>
  <c r="X114" i="7"/>
  <c r="V114" i="7"/>
  <c r="AI114" i="7" s="1"/>
  <c r="F114" i="7"/>
  <c r="D114" i="7"/>
  <c r="AN113" i="7"/>
  <c r="AG113" i="7"/>
  <c r="X113" i="7"/>
  <c r="V113" i="7"/>
  <c r="F113" i="7"/>
  <c r="D113" i="7"/>
  <c r="AN112" i="7"/>
  <c r="AI112" i="7"/>
  <c r="AG112" i="7"/>
  <c r="W112" i="7"/>
  <c r="Y112" i="7" s="1"/>
  <c r="Z112" i="7" s="1"/>
  <c r="F112" i="7"/>
  <c r="D112" i="7"/>
  <c r="AN111" i="7"/>
  <c r="AI111" i="7"/>
  <c r="AG111" i="7"/>
  <c r="W111" i="7"/>
  <c r="Y111" i="7" s="1"/>
  <c r="Z111" i="7" s="1"/>
  <c r="F111" i="7"/>
  <c r="D111" i="7"/>
  <c r="AN110" i="7"/>
  <c r="AI110" i="7"/>
  <c r="AG110" i="7"/>
  <c r="W110" i="7"/>
  <c r="Y110" i="7" s="1"/>
  <c r="Z110" i="7" s="1"/>
  <c r="F110" i="7"/>
  <c r="D110" i="7"/>
  <c r="AN109" i="7"/>
  <c r="AI109" i="7"/>
  <c r="AG109" i="7"/>
  <c r="X109" i="7"/>
  <c r="Y109" i="7" s="1"/>
  <c r="Z109" i="7" s="1"/>
  <c r="F109" i="7"/>
  <c r="D109" i="7"/>
  <c r="AN108" i="7"/>
  <c r="AI108" i="7"/>
  <c r="AG108" i="7"/>
  <c r="Y108" i="7"/>
  <c r="Z108" i="7" s="1"/>
  <c r="F108" i="7"/>
  <c r="D108" i="7"/>
  <c r="AN107" i="7"/>
  <c r="AG107" i="7"/>
  <c r="X107" i="7"/>
  <c r="V107" i="7"/>
  <c r="AI107" i="7" s="1"/>
  <c r="F107" i="7"/>
  <c r="D107" i="7"/>
  <c r="AN106" i="7"/>
  <c r="AG106" i="7"/>
  <c r="W106" i="7"/>
  <c r="V106" i="7"/>
  <c r="F106" i="7"/>
  <c r="D106" i="7"/>
  <c r="AN105" i="7"/>
  <c r="AG105" i="7"/>
  <c r="V105" i="7"/>
  <c r="AI105" i="7" s="1"/>
  <c r="F105" i="7"/>
  <c r="D105" i="7"/>
  <c r="AN104" i="7"/>
  <c r="AI104" i="7"/>
  <c r="AG104" i="7"/>
  <c r="Y104" i="7"/>
  <c r="Z104" i="7" s="1"/>
  <c r="AC104" i="7" s="1"/>
  <c r="F104" i="7"/>
  <c r="D104" i="7"/>
  <c r="AN103" i="7"/>
  <c r="AG103" i="7"/>
  <c r="X103" i="7"/>
  <c r="V103" i="7"/>
  <c r="F103" i="7"/>
  <c r="D103" i="7"/>
  <c r="AN102" i="7"/>
  <c r="AG102" i="7"/>
  <c r="X102" i="7"/>
  <c r="V102" i="7"/>
  <c r="AI102" i="7" s="1"/>
  <c r="F102" i="7"/>
  <c r="D102" i="7"/>
  <c r="AN101" i="7"/>
  <c r="AI101" i="7"/>
  <c r="AG101" i="7"/>
  <c r="Y101" i="7"/>
  <c r="Z101" i="7" s="1"/>
  <c r="F101" i="7"/>
  <c r="D101" i="7"/>
  <c r="AN100" i="7"/>
  <c r="AI100" i="7"/>
  <c r="AG100" i="7"/>
  <c r="Y100" i="7"/>
  <c r="Z100" i="7" s="1"/>
  <c r="F100" i="7"/>
  <c r="D100" i="7"/>
  <c r="AN99" i="7"/>
  <c r="AI99" i="7"/>
  <c r="AG99" i="7"/>
  <c r="AC99" i="7"/>
  <c r="X99" i="7"/>
  <c r="W99" i="7"/>
  <c r="F99" i="7"/>
  <c r="D99" i="7"/>
  <c r="AN98" i="7"/>
  <c r="AG98" i="7"/>
  <c r="W98" i="7"/>
  <c r="V98" i="7"/>
  <c r="AI98" i="7" s="1"/>
  <c r="F98" i="7"/>
  <c r="D98" i="7"/>
  <c r="AN97" i="7"/>
  <c r="AI97" i="7"/>
  <c r="AG97" i="7"/>
  <c r="W97" i="7"/>
  <c r="Y97" i="7" s="1"/>
  <c r="Z97" i="7" s="1"/>
  <c r="F97" i="7"/>
  <c r="D97" i="7"/>
  <c r="AN96" i="7"/>
  <c r="AI96" i="7"/>
  <c r="AG96" i="7"/>
  <c r="W96" i="7"/>
  <c r="Y96" i="7" s="1"/>
  <c r="Z96" i="7" s="1"/>
  <c r="F96" i="7"/>
  <c r="D96" i="7"/>
  <c r="AN95" i="7"/>
  <c r="AI95" i="7"/>
  <c r="AG95" i="7"/>
  <c r="W95" i="7"/>
  <c r="Y95" i="7" s="1"/>
  <c r="Z95" i="7" s="1"/>
  <c r="F95" i="7"/>
  <c r="D95" i="7"/>
  <c r="AN94" i="7"/>
  <c r="AI94" i="7"/>
  <c r="AG94" i="7"/>
  <c r="X94" i="7"/>
  <c r="W94" i="7"/>
  <c r="F94" i="7"/>
  <c r="D94" i="7"/>
  <c r="AN93" i="7"/>
  <c r="AG93" i="7"/>
  <c r="X93" i="7"/>
  <c r="V93" i="7"/>
  <c r="AI93" i="7" s="1"/>
  <c r="F93" i="7"/>
  <c r="D93" i="7"/>
  <c r="AN92" i="7"/>
  <c r="AG92" i="7"/>
  <c r="X92" i="7"/>
  <c r="V92" i="7"/>
  <c r="AI92" i="7" s="1"/>
  <c r="F92" i="7"/>
  <c r="D92" i="7"/>
  <c r="AN91" i="7"/>
  <c r="AG91" i="7"/>
  <c r="V91" i="7"/>
  <c r="F91" i="7"/>
  <c r="D91" i="7"/>
  <c r="AN90" i="7"/>
  <c r="AI90" i="7"/>
  <c r="AG90" i="7"/>
  <c r="W90" i="7"/>
  <c r="Y90" i="7" s="1"/>
  <c r="Z90" i="7" s="1"/>
  <c r="AC90" i="7" s="1"/>
  <c r="F90" i="7"/>
  <c r="D90" i="7"/>
  <c r="AN89" i="7"/>
  <c r="AG89" i="7"/>
  <c r="V89" i="7"/>
  <c r="Y89" i="7" s="1"/>
  <c r="Z89" i="7" s="1"/>
  <c r="AA89" i="7" s="1"/>
  <c r="F89" i="7"/>
  <c r="D89" i="7"/>
  <c r="AN88" i="7"/>
  <c r="AI88" i="7"/>
  <c r="AG88" i="7"/>
  <c r="W88" i="7"/>
  <c r="Y88" i="7" s="1"/>
  <c r="Z88" i="7" s="1"/>
  <c r="F88" i="7"/>
  <c r="D88" i="7"/>
  <c r="AN87" i="7"/>
  <c r="AI87" i="7"/>
  <c r="AG87" i="7"/>
  <c r="Y87" i="7"/>
  <c r="Z87" i="7" s="1"/>
  <c r="F87" i="7"/>
  <c r="D87" i="7"/>
  <c r="AN86" i="7"/>
  <c r="AG86" i="7"/>
  <c r="V86" i="7"/>
  <c r="AI86" i="7" s="1"/>
  <c r="F86" i="7"/>
  <c r="D86" i="7"/>
  <c r="AN85" i="7"/>
  <c r="AG85" i="7"/>
  <c r="V85" i="7"/>
  <c r="AC85" i="7" s="1"/>
  <c r="F85" i="7"/>
  <c r="D85" i="7"/>
  <c r="AN84" i="7"/>
  <c r="AG84" i="7"/>
  <c r="V84" i="7"/>
  <c r="AI84" i="7" s="1"/>
  <c r="F84" i="7"/>
  <c r="D84" i="7"/>
  <c r="AN83" i="7"/>
  <c r="AI83" i="7"/>
  <c r="AG83" i="7"/>
  <c r="W83" i="7"/>
  <c r="Y83" i="7" s="1"/>
  <c r="Z83" i="7" s="1"/>
  <c r="F83" i="7"/>
  <c r="D83" i="7"/>
  <c r="AN82" i="7"/>
  <c r="AG82" i="7"/>
  <c r="X82" i="7"/>
  <c r="V82" i="7"/>
  <c r="AI82" i="7" s="1"/>
  <c r="F82" i="7"/>
  <c r="D82" i="7"/>
  <c r="AN81" i="7"/>
  <c r="AI81" i="7"/>
  <c r="AG81" i="7"/>
  <c r="W81" i="7"/>
  <c r="Y81" i="7" s="1"/>
  <c r="Z81" i="7" s="1"/>
  <c r="F81" i="7"/>
  <c r="D81" i="7"/>
  <c r="AN80" i="7"/>
  <c r="AI80" i="7"/>
  <c r="AG80" i="7"/>
  <c r="Y80" i="7"/>
  <c r="Z80" i="7" s="1"/>
  <c r="F80" i="7"/>
  <c r="D80" i="7"/>
  <c r="AN79" i="7"/>
  <c r="AI79" i="7"/>
  <c r="AG79" i="7"/>
  <c r="Y79" i="7"/>
  <c r="Z79" i="7" s="1"/>
  <c r="F79" i="7"/>
  <c r="D79" i="7"/>
  <c r="AN78" i="7"/>
  <c r="AI78" i="7"/>
  <c r="AG78" i="7"/>
  <c r="X78" i="7"/>
  <c r="W78" i="7"/>
  <c r="F78" i="7"/>
  <c r="D78" i="7"/>
  <c r="AN77" i="7"/>
  <c r="AG77" i="7"/>
  <c r="W77" i="7"/>
  <c r="V77" i="7"/>
  <c r="AI77" i="7" s="1"/>
  <c r="F77" i="7"/>
  <c r="D77" i="7"/>
  <c r="AN76" i="7"/>
  <c r="AI76" i="7"/>
  <c r="AG76" i="7"/>
  <c r="Y76" i="7"/>
  <c r="Z76" i="7" s="1"/>
  <c r="F76" i="7"/>
  <c r="D76" i="7"/>
  <c r="AN75" i="7"/>
  <c r="AI75" i="7"/>
  <c r="AG75" i="7"/>
  <c r="Y75" i="7"/>
  <c r="Z75" i="7" s="1"/>
  <c r="F75" i="7"/>
  <c r="D75" i="7"/>
  <c r="AN74" i="7"/>
  <c r="AG74" i="7"/>
  <c r="W74" i="7"/>
  <c r="V74" i="7"/>
  <c r="AI74" i="7" s="1"/>
  <c r="F74" i="7"/>
  <c r="D74" i="7"/>
  <c r="AN73" i="7"/>
  <c r="AI73" i="7"/>
  <c r="AG73" i="7"/>
  <c r="W73" i="7"/>
  <c r="Y73" i="7" s="1"/>
  <c r="Z73" i="7" s="1"/>
  <c r="F73" i="7"/>
  <c r="D73" i="7"/>
  <c r="AN72" i="7"/>
  <c r="AI72" i="7"/>
  <c r="AG72" i="7"/>
  <c r="W72" i="7"/>
  <c r="Y72" i="7" s="1"/>
  <c r="Z72" i="7" s="1"/>
  <c r="F72" i="7"/>
  <c r="D72" i="7"/>
  <c r="AN71" i="7"/>
  <c r="AI71" i="7"/>
  <c r="AG71" i="7"/>
  <c r="AC71" i="7"/>
  <c r="W71" i="7"/>
  <c r="Y71" i="7" s="1"/>
  <c r="Z71" i="7" s="1"/>
  <c r="F71" i="7"/>
  <c r="D71" i="7"/>
  <c r="AN70" i="7"/>
  <c r="AM70" i="7"/>
  <c r="F70" i="7"/>
  <c r="D70" i="7"/>
  <c r="AN69" i="7"/>
  <c r="AG69" i="7"/>
  <c r="W69" i="7"/>
  <c r="V69" i="7"/>
  <c r="AI69" i="7" s="1"/>
  <c r="F69" i="7"/>
  <c r="D69" i="7"/>
  <c r="AN68" i="7"/>
  <c r="AI68" i="7"/>
  <c r="AG68" i="7"/>
  <c r="W68" i="7"/>
  <c r="Y68" i="7" s="1"/>
  <c r="Z68" i="7" s="1"/>
  <c r="F68" i="7"/>
  <c r="D68" i="7"/>
  <c r="AN67" i="7"/>
  <c r="AI67" i="7"/>
  <c r="AG67" i="7"/>
  <c r="Y67" i="7"/>
  <c r="Z67" i="7" s="1"/>
  <c r="F67" i="7"/>
  <c r="D67" i="7"/>
  <c r="AN66" i="7"/>
  <c r="AI66" i="7"/>
  <c r="AG66" i="7"/>
  <c r="Y66" i="7"/>
  <c r="Z66" i="7" s="1"/>
  <c r="F66" i="7"/>
  <c r="D66" i="7"/>
  <c r="AN65" i="7"/>
  <c r="AI65" i="7"/>
  <c r="AG65" i="7"/>
  <c r="Y65" i="7"/>
  <c r="Z65" i="7" s="1"/>
  <c r="F65" i="7"/>
  <c r="D65" i="7"/>
  <c r="AN64" i="7"/>
  <c r="AG64" i="7"/>
  <c r="V64" i="7"/>
  <c r="Y64" i="7" s="1"/>
  <c r="Z64" i="7" s="1"/>
  <c r="F64" i="7"/>
  <c r="D64" i="7"/>
  <c r="AN63" i="7"/>
  <c r="AI63" i="7"/>
  <c r="AG63" i="7"/>
  <c r="Y63" i="7"/>
  <c r="Z63" i="7" s="1"/>
  <c r="F63" i="7"/>
  <c r="D63" i="7"/>
  <c r="AN62" i="7"/>
  <c r="AI62" i="7"/>
  <c r="AG62" i="7"/>
  <c r="Y62" i="7"/>
  <c r="Z62" i="7" s="1"/>
  <c r="AC62" i="7" s="1"/>
  <c r="F62" i="7"/>
  <c r="D62" i="7"/>
  <c r="AN61" i="7"/>
  <c r="AG61" i="7"/>
  <c r="V61" i="7"/>
  <c r="F61" i="7"/>
  <c r="D61" i="7"/>
  <c r="AN60" i="7"/>
  <c r="AI60" i="7"/>
  <c r="AG60" i="7"/>
  <c r="X60" i="7"/>
  <c r="Y60" i="7" s="1"/>
  <c r="Z60" i="7" s="1"/>
  <c r="F60" i="7"/>
  <c r="D60" i="7"/>
  <c r="AN59" i="7"/>
  <c r="AG59" i="7"/>
  <c r="W59" i="7"/>
  <c r="V59" i="7"/>
  <c r="F59" i="7"/>
  <c r="D59" i="7"/>
  <c r="AN58" i="7"/>
  <c r="AI58" i="7"/>
  <c r="AG58" i="7"/>
  <c r="W58" i="7"/>
  <c r="Y58" i="7" s="1"/>
  <c r="Z58" i="7" s="1"/>
  <c r="F58" i="7"/>
  <c r="D58" i="7"/>
  <c r="AN57" i="7"/>
  <c r="AI57" i="7"/>
  <c r="AG57" i="7"/>
  <c r="W57" i="7"/>
  <c r="Y57" i="7" s="1"/>
  <c r="Z57" i="7" s="1"/>
  <c r="F57" i="7"/>
  <c r="D57" i="7"/>
  <c r="AN56" i="7"/>
  <c r="AI56" i="7"/>
  <c r="AG56" i="7"/>
  <c r="X56" i="7"/>
  <c r="Y56" i="7" s="1"/>
  <c r="Z56" i="7" s="1"/>
  <c r="F56" i="7"/>
  <c r="D56" i="7"/>
  <c r="AN55" i="7"/>
  <c r="AI55" i="7"/>
  <c r="AG55" i="7"/>
  <c r="Y55" i="7"/>
  <c r="Z55" i="7" s="1"/>
  <c r="AC55" i="7" s="1"/>
  <c r="F55" i="7"/>
  <c r="D55" i="7"/>
  <c r="AN54" i="7"/>
  <c r="AG54" i="7"/>
  <c r="W54" i="7"/>
  <c r="V54" i="7"/>
  <c r="AI54" i="7" s="1"/>
  <c r="F54" i="7"/>
  <c r="D54" i="7"/>
  <c r="AN53" i="7"/>
  <c r="AI53" i="7"/>
  <c r="AG53" i="7"/>
  <c r="Y53" i="7"/>
  <c r="Z53" i="7" s="1"/>
  <c r="F53" i="7"/>
  <c r="D53" i="7"/>
  <c r="AN52" i="7"/>
  <c r="AG52" i="7"/>
  <c r="W52" i="7"/>
  <c r="V52" i="7"/>
  <c r="AI52" i="7" s="1"/>
  <c r="F52" i="7"/>
  <c r="D52" i="7"/>
  <c r="AN51" i="7"/>
  <c r="AI51" i="7"/>
  <c r="AG51" i="7"/>
  <c r="Y51" i="7"/>
  <c r="Z51" i="7" s="1"/>
  <c r="F51" i="7"/>
  <c r="D51" i="7"/>
  <c r="AN50" i="7"/>
  <c r="AI50" i="7"/>
  <c r="AG50" i="7"/>
  <c r="X50" i="7"/>
  <c r="Y50" i="7" s="1"/>
  <c r="Z50" i="7" s="1"/>
  <c r="F50" i="7"/>
  <c r="D50" i="7"/>
  <c r="AN49" i="7"/>
  <c r="AI49" i="7"/>
  <c r="AG49" i="7"/>
  <c r="X49" i="7"/>
  <c r="W49" i="7"/>
  <c r="F49" i="7"/>
  <c r="D49" i="7"/>
  <c r="AN48" i="7"/>
  <c r="AI48" i="7"/>
  <c r="AG48" i="7"/>
  <c r="Y48" i="7"/>
  <c r="Z48" i="7" s="1"/>
  <c r="F48" i="7"/>
  <c r="D48" i="7"/>
  <c r="AN47" i="7"/>
  <c r="AI47" i="7"/>
  <c r="AG47" i="7"/>
  <c r="W47" i="7"/>
  <c r="Y47" i="7" s="1"/>
  <c r="Z47" i="7" s="1"/>
  <c r="F47" i="7"/>
  <c r="D47" i="7"/>
  <c r="AN46" i="7"/>
  <c r="AG46" i="7"/>
  <c r="X46" i="7"/>
  <c r="V46" i="7"/>
  <c r="AI46" i="7" s="1"/>
  <c r="F46" i="7"/>
  <c r="D46" i="7"/>
  <c r="AN45" i="7"/>
  <c r="AI45" i="7"/>
  <c r="AG45" i="7"/>
  <c r="X45" i="7"/>
  <c r="Y45" i="7" s="1"/>
  <c r="Z45" i="7" s="1"/>
  <c r="F45" i="7"/>
  <c r="D45" i="7"/>
  <c r="AN44" i="7"/>
  <c r="AI44" i="7"/>
  <c r="AG44" i="7"/>
  <c r="X44" i="7"/>
  <c r="Y44" i="7" s="1"/>
  <c r="Z44" i="7" s="1"/>
  <c r="F44" i="7"/>
  <c r="D44" i="7"/>
  <c r="AN43" i="7"/>
  <c r="AI43" i="7"/>
  <c r="AG43" i="7"/>
  <c r="W43" i="7"/>
  <c r="Y43" i="7" s="1"/>
  <c r="Z43" i="7" s="1"/>
  <c r="F43" i="7"/>
  <c r="D43" i="7"/>
  <c r="AN42" i="7"/>
  <c r="AG42" i="7"/>
  <c r="W42" i="7"/>
  <c r="V42" i="7"/>
  <c r="AI42" i="7" s="1"/>
  <c r="F42" i="7"/>
  <c r="D42" i="7"/>
  <c r="AN41" i="7"/>
  <c r="AI41" i="7"/>
  <c r="AG41" i="7"/>
  <c r="X41" i="7"/>
  <c r="W41" i="7"/>
  <c r="F41" i="7"/>
  <c r="D41" i="7"/>
  <c r="AN40" i="7"/>
  <c r="AI40" i="7"/>
  <c r="AG40" i="7"/>
  <c r="Y40" i="7"/>
  <c r="Z40" i="7" s="1"/>
  <c r="F40" i="7"/>
  <c r="D40" i="7"/>
  <c r="AN39" i="7"/>
  <c r="AI39" i="7"/>
  <c r="AG39" i="7"/>
  <c r="Y39" i="7"/>
  <c r="Z39" i="7" s="1"/>
  <c r="F39" i="7"/>
  <c r="D39" i="7"/>
  <c r="AN38" i="7"/>
  <c r="AI38" i="7"/>
  <c r="AG38" i="7"/>
  <c r="Y38" i="7"/>
  <c r="Z38" i="7" s="1"/>
  <c r="F38" i="7"/>
  <c r="D38" i="7"/>
  <c r="AN37" i="7"/>
  <c r="AG37" i="7"/>
  <c r="V37" i="7"/>
  <c r="F37" i="7"/>
  <c r="D37" i="7"/>
  <c r="AN36" i="7"/>
  <c r="AG36" i="7"/>
  <c r="X36" i="7"/>
  <c r="V36" i="7"/>
  <c r="AI36" i="7" s="1"/>
  <c r="F36" i="7"/>
  <c r="D36" i="7"/>
  <c r="AN35" i="7"/>
  <c r="AG35" i="7"/>
  <c r="X35" i="7"/>
  <c r="V35" i="7"/>
  <c r="AI35" i="7" s="1"/>
  <c r="F35" i="7"/>
  <c r="D35" i="7"/>
  <c r="AN34" i="7"/>
  <c r="AG34" i="7"/>
  <c r="X34" i="7"/>
  <c r="V34" i="7"/>
  <c r="F34" i="7"/>
  <c r="D34" i="7"/>
  <c r="AN33" i="7"/>
  <c r="AI33" i="7"/>
  <c r="AG33" i="7"/>
  <c r="W33" i="7"/>
  <c r="Y33" i="7" s="1"/>
  <c r="Z33" i="7" s="1"/>
  <c r="F33" i="7"/>
  <c r="D33" i="7"/>
  <c r="AN32" i="7"/>
  <c r="AI32" i="7"/>
  <c r="AG32" i="7"/>
  <c r="X32" i="7"/>
  <c r="W32" i="7"/>
  <c r="F32" i="7"/>
  <c r="D32" i="7"/>
  <c r="AN31" i="7"/>
  <c r="AI31" i="7"/>
  <c r="AG31" i="7"/>
  <c r="Y31" i="7"/>
  <c r="Z31" i="7" s="1"/>
  <c r="F31" i="7"/>
  <c r="D31" i="7"/>
  <c r="AN30" i="7"/>
  <c r="AI30" i="7"/>
  <c r="AG30" i="7"/>
  <c r="W30" i="7"/>
  <c r="Y30" i="7" s="1"/>
  <c r="Z30" i="7" s="1"/>
  <c r="F30" i="7"/>
  <c r="D30" i="7"/>
  <c r="AN29" i="7"/>
  <c r="AI29" i="7"/>
  <c r="AG29" i="7"/>
  <c r="Y29" i="7"/>
  <c r="Z29" i="7" s="1"/>
  <c r="F29" i="7"/>
  <c r="D29" i="7"/>
  <c r="AN28" i="7"/>
  <c r="AI28" i="7"/>
  <c r="AG28" i="7"/>
  <c r="Y28" i="7"/>
  <c r="Z28" i="7" s="1"/>
  <c r="F28" i="7"/>
  <c r="D28" i="7"/>
  <c r="AN27" i="7"/>
  <c r="AG27" i="7"/>
  <c r="W27" i="7"/>
  <c r="V27" i="7"/>
  <c r="F27" i="7"/>
  <c r="D27" i="7"/>
  <c r="AN26" i="7"/>
  <c r="AG26" i="7"/>
  <c r="X26" i="7"/>
  <c r="W26" i="7"/>
  <c r="V26" i="7"/>
  <c r="AI26" i="7" s="1"/>
  <c r="F26" i="7"/>
  <c r="D26" i="7"/>
  <c r="AN25" i="7"/>
  <c r="AM25" i="7"/>
  <c r="F25" i="7"/>
  <c r="D25" i="7"/>
  <c r="AN24" i="7"/>
  <c r="AI24" i="7"/>
  <c r="AG24" i="7"/>
  <c r="X24" i="7"/>
  <c r="W24" i="7"/>
  <c r="F24" i="7"/>
  <c r="D24" i="7"/>
  <c r="AN23" i="7"/>
  <c r="AG23" i="7"/>
  <c r="V23" i="7"/>
  <c r="Y23" i="7" s="1"/>
  <c r="Z23" i="7" s="1"/>
  <c r="AA23" i="7" s="1"/>
  <c r="F23" i="7"/>
  <c r="D23" i="7"/>
  <c r="AN22" i="7"/>
  <c r="AI22" i="7"/>
  <c r="AG22" i="7"/>
  <c r="W22" i="7"/>
  <c r="Y22" i="7" s="1"/>
  <c r="Z22" i="7" s="1"/>
  <c r="F22" i="7"/>
  <c r="D22" i="7"/>
  <c r="AN21" i="7"/>
  <c r="AI21" i="7"/>
  <c r="AG21" i="7"/>
  <c r="W21" i="7"/>
  <c r="Y21" i="7" s="1"/>
  <c r="Z21" i="7" s="1"/>
  <c r="AC21" i="7" s="1"/>
  <c r="F21" i="7"/>
  <c r="D21" i="7"/>
  <c r="AN20" i="7"/>
  <c r="AI20" i="7"/>
  <c r="AG20" i="7"/>
  <c r="W20" i="7"/>
  <c r="Y20" i="7" s="1"/>
  <c r="Z20" i="7" s="1"/>
  <c r="F20" i="7"/>
  <c r="D20" i="7"/>
  <c r="AN19" i="7"/>
  <c r="AI19" i="7"/>
  <c r="AG19" i="7"/>
  <c r="Y19" i="7"/>
  <c r="Z19" i="7" s="1"/>
  <c r="F19" i="7"/>
  <c r="D19" i="7"/>
  <c r="AN18" i="7"/>
  <c r="AI18" i="7"/>
  <c r="AG18" i="7"/>
  <c r="W18" i="7"/>
  <c r="Y18" i="7" s="1"/>
  <c r="Z18" i="7" s="1"/>
  <c r="F18" i="7"/>
  <c r="D18" i="7"/>
  <c r="AN17" i="7"/>
  <c r="AI17" i="7"/>
  <c r="AG17" i="7"/>
  <c r="Y17" i="7"/>
  <c r="Z17" i="7" s="1"/>
  <c r="F17" i="7"/>
  <c r="D17" i="7"/>
  <c r="AN16" i="7"/>
  <c r="AI16" i="7"/>
  <c r="AG16" i="7"/>
  <c r="Y16" i="7"/>
  <c r="Z16" i="7" s="1"/>
  <c r="AA16" i="7" s="1"/>
  <c r="F16" i="7"/>
  <c r="D16" i="7"/>
  <c r="AN15" i="7"/>
  <c r="AI15" i="7"/>
  <c r="AG15" i="7"/>
  <c r="W15" i="7"/>
  <c r="Y15" i="7" s="1"/>
  <c r="Z15" i="7" s="1"/>
  <c r="F15" i="7"/>
  <c r="D15" i="7"/>
  <c r="AN14" i="7"/>
  <c r="AI14" i="7"/>
  <c r="AG14" i="7"/>
  <c r="AC14" i="7"/>
  <c r="Y14" i="7"/>
  <c r="Z14" i="7" s="1"/>
  <c r="F14" i="7"/>
  <c r="D14" i="7"/>
  <c r="AN13" i="7"/>
  <c r="AI13" i="7"/>
  <c r="AG13" i="7"/>
  <c r="W13" i="7"/>
  <c r="Y13" i="7" s="1"/>
  <c r="Z13" i="7" s="1"/>
  <c r="F13" i="7"/>
  <c r="D13" i="7"/>
  <c r="AN12" i="7"/>
  <c r="AI12" i="7"/>
  <c r="AG12" i="7"/>
  <c r="W12" i="7"/>
  <c r="Y12" i="7" s="1"/>
  <c r="Z12" i="7" s="1"/>
  <c r="F12" i="7"/>
  <c r="D12" i="7"/>
  <c r="AN11" i="7"/>
  <c r="AG11" i="7"/>
  <c r="W11" i="7"/>
  <c r="V11" i="7"/>
  <c r="AI11" i="7" s="1"/>
  <c r="F11" i="7"/>
  <c r="D11" i="7"/>
  <c r="AN10" i="7"/>
  <c r="AG10" i="7"/>
  <c r="V10" i="7"/>
  <c r="F10" i="7"/>
  <c r="D10" i="7"/>
  <c r="AN9" i="7"/>
  <c r="AI9" i="7"/>
  <c r="AG9" i="7"/>
  <c r="W9" i="7"/>
  <c r="Y9" i="7" s="1"/>
  <c r="Z9" i="7" s="1"/>
  <c r="F9" i="7"/>
  <c r="D9" i="7"/>
  <c r="AN8" i="7"/>
  <c r="AI8" i="7"/>
  <c r="AG8" i="7"/>
  <c r="Y8" i="7"/>
  <c r="Z8" i="7" s="1"/>
  <c r="F8" i="7"/>
  <c r="D8" i="7"/>
  <c r="AN7" i="7"/>
  <c r="AI7" i="7"/>
  <c r="AG7" i="7"/>
  <c r="AC7" i="7"/>
  <c r="Y7" i="7"/>
  <c r="Z7" i="7" s="1"/>
  <c r="F7" i="7"/>
  <c r="D7" i="7"/>
  <c r="AN6" i="7"/>
  <c r="AM6" i="7"/>
  <c r="F6" i="7"/>
  <c r="D6" i="7"/>
  <c r="AN5" i="7"/>
  <c r="AM5" i="7"/>
  <c r="F5" i="7"/>
  <c r="D5" i="7"/>
  <c r="AG81" i="4"/>
  <c r="AF77" i="4"/>
  <c r="W135" i="4"/>
  <c r="X135" i="4" s="1"/>
  <c r="AG136" i="4"/>
  <c r="W164" i="4"/>
  <c r="X164" i="4"/>
  <c r="Y164" i="4" s="1"/>
  <c r="J11" i="12"/>
  <c r="J3" i="12"/>
  <c r="J9" i="12" s="1"/>
  <c r="V20" i="9"/>
  <c r="W20" i="9" s="1"/>
  <c r="AJ20" i="9" s="1"/>
  <c r="E17" i="8"/>
  <c r="W139" i="4"/>
  <c r="X139" i="4"/>
  <c r="AG57" i="4"/>
  <c r="W184" i="4"/>
  <c r="X184" i="4" s="1"/>
  <c r="AC184" i="4" s="1"/>
  <c r="AD184" i="4" s="1"/>
  <c r="W130" i="4"/>
  <c r="X130" i="4"/>
  <c r="AF130" i="4"/>
  <c r="W112" i="4"/>
  <c r="X112" i="4"/>
  <c r="AC112" i="4" s="1"/>
  <c r="AD112" i="4" s="1"/>
  <c r="AF150" i="4"/>
  <c r="W155" i="4"/>
  <c r="X155" i="4"/>
  <c r="AC155" i="4"/>
  <c r="AD155" i="4" s="1"/>
  <c r="AF160" i="4"/>
  <c r="W7" i="4"/>
  <c r="X7" i="4" s="1"/>
  <c r="AG13" i="4"/>
  <c r="W161" i="4"/>
  <c r="X161" i="4"/>
  <c r="AC161" i="4"/>
  <c r="AD161" i="4" s="1"/>
  <c r="W171" i="4"/>
  <c r="X171" i="4" s="1"/>
  <c r="V16" i="9"/>
  <c r="W16" i="9"/>
  <c r="AJ16" i="9" s="1"/>
  <c r="AF8" i="9"/>
  <c r="AG182" i="4"/>
  <c r="AF188" i="4"/>
  <c r="AF17" i="9"/>
  <c r="AF131" i="4"/>
  <c r="AF73" i="4"/>
  <c r="AA73" i="4"/>
  <c r="Y73" i="4"/>
  <c r="W60" i="4"/>
  <c r="X60" i="4" s="1"/>
  <c r="AA60" i="4"/>
  <c r="W162" i="4"/>
  <c r="X162" i="4"/>
  <c r="V5" i="9"/>
  <c r="W5" i="9"/>
  <c r="AJ5" i="9"/>
  <c r="W75" i="4"/>
  <c r="X75" i="4"/>
  <c r="AC75" i="4" s="1"/>
  <c r="AD75" i="4" s="1"/>
  <c r="AG101" i="4"/>
  <c r="Z8" i="9"/>
  <c r="AG191" i="4"/>
  <c r="J5" i="12"/>
  <c r="V19" i="9"/>
  <c r="W19" i="9" s="1"/>
  <c r="AJ19" i="9" s="1"/>
  <c r="W113" i="4"/>
  <c r="X113" i="4"/>
  <c r="AC113" i="4"/>
  <c r="AD113" i="4"/>
  <c r="AF144" i="4"/>
  <c r="W159" i="4"/>
  <c r="X159" i="4" s="1"/>
  <c r="AC159" i="4" s="1"/>
  <c r="AD159" i="4" s="1"/>
  <c r="W163" i="4"/>
  <c r="X163" i="4"/>
  <c r="AA163" i="4" s="1"/>
  <c r="W173" i="4"/>
  <c r="X173" i="4" s="1"/>
  <c r="V12" i="9"/>
  <c r="W12" i="9" s="1"/>
  <c r="W72" i="4"/>
  <c r="X72" i="4"/>
  <c r="AF72" i="4"/>
  <c r="AG144" i="4"/>
  <c r="J6" i="12"/>
  <c r="E16" i="8"/>
  <c r="W9" i="4"/>
  <c r="X9" i="4" s="1"/>
  <c r="AF9" i="4" s="1"/>
  <c r="W175" i="4"/>
  <c r="X175" i="4" s="1"/>
  <c r="V13" i="9"/>
  <c r="W13" i="9" s="1"/>
  <c r="Z13" i="9"/>
  <c r="W140" i="4"/>
  <c r="X140" i="4"/>
  <c r="AA140" i="4" s="1"/>
  <c r="W190" i="4"/>
  <c r="X190" i="4" s="1"/>
  <c r="AF54" i="4"/>
  <c r="AF126" i="4"/>
  <c r="AC74" i="4"/>
  <c r="AD74" i="4" s="1"/>
  <c r="AF11" i="4"/>
  <c r="AF85" i="4"/>
  <c r="AC85" i="4"/>
  <c r="AD85" i="4"/>
  <c r="AC178" i="4"/>
  <c r="AD178" i="4" s="1"/>
  <c r="AF114" i="4"/>
  <c r="AC114" i="4"/>
  <c r="AD114" i="4" s="1"/>
  <c r="AC118" i="4"/>
  <c r="AD118" i="4"/>
  <c r="AA118" i="4"/>
  <c r="Z14" i="9"/>
  <c r="V14" i="9"/>
  <c r="W14" i="9"/>
  <c r="AE14" i="9" s="1"/>
  <c r="AF14" i="9"/>
  <c r="Z16" i="9"/>
  <c r="AF164" i="4"/>
  <c r="AA158" i="4"/>
  <c r="AC158" i="4"/>
  <c r="AD158" i="4" s="1"/>
  <c r="Z9" i="9"/>
  <c r="AF9" i="9"/>
  <c r="Y172" i="4"/>
  <c r="AJ11" i="9"/>
  <c r="J4" i="12"/>
  <c r="V15" i="9"/>
  <c r="W15" i="9" s="1"/>
  <c r="AE15" i="9" s="1"/>
  <c r="AF15" i="9"/>
  <c r="AF14" i="4"/>
  <c r="AC14" i="4"/>
  <c r="AD14" i="4" s="1"/>
  <c r="Y14" i="4"/>
  <c r="AF191" i="4"/>
  <c r="AC191" i="4"/>
  <c r="AD191" i="4"/>
  <c r="Z15" i="9"/>
  <c r="AF16" i="4"/>
  <c r="AF138" i="4"/>
  <c r="W168" i="4"/>
  <c r="X168" i="4"/>
  <c r="E18" i="8"/>
  <c r="AG67" i="4"/>
  <c r="AC73" i="4"/>
  <c r="AD73" i="4"/>
  <c r="AG107" i="4"/>
  <c r="AF177" i="4"/>
  <c r="V9" i="9"/>
  <c r="W9" i="9"/>
  <c r="AE9" i="9"/>
  <c r="E32" i="8"/>
  <c r="AF146" i="4"/>
  <c r="W192" i="4"/>
  <c r="X192" i="4"/>
  <c r="AF192" i="4"/>
  <c r="E33" i="8"/>
  <c r="AG60" i="4"/>
  <c r="AF104" i="4"/>
  <c r="I9" i="12"/>
  <c r="E34" i="8"/>
  <c r="AF76" i="4"/>
  <c r="W98" i="4"/>
  <c r="X98" i="4"/>
  <c r="AC98" i="4" s="1"/>
  <c r="AD98" i="4" s="1"/>
  <c r="W83" i="4"/>
  <c r="X83" i="4"/>
  <c r="AF83" i="4"/>
  <c r="AF89" i="4"/>
  <c r="W121" i="4"/>
  <c r="X121" i="4"/>
  <c r="AF121" i="4" s="1"/>
  <c r="W127" i="4"/>
  <c r="X127" i="4"/>
  <c r="AG130" i="4"/>
  <c r="W166" i="4"/>
  <c r="X166" i="4"/>
  <c r="AG175" i="4"/>
  <c r="W185" i="4"/>
  <c r="X185" i="4" s="1"/>
  <c r="AF185" i="4" s="1"/>
  <c r="AF118" i="4"/>
  <c r="AF124" i="4"/>
  <c r="AF172" i="4"/>
  <c r="AF182" i="4"/>
  <c r="W103" i="4"/>
  <c r="X103" i="4" s="1"/>
  <c r="AF103" i="4" s="1"/>
  <c r="W110" i="4"/>
  <c r="X110" i="4"/>
  <c r="AC110" i="4"/>
  <c r="AD110" i="4"/>
  <c r="AF100" i="4"/>
  <c r="AF189" i="4"/>
  <c r="Y1647" i="7"/>
  <c r="Z1647" i="7" s="1"/>
  <c r="AC1647" i="7" s="1"/>
  <c r="Y2331" i="7"/>
  <c r="Z2331" i="7" s="1"/>
  <c r="Y2921" i="7"/>
  <c r="Z2921" i="7" s="1"/>
  <c r="AA2921" i="7" s="1"/>
  <c r="Y2772" i="7"/>
  <c r="Z2772" i="7" s="1"/>
  <c r="Y2414" i="7"/>
  <c r="Z2414" i="7" s="1"/>
  <c r="Y2247" i="7"/>
  <c r="Z2247" i="7" s="1"/>
  <c r="AH2247" i="7" s="1"/>
  <c r="Y3540" i="7"/>
  <c r="Z3540" i="7" s="1"/>
  <c r="AA3540" i="7" s="1"/>
  <c r="Y2279" i="7"/>
  <c r="Z2279" i="7" s="1"/>
  <c r="Y3368" i="7"/>
  <c r="Z3368" i="7" s="1"/>
  <c r="AI3864" i="7"/>
  <c r="Y3075" i="7"/>
  <c r="Z3075" i="7" s="1"/>
  <c r="AA3075" i="7" s="1"/>
  <c r="Y2934" i="7"/>
  <c r="Z2934" i="7" s="1"/>
  <c r="AC2934" i="7" s="1"/>
  <c r="Y3305" i="7"/>
  <c r="Z3305" i="7" s="1"/>
  <c r="AE3305" i="7" s="1"/>
  <c r="AF3305" i="7" s="1"/>
  <c r="Y1514" i="7"/>
  <c r="Z1514" i="7" s="1"/>
  <c r="Y2889" i="7"/>
  <c r="Z2889" i="7" s="1"/>
  <c r="Y1740" i="7"/>
  <c r="Z1740" i="7" s="1"/>
  <c r="Y2275" i="7"/>
  <c r="Z2275" i="7" s="1"/>
  <c r="AA2275" i="7" s="1"/>
  <c r="Y2760" i="7"/>
  <c r="Z2760" i="7" s="1"/>
  <c r="AC2760" i="7" s="1"/>
  <c r="AI3743" i="7"/>
  <c r="Y3233" i="7"/>
  <c r="Z3233" i="7" s="1"/>
  <c r="AC3233" i="7" s="1"/>
  <c r="Y3489" i="7"/>
  <c r="Z3489" i="7" s="1"/>
  <c r="AE3489" i="7" s="1"/>
  <c r="AF3489" i="7" s="1"/>
  <c r="Y2180" i="7"/>
  <c r="Z2180" i="7" s="1"/>
  <c r="AI3646" i="7"/>
  <c r="AI3658" i="7"/>
  <c r="AI3595" i="7"/>
  <c r="Y3495" i="7"/>
  <c r="Z3495" i="7" s="1"/>
  <c r="Y3216" i="7"/>
  <c r="Z3216" i="7" s="1"/>
  <c r="AA3216" i="7" s="1"/>
  <c r="AI3548" i="7"/>
  <c r="AI3650" i="7"/>
  <c r="Y1746" i="7"/>
  <c r="Z1746" i="7" s="1"/>
  <c r="Y2908" i="7"/>
  <c r="Z2908" i="7" s="1"/>
  <c r="AA2908" i="7" s="1"/>
  <c r="Y3300" i="7"/>
  <c r="Z3300" i="7" s="1"/>
  <c r="AC3300" i="7" s="1"/>
  <c r="Y3641" i="7"/>
  <c r="Z3641" i="7" s="1"/>
  <c r="AM3641" i="7" s="1"/>
  <c r="Y3091" i="7"/>
  <c r="Z3091" i="7" s="1"/>
  <c r="Y3774" i="7"/>
  <c r="Z3774" i="7" s="1"/>
  <c r="Y3514" i="7"/>
  <c r="Z3514" i="7" s="1"/>
  <c r="AE3514" i="7" s="1"/>
  <c r="AF3514" i="7" s="1"/>
  <c r="AI2711" i="7"/>
  <c r="Y2192" i="7"/>
  <c r="Z2192" i="7" s="1"/>
  <c r="AM2192" i="7" s="1"/>
  <c r="Y2431" i="7"/>
  <c r="Z2431" i="7" s="1"/>
  <c r="AE2431" i="7" s="1"/>
  <c r="AF2431" i="7" s="1"/>
  <c r="Y3643" i="7"/>
  <c r="Z3643" i="7" s="1"/>
  <c r="AC3643" i="7" s="1"/>
  <c r="AI3694" i="7"/>
  <c r="Y2425" i="7"/>
  <c r="Z2425" i="7" s="1"/>
  <c r="AH2425" i="7" s="1"/>
  <c r="Y3375" i="7"/>
  <c r="Z3375" i="7" s="1"/>
  <c r="Y2942" i="7"/>
  <c r="Z2942" i="7" s="1"/>
  <c r="Y3176" i="7"/>
  <c r="Z3176" i="7" s="1"/>
  <c r="AC3176" i="7" s="1"/>
  <c r="Y3207" i="7"/>
  <c r="Z3207" i="7" s="1"/>
  <c r="Y2422" i="7"/>
  <c r="Z2422" i="7" s="1"/>
  <c r="Y3235" i="7"/>
  <c r="Z3235" i="7" s="1"/>
  <c r="AE3235" i="7" s="1"/>
  <c r="AF3235" i="7" s="1"/>
  <c r="AI3611" i="7"/>
  <c r="Y3693" i="7"/>
  <c r="Z3693" i="7" s="1"/>
  <c r="AC3693" i="7" s="1"/>
  <c r="Y2178" i="7"/>
  <c r="Z2178" i="7" s="1"/>
  <c r="Y3212" i="7"/>
  <c r="Z3212" i="7" s="1"/>
  <c r="Y3619" i="7"/>
  <c r="Z3619" i="7" s="1"/>
  <c r="AM3619" i="7" s="1"/>
  <c r="AI3640" i="7"/>
  <c r="Y3714" i="7"/>
  <c r="Z3714" i="7" s="1"/>
  <c r="AA3714" i="7" s="1"/>
  <c r="Y1620" i="7"/>
  <c r="Z1620" i="7" s="1"/>
  <c r="Y2263" i="7"/>
  <c r="Z2263" i="7" s="1"/>
  <c r="AC2263" i="7" s="1"/>
  <c r="Y3224" i="7"/>
  <c r="Z3224" i="7" s="1"/>
  <c r="AE3224" i="7" s="1"/>
  <c r="AF3224" i="7" s="1"/>
  <c r="Y3068" i="7"/>
  <c r="Z3068" i="7" s="1"/>
  <c r="Y3231" i="7"/>
  <c r="Z3231" i="7" s="1"/>
  <c r="AH3231" i="7" s="1"/>
  <c r="Y3509" i="7"/>
  <c r="Z3509" i="7" s="1"/>
  <c r="AC3509" i="7" s="1"/>
  <c r="AI3685" i="7"/>
  <c r="Y3862" i="7"/>
  <c r="Z3862" i="7" s="1"/>
  <c r="AC3862" i="7" s="1"/>
  <c r="AI2283" i="7"/>
  <c r="Y2215" i="7"/>
  <c r="Z2215" i="7" s="1"/>
  <c r="AE2215" i="7" s="1"/>
  <c r="AF2215" i="7" s="1"/>
  <c r="Y2671" i="7"/>
  <c r="Z2671" i="7" s="1"/>
  <c r="AA2671" i="7" s="1"/>
  <c r="Y3414" i="7"/>
  <c r="Z3414" i="7" s="1"/>
  <c r="AC3414" i="7" s="1"/>
  <c r="Y2277" i="7"/>
  <c r="Z2277" i="7" s="1"/>
  <c r="AC2277" i="7" s="1"/>
  <c r="AI2279" i="7"/>
  <c r="AM2300" i="7"/>
  <c r="Y2398" i="7"/>
  <c r="Z2398" i="7" s="1"/>
  <c r="AA2398" i="7" s="1"/>
  <c r="Y3365" i="7"/>
  <c r="Z3365" i="7" s="1"/>
  <c r="AC3365" i="7" s="1"/>
  <c r="AI3722" i="7"/>
  <c r="AI3742" i="7"/>
  <c r="Y2206" i="7"/>
  <c r="Z2206" i="7" s="1"/>
  <c r="AE2206" i="7" s="1"/>
  <c r="AF2206" i="7" s="1"/>
  <c r="Y2648" i="7"/>
  <c r="Z2648" i="7" s="1"/>
  <c r="Y3396" i="7"/>
  <c r="Z3396" i="7" s="1"/>
  <c r="AI1611" i="7"/>
  <c r="Y3082" i="7"/>
  <c r="Z3082" i="7" s="1"/>
  <c r="AC3082" i="7" s="1"/>
  <c r="AM3170" i="7"/>
  <c r="Y3229" i="7"/>
  <c r="Z3229" i="7" s="1"/>
  <c r="AM3229" i="7" s="1"/>
  <c r="AI2237" i="7"/>
  <c r="AI1707" i="7"/>
  <c r="Y2169" i="7"/>
  <c r="Z2169" i="7" s="1"/>
  <c r="AA2169" i="7" s="1"/>
  <c r="Y2547" i="7"/>
  <c r="Z2547" i="7" s="1"/>
  <c r="AC2547" i="7" s="1"/>
  <c r="Y3850" i="7"/>
  <c r="Z3850" i="7" s="1"/>
  <c r="Y3407" i="7"/>
  <c r="Z3407" i="7" s="1"/>
  <c r="AC3407" i="7" s="1"/>
  <c r="Y3567" i="7"/>
  <c r="Z3567" i="7" s="1"/>
  <c r="Y3592" i="7"/>
  <c r="Z3592" i="7" s="1"/>
  <c r="AA3592" i="7" s="1"/>
  <c r="AI2247" i="7"/>
  <c r="Y3487" i="7"/>
  <c r="Z3487" i="7" s="1"/>
  <c r="Y3582" i="7"/>
  <c r="Z3582" i="7" s="1"/>
  <c r="AM3582" i="7" s="1"/>
  <c r="Y2687" i="7"/>
  <c r="Z2687" i="7" s="1"/>
  <c r="AC2687" i="7" s="1"/>
  <c r="Y3438" i="7"/>
  <c r="Z3438" i="7" s="1"/>
  <c r="AC3438" i="7" s="1"/>
  <c r="AI1631" i="7"/>
  <c r="AI2147" i="7"/>
  <c r="Y3301" i="7"/>
  <c r="Z3301" i="7" s="1"/>
  <c r="AA3301" i="7" s="1"/>
  <c r="Y3310" i="7"/>
  <c r="Z3310" i="7" s="1"/>
  <c r="Y1473" i="7"/>
  <c r="Z1473" i="7" s="1"/>
  <c r="Y1689" i="7"/>
  <c r="Z1689" i="7" s="1"/>
  <c r="Y2193" i="7"/>
  <c r="Z2193" i="7" s="1"/>
  <c r="AC2193" i="7" s="1"/>
  <c r="Y2380" i="7"/>
  <c r="Z2380" i="7" s="1"/>
  <c r="AC2380" i="7" s="1"/>
  <c r="Y2396" i="7"/>
  <c r="Z2396" i="7" s="1"/>
  <c r="AA2396" i="7" s="1"/>
  <c r="Y2911" i="7"/>
  <c r="Z2911" i="7" s="1"/>
  <c r="AA2911" i="7" s="1"/>
  <c r="Y3248" i="7"/>
  <c r="Z3248" i="7" s="1"/>
  <c r="Y1513" i="7"/>
  <c r="Z1513" i="7" s="1"/>
  <c r="Y1963" i="7"/>
  <c r="Z1963" i="7" s="1"/>
  <c r="Y2255" i="7"/>
  <c r="Z2255" i="7" s="1"/>
  <c r="AE2255" i="7" s="1"/>
  <c r="AF2255" i="7" s="1"/>
  <c r="AI2275" i="7"/>
  <c r="Y2548" i="7"/>
  <c r="Z2548" i="7" s="1"/>
  <c r="AC2548" i="7" s="1"/>
  <c r="Y3499" i="7"/>
  <c r="Z3499" i="7" s="1"/>
  <c r="AA3499" i="7" s="1"/>
  <c r="Y2240" i="7"/>
  <c r="Z2240" i="7" s="1"/>
  <c r="AC2240" i="7" s="1"/>
  <c r="AI2760" i="7"/>
  <c r="Y2806" i="7"/>
  <c r="Z2806" i="7" s="1"/>
  <c r="AE2806" i="7" s="1"/>
  <c r="AF2806" i="7" s="1"/>
  <c r="Y3036" i="7"/>
  <c r="Z3036" i="7" s="1"/>
  <c r="AE3036" i="7" s="1"/>
  <c r="AF3036" i="7" s="1"/>
  <c r="Y2383" i="7"/>
  <c r="Z2383" i="7" s="1"/>
  <c r="AA2383" i="7" s="1"/>
  <c r="Y2260" i="7"/>
  <c r="Z2260" i="7" s="1"/>
  <c r="AE2260" i="7" s="1"/>
  <c r="AF2260" i="7" s="1"/>
  <c r="Y3434" i="7"/>
  <c r="Z3434" i="7" s="1"/>
  <c r="AM3434" i="7" s="1"/>
  <c r="AI3596" i="7"/>
  <c r="AI3776" i="7"/>
  <c r="AI1616" i="7"/>
  <c r="Y3147" i="7"/>
  <c r="Z3147" i="7" s="1"/>
  <c r="AA3147" i="7" s="1"/>
  <c r="Y3174" i="7"/>
  <c r="Z3174" i="7" s="1"/>
  <c r="AM3174" i="7" s="1"/>
  <c r="Y1570" i="7"/>
  <c r="Z1570" i="7" s="1"/>
  <c r="Y2771" i="7"/>
  <c r="Z2771" i="7" s="1"/>
  <c r="AA2771" i="7" s="1"/>
  <c r="AI1821" i="7"/>
  <c r="AC1502" i="7"/>
  <c r="AI2100" i="7"/>
  <c r="Y3581" i="7"/>
  <c r="Z3581" i="7" s="1"/>
  <c r="AC3581" i="7" s="1"/>
  <c r="Y2853" i="7"/>
  <c r="Z2853" i="7" s="1"/>
  <c r="AC2853" i="7" s="1"/>
  <c r="Y1572" i="7"/>
  <c r="Z1572" i="7" s="1"/>
  <c r="Y3859" i="7"/>
  <c r="Z3859" i="7" s="1"/>
  <c r="AE3859" i="7" s="1"/>
  <c r="AF3859" i="7" s="1"/>
  <c r="AI1626" i="7"/>
  <c r="Y1626" i="7"/>
  <c r="Z1626" i="7" s="1"/>
  <c r="Y2780" i="7"/>
  <c r="Z2780" i="7" s="1"/>
  <c r="AC2780" i="7" s="1"/>
  <c r="Y3085" i="7"/>
  <c r="Z3085" i="7" s="1"/>
  <c r="AE3085" i="7" s="1"/>
  <c r="AF3085" i="7" s="1"/>
  <c r="Y3094" i="7"/>
  <c r="Z3094" i="7" s="1"/>
  <c r="AE3094" i="7" s="1"/>
  <c r="AF3094" i="7" s="1"/>
  <c r="AI3789" i="7"/>
  <c r="AI3252" i="7"/>
  <c r="Y3252" i="7"/>
  <c r="Z3252" i="7" s="1"/>
  <c r="AC3252" i="7" s="1"/>
  <c r="Y3219" i="7"/>
  <c r="Z3219" i="7" s="1"/>
  <c r="AI3219" i="7"/>
  <c r="Y2782" i="7"/>
  <c r="Z2782" i="7" s="1"/>
  <c r="AH2782" i="7" s="1"/>
  <c r="Y2929" i="7"/>
  <c r="Z2929" i="7" s="1"/>
  <c r="Y2803" i="7"/>
  <c r="Z2803" i="7" s="1"/>
  <c r="AC2803" i="7" s="1"/>
  <c r="Y3515" i="7"/>
  <c r="Z3515" i="7" s="1"/>
  <c r="AC3515" i="7" s="1"/>
  <c r="AI3515" i="7"/>
  <c r="AI3607" i="7"/>
  <c r="Y2449" i="7"/>
  <c r="Z2449" i="7" s="1"/>
  <c r="AE2449" i="7" s="1"/>
  <c r="AF2449" i="7" s="1"/>
  <c r="Y2624" i="7"/>
  <c r="Z2624" i="7" s="1"/>
  <c r="Y3682" i="7"/>
  <c r="Z3682" i="7" s="1"/>
  <c r="Y3184" i="7"/>
  <c r="Z3184" i="7" s="1"/>
  <c r="Y2810" i="7"/>
  <c r="Z2810" i="7" s="1"/>
  <c r="Y2286" i="7"/>
  <c r="Z2286" i="7" s="1"/>
  <c r="Y3598" i="7"/>
  <c r="Z3598" i="7" s="1"/>
  <c r="AM3598" i="7" s="1"/>
  <c r="Y3604" i="7"/>
  <c r="Z3604" i="7" s="1"/>
  <c r="AA3604" i="7" s="1"/>
  <c r="AI1266" i="7"/>
  <c r="AI1468" i="7"/>
  <c r="Y1756" i="7"/>
  <c r="Z1756" i="7" s="1"/>
  <c r="Y3586" i="7"/>
  <c r="Z3586" i="7" s="1"/>
  <c r="AI3586" i="7"/>
  <c r="Y3479" i="7"/>
  <c r="Z3479" i="7" s="1"/>
  <c r="AM3479" i="7" s="1"/>
  <c r="Y3497" i="7"/>
  <c r="Z3497" i="7" s="1"/>
  <c r="AA3497" i="7" s="1"/>
  <c r="Y3517" i="7"/>
  <c r="Z3517" i="7" s="1"/>
  <c r="AH3517" i="7" s="1"/>
  <c r="Y3590" i="7"/>
  <c r="Z3590" i="7" s="1"/>
  <c r="AA3590" i="7" s="1"/>
  <c r="Y1398" i="7"/>
  <c r="Z1398" i="7" s="1"/>
  <c r="Y2667" i="7"/>
  <c r="Z2667" i="7" s="1"/>
  <c r="AE2667" i="7" s="1"/>
  <c r="AF2667" i="7" s="1"/>
  <c r="Y3109" i="7"/>
  <c r="Z3109" i="7" s="1"/>
  <c r="AE3109" i="7" s="1"/>
  <c r="AF3109" i="7" s="1"/>
  <c r="Y3513" i="7"/>
  <c r="Z3513" i="7" s="1"/>
  <c r="AM3513" i="7" s="1"/>
  <c r="Y3621" i="7"/>
  <c r="Z3621" i="7" s="1"/>
  <c r="Y3463" i="7"/>
  <c r="Z3463" i="7" s="1"/>
  <c r="AA3463" i="7" s="1"/>
  <c r="Y2408" i="7"/>
  <c r="Z2408" i="7" s="1"/>
  <c r="AA2408" i="7" s="1"/>
  <c r="Y2452" i="7"/>
  <c r="Z2452" i="7" s="1"/>
  <c r="AA2452" i="7" s="1"/>
  <c r="Y3422" i="7"/>
  <c r="Z3422" i="7" s="1"/>
  <c r="AC3422" i="7" s="1"/>
  <c r="Y3446" i="7"/>
  <c r="Z3446" i="7" s="1"/>
  <c r="AA3446" i="7" s="1"/>
  <c r="Y3529" i="7"/>
  <c r="Z3529" i="7" s="1"/>
  <c r="AA3529" i="7" s="1"/>
  <c r="AI3613" i="7"/>
  <c r="Y3687" i="7"/>
  <c r="Z3687" i="7" s="1"/>
  <c r="AA3687" i="7" s="1"/>
  <c r="Y1655" i="7"/>
  <c r="Z1655" i="7" s="1"/>
  <c r="AI2390" i="7"/>
  <c r="Y2663" i="7"/>
  <c r="Z2663" i="7" s="1"/>
  <c r="AM2663" i="7" s="1"/>
  <c r="Y2914" i="7"/>
  <c r="Z2914" i="7" s="1"/>
  <c r="AA2914" i="7" s="1"/>
  <c r="Y2943" i="7"/>
  <c r="Z2943" i="7" s="1"/>
  <c r="AC2943" i="7" s="1"/>
  <c r="Y2996" i="7"/>
  <c r="Z2996" i="7" s="1"/>
  <c r="AH2996" i="7" s="1"/>
  <c r="Y3084" i="7"/>
  <c r="Z3084" i="7" s="1"/>
  <c r="AE3084" i="7" s="1"/>
  <c r="AF3084" i="7" s="1"/>
  <c r="AH3259" i="7"/>
  <c r="Y3491" i="7"/>
  <c r="Z3491" i="7" s="1"/>
  <c r="AE3491" i="7" s="1"/>
  <c r="AF3491" i="7" s="1"/>
  <c r="Y1953" i="7"/>
  <c r="Z1953" i="7" s="1"/>
  <c r="AC1953" i="7" s="1"/>
  <c r="AI2239" i="7"/>
  <c r="Y2261" i="7"/>
  <c r="Z2261" i="7" s="1"/>
  <c r="AE2261" i="7" s="1"/>
  <c r="AF2261" i="7" s="1"/>
  <c r="Y2281" i="7"/>
  <c r="Z2281" i="7" s="1"/>
  <c r="Y2290" i="7"/>
  <c r="Z2290" i="7" s="1"/>
  <c r="AE2290" i="7" s="1"/>
  <c r="AF2290" i="7" s="1"/>
  <c r="Y2450" i="7"/>
  <c r="Z2450" i="7" s="1"/>
  <c r="AM2450" i="7" s="1"/>
  <c r="Y2558" i="7"/>
  <c r="Z2558" i="7" s="1"/>
  <c r="AH2558" i="7" s="1"/>
  <c r="Y926" i="7"/>
  <c r="Z926" i="7" s="1"/>
  <c r="Y3557" i="7"/>
  <c r="Z3557" i="7" s="1"/>
  <c r="Y2212" i="7"/>
  <c r="Z2212" i="7" s="1"/>
  <c r="AC2212" i="7" s="1"/>
  <c r="Y2404" i="7"/>
  <c r="Z2404" i="7" s="1"/>
  <c r="AM2404" i="7" s="1"/>
  <c r="Y2415" i="7"/>
  <c r="Z2415" i="7" s="1"/>
  <c r="AE2415" i="7" s="1"/>
  <c r="AF2415" i="7" s="1"/>
  <c r="Y2567" i="7"/>
  <c r="Z2567" i="7" s="1"/>
  <c r="AC2567" i="7" s="1"/>
  <c r="Y2578" i="7"/>
  <c r="Z2578" i="7" s="1"/>
  <c r="Y2879" i="7"/>
  <c r="Z2879" i="7" s="1"/>
  <c r="AC2879" i="7" s="1"/>
  <c r="Y3297" i="7"/>
  <c r="Z3297" i="7" s="1"/>
  <c r="Y3306" i="7"/>
  <c r="Z3306" i="7" s="1"/>
  <c r="AE3306" i="7" s="1"/>
  <c r="AF3306" i="7" s="1"/>
  <c r="Y3400" i="7"/>
  <c r="Z3400" i="7" s="1"/>
  <c r="AH3400" i="7" s="1"/>
  <c r="Y3663" i="7"/>
  <c r="Z3663" i="7" s="1"/>
  <c r="AA3663" i="7" s="1"/>
  <c r="Y3450" i="7"/>
  <c r="Z3450" i="7" s="1"/>
  <c r="AE3450" i="7" s="1"/>
  <c r="AF3450" i="7" s="1"/>
  <c r="AI1136" i="7"/>
  <c r="Y1683" i="7"/>
  <c r="Z1683" i="7" s="1"/>
  <c r="Y1973" i="7"/>
  <c r="Z1973" i="7" s="1"/>
  <c r="AE1973" i="7" s="1"/>
  <c r="AF1973" i="7" s="1"/>
  <c r="AI2281" i="7"/>
  <c r="Y2413" i="7"/>
  <c r="Z2413" i="7" s="1"/>
  <c r="AE2413" i="7" s="1"/>
  <c r="AF2413" i="7" s="1"/>
  <c r="Y2895" i="7"/>
  <c r="Z2895" i="7" s="1"/>
  <c r="AE2895" i="7" s="1"/>
  <c r="AF2895" i="7" s="1"/>
  <c r="Y3398" i="7"/>
  <c r="Z3398" i="7" s="1"/>
  <c r="Y3507" i="7"/>
  <c r="Z3507" i="7" s="1"/>
  <c r="AA3507" i="7" s="1"/>
  <c r="Y3539" i="7"/>
  <c r="Z3539" i="7" s="1"/>
  <c r="AA3539" i="7" s="1"/>
  <c r="Y3653" i="7"/>
  <c r="Z3653" i="7" s="1"/>
  <c r="AA3653" i="7" s="1"/>
  <c r="AI3615" i="7"/>
  <c r="Y3615" i="7"/>
  <c r="Z3615" i="7" s="1"/>
  <c r="AC3615" i="7" s="1"/>
  <c r="Y3698" i="7"/>
  <c r="Z3698" i="7" s="1"/>
  <c r="AA3698" i="7" s="1"/>
  <c r="AI3802" i="7"/>
  <c r="Y3802" i="7"/>
  <c r="Z3802" i="7" s="1"/>
  <c r="AE3802" i="7" s="1"/>
  <c r="AF3802" i="7" s="1"/>
  <c r="Y2550" i="7"/>
  <c r="Z2550" i="7" s="1"/>
  <c r="Y2152" i="7"/>
  <c r="Z2152" i="7" s="1"/>
  <c r="AI2168" i="7"/>
  <c r="Y2168" i="7"/>
  <c r="Z2168" i="7" s="1"/>
  <c r="Y2930" i="7"/>
  <c r="Z2930" i="7" s="1"/>
  <c r="AC2930" i="7" s="1"/>
  <c r="AI2969" i="7"/>
  <c r="Y2969" i="7"/>
  <c r="Z2969" i="7" s="1"/>
  <c r="AH2969" i="7" s="1"/>
  <c r="AI3573" i="7"/>
  <c r="AI1473" i="7"/>
  <c r="Y3571" i="7"/>
  <c r="Z3571" i="7" s="1"/>
  <c r="AH3571" i="7" s="1"/>
  <c r="AI3571" i="7"/>
  <c r="AI1486" i="7"/>
  <c r="Y1467" i="7"/>
  <c r="Z1467" i="7" s="1"/>
  <c r="Y2658" i="7"/>
  <c r="Z2658" i="7" s="1"/>
  <c r="AC2658" i="7" s="1"/>
  <c r="AI3728" i="7"/>
  <c r="AI1942" i="7"/>
  <c r="AI1953" i="7"/>
  <c r="Y2021" i="7"/>
  <c r="Z2021" i="7" s="1"/>
  <c r="AC2021" i="7" s="1"/>
  <c r="AI2941" i="7"/>
  <c r="Y2941" i="7"/>
  <c r="Z2941" i="7" s="1"/>
  <c r="AA2941" i="7" s="1"/>
  <c r="Y3012" i="7"/>
  <c r="Z3012" i="7" s="1"/>
  <c r="Y3021" i="7"/>
  <c r="Z3021" i="7" s="1"/>
  <c r="AI3700" i="7"/>
  <c r="Y1898" i="7"/>
  <c r="Z1898" i="7" s="1"/>
  <c r="AA1898" i="7" s="1"/>
  <c r="AI1898" i="7"/>
  <c r="AI3686" i="7"/>
  <c r="AI1747" i="7"/>
  <c r="Y1747" i="7"/>
  <c r="Z1747" i="7" s="1"/>
  <c r="Y2182" i="7"/>
  <c r="Z2182" i="7" s="1"/>
  <c r="AI3639" i="7"/>
  <c r="Y3639" i="7"/>
  <c r="Z3639" i="7" s="1"/>
  <c r="AM3639" i="7" s="1"/>
  <c r="Y2198" i="7"/>
  <c r="Z2198" i="7" s="1"/>
  <c r="AH2198" i="7" s="1"/>
  <c r="AI2198" i="7"/>
  <c r="Y1416" i="7"/>
  <c r="Z1416" i="7" s="1"/>
  <c r="AM1416" i="7" s="1"/>
  <c r="AI1183" i="7"/>
  <c r="AI2098" i="7"/>
  <c r="Y2098" i="7"/>
  <c r="Z2098" i="7" s="1"/>
  <c r="AC2098" i="7" s="1"/>
  <c r="Y3001" i="7"/>
  <c r="Z3001" i="7" s="1"/>
  <c r="AC3001" i="7" s="1"/>
  <c r="AI3001" i="7"/>
  <c r="AI3713" i="7"/>
  <c r="Y629" i="7"/>
  <c r="Z629" i="7" s="1"/>
  <c r="Y2128" i="7"/>
  <c r="Z2128" i="7" s="1"/>
  <c r="AM2128" i="7" s="1"/>
  <c r="AI3674" i="7"/>
  <c r="Y3674" i="7"/>
  <c r="Z3674" i="7" s="1"/>
  <c r="AI3660" i="7"/>
  <c r="Y1105" i="7"/>
  <c r="Z1105" i="7" s="1"/>
  <c r="AH1105" i="7" s="1"/>
  <c r="AI3200" i="7"/>
  <c r="Y3200" i="7"/>
  <c r="Z3200" i="7" s="1"/>
  <c r="Y2150" i="7"/>
  <c r="Z2150" i="7" s="1"/>
  <c r="Y2928" i="7"/>
  <c r="Z2928" i="7" s="1"/>
  <c r="AI2928" i="7"/>
  <c r="AI3480" i="7"/>
  <c r="Y3480" i="7"/>
  <c r="Z3480" i="7" s="1"/>
  <c r="AM3480" i="7" s="1"/>
  <c r="Y2674" i="7"/>
  <c r="Z2674" i="7" s="1"/>
  <c r="AA2674" i="7" s="1"/>
  <c r="AI2265" i="7"/>
  <c r="Y2265" i="7"/>
  <c r="Z2265" i="7" s="1"/>
  <c r="AE2265" i="7" s="1"/>
  <c r="AF2265" i="7" s="1"/>
  <c r="Y2444" i="7"/>
  <c r="Z2444" i="7" s="1"/>
  <c r="Y2657" i="7"/>
  <c r="Z2657" i="7" s="1"/>
  <c r="AE2657" i="7" s="1"/>
  <c r="AF2657" i="7" s="1"/>
  <c r="Y2851" i="7"/>
  <c r="Z2851" i="7" s="1"/>
  <c r="AE2851" i="7" s="1"/>
  <c r="AF2851" i="7" s="1"/>
  <c r="Y3145" i="7"/>
  <c r="Z3145" i="7" s="1"/>
  <c r="AC3145" i="7" s="1"/>
  <c r="Y3243" i="7"/>
  <c r="Z3243" i="7" s="1"/>
  <c r="AA3243" i="7" s="1"/>
  <c r="Y3302" i="7"/>
  <c r="Z3302" i="7" s="1"/>
  <c r="AC3302" i="7" s="1"/>
  <c r="AI3726" i="7"/>
  <c r="Y3726" i="7"/>
  <c r="Z3726" i="7" s="1"/>
  <c r="Y1388" i="7"/>
  <c r="Z1388" i="7" s="1"/>
  <c r="Y1472" i="7"/>
  <c r="Z1472" i="7" s="1"/>
  <c r="Y1807" i="7"/>
  <c r="Z1807" i="7" s="1"/>
  <c r="AC1807" i="7" s="1"/>
  <c r="Y1828" i="7"/>
  <c r="Z1828" i="7" s="1"/>
  <c r="Y2160" i="7"/>
  <c r="Z2160" i="7" s="1"/>
  <c r="AA2160" i="7" s="1"/>
  <c r="Y2679" i="7"/>
  <c r="Z2679" i="7" s="1"/>
  <c r="AM2679" i="7" s="1"/>
  <c r="Y2681" i="7"/>
  <c r="Z2681" i="7" s="1"/>
  <c r="AE2681" i="7" s="1"/>
  <c r="AF2681" i="7" s="1"/>
  <c r="Y2683" i="7"/>
  <c r="Z2683" i="7" s="1"/>
  <c r="AE2683" i="7" s="1"/>
  <c r="AF2683" i="7" s="1"/>
  <c r="Y2822" i="7"/>
  <c r="Z2822" i="7" s="1"/>
  <c r="AA2822" i="7" s="1"/>
  <c r="AI2822" i="7"/>
  <c r="Y3143" i="7"/>
  <c r="Z3143" i="7" s="1"/>
  <c r="AI3179" i="7"/>
  <c r="Y3179" i="7"/>
  <c r="Z3179" i="7" s="1"/>
  <c r="Y3585" i="7"/>
  <c r="Z3585" i="7" s="1"/>
  <c r="AE3585" i="7" s="1"/>
  <c r="AF3585" i="7" s="1"/>
  <c r="AI3585" i="7"/>
  <c r="Y1221" i="7"/>
  <c r="Z1221" i="7" s="1"/>
  <c r="AA1221" i="7" s="1"/>
  <c r="AI1511" i="7"/>
  <c r="Y1830" i="7"/>
  <c r="Z1830" i="7" s="1"/>
  <c r="AI1843" i="7"/>
  <c r="AI1894" i="7"/>
  <c r="Y2410" i="7"/>
  <c r="Z2410" i="7" s="1"/>
  <c r="AE2410" i="7" s="1"/>
  <c r="AF2410" i="7" s="1"/>
  <c r="Y2427" i="7"/>
  <c r="Z2427" i="7" s="1"/>
  <c r="Y2692" i="7"/>
  <c r="Z2692" i="7" s="1"/>
  <c r="Y2922" i="7"/>
  <c r="Z2922" i="7" s="1"/>
  <c r="AA2922" i="7" s="1"/>
  <c r="Y3067" i="7"/>
  <c r="Z3067" i="7" s="1"/>
  <c r="AE3067" i="7" s="1"/>
  <c r="AF3067" i="7" s="1"/>
  <c r="Y3089" i="7"/>
  <c r="Z3089" i="7" s="1"/>
  <c r="AM3089" i="7" s="1"/>
  <c r="AI3469" i="7"/>
  <c r="Y3469" i="7"/>
  <c r="Z3469" i="7" s="1"/>
  <c r="AE3469" i="7" s="1"/>
  <c r="AF3469" i="7" s="1"/>
  <c r="AI1617" i="7"/>
  <c r="Y3271" i="7"/>
  <c r="Z3271" i="7" s="1"/>
  <c r="AI3271" i="7"/>
  <c r="Y2188" i="7"/>
  <c r="Z2188" i="7" s="1"/>
  <c r="AC2188" i="7" s="1"/>
  <c r="Y2299" i="7"/>
  <c r="Z2299" i="7" s="1"/>
  <c r="AI2299" i="7"/>
  <c r="AI2434" i="7"/>
  <c r="Y2434" i="7"/>
  <c r="Z2434" i="7" s="1"/>
  <c r="AC2434" i="7" s="1"/>
  <c r="Y1916" i="7"/>
  <c r="Z1916" i="7" s="1"/>
  <c r="Y2833" i="7"/>
  <c r="Z2833" i="7" s="1"/>
  <c r="AH2833" i="7" s="1"/>
  <c r="AI3636" i="7"/>
  <c r="Y3636" i="7"/>
  <c r="Z3636" i="7" s="1"/>
  <c r="AC3636" i="7" s="1"/>
  <c r="Y1405" i="7"/>
  <c r="Z1405" i="7" s="1"/>
  <c r="AI1186" i="7"/>
  <c r="AI2186" i="7"/>
  <c r="AI2268" i="7"/>
  <c r="Y2386" i="7"/>
  <c r="Z2386" i="7" s="1"/>
  <c r="AI2388" i="7"/>
  <c r="Y3076" i="7"/>
  <c r="Z3076" i="7" s="1"/>
  <c r="AM3076" i="7" s="1"/>
  <c r="AI3112" i="7"/>
  <c r="Y3112" i="7"/>
  <c r="Z3112" i="7" s="1"/>
  <c r="AE3112" i="7" s="1"/>
  <c r="AF3112" i="7" s="1"/>
  <c r="AI3250" i="7"/>
  <c r="AJ3250" i="7" s="1"/>
  <c r="Y2262" i="7"/>
  <c r="Z2262" i="7" s="1"/>
  <c r="Y2294" i="7"/>
  <c r="Z2294" i="7" s="1"/>
  <c r="AA2294" i="7" s="1"/>
  <c r="AI2572" i="7"/>
  <c r="Y2572" i="7"/>
  <c r="Z2572" i="7" s="1"/>
  <c r="AE2572" i="7" s="1"/>
  <c r="AF2572" i="7" s="1"/>
  <c r="Y2832" i="7"/>
  <c r="Z2832" i="7" s="1"/>
  <c r="AC2832" i="7" s="1"/>
  <c r="AI2832" i="7"/>
  <c r="AI2839" i="7"/>
  <c r="Y2839" i="7"/>
  <c r="Z2839" i="7" s="1"/>
  <c r="Y2940" i="7"/>
  <c r="Z2940" i="7" s="1"/>
  <c r="AH2940" i="7" s="1"/>
  <c r="Y2963" i="7"/>
  <c r="Z2963" i="7" s="1"/>
  <c r="AC2963" i="7" s="1"/>
  <c r="Y3510" i="7"/>
  <c r="Z3510" i="7" s="1"/>
  <c r="AE3510" i="7" s="1"/>
  <c r="AF3510" i="7" s="1"/>
  <c r="AI3600" i="7"/>
  <c r="Y3600" i="7"/>
  <c r="Z3600" i="7" s="1"/>
  <c r="AI1640" i="7"/>
  <c r="Y1640" i="7"/>
  <c r="Z1640" i="7" s="1"/>
  <c r="Y2517" i="7"/>
  <c r="Z2517" i="7" s="1"/>
  <c r="Y3092" i="7"/>
  <c r="Z3092" i="7" s="1"/>
  <c r="AA3092" i="7" s="1"/>
  <c r="AI3456" i="7"/>
  <c r="Y1897" i="7"/>
  <c r="Z1897" i="7" s="1"/>
  <c r="AE1897" i="7" s="1"/>
  <c r="AF1897" i="7" s="1"/>
  <c r="Y2048" i="7"/>
  <c r="Z2048" i="7" s="1"/>
  <c r="AA2048" i="7" s="1"/>
  <c r="Y2076" i="7"/>
  <c r="Z2076" i="7" s="1"/>
  <c r="AM2076" i="7" s="1"/>
  <c r="Y2475" i="7"/>
  <c r="Z2475" i="7" s="1"/>
  <c r="AA2475" i="7" s="1"/>
  <c r="Y3090" i="7"/>
  <c r="Z3090" i="7" s="1"/>
  <c r="AI3411" i="7"/>
  <c r="Y3533" i="7"/>
  <c r="Z3533" i="7" s="1"/>
  <c r="AH3533" i="7" s="1"/>
  <c r="Y934" i="7"/>
  <c r="Z934" i="7" s="1"/>
  <c r="Y1440" i="7"/>
  <c r="Z1440" i="7" s="1"/>
  <c r="Y2125" i="7"/>
  <c r="Z2125" i="7" s="1"/>
  <c r="AE2125" i="7" s="1"/>
  <c r="AF2125" i="7" s="1"/>
  <c r="Y2456" i="7"/>
  <c r="Z2456" i="7" s="1"/>
  <c r="Y2581" i="7"/>
  <c r="Z2581" i="7" s="1"/>
  <c r="AC2581" i="7" s="1"/>
  <c r="Y2916" i="7"/>
  <c r="Z2916" i="7" s="1"/>
  <c r="AA2916" i="7" s="1"/>
  <c r="AI3064" i="7"/>
  <c r="Y3064" i="7"/>
  <c r="Z3064" i="7" s="1"/>
  <c r="AE3064" i="7" s="1"/>
  <c r="AF3064" i="7" s="1"/>
  <c r="AI3077" i="7"/>
  <c r="Y3077" i="7"/>
  <c r="Z3077" i="7" s="1"/>
  <c r="AE3077" i="7" s="1"/>
  <c r="AF3077" i="7" s="1"/>
  <c r="Y3369" i="7"/>
  <c r="Z3369" i="7" s="1"/>
  <c r="AH3369" i="7" s="1"/>
  <c r="Y3452" i="7"/>
  <c r="Z3452" i="7" s="1"/>
  <c r="AE3452" i="7" s="1"/>
  <c r="AF3452" i="7" s="1"/>
  <c r="Y1222" i="7"/>
  <c r="Z1222" i="7" s="1"/>
  <c r="Y1438" i="7"/>
  <c r="Z1438" i="7" s="1"/>
  <c r="Y1840" i="7"/>
  <c r="Z1840" i="7" s="1"/>
  <c r="AC1840" i="7" s="1"/>
  <c r="Y2418" i="7"/>
  <c r="Z2418" i="7" s="1"/>
  <c r="AC2418" i="7" s="1"/>
  <c r="Y2471" i="7"/>
  <c r="Z2471" i="7" s="1"/>
  <c r="AH2471" i="7" s="1"/>
  <c r="Y2473" i="7"/>
  <c r="Z2473" i="7" s="1"/>
  <c r="AE2473" i="7" s="1"/>
  <c r="AF2473" i="7" s="1"/>
  <c r="Y2577" i="7"/>
  <c r="Z2577" i="7" s="1"/>
  <c r="Y2758" i="7"/>
  <c r="Z2758" i="7" s="1"/>
  <c r="AE2758" i="7" s="1"/>
  <c r="AF2758" i="7" s="1"/>
  <c r="Y3282" i="7"/>
  <c r="Z3282" i="7" s="1"/>
  <c r="Y3295" i="7"/>
  <c r="Z3295" i="7" s="1"/>
  <c r="AE3295" i="7" s="1"/>
  <c r="AF3295" i="7" s="1"/>
  <c r="Y3493" i="7"/>
  <c r="Z3493" i="7" s="1"/>
  <c r="AC3493" i="7" s="1"/>
  <c r="AI3493" i="7"/>
  <c r="Y3241" i="7"/>
  <c r="Z3241" i="7" s="1"/>
  <c r="AA3241" i="7" s="1"/>
  <c r="Y3420" i="7"/>
  <c r="Z3420" i="7" s="1"/>
  <c r="AE3420" i="7" s="1"/>
  <c r="AF3420" i="7" s="1"/>
  <c r="AI3530" i="7"/>
  <c r="Y3530" i="7"/>
  <c r="Z3530" i="7" s="1"/>
  <c r="AE3530" i="7" s="1"/>
  <c r="AF3530" i="7" s="1"/>
  <c r="Y2077" i="7"/>
  <c r="Z2077" i="7" s="1"/>
  <c r="AC2077" i="7" s="1"/>
  <c r="Y2402" i="7"/>
  <c r="Z2402" i="7" s="1"/>
  <c r="AA2402" i="7" s="1"/>
  <c r="AI2603" i="7"/>
  <c r="Y2603" i="7"/>
  <c r="Z2603" i="7" s="1"/>
  <c r="AE2603" i="7" s="1"/>
  <c r="AF2603" i="7" s="1"/>
  <c r="AI2878" i="7"/>
  <c r="AI3142" i="7"/>
  <c r="Y3142" i="7"/>
  <c r="Z3142" i="7" s="1"/>
  <c r="AC3142" i="7" s="1"/>
  <c r="Y3478" i="7"/>
  <c r="Z3478" i="7" s="1"/>
  <c r="AM3478" i="7" s="1"/>
  <c r="AI3478" i="7"/>
  <c r="Y2058" i="7"/>
  <c r="Z2058" i="7" s="1"/>
  <c r="Y2253" i="7"/>
  <c r="Z2253" i="7" s="1"/>
  <c r="Y2378" i="7"/>
  <c r="Z2378" i="7" s="1"/>
  <c r="Y2417" i="7"/>
  <c r="Z2417" i="7" s="1"/>
  <c r="Y2543" i="7"/>
  <c r="Z2543" i="7" s="1"/>
  <c r="AE2543" i="7" s="1"/>
  <c r="AF2543" i="7" s="1"/>
  <c r="AI2775" i="7"/>
  <c r="Y2775" i="7"/>
  <c r="Z2775" i="7" s="1"/>
  <c r="Y2836" i="7"/>
  <c r="Z2836" i="7" s="1"/>
  <c r="Y2865" i="7"/>
  <c r="Z2865" i="7" s="1"/>
  <c r="AC2865" i="7" s="1"/>
  <c r="AI2876" i="7"/>
  <c r="AI3178" i="7"/>
  <c r="Y3178" i="7"/>
  <c r="Z3178" i="7" s="1"/>
  <c r="AH3178" i="7" s="1"/>
  <c r="Y3485" i="7"/>
  <c r="Z3485" i="7" s="1"/>
  <c r="AA3485" i="7" s="1"/>
  <c r="AI3485" i="7"/>
  <c r="Y1512" i="7"/>
  <c r="Z1512" i="7" s="1"/>
  <c r="Y2026" i="7"/>
  <c r="Z2026" i="7" s="1"/>
  <c r="Y2249" i="7"/>
  <c r="Z2249" i="7" s="1"/>
  <c r="AA2249" i="7" s="1"/>
  <c r="Y2291" i="7"/>
  <c r="Z2291" i="7" s="1"/>
  <c r="AE2291" i="7" s="1"/>
  <c r="AF2291" i="7" s="1"/>
  <c r="AI2534" i="7"/>
  <c r="AI2626" i="7"/>
  <c r="Y2626" i="7"/>
  <c r="Z2626" i="7" s="1"/>
  <c r="AC2626" i="7" s="1"/>
  <c r="Y2689" i="7"/>
  <c r="Z2689" i="7" s="1"/>
  <c r="Y2691" i="7"/>
  <c r="Z2691" i="7" s="1"/>
  <c r="AC2691" i="7" s="1"/>
  <c r="Y2807" i="7"/>
  <c r="Z2807" i="7" s="1"/>
  <c r="AE2807" i="7" s="1"/>
  <c r="AF2807" i="7" s="1"/>
  <c r="Y3095" i="7"/>
  <c r="Z3095" i="7" s="1"/>
  <c r="AH3095" i="7" s="1"/>
  <c r="AI3113" i="7"/>
  <c r="Y3395" i="7"/>
  <c r="Z3395" i="7" s="1"/>
  <c r="AM3395" i="7" s="1"/>
  <c r="Y3538" i="7"/>
  <c r="Z3538" i="7" s="1"/>
  <c r="AC3538" i="7" s="1"/>
  <c r="Y2570" i="7"/>
  <c r="Z2570" i="7" s="1"/>
  <c r="Y2574" i="7"/>
  <c r="Z2574" i="7" s="1"/>
  <c r="AH2574" i="7" s="1"/>
  <c r="Y2643" i="7"/>
  <c r="Z2643" i="7" s="1"/>
  <c r="AH2643" i="7" s="1"/>
  <c r="Y2801" i="7"/>
  <c r="Z2801" i="7" s="1"/>
  <c r="AE2801" i="7" s="1"/>
  <c r="AF2801" i="7" s="1"/>
  <c r="Y2852" i="7"/>
  <c r="Z2852" i="7" s="1"/>
  <c r="Y2913" i="7"/>
  <c r="Z2913" i="7" s="1"/>
  <c r="AE2913" i="7" s="1"/>
  <c r="AF2913" i="7" s="1"/>
  <c r="Y3322" i="7"/>
  <c r="Z3322" i="7" s="1"/>
  <c r="AE3322" i="7" s="1"/>
  <c r="AF3322" i="7" s="1"/>
  <c r="Y3381" i="7"/>
  <c r="Z3381" i="7" s="1"/>
  <c r="AC3381" i="7" s="1"/>
  <c r="AI3483" i="7"/>
  <c r="Y3483" i="7"/>
  <c r="Z3483" i="7" s="1"/>
  <c r="AC3483" i="7" s="1"/>
  <c r="Y3511" i="7"/>
  <c r="Z3511" i="7" s="1"/>
  <c r="Y3661" i="7"/>
  <c r="Z3661" i="7" s="1"/>
  <c r="Y2507" i="7"/>
  <c r="Z2507" i="7" s="1"/>
  <c r="AE2507" i="7" s="1"/>
  <c r="AF2507" i="7" s="1"/>
  <c r="AI3835" i="7"/>
  <c r="Y3835" i="7"/>
  <c r="Z3835" i="7" s="1"/>
  <c r="AC3835" i="7" s="1"/>
  <c r="Y2130" i="7"/>
  <c r="Z2130" i="7" s="1"/>
  <c r="Y2267" i="7"/>
  <c r="Z2267" i="7" s="1"/>
  <c r="AA2267" i="7" s="1"/>
  <c r="Y2385" i="7"/>
  <c r="Z2385" i="7" s="1"/>
  <c r="AC2385" i="7" s="1"/>
  <c r="Y2514" i="7"/>
  <c r="Z2514" i="7" s="1"/>
  <c r="Y2549" i="7"/>
  <c r="Z2549" i="7" s="1"/>
  <c r="Y2562" i="7"/>
  <c r="Z2562" i="7" s="1"/>
  <c r="AA2562" i="7" s="1"/>
  <c r="Y2564" i="7"/>
  <c r="Z2564" i="7" s="1"/>
  <c r="AH2564" i="7" s="1"/>
  <c r="AI2643" i="7"/>
  <c r="AI2896" i="7"/>
  <c r="Y2896" i="7"/>
  <c r="Z2896" i="7" s="1"/>
  <c r="AA2896" i="7" s="1"/>
  <c r="Y2905" i="7"/>
  <c r="Z2905" i="7" s="1"/>
  <c r="Y2937" i="7"/>
  <c r="Z2937" i="7" s="1"/>
  <c r="AE2937" i="7" s="1"/>
  <c r="AF2937" i="7" s="1"/>
  <c r="Y2989" i="7"/>
  <c r="Z2989" i="7" s="1"/>
  <c r="AM2989" i="7" s="1"/>
  <c r="Y3465" i="7"/>
  <c r="Z3465" i="7" s="1"/>
  <c r="AH3465" i="7" s="1"/>
  <c r="Y3488" i="7"/>
  <c r="Z3488" i="7" s="1"/>
  <c r="AC3488" i="7" s="1"/>
  <c r="Y3308" i="7"/>
  <c r="Z3308" i="7" s="1"/>
  <c r="AH3308" i="7" s="1"/>
  <c r="Y3346" i="7"/>
  <c r="Z3346" i="7" s="1"/>
  <c r="Y3348" i="7"/>
  <c r="Z3348" i="7" s="1"/>
  <c r="AE3348" i="7" s="1"/>
  <c r="AF3348" i="7" s="1"/>
  <c r="Y3418" i="7"/>
  <c r="Z3418" i="7" s="1"/>
  <c r="AA3418" i="7" s="1"/>
  <c r="Y3455" i="7"/>
  <c r="Z3455" i="7" s="1"/>
  <c r="AH3455" i="7" s="1"/>
  <c r="AI3688" i="7"/>
  <c r="Y3181" i="7"/>
  <c r="Z3181" i="7" s="1"/>
  <c r="AA3181" i="7" s="1"/>
  <c r="Y3389" i="7"/>
  <c r="Z3389" i="7" s="1"/>
  <c r="AH3389" i="7" s="1"/>
  <c r="Y3523" i="7"/>
  <c r="Z3523" i="7" s="1"/>
  <c r="AM3523" i="7" s="1"/>
  <c r="Y3532" i="7"/>
  <c r="Z3532" i="7" s="1"/>
  <c r="AE3532" i="7" s="1"/>
  <c r="AF3532" i="7" s="1"/>
  <c r="AI3741" i="7"/>
  <c r="Y3427" i="7"/>
  <c r="Z3427" i="7" s="1"/>
  <c r="Y3481" i="7"/>
  <c r="Z3481" i="7" s="1"/>
  <c r="Y3583" i="7"/>
  <c r="Z3583" i="7" s="1"/>
  <c r="AE3583" i="7" s="1"/>
  <c r="AF3583" i="7" s="1"/>
  <c r="Y3587" i="7"/>
  <c r="Z3587" i="7" s="1"/>
  <c r="AA3587" i="7" s="1"/>
  <c r="Y3591" i="7"/>
  <c r="Z3591" i="7" s="1"/>
  <c r="AE3591" i="7" s="1"/>
  <c r="AF3591" i="7" s="1"/>
  <c r="AH3387" i="7"/>
  <c r="Y2881" i="7"/>
  <c r="Z2881" i="7" s="1"/>
  <c r="AC2881" i="7" s="1"/>
  <c r="Y3199" i="7"/>
  <c r="Z3199" i="7" s="1"/>
  <c r="AH3199" i="7" s="1"/>
  <c r="Y3307" i="7"/>
  <c r="Z3307" i="7" s="1"/>
  <c r="AE3307" i="7" s="1"/>
  <c r="AF3307" i="7" s="1"/>
  <c r="Y3345" i="7"/>
  <c r="Z3345" i="7" s="1"/>
  <c r="AC3345" i="7" s="1"/>
  <c r="Y3383" i="7"/>
  <c r="Z3383" i="7" s="1"/>
  <c r="Y3409" i="7"/>
  <c r="Z3409" i="7" s="1"/>
  <c r="AE3409" i="7" s="1"/>
  <c r="AF3409" i="7" s="1"/>
  <c r="Y3417" i="7"/>
  <c r="Z3417" i="7" s="1"/>
  <c r="AE3417" i="7" s="1"/>
  <c r="AF3417" i="7" s="1"/>
  <c r="Y3432" i="7"/>
  <c r="Z3432" i="7" s="1"/>
  <c r="AC3432" i="7" s="1"/>
  <c r="Y3486" i="7"/>
  <c r="Z3486" i="7" s="1"/>
  <c r="AM3486" i="7" s="1"/>
  <c r="Y3524" i="7"/>
  <c r="Z3524" i="7" s="1"/>
  <c r="AE3524" i="7" s="1"/>
  <c r="AF3524" i="7" s="1"/>
  <c r="Y2665" i="7"/>
  <c r="Z2665" i="7" s="1"/>
  <c r="AE2665" i="7" s="1"/>
  <c r="AF2665" i="7" s="1"/>
  <c r="Y2862" i="7"/>
  <c r="Z2862" i="7" s="1"/>
  <c r="AM2862" i="7" s="1"/>
  <c r="Y2915" i="7"/>
  <c r="Z2915" i="7" s="1"/>
  <c r="Y3072" i="7"/>
  <c r="Z3072" i="7" s="1"/>
  <c r="Y3476" i="7"/>
  <c r="Z3476" i="7" s="1"/>
  <c r="AE3476" i="7" s="1"/>
  <c r="AF3476" i="7" s="1"/>
  <c r="Y3520" i="7"/>
  <c r="Z3520" i="7" s="1"/>
  <c r="AC3520" i="7" s="1"/>
  <c r="Y3588" i="7"/>
  <c r="Z3588" i="7" s="1"/>
  <c r="AH3588" i="7" s="1"/>
  <c r="Y3622" i="7"/>
  <c r="Z3622" i="7" s="1"/>
  <c r="AA3622" i="7" s="1"/>
  <c r="Y2259" i="7"/>
  <c r="Z2259" i="7" s="1"/>
  <c r="AC2259" i="7" s="1"/>
  <c r="Y2428" i="7"/>
  <c r="Z2428" i="7" s="1"/>
  <c r="AA2428" i="7" s="1"/>
  <c r="Y2756" i="7"/>
  <c r="Z2756" i="7" s="1"/>
  <c r="Y2835" i="7"/>
  <c r="Z2835" i="7" s="1"/>
  <c r="AE2835" i="7" s="1"/>
  <c r="AF2835" i="7" s="1"/>
  <c r="Y2867" i="7"/>
  <c r="Z2867" i="7" s="1"/>
  <c r="Y2869" i="7"/>
  <c r="Z2869" i="7" s="1"/>
  <c r="AC2869" i="7" s="1"/>
  <c r="Y3283" i="7"/>
  <c r="Z3283" i="7" s="1"/>
  <c r="AH3283" i="7" s="1"/>
  <c r="Y3525" i="7"/>
  <c r="Z3525" i="7" s="1"/>
  <c r="AH3525" i="7" s="1"/>
  <c r="Y3546" i="7"/>
  <c r="Z3546" i="7" s="1"/>
  <c r="AA3546" i="7" s="1"/>
  <c r="Y3659" i="7"/>
  <c r="Z3659" i="7" s="1"/>
  <c r="AC3659" i="7" s="1"/>
  <c r="AM4037" i="7"/>
  <c r="AM3559" i="7"/>
  <c r="AM3214" i="7"/>
  <c r="AM3210" i="7"/>
  <c r="AM2768" i="7"/>
  <c r="AC3173" i="7"/>
  <c r="AM4061" i="7"/>
  <c r="AE2526" i="7"/>
  <c r="AF2526" i="7" s="1"/>
  <c r="AC2611" i="7"/>
  <c r="AE2611" i="7"/>
  <c r="AF2611" i="7" s="1"/>
  <c r="AC2764" i="7"/>
  <c r="AE3559" i="7"/>
  <c r="AF3559" i="7" s="1"/>
  <c r="AM3334" i="7"/>
  <c r="AC2526" i="7"/>
  <c r="AM2400" i="7"/>
  <c r="AM2825" i="7"/>
  <c r="AC2074" i="7"/>
  <c r="AH3048" i="7"/>
  <c r="AM3318" i="7"/>
  <c r="AA2877" i="7"/>
  <c r="AM3570" i="7"/>
  <c r="AM2154" i="7"/>
  <c r="AH2424" i="7"/>
  <c r="AM3624" i="7"/>
  <c r="AM4067" i="7"/>
  <c r="AM4049" i="7"/>
  <c r="AM3839" i="7"/>
  <c r="AH2897" i="7"/>
  <c r="AC2519" i="7"/>
  <c r="AE2519" i="7"/>
  <c r="AF2519" i="7" s="1"/>
  <c r="Y1474" i="7"/>
  <c r="Z1474" i="7" s="1"/>
  <c r="AI1831" i="7"/>
  <c r="Y1831" i="7"/>
  <c r="Z1831" i="7" s="1"/>
  <c r="AC1831" i="7" s="1"/>
  <c r="AI2219" i="7"/>
  <c r="AJ2219" i="7" s="1"/>
  <c r="V18" i="9"/>
  <c r="W18" i="9"/>
  <c r="AA19" i="4"/>
  <c r="Y19" i="4"/>
  <c r="AF19" i="4"/>
  <c r="AC19" i="4"/>
  <c r="AD19" i="4" s="1"/>
  <c r="AF55" i="4"/>
  <c r="AF107" i="4"/>
  <c r="AC107" i="4"/>
  <c r="AD107" i="4" s="1"/>
  <c r="AI674" i="7"/>
  <c r="Y728" i="7"/>
  <c r="Z728" i="7" s="1"/>
  <c r="AI1273" i="7"/>
  <c r="AI1510" i="7"/>
  <c r="AI1548" i="7"/>
  <c r="AI1635" i="7"/>
  <c r="Y1635" i="7"/>
  <c r="Z1635" i="7" s="1"/>
  <c r="Y1677" i="7"/>
  <c r="Z1677" i="7" s="1"/>
  <c r="Y938" i="7"/>
  <c r="Z938" i="7" s="1"/>
  <c r="AI1392" i="7"/>
  <c r="AI1618" i="7"/>
  <c r="AI1622" i="7"/>
  <c r="Y1934" i="7"/>
  <c r="Z1934" i="7" s="1"/>
  <c r="AI1934" i="7"/>
  <c r="Y2296" i="7"/>
  <c r="Z2296" i="7" s="1"/>
  <c r="AE2296" i="7" s="1"/>
  <c r="AF2296" i="7" s="1"/>
  <c r="AF18" i="9"/>
  <c r="Z18" i="9"/>
  <c r="AC52" i="4"/>
  <c r="AD52" i="4"/>
  <c r="AA52" i="4"/>
  <c r="AF52" i="4"/>
  <c r="AF88" i="4"/>
  <c r="AC88" i="4"/>
  <c r="AD88" i="4" s="1"/>
  <c r="AC148" i="4"/>
  <c r="AD148" i="4"/>
  <c r="AF148" i="4"/>
  <c r="AA148" i="4"/>
  <c r="Y148" i="4"/>
  <c r="AI2843" i="7"/>
  <c r="Y2843" i="7"/>
  <c r="Z2843" i="7" s="1"/>
  <c r="AE2843" i="7" s="1"/>
  <c r="AF2843" i="7" s="1"/>
  <c r="AF67" i="4"/>
  <c r="AC67" i="4"/>
  <c r="AD67" i="4"/>
  <c r="Y1415" i="7"/>
  <c r="Z1415" i="7" s="1"/>
  <c r="AA1415" i="7" s="1"/>
  <c r="AC156" i="4"/>
  <c r="AD156" i="4" s="1"/>
  <c r="AF156" i="4"/>
  <c r="AA156" i="4"/>
  <c r="Y156" i="4"/>
  <c r="AA814" i="7"/>
  <c r="AF7" i="4"/>
  <c r="AC7" i="4"/>
  <c r="AD7" i="4" s="1"/>
  <c r="AF91" i="4"/>
  <c r="AC91" i="4"/>
  <c r="AD91" i="4"/>
  <c r="AF101" i="4"/>
  <c r="AC101" i="4"/>
  <c r="AD101" i="4" s="1"/>
  <c r="AA101" i="4"/>
  <c r="Y101" i="4"/>
  <c r="AF134" i="4"/>
  <c r="AC134" i="4"/>
  <c r="AD134" i="4"/>
  <c r="Y856" i="7"/>
  <c r="Z856" i="7" s="1"/>
  <c r="AI856" i="7"/>
  <c r="Y2521" i="7"/>
  <c r="Z2521" i="7" s="1"/>
  <c r="AC2521" i="7" s="1"/>
  <c r="AI2724" i="7"/>
  <c r="AC169" i="4"/>
  <c r="AD169" i="4"/>
  <c r="Y1063" i="7"/>
  <c r="Z1063" i="7" s="1"/>
  <c r="Y1229" i="7"/>
  <c r="Z1229" i="7" s="1"/>
  <c r="AI2280" i="7"/>
  <c r="Y1515" i="7"/>
  <c r="Z1515" i="7" s="1"/>
  <c r="AM1515" i="7" s="1"/>
  <c r="AI1817" i="7"/>
  <c r="AI2238" i="7"/>
  <c r="Y2238" i="7"/>
  <c r="Z2238" i="7" s="1"/>
  <c r="AA2238" i="7" s="1"/>
  <c r="AF13" i="4"/>
  <c r="AF120" i="4"/>
  <c r="AC120" i="4"/>
  <c r="AD120" i="4"/>
  <c r="AA120" i="4"/>
  <c r="Y120" i="4"/>
  <c r="AA142" i="4"/>
  <c r="Y142" i="4"/>
  <c r="AF142" i="4"/>
  <c r="AC142" i="4"/>
  <c r="AD142" i="4" s="1"/>
  <c r="Y1685" i="7"/>
  <c r="Z1685" i="7" s="1"/>
  <c r="AC1685" i="7" s="1"/>
  <c r="Y1712" i="7"/>
  <c r="Z1712" i="7" s="1"/>
  <c r="AC4" i="4"/>
  <c r="AD4" i="4" s="1"/>
  <c r="AF94" i="4"/>
  <c r="AC94" i="4"/>
  <c r="AD94" i="4"/>
  <c r="AF123" i="4"/>
  <c r="AC123" i="4"/>
  <c r="AD123" i="4"/>
  <c r="AF137" i="4"/>
  <c r="AC137" i="4"/>
  <c r="AD137" i="4" s="1"/>
  <c r="AA137" i="4"/>
  <c r="Y137" i="4"/>
  <c r="AC163" i="4"/>
  <c r="AD163" i="4"/>
  <c r="Y163" i="4"/>
  <c r="AF58" i="4"/>
  <c r="AC58" i="4"/>
  <c r="AD58" i="4" s="1"/>
  <c r="Y969" i="7"/>
  <c r="Z969" i="7" s="1"/>
  <c r="AI1568" i="7"/>
  <c r="AI2227" i="7"/>
  <c r="Y2227" i="7"/>
  <c r="Z2227" i="7" s="1"/>
  <c r="AE2227" i="7" s="1"/>
  <c r="AF2227" i="7" s="1"/>
  <c r="AI2094" i="7"/>
  <c r="AI2254" i="7"/>
  <c r="Y1875" i="7"/>
  <c r="Z1875" i="7" s="1"/>
  <c r="AI2288" i="7"/>
  <c r="Y2288" i="7"/>
  <c r="Z2288" i="7" s="1"/>
  <c r="AC2288" i="7" s="1"/>
  <c r="AA3501" i="7"/>
  <c r="AM3501" i="7"/>
  <c r="AI1904" i="7"/>
  <c r="AI2119" i="7"/>
  <c r="Y2442" i="7"/>
  <c r="Z2442" i="7" s="1"/>
  <c r="AE2442" i="7" s="1"/>
  <c r="AF2442" i="7" s="1"/>
  <c r="AI2442" i="7"/>
  <c r="AI2831" i="7"/>
  <c r="AJ2831" i="7" s="1"/>
  <c r="Y2831" i="7"/>
  <c r="Z2831" i="7" s="1"/>
  <c r="AE2831" i="7" s="1"/>
  <c r="AF2831" i="7" s="1"/>
  <c r="AI1948" i="7"/>
  <c r="AI3088" i="7"/>
  <c r="Y3088" i="7"/>
  <c r="Z3088" i="7" s="1"/>
  <c r="AA3088" i="7" s="1"/>
  <c r="AA3205" i="7"/>
  <c r="AC3205" i="7"/>
  <c r="AE3205" i="7"/>
  <c r="AF3205" i="7" s="1"/>
  <c r="AI1859" i="7"/>
  <c r="Y1859" i="7"/>
  <c r="Z1859" i="7" s="1"/>
  <c r="AC1859" i="7" s="1"/>
  <c r="AI2503" i="7"/>
  <c r="Y2503" i="7"/>
  <c r="Z2503" i="7" s="1"/>
  <c r="AE2503" i="7" s="1"/>
  <c r="AF2503" i="7" s="1"/>
  <c r="AI2749" i="7"/>
  <c r="Y2749" i="7"/>
  <c r="Z2749" i="7" s="1"/>
  <c r="AA2749" i="7" s="1"/>
  <c r="Y2209" i="7"/>
  <c r="Z2209" i="7" s="1"/>
  <c r="AC2209" i="7" s="1"/>
  <c r="Y1882" i="7"/>
  <c r="Z1882" i="7" s="1"/>
  <c r="AC1882" i="7" s="1"/>
  <c r="AI1882" i="7"/>
  <c r="AI2020" i="7"/>
  <c r="AE2083" i="7"/>
  <c r="AF2083" i="7" s="1"/>
  <c r="AC2083" i="7"/>
  <c r="Y2269" i="7"/>
  <c r="Z2269" i="7" s="1"/>
  <c r="AI2269" i="7"/>
  <c r="Y2501" i="7"/>
  <c r="Z2501" i="7" s="1"/>
  <c r="AE2501" i="7" s="1"/>
  <c r="AF2501" i="7" s="1"/>
  <c r="Y1573" i="7"/>
  <c r="Z1573" i="7" s="1"/>
  <c r="AC1573" i="7" s="1"/>
  <c r="AI1996" i="7"/>
  <c r="AI2018" i="7"/>
  <c r="Y2480" i="7"/>
  <c r="Z2480" i="7" s="1"/>
  <c r="AA2480" i="7" s="1"/>
  <c r="AI1998" i="7"/>
  <c r="AI2608" i="7"/>
  <c r="Y2608" i="7"/>
  <c r="Z2608" i="7" s="1"/>
  <c r="AC2608" i="7" s="1"/>
  <c r="Y2612" i="7"/>
  <c r="Z2612" i="7" s="1"/>
  <c r="AM2612" i="7" s="1"/>
  <c r="AI3029" i="7"/>
  <c r="AC1183" i="7"/>
  <c r="Y1386" i="7"/>
  <c r="Z1386" i="7" s="1"/>
  <c r="AH1386" i="7" s="1"/>
  <c r="Y1424" i="7"/>
  <c r="Z1424" i="7" s="1"/>
  <c r="AI1750" i="7"/>
  <c r="Y1750" i="7"/>
  <c r="Z1750" i="7" s="1"/>
  <c r="AI2051" i="7"/>
  <c r="AE2159" i="7"/>
  <c r="AF2159" i="7" s="1"/>
  <c r="AC2159" i="7"/>
  <c r="AM2429" i="7"/>
  <c r="AI2546" i="7"/>
  <c r="AI2658" i="7"/>
  <c r="AJ2658" i="7" s="1"/>
  <c r="AA2755" i="7"/>
  <c r="AC2755" i="7"/>
  <c r="AI2887" i="7"/>
  <c r="Y2887" i="7"/>
  <c r="Z2887" i="7" s="1"/>
  <c r="AI3056" i="7"/>
  <c r="Y3056" i="7"/>
  <c r="Z3056" i="7" s="1"/>
  <c r="AM3056" i="7" s="1"/>
  <c r="Y2391" i="7"/>
  <c r="Z2391" i="7" s="1"/>
  <c r="Y3063" i="7"/>
  <c r="Z3063" i="7" s="1"/>
  <c r="AI3063" i="7"/>
  <c r="AI1725" i="7"/>
  <c r="Y1725" i="7"/>
  <c r="Z1725" i="7" s="1"/>
  <c r="Y2505" i="7"/>
  <c r="Z2505" i="7" s="1"/>
  <c r="AA2505" i="7" s="1"/>
  <c r="AH2573" i="7"/>
  <c r="Y2604" i="7"/>
  <c r="Z2604" i="7" s="1"/>
  <c r="AE2604" i="7" s="1"/>
  <c r="AF2604" i="7" s="1"/>
  <c r="AC2655" i="7"/>
  <c r="AI2718" i="7"/>
  <c r="AI2777" i="7"/>
  <c r="Y2777" i="7"/>
  <c r="Z2777" i="7" s="1"/>
  <c r="AM2777" i="7" s="1"/>
  <c r="AI1841" i="7"/>
  <c r="AI2522" i="7"/>
  <c r="Y2522" i="7"/>
  <c r="Z2522" i="7" s="1"/>
  <c r="AM2522" i="7" s="1"/>
  <c r="AI3361" i="7"/>
  <c r="Y3361" i="7"/>
  <c r="Z3361" i="7" s="1"/>
  <c r="AC3361" i="7" s="1"/>
  <c r="Y2137" i="7"/>
  <c r="Z2137" i="7" s="1"/>
  <c r="AC2137" i="7" s="1"/>
  <c r="AI2844" i="7"/>
  <c r="Y2844" i="7"/>
  <c r="Z2844" i="7" s="1"/>
  <c r="Y2006" i="7"/>
  <c r="Z2006" i="7" s="1"/>
  <c r="AE2006" i="7" s="1"/>
  <c r="AF2006" i="7" s="1"/>
  <c r="AI2512" i="7"/>
  <c r="Y2512" i="7"/>
  <c r="Z2512" i="7" s="1"/>
  <c r="AC2512" i="7" s="1"/>
  <c r="AI2909" i="7"/>
  <c r="Y2909" i="7"/>
  <c r="Z2909" i="7" s="1"/>
  <c r="AI2116" i="7"/>
  <c r="AC2194" i="7"/>
  <c r="AH2194" i="7"/>
  <c r="AI3133" i="7"/>
  <c r="Y3133" i="7"/>
  <c r="Z3133" i="7" s="1"/>
  <c r="Y3137" i="7"/>
  <c r="Z3137" i="7" s="1"/>
  <c r="AA3137" i="7" s="1"/>
  <c r="AA3139" i="7"/>
  <c r="AI2154" i="7"/>
  <c r="AI2220" i="7"/>
  <c r="Y2241" i="7"/>
  <c r="Z2241" i="7" s="1"/>
  <c r="AE2241" i="7" s="1"/>
  <c r="AF2241" i="7" s="1"/>
  <c r="AI2359" i="7"/>
  <c r="Y2359" i="7"/>
  <c r="Z2359" i="7" s="1"/>
  <c r="AC2359" i="7" s="1"/>
  <c r="AI2568" i="7"/>
  <c r="Y2568" i="7"/>
  <c r="Z2568" i="7" s="1"/>
  <c r="AC2568" i="7" s="1"/>
  <c r="AA3160" i="7"/>
  <c r="AC3160" i="7"/>
  <c r="Y1555" i="7"/>
  <c r="Z1555" i="7" s="1"/>
  <c r="AE2237" i="7"/>
  <c r="AF2237" i="7" s="1"/>
  <c r="Y2293" i="7"/>
  <c r="Z2293" i="7" s="1"/>
  <c r="AH2293" i="7" s="1"/>
  <c r="Y2453" i="7"/>
  <c r="Z2453" i="7" s="1"/>
  <c r="AC2453" i="7" s="1"/>
  <c r="AI2566" i="7"/>
  <c r="Y2566" i="7"/>
  <c r="Z2566" i="7" s="1"/>
  <c r="AE2566" i="7" s="1"/>
  <c r="AF2566" i="7" s="1"/>
  <c r="Y2662" i="7"/>
  <c r="Z2662" i="7" s="1"/>
  <c r="AE2662" i="7" s="1"/>
  <c r="AF2662" i="7" s="1"/>
  <c r="Y3242" i="7"/>
  <c r="Z3242" i="7" s="1"/>
  <c r="AM3242" i="7" s="1"/>
  <c r="AI2781" i="7"/>
  <c r="AI2841" i="7"/>
  <c r="Y2841" i="7"/>
  <c r="Z2841" i="7" s="1"/>
  <c r="AC2841" i="7" s="1"/>
  <c r="Y3079" i="7"/>
  <c r="Z3079" i="7" s="1"/>
  <c r="AC3079" i="7" s="1"/>
  <c r="Y3149" i="7"/>
  <c r="Z3149" i="7" s="1"/>
  <c r="AM3149" i="7" s="1"/>
  <c r="AI3230" i="7"/>
  <c r="Y3230" i="7"/>
  <c r="Z3230" i="7" s="1"/>
  <c r="AM3230" i="7" s="1"/>
  <c r="AE3303" i="7"/>
  <c r="AF3303" i="7" s="1"/>
  <c r="AC3303" i="7"/>
  <c r="Y3678" i="7"/>
  <c r="Z3678" i="7" s="1"/>
  <c r="AM3678" i="7" s="1"/>
  <c r="AI3678" i="7"/>
  <c r="AM2174" i="7"/>
  <c r="Y2382" i="7"/>
  <c r="Z2382" i="7" s="1"/>
  <c r="AE2382" i="7" s="1"/>
  <c r="AF2382" i="7" s="1"/>
  <c r="Y2786" i="7"/>
  <c r="Z2786" i="7" s="1"/>
  <c r="AE2786" i="7" s="1"/>
  <c r="AF2786" i="7" s="1"/>
  <c r="AI2786" i="7"/>
  <c r="AC2860" i="7"/>
  <c r="AE2860" i="7"/>
  <c r="AF2860" i="7" s="1"/>
  <c r="Y2936" i="7"/>
  <c r="Z2936" i="7" s="1"/>
  <c r="AC2936" i="7" s="1"/>
  <c r="AE8" i="9"/>
  <c r="AJ8" i="9"/>
  <c r="AM2239" i="7"/>
  <c r="Y3069" i="7"/>
  <c r="Z3069" i="7" s="1"/>
  <c r="AE3069" i="7" s="1"/>
  <c r="AF3069" i="7" s="1"/>
  <c r="AI3197" i="7"/>
  <c r="Y3197" i="7"/>
  <c r="Z3197" i="7" s="1"/>
  <c r="AI3228" i="7"/>
  <c r="Y3228" i="7"/>
  <c r="Z3228" i="7" s="1"/>
  <c r="AI3314" i="7"/>
  <c r="AE3312" i="7"/>
  <c r="AF3312" i="7" s="1"/>
  <c r="AA3312" i="7"/>
  <c r="AC3312" i="7"/>
  <c r="AC3347" i="7"/>
  <c r="AE3347" i="7"/>
  <c r="AF3347" i="7" s="1"/>
  <c r="AA3347" i="7"/>
  <c r="AH2747" i="7"/>
  <c r="AI2520" i="7"/>
  <c r="Y2559" i="7"/>
  <c r="Z2559" i="7" s="1"/>
  <c r="AC2559" i="7" s="1"/>
  <c r="Y3202" i="7"/>
  <c r="Z3202" i="7" s="1"/>
  <c r="AC3202" i="7" s="1"/>
  <c r="AI3555" i="7"/>
  <c r="Y3555" i="7"/>
  <c r="Z3555" i="7" s="1"/>
  <c r="AC3555" i="7" s="1"/>
  <c r="Y2557" i="7"/>
  <c r="Z2557" i="7" s="1"/>
  <c r="AC2557" i="7" s="1"/>
  <c r="AA3603" i="7"/>
  <c r="AA2874" i="7"/>
  <c r="Y3083" i="7"/>
  <c r="Z3083" i="7" s="1"/>
  <c r="AA3083" i="7" s="1"/>
  <c r="Y3505" i="7"/>
  <c r="Z3505" i="7" s="1"/>
  <c r="AA3505" i="7" s="1"/>
  <c r="Y3020" i="7"/>
  <c r="Z3020" i="7" s="1"/>
  <c r="AI3020" i="7"/>
  <c r="AI3323" i="7"/>
  <c r="Y3356" i="7"/>
  <c r="Z3356" i="7" s="1"/>
  <c r="AI3356" i="7"/>
  <c r="AI2511" i="7"/>
  <c r="AI2565" i="7"/>
  <c r="AI2625" i="7"/>
  <c r="Y2901" i="7"/>
  <c r="Z2901" i="7" s="1"/>
  <c r="Y2984" i="7"/>
  <c r="Z2984" i="7" s="1"/>
  <c r="AI3093" i="7"/>
  <c r="Y3093" i="7"/>
  <c r="Z3093" i="7" s="1"/>
  <c r="AH3093" i="7" s="1"/>
  <c r="AI3105" i="7"/>
  <c r="Y3105" i="7"/>
  <c r="Z3105" i="7" s="1"/>
  <c r="AI3150" i="7"/>
  <c r="AI3278" i="7"/>
  <c r="Y3278" i="7"/>
  <c r="Z3278" i="7" s="1"/>
  <c r="AI3311" i="7"/>
  <c r="Y3311" i="7"/>
  <c r="Z3311" i="7" s="1"/>
  <c r="Y2864" i="7"/>
  <c r="Z2864" i="7" s="1"/>
  <c r="AM2864" i="7" s="1"/>
  <c r="Y2924" i="7"/>
  <c r="Z2924" i="7" s="1"/>
  <c r="Y3045" i="7"/>
  <c r="Z3045" i="7" s="1"/>
  <c r="AC3045" i="7" s="1"/>
  <c r="AM3139" i="7"/>
  <c r="Y3373" i="7"/>
  <c r="Z3373" i="7" s="1"/>
  <c r="AI3444" i="7"/>
  <c r="Y3444" i="7"/>
  <c r="Z3444" i="7" s="1"/>
  <c r="AM3444" i="7" s="1"/>
  <c r="AH2384" i="7"/>
  <c r="AI2998" i="7"/>
  <c r="Y2998" i="7"/>
  <c r="Z2998" i="7" s="1"/>
  <c r="AA2998" i="7" s="1"/>
  <c r="Y3071" i="7"/>
  <c r="Z3071" i="7" s="1"/>
  <c r="AC3071" i="7" s="1"/>
  <c r="Y3073" i="7"/>
  <c r="Z3073" i="7" s="1"/>
  <c r="AC3073" i="7" s="1"/>
  <c r="AI3222" i="7"/>
  <c r="Y3222" i="7"/>
  <c r="Z3222" i="7" s="1"/>
  <c r="AC3222" i="7" s="1"/>
  <c r="Y3267" i="7"/>
  <c r="Z3267" i="7" s="1"/>
  <c r="AM3267" i="7" s="1"/>
  <c r="Y3442" i="7"/>
  <c r="Z3442" i="7" s="1"/>
  <c r="AC3512" i="7"/>
  <c r="AE3512" i="7"/>
  <c r="AF3512" i="7" s="1"/>
  <c r="Y2795" i="7"/>
  <c r="Z2795" i="7" s="1"/>
  <c r="AE2795" i="7" s="1"/>
  <c r="AF2795" i="7" s="1"/>
  <c r="Y2856" i="7"/>
  <c r="Z2856" i="7" s="1"/>
  <c r="AC2856" i="7" s="1"/>
  <c r="AI2992" i="7"/>
  <c r="Y2992" i="7"/>
  <c r="Z2992" i="7" s="1"/>
  <c r="AC2992" i="7" s="1"/>
  <c r="Y2994" i="7"/>
  <c r="Z2994" i="7" s="1"/>
  <c r="AM3275" i="7"/>
  <c r="Y3277" i="7"/>
  <c r="Z3277" i="7" s="1"/>
  <c r="AE3277" i="7" s="1"/>
  <c r="AF3277" i="7" s="1"/>
  <c r="Y3304" i="7"/>
  <c r="Z3304" i="7" s="1"/>
  <c r="AC3304" i="7" s="1"/>
  <c r="AI3304" i="7"/>
  <c r="Y3265" i="7"/>
  <c r="Z3265" i="7" s="1"/>
  <c r="AM3265" i="7" s="1"/>
  <c r="AI3288" i="7"/>
  <c r="AM2173" i="7"/>
  <c r="AM2416" i="7"/>
  <c r="Y2607" i="7"/>
  <c r="Z2607" i="7" s="1"/>
  <c r="AC2607" i="7" s="1"/>
  <c r="AM2611" i="7"/>
  <c r="Y2871" i="7"/>
  <c r="Z2871" i="7" s="1"/>
  <c r="AA2871" i="7" s="1"/>
  <c r="AI2871" i="7"/>
  <c r="Y2919" i="7"/>
  <c r="Z2919" i="7" s="1"/>
  <c r="AA2919" i="7" s="1"/>
  <c r="Y3066" i="7"/>
  <c r="Z3066" i="7" s="1"/>
  <c r="AM3066" i="7" s="1"/>
  <c r="AI3204" i="7"/>
  <c r="Y3204" i="7"/>
  <c r="Z3204" i="7" s="1"/>
  <c r="AC3204" i="7" s="1"/>
  <c r="Y3601" i="7"/>
  <c r="Z3601" i="7" s="1"/>
  <c r="AM3601" i="7" s="1"/>
  <c r="Y2791" i="7"/>
  <c r="Z2791" i="7" s="1"/>
  <c r="AC2791" i="7" s="1"/>
  <c r="Y2845" i="7"/>
  <c r="Z2845" i="7" s="1"/>
  <c r="AM2845" i="7" s="1"/>
  <c r="Y2917" i="7"/>
  <c r="Z2917" i="7" s="1"/>
  <c r="Y3136" i="7"/>
  <c r="Z3136" i="7" s="1"/>
  <c r="AI3198" i="7"/>
  <c r="Y3257" i="7"/>
  <c r="Z3257" i="7" s="1"/>
  <c r="AI3413" i="7"/>
  <c r="Y3413" i="7"/>
  <c r="Z3413" i="7" s="1"/>
  <c r="AM3413" i="7" s="1"/>
  <c r="Y2540" i="7"/>
  <c r="Z2540" i="7" s="1"/>
  <c r="AE2873" i="7"/>
  <c r="AF2873" i="7" s="1"/>
  <c r="AI3024" i="7"/>
  <c r="Y3024" i="7"/>
  <c r="Z3024" i="7" s="1"/>
  <c r="AH3024" i="7" s="1"/>
  <c r="Y3046" i="7"/>
  <c r="Z3046" i="7" s="1"/>
  <c r="AH3046" i="7" s="1"/>
  <c r="Y3134" i="7"/>
  <c r="Z3134" i="7" s="1"/>
  <c r="AA3134" i="7" s="1"/>
  <c r="AM2194" i="7"/>
  <c r="AI2988" i="7"/>
  <c r="AI3482" i="7"/>
  <c r="Y3482" i="7"/>
  <c r="Z3482" i="7" s="1"/>
  <c r="AE3482" i="7" s="1"/>
  <c r="AF3482" i="7" s="1"/>
  <c r="AI3664" i="7"/>
  <c r="AI3437" i="7"/>
  <c r="Y3554" i="7"/>
  <c r="Z3554" i="7" s="1"/>
  <c r="AC3554" i="7" s="1"/>
  <c r="AI3560" i="7"/>
  <c r="Y3560" i="7"/>
  <c r="Z3560" i="7" s="1"/>
  <c r="AI3652" i="7"/>
  <c r="Y3652" i="7"/>
  <c r="Z3652" i="7" s="1"/>
  <c r="AH3652" i="7" s="1"/>
  <c r="AM3379" i="7"/>
  <c r="Y3391" i="7"/>
  <c r="Z3391" i="7" s="1"/>
  <c r="AA3391" i="7" s="1"/>
  <c r="AB16" i="9"/>
  <c r="AC16" i="9"/>
  <c r="AE16" i="9"/>
  <c r="AM2873" i="7"/>
  <c r="Y2920" i="7"/>
  <c r="Z2920" i="7" s="1"/>
  <c r="AA2920" i="7" s="1"/>
  <c r="Y2991" i="7"/>
  <c r="Z2991" i="7" s="1"/>
  <c r="AC2991" i="7" s="1"/>
  <c r="Y3360" i="7"/>
  <c r="Z3360" i="7" s="1"/>
  <c r="AE3360" i="7" s="1"/>
  <c r="AF3360" i="7" s="1"/>
  <c r="Y3362" i="7"/>
  <c r="Z3362" i="7" s="1"/>
  <c r="AC3362" i="7" s="1"/>
  <c r="Y3419" i="7"/>
  <c r="Z3419" i="7" s="1"/>
  <c r="AI3457" i="7"/>
  <c r="Y3457" i="7"/>
  <c r="Z3457" i="7" s="1"/>
  <c r="AH3457" i="7" s="1"/>
  <c r="Y3522" i="7"/>
  <c r="Z3522" i="7" s="1"/>
  <c r="AI3374" i="7"/>
  <c r="Y3374" i="7"/>
  <c r="Z3374" i="7" s="1"/>
  <c r="AC3374" i="7" s="1"/>
  <c r="AE3527" i="7"/>
  <c r="AF3527" i="7" s="1"/>
  <c r="AA3527" i="7"/>
  <c r="Y2824" i="7"/>
  <c r="Z2824" i="7" s="1"/>
  <c r="AC2824" i="7" s="1"/>
  <c r="Y2888" i="7"/>
  <c r="Z2888" i="7" s="1"/>
  <c r="AA2888" i="7" s="1"/>
  <c r="Y3086" i="7"/>
  <c r="Z3086" i="7" s="1"/>
  <c r="AE3086" i="7" s="1"/>
  <c r="AF3086" i="7" s="1"/>
  <c r="Y3226" i="7"/>
  <c r="Z3226" i="7" s="1"/>
  <c r="Y3448" i="7"/>
  <c r="Z3448" i="7" s="1"/>
  <c r="AM3448" i="7" s="1"/>
  <c r="AI3484" i="7"/>
  <c r="AE7" i="9"/>
  <c r="AB7" i="9"/>
  <c r="AC7" i="9"/>
  <c r="AM3113" i="7"/>
  <c r="Y3718" i="7"/>
  <c r="Z3718" i="7" s="1"/>
  <c r="AA3718" i="7" s="1"/>
  <c r="AI3718" i="7"/>
  <c r="AI3675" i="7"/>
  <c r="Y3675" i="7"/>
  <c r="Z3675" i="7" s="1"/>
  <c r="AM3675" i="7" s="1"/>
  <c r="AE3704" i="7"/>
  <c r="AF3704" i="7" s="1"/>
  <c r="AC3704" i="7"/>
  <c r="AA3704" i="7"/>
  <c r="AF6" i="9"/>
  <c r="Z6" i="9"/>
  <c r="V6" i="9"/>
  <c r="W6" i="9" s="1"/>
  <c r="Z10" i="9"/>
  <c r="V10" i="9"/>
  <c r="W10" i="9"/>
  <c r="AF10" i="9"/>
  <c r="J13" i="12"/>
  <c r="AF12" i="9"/>
  <c r="Z12" i="9"/>
  <c r="AM2898" i="7"/>
  <c r="AI3461" i="7"/>
  <c r="Y3461" i="7"/>
  <c r="Z3461" i="7" s="1"/>
  <c r="AC3461" i="7" s="1"/>
  <c r="AI3618" i="7"/>
  <c r="Y3618" i="7"/>
  <c r="Z3618" i="7" s="1"/>
  <c r="Y3340" i="7"/>
  <c r="Z3340" i="7" s="1"/>
  <c r="AC3340" i="7" s="1"/>
  <c r="AM3425" i="7"/>
  <c r="AC3425" i="7"/>
  <c r="AJ21" i="9"/>
  <c r="AE21" i="9"/>
  <c r="AB21" i="9"/>
  <c r="AC21" i="9"/>
  <c r="AI3599" i="7"/>
  <c r="Y3599" i="7"/>
  <c r="Z3599" i="7" s="1"/>
  <c r="AE3599" i="7" s="1"/>
  <c r="AF3599" i="7" s="1"/>
  <c r="H9" i="12"/>
  <c r="J2" i="12"/>
  <c r="AJ7" i="9"/>
  <c r="Y3421" i="7"/>
  <c r="Z3421" i="7" s="1"/>
  <c r="AA3421" i="7" s="1"/>
  <c r="Y3508" i="7"/>
  <c r="Z3508" i="7" s="1"/>
  <c r="Y3565" i="7"/>
  <c r="Z3565" i="7" s="1"/>
  <c r="AC3565" i="7" s="1"/>
  <c r="Y3550" i="7"/>
  <c r="Z3550" i="7" s="1"/>
  <c r="AE3550" i="7" s="1"/>
  <c r="AF3550" i="7" s="1"/>
  <c r="Y3165" i="7"/>
  <c r="Z3165" i="7" s="1"/>
  <c r="AH3165" i="7" s="1"/>
  <c r="Y3232" i="7"/>
  <c r="Z3232" i="7" s="1"/>
  <c r="AM3232" i="7" s="1"/>
  <c r="AI3612" i="7"/>
  <c r="Y3612" i="7"/>
  <c r="Z3612" i="7" s="1"/>
  <c r="AC3612" i="7" s="1"/>
  <c r="AI3614" i="7"/>
  <c r="AI3752" i="7"/>
  <c r="Y3752" i="7"/>
  <c r="Z3752" i="7" s="1"/>
  <c r="AC3752" i="7" s="1"/>
  <c r="Y10" i="4"/>
  <c r="AF18" i="4"/>
  <c r="AC18" i="4"/>
  <c r="AD18" i="4"/>
  <c r="Y18" i="4"/>
  <c r="AF57" i="4"/>
  <c r="AC57" i="4"/>
  <c r="AD57" i="4"/>
  <c r="Y60" i="4"/>
  <c r="AF60" i="4"/>
  <c r="AC60" i="4"/>
  <c r="AD60" i="4"/>
  <c r="AF63" i="4"/>
  <c r="AC63" i="4"/>
  <c r="AD63" i="4" s="1"/>
  <c r="AF106" i="4"/>
  <c r="AC106" i="4"/>
  <c r="AD106" i="4" s="1"/>
  <c r="AA106" i="4"/>
  <c r="AF125" i="4"/>
  <c r="AC125" i="4"/>
  <c r="AD125" i="4" s="1"/>
  <c r="AC165" i="4"/>
  <c r="AD165" i="4"/>
  <c r="AA165" i="4"/>
  <c r="Y165" i="4"/>
  <c r="AM3613" i="7"/>
  <c r="AI3620" i="7"/>
  <c r="AI3642" i="7"/>
  <c r="AI3654" i="7"/>
  <c r="AC79" i="4"/>
  <c r="AD79" i="4"/>
  <c r="AF79" i="4"/>
  <c r="AF128" i="4"/>
  <c r="AC128" i="4"/>
  <c r="AD128" i="4" s="1"/>
  <c r="AA128" i="4"/>
  <c r="Y128" i="4"/>
  <c r="AF171" i="4"/>
  <c r="AC171" i="4"/>
  <c r="AD171" i="4" s="1"/>
  <c r="AA173" i="4"/>
  <c r="AC173" i="4"/>
  <c r="AD173" i="4" s="1"/>
  <c r="AC61" i="4"/>
  <c r="AD61" i="4"/>
  <c r="AA61" i="4"/>
  <c r="Y61" i="4"/>
  <c r="AF61" i="4"/>
  <c r="AF70" i="4"/>
  <c r="AC70" i="4"/>
  <c r="AD70" i="4" s="1"/>
  <c r="AF80" i="4"/>
  <c r="AC80" i="4"/>
  <c r="AD80" i="4"/>
  <c r="AF129" i="4"/>
  <c r="AC129" i="4"/>
  <c r="AD129" i="4" s="1"/>
  <c r="AF154" i="4"/>
  <c r="AC154" i="4"/>
  <c r="AD154" i="4" s="1"/>
  <c r="AF166" i="4"/>
  <c r="AC166" i="4"/>
  <c r="AD166" i="4"/>
  <c r="AM3584" i="7"/>
  <c r="AM3657" i="7"/>
  <c r="AF5" i="4"/>
  <c r="AC5" i="4"/>
  <c r="AD5" i="4" s="1"/>
  <c r="AC92" i="4"/>
  <c r="AD92" i="4"/>
  <c r="AF92" i="4"/>
  <c r="AF95" i="4"/>
  <c r="AC95" i="4"/>
  <c r="AD95" i="4"/>
  <c r="AA95" i="4"/>
  <c r="Y95" i="4"/>
  <c r="AC99" i="4"/>
  <c r="AD99" i="4"/>
  <c r="AF99" i="4"/>
  <c r="AA157" i="4"/>
  <c r="AF157" i="4"/>
  <c r="AC157" i="4"/>
  <c r="AD157" i="4" s="1"/>
  <c r="Y157" i="4"/>
  <c r="AC183" i="4"/>
  <c r="AD183" i="4"/>
  <c r="AF183" i="4"/>
  <c r="AM3606" i="7"/>
  <c r="Y3610" i="7"/>
  <c r="Z3610" i="7" s="1"/>
  <c r="AA3610" i="7" s="1"/>
  <c r="AB9" i="9"/>
  <c r="AC9" i="9" s="1"/>
  <c r="AF53" i="4"/>
  <c r="AC53" i="4"/>
  <c r="AD53" i="4" s="1"/>
  <c r="AF65" i="4"/>
  <c r="AC65" i="4"/>
  <c r="AD65" i="4"/>
  <c r="AF75" i="4"/>
  <c r="AC116" i="4"/>
  <c r="AD116" i="4" s="1"/>
  <c r="AF116" i="4"/>
  <c r="AF132" i="4"/>
  <c r="AC132" i="4"/>
  <c r="AD132" i="4"/>
  <c r="AF135" i="4"/>
  <c r="AC135" i="4"/>
  <c r="AD135" i="4"/>
  <c r="AI3801" i="7"/>
  <c r="Y3801" i="7"/>
  <c r="Z3801" i="7" s="1"/>
  <c r="AC17" i="4"/>
  <c r="AD17" i="4"/>
  <c r="Y17" i="4"/>
  <c r="AF86" i="4"/>
  <c r="AC86" i="4"/>
  <c r="AD86" i="4"/>
  <c r="AF108" i="4"/>
  <c r="AC108" i="4"/>
  <c r="AD108" i="4"/>
  <c r="AF167" i="4"/>
  <c r="AC167" i="4"/>
  <c r="AD167" i="4"/>
  <c r="AF59" i="4"/>
  <c r="AC59" i="4"/>
  <c r="AD59" i="4" s="1"/>
  <c r="AF62" i="4"/>
  <c r="AC62" i="4"/>
  <c r="AD62" i="4"/>
  <c r="AF81" i="4"/>
  <c r="AC81" i="4"/>
  <c r="AD81" i="4" s="1"/>
  <c r="AF105" i="4"/>
  <c r="AC105" i="4"/>
  <c r="AD105" i="4" s="1"/>
  <c r="AA105" i="4"/>
  <c r="AC170" i="4"/>
  <c r="AD170" i="4"/>
  <c r="AF170" i="4"/>
  <c r="AF78" i="4"/>
  <c r="AC78" i="4"/>
  <c r="AD78" i="4" s="1"/>
  <c r="AF96" i="4"/>
  <c r="AC96" i="4"/>
  <c r="AD96" i="4"/>
  <c r="AA127" i="4"/>
  <c r="Y127" i="4"/>
  <c r="AF127" i="4"/>
  <c r="AC127" i="4"/>
  <c r="AD127" i="4" s="1"/>
  <c r="AF155" i="4"/>
  <c r="AF162" i="4"/>
  <c r="AC162" i="4"/>
  <c r="AD162" i="4"/>
  <c r="Y3564" i="7"/>
  <c r="Z3564" i="7" s="1"/>
  <c r="AA3564" i="7" s="1"/>
  <c r="Y3648" i="7"/>
  <c r="Z3648" i="7" s="1"/>
  <c r="AM3648" i="7" s="1"/>
  <c r="AE11" i="9"/>
  <c r="AB11" i="9"/>
  <c r="AC11" i="9"/>
  <c r="AF6" i="4"/>
  <c r="AC6" i="4"/>
  <c r="AD6" i="4"/>
  <c r="Y6" i="4"/>
  <c r="AF12" i="4"/>
  <c r="AC12" i="4"/>
  <c r="AD12" i="4" s="1"/>
  <c r="AA12" i="4"/>
  <c r="Y12" i="4"/>
  <c r="AF93" i="4"/>
  <c r="AC93" i="4"/>
  <c r="AD93" i="4" s="1"/>
  <c r="AC119" i="4"/>
  <c r="AD119" i="4" s="1"/>
  <c r="AA119" i="4"/>
  <c r="Y119" i="4"/>
  <c r="AF119" i="4"/>
  <c r="AF141" i="4"/>
  <c r="AC141" i="4"/>
  <c r="AD141" i="4" s="1"/>
  <c r="AA141" i="4"/>
  <c r="Y141" i="4"/>
  <c r="AF181" i="4"/>
  <c r="AC181" i="4"/>
  <c r="AD181" i="4" s="1"/>
  <c r="Y181" i="4"/>
  <c r="AM3512" i="7"/>
  <c r="AH3927" i="7"/>
  <c r="Z20" i="9"/>
  <c r="AF117" i="4"/>
  <c r="AC133" i="4"/>
  <c r="AD133" i="4"/>
  <c r="AF133" i="4"/>
  <c r="AC136" i="4"/>
  <c r="AD136" i="4"/>
  <c r="AA136" i="4"/>
  <c r="Y136" i="4"/>
  <c r="AF136" i="4"/>
  <c r="AM2569" i="7"/>
  <c r="Y3679" i="7"/>
  <c r="Z3679" i="7" s="1"/>
  <c r="AA3679" i="7" s="1"/>
  <c r="V17" i="9"/>
  <c r="W17" i="9" s="1"/>
  <c r="AF15" i="4"/>
  <c r="AC15" i="4"/>
  <c r="AD15" i="4" s="1"/>
  <c r="Y15" i="4"/>
  <c r="AF51" i="4"/>
  <c r="AC51" i="4"/>
  <c r="AD51" i="4"/>
  <c r="AC87" i="4"/>
  <c r="AD87" i="4" s="1"/>
  <c r="AF87" i="4"/>
  <c r="AF109" i="4"/>
  <c r="AC109" i="4"/>
  <c r="AD109" i="4"/>
  <c r="AF176" i="4"/>
  <c r="AC176" i="4"/>
  <c r="AD176" i="4" s="1"/>
  <c r="E14" i="8"/>
  <c r="E30" i="8"/>
  <c r="AC16" i="4"/>
  <c r="AD16" i="4" s="1"/>
  <c r="AC66" i="4"/>
  <c r="AD66" i="4"/>
  <c r="AA89" i="4"/>
  <c r="AG95" i="4"/>
  <c r="AA146" i="4"/>
  <c r="AA164" i="4"/>
  <c r="AA182" i="4"/>
  <c r="E15" i="8"/>
  <c r="E31" i="8"/>
  <c r="AF74" i="4"/>
  <c r="AF82" i="4"/>
  <c r="AC89" i="4"/>
  <c r="AD89" i="4" s="1"/>
  <c r="AF102" i="4"/>
  <c r="AC146" i="4"/>
  <c r="AD146" i="4"/>
  <c r="AF158" i="4"/>
  <c r="AC164" i="4"/>
  <c r="AD164" i="4"/>
  <c r="AC182" i="4"/>
  <c r="AD182" i="4" s="1"/>
  <c r="AA192" i="4"/>
  <c r="Y192" i="4"/>
  <c r="AA54" i="4"/>
  <c r="AC68" i="4"/>
  <c r="AD68" i="4" s="1"/>
  <c r="AC126" i="4"/>
  <c r="AD126" i="4" s="1"/>
  <c r="AD160" i="4"/>
  <c r="AC188" i="4"/>
  <c r="AD188" i="4"/>
  <c r="AC54" i="4"/>
  <c r="AD54" i="4" s="1"/>
  <c r="W145" i="4"/>
  <c r="X145" i="4" s="1"/>
  <c r="AC145" i="4" s="1"/>
  <c r="AD145" i="4" s="1"/>
  <c r="W153" i="4"/>
  <c r="X153" i="4"/>
  <c r="E19" i="8"/>
  <c r="E35" i="8"/>
  <c r="W174" i="4"/>
  <c r="X174" i="4"/>
  <c r="E20" i="8"/>
  <c r="E36" i="8"/>
  <c r="E5" i="8"/>
  <c r="E21" i="8"/>
  <c r="E37" i="8"/>
  <c r="AC56" i="4"/>
  <c r="AD56" i="4"/>
  <c r="AC100" i="4"/>
  <c r="AD100" i="4" s="1"/>
  <c r="W111" i="4"/>
  <c r="X111" i="4"/>
  <c r="E6" i="8"/>
  <c r="E22" i="8"/>
  <c r="E38" i="8"/>
  <c r="AC150" i="4"/>
  <c r="AD150" i="4"/>
  <c r="W152" i="4"/>
  <c r="X152" i="4" s="1"/>
  <c r="AF193" i="4"/>
  <c r="AC193" i="4"/>
  <c r="AD193" i="4" s="1"/>
  <c r="AA193" i="4"/>
  <c r="Y193" i="4"/>
  <c r="E7" i="8"/>
  <c r="E23" i="8"/>
  <c r="E39" i="8"/>
  <c r="W64" i="4"/>
  <c r="X64" i="4" s="1"/>
  <c r="AC64" i="4" s="1"/>
  <c r="W90" i="4"/>
  <c r="X90" i="4"/>
  <c r="AC189" i="4"/>
  <c r="AD189" i="4"/>
  <c r="E8" i="8"/>
  <c r="E24" i="8"/>
  <c r="E40" i="8"/>
  <c r="Y3749" i="7"/>
  <c r="Z3749" i="7" s="1"/>
  <c r="E9" i="8"/>
  <c r="E25" i="8"/>
  <c r="E41" i="8"/>
  <c r="AM3806" i="7"/>
  <c r="E10" i="8"/>
  <c r="E26" i="8"/>
  <c r="E42" i="8"/>
  <c r="AC69" i="4"/>
  <c r="AD69" i="4"/>
  <c r="Y74" i="4"/>
  <c r="Y82" i="4"/>
  <c r="Y102" i="4"/>
  <c r="AC144" i="4"/>
  <c r="AD144" i="4"/>
  <c r="Y158" i="4"/>
  <c r="Y3746" i="7"/>
  <c r="Z3746" i="7" s="1"/>
  <c r="AA3746" i="7" s="1"/>
  <c r="E11" i="8"/>
  <c r="E27" i="8"/>
  <c r="E43" i="8"/>
  <c r="AA82" i="4"/>
  <c r="AA102" i="4"/>
  <c r="W180" i="4"/>
  <c r="X180" i="4" s="1"/>
  <c r="AM3704" i="7"/>
  <c r="AM3788" i="7"/>
  <c r="AM4055" i="7"/>
  <c r="E12" i="8"/>
  <c r="E28" i="8"/>
  <c r="E44" i="8"/>
  <c r="E13" i="8"/>
  <c r="AF147" i="4"/>
  <c r="W151" i="4"/>
  <c r="X151" i="4"/>
  <c r="AH1145" i="7"/>
  <c r="AE3152" i="7"/>
  <c r="AF3152" i="7" s="1"/>
  <c r="AC3152" i="7"/>
  <c r="AA3152" i="7"/>
  <c r="AA1706" i="7"/>
  <c r="AH1411" i="7"/>
  <c r="AE2762" i="7"/>
  <c r="AF2762" i="7" s="1"/>
  <c r="AC2808" i="7"/>
  <c r="AE2808" i="7"/>
  <c r="AF2808" i="7" s="1"/>
  <c r="AM2183" i="7"/>
  <c r="AM2186" i="7"/>
  <c r="AA2186" i="7"/>
  <c r="AH2421" i="7"/>
  <c r="AC2421" i="7"/>
  <c r="AA2421" i="7"/>
  <c r="AE1999" i="7"/>
  <c r="AF1999" i="7" s="1"/>
  <c r="AA1999" i="7"/>
  <c r="AE2101" i="7"/>
  <c r="AF2101" i="7" s="1"/>
  <c r="AA2101" i="7"/>
  <c r="AE2421" i="7"/>
  <c r="AF2421" i="7" s="1"/>
  <c r="AE2245" i="7"/>
  <c r="AF2245" i="7" s="1"/>
  <c r="AC2245" i="7"/>
  <c r="AC2300" i="7"/>
  <c r="AA2300" i="7"/>
  <c r="AA2245" i="7"/>
  <c r="AM2395" i="7"/>
  <c r="AH2395" i="7"/>
  <c r="AC2122" i="7"/>
  <c r="AA2122" i="7"/>
  <c r="AH2524" i="7"/>
  <c r="AE2524" i="7"/>
  <c r="AF2524" i="7" s="1"/>
  <c r="AM2207" i="7"/>
  <c r="AA2207" i="7"/>
  <c r="AM2251" i="7"/>
  <c r="AH2451" i="7"/>
  <c r="AH2515" i="7"/>
  <c r="AE2515" i="7"/>
  <c r="AF2515" i="7" s="1"/>
  <c r="AA2561" i="7"/>
  <c r="AA3044" i="7"/>
  <c r="AC3044" i="7"/>
  <c r="AE3044" i="7"/>
  <c r="AF3044" i="7" s="1"/>
  <c r="AA2590" i="7"/>
  <c r="AM2110" i="7"/>
  <c r="AE2736" i="7"/>
  <c r="AF2736" i="7" s="1"/>
  <c r="AE2990" i="7"/>
  <c r="AF2990" i="7" s="1"/>
  <c r="AC2990" i="7"/>
  <c r="AA2990" i="7"/>
  <c r="AC3743" i="7"/>
  <c r="AA3743" i="7"/>
  <c r="AM3743" i="7"/>
  <c r="AH2420" i="7"/>
  <c r="AE2420" i="7"/>
  <c r="AF2420" i="7" s="1"/>
  <c r="AH2542" i="7"/>
  <c r="AM2750" i="7"/>
  <c r="AM2420" i="7"/>
  <c r="AA2083" i="7"/>
  <c r="AM2195" i="7"/>
  <c r="AC2297" i="7"/>
  <c r="AA2297" i="7"/>
  <c r="AH2569" i="7"/>
  <c r="AE2569" i="7"/>
  <c r="AF2569" i="7" s="1"/>
  <c r="AC2614" i="7"/>
  <c r="AH2614" i="7"/>
  <c r="AA2614" i="7"/>
  <c r="AM2659" i="7"/>
  <c r="AE2659" i="7"/>
  <c r="AF2659" i="7" s="1"/>
  <c r="AM2525" i="7"/>
  <c r="AC2734" i="7"/>
  <c r="AE2734" i="7"/>
  <c r="AF2734" i="7" s="1"/>
  <c r="AC1969" i="7"/>
  <c r="AA2159" i="7"/>
  <c r="AE3037" i="7"/>
  <c r="AF3037" i="7" s="1"/>
  <c r="AH3037" i="7"/>
  <c r="AA3037" i="7"/>
  <c r="AM2874" i="7"/>
  <c r="AE2980" i="7"/>
  <c r="AF2980" i="7" s="1"/>
  <c r="AM3027" i="7"/>
  <c r="AM2519" i="7"/>
  <c r="AM2573" i="7"/>
  <c r="AA3058" i="7"/>
  <c r="AE3058" i="7"/>
  <c r="AF3058" i="7" s="1"/>
  <c r="AE3081" i="7"/>
  <c r="AF3081" i="7" s="1"/>
  <c r="AH3081" i="7"/>
  <c r="AC3081" i="7"/>
  <c r="AA3081" i="7"/>
  <c r="AM2412" i="7"/>
  <c r="AA2785" i="7"/>
  <c r="AM3037" i="7"/>
  <c r="AE3051" i="7"/>
  <c r="AF3051" i="7" s="1"/>
  <c r="AC3051" i="7"/>
  <c r="AC3195" i="7"/>
  <c r="AE3195" i="7"/>
  <c r="AF3195" i="7" s="1"/>
  <c r="AE3247" i="7"/>
  <c r="AF3247" i="7" s="1"/>
  <c r="AH3247" i="7"/>
  <c r="AC3247" i="7"/>
  <c r="AM2609" i="7"/>
  <c r="AM2773" i="7"/>
  <c r="AE3070" i="7"/>
  <c r="AF3070" i="7" s="1"/>
  <c r="AC3070" i="7"/>
  <c r="AE3080" i="7"/>
  <c r="AF3080" i="7" s="1"/>
  <c r="AC3080" i="7"/>
  <c r="AM3195" i="7"/>
  <c r="AA3191" i="7"/>
  <c r="AE3191" i="7"/>
  <c r="AF3191" i="7" s="1"/>
  <c r="AA2664" i="7"/>
  <c r="AE2698" i="7"/>
  <c r="AF2698" i="7" s="1"/>
  <c r="AE2722" i="7"/>
  <c r="AF2722" i="7" s="1"/>
  <c r="AC3191" i="7"/>
  <c r="AM2421" i="7"/>
  <c r="AM2445" i="7"/>
  <c r="AE2664" i="7"/>
  <c r="AF2664" i="7" s="1"/>
  <c r="AM2808" i="7"/>
  <c r="AA2971" i="7"/>
  <c r="AE2971" i="7"/>
  <c r="AF2971" i="7" s="1"/>
  <c r="AA3039" i="7"/>
  <c r="AC3039" i="7"/>
  <c r="AE3269" i="7"/>
  <c r="AF3269" i="7" s="1"/>
  <c r="AC3269" i="7"/>
  <c r="AA3269" i="7"/>
  <c r="AC3739" i="7"/>
  <c r="AE3739" i="7"/>
  <c r="AF3739" i="7" s="1"/>
  <c r="AA3739" i="7"/>
  <c r="AA2927" i="7"/>
  <c r="AE2927" i="7"/>
  <c r="AF2927" i="7" s="1"/>
  <c r="AC2927" i="7"/>
  <c r="AH3166" i="7"/>
  <c r="AM2419" i="7"/>
  <c r="AH2751" i="7"/>
  <c r="AM2971" i="7"/>
  <c r="AM3015" i="7"/>
  <c r="AE3027" i="7"/>
  <c r="AF3027" i="7" s="1"/>
  <c r="AH3027" i="7"/>
  <c r="AA3027" i="7"/>
  <c r="AE3376" i="7"/>
  <c r="AF3376" i="7" s="1"/>
  <c r="AC3376" i="7"/>
  <c r="AA3376" i="7"/>
  <c r="AA3113" i="7"/>
  <c r="AC3121" i="7"/>
  <c r="AM3789" i="7"/>
  <c r="AM2850" i="7"/>
  <c r="AM2877" i="7"/>
  <c r="AC3113" i="7"/>
  <c r="AE2755" i="7"/>
  <c r="AF2755" i="7" s="1"/>
  <c r="AM2975" i="7"/>
  <c r="AH3459" i="7"/>
  <c r="AA3736" i="7"/>
  <c r="AE3736" i="7"/>
  <c r="AF3736" i="7" s="1"/>
  <c r="AC3736" i="7"/>
  <c r="AE3806" i="7"/>
  <c r="AF3806" i="7" s="1"/>
  <c r="AH3806" i="7"/>
  <c r="AC3806" i="7"/>
  <c r="AA3806" i="7"/>
  <c r="AC3829" i="7"/>
  <c r="AE3686" i="7"/>
  <c r="AF3686" i="7" s="1"/>
  <c r="AC3686" i="7"/>
  <c r="AA3686" i="7"/>
  <c r="AH2978" i="7"/>
  <c r="AM3039" i="7"/>
  <c r="AC3372" i="7"/>
  <c r="AA3372" i="7"/>
  <c r="AM3686" i="7"/>
  <c r="AM3206" i="7"/>
  <c r="AM2904" i="7"/>
  <c r="AM2938" i="7"/>
  <c r="AA3503" i="7"/>
  <c r="AE3503" i="7"/>
  <c r="AF3503" i="7" s="1"/>
  <c r="AC3503" i="7"/>
  <c r="AH3367" i="7"/>
  <c r="AC3367" i="7"/>
  <c r="AC3754" i="7"/>
  <c r="AM3754" i="7"/>
  <c r="AE3754" i="7"/>
  <c r="AF3754" i="7" s="1"/>
  <c r="AM2860" i="7"/>
  <c r="AC3332" i="7"/>
  <c r="AE3460" i="7"/>
  <c r="AF3460" i="7" s="1"/>
  <c r="AH3503" i="7"/>
  <c r="AM2893" i="7"/>
  <c r="AM3070" i="7"/>
  <c r="AM3080" i="7"/>
  <c r="AM3121" i="7"/>
  <c r="AM3298" i="7"/>
  <c r="AA3332" i="7"/>
  <c r="AC3430" i="7"/>
  <c r="AC3623" i="7"/>
  <c r="AH3303" i="7"/>
  <c r="AH3312" i="7"/>
  <c r="AM3342" i="7"/>
  <c r="AE3425" i="7"/>
  <c r="AF3425" i="7" s="1"/>
  <c r="AM3527" i="7"/>
  <c r="AM3796" i="7"/>
  <c r="AM4057" i="7"/>
  <c r="AM4069" i="7"/>
  <c r="AM3574" i="7"/>
  <c r="AC3501" i="7"/>
  <c r="AE3501" i="7"/>
  <c r="AF3501" i="7" s="1"/>
  <c r="AM3347" i="7"/>
  <c r="AM3371" i="7"/>
  <c r="AM3503" i="7"/>
  <c r="AC1597" i="7"/>
  <c r="AA1597" i="7"/>
  <c r="AA903" i="7"/>
  <c r="AA930" i="7"/>
  <c r="AC1703" i="7"/>
  <c r="AC1126" i="7"/>
  <c r="AC1274" i="7"/>
  <c r="AC1394" i="7"/>
  <c r="AA1394" i="7"/>
  <c r="AC1298" i="7"/>
  <c r="AA1298" i="7"/>
  <c r="AH1421" i="7"/>
  <c r="AA2200" i="7"/>
  <c r="AE2200" i="7"/>
  <c r="AF2200" i="7" s="1"/>
  <c r="AC2200" i="7"/>
  <c r="AC1924" i="7"/>
  <c r="AC1923" i="7"/>
  <c r="AA1923" i="7"/>
  <c r="AH1752" i="7"/>
  <c r="AC1857" i="7"/>
  <c r="AE1923" i="7"/>
  <c r="AF1923" i="7" s="1"/>
  <c r="AA2156" i="7"/>
  <c r="AC1920" i="7"/>
  <c r="AM1915" i="7"/>
  <c r="AH1915" i="7"/>
  <c r="AE1915" i="7"/>
  <c r="AF1915" i="7" s="1"/>
  <c r="AC1915" i="7"/>
  <c r="AA1915" i="7"/>
  <c r="AH2102" i="7"/>
  <c r="AE2102" i="7"/>
  <c r="AF2102" i="7" s="1"/>
  <c r="AC2102" i="7"/>
  <c r="AA2102" i="7"/>
  <c r="AM1799" i="7"/>
  <c r="AC2032" i="7"/>
  <c r="AA2032" i="7"/>
  <c r="AC1762" i="7"/>
  <c r="AC1914" i="7"/>
  <c r="AA1914" i="7"/>
  <c r="AE2213" i="7"/>
  <c r="AF2213" i="7" s="1"/>
  <c r="AE2174" i="7"/>
  <c r="AF2174" i="7" s="1"/>
  <c r="AC2174" i="7"/>
  <c r="AA2174" i="7"/>
  <c r="AE2220" i="7"/>
  <c r="AF2220" i="7" s="1"/>
  <c r="AC2220" i="7"/>
  <c r="AA2220" i="7"/>
  <c r="AA2257" i="7"/>
  <c r="AE2257" i="7"/>
  <c r="AF2257" i="7" s="1"/>
  <c r="AC2257" i="7"/>
  <c r="AC2164" i="7"/>
  <c r="AE2236" i="7"/>
  <c r="AF2236" i="7" s="1"/>
  <c r="AC2236" i="7"/>
  <c r="AH2110" i="7"/>
  <c r="AH2154" i="7"/>
  <c r="AE2154" i="7"/>
  <c r="AF2154" i="7" s="1"/>
  <c r="AC2154" i="7"/>
  <c r="AA2154" i="7"/>
  <c r="AC2195" i="7"/>
  <c r="AA2195" i="7"/>
  <c r="AH2195" i="7"/>
  <c r="AE2195" i="7"/>
  <c r="AF2195" i="7" s="1"/>
  <c r="AE2328" i="7"/>
  <c r="AF2328" i="7" s="1"/>
  <c r="AA2328" i="7"/>
  <c r="AC2328" i="7"/>
  <c r="AA1805" i="7"/>
  <c r="AH2173" i="7"/>
  <c r="AA2173" i="7"/>
  <c r="AC1805" i="7"/>
  <c r="AM2102" i="7"/>
  <c r="AA2185" i="7"/>
  <c r="AE2185" i="7"/>
  <c r="AF2185" i="7" s="1"/>
  <c r="AC2185" i="7"/>
  <c r="AE2235" i="7"/>
  <c r="AF2235" i="7" s="1"/>
  <c r="AC2235" i="7"/>
  <c r="AA2235" i="7"/>
  <c r="AH2190" i="7"/>
  <c r="AE2202" i="7"/>
  <c r="AF2202" i="7" s="1"/>
  <c r="AC2202" i="7"/>
  <c r="AA2202" i="7"/>
  <c r="AE2205" i="7"/>
  <c r="AF2205" i="7" s="1"/>
  <c r="AH2221" i="7"/>
  <c r="AE2221" i="7"/>
  <c r="AF2221" i="7" s="1"/>
  <c r="AC2221" i="7"/>
  <c r="AA2221" i="7"/>
  <c r="AC2377" i="7"/>
  <c r="AA2377" i="7"/>
  <c r="AE2377" i="7"/>
  <c r="AF2377" i="7" s="1"/>
  <c r="AA2111" i="7"/>
  <c r="AH2111" i="7"/>
  <c r="AC2111" i="7"/>
  <c r="AC2210" i="7"/>
  <c r="AA2210" i="7"/>
  <c r="AH2210" i="7"/>
  <c r="AE2210" i="7"/>
  <c r="AF2210" i="7" s="1"/>
  <c r="AA2239" i="7"/>
  <c r="AH2239" i="7"/>
  <c r="AE2239" i="7"/>
  <c r="AF2239" i="7" s="1"/>
  <c r="AC2239" i="7"/>
  <c r="AH2274" i="7"/>
  <c r="AE2274" i="7"/>
  <c r="AF2274" i="7" s="1"/>
  <c r="AC2274" i="7"/>
  <c r="AA2274" i="7"/>
  <c r="AE2075" i="7"/>
  <c r="AF2075" i="7" s="1"/>
  <c r="AC2075" i="7"/>
  <c r="AA2075" i="7"/>
  <c r="AA2242" i="7"/>
  <c r="AE2242" i="7"/>
  <c r="AF2242" i="7" s="1"/>
  <c r="AC2242" i="7"/>
  <c r="AE2074" i="7"/>
  <c r="AF2074" i="7" s="1"/>
  <c r="AA2074" i="7"/>
  <c r="AM2106" i="7"/>
  <c r="AC2376" i="7"/>
  <c r="AA2376" i="7"/>
  <c r="AE2376" i="7"/>
  <c r="AF2376" i="7" s="1"/>
  <c r="AC2329" i="7"/>
  <c r="AA2329" i="7"/>
  <c r="AM2389" i="7"/>
  <c r="AE2389" i="7"/>
  <c r="AF2389" i="7" s="1"/>
  <c r="AA2389" i="7"/>
  <c r="AH2429" i="7"/>
  <c r="AE2429" i="7"/>
  <c r="AF2429" i="7" s="1"/>
  <c r="AA2429" i="7"/>
  <c r="AE2670" i="7"/>
  <c r="AF2670" i="7" s="1"/>
  <c r="AC2670" i="7"/>
  <c r="AA2670" i="7"/>
  <c r="AC2389" i="7"/>
  <c r="AA2399" i="7"/>
  <c r="AE2399" i="7"/>
  <c r="AF2399" i="7" s="1"/>
  <c r="AH2412" i="7"/>
  <c r="AE2412" i="7"/>
  <c r="AF2412" i="7" s="1"/>
  <c r="AC2412" i="7"/>
  <c r="AA2412" i="7"/>
  <c r="AH2419" i="7"/>
  <c r="AE2419" i="7"/>
  <c r="AF2419" i="7" s="1"/>
  <c r="AC2419" i="7"/>
  <c r="AA2419" i="7"/>
  <c r="AA2460" i="7"/>
  <c r="AE2506" i="7"/>
  <c r="AF2506" i="7" s="1"/>
  <c r="AM2526" i="7"/>
  <c r="AH2526" i="7"/>
  <c r="AH2575" i="7"/>
  <c r="AE2575" i="7"/>
  <c r="AF2575" i="7" s="1"/>
  <c r="AC2575" i="7"/>
  <c r="AA2575" i="7"/>
  <c r="AE2579" i="7"/>
  <c r="AF2579" i="7" s="1"/>
  <c r="AC2579" i="7"/>
  <c r="AA2579" i="7"/>
  <c r="AE2122" i="7"/>
  <c r="AF2122" i="7" s="1"/>
  <c r="AC2144" i="7"/>
  <c r="AC2186" i="7"/>
  <c r="AC2207" i="7"/>
  <c r="AC2251" i="7"/>
  <c r="AE2388" i="7"/>
  <c r="AF2388" i="7" s="1"/>
  <c r="AA2388" i="7"/>
  <c r="AH2389" i="7"/>
  <c r="AE2445" i="7"/>
  <c r="AF2445" i="7" s="1"/>
  <c r="AA2445" i="7"/>
  <c r="AH2445" i="7"/>
  <c r="AH2525" i="7"/>
  <c r="AA2529" i="7"/>
  <c r="AM2529" i="7"/>
  <c r="AH2529" i="7"/>
  <c r="AE2529" i="7"/>
  <c r="AF2529" i="7" s="1"/>
  <c r="AC2529" i="7"/>
  <c r="AM2579" i="7"/>
  <c r="AE2186" i="7"/>
  <c r="AF2186" i="7" s="1"/>
  <c r="AE2207" i="7"/>
  <c r="AF2207" i="7" s="1"/>
  <c r="AE2251" i="7"/>
  <c r="AF2251" i="7" s="1"/>
  <c r="AE2295" i="7"/>
  <c r="AF2295" i="7" s="1"/>
  <c r="AA2295" i="7"/>
  <c r="AE2384" i="7"/>
  <c r="AF2384" i="7" s="1"/>
  <c r="AC2384" i="7"/>
  <c r="AE2610" i="7"/>
  <c r="AF2610" i="7" s="1"/>
  <c r="AC2610" i="7"/>
  <c r="AA2610" i="7"/>
  <c r="AM2610" i="7"/>
  <c r="AA2183" i="7"/>
  <c r="AC2295" i="7"/>
  <c r="AA2305" i="7"/>
  <c r="AE2338" i="7"/>
  <c r="AF2338" i="7" s="1"/>
  <c r="AC2338" i="7"/>
  <c r="AH2393" i="7"/>
  <c r="AC2393" i="7"/>
  <c r="AA2393" i="7"/>
  <c r="AC2424" i="7"/>
  <c r="AA2424" i="7"/>
  <c r="AC2136" i="7"/>
  <c r="AC2183" i="7"/>
  <c r="AC2305" i="7"/>
  <c r="AA2338" i="7"/>
  <c r="AE2393" i="7"/>
  <c r="AF2393" i="7" s="1"/>
  <c r="AC2416" i="7"/>
  <c r="AA2416" i="7"/>
  <c r="AE2424" i="7"/>
  <c r="AF2424" i="7" s="1"/>
  <c r="AE2490" i="7"/>
  <c r="AF2490" i="7" s="1"/>
  <c r="AC2490" i="7"/>
  <c r="AA2490" i="7"/>
  <c r="AH2504" i="7"/>
  <c r="AE2504" i="7"/>
  <c r="AF2504" i="7" s="1"/>
  <c r="AC2504" i="7"/>
  <c r="AA2504" i="7"/>
  <c r="AE2551" i="7"/>
  <c r="AF2551" i="7" s="1"/>
  <c r="AC2551" i="7"/>
  <c r="AA2551" i="7"/>
  <c r="AH2610" i="7"/>
  <c r="AH2144" i="7"/>
  <c r="AE2183" i="7"/>
  <c r="AF2183" i="7" s="1"/>
  <c r="AH2186" i="7"/>
  <c r="AH2207" i="7"/>
  <c r="AE2208" i="7"/>
  <c r="AF2208" i="7" s="1"/>
  <c r="AH2251" i="7"/>
  <c r="AE2305" i="7"/>
  <c r="AF2305" i="7" s="1"/>
  <c r="AC2381" i="7"/>
  <c r="AA2381" i="7"/>
  <c r="AH2381" i="7"/>
  <c r="AM2384" i="7"/>
  <c r="AM2393" i="7"/>
  <c r="AM2426" i="7"/>
  <c r="AC2435" i="7"/>
  <c r="AA2435" i="7"/>
  <c r="AM2490" i="7"/>
  <c r="AC2498" i="7"/>
  <c r="AE2498" i="7"/>
  <c r="AF2498" i="7" s="1"/>
  <c r="AA2498" i="7"/>
  <c r="AH2528" i="7"/>
  <c r="AE2528" i="7"/>
  <c r="AF2528" i="7" s="1"/>
  <c r="AC2528" i="7"/>
  <c r="AA2528" i="7"/>
  <c r="AE2360" i="7"/>
  <c r="AF2360" i="7" s="1"/>
  <c r="AH2392" i="7"/>
  <c r="AE2392" i="7"/>
  <c r="AF2392" i="7" s="1"/>
  <c r="AA2392" i="7"/>
  <c r="AC2406" i="7"/>
  <c r="AA2406" i="7"/>
  <c r="AA2100" i="7"/>
  <c r="AA2110" i="7"/>
  <c r="AA2237" i="7"/>
  <c r="AC2374" i="7"/>
  <c r="AA2374" i="7"/>
  <c r="AC2392" i="7"/>
  <c r="AE2406" i="7"/>
  <c r="AF2406" i="7" s="1"/>
  <c r="AH2416" i="7"/>
  <c r="AC2420" i="7"/>
  <c r="AA2420" i="7"/>
  <c r="AM2504" i="7"/>
  <c r="AE2511" i="7"/>
  <c r="AF2511" i="7" s="1"/>
  <c r="AC2511" i="7"/>
  <c r="AC2100" i="7"/>
  <c r="AC2110" i="7"/>
  <c r="AC2237" i="7"/>
  <c r="AE2379" i="7"/>
  <c r="AF2379" i="7" s="1"/>
  <c r="AA2379" i="7"/>
  <c r="AM2392" i="7"/>
  <c r="AC2395" i="7"/>
  <c r="AA2395" i="7"/>
  <c r="AH2401" i="7"/>
  <c r="AE2401" i="7"/>
  <c r="AF2401" i="7" s="1"/>
  <c r="AC2401" i="7"/>
  <c r="AM2424" i="7"/>
  <c r="AE2447" i="7"/>
  <c r="AF2447" i="7" s="1"/>
  <c r="AC2447" i="7"/>
  <c r="AC2379" i="7"/>
  <c r="AM2381" i="7"/>
  <c r="AE2395" i="7"/>
  <c r="AF2395" i="7" s="1"/>
  <c r="AH2400" i="7"/>
  <c r="AE2400" i="7"/>
  <c r="AF2400" i="7" s="1"/>
  <c r="AC2400" i="7"/>
  <c r="AA2401" i="7"/>
  <c r="AE2474" i="7"/>
  <c r="AF2474" i="7" s="1"/>
  <c r="AC2474" i="7"/>
  <c r="AC2530" i="7"/>
  <c r="AA2530" i="7"/>
  <c r="AM2530" i="7"/>
  <c r="AE2530" i="7"/>
  <c r="AF2530" i="7" s="1"/>
  <c r="AH2638" i="7"/>
  <c r="AE2638" i="7"/>
  <c r="AF2638" i="7" s="1"/>
  <c r="AA2638" i="7"/>
  <c r="AC2638" i="7"/>
  <c r="AM2451" i="7"/>
  <c r="AM2478" i="7"/>
  <c r="AC2515" i="7"/>
  <c r="AA2605" i="7"/>
  <c r="AE2605" i="7"/>
  <c r="AF2605" i="7" s="1"/>
  <c r="AC2605" i="7"/>
  <c r="AM2524" i="7"/>
  <c r="AC2542" i="7"/>
  <c r="AA2542" i="7"/>
  <c r="AE2583" i="7"/>
  <c r="AF2583" i="7" s="1"/>
  <c r="AC2583" i="7"/>
  <c r="AA2583" i="7"/>
  <c r="AH2609" i="7"/>
  <c r="AA2609" i="7"/>
  <c r="AE2609" i="7"/>
  <c r="AF2609" i="7" s="1"/>
  <c r="AC2609" i="7"/>
  <c r="AH2644" i="7"/>
  <c r="AC2644" i="7"/>
  <c r="AA2451" i="7"/>
  <c r="AA2466" i="7"/>
  <c r="AM2528" i="7"/>
  <c r="AE2541" i="7"/>
  <c r="AF2541" i="7" s="1"/>
  <c r="AA2541" i="7"/>
  <c r="AM2542" i="7"/>
  <c r="AE2618" i="7"/>
  <c r="AF2618" i="7" s="1"/>
  <c r="AM2618" i="7"/>
  <c r="AH2618" i="7"/>
  <c r="AC2618" i="7"/>
  <c r="AA2618" i="7"/>
  <c r="AC2451" i="7"/>
  <c r="AE2555" i="7"/>
  <c r="AF2555" i="7" s="1"/>
  <c r="AC2555" i="7"/>
  <c r="AC2613" i="7"/>
  <c r="AM2613" i="7"/>
  <c r="AH2613" i="7"/>
  <c r="AE2613" i="7"/>
  <c r="AF2613" i="7" s="1"/>
  <c r="AE2451" i="7"/>
  <c r="AF2451" i="7" s="1"/>
  <c r="AC2552" i="7"/>
  <c r="AA2519" i="7"/>
  <c r="AA2524" i="7"/>
  <c r="AC2524" i="7"/>
  <c r="AE2525" i="7"/>
  <c r="AF2525" i="7" s="1"/>
  <c r="AC2525" i="7"/>
  <c r="AM2575" i="7"/>
  <c r="AE2584" i="7"/>
  <c r="AF2584" i="7" s="1"/>
  <c r="AC2584" i="7"/>
  <c r="AA2584" i="7"/>
  <c r="AE2606" i="7"/>
  <c r="AF2606" i="7" s="1"/>
  <c r="AM2606" i="7"/>
  <c r="AH2606" i="7"/>
  <c r="AC2606" i="7"/>
  <c r="AA2606" i="7"/>
  <c r="AH2649" i="7"/>
  <c r="AE2649" i="7"/>
  <c r="AF2649" i="7" s="1"/>
  <c r="AA2649" i="7"/>
  <c r="AH2611" i="7"/>
  <c r="AA2617" i="7"/>
  <c r="AM2638" i="7"/>
  <c r="AH2660" i="7"/>
  <c r="AE2660" i="7"/>
  <c r="AF2660" i="7" s="1"/>
  <c r="AC2660" i="7"/>
  <c r="AA2660" i="7"/>
  <c r="AC2675" i="7"/>
  <c r="AH2675" i="7"/>
  <c r="AE2740" i="7"/>
  <c r="AF2740" i="7" s="1"/>
  <c r="AA2740" i="7"/>
  <c r="AC2740" i="7"/>
  <c r="AC2846" i="7"/>
  <c r="AA2569" i="7"/>
  <c r="AA2595" i="7"/>
  <c r="AE2614" i="7"/>
  <c r="AF2614" i="7" s="1"/>
  <c r="AA2616" i="7"/>
  <c r="AC2617" i="7"/>
  <c r="AH2659" i="7"/>
  <c r="AC2659" i="7"/>
  <c r="AA2659" i="7"/>
  <c r="AM2660" i="7"/>
  <c r="AA2675" i="7"/>
  <c r="AH2804" i="7"/>
  <c r="AE2804" i="7"/>
  <c r="AF2804" i="7" s="1"/>
  <c r="AC2804" i="7"/>
  <c r="AM2804" i="7"/>
  <c r="AA2804" i="7"/>
  <c r="AC2569" i="7"/>
  <c r="AC2595" i="7"/>
  <c r="AC2616" i="7"/>
  <c r="AM2668" i="7"/>
  <c r="AE2668" i="7"/>
  <c r="AF2668" i="7" s="1"/>
  <c r="AC2668" i="7"/>
  <c r="AE2675" i="7"/>
  <c r="AF2675" i="7" s="1"/>
  <c r="AA2729" i="7"/>
  <c r="AM2729" i="7"/>
  <c r="AH2729" i="7"/>
  <c r="AE2729" i="7"/>
  <c r="AF2729" i="7" s="1"/>
  <c r="AC2729" i="7"/>
  <c r="AH2645" i="7"/>
  <c r="AE2645" i="7"/>
  <c r="AF2645" i="7" s="1"/>
  <c r="AA2645" i="7"/>
  <c r="AH2709" i="7"/>
  <c r="AA2573" i="7"/>
  <c r="AA2592" i="7"/>
  <c r="AC2645" i="7"/>
  <c r="AC2573" i="7"/>
  <c r="AE2592" i="7"/>
  <c r="AF2592" i="7" s="1"/>
  <c r="AM2614" i="7"/>
  <c r="AH2668" i="7"/>
  <c r="AM2675" i="7"/>
  <c r="AE2677" i="7"/>
  <c r="AF2677" i="7" s="1"/>
  <c r="AC2677" i="7"/>
  <c r="AA2677" i="7"/>
  <c r="AC2650" i="7"/>
  <c r="AA2650" i="7"/>
  <c r="AA2640" i="7"/>
  <c r="AE2655" i="7"/>
  <c r="AF2655" i="7" s="1"/>
  <c r="AA2655" i="7"/>
  <c r="AE2640" i="7"/>
  <c r="AF2640" i="7" s="1"/>
  <c r="AM2664" i="7"/>
  <c r="AH2664" i="7"/>
  <c r="AE2732" i="7"/>
  <c r="AF2732" i="7" s="1"/>
  <c r="AC2732" i="7"/>
  <c r="AH2778" i="7"/>
  <c r="AA2778" i="7"/>
  <c r="AA2811" i="7"/>
  <c r="AM2811" i="7"/>
  <c r="AE2811" i="7"/>
  <c r="AF2811" i="7" s="1"/>
  <c r="AC2811" i="7"/>
  <c r="AM2855" i="7"/>
  <c r="AA2732" i="7"/>
  <c r="AE2737" i="7"/>
  <c r="AF2737" i="7" s="1"/>
  <c r="AE2738" i="7"/>
  <c r="AF2738" i="7" s="1"/>
  <c r="AA2770" i="7"/>
  <c r="AC2778" i="7"/>
  <c r="AE2818" i="7"/>
  <c r="AF2818" i="7" s="1"/>
  <c r="AC2818" i="7"/>
  <c r="AA2818" i="7"/>
  <c r="AA2986" i="7"/>
  <c r="AC2770" i="7"/>
  <c r="AE2778" i="7"/>
  <c r="AF2778" i="7" s="1"/>
  <c r="AH2706" i="7"/>
  <c r="AC2722" i="7"/>
  <c r="AA2734" i="7"/>
  <c r="AC2736" i="7"/>
  <c r="AA2736" i="7"/>
  <c r="AM2736" i="7"/>
  <c r="AC2737" i="7"/>
  <c r="AC2738" i="7"/>
  <c r="AC2762" i="7"/>
  <c r="AA2762" i="7"/>
  <c r="AA2764" i="7"/>
  <c r="AE2770" i="7"/>
  <c r="AF2770" i="7" s="1"/>
  <c r="AM2849" i="7"/>
  <c r="AH2849" i="7"/>
  <c r="AE2849" i="7"/>
  <c r="AF2849" i="7" s="1"/>
  <c r="AC2849" i="7"/>
  <c r="AA2754" i="7"/>
  <c r="AE2754" i="7"/>
  <c r="AF2754" i="7" s="1"/>
  <c r="AE2776" i="7"/>
  <c r="AF2776" i="7" s="1"/>
  <c r="AA2776" i="7"/>
  <c r="AH2776" i="7"/>
  <c r="AA2787" i="7"/>
  <c r="AE2796" i="7"/>
  <c r="AF2796" i="7" s="1"/>
  <c r="AC2796" i="7"/>
  <c r="AA2796" i="7"/>
  <c r="AM2796" i="7"/>
  <c r="AH2796" i="7"/>
  <c r="AH2826" i="7"/>
  <c r="AE2826" i="7"/>
  <c r="AF2826" i="7" s="1"/>
  <c r="AA2826" i="7"/>
  <c r="AA2829" i="7"/>
  <c r="AM2829" i="7"/>
  <c r="AE2829" i="7"/>
  <c r="AF2829" i="7" s="1"/>
  <c r="AC2829" i="7"/>
  <c r="AM2751" i="7"/>
  <c r="AC2751" i="7"/>
  <c r="AA2751" i="7"/>
  <c r="AE2753" i="7"/>
  <c r="AF2753" i="7" s="1"/>
  <c r="AC2753" i="7"/>
  <c r="AC2754" i="7"/>
  <c r="AC2776" i="7"/>
  <c r="AM2778" i="7"/>
  <c r="AC2826" i="7"/>
  <c r="AE2834" i="7"/>
  <c r="AF2834" i="7" s="1"/>
  <c r="AH2834" i="7"/>
  <c r="AC2834" i="7"/>
  <c r="AA2834" i="7"/>
  <c r="AH2722" i="7"/>
  <c r="AA2750" i="7"/>
  <c r="AE2750" i="7"/>
  <c r="AF2750" i="7" s="1"/>
  <c r="AE2751" i="7"/>
  <c r="AF2751" i="7" s="1"/>
  <c r="AA2753" i="7"/>
  <c r="AE2759" i="7"/>
  <c r="AF2759" i="7" s="1"/>
  <c r="AE2768" i="7"/>
  <c r="AF2768" i="7" s="1"/>
  <c r="AC2768" i="7"/>
  <c r="AH2768" i="7"/>
  <c r="AA2790" i="7"/>
  <c r="AE2790" i="7"/>
  <c r="AF2790" i="7" s="1"/>
  <c r="AM2826" i="7"/>
  <c r="AH2829" i="7"/>
  <c r="AM2834" i="7"/>
  <c r="AA2988" i="7"/>
  <c r="AE2988" i="7"/>
  <c r="AF2988" i="7" s="1"/>
  <c r="AC2988" i="7"/>
  <c r="AH2754" i="7"/>
  <c r="AH2800" i="7"/>
  <c r="AE2800" i="7"/>
  <c r="AF2800" i="7" s="1"/>
  <c r="AA2800" i="7"/>
  <c r="AE2805" i="7"/>
  <c r="AF2805" i="7" s="1"/>
  <c r="AC2805" i="7"/>
  <c r="AA2805" i="7"/>
  <c r="AH2805" i="7"/>
  <c r="AM2764" i="7"/>
  <c r="AM2776" i="7"/>
  <c r="AE2783" i="7"/>
  <c r="AF2783" i="7" s="1"/>
  <c r="AA2783" i="7"/>
  <c r="AC2800" i="7"/>
  <c r="AM2805" i="7"/>
  <c r="AH2825" i="7"/>
  <c r="AE2825" i="7"/>
  <c r="AF2825" i="7" s="1"/>
  <c r="AC2825" i="7"/>
  <c r="AA2825" i="7"/>
  <c r="AE2828" i="7"/>
  <c r="AF2828" i="7" s="1"/>
  <c r="AC2828" i="7"/>
  <c r="AA2828" i="7"/>
  <c r="AC2847" i="7"/>
  <c r="AA2847" i="7"/>
  <c r="AM2900" i="7"/>
  <c r="AH2900" i="7"/>
  <c r="AE2900" i="7"/>
  <c r="AF2900" i="7" s="1"/>
  <c r="AC2900" i="7"/>
  <c r="AA2900" i="7"/>
  <c r="AM2754" i="7"/>
  <c r="AA2773" i="7"/>
  <c r="AE2773" i="7"/>
  <c r="AF2773" i="7" s="1"/>
  <c r="AC2773" i="7"/>
  <c r="AE2789" i="7"/>
  <c r="AF2789" i="7" s="1"/>
  <c r="AC2789" i="7"/>
  <c r="AE2799" i="7"/>
  <c r="AF2799" i="7" s="1"/>
  <c r="AA2799" i="7"/>
  <c r="AM2800" i="7"/>
  <c r="AA2840" i="7"/>
  <c r="AE2840" i="7"/>
  <c r="AF2840" i="7" s="1"/>
  <c r="AC2840" i="7"/>
  <c r="AC2799" i="7"/>
  <c r="AA2837" i="7"/>
  <c r="AC2837" i="7"/>
  <c r="AM2837" i="7"/>
  <c r="AH2837" i="7"/>
  <c r="AE2837" i="7"/>
  <c r="AF2837" i="7" s="1"/>
  <c r="AE2797" i="7"/>
  <c r="AF2797" i="7" s="1"/>
  <c r="AM2868" i="7"/>
  <c r="AC2890" i="7"/>
  <c r="AA2918" i="7"/>
  <c r="AH2918" i="7"/>
  <c r="AE2931" i="7"/>
  <c r="AF2931" i="7" s="1"/>
  <c r="AC2931" i="7"/>
  <c r="AA2931" i="7"/>
  <c r="AH2973" i="7"/>
  <c r="AE2973" i="7"/>
  <c r="AF2973" i="7" s="1"/>
  <c r="AC2973" i="7"/>
  <c r="AA2973" i="7"/>
  <c r="AH3106" i="7"/>
  <c r="AE3106" i="7"/>
  <c r="AF3106" i="7" s="1"/>
  <c r="AC3106" i="7"/>
  <c r="AA3106" i="7"/>
  <c r="AA2884" i="7"/>
  <c r="AA2890" i="7"/>
  <c r="AC2918" i="7"/>
  <c r="AM2931" i="7"/>
  <c r="AM3106" i="7"/>
  <c r="AC2785" i="7"/>
  <c r="AA2808" i="7"/>
  <c r="AH2860" i="7"/>
  <c r="AC2884" i="7"/>
  <c r="AE2890" i="7"/>
  <c r="AF2890" i="7" s="1"/>
  <c r="AE2918" i="7"/>
  <c r="AF2918" i="7" s="1"/>
  <c r="AH2931" i="7"/>
  <c r="AM3040" i="7"/>
  <c r="AE3040" i="7"/>
  <c r="AF3040" i="7" s="1"/>
  <c r="AH3100" i="7"/>
  <c r="AE3100" i="7"/>
  <c r="AF3100" i="7" s="1"/>
  <c r="AC3100" i="7"/>
  <c r="AH2797" i="7"/>
  <c r="AA2860" i="7"/>
  <c r="AE2884" i="7"/>
  <c r="AF2884" i="7" s="1"/>
  <c r="AC2898" i="7"/>
  <c r="AA2898" i="7"/>
  <c r="AH2898" i="7"/>
  <c r="AM2918" i="7"/>
  <c r="AM2973" i="7"/>
  <c r="AA3100" i="7"/>
  <c r="AM2797" i="7"/>
  <c r="AH2850" i="7"/>
  <c r="AC2850" i="7"/>
  <c r="AH2975" i="7"/>
  <c r="AE2975" i="7"/>
  <c r="AF2975" i="7" s="1"/>
  <c r="AH2808" i="7"/>
  <c r="AA2850" i="7"/>
  <c r="AE2897" i="7"/>
  <c r="AF2897" i="7" s="1"/>
  <c r="AC2897" i="7"/>
  <c r="AA2897" i="7"/>
  <c r="AH2926" i="7"/>
  <c r="AE2926" i="7"/>
  <c r="AF2926" i="7" s="1"/>
  <c r="AC2926" i="7"/>
  <c r="AA2926" i="7"/>
  <c r="AH2939" i="7"/>
  <c r="AE2939" i="7"/>
  <c r="AF2939" i="7" s="1"/>
  <c r="AA2975" i="7"/>
  <c r="AE3074" i="7"/>
  <c r="AF3074" i="7" s="1"/>
  <c r="AH3074" i="7"/>
  <c r="AC3074" i="7"/>
  <c r="AA3074" i="7"/>
  <c r="AE2850" i="7"/>
  <c r="AF2850" i="7" s="1"/>
  <c r="AC2877" i="7"/>
  <c r="AH2877" i="7"/>
  <c r="AM2897" i="7"/>
  <c r="AM2926" i="7"/>
  <c r="AC2932" i="7"/>
  <c r="AA2939" i="7"/>
  <c r="AC2947" i="7"/>
  <c r="AC2975" i="7"/>
  <c r="AE2893" i="7"/>
  <c r="AF2893" i="7" s="1"/>
  <c r="AC2893" i="7"/>
  <c r="AA2893" i="7"/>
  <c r="AC2939" i="7"/>
  <c r="AE2974" i="7"/>
  <c r="AF2974" i="7" s="1"/>
  <c r="AC2974" i="7"/>
  <c r="AH2974" i="7"/>
  <c r="AA2797" i="7"/>
  <c r="AC2938" i="7"/>
  <c r="AA2938" i="7"/>
  <c r="AH2938" i="7"/>
  <c r="AM2939" i="7"/>
  <c r="AC3035" i="7"/>
  <c r="AA3035" i="7"/>
  <c r="AH3035" i="7"/>
  <c r="AM3035" i="7"/>
  <c r="AA2868" i="7"/>
  <c r="AC2873" i="7"/>
  <c r="AH2873" i="7"/>
  <c r="AH2874" i="7"/>
  <c r="AE2874" i="7"/>
  <c r="AF2874" i="7" s="1"/>
  <c r="AC2910" i="7"/>
  <c r="AE2938" i="7"/>
  <c r="AF2938" i="7" s="1"/>
  <c r="AE3035" i="7"/>
  <c r="AF3035" i="7" s="1"/>
  <c r="AM3096" i="7"/>
  <c r="AH3096" i="7"/>
  <c r="AE3096" i="7"/>
  <c r="AF3096" i="7" s="1"/>
  <c r="AC3096" i="7"/>
  <c r="AA3096" i="7"/>
  <c r="AM3100" i="7"/>
  <c r="AE3123" i="7"/>
  <c r="AF3123" i="7" s="1"/>
  <c r="AC3123" i="7"/>
  <c r="AA2987" i="7"/>
  <c r="AE3098" i="7"/>
  <c r="AF3098" i="7" s="1"/>
  <c r="AC3098" i="7"/>
  <c r="AA3098" i="7"/>
  <c r="AE3208" i="7"/>
  <c r="AF3208" i="7" s="1"/>
  <c r="AC3208" i="7"/>
  <c r="AA3208" i="7"/>
  <c r="AH2971" i="7"/>
  <c r="AA3013" i="7"/>
  <c r="AM3074" i="7"/>
  <c r="AA2904" i="7"/>
  <c r="AA2962" i="7"/>
  <c r="AH3011" i="7"/>
  <c r="AE3011" i="7"/>
  <c r="AF3011" i="7" s="1"/>
  <c r="AC3011" i="7"/>
  <c r="AH3033" i="7"/>
  <c r="AC3033" i="7"/>
  <c r="AA3033" i="7"/>
  <c r="AM3041" i="7"/>
  <c r="AH3041" i="7"/>
  <c r="AC3041" i="7"/>
  <c r="AA3041" i="7"/>
  <c r="AM3049" i="7"/>
  <c r="AH3049" i="7"/>
  <c r="AC3049" i="7"/>
  <c r="AA3049" i="7"/>
  <c r="AE3132" i="7"/>
  <c r="AF3132" i="7" s="1"/>
  <c r="AH3132" i="7"/>
  <c r="AC3132" i="7"/>
  <c r="AA3132" i="7"/>
  <c r="AE3159" i="7"/>
  <c r="AF3159" i="7" s="1"/>
  <c r="AA3159" i="7"/>
  <c r="AC3159" i="7"/>
  <c r="AC2904" i="7"/>
  <c r="AA3011" i="7"/>
  <c r="AM3033" i="7"/>
  <c r="AE3041" i="7"/>
  <c r="AF3041" i="7" s="1"/>
  <c r="AE3049" i="7"/>
  <c r="AF3049" i="7" s="1"/>
  <c r="AM3132" i="7"/>
  <c r="AE2962" i="7"/>
  <c r="AF2962" i="7" s="1"/>
  <c r="AH2980" i="7"/>
  <c r="AM3013" i="7"/>
  <c r="AA3048" i="7"/>
  <c r="AC3107" i="7"/>
  <c r="AM3107" i="7"/>
  <c r="AH3107" i="7"/>
  <c r="AE3107" i="7"/>
  <c r="AF3107" i="7" s="1"/>
  <c r="AA3107" i="7"/>
  <c r="AH3113" i="7"/>
  <c r="AE3115" i="7"/>
  <c r="AF3115" i="7" s="1"/>
  <c r="AC3115" i="7"/>
  <c r="AA3115" i="7"/>
  <c r="AC3125" i="7"/>
  <c r="AE3125" i="7"/>
  <c r="AF3125" i="7" s="1"/>
  <c r="AA3125" i="7"/>
  <c r="AE3186" i="7"/>
  <c r="AF3186" i="7" s="1"/>
  <c r="AC3186" i="7"/>
  <c r="AA3186" i="7"/>
  <c r="AA2978" i="7"/>
  <c r="AA2980" i="7"/>
  <c r="AC3048" i="7"/>
  <c r="AM3169" i="7"/>
  <c r="AH3169" i="7"/>
  <c r="AE3169" i="7"/>
  <c r="AF3169" i="7" s="1"/>
  <c r="AC3169" i="7"/>
  <c r="AA3169" i="7"/>
  <c r="AE3172" i="7"/>
  <c r="AF3172" i="7" s="1"/>
  <c r="AC3172" i="7"/>
  <c r="AA3172" i="7"/>
  <c r="AH3172" i="7"/>
  <c r="AM2995" i="7"/>
  <c r="AE3047" i="7"/>
  <c r="AF3047" i="7" s="1"/>
  <c r="AC3047" i="7"/>
  <c r="AA3047" i="7"/>
  <c r="AM3048" i="7"/>
  <c r="AM3177" i="7"/>
  <c r="AE3177" i="7"/>
  <c r="AF3177" i="7" s="1"/>
  <c r="AC3177" i="7"/>
  <c r="AA3177" i="7"/>
  <c r="AC3087" i="7"/>
  <c r="AA3087" i="7"/>
  <c r="AM3081" i="7"/>
  <c r="AE3087" i="7"/>
  <c r="AF3087" i="7" s="1"/>
  <c r="AA3119" i="7"/>
  <c r="AE3168" i="7"/>
  <c r="AF3168" i="7" s="1"/>
  <c r="AC3168" i="7"/>
  <c r="AH3070" i="7"/>
  <c r="AH3080" i="7"/>
  <c r="AM3172" i="7"/>
  <c r="AM3168" i="7"/>
  <c r="AE3245" i="7"/>
  <c r="AF3245" i="7" s="1"/>
  <c r="AA3245" i="7"/>
  <c r="AH3039" i="7"/>
  <c r="AH3044" i="7"/>
  <c r="AH3121" i="7"/>
  <c r="AE3190" i="7"/>
  <c r="AF3190" i="7" s="1"/>
  <c r="AC3190" i="7"/>
  <c r="AA3190" i="7"/>
  <c r="AC3245" i="7"/>
  <c r="AC3253" i="7"/>
  <c r="AH3253" i="7"/>
  <c r="AE3253" i="7"/>
  <c r="AF3253" i="7" s="1"/>
  <c r="AA3253" i="7"/>
  <c r="AE3237" i="7"/>
  <c r="AF3237" i="7" s="1"/>
  <c r="AC3237" i="7"/>
  <c r="AA3237" i="7"/>
  <c r="AC3027" i="7"/>
  <c r="AC3037" i="7"/>
  <c r="AM3044" i="7"/>
  <c r="AC3135" i="7"/>
  <c r="AE3210" i="7"/>
  <c r="AF3210" i="7" s="1"/>
  <c r="AC3210" i="7"/>
  <c r="AH3218" i="7"/>
  <c r="AE3218" i="7"/>
  <c r="AF3218" i="7" s="1"/>
  <c r="AC3218" i="7"/>
  <c r="AM3125" i="7"/>
  <c r="AE3135" i="7"/>
  <c r="AF3135" i="7" s="1"/>
  <c r="AE3166" i="7"/>
  <c r="AF3166" i="7" s="1"/>
  <c r="AC3166" i="7"/>
  <c r="AA3166" i="7"/>
  <c r="AM3166" i="7"/>
  <c r="AH3170" i="7"/>
  <c r="AE3170" i="7"/>
  <c r="AF3170" i="7" s="1"/>
  <c r="AC3170" i="7"/>
  <c r="AA3170" i="7"/>
  <c r="AE3206" i="7"/>
  <c r="AF3206" i="7" s="1"/>
  <c r="AC3206" i="7"/>
  <c r="AA3206" i="7"/>
  <c r="AA3210" i="7"/>
  <c r="AM3218" i="7"/>
  <c r="AA3173" i="7"/>
  <c r="AH3173" i="7"/>
  <c r="AC3259" i="7"/>
  <c r="AE3259" i="7"/>
  <c r="AF3259" i="7" s="1"/>
  <c r="AA3259" i="7"/>
  <c r="AA3051" i="7"/>
  <c r="AA3070" i="7"/>
  <c r="AA3080" i="7"/>
  <c r="AC3144" i="7"/>
  <c r="AA3144" i="7"/>
  <c r="AM3198" i="7"/>
  <c r="AH3198" i="7"/>
  <c r="AC3139" i="7"/>
  <c r="AE3183" i="7"/>
  <c r="AF3183" i="7" s="1"/>
  <c r="AC3183" i="7"/>
  <c r="AA3183" i="7"/>
  <c r="AM3183" i="7"/>
  <c r="AE3188" i="7"/>
  <c r="AF3188" i="7" s="1"/>
  <c r="AC3188" i="7"/>
  <c r="AA3188" i="7"/>
  <c r="AH3214" i="7"/>
  <c r="AE3214" i="7"/>
  <c r="AF3214" i="7" s="1"/>
  <c r="AC3214" i="7"/>
  <c r="AE3220" i="7"/>
  <c r="AF3220" i="7" s="1"/>
  <c r="AC3220" i="7"/>
  <c r="AA3220" i="7"/>
  <c r="AH3220" i="7"/>
  <c r="AA3121" i="7"/>
  <c r="AE3160" i="7"/>
  <c r="AF3160" i="7" s="1"/>
  <c r="AC3163" i="7"/>
  <c r="AA3163" i="7"/>
  <c r="AM3173" i="7"/>
  <c r="AE3192" i="7"/>
  <c r="AF3192" i="7" s="1"/>
  <c r="AC3192" i="7"/>
  <c r="AA3192" i="7"/>
  <c r="AA3214" i="7"/>
  <c r="AE3225" i="7"/>
  <c r="AF3225" i="7" s="1"/>
  <c r="AC3225" i="7"/>
  <c r="AA3225" i="7"/>
  <c r="AH3289" i="7"/>
  <c r="AE3289" i="7"/>
  <c r="AF3289" i="7" s="1"/>
  <c r="AC3289" i="7"/>
  <c r="AA3289" i="7"/>
  <c r="AE3291" i="7"/>
  <c r="AF3291" i="7" s="1"/>
  <c r="AC3291" i="7"/>
  <c r="AA3291" i="7"/>
  <c r="AH3291" i="7"/>
  <c r="AH3195" i="7"/>
  <c r="AM3291" i="7"/>
  <c r="AC3316" i="7"/>
  <c r="AA3316" i="7"/>
  <c r="AM3316" i="7"/>
  <c r="AA3328" i="7"/>
  <c r="AE3328" i="7"/>
  <c r="AF3328" i="7" s="1"/>
  <c r="AC3328" i="7"/>
  <c r="AH3334" i="7"/>
  <c r="AE3334" i="7"/>
  <c r="AF3334" i="7" s="1"/>
  <c r="AC3334" i="7"/>
  <c r="AA3334" i="7"/>
  <c r="AH3191" i="7"/>
  <c r="AH3263" i="7"/>
  <c r="AE3263" i="7"/>
  <c r="AF3263" i="7" s="1"/>
  <c r="AE3366" i="7"/>
  <c r="AF3366" i="7" s="1"/>
  <c r="AA3366" i="7"/>
  <c r="AM3366" i="7"/>
  <c r="AH3366" i="7"/>
  <c r="AC3366" i="7"/>
  <c r="AC3239" i="7"/>
  <c r="AM3247" i="7"/>
  <c r="AA3261" i="7"/>
  <c r="AA3263" i="7"/>
  <c r="AM3191" i="7"/>
  <c r="AE3239" i="7"/>
  <c r="AF3239" i="7" s="1"/>
  <c r="AC3261" i="7"/>
  <c r="AC3263" i="7"/>
  <c r="AC3336" i="7"/>
  <c r="AE3336" i="7"/>
  <c r="AF3336" i="7" s="1"/>
  <c r="AA3336" i="7"/>
  <c r="AE3287" i="7"/>
  <c r="AF3287" i="7" s="1"/>
  <c r="AA3287" i="7"/>
  <c r="AM3287" i="7"/>
  <c r="AA3198" i="7"/>
  <c r="AH3275" i="7"/>
  <c r="AE3275" i="7"/>
  <c r="AF3275" i="7" s="1"/>
  <c r="AC3275" i="7"/>
  <c r="AE3281" i="7"/>
  <c r="AF3281" i="7" s="1"/>
  <c r="AC3281" i="7"/>
  <c r="AC3287" i="7"/>
  <c r="AC3198" i="7"/>
  <c r="AH3239" i="7"/>
  <c r="AA3275" i="7"/>
  <c r="AA3281" i="7"/>
  <c r="AH3318" i="7"/>
  <c r="AE3318" i="7"/>
  <c r="AF3318" i="7" s="1"/>
  <c r="AC3318" i="7"/>
  <c r="AH3330" i="7"/>
  <c r="AA3330" i="7"/>
  <c r="AE3330" i="7"/>
  <c r="AF3330" i="7" s="1"/>
  <c r="AE3344" i="7"/>
  <c r="AF3344" i="7" s="1"/>
  <c r="AC3344" i="7"/>
  <c r="AA3344" i="7"/>
  <c r="AH3358" i="7"/>
  <c r="AE3358" i="7"/>
  <c r="AF3358" i="7" s="1"/>
  <c r="AC3358" i="7"/>
  <c r="AA3358" i="7"/>
  <c r="AM3263" i="7"/>
  <c r="AH3298" i="7"/>
  <c r="AE3298" i="7"/>
  <c r="AF3298" i="7" s="1"/>
  <c r="AC3298" i="7"/>
  <c r="AM3239" i="7"/>
  <c r="AA3247" i="7"/>
  <c r="AM3259" i="7"/>
  <c r="AE3286" i="7"/>
  <c r="AF3286" i="7" s="1"/>
  <c r="AC3286" i="7"/>
  <c r="AA3286" i="7"/>
  <c r="AA3298" i="7"/>
  <c r="AA3363" i="7"/>
  <c r="AE3363" i="7"/>
  <c r="AF3363" i="7" s="1"/>
  <c r="AM3303" i="7"/>
  <c r="AM3312" i="7"/>
  <c r="AC3363" i="7"/>
  <c r="AE3367" i="7"/>
  <c r="AF3367" i="7" s="1"/>
  <c r="AA3367" i="7"/>
  <c r="AM3367" i="7"/>
  <c r="AM3330" i="7"/>
  <c r="AM3358" i="7"/>
  <c r="AA3349" i="7"/>
  <c r="AE3349" i="7"/>
  <c r="AF3349" i="7" s="1"/>
  <c r="AE3384" i="7"/>
  <c r="AF3384" i="7" s="1"/>
  <c r="AA3384" i="7"/>
  <c r="AE3387" i="7"/>
  <c r="AF3387" i="7" s="1"/>
  <c r="AC3387" i="7"/>
  <c r="AA3387" i="7"/>
  <c r="AE3399" i="7"/>
  <c r="AF3399" i="7" s="1"/>
  <c r="AC3399" i="7"/>
  <c r="AC3349" i="7"/>
  <c r="AM3363" i="7"/>
  <c r="AA3431" i="7"/>
  <c r="AA3475" i="7"/>
  <c r="AE3475" i="7"/>
  <c r="AF3475" i="7" s="1"/>
  <c r="AC3475" i="7"/>
  <c r="AH3429" i="7"/>
  <c r="AE3429" i="7"/>
  <c r="AF3429" i="7" s="1"/>
  <c r="AC3429" i="7"/>
  <c r="AM3431" i="7"/>
  <c r="AC3402" i="7"/>
  <c r="AA3402" i="7"/>
  <c r="AH3402" i="7"/>
  <c r="AE3402" i="7"/>
  <c r="AF3402" i="7" s="1"/>
  <c r="AM3402" i="7"/>
  <c r="AH3411" i="7"/>
  <c r="AE3411" i="7"/>
  <c r="AF3411" i="7" s="1"/>
  <c r="AC3411" i="7"/>
  <c r="AA3411" i="7"/>
  <c r="AM3429" i="7"/>
  <c r="AE3447" i="7"/>
  <c r="AF3447" i="7" s="1"/>
  <c r="AC3447" i="7"/>
  <c r="AA3447" i="7"/>
  <c r="AE3342" i="7"/>
  <c r="AF3342" i="7" s="1"/>
  <c r="AC3342" i="7"/>
  <c r="AH3379" i="7"/>
  <c r="AE3379" i="7"/>
  <c r="AF3379" i="7" s="1"/>
  <c r="AC3379" i="7"/>
  <c r="AM3387" i="7"/>
  <c r="AA3342" i="7"/>
  <c r="AH3371" i="7"/>
  <c r="AE3371" i="7"/>
  <c r="AF3371" i="7" s="1"/>
  <c r="AC3371" i="7"/>
  <c r="AA3379" i="7"/>
  <c r="AA3519" i="7"/>
  <c r="AE3519" i="7"/>
  <c r="AF3519" i="7" s="1"/>
  <c r="AH3574" i="7"/>
  <c r="AE3574" i="7"/>
  <c r="AF3574" i="7" s="1"/>
  <c r="AA3574" i="7"/>
  <c r="AC3519" i="7"/>
  <c r="AA3536" i="7"/>
  <c r="AE3536" i="7"/>
  <c r="AF3536" i="7" s="1"/>
  <c r="AC3574" i="7"/>
  <c r="AE3793" i="7"/>
  <c r="AF3793" i="7" s="1"/>
  <c r="AA3793" i="7"/>
  <c r="AM3793" i="7"/>
  <c r="AH3793" i="7"/>
  <c r="AC3793" i="7"/>
  <c r="AC3484" i="7"/>
  <c r="AA3484" i="7"/>
  <c r="AE4040" i="7"/>
  <c r="AF4040" i="7" s="1"/>
  <c r="AC4040" i="7"/>
  <c r="AA4040" i="7"/>
  <c r="AE4052" i="7"/>
  <c r="AF4052" i="7" s="1"/>
  <c r="AC4052" i="7"/>
  <c r="AA4052" i="7"/>
  <c r="AE4064" i="7"/>
  <c r="AF4064" i="7" s="1"/>
  <c r="AC4064" i="7"/>
  <c r="AA4064" i="7"/>
  <c r="AE3484" i="7"/>
  <c r="AF3484" i="7" s="1"/>
  <c r="AM3519" i="7"/>
  <c r="AH3519" i="7"/>
  <c r="AH3534" i="7"/>
  <c r="AE3534" i="7"/>
  <c r="AF3534" i="7" s="1"/>
  <c r="AC3534" i="7"/>
  <c r="AA3534" i="7"/>
  <c r="AE3548" i="7"/>
  <c r="AF3548" i="7" s="1"/>
  <c r="AC3548" i="7"/>
  <c r="AA3548" i="7"/>
  <c r="AH3569" i="7"/>
  <c r="AE3569" i="7"/>
  <c r="AF3569" i="7" s="1"/>
  <c r="AC3569" i="7"/>
  <c r="AM3569" i="7"/>
  <c r="AA3569" i="7"/>
  <c r="AM3534" i="7"/>
  <c r="AH3542" i="7"/>
  <c r="AE3542" i="7"/>
  <c r="AF3542" i="7" s="1"/>
  <c r="AC3542" i="7"/>
  <c r="AA3542" i="7"/>
  <c r="AM3542" i="7"/>
  <c r="AC3576" i="7"/>
  <c r="AA3576" i="7"/>
  <c r="AE3576" i="7"/>
  <c r="AF3576" i="7" s="1"/>
  <c r="AE3572" i="7"/>
  <c r="AF3572" i="7" s="1"/>
  <c r="AA3578" i="7"/>
  <c r="AH3578" i="7"/>
  <c r="AE3578" i="7"/>
  <c r="AF3578" i="7" s="1"/>
  <c r="AC3578" i="7"/>
  <c r="AE3593" i="7"/>
  <c r="AF3593" i="7" s="1"/>
  <c r="AE3654" i="7"/>
  <c r="AF3654" i="7" s="1"/>
  <c r="AH3526" i="7"/>
  <c r="AE3526" i="7"/>
  <c r="AF3526" i="7" s="1"/>
  <c r="AC3526" i="7"/>
  <c r="AA3526" i="7"/>
  <c r="AM3526" i="7"/>
  <c r="AM3645" i="7"/>
  <c r="AH3645" i="7"/>
  <c r="AE3645" i="7"/>
  <c r="AF3645" i="7" s="1"/>
  <c r="AA3645" i="7"/>
  <c r="AC3645" i="7"/>
  <c r="AH3527" i="7"/>
  <c r="AH3606" i="7"/>
  <c r="AE3606" i="7"/>
  <c r="AF3606" i="7" s="1"/>
  <c r="AC3606" i="7"/>
  <c r="AH3512" i="7"/>
  <c r="AH3559" i="7"/>
  <c r="AH3961" i="7"/>
  <c r="AE3961" i="7"/>
  <c r="AF3961" i="7" s="1"/>
  <c r="AE4047" i="7"/>
  <c r="AF4047" i="7" s="1"/>
  <c r="AH4059" i="7"/>
  <c r="AE4059" i="7"/>
  <c r="AF4059" i="7" s="1"/>
  <c r="AE3570" i="7"/>
  <c r="AF3570" i="7" s="1"/>
  <c r="AC3570" i="7"/>
  <c r="AA3584" i="7"/>
  <c r="AH3584" i="7"/>
  <c r="AE3584" i="7"/>
  <c r="AF3584" i="7" s="1"/>
  <c r="AM3593" i="7"/>
  <c r="AA3556" i="7"/>
  <c r="AA3570" i="7"/>
  <c r="AC3584" i="7"/>
  <c r="AM3589" i="7"/>
  <c r="AC3556" i="7"/>
  <c r="AE3556" i="7"/>
  <c r="AF3556" i="7" s="1"/>
  <c r="AH3570" i="7"/>
  <c r="AH3741" i="7"/>
  <c r="AE3741" i="7"/>
  <c r="AF3741" i="7" s="1"/>
  <c r="AC3741" i="7"/>
  <c r="AA3741" i="7"/>
  <c r="AC3527" i="7"/>
  <c r="AM3572" i="7"/>
  <c r="AM3578" i="7"/>
  <c r="AE3614" i="7"/>
  <c r="AF3614" i="7" s="1"/>
  <c r="AC3614" i="7"/>
  <c r="AA3512" i="7"/>
  <c r="AA3559" i="7"/>
  <c r="AH3613" i="7"/>
  <c r="AE3613" i="7"/>
  <c r="AF3613" i="7" s="1"/>
  <c r="AA3614" i="7"/>
  <c r="AE3624" i="7"/>
  <c r="AF3624" i="7" s="1"/>
  <c r="AC3624" i="7"/>
  <c r="AA3624" i="7"/>
  <c r="AH3624" i="7"/>
  <c r="AA3623" i="7"/>
  <c r="AA3613" i="7"/>
  <c r="AH3694" i="7"/>
  <c r="AA4038" i="7"/>
  <c r="AE4038" i="7"/>
  <c r="AF4038" i="7" s="1"/>
  <c r="AC4038" i="7"/>
  <c r="AA4050" i="7"/>
  <c r="AE4050" i="7"/>
  <c r="AF4050" i="7" s="1"/>
  <c r="AC4050" i="7"/>
  <c r="AA4062" i="7"/>
  <c r="AE4062" i="7"/>
  <c r="AF4062" i="7" s="1"/>
  <c r="AC4062" i="7"/>
  <c r="AH3657" i="7"/>
  <c r="AE3786" i="7"/>
  <c r="AF3786" i="7" s="1"/>
  <c r="AA3786" i="7"/>
  <c r="AH3796" i="7"/>
  <c r="AE3796" i="7"/>
  <c r="AF3796" i="7" s="1"/>
  <c r="AC3796" i="7"/>
  <c r="AA3796" i="7"/>
  <c r="AH4045" i="7"/>
  <c r="AE4045" i="7"/>
  <c r="AF4045" i="7" s="1"/>
  <c r="AC4045" i="7"/>
  <c r="AA4045" i="7"/>
  <c r="AH4057" i="7"/>
  <c r="AE4057" i="7"/>
  <c r="AF4057" i="7" s="1"/>
  <c r="AC4057" i="7"/>
  <c r="AA4057" i="7"/>
  <c r="AH4069" i="7"/>
  <c r="AE4069" i="7"/>
  <c r="AF4069" i="7" s="1"/>
  <c r="AC4069" i="7"/>
  <c r="AA4069" i="7"/>
  <c r="AE3770" i="7"/>
  <c r="AF3770" i="7" s="1"/>
  <c r="AA3770" i="7"/>
  <c r="AE3809" i="7"/>
  <c r="AF3809" i="7" s="1"/>
  <c r="AE3795" i="7"/>
  <c r="AF3795" i="7" s="1"/>
  <c r="AC3795" i="7"/>
  <c r="AA3795" i="7"/>
  <c r="AM3961" i="7"/>
  <c r="AE4042" i="7"/>
  <c r="AF4042" i="7" s="1"/>
  <c r="AC4042" i="7"/>
  <c r="AA4042" i="7"/>
  <c r="AM4047" i="7"/>
  <c r="AE4054" i="7"/>
  <c r="AF4054" i="7" s="1"/>
  <c r="AC4054" i="7"/>
  <c r="AA4054" i="7"/>
  <c r="AM4059" i="7"/>
  <c r="AE4066" i="7"/>
  <c r="AF4066" i="7" s="1"/>
  <c r="AC4066" i="7"/>
  <c r="AA4066" i="7"/>
  <c r="AM3739" i="7"/>
  <c r="AA3710" i="7"/>
  <c r="AC3770" i="7"/>
  <c r="AC3809" i="7"/>
  <c r="AM3741" i="7"/>
  <c r="AE4037" i="7"/>
  <c r="AF4037" i="7" s="1"/>
  <c r="AC4037" i="7"/>
  <c r="AA4037" i="7"/>
  <c r="AH4037" i="7"/>
  <c r="AE4049" i="7"/>
  <c r="AF4049" i="7" s="1"/>
  <c r="AC4049" i="7"/>
  <c r="AA4049" i="7"/>
  <c r="AH4049" i="7"/>
  <c r="AE4061" i="7"/>
  <c r="AF4061" i="7" s="1"/>
  <c r="AC4061" i="7"/>
  <c r="AA4061" i="7"/>
  <c r="AH4061" i="7"/>
  <c r="AH3739" i="7"/>
  <c r="AC3710" i="7"/>
  <c r="AE3877" i="7"/>
  <c r="AF3877" i="7" s="1"/>
  <c r="AC3877" i="7"/>
  <c r="AH3877" i="7"/>
  <c r="AE3669" i="7"/>
  <c r="AF3669" i="7" s="1"/>
  <c r="AC3669" i="7"/>
  <c r="AA3669" i="7"/>
  <c r="AA3840" i="7"/>
  <c r="AE3840" i="7"/>
  <c r="AF3840" i="7" s="1"/>
  <c r="AC3840" i="7"/>
  <c r="AA4044" i="7"/>
  <c r="AE4044" i="7"/>
  <c r="AF4044" i="7" s="1"/>
  <c r="AC4044" i="7"/>
  <c r="AA4056" i="7"/>
  <c r="AE4056" i="7"/>
  <c r="AF4056" i="7" s="1"/>
  <c r="AC4056" i="7"/>
  <c r="AA4068" i="7"/>
  <c r="AE4068" i="7"/>
  <c r="AF4068" i="7" s="1"/>
  <c r="AC4068" i="7"/>
  <c r="AE3710" i="7"/>
  <c r="AF3710" i="7" s="1"/>
  <c r="AE3789" i="7"/>
  <c r="AF3789" i="7" s="1"/>
  <c r="AA3789" i="7"/>
  <c r="AM3669" i="7"/>
  <c r="AC4039" i="7"/>
  <c r="AE4051" i="7"/>
  <c r="AF4051" i="7" s="1"/>
  <c r="AC4051" i="7"/>
  <c r="AC4063" i="7"/>
  <c r="AA3657" i="7"/>
  <c r="AH3704" i="7"/>
  <c r="AM3736" i="7"/>
  <c r="AH3770" i="7"/>
  <c r="AC3789" i="7"/>
  <c r="AM3877" i="7"/>
  <c r="AE3841" i="7"/>
  <c r="AF3841" i="7" s="1"/>
  <c r="AC3841" i="7"/>
  <c r="AA3841" i="7"/>
  <c r="AM4039" i="7"/>
  <c r="AE4046" i="7"/>
  <c r="AF4046" i="7" s="1"/>
  <c r="AC4046" i="7"/>
  <c r="AA4046" i="7"/>
  <c r="AM4051" i="7"/>
  <c r="AE4058" i="7"/>
  <c r="AF4058" i="7" s="1"/>
  <c r="AC4058" i="7"/>
  <c r="AA4058" i="7"/>
  <c r="AM4063" i="7"/>
  <c r="AE4070" i="7"/>
  <c r="AF4070" i="7" s="1"/>
  <c r="AC4070" i="7"/>
  <c r="AA4070" i="7"/>
  <c r="AC3657" i="7"/>
  <c r="AH3710" i="7"/>
  <c r="AA3788" i="7"/>
  <c r="AE3788" i="7"/>
  <c r="AF3788" i="7" s="1"/>
  <c r="AM3927" i="7"/>
  <c r="AE3927" i="7"/>
  <c r="AF3927" i="7" s="1"/>
  <c r="AA3927" i="7"/>
  <c r="AH3794" i="7"/>
  <c r="AE3794" i="7"/>
  <c r="AF3794" i="7" s="1"/>
  <c r="AC3794" i="7"/>
  <c r="AA3794" i="7"/>
  <c r="AH4041" i="7"/>
  <c r="AE4041" i="7"/>
  <c r="AF4041" i="7" s="1"/>
  <c r="AC4041" i="7"/>
  <c r="AA4041" i="7"/>
  <c r="AH4053" i="7"/>
  <c r="AE4053" i="7"/>
  <c r="AF4053" i="7" s="1"/>
  <c r="AC4053" i="7"/>
  <c r="AA4053" i="7"/>
  <c r="AH4065" i="7"/>
  <c r="AE4065" i="7"/>
  <c r="AF4065" i="7" s="1"/>
  <c r="AC4065" i="7"/>
  <c r="AA4065" i="7"/>
  <c r="AH3686" i="7"/>
  <c r="AH3743" i="7"/>
  <c r="AE3743" i="7"/>
  <c r="AF3743" i="7" s="1"/>
  <c r="AM3770" i="7"/>
  <c r="AC3788" i="7"/>
  <c r="AE3829" i="7"/>
  <c r="AF3829" i="7" s="1"/>
  <c r="AA3829" i="7"/>
  <c r="AC3927" i="7"/>
  <c r="AA3864" i="7"/>
  <c r="AM3794" i="7"/>
  <c r="AE4036" i="7"/>
  <c r="AF4036" i="7" s="1"/>
  <c r="AC4036" i="7"/>
  <c r="AA4036" i="7"/>
  <c r="AM4041" i="7"/>
  <c r="AE4048" i="7"/>
  <c r="AF4048" i="7" s="1"/>
  <c r="AC4048" i="7"/>
  <c r="AA4048" i="7"/>
  <c r="AM4053" i="7"/>
  <c r="AE4060" i="7"/>
  <c r="AF4060" i="7" s="1"/>
  <c r="AC4060" i="7"/>
  <c r="AA4060" i="7"/>
  <c r="AM4065" i="7"/>
  <c r="AE3839" i="7"/>
  <c r="AF3839" i="7" s="1"/>
  <c r="AC3839" i="7"/>
  <c r="AC4043" i="7"/>
  <c r="AE4055" i="7"/>
  <c r="AF4055" i="7" s="1"/>
  <c r="AC4055" i="7"/>
  <c r="AC4067" i="7"/>
  <c r="AE19" i="9"/>
  <c r="AF184" i="4"/>
  <c r="AC72" i="4"/>
  <c r="AD72" i="4" s="1"/>
  <c r="AC103" i="4"/>
  <c r="AD103" i="4" s="1"/>
  <c r="AB19" i="9"/>
  <c r="AC19" i="9" s="1"/>
  <c r="AC192" i="4"/>
  <c r="AD192" i="4"/>
  <c r="AF161" i="4"/>
  <c r="AB5" i="9"/>
  <c r="AC5" i="9"/>
  <c r="AC28" i="9" s="1"/>
  <c r="AB20" i="9"/>
  <c r="AC20" i="9"/>
  <c r="AE5" i="9"/>
  <c r="AE20" i="9"/>
  <c r="AB13" i="9"/>
  <c r="AC13" i="9" s="1"/>
  <c r="AF112" i="4"/>
  <c r="AC130" i="4"/>
  <c r="AD130" i="4"/>
  <c r="AF159" i="4"/>
  <c r="AF113" i="4"/>
  <c r="Y140" i="4"/>
  <c r="AC140" i="4"/>
  <c r="AD140" i="4" s="1"/>
  <c r="AF140" i="4"/>
  <c r="AC121" i="4"/>
  <c r="AD121" i="4" s="1"/>
  <c r="AC83" i="4"/>
  <c r="AD83" i="4"/>
  <c r="Y112" i="4"/>
  <c r="AA112" i="4"/>
  <c r="AF110" i="4"/>
  <c r="AJ9" i="9"/>
  <c r="Y9" i="4"/>
  <c r="AC9" i="4"/>
  <c r="AD9" i="4"/>
  <c r="AF190" i="4"/>
  <c r="AC190" i="4"/>
  <c r="AD190" i="4"/>
  <c r="AC185" i="4"/>
  <c r="AD185" i="4" s="1"/>
  <c r="AA185" i="4"/>
  <c r="AB14" i="9"/>
  <c r="AC14" i="9" s="1"/>
  <c r="AJ14" i="9"/>
  <c r="AJ15" i="9"/>
  <c r="AB15" i="9"/>
  <c r="AC15" i="9"/>
  <c r="AM2878" i="7"/>
  <c r="AC2878" i="7"/>
  <c r="AA2878" i="7"/>
  <c r="AE2878" i="7"/>
  <c r="AF2878" i="7" s="1"/>
  <c r="AA2794" i="7"/>
  <c r="AH2878" i="7"/>
  <c r="AF145" i="4"/>
  <c r="AF111" i="4"/>
  <c r="AC111" i="4"/>
  <c r="AD111" i="4"/>
  <c r="AA111" i="4"/>
  <c r="Y111" i="4"/>
  <c r="AB10" i="9"/>
  <c r="AC10" i="9" s="1"/>
  <c r="AJ10" i="9"/>
  <c r="AE10" i="9"/>
  <c r="AF90" i="4"/>
  <c r="AC90" i="4"/>
  <c r="AD90" i="4"/>
  <c r="AE18" i="9"/>
  <c r="AB18" i="9"/>
  <c r="AC18" i="9" s="1"/>
  <c r="AJ18" i="9"/>
  <c r="AF64" i="4"/>
  <c r="AD64" i="4"/>
  <c r="AB17" i="9"/>
  <c r="AC17" i="9"/>
  <c r="AE17" i="9"/>
  <c r="AJ17" i="9"/>
  <c r="AF152" i="4"/>
  <c r="AC152" i="4"/>
  <c r="AD152" i="4" s="1"/>
  <c r="AA152" i="4"/>
  <c r="AF153" i="4"/>
  <c r="AC153" i="4"/>
  <c r="AD153" i="4"/>
  <c r="AA153" i="4"/>
  <c r="AF151" i="4"/>
  <c r="AC151" i="4"/>
  <c r="AD151" i="4" s="1"/>
  <c r="AB28" i="9"/>
  <c r="X22" i="11"/>
  <c r="T16" i="11"/>
  <c r="T23" i="11"/>
  <c r="T17" i="11"/>
  <c r="T18" i="11"/>
  <c r="X16" i="11"/>
  <c r="X20" i="11"/>
  <c r="X17" i="11"/>
  <c r="X23" i="11"/>
  <c r="X18" i="11"/>
  <c r="X19" i="11"/>
  <c r="AA3589" i="7" l="1"/>
  <c r="AC3572" i="7"/>
  <c r="AH4067" i="7"/>
  <c r="AH4043" i="7"/>
  <c r="AM3864" i="7"/>
  <c r="AC3864" i="7"/>
  <c r="AH4051" i="7"/>
  <c r="AM3705" i="7"/>
  <c r="AC3568" i="7"/>
  <c r="AE3589" i="7"/>
  <c r="AF3589" i="7" s="1"/>
  <c r="AA4047" i="7"/>
  <c r="AA3521" i="7"/>
  <c r="AH3572" i="7"/>
  <c r="AM3098" i="7"/>
  <c r="AC2669" i="7"/>
  <c r="AA2136" i="7"/>
  <c r="AH2202" i="7"/>
  <c r="AA2213" i="7"/>
  <c r="AH3603" i="7"/>
  <c r="AM3063" i="7"/>
  <c r="AA1825" i="7"/>
  <c r="AA2798" i="7"/>
  <c r="AM3749" i="7"/>
  <c r="AA4067" i="7"/>
  <c r="AA4043" i="7"/>
  <c r="AE3864" i="7"/>
  <c r="AF3864" i="7" s="1"/>
  <c r="AA4063" i="7"/>
  <c r="AA4039" i="7"/>
  <c r="AA3688" i="7"/>
  <c r="AC3689" i="7"/>
  <c r="AH3589" i="7"/>
  <c r="AC4047" i="7"/>
  <c r="AC3459" i="7"/>
  <c r="AM3548" i="7"/>
  <c r="AE3579" i="7"/>
  <c r="AF3579" i="7" s="1"/>
  <c r="AH3431" i="7"/>
  <c r="AA2932" i="7"/>
  <c r="AC2802" i="7"/>
  <c r="AA2390" i="7"/>
  <c r="AE2190" i="7"/>
  <c r="AF2190" i="7" s="1"/>
  <c r="AA1636" i="7"/>
  <c r="AM3556" i="7"/>
  <c r="AE3568" i="7"/>
  <c r="AF3568" i="7" s="1"/>
  <c r="AM1605" i="7"/>
  <c r="AM3618" i="7"/>
  <c r="AH3373" i="7"/>
  <c r="AM3310" i="7"/>
  <c r="AA3705" i="7"/>
  <c r="AE2802" i="7"/>
  <c r="AF2802" i="7" s="1"/>
  <c r="AH3568" i="7"/>
  <c r="AH3688" i="7"/>
  <c r="AM2867" i="7"/>
  <c r="AE4043" i="7"/>
  <c r="AF4043" i="7" s="1"/>
  <c r="AE4063" i="7"/>
  <c r="AF4063" i="7" s="1"/>
  <c r="AE4039" i="7"/>
  <c r="AF4039" i="7" s="1"/>
  <c r="AM3809" i="7"/>
  <c r="AE3705" i="7"/>
  <c r="AF3705" i="7" s="1"/>
  <c r="AH3593" i="7"/>
  <c r="AM3576" i="7"/>
  <c r="AC3431" i="7"/>
  <c r="AE3022" i="7"/>
  <c r="AF3022" i="7" s="1"/>
  <c r="AC1877" i="7"/>
  <c r="AE1924" i="7"/>
  <c r="AF1924" i="7" s="1"/>
  <c r="AM1712" i="7"/>
  <c r="AE3689" i="7"/>
  <c r="AF3689" i="7" s="1"/>
  <c r="AH3586" i="7"/>
  <c r="AM3568" i="7"/>
  <c r="AM3557" i="7"/>
  <c r="AA3694" i="7"/>
  <c r="AH3579" i="7"/>
  <c r="AH2669" i="7"/>
  <c r="AH4055" i="7"/>
  <c r="AH3839" i="7"/>
  <c r="AH3809" i="7"/>
  <c r="AH3705" i="7"/>
  <c r="AA4059" i="7"/>
  <c r="AA3961" i="7"/>
  <c r="AA3593" i="7"/>
  <c r="AA3459" i="7"/>
  <c r="AA3579" i="7"/>
  <c r="AH3022" i="7"/>
  <c r="AC2784" i="7"/>
  <c r="AH1529" i="7"/>
  <c r="AM3459" i="7"/>
  <c r="AM1385" i="7"/>
  <c r="AH3661" i="7"/>
  <c r="AH3682" i="7"/>
  <c r="AE3603" i="7"/>
  <c r="AF3603" i="7" s="1"/>
  <c r="AE3688" i="7"/>
  <c r="AF3688" i="7" s="1"/>
  <c r="AC3694" i="7"/>
  <c r="AA2870" i="7"/>
  <c r="AM2986" i="7"/>
  <c r="AC2175" i="7"/>
  <c r="AM2082" i="7"/>
  <c r="AM3694" i="7"/>
  <c r="AH422" i="7"/>
  <c r="AM3560" i="7"/>
  <c r="AM3356" i="7"/>
  <c r="AM3200" i="7"/>
  <c r="AM3850" i="7"/>
  <c r="AC2121" i="7"/>
  <c r="AA2121" i="7"/>
  <c r="AE2121" i="7"/>
  <c r="AF2121" i="7" s="1"/>
  <c r="AE2162" i="7"/>
  <c r="AF2162" i="7" s="1"/>
  <c r="AC2162" i="7"/>
  <c r="AA2162" i="7"/>
  <c r="AM2295" i="7"/>
  <c r="AH2295" i="7"/>
  <c r="AA2375" i="7"/>
  <c r="AE2375" i="7"/>
  <c r="AF2375" i="7" s="1"/>
  <c r="AE2553" i="7"/>
  <c r="AF2553" i="7" s="1"/>
  <c r="AC2553" i="7"/>
  <c r="AA2553" i="7"/>
  <c r="AA2576" i="7"/>
  <c r="AH2576" i="7"/>
  <c r="AM2640" i="7"/>
  <c r="AH2640" i="7"/>
  <c r="AE2647" i="7"/>
  <c r="AF2647" i="7" s="1"/>
  <c r="AA2647" i="7"/>
  <c r="AC2647" i="7"/>
  <c r="AA2723" i="7"/>
  <c r="AE2723" i="7"/>
  <c r="AF2723" i="7" s="1"/>
  <c r="AC2723" i="7"/>
  <c r="AC2727" i="7"/>
  <c r="AA2727" i="7"/>
  <c r="AE2727" i="7"/>
  <c r="AF2727" i="7" s="1"/>
  <c r="AM2799" i="7"/>
  <c r="AH2799" i="7"/>
  <c r="AM2847" i="7"/>
  <c r="AH2847" i="7"/>
  <c r="AC2859" i="7"/>
  <c r="AH2859" i="7"/>
  <c r="AE2859" i="7"/>
  <c r="AF2859" i="7" s="1"/>
  <c r="AC3042" i="7"/>
  <c r="AH3042" i="7"/>
  <c r="AC3108" i="7"/>
  <c r="AA3108" i="7"/>
  <c r="AE3108" i="7"/>
  <c r="AF3108" i="7" s="1"/>
  <c r="AH3108" i="7"/>
  <c r="AM3436" i="7"/>
  <c r="AH3436" i="7"/>
  <c r="AE3436" i="7"/>
  <c r="AF3436" i="7" s="1"/>
  <c r="AC3436" i="7"/>
  <c r="AA2680" i="7"/>
  <c r="AH2447" i="7"/>
  <c r="AM3332" i="7"/>
  <c r="AM3205" i="7"/>
  <c r="AM2427" i="7"/>
  <c r="AM939" i="7"/>
  <c r="AM1403" i="7"/>
  <c r="AM2527" i="7"/>
  <c r="AM2534" i="7"/>
  <c r="AM2647" i="7"/>
  <c r="AM2680" i="7"/>
  <c r="AM2859" i="7"/>
  <c r="AM2863" i="7"/>
  <c r="AM2875" i="7"/>
  <c r="AM2899" i="7"/>
  <c r="AM3026" i="7"/>
  <c r="AM3108" i="7"/>
  <c r="AM1914" i="7"/>
  <c r="AH1914" i="7"/>
  <c r="AE1935" i="7"/>
  <c r="AF1935" i="7" s="1"/>
  <c r="AC1935" i="7"/>
  <c r="AA1935" i="7"/>
  <c r="AH1935" i="7"/>
  <c r="AA2073" i="7"/>
  <c r="AE2073" i="7"/>
  <c r="AF2073" i="7" s="1"/>
  <c r="AC2073" i="7"/>
  <c r="AC2086" i="7"/>
  <c r="AE2086" i="7"/>
  <c r="AF2086" i="7" s="1"/>
  <c r="AA2086" i="7"/>
  <c r="AA2196" i="7"/>
  <c r="AH2196" i="7"/>
  <c r="AC2196" i="7"/>
  <c r="AE2196" i="7"/>
  <c r="AF2196" i="7" s="1"/>
  <c r="AH2200" i="7"/>
  <c r="AM2200" i="7"/>
  <c r="AM2220" i="7"/>
  <c r="AH2220" i="7"/>
  <c r="AA2597" i="7"/>
  <c r="AE2597" i="7"/>
  <c r="AF2597" i="7" s="1"/>
  <c r="AC2597" i="7"/>
  <c r="AC2623" i="7"/>
  <c r="AE2623" i="7"/>
  <c r="AF2623" i="7" s="1"/>
  <c r="AA2623" i="7"/>
  <c r="AM2990" i="7"/>
  <c r="AH2990" i="7"/>
  <c r="AH3159" i="7"/>
  <c r="AM3159" i="7"/>
  <c r="AC3193" i="7"/>
  <c r="AA3193" i="7"/>
  <c r="AM3193" i="7"/>
  <c r="AE3193" i="7"/>
  <c r="AF3193" i="7" s="1"/>
  <c r="AH3261" i="7"/>
  <c r="AM3261" i="7"/>
  <c r="AE3339" i="7"/>
  <c r="AF3339" i="7" s="1"/>
  <c r="AA3339" i="7"/>
  <c r="AC3339" i="7"/>
  <c r="AC3385" i="7"/>
  <c r="AE3385" i="7"/>
  <c r="AF3385" i="7" s="1"/>
  <c r="AA3385" i="7"/>
  <c r="AH3385" i="7"/>
  <c r="AM3385" i="7"/>
  <c r="AH3467" i="7"/>
  <c r="AM3467" i="7"/>
  <c r="AE3467" i="7"/>
  <c r="AF3467" i="7" s="1"/>
  <c r="AC3467" i="7"/>
  <c r="AA3467" i="7"/>
  <c r="AM3115" i="7"/>
  <c r="AM2670" i="7"/>
  <c r="AM1762" i="7"/>
  <c r="AH1762" i="7"/>
  <c r="AA1855" i="7"/>
  <c r="AC1855" i="7"/>
  <c r="AC2223" i="7"/>
  <c r="AA2223" i="7"/>
  <c r="AE2223" i="7"/>
  <c r="AF2223" i="7" s="1"/>
  <c r="AA2426" i="7"/>
  <c r="AH2426" i="7"/>
  <c r="AE2426" i="7"/>
  <c r="AF2426" i="7" s="1"/>
  <c r="AC2426" i="7"/>
  <c r="AE2534" i="7"/>
  <c r="AF2534" i="7" s="1"/>
  <c r="AA2534" i="7"/>
  <c r="AH2534" i="7"/>
  <c r="AM2616" i="7"/>
  <c r="AH2616" i="7"/>
  <c r="AC2708" i="7"/>
  <c r="AA2708" i="7"/>
  <c r="AM2770" i="7"/>
  <c r="AH2770" i="7"/>
  <c r="AH2899" i="7"/>
  <c r="AA2899" i="7"/>
  <c r="AC2899" i="7"/>
  <c r="AC2951" i="7"/>
  <c r="AH2951" i="7"/>
  <c r="AE2951" i="7"/>
  <c r="AF2951" i="7" s="1"/>
  <c r="AA2951" i="7"/>
  <c r="AC3062" i="7"/>
  <c r="AH3062" i="7"/>
  <c r="AE3062" i="7"/>
  <c r="AF3062" i="7" s="1"/>
  <c r="AM3087" i="7"/>
  <c r="AH3087" i="7"/>
  <c r="AC3167" i="7"/>
  <c r="AA3167" i="7"/>
  <c r="AH3167" i="7"/>
  <c r="AM3167" i="7"/>
  <c r="AM3245" i="7"/>
  <c r="AE2899" i="7"/>
  <c r="AF2899" i="7" s="1"/>
  <c r="AH2708" i="7"/>
  <c r="AA2208" i="7"/>
  <c r="AH2245" i="7"/>
  <c r="AH2762" i="7"/>
  <c r="AH2379" i="7"/>
  <c r="AH1805" i="7"/>
  <c r="AM1805" i="7"/>
  <c r="AA1843" i="7"/>
  <c r="AC1843" i="7"/>
  <c r="AA2046" i="7"/>
  <c r="AE2046" i="7"/>
  <c r="AF2046" i="7" s="1"/>
  <c r="AE2272" i="7"/>
  <c r="AF2272" i="7" s="1"/>
  <c r="AA2272" i="7"/>
  <c r="AH2272" i="7"/>
  <c r="AC2272" i="7"/>
  <c r="AH2430" i="7"/>
  <c r="AE2430" i="7"/>
  <c r="AF2430" i="7" s="1"/>
  <c r="AC2661" i="7"/>
  <c r="AA2661" i="7"/>
  <c r="AE2661" i="7"/>
  <c r="AF2661" i="7" s="1"/>
  <c r="AH2661" i="7"/>
  <c r="AM2661" i="7"/>
  <c r="AE3319" i="7"/>
  <c r="AF3319" i="7" s="1"/>
  <c r="AC3319" i="7"/>
  <c r="AA3319" i="7"/>
  <c r="AA3436" i="7"/>
  <c r="AC2576" i="7"/>
  <c r="AC2430" i="7"/>
  <c r="AM2708" i="7"/>
  <c r="AM778" i="7"/>
  <c r="AH778" i="7"/>
  <c r="AM1274" i="7"/>
  <c r="AH1274" i="7"/>
  <c r="AC1903" i="7"/>
  <c r="AA1903" i="7"/>
  <c r="AE2030" i="7"/>
  <c r="AF2030" i="7" s="1"/>
  <c r="AC2030" i="7"/>
  <c r="AA2090" i="7"/>
  <c r="AE2090" i="7"/>
  <c r="AF2090" i="7" s="1"/>
  <c r="AC2090" i="7"/>
  <c r="AM2185" i="7"/>
  <c r="AH2185" i="7"/>
  <c r="AH2257" i="7"/>
  <c r="AM2257" i="7"/>
  <c r="AA2284" i="7"/>
  <c r="AC2284" i="7"/>
  <c r="AE2284" i="7"/>
  <c r="AF2284" i="7" s="1"/>
  <c r="AM2541" i="7"/>
  <c r="AH2541" i="7"/>
  <c r="AA2585" i="7"/>
  <c r="AC2585" i="7"/>
  <c r="AE2585" i="7"/>
  <c r="AF2585" i="7" s="1"/>
  <c r="AM2677" i="7"/>
  <c r="AH2677" i="7"/>
  <c r="AA2875" i="7"/>
  <c r="AH2875" i="7"/>
  <c r="AE2875" i="7"/>
  <c r="AF2875" i="7" s="1"/>
  <c r="AC2875" i="7"/>
  <c r="AM3119" i="7"/>
  <c r="AH3119" i="7"/>
  <c r="AA3162" i="7"/>
  <c r="AE3162" i="7"/>
  <c r="AF3162" i="7" s="1"/>
  <c r="AC3162" i="7"/>
  <c r="AE3189" i="7"/>
  <c r="AF3189" i="7" s="1"/>
  <c r="AC3189" i="7"/>
  <c r="AM3189" i="7"/>
  <c r="AA3189" i="7"/>
  <c r="AM3208" i="7"/>
  <c r="AH3208" i="7"/>
  <c r="AC3377" i="7"/>
  <c r="AM3377" i="7"/>
  <c r="AA3377" i="7"/>
  <c r="AH3484" i="7"/>
  <c r="AM3484" i="7"/>
  <c r="AA3494" i="7"/>
  <c r="AE3494" i="7"/>
  <c r="AF3494" i="7" s="1"/>
  <c r="AC3494" i="7"/>
  <c r="AE3502" i="7"/>
  <c r="AF3502" i="7" s="1"/>
  <c r="AC3502" i="7"/>
  <c r="AA3502" i="7"/>
  <c r="AC3528" i="7"/>
  <c r="AE3528" i="7"/>
  <c r="AF3528" i="7" s="1"/>
  <c r="AM3528" i="7"/>
  <c r="AA3528" i="7"/>
  <c r="AH3528" i="7"/>
  <c r="AC2912" i="7"/>
  <c r="AH2828" i="7"/>
  <c r="AC2534" i="7"/>
  <c r="AE2576" i="7"/>
  <c r="AF2576" i="7" s="1"/>
  <c r="AA1263" i="7"/>
  <c r="AA520" i="7"/>
  <c r="AC520" i="7"/>
  <c r="AE1922" i="7"/>
  <c r="AF1922" i="7" s="1"/>
  <c r="AA1922" i="7"/>
  <c r="AC1922" i="7"/>
  <c r="AH2101" i="7"/>
  <c r="AM2101" i="7"/>
  <c r="AA2394" i="7"/>
  <c r="AH2394" i="7"/>
  <c r="AE2394" i="7"/>
  <c r="AF2394" i="7" s="1"/>
  <c r="AC2394" i="7"/>
  <c r="AH2399" i="7"/>
  <c r="AM2399" i="7"/>
  <c r="AM2511" i="7"/>
  <c r="AH2511" i="7"/>
  <c r="AC2527" i="7"/>
  <c r="AE2527" i="7"/>
  <c r="AF2527" i="7" s="1"/>
  <c r="AA2527" i="7"/>
  <c r="AH2527" i="7"/>
  <c r="AC2688" i="7"/>
  <c r="AA2688" i="7"/>
  <c r="AH2688" i="7"/>
  <c r="AE2688" i="7"/>
  <c r="AF2688" i="7" s="1"/>
  <c r="AA2748" i="7"/>
  <c r="AM2748" i="7"/>
  <c r="AE2748" i="7"/>
  <c r="AF2748" i="7" s="1"/>
  <c r="AH2748" i="7"/>
  <c r="AA2774" i="7"/>
  <c r="AE2774" i="7"/>
  <c r="AF2774" i="7" s="1"/>
  <c r="AC2774" i="7"/>
  <c r="AC3171" i="7"/>
  <c r="AA3171" i="7"/>
  <c r="AE3171" i="7"/>
  <c r="AF3171" i="7" s="1"/>
  <c r="AM3237" i="7"/>
  <c r="AH3237" i="7"/>
  <c r="AM3281" i="7"/>
  <c r="AH3281" i="7"/>
  <c r="AC3498" i="7"/>
  <c r="AE3498" i="7"/>
  <c r="AF3498" i="7" s="1"/>
  <c r="AA3498" i="7"/>
  <c r="AE2912" i="7"/>
  <c r="AF2912" i="7" s="1"/>
  <c r="AC2208" i="7"/>
  <c r="AC2375" i="7"/>
  <c r="AA846" i="7"/>
  <c r="AC846" i="7"/>
  <c r="AE2635" i="7"/>
  <c r="AF2635" i="7" s="1"/>
  <c r="AC2635" i="7"/>
  <c r="AH2635" i="7"/>
  <c r="AA2635" i="7"/>
  <c r="AM2635" i="7"/>
  <c r="AC2680" i="7"/>
  <c r="AH2680" i="7"/>
  <c r="AE2735" i="7"/>
  <c r="AF2735" i="7" s="1"/>
  <c r="AC2735" i="7"/>
  <c r="AC2739" i="7"/>
  <c r="AE2739" i="7"/>
  <c r="AF2739" i="7" s="1"/>
  <c r="AA2739" i="7"/>
  <c r="AC2863" i="7"/>
  <c r="AH2863" i="7"/>
  <c r="AE2863" i="7"/>
  <c r="AF2863" i="7" s="1"/>
  <c r="AC2925" i="7"/>
  <c r="AE2925" i="7"/>
  <c r="AF2925" i="7" s="1"/>
  <c r="AA2925" i="7"/>
  <c r="AE3026" i="7"/>
  <c r="AF3026" i="7" s="1"/>
  <c r="AA3026" i="7"/>
  <c r="AH3026" i="7"/>
  <c r="AC3026" i="7"/>
  <c r="AH3047" i="7"/>
  <c r="AM3047" i="7"/>
  <c r="AH3051" i="7"/>
  <c r="AM3051" i="7"/>
  <c r="AH3058" i="7"/>
  <c r="AM3058" i="7"/>
  <c r="AC3175" i="7"/>
  <c r="AE3175" i="7"/>
  <c r="AF3175" i="7" s="1"/>
  <c r="AH3175" i="7"/>
  <c r="AM3175" i="7"/>
  <c r="AA3175" i="7"/>
  <c r="AC3182" i="7"/>
  <c r="AE3182" i="7"/>
  <c r="AF3182" i="7" s="1"/>
  <c r="AA3182" i="7"/>
  <c r="AM3328" i="7"/>
  <c r="AH3328" i="7"/>
  <c r="AM3521" i="7"/>
  <c r="AH3521" i="7"/>
  <c r="AE3521" i="7"/>
  <c r="AF3521" i="7" s="1"/>
  <c r="AH3536" i="7"/>
  <c r="AM3536" i="7"/>
  <c r="AE3167" i="7"/>
  <c r="AF3167" i="7" s="1"/>
  <c r="AA2859" i="7"/>
  <c r="AM2605" i="7"/>
  <c r="AM1070" i="7"/>
  <c r="AC2502" i="7"/>
  <c r="AA2502" i="7"/>
  <c r="AC2544" i="7"/>
  <c r="AH2544" i="7"/>
  <c r="AE2639" i="7"/>
  <c r="AF2639" i="7" s="1"/>
  <c r="AC2639" i="7"/>
  <c r="AC2823" i="7"/>
  <c r="AA2823" i="7"/>
  <c r="AA2827" i="7"/>
  <c r="AM2827" i="7"/>
  <c r="AE1913" i="7"/>
  <c r="AF1913" i="7" s="1"/>
  <c r="AC1913" i="7"/>
  <c r="AM1913" i="7"/>
  <c r="AE2846" i="7"/>
  <c r="AF2846" i="7" s="1"/>
  <c r="AH2846" i="7"/>
  <c r="AC2855" i="7"/>
  <c r="AA2855" i="7"/>
  <c r="AE2891" i="7"/>
  <c r="AF2891" i="7" s="1"/>
  <c r="AA2891" i="7"/>
  <c r="AM2951" i="7"/>
  <c r="AM3038" i="7"/>
  <c r="AA3126" i="7"/>
  <c r="AE3126" i="7"/>
  <c r="AF3126" i="7" s="1"/>
  <c r="AE2870" i="7"/>
  <c r="AF2870" i="7" s="1"/>
  <c r="AA2784" i="7"/>
  <c r="AM2802" i="7"/>
  <c r="AH2802" i="7"/>
  <c r="AC2986" i="7"/>
  <c r="AA2846" i="7"/>
  <c r="AE2390" i="7"/>
  <c r="AF2390" i="7" s="1"/>
  <c r="AC2390" i="7"/>
  <c r="AC2184" i="7"/>
  <c r="AA2147" i="7"/>
  <c r="AM619" i="7"/>
  <c r="AH780" i="7"/>
  <c r="AH784" i="7"/>
  <c r="AH796" i="7"/>
  <c r="AM812" i="7"/>
  <c r="AM873" i="7"/>
  <c r="AM877" i="7"/>
  <c r="AM881" i="7"/>
  <c r="AM885" i="7"/>
  <c r="AM897" i="7"/>
  <c r="AM901" i="7"/>
  <c r="AM909" i="7"/>
  <c r="AM965" i="7"/>
  <c r="AM981" i="7"/>
  <c r="AM1002" i="7"/>
  <c r="AH1059" i="7"/>
  <c r="AM1263" i="7"/>
  <c r="AM1399" i="7"/>
  <c r="AE2184" i="7"/>
  <c r="AF2184" i="7" s="1"/>
  <c r="AH2184" i="7"/>
  <c r="AA2184" i="7"/>
  <c r="AM2196" i="7"/>
  <c r="AM2576" i="7"/>
  <c r="AM2673" i="7"/>
  <c r="AE2673" i="7"/>
  <c r="AF2673" i="7" s="1"/>
  <c r="AE2997" i="7"/>
  <c r="AF2997" i="7" s="1"/>
  <c r="AA2997" i="7"/>
  <c r="AC2997" i="7"/>
  <c r="AC2827" i="7"/>
  <c r="AM2544" i="7"/>
  <c r="AA2199" i="7"/>
  <c r="AC2147" i="7"/>
  <c r="AE2502" i="7"/>
  <c r="AF2502" i="7" s="1"/>
  <c r="AM3022" i="7"/>
  <c r="AE2669" i="7"/>
  <c r="AF2669" i="7" s="1"/>
  <c r="AE2798" i="7"/>
  <c r="AF2798" i="7" s="1"/>
  <c r="AA2513" i="7"/>
  <c r="AM2669" i="7"/>
  <c r="AM2852" i="7"/>
  <c r="AH2253" i="7"/>
  <c r="AM2517" i="7"/>
  <c r="AH1747" i="7"/>
  <c r="AH3495" i="7"/>
  <c r="AH2391" i="7"/>
  <c r="AM2932" i="7"/>
  <c r="AE2827" i="7"/>
  <c r="AF2827" i="7" s="1"/>
  <c r="AH2502" i="7"/>
  <c r="AC1804" i="7"/>
  <c r="AM3442" i="7"/>
  <c r="AH3481" i="7"/>
  <c r="AM1597" i="7"/>
  <c r="AH1597" i="7"/>
  <c r="AE1920" i="7"/>
  <c r="AF1920" i="7" s="1"/>
  <c r="AA1920" i="7"/>
  <c r="AE1979" i="7"/>
  <c r="AF1979" i="7" s="1"/>
  <c r="AA1979" i="7"/>
  <c r="AM2032" i="7"/>
  <c r="AE2032" i="7"/>
  <c r="AF2032" i="7" s="1"/>
  <c r="AA2170" i="7"/>
  <c r="AC2170" i="7"/>
  <c r="AM2394" i="7"/>
  <c r="AM3050" i="7"/>
  <c r="AA3050" i="7"/>
  <c r="AE2823" i="7"/>
  <c r="AF2823" i="7" s="1"/>
  <c r="AM2502" i="7"/>
  <c r="AM2836" i="7"/>
  <c r="AM2299" i="7"/>
  <c r="AM726" i="7"/>
  <c r="AH726" i="7"/>
  <c r="AM2112" i="7"/>
  <c r="AC2112" i="7"/>
  <c r="AE2112" i="7"/>
  <c r="AF2112" i="7" s="1"/>
  <c r="AM2208" i="7"/>
  <c r="AM2430" i="7"/>
  <c r="AC2506" i="7"/>
  <c r="AA2506" i="7"/>
  <c r="AC2870" i="7"/>
  <c r="AM2839" i="7"/>
  <c r="AM554" i="7"/>
  <c r="AH554" i="7"/>
  <c r="AC3050" i="7"/>
  <c r="AC2798" i="7"/>
  <c r="AA2639" i="7"/>
  <c r="AH2147" i="7"/>
  <c r="AM2997" i="7"/>
  <c r="AM3522" i="7"/>
  <c r="AH2994" i="7"/>
  <c r="AH2514" i="7"/>
  <c r="AH2798" i="7"/>
  <c r="AM2026" i="7"/>
  <c r="AH2152" i="7"/>
  <c r="AE3050" i="7"/>
  <c r="AF3050" i="7" s="1"/>
  <c r="AH2823" i="7"/>
  <c r="AE2986" i="7"/>
  <c r="AF2986" i="7" s="1"/>
  <c r="AH2673" i="7"/>
  <c r="AH1913" i="7"/>
  <c r="AC206" i="7"/>
  <c r="AC2211" i="7"/>
  <c r="AA2112" i="7"/>
  <c r="AM3278" i="7"/>
  <c r="AM2909" i="7"/>
  <c r="AC2446" i="7"/>
  <c r="AE2446" i="7"/>
  <c r="AF2446" i="7" s="1"/>
  <c r="AH2997" i="7"/>
  <c r="AH2199" i="7"/>
  <c r="AH2827" i="7"/>
  <c r="AA2673" i="7"/>
  <c r="AH2390" i="7"/>
  <c r="AH993" i="7"/>
  <c r="AH2639" i="7"/>
  <c r="AM2984" i="7"/>
  <c r="AC3022" i="7"/>
  <c r="AH2932" i="7"/>
  <c r="AC2673" i="7"/>
  <c r="AE2855" i="7"/>
  <c r="AF2855" i="7" s="1"/>
  <c r="AC2199" i="7"/>
  <c r="AA2544" i="7"/>
  <c r="AH2506" i="7"/>
  <c r="AE2147" i="7"/>
  <c r="AF2147" i="7" s="1"/>
  <c r="AM2446" i="7"/>
  <c r="AM2506" i="7"/>
  <c r="AA2446" i="7"/>
  <c r="AA1913" i="7"/>
  <c r="AH2689" i="7"/>
  <c r="AM2692" i="7"/>
  <c r="AM2624" i="7"/>
  <c r="AM1092" i="7"/>
  <c r="AH1124" i="7"/>
  <c r="AH1136" i="7"/>
  <c r="AH1200" i="7"/>
  <c r="AM1324" i="7"/>
  <c r="AM1364" i="7"/>
  <c r="AM1372" i="7"/>
  <c r="AH1376" i="7"/>
  <c r="AM1636" i="7"/>
  <c r="AM1700" i="7"/>
  <c r="AH2456" i="7"/>
  <c r="AH2550" i="7"/>
  <c r="AM2281" i="7"/>
  <c r="AH2279" i="7"/>
  <c r="AM2190" i="7"/>
  <c r="AA2190" i="7"/>
  <c r="AH3197" i="7"/>
  <c r="AA2194" i="7"/>
  <c r="AM2648" i="7"/>
  <c r="AH3212" i="7"/>
  <c r="AH3257" i="7"/>
  <c r="AH2269" i="7"/>
  <c r="AM3179" i="7"/>
  <c r="AM1963" i="7"/>
  <c r="AM1444" i="7"/>
  <c r="AF175" i="4"/>
  <c r="AC175" i="4"/>
  <c r="AD175" i="4" s="1"/>
  <c r="AE12" i="9"/>
  <c r="AJ12" i="9"/>
  <c r="AB12" i="9"/>
  <c r="AC12" i="9" s="1"/>
  <c r="AC180" i="4"/>
  <c r="AD180" i="4" s="1"/>
  <c r="AF180" i="4"/>
  <c r="AJ6" i="9"/>
  <c r="AE6" i="9"/>
  <c r="AB6" i="9"/>
  <c r="AC6" i="9" s="1"/>
  <c r="AC168" i="4"/>
  <c r="AD168" i="4" s="1"/>
  <c r="AF168" i="4"/>
  <c r="Y786" i="7"/>
  <c r="Z786" i="7" s="1"/>
  <c r="AI786" i="7"/>
  <c r="AA174" i="4"/>
  <c r="Y174" i="4"/>
  <c r="AF174" i="4"/>
  <c r="AC174" i="4"/>
  <c r="AD174" i="4" s="1"/>
  <c r="AJ13" i="9"/>
  <c r="AE13" i="9"/>
  <c r="AC685" i="7"/>
  <c r="AA685" i="7"/>
  <c r="AI816" i="7"/>
  <c r="Y816" i="7"/>
  <c r="Z816" i="7" s="1"/>
  <c r="AM816" i="7" s="1"/>
  <c r="Y173" i="4"/>
  <c r="AF173" i="4"/>
  <c r="AC172" i="4"/>
  <c r="AD172" i="4" s="1"/>
  <c r="AA172" i="4"/>
  <c r="AH992" i="7"/>
  <c r="AC55" i="4"/>
  <c r="AD55" i="4" s="1"/>
  <c r="AA55" i="4"/>
  <c r="AA81" i="4"/>
  <c r="Y81" i="4"/>
  <c r="AC149" i="4"/>
  <c r="AD149" i="4" s="1"/>
  <c r="AF149" i="4"/>
  <c r="AF10" i="4"/>
  <c r="AC10" i="4"/>
  <c r="AD10" i="4" s="1"/>
  <c r="AA66" i="4"/>
  <c r="Y66" i="4"/>
  <c r="AF66" i="4"/>
  <c r="AA183" i="4"/>
  <c r="Y183" i="4"/>
  <c r="AA854" i="7"/>
  <c r="AC139" i="4"/>
  <c r="AD139" i="4" s="1"/>
  <c r="AF139" i="4"/>
  <c r="AC122" i="4"/>
  <c r="AD122" i="4" s="1"/>
  <c r="AF122" i="4"/>
  <c r="AF71" i="4"/>
  <c r="AC71" i="4"/>
  <c r="AD71" i="4" s="1"/>
  <c r="AC147" i="4"/>
  <c r="AD147" i="4" s="1"/>
  <c r="AA147" i="4"/>
  <c r="Y147" i="4"/>
  <c r="AF179" i="4"/>
  <c r="AC179" i="4"/>
  <c r="AD179" i="4" s="1"/>
  <c r="AC13" i="4"/>
  <c r="AD13" i="4" s="1"/>
  <c r="Y13" i="4"/>
  <c r="AF84" i="4"/>
  <c r="AC84" i="4"/>
  <c r="AD84" i="4" s="1"/>
  <c r="Y1193" i="7"/>
  <c r="Z1193" i="7" s="1"/>
  <c r="AM1193" i="7" s="1"/>
  <c r="AA7" i="4"/>
  <c r="Y7" i="4"/>
  <c r="Y11" i="4"/>
  <c r="AC11" i="4"/>
  <c r="AD11" i="4" s="1"/>
  <c r="Y1384" i="7"/>
  <c r="Z1384" i="7" s="1"/>
  <c r="AM1384" i="7" s="1"/>
  <c r="AI1384" i="7"/>
  <c r="AI1436" i="7"/>
  <c r="Y1436" i="7"/>
  <c r="Z1436" i="7" s="1"/>
  <c r="AH1436" i="7" s="1"/>
  <c r="AA96" i="4"/>
  <c r="Y96" i="4"/>
  <c r="AF115" i="4"/>
  <c r="AC115" i="4"/>
  <c r="AD115" i="4" s="1"/>
  <c r="AA129" i="4"/>
  <c r="Y129" i="4"/>
  <c r="AM253" i="7"/>
  <c r="AM782" i="7"/>
  <c r="AM786" i="7"/>
  <c r="Y798" i="7"/>
  <c r="Z798" i="7" s="1"/>
  <c r="AM814" i="7"/>
  <c r="Y830" i="7"/>
  <c r="Z830" i="7" s="1"/>
  <c r="AM830" i="7" s="1"/>
  <c r="AM854" i="7"/>
  <c r="Y871" i="7"/>
  <c r="Z871" i="7" s="1"/>
  <c r="AH871" i="7" s="1"/>
  <c r="Y875" i="7"/>
  <c r="Z875" i="7" s="1"/>
  <c r="AH879" i="7"/>
  <c r="AH883" i="7"/>
  <c r="Y887" i="7"/>
  <c r="Z887" i="7" s="1"/>
  <c r="AH899" i="7"/>
  <c r="AH903" i="7"/>
  <c r="AM907" i="7"/>
  <c r="Y911" i="7"/>
  <c r="Z911" i="7" s="1"/>
  <c r="AM911" i="7" s="1"/>
  <c r="AM979" i="7"/>
  <c r="AH1044" i="7"/>
  <c r="Y1052" i="7"/>
  <c r="Z1052" i="7" s="1"/>
  <c r="AM1052" i="7" s="1"/>
  <c r="Y1061" i="7"/>
  <c r="Z1061" i="7" s="1"/>
  <c r="AM1094" i="7"/>
  <c r="Y1118" i="7"/>
  <c r="Z1118" i="7" s="1"/>
  <c r="AA1118" i="7" s="1"/>
  <c r="AM1126" i="7"/>
  <c r="Y1130" i="7"/>
  <c r="Z1130" i="7" s="1"/>
  <c r="AH1130" i="7" s="1"/>
  <c r="Y1179" i="7"/>
  <c r="Z1179" i="7" s="1"/>
  <c r="AM1198" i="7"/>
  <c r="AM1275" i="7"/>
  <c r="AM1298" i="7"/>
  <c r="Y1326" i="7"/>
  <c r="Z1326" i="7" s="1"/>
  <c r="AH1358" i="7"/>
  <c r="AH1362" i="7"/>
  <c r="Y1366" i="7"/>
  <c r="Z1366" i="7" s="1"/>
  <c r="AM1370" i="7"/>
  <c r="AM1374" i="7"/>
  <c r="Y1378" i="7"/>
  <c r="Z1378" i="7" s="1"/>
  <c r="Y1690" i="7"/>
  <c r="Z1690" i="7" s="1"/>
  <c r="AH1702" i="7"/>
  <c r="Y1755" i="7"/>
  <c r="Z1755" i="7" s="1"/>
  <c r="AC1755" i="7" s="1"/>
  <c r="Y1759" i="7"/>
  <c r="Z1759" i="7" s="1"/>
  <c r="AM1759" i="7" s="1"/>
  <c r="Y182" i="7"/>
  <c r="Z182" i="7" s="1"/>
  <c r="AM870" i="7"/>
  <c r="Y966" i="7"/>
  <c r="Z966" i="7" s="1"/>
  <c r="AM966" i="7" s="1"/>
  <c r="AM982" i="7"/>
  <c r="AM1043" i="7"/>
  <c r="Y1060" i="7"/>
  <c r="Z1060" i="7" s="1"/>
  <c r="AM1117" i="7"/>
  <c r="Y1125" i="7"/>
  <c r="Z1125" i="7" s="1"/>
  <c r="AH1125" i="7" s="1"/>
  <c r="Y1197" i="7"/>
  <c r="Z1197" i="7" s="1"/>
  <c r="AM1197" i="7" s="1"/>
  <c r="Y1201" i="7"/>
  <c r="Z1201" i="7" s="1"/>
  <c r="Y1373" i="7"/>
  <c r="Z1373" i="7" s="1"/>
  <c r="AM1373" i="7" s="1"/>
  <c r="AM1377" i="7"/>
  <c r="AF19" i="9"/>
  <c r="A9" i="2"/>
  <c r="AH181" i="7"/>
  <c r="AH185" i="7"/>
  <c r="Y1757" i="7"/>
  <c r="Z1757" i="7" s="1"/>
  <c r="AH1757" i="7" s="1"/>
  <c r="AH1804" i="7"/>
  <c r="Y1944" i="7"/>
  <c r="Z1944" i="7" s="1"/>
  <c r="AA1944" i="7" s="1"/>
  <c r="Y1952" i="7"/>
  <c r="Z1952" i="7" s="1"/>
  <c r="AE1952" i="7" s="1"/>
  <c r="AF1952" i="7" s="1"/>
  <c r="AF163" i="4"/>
  <c r="AH802" i="7"/>
  <c r="AH826" i="7"/>
  <c r="Y1960" i="7"/>
  <c r="Z1960" i="7" s="1"/>
  <c r="AH1620" i="7"/>
  <c r="AM1962" i="7"/>
  <c r="AM1474" i="7"/>
  <c r="AM1968" i="7"/>
  <c r="AM1830" i="7"/>
  <c r="Y621" i="7"/>
  <c r="Z621" i="7" s="1"/>
  <c r="AH621" i="7" s="1"/>
  <c r="AH623" i="7"/>
  <c r="AM627" i="7"/>
  <c r="AH668" i="7"/>
  <c r="AM670" i="7"/>
  <c r="AM683" i="7"/>
  <c r="AH685" i="7"/>
  <c r="Y687" i="7"/>
  <c r="Z687" i="7" s="1"/>
  <c r="AH691" i="7"/>
  <c r="Y693" i="7"/>
  <c r="Z693" i="7" s="1"/>
  <c r="AM695" i="7"/>
  <c r="Y701" i="7"/>
  <c r="Z701" i="7" s="1"/>
  <c r="AA701" i="7" s="1"/>
  <c r="Y792" i="7"/>
  <c r="Z792" i="7" s="1"/>
  <c r="AC792" i="7" s="1"/>
  <c r="Y928" i="7"/>
  <c r="Z928" i="7" s="1"/>
  <c r="AH928" i="7" s="1"/>
  <c r="AH930" i="7"/>
  <c r="Y989" i="7"/>
  <c r="Z989" i="7" s="1"/>
  <c r="AM1122" i="7"/>
  <c r="AH1140" i="7"/>
  <c r="AM1142" i="7"/>
  <c r="AM1146" i="7"/>
  <c r="AH1148" i="7"/>
  <c r="AH1294" i="7"/>
  <c r="AM1296" i="7"/>
  <c r="AM1300" i="7"/>
  <c r="AH1332" i="7"/>
  <c r="AM1334" i="7"/>
  <c r="AM1336" i="7"/>
  <c r="AH1340" i="7"/>
  <c r="Y1380" i="7"/>
  <c r="Z1380" i="7" s="1"/>
  <c r="AM1380" i="7" s="1"/>
  <c r="AM1394" i="7"/>
  <c r="Y1410" i="7"/>
  <c r="Z1410" i="7" s="1"/>
  <c r="AM1410" i="7" s="1"/>
  <c r="AM1412" i="7"/>
  <c r="AM1428" i="7"/>
  <c r="Y1430" i="7"/>
  <c r="Z1430" i="7" s="1"/>
  <c r="AM1430" i="7" s="1"/>
  <c r="Y1432" i="7"/>
  <c r="Z1432" i="7" s="1"/>
  <c r="AH1432" i="7" s="1"/>
  <c r="AM1434" i="7"/>
  <c r="AH1444" i="7"/>
  <c r="Y1446" i="7"/>
  <c r="Z1446" i="7" s="1"/>
  <c r="AH1446" i="7" s="1"/>
  <c r="AH1505" i="7"/>
  <c r="AH1507" i="7"/>
  <c r="AM1509" i="7"/>
  <c r="AM1511" i="7"/>
  <c r="Y1532" i="7"/>
  <c r="Z1532" i="7" s="1"/>
  <c r="AM1532" i="7" s="1"/>
  <c r="Y1534" i="7"/>
  <c r="Z1534" i="7" s="1"/>
  <c r="AA1534" i="7" s="1"/>
  <c r="Y1574" i="7"/>
  <c r="Z1574" i="7" s="1"/>
  <c r="AC1574" i="7" s="1"/>
  <c r="AM1616" i="7"/>
  <c r="AH1653" i="7"/>
  <c r="AM1669" i="7"/>
  <c r="AM1706" i="7"/>
  <c r="AH1713" i="7"/>
  <c r="AM1717" i="7"/>
  <c r="AM1723" i="7"/>
  <c r="AM1729" i="7"/>
  <c r="AM1812" i="7"/>
  <c r="Y1820" i="7"/>
  <c r="Z1820" i="7" s="1"/>
  <c r="AA1820" i="7" s="1"/>
  <c r="AM1999" i="7"/>
  <c r="AH2083" i="7"/>
  <c r="Y2093" i="7"/>
  <c r="Z2093" i="7" s="1"/>
  <c r="AH2093" i="7" s="1"/>
  <c r="AH2106" i="7"/>
  <c r="Y2155" i="7"/>
  <c r="Z2155" i="7" s="1"/>
  <c r="AA2155" i="7" s="1"/>
  <c r="AH2159" i="7"/>
  <c r="AH2174" i="7"/>
  <c r="Y2176" i="7"/>
  <c r="Z2176" i="7" s="1"/>
  <c r="AH2176" i="7" s="1"/>
  <c r="AM347" i="7"/>
  <c r="AH243" i="7"/>
  <c r="AM1020" i="7"/>
  <c r="AA471" i="7"/>
  <c r="AH819" i="7"/>
  <c r="AC435" i="7"/>
  <c r="AM3623" i="7"/>
  <c r="AI675" i="7"/>
  <c r="AC2149" i="7"/>
  <c r="AA2149" i="7"/>
  <c r="AE2170" i="7"/>
  <c r="AF2170" i="7" s="1"/>
  <c r="AC1812" i="7"/>
  <c r="AH1968" i="7"/>
  <c r="AH1334" i="7"/>
  <c r="AH1428" i="7"/>
  <c r="Y1972" i="7"/>
  <c r="Z1972" i="7" s="1"/>
  <c r="AH1972" i="7" s="1"/>
  <c r="Y1503" i="7"/>
  <c r="Z1503" i="7" s="1"/>
  <c r="AH1503" i="7" s="1"/>
  <c r="Y1958" i="7"/>
  <c r="Z1958" i="7" s="1"/>
  <c r="AA1958" i="7" s="1"/>
  <c r="Y1810" i="7"/>
  <c r="Z1810" i="7" s="1"/>
  <c r="AC1810" i="7" s="1"/>
  <c r="AI1505" i="7"/>
  <c r="AI1318" i="7"/>
  <c r="AH1812" i="7"/>
  <c r="AA1968" i="7"/>
  <c r="AH1394" i="7"/>
  <c r="AM1653" i="7"/>
  <c r="AC1968" i="7"/>
  <c r="AM1725" i="7"/>
  <c r="AH1511" i="7"/>
  <c r="AH1146" i="7"/>
  <c r="AH1828" i="7"/>
  <c r="Y1614" i="7"/>
  <c r="Z1614" i="7" s="1"/>
  <c r="AH1614" i="7" s="1"/>
  <c r="Y2153" i="7"/>
  <c r="Z2153" i="7" s="1"/>
  <c r="AA2153" i="7" s="1"/>
  <c r="AM1746" i="7"/>
  <c r="Y1382" i="7"/>
  <c r="Z1382" i="7" s="1"/>
  <c r="AH1382" i="7" s="1"/>
  <c r="Y1966" i="7"/>
  <c r="Z1966" i="7" s="1"/>
  <c r="AH1966" i="7" s="1"/>
  <c r="AM2056" i="7"/>
  <c r="AH2056" i="7"/>
  <c r="AH1962" i="7"/>
  <c r="AM1046" i="7"/>
  <c r="AH1999" i="7"/>
  <c r="Y2104" i="7"/>
  <c r="Z2104" i="7" s="1"/>
  <c r="AM2104" i="7" s="1"/>
  <c r="AM1472" i="7"/>
  <c r="Y2151" i="7"/>
  <c r="Z2151" i="7" s="1"/>
  <c r="AH2151" i="7" s="1"/>
  <c r="AM1740" i="7"/>
  <c r="AA2106" i="7"/>
  <c r="AA2056" i="7"/>
  <c r="AH1616" i="7"/>
  <c r="AH1046" i="7"/>
  <c r="Y2054" i="7"/>
  <c r="Z2054" i="7" s="1"/>
  <c r="AM2054" i="7" s="1"/>
  <c r="AM1388" i="7"/>
  <c r="AH1398" i="7"/>
  <c r="AC1962" i="7"/>
  <c r="AA1962" i="7"/>
  <c r="AC2106" i="7"/>
  <c r="AM1507" i="7"/>
  <c r="AH1296" i="7"/>
  <c r="AM1438" i="7"/>
  <c r="AH1440" i="7"/>
  <c r="Y1338" i="7"/>
  <c r="Z1338" i="7" s="1"/>
  <c r="AH1338" i="7" s="1"/>
  <c r="AH1434" i="7"/>
  <c r="AE2106" i="7"/>
  <c r="AF2106" i="7" s="1"/>
  <c r="AC1142" i="7"/>
  <c r="AM2159" i="7"/>
  <c r="AH2149" i="7"/>
  <c r="AH1677" i="7"/>
  <c r="Y889" i="7"/>
  <c r="Z889" i="7" s="1"/>
  <c r="AH889" i="7" s="1"/>
  <c r="AM1570" i="7"/>
  <c r="AE2056" i="7"/>
  <c r="AF2056" i="7" s="1"/>
  <c r="AH1142" i="7"/>
  <c r="AM2149" i="7"/>
  <c r="Y1592" i="7"/>
  <c r="Z1592" i="7" s="1"/>
  <c r="AH1592" i="7" s="1"/>
  <c r="AM1640" i="7"/>
  <c r="Y2108" i="7"/>
  <c r="Z2108" i="7" s="1"/>
  <c r="AA2108" i="7" s="1"/>
  <c r="AM1572" i="7"/>
  <c r="AM2170" i="7"/>
  <c r="AM1340" i="7"/>
  <c r="AM1683" i="7"/>
  <c r="AM658" i="7"/>
  <c r="AM1777" i="7"/>
  <c r="Y1978" i="7"/>
  <c r="Z1978" i="7" s="1"/>
  <c r="AE1978" i="7" s="1"/>
  <c r="AF1978" i="7" s="1"/>
  <c r="AM3339" i="7"/>
  <c r="Y3394" i="7"/>
  <c r="Z3394" i="7" s="1"/>
  <c r="AH3394" i="7" s="1"/>
  <c r="AH3689" i="7"/>
  <c r="AH1700" i="7"/>
  <c r="AI2074" i="7"/>
  <c r="AH256" i="7"/>
  <c r="AM781" i="7"/>
  <c r="AM783" i="7"/>
  <c r="AM785" i="7"/>
  <c r="Y813" i="7"/>
  <c r="Z813" i="7" s="1"/>
  <c r="AA813" i="7" s="1"/>
  <c r="AM851" i="7"/>
  <c r="AM853" i="7"/>
  <c r="AM855" i="7"/>
  <c r="AM874" i="7"/>
  <c r="Y876" i="7"/>
  <c r="Z876" i="7" s="1"/>
  <c r="AH876" i="7" s="1"/>
  <c r="AM878" i="7"/>
  <c r="Y880" i="7"/>
  <c r="Z880" i="7" s="1"/>
  <c r="Y882" i="7"/>
  <c r="Z882" i="7" s="1"/>
  <c r="AM882" i="7" s="1"/>
  <c r="Y884" i="7"/>
  <c r="Z884" i="7" s="1"/>
  <c r="Y886" i="7"/>
  <c r="Z886" i="7" s="1"/>
  <c r="AH886" i="7" s="1"/>
  <c r="Y898" i="7"/>
  <c r="Z898" i="7" s="1"/>
  <c r="AM898" i="7" s="1"/>
  <c r="AM900" i="7"/>
  <c r="Y902" i="7"/>
  <c r="Z902" i="7" s="1"/>
  <c r="AM902" i="7" s="1"/>
  <c r="Y904" i="7"/>
  <c r="Z904" i="7" s="1"/>
  <c r="AH904" i="7" s="1"/>
  <c r="AM906" i="7"/>
  <c r="AM908" i="7"/>
  <c r="Y910" i="7"/>
  <c r="Z910" i="7" s="1"/>
  <c r="AM912" i="7"/>
  <c r="AH2884" i="7"/>
  <c r="Y2886" i="7"/>
  <c r="Z2886" i="7" s="1"/>
  <c r="AE2886" i="7" s="1"/>
  <c r="AF2886" i="7" s="1"/>
  <c r="AM2890" i="7"/>
  <c r="Y2892" i="7"/>
  <c r="Z2892" i="7" s="1"/>
  <c r="AC2892" i="7" s="1"/>
  <c r="AM1960" i="7"/>
  <c r="Y2052" i="7"/>
  <c r="Z2052" i="7" s="1"/>
  <c r="AM846" i="7"/>
  <c r="Y1104" i="7"/>
  <c r="Z1104" i="7" s="1"/>
  <c r="AM1104" i="7" s="1"/>
  <c r="AH1185" i="7"/>
  <c r="AM3144" i="7"/>
  <c r="Y3146" i="7"/>
  <c r="Z3146" i="7" s="1"/>
  <c r="Y2882" i="7"/>
  <c r="Z2882" i="7" s="1"/>
  <c r="AM3498" i="7"/>
  <c r="AH1636" i="7"/>
  <c r="Y601" i="7"/>
  <c r="Z601" i="7" s="1"/>
  <c r="AH601" i="7" s="1"/>
  <c r="Y613" i="7"/>
  <c r="Z613" i="7" s="1"/>
  <c r="AM613" i="7" s="1"/>
  <c r="Y1342" i="7"/>
  <c r="Z1342" i="7" s="1"/>
  <c r="AH1342" i="7" s="1"/>
  <c r="AH3160" i="7"/>
  <c r="AM1065" i="7"/>
  <c r="AH1298" i="7"/>
  <c r="AH1370" i="7"/>
  <c r="AH1275" i="7"/>
  <c r="AM1376" i="7"/>
  <c r="AH1126" i="7"/>
  <c r="AH609" i="7"/>
  <c r="AM687" i="7"/>
  <c r="AM788" i="7"/>
  <c r="AM824" i="7"/>
  <c r="AH862" i="7"/>
  <c r="AH864" i="7"/>
  <c r="AM1000" i="7"/>
  <c r="AM1140" i="7"/>
  <c r="Y611" i="7"/>
  <c r="Z611" i="7" s="1"/>
  <c r="AH611" i="7" s="1"/>
  <c r="AH615" i="7"/>
  <c r="Y617" i="7"/>
  <c r="Z617" i="7" s="1"/>
  <c r="AM617" i="7" s="1"/>
  <c r="Y790" i="7"/>
  <c r="Z790" i="7" s="1"/>
  <c r="AM790" i="7" s="1"/>
  <c r="Y804" i="7"/>
  <c r="Z804" i="7" s="1"/>
  <c r="AM804" i="7" s="1"/>
  <c r="Y806" i="7"/>
  <c r="Z806" i="7" s="1"/>
  <c r="AA806" i="7" s="1"/>
  <c r="AM860" i="7"/>
  <c r="AM862" i="7"/>
  <c r="AH1000" i="7"/>
  <c r="AM934" i="7"/>
  <c r="Y666" i="7"/>
  <c r="Z666" i="7" s="1"/>
  <c r="AM666" i="7" s="1"/>
  <c r="Y866" i="7"/>
  <c r="Z866" i="7" s="1"/>
  <c r="AM866" i="7" s="1"/>
  <c r="AH777" i="7"/>
  <c r="AA1046" i="7"/>
  <c r="Y1048" i="7"/>
  <c r="Z1048" i="7" s="1"/>
  <c r="AH1048" i="7" s="1"/>
  <c r="AI1142" i="7"/>
  <c r="Y1354" i="7"/>
  <c r="Z1354" i="7" s="1"/>
  <c r="AM1354" i="7" s="1"/>
  <c r="Y794" i="7"/>
  <c r="Z794" i="7" s="1"/>
  <c r="AC794" i="7" s="1"/>
  <c r="AH808" i="7"/>
  <c r="Y822" i="7"/>
  <c r="Z822" i="7" s="1"/>
  <c r="AC822" i="7" s="1"/>
  <c r="AM828" i="7"/>
  <c r="AH858" i="7"/>
  <c r="AM1120" i="7"/>
  <c r="AH1144" i="7"/>
  <c r="AM1148" i="7"/>
  <c r="AH1194" i="7"/>
  <c r="AM1294" i="7"/>
  <c r="AH2962" i="7"/>
  <c r="Y2966" i="7"/>
  <c r="Z2966" i="7" s="1"/>
  <c r="AA2966" i="7" s="1"/>
  <c r="Y2982" i="7"/>
  <c r="Z2982" i="7" s="1"/>
  <c r="AC2982" i="7" s="1"/>
  <c r="AM3163" i="7"/>
  <c r="AH3287" i="7"/>
  <c r="AM3289" i="7"/>
  <c r="AM3211" i="7"/>
  <c r="Y480" i="7"/>
  <c r="Z480" i="7" s="1"/>
  <c r="Y607" i="7"/>
  <c r="Z607" i="7" s="1"/>
  <c r="Y679" i="7"/>
  <c r="Z679" i="7" s="1"/>
  <c r="AH679" i="7" s="1"/>
  <c r="Y1751" i="7"/>
  <c r="Z1751" i="7" s="1"/>
  <c r="AH1751" i="7" s="1"/>
  <c r="Y1753" i="7"/>
  <c r="Z1753" i="7" s="1"/>
  <c r="Y3019" i="7"/>
  <c r="Z3019" i="7" s="1"/>
  <c r="AM3019" i="7" s="1"/>
  <c r="Y3110" i="7"/>
  <c r="Z3110" i="7" s="1"/>
  <c r="AC3110" i="7" s="1"/>
  <c r="Y3131" i="7"/>
  <c r="Z3131" i="7" s="1"/>
  <c r="AC3131" i="7" s="1"/>
  <c r="AM3135" i="7"/>
  <c r="AM3220" i="7"/>
  <c r="AH1071" i="7"/>
  <c r="Y1138" i="7"/>
  <c r="Z1138" i="7" s="1"/>
  <c r="AM1138" i="7" s="1"/>
  <c r="Y2146" i="7"/>
  <c r="Z2146" i="7" s="1"/>
  <c r="Y2731" i="7"/>
  <c r="Z2731" i="7" s="1"/>
  <c r="AH3162" i="7"/>
  <c r="AH1120" i="7"/>
  <c r="AM1144" i="7"/>
  <c r="Y1050" i="7"/>
  <c r="Z1050" i="7" s="1"/>
  <c r="AH1050" i="7" s="1"/>
  <c r="Y18" i="11"/>
  <c r="Y20" i="11"/>
  <c r="Y17" i="11"/>
  <c r="Y23" i="11"/>
  <c r="Y16" i="11"/>
  <c r="AM1358" i="7"/>
  <c r="AH1092" i="7"/>
  <c r="AH1377" i="7"/>
  <c r="AH3740" i="7"/>
  <c r="AM3122" i="7"/>
  <c r="AH1324" i="7"/>
  <c r="AH1374" i="7"/>
  <c r="AM1737" i="7"/>
  <c r="AM1779" i="7"/>
  <c r="AH1785" i="7"/>
  <c r="AH1861" i="7"/>
  <c r="AH1863" i="7"/>
  <c r="AH1865" i="7"/>
  <c r="AH3246" i="7"/>
  <c r="AM1124" i="7"/>
  <c r="AM3685" i="7"/>
  <c r="AH1193" i="7"/>
  <c r="AM3160" i="7"/>
  <c r="AM1136" i="7"/>
  <c r="AC3280" i="7"/>
  <c r="AC3270" i="7"/>
  <c r="AM3238" i="7"/>
  <c r="AH2845" i="7"/>
  <c r="AH907" i="7"/>
  <c r="AC1034" i="7"/>
  <c r="AM1059" i="7"/>
  <c r="AA977" i="7"/>
  <c r="AH981" i="7"/>
  <c r="AM1044" i="7"/>
  <c r="AE2517" i="7"/>
  <c r="AF2517" i="7" s="1"/>
  <c r="AM2681" i="7"/>
  <c r="AH3835" i="7"/>
  <c r="Y1042" i="7"/>
  <c r="Z1042" i="7" s="1"/>
  <c r="AH1042" i="7" s="1"/>
  <c r="AC2845" i="7"/>
  <c r="AH909" i="7"/>
  <c r="AH873" i="7"/>
  <c r="AH2559" i="7"/>
  <c r="AH3000" i="7"/>
  <c r="Y3029" i="7"/>
  <c r="Z3029" i="7" s="1"/>
  <c r="AE3029" i="7" s="1"/>
  <c r="AF3029" i="7" s="1"/>
  <c r="Y3031" i="7"/>
  <c r="Z3031" i="7" s="1"/>
  <c r="AA3031" i="7" s="1"/>
  <c r="AH3055" i="7"/>
  <c r="Y3059" i="7"/>
  <c r="Z3059" i="7" s="1"/>
  <c r="AM3059" i="7" s="1"/>
  <c r="AM3118" i="7"/>
  <c r="Y3201" i="7"/>
  <c r="Z3201" i="7" s="1"/>
  <c r="AM3201" i="7" s="1"/>
  <c r="AH3211" i="7"/>
  <c r="AM3215" i="7"/>
  <c r="AH3244" i="7"/>
  <c r="AM3260" i="7"/>
  <c r="AH3264" i="7"/>
  <c r="AM3266" i="7"/>
  <c r="AH3276" i="7"/>
  <c r="Y3296" i="7"/>
  <c r="Z3296" i="7" s="1"/>
  <c r="AE3296" i="7" s="1"/>
  <c r="AF3296" i="7" s="1"/>
  <c r="Y3323" i="7"/>
  <c r="Z3323" i="7" s="1"/>
  <c r="AC3323" i="7" s="1"/>
  <c r="Y3329" i="7"/>
  <c r="Z3329" i="7" s="1"/>
  <c r="AH3329" i="7" s="1"/>
  <c r="AH3335" i="7"/>
  <c r="Y3355" i="7"/>
  <c r="Z3355" i="7" s="1"/>
  <c r="AC3355" i="7" s="1"/>
  <c r="Y3531" i="7"/>
  <c r="Z3531" i="7" s="1"/>
  <c r="AA3531" i="7" s="1"/>
  <c r="AH3541" i="7"/>
  <c r="Y730" i="7"/>
  <c r="Z730" i="7" s="1"/>
  <c r="AH730" i="7" s="1"/>
  <c r="Y942" i="7"/>
  <c r="Z942" i="7" s="1"/>
  <c r="AM942" i="7" s="1"/>
  <c r="AM2297" i="7"/>
  <c r="Y2593" i="7"/>
  <c r="Z2593" i="7" s="1"/>
  <c r="AE2593" i="7" s="1"/>
  <c r="AF2593" i="7" s="1"/>
  <c r="Y2902" i="7"/>
  <c r="Z2902" i="7" s="1"/>
  <c r="AC2902" i="7" s="1"/>
  <c r="Y2981" i="7"/>
  <c r="Z2981" i="7" s="1"/>
  <c r="AC2981" i="7" s="1"/>
  <c r="Y3004" i="7"/>
  <c r="Z3004" i="7" s="1"/>
  <c r="AE3004" i="7" s="1"/>
  <c r="AF3004" i="7" s="1"/>
  <c r="Y3150" i="7"/>
  <c r="Z3150" i="7" s="1"/>
  <c r="AH3150" i="7" s="1"/>
  <c r="AH3152" i="7"/>
  <c r="AM3162" i="7"/>
  <c r="Y3180" i="7"/>
  <c r="Z3180" i="7" s="1"/>
  <c r="AH3182" i="7"/>
  <c r="Y3236" i="7"/>
  <c r="Z3236" i="7" s="1"/>
  <c r="AM3236" i="7" s="1"/>
  <c r="Y3250" i="7"/>
  <c r="Z3250" i="7" s="1"/>
  <c r="AA3250" i="7" s="1"/>
  <c r="Y3272" i="7"/>
  <c r="Z3272" i="7" s="1"/>
  <c r="AE3272" i="7" s="1"/>
  <c r="AF3272" i="7" s="1"/>
  <c r="Y3274" i="7"/>
  <c r="Z3274" i="7" s="1"/>
  <c r="AA3274" i="7" s="1"/>
  <c r="AM3286" i="7"/>
  <c r="Y3288" i="7"/>
  <c r="Z3288" i="7" s="1"/>
  <c r="AM3288" i="7" s="1"/>
  <c r="Y3290" i="7"/>
  <c r="Z3290" i="7" s="1"/>
  <c r="AC3290" i="7" s="1"/>
  <c r="AH3319" i="7"/>
  <c r="Y3321" i="7"/>
  <c r="Z3321" i="7" s="1"/>
  <c r="AE3321" i="7" s="1"/>
  <c r="AF3321" i="7" s="1"/>
  <c r="Y3416" i="7"/>
  <c r="Z3416" i="7" s="1"/>
  <c r="AM3416" i="7" s="1"/>
  <c r="Y3441" i="7"/>
  <c r="Z3441" i="7" s="1"/>
  <c r="AE3441" i="7" s="1"/>
  <c r="AF3441" i="7" s="1"/>
  <c r="Y3445" i="7"/>
  <c r="Z3445" i="7" s="1"/>
  <c r="AM3445" i="7" s="1"/>
  <c r="AM3447" i="7"/>
  <c r="AM3494" i="7"/>
  <c r="Y3496" i="7"/>
  <c r="Z3496" i="7" s="1"/>
  <c r="AC3496" i="7" s="1"/>
  <c r="AH3498" i="7"/>
  <c r="Y3500" i="7"/>
  <c r="Z3500" i="7" s="1"/>
  <c r="AA3500" i="7" s="1"/>
  <c r="AM3502" i="7"/>
  <c r="Y3504" i="7"/>
  <c r="Z3504" i="7" s="1"/>
  <c r="AA3504" i="7" s="1"/>
  <c r="Y3506" i="7"/>
  <c r="Z3506" i="7" s="1"/>
  <c r="AC3506" i="7" s="1"/>
  <c r="Y3545" i="7"/>
  <c r="Z3545" i="7" s="1"/>
  <c r="AE3545" i="7" s="1"/>
  <c r="AF3545" i="7" s="1"/>
  <c r="Y3549" i="7"/>
  <c r="Z3549" i="7" s="1"/>
  <c r="AE3549" i="7" s="1"/>
  <c r="AF3549" i="7" s="1"/>
  <c r="AM3689" i="7"/>
  <c r="Y3573" i="7"/>
  <c r="Z3573" i="7" s="1"/>
  <c r="AC3573" i="7" s="1"/>
  <c r="Y3580" i="7"/>
  <c r="Z3580" i="7" s="1"/>
  <c r="AH3580" i="7" s="1"/>
  <c r="Y3609" i="7"/>
  <c r="Z3609" i="7" s="1"/>
  <c r="AM3609" i="7" s="1"/>
  <c r="Y3492" i="7"/>
  <c r="Z3492" i="7" s="1"/>
  <c r="AC3492" i="7" s="1"/>
  <c r="AM3713" i="7"/>
  <c r="AH885" i="7"/>
  <c r="AH965" i="7"/>
  <c r="Y85" i="7"/>
  <c r="Z85" i="7" s="1"/>
  <c r="AH85" i="7" s="1"/>
  <c r="AM1628" i="7"/>
  <c r="Y1645" i="7"/>
  <c r="Z1645" i="7" s="1"/>
  <c r="AM1645" i="7" s="1"/>
  <c r="AM1670" i="7"/>
  <c r="Y2177" i="7"/>
  <c r="Z2177" i="7" s="1"/>
  <c r="AM3740" i="7"/>
  <c r="AA3246" i="7"/>
  <c r="AA3264" i="7"/>
  <c r="AM3319" i="7"/>
  <c r="AA3266" i="7"/>
  <c r="AC3215" i="7"/>
  <c r="AE3270" i="7"/>
  <c r="AF3270" i="7" s="1"/>
  <c r="AA3211" i="7"/>
  <c r="AM3120" i="7"/>
  <c r="AM3126" i="7"/>
  <c r="AA3331" i="7"/>
  <c r="Y3638" i="7"/>
  <c r="Z3638" i="7" s="1"/>
  <c r="AE3638" i="7" s="1"/>
  <c r="AF3638" i="7" s="1"/>
  <c r="Y3234" i="7"/>
  <c r="Z3234" i="7" s="1"/>
  <c r="AM3234" i="7" s="1"/>
  <c r="Y3343" i="7"/>
  <c r="Z3343" i="7" s="1"/>
  <c r="AM3343" i="7" s="1"/>
  <c r="Y3357" i="7"/>
  <c r="Z3357" i="7" s="1"/>
  <c r="AE3357" i="7" s="1"/>
  <c r="AF3357" i="7" s="1"/>
  <c r="Y3543" i="7"/>
  <c r="Z3543" i="7" s="1"/>
  <c r="AM3543" i="7" s="1"/>
  <c r="Y3535" i="7"/>
  <c r="Z3535" i="7" s="1"/>
  <c r="AC3535" i="7" s="1"/>
  <c r="AA3706" i="7"/>
  <c r="AH3623" i="7"/>
  <c r="AE3740" i="7"/>
  <c r="AF3740" i="7" s="1"/>
  <c r="AC3575" i="7"/>
  <c r="AM3337" i="7"/>
  <c r="AM3335" i="7"/>
  <c r="AC3246" i="7"/>
  <c r="AE3260" i="7"/>
  <c r="AF3260" i="7" s="1"/>
  <c r="AM3264" i="7"/>
  <c r="AA3276" i="7"/>
  <c r="AC3268" i="7"/>
  <c r="AC3266" i="7"/>
  <c r="AE3215" i="7"/>
  <c r="AF3215" i="7" s="1"/>
  <c r="AC3211" i="7"/>
  <c r="AH814" i="7"/>
  <c r="AM3182" i="7"/>
  <c r="AI3059" i="7"/>
  <c r="Y2977" i="7"/>
  <c r="Z2977" i="7" s="1"/>
  <c r="AM2977" i="7" s="1"/>
  <c r="Y1270" i="7"/>
  <c r="Z1270" i="7" s="1"/>
  <c r="AH1270" i="7" s="1"/>
  <c r="AM3575" i="7"/>
  <c r="AC3537" i="7"/>
  <c r="AH3575" i="7"/>
  <c r="AA3335" i="7"/>
  <c r="AA3244" i="7"/>
  <c r="AA3260" i="7"/>
  <c r="AC3276" i="7"/>
  <c r="AE3268" i="7"/>
  <c r="AF3268" i="7" s="1"/>
  <c r="AM3244" i="7"/>
  <c r="AM3209" i="7"/>
  <c r="AH3215" i="7"/>
  <c r="AE3211" i="7"/>
  <c r="AF3211" i="7" s="1"/>
  <c r="AC3124" i="7"/>
  <c r="AC3118" i="7"/>
  <c r="AE3706" i="7"/>
  <c r="AF3706" i="7" s="1"/>
  <c r="AC3258" i="7"/>
  <c r="Y2967" i="7"/>
  <c r="Z2967" i="7" s="1"/>
  <c r="AH2967" i="7" s="1"/>
  <c r="AH2418" i="7"/>
  <c r="AE3537" i="7"/>
  <c r="AF3537" i="7" s="1"/>
  <c r="AA3575" i="7"/>
  <c r="AA3541" i="7"/>
  <c r="AE3337" i="7"/>
  <c r="AF3337" i="7" s="1"/>
  <c r="AM3292" i="7"/>
  <c r="AC3335" i="7"/>
  <c r="AH3238" i="7"/>
  <c r="AC3260" i="7"/>
  <c r="AE3276" i="7"/>
  <c r="AF3276" i="7" s="1"/>
  <c r="AH3268" i="7"/>
  <c r="AM3341" i="7"/>
  <c r="AE3124" i="7"/>
  <c r="AF3124" i="7" s="1"/>
  <c r="AM3706" i="7"/>
  <c r="AH3258" i="7"/>
  <c r="Y3213" i="7"/>
  <c r="Z3213" i="7" s="1"/>
  <c r="AA3213" i="7" s="1"/>
  <c r="AM3276" i="7"/>
  <c r="Y2950" i="7"/>
  <c r="Z2950" i="7" s="1"/>
  <c r="AH2950" i="7" s="1"/>
  <c r="Y3240" i="7"/>
  <c r="Z3240" i="7" s="1"/>
  <c r="AE3240" i="7" s="1"/>
  <c r="AF3240" i="7" s="1"/>
  <c r="AC3685" i="7"/>
  <c r="AH3537" i="7"/>
  <c r="AC3541" i="7"/>
  <c r="AH3447" i="7"/>
  <c r="AE3335" i="7"/>
  <c r="AF3335" i="7" s="1"/>
  <c r="AC3359" i="7"/>
  <c r="AE3266" i="7"/>
  <c r="AF3266" i="7" s="1"/>
  <c r="AE3341" i="7"/>
  <c r="AF3341" i="7" s="1"/>
  <c r="AH3209" i="7"/>
  <c r="AH3118" i="7"/>
  <c r="AM3124" i="7"/>
  <c r="AA3000" i="7"/>
  <c r="AM3280" i="7"/>
  <c r="AM3258" i="7"/>
  <c r="Y3256" i="7"/>
  <c r="Z3256" i="7" s="1"/>
  <c r="AC3256" i="7" s="1"/>
  <c r="Y3164" i="7"/>
  <c r="Z3164" i="7" s="1"/>
  <c r="AA3164" i="7" s="1"/>
  <c r="AM3268" i="7"/>
  <c r="AI3329" i="7"/>
  <c r="Y2906" i="7"/>
  <c r="Z2906" i="7" s="1"/>
  <c r="AM2906" i="7" s="1"/>
  <c r="AM2980" i="7"/>
  <c r="AH2988" i="7"/>
  <c r="AH3685" i="7"/>
  <c r="AM3537" i="7"/>
  <c r="AE3541" i="7"/>
  <c r="AF3541" i="7" s="1"/>
  <c r="AH3292" i="7"/>
  <c r="AH3359" i="7"/>
  <c r="AC3264" i="7"/>
  <c r="AH3341" i="7"/>
  <c r="AA3209" i="7"/>
  <c r="AC3000" i="7"/>
  <c r="AI3692" i="7"/>
  <c r="AI3201" i="7"/>
  <c r="Y3490" i="7"/>
  <c r="Z3490" i="7" s="1"/>
  <c r="AC3490" i="7" s="1"/>
  <c r="AA2391" i="7"/>
  <c r="AH3494" i="7"/>
  <c r="AM3541" i="7"/>
  <c r="AA3292" i="7"/>
  <c r="AM3359" i="7"/>
  <c r="AA3238" i="7"/>
  <c r="AE3264" i="7"/>
  <c r="AF3264" i="7" s="1"/>
  <c r="AC3341" i="7"/>
  <c r="AC3209" i="7"/>
  <c r="AE3055" i="7"/>
  <c r="AF3055" i="7" s="1"/>
  <c r="AE3244" i="7"/>
  <c r="AF3244" i="7" s="1"/>
  <c r="AC286" i="7"/>
  <c r="Y1576" i="7"/>
  <c r="Z1576" i="7" s="1"/>
  <c r="AH1576" i="7" s="1"/>
  <c r="AH3502" i="7"/>
  <c r="AA3685" i="7"/>
  <c r="Y3644" i="7"/>
  <c r="Z3644" i="7" s="1"/>
  <c r="AH3644" i="7" s="1"/>
  <c r="Y3294" i="7"/>
  <c r="Z3294" i="7" s="1"/>
  <c r="AH3294" i="7" s="1"/>
  <c r="AH3184" i="7"/>
  <c r="Y3262" i="7"/>
  <c r="Z3262" i="7" s="1"/>
  <c r="AE3262" i="7" s="1"/>
  <c r="AF3262" i="7" s="1"/>
  <c r="AH3286" i="7"/>
  <c r="AC3292" i="7"/>
  <c r="AA3359" i="7"/>
  <c r="AA3122" i="7"/>
  <c r="AM899" i="7"/>
  <c r="AM3152" i="7"/>
  <c r="AH3508" i="7"/>
  <c r="AI3296" i="7"/>
  <c r="AJ3296" i="7" s="1"/>
  <c r="AM3246" i="7"/>
  <c r="Y3333" i="7"/>
  <c r="Z3333" i="7" s="1"/>
  <c r="AE3333" i="7" s="1"/>
  <c r="AF3333" i="7" s="1"/>
  <c r="AH1474" i="7"/>
  <c r="AH3337" i="7"/>
  <c r="AA3337" i="7"/>
  <c r="AC3238" i="7"/>
  <c r="AM3331" i="7"/>
  <c r="AI3608" i="7"/>
  <c r="AI3337" i="7"/>
  <c r="Y3327" i="7"/>
  <c r="Z3327" i="7" s="1"/>
  <c r="AE3327" i="7" s="1"/>
  <c r="AF3327" i="7" s="1"/>
  <c r="Y3116" i="7"/>
  <c r="Z3116" i="7" s="1"/>
  <c r="AE3116" i="7" s="1"/>
  <c r="AF3116" i="7" s="1"/>
  <c r="AA3740" i="7"/>
  <c r="AE3280" i="7"/>
  <c r="AF3280" i="7" s="1"/>
  <c r="AH3280" i="7"/>
  <c r="AM3270" i="7"/>
  <c r="AH3270" i="7"/>
  <c r="AE3331" i="7"/>
  <c r="AF3331" i="7" s="1"/>
  <c r="AE3258" i="7"/>
  <c r="AF3258" i="7" s="1"/>
  <c r="Y3551" i="7"/>
  <c r="Z3551" i="7" s="1"/>
  <c r="AA3551" i="7" s="1"/>
  <c r="Y3203" i="7"/>
  <c r="Z3203" i="7" s="1"/>
  <c r="AE3203" i="7" s="1"/>
  <c r="AF3203" i="7" s="1"/>
  <c r="Y2701" i="7"/>
  <c r="Z2701" i="7" s="1"/>
  <c r="AC2701" i="7" s="1"/>
  <c r="Y3061" i="7"/>
  <c r="Z3061" i="7" s="1"/>
  <c r="AE3061" i="7" s="1"/>
  <c r="AF3061" i="7" s="1"/>
  <c r="AM3491" i="7"/>
  <c r="AE3122" i="7"/>
  <c r="AF3122" i="7" s="1"/>
  <c r="AM3136" i="7"/>
  <c r="Y3563" i="7"/>
  <c r="Z3563" i="7" s="1"/>
  <c r="AC3563" i="7" s="1"/>
  <c r="Y3101" i="7"/>
  <c r="Z3101" i="7" s="1"/>
  <c r="AH3101" i="7" s="1"/>
  <c r="Y3158" i="7"/>
  <c r="Z3158" i="7" s="1"/>
  <c r="AM3158" i="7" s="1"/>
  <c r="Y3424" i="7"/>
  <c r="Z3424" i="7" s="1"/>
  <c r="AC3424" i="7" s="1"/>
  <c r="Y3547" i="7"/>
  <c r="Z3547" i="7" s="1"/>
  <c r="AE3547" i="7" s="1"/>
  <c r="AF3547" i="7" s="1"/>
  <c r="Y3553" i="7"/>
  <c r="Z3553" i="7" s="1"/>
  <c r="AH3553" i="7" s="1"/>
  <c r="AM3219" i="7"/>
  <c r="Y3647" i="7"/>
  <c r="Z3647" i="7" s="1"/>
  <c r="AC3647" i="7" s="1"/>
  <c r="AM879" i="7"/>
  <c r="AM903" i="7"/>
  <c r="AM3308" i="7"/>
  <c r="AM883" i="7"/>
  <c r="AE2152" i="7"/>
  <c r="AF2152" i="7" s="1"/>
  <c r="AH877" i="7"/>
  <c r="AH881" i="7"/>
  <c r="AM2626" i="7"/>
  <c r="AM2780" i="7"/>
  <c r="AA181" i="7"/>
  <c r="AC2428" i="7"/>
  <c r="AA1831" i="7"/>
  <c r="AA2791" i="7"/>
  <c r="AC1440" i="7"/>
  <c r="AC3491" i="7"/>
  <c r="AC3497" i="7"/>
  <c r="AA654" i="7"/>
  <c r="AE2557" i="7"/>
  <c r="AF2557" i="7" s="1"/>
  <c r="AM1440" i="7"/>
  <c r="AM1505" i="7"/>
  <c r="AM3497" i="7"/>
  <c r="AH3497" i="7"/>
  <c r="AA832" i="7"/>
  <c r="AH1002" i="7"/>
  <c r="AA3491" i="7"/>
  <c r="AE3365" i="7"/>
  <c r="AF3365" i="7" s="1"/>
  <c r="AM796" i="7"/>
  <c r="AM808" i="7"/>
  <c r="AC2296" i="7"/>
  <c r="AA2152" i="7"/>
  <c r="AC3639" i="7"/>
  <c r="AA3465" i="7"/>
  <c r="AM2442" i="7"/>
  <c r="AH1574" i="7"/>
  <c r="AA2442" i="7"/>
  <c r="AM3835" i="7"/>
  <c r="AE3639" i="7"/>
  <c r="AF3639" i="7" s="1"/>
  <c r="AE3835" i="7"/>
  <c r="AF3835" i="7" s="1"/>
  <c r="AM3529" i="7"/>
  <c r="AE2157" i="7"/>
  <c r="AF2157" i="7" s="1"/>
  <c r="AC2667" i="7"/>
  <c r="AH854" i="7"/>
  <c r="AA3639" i="7"/>
  <c r="AH897" i="7"/>
  <c r="AM1595" i="7"/>
  <c r="AA2557" i="7"/>
  <c r="AM2994" i="7"/>
  <c r="AC2473" i="7"/>
  <c r="AH3639" i="7"/>
  <c r="AC3610" i="7"/>
  <c r="AM1013" i="7"/>
  <c r="AC2566" i="7"/>
  <c r="AH2380" i="7"/>
  <c r="Y162" i="7"/>
  <c r="Z162" i="7" s="1"/>
  <c r="AC162" i="7" s="1"/>
  <c r="AI156" i="7"/>
  <c r="AC3564" i="7"/>
  <c r="AH3610" i="7"/>
  <c r="AE2803" i="7"/>
  <c r="AF2803" i="7" s="1"/>
  <c r="AM3302" i="7"/>
  <c r="AE2930" i="7"/>
  <c r="AF2930" i="7" s="1"/>
  <c r="Y354" i="7"/>
  <c r="Z354" i="7" s="1"/>
  <c r="AA354" i="7" s="1"/>
  <c r="AM506" i="7"/>
  <c r="AH532" i="7"/>
  <c r="AH558" i="7"/>
  <c r="AM560" i="7"/>
  <c r="AM572" i="7"/>
  <c r="AM576" i="7"/>
  <c r="AM578" i="7"/>
  <c r="AH580" i="7"/>
  <c r="AM586" i="7"/>
  <c r="AM632" i="7"/>
  <c r="AH634" i="7"/>
  <c r="AM640" i="7"/>
  <c r="AM642" i="7"/>
  <c r="AM646" i="7"/>
  <c r="AH704" i="7"/>
  <c r="AH706" i="7"/>
  <c r="AH751" i="7"/>
  <c r="Y848" i="7"/>
  <c r="Z848" i="7" s="1"/>
  <c r="AM848" i="7" s="1"/>
  <c r="AH917" i="7"/>
  <c r="AH919" i="7"/>
  <c r="Y921" i="7"/>
  <c r="Z921" i="7" s="1"/>
  <c r="AM921" i="7" s="1"/>
  <c r="AH1010" i="7"/>
  <c r="AH1012" i="7"/>
  <c r="AH1020" i="7"/>
  <c r="AM1022" i="7"/>
  <c r="AH1024" i="7"/>
  <c r="AM1080" i="7"/>
  <c r="AH1082" i="7"/>
  <c r="AM1100" i="7"/>
  <c r="Y1102" i="7"/>
  <c r="Z1102" i="7" s="1"/>
  <c r="AH1102" i="7" s="1"/>
  <c r="AM1106" i="7"/>
  <c r="AH1108" i="7"/>
  <c r="AM1153" i="7"/>
  <c r="AH1161" i="7"/>
  <c r="AH1167" i="7"/>
  <c r="AH1205" i="7"/>
  <c r="AH1211" i="7"/>
  <c r="AM1213" i="7"/>
  <c r="AM1217" i="7"/>
  <c r="AM1219" i="7"/>
  <c r="AM1223" i="7"/>
  <c r="AM1271" i="7"/>
  <c r="AM1285" i="7"/>
  <c r="AM1287" i="7"/>
  <c r="Y1289" i="7"/>
  <c r="Z1289" i="7" s="1"/>
  <c r="AH1289" i="7" s="1"/>
  <c r="AH1451" i="7"/>
  <c r="AH1455" i="7"/>
  <c r="AM1457" i="7"/>
  <c r="AH1463" i="7"/>
  <c r="AM1541" i="7"/>
  <c r="AH1545" i="7"/>
  <c r="AH1549" i="7"/>
  <c r="AH1551" i="7"/>
  <c r="AM1553" i="7"/>
  <c r="AH1632" i="7"/>
  <c r="AM1105" i="7"/>
  <c r="AC2152" i="7"/>
  <c r="AC3495" i="7"/>
  <c r="AA3582" i="7"/>
  <c r="AM780" i="7"/>
  <c r="AA957" i="7"/>
  <c r="AA226" i="7"/>
  <c r="AH901" i="7"/>
  <c r="AH629" i="7"/>
  <c r="AC2517" i="7"/>
  <c r="AC3714" i="7"/>
  <c r="AM1063" i="7"/>
  <c r="Y793" i="7"/>
  <c r="Z793" i="7" s="1"/>
  <c r="AC793" i="7" s="1"/>
  <c r="Y795" i="7"/>
  <c r="Z795" i="7" s="1"/>
  <c r="Y829" i="7"/>
  <c r="Z829" i="7" s="1"/>
  <c r="Y1051" i="7"/>
  <c r="Z1051" i="7" s="1"/>
  <c r="Y1323" i="7"/>
  <c r="Z1323" i="7" s="1"/>
  <c r="AH1323" i="7" s="1"/>
  <c r="AM1341" i="7"/>
  <c r="AA3692" i="7"/>
  <c r="AM2152" i="7"/>
  <c r="AC3481" i="7"/>
  <c r="AH3714" i="7"/>
  <c r="AI85" i="7"/>
  <c r="AI197" i="7"/>
  <c r="AM2674" i="7"/>
  <c r="Y1766" i="7"/>
  <c r="Z1766" i="7" s="1"/>
  <c r="Y1778" i="7"/>
  <c r="Z1778" i="7" s="1"/>
  <c r="AM1778" i="7" s="1"/>
  <c r="AM2807" i="7"/>
  <c r="AM2428" i="7"/>
  <c r="AH2473" i="7"/>
  <c r="AM2418" i="7"/>
  <c r="AC3582" i="7"/>
  <c r="AA2843" i="7"/>
  <c r="AC3134" i="7"/>
  <c r="AE3413" i="7"/>
  <c r="AF3413" i="7" s="1"/>
  <c r="AH2428" i="7"/>
  <c r="AA1830" i="7"/>
  <c r="AA2780" i="7"/>
  <c r="AE2780" i="7"/>
  <c r="AF2780" i="7" s="1"/>
  <c r="AA2851" i="7"/>
  <c r="AE3582" i="7"/>
  <c r="AF3582" i="7" s="1"/>
  <c r="AE2428" i="7"/>
  <c r="AF2428" i="7" s="1"/>
  <c r="AA2077" i="7"/>
  <c r="AE3308" i="7"/>
  <c r="AF3308" i="7" s="1"/>
  <c r="AH2780" i="7"/>
  <c r="AE3495" i="7"/>
  <c r="AF3495" i="7" s="1"/>
  <c r="AH3582" i="7"/>
  <c r="AH812" i="7"/>
  <c r="AI290" i="7"/>
  <c r="AE3400" i="7"/>
  <c r="AF3400" i="7" s="1"/>
  <c r="Y2883" i="7"/>
  <c r="Z2883" i="7" s="1"/>
  <c r="AE2883" i="7" s="1"/>
  <c r="AF2883" i="7" s="1"/>
  <c r="AM2891" i="7"/>
  <c r="AM3253" i="7"/>
  <c r="Y3285" i="7"/>
  <c r="Z3285" i="7" s="1"/>
  <c r="AA3285" i="7" s="1"/>
  <c r="AA3204" i="7"/>
  <c r="AC2255" i="7"/>
  <c r="AH2398" i="7"/>
  <c r="AH2490" i="7"/>
  <c r="AH2498" i="7"/>
  <c r="Y2500" i="7"/>
  <c r="Z2500" i="7" s="1"/>
  <c r="AC2500" i="7" s="1"/>
  <c r="AH2519" i="7"/>
  <c r="Y2546" i="7"/>
  <c r="Z2546" i="7" s="1"/>
  <c r="AE2546" i="7" s="1"/>
  <c r="AF2546" i="7" s="1"/>
  <c r="Y2554" i="7"/>
  <c r="Z2554" i="7" s="1"/>
  <c r="AA2554" i="7" s="1"/>
  <c r="Y2580" i="7"/>
  <c r="Z2580" i="7" s="1"/>
  <c r="AM2580" i="7" s="1"/>
  <c r="Y2582" i="7"/>
  <c r="Z2582" i="7" s="1"/>
  <c r="AH2582" i="7" s="1"/>
  <c r="AM2584" i="7"/>
  <c r="Y2586" i="7"/>
  <c r="Z2586" i="7" s="1"/>
  <c r="AH2586" i="7" s="1"/>
  <c r="AM2592" i="7"/>
  <c r="Y2594" i="7"/>
  <c r="Z2594" i="7" s="1"/>
  <c r="AH2594" i="7" s="1"/>
  <c r="Y2596" i="7"/>
  <c r="Z2596" i="7" s="1"/>
  <c r="AH2596" i="7" s="1"/>
  <c r="Y2598" i="7"/>
  <c r="Z2598" i="7" s="1"/>
  <c r="AA2598" i="7" s="1"/>
  <c r="Y2600" i="7"/>
  <c r="Z2600" i="7" s="1"/>
  <c r="AA2600" i="7" s="1"/>
  <c r="Y2653" i="7"/>
  <c r="Z2653" i="7" s="1"/>
  <c r="AA2653" i="7" s="1"/>
  <c r="AM2655" i="7"/>
  <c r="AM2722" i="7"/>
  <c r="Y2724" i="7"/>
  <c r="Z2724" i="7" s="1"/>
  <c r="AM2724" i="7" s="1"/>
  <c r="Y2726" i="7"/>
  <c r="Z2726" i="7" s="1"/>
  <c r="AA2726" i="7" s="1"/>
  <c r="AM2732" i="7"/>
  <c r="AH2734" i="7"/>
  <c r="AH2736" i="7"/>
  <c r="AH2738" i="7"/>
  <c r="AM2740" i="7"/>
  <c r="Y2746" i="7"/>
  <c r="Z2746" i="7" s="1"/>
  <c r="AC2746" i="7" s="1"/>
  <c r="AH2773" i="7"/>
  <c r="Y2821" i="7"/>
  <c r="Z2821" i="7" s="1"/>
  <c r="AE2821" i="7" s="1"/>
  <c r="AF2821" i="7" s="1"/>
  <c r="AM3295" i="7"/>
  <c r="AE2911" i="7"/>
  <c r="AF2911" i="7" s="1"/>
  <c r="AA3365" i="7"/>
  <c r="AA2255" i="7"/>
  <c r="AH3510" i="7"/>
  <c r="AE2845" i="7"/>
  <c r="AF2845" i="7" s="1"/>
  <c r="AA2176" i="7"/>
  <c r="AH3295" i="7"/>
  <c r="AA934" i="7"/>
  <c r="AM3365" i="7"/>
  <c r="AH2255" i="7"/>
  <c r="AH786" i="7"/>
  <c r="AC3083" i="7"/>
  <c r="AC1830" i="7"/>
  <c r="AE2567" i="7"/>
  <c r="AF2567" i="7" s="1"/>
  <c r="AC934" i="7"/>
  <c r="AM2255" i="7"/>
  <c r="AM3495" i="7"/>
  <c r="AH1683" i="7"/>
  <c r="AH969" i="7"/>
  <c r="Y1001" i="7"/>
  <c r="Z1001" i="7" s="1"/>
  <c r="AM1001" i="7" s="1"/>
  <c r="AM1381" i="7"/>
  <c r="Y1383" i="7"/>
  <c r="Z1383" i="7" s="1"/>
  <c r="AM1383" i="7" s="1"/>
  <c r="Y1668" i="7"/>
  <c r="Z1668" i="7" s="1"/>
  <c r="AH1668" i="7" s="1"/>
  <c r="AH1728" i="7"/>
  <c r="AM1821" i="7"/>
  <c r="Y2057" i="7"/>
  <c r="Z2057" i="7" s="1"/>
  <c r="AC2057" i="7" s="1"/>
  <c r="Y2109" i="7"/>
  <c r="Z2109" i="7" s="1"/>
  <c r="Y2187" i="7"/>
  <c r="Z2187" i="7" s="1"/>
  <c r="AM2187" i="7" s="1"/>
  <c r="AE2402" i="7"/>
  <c r="AF2402" i="7" s="1"/>
  <c r="AH2299" i="7"/>
  <c r="AH3641" i="7"/>
  <c r="AA3495" i="7"/>
  <c r="AA2786" i="7"/>
  <c r="AM3277" i="7"/>
  <c r="AA3063" i="7"/>
  <c r="AE3204" i="7"/>
  <c r="AF3204" i="7" s="1"/>
  <c r="AH934" i="7"/>
  <c r="AE3481" i="7"/>
  <c r="AF3481" i="7" s="1"/>
  <c r="AH2786" i="7"/>
  <c r="AA3277" i="7"/>
  <c r="AH3202" i="7"/>
  <c r="AC3413" i="7"/>
  <c r="AA2296" i="7"/>
  <c r="AM3610" i="7"/>
  <c r="AE3304" i="7"/>
  <c r="AF3304" i="7" s="1"/>
  <c r="AA3571" i="7"/>
  <c r="AA3295" i="7"/>
  <c r="AH2930" i="7"/>
  <c r="AE3407" i="7"/>
  <c r="AF3407" i="7" s="1"/>
  <c r="AH856" i="7"/>
  <c r="AH1276" i="7"/>
  <c r="AM3202" i="7"/>
  <c r="AA3618" i="7"/>
  <c r="AM2786" i="7"/>
  <c r="AE3076" i="7"/>
  <c r="AF3076" i="7" s="1"/>
  <c r="AM3481" i="7"/>
  <c r="AC2408" i="7"/>
  <c r="AM802" i="7"/>
  <c r="AM810" i="7"/>
  <c r="AH824" i="7"/>
  <c r="AM826" i="7"/>
  <c r="AM858" i="7"/>
  <c r="AM891" i="7"/>
  <c r="AC2227" i="7"/>
  <c r="AH2382" i="7"/>
  <c r="AC2198" i="7"/>
  <c r="AA3076" i="7"/>
  <c r="Y1166" i="7"/>
  <c r="Z1166" i="7" s="1"/>
  <c r="AH1166" i="7" s="1"/>
  <c r="Y1284" i="7"/>
  <c r="Z1284" i="7" s="1"/>
  <c r="AM1284" i="7" s="1"/>
  <c r="AA2521" i="7"/>
  <c r="AM3304" i="7"/>
  <c r="AC2786" i="7"/>
  <c r="AE2581" i="7"/>
  <c r="AF2581" i="7" s="1"/>
  <c r="AA3675" i="7"/>
  <c r="AA3304" i="7"/>
  <c r="Y1929" i="7"/>
  <c r="Z1929" i="7" s="1"/>
  <c r="AC1929" i="7" s="1"/>
  <c r="Y1950" i="7"/>
  <c r="Z1950" i="7" s="1"/>
  <c r="AE1950" i="7" s="1"/>
  <c r="AF1950" i="7" s="1"/>
  <c r="Y2008" i="7"/>
  <c r="Z2008" i="7" s="1"/>
  <c r="AH2008" i="7" s="1"/>
  <c r="Y2028" i="7"/>
  <c r="Z2028" i="7" s="1"/>
  <c r="AA2028" i="7" s="1"/>
  <c r="AH2074" i="7"/>
  <c r="Y2078" i="7"/>
  <c r="Z2078" i="7" s="1"/>
  <c r="AE2078" i="7" s="1"/>
  <c r="AF2078" i="7" s="1"/>
  <c r="Y2229" i="7"/>
  <c r="Z2229" i="7" s="1"/>
  <c r="AA2229" i="7" s="1"/>
  <c r="Y2314" i="7"/>
  <c r="Z2314" i="7" s="1"/>
  <c r="AM2314" i="7" s="1"/>
  <c r="Y2326" i="7"/>
  <c r="Z2326" i="7" s="1"/>
  <c r="AA2326" i="7" s="1"/>
  <c r="AH2344" i="7"/>
  <c r="AM2348" i="7"/>
  <c r="Y2352" i="7"/>
  <c r="Z2352" i="7" s="1"/>
  <c r="AM2352" i="7" s="1"/>
  <c r="Y2358" i="7"/>
  <c r="Z2358" i="7" s="1"/>
  <c r="AC2358" i="7" s="1"/>
  <c r="AM2460" i="7"/>
  <c r="AH2484" i="7"/>
  <c r="AM2494" i="7"/>
  <c r="AH2536" i="7"/>
  <c r="Y2718" i="7"/>
  <c r="Z2718" i="7" s="1"/>
  <c r="AH2718" i="7" s="1"/>
  <c r="Y3314" i="7"/>
  <c r="Z3314" i="7" s="1"/>
  <c r="AC3277" i="7"/>
  <c r="AC3675" i="7"/>
  <c r="AH3304" i="7"/>
  <c r="AC3560" i="7"/>
  <c r="AE2299" i="7"/>
  <c r="AF2299" i="7" s="1"/>
  <c r="AE3202" i="7"/>
  <c r="AF3202" i="7" s="1"/>
  <c r="Y1546" i="7"/>
  <c r="Z1546" i="7" s="1"/>
  <c r="AM1546" i="7" s="1"/>
  <c r="Y1458" i="7"/>
  <c r="Z1458" i="7" s="1"/>
  <c r="AM1458" i="7" s="1"/>
  <c r="AA3202" i="7"/>
  <c r="AH2608" i="7"/>
  <c r="AE3560" i="7"/>
  <c r="AF3560" i="7" s="1"/>
  <c r="AA3308" i="7"/>
  <c r="AC3308" i="7"/>
  <c r="AE2263" i="7"/>
  <c r="AF2263" i="7" s="1"/>
  <c r="AE3641" i="7"/>
  <c r="AF3641" i="7" s="1"/>
  <c r="AE3622" i="7"/>
  <c r="AF3622" i="7" s="1"/>
  <c r="AM3540" i="7"/>
  <c r="AH619" i="7"/>
  <c r="AC3618" i="7"/>
  <c r="AE3063" i="7"/>
  <c r="AF3063" i="7" s="1"/>
  <c r="AA3481" i="7"/>
  <c r="AH1388" i="7"/>
  <c r="AM3661" i="7"/>
  <c r="AC3641" i="7"/>
  <c r="AE3381" i="7"/>
  <c r="AF3381" i="7" s="1"/>
  <c r="AM3391" i="7"/>
  <c r="AE2824" i="7"/>
  <c r="AF2824" i="7" s="1"/>
  <c r="AE2869" i="7"/>
  <c r="AF2869" i="7" s="1"/>
  <c r="AM2572" i="7"/>
  <c r="AA3661" i="7"/>
  <c r="AC2782" i="7"/>
  <c r="AH2215" i="7"/>
  <c r="AM3233" i="7"/>
  <c r="Y709" i="7"/>
  <c r="Z709" i="7" s="1"/>
  <c r="AH709" i="7" s="1"/>
  <c r="AH3672" i="7"/>
  <c r="AC3672" i="7"/>
  <c r="AE3672" i="7"/>
  <c r="AF3672" i="7" s="1"/>
  <c r="AA3672" i="7"/>
  <c r="AM3672" i="7"/>
  <c r="AE3444" i="7"/>
  <c r="AF3444" i="7" s="1"/>
  <c r="AM2227" i="7"/>
  <c r="AH3066" i="7"/>
  <c r="AE2391" i="7"/>
  <c r="AF2391" i="7" s="1"/>
  <c r="AA3413" i="7"/>
  <c r="AH3076" i="7"/>
  <c r="AE2607" i="7"/>
  <c r="AF2607" i="7" s="1"/>
  <c r="AC3661" i="7"/>
  <c r="AH2851" i="7"/>
  <c r="AE3615" i="7"/>
  <c r="AF3615" i="7" s="1"/>
  <c r="AE2408" i="7"/>
  <c r="AF2408" i="7" s="1"/>
  <c r="Y259" i="7"/>
  <c r="Z259" i="7" s="1"/>
  <c r="AH259" i="7" s="1"/>
  <c r="AC2391" i="7"/>
  <c r="AC1354" i="7"/>
  <c r="AA2227" i="7"/>
  <c r="AC1050" i="7"/>
  <c r="AA2581" i="7"/>
  <c r="AM2125" i="7"/>
  <c r="AC3147" i="7"/>
  <c r="AM3069" i="7"/>
  <c r="AA3641" i="7"/>
  <c r="AH3850" i="7"/>
  <c r="AC2851" i="7"/>
  <c r="AH2879" i="7"/>
  <c r="AM1432" i="7"/>
  <c r="AH3413" i="7"/>
  <c r="AA1050" i="7"/>
  <c r="AC3850" i="7"/>
  <c r="AH3444" i="7"/>
  <c r="AH3277" i="7"/>
  <c r="AH3029" i="7"/>
  <c r="AE2936" i="7"/>
  <c r="AF2936" i="7" s="1"/>
  <c r="AC3571" i="7"/>
  <c r="AC3478" i="7"/>
  <c r="AC3517" i="7"/>
  <c r="AE2076" i="7"/>
  <c r="AF2076" i="7" s="1"/>
  <c r="AM3082" i="7"/>
  <c r="AH1472" i="7"/>
  <c r="AE3300" i="7"/>
  <c r="AF3300" i="7" s="1"/>
  <c r="AM2851" i="7"/>
  <c r="AE2782" i="7"/>
  <c r="AF2782" i="7" s="1"/>
  <c r="AM2247" i="7"/>
  <c r="AE3361" i="7"/>
  <c r="AF3361" i="7" s="1"/>
  <c r="AE3134" i="7"/>
  <c r="AF3134" i="7" s="1"/>
  <c r="AA1573" i="7"/>
  <c r="AA3069" i="7"/>
  <c r="AE3391" i="7"/>
  <c r="AF3391" i="7" s="1"/>
  <c r="AA1897" i="7"/>
  <c r="AH3478" i="7"/>
  <c r="AC3076" i="7"/>
  <c r="AH2749" i="7"/>
  <c r="AM3300" i="7"/>
  <c r="AC2895" i="7"/>
  <c r="AA2782" i="7"/>
  <c r="AA3444" i="7"/>
  <c r="AE3024" i="7"/>
  <c r="AF3024" i="7" s="1"/>
  <c r="AH3480" i="7"/>
  <c r="AE3546" i="7"/>
  <c r="AF3546" i="7" s="1"/>
  <c r="AC2671" i="7"/>
  <c r="AE3850" i="7"/>
  <c r="AF3850" i="7" s="1"/>
  <c r="AA2895" i="7"/>
  <c r="AM2782" i="7"/>
  <c r="AM3692" i="7"/>
  <c r="AH3692" i="7"/>
  <c r="AA3850" i="7"/>
  <c r="Y3702" i="7"/>
  <c r="Z3702" i="7" s="1"/>
  <c r="AC3702" i="7" s="1"/>
  <c r="AM3024" i="7"/>
  <c r="Y1164" i="7"/>
  <c r="Z1164" i="7" s="1"/>
  <c r="AM1164" i="7" s="1"/>
  <c r="Y1246" i="7"/>
  <c r="Z1246" i="7" s="1"/>
  <c r="AM1246" i="7" s="1"/>
  <c r="Y1418" i="7"/>
  <c r="Z1418" i="7" s="1"/>
  <c r="AH1418" i="7" s="1"/>
  <c r="Y1466" i="7"/>
  <c r="Z1466" i="7" s="1"/>
  <c r="Y1527" i="7"/>
  <c r="Z1527" i="7" s="1"/>
  <c r="AM1527" i="7" s="1"/>
  <c r="Y1554" i="7"/>
  <c r="Z1554" i="7" s="1"/>
  <c r="AM1554" i="7" s="1"/>
  <c r="Y1902" i="7"/>
  <c r="Z1902" i="7" s="1"/>
  <c r="AC1902" i="7" s="1"/>
  <c r="AH2465" i="7"/>
  <c r="AM2493" i="7"/>
  <c r="AA3029" i="7"/>
  <c r="AC3069" i="7"/>
  <c r="AA2662" i="7"/>
  <c r="AM1050" i="7"/>
  <c r="AA3024" i="7"/>
  <c r="AC3085" i="7"/>
  <c r="AC1221" i="7"/>
  <c r="AA3079" i="7"/>
  <c r="AM2473" i="7"/>
  <c r="AA3538" i="7"/>
  <c r="AE3508" i="7"/>
  <c r="AF3508" i="7" s="1"/>
  <c r="AE2608" i="7"/>
  <c r="AF2608" i="7" s="1"/>
  <c r="AH2410" i="7"/>
  <c r="AC3024" i="7"/>
  <c r="AE2548" i="7"/>
  <c r="AF2548" i="7" s="1"/>
  <c r="AA3302" i="7"/>
  <c r="AA3082" i="7"/>
  <c r="AH2169" i="7"/>
  <c r="AA2473" i="7"/>
  <c r="AA2824" i="7"/>
  <c r="AC1415" i="7"/>
  <c r="AA2427" i="7"/>
  <c r="AM3079" i="7"/>
  <c r="AE3233" i="7"/>
  <c r="AF3233" i="7" s="1"/>
  <c r="AM2791" i="7"/>
  <c r="AE2992" i="7"/>
  <c r="AF2992" i="7" s="1"/>
  <c r="AE3610" i="7"/>
  <c r="AF3610" i="7" s="1"/>
  <c r="AC1118" i="7"/>
  <c r="AA2667" i="7"/>
  <c r="AA3233" i="7"/>
  <c r="AM3085" i="7"/>
  <c r="AH23" i="7"/>
  <c r="AH126" i="7"/>
  <c r="AM484" i="7"/>
  <c r="AH486" i="7"/>
  <c r="AH490" i="7"/>
  <c r="AM492" i="7"/>
  <c r="Y512" i="7"/>
  <c r="Z512" i="7" s="1"/>
  <c r="AH512" i="7" s="1"/>
  <c r="AM588" i="7"/>
  <c r="AM592" i="7"/>
  <c r="AH594" i="7"/>
  <c r="AM596" i="7"/>
  <c r="AH650" i="7"/>
  <c r="AM654" i="7"/>
  <c r="AH658" i="7"/>
  <c r="Y660" i="7"/>
  <c r="Z660" i="7" s="1"/>
  <c r="AH660" i="7" s="1"/>
  <c r="AH662" i="7"/>
  <c r="AM710" i="7"/>
  <c r="Y712" i="7"/>
  <c r="Z712" i="7" s="1"/>
  <c r="AM712" i="7" s="1"/>
  <c r="Y714" i="7"/>
  <c r="Z714" i="7" s="1"/>
  <c r="AM714" i="7" s="1"/>
  <c r="AM716" i="7"/>
  <c r="AM718" i="7"/>
  <c r="AH722" i="7"/>
  <c r="Y737" i="7"/>
  <c r="Z737" i="7" s="1"/>
  <c r="AM737" i="7" s="1"/>
  <c r="AM741" i="7"/>
  <c r="Y747" i="7"/>
  <c r="Z747" i="7" s="1"/>
  <c r="AM747" i="7" s="1"/>
  <c r="AH753" i="7"/>
  <c r="AM755" i="7"/>
  <c r="Y757" i="7"/>
  <c r="Z757" i="7" s="1"/>
  <c r="AH757" i="7" s="1"/>
  <c r="Y759" i="7"/>
  <c r="Z759" i="7" s="1"/>
  <c r="AM759" i="7" s="1"/>
  <c r="AM761" i="7"/>
  <c r="AM763" i="7"/>
  <c r="AH765" i="7"/>
  <c r="AM767" i="7"/>
  <c r="Y769" i="7"/>
  <c r="Z769" i="7" s="1"/>
  <c r="AM769" i="7" s="1"/>
  <c r="AC3373" i="7"/>
  <c r="AA3560" i="7"/>
  <c r="AE2427" i="7"/>
  <c r="AF2427" i="7" s="1"/>
  <c r="AA2626" i="7"/>
  <c r="AC2402" i="7"/>
  <c r="AM2749" i="7"/>
  <c r="AM2215" i="7"/>
  <c r="AA2543" i="7"/>
  <c r="AE3538" i="7"/>
  <c r="AF3538" i="7" s="1"/>
  <c r="AM601" i="7"/>
  <c r="AA2845" i="7"/>
  <c r="AC3029" i="7"/>
  <c r="AA3483" i="7"/>
  <c r="AA3835" i="7"/>
  <c r="AE3079" i="7"/>
  <c r="AF3079" i="7" s="1"/>
  <c r="AC2550" i="7"/>
  <c r="AA2192" i="7"/>
  <c r="AH3538" i="7"/>
  <c r="AE2791" i="7"/>
  <c r="AF2791" i="7" s="1"/>
  <c r="AC2442" i="7"/>
  <c r="AE3564" i="7"/>
  <c r="AF3564" i="7" s="1"/>
  <c r="AH3302" i="7"/>
  <c r="AC2128" i="7"/>
  <c r="AH3082" i="7"/>
  <c r="AM3538" i="7"/>
  <c r="AE2383" i="7"/>
  <c r="AF2383" i="7" s="1"/>
  <c r="AM3361" i="7"/>
  <c r="AE3302" i="7"/>
  <c r="AF3302" i="7" s="1"/>
  <c r="AE2128" i="7"/>
  <c r="AF2128" i="7" s="1"/>
  <c r="AH3079" i="7"/>
  <c r="AA2566" i="7"/>
  <c r="AM2408" i="7"/>
  <c r="AI3791" i="7"/>
  <c r="Y3950" i="7"/>
  <c r="Z3950" i="7" s="1"/>
  <c r="AH3950" i="7" s="1"/>
  <c r="AH771" i="7"/>
  <c r="AH773" i="7"/>
  <c r="AM832" i="7"/>
  <c r="AH887" i="7"/>
  <c r="Y915" i="7"/>
  <c r="Z915" i="7" s="1"/>
  <c r="AM915" i="7" s="1"/>
  <c r="Y947" i="7"/>
  <c r="Z947" i="7" s="1"/>
  <c r="AH947" i="7" s="1"/>
  <c r="AH953" i="7"/>
  <c r="AM955" i="7"/>
  <c r="AH957" i="7"/>
  <c r="AM961" i="7"/>
  <c r="Y963" i="7"/>
  <c r="Z963" i="7" s="1"/>
  <c r="AH963" i="7" s="1"/>
  <c r="AM973" i="7"/>
  <c r="Y975" i="7"/>
  <c r="Z975" i="7" s="1"/>
  <c r="AC975" i="7" s="1"/>
  <c r="Y985" i="7"/>
  <c r="Z985" i="7" s="1"/>
  <c r="AC985" i="7" s="1"/>
  <c r="AH1004" i="7"/>
  <c r="AH1006" i="7"/>
  <c r="AH1008" i="7"/>
  <c r="AH1028" i="7"/>
  <c r="AH1030" i="7"/>
  <c r="Y1032" i="7"/>
  <c r="Z1032" i="7" s="1"/>
  <c r="AM1032" i="7" s="1"/>
  <c r="AH1034" i="7"/>
  <c r="AM1036" i="7"/>
  <c r="AM1038" i="7"/>
  <c r="Y1040" i="7"/>
  <c r="Z1040" i="7" s="1"/>
  <c r="AM1040" i="7" s="1"/>
  <c r="AH1155" i="7"/>
  <c r="AH1157" i="7"/>
  <c r="AH1169" i="7"/>
  <c r="AH1173" i="7"/>
  <c r="AM1175" i="7"/>
  <c r="AM1179" i="7"/>
  <c r="AH1239" i="7"/>
  <c r="Y1241" i="7"/>
  <c r="Z1241" i="7" s="1"/>
  <c r="AC1241" i="7" s="1"/>
  <c r="AM1273" i="7"/>
  <c r="AH1326" i="7"/>
  <c r="AH1346" i="7"/>
  <c r="AM1348" i="7"/>
  <c r="AM1350" i="7"/>
  <c r="AH1368" i="7"/>
  <c r="AM1524" i="7"/>
  <c r="AH1583" i="7"/>
  <c r="AM1600" i="7"/>
  <c r="AM1602" i="7"/>
  <c r="Y1608" i="7"/>
  <c r="Z1608" i="7" s="1"/>
  <c r="AH1608" i="7" s="1"/>
  <c r="Y1692" i="7"/>
  <c r="Z1692" i="7" s="1"/>
  <c r="AH1692" i="7" s="1"/>
  <c r="AM1694" i="7"/>
  <c r="AM1696" i="7"/>
  <c r="Y1735" i="7"/>
  <c r="Z1735" i="7" s="1"/>
  <c r="AH1735" i="7" s="1"/>
  <c r="AM1753" i="7"/>
  <c r="Y1765" i="7"/>
  <c r="Z1765" i="7" s="1"/>
  <c r="AC1765" i="7" s="1"/>
  <c r="AH1777" i="7"/>
  <c r="Y1921" i="7"/>
  <c r="Z1921" i="7" s="1"/>
  <c r="AM1921" i="7" s="1"/>
  <c r="Y1927" i="7"/>
  <c r="Z1927" i="7" s="1"/>
  <c r="AA1927" i="7" s="1"/>
  <c r="Y1948" i="7"/>
  <c r="Z1948" i="7" s="1"/>
  <c r="AM1948" i="7" s="1"/>
  <c r="Y1980" i="7"/>
  <c r="Z1980" i="7" s="1"/>
  <c r="AA1980" i="7" s="1"/>
  <c r="Y2036" i="7"/>
  <c r="Z2036" i="7" s="1"/>
  <c r="AE2036" i="7" s="1"/>
  <c r="AF2036" i="7" s="1"/>
  <c r="Y2050" i="7"/>
  <c r="Z2050" i="7" s="1"/>
  <c r="AC2050" i="7" s="1"/>
  <c r="Y2060" i="7"/>
  <c r="Z2060" i="7" s="1"/>
  <c r="AA2060" i="7" s="1"/>
  <c r="Y2062" i="7"/>
  <c r="Z2062" i="7" s="1"/>
  <c r="AM2062" i="7" s="1"/>
  <c r="Y2114" i="7"/>
  <c r="Z2114" i="7" s="1"/>
  <c r="AE2114" i="7" s="1"/>
  <c r="AF2114" i="7" s="1"/>
  <c r="Y2116" i="7"/>
  <c r="Z2116" i="7" s="1"/>
  <c r="Y2118" i="7"/>
  <c r="Z2118" i="7" s="1"/>
  <c r="AC2118" i="7" s="1"/>
  <c r="Y2120" i="7"/>
  <c r="Z2120" i="7" s="1"/>
  <c r="AC2120" i="7" s="1"/>
  <c r="AH2168" i="7"/>
  <c r="AM2235" i="7"/>
  <c r="AH2237" i="7"/>
  <c r="AH2296" i="7"/>
  <c r="AM2328" i="7"/>
  <c r="Y2332" i="7"/>
  <c r="Z2332" i="7" s="1"/>
  <c r="AH2332" i="7" s="1"/>
  <c r="AH2338" i="7"/>
  <c r="Y2342" i="7"/>
  <c r="Z2342" i="7" s="1"/>
  <c r="AH2342" i="7" s="1"/>
  <c r="Y2350" i="7"/>
  <c r="Z2350" i="7" s="1"/>
  <c r="AH2350" i="7" s="1"/>
  <c r="AM2374" i="7"/>
  <c r="AM2380" i="7"/>
  <c r="AH2388" i="7"/>
  <c r="AH2402" i="7"/>
  <c r="Y2439" i="7"/>
  <c r="Z2439" i="7" s="1"/>
  <c r="AE2439" i="7" s="1"/>
  <c r="AF2439" i="7" s="1"/>
  <c r="Y2454" i="7"/>
  <c r="Z2454" i="7" s="1"/>
  <c r="AC2454" i="7" s="1"/>
  <c r="AM2604" i="7"/>
  <c r="AM2667" i="7"/>
  <c r="AM2671" i="7"/>
  <c r="AM2895" i="7"/>
  <c r="AM3147" i="7"/>
  <c r="AH3618" i="7"/>
  <c r="AH2667" i="7"/>
  <c r="AE2380" i="7"/>
  <c r="AF2380" i="7" s="1"/>
  <c r="AH2294" i="7"/>
  <c r="AM2734" i="7"/>
  <c r="AE2484" i="7"/>
  <c r="AF2484" i="7" s="1"/>
  <c r="AM2498" i="7"/>
  <c r="AH2486" i="7"/>
  <c r="AC2464" i="7"/>
  <c r="AA1861" i="7"/>
  <c r="AA1990" i="7"/>
  <c r="AH677" i="7"/>
  <c r="AH3015" i="7"/>
  <c r="AI2352" i="7"/>
  <c r="AA3307" i="7"/>
  <c r="AC3307" i="7"/>
  <c r="AM3241" i="7"/>
  <c r="AE3241" i="7"/>
  <c r="AF3241" i="7" s="1"/>
  <c r="Y1853" i="7"/>
  <c r="Z1853" i="7" s="1"/>
  <c r="AA1853" i="7" s="1"/>
  <c r="Y2014" i="7"/>
  <c r="Z2014" i="7" s="1"/>
  <c r="AH2014" i="7" s="1"/>
  <c r="AE3021" i="7"/>
  <c r="AF3021" i="7" s="1"/>
  <c r="AA3021" i="7"/>
  <c r="Y1889" i="7"/>
  <c r="Z1889" i="7" s="1"/>
  <c r="AE1889" i="7" s="1"/>
  <c r="AF1889" i="7" s="1"/>
  <c r="AA2380" i="7"/>
  <c r="AH2836" i="7"/>
  <c r="AA2478" i="7"/>
  <c r="AH1899" i="7"/>
  <c r="AM1785" i="7"/>
  <c r="AC1990" i="7"/>
  <c r="AM2237" i="7"/>
  <c r="AE2590" i="7"/>
  <c r="AF2590" i="7" s="1"/>
  <c r="AM1008" i="7"/>
  <c r="Y2370" i="7"/>
  <c r="Z2370" i="7" s="1"/>
  <c r="AM2370" i="7" s="1"/>
  <c r="Y2166" i="7"/>
  <c r="Z2166" i="7" s="1"/>
  <c r="AA2166" i="7" s="1"/>
  <c r="AA2940" i="7"/>
  <c r="AM2940" i="7"/>
  <c r="AC1828" i="7"/>
  <c r="AA1828" i="7"/>
  <c r="AM358" i="7"/>
  <c r="AH358" i="7"/>
  <c r="AM361" i="7"/>
  <c r="AH361" i="7"/>
  <c r="AM3095" i="7"/>
  <c r="AE3095" i="7"/>
  <c r="AF3095" i="7" s="1"/>
  <c r="AM638" i="7"/>
  <c r="AH638" i="7"/>
  <c r="AI745" i="7"/>
  <c r="Y745" i="7"/>
  <c r="Z745" i="7" s="1"/>
  <c r="AM745" i="7" s="1"/>
  <c r="AH895" i="7"/>
  <c r="AA895" i="7"/>
  <c r="AM895" i="7"/>
  <c r="AM959" i="7"/>
  <c r="AH959" i="7"/>
  <c r="AH977" i="7"/>
  <c r="AM977" i="7"/>
  <c r="AH1018" i="7"/>
  <c r="AM1018" i="7"/>
  <c r="AM1026" i="7"/>
  <c r="AC1026" i="7"/>
  <c r="AM1086" i="7"/>
  <c r="AH1086" i="7"/>
  <c r="AI1269" i="7"/>
  <c r="Y1269" i="7"/>
  <c r="Z1269" i="7" s="1"/>
  <c r="AH1269" i="7" s="1"/>
  <c r="AH1477" i="7"/>
  <c r="AC1477" i="7"/>
  <c r="AH1579" i="7"/>
  <c r="AM1579" i="7"/>
  <c r="AC1581" i="7"/>
  <c r="AH1581" i="7"/>
  <c r="AM1581" i="7"/>
  <c r="AI1623" i="7"/>
  <c r="Y1623" i="7"/>
  <c r="Z1623" i="7" s="1"/>
  <c r="AC1623" i="7" s="1"/>
  <c r="AI1749" i="7"/>
  <c r="Y1749" i="7"/>
  <c r="Z1749" i="7" s="1"/>
  <c r="AH1749" i="7" s="1"/>
  <c r="AI1767" i="7"/>
  <c r="Y1767" i="7"/>
  <c r="Z1767" i="7" s="1"/>
  <c r="AH1767" i="7" s="1"/>
  <c r="AI1773" i="7"/>
  <c r="Y1773" i="7"/>
  <c r="Z1773" i="7" s="1"/>
  <c r="AH1773" i="7" s="1"/>
  <c r="Y1775" i="7"/>
  <c r="Z1775" i="7" s="1"/>
  <c r="AI1775" i="7"/>
  <c r="AI1781" i="7"/>
  <c r="Y1781" i="7"/>
  <c r="Z1781" i="7" s="1"/>
  <c r="AH1781" i="7" s="1"/>
  <c r="AI1833" i="7"/>
  <c r="Y1833" i="7"/>
  <c r="Z1833" i="7" s="1"/>
  <c r="AC1833" i="7" s="1"/>
  <c r="AI1835" i="7"/>
  <c r="Y1835" i="7"/>
  <c r="Z1835" i="7" s="1"/>
  <c r="AC1835" i="7" s="1"/>
  <c r="AI1837" i="7"/>
  <c r="Y1837" i="7"/>
  <c r="Z1837" i="7" s="1"/>
  <c r="AA1837" i="7" s="1"/>
  <c r="AI1845" i="7"/>
  <c r="Y1845" i="7"/>
  <c r="Z1845" i="7" s="1"/>
  <c r="AC1845" i="7" s="1"/>
  <c r="AM1847" i="7"/>
  <c r="AC1847" i="7"/>
  <c r="AI1849" i="7"/>
  <c r="Y1849" i="7"/>
  <c r="Z1849" i="7" s="1"/>
  <c r="AM1849" i="7" s="1"/>
  <c r="AC1861" i="7"/>
  <c r="AM1861" i="7"/>
  <c r="AC1865" i="7"/>
  <c r="AA1865" i="7"/>
  <c r="AM1865" i="7"/>
  <c r="AI1883" i="7"/>
  <c r="Y1883" i="7"/>
  <c r="Z1883" i="7" s="1"/>
  <c r="AM1885" i="7"/>
  <c r="AC1885" i="7"/>
  <c r="AC1887" i="7"/>
  <c r="AM1887" i="7"/>
  <c r="AA1887" i="7"/>
  <c r="AH1891" i="7"/>
  <c r="AE1891" i="7"/>
  <c r="AF1891" i="7" s="1"/>
  <c r="AC1891" i="7"/>
  <c r="AC1901" i="7"/>
  <c r="AA1901" i="7"/>
  <c r="AM1901" i="7"/>
  <c r="AI1909" i="7"/>
  <c r="Y1909" i="7"/>
  <c r="Z1909" i="7" s="1"/>
  <c r="AM1923" i="7"/>
  <c r="AH1923" i="7"/>
  <c r="AI1931" i="7"/>
  <c r="Y1931" i="7"/>
  <c r="Z1931" i="7" s="1"/>
  <c r="AH1931" i="7" s="1"/>
  <c r="AA1982" i="7"/>
  <c r="AE1982" i="7"/>
  <c r="AF1982" i="7" s="1"/>
  <c r="AH1982" i="7"/>
  <c r="AM1982" i="7"/>
  <c r="AC1982" i="7"/>
  <c r="AE1984" i="7"/>
  <c r="AF1984" i="7" s="1"/>
  <c r="AM1984" i="7"/>
  <c r="AC1984" i="7"/>
  <c r="AM1986" i="7"/>
  <c r="AH1986" i="7"/>
  <c r="AE1986" i="7"/>
  <c r="AF1986" i="7" s="1"/>
  <c r="AI1988" i="7"/>
  <c r="Y1988" i="7"/>
  <c r="Z1988" i="7" s="1"/>
  <c r="AC1988" i="7" s="1"/>
  <c r="AA2010" i="7"/>
  <c r="AM2010" i="7"/>
  <c r="AH2010" i="7"/>
  <c r="AI2012" i="7"/>
  <c r="Y2012" i="7"/>
  <c r="Z2012" i="7" s="1"/>
  <c r="AE2012" i="7" s="1"/>
  <c r="AF2012" i="7" s="1"/>
  <c r="AI2016" i="7"/>
  <c r="Y2016" i="7"/>
  <c r="Z2016" i="7" s="1"/>
  <c r="AC2016" i="7" s="1"/>
  <c r="AA2022" i="7"/>
  <c r="AC2022" i="7"/>
  <c r="AH2022" i="7"/>
  <c r="AE2022" i="7"/>
  <c r="AF2022" i="7" s="1"/>
  <c r="AI2024" i="7"/>
  <c r="Y2024" i="7"/>
  <c r="Z2024" i="7" s="1"/>
  <c r="AE2024" i="7" s="1"/>
  <c r="AF2024" i="7" s="1"/>
  <c r="AC2034" i="7"/>
  <c r="AM2034" i="7"/>
  <c r="AA2034" i="7"/>
  <c r="AI2042" i="7"/>
  <c r="Y2042" i="7"/>
  <c r="Z2042" i="7" s="1"/>
  <c r="AM2042" i="7" s="1"/>
  <c r="AI2044" i="7"/>
  <c r="Y2044" i="7"/>
  <c r="Z2044" i="7" s="1"/>
  <c r="AH2064" i="7"/>
  <c r="AE2064" i="7"/>
  <c r="AF2064" i="7" s="1"/>
  <c r="AM2064" i="7"/>
  <c r="Y2068" i="7"/>
  <c r="Z2068" i="7" s="1"/>
  <c r="AM2068" i="7" s="1"/>
  <c r="AI2068" i="7"/>
  <c r="AI2070" i="7"/>
  <c r="Y2070" i="7"/>
  <c r="Z2070" i="7" s="1"/>
  <c r="AC2070" i="7" s="1"/>
  <c r="AH2100" i="7"/>
  <c r="AM2100" i="7"/>
  <c r="AM2122" i="7"/>
  <c r="AH2122" i="7"/>
  <c r="AA2138" i="7"/>
  <c r="AM2138" i="7"/>
  <c r="AA2164" i="7"/>
  <c r="AH2164" i="7"/>
  <c r="AE2164" i="7"/>
  <c r="AF2164" i="7" s="1"/>
  <c r="AM2164" i="7"/>
  <c r="AH2217" i="7"/>
  <c r="AE2217" i="7"/>
  <c r="AF2217" i="7" s="1"/>
  <c r="AI2308" i="7"/>
  <c r="Y2308" i="7"/>
  <c r="Z2308" i="7" s="1"/>
  <c r="AE2308" i="7" s="1"/>
  <c r="AF2308" i="7" s="1"/>
  <c r="AA2310" i="7"/>
  <c r="AE2310" i="7"/>
  <c r="AF2310" i="7" s="1"/>
  <c r="AI2312" i="7"/>
  <c r="Y2312" i="7"/>
  <c r="Z2312" i="7" s="1"/>
  <c r="AM2312" i="7" s="1"/>
  <c r="AM2316" i="7"/>
  <c r="AH2316" i="7"/>
  <c r="AE2316" i="7"/>
  <c r="AF2316" i="7" s="1"/>
  <c r="AI2318" i="7"/>
  <c r="Y2318" i="7"/>
  <c r="Z2318" i="7" s="1"/>
  <c r="AH2318" i="7" s="1"/>
  <c r="AI2334" i="7"/>
  <c r="Y2334" i="7"/>
  <c r="Z2334" i="7" s="1"/>
  <c r="AA2334" i="7" s="1"/>
  <c r="AA2336" i="7"/>
  <c r="AM2336" i="7"/>
  <c r="AH2336" i="7"/>
  <c r="AI2340" i="7"/>
  <c r="Y2340" i="7"/>
  <c r="Z2340" i="7" s="1"/>
  <c r="AE2340" i="7" s="1"/>
  <c r="AF2340" i="7" s="1"/>
  <c r="AC2346" i="7"/>
  <c r="AE2346" i="7"/>
  <c r="AF2346" i="7" s="1"/>
  <c r="AA2346" i="7"/>
  <c r="AM2346" i="7"/>
  <c r="AE2348" i="7"/>
  <c r="AF2348" i="7" s="1"/>
  <c r="AA2348" i="7"/>
  <c r="AM2354" i="7"/>
  <c r="AE2354" i="7"/>
  <c r="AF2354" i="7" s="1"/>
  <c r="AH2354" i="7"/>
  <c r="AA2354" i="7"/>
  <c r="AE2356" i="7"/>
  <c r="AF2356" i="7" s="1"/>
  <c r="AA2356" i="7"/>
  <c r="AC2360" i="7"/>
  <c r="AH2360" i="7"/>
  <c r="AI2362" i="7"/>
  <c r="Y2362" i="7"/>
  <c r="Z2362" i="7" s="1"/>
  <c r="AH2362" i="7" s="1"/>
  <c r="AM2376" i="7"/>
  <c r="AH2376" i="7"/>
  <c r="AM2462" i="7"/>
  <c r="AH2462" i="7"/>
  <c r="AA2464" i="7"/>
  <c r="AH2464" i="7"/>
  <c r="AM2466" i="7"/>
  <c r="AH2466" i="7"/>
  <c r="AI2468" i="7"/>
  <c r="Y2468" i="7"/>
  <c r="Z2468" i="7" s="1"/>
  <c r="AC2484" i="7"/>
  <c r="AA2484" i="7"/>
  <c r="AI2488" i="7"/>
  <c r="Y2488" i="7"/>
  <c r="Z2488" i="7" s="1"/>
  <c r="AC2488" i="7" s="1"/>
  <c r="AI2492" i="7"/>
  <c r="Y2492" i="7"/>
  <c r="Z2492" i="7" s="1"/>
  <c r="AC2492" i="7" s="1"/>
  <c r="AI2602" i="7"/>
  <c r="Y2602" i="7"/>
  <c r="Z2602" i="7" s="1"/>
  <c r="AH2602" i="7" s="1"/>
  <c r="AE2627" i="7"/>
  <c r="AF2627" i="7" s="1"/>
  <c r="AC2627" i="7"/>
  <c r="AH2627" i="7"/>
  <c r="AC2629" i="7"/>
  <c r="AE2629" i="7"/>
  <c r="AF2629" i="7" s="1"/>
  <c r="AM2629" i="7"/>
  <c r="AA2629" i="7"/>
  <c r="AH2629" i="7"/>
  <c r="AI2631" i="7"/>
  <c r="Y2631" i="7"/>
  <c r="Z2631" i="7" s="1"/>
  <c r="AA2631" i="7" s="1"/>
  <c r="AI2694" i="7"/>
  <c r="Y2694" i="7"/>
  <c r="Z2694" i="7" s="1"/>
  <c r="AE2694" i="7" s="1"/>
  <c r="AF2694" i="7" s="1"/>
  <c r="AC2696" i="7"/>
  <c r="AE2696" i="7"/>
  <c r="AF2696" i="7" s="1"/>
  <c r="AA2696" i="7"/>
  <c r="AE2706" i="7"/>
  <c r="AF2706" i="7" s="1"/>
  <c r="AC2706" i="7"/>
  <c r="AC2712" i="7"/>
  <c r="AA2712" i="7"/>
  <c r="AC2714" i="7"/>
  <c r="AM2714" i="7"/>
  <c r="AH2714" i="7"/>
  <c r="AE2714" i="7"/>
  <c r="AF2714" i="7" s="1"/>
  <c r="AA2714" i="7"/>
  <c r="AE2720" i="7"/>
  <c r="AF2720" i="7" s="1"/>
  <c r="AM2720" i="7"/>
  <c r="AC2720" i="7"/>
  <c r="AI2742" i="7"/>
  <c r="Y2742" i="7"/>
  <c r="Z2742" i="7" s="1"/>
  <c r="AM2742" i="7" s="1"/>
  <c r="AI2744" i="7"/>
  <c r="Y2744" i="7"/>
  <c r="Z2744" i="7" s="1"/>
  <c r="AE2744" i="7" s="1"/>
  <c r="AF2744" i="7" s="1"/>
  <c r="AH2794" i="7"/>
  <c r="AC2794" i="7"/>
  <c r="AA2815" i="7"/>
  <c r="AM2815" i="7"/>
  <c r="AA2947" i="7"/>
  <c r="AM2947" i="7"/>
  <c r="AE2978" i="7"/>
  <c r="AF2978" i="7" s="1"/>
  <c r="AC2978" i="7"/>
  <c r="AM2978" i="7"/>
  <c r="AM3003" i="7"/>
  <c r="AH3003" i="7"/>
  <c r="AM3005" i="7"/>
  <c r="AC3005" i="7"/>
  <c r="AI3007" i="7"/>
  <c r="Y3007" i="7"/>
  <c r="Z3007" i="7" s="1"/>
  <c r="AM3007" i="7" s="1"/>
  <c r="AC3013" i="7"/>
  <c r="AH3013" i="7"/>
  <c r="AI3017" i="7"/>
  <c r="Y3017" i="7"/>
  <c r="Z3017" i="7" s="1"/>
  <c r="AC3017" i="7" s="1"/>
  <c r="AI3102" i="7"/>
  <c r="Y3102" i="7"/>
  <c r="Z3102" i="7" s="1"/>
  <c r="AA3102" i="7" s="1"/>
  <c r="AI3104" i="7"/>
  <c r="Y3104" i="7"/>
  <c r="Z3104" i="7" s="1"/>
  <c r="AC3104" i="7" s="1"/>
  <c r="AI3129" i="7"/>
  <c r="Y3129" i="7"/>
  <c r="Z3129" i="7" s="1"/>
  <c r="AE3129" i="7" s="1"/>
  <c r="AF3129" i="7" s="1"/>
  <c r="AE3618" i="7"/>
  <c r="AF3618" i="7" s="1"/>
  <c r="AH3243" i="7"/>
  <c r="AA3310" i="7"/>
  <c r="AC3157" i="7"/>
  <c r="AE2947" i="7"/>
  <c r="AF2947" i="7" s="1"/>
  <c r="AH2592" i="7"/>
  <c r="AH2740" i="7"/>
  <c r="AM2360" i="7"/>
  <c r="AC2460" i="7"/>
  <c r="AA1984" i="7"/>
  <c r="AM2356" i="7"/>
  <c r="AH1984" i="7"/>
  <c r="AA1899" i="7"/>
  <c r="AA1863" i="7"/>
  <c r="AM1024" i="7"/>
  <c r="AM2716" i="7"/>
  <c r="AM2590" i="7"/>
  <c r="AM2338" i="7"/>
  <c r="AH2590" i="7"/>
  <c r="AH3073" i="7"/>
  <c r="AH3063" i="7"/>
  <c r="AC3063" i="7"/>
  <c r="Y3009" i="7"/>
  <c r="Z3009" i="7" s="1"/>
  <c r="AE3009" i="7" s="1"/>
  <c r="AF3009" i="7" s="1"/>
  <c r="AA2215" i="7"/>
  <c r="AC2215" i="7"/>
  <c r="Y2324" i="7"/>
  <c r="Z2324" i="7" s="1"/>
  <c r="AC2324" i="7" s="1"/>
  <c r="AE2425" i="7"/>
  <c r="AF2425" i="7" s="1"/>
  <c r="AC2906" i="7"/>
  <c r="AC3310" i="7"/>
  <c r="AH3310" i="7"/>
  <c r="AE3015" i="7"/>
  <c r="AF3015" i="7" s="1"/>
  <c r="AE3157" i="7"/>
  <c r="AF3157" i="7" s="1"/>
  <c r="AH2947" i="7"/>
  <c r="AH2712" i="7"/>
  <c r="AC2716" i="7"/>
  <c r="AA2494" i="7"/>
  <c r="AH2346" i="7"/>
  <c r="AE2460" i="7"/>
  <c r="AF2460" i="7" s="1"/>
  <c r="AC1899" i="7"/>
  <c r="AC1863" i="7"/>
  <c r="AH2040" i="7"/>
  <c r="AM1006" i="7"/>
  <c r="AM2706" i="7"/>
  <c r="AM2696" i="7"/>
  <c r="Y2066" i="7"/>
  <c r="Z2066" i="7" s="1"/>
  <c r="AM2066" i="7" s="1"/>
  <c r="AH2655" i="7"/>
  <c r="AI1929" i="7"/>
  <c r="Y2817" i="7"/>
  <c r="Z2817" i="7" s="1"/>
  <c r="AM2817" i="7" s="1"/>
  <c r="AE3714" i="7"/>
  <c r="AF3714" i="7" s="1"/>
  <c r="AM3714" i="7"/>
  <c r="AH3550" i="7"/>
  <c r="AC3480" i="7"/>
  <c r="AM23" i="7"/>
  <c r="AA3086" i="7"/>
  <c r="AE3243" i="7"/>
  <c r="AF3243" i="7" s="1"/>
  <c r="AA2906" i="7"/>
  <c r="AE2712" i="7"/>
  <c r="AF2712" i="7" s="1"/>
  <c r="AM2738" i="7"/>
  <c r="AH2732" i="7"/>
  <c r="AH2716" i="7"/>
  <c r="AC2494" i="7"/>
  <c r="AC2348" i="7"/>
  <c r="AH2328" i="7"/>
  <c r="AE1901" i="7"/>
  <c r="AF1901" i="7" s="1"/>
  <c r="AM2040" i="7"/>
  <c r="AH1600" i="7"/>
  <c r="AM1990" i="7"/>
  <c r="AA3005" i="7"/>
  <c r="Y2633" i="7"/>
  <c r="Z2633" i="7" s="1"/>
  <c r="AC2633" i="7" s="1"/>
  <c r="Y2842" i="7"/>
  <c r="Z2842" i="7" s="1"/>
  <c r="AM2842" i="7" s="1"/>
  <c r="Y2320" i="7"/>
  <c r="Z2320" i="7" s="1"/>
  <c r="AC2320" i="7" s="1"/>
  <c r="Y1783" i="7"/>
  <c r="Z1783" i="7" s="1"/>
  <c r="AH1783" i="7" s="1"/>
  <c r="Y2496" i="7"/>
  <c r="Z2496" i="7" s="1"/>
  <c r="AE2496" i="7" s="1"/>
  <c r="AF2496" i="7" s="1"/>
  <c r="AC23" i="7"/>
  <c r="AC3243" i="7"/>
  <c r="AE2906" i="7"/>
  <c r="AF2906" i="7" s="1"/>
  <c r="AH2895" i="7"/>
  <c r="AE2716" i="7"/>
  <c r="AF2716" i="7" s="1"/>
  <c r="AE2494" i="7"/>
  <c r="AF2494" i="7" s="1"/>
  <c r="AA2344" i="7"/>
  <c r="AH2235" i="7"/>
  <c r="AH1901" i="7"/>
  <c r="AH636" i="7"/>
  <c r="AM2217" i="7"/>
  <c r="AE3005" i="7"/>
  <c r="AF3005" i="7" s="1"/>
  <c r="AC2698" i="7"/>
  <c r="Y2072" i="7"/>
  <c r="Z2072" i="7" s="1"/>
  <c r="AA2072" i="7" s="1"/>
  <c r="AM2402" i="7"/>
  <c r="AH3143" i="7"/>
  <c r="Y2372" i="7"/>
  <c r="Z2372" i="7" s="1"/>
  <c r="AH2372" i="7" s="1"/>
  <c r="Y1563" i="7"/>
  <c r="Z1563" i="7" s="1"/>
  <c r="AM1563" i="7" s="1"/>
  <c r="AH2494" i="7"/>
  <c r="AC2344" i="7"/>
  <c r="AE2344" i="7"/>
  <c r="AF2344" i="7" s="1"/>
  <c r="AM677" i="7"/>
  <c r="AM2627" i="7"/>
  <c r="AA2627" i="7"/>
  <c r="AA3278" i="7"/>
  <c r="AE3278" i="7"/>
  <c r="AF3278" i="7" s="1"/>
  <c r="AI2008" i="7"/>
  <c r="Y1516" i="7"/>
  <c r="Z1516" i="7" s="1"/>
  <c r="AM1516" i="7" s="1"/>
  <c r="Y1587" i="7"/>
  <c r="Z1587" i="7" s="1"/>
  <c r="AH1587" i="7" s="1"/>
  <c r="Y1905" i="7"/>
  <c r="Z1905" i="7" s="1"/>
  <c r="AE1905" i="7" s="1"/>
  <c r="AF1905" i="7" s="1"/>
  <c r="AH1753" i="7"/>
  <c r="AC3095" i="7"/>
  <c r="AH2720" i="7"/>
  <c r="AE2478" i="7"/>
  <c r="AF2478" i="7" s="1"/>
  <c r="AA2536" i="7"/>
  <c r="AM2588" i="7"/>
  <c r="AM2484" i="7"/>
  <c r="AC2310" i="7"/>
  <c r="AM2344" i="7"/>
  <c r="AH2374" i="7"/>
  <c r="AM2486" i="7"/>
  <c r="AA1891" i="7"/>
  <c r="AM2712" i="7"/>
  <c r="AA2040" i="7"/>
  <c r="Y2538" i="7"/>
  <c r="Z2538" i="7" s="1"/>
  <c r="AM2538" i="7" s="1"/>
  <c r="Y2458" i="7"/>
  <c r="Z2458" i="7" s="1"/>
  <c r="AM2458" i="7" s="1"/>
  <c r="Y1907" i="7"/>
  <c r="Z1907" i="7" s="1"/>
  <c r="AE1907" i="7" s="1"/>
  <c r="AF1907" i="7" s="1"/>
  <c r="AM64" i="7"/>
  <c r="AE3675" i="7"/>
  <c r="AF3675" i="7" s="1"/>
  <c r="AE2794" i="7"/>
  <c r="AF2794" i="7" s="1"/>
  <c r="AH3653" i="7"/>
  <c r="AE3163" i="7"/>
  <c r="AF3163" i="7" s="1"/>
  <c r="AH3005" i="7"/>
  <c r="AE3013" i="7"/>
  <c r="AF3013" i="7" s="1"/>
  <c r="AM2988" i="7"/>
  <c r="AA2720" i="7"/>
  <c r="AH2584" i="7"/>
  <c r="AE2466" i="7"/>
  <c r="AF2466" i="7" s="1"/>
  <c r="AC2466" i="7"/>
  <c r="AC2536" i="7"/>
  <c r="AC2588" i="7"/>
  <c r="AM2464" i="7"/>
  <c r="AM2022" i="7"/>
  <c r="AC2138" i="7"/>
  <c r="AM1891" i="7"/>
  <c r="AH2034" i="7"/>
  <c r="AA1986" i="7"/>
  <c r="AC2010" i="7"/>
  <c r="AM594" i="7"/>
  <c r="AM1028" i="7"/>
  <c r="AC2040" i="7"/>
  <c r="AH1847" i="7"/>
  <c r="AM1030" i="7"/>
  <c r="AC2462" i="7"/>
  <c r="Y2322" i="7"/>
  <c r="Z2322" i="7" s="1"/>
  <c r="AI2794" i="7"/>
  <c r="AC2299" i="7"/>
  <c r="AA2299" i="7"/>
  <c r="Y1994" i="7"/>
  <c r="Z1994" i="7" s="1"/>
  <c r="AA1994" i="7" s="1"/>
  <c r="AC2940" i="7"/>
  <c r="AM2240" i="7"/>
  <c r="AA3003" i="7"/>
  <c r="AA2462" i="7"/>
  <c r="AE2536" i="7"/>
  <c r="AF2536" i="7" s="1"/>
  <c r="AE2588" i="7"/>
  <c r="AF2588" i="7" s="1"/>
  <c r="AC2354" i="7"/>
  <c r="AC2486" i="7"/>
  <c r="AA2316" i="7"/>
  <c r="AA2217" i="7"/>
  <c r="AE2138" i="7"/>
  <c r="AF2138" i="7" s="1"/>
  <c r="AE2034" i="7"/>
  <c r="AF2034" i="7" s="1"/>
  <c r="AC1986" i="7"/>
  <c r="AE2010" i="7"/>
  <c r="AF2010" i="7" s="1"/>
  <c r="AH1602" i="7"/>
  <c r="AM2388" i="7"/>
  <c r="AE2815" i="7"/>
  <c r="AF2815" i="7" s="1"/>
  <c r="AA2706" i="7"/>
  <c r="AH1887" i="7"/>
  <c r="Y3151" i="7"/>
  <c r="Z3151" i="7" s="1"/>
  <c r="AA3151" i="7" s="1"/>
  <c r="AI2326" i="7"/>
  <c r="Y1016" i="7"/>
  <c r="Z1016" i="7" s="1"/>
  <c r="AM1016" i="7" s="1"/>
  <c r="AE2462" i="7"/>
  <c r="AF2462" i="7" s="1"/>
  <c r="AH2521" i="7"/>
  <c r="AM887" i="7"/>
  <c r="Y1992" i="7"/>
  <c r="Z1992" i="7" s="1"/>
  <c r="AM1992" i="7" s="1"/>
  <c r="AE2940" i="7"/>
  <c r="AF2940" i="7" s="1"/>
  <c r="AM3243" i="7"/>
  <c r="AM3199" i="7"/>
  <c r="AE3310" i="7"/>
  <c r="AF3310" i="7" s="1"/>
  <c r="AC3003" i="7"/>
  <c r="AC2962" i="7"/>
  <c r="AC2815" i="7"/>
  <c r="AM2536" i="7"/>
  <c r="AH2588" i="7"/>
  <c r="AE2486" i="7"/>
  <c r="AF2486" i="7" s="1"/>
  <c r="AC2316" i="7"/>
  <c r="AA1885" i="7"/>
  <c r="AC2217" i="7"/>
  <c r="AH2138" i="7"/>
  <c r="AH1990" i="7"/>
  <c r="AC3015" i="7"/>
  <c r="AC2336" i="7"/>
  <c r="AH2815" i="7"/>
  <c r="AA2064" i="7"/>
  <c r="AH1696" i="7"/>
  <c r="AH716" i="7"/>
  <c r="AM728" i="7"/>
  <c r="AH728" i="7"/>
  <c r="AH1810" i="7"/>
  <c r="AM1810" i="7"/>
  <c r="AI2314" i="7"/>
  <c r="AM2074" i="7"/>
  <c r="Y1565" i="7"/>
  <c r="Z1565" i="7" s="1"/>
  <c r="AA3085" i="7"/>
  <c r="AM2540" i="7"/>
  <c r="AM2775" i="7"/>
  <c r="AH2076" i="7"/>
  <c r="AM3398" i="7"/>
  <c r="AH2052" i="7"/>
  <c r="AH2386" i="7"/>
  <c r="AH795" i="7"/>
  <c r="AM1573" i="7"/>
  <c r="AM2887" i="7"/>
  <c r="AM2697" i="7"/>
  <c r="Y2707" i="7"/>
  <c r="Z2707" i="7" s="1"/>
  <c r="AE2707" i="7" s="1"/>
  <c r="AF2707" i="7" s="1"/>
  <c r="Y3939" i="7"/>
  <c r="Z3939" i="7" s="1"/>
  <c r="AA3939" i="7" s="1"/>
  <c r="Y3338" i="7"/>
  <c r="Z3338" i="7" s="1"/>
  <c r="AC3338" i="7" s="1"/>
  <c r="AH3145" i="7"/>
  <c r="AH1378" i="7"/>
  <c r="AM2180" i="7"/>
  <c r="AH613" i="7"/>
  <c r="AM3381" i="7"/>
  <c r="AH2058" i="7"/>
  <c r="AH144" i="7"/>
  <c r="AH158" i="7"/>
  <c r="AH2917" i="7"/>
  <c r="Y3326" i="7"/>
  <c r="Z3326" i="7" s="1"/>
  <c r="AE3326" i="7" s="1"/>
  <c r="AF3326" i="7" s="1"/>
  <c r="AM156" i="7"/>
  <c r="AH3069" i="7"/>
  <c r="Y3415" i="7"/>
  <c r="Z3415" i="7" s="1"/>
  <c r="AE3415" i="7" s="1"/>
  <c r="AF3415" i="7" s="1"/>
  <c r="AM1368" i="7"/>
  <c r="AH2681" i="7"/>
  <c r="AH1392" i="7"/>
  <c r="AM2169" i="7"/>
  <c r="AM2265" i="7"/>
  <c r="AA1799" i="7"/>
  <c r="AH1287" i="7"/>
  <c r="AC1112" i="7"/>
  <c r="AM1010" i="7"/>
  <c r="AH640" i="7"/>
  <c r="AH767" i="7"/>
  <c r="AM634" i="7"/>
  <c r="AH572" i="7"/>
  <c r="AM1801" i="7"/>
  <c r="AM753" i="7"/>
  <c r="AH1348" i="7"/>
  <c r="AH576" i="7"/>
  <c r="AI921" i="7"/>
  <c r="AM773" i="7"/>
  <c r="AM3550" i="7"/>
  <c r="AM3083" i="7"/>
  <c r="AM2596" i="7"/>
  <c r="AC2681" i="7"/>
  <c r="AE3693" i="7"/>
  <c r="AF3693" i="7" s="1"/>
  <c r="AM1205" i="7"/>
  <c r="AA1026" i="7"/>
  <c r="AM558" i="7"/>
  <c r="AM771" i="7"/>
  <c r="AM1012" i="7"/>
  <c r="AM1161" i="7"/>
  <c r="AM722" i="7"/>
  <c r="Y1339" i="7"/>
  <c r="Z1339" i="7" s="1"/>
  <c r="AM704" i="7"/>
  <c r="Y708" i="7"/>
  <c r="Z708" i="7" s="1"/>
  <c r="AH708" i="7" s="1"/>
  <c r="AI1026" i="7"/>
  <c r="Y2107" i="7"/>
  <c r="Z2107" i="7" s="1"/>
  <c r="AE2107" i="7" s="1"/>
  <c r="AF2107" i="7" s="1"/>
  <c r="AM798" i="7"/>
  <c r="AM457" i="7"/>
  <c r="AH1664" i="7"/>
  <c r="AH1666" i="7"/>
  <c r="AM1707" i="7"/>
  <c r="AH1718" i="7"/>
  <c r="Y1720" i="7"/>
  <c r="Z1720" i="7" s="1"/>
  <c r="AH1720" i="7" s="1"/>
  <c r="AH1722" i="7"/>
  <c r="AM1728" i="7"/>
  <c r="AM1937" i="7"/>
  <c r="AA2681" i="7"/>
  <c r="AA2564" i="7"/>
  <c r="AH3267" i="7"/>
  <c r="AH3230" i="7"/>
  <c r="AA1392" i="7"/>
  <c r="AH1026" i="7"/>
  <c r="AH1038" i="7"/>
  <c r="AM636" i="7"/>
  <c r="AC677" i="7"/>
  <c r="AC895" i="7"/>
  <c r="AI586" i="7"/>
  <c r="AH1036" i="7"/>
  <c r="AM919" i="7"/>
  <c r="AM3165" i="7"/>
  <c r="AE2596" i="7"/>
  <c r="AF2596" i="7" s="1"/>
  <c r="AM3585" i="7"/>
  <c r="AH1285" i="7"/>
  <c r="AH1457" i="7"/>
  <c r="AA1022" i="7"/>
  <c r="AM917" i="7"/>
  <c r="AM1004" i="7"/>
  <c r="AC504" i="7"/>
  <c r="Y1965" i="7"/>
  <c r="Z1965" i="7" s="1"/>
  <c r="AA1965" i="7" s="1"/>
  <c r="Y644" i="7"/>
  <c r="Z644" i="7" s="1"/>
  <c r="AM644" i="7" s="1"/>
  <c r="AM1211" i="7"/>
  <c r="Y1961" i="7"/>
  <c r="Z1961" i="7" s="1"/>
  <c r="AC1961" i="7" s="1"/>
  <c r="AH1410" i="7"/>
  <c r="AH2691" i="7"/>
  <c r="AH1213" i="7"/>
  <c r="AH1670" i="7"/>
  <c r="AC1022" i="7"/>
  <c r="AH755" i="7"/>
  <c r="AH560" i="7"/>
  <c r="AA55" i="7"/>
  <c r="AH875" i="7"/>
  <c r="AM1875" i="7"/>
  <c r="Y1163" i="7"/>
  <c r="Z1163" i="7" s="1"/>
  <c r="AH1163" i="7" s="1"/>
  <c r="Y1939" i="7"/>
  <c r="Z1939" i="7" s="1"/>
  <c r="AA1939" i="7" s="1"/>
  <c r="AM489" i="7"/>
  <c r="AH661" i="7"/>
  <c r="AH756" i="7"/>
  <c r="AH813" i="7"/>
  <c r="AH833" i="7"/>
  <c r="AH880" i="7"/>
  <c r="AM884" i="7"/>
  <c r="AM886" i="7"/>
  <c r="AH984" i="7"/>
  <c r="AH1060" i="7"/>
  <c r="AM1062" i="7"/>
  <c r="Y1077" i="7"/>
  <c r="Z1077" i="7" s="1"/>
  <c r="AH1077" i="7" s="1"/>
  <c r="AM1131" i="7"/>
  <c r="AM1168" i="7"/>
  <c r="AH1199" i="7"/>
  <c r="AH1201" i="7"/>
  <c r="AH1242" i="7"/>
  <c r="AM1343" i="7"/>
  <c r="AM1494" i="7"/>
  <c r="AM1521" i="7"/>
  <c r="AH1584" i="7"/>
  <c r="Y1599" i="7"/>
  <c r="Z1599" i="7" s="1"/>
  <c r="AM1599" i="7" s="1"/>
  <c r="AM1601" i="7"/>
  <c r="Y1603" i="7"/>
  <c r="Z1603" i="7" s="1"/>
  <c r="AM1603" i="7" s="1"/>
  <c r="AE2564" i="7"/>
  <c r="AF2564" i="7" s="1"/>
  <c r="AM2157" i="7"/>
  <c r="AA1809" i="7"/>
  <c r="AH1022" i="7"/>
  <c r="AM1167" i="7"/>
  <c r="AC1801" i="7"/>
  <c r="AM765" i="7"/>
  <c r="AM751" i="7"/>
  <c r="AM706" i="7"/>
  <c r="Y1941" i="7"/>
  <c r="Z1941" i="7" s="1"/>
  <c r="AH1941" i="7" s="1"/>
  <c r="AM957" i="7"/>
  <c r="AC2564" i="7"/>
  <c r="AE2434" i="7"/>
  <c r="AF2434" i="7" s="1"/>
  <c r="AH646" i="7"/>
  <c r="AC2169" i="7"/>
  <c r="AM3224" i="7"/>
  <c r="AM3469" i="7"/>
  <c r="AC3469" i="7"/>
  <c r="AH832" i="7"/>
  <c r="AH761" i="7"/>
  <c r="AM650" i="7"/>
  <c r="AA636" i="7"/>
  <c r="AH1801" i="7"/>
  <c r="AH642" i="7"/>
  <c r="AM580" i="7"/>
  <c r="AM1229" i="7"/>
  <c r="Y1449" i="7"/>
  <c r="Z1449" i="7" s="1"/>
  <c r="AM2564" i="7"/>
  <c r="AC3067" i="7"/>
  <c r="AC795" i="7"/>
  <c r="AA3176" i="7"/>
  <c r="AA3469" i="7"/>
  <c r="AH1271" i="7"/>
  <c r="AM1034" i="7"/>
  <c r="AM1108" i="7"/>
  <c r="AH1223" i="7"/>
  <c r="AA642" i="7"/>
  <c r="AM1555" i="7"/>
  <c r="Y2055" i="7"/>
  <c r="Z2055" i="7" s="1"/>
  <c r="Y1957" i="7"/>
  <c r="Z1957" i="7" s="1"/>
  <c r="AH1957" i="7" s="1"/>
  <c r="AH1712" i="7"/>
  <c r="AA2936" i="7"/>
  <c r="AA3067" i="7"/>
  <c r="AH3067" i="7"/>
  <c r="AM1392" i="7"/>
  <c r="AC3019" i="7"/>
  <c r="AE2839" i="7"/>
  <c r="AF2839" i="7" s="1"/>
  <c r="AM3176" i="7"/>
  <c r="AH1350" i="7"/>
  <c r="AH1595" i="7"/>
  <c r="AM1157" i="7"/>
  <c r="AH1080" i="7"/>
  <c r="AC642" i="7"/>
  <c r="AH578" i="7"/>
  <c r="AH592" i="7"/>
  <c r="AH632" i="7"/>
  <c r="AM1112" i="7"/>
  <c r="AC751" i="7"/>
  <c r="AH973" i="7"/>
  <c r="AH913" i="7"/>
  <c r="AM893" i="7"/>
  <c r="AM532" i="7"/>
  <c r="AH3083" i="7"/>
  <c r="AA3165" i="7"/>
  <c r="AM3067" i="7"/>
  <c r="AE2169" i="7"/>
  <c r="AF2169" i="7" s="1"/>
  <c r="AA3019" i="7"/>
  <c r="AE3176" i="7"/>
  <c r="AF3176" i="7" s="1"/>
  <c r="AM852" i="7"/>
  <c r="Y1419" i="7"/>
  <c r="Z1419" i="7" s="1"/>
  <c r="AC1419" i="7" s="1"/>
  <c r="AH1112" i="7"/>
  <c r="Y1057" i="7"/>
  <c r="Z1057" i="7" s="1"/>
  <c r="AM1057" i="7" s="1"/>
  <c r="AH47" i="7"/>
  <c r="AM3186" i="7"/>
  <c r="AM3188" i="7"/>
  <c r="AM3190" i="7"/>
  <c r="AM3192" i="7"/>
  <c r="Y3223" i="7"/>
  <c r="Z3223" i="7" s="1"/>
  <c r="AM3223" i="7" s="1"/>
  <c r="AM3225" i="7"/>
  <c r="Y3227" i="7"/>
  <c r="Z3227" i="7" s="1"/>
  <c r="AC3227" i="7" s="1"/>
  <c r="AM3362" i="7"/>
  <c r="Y3378" i="7"/>
  <c r="Z3378" i="7" s="1"/>
  <c r="AC3378" i="7" s="1"/>
  <c r="Y3380" i="7"/>
  <c r="Z3380" i="7" s="1"/>
  <c r="AA3380" i="7" s="1"/>
  <c r="Y3382" i="7"/>
  <c r="Z3382" i="7" s="1"/>
  <c r="AC3382" i="7" s="1"/>
  <c r="AH3384" i="7"/>
  <c r="AM3399" i="7"/>
  <c r="Y3401" i="7"/>
  <c r="Z3401" i="7" s="1"/>
  <c r="AC3401" i="7" s="1"/>
  <c r="Y3433" i="7"/>
  <c r="Z3433" i="7" s="1"/>
  <c r="AE3433" i="7" s="1"/>
  <c r="AF3433" i="7" s="1"/>
  <c r="Y3435" i="7"/>
  <c r="Z3435" i="7" s="1"/>
  <c r="AM3435" i="7" s="1"/>
  <c r="Y3437" i="7"/>
  <c r="Z3437" i="7" s="1"/>
  <c r="AC3437" i="7" s="1"/>
  <c r="Y3456" i="7"/>
  <c r="Z3456" i="7" s="1"/>
  <c r="AC3456" i="7" s="1"/>
  <c r="Y3462" i="7"/>
  <c r="Z3462" i="7" s="1"/>
  <c r="AA3462" i="7" s="1"/>
  <c r="Y3468" i="7"/>
  <c r="Z3468" i="7" s="1"/>
  <c r="AE3468" i="7" s="1"/>
  <c r="AF3468" i="7" s="1"/>
  <c r="Y1607" i="7"/>
  <c r="Z1607" i="7" s="1"/>
  <c r="AM1607" i="7" s="1"/>
  <c r="Y1609" i="7"/>
  <c r="Z1609" i="7" s="1"/>
  <c r="AH1609" i="7" s="1"/>
  <c r="AH1611" i="7"/>
  <c r="AH1633" i="7"/>
  <c r="AM1635" i="7"/>
  <c r="Y1657" i="7"/>
  <c r="Z1657" i="7" s="1"/>
  <c r="AH1657" i="7" s="1"/>
  <c r="Y1659" i="7"/>
  <c r="Z1659" i="7" s="1"/>
  <c r="AH1659" i="7" s="1"/>
  <c r="Y1691" i="7"/>
  <c r="Z1691" i="7" s="1"/>
  <c r="AH1691" i="7" s="1"/>
  <c r="AM1693" i="7"/>
  <c r="AH1695" i="7"/>
  <c r="Y1697" i="7"/>
  <c r="Z1697" i="7" s="1"/>
  <c r="AM1697" i="7" s="1"/>
  <c r="Y1732" i="7"/>
  <c r="Z1732" i="7" s="1"/>
  <c r="AA1732" i="7" s="1"/>
  <c r="Y1736" i="7"/>
  <c r="Z1736" i="7" s="1"/>
  <c r="AM1736" i="7" s="1"/>
  <c r="AM1750" i="7"/>
  <c r="Y1776" i="7"/>
  <c r="Z1776" i="7" s="1"/>
  <c r="AM1776" i="7" s="1"/>
  <c r="Y1782" i="7"/>
  <c r="Z1782" i="7" s="1"/>
  <c r="AM1916" i="7"/>
  <c r="AM1920" i="7"/>
  <c r="AH1922" i="7"/>
  <c r="AM1924" i="7"/>
  <c r="Y1926" i="7"/>
  <c r="Z1926" i="7" s="1"/>
  <c r="AA1926" i="7" s="1"/>
  <c r="Y1947" i="7"/>
  <c r="Z1947" i="7" s="1"/>
  <c r="AE1947" i="7" s="1"/>
  <c r="AF1947" i="7" s="1"/>
  <c r="Y1949" i="7"/>
  <c r="Z1949" i="7" s="1"/>
  <c r="AC1949" i="7" s="1"/>
  <c r="Y1951" i="7"/>
  <c r="Z1951" i="7" s="1"/>
  <c r="AH1951" i="7" s="1"/>
  <c r="AM1979" i="7"/>
  <c r="Y2037" i="7"/>
  <c r="Z2037" i="7" s="1"/>
  <c r="AA2037" i="7" s="1"/>
  <c r="Y2051" i="7"/>
  <c r="Z2051" i="7" s="1"/>
  <c r="AC2051" i="7" s="1"/>
  <c r="Y2059" i="7"/>
  <c r="Z2059" i="7" s="1"/>
  <c r="AE2059" i="7" s="1"/>
  <c r="AF2059" i="7" s="1"/>
  <c r="AH2073" i="7"/>
  <c r="AH2077" i="7"/>
  <c r="Y2115" i="7"/>
  <c r="Z2115" i="7" s="1"/>
  <c r="AE2115" i="7" s="1"/>
  <c r="AF2115" i="7" s="1"/>
  <c r="Y2117" i="7"/>
  <c r="Z2117" i="7" s="1"/>
  <c r="AA2117" i="7" s="1"/>
  <c r="Y2119" i="7"/>
  <c r="Z2119" i="7" s="1"/>
  <c r="AE2119" i="7" s="1"/>
  <c r="AF2119" i="7" s="1"/>
  <c r="AH2121" i="7"/>
  <c r="Y2181" i="7"/>
  <c r="Z2181" i="7" s="1"/>
  <c r="AC2181" i="7" s="1"/>
  <c r="AH2236" i="7"/>
  <c r="AH2238" i="7"/>
  <c r="AH2297" i="7"/>
  <c r="Y2303" i="7"/>
  <c r="Z2303" i="7" s="1"/>
  <c r="AA2303" i="7" s="1"/>
  <c r="AH2305" i="7"/>
  <c r="AM2329" i="7"/>
  <c r="Y2333" i="7"/>
  <c r="Z2333" i="7" s="1"/>
  <c r="AA2333" i="7" s="1"/>
  <c r="AH2375" i="7"/>
  <c r="AM2377" i="7"/>
  <c r="AH2383" i="7"/>
  <c r="Y2438" i="7"/>
  <c r="Z2438" i="7" s="1"/>
  <c r="AC2438" i="7" s="1"/>
  <c r="AM2501" i="7"/>
  <c r="AM2503" i="7"/>
  <c r="AH2505" i="7"/>
  <c r="AM2543" i="7"/>
  <c r="AH2551" i="7"/>
  <c r="AH2553" i="7"/>
  <c r="AH2555" i="7"/>
  <c r="AM2557" i="7"/>
  <c r="AM2581" i="7"/>
  <c r="AM2583" i="7"/>
  <c r="AM2585" i="7"/>
  <c r="AM2595" i="7"/>
  <c r="AM2597" i="7"/>
  <c r="AH2723" i="7"/>
  <c r="Y2725" i="7"/>
  <c r="Z2725" i="7" s="1"/>
  <c r="AA2725" i="7" s="1"/>
  <c r="AM2727" i="7"/>
  <c r="Y2733" i="7"/>
  <c r="Z2733" i="7" s="1"/>
  <c r="AM2733" i="7" s="1"/>
  <c r="AH2735" i="7"/>
  <c r="AH2737" i="7"/>
  <c r="AM2739" i="7"/>
  <c r="Y2741" i="7"/>
  <c r="Z2741" i="7" s="1"/>
  <c r="AE2741" i="7" s="1"/>
  <c r="AF2741" i="7" s="1"/>
  <c r="AM2760" i="7"/>
  <c r="AH2774" i="7"/>
  <c r="AM2795" i="7"/>
  <c r="AH2801" i="7"/>
  <c r="AM2818" i="7"/>
  <c r="AH2822" i="7"/>
  <c r="AM2824" i="7"/>
  <c r="AM2888" i="7"/>
  <c r="AM2936" i="7"/>
  <c r="Y2944" i="7"/>
  <c r="Z2944" i="7" s="1"/>
  <c r="AM2944" i="7" s="1"/>
  <c r="AM2946" i="7"/>
  <c r="AH2948" i="7"/>
  <c r="Y2961" i="7"/>
  <c r="Z2961" i="7" s="1"/>
  <c r="AC2961" i="7" s="1"/>
  <c r="Y2965" i="7"/>
  <c r="Z2965" i="7" s="1"/>
  <c r="AC2965" i="7" s="1"/>
  <c r="Y2983" i="7"/>
  <c r="Z2983" i="7" s="1"/>
  <c r="AE2983" i="7" s="1"/>
  <c r="AF2983" i="7" s="1"/>
  <c r="AH2987" i="7"/>
  <c r="Y3130" i="7"/>
  <c r="Z3130" i="7" s="1"/>
  <c r="AC3130" i="7" s="1"/>
  <c r="AI3980" i="7"/>
  <c r="Y2254" i="7"/>
  <c r="Z2254" i="7" s="1"/>
  <c r="Y2258" i="7"/>
  <c r="Z2258" i="7" s="1"/>
  <c r="AM2258" i="7" s="1"/>
  <c r="Y2682" i="7"/>
  <c r="Z2682" i="7" s="1"/>
  <c r="Y2848" i="7"/>
  <c r="Z2848" i="7" s="1"/>
  <c r="AM2848" i="7" s="1"/>
  <c r="AA3138" i="7"/>
  <c r="AE3138" i="7"/>
  <c r="AF3138" i="7" s="1"/>
  <c r="AH3138" i="7"/>
  <c r="AC3138" i="7"/>
  <c r="AH3456" i="7"/>
  <c r="AM3462" i="7"/>
  <c r="AC3637" i="7"/>
  <c r="AA3637" i="7"/>
  <c r="AM3637" i="7"/>
  <c r="AH3637" i="7"/>
  <c r="AE3637" i="7"/>
  <c r="AF3637" i="7" s="1"/>
  <c r="AE2882" i="7"/>
  <c r="AF2882" i="7" s="1"/>
  <c r="AC2882" i="7"/>
  <c r="AM2882" i="7"/>
  <c r="AA2882" i="7"/>
  <c r="AH2882" i="7"/>
  <c r="AH3564" i="7"/>
  <c r="AH852" i="7"/>
  <c r="AC3718" i="7"/>
  <c r="AA2831" i="7"/>
  <c r="AM2963" i="7"/>
  <c r="AM1897" i="7"/>
  <c r="AE2775" i="7"/>
  <c r="AF2775" i="7" s="1"/>
  <c r="AE2471" i="7"/>
  <c r="AF2471" i="7" s="1"/>
  <c r="AA2415" i="7"/>
  <c r="AC2911" i="7"/>
  <c r="AM3488" i="7"/>
  <c r="AE3145" i="7"/>
  <c r="AF3145" i="7" s="1"/>
  <c r="AC2471" i="7"/>
  <c r="AC3075" i="7"/>
  <c r="AM2723" i="7"/>
  <c r="AI2721" i="7"/>
  <c r="AI3221" i="7"/>
  <c r="Y2041" i="7"/>
  <c r="Z2041" i="7" s="1"/>
  <c r="AC2041" i="7" s="1"/>
  <c r="Y2455" i="7"/>
  <c r="Z2455" i="7" s="1"/>
  <c r="Y1011" i="7"/>
  <c r="Z1011" i="7" s="1"/>
  <c r="Y3315" i="7"/>
  <c r="Z3315" i="7" s="1"/>
  <c r="AA3315" i="7" s="1"/>
  <c r="Y1162" i="7"/>
  <c r="Z1162" i="7" s="1"/>
  <c r="AH1162" i="7" s="1"/>
  <c r="Y3008" i="7"/>
  <c r="Z3008" i="7" s="1"/>
  <c r="AC3008" i="7" s="1"/>
  <c r="Y1268" i="7"/>
  <c r="Z1268" i="7" s="1"/>
  <c r="Y1932" i="7"/>
  <c r="Z1932" i="7" s="1"/>
  <c r="AH1932" i="7" s="1"/>
  <c r="Y1085" i="7"/>
  <c r="Z1085" i="7" s="1"/>
  <c r="AM1085" i="7" s="1"/>
  <c r="AM440" i="7"/>
  <c r="AH442" i="7"/>
  <c r="AH444" i="7"/>
  <c r="AM818" i="7"/>
  <c r="AH841" i="7"/>
  <c r="AM936" i="7"/>
  <c r="AM940" i="7"/>
  <c r="AH1103" i="7"/>
  <c r="AM1184" i="7"/>
  <c r="AM1290" i="7"/>
  <c r="AM1404" i="7"/>
  <c r="AM1406" i="7"/>
  <c r="AM1422" i="7"/>
  <c r="AH1548" i="7"/>
  <c r="Y3140" i="7"/>
  <c r="Z3140" i="7" s="1"/>
  <c r="AE3140" i="7" s="1"/>
  <c r="AF3140" i="7" s="1"/>
  <c r="AE3448" i="7"/>
  <c r="AF3448" i="7" s="1"/>
  <c r="AH3664" i="7"/>
  <c r="AE2856" i="7"/>
  <c r="AF2856" i="7" s="1"/>
  <c r="AH3088" i="7"/>
  <c r="AA3323" i="7"/>
  <c r="AA2522" i="7"/>
  <c r="AM3073" i="7"/>
  <c r="AH2522" i="7"/>
  <c r="AH3718" i="7"/>
  <c r="AC3522" i="7"/>
  <c r="AA3664" i="7"/>
  <c r="AA3089" i="7"/>
  <c r="AC2058" i="7"/>
  <c r="AE3493" i="7"/>
  <c r="AF3493" i="7" s="1"/>
  <c r="AC3395" i="7"/>
  <c r="AC3229" i="7"/>
  <c r="AM3500" i="7"/>
  <c r="AC3682" i="7"/>
  <c r="AH1740" i="7"/>
  <c r="AA3016" i="7"/>
  <c r="Y2715" i="7"/>
  <c r="Z2715" i="7" s="1"/>
  <c r="Y1480" i="7"/>
  <c r="Z1480" i="7" s="1"/>
  <c r="AH1480" i="7" s="1"/>
  <c r="AC98" i="7"/>
  <c r="Y3254" i="7"/>
  <c r="Z3254" i="7" s="1"/>
  <c r="AC3254" i="7" s="1"/>
  <c r="Y1710" i="7"/>
  <c r="Z1710" i="7" s="1"/>
  <c r="AA1710" i="7" s="1"/>
  <c r="Y2693" i="7"/>
  <c r="Z2693" i="7" s="1"/>
  <c r="AA2693" i="7" s="1"/>
  <c r="Y1844" i="7"/>
  <c r="Z1844" i="7" s="1"/>
  <c r="AM1844" i="7" s="1"/>
  <c r="Y2695" i="7"/>
  <c r="Z2695" i="7" s="1"/>
  <c r="AM2695" i="7" s="1"/>
  <c r="Y1748" i="7"/>
  <c r="Z1748" i="7" s="1"/>
  <c r="AH1748" i="7" s="1"/>
  <c r="AE3073" i="7"/>
  <c r="AF3073" i="7" s="1"/>
  <c r="AA3448" i="7"/>
  <c r="AC3749" i="7"/>
  <c r="AM2856" i="7"/>
  <c r="AE2522" i="7"/>
  <c r="AF2522" i="7" s="1"/>
  <c r="AC2522" i="7"/>
  <c r="AM3718" i="7"/>
  <c r="AA3522" i="7"/>
  <c r="AM3664" i="7"/>
  <c r="AE3181" i="7"/>
  <c r="AF3181" i="7" s="1"/>
  <c r="AH3089" i="7"/>
  <c r="AA2775" i="7"/>
  <c r="AA3659" i="7"/>
  <c r="AH3547" i="7"/>
  <c r="AE2558" i="7"/>
  <c r="AF2558" i="7" s="1"/>
  <c r="AE3539" i="7"/>
  <c r="AF3539" i="7" s="1"/>
  <c r="AM3580" i="7"/>
  <c r="AE1960" i="7"/>
  <c r="AF1960" i="7" s="1"/>
  <c r="AA3682" i="7"/>
  <c r="AC3590" i="7"/>
  <c r="AE2989" i="7"/>
  <c r="AF2989" i="7" s="1"/>
  <c r="AE3301" i="7"/>
  <c r="AF3301" i="7" s="1"/>
  <c r="AH2818" i="7"/>
  <c r="AI1418" i="7"/>
  <c r="Y3458" i="7"/>
  <c r="Z3458" i="7" s="1"/>
  <c r="AE3458" i="7" s="1"/>
  <c r="AF3458" i="7" s="1"/>
  <c r="AC3093" i="7"/>
  <c r="AM2841" i="7"/>
  <c r="AH3522" i="7"/>
  <c r="AC3664" i="7"/>
  <c r="AC3088" i="7"/>
  <c r="AE3718" i="7"/>
  <c r="AF3718" i="7" s="1"/>
  <c r="AM3652" i="7"/>
  <c r="AE2098" i="7"/>
  <c r="AF2098" i="7" s="1"/>
  <c r="AC3089" i="7"/>
  <c r="AE3522" i="7"/>
  <c r="AF3522" i="7" s="1"/>
  <c r="AA2259" i="7"/>
  <c r="AM3659" i="7"/>
  <c r="AH2415" i="7"/>
  <c r="AE3586" i="7"/>
  <c r="AF3586" i="7" s="1"/>
  <c r="AA3515" i="7"/>
  <c r="AC3094" i="7"/>
  <c r="AM2558" i="7"/>
  <c r="AA2098" i="7"/>
  <c r="AM2263" i="7"/>
  <c r="AM1837" i="7"/>
  <c r="AC3547" i="7"/>
  <c r="AE3590" i="7"/>
  <c r="AF3590" i="7" s="1"/>
  <c r="AM3636" i="7"/>
  <c r="AC3305" i="7"/>
  <c r="AH3305" i="7"/>
  <c r="AC2495" i="7"/>
  <c r="AA2228" i="7"/>
  <c r="AM2555" i="7"/>
  <c r="Y2632" i="7"/>
  <c r="Z2632" i="7" s="1"/>
  <c r="AA2632" i="7" s="1"/>
  <c r="Y2363" i="7"/>
  <c r="Z2363" i="7" s="1"/>
  <c r="AA2363" i="7" s="1"/>
  <c r="Y1852" i="7"/>
  <c r="Z1852" i="7" s="1"/>
  <c r="AM1852" i="7" s="1"/>
  <c r="Y1517" i="7"/>
  <c r="Z1517" i="7" s="1"/>
  <c r="AM1517" i="7" s="1"/>
  <c r="AH31" i="7"/>
  <c r="AM65" i="7"/>
  <c r="AM67" i="7"/>
  <c r="AH79" i="7"/>
  <c r="AH81" i="7"/>
  <c r="AA3093" i="7"/>
  <c r="AC3448" i="7"/>
  <c r="AH3749" i="7"/>
  <c r="AH3599" i="7"/>
  <c r="AC2052" i="7"/>
  <c r="AC3181" i="7"/>
  <c r="AH2098" i="7"/>
  <c r="AE3089" i="7"/>
  <c r="AF3089" i="7" s="1"/>
  <c r="AM2259" i="7"/>
  <c r="AE3659" i="7"/>
  <c r="AF3659" i="7" s="1"/>
  <c r="AM3581" i="7"/>
  <c r="AC2415" i="7"/>
  <c r="AH2758" i="7"/>
  <c r="AH2547" i="7"/>
  <c r="AH3590" i="7"/>
  <c r="AE2879" i="7"/>
  <c r="AF2879" i="7" s="1"/>
  <c r="AM3305" i="7"/>
  <c r="AE3540" i="7"/>
  <c r="AF3540" i="7" s="1"/>
  <c r="Y2313" i="7"/>
  <c r="Z2313" i="7" s="1"/>
  <c r="AC2313" i="7" s="1"/>
  <c r="Y1836" i="7"/>
  <c r="Z1836" i="7" s="1"/>
  <c r="AM1836" i="7" s="1"/>
  <c r="AI1624" i="7"/>
  <c r="AI2167" i="7"/>
  <c r="Y1890" i="7"/>
  <c r="Z1890" i="7" s="1"/>
  <c r="AE1890" i="7" s="1"/>
  <c r="AF1890" i="7" s="1"/>
  <c r="Y1476" i="7"/>
  <c r="Z1476" i="7" s="1"/>
  <c r="AM1476" i="7" s="1"/>
  <c r="AI752" i="7"/>
  <c r="Y1566" i="7"/>
  <c r="Z1566" i="7" s="1"/>
  <c r="AH1566" i="7" s="1"/>
  <c r="AE3323" i="7"/>
  <c r="AF3323" i="7" s="1"/>
  <c r="AE2052" i="7"/>
  <c r="AF2052" i="7" s="1"/>
  <c r="AM3461" i="7"/>
  <c r="AH2775" i="7"/>
  <c r="AM3590" i="7"/>
  <c r="AA2547" i="7"/>
  <c r="AM2758" i="7"/>
  <c r="AA2856" i="7"/>
  <c r="AA3305" i="7"/>
  <c r="AH798" i="7"/>
  <c r="AE2461" i="7"/>
  <c r="AF2461" i="7" s="1"/>
  <c r="AA2345" i="7"/>
  <c r="AM2884" i="7"/>
  <c r="Y3408" i="7"/>
  <c r="Z3408" i="7" s="1"/>
  <c r="Y2234" i="7"/>
  <c r="Z2234" i="7" s="1"/>
  <c r="AC2234" i="7" s="1"/>
  <c r="AI1077" i="7"/>
  <c r="Y1160" i="7"/>
  <c r="Z1160" i="7" s="1"/>
  <c r="AM1160" i="7" s="1"/>
  <c r="Y1995" i="7"/>
  <c r="Z1995" i="7" s="1"/>
  <c r="AM1995" i="7" s="1"/>
  <c r="Y2049" i="7"/>
  <c r="Z2049" i="7" s="1"/>
  <c r="AC2049" i="7" s="1"/>
  <c r="Y1580" i="7"/>
  <c r="Z1580" i="7" s="1"/>
  <c r="AH33" i="7"/>
  <c r="AM43" i="7"/>
  <c r="Y556" i="7"/>
  <c r="Z556" i="7" s="1"/>
  <c r="AH556" i="7" s="1"/>
  <c r="Y590" i="7"/>
  <c r="Z590" i="7" s="1"/>
  <c r="AM590" i="7" s="1"/>
  <c r="Y652" i="7"/>
  <c r="Z652" i="7" s="1"/>
  <c r="Y656" i="7"/>
  <c r="Z656" i="7" s="1"/>
  <c r="Y664" i="7"/>
  <c r="Z664" i="7" s="1"/>
  <c r="Y1165" i="7"/>
  <c r="Z1165" i="7" s="1"/>
  <c r="AH1217" i="7"/>
  <c r="AH1219" i="7"/>
  <c r="Y1237" i="7"/>
  <c r="Z1237" i="7" s="1"/>
  <c r="AM1237" i="7" s="1"/>
  <c r="Y1245" i="7"/>
  <c r="Z1245" i="7" s="1"/>
  <c r="Y1279" i="7"/>
  <c r="Z1279" i="7" s="1"/>
  <c r="AM1279" i="7" s="1"/>
  <c r="Y1344" i="7"/>
  <c r="Z1344" i="7" s="1"/>
  <c r="AM1344" i="7" s="1"/>
  <c r="Y1487" i="7"/>
  <c r="Z1487" i="7" s="1"/>
  <c r="Y1489" i="7"/>
  <c r="Z1489" i="7" s="1"/>
  <c r="AM1489" i="7" s="1"/>
  <c r="AM2547" i="7"/>
  <c r="AM875" i="7"/>
  <c r="AC3066" i="7"/>
  <c r="AE3461" i="7"/>
  <c r="AF3461" i="7" s="1"/>
  <c r="AH3322" i="7"/>
  <c r="AE2259" i="7"/>
  <c r="AF2259" i="7" s="1"/>
  <c r="AC2775" i="7"/>
  <c r="AC3200" i="7"/>
  <c r="AM3515" i="7"/>
  <c r="AE2547" i="7"/>
  <c r="AF2547" i="7" s="1"/>
  <c r="AE3636" i="7"/>
  <c r="AF3636" i="7" s="1"/>
  <c r="AM3322" i="7"/>
  <c r="AH3235" i="7"/>
  <c r="Y3154" i="7"/>
  <c r="Z3154" i="7" s="1"/>
  <c r="Y1864" i="7"/>
  <c r="Z1864" i="7" s="1"/>
  <c r="Y2907" i="7"/>
  <c r="Z2907" i="7" s="1"/>
  <c r="AA2907" i="7" s="1"/>
  <c r="Y1846" i="7"/>
  <c r="Z1846" i="7" s="1"/>
  <c r="Y2979" i="7"/>
  <c r="Z2979" i="7" s="1"/>
  <c r="AM2979" i="7" s="1"/>
  <c r="Y1462" i="7"/>
  <c r="Z1462" i="7" s="1"/>
  <c r="AM1462" i="7" s="1"/>
  <c r="AH53" i="7"/>
  <c r="AM55" i="7"/>
  <c r="AA3066" i="7"/>
  <c r="AA3322" i="7"/>
  <c r="AE2626" i="7"/>
  <c r="AF2626" i="7" s="1"/>
  <c r="AE3200" i="7"/>
  <c r="AF3200" i="7" s="1"/>
  <c r="AM1166" i="7"/>
  <c r="AM1534" i="7"/>
  <c r="AE3515" i="7"/>
  <c r="AF3515" i="7" s="1"/>
  <c r="AM2683" i="7"/>
  <c r="AC3322" i="7"/>
  <c r="AH3530" i="7"/>
  <c r="AA3488" i="7"/>
  <c r="AH2739" i="7"/>
  <c r="Y1661" i="7"/>
  <c r="Z1661" i="7" s="1"/>
  <c r="AM1661" i="7" s="1"/>
  <c r="AI1687" i="7"/>
  <c r="Y1025" i="7"/>
  <c r="Z1025" i="7" s="1"/>
  <c r="Y1087" i="7"/>
  <c r="Z1087" i="7" s="1"/>
  <c r="AM1626" i="7"/>
  <c r="AA3749" i="7"/>
  <c r="AC2683" i="7"/>
  <c r="AM2193" i="7"/>
  <c r="Y3148" i="7"/>
  <c r="Z3148" i="7" s="1"/>
  <c r="AM3148" i="7" s="1"/>
  <c r="Y2985" i="7"/>
  <c r="Z2985" i="7" s="1"/>
  <c r="AH2985" i="7" s="1"/>
  <c r="Y3010" i="7"/>
  <c r="Z3010" i="7" s="1"/>
  <c r="AE3010" i="7" s="1"/>
  <c r="AF3010" i="7" s="1"/>
  <c r="Y2713" i="7"/>
  <c r="Z2713" i="7" s="1"/>
  <c r="AM2713" i="7" s="1"/>
  <c r="Y1216" i="7"/>
  <c r="Z1216" i="7" s="1"/>
  <c r="AM1216" i="7" s="1"/>
  <c r="Y1850" i="7"/>
  <c r="Z1850" i="7" s="1"/>
  <c r="AM1850" i="7" s="1"/>
  <c r="Y3392" i="7"/>
  <c r="Z3392" i="7" s="1"/>
  <c r="Y2311" i="7"/>
  <c r="Z2311" i="7" s="1"/>
  <c r="Y1478" i="7"/>
  <c r="Z1478" i="7" s="1"/>
  <c r="Y1220" i="7"/>
  <c r="Z1220" i="7" s="1"/>
  <c r="Y1582" i="7"/>
  <c r="Z1582" i="7" s="1"/>
  <c r="AH1582" i="7" s="1"/>
  <c r="Y1908" i="7"/>
  <c r="Z1908" i="7" s="1"/>
  <c r="Y2699" i="7"/>
  <c r="Z2699" i="7" s="1"/>
  <c r="AM2699" i="7" s="1"/>
  <c r="AE3749" i="7"/>
  <c r="AF3749" i="7" s="1"/>
  <c r="AA3073" i="7"/>
  <c r="AE2887" i="7"/>
  <c r="AF2887" i="7" s="1"/>
  <c r="AE3066" i="7"/>
  <c r="AF3066" i="7" s="1"/>
  <c r="AA2512" i="7"/>
  <c r="AC3652" i="7"/>
  <c r="AH2434" i="7"/>
  <c r="AE3581" i="7"/>
  <c r="AF3581" i="7" s="1"/>
  <c r="AC1957" i="7"/>
  <c r="AH3581" i="7"/>
  <c r="AA3581" i="7"/>
  <c r="AA2683" i="7"/>
  <c r="AE2624" i="7"/>
  <c r="AF2624" i="7" s="1"/>
  <c r="AC3224" i="7"/>
  <c r="AA2193" i="7"/>
  <c r="AM3407" i="7"/>
  <c r="AC2587" i="7"/>
  <c r="Y1848" i="7"/>
  <c r="Z1848" i="7" s="1"/>
  <c r="Y2067" i="7"/>
  <c r="Z2067" i="7" s="1"/>
  <c r="AE2067" i="7" s="1"/>
  <c r="AF2067" i="7" s="1"/>
  <c r="Y1649" i="7"/>
  <c r="Z1649" i="7" s="1"/>
  <c r="AA1649" i="7" s="1"/>
  <c r="Y1464" i="7"/>
  <c r="Z1464" i="7" s="1"/>
  <c r="Y3018" i="7"/>
  <c r="Z3018" i="7" s="1"/>
  <c r="AC3018" i="7" s="1"/>
  <c r="Y1930" i="7"/>
  <c r="Z1930" i="7" s="1"/>
  <c r="AE1930" i="7" s="1"/>
  <c r="AF1930" i="7" s="1"/>
  <c r="Y2099" i="7"/>
  <c r="Z2099" i="7" s="1"/>
  <c r="AA2099" i="7" s="1"/>
  <c r="Y1593" i="7"/>
  <c r="Z1593" i="7" s="1"/>
  <c r="AH3323" i="7"/>
  <c r="AM2098" i="7"/>
  <c r="AM2434" i="7"/>
  <c r="AC3092" i="7"/>
  <c r="AA2434" i="7"/>
  <c r="AA2263" i="7"/>
  <c r="AE3499" i="7"/>
  <c r="AF3499" i="7" s="1"/>
  <c r="AM3499" i="7"/>
  <c r="Y2816" i="7"/>
  <c r="Z2816" i="7" s="1"/>
  <c r="Y1860" i="7"/>
  <c r="Z1860" i="7" s="1"/>
  <c r="AH1860" i="7" s="1"/>
  <c r="Y1107" i="7"/>
  <c r="Z1107" i="7" s="1"/>
  <c r="Y3317" i="7"/>
  <c r="Z3317" i="7" s="1"/>
  <c r="AH3317" i="7" s="1"/>
  <c r="AI1910" i="7"/>
  <c r="Y2703" i="7"/>
  <c r="Z2703" i="7" s="1"/>
  <c r="AH2703" i="7" s="1"/>
  <c r="Y1906" i="7"/>
  <c r="Z1906" i="7" s="1"/>
  <c r="AH1906" i="7" s="1"/>
  <c r="AA2887" i="7"/>
  <c r="AH3555" i="7"/>
  <c r="AE3045" i="7"/>
  <c r="AF3045" i="7" s="1"/>
  <c r="AM3564" i="7"/>
  <c r="AM3021" i="7"/>
  <c r="AC3450" i="7"/>
  <c r="AE3142" i="7"/>
  <c r="AF3142" i="7" s="1"/>
  <c r="AE2967" i="7"/>
  <c r="AF2967" i="7" s="1"/>
  <c r="AC3016" i="7"/>
  <c r="AC2814" i="7"/>
  <c r="AA2457" i="7"/>
  <c r="AE2587" i="7"/>
  <c r="AF2587" i="7" s="1"/>
  <c r="AM2461" i="7"/>
  <c r="AC2345" i="7"/>
  <c r="AE2495" i="7"/>
  <c r="AF2495" i="7" s="1"/>
  <c r="AA2369" i="7"/>
  <c r="AA2361" i="7"/>
  <c r="AE2216" i="7"/>
  <c r="AF2216" i="7" s="1"/>
  <c r="AC2228" i="7"/>
  <c r="AH2597" i="7"/>
  <c r="AA2216" i="7"/>
  <c r="AM2924" i="7"/>
  <c r="AM3105" i="7"/>
  <c r="AM2801" i="7"/>
  <c r="AH166" i="7"/>
  <c r="AM168" i="7"/>
  <c r="AM170" i="7"/>
  <c r="AM203" i="7"/>
  <c r="AH223" i="7"/>
  <c r="AH229" i="7"/>
  <c r="AH294" i="7"/>
  <c r="AM300" i="7"/>
  <c r="AM323" i="7"/>
  <c r="AM325" i="7"/>
  <c r="AM339" i="7"/>
  <c r="AH2557" i="7"/>
  <c r="AH2209" i="7"/>
  <c r="AM2238" i="7"/>
  <c r="AE2919" i="7"/>
  <c r="AF2919" i="7" s="1"/>
  <c r="AH2887" i="7"/>
  <c r="AE2679" i="7"/>
  <c r="AF2679" i="7" s="1"/>
  <c r="AA2450" i="7"/>
  <c r="AA3802" i="7"/>
  <c r="AM3687" i="7"/>
  <c r="AC3859" i="7"/>
  <c r="AM2383" i="7"/>
  <c r="AC3021" i="7"/>
  <c r="AM3859" i="7"/>
  <c r="AH2188" i="7"/>
  <c r="AM2386" i="7"/>
  <c r="AM2967" i="7"/>
  <c r="AM2737" i="7"/>
  <c r="AE2814" i="7"/>
  <c r="AF2814" i="7" s="1"/>
  <c r="AH2595" i="7"/>
  <c r="AM2551" i="7"/>
  <c r="AH2495" i="7"/>
  <c r="AE2369" i="7"/>
  <c r="AF2369" i="7" s="1"/>
  <c r="AC2361" i="7"/>
  <c r="AA2351" i="7"/>
  <c r="AA2371" i="7"/>
  <c r="AM3103" i="7"/>
  <c r="AM2553" i="7"/>
  <c r="AH1635" i="7"/>
  <c r="AH2928" i="7"/>
  <c r="AA3508" i="7"/>
  <c r="AH2824" i="7"/>
  <c r="AE3752" i="7"/>
  <c r="AF3752" i="7" s="1"/>
  <c r="AM2072" i="7"/>
  <c r="AE3457" i="7"/>
  <c r="AF3457" i="7" s="1"/>
  <c r="AM3457" i="7"/>
  <c r="AC2887" i="7"/>
  <c r="AE3137" i="7"/>
  <c r="AF3137" i="7" s="1"/>
  <c r="AC2072" i="7"/>
  <c r="AC2839" i="7"/>
  <c r="AE2928" i="7"/>
  <c r="AF2928" i="7" s="1"/>
  <c r="AM3482" i="7"/>
  <c r="AC2249" i="7"/>
  <c r="AC2450" i="7"/>
  <c r="AM2108" i="7"/>
  <c r="AM2188" i="7"/>
  <c r="AE2852" i="7"/>
  <c r="AF2852" i="7" s="1"/>
  <c r="AE3661" i="7"/>
  <c r="AF3661" i="7" s="1"/>
  <c r="AH3241" i="7"/>
  <c r="AH2852" i="7"/>
  <c r="AA2852" i="7"/>
  <c r="AA2188" i="7"/>
  <c r="AH2543" i="7"/>
  <c r="AC3525" i="7"/>
  <c r="AA2948" i="7"/>
  <c r="AA2630" i="7"/>
  <c r="AA2717" i="7"/>
  <c r="AE2487" i="7"/>
  <c r="AF2487" i="7" s="1"/>
  <c r="AM2487" i="7"/>
  <c r="AA2353" i="7"/>
  <c r="AE2351" i="7"/>
  <c r="AF2351" i="7" s="1"/>
  <c r="AC2371" i="7"/>
  <c r="AE3103" i="7"/>
  <c r="AF3103" i="7" s="1"/>
  <c r="AC2697" i="7"/>
  <c r="AC1983" i="7"/>
  <c r="AH1916" i="7"/>
  <c r="AM478" i="7"/>
  <c r="AM605" i="7"/>
  <c r="AM609" i="7"/>
  <c r="AM615" i="7"/>
  <c r="AC3508" i="7"/>
  <c r="AA3752" i="7"/>
  <c r="AE2176" i="7"/>
  <c r="AF2176" i="7" s="1"/>
  <c r="AH2359" i="7"/>
  <c r="AE2072" i="7"/>
  <c r="AF2072" i="7" s="1"/>
  <c r="AA2839" i="7"/>
  <c r="AC3086" i="7"/>
  <c r="AA3095" i="7"/>
  <c r="AE2450" i="7"/>
  <c r="AF2450" i="7" s="1"/>
  <c r="AE2108" i="7"/>
  <c r="AF2108" i="7" s="1"/>
  <c r="AA2801" i="7"/>
  <c r="AH2981" i="7"/>
  <c r="AE2188" i="7"/>
  <c r="AF2188" i="7" s="1"/>
  <c r="AA1953" i="7"/>
  <c r="AH3142" i="7"/>
  <c r="AA3212" i="7"/>
  <c r="AH3452" i="7"/>
  <c r="AC3241" i="7"/>
  <c r="AC2852" i="7"/>
  <c r="AC2543" i="7"/>
  <c r="AE3525" i="7"/>
  <c r="AF3525" i="7" s="1"/>
  <c r="AH3407" i="7"/>
  <c r="AE3483" i="7"/>
  <c r="AF3483" i="7" s="1"/>
  <c r="AA3014" i="7"/>
  <c r="AC2948" i="7"/>
  <c r="AH2890" i="7"/>
  <c r="AA2743" i="7"/>
  <c r="AE2719" i="7"/>
  <c r="AF2719" i="7" s="1"/>
  <c r="AC2717" i="7"/>
  <c r="AH2585" i="7"/>
  <c r="AC2353" i="7"/>
  <c r="AE2343" i="7"/>
  <c r="AF2343" i="7" s="1"/>
  <c r="AH2377" i="7"/>
  <c r="AC1862" i="7"/>
  <c r="AM2121" i="7"/>
  <c r="AA3103" i="7"/>
  <c r="AA2697" i="7"/>
  <c r="AH2936" i="7"/>
  <c r="AA2501" i="7"/>
  <c r="AM3508" i="7"/>
  <c r="AC2777" i="7"/>
  <c r="AE2961" i="7"/>
  <c r="AF2961" i="7" s="1"/>
  <c r="AC2501" i="7"/>
  <c r="AA2359" i="7"/>
  <c r="AE3071" i="7"/>
  <c r="AF3071" i="7" s="1"/>
  <c r="AH2839" i="7"/>
  <c r="AE3455" i="7"/>
  <c r="AF3455" i="7" s="1"/>
  <c r="AE1994" i="7"/>
  <c r="AF1994" i="7" s="1"/>
  <c r="AM856" i="7"/>
  <c r="AA3859" i="7"/>
  <c r="AM2277" i="7"/>
  <c r="AH3021" i="7"/>
  <c r="AA3912" i="7"/>
  <c r="AA2946" i="7"/>
  <c r="AC3014" i="7"/>
  <c r="AE2948" i="7"/>
  <c r="AF2948" i="7" s="1"/>
  <c r="AH2719" i="7"/>
  <c r="AH2583" i="7"/>
  <c r="AA2347" i="7"/>
  <c r="AA2479" i="7"/>
  <c r="AA2485" i="7"/>
  <c r="AE2697" i="7"/>
  <c r="AF2697" i="7" s="1"/>
  <c r="AH3103" i="7"/>
  <c r="AC2795" i="7"/>
  <c r="AH2501" i="7"/>
  <c r="AE2777" i="7"/>
  <c r="AF2777" i="7" s="1"/>
  <c r="AA2288" i="7"/>
  <c r="AM2919" i="7"/>
  <c r="AM2359" i="7"/>
  <c r="AM3142" i="7"/>
  <c r="AM1972" i="7"/>
  <c r="AE2104" i="7"/>
  <c r="AF2104" i="7" s="1"/>
  <c r="AC1972" i="7"/>
  <c r="AA3598" i="7"/>
  <c r="AM2249" i="7"/>
  <c r="AM3450" i="7"/>
  <c r="AE2277" i="7"/>
  <c r="AF2277" i="7" s="1"/>
  <c r="AC3486" i="7"/>
  <c r="AH3518" i="7"/>
  <c r="AM2987" i="7"/>
  <c r="AE2347" i="7"/>
  <c r="AF2347" i="7" s="1"/>
  <c r="AC2479" i="7"/>
  <c r="AC2485" i="7"/>
  <c r="AH2905" i="7"/>
  <c r="AA3071" i="7"/>
  <c r="AA2795" i="7"/>
  <c r="AH3134" i="7"/>
  <c r="AE3692" i="7"/>
  <c r="AF3692" i="7" s="1"/>
  <c r="AA2777" i="7"/>
  <c r="AA3457" i="7"/>
  <c r="AE3362" i="7"/>
  <c r="AF3362" i="7" s="1"/>
  <c r="AM3323" i="7"/>
  <c r="AM3045" i="7"/>
  <c r="AH3137" i="7"/>
  <c r="AC2919" i="7"/>
  <c r="AA3142" i="7"/>
  <c r="AC2386" i="7"/>
  <c r="AE1972" i="7"/>
  <c r="AF1972" i="7" s="1"/>
  <c r="AM3802" i="7"/>
  <c r="AH2108" i="7"/>
  <c r="AM3438" i="7"/>
  <c r="AA2240" i="7"/>
  <c r="AH3229" i="7"/>
  <c r="AA3452" i="7"/>
  <c r="AE3486" i="7"/>
  <c r="AF3486" i="7" s="1"/>
  <c r="AA3523" i="7"/>
  <c r="AM3514" i="7"/>
  <c r="AA3407" i="7"/>
  <c r="AE2457" i="7"/>
  <c r="AF2457" i="7" s="1"/>
  <c r="AA2601" i="7"/>
  <c r="AA2493" i="7"/>
  <c r="AM2236" i="7"/>
  <c r="AA197" i="7"/>
  <c r="AE2743" i="7"/>
  <c r="AF2743" i="7" s="1"/>
  <c r="AH2607" i="7"/>
  <c r="AA3361" i="7"/>
  <c r="AM3086" i="7"/>
  <c r="AA2209" i="7"/>
  <c r="AM3088" i="7"/>
  <c r="AH2777" i="7"/>
  <c r="AA3362" i="7"/>
  <c r="AM3137" i="7"/>
  <c r="AH2633" i="7"/>
  <c r="AA2386" i="7"/>
  <c r="AA1952" i="7"/>
  <c r="AH2581" i="7"/>
  <c r="AA2517" i="7"/>
  <c r="AC2108" i="7"/>
  <c r="AE2749" i="7"/>
  <c r="AF2749" i="7" s="1"/>
  <c r="AM2410" i="7"/>
  <c r="AE2240" i="7"/>
  <c r="AF2240" i="7" s="1"/>
  <c r="AA3450" i="7"/>
  <c r="AA1972" i="7"/>
  <c r="AA3520" i="7"/>
  <c r="AA3486" i="7"/>
  <c r="AC3588" i="7"/>
  <c r="AA3006" i="7"/>
  <c r="AA2487" i="7"/>
  <c r="AC2601" i="7"/>
  <c r="AA2465" i="7"/>
  <c r="AC2721" i="7"/>
  <c r="AC2013" i="7"/>
  <c r="AC3006" i="7"/>
  <c r="AM2774" i="7"/>
  <c r="AH2760" i="7"/>
  <c r="AM1503" i="7"/>
  <c r="AM2209" i="7"/>
  <c r="AH2919" i="7"/>
  <c r="AH3391" i="7"/>
  <c r="AC3278" i="7"/>
  <c r="AC3444" i="7"/>
  <c r="AC1952" i="7"/>
  <c r="AE2386" i="7"/>
  <c r="AF2386" i="7" s="1"/>
  <c r="AH2450" i="7"/>
  <c r="AC2801" i="7"/>
  <c r="AC3802" i="7"/>
  <c r="AH2249" i="7"/>
  <c r="AC2410" i="7"/>
  <c r="AH2240" i="7"/>
  <c r="AE3229" i="7"/>
  <c r="AF3229" i="7" s="1"/>
  <c r="AA3229" i="7"/>
  <c r="AH3862" i="7"/>
  <c r="AC2989" i="7"/>
  <c r="AA3224" i="7"/>
  <c r="AC3452" i="7"/>
  <c r="AE2562" i="7"/>
  <c r="AF2562" i="7" s="1"/>
  <c r="AC3585" i="7"/>
  <c r="AE3242" i="7"/>
  <c r="AF3242" i="7" s="1"/>
  <c r="AH3520" i="7"/>
  <c r="AA2212" i="7"/>
  <c r="AH3486" i="7"/>
  <c r="AM3588" i="7"/>
  <c r="AC2719" i="7"/>
  <c r="AA2589" i="7"/>
  <c r="AC2465" i="7"/>
  <c r="AC2459" i="7"/>
  <c r="AA2459" i="7"/>
  <c r="AE2463" i="7"/>
  <c r="AF2463" i="7" s="1"/>
  <c r="AE2721" i="7"/>
  <c r="AF2721" i="7" s="1"/>
  <c r="AE2493" i="7"/>
  <c r="AF2493" i="7" s="1"/>
  <c r="AM2735" i="7"/>
  <c r="AH2072" i="7"/>
  <c r="AE2209" i="7"/>
  <c r="AF2209" i="7" s="1"/>
  <c r="AH822" i="7"/>
  <c r="AH3278" i="7"/>
  <c r="AH666" i="7"/>
  <c r="AC3389" i="7"/>
  <c r="AA2967" i="7"/>
  <c r="AM1386" i="7"/>
  <c r="AA3585" i="7"/>
  <c r="AH2517" i="7"/>
  <c r="AE2359" i="7"/>
  <c r="AF2359" i="7" s="1"/>
  <c r="AH2562" i="7"/>
  <c r="AH3585" i="7"/>
  <c r="AA3588" i="7"/>
  <c r="AC2946" i="7"/>
  <c r="AC2589" i="7"/>
  <c r="AA2537" i="7"/>
  <c r="AE2465" i="7"/>
  <c r="AF2465" i="7" s="1"/>
  <c r="AA2461" i="7"/>
  <c r="AA2463" i="7"/>
  <c r="AH2721" i="7"/>
  <c r="AM2505" i="7"/>
  <c r="AH2795" i="7"/>
  <c r="AC3457" i="7"/>
  <c r="AC3391" i="7"/>
  <c r="AC3137" i="7"/>
  <c r="AE2288" i="7"/>
  <c r="AF2288" i="7" s="1"/>
  <c r="AC2967" i="7"/>
  <c r="AC2679" i="7"/>
  <c r="AA1810" i="7"/>
  <c r="AH1994" i="7"/>
  <c r="AE2249" i="7"/>
  <c r="AF2249" i="7" s="1"/>
  <c r="AC2749" i="7"/>
  <c r="AM2293" i="7"/>
  <c r="AE3588" i="7"/>
  <c r="AF3588" i="7" s="1"/>
  <c r="AA2063" i="7"/>
  <c r="AH2593" i="7"/>
  <c r="AC3418" i="7"/>
  <c r="AA3476" i="7"/>
  <c r="AM2928" i="7"/>
  <c r="AM3009" i="7"/>
  <c r="AA1886" i="7"/>
  <c r="AE2013" i="7"/>
  <c r="AF2013" i="7" s="1"/>
  <c r="AH1920" i="7"/>
  <c r="AC1900" i="7"/>
  <c r="AC2063" i="7"/>
  <c r="AE1983" i="7"/>
  <c r="AF1983" i="7" s="1"/>
  <c r="AH503" i="7"/>
  <c r="AH533" i="7"/>
  <c r="AM559" i="7"/>
  <c r="AM563" i="7"/>
  <c r="AM571" i="7"/>
  <c r="AH573" i="7"/>
  <c r="AH637" i="7"/>
  <c r="AH639" i="7"/>
  <c r="AM645" i="7"/>
  <c r="AH705" i="7"/>
  <c r="AH707" i="7"/>
  <c r="AM918" i="7"/>
  <c r="AM1023" i="7"/>
  <c r="AH1073" i="7"/>
  <c r="AH1081" i="7"/>
  <c r="AH1083" i="7"/>
  <c r="AH1101" i="7"/>
  <c r="AH1109" i="7"/>
  <c r="AM1111" i="7"/>
  <c r="AM1208" i="7"/>
  <c r="AM1212" i="7"/>
  <c r="AM1214" i="7"/>
  <c r="AM1286" i="7"/>
  <c r="AH1288" i="7"/>
  <c r="AM1450" i="7"/>
  <c r="AH1452" i="7"/>
  <c r="AM1470" i="7"/>
  <c r="AH1498" i="7"/>
  <c r="AH1542" i="7"/>
  <c r="AH1544" i="7"/>
  <c r="AH2308" i="7"/>
  <c r="AH2843" i="7"/>
  <c r="AA2006" i="7"/>
  <c r="AA3373" i="7"/>
  <c r="AC3409" i="7"/>
  <c r="AC2807" i="7"/>
  <c r="AM3476" i="7"/>
  <c r="AA2928" i="7"/>
  <c r="AE3394" i="7"/>
  <c r="AF3394" i="7" s="1"/>
  <c r="AH2281" i="7"/>
  <c r="AE2996" i="7"/>
  <c r="AF2996" i="7" s="1"/>
  <c r="AM2413" i="7"/>
  <c r="AC3489" i="7"/>
  <c r="AC2180" i="7"/>
  <c r="AA3557" i="7"/>
  <c r="AE1900" i="7"/>
  <c r="AF1900" i="7" s="1"/>
  <c r="AA1981" i="7"/>
  <c r="AM1695" i="7"/>
  <c r="AA387" i="7"/>
  <c r="AE2011" i="7"/>
  <c r="AF2011" i="7" s="1"/>
  <c r="AC1888" i="7"/>
  <c r="AM2920" i="7"/>
  <c r="AA3599" i="7"/>
  <c r="AM2662" i="7"/>
  <c r="AM2006" i="7"/>
  <c r="AC2006" i="7"/>
  <c r="AM2992" i="7"/>
  <c r="AH1063" i="7"/>
  <c r="AE3373" i="7"/>
  <c r="AF3373" i="7" s="1"/>
  <c r="AE3505" i="7"/>
  <c r="AF3505" i="7" s="1"/>
  <c r="AH2807" i="7"/>
  <c r="AC3476" i="7"/>
  <c r="AC2026" i="7"/>
  <c r="AC3648" i="7"/>
  <c r="AC3295" i="7"/>
  <c r="AC2253" i="7"/>
  <c r="AC3417" i="7"/>
  <c r="AA3417" i="7"/>
  <c r="AH3698" i="7"/>
  <c r="AC2281" i="7"/>
  <c r="AA3862" i="7"/>
  <c r="AE3434" i="7"/>
  <c r="AF3434" i="7" s="1"/>
  <c r="AH3505" i="7"/>
  <c r="AH3663" i="7"/>
  <c r="AH3493" i="7"/>
  <c r="AM2996" i="7"/>
  <c r="AC1939" i="7"/>
  <c r="AE2267" i="7"/>
  <c r="AF2267" i="7" s="1"/>
  <c r="AM1382" i="7"/>
  <c r="AA1574" i="7"/>
  <c r="AE2643" i="7"/>
  <c r="AF2643" i="7" s="1"/>
  <c r="AM3394" i="7"/>
  <c r="AE2180" i="7"/>
  <c r="AF2180" i="7" s="1"/>
  <c r="AE3557" i="7"/>
  <c r="AF3557" i="7" s="1"/>
  <c r="AA2027" i="7"/>
  <c r="AA1884" i="7"/>
  <c r="AE2071" i="7"/>
  <c r="AF2071" i="7" s="1"/>
  <c r="AA1910" i="7"/>
  <c r="AA2043" i="7"/>
  <c r="AA1868" i="7"/>
  <c r="AC1981" i="7"/>
  <c r="AH1924" i="7"/>
  <c r="AH991" i="7"/>
  <c r="AM1922" i="7"/>
  <c r="AM1633" i="7"/>
  <c r="AM75" i="7"/>
  <c r="AM136" i="7"/>
  <c r="AM138" i="7"/>
  <c r="AM142" i="7"/>
  <c r="AM144" i="7"/>
  <c r="AM146" i="7"/>
  <c r="AM150" i="7"/>
  <c r="AM152" i="7"/>
  <c r="AM158" i="7"/>
  <c r="AM160" i="7"/>
  <c r="AM403" i="7"/>
  <c r="AM407" i="7"/>
  <c r="AM415" i="7"/>
  <c r="AM623" i="7"/>
  <c r="AM629" i="7"/>
  <c r="AM668" i="7"/>
  <c r="AM674" i="7"/>
  <c r="AM685" i="7"/>
  <c r="AM697" i="7"/>
  <c r="AM930" i="7"/>
  <c r="AE3267" i="7"/>
  <c r="AF3267" i="7" s="1"/>
  <c r="AM2607" i="7"/>
  <c r="AE2984" i="7"/>
  <c r="AF2984" i="7" s="1"/>
  <c r="AA1635" i="7"/>
  <c r="AE2991" i="7"/>
  <c r="AF2991" i="7" s="1"/>
  <c r="AA3267" i="7"/>
  <c r="AH2006" i="7"/>
  <c r="AA2607" i="7"/>
  <c r="AC3360" i="7"/>
  <c r="AM3373" i="7"/>
  <c r="AH3648" i="7"/>
  <c r="AM2198" i="7"/>
  <c r="AA2265" i="7"/>
  <c r="AA2996" i="7"/>
  <c r="AH2277" i="7"/>
  <c r="AE3143" i="7"/>
  <c r="AF3143" i="7" s="1"/>
  <c r="AM1574" i="7"/>
  <c r="AC1820" i="7"/>
  <c r="AC3216" i="7"/>
  <c r="AA2180" i="7"/>
  <c r="AC3557" i="7"/>
  <c r="AC1910" i="7"/>
  <c r="AC2043" i="7"/>
  <c r="AH994" i="7"/>
  <c r="AC89" i="7"/>
  <c r="AA1870" i="7"/>
  <c r="AH1693" i="7"/>
  <c r="AM3029" i="7"/>
  <c r="AC1635" i="7"/>
  <c r="AC2593" i="7"/>
  <c r="AA2604" i="7"/>
  <c r="AC3267" i="7"/>
  <c r="AE3554" i="7"/>
  <c r="AF3554" i="7" s="1"/>
  <c r="AA3409" i="7"/>
  <c r="AE2198" i="7"/>
  <c r="AF2198" i="7" s="1"/>
  <c r="AA3713" i="7"/>
  <c r="AH1416" i="7"/>
  <c r="AC3663" i="7"/>
  <c r="AC2265" i="7"/>
  <c r="AC2475" i="7"/>
  <c r="AC2996" i="7"/>
  <c r="AE2574" i="7"/>
  <c r="AF2574" i="7" s="1"/>
  <c r="AH2180" i="7"/>
  <c r="AH3557" i="7"/>
  <c r="AC2011" i="7"/>
  <c r="AC2009" i="7"/>
  <c r="AC1892" i="7"/>
  <c r="AA1928" i="7"/>
  <c r="AC1687" i="7"/>
  <c r="AA3554" i="7"/>
  <c r="AE3485" i="7"/>
  <c r="AF3485" i="7" s="1"/>
  <c r="AC3165" i="7"/>
  <c r="AC2372" i="7"/>
  <c r="AA1840" i="7"/>
  <c r="AC3698" i="7"/>
  <c r="AA2281" i="7"/>
  <c r="AM3084" i="7"/>
  <c r="AA2603" i="7"/>
  <c r="AA2574" i="7"/>
  <c r="AA2892" i="7"/>
  <c r="AE2009" i="7"/>
  <c r="AF2009" i="7" s="1"/>
  <c r="AA2071" i="7"/>
  <c r="AC1928" i="7"/>
  <c r="AA1866" i="7"/>
  <c r="AC2027" i="7"/>
  <c r="AC1993" i="7"/>
  <c r="AH1750" i="7"/>
  <c r="AC3505" i="7"/>
  <c r="AA3461" i="7"/>
  <c r="AC2604" i="7"/>
  <c r="AC3485" i="7"/>
  <c r="AE3165" i="7"/>
  <c r="AF3165" i="7" s="1"/>
  <c r="AM1201" i="7"/>
  <c r="AA2026" i="7"/>
  <c r="AA1449" i="7"/>
  <c r="AM1840" i="7"/>
  <c r="AM1820" i="7"/>
  <c r="AE2281" i="7"/>
  <c r="AF2281" i="7" s="1"/>
  <c r="AM3036" i="7"/>
  <c r="AE3663" i="7"/>
  <c r="AF3663" i="7" s="1"/>
  <c r="AA3553" i="7"/>
  <c r="AM2514" i="7"/>
  <c r="AC3084" i="7"/>
  <c r="AM1398" i="7"/>
  <c r="AH2966" i="7"/>
  <c r="AE1991" i="7"/>
  <c r="AF1991" i="7" s="1"/>
  <c r="AM1611" i="7"/>
  <c r="AA1993" i="7"/>
  <c r="AM2991" i="7"/>
  <c r="AC2920" i="7"/>
  <c r="AA2991" i="7"/>
  <c r="AH2991" i="7"/>
  <c r="AC3599" i="7"/>
  <c r="AH3409" i="7"/>
  <c r="AC3394" i="7"/>
  <c r="AH3418" i="7"/>
  <c r="AE1958" i="7"/>
  <c r="AF1958" i="7" s="1"/>
  <c r="AA2372" i="7"/>
  <c r="AE1916" i="7"/>
  <c r="AF1916" i="7" s="1"/>
  <c r="AH1052" i="7"/>
  <c r="AC2290" i="7"/>
  <c r="AM1060" i="7"/>
  <c r="AH1820" i="7"/>
  <c r="AM1378" i="7"/>
  <c r="AH3450" i="7"/>
  <c r="AC2261" i="7"/>
  <c r="AM3663" i="7"/>
  <c r="AA3615" i="7"/>
  <c r="AC2514" i="7"/>
  <c r="AE3862" i="7"/>
  <c r="AF3862" i="7" s="1"/>
  <c r="AH3084" i="7"/>
  <c r="AE3178" i="7"/>
  <c r="AF3178" i="7" s="1"/>
  <c r="AE3283" i="7"/>
  <c r="AF3283" i="7" s="1"/>
  <c r="AA3514" i="7"/>
  <c r="AA2807" i="7"/>
  <c r="AA2744" i="7"/>
  <c r="AC2966" i="7"/>
  <c r="AM2073" i="7"/>
  <c r="AC1113" i="7"/>
  <c r="AA1991" i="7"/>
  <c r="AC3442" i="7"/>
  <c r="AC2308" i="7"/>
  <c r="AA2992" i="7"/>
  <c r="AM3599" i="7"/>
  <c r="AC2662" i="7"/>
  <c r="AC852" i="7"/>
  <c r="AA2593" i="7"/>
  <c r="AE3442" i="7"/>
  <c r="AF3442" i="7" s="1"/>
  <c r="AA3232" i="7"/>
  <c r="AA3394" i="7"/>
  <c r="AE2941" i="7"/>
  <c r="AF2941" i="7" s="1"/>
  <c r="AA2198" i="7"/>
  <c r="AC2427" i="7"/>
  <c r="AM3418" i="7"/>
  <c r="AA2869" i="7"/>
  <c r="AH2267" i="7"/>
  <c r="AM2290" i="7"/>
  <c r="AM2261" i="7"/>
  <c r="AA2989" i="7"/>
  <c r="AM3862" i="7"/>
  <c r="AH3713" i="7"/>
  <c r="AC2643" i="7"/>
  <c r="AM3283" i="7"/>
  <c r="AC2833" i="7"/>
  <c r="AC2069" i="7"/>
  <c r="AH1979" i="7"/>
  <c r="AH1626" i="7"/>
  <c r="AA3442" i="7"/>
  <c r="AE2238" i="7"/>
  <c r="AF2238" i="7" s="1"/>
  <c r="AH2992" i="7"/>
  <c r="AE2920" i="7"/>
  <c r="AF2920" i="7" s="1"/>
  <c r="AC2984" i="7"/>
  <c r="AE3232" i="7"/>
  <c r="AF3232" i="7" s="1"/>
  <c r="AC2238" i="7"/>
  <c r="AH2662" i="7"/>
  <c r="AH2984" i="7"/>
  <c r="AA2052" i="7"/>
  <c r="AC3232" i="7"/>
  <c r="AH3442" i="7"/>
  <c r="AC2176" i="7"/>
  <c r="AM2253" i="7"/>
  <c r="AC2941" i="7"/>
  <c r="AE3418" i="7"/>
  <c r="AF3418" i="7" s="1"/>
  <c r="AH2427" i="7"/>
  <c r="AC3713" i="7"/>
  <c r="AA2290" i="7"/>
  <c r="AC3143" i="7"/>
  <c r="AA2261" i="7"/>
  <c r="AH893" i="7"/>
  <c r="AE3713" i="7"/>
  <c r="AF3713" i="7" s="1"/>
  <c r="AC3514" i="7"/>
  <c r="AE1892" i="7"/>
  <c r="AF1892" i="7" s="1"/>
  <c r="AE2069" i="7"/>
  <c r="AF2069" i="7" s="1"/>
  <c r="AC2843" i="7"/>
  <c r="AH2604" i="7"/>
  <c r="AM3505" i="7"/>
  <c r="AM2843" i="7"/>
  <c r="AA2984" i="7"/>
  <c r="AH2920" i="7"/>
  <c r="AM2052" i="7"/>
  <c r="AH3232" i="7"/>
  <c r="AM2176" i="7"/>
  <c r="AA2253" i="7"/>
  <c r="AE2253" i="7"/>
  <c r="AF2253" i="7" s="1"/>
  <c r="AC2928" i="7"/>
  <c r="AH2941" i="7"/>
  <c r="AM3417" i="7"/>
  <c r="AM3409" i="7"/>
  <c r="AM621" i="7"/>
  <c r="AA2277" i="7"/>
  <c r="AM3204" i="7"/>
  <c r="AH3307" i="7"/>
  <c r="AH3311" i="7"/>
  <c r="AM3348" i="7"/>
  <c r="AH3360" i="7"/>
  <c r="AM3374" i="7"/>
  <c r="AH3485" i="7"/>
  <c r="AM3554" i="7"/>
  <c r="AH3591" i="7"/>
  <c r="AM3674" i="7"/>
  <c r="AM3693" i="7"/>
  <c r="AM3752" i="7"/>
  <c r="AM3829" i="7"/>
  <c r="AM3795" i="7"/>
  <c r="AH3840" i="7"/>
  <c r="AM4038" i="7"/>
  <c r="AH4040" i="7"/>
  <c r="AH4042" i="7"/>
  <c r="AM4048" i="7"/>
  <c r="AH4050" i="7"/>
  <c r="AH4054" i="7"/>
  <c r="AH4056" i="7"/>
  <c r="AM4058" i="7"/>
  <c r="AH4060" i="7"/>
  <c r="AM4062" i="7"/>
  <c r="AM4064" i="7"/>
  <c r="AM4066" i="7"/>
  <c r="AM1550" i="7"/>
  <c r="AH1568" i="7"/>
  <c r="AM1578" i="7"/>
  <c r="AH1624" i="7"/>
  <c r="AH1631" i="7"/>
  <c r="AM1681" i="7"/>
  <c r="AM1738" i="7"/>
  <c r="AM1742" i="7"/>
  <c r="AM1744" i="7"/>
  <c r="AH1784" i="7"/>
  <c r="AH1842" i="7"/>
  <c r="AH1866" i="7"/>
  <c r="AM1868" i="7"/>
  <c r="AH1874" i="7"/>
  <c r="AH1892" i="7"/>
  <c r="AM1900" i="7"/>
  <c r="AM1981" i="7"/>
  <c r="AH1983" i="7"/>
  <c r="AM1991" i="7"/>
  <c r="AM2011" i="7"/>
  <c r="AH2013" i="7"/>
  <c r="AH2027" i="7"/>
  <c r="AM2029" i="7"/>
  <c r="AH2043" i="7"/>
  <c r="AH2216" i="7"/>
  <c r="AH2232" i="7"/>
  <c r="AH2307" i="7"/>
  <c r="AM2317" i="7"/>
  <c r="AM2343" i="7"/>
  <c r="AH2345" i="7"/>
  <c r="AM2347" i="7"/>
  <c r="AH2351" i="7"/>
  <c r="AM2353" i="7"/>
  <c r="AH2357" i="7"/>
  <c r="AH2361" i="7"/>
  <c r="AM2365" i="7"/>
  <c r="AM2367" i="7"/>
  <c r="AM2369" i="7"/>
  <c r="AM2371" i="7"/>
  <c r="AM2457" i="7"/>
  <c r="AM2459" i="7"/>
  <c r="AH2461" i="7"/>
  <c r="AM2463" i="7"/>
  <c r="AM2465" i="7"/>
  <c r="AM2479" i="7"/>
  <c r="AM2481" i="7"/>
  <c r="AH2485" i="7"/>
  <c r="AM2495" i="7"/>
  <c r="AH2537" i="7"/>
  <c r="AM2587" i="7"/>
  <c r="AH2589" i="7"/>
  <c r="AM2593" i="7"/>
  <c r="AM2601" i="7"/>
  <c r="AH2630" i="7"/>
  <c r="AH2646" i="7"/>
  <c r="AH2697" i="7"/>
  <c r="AH2717" i="7"/>
  <c r="AM2719" i="7"/>
  <c r="AM2721" i="7"/>
  <c r="AH2743" i="7"/>
  <c r="AM2814" i="7"/>
  <c r="AH2946" i="7"/>
  <c r="AM2948" i="7"/>
  <c r="AM3006" i="7"/>
  <c r="AM3014" i="7"/>
  <c r="AM3016" i="7"/>
  <c r="AH3124" i="7"/>
  <c r="AM3138" i="7"/>
  <c r="AM2144" i="7"/>
  <c r="AM2199" i="7"/>
  <c r="AM2561" i="7"/>
  <c r="AH2870" i="7"/>
  <c r="AA3460" i="7"/>
  <c r="AM3460" i="7"/>
  <c r="AM4070" i="7"/>
  <c r="AH4070" i="7"/>
  <c r="AM3485" i="7"/>
  <c r="AM3840" i="7"/>
  <c r="AC3912" i="7"/>
  <c r="AM2568" i="7"/>
  <c r="AH2568" i="7"/>
  <c r="AA2568" i="7"/>
  <c r="AC3375" i="7"/>
  <c r="AA3375" i="7"/>
  <c r="AE3375" i="7"/>
  <c r="AF3375" i="7" s="1"/>
  <c r="AH3489" i="7"/>
  <c r="AM3489" i="7"/>
  <c r="AH732" i="7"/>
  <c r="AM732" i="7"/>
  <c r="AH1552" i="7"/>
  <c r="AM1552" i="7"/>
  <c r="AM1679" i="7"/>
  <c r="AH1679" i="7"/>
  <c r="AH1910" i="7"/>
  <c r="AM1910" i="7"/>
  <c r="AC2019" i="7"/>
  <c r="AH2019" i="7"/>
  <c r="AE2516" i="7"/>
  <c r="AF2516" i="7" s="1"/>
  <c r="AM2516" i="7"/>
  <c r="AA2516" i="7"/>
  <c r="AE2533" i="7"/>
  <c r="AF2533" i="7" s="1"/>
  <c r="AA2533" i="7"/>
  <c r="AM2533" i="7"/>
  <c r="AM2622" i="7"/>
  <c r="AE2622" i="7"/>
  <c r="AF2622" i="7" s="1"/>
  <c r="AC2622" i="7"/>
  <c r="AA2622" i="7"/>
  <c r="AC2636" i="7"/>
  <c r="AE2636" i="7"/>
  <c r="AF2636" i="7" s="1"/>
  <c r="AA2636" i="7"/>
  <c r="AH2636" i="7"/>
  <c r="AE2644" i="7"/>
  <c r="AF2644" i="7" s="1"/>
  <c r="AM2644" i="7"/>
  <c r="AA2644" i="7"/>
  <c r="AM2650" i="7"/>
  <c r="AH2650" i="7"/>
  <c r="AE2650" i="7"/>
  <c r="AF2650" i="7" s="1"/>
  <c r="AA2709" i="7"/>
  <c r="AE2709" i="7"/>
  <c r="AF2709" i="7" s="1"/>
  <c r="AC2709" i="7"/>
  <c r="AC2787" i="7"/>
  <c r="AM2787" i="7"/>
  <c r="AH2787" i="7"/>
  <c r="AE2787" i="7"/>
  <c r="AF2787" i="7" s="1"/>
  <c r="AM3000" i="7"/>
  <c r="AE3000" i="7"/>
  <c r="AF3000" i="7" s="1"/>
  <c r="AA3055" i="7"/>
  <c r="AM3055" i="7"/>
  <c r="AC3055" i="7"/>
  <c r="AH3057" i="7"/>
  <c r="AC3057" i="7"/>
  <c r="AE3057" i="7"/>
  <c r="AF3057" i="7" s="1"/>
  <c r="AA3057" i="7"/>
  <c r="AM3057" i="7"/>
  <c r="AE3118" i="7"/>
  <c r="AF3118" i="7" s="1"/>
  <c r="AA3118" i="7"/>
  <c r="AC3120" i="7"/>
  <c r="AA3120" i="7"/>
  <c r="AC3126" i="7"/>
  <c r="AH3126" i="7"/>
  <c r="AM3311" i="7"/>
  <c r="AE2841" i="7"/>
  <c r="AF2841" i="7" s="1"/>
  <c r="AM4054" i="7"/>
  <c r="AC3720" i="7"/>
  <c r="AH4064" i="7"/>
  <c r="AM3384" i="7"/>
  <c r="AH3399" i="7"/>
  <c r="AH2459" i="7"/>
  <c r="AH2463" i="7"/>
  <c r="AM1876" i="7"/>
  <c r="AH1738" i="7"/>
  <c r="AA3265" i="7"/>
  <c r="AE3265" i="7"/>
  <c r="AF3265" i="7" s="1"/>
  <c r="AC3072" i="7"/>
  <c r="AE3072" i="7"/>
  <c r="AF3072" i="7" s="1"/>
  <c r="AA2130" i="7"/>
  <c r="AE2130" i="7"/>
  <c r="AF2130" i="7" s="1"/>
  <c r="AA2570" i="7"/>
  <c r="AC2570" i="7"/>
  <c r="AM1807" i="7"/>
  <c r="AH1807" i="7"/>
  <c r="AA1807" i="7"/>
  <c r="AA2021" i="7"/>
  <c r="AH2021" i="7"/>
  <c r="AE3571" i="7"/>
  <c r="AF3571" i="7" s="1"/>
  <c r="AM3571" i="7"/>
  <c r="AE3653" i="7"/>
  <c r="AF3653" i="7" s="1"/>
  <c r="AC3653" i="7"/>
  <c r="AC1973" i="7"/>
  <c r="AA1973" i="7"/>
  <c r="AH1973" i="7"/>
  <c r="AM1973" i="7"/>
  <c r="AH1690" i="7"/>
  <c r="AM1690" i="7"/>
  <c r="AC3529" i="7"/>
  <c r="AH3529" i="7"/>
  <c r="AE3529" i="7"/>
  <c r="AF3529" i="7" s="1"/>
  <c r="AE2286" i="7"/>
  <c r="AF2286" i="7" s="1"/>
  <c r="AA2286" i="7"/>
  <c r="AC2286" i="7"/>
  <c r="AM2286" i="7"/>
  <c r="AH998" i="7"/>
  <c r="AM998" i="7"/>
  <c r="AM3252" i="7"/>
  <c r="AA3252" i="7"/>
  <c r="AH3252" i="7"/>
  <c r="AE3252" i="7"/>
  <c r="AF3252" i="7" s="1"/>
  <c r="AA2806" i="7"/>
  <c r="AH2806" i="7"/>
  <c r="AM2806" i="7"/>
  <c r="AC2806" i="7"/>
  <c r="AE2648" i="7"/>
  <c r="AF2648" i="7" s="1"/>
  <c r="AA2648" i="7"/>
  <c r="AH2648" i="7"/>
  <c r="AC2648" i="7"/>
  <c r="AM3509" i="7"/>
  <c r="AA3509" i="7"/>
  <c r="AA2425" i="7"/>
  <c r="AC2425" i="7"/>
  <c r="AM2425" i="7"/>
  <c r="AM3216" i="7"/>
  <c r="AE3216" i="7"/>
  <c r="AF3216" i="7" s="1"/>
  <c r="AM2889" i="7"/>
  <c r="AH2889" i="7"/>
  <c r="AA2889" i="7"/>
  <c r="AE2889" i="7"/>
  <c r="AF2889" i="7" s="1"/>
  <c r="AH136" i="7"/>
  <c r="AH142" i="7"/>
  <c r="AC142" i="7"/>
  <c r="AA146" i="7"/>
  <c r="AH146" i="7"/>
  <c r="AH150" i="7"/>
  <c r="AH152" i="7"/>
  <c r="AH160" i="7"/>
  <c r="AH263" i="7"/>
  <c r="AH539" i="7"/>
  <c r="AH627" i="7"/>
  <c r="AH670" i="7"/>
  <c r="AH674" i="7"/>
  <c r="AH683" i="7"/>
  <c r="AH697" i="7"/>
  <c r="AM4036" i="7"/>
  <c r="AH4036" i="7"/>
  <c r="AM4046" i="7"/>
  <c r="AH4046" i="7"/>
  <c r="AH3752" i="7"/>
  <c r="AM4050" i="7"/>
  <c r="AH4038" i="7"/>
  <c r="AM4040" i="7"/>
  <c r="AM2915" i="7"/>
  <c r="AC2915" i="7"/>
  <c r="AC2048" i="7"/>
  <c r="AM2048" i="7"/>
  <c r="AE2048" i="7"/>
  <c r="AF2048" i="7" s="1"/>
  <c r="AM1420" i="7"/>
  <c r="AA1420" i="7"/>
  <c r="AA2150" i="7"/>
  <c r="AC2150" i="7"/>
  <c r="AM2150" i="7"/>
  <c r="AC3674" i="7"/>
  <c r="AH3674" i="7"/>
  <c r="AC3180" i="7"/>
  <c r="AM3180" i="7"/>
  <c r="AA3180" i="7"/>
  <c r="AM2168" i="7"/>
  <c r="AC2168" i="7"/>
  <c r="AA2168" i="7"/>
  <c r="AE2168" i="7"/>
  <c r="AF2168" i="7" s="1"/>
  <c r="AM3539" i="7"/>
  <c r="AH3539" i="7"/>
  <c r="AC3539" i="7"/>
  <c r="AM3621" i="7"/>
  <c r="AC3621" i="7"/>
  <c r="AA3621" i="7"/>
  <c r="AH3621" i="7"/>
  <c r="AM2810" i="7"/>
  <c r="AA2810" i="7"/>
  <c r="AC2810" i="7"/>
  <c r="AE2810" i="7"/>
  <c r="AF2810" i="7" s="1"/>
  <c r="AE3091" i="7"/>
  <c r="AF3091" i="7" s="1"/>
  <c r="AM3091" i="7"/>
  <c r="AC13" i="7"/>
  <c r="AA13" i="7"/>
  <c r="AC83" i="7"/>
  <c r="AA83" i="7"/>
  <c r="AM421" i="7"/>
  <c r="AH421" i="7"/>
  <c r="AM603" i="7"/>
  <c r="AH603" i="7"/>
  <c r="AM625" i="7"/>
  <c r="AH625" i="7"/>
  <c r="AC2905" i="7"/>
  <c r="AE2322" i="7"/>
  <c r="AF2322" i="7" s="1"/>
  <c r="AH2048" i="7"/>
  <c r="AA2058" i="7"/>
  <c r="AM1608" i="7"/>
  <c r="AC3236" i="7"/>
  <c r="AA2915" i="7"/>
  <c r="AH3345" i="7"/>
  <c r="AE3345" i="7"/>
  <c r="AF3345" i="7" s="1"/>
  <c r="AA3306" i="7"/>
  <c r="AH3912" i="7"/>
  <c r="AM4056" i="7"/>
  <c r="AA2646" i="7"/>
  <c r="AE3311" i="7"/>
  <c r="AF3311" i="7" s="1"/>
  <c r="AC3311" i="7"/>
  <c r="AA3311" i="7"/>
  <c r="AH2756" i="7"/>
  <c r="AA2756" i="7"/>
  <c r="AE2756" i="7"/>
  <c r="AF2756" i="7" s="1"/>
  <c r="AM2756" i="7"/>
  <c r="AC2756" i="7"/>
  <c r="AM2896" i="7"/>
  <c r="AH2896" i="7"/>
  <c r="AE2896" i="7"/>
  <c r="AF2896" i="7" s="1"/>
  <c r="AC2896" i="7"/>
  <c r="AE2262" i="7"/>
  <c r="AF2262" i="7" s="1"/>
  <c r="AA2262" i="7"/>
  <c r="AC2262" i="7"/>
  <c r="AA3112" i="7"/>
  <c r="AC3112" i="7"/>
  <c r="AH3112" i="7"/>
  <c r="AM3112" i="7"/>
  <c r="AM607" i="7"/>
  <c r="AH607" i="7"/>
  <c r="AH1061" i="7"/>
  <c r="AM1061" i="7"/>
  <c r="AH3507" i="7"/>
  <c r="AM3507" i="7"/>
  <c r="AC3507" i="7"/>
  <c r="AA3297" i="7"/>
  <c r="AM3297" i="7"/>
  <c r="AE3297" i="7"/>
  <c r="AF3297" i="7" s="1"/>
  <c r="AH3297" i="7"/>
  <c r="AC3297" i="7"/>
  <c r="AH605" i="7"/>
  <c r="AA3693" i="7"/>
  <c r="AH3693" i="7"/>
  <c r="AH3841" i="7"/>
  <c r="AM3841" i="7"/>
  <c r="AH4044" i="7"/>
  <c r="AM4044" i="7"/>
  <c r="AM969" i="7"/>
  <c r="AC969" i="7"/>
  <c r="AH2841" i="7"/>
  <c r="AH3786" i="7"/>
  <c r="AA2747" i="7"/>
  <c r="AM2743" i="7"/>
  <c r="AC2646" i="7"/>
  <c r="AM2485" i="7"/>
  <c r="AH2479" i="7"/>
  <c r="AC3410" i="7"/>
  <c r="AM2711" i="7"/>
  <c r="AH2533" i="7"/>
  <c r="AH3801" i="7"/>
  <c r="AE3801" i="7"/>
  <c r="AF3801" i="7" s="1"/>
  <c r="AE3390" i="7"/>
  <c r="AF3390" i="7" s="1"/>
  <c r="AH3390" i="7"/>
  <c r="AA3390" i="7"/>
  <c r="AM3390" i="7"/>
  <c r="AE3678" i="7"/>
  <c r="AF3678" i="7" s="1"/>
  <c r="AE2568" i="7"/>
  <c r="AF2568" i="7" s="1"/>
  <c r="AH3136" i="7"/>
  <c r="AC1875" i="7"/>
  <c r="AA3046" i="7"/>
  <c r="AM3583" i="7"/>
  <c r="AH3348" i="7"/>
  <c r="AH1420" i="7"/>
  <c r="AC3348" i="7"/>
  <c r="AM1898" i="7"/>
  <c r="AA3583" i="7"/>
  <c r="AC1898" i="7"/>
  <c r="AM3446" i="7"/>
  <c r="AH2915" i="7"/>
  <c r="AM3400" i="7"/>
  <c r="AM3592" i="7"/>
  <c r="AE2570" i="7"/>
  <c r="AF2570" i="7" s="1"/>
  <c r="AH4058" i="7"/>
  <c r="AM3703" i="7"/>
  <c r="AC2747" i="7"/>
  <c r="AH2622" i="7"/>
  <c r="AE2646" i="7"/>
  <c r="AF2646" i="7" s="1"/>
  <c r="AM3410" i="7"/>
  <c r="AC3368" i="7"/>
  <c r="AE3368" i="7"/>
  <c r="AF3368" i="7" s="1"/>
  <c r="AM3477" i="7"/>
  <c r="AH3477" i="7"/>
  <c r="AE3477" i="7"/>
  <c r="AF3477" i="7" s="1"/>
  <c r="AE3720" i="7"/>
  <c r="AF3720" i="7" s="1"/>
  <c r="AH3720" i="7"/>
  <c r="AM3720" i="7"/>
  <c r="AE3136" i="7"/>
  <c r="AF3136" i="7" s="1"/>
  <c r="AC3046" i="7"/>
  <c r="AC3583" i="7"/>
  <c r="AM2322" i="7"/>
  <c r="AA3348" i="7"/>
  <c r="AE1898" i="7"/>
  <c r="AF1898" i="7" s="1"/>
  <c r="AH2206" i="7"/>
  <c r="AE2915" i="7"/>
  <c r="AF2915" i="7" s="1"/>
  <c r="AH3180" i="7"/>
  <c r="AM4042" i="7"/>
  <c r="AH3703" i="7"/>
  <c r="AC3477" i="7"/>
  <c r="AH3190" i="7"/>
  <c r="AM2747" i="7"/>
  <c r="AH3410" i="7"/>
  <c r="AE3395" i="7"/>
  <c r="AF3395" i="7" s="1"/>
  <c r="AA3395" i="7"/>
  <c r="AA2456" i="7"/>
  <c r="AE2456" i="7"/>
  <c r="AF2456" i="7" s="1"/>
  <c r="AC2456" i="7"/>
  <c r="AM2456" i="7"/>
  <c r="AA3145" i="7"/>
  <c r="AM3145" i="7"/>
  <c r="AH3200" i="7"/>
  <c r="AA3200" i="7"/>
  <c r="AM2452" i="7"/>
  <c r="AH2452" i="7"/>
  <c r="AE3517" i="7"/>
  <c r="AF3517" i="7" s="1"/>
  <c r="AA3517" i="7"/>
  <c r="AM3517" i="7"/>
  <c r="AH1930" i="7"/>
  <c r="AA1966" i="7"/>
  <c r="AM1966" i="7"/>
  <c r="AE1966" i="7"/>
  <c r="AF1966" i="7" s="1"/>
  <c r="AC1966" i="7"/>
  <c r="AC3284" i="7"/>
  <c r="AA3284" i="7"/>
  <c r="AM3284" i="7"/>
  <c r="AH3284" i="7"/>
  <c r="AA3136" i="7"/>
  <c r="AA1875" i="7"/>
  <c r="AE2137" i="7"/>
  <c r="AF2137" i="7" s="1"/>
  <c r="AM3307" i="7"/>
  <c r="AE3621" i="7"/>
  <c r="AF3621" i="7" s="1"/>
  <c r="AH2810" i="7"/>
  <c r="AH2453" i="7"/>
  <c r="AM3653" i="7"/>
  <c r="AE3180" i="7"/>
  <c r="AF3180" i="7" s="1"/>
  <c r="AH4066" i="7"/>
  <c r="AH4062" i="7"/>
  <c r="AC3703" i="7"/>
  <c r="AE3284" i="7"/>
  <c r="AF3284" i="7" s="1"/>
  <c r="AC2533" i="7"/>
  <c r="AM2717" i="7"/>
  <c r="AM2636" i="7"/>
  <c r="AH478" i="7"/>
  <c r="AM3376" i="7"/>
  <c r="AH3376" i="7"/>
  <c r="AM4052" i="7"/>
  <c r="AH4052" i="7"/>
  <c r="AH4068" i="7"/>
  <c r="AM4068" i="7"/>
  <c r="AE3046" i="7"/>
  <c r="AF3046" i="7" s="1"/>
  <c r="AE2871" i="7"/>
  <c r="AF2871" i="7" s="1"/>
  <c r="AC3136" i="7"/>
  <c r="AC3265" i="7"/>
  <c r="AA2137" i="7"/>
  <c r="AM2137" i="7"/>
  <c r="AM3389" i="7"/>
  <c r="AH2570" i="7"/>
  <c r="AM3375" i="7"/>
  <c r="AA2410" i="7"/>
  <c r="AH4048" i="7"/>
  <c r="AH3795" i="7"/>
  <c r="AE3703" i="7"/>
  <c r="AF3703" i="7" s="1"/>
  <c r="AM2646" i="7"/>
  <c r="AC2516" i="7"/>
  <c r="AM4060" i="7"/>
  <c r="AH3554" i="7"/>
  <c r="AH2137" i="7"/>
  <c r="AA3389" i="7"/>
  <c r="AH1952" i="7"/>
  <c r="AH3583" i="7"/>
  <c r="AM2570" i="7"/>
  <c r="AM2794" i="7"/>
  <c r="AH3829" i="7"/>
  <c r="AE3410" i="7"/>
  <c r="AF3410" i="7" s="1"/>
  <c r="AH3225" i="7"/>
  <c r="AH3188" i="7"/>
  <c r="AE2711" i="7"/>
  <c r="AF2711" i="7" s="1"/>
  <c r="AH2711" i="7"/>
  <c r="AM2709" i="7"/>
  <c r="AH2516" i="7"/>
  <c r="AA3221" i="7"/>
  <c r="AH3221" i="7"/>
  <c r="AE3221" i="7"/>
  <c r="AF3221" i="7" s="1"/>
  <c r="AC3221" i="7"/>
  <c r="AM3221" i="7"/>
  <c r="AM3475" i="7"/>
  <c r="AH3475" i="7"/>
  <c r="AE3518" i="7"/>
  <c r="AF3518" i="7" s="1"/>
  <c r="AM3518" i="7"/>
  <c r="AA3518" i="7"/>
  <c r="AM3046" i="7"/>
  <c r="AC2871" i="7"/>
  <c r="AA2841" i="7"/>
  <c r="AE3389" i="7"/>
  <c r="AF3389" i="7" s="1"/>
  <c r="AM1952" i="7"/>
  <c r="AA2206" i="7"/>
  <c r="AE2294" i="7"/>
  <c r="AF2294" i="7" s="1"/>
  <c r="AA3489" i="7"/>
  <c r="AM3912" i="7"/>
  <c r="AH3186" i="7"/>
  <c r="AH2814" i="7"/>
  <c r="AH2587" i="7"/>
  <c r="AH2601" i="7"/>
  <c r="AC3460" i="7"/>
  <c r="AA2711" i="7"/>
  <c r="AM938" i="7"/>
  <c r="AM2566" i="7"/>
  <c r="AH891" i="7"/>
  <c r="AM3487" i="7"/>
  <c r="AH3204" i="7"/>
  <c r="AH776" i="7"/>
  <c r="AH789" i="7"/>
  <c r="AH803" i="7"/>
  <c r="AH805" i="7"/>
  <c r="AH827" i="7"/>
  <c r="AH857" i="7"/>
  <c r="AM859" i="7"/>
  <c r="AH863" i="7"/>
  <c r="AH865" i="7"/>
  <c r="AH1195" i="7"/>
  <c r="AH1295" i="7"/>
  <c r="AH1301" i="7"/>
  <c r="AH1341" i="7"/>
  <c r="AH1628" i="7"/>
  <c r="AH1799" i="7"/>
  <c r="AM3615" i="7"/>
  <c r="AC860" i="7"/>
  <c r="AM3134" i="7"/>
  <c r="AM2985" i="7"/>
  <c r="AM3591" i="7"/>
  <c r="AM3567" i="7"/>
  <c r="AC3567" i="7"/>
  <c r="AE3567" i="7"/>
  <c r="AF3567" i="7" s="1"/>
  <c r="AM924" i="7"/>
  <c r="AH924" i="7"/>
  <c r="AA1262" i="7"/>
  <c r="AC1262" i="7"/>
  <c r="AA3678" i="7"/>
  <c r="AM2453" i="7"/>
  <c r="AH1184" i="7"/>
  <c r="AH2011" i="7"/>
  <c r="AA1708" i="7"/>
  <c r="AE3093" i="7"/>
  <c r="AF3093" i="7" s="1"/>
  <c r="AM3093" i="7"/>
  <c r="AH2674" i="7"/>
  <c r="AC2674" i="7"/>
  <c r="AE2674" i="7"/>
  <c r="AF2674" i="7" s="1"/>
  <c r="AA1326" i="7"/>
  <c r="AC1326" i="7"/>
  <c r="AH1578" i="7"/>
  <c r="AA2879" i="7"/>
  <c r="AM2879" i="7"/>
  <c r="AH1856" i="7"/>
  <c r="AC1856" i="7"/>
  <c r="AA1856" i="7"/>
  <c r="AH1894" i="7"/>
  <c r="AC1894" i="7"/>
  <c r="AE2243" i="7"/>
  <c r="AF2243" i="7" s="1"/>
  <c r="AM2243" i="7"/>
  <c r="AC2285" i="7"/>
  <c r="AM2285" i="7"/>
  <c r="AE2285" i="7"/>
  <c r="AF2285" i="7" s="1"/>
  <c r="AA2285" i="7"/>
  <c r="AC3678" i="7"/>
  <c r="AM2871" i="7"/>
  <c r="AA2864" i="7"/>
  <c r="AA3197" i="7"/>
  <c r="AA1880" i="7"/>
  <c r="AM2043" i="7"/>
  <c r="AH1681" i="7"/>
  <c r="AH1208" i="7"/>
  <c r="AC2232" i="7"/>
  <c r="AM1558" i="7"/>
  <c r="AH1558" i="7"/>
  <c r="AH1884" i="7"/>
  <c r="AM1884" i="7"/>
  <c r="AA1904" i="7"/>
  <c r="AE1904" i="7"/>
  <c r="AF1904" i="7" s="1"/>
  <c r="AH2871" i="7"/>
  <c r="AC2864" i="7"/>
  <c r="AC3197" i="7"/>
  <c r="AA3513" i="7"/>
  <c r="AC2624" i="7"/>
  <c r="AH2369" i="7"/>
  <c r="AH2365" i="7"/>
  <c r="AH2271" i="7"/>
  <c r="AE3374" i="7"/>
  <c r="AF3374" i="7" s="1"/>
  <c r="AA3374" i="7"/>
  <c r="AC3465" i="7"/>
  <c r="AM3465" i="7"/>
  <c r="AA2418" i="7"/>
  <c r="AE2418" i="7"/>
  <c r="AF2418" i="7" s="1"/>
  <c r="AA2125" i="7"/>
  <c r="AC2125" i="7"/>
  <c r="AA296" i="7"/>
  <c r="AC296" i="7"/>
  <c r="AA1228" i="7"/>
  <c r="AC1228" i="7"/>
  <c r="AM1402" i="7"/>
  <c r="AH1402" i="7"/>
  <c r="AH1774" i="7"/>
  <c r="AM1774" i="7"/>
  <c r="AH1886" i="7"/>
  <c r="AM1886" i="7"/>
  <c r="AE2129" i="7"/>
  <c r="AF2129" i="7" s="1"/>
  <c r="AC2129" i="7"/>
  <c r="AE2864" i="7"/>
  <c r="AF2864" i="7" s="1"/>
  <c r="AC3356" i="7"/>
  <c r="AE3197" i="7"/>
  <c r="AF3197" i="7" s="1"/>
  <c r="AE3513" i="7"/>
  <c r="AF3513" i="7" s="1"/>
  <c r="AC3513" i="7"/>
  <c r="AA2365" i="7"/>
  <c r="AH2091" i="7"/>
  <c r="AH2317" i="7"/>
  <c r="AM2027" i="7"/>
  <c r="AM1856" i="7"/>
  <c r="AA1894" i="7"/>
  <c r="AM1548" i="7"/>
  <c r="AM3235" i="7"/>
  <c r="AC3235" i="7"/>
  <c r="AA3235" i="7"/>
  <c r="AH1111" i="7"/>
  <c r="AA458" i="7"/>
  <c r="AH458" i="7"/>
  <c r="AH1075" i="7"/>
  <c r="AM1075" i="7"/>
  <c r="AH1113" i="7"/>
  <c r="AM1113" i="7"/>
  <c r="AM1224" i="7"/>
  <c r="AH1224" i="7"/>
  <c r="AH1442" i="7"/>
  <c r="AM1442" i="7"/>
  <c r="AM1468" i="7"/>
  <c r="AH1468" i="7"/>
  <c r="AH1564" i="7"/>
  <c r="AM1564" i="7"/>
  <c r="AC1622" i="7"/>
  <c r="AM1622" i="7"/>
  <c r="AH1622" i="7"/>
  <c r="AH2228" i="7"/>
  <c r="AM2228" i="7"/>
  <c r="AH3678" i="7"/>
  <c r="AM3197" i="7"/>
  <c r="AC2365" i="7"/>
  <c r="AH1470" i="7"/>
  <c r="AM1101" i="7"/>
  <c r="AM1708" i="7"/>
  <c r="AH1406" i="7"/>
  <c r="AH1550" i="7"/>
  <c r="AC2558" i="7"/>
  <c r="AA2558" i="7"/>
  <c r="AM3547" i="7"/>
  <c r="AA3547" i="7"/>
  <c r="AM1655" i="7"/>
  <c r="AH1655" i="7"/>
  <c r="AC3479" i="7"/>
  <c r="AE3479" i="7"/>
  <c r="AF3479" i="7" s="1"/>
  <c r="AA3479" i="7"/>
  <c r="AA2488" i="7"/>
  <c r="AM2488" i="7"/>
  <c r="AE2488" i="7"/>
  <c r="AF2488" i="7" s="1"/>
  <c r="AE2193" i="7"/>
  <c r="AF2193" i="7" s="1"/>
  <c r="AH2193" i="7"/>
  <c r="AH2663" i="7"/>
  <c r="AC2663" i="7"/>
  <c r="AH1780" i="7"/>
  <c r="AM1780" i="7"/>
  <c r="AM2214" i="7"/>
  <c r="AC2214" i="7"/>
  <c r="AH2129" i="7"/>
  <c r="AE2365" i="7"/>
  <c r="AF2365" i="7" s="1"/>
  <c r="AH2243" i="7"/>
  <c r="AM2357" i="7"/>
  <c r="AM1866" i="7"/>
  <c r="AC1904" i="7"/>
  <c r="AM1083" i="7"/>
  <c r="AC3283" i="7"/>
  <c r="AA3283" i="7"/>
  <c r="AE2833" i="7"/>
  <c r="AF2833" i="7" s="1"/>
  <c r="AA2833" i="7"/>
  <c r="AM2833" i="7"/>
  <c r="AA629" i="7"/>
  <c r="AC629" i="7"/>
  <c r="AA1416" i="7"/>
  <c r="AC1416" i="7"/>
  <c r="AM2212" i="7"/>
  <c r="AH2212" i="7"/>
  <c r="AE2212" i="7"/>
  <c r="AF2212" i="7" s="1"/>
  <c r="AM1560" i="7"/>
  <c r="AH1560" i="7"/>
  <c r="AM1586" i="7"/>
  <c r="AH1586" i="7"/>
  <c r="AM1673" i="7"/>
  <c r="AH1673" i="7"/>
  <c r="AC2047" i="7"/>
  <c r="AH2047" i="7"/>
  <c r="AE2047" i="7"/>
  <c r="AF2047" i="7" s="1"/>
  <c r="AA2047" i="7"/>
  <c r="AM2771" i="7"/>
  <c r="AM2361" i="7"/>
  <c r="AC2029" i="7"/>
  <c r="AH1900" i="7"/>
  <c r="AH2222" i="7"/>
  <c r="AM1452" i="7"/>
  <c r="AM1109" i="7"/>
  <c r="AC3523" i="7"/>
  <c r="AH3523" i="7"/>
  <c r="AE3523" i="7"/>
  <c r="AF3523" i="7" s="1"/>
  <c r="AA3493" i="7"/>
  <c r="AM3493" i="7"/>
  <c r="AE2921" i="7"/>
  <c r="AF2921" i="7" s="1"/>
  <c r="AC2921" i="7"/>
  <c r="AM2921" i="7"/>
  <c r="AH2921" i="7"/>
  <c r="AM1675" i="7"/>
  <c r="AH1675" i="7"/>
  <c r="AM1928" i="7"/>
  <c r="AH1928" i="7"/>
  <c r="AE2089" i="7"/>
  <c r="AF2089" i="7" s="1"/>
  <c r="AH2089" i="7"/>
  <c r="AC2089" i="7"/>
  <c r="AM2089" i="7"/>
  <c r="AA2273" i="7"/>
  <c r="AM2273" i="7"/>
  <c r="AA1685" i="7"/>
  <c r="AE3555" i="7"/>
  <c r="AF3555" i="7" s="1"/>
  <c r="AE2771" i="7"/>
  <c r="AF2771" i="7" s="1"/>
  <c r="AH3567" i="7"/>
  <c r="AC2771" i="7"/>
  <c r="AC2222" i="7"/>
  <c r="AH2347" i="7"/>
  <c r="AC2367" i="7"/>
  <c r="AC2273" i="7"/>
  <c r="AE2029" i="7"/>
  <c r="AF2029" i="7" s="1"/>
  <c r="AH1286" i="7"/>
  <c r="AM1103" i="7"/>
  <c r="AM1081" i="7"/>
  <c r="AM2869" i="7"/>
  <c r="AH2869" i="7"/>
  <c r="AC3504" i="7"/>
  <c r="AC2937" i="7"/>
  <c r="AA2937" i="7"/>
  <c r="AM2574" i="7"/>
  <c r="AC2574" i="7"/>
  <c r="AM1624" i="7"/>
  <c r="AC1624" i="7"/>
  <c r="AC2572" i="7"/>
  <c r="AH2572" i="7"/>
  <c r="AA2572" i="7"/>
  <c r="AM2167" i="7"/>
  <c r="AC442" i="7"/>
  <c r="AM442" i="7"/>
  <c r="AM932" i="7"/>
  <c r="AH932" i="7"/>
  <c r="AM1390" i="7"/>
  <c r="AH1390" i="7"/>
  <c r="AH1456" i="7"/>
  <c r="AM1456" i="7"/>
  <c r="AM1772" i="7"/>
  <c r="AH1772" i="7"/>
  <c r="AC1874" i="7"/>
  <c r="AA1874" i="7"/>
  <c r="AE2271" i="7"/>
  <c r="AF2271" i="7" s="1"/>
  <c r="AM2271" i="7"/>
  <c r="AC2271" i="7"/>
  <c r="AH2864" i="7"/>
  <c r="AM1685" i="7"/>
  <c r="AA2663" i="7"/>
  <c r="AH2367" i="7"/>
  <c r="AE2273" i="7"/>
  <c r="AF2273" i="7" s="1"/>
  <c r="AM1874" i="7"/>
  <c r="AM1784" i="7"/>
  <c r="AM2351" i="7"/>
  <c r="AM2232" i="7"/>
  <c r="AM1892" i="7"/>
  <c r="AE3356" i="7"/>
  <c r="AF3356" i="7" s="1"/>
  <c r="AA3356" i="7"/>
  <c r="AH3356" i="7"/>
  <c r="AA944" i="7"/>
  <c r="AH944" i="7"/>
  <c r="AM944" i="7"/>
  <c r="AM1079" i="7"/>
  <c r="AH1079" i="7"/>
  <c r="AM1206" i="7"/>
  <c r="AH1206" i="7"/>
  <c r="AM1562" i="7"/>
  <c r="AH1562" i="7"/>
  <c r="AM1588" i="7"/>
  <c r="AH1588" i="7"/>
  <c r="AM1862" i="7"/>
  <c r="AH1862" i="7"/>
  <c r="AA3555" i="7"/>
  <c r="AH1685" i="7"/>
  <c r="AE2663" i="7"/>
  <c r="AF2663" i="7" s="1"/>
  <c r="AA2367" i="7"/>
  <c r="AH2273" i="7"/>
  <c r="AH1868" i="7"/>
  <c r="AE1894" i="7"/>
  <c r="AF1894" i="7" s="1"/>
  <c r="AH1214" i="7"/>
  <c r="AM1498" i="7"/>
  <c r="AM1542" i="7"/>
  <c r="AA3422" i="7"/>
  <c r="AE3422" i="7"/>
  <c r="AF3422" i="7" s="1"/>
  <c r="AM1218" i="7"/>
  <c r="AH1218" i="7"/>
  <c r="AH1454" i="7"/>
  <c r="AM1454" i="7"/>
  <c r="AH1496" i="7"/>
  <c r="AM1496" i="7"/>
  <c r="AM1687" i="7"/>
  <c r="AH1687" i="7"/>
  <c r="AA1842" i="7"/>
  <c r="AC1842" i="7"/>
  <c r="AM1870" i="7"/>
  <c r="AH1870" i="7"/>
  <c r="AM1888" i="7"/>
  <c r="AH1888" i="7"/>
  <c r="AM3555" i="7"/>
  <c r="AA3567" i="7"/>
  <c r="AE2367" i="7"/>
  <c r="AF2367" i="7" s="1"/>
  <c r="AC1876" i="7"/>
  <c r="AM1631" i="7"/>
  <c r="AH1742" i="7"/>
  <c r="AH323" i="7"/>
  <c r="AM1073" i="7"/>
  <c r="AM1288" i="7"/>
  <c r="AM2206" i="7"/>
  <c r="AC2206" i="7"/>
  <c r="AH1708" i="7"/>
  <c r="AM3212" i="7"/>
  <c r="AE3212" i="7"/>
  <c r="AF3212" i="7" s="1"/>
  <c r="AC3212" i="7"/>
  <c r="AE2881" i="7"/>
  <c r="AF2881" i="7" s="1"/>
  <c r="AE3147" i="7"/>
  <c r="AF3147" i="7" s="1"/>
  <c r="AE3497" i="7"/>
  <c r="AF3497" i="7" s="1"/>
  <c r="AH2408" i="7"/>
  <c r="AM1782" i="7"/>
  <c r="AH1697" i="7"/>
  <c r="AH57" i="7"/>
  <c r="AM90" i="7"/>
  <c r="AM96" i="7"/>
  <c r="AM330" i="7"/>
  <c r="AH334" i="7"/>
  <c r="AM486" i="7"/>
  <c r="AH492" i="7"/>
  <c r="AH496" i="7"/>
  <c r="AM498" i="7"/>
  <c r="AH514" i="7"/>
  <c r="AH588" i="7"/>
  <c r="AM662" i="7"/>
  <c r="AH1151" i="7"/>
  <c r="AM1155" i="7"/>
  <c r="AM1173" i="7"/>
  <c r="AH1175" i="7"/>
  <c r="AM1239" i="7"/>
  <c r="AH1243" i="7"/>
  <c r="AM1346" i="7"/>
  <c r="AC2383" i="7"/>
  <c r="AC2889" i="7"/>
  <c r="AH3216" i="7"/>
  <c r="AH30" i="7"/>
  <c r="AH38" i="7"/>
  <c r="AH40" i="7"/>
  <c r="AH119" i="7"/>
  <c r="AH260" i="7"/>
  <c r="AH314" i="7"/>
  <c r="AM349" i="7"/>
  <c r="AH351" i="7"/>
  <c r="AH390" i="7"/>
  <c r="AH420" i="7"/>
  <c r="AH479" i="7"/>
  <c r="AH602" i="7"/>
  <c r="AH604" i="7"/>
  <c r="AH608" i="7"/>
  <c r="AH614" i="7"/>
  <c r="AH616" i="7"/>
  <c r="AH829" i="7"/>
  <c r="AH988" i="7"/>
  <c r="AM1014" i="7"/>
  <c r="AH1147" i="7"/>
  <c r="AH1381" i="7"/>
  <c r="AM1413" i="7"/>
  <c r="AM1504" i="7"/>
  <c r="AH2181" i="7"/>
  <c r="AH18" i="7"/>
  <c r="AM329" i="7"/>
  <c r="AM2831" i="7"/>
  <c r="AA2503" i="7"/>
  <c r="AM2269" i="7"/>
  <c r="AC2503" i="7"/>
  <c r="AE2269" i="7"/>
  <c r="AF2269" i="7" s="1"/>
  <c r="AM328" i="7"/>
  <c r="AH3285" i="7"/>
  <c r="AM3285" i="7"/>
  <c r="AH2119" i="7"/>
  <c r="AC2269" i="7"/>
  <c r="AC328" i="7"/>
  <c r="AM2598" i="7"/>
  <c r="AE2598" i="7"/>
  <c r="AF2598" i="7" s="1"/>
  <c r="AH1546" i="7"/>
  <c r="AA2269" i="7"/>
  <c r="AE2612" i="7"/>
  <c r="AF2612" i="7" s="1"/>
  <c r="AE2521" i="7"/>
  <c r="AF2521" i="7" s="1"/>
  <c r="AM2521" i="7"/>
  <c r="AC2577" i="7"/>
  <c r="AM2577" i="7"/>
  <c r="AA238" i="7"/>
  <c r="AC238" i="7"/>
  <c r="AH332" i="7"/>
  <c r="AM332" i="7"/>
  <c r="AI388" i="7"/>
  <c r="Y388" i="7"/>
  <c r="Z388" i="7" s="1"/>
  <c r="AM388" i="7" s="1"/>
  <c r="AC2612" i="7"/>
  <c r="AH2831" i="7"/>
  <c r="AC2831" i="7"/>
  <c r="AA1882" i="7"/>
  <c r="AH238" i="7"/>
  <c r="AE3619" i="7"/>
  <c r="AF3619" i="7" s="1"/>
  <c r="AH3619" i="7"/>
  <c r="AE2192" i="7"/>
  <c r="AF2192" i="7" s="1"/>
  <c r="AC2192" i="7"/>
  <c r="AH2275" i="7"/>
  <c r="AE2275" i="7"/>
  <c r="AF2275" i="7" s="1"/>
  <c r="AM2934" i="7"/>
  <c r="AH2934" i="7"/>
  <c r="AE2934" i="7"/>
  <c r="AF2934" i="7" s="1"/>
  <c r="AH2612" i="7"/>
  <c r="AM1882" i="7"/>
  <c r="AA3636" i="7"/>
  <c r="AH3636" i="7"/>
  <c r="AH3509" i="7"/>
  <c r="AE3509" i="7"/>
  <c r="AF3509" i="7" s="1"/>
  <c r="AA2612" i="7"/>
  <c r="AC354" i="7"/>
  <c r="AE2514" i="7"/>
  <c r="AF2514" i="7" s="1"/>
  <c r="AA2514" i="7"/>
  <c r="AA2417" i="7"/>
  <c r="AC2417" i="7"/>
  <c r="AE2892" i="7"/>
  <c r="AF2892" i="7" s="1"/>
  <c r="AM2892" i="7"/>
  <c r="AA3109" i="7"/>
  <c r="AC3109" i="7"/>
  <c r="AA305" i="7"/>
  <c r="AA277" i="7"/>
  <c r="AC277" i="7"/>
  <c r="AM277" i="7"/>
  <c r="Y534" i="7"/>
  <c r="Z534" i="7" s="1"/>
  <c r="AH534" i="7" s="1"/>
  <c r="AH504" i="7"/>
  <c r="AM514" i="7"/>
  <c r="AI646" i="7"/>
  <c r="Y749" i="7"/>
  <c r="Z749" i="7" s="1"/>
  <c r="AM749" i="7" s="1"/>
  <c r="Y529" i="7"/>
  <c r="Z529" i="7" s="1"/>
  <c r="AH529" i="7" s="1"/>
  <c r="AM504" i="7"/>
  <c r="Y570" i="7"/>
  <c r="Z570" i="7" s="1"/>
  <c r="AH570" i="7" s="1"/>
  <c r="Y510" i="7"/>
  <c r="Z510" i="7" s="1"/>
  <c r="AA510" i="7" s="1"/>
  <c r="AM126" i="7"/>
  <c r="AM181" i="7"/>
  <c r="AM183" i="7"/>
  <c r="AM187" i="7"/>
  <c r="AH253" i="7"/>
  <c r="AH257" i="7"/>
  <c r="AH286" i="7"/>
  <c r="AM290" i="7"/>
  <c r="AM496" i="7"/>
  <c r="AM784" i="7"/>
  <c r="Y1619" i="7"/>
  <c r="Z1619" i="7" s="1"/>
  <c r="AM1619" i="7" s="1"/>
  <c r="Y1650" i="7"/>
  <c r="Z1650" i="7" s="1"/>
  <c r="AH1650" i="7" s="1"/>
  <c r="AM1676" i="7"/>
  <c r="Y1678" i="7"/>
  <c r="Z1678" i="7" s="1"/>
  <c r="AM1678" i="7" s="1"/>
  <c r="AM1682" i="7"/>
  <c r="Y1716" i="7"/>
  <c r="Z1716" i="7" s="1"/>
  <c r="AM1716" i="7" s="1"/>
  <c r="AM1726" i="7"/>
  <c r="AM1741" i="7"/>
  <c r="Y1745" i="7"/>
  <c r="Z1745" i="7" s="1"/>
  <c r="AH1745" i="7" s="1"/>
  <c r="AM1747" i="7"/>
  <c r="Y1769" i="7"/>
  <c r="Z1769" i="7" s="1"/>
  <c r="AH1769" i="7" s="1"/>
  <c r="Y1817" i="7"/>
  <c r="Z1817" i="7" s="1"/>
  <c r="Y1819" i="7"/>
  <c r="Z1819" i="7" s="1"/>
  <c r="AM1819" i="7" s="1"/>
  <c r="Y1823" i="7"/>
  <c r="Z1823" i="7" s="1"/>
  <c r="AM1823" i="7" s="1"/>
  <c r="AM1825" i="7"/>
  <c r="Y1827" i="7"/>
  <c r="Z1827" i="7" s="1"/>
  <c r="AC1827" i="7" s="1"/>
  <c r="Y1829" i="7"/>
  <c r="Z1829" i="7" s="1"/>
  <c r="AC1829" i="7" s="1"/>
  <c r="AH1831" i="7"/>
  <c r="Y1839" i="7"/>
  <c r="Z1839" i="7" s="1"/>
  <c r="AA1839" i="7" s="1"/>
  <c r="Y1841" i="7"/>
  <c r="Z1841" i="7" s="1"/>
  <c r="AC1841" i="7" s="1"/>
  <c r="AM1843" i="7"/>
  <c r="AH1845" i="7"/>
  <c r="Y1187" i="7"/>
  <c r="Z1187" i="7" s="1"/>
  <c r="AC1187" i="7" s="1"/>
  <c r="AM1221" i="7"/>
  <c r="Y1247" i="7"/>
  <c r="Z1247" i="7" s="1"/>
  <c r="AM1247" i="7" s="1"/>
  <c r="Y1251" i="7"/>
  <c r="Z1251" i="7" s="1"/>
  <c r="AM1251" i="7" s="1"/>
  <c r="AM1257" i="7"/>
  <c r="Y1293" i="7"/>
  <c r="Z1293" i="7" s="1"/>
  <c r="AH1293" i="7" s="1"/>
  <c r="AH1303" i="7"/>
  <c r="AM1305" i="7"/>
  <c r="AH1311" i="7"/>
  <c r="AM1313" i="7"/>
  <c r="AH1321" i="7"/>
  <c r="Y1395" i="7"/>
  <c r="Z1395" i="7" s="1"/>
  <c r="AM1395" i="7" s="1"/>
  <c r="AM1405" i="7"/>
  <c r="AM1415" i="7"/>
  <c r="Y1427" i="7"/>
  <c r="Z1427" i="7" s="1"/>
  <c r="AM1427" i="7" s="1"/>
  <c r="Y1429" i="7"/>
  <c r="Z1429" i="7" s="1"/>
  <c r="AM1433" i="7"/>
  <c r="AM1435" i="7"/>
  <c r="AH1445" i="7"/>
  <c r="AM1447" i="7"/>
  <c r="Y1502" i="7"/>
  <c r="Z1502" i="7" s="1"/>
  <c r="AH1502" i="7" s="1"/>
  <c r="Y1510" i="7"/>
  <c r="Z1510" i="7" s="1"/>
  <c r="AM1510" i="7" s="1"/>
  <c r="AM1514" i="7"/>
  <c r="Y1537" i="7"/>
  <c r="Z1537" i="7" s="1"/>
  <c r="AA1537" i="7" s="1"/>
  <c r="AH1573" i="7"/>
  <c r="Y1591" i="7"/>
  <c r="Z1591" i="7" s="1"/>
  <c r="AC1591" i="7" s="1"/>
  <c r="AM40" i="7"/>
  <c r="AM155" i="7"/>
  <c r="AM602" i="7"/>
  <c r="AM608" i="7"/>
  <c r="AM614" i="7"/>
  <c r="AH878" i="7"/>
  <c r="Y890" i="7"/>
  <c r="Z890" i="7" s="1"/>
  <c r="AH890" i="7" s="1"/>
  <c r="AH980" i="7"/>
  <c r="AH982" i="7"/>
  <c r="AM8" i="7"/>
  <c r="AH16" i="7"/>
  <c r="AM22" i="7"/>
  <c r="AH56" i="7"/>
  <c r="AH58" i="7"/>
  <c r="AH60" i="7"/>
  <c r="AH95" i="7"/>
  <c r="AH97" i="7"/>
  <c r="AH172" i="7"/>
  <c r="AH176" i="7"/>
  <c r="AH178" i="7"/>
  <c r="AM248" i="7"/>
  <c r="AM254" i="7"/>
  <c r="AM256" i="7"/>
  <c r="AH258" i="7"/>
  <c r="AM289" i="7"/>
  <c r="AM308" i="7"/>
  <c r="AM310" i="7"/>
  <c r="AM487" i="7"/>
  <c r="AM491" i="7"/>
  <c r="AM493" i="7"/>
  <c r="AH495" i="7"/>
  <c r="AM513" i="7"/>
  <c r="AH515" i="7"/>
  <c r="AH587" i="7"/>
  <c r="AH589" i="7"/>
  <c r="AM593" i="7"/>
  <c r="AH595" i="7"/>
  <c r="AH651" i="7"/>
  <c r="AM657" i="7"/>
  <c r="AM659" i="7"/>
  <c r="AM661" i="7"/>
  <c r="AH663" i="7"/>
  <c r="AM713" i="7"/>
  <c r="AH717" i="7"/>
  <c r="AH723" i="7"/>
  <c r="Y725" i="7"/>
  <c r="Z725" i="7" s="1"/>
  <c r="Y742" i="7"/>
  <c r="Z742" i="7" s="1"/>
  <c r="AM742" i="7" s="1"/>
  <c r="AH754" i="7"/>
  <c r="AM756" i="7"/>
  <c r="AM766" i="7"/>
  <c r="AM770" i="7"/>
  <c r="Y779" i="7"/>
  <c r="Z779" i="7" s="1"/>
  <c r="AM813" i="7"/>
  <c r="AM829" i="7"/>
  <c r="Y831" i="7"/>
  <c r="Z831" i="7" s="1"/>
  <c r="AM831" i="7" s="1"/>
  <c r="AM833" i="7"/>
  <c r="AM880" i="7"/>
  <c r="AH884" i="7"/>
  <c r="AH910" i="7"/>
  <c r="AM952" i="7"/>
  <c r="AM960" i="7"/>
  <c r="AH962" i="7"/>
  <c r="AM1007" i="7"/>
  <c r="AM1029" i="7"/>
  <c r="AH1031" i="7"/>
  <c r="AM1039" i="7"/>
  <c r="AH1062" i="7"/>
  <c r="AM1855" i="7"/>
  <c r="AM1877" i="7"/>
  <c r="Y1879" i="7"/>
  <c r="Z1879" i="7" s="1"/>
  <c r="AH1879" i="7" s="1"/>
  <c r="Y1881" i="7"/>
  <c r="Z1881" i="7" s="1"/>
  <c r="AC1881" i="7" s="1"/>
  <c r="AH1883" i="7"/>
  <c r="AH1903" i="7"/>
  <c r="AH1909" i="7"/>
  <c r="Y1933" i="7"/>
  <c r="Z1933" i="7" s="1"/>
  <c r="AC1933" i="7" s="1"/>
  <c r="AM1935" i="7"/>
  <c r="Y1996" i="7"/>
  <c r="Z1996" i="7" s="1"/>
  <c r="Y1998" i="7"/>
  <c r="Z1998" i="7" s="1"/>
  <c r="AM1998" i="7" s="1"/>
  <c r="AM2012" i="7"/>
  <c r="AH2016" i="7"/>
  <c r="Y2018" i="7"/>
  <c r="Z2018" i="7" s="1"/>
  <c r="AA2018" i="7" s="1"/>
  <c r="Y2020" i="7"/>
  <c r="Z2020" i="7" s="1"/>
  <c r="AC2020" i="7" s="1"/>
  <c r="AH2032" i="7"/>
  <c r="Y2080" i="7"/>
  <c r="Z2080" i="7" s="1"/>
  <c r="AE2080" i="7" s="1"/>
  <c r="AF2080" i="7" s="1"/>
  <c r="AM2086" i="7"/>
  <c r="Y2088" i="7"/>
  <c r="Z2088" i="7" s="1"/>
  <c r="AE2088" i="7" s="1"/>
  <c r="AF2088" i="7" s="1"/>
  <c r="AH2090" i="7"/>
  <c r="Y2092" i="7"/>
  <c r="Z2092" i="7" s="1"/>
  <c r="AC2092" i="7" s="1"/>
  <c r="Y2094" i="7"/>
  <c r="Z2094" i="7" s="1"/>
  <c r="Y2096" i="7"/>
  <c r="Z2096" i="7" s="1"/>
  <c r="AH2096" i="7" s="1"/>
  <c r="Y2124" i="7"/>
  <c r="Z2124" i="7" s="1"/>
  <c r="Y2126" i="7"/>
  <c r="Z2126" i="7" s="1"/>
  <c r="AM2136" i="7"/>
  <c r="Y2140" i="7"/>
  <c r="Z2140" i="7" s="1"/>
  <c r="Y2142" i="7"/>
  <c r="Z2142" i="7" s="1"/>
  <c r="Y2219" i="7"/>
  <c r="Z2219" i="7" s="1"/>
  <c r="AM2221" i="7"/>
  <c r="AH2242" i="7"/>
  <c r="Y2270" i="7"/>
  <c r="Z2270" i="7" s="1"/>
  <c r="AH2270" i="7" s="1"/>
  <c r="AM2272" i="7"/>
  <c r="AM2274" i="7"/>
  <c r="Y2276" i="7"/>
  <c r="Z2276" i="7" s="1"/>
  <c r="Y2278" i="7"/>
  <c r="Z2278" i="7" s="1"/>
  <c r="AH2278" i="7" s="1"/>
  <c r="Y2280" i="7"/>
  <c r="Z2280" i="7" s="1"/>
  <c r="Y2282" i="7"/>
  <c r="Z2282" i="7" s="1"/>
  <c r="Y2364" i="7"/>
  <c r="Z2364" i="7" s="1"/>
  <c r="AM2364" i="7" s="1"/>
  <c r="Y2366" i="7"/>
  <c r="Z2366" i="7" s="1"/>
  <c r="AA2366" i="7" s="1"/>
  <c r="AH2435" i="7"/>
  <c r="Y2441" i="7"/>
  <c r="Z2441" i="7" s="1"/>
  <c r="Y2470" i="7"/>
  <c r="Z2470" i="7" s="1"/>
  <c r="AC2470" i="7" s="1"/>
  <c r="AM2474" i="7"/>
  <c r="AM2515" i="7"/>
  <c r="Y2621" i="7"/>
  <c r="Z2621" i="7" s="1"/>
  <c r="AE2621" i="7" s="1"/>
  <c r="AF2621" i="7" s="1"/>
  <c r="AM2623" i="7"/>
  <c r="Y2625" i="7"/>
  <c r="Z2625" i="7" s="1"/>
  <c r="AM2625" i="7" s="1"/>
  <c r="Y2637" i="7"/>
  <c r="Z2637" i="7" s="1"/>
  <c r="AM2645" i="7"/>
  <c r="AH2647" i="7"/>
  <c r="AM2649" i="7"/>
  <c r="Y2651" i="7"/>
  <c r="Z2651" i="7" s="1"/>
  <c r="AH2651" i="7" s="1"/>
  <c r="Y2686" i="7"/>
  <c r="Z2686" i="7" s="1"/>
  <c r="AH2686" i="7" s="1"/>
  <c r="AM2688" i="7"/>
  <c r="Y2704" i="7"/>
  <c r="Z2704" i="7" s="1"/>
  <c r="Y2710" i="7"/>
  <c r="Z2710" i="7" s="1"/>
  <c r="Y2788" i="7"/>
  <c r="Z2788" i="7" s="1"/>
  <c r="AH2811" i="7"/>
  <c r="Y2903" i="7"/>
  <c r="Z2903" i="7" s="1"/>
  <c r="AM2966" i="7"/>
  <c r="Y2968" i="7"/>
  <c r="Z2968" i="7" s="1"/>
  <c r="AM2968" i="7" s="1"/>
  <c r="AM3011" i="7"/>
  <c r="Y3030" i="7"/>
  <c r="Z3030" i="7" s="1"/>
  <c r="Y3054" i="7"/>
  <c r="Z3054" i="7" s="1"/>
  <c r="Y3060" i="7"/>
  <c r="Z3060" i="7" s="1"/>
  <c r="AE3060" i="7" s="1"/>
  <c r="AF3060" i="7" s="1"/>
  <c r="AM3123" i="7"/>
  <c r="Y3127" i="7"/>
  <c r="Z3127" i="7" s="1"/>
  <c r="AM3127" i="7" s="1"/>
  <c r="Y3141" i="7"/>
  <c r="Z3141" i="7" s="1"/>
  <c r="AE3141" i="7" s="1"/>
  <c r="AF3141" i="7" s="1"/>
  <c r="Y3155" i="7"/>
  <c r="Z3155" i="7" s="1"/>
  <c r="Y3354" i="7"/>
  <c r="Z3354" i="7" s="1"/>
  <c r="AA3354" i="7" s="1"/>
  <c r="Y3440" i="7"/>
  <c r="Z3440" i="7" s="1"/>
  <c r="Y3662" i="7"/>
  <c r="Z3662" i="7" s="1"/>
  <c r="AA3662" i="7" s="1"/>
  <c r="AH1363" i="7"/>
  <c r="AH1371" i="7"/>
  <c r="AH1131" i="7"/>
  <c r="Y1158" i="7"/>
  <c r="Z1158" i="7" s="1"/>
  <c r="AH1168" i="7"/>
  <c r="AM1199" i="7"/>
  <c r="AM1242" i="7"/>
  <c r="AM1347" i="7"/>
  <c r="AH1349" i="7"/>
  <c r="AM1584" i="7"/>
  <c r="AH1699" i="7"/>
  <c r="AM1701" i="7"/>
  <c r="AM1703" i="7"/>
  <c r="AM1752" i="7"/>
  <c r="AH1760" i="7"/>
  <c r="Y1955" i="7"/>
  <c r="Z1955" i="7" s="1"/>
  <c r="AH2075" i="7"/>
  <c r="Y2105" i="7"/>
  <c r="Z2105" i="7" s="1"/>
  <c r="Y2113" i="7"/>
  <c r="Z2113" i="7" s="1"/>
  <c r="Y3978" i="7"/>
  <c r="Z3978" i="7" s="1"/>
  <c r="AE3978" i="7" s="1"/>
  <c r="AF3978" i="7" s="1"/>
  <c r="Y3700" i="7"/>
  <c r="Z3700" i="7" s="1"/>
  <c r="AH3700" i="7" s="1"/>
  <c r="Y2139" i="7"/>
  <c r="Z2139" i="7" s="1"/>
  <c r="Y2165" i="7"/>
  <c r="Z2165" i="7" s="1"/>
  <c r="Y1938" i="7"/>
  <c r="Z1938" i="7" s="1"/>
  <c r="AA1938" i="7" s="1"/>
  <c r="AM1632" i="7"/>
  <c r="Y1656" i="7"/>
  <c r="Z1656" i="7" s="1"/>
  <c r="AH1737" i="7"/>
  <c r="AM2969" i="7"/>
  <c r="AM3524" i="7"/>
  <c r="AH3524" i="7"/>
  <c r="AH1277" i="7"/>
  <c r="AM1277" i="7"/>
  <c r="AE2577" i="7"/>
  <c r="AF2577" i="7" s="1"/>
  <c r="AH2577" i="7"/>
  <c r="AA2577" i="7"/>
  <c r="AE2160" i="7"/>
  <c r="AF2160" i="7" s="1"/>
  <c r="AM2160" i="7"/>
  <c r="Y929" i="7"/>
  <c r="Z929" i="7" s="1"/>
  <c r="AM929" i="7" s="1"/>
  <c r="AA2657" i="7"/>
  <c r="AC2657" i="7"/>
  <c r="AM2182" i="7"/>
  <c r="AA2182" i="7"/>
  <c r="AC2182" i="7"/>
  <c r="AA3434" i="7"/>
  <c r="AC3434" i="7"/>
  <c r="AH1513" i="7"/>
  <c r="AM1513" i="7"/>
  <c r="AE2422" i="7"/>
  <c r="AF2422" i="7" s="1"/>
  <c r="AM2422" i="7"/>
  <c r="AC2744" i="7"/>
  <c r="AH2130" i="7"/>
  <c r="AC3622" i="7"/>
  <c r="AM3622" i="7"/>
  <c r="AH3622" i="7"/>
  <c r="AM2444" i="7"/>
  <c r="AH2444" i="7"/>
  <c r="AA2540" i="7"/>
  <c r="AC1897" i="7"/>
  <c r="AC2444" i="7"/>
  <c r="AH2744" i="7"/>
  <c r="AM2262" i="7"/>
  <c r="AM3587" i="7"/>
  <c r="AH3056" i="7"/>
  <c r="AA3036" i="7"/>
  <c r="AA1937" i="7"/>
  <c r="AH1855" i="7"/>
  <c r="AM127" i="7"/>
  <c r="AE3682" i="7"/>
  <c r="AF3682" i="7" s="1"/>
  <c r="AM3682" i="7"/>
  <c r="AM2908" i="7"/>
  <c r="AC2908" i="7"/>
  <c r="AE2908" i="7"/>
  <c r="AF2908" i="7" s="1"/>
  <c r="AE2540" i="7"/>
  <c r="AF2540" i="7" s="1"/>
  <c r="AE3056" i="7"/>
  <c r="AF3056" i="7" s="1"/>
  <c r="AH1897" i="7"/>
  <c r="AM2744" i="7"/>
  <c r="AA2444" i="7"/>
  <c r="AC3587" i="7"/>
  <c r="AM2657" i="7"/>
  <c r="AC3036" i="7"/>
  <c r="AA2128" i="7"/>
  <c r="AE2182" i="7"/>
  <c r="AF2182" i="7" s="1"/>
  <c r="AM3077" i="7"/>
  <c r="AC1937" i="7"/>
  <c r="AH1682" i="7"/>
  <c r="AM2090" i="7"/>
  <c r="AH1504" i="7"/>
  <c r="AH2136" i="7"/>
  <c r="AE3478" i="7"/>
  <c r="AF3478" i="7" s="1"/>
  <c r="AA3478" i="7"/>
  <c r="Y1019" i="7"/>
  <c r="Z1019" i="7" s="1"/>
  <c r="AA2567" i="7"/>
  <c r="AM2567" i="7"/>
  <c r="AC1960" i="7"/>
  <c r="AH1960" i="7"/>
  <c r="AA1960" i="7"/>
  <c r="AC3550" i="7"/>
  <c r="AA3524" i="7"/>
  <c r="AH3001" i="7"/>
  <c r="AE2444" i="7"/>
  <c r="AF2444" i="7" s="1"/>
  <c r="AE3587" i="7"/>
  <c r="AF3587" i="7" s="1"/>
  <c r="AH487" i="7"/>
  <c r="AM717" i="7"/>
  <c r="Y1335" i="7"/>
  <c r="Z1335" i="7" s="1"/>
  <c r="AH1335" i="7" s="1"/>
  <c r="AA3550" i="7"/>
  <c r="AC2241" i="7"/>
  <c r="AM1831" i="7"/>
  <c r="AA2241" i="7"/>
  <c r="AC3524" i="7"/>
  <c r="AA3001" i="7"/>
  <c r="AH2540" i="7"/>
  <c r="AE2077" i="7"/>
  <c r="AF2077" i="7" s="1"/>
  <c r="AH3587" i="7"/>
  <c r="AC2969" i="7"/>
  <c r="AA2969" i="7"/>
  <c r="AM3604" i="7"/>
  <c r="AH2867" i="7"/>
  <c r="AH1843" i="7"/>
  <c r="AH766" i="7"/>
  <c r="AH713" i="7"/>
  <c r="AH593" i="7"/>
  <c r="AM1903" i="7"/>
  <c r="AM2241" i="7"/>
  <c r="AM3001" i="7"/>
  <c r="AM2077" i="7"/>
  <c r="AC3604" i="7"/>
  <c r="AH1221" i="7"/>
  <c r="AH2657" i="7"/>
  <c r="AH1877" i="7"/>
  <c r="AM1195" i="7"/>
  <c r="AE3698" i="7"/>
  <c r="AF3698" i="7" s="1"/>
  <c r="AM3698" i="7"/>
  <c r="AC2413" i="7"/>
  <c r="AH2413" i="7"/>
  <c r="AA2413" i="7"/>
  <c r="AE2929" i="7"/>
  <c r="AF2929" i="7" s="1"/>
  <c r="AC2929" i="7"/>
  <c r="AA2929" i="7"/>
  <c r="AA2331" i="7"/>
  <c r="AE2331" i="7"/>
  <c r="AF2331" i="7" s="1"/>
  <c r="AH155" i="7"/>
  <c r="AA155" i="7"/>
  <c r="AI291" i="7"/>
  <c r="Y291" i="7"/>
  <c r="Z291" i="7" s="1"/>
  <c r="AM291" i="7" s="1"/>
  <c r="Y475" i="7"/>
  <c r="Z475" i="7" s="1"/>
  <c r="AM475" i="7" s="1"/>
  <c r="AI475" i="7"/>
  <c r="AI791" i="7"/>
  <c r="Y791" i="7"/>
  <c r="Z791" i="7" s="1"/>
  <c r="AA823" i="7"/>
  <c r="AC823" i="7"/>
  <c r="AH823" i="7"/>
  <c r="AC867" i="7"/>
  <c r="AH867" i="7"/>
  <c r="AA867" i="7"/>
  <c r="AH1053" i="7"/>
  <c r="AM1053" i="7"/>
  <c r="AI1064" i="7"/>
  <c r="Y1064" i="7"/>
  <c r="Z1064" i="7" s="1"/>
  <c r="AM1064" i="7" s="1"/>
  <c r="AM1331" i="7"/>
  <c r="AH1331" i="7"/>
  <c r="AC1353" i="7"/>
  <c r="AH1353" i="7"/>
  <c r="AA1353" i="7"/>
  <c r="AM1409" i="7"/>
  <c r="AH1409" i="7"/>
  <c r="AH1431" i="7"/>
  <c r="AM1431" i="7"/>
  <c r="AI1630" i="7"/>
  <c r="Y1630" i="7"/>
  <c r="Z1630" i="7" s="1"/>
  <c r="AH1641" i="7"/>
  <c r="AM1641" i="7"/>
  <c r="AH1674" i="7"/>
  <c r="AM1674" i="7"/>
  <c r="AH1680" i="7"/>
  <c r="AM1680" i="7"/>
  <c r="AI1705" i="7"/>
  <c r="Y1705" i="7"/>
  <c r="Z1705" i="7" s="1"/>
  <c r="AA1707" i="7"/>
  <c r="AC1707" i="7"/>
  <c r="AI1724" i="7"/>
  <c r="Y1724" i="7"/>
  <c r="Z1724" i="7" s="1"/>
  <c r="AH1743" i="7"/>
  <c r="AM1743" i="7"/>
  <c r="AI1815" i="7"/>
  <c r="Y1815" i="7"/>
  <c r="Z1815" i="7" s="1"/>
  <c r="AH1821" i="7"/>
  <c r="AA1821" i="7"/>
  <c r="AH1857" i="7"/>
  <c r="AM1857" i="7"/>
  <c r="Y1873" i="7"/>
  <c r="Z1873" i="7" s="1"/>
  <c r="AI1873" i="7"/>
  <c r="AH1937" i="7"/>
  <c r="AE1937" i="7"/>
  <c r="AF1937" i="7" s="1"/>
  <c r="AI2000" i="7"/>
  <c r="Y2000" i="7"/>
  <c r="Z2000" i="7" s="1"/>
  <c r="AA2000" i="7" s="1"/>
  <c r="AH2030" i="7"/>
  <c r="AM2030" i="7"/>
  <c r="AE2082" i="7"/>
  <c r="AF2082" i="7" s="1"/>
  <c r="AC2082" i="7"/>
  <c r="AA2082" i="7"/>
  <c r="AI2084" i="7"/>
  <c r="Y2084" i="7"/>
  <c r="Z2084" i="7" s="1"/>
  <c r="AE2144" i="7"/>
  <c r="AF2144" i="7" s="1"/>
  <c r="AA2144" i="7"/>
  <c r="AH2156" i="7"/>
  <c r="AM2156" i="7"/>
  <c r="AE2156" i="7"/>
  <c r="AF2156" i="7" s="1"/>
  <c r="AC2156" i="7"/>
  <c r="AA2158" i="7"/>
  <c r="AH2158" i="7"/>
  <c r="AC2158" i="7"/>
  <c r="AM2158" i="7"/>
  <c r="AH2162" i="7"/>
  <c r="AM2162" i="7"/>
  <c r="AE2173" i="7"/>
  <c r="AF2173" i="7" s="1"/>
  <c r="AC2173" i="7"/>
  <c r="AE2175" i="7"/>
  <c r="AF2175" i="7" s="1"/>
  <c r="AH2175" i="7"/>
  <c r="AM2175" i="7"/>
  <c r="AI2201" i="7"/>
  <c r="Y2201" i="7"/>
  <c r="Z2201" i="7" s="1"/>
  <c r="AE2201" i="7" s="1"/>
  <c r="AF2201" i="7" s="1"/>
  <c r="AC2205" i="7"/>
  <c r="AM2205" i="7"/>
  <c r="AA2205" i="7"/>
  <c r="AH2205" i="7"/>
  <c r="AM2211" i="7"/>
  <c r="AH2211" i="7"/>
  <c r="AE2211" i="7"/>
  <c r="AF2211" i="7" s="1"/>
  <c r="AM2213" i="7"/>
  <c r="AH2213" i="7"/>
  <c r="AC2250" i="7"/>
  <c r="AH2250" i="7"/>
  <c r="AM2250" i="7"/>
  <c r="AE2250" i="7"/>
  <c r="AF2250" i="7" s="1"/>
  <c r="AA2250" i="7"/>
  <c r="AE2256" i="7"/>
  <c r="AF2256" i="7" s="1"/>
  <c r="AH2256" i="7"/>
  <c r="AM2256" i="7"/>
  <c r="AC2256" i="7"/>
  <c r="AH2284" i="7"/>
  <c r="AM2284" i="7"/>
  <c r="AI2405" i="7"/>
  <c r="Y2405" i="7"/>
  <c r="Z2405" i="7" s="1"/>
  <c r="AA2405" i="7" s="1"/>
  <c r="AE2407" i="7"/>
  <c r="AF2407" i="7" s="1"/>
  <c r="AC2407" i="7"/>
  <c r="AM2407" i="7"/>
  <c r="AA2407" i="7"/>
  <c r="Y2409" i="7"/>
  <c r="Z2409" i="7" s="1"/>
  <c r="AI2409" i="7"/>
  <c r="AA2411" i="7"/>
  <c r="AM2411" i="7"/>
  <c r="AE2411" i="7"/>
  <c r="AF2411" i="7" s="1"/>
  <c r="AC2411" i="7"/>
  <c r="AH2411" i="7"/>
  <c r="AH8" i="7"/>
  <c r="AM38" i="7"/>
  <c r="AM66" i="7"/>
  <c r="AM68" i="7"/>
  <c r="AM119" i="7"/>
  <c r="AH184" i="7"/>
  <c r="Y188" i="7"/>
  <c r="Z188" i="7" s="1"/>
  <c r="AM188" i="7" s="1"/>
  <c r="AI188" i="7"/>
  <c r="AH254" i="7"/>
  <c r="AC254" i="7"/>
  <c r="AM260" i="7"/>
  <c r="AC287" i="7"/>
  <c r="AA287" i="7"/>
  <c r="AM314" i="7"/>
  <c r="Y362" i="7"/>
  <c r="Z362" i="7" s="1"/>
  <c r="AC362" i="7" s="1"/>
  <c r="AM420" i="7"/>
  <c r="Y477" i="7"/>
  <c r="Z477" i="7" s="1"/>
  <c r="AM479" i="7"/>
  <c r="Y481" i="7"/>
  <c r="Z481" i="7" s="1"/>
  <c r="AA481" i="7" s="1"/>
  <c r="AM604" i="7"/>
  <c r="Y606" i="7"/>
  <c r="Z606" i="7" s="1"/>
  <c r="Y612" i="7"/>
  <c r="Z612" i="7" s="1"/>
  <c r="AH612" i="7" s="1"/>
  <c r="AM616" i="7"/>
  <c r="AM776" i="7"/>
  <c r="AA781" i="7"/>
  <c r="AH781" i="7"/>
  <c r="AC781" i="7"/>
  <c r="AH783" i="7"/>
  <c r="AH785" i="7"/>
  <c r="AC785" i="7"/>
  <c r="AA785" i="7"/>
  <c r="AM789" i="7"/>
  <c r="AM803" i="7"/>
  <c r="AM805" i="7"/>
  <c r="AM823" i="7"/>
  <c r="AM827" i="7"/>
  <c r="AH853" i="7"/>
  <c r="AH855" i="7"/>
  <c r="AC855" i="7"/>
  <c r="AA855" i="7"/>
  <c r="AM857" i="7"/>
  <c r="AM863" i="7"/>
  <c r="AM865" i="7"/>
  <c r="AM867" i="7"/>
  <c r="AH870" i="7"/>
  <c r="AH872" i="7"/>
  <c r="AH900" i="7"/>
  <c r="AH906" i="7"/>
  <c r="AH908" i="7"/>
  <c r="AA912" i="7"/>
  <c r="AH912" i="7"/>
  <c r="AC912" i="7"/>
  <c r="Y970" i="7"/>
  <c r="Z970" i="7" s="1"/>
  <c r="AH972" i="7"/>
  <c r="AM988" i="7"/>
  <c r="Y1003" i="7"/>
  <c r="Z1003" i="7" s="1"/>
  <c r="AH1043" i="7"/>
  <c r="AI1045" i="7"/>
  <c r="Y1045" i="7"/>
  <c r="Z1045" i="7" s="1"/>
  <c r="AM1045" i="7" s="1"/>
  <c r="Y1047" i="7"/>
  <c r="Z1047" i="7" s="1"/>
  <c r="AH1117" i="7"/>
  <c r="AM1121" i="7"/>
  <c r="AH1133" i="7"/>
  <c r="AM1137" i="7"/>
  <c r="AM1145" i="7"/>
  <c r="AM1147" i="7"/>
  <c r="AM3072" i="7"/>
  <c r="AH2475" i="7"/>
  <c r="AM2475" i="7"/>
  <c r="AH2832" i="7"/>
  <c r="AA2832" i="7"/>
  <c r="AM1647" i="7"/>
  <c r="AA1647" i="7"/>
  <c r="AH1647" i="7"/>
  <c r="AH14" i="7"/>
  <c r="AH50" i="7"/>
  <c r="AM50" i="7"/>
  <c r="AH62" i="7"/>
  <c r="AM62" i="7"/>
  <c r="AC91" i="7"/>
  <c r="Y91" i="7"/>
  <c r="Z91" i="7" s="1"/>
  <c r="AH117" i="7"/>
  <c r="AC117" i="7"/>
  <c r="AM117" i="7"/>
  <c r="AH123" i="7"/>
  <c r="AM123" i="7"/>
  <c r="AH186" i="7"/>
  <c r="AM186" i="7"/>
  <c r="AH281" i="7"/>
  <c r="AM281" i="7"/>
  <c r="AH287" i="7"/>
  <c r="AM287" i="7"/>
  <c r="AM351" i="7"/>
  <c r="AC511" i="7"/>
  <c r="AA511" i="7"/>
  <c r="AM511" i="7"/>
  <c r="AH511" i="7"/>
  <c r="AA647" i="7"/>
  <c r="AH647" i="7"/>
  <c r="AC647" i="7"/>
  <c r="AH649" i="7"/>
  <c r="AM649" i="7"/>
  <c r="AI653" i="7"/>
  <c r="Y653" i="7"/>
  <c r="Z653" i="7" s="1"/>
  <c r="AM711" i="7"/>
  <c r="AH711" i="7"/>
  <c r="AM715" i="7"/>
  <c r="AH715" i="7"/>
  <c r="AM721" i="7"/>
  <c r="AH721" i="7"/>
  <c r="AM740" i="7"/>
  <c r="AH740" i="7"/>
  <c r="AH758" i="7"/>
  <c r="AM758" i="7"/>
  <c r="AM762" i="7"/>
  <c r="AH762" i="7"/>
  <c r="AI774" i="7"/>
  <c r="Y774" i="7"/>
  <c r="Z774" i="7" s="1"/>
  <c r="AC833" i="7"/>
  <c r="AA833" i="7"/>
  <c r="AM904" i="7"/>
  <c r="AA950" i="7"/>
  <c r="AC950" i="7"/>
  <c r="AH950" i="7"/>
  <c r="AM954" i="7"/>
  <c r="AH954" i="7"/>
  <c r="Y964" i="7"/>
  <c r="Z964" i="7" s="1"/>
  <c r="AI964" i="7"/>
  <c r="AI978" i="7"/>
  <c r="Y978" i="7"/>
  <c r="Z978" i="7" s="1"/>
  <c r="AC986" i="7"/>
  <c r="AM986" i="7"/>
  <c r="AH986" i="7"/>
  <c r="AM1033" i="7"/>
  <c r="AA1033" i="7"/>
  <c r="AI1037" i="7"/>
  <c r="Y1037" i="7"/>
  <c r="Z1037" i="7" s="1"/>
  <c r="AH1037" i="7" s="1"/>
  <c r="AH1097" i="7"/>
  <c r="AM1097" i="7"/>
  <c r="AI1099" i="7"/>
  <c r="Y1099" i="7"/>
  <c r="Z1099" i="7" s="1"/>
  <c r="AH1099" i="7" s="1"/>
  <c r="AI1152" i="7"/>
  <c r="Y1152" i="7"/>
  <c r="Z1152" i="7" s="1"/>
  <c r="AH1154" i="7"/>
  <c r="AM1154" i="7"/>
  <c r="AM1156" i="7"/>
  <c r="AH1156" i="7"/>
  <c r="AI1170" i="7"/>
  <c r="Y1170" i="7"/>
  <c r="Z1170" i="7" s="1"/>
  <c r="AI1172" i="7"/>
  <c r="Y1172" i="7"/>
  <c r="Z1172" i="7" s="1"/>
  <c r="AH1174" i="7"/>
  <c r="AM1174" i="7"/>
  <c r="AI1176" i="7"/>
  <c r="Y1176" i="7"/>
  <c r="Z1176" i="7" s="1"/>
  <c r="AI1180" i="7"/>
  <c r="Y1180" i="7"/>
  <c r="Z1180" i="7" s="1"/>
  <c r="AH1238" i="7"/>
  <c r="AM1238" i="7"/>
  <c r="AI1240" i="7"/>
  <c r="Y1240" i="7"/>
  <c r="Z1240" i="7" s="1"/>
  <c r="AI1244" i="7"/>
  <c r="Y1244" i="7"/>
  <c r="Z1244" i="7" s="1"/>
  <c r="AM1244" i="7" s="1"/>
  <c r="Y1272" i="7"/>
  <c r="Z1272" i="7" s="1"/>
  <c r="AM1272" i="7" s="1"/>
  <c r="AI1272" i="7"/>
  <c r="AH1875" i="7"/>
  <c r="AE3001" i="7"/>
  <c r="AF3001" i="7" s="1"/>
  <c r="AH3659" i="7"/>
  <c r="AC2160" i="7"/>
  <c r="AE2475" i="7"/>
  <c r="AF2475" i="7" s="1"/>
  <c r="AM2130" i="7"/>
  <c r="AH3036" i="7"/>
  <c r="AA2449" i="7"/>
  <c r="AH2182" i="7"/>
  <c r="AE2969" i="7"/>
  <c r="AF2969" i="7" s="1"/>
  <c r="AC2449" i="7"/>
  <c r="AC1769" i="7"/>
  <c r="AE3604" i="7"/>
  <c r="AF3604" i="7" s="1"/>
  <c r="AH2086" i="7"/>
  <c r="AM1445" i="7"/>
  <c r="AC16" i="7"/>
  <c r="AH1825" i="7"/>
  <c r="AI1301" i="7"/>
  <c r="AC2076" i="7"/>
  <c r="AA2076" i="7"/>
  <c r="AC2598" i="7"/>
  <c r="AH2598" i="7"/>
  <c r="AE2671" i="7"/>
  <c r="AF2671" i="7" s="1"/>
  <c r="AH2671" i="7"/>
  <c r="AH1415" i="7"/>
  <c r="AH3604" i="7"/>
  <c r="AH2160" i="7"/>
  <c r="AC2130" i="7"/>
  <c r="AM2449" i="7"/>
  <c r="AH2449" i="7"/>
  <c r="AM495" i="7"/>
  <c r="AA254" i="7"/>
  <c r="AA62" i="7"/>
  <c r="AH859" i="7"/>
  <c r="Y1730" i="7"/>
  <c r="Z1730" i="7" s="1"/>
  <c r="Y1333" i="7"/>
  <c r="Z1333" i="7" s="1"/>
  <c r="AM1333" i="7" s="1"/>
  <c r="AC1909" i="7"/>
  <c r="AE1909" i="7"/>
  <c r="AF1909" i="7" s="1"/>
  <c r="AE1957" i="7"/>
  <c r="AF1957" i="7" s="1"/>
  <c r="AM1957" i="7"/>
  <c r="AM2398" i="7"/>
  <c r="AC2398" i="7"/>
  <c r="AE2398" i="7"/>
  <c r="AF2398" i="7" s="1"/>
  <c r="AH2026" i="7"/>
  <c r="AC3510" i="7"/>
  <c r="AM3510" i="7"/>
  <c r="Y1345" i="7"/>
  <c r="Z1345" i="7" s="1"/>
  <c r="AH1345" i="7" s="1"/>
  <c r="AM2435" i="7"/>
  <c r="AH3483" i="7"/>
  <c r="AM3483" i="7"/>
  <c r="AH2474" i="7"/>
  <c r="AH1555" i="7"/>
  <c r="AM1349" i="7"/>
  <c r="AA3510" i="7"/>
  <c r="AH2561" i="7"/>
  <c r="Y2641" i="7"/>
  <c r="Z2641" i="7" s="1"/>
  <c r="AI2433" i="7"/>
  <c r="Y2433" i="7"/>
  <c r="Z2433" i="7" s="1"/>
  <c r="AM2513" i="7"/>
  <c r="AH2513" i="7"/>
  <c r="Y2532" i="7"/>
  <c r="Z2532" i="7" s="1"/>
  <c r="AI2532" i="7"/>
  <c r="AI2563" i="7"/>
  <c r="Y2563" i="7"/>
  <c r="Z2563" i="7" s="1"/>
  <c r="AH2617" i="7"/>
  <c r="AE2617" i="7"/>
  <c r="AF2617" i="7" s="1"/>
  <c r="AM2617" i="7"/>
  <c r="Y2619" i="7"/>
  <c r="Z2619" i="7" s="1"/>
  <c r="AI2619" i="7"/>
  <c r="Y2678" i="7"/>
  <c r="Z2678" i="7" s="1"/>
  <c r="AI2678" i="7"/>
  <c r="AC2750" i="7"/>
  <c r="AH2750" i="7"/>
  <c r="AM2784" i="7"/>
  <c r="AE2784" i="7"/>
  <c r="AF2784" i="7" s="1"/>
  <c r="AC2790" i="7"/>
  <c r="AH2790" i="7"/>
  <c r="AM2790" i="7"/>
  <c r="AI2809" i="7"/>
  <c r="Y2809" i="7"/>
  <c r="Z2809" i="7" s="1"/>
  <c r="AH2809" i="7" s="1"/>
  <c r="AM2840" i="7"/>
  <c r="AH2840" i="7"/>
  <c r="AI2858" i="7"/>
  <c r="Y2858" i="7"/>
  <c r="Z2858" i="7" s="1"/>
  <c r="AI2866" i="7"/>
  <c r="Y2866" i="7"/>
  <c r="Z2866" i="7" s="1"/>
  <c r="AC2866" i="7" s="1"/>
  <c r="AH2868" i="7"/>
  <c r="AE2868" i="7"/>
  <c r="AF2868" i="7" s="1"/>
  <c r="AC2868" i="7"/>
  <c r="AH2910" i="7"/>
  <c r="AE2910" i="7"/>
  <c r="AF2910" i="7" s="1"/>
  <c r="AM2910" i="7"/>
  <c r="AA2910" i="7"/>
  <c r="AA2970" i="7"/>
  <c r="AE2970" i="7"/>
  <c r="AF2970" i="7" s="1"/>
  <c r="AI2972" i="7"/>
  <c r="Y2972" i="7"/>
  <c r="Z2972" i="7" s="1"/>
  <c r="AM2974" i="7"/>
  <c r="AA2974" i="7"/>
  <c r="Y2976" i="7"/>
  <c r="Z2976" i="7" s="1"/>
  <c r="AI2976" i="7"/>
  <c r="AI2993" i="7"/>
  <c r="Y2993" i="7"/>
  <c r="Z2993" i="7" s="1"/>
  <c r="AA2995" i="7"/>
  <c r="AH2995" i="7"/>
  <c r="AC2995" i="7"/>
  <c r="AE2995" i="7"/>
  <c r="AF2995" i="7" s="1"/>
  <c r="AI2999" i="7"/>
  <c r="Y2999" i="7"/>
  <c r="Z2999" i="7" s="1"/>
  <c r="AM2999" i="7" s="1"/>
  <c r="AI3032" i="7"/>
  <c r="Y3032" i="7"/>
  <c r="Z3032" i="7" s="1"/>
  <c r="AA3032" i="7" s="1"/>
  <c r="AI3034" i="7"/>
  <c r="Y3034" i="7"/>
  <c r="Z3034" i="7" s="1"/>
  <c r="AC3038" i="7"/>
  <c r="AH3038" i="7"/>
  <c r="AA3038" i="7"/>
  <c r="AC3040" i="7"/>
  <c r="AA3040" i="7"/>
  <c r="AE3042" i="7"/>
  <c r="AF3042" i="7" s="1"/>
  <c r="AM3042" i="7"/>
  <c r="AA3042" i="7"/>
  <c r="AM3062" i="7"/>
  <c r="AA3062" i="7"/>
  <c r="AM1295" i="7"/>
  <c r="AI1299" i="7"/>
  <c r="Y1299" i="7"/>
  <c r="Z1299" i="7" s="1"/>
  <c r="Y1337" i="7"/>
  <c r="Z1337" i="7" s="1"/>
  <c r="AM1353" i="7"/>
  <c r="Y1355" i="7"/>
  <c r="Z1355" i="7" s="1"/>
  <c r="AA1355" i="7" s="1"/>
  <c r="AH1359" i="7"/>
  <c r="AH1369" i="7"/>
  <c r="AM1411" i="7"/>
  <c r="AC1595" i="7"/>
  <c r="AA1595" i="7"/>
  <c r="Y1615" i="7"/>
  <c r="Z1615" i="7" s="1"/>
  <c r="AH1615" i="7" s="1"/>
  <c r="AI1615" i="7"/>
  <c r="Y1643" i="7"/>
  <c r="Z1643" i="7" s="1"/>
  <c r="Y1652" i="7"/>
  <c r="Z1652" i="7" s="1"/>
  <c r="AM1652" i="7" s="1"/>
  <c r="Y1654" i="7"/>
  <c r="Z1654" i="7" s="1"/>
  <c r="AM1664" i="7"/>
  <c r="AM1666" i="7"/>
  <c r="AM1718" i="7"/>
  <c r="AM1722" i="7"/>
  <c r="Y2264" i="7"/>
  <c r="Z2264" i="7" s="1"/>
  <c r="AI1482" i="7"/>
  <c r="Y1482" i="7"/>
  <c r="Z1482" i="7" s="1"/>
  <c r="AM1488" i="7"/>
  <c r="AH1488" i="7"/>
  <c r="AI1492" i="7"/>
  <c r="Y1492" i="7"/>
  <c r="Z1492" i="7" s="1"/>
  <c r="AM1492" i="7" s="1"/>
  <c r="AM1523" i="7"/>
  <c r="AH1523" i="7"/>
  <c r="AI1525" i="7"/>
  <c r="Y1525" i="7"/>
  <c r="Z1525" i="7" s="1"/>
  <c r="AH1525" i="7" s="1"/>
  <c r="Y1613" i="7"/>
  <c r="Z1613" i="7" s="1"/>
  <c r="AH1613" i="7" s="1"/>
  <c r="AI1613" i="7"/>
  <c r="AE2513" i="7"/>
  <c r="AF2513" i="7" s="1"/>
  <c r="AC2561" i="7"/>
  <c r="AM97" i="7"/>
  <c r="AM176" i="7"/>
  <c r="AM178" i="7"/>
  <c r="AC3591" i="7"/>
  <c r="AE2561" i="7"/>
  <c r="AF2561" i="7" s="1"/>
  <c r="AC3294" i="7"/>
  <c r="AE3294" i="7"/>
  <c r="AF3294" i="7" s="1"/>
  <c r="AC3592" i="7"/>
  <c r="AH3592" i="7"/>
  <c r="AE3592" i="7"/>
  <c r="AF3592" i="7" s="1"/>
  <c r="AH1703" i="7"/>
  <c r="Y3251" i="7"/>
  <c r="Z3251" i="7" s="1"/>
  <c r="Y1758" i="7"/>
  <c r="Z1758" i="7" s="1"/>
  <c r="AM1758" i="7" s="1"/>
  <c r="Y1764" i="7"/>
  <c r="Z1764" i="7" s="1"/>
  <c r="Y3677" i="7"/>
  <c r="Z3677" i="7" s="1"/>
  <c r="AI3677" i="7"/>
  <c r="Y3982" i="7"/>
  <c r="Z3982" i="7" s="1"/>
  <c r="AA3982" i="7" s="1"/>
  <c r="AI3982" i="7"/>
  <c r="AH1229" i="7"/>
  <c r="AM1512" i="7"/>
  <c r="AM1754" i="7"/>
  <c r="AH1701" i="7"/>
  <c r="AH3226" i="7"/>
  <c r="AI89" i="7"/>
  <c r="Y1943" i="7"/>
  <c r="Z1943" i="7" s="1"/>
  <c r="AH1405" i="7"/>
  <c r="AH3224" i="7"/>
  <c r="Y2004" i="7"/>
  <c r="Z2004" i="7" s="1"/>
  <c r="AH1837" i="7"/>
  <c r="AI3255" i="7"/>
  <c r="Y3255" i="7"/>
  <c r="Z3255" i="7" s="1"/>
  <c r="AI3273" i="7"/>
  <c r="Y3273" i="7"/>
  <c r="Z3273" i="7" s="1"/>
  <c r="Y1797" i="7"/>
  <c r="Z1797" i="7" s="1"/>
  <c r="Y1813" i="7"/>
  <c r="Z1813" i="7" s="1"/>
  <c r="AM1813" i="7" s="1"/>
  <c r="AI1813" i="7"/>
  <c r="Y2002" i="7"/>
  <c r="Z2002" i="7" s="1"/>
  <c r="AI2002" i="7"/>
  <c r="AJ2002" i="7" s="1"/>
  <c r="Y2171" i="7"/>
  <c r="Z2171" i="7" s="1"/>
  <c r="AI2171" i="7"/>
  <c r="Y2246" i="7"/>
  <c r="Z2246" i="7" s="1"/>
  <c r="AH2246" i="7" s="1"/>
  <c r="Y2252" i="7"/>
  <c r="Z2252" i="7" s="1"/>
  <c r="Y2266" i="7"/>
  <c r="Z2266" i="7" s="1"/>
  <c r="Y2268" i="7"/>
  <c r="Z2268" i="7" s="1"/>
  <c r="AE2268" i="7" s="1"/>
  <c r="AF2268" i="7" s="1"/>
  <c r="Y1714" i="7"/>
  <c r="Z1714" i="7" s="1"/>
  <c r="Y1803" i="7"/>
  <c r="Z1803" i="7" s="1"/>
  <c r="Y1811" i="7"/>
  <c r="Z1811" i="7" s="1"/>
  <c r="AI1912" i="7"/>
  <c r="Y1912" i="7"/>
  <c r="Z1912" i="7" s="1"/>
  <c r="AE1912" i="7" s="1"/>
  <c r="AF1912" i="7" s="1"/>
  <c r="Y1959" i="7"/>
  <c r="Z1959" i="7" s="1"/>
  <c r="Y1967" i="7"/>
  <c r="Z1967" i="7" s="1"/>
  <c r="Y1971" i="7"/>
  <c r="Z1971" i="7" s="1"/>
  <c r="Y1975" i="7"/>
  <c r="Z1975" i="7" s="1"/>
  <c r="Y1977" i="7"/>
  <c r="Z1977" i="7" s="1"/>
  <c r="AI2053" i="7"/>
  <c r="Y2053" i="7"/>
  <c r="Z2053" i="7" s="1"/>
  <c r="Y2103" i="7"/>
  <c r="Z2103" i="7" s="1"/>
  <c r="Y2148" i="7"/>
  <c r="Z2148" i="7" s="1"/>
  <c r="AI2189" i="7"/>
  <c r="Y2189" i="7"/>
  <c r="Z2189" i="7" s="1"/>
  <c r="AM2189" i="7" s="1"/>
  <c r="Y2197" i="7"/>
  <c r="Z2197" i="7" s="1"/>
  <c r="Y2289" i="7"/>
  <c r="Z2289" i="7" s="1"/>
  <c r="AI2289" i="7"/>
  <c r="Y2301" i="7"/>
  <c r="Z2301" i="7" s="1"/>
  <c r="Y2403" i="7"/>
  <c r="Z2403" i="7" s="1"/>
  <c r="AI2403" i="7"/>
  <c r="Y2423" i="7"/>
  <c r="Z2423" i="7" s="1"/>
  <c r="AI2509" i="7"/>
  <c r="Y2509" i="7"/>
  <c r="Z2509" i="7" s="1"/>
  <c r="Y1945" i="7"/>
  <c r="Z1945" i="7" s="1"/>
  <c r="AH1945" i="7" s="1"/>
  <c r="Y1918" i="7"/>
  <c r="Z1918" i="7" s="1"/>
  <c r="AH87" i="7"/>
  <c r="AM89" i="7"/>
  <c r="AH109" i="7"/>
  <c r="AM209" i="7"/>
  <c r="AM242" i="7"/>
  <c r="AH277" i="7"/>
  <c r="AH333" i="7"/>
  <c r="AH337" i="7"/>
  <c r="Y517" i="7"/>
  <c r="Z517" i="7" s="1"/>
  <c r="AM531" i="7"/>
  <c r="AH571" i="7"/>
  <c r="AM573" i="7"/>
  <c r="AI2660" i="7"/>
  <c r="AM1473" i="7"/>
  <c r="AH345" i="7"/>
  <c r="AH350" i="7"/>
  <c r="AH413" i="7"/>
  <c r="AH541" i="7"/>
  <c r="AH695" i="7"/>
  <c r="AH1981" i="7"/>
  <c r="AM1983" i="7"/>
  <c r="Y1985" i="7"/>
  <c r="Z1985" i="7" s="1"/>
  <c r="Y1989" i="7"/>
  <c r="Z1989" i="7" s="1"/>
  <c r="AC1989" i="7" s="1"/>
  <c r="AH1991" i="7"/>
  <c r="Y2007" i="7"/>
  <c r="Z2007" i="7" s="1"/>
  <c r="AH2007" i="7" s="1"/>
  <c r="AM2013" i="7"/>
  <c r="Y2015" i="7"/>
  <c r="Z2015" i="7" s="1"/>
  <c r="Y2023" i="7"/>
  <c r="Z2023" i="7" s="1"/>
  <c r="AC2023" i="7" s="1"/>
  <c r="Y2025" i="7"/>
  <c r="Z2025" i="7" s="1"/>
  <c r="AA2025" i="7" s="1"/>
  <c r="Y2035" i="7"/>
  <c r="Z2035" i="7" s="1"/>
  <c r="Y2039" i="7"/>
  <c r="Z2039" i="7" s="1"/>
  <c r="AH2039" i="7" s="1"/>
  <c r="Y2045" i="7"/>
  <c r="Z2045" i="7" s="1"/>
  <c r="AM2216" i="7"/>
  <c r="Y2218" i="7"/>
  <c r="Z2218" i="7" s="1"/>
  <c r="AH2218" i="7" s="1"/>
  <c r="Y3954" i="7"/>
  <c r="Z3954" i="7" s="1"/>
  <c r="AE3954" i="7" s="1"/>
  <c r="AF3954" i="7" s="1"/>
  <c r="AI2664" i="7"/>
  <c r="AM3396" i="7"/>
  <c r="AH251" i="7"/>
  <c r="Y3065" i="7"/>
  <c r="Z3065" i="7" s="1"/>
  <c r="AM3065" i="7" s="1"/>
  <c r="AI3994" i="7"/>
  <c r="AH1669" i="7"/>
  <c r="Y1731" i="7"/>
  <c r="Z1731" i="7" s="1"/>
  <c r="AC1731" i="7" s="1"/>
  <c r="AM1808" i="7"/>
  <c r="AH349" i="7"/>
  <c r="AM390" i="7"/>
  <c r="AH506" i="7"/>
  <c r="Y508" i="7"/>
  <c r="Z508" i="7" s="1"/>
  <c r="AH508" i="7" s="1"/>
  <c r="Y564" i="7"/>
  <c r="Z564" i="7" s="1"/>
  <c r="AM564" i="7" s="1"/>
  <c r="Y1074" i="7"/>
  <c r="Z1074" i="7" s="1"/>
  <c r="AM133" i="7"/>
  <c r="AH151" i="7"/>
  <c r="AM157" i="7"/>
  <c r="AM159" i="7"/>
  <c r="AM192" i="7"/>
  <c r="AH194" i="7"/>
  <c r="AH196" i="7"/>
  <c r="AH202" i="7"/>
  <c r="AM266" i="7"/>
  <c r="AH293" i="7"/>
  <c r="AH297" i="7"/>
  <c r="AH301" i="7"/>
  <c r="AM322" i="7"/>
  <c r="AH324" i="7"/>
  <c r="AH340" i="7"/>
  <c r="AH354" i="7"/>
  <c r="AM356" i="7"/>
  <c r="AH364" i="7"/>
  <c r="AH368" i="7"/>
  <c r="AM370" i="7"/>
  <c r="AH378" i="7"/>
  <c r="AH380" i="7"/>
  <c r="AH384" i="7"/>
  <c r="AM392" i="7"/>
  <c r="AM398" i="7"/>
  <c r="AM400" i="7"/>
  <c r="AM406" i="7"/>
  <c r="AM410" i="7"/>
  <c r="AM439" i="7"/>
  <c r="AM445" i="7"/>
  <c r="AH455" i="7"/>
  <c r="AM459" i="7"/>
  <c r="AH461" i="7"/>
  <c r="Y463" i="7"/>
  <c r="Z463" i="7" s="1"/>
  <c r="AM463" i="7" s="1"/>
  <c r="AM465" i="7"/>
  <c r="AH522" i="7"/>
  <c r="Y526" i="7"/>
  <c r="Z526" i="7" s="1"/>
  <c r="AM526" i="7" s="1"/>
  <c r="Y536" i="7"/>
  <c r="Z536" i="7" s="1"/>
  <c r="AH536" i="7" s="1"/>
  <c r="AM538" i="7"/>
  <c r="Y546" i="7"/>
  <c r="Z546" i="7" s="1"/>
  <c r="AH546" i="7" s="1"/>
  <c r="AH548" i="7"/>
  <c r="AM550" i="7"/>
  <c r="Y552" i="7"/>
  <c r="Z552" i="7" s="1"/>
  <c r="AH552" i="7" s="1"/>
  <c r="AM568" i="7"/>
  <c r="AM624" i="7"/>
  <c r="AM667" i="7"/>
  <c r="AH669" i="7"/>
  <c r="AM673" i="7"/>
  <c r="AM686" i="7"/>
  <c r="AM694" i="7"/>
  <c r="AH696" i="7"/>
  <c r="AH731" i="7"/>
  <c r="AM817" i="7"/>
  <c r="AM819" i="7"/>
  <c r="AH838" i="7"/>
  <c r="AH846" i="7"/>
  <c r="Y923" i="7"/>
  <c r="Z923" i="7" s="1"/>
  <c r="AH925" i="7"/>
  <c r="AH927" i="7"/>
  <c r="AM933" i="7"/>
  <c r="AM937" i="7"/>
  <c r="Y941" i="7"/>
  <c r="Z941" i="7" s="1"/>
  <c r="AM941" i="7" s="1"/>
  <c r="Y997" i="7"/>
  <c r="Z997" i="7" s="1"/>
  <c r="AH997" i="7" s="1"/>
  <c r="AM1068" i="7"/>
  <c r="AC3463" i="7"/>
  <c r="AH203" i="7"/>
  <c r="AH392" i="7"/>
  <c r="AH406" i="7"/>
  <c r="AE2832" i="7"/>
  <c r="AF2832" i="7" s="1"/>
  <c r="AM2832" i="7"/>
  <c r="AH2911" i="7"/>
  <c r="AM2911" i="7"/>
  <c r="AE3463" i="7"/>
  <c r="AF3463" i="7" s="1"/>
  <c r="AE3446" i="7"/>
  <c r="AF3446" i="7" s="1"/>
  <c r="AC2054" i="7"/>
  <c r="AE2865" i="7"/>
  <c r="AF2865" i="7" s="1"/>
  <c r="AC3199" i="7"/>
  <c r="AA3199" i="7"/>
  <c r="AE3199" i="7"/>
  <c r="AF3199" i="7" s="1"/>
  <c r="AH3654" i="7"/>
  <c r="AC3654" i="7"/>
  <c r="AA3654" i="7"/>
  <c r="AM3654" i="7"/>
  <c r="AH1921" i="7"/>
  <c r="AM913" i="7"/>
  <c r="AC3446" i="7"/>
  <c r="AE2054" i="7"/>
  <c r="AF2054" i="7" s="1"/>
  <c r="AA2865" i="7"/>
  <c r="AH1512" i="7"/>
  <c r="AM548" i="7"/>
  <c r="AM669" i="7"/>
  <c r="AA2853" i="7"/>
  <c r="AM2853" i="7"/>
  <c r="AE2853" i="7"/>
  <c r="AF2853" i="7" s="1"/>
  <c r="AE1921" i="7"/>
  <c r="AF1921" i="7" s="1"/>
  <c r="AC913" i="7"/>
  <c r="AM731" i="7"/>
  <c r="AM522" i="7"/>
  <c r="AC3530" i="7"/>
  <c r="AM3530" i="7"/>
  <c r="AA3530" i="7"/>
  <c r="AM2471" i="7"/>
  <c r="AA2471" i="7"/>
  <c r="AA1916" i="7"/>
  <c r="AC1916" i="7"/>
  <c r="AH1076" i="7"/>
  <c r="AM1076" i="7"/>
  <c r="AA913" i="7"/>
  <c r="AC1921" i="7"/>
  <c r="AA2054" i="7"/>
  <c r="AM229" i="7"/>
  <c r="AM1467" i="7"/>
  <c r="AH1467" i="7"/>
  <c r="AM1756" i="7"/>
  <c r="AH1756" i="7"/>
  <c r="AH1580" i="7"/>
  <c r="AM1580" i="7"/>
  <c r="AC3231" i="7"/>
  <c r="AE3231" i="7"/>
  <c r="AF3231" i="7" s="1"/>
  <c r="AM2922" i="7"/>
  <c r="AC2922" i="7"/>
  <c r="AH2922" i="7"/>
  <c r="AM72" i="7"/>
  <c r="AH72" i="7"/>
  <c r="AH76" i="7"/>
  <c r="AM76" i="7"/>
  <c r="AM135" i="7"/>
  <c r="AH135" i="7"/>
  <c r="AC135" i="7"/>
  <c r="AI139" i="7"/>
  <c r="Y139" i="7"/>
  <c r="Z139" i="7" s="1"/>
  <c r="AC145" i="7"/>
  <c r="AA145" i="7"/>
  <c r="AM145" i="7"/>
  <c r="AI147" i="7"/>
  <c r="Y147" i="7"/>
  <c r="Z147" i="7" s="1"/>
  <c r="AH262" i="7"/>
  <c r="AC262" i="7"/>
  <c r="AA262" i="7"/>
  <c r="AM262" i="7"/>
  <c r="AI264" i="7"/>
  <c r="Y264" i="7"/>
  <c r="Z264" i="7" s="1"/>
  <c r="AM268" i="7"/>
  <c r="AH268" i="7"/>
  <c r="AA268" i="7"/>
  <c r="AC268" i="7"/>
  <c r="AA316" i="7"/>
  <c r="AH316" i="7"/>
  <c r="AM316" i="7"/>
  <c r="AM318" i="7"/>
  <c r="AH318" i="7"/>
  <c r="AM344" i="7"/>
  <c r="AH344" i="7"/>
  <c r="AA344" i="7"/>
  <c r="AM376" i="7"/>
  <c r="AH376" i="7"/>
  <c r="AH396" i="7"/>
  <c r="AC396" i="7"/>
  <c r="AA396" i="7"/>
  <c r="AM408" i="7"/>
  <c r="AH408" i="7"/>
  <c r="AI412" i="7"/>
  <c r="Y412" i="7"/>
  <c r="Z412" i="7" s="1"/>
  <c r="AH414" i="7"/>
  <c r="AM414" i="7"/>
  <c r="AM416" i="7"/>
  <c r="AH416" i="7"/>
  <c r="AM418" i="7"/>
  <c r="AC418" i="7"/>
  <c r="AH418" i="7"/>
  <c r="AA418" i="7"/>
  <c r="AM431" i="7"/>
  <c r="AH431" i="7"/>
  <c r="AM435" i="7"/>
  <c r="AH435" i="7"/>
  <c r="AM437" i="7"/>
  <c r="AH437" i="7"/>
  <c r="Y451" i="7"/>
  <c r="Z451" i="7" s="1"/>
  <c r="AM451" i="7" s="1"/>
  <c r="AI451" i="7"/>
  <c r="AM467" i="7"/>
  <c r="AH467" i="7"/>
  <c r="AM471" i="7"/>
  <c r="AH471" i="7"/>
  <c r="AM502" i="7"/>
  <c r="AH502" i="7"/>
  <c r="AH520" i="7"/>
  <c r="AM520" i="7"/>
  <c r="AH524" i="7"/>
  <c r="AM524" i="7"/>
  <c r="AI540" i="7"/>
  <c r="Y540" i="7"/>
  <c r="Z540" i="7" s="1"/>
  <c r="AM542" i="7"/>
  <c r="AH542" i="7"/>
  <c r="AM566" i="7"/>
  <c r="AH566" i="7"/>
  <c r="AM626" i="7"/>
  <c r="AH626" i="7"/>
  <c r="Y671" i="7"/>
  <c r="Z671" i="7" s="1"/>
  <c r="AI671" i="7"/>
  <c r="AH675" i="7"/>
  <c r="AM675" i="7"/>
  <c r="AM698" i="7"/>
  <c r="AH698" i="7"/>
  <c r="AH727" i="7"/>
  <c r="AM727" i="7"/>
  <c r="AM729" i="7"/>
  <c r="AH729" i="7"/>
  <c r="AH735" i="7"/>
  <c r="AM735" i="7"/>
  <c r="Y844" i="7"/>
  <c r="Z844" i="7" s="1"/>
  <c r="AI844" i="7"/>
  <c r="AM2687" i="7"/>
  <c r="AA1902" i="7"/>
  <c r="AH686" i="7"/>
  <c r="AC2994" i="7"/>
  <c r="AE2994" i="7"/>
  <c r="AF2994" i="7" s="1"/>
  <c r="AA2994" i="7"/>
  <c r="AA2881" i="7"/>
  <c r="AH2881" i="7"/>
  <c r="AM2881" i="7"/>
  <c r="Y237" i="7"/>
  <c r="Z237" i="7" s="1"/>
  <c r="AC2331" i="7"/>
  <c r="AM2331" i="7"/>
  <c r="AH2679" i="7"/>
  <c r="AA2679" i="7"/>
  <c r="AH793" i="7"/>
  <c r="AH2687" i="7"/>
  <c r="AC316" i="7"/>
  <c r="AM151" i="7"/>
  <c r="AH538" i="7"/>
  <c r="AH550" i="7"/>
  <c r="AH926" i="7"/>
  <c r="AM926" i="7"/>
  <c r="AA1963" i="7"/>
  <c r="AM793" i="7"/>
  <c r="AH1963" i="7"/>
  <c r="AH568" i="7"/>
  <c r="Y225" i="7"/>
  <c r="Z225" i="7" s="1"/>
  <c r="AM225" i="7" s="1"/>
  <c r="AM3075" i="7"/>
  <c r="AH3075" i="7"/>
  <c r="AC1963" i="7"/>
  <c r="AA793" i="7"/>
  <c r="AH242" i="7"/>
  <c r="AM384" i="7"/>
  <c r="AH168" i="7"/>
  <c r="AE2922" i="7"/>
  <c r="AF2922" i="7" s="1"/>
  <c r="AM71" i="7"/>
  <c r="AH71" i="7"/>
  <c r="AH101" i="7"/>
  <c r="AM101" i="7"/>
  <c r="AI103" i="7"/>
  <c r="Y103" i="7"/>
  <c r="Z103" i="7" s="1"/>
  <c r="AM103" i="7" s="1"/>
  <c r="AH132" i="7"/>
  <c r="AM132" i="7"/>
  <c r="AM164" i="7"/>
  <c r="AH164" i="7"/>
  <c r="AC170" i="7"/>
  <c r="AH170" i="7"/>
  <c r="AA170" i="7"/>
  <c r="AA199" i="7"/>
  <c r="AM199" i="7"/>
  <c r="AH199" i="7"/>
  <c r="AH201" i="7"/>
  <c r="AM201" i="7"/>
  <c r="AH205" i="7"/>
  <c r="AM205" i="7"/>
  <c r="AA211" i="7"/>
  <c r="AM211" i="7"/>
  <c r="AH211" i="7"/>
  <c r="AC211" i="7"/>
  <c r="AM213" i="7"/>
  <c r="AH213" i="7"/>
  <c r="AH215" i="7"/>
  <c r="AM215" i="7"/>
  <c r="AM217" i="7"/>
  <c r="AH217" i="7"/>
  <c r="AI221" i="7"/>
  <c r="Y221" i="7"/>
  <c r="Z221" i="7" s="1"/>
  <c r="AH221" i="7" s="1"/>
  <c r="AH227" i="7"/>
  <c r="AM227" i="7"/>
  <c r="AH231" i="7"/>
  <c r="AM231" i="7"/>
  <c r="AA233" i="7"/>
  <c r="AH233" i="7"/>
  <c r="AM233" i="7"/>
  <c r="AC233" i="7"/>
  <c r="AM235" i="7"/>
  <c r="AH235" i="7"/>
  <c r="AM246" i="7"/>
  <c r="AC246" i="7"/>
  <c r="AH246" i="7"/>
  <c r="AA246" i="7"/>
  <c r="AM271" i="7"/>
  <c r="AH271" i="7"/>
  <c r="AH298" i="7"/>
  <c r="AM298" i="7"/>
  <c r="Y304" i="7"/>
  <c r="Z304" i="7" s="1"/>
  <c r="AI304" i="7"/>
  <c r="Y327" i="7"/>
  <c r="Z327" i="7" s="1"/>
  <c r="AM327" i="7" s="1"/>
  <c r="AI327" i="7"/>
  <c r="AH341" i="7"/>
  <c r="AM341" i="7"/>
  <c r="AM357" i="7"/>
  <c r="AH357" i="7"/>
  <c r="AM360" i="7"/>
  <c r="AH360" i="7"/>
  <c r="AC365" i="7"/>
  <c r="AA365" i="7"/>
  <c r="AH387" i="7"/>
  <c r="AM387" i="7"/>
  <c r="AH915" i="7"/>
  <c r="AE1963" i="7"/>
  <c r="AF1963" i="7" s="1"/>
  <c r="AM3071" i="7"/>
  <c r="AH3071" i="7"/>
  <c r="AC2682" i="7"/>
  <c r="AH2682" i="7"/>
  <c r="AH3643" i="7"/>
  <c r="AM3643" i="7"/>
  <c r="AC2247" i="7"/>
  <c r="AA2247" i="7"/>
  <c r="AE2247" i="7"/>
  <c r="AF2247" i="7" s="1"/>
  <c r="AH1100" i="7"/>
  <c r="Y1267" i="7"/>
  <c r="Z1267" i="7" s="1"/>
  <c r="AM12" i="7"/>
  <c r="Y1387" i="7"/>
  <c r="Z1387" i="7" s="1"/>
  <c r="AH1387" i="7" s="1"/>
  <c r="Y1417" i="7"/>
  <c r="Z1417" i="7" s="1"/>
  <c r="AM1417" i="7" s="1"/>
  <c r="AM1451" i="7"/>
  <c r="Y1453" i="7"/>
  <c r="Z1453" i="7" s="1"/>
  <c r="AH1453" i="7" s="1"/>
  <c r="AM1455" i="7"/>
  <c r="Y1459" i="7"/>
  <c r="Z1459" i="7" s="1"/>
  <c r="Y1625" i="7"/>
  <c r="Z1625" i="7" s="1"/>
  <c r="Y1648" i="7"/>
  <c r="Z1648" i="7" s="1"/>
  <c r="AH1648" i="7" s="1"/>
  <c r="Y1658" i="7"/>
  <c r="Z1658" i="7" s="1"/>
  <c r="Y1660" i="7"/>
  <c r="Z1660" i="7" s="1"/>
  <c r="AM1660" i="7" s="1"/>
  <c r="Y1733" i="7"/>
  <c r="Z1733" i="7" s="1"/>
  <c r="AM1151" i="7"/>
  <c r="AC519" i="7"/>
  <c r="Y1181" i="7"/>
  <c r="Z1181" i="7" s="1"/>
  <c r="Y1465" i="7"/>
  <c r="Z1465" i="7" s="1"/>
  <c r="AM1366" i="7"/>
  <c r="Y1183" i="7"/>
  <c r="Z1183" i="7" s="1"/>
  <c r="AH1183" i="7" s="1"/>
  <c r="Y1225" i="7"/>
  <c r="Z1225" i="7" s="1"/>
  <c r="AM1225" i="7" s="1"/>
  <c r="AM1231" i="7"/>
  <c r="Y1233" i="7"/>
  <c r="Z1233" i="7" s="1"/>
  <c r="AM1233" i="7" s="1"/>
  <c r="Y1235" i="7"/>
  <c r="Z1235" i="7" s="1"/>
  <c r="Y1261" i="7"/>
  <c r="Z1261" i="7" s="1"/>
  <c r="AM1261" i="7" s="1"/>
  <c r="AH1263" i="7"/>
  <c r="Y1265" i="7"/>
  <c r="Z1265" i="7" s="1"/>
  <c r="AM1265" i="7" s="1"/>
  <c r="AM1281" i="7"/>
  <c r="Y1209" i="7"/>
  <c r="Z1209" i="7" s="1"/>
  <c r="AH1209" i="7" s="1"/>
  <c r="Y1110" i="7"/>
  <c r="Z1110" i="7" s="1"/>
  <c r="AM1110" i="7" s="1"/>
  <c r="AI1153" i="7"/>
  <c r="AH1068" i="7"/>
  <c r="AH388" i="7"/>
  <c r="AM87" i="7"/>
  <c r="AH89" i="7"/>
  <c r="AM109" i="7"/>
  <c r="AM111" i="7"/>
  <c r="AM115" i="7"/>
  <c r="AH209" i="7"/>
  <c r="AM273" i="7"/>
  <c r="AM335" i="7"/>
  <c r="Y353" i="7"/>
  <c r="Z353" i="7" s="1"/>
  <c r="AH353" i="7" s="1"/>
  <c r="AH531" i="7"/>
  <c r="AM533" i="7"/>
  <c r="Y565" i="7"/>
  <c r="Z565" i="7" s="1"/>
  <c r="AC565" i="7" s="1"/>
  <c r="Y3595" i="7"/>
  <c r="Z3595" i="7" s="1"/>
  <c r="Y3776" i="7"/>
  <c r="Z3776" i="7" s="1"/>
  <c r="Y1088" i="7"/>
  <c r="Z1088" i="7" s="1"/>
  <c r="AM1088" i="7" s="1"/>
  <c r="AH1179" i="7"/>
  <c r="AM294" i="7"/>
  <c r="AH296" i="7"/>
  <c r="AH339" i="7"/>
  <c r="Y521" i="7"/>
  <c r="Z521" i="7" s="1"/>
  <c r="Y525" i="7"/>
  <c r="Z525" i="7" s="1"/>
  <c r="AM525" i="7" s="1"/>
  <c r="AM547" i="7"/>
  <c r="AH549" i="7"/>
  <c r="Y551" i="7"/>
  <c r="Z551" i="7" s="1"/>
  <c r="AH551" i="7" s="1"/>
  <c r="AM553" i="7"/>
  <c r="Y567" i="7"/>
  <c r="Z567" i="7" s="1"/>
  <c r="AH567" i="7" s="1"/>
  <c r="Y1114" i="7"/>
  <c r="Z1114" i="7" s="1"/>
  <c r="AC1114" i="7" s="1"/>
  <c r="AM1326" i="7"/>
  <c r="AH921" i="7"/>
  <c r="Y2520" i="7"/>
  <c r="Z2520" i="7" s="1"/>
  <c r="AM4045" i="7"/>
  <c r="AM990" i="7"/>
  <c r="AM1243" i="7"/>
  <c r="Y1215" i="7"/>
  <c r="Z1215" i="7" s="1"/>
  <c r="Y1207" i="7"/>
  <c r="Z1207" i="7" s="1"/>
  <c r="AM79" i="7"/>
  <c r="AH1188" i="7"/>
  <c r="AH1248" i="7"/>
  <c r="AM1254" i="7"/>
  <c r="AM1256" i="7"/>
  <c r="AM1302" i="7"/>
  <c r="AM1306" i="7"/>
  <c r="AH1310" i="7"/>
  <c r="AM1312" i="7"/>
  <c r="AM1314" i="7"/>
  <c r="AM1320" i="7"/>
  <c r="Y2017" i="7"/>
  <c r="Z2017" i="7" s="1"/>
  <c r="Y2123" i="7"/>
  <c r="Z2123" i="7" s="1"/>
  <c r="AH2123" i="7" s="1"/>
  <c r="AI1271" i="7"/>
  <c r="Y527" i="7"/>
  <c r="Z527" i="7" s="1"/>
  <c r="AA527" i="7" s="1"/>
  <c r="Y1159" i="7"/>
  <c r="Z1159" i="7" s="1"/>
  <c r="AM1159" i="7" s="1"/>
  <c r="AM1118" i="7"/>
  <c r="AH7" i="7"/>
  <c r="AH19" i="7"/>
  <c r="Y4025" i="7"/>
  <c r="Z4025" i="7" s="1"/>
  <c r="AH4025" i="7" s="1"/>
  <c r="AM925" i="7"/>
  <c r="AH1273" i="7"/>
  <c r="AC458" i="7"/>
  <c r="AA442" i="7"/>
  <c r="AM1082" i="7"/>
  <c r="AH248" i="7"/>
  <c r="AI1167" i="7"/>
  <c r="AM88" i="7"/>
  <c r="AM100" i="7"/>
  <c r="AH112" i="7"/>
  <c r="AH163" i="7"/>
  <c r="AM167" i="7"/>
  <c r="AM198" i="7"/>
  <c r="AM200" i="7"/>
  <c r="AM202" i="7"/>
  <c r="AM204" i="7"/>
  <c r="AM226" i="7"/>
  <c r="AM238" i="7"/>
  <c r="Y274" i="7"/>
  <c r="Z274" i="7" s="1"/>
  <c r="AH274" i="7" s="1"/>
  <c r="AM293" i="7"/>
  <c r="AH295" i="7"/>
  <c r="AM297" i="7"/>
  <c r="AM301" i="7"/>
  <c r="AH322" i="7"/>
  <c r="AH328" i="7"/>
  <c r="AH356" i="7"/>
  <c r="AM364" i="7"/>
  <c r="AM368" i="7"/>
  <c r="AM374" i="7"/>
  <c r="AM378" i="7"/>
  <c r="AM380" i="7"/>
  <c r="AH445" i="7"/>
  <c r="AM455" i="7"/>
  <c r="AM461" i="7"/>
  <c r="AM1169" i="7"/>
  <c r="AH2916" i="7"/>
  <c r="AH2963" i="7"/>
  <c r="AH1572" i="7"/>
  <c r="AA2943" i="7"/>
  <c r="AH3219" i="7"/>
  <c r="AE3092" i="7"/>
  <c r="AF3092" i="7" s="1"/>
  <c r="AA2963" i="7"/>
  <c r="AH2548" i="7"/>
  <c r="AC1572" i="7"/>
  <c r="AH2167" i="7"/>
  <c r="AA3219" i="7"/>
  <c r="AC2267" i="7"/>
  <c r="AM2267" i="7"/>
  <c r="AA2643" i="7"/>
  <c r="AM2643" i="7"/>
  <c r="AM2294" i="7"/>
  <c r="AC2294" i="7"/>
  <c r="AH480" i="7"/>
  <c r="AM480" i="7"/>
  <c r="AA1572" i="7"/>
  <c r="AM2550" i="7"/>
  <c r="AE2550" i="7"/>
  <c r="AF2550" i="7" s="1"/>
  <c r="AA2550" i="7"/>
  <c r="AE2167" i="7"/>
  <c r="AF2167" i="7" s="1"/>
  <c r="AA2404" i="7"/>
  <c r="AH2658" i="7"/>
  <c r="AA3345" i="7"/>
  <c r="AM3345" i="7"/>
  <c r="AC2603" i="7"/>
  <c r="AM2603" i="7"/>
  <c r="AE3480" i="7"/>
  <c r="AF3480" i="7" s="1"/>
  <c r="AA3480" i="7"/>
  <c r="AA2167" i="7"/>
  <c r="AH2404" i="7"/>
  <c r="AM1077" i="7"/>
  <c r="AC2888" i="7"/>
  <c r="AE2888" i="7"/>
  <c r="AF2888" i="7" s="1"/>
  <c r="AE3652" i="7"/>
  <c r="AF3652" i="7" s="1"/>
  <c r="AA3652" i="7"/>
  <c r="AC212" i="7"/>
  <c r="AC3546" i="7"/>
  <c r="AH3546" i="7"/>
  <c r="AM3546" i="7"/>
  <c r="AE3598" i="7"/>
  <c r="AF3598" i="7" s="1"/>
  <c r="AC2167" i="7"/>
  <c r="AM1620" i="7"/>
  <c r="AC2404" i="7"/>
  <c r="AH3368" i="7"/>
  <c r="AM3368" i="7"/>
  <c r="AA3368" i="7"/>
  <c r="AA2658" i="7"/>
  <c r="AE2658" i="7"/>
  <c r="AF2658" i="7" s="1"/>
  <c r="AE3398" i="7"/>
  <c r="AF3398" i="7" s="1"/>
  <c r="AC3398" i="7"/>
  <c r="AH3398" i="7"/>
  <c r="AE3219" i="7"/>
  <c r="AF3219" i="7" s="1"/>
  <c r="AC3219" i="7"/>
  <c r="AA3248" i="7"/>
  <c r="AE3248" i="7"/>
  <c r="AF3248" i="7" s="1"/>
  <c r="AA3207" i="7"/>
  <c r="AM3207" i="7"/>
  <c r="AH2942" i="7"/>
  <c r="AC2942" i="7"/>
  <c r="AC3774" i="7"/>
  <c r="AE3774" i="7"/>
  <c r="AF3774" i="7" s="1"/>
  <c r="AA3774" i="7"/>
  <c r="AA2279" i="7"/>
  <c r="AE2279" i="7"/>
  <c r="AF2279" i="7" s="1"/>
  <c r="AM2279" i="7"/>
  <c r="AC2279" i="7"/>
  <c r="AE2963" i="7"/>
  <c r="AF2963" i="7" s="1"/>
  <c r="AM3092" i="7"/>
  <c r="AE2404" i="7"/>
  <c r="AF2404" i="7" s="1"/>
  <c r="AA3533" i="7"/>
  <c r="AA3381" i="7"/>
  <c r="AH3381" i="7"/>
  <c r="AA2836" i="7"/>
  <c r="AC2836" i="7"/>
  <c r="AE2836" i="7"/>
  <c r="AF2836" i="7" s="1"/>
  <c r="AC2334" i="7"/>
  <c r="AM2334" i="7"/>
  <c r="AH2334" i="7"/>
  <c r="AE2334" i="7"/>
  <c r="AF2334" i="7" s="1"/>
  <c r="AM1845" i="7"/>
  <c r="AA1845" i="7"/>
  <c r="AM2914" i="7"/>
  <c r="AC2914" i="7"/>
  <c r="AA3018" i="7"/>
  <c r="AA3643" i="7"/>
  <c r="AE3643" i="7"/>
  <c r="AF3643" i="7" s="1"/>
  <c r="AC3091" i="7"/>
  <c r="AH3091" i="7"/>
  <c r="AA3091" i="7"/>
  <c r="AH3019" i="7"/>
  <c r="AE3019" i="7"/>
  <c r="AF3019" i="7" s="1"/>
  <c r="AC2916" i="7"/>
  <c r="AM2658" i="7"/>
  <c r="AM3533" i="7"/>
  <c r="AE3207" i="7"/>
  <c r="AF3207" i="7" s="1"/>
  <c r="AH204" i="7"/>
  <c r="AE3488" i="7"/>
  <c r="AF3488" i="7" s="1"/>
  <c r="AH3488" i="7"/>
  <c r="AA2691" i="7"/>
  <c r="AM2691" i="7"/>
  <c r="AE2691" i="7"/>
  <c r="AF2691" i="7" s="1"/>
  <c r="AA2758" i="7"/>
  <c r="AC2758" i="7"/>
  <c r="AA3674" i="7"/>
  <c r="AE3674" i="7"/>
  <c r="AF3674" i="7" s="1"/>
  <c r="AE3533" i="7"/>
  <c r="AF3533" i="7" s="1"/>
  <c r="AE2916" i="7"/>
  <c r="AF2916" i="7" s="1"/>
  <c r="AC3248" i="7"/>
  <c r="AE2942" i="7"/>
  <c r="AF2942" i="7" s="1"/>
  <c r="AM2201" i="7"/>
  <c r="AM2916" i="7"/>
  <c r="AC3207" i="7"/>
  <c r="AH3774" i="7"/>
  <c r="AE2453" i="7"/>
  <c r="AF2453" i="7" s="1"/>
  <c r="AA2453" i="7"/>
  <c r="AM3520" i="7"/>
  <c r="AE3520" i="7"/>
  <c r="AF3520" i="7" s="1"/>
  <c r="AH693" i="7"/>
  <c r="AM693" i="7"/>
  <c r="AC3533" i="7"/>
  <c r="AM3774" i="7"/>
  <c r="AA2596" i="7"/>
  <c r="AC2596" i="7"/>
  <c r="AE3271" i="7"/>
  <c r="AF3271" i="7" s="1"/>
  <c r="AA3271" i="7"/>
  <c r="AE2150" i="7"/>
  <c r="AF2150" i="7" s="1"/>
  <c r="AH2150" i="7"/>
  <c r="AH3540" i="7"/>
  <c r="AC3540" i="7"/>
  <c r="AE3285" i="7"/>
  <c r="AF3285" i="7" s="1"/>
  <c r="AC3285" i="7"/>
  <c r="AH20" i="7"/>
  <c r="AM20" i="7"/>
  <c r="AH48" i="7"/>
  <c r="AM48" i="7"/>
  <c r="AH182" i="7"/>
  <c r="AM182" i="7"/>
  <c r="AH3598" i="7"/>
  <c r="AC3598" i="7"/>
  <c r="AA2548" i="7"/>
  <c r="AM3248" i="7"/>
  <c r="AM2942" i="7"/>
  <c r="AH3092" i="7"/>
  <c r="AM104" i="7"/>
  <c r="AH100" i="7"/>
  <c r="AM3143" i="7"/>
  <c r="AA3143" i="7"/>
  <c r="AA3400" i="7"/>
  <c r="AC3400" i="7"/>
  <c r="AM2151" i="7"/>
  <c r="AA2151" i="7"/>
  <c r="AC2151" i="7"/>
  <c r="AE2151" i="7"/>
  <c r="AF2151" i="7" s="1"/>
  <c r="AM2803" i="7"/>
  <c r="AA2803" i="7"/>
  <c r="AH2803" i="7"/>
  <c r="AM1318" i="7"/>
  <c r="AH1318" i="7"/>
  <c r="AA2157" i="7"/>
  <c r="AH2157" i="7"/>
  <c r="AM3301" i="7"/>
  <c r="AH3301" i="7"/>
  <c r="AC3301" i="7"/>
  <c r="AH3438" i="7"/>
  <c r="AE3438" i="7"/>
  <c r="AF3438" i="7" s="1"/>
  <c r="AA3438" i="7"/>
  <c r="AC2422" i="7"/>
  <c r="AA2422" i="7"/>
  <c r="AH2422" i="7"/>
  <c r="AA3300" i="7"/>
  <c r="AH3300" i="7"/>
  <c r="AH2886" i="7"/>
  <c r="AM1466" i="7"/>
  <c r="AH1466" i="7"/>
  <c r="AM56" i="7"/>
  <c r="AM58" i="7"/>
  <c r="AM60" i="7"/>
  <c r="AM95" i="7"/>
  <c r="AM2548" i="7"/>
  <c r="AA2942" i="7"/>
  <c r="AA3398" i="7"/>
  <c r="AA2930" i="7"/>
  <c r="AM2930" i="7"/>
  <c r="AM3306" i="7"/>
  <c r="AH3306" i="7"/>
  <c r="AC3306" i="7"/>
  <c r="AH3463" i="7"/>
  <c r="AM3463" i="7"/>
  <c r="AE3274" i="7"/>
  <c r="AF3274" i="7" s="1"/>
  <c r="AA2687" i="7"/>
  <c r="AE2687" i="7"/>
  <c r="AF2687" i="7" s="1"/>
  <c r="AH1458" i="7"/>
  <c r="AM3231" i="7"/>
  <c r="AA3231" i="7"/>
  <c r="AA3619" i="7"/>
  <c r="AC3619" i="7"/>
  <c r="AE2324" i="7"/>
  <c r="AF2324" i="7" s="1"/>
  <c r="AA2324" i="7"/>
  <c r="AM2324" i="7"/>
  <c r="AE2760" i="7"/>
  <c r="AF2760" i="7" s="1"/>
  <c r="AA2760" i="7"/>
  <c r="AH310" i="7"/>
  <c r="AA117" i="7"/>
  <c r="Y107" i="7"/>
  <c r="Z107" i="7" s="1"/>
  <c r="Y535" i="7"/>
  <c r="Z535" i="7" s="1"/>
  <c r="AA535" i="7" s="1"/>
  <c r="AA3591" i="7"/>
  <c r="AE3504" i="7"/>
  <c r="AF3504" i="7" s="1"/>
  <c r="AM3109" i="7"/>
  <c r="AM57" i="7"/>
  <c r="AA489" i="7"/>
  <c r="Y218" i="7"/>
  <c r="Z218" i="7" s="1"/>
  <c r="Y77" i="7"/>
  <c r="Z77" i="7" s="1"/>
  <c r="AH77" i="7" s="1"/>
  <c r="AM162" i="7"/>
  <c r="Y191" i="7"/>
  <c r="Z191" i="7" s="1"/>
  <c r="AM191" i="7" s="1"/>
  <c r="AH193" i="7"/>
  <c r="AM197" i="7"/>
  <c r="AM263" i="7"/>
  <c r="AM265" i="7"/>
  <c r="AM292" i="7"/>
  <c r="AH317" i="7"/>
  <c r="AH3109" i="7"/>
  <c r="Y630" i="7"/>
  <c r="Z630" i="7" s="1"/>
  <c r="AH9" i="7"/>
  <c r="AH13" i="7"/>
  <c r="AM15" i="7"/>
  <c r="AH21" i="7"/>
  <c r="AM29" i="7"/>
  <c r="AM31" i="7"/>
  <c r="AM47" i="7"/>
  <c r="AH63" i="7"/>
  <c r="AH67" i="7"/>
  <c r="AM81" i="7"/>
  <c r="Y94" i="7"/>
  <c r="Z94" i="7" s="1"/>
  <c r="AM94" i="7" s="1"/>
  <c r="Y154" i="7"/>
  <c r="Z154" i="7" s="1"/>
  <c r="AH108" i="7"/>
  <c r="AM112" i="7"/>
  <c r="AA2934" i="7"/>
  <c r="AA2012" i="7"/>
  <c r="AC380" i="7"/>
  <c r="Y453" i="7"/>
  <c r="Z453" i="7" s="1"/>
  <c r="Y382" i="7"/>
  <c r="Z382" i="7" s="1"/>
  <c r="AA90" i="7"/>
  <c r="AM169" i="7"/>
  <c r="AM196" i="7"/>
  <c r="AM295" i="7"/>
  <c r="Y299" i="7"/>
  <c r="Z299" i="7" s="1"/>
  <c r="AM299" i="7" s="1"/>
  <c r="AM324" i="7"/>
  <c r="Y180" i="7"/>
  <c r="Z180" i="7" s="1"/>
  <c r="Y326" i="7"/>
  <c r="Z326" i="7" s="1"/>
  <c r="AM14" i="7"/>
  <c r="AH90" i="7"/>
  <c r="AI220" i="7"/>
  <c r="AI502" i="7"/>
  <c r="AH485" i="7"/>
  <c r="AH489" i="7"/>
  <c r="AM497" i="7"/>
  <c r="AH2989" i="7"/>
  <c r="AH423" i="7"/>
  <c r="Y312" i="7"/>
  <c r="Z312" i="7" s="1"/>
  <c r="Y733" i="7"/>
  <c r="Z733" i="7" s="1"/>
  <c r="AM733" i="7" s="1"/>
  <c r="AH817" i="7"/>
  <c r="Y821" i="7"/>
  <c r="Z821" i="7" s="1"/>
  <c r="Y840" i="7"/>
  <c r="Z840" i="7" s="1"/>
  <c r="AH840" i="7" s="1"/>
  <c r="Y1090" i="7"/>
  <c r="Z1090" i="7" s="1"/>
  <c r="AH1090" i="7" s="1"/>
  <c r="AH1094" i="7"/>
  <c r="Y1590" i="7"/>
  <c r="Z1590" i="7" s="1"/>
  <c r="Y1818" i="7"/>
  <c r="Z1818" i="7" s="1"/>
  <c r="AC1818" i="7" s="1"/>
  <c r="Y1822" i="7"/>
  <c r="Z1822" i="7" s="1"/>
  <c r="Y1824" i="7"/>
  <c r="Z1824" i="7" s="1"/>
  <c r="AH1824" i="7" s="1"/>
  <c r="AM1842" i="7"/>
  <c r="Y1854" i="7"/>
  <c r="Z1854" i="7" s="1"/>
  <c r="Y1858" i="7"/>
  <c r="Z1858" i="7" s="1"/>
  <c r="Y1872" i="7"/>
  <c r="Z1872" i="7" s="1"/>
  <c r="AH1876" i="7"/>
  <c r="AM1894" i="7"/>
  <c r="Y1896" i="7"/>
  <c r="Z1896" i="7" s="1"/>
  <c r="Y1936" i="7"/>
  <c r="Z1936" i="7" s="1"/>
  <c r="Y3097" i="7"/>
  <c r="Z3097" i="7" s="1"/>
  <c r="Y3099" i="7"/>
  <c r="Z3099" i="7" s="1"/>
  <c r="AH622" i="7"/>
  <c r="AH624" i="7"/>
  <c r="Y628" i="7"/>
  <c r="Z628" i="7" s="1"/>
  <c r="AM628" i="7" s="1"/>
  <c r="AH667" i="7"/>
  <c r="Y684" i="7"/>
  <c r="Z684" i="7" s="1"/>
  <c r="AM684" i="7" s="1"/>
  <c r="AM688" i="7"/>
  <c r="Y692" i="7"/>
  <c r="Z692" i="7" s="1"/>
  <c r="AH692" i="7" s="1"/>
  <c r="AM696" i="7"/>
  <c r="Y1642" i="7"/>
  <c r="Z1642" i="7" s="1"/>
  <c r="AH1642" i="7" s="1"/>
  <c r="Y1651" i="7"/>
  <c r="Z1651" i="7" s="1"/>
  <c r="AM1665" i="7"/>
  <c r="AH1706" i="7"/>
  <c r="AH1723" i="7"/>
  <c r="Y1727" i="7"/>
  <c r="Z1727" i="7" s="1"/>
  <c r="AH1729" i="7"/>
  <c r="AM1463" i="7"/>
  <c r="AM1469" i="7"/>
  <c r="Y1471" i="7"/>
  <c r="Z1471" i="7" s="1"/>
  <c r="Y1481" i="7"/>
  <c r="Z1481" i="7" s="1"/>
  <c r="Y1483" i="7"/>
  <c r="Z1483" i="7" s="1"/>
  <c r="Y1485" i="7"/>
  <c r="Z1485" i="7" s="1"/>
  <c r="Y1491" i="7"/>
  <c r="Z1491" i="7" s="1"/>
  <c r="Y1493" i="7"/>
  <c r="Z1493" i="7" s="1"/>
  <c r="Y1495" i="7"/>
  <c r="Z1495" i="7" s="1"/>
  <c r="Y1518" i="7"/>
  <c r="Z1518" i="7" s="1"/>
  <c r="AM1518" i="7" s="1"/>
  <c r="Y1520" i="7"/>
  <c r="Z1520" i="7" s="1"/>
  <c r="AH1524" i="7"/>
  <c r="AH1541" i="7"/>
  <c r="AM1545" i="7"/>
  <c r="AM1551" i="7"/>
  <c r="AH1553" i="7"/>
  <c r="Y1557" i="7"/>
  <c r="Z1557" i="7" s="1"/>
  <c r="AM1583" i="7"/>
  <c r="Y1585" i="7"/>
  <c r="Z1585" i="7" s="1"/>
  <c r="Y1594" i="7"/>
  <c r="Z1594" i="7" s="1"/>
  <c r="AH1594" i="7" s="1"/>
  <c r="Y1596" i="7"/>
  <c r="Z1596" i="7" s="1"/>
  <c r="Y1598" i="7"/>
  <c r="Z1598" i="7" s="1"/>
  <c r="Y894" i="7"/>
  <c r="Z894" i="7" s="1"/>
  <c r="AH894" i="7" s="1"/>
  <c r="Y968" i="7"/>
  <c r="Z968" i="7" s="1"/>
  <c r="AH1189" i="7"/>
  <c r="Y1191" i="7"/>
  <c r="Z1191" i="7" s="1"/>
  <c r="AH1257" i="7"/>
  <c r="Y1291" i="7"/>
  <c r="Z1291" i="7" s="1"/>
  <c r="AH1305" i="7"/>
  <c r="AM1311" i="7"/>
  <c r="AM1321" i="7"/>
  <c r="AH1425" i="7"/>
  <c r="AM1437" i="7"/>
  <c r="AM1439" i="7"/>
  <c r="AM1441" i="7"/>
  <c r="Y1443" i="7"/>
  <c r="Z1443" i="7" s="1"/>
  <c r="Y2923" i="7"/>
  <c r="Z2923" i="7" s="1"/>
  <c r="AH2923" i="7" s="1"/>
  <c r="AM2925" i="7"/>
  <c r="AM2927" i="7"/>
  <c r="Y2935" i="7"/>
  <c r="Z2935" i="7" s="1"/>
  <c r="AC2935" i="7" s="1"/>
  <c r="Y2945" i="7"/>
  <c r="Z2945" i="7" s="1"/>
  <c r="AE2945" i="7" s="1"/>
  <c r="AF2945" i="7" s="1"/>
  <c r="AM348" i="7"/>
  <c r="AM367" i="7"/>
  <c r="AM369" i="7"/>
  <c r="Y375" i="7"/>
  <c r="Z375" i="7" s="1"/>
  <c r="AM375" i="7" s="1"/>
  <c r="AM377" i="7"/>
  <c r="AM381" i="7"/>
  <c r="AH383" i="7"/>
  <c r="AM389" i="7"/>
  <c r="AH391" i="7"/>
  <c r="AM401" i="7"/>
  <c r="AH403" i="7"/>
  <c r="AH407" i="7"/>
  <c r="AH411" i="7"/>
  <c r="AH426" i="7"/>
  <c r="AH432" i="7"/>
  <c r="AH438" i="7"/>
  <c r="AH440" i="7"/>
  <c r="AH446" i="7"/>
  <c r="AH448" i="7"/>
  <c r="AH462" i="7"/>
  <c r="AH468" i="7"/>
  <c r="AM501" i="7"/>
  <c r="AM503" i="7"/>
  <c r="AM507" i="7"/>
  <c r="Y575" i="7"/>
  <c r="Z575" i="7" s="1"/>
  <c r="Y577" i="7"/>
  <c r="Z577" i="7" s="1"/>
  <c r="Y581" i="7"/>
  <c r="Z581" i="7" s="1"/>
  <c r="AM581" i="7" s="1"/>
  <c r="AM583" i="7"/>
  <c r="AM585" i="7"/>
  <c r="AH631" i="7"/>
  <c r="AM635" i="7"/>
  <c r="AM637" i="7"/>
  <c r="Y641" i="7"/>
  <c r="Z641" i="7" s="1"/>
  <c r="AM643" i="7"/>
  <c r="AH645" i="7"/>
  <c r="Y672" i="7"/>
  <c r="Z672" i="7" s="1"/>
  <c r="Y703" i="7"/>
  <c r="Z703" i="7" s="1"/>
  <c r="AM705" i="7"/>
  <c r="AM707" i="7"/>
  <c r="AH734" i="7"/>
  <c r="Y744" i="7"/>
  <c r="Z744" i="7" s="1"/>
  <c r="AM744" i="7" s="1"/>
  <c r="Y748" i="7"/>
  <c r="Z748" i="7" s="1"/>
  <c r="Y750" i="7"/>
  <c r="Z750" i="7" s="1"/>
  <c r="AH752" i="7"/>
  <c r="AH818" i="7"/>
  <c r="AM841" i="7"/>
  <c r="AH918" i="7"/>
  <c r="Y946" i="7"/>
  <c r="Z946" i="7" s="1"/>
  <c r="Y948" i="7"/>
  <c r="Z948" i="7" s="1"/>
  <c r="AM950" i="7"/>
  <c r="AH952" i="7"/>
  <c r="Y956" i="7"/>
  <c r="Z956" i="7" s="1"/>
  <c r="Y958" i="7"/>
  <c r="Z958" i="7" s="1"/>
  <c r="AH960" i="7"/>
  <c r="AM962" i="7"/>
  <c r="Y976" i="7"/>
  <c r="Z976" i="7" s="1"/>
  <c r="AM984" i="7"/>
  <c r="Y996" i="7"/>
  <c r="Z996" i="7" s="1"/>
  <c r="AH1007" i="7"/>
  <c r="Y1009" i="7"/>
  <c r="Z1009" i="7" s="1"/>
  <c r="AH1013" i="7"/>
  <c r="AH1023" i="7"/>
  <c r="Y1027" i="7"/>
  <c r="Z1027" i="7" s="1"/>
  <c r="AH1029" i="7"/>
  <c r="AM1031" i="7"/>
  <c r="AH1039" i="7"/>
  <c r="Y1041" i="7"/>
  <c r="Z1041" i="7" s="1"/>
  <c r="AH1121" i="7"/>
  <c r="Y1123" i="7"/>
  <c r="Z1123" i="7" s="1"/>
  <c r="AM1133" i="7"/>
  <c r="AH1137" i="7"/>
  <c r="Y1139" i="7"/>
  <c r="Z1139" i="7" s="1"/>
  <c r="Y1141" i="7"/>
  <c r="Z1141" i="7" s="1"/>
  <c r="Y1143" i="7"/>
  <c r="Z1143" i="7" s="1"/>
  <c r="Y1506" i="7"/>
  <c r="Z1506" i="7" s="1"/>
  <c r="AM1506" i="7" s="1"/>
  <c r="Y1508" i="7"/>
  <c r="Z1508" i="7" s="1"/>
  <c r="AM1508" i="7" s="1"/>
  <c r="Y1533" i="7"/>
  <c r="Z1533" i="7" s="1"/>
  <c r="AC1533" i="7" s="1"/>
  <c r="Y1535" i="7"/>
  <c r="Z1535" i="7" s="1"/>
  <c r="Y1539" i="7"/>
  <c r="Z1539" i="7" s="1"/>
  <c r="Y1567" i="7"/>
  <c r="Z1567" i="7" s="1"/>
  <c r="Y1569" i="7"/>
  <c r="Z1569" i="7" s="1"/>
  <c r="Y1571" i="7"/>
  <c r="Z1571" i="7" s="1"/>
  <c r="Y1589" i="7"/>
  <c r="Z1589" i="7" s="1"/>
  <c r="Y1621" i="7"/>
  <c r="Z1621" i="7" s="1"/>
  <c r="AH415" i="7"/>
  <c r="Y417" i="7"/>
  <c r="Z417" i="7" s="1"/>
  <c r="Y474" i="7"/>
  <c r="Z474" i="7" s="1"/>
  <c r="AH474" i="7" s="1"/>
  <c r="AH1521" i="7"/>
  <c r="Y2203" i="7"/>
  <c r="Z2203" i="7" s="1"/>
  <c r="AM2639" i="7"/>
  <c r="Y2565" i="7"/>
  <c r="Z2565" i="7" s="1"/>
  <c r="AE2565" i="7" s="1"/>
  <c r="AF2565" i="7" s="1"/>
  <c r="Y2571" i="7"/>
  <c r="Z2571" i="7" s="1"/>
  <c r="AM2571" i="7" s="1"/>
  <c r="AM574" i="7"/>
  <c r="AH1300" i="7"/>
  <c r="AM2305" i="7"/>
  <c r="AH2329" i="7"/>
  <c r="Y2339" i="7"/>
  <c r="Z2339" i="7" s="1"/>
  <c r="AM2345" i="7"/>
  <c r="Y2373" i="7"/>
  <c r="Z2373" i="7" s="1"/>
  <c r="AM2375" i="7"/>
  <c r="Y2387" i="7"/>
  <c r="Z2387" i="7" s="1"/>
  <c r="AH2457" i="7"/>
  <c r="AM2589" i="7"/>
  <c r="Y2652" i="7"/>
  <c r="Z2652" i="7" s="1"/>
  <c r="AE2652" i="7" s="1"/>
  <c r="AF2652" i="7" s="1"/>
  <c r="Y3309" i="7"/>
  <c r="Z3309" i="7" s="1"/>
  <c r="Y3313" i="7"/>
  <c r="Z3313" i="7" s="1"/>
  <c r="AA3313" i="7" s="1"/>
  <c r="Y3364" i="7"/>
  <c r="Z3364" i="7" s="1"/>
  <c r="Y3386" i="7"/>
  <c r="Z3386" i="7" s="1"/>
  <c r="Y3397" i="7"/>
  <c r="Z3397" i="7" s="1"/>
  <c r="Y3454" i="7"/>
  <c r="Z3454" i="7" s="1"/>
  <c r="AM3614" i="7"/>
  <c r="AC2970" i="7"/>
  <c r="AH643" i="7"/>
  <c r="AM1189" i="7"/>
  <c r="Y922" i="7"/>
  <c r="Z922" i="7" s="1"/>
  <c r="AE3017" i="7"/>
  <c r="AF3017" i="7" s="1"/>
  <c r="AC3105" i="7"/>
  <c r="AM2417" i="7"/>
  <c r="AH162" i="7"/>
  <c r="AM365" i="7"/>
  <c r="AH365" i="7"/>
  <c r="AH399" i="7"/>
  <c r="AM399" i="7"/>
  <c r="AM405" i="7"/>
  <c r="AH405" i="7"/>
  <c r="AM579" i="7"/>
  <c r="AH579" i="7"/>
  <c r="AH633" i="7"/>
  <c r="AM633" i="7"/>
  <c r="AM820" i="7"/>
  <c r="AH820" i="7"/>
  <c r="AH839" i="7"/>
  <c r="AM839" i="7"/>
  <c r="AI845" i="7"/>
  <c r="Y845" i="7"/>
  <c r="Z845" i="7" s="1"/>
  <c r="AI847" i="7"/>
  <c r="AJ847" i="7" s="1"/>
  <c r="Y847" i="7"/>
  <c r="Z847" i="7" s="1"/>
  <c r="AH847" i="7" s="1"/>
  <c r="AH1005" i="7"/>
  <c r="AM1005" i="7"/>
  <c r="AH1017" i="7"/>
  <c r="AM1017" i="7"/>
  <c r="AM1021" i="7"/>
  <c r="AH1021" i="7"/>
  <c r="AI1119" i="7"/>
  <c r="Y1119" i="7"/>
  <c r="Z1119" i="7" s="1"/>
  <c r="AC1127" i="7"/>
  <c r="AM1127" i="7"/>
  <c r="AI1129" i="7"/>
  <c r="Y1129" i="7"/>
  <c r="Z1129" i="7" s="1"/>
  <c r="AI1135" i="7"/>
  <c r="Y1135" i="7"/>
  <c r="Z1135" i="7" s="1"/>
  <c r="AC3119" i="7"/>
  <c r="AE3119" i="7"/>
  <c r="AF3119" i="7" s="1"/>
  <c r="AH343" i="7"/>
  <c r="AM343" i="7"/>
  <c r="AH519" i="7"/>
  <c r="AM519" i="7"/>
  <c r="AM523" i="7"/>
  <c r="AH523" i="7"/>
  <c r="AH545" i="7"/>
  <c r="AM545" i="7"/>
  <c r="AE3421" i="7"/>
  <c r="AF3421" i="7" s="1"/>
  <c r="AE3226" i="7"/>
  <c r="AF3226" i="7" s="1"/>
  <c r="AA2293" i="7"/>
  <c r="AC2104" i="7"/>
  <c r="AA2055" i="7"/>
  <c r="AC2835" i="7"/>
  <c r="AA2835" i="7"/>
  <c r="AA3084" i="7"/>
  <c r="AH197" i="7"/>
  <c r="AM193" i="7"/>
  <c r="AM19" i="7"/>
  <c r="AC19" i="7"/>
  <c r="AM33" i="7"/>
  <c r="AC33" i="7"/>
  <c r="Y37" i="7"/>
  <c r="Z37" i="7" s="1"/>
  <c r="AI37" i="7"/>
  <c r="AA43" i="7"/>
  <c r="AC43" i="7"/>
  <c r="AC126" i="7"/>
  <c r="AA126" i="7"/>
  <c r="AM345" i="7"/>
  <c r="AM350" i="7"/>
  <c r="AH352" i="7"/>
  <c r="AM352" i="7"/>
  <c r="AM413" i="7"/>
  <c r="AM424" i="7"/>
  <c r="AH424" i="7"/>
  <c r="AH1809" i="7"/>
  <c r="AM1809" i="7"/>
  <c r="AA2559" i="7"/>
  <c r="AM2559" i="7"/>
  <c r="AM3421" i="7"/>
  <c r="AH2998" i="7"/>
  <c r="AC2998" i="7"/>
  <c r="AM3340" i="7"/>
  <c r="AH3017" i="7"/>
  <c r="AA2924" i="7"/>
  <c r="AA3105" i="7"/>
  <c r="AC3482" i="7"/>
  <c r="AE3601" i="7"/>
  <c r="AF3601" i="7" s="1"/>
  <c r="AE2293" i="7"/>
  <c r="AF2293" i="7" s="1"/>
  <c r="AA3072" i="7"/>
  <c r="AC2055" i="7"/>
  <c r="AA3077" i="7"/>
  <c r="AM2835" i="7"/>
  <c r="AA1835" i="7"/>
  <c r="AM383" i="7"/>
  <c r="AH635" i="7"/>
  <c r="Y2335" i="7"/>
  <c r="Z2335" i="7" s="1"/>
  <c r="AM173" i="7"/>
  <c r="AH173" i="7"/>
  <c r="AA173" i="7"/>
  <c r="AH208" i="7"/>
  <c r="AM208" i="7"/>
  <c r="AE3612" i="7"/>
  <c r="AF3612" i="7" s="1"/>
  <c r="AC3421" i="7"/>
  <c r="AC2505" i="7"/>
  <c r="AA3017" i="7"/>
  <c r="AH3045" i="7"/>
  <c r="AC3601" i="7"/>
  <c r="AH3612" i="7"/>
  <c r="AC2293" i="7"/>
  <c r="AC3178" i="7"/>
  <c r="AH3072" i="7"/>
  <c r="AM3017" i="7"/>
  <c r="AC3179" i="7"/>
  <c r="AC2867" i="7"/>
  <c r="AE2452" i="7"/>
  <c r="AF2452" i="7" s="1"/>
  <c r="AM438" i="7"/>
  <c r="AH401" i="7"/>
  <c r="AM411" i="7"/>
  <c r="AH583" i="7"/>
  <c r="AM51" i="7"/>
  <c r="AH51" i="7"/>
  <c r="AH110" i="7"/>
  <c r="AM110" i="7"/>
  <c r="AH1430" i="7"/>
  <c r="AA3601" i="7"/>
  <c r="AA3612" i="7"/>
  <c r="AH3179" i="7"/>
  <c r="AM549" i="7"/>
  <c r="AE2307" i="7"/>
  <c r="AF2307" i="7" s="1"/>
  <c r="AM2307" i="7"/>
  <c r="AA2307" i="7"/>
  <c r="AI2315" i="7"/>
  <c r="Y2315" i="7"/>
  <c r="Z2315" i="7" s="1"/>
  <c r="AA2317" i="7"/>
  <c r="AC2317" i="7"/>
  <c r="AI2319" i="7"/>
  <c r="Y2319" i="7"/>
  <c r="Z2319" i="7" s="1"/>
  <c r="AI2321" i="7"/>
  <c r="Y2321" i="7"/>
  <c r="Z2321" i="7" s="1"/>
  <c r="AI2325" i="7"/>
  <c r="Y2325" i="7"/>
  <c r="Z2325" i="7" s="1"/>
  <c r="AI2337" i="7"/>
  <c r="Y2337" i="7"/>
  <c r="Z2337" i="7" s="1"/>
  <c r="AH2343" i="7"/>
  <c r="AC2343" i="7"/>
  <c r="AI2349" i="7"/>
  <c r="Y2349" i="7"/>
  <c r="Z2349" i="7" s="1"/>
  <c r="AI2355" i="7"/>
  <c r="Y2355" i="7"/>
  <c r="Z2355" i="7" s="1"/>
  <c r="AC2355" i="7" s="1"/>
  <c r="AE2357" i="7"/>
  <c r="AF2357" i="7" s="1"/>
  <c r="AC2357" i="7"/>
  <c r="AI2440" i="7"/>
  <c r="Y2440" i="7"/>
  <c r="Z2440" i="7" s="1"/>
  <c r="AI2467" i="7"/>
  <c r="Y2467" i="7"/>
  <c r="Z2467" i="7" s="1"/>
  <c r="AI2469" i="7"/>
  <c r="Y2469" i="7"/>
  <c r="Z2469" i="7" s="1"/>
  <c r="AI2477" i="7"/>
  <c r="Y2477" i="7"/>
  <c r="Z2477" i="7" s="1"/>
  <c r="AE2481" i="7"/>
  <c r="AF2481" i="7" s="1"/>
  <c r="AA2481" i="7"/>
  <c r="AC2481" i="7"/>
  <c r="AH2481" i="7"/>
  <c r="Y2489" i="7"/>
  <c r="Z2489" i="7" s="1"/>
  <c r="AI2489" i="7"/>
  <c r="AH2493" i="7"/>
  <c r="AC2493" i="7"/>
  <c r="AI2518" i="7"/>
  <c r="Y2518" i="7"/>
  <c r="Z2518" i="7" s="1"/>
  <c r="AI2535" i="7"/>
  <c r="Y2535" i="7"/>
  <c r="Z2535" i="7" s="1"/>
  <c r="AC2537" i="7"/>
  <c r="AM2537" i="7"/>
  <c r="AI2539" i="7"/>
  <c r="Y2539" i="7"/>
  <c r="Z2539" i="7" s="1"/>
  <c r="AI2628" i="7"/>
  <c r="Y2628" i="7"/>
  <c r="Z2628" i="7" s="1"/>
  <c r="AC2630" i="7"/>
  <c r="AM2630" i="7"/>
  <c r="AI2634" i="7"/>
  <c r="Y2634" i="7"/>
  <c r="Z2634" i="7" s="1"/>
  <c r="AM3226" i="7"/>
  <c r="AC3226" i="7"/>
  <c r="AE3105" i="7"/>
  <c r="AF3105" i="7" s="1"/>
  <c r="AM3612" i="7"/>
  <c r="AE2417" i="7"/>
  <c r="AF2417" i="7" s="1"/>
  <c r="AM3178" i="7"/>
  <c r="AA2867" i="7"/>
  <c r="AH377" i="7"/>
  <c r="AM2009" i="7"/>
  <c r="AH2009" i="7"/>
  <c r="AA2019" i="7"/>
  <c r="AM2019" i="7"/>
  <c r="AE2019" i="7"/>
  <c r="AF2019" i="7" s="1"/>
  <c r="AA2029" i="7"/>
  <c r="AH2029" i="7"/>
  <c r="AI2033" i="7"/>
  <c r="Y2033" i="7"/>
  <c r="Z2033" i="7" s="1"/>
  <c r="AH2063" i="7"/>
  <c r="AM2063" i="7"/>
  <c r="AH2069" i="7"/>
  <c r="AM2069" i="7"/>
  <c r="AH2071" i="7"/>
  <c r="AM2071" i="7"/>
  <c r="AC2091" i="7"/>
  <c r="AE2091" i="7"/>
  <c r="AF2091" i="7" s="1"/>
  <c r="AM2091" i="7"/>
  <c r="AM2129" i="7"/>
  <c r="AA2129" i="7"/>
  <c r="AI2161" i="7"/>
  <c r="Y2161" i="7"/>
  <c r="Z2161" i="7" s="1"/>
  <c r="AE2214" i="7"/>
  <c r="AF2214" i="7" s="1"/>
  <c r="AA2214" i="7"/>
  <c r="AH2214" i="7"/>
  <c r="AE2222" i="7"/>
  <c r="AF2222" i="7" s="1"/>
  <c r="AM2222" i="7"/>
  <c r="AI2226" i="7"/>
  <c r="Y2226" i="7"/>
  <c r="Z2226" i="7" s="1"/>
  <c r="AE2232" i="7"/>
  <c r="AF2232" i="7" s="1"/>
  <c r="AA2232" i="7"/>
  <c r="AC2243" i="7"/>
  <c r="AA2243" i="7"/>
  <c r="AE2998" i="7"/>
  <c r="AF2998" i="7" s="1"/>
  <c r="AH3105" i="7"/>
  <c r="AM2998" i="7"/>
  <c r="AC3056" i="7"/>
  <c r="AM1071" i="7"/>
  <c r="AH2417" i="7"/>
  <c r="AA3056" i="7"/>
  <c r="AM529" i="7"/>
  <c r="AC2452" i="7"/>
  <c r="AA3179" i="7"/>
  <c r="AE2867" i="7"/>
  <c r="AF2867" i="7" s="1"/>
  <c r="AH574" i="7"/>
  <c r="AH553" i="7"/>
  <c r="AA411" i="7"/>
  <c r="AM752" i="7"/>
  <c r="AH1880" i="7"/>
  <c r="AM1880" i="7"/>
  <c r="AM1904" i="7"/>
  <c r="AH1904" i="7"/>
  <c r="AA3178" i="7"/>
  <c r="AA1247" i="7"/>
  <c r="AA3340" i="7"/>
  <c r="AH3077" i="7"/>
  <c r="AH1473" i="7"/>
  <c r="AC411" i="7"/>
  <c r="AM391" i="7"/>
  <c r="AI1629" i="7"/>
  <c r="Y1629" i="7"/>
  <c r="Z1629" i="7" s="1"/>
  <c r="AM1629" i="7" s="1"/>
  <c r="AH1663" i="7"/>
  <c r="AM1663" i="7"/>
  <c r="AM1667" i="7"/>
  <c r="AH1667" i="7"/>
  <c r="AM1719" i="7"/>
  <c r="AH1719" i="7"/>
  <c r="AI1721" i="7"/>
  <c r="Y1721" i="7"/>
  <c r="Z1721" i="7" s="1"/>
  <c r="AM1721" i="7" s="1"/>
  <c r="AA3226" i="7"/>
  <c r="AH3421" i="7"/>
  <c r="AE2559" i="7"/>
  <c r="AF2559" i="7" s="1"/>
  <c r="AC2924" i="7"/>
  <c r="AA3045" i="7"/>
  <c r="AH3482" i="7"/>
  <c r="AA3482" i="7"/>
  <c r="AA162" i="7"/>
  <c r="AE3179" i="7"/>
  <c r="AF3179" i="7" s="1"/>
  <c r="AC3077" i="7"/>
  <c r="AE3340" i="7"/>
  <c r="AF3340" i="7" s="1"/>
  <c r="AH2970" i="7"/>
  <c r="AM2970" i="7"/>
  <c r="AM1477" i="7"/>
  <c r="AA1477" i="7"/>
  <c r="AI1479" i="7"/>
  <c r="Y1479" i="7"/>
  <c r="Z1479" i="7" s="1"/>
  <c r="AI1497" i="7"/>
  <c r="Y1497" i="7"/>
  <c r="Z1497" i="7" s="1"/>
  <c r="AI1499" i="7"/>
  <c r="Y1499" i="7"/>
  <c r="Z1499" i="7" s="1"/>
  <c r="AH1522" i="7"/>
  <c r="AM1522" i="7"/>
  <c r="AI1559" i="7"/>
  <c r="Y1559" i="7"/>
  <c r="Z1559" i="7" s="1"/>
  <c r="AH1561" i="7"/>
  <c r="AM1561" i="7"/>
  <c r="AM1606" i="7"/>
  <c r="AH1606" i="7"/>
  <c r="AI1612" i="7"/>
  <c r="Y1612" i="7"/>
  <c r="Z1612" i="7" s="1"/>
  <c r="AC2540" i="7"/>
  <c r="AE2055" i="7"/>
  <c r="AF2055" i="7" s="1"/>
  <c r="AM426" i="7"/>
  <c r="AM251" i="7"/>
  <c r="AM734" i="7"/>
  <c r="AM1227" i="7"/>
  <c r="AH1227" i="7"/>
  <c r="AI1249" i="7"/>
  <c r="Y1249" i="7"/>
  <c r="Z1249" i="7" s="1"/>
  <c r="AI1253" i="7"/>
  <c r="Y1253" i="7"/>
  <c r="Z1253" i="7" s="1"/>
  <c r="AI1255" i="7"/>
  <c r="Y1255" i="7"/>
  <c r="Z1255" i="7" s="1"/>
  <c r="AI1259" i="7"/>
  <c r="Y1259" i="7"/>
  <c r="Z1259" i="7" s="1"/>
  <c r="AA1303" i="7"/>
  <c r="AM1303" i="7"/>
  <c r="AI1307" i="7"/>
  <c r="Y1307" i="7"/>
  <c r="Z1307" i="7" s="1"/>
  <c r="AH1307" i="7" s="1"/>
  <c r="AI1309" i="7"/>
  <c r="Y1309" i="7"/>
  <c r="Z1309" i="7" s="1"/>
  <c r="AH1389" i="7"/>
  <c r="AM1389" i="7"/>
  <c r="AI1391" i="7"/>
  <c r="Y1391" i="7"/>
  <c r="Z1391" i="7" s="1"/>
  <c r="AI1393" i="7"/>
  <c r="Y1393" i="7"/>
  <c r="Z1393" i="7" s="1"/>
  <c r="AH1397" i="7"/>
  <c r="AM1397" i="7"/>
  <c r="AI1401" i="7"/>
  <c r="Y1401" i="7"/>
  <c r="Z1401" i="7" s="1"/>
  <c r="AM1407" i="7"/>
  <c r="AH1407" i="7"/>
  <c r="AI1423" i="7"/>
  <c r="Y1423" i="7"/>
  <c r="Z1423" i="7" s="1"/>
  <c r="AH1423" i="7" s="1"/>
  <c r="AM1461" i="7"/>
  <c r="AH1461" i="7"/>
  <c r="AM177" i="7"/>
  <c r="Y1798" i="7"/>
  <c r="Z1798" i="7" s="1"/>
  <c r="Y1802" i="7"/>
  <c r="Z1802" i="7" s="1"/>
  <c r="Y1814" i="7"/>
  <c r="Z1814" i="7" s="1"/>
  <c r="AM2083" i="7"/>
  <c r="Y2283" i="7"/>
  <c r="Z2283" i="7" s="1"/>
  <c r="Y3742" i="7"/>
  <c r="Z3742" i="7" s="1"/>
  <c r="Y3660" i="7"/>
  <c r="Z3660" i="7" s="1"/>
  <c r="AM468" i="7"/>
  <c r="Y131" i="7"/>
  <c r="Z131" i="7" s="1"/>
  <c r="AH131" i="7" s="1"/>
  <c r="AH198" i="7"/>
  <c r="AM334" i="7"/>
  <c r="Y336" i="7"/>
  <c r="Z336" i="7" s="1"/>
  <c r="Y338" i="7"/>
  <c r="Z338" i="7" s="1"/>
  <c r="AH338" i="7" s="1"/>
  <c r="AM1702" i="7"/>
  <c r="Y1942" i="7"/>
  <c r="Z1942" i="7" s="1"/>
  <c r="Y1976" i="7"/>
  <c r="Z1976" i="7" s="1"/>
  <c r="AI3753" i="7"/>
  <c r="Y3690" i="7"/>
  <c r="Z3690" i="7" s="1"/>
  <c r="AM3710" i="7"/>
  <c r="Y3699" i="7"/>
  <c r="Z3699" i="7" s="1"/>
  <c r="AC3699" i="7" s="1"/>
  <c r="AM2549" i="7"/>
  <c r="AH507" i="7"/>
  <c r="Y738" i="7"/>
  <c r="Z738" i="7" s="1"/>
  <c r="AM738" i="7" s="1"/>
  <c r="AM18" i="7"/>
  <c r="AM28" i="7"/>
  <c r="AM30" i="7"/>
  <c r="AH64" i="7"/>
  <c r="AH66" i="7"/>
  <c r="AH68" i="7"/>
  <c r="AH80" i="7"/>
  <c r="AH459" i="7"/>
  <c r="AH654" i="7"/>
  <c r="AH718" i="7"/>
  <c r="AH1347" i="7"/>
  <c r="Y1357" i="7"/>
  <c r="Z1357" i="7" s="1"/>
  <c r="AM1357" i="7" s="1"/>
  <c r="AM1359" i="7"/>
  <c r="Y1361" i="7"/>
  <c r="Z1361" i="7" s="1"/>
  <c r="AM1365" i="7"/>
  <c r="Y1367" i="7"/>
  <c r="Z1367" i="7" s="1"/>
  <c r="Y1375" i="7"/>
  <c r="Z1375" i="7" s="1"/>
  <c r="Y1617" i="7"/>
  <c r="Z1617" i="7" s="1"/>
  <c r="AH1676" i="7"/>
  <c r="AH653" i="7"/>
  <c r="AI468" i="7"/>
  <c r="AM2929" i="7"/>
  <c r="AH2937" i="7"/>
  <c r="AM2941" i="7"/>
  <c r="AM2943" i="7"/>
  <c r="AM458" i="7"/>
  <c r="AH1725" i="7"/>
  <c r="AM587" i="7"/>
  <c r="AM1677" i="7"/>
  <c r="Y105" i="7"/>
  <c r="Z105" i="7" s="1"/>
  <c r="AM589" i="7"/>
  <c r="Y1226" i="7"/>
  <c r="Z1226" i="7" s="1"/>
  <c r="AH1226" i="7" s="1"/>
  <c r="AH1228" i="7"/>
  <c r="AM1232" i="7"/>
  <c r="AM1262" i="7"/>
  <c r="Y1264" i="7"/>
  <c r="Z1264" i="7" s="1"/>
  <c r="AH1264" i="7" s="1"/>
  <c r="AH1266" i="7"/>
  <c r="AH1268" i="7"/>
  <c r="AM1280" i="7"/>
  <c r="Y1282" i="7"/>
  <c r="Z1282" i="7" s="1"/>
  <c r="AA1282" i="7" s="1"/>
  <c r="AH1290" i="7"/>
  <c r="Y2819" i="7"/>
  <c r="Z2819" i="7" s="1"/>
  <c r="Y2885" i="7"/>
  <c r="Z2885" i="7" s="1"/>
  <c r="AH1640" i="7"/>
  <c r="AH501" i="7"/>
  <c r="AH1014" i="7"/>
  <c r="Y1128" i="7"/>
  <c r="Z1128" i="7" s="1"/>
  <c r="Y1132" i="7"/>
  <c r="Z1132" i="7" s="1"/>
  <c r="AM1132" i="7" s="1"/>
  <c r="AH1601" i="7"/>
  <c r="AH1746" i="7"/>
  <c r="AM166" i="7"/>
  <c r="Y892" i="7"/>
  <c r="Z892" i="7" s="1"/>
  <c r="AM892" i="7" s="1"/>
  <c r="AM927" i="7"/>
  <c r="AH933" i="7"/>
  <c r="Y935" i="7"/>
  <c r="Z935" i="7" s="1"/>
  <c r="Y943" i="7"/>
  <c r="Z943" i="7" s="1"/>
  <c r="AM943" i="7" s="1"/>
  <c r="Y999" i="7"/>
  <c r="Z999" i="7" s="1"/>
  <c r="Y1098" i="7"/>
  <c r="Z1098" i="7" s="1"/>
  <c r="AH1106" i="7"/>
  <c r="AH1153" i="7"/>
  <c r="AM317" i="7"/>
  <c r="AH355" i="7"/>
  <c r="AH369" i="7"/>
  <c r="AM373" i="7"/>
  <c r="Y395" i="7"/>
  <c r="Z395" i="7" s="1"/>
  <c r="AH851" i="7"/>
  <c r="AH874" i="7"/>
  <c r="Y914" i="7"/>
  <c r="Z914" i="7" s="1"/>
  <c r="AH2183" i="7"/>
  <c r="AM3411" i="7"/>
  <c r="Y849" i="7"/>
  <c r="Z849" i="7" s="1"/>
  <c r="AM1269" i="7"/>
  <c r="AC84" i="7"/>
  <c r="AM7" i="7"/>
  <c r="AH15" i="7"/>
  <c r="AM45" i="7"/>
  <c r="AM631" i="7"/>
  <c r="AM639" i="7"/>
  <c r="Y2491" i="7"/>
  <c r="Z2491" i="7" s="1"/>
  <c r="Y2545" i="7"/>
  <c r="Z2545" i="7" s="1"/>
  <c r="AM1576" i="7"/>
  <c r="AA3146" i="7"/>
  <c r="AM3146" i="7"/>
  <c r="AC3146" i="7"/>
  <c r="AH3146" i="7"/>
  <c r="AE3146" i="7"/>
  <c r="AF3146" i="7" s="1"/>
  <c r="AC1938" i="7"/>
  <c r="AM1938" i="7"/>
  <c r="Y1260" i="7"/>
  <c r="Z1260" i="7" s="1"/>
  <c r="AI1260" i="7"/>
  <c r="AA2382" i="7"/>
  <c r="AH3288" i="7"/>
  <c r="AC1958" i="7"/>
  <c r="AC3369" i="7"/>
  <c r="AH3094" i="7"/>
  <c r="AM1941" i="7"/>
  <c r="AA2039" i="7"/>
  <c r="AE3396" i="7"/>
  <c r="AF3396" i="7" s="1"/>
  <c r="AE3487" i="7"/>
  <c r="AF3487" i="7" s="1"/>
  <c r="AH2552" i="7"/>
  <c r="AH1302" i="7"/>
  <c r="AH2964" i="7"/>
  <c r="AM1310" i="7"/>
  <c r="AM1188" i="7"/>
  <c r="Y1190" i="7"/>
  <c r="Z1190" i="7" s="1"/>
  <c r="AH1190" i="7" s="1"/>
  <c r="AM1248" i="7"/>
  <c r="Y1250" i="7"/>
  <c r="Z1250" i="7" s="1"/>
  <c r="Y1292" i="7"/>
  <c r="Z1292" i="7" s="1"/>
  <c r="Y1308" i="7"/>
  <c r="Z1308" i="7" s="1"/>
  <c r="Y1316" i="7"/>
  <c r="Z1316" i="7" s="1"/>
  <c r="Y1328" i="7"/>
  <c r="Z1328" i="7" s="1"/>
  <c r="AI1330" i="7"/>
  <c r="Y1330" i="7"/>
  <c r="Z1330" i="7" s="1"/>
  <c r="AM3222" i="7"/>
  <c r="AM1958" i="7"/>
  <c r="AH1958" i="7"/>
  <c r="AC2549" i="7"/>
  <c r="AM2039" i="7"/>
  <c r="AA2689" i="7"/>
  <c r="AC3396" i="7"/>
  <c r="AA2431" i="7"/>
  <c r="AC3487" i="7"/>
  <c r="AA985" i="7"/>
  <c r="AM3271" i="7"/>
  <c r="AH1280" i="7"/>
  <c r="AH1256" i="7"/>
  <c r="AI861" i="7"/>
  <c r="Y861" i="7"/>
  <c r="Z861" i="7" s="1"/>
  <c r="AI931" i="7"/>
  <c r="Y931" i="7"/>
  <c r="Z931" i="7" s="1"/>
  <c r="AI1066" i="7"/>
  <c r="Y1066" i="7"/>
  <c r="Z1066" i="7" s="1"/>
  <c r="AI1084" i="7"/>
  <c r="Y1084" i="7"/>
  <c r="Z1084" i="7" s="1"/>
  <c r="AM1301" i="7"/>
  <c r="AC2686" i="7"/>
  <c r="AM3565" i="7"/>
  <c r="AA3222" i="7"/>
  <c r="AH2913" i="7"/>
  <c r="AE2549" i="7"/>
  <c r="AF2549" i="7" s="1"/>
  <c r="AC911" i="7"/>
  <c r="AM2396" i="7"/>
  <c r="AM2689" i="7"/>
  <c r="AA3396" i="7"/>
  <c r="AM985" i="7"/>
  <c r="AC2396" i="7"/>
  <c r="AH1254" i="7"/>
  <c r="AH2927" i="7"/>
  <c r="AH1312" i="7"/>
  <c r="AM2964" i="7"/>
  <c r="AE2964" i="7"/>
  <c r="AF2964" i="7" s="1"/>
  <c r="AI2752" i="7"/>
  <c r="Y2752" i="7"/>
  <c r="Z2752" i="7" s="1"/>
  <c r="AI2792" i="7"/>
  <c r="Y2792" i="7"/>
  <c r="Z2792" i="7" s="1"/>
  <c r="Y3646" i="7"/>
  <c r="Z3646" i="7" s="1"/>
  <c r="AA2686" i="7"/>
  <c r="AM3746" i="7"/>
  <c r="AE2686" i="7"/>
  <c r="AF2686" i="7" s="1"/>
  <c r="AM2917" i="7"/>
  <c r="AE3222" i="7"/>
  <c r="AF3222" i="7" s="1"/>
  <c r="AE3288" i="7"/>
  <c r="AF3288" i="7" s="1"/>
  <c r="AM1691" i="7"/>
  <c r="AC2913" i="7"/>
  <c r="AH1782" i="7"/>
  <c r="AC2480" i="7"/>
  <c r="AA3094" i="7"/>
  <c r="AC2260" i="7"/>
  <c r="AA911" i="7"/>
  <c r="AM2088" i="7"/>
  <c r="AM2431" i="7"/>
  <c r="AH2929" i="7"/>
  <c r="AM1266" i="7"/>
  <c r="AC2964" i="7"/>
  <c r="Y379" i="7"/>
  <c r="Z379" i="7" s="1"/>
  <c r="AH381" i="7"/>
  <c r="AA403" i="7"/>
  <c r="AC403" i="7"/>
  <c r="Y428" i="7"/>
  <c r="Z428" i="7" s="1"/>
  <c r="Y505" i="7"/>
  <c r="Z505" i="7" s="1"/>
  <c r="Y509" i="7"/>
  <c r="Z509" i="7" s="1"/>
  <c r="AI509" i="7"/>
  <c r="AI2615" i="7"/>
  <c r="Y2615" i="7"/>
  <c r="Z2615" i="7" s="1"/>
  <c r="AI2666" i="7"/>
  <c r="Y2666" i="7"/>
  <c r="Z2666" i="7" s="1"/>
  <c r="AH1859" i="7"/>
  <c r="AH2480" i="7"/>
  <c r="AC2039" i="7"/>
  <c r="AA2917" i="7"/>
  <c r="AH3222" i="7"/>
  <c r="AC2382" i="7"/>
  <c r="AH2067" i="7"/>
  <c r="AA2067" i="7"/>
  <c r="AM2937" i="7"/>
  <c r="AM2913" i="7"/>
  <c r="AM3586" i="7"/>
  <c r="AH1953" i="7"/>
  <c r="AA3184" i="7"/>
  <c r="AA3174" i="7"/>
  <c r="AH911" i="7"/>
  <c r="AC2088" i="7"/>
  <c r="AM2507" i="7"/>
  <c r="AA2260" i="7"/>
  <c r="AC2507" i="7"/>
  <c r="AC3532" i="7"/>
  <c r="AH804" i="7"/>
  <c r="AA3487" i="7"/>
  <c r="AC3288" i="7"/>
  <c r="AH2925" i="7"/>
  <c r="AH55" i="7"/>
  <c r="AH1320" i="7"/>
  <c r="Y86" i="7"/>
  <c r="Z86" i="7" s="1"/>
  <c r="AH1306" i="7"/>
  <c r="AM21" i="7"/>
  <c r="AI61" i="7"/>
  <c r="Y61" i="7"/>
  <c r="Z61" i="7" s="1"/>
  <c r="Y393" i="7"/>
  <c r="Z393" i="7" s="1"/>
  <c r="AH393" i="7" s="1"/>
  <c r="Y409" i="7"/>
  <c r="Z409" i="7" s="1"/>
  <c r="Y419" i="7"/>
  <c r="Z419" i="7" s="1"/>
  <c r="AM432" i="7"/>
  <c r="Y476" i="7"/>
  <c r="Z476" i="7" s="1"/>
  <c r="AH585" i="7"/>
  <c r="Y591" i="7"/>
  <c r="Z591" i="7" s="1"/>
  <c r="AM591" i="7" s="1"/>
  <c r="AI676" i="7"/>
  <c r="Y676" i="7"/>
  <c r="Z676" i="7" s="1"/>
  <c r="AM2686" i="7"/>
  <c r="AE2039" i="7"/>
  <c r="AF2039" i="7" s="1"/>
  <c r="AE2512" i="7"/>
  <c r="AF2512" i="7" s="1"/>
  <c r="AH3532" i="7"/>
  <c r="AC2067" i="7"/>
  <c r="AM1953" i="7"/>
  <c r="AA2549" i="7"/>
  <c r="AE3184" i="7"/>
  <c r="AF3184" i="7" s="1"/>
  <c r="AC3174" i="7"/>
  <c r="AM2260" i="7"/>
  <c r="AH2507" i="7"/>
  <c r="AA3532" i="7"/>
  <c r="AC3271" i="7"/>
  <c r="AI116" i="7"/>
  <c r="Y116" i="7"/>
  <c r="Z116" i="7" s="1"/>
  <c r="AM116" i="7" s="1"/>
  <c r="AI2483" i="7"/>
  <c r="Y2483" i="7"/>
  <c r="Z2483" i="7" s="1"/>
  <c r="AI2499" i="7"/>
  <c r="Y2499" i="7"/>
  <c r="Z2499" i="7" s="1"/>
  <c r="AE3565" i="7"/>
  <c r="AF3565" i="7" s="1"/>
  <c r="AC3679" i="7"/>
  <c r="AA3149" i="7"/>
  <c r="AH2512" i="7"/>
  <c r="AM2067" i="7"/>
  <c r="AE1953" i="7"/>
  <c r="AF1953" i="7" s="1"/>
  <c r="AC3586" i="7"/>
  <c r="AM3094" i="7"/>
  <c r="AC3184" i="7"/>
  <c r="AE2480" i="7"/>
  <c r="AF2480" i="7" s="1"/>
  <c r="AE2396" i="7"/>
  <c r="AF2396" i="7" s="1"/>
  <c r="AC2431" i="7"/>
  <c r="Y1304" i="7"/>
  <c r="Z1304" i="7" s="1"/>
  <c r="Y1258" i="7"/>
  <c r="Z1258" i="7" s="1"/>
  <c r="AH1258" i="7" s="1"/>
  <c r="Y114" i="7"/>
  <c r="Z114" i="7" s="1"/>
  <c r="AM114" i="7" s="1"/>
  <c r="AH1993" i="7"/>
  <c r="AM1993" i="7"/>
  <c r="AI2141" i="7"/>
  <c r="Y2141" i="7"/>
  <c r="Z2141" i="7" s="1"/>
  <c r="Y2163" i="7"/>
  <c r="Z2163" i="7" s="1"/>
  <c r="AI2163" i="7"/>
  <c r="AI2224" i="7"/>
  <c r="Y2224" i="7"/>
  <c r="Z2224" i="7" s="1"/>
  <c r="Y2287" i="7"/>
  <c r="Z2287" i="7" s="1"/>
  <c r="AI2287" i="7"/>
  <c r="AI2309" i="7"/>
  <c r="Y2309" i="7"/>
  <c r="Z2309" i="7" s="1"/>
  <c r="AI2323" i="7"/>
  <c r="Y2323" i="7"/>
  <c r="Z2323" i="7" s="1"/>
  <c r="AA3565" i="7"/>
  <c r="AC3746" i="7"/>
  <c r="AM2382" i="7"/>
  <c r="AC3149" i="7"/>
  <c r="AM3679" i="7"/>
  <c r="AM2512" i="7"/>
  <c r="AM3184" i="7"/>
  <c r="AH2396" i="7"/>
  <c r="AH2943" i="7"/>
  <c r="AH3174" i="7"/>
  <c r="AE3174" i="7"/>
  <c r="AF3174" i="7" s="1"/>
  <c r="AH985" i="7"/>
  <c r="AA2624" i="7"/>
  <c r="AM2275" i="7"/>
  <c r="AH3487" i="7"/>
  <c r="AH1314" i="7"/>
  <c r="AA104" i="7"/>
  <c r="AM355" i="7"/>
  <c r="AM80" i="7"/>
  <c r="AI64" i="7"/>
  <c r="AM2552" i="7"/>
  <c r="Y1997" i="7"/>
  <c r="Z1997" i="7" s="1"/>
  <c r="Y2031" i="7"/>
  <c r="Z2031" i="7" s="1"/>
  <c r="Y2085" i="7"/>
  <c r="Z2085" i="7" s="1"/>
  <c r="Y2095" i="7"/>
  <c r="Z2095" i="7" s="1"/>
  <c r="Y2127" i="7"/>
  <c r="Z2127" i="7" s="1"/>
  <c r="Y2131" i="7"/>
  <c r="Z2131" i="7" s="1"/>
  <c r="AM2131" i="7" s="1"/>
  <c r="AH3746" i="7"/>
  <c r="AE3746" i="7"/>
  <c r="AF3746" i="7" s="1"/>
  <c r="AM3549" i="7"/>
  <c r="AC2917" i="7"/>
  <c r="AE3149" i="7"/>
  <c r="AF3149" i="7" s="1"/>
  <c r="AH2888" i="7"/>
  <c r="AA3288" i="7"/>
  <c r="AI867" i="7"/>
  <c r="Y1322" i="7"/>
  <c r="Z1322" i="7" s="1"/>
  <c r="Y385" i="7"/>
  <c r="Z385" i="7" s="1"/>
  <c r="AI1621" i="7"/>
  <c r="AI1688" i="7"/>
  <c r="Y1688" i="7"/>
  <c r="Z1688" i="7" s="1"/>
  <c r="AH1694" i="7"/>
  <c r="Y1698" i="7"/>
  <c r="Z1698" i="7" s="1"/>
  <c r="AH1698" i="7" s="1"/>
  <c r="AI1698" i="7"/>
  <c r="Y1761" i="7"/>
  <c r="Z1761" i="7" s="1"/>
  <c r="AM1804" i="7"/>
  <c r="Y1806" i="7"/>
  <c r="Z1806" i="7" s="1"/>
  <c r="AI3194" i="7"/>
  <c r="Y3194" i="7"/>
  <c r="Z3194" i="7" s="1"/>
  <c r="AI3196" i="7"/>
  <c r="Y3196" i="7"/>
  <c r="Z3196" i="7" s="1"/>
  <c r="AE3196" i="7" s="1"/>
  <c r="AF3196" i="7" s="1"/>
  <c r="AI3412" i="7"/>
  <c r="Y3412" i="7"/>
  <c r="Z3412" i="7" s="1"/>
  <c r="AI3439" i="7"/>
  <c r="Y3439" i="7"/>
  <c r="Z3439" i="7" s="1"/>
  <c r="AI3464" i="7"/>
  <c r="Y3464" i="7"/>
  <c r="Z3464" i="7" s="1"/>
  <c r="AI3466" i="7"/>
  <c r="Y3466" i="7"/>
  <c r="Z3466" i="7" s="1"/>
  <c r="AH3565" i="7"/>
  <c r="AM1859" i="7"/>
  <c r="AA1941" i="7"/>
  <c r="AE2917" i="7"/>
  <c r="AF2917" i="7" s="1"/>
  <c r="AH2549" i="7"/>
  <c r="AM3369" i="7"/>
  <c r="AA3369" i="7"/>
  <c r="AA2913" i="7"/>
  <c r="AE1941" i="7"/>
  <c r="AF1941" i="7" s="1"/>
  <c r="AC1941" i="7"/>
  <c r="AE2914" i="7"/>
  <c r="AF2914" i="7" s="1"/>
  <c r="AC2689" i="7"/>
  <c r="AH1262" i="7"/>
  <c r="AI34" i="7"/>
  <c r="Y34" i="7"/>
  <c r="Z34" i="7" s="1"/>
  <c r="AM34" i="7" s="1"/>
  <c r="AI3043" i="7"/>
  <c r="Y3043" i="7"/>
  <c r="Z3043" i="7" s="1"/>
  <c r="Y3053" i="7"/>
  <c r="Z3053" i="7" s="1"/>
  <c r="AI3053" i="7"/>
  <c r="AI3156" i="7"/>
  <c r="Y3156" i="7"/>
  <c r="Z3156" i="7" s="1"/>
  <c r="AA1859" i="7"/>
  <c r="AM2480" i="7"/>
  <c r="AA3586" i="7"/>
  <c r="AE3369" i="7"/>
  <c r="AF3369" i="7" s="1"/>
  <c r="AH2914" i="7"/>
  <c r="AE2689" i="7"/>
  <c r="AF2689" i="7" s="1"/>
  <c r="AA2507" i="7"/>
  <c r="AC2275" i="7"/>
  <c r="AC1837" i="7"/>
  <c r="AC3499" i="7"/>
  <c r="AA2552" i="7"/>
  <c r="AM622" i="7"/>
  <c r="Y1078" i="7"/>
  <c r="Z1078" i="7" s="1"/>
  <c r="AI1632" i="7"/>
  <c r="AI292" i="7"/>
  <c r="Y1252" i="7"/>
  <c r="Z1252" i="7" s="1"/>
  <c r="Y1072" i="7"/>
  <c r="Z1072" i="7" s="1"/>
  <c r="Y682" i="7"/>
  <c r="Z682" i="7" s="1"/>
  <c r="AH682" i="7" s="1"/>
  <c r="Y1763" i="7"/>
  <c r="Z1763" i="7" s="1"/>
  <c r="Y1351" i="7"/>
  <c r="Z1351" i="7" s="1"/>
  <c r="AI3023" i="7"/>
  <c r="Y3023" i="7"/>
  <c r="Z3023" i="7" s="1"/>
  <c r="Y787" i="7"/>
  <c r="Z787" i="7" s="1"/>
  <c r="Y1954" i="7"/>
  <c r="Z1954" i="7" s="1"/>
  <c r="Y1956" i="7"/>
  <c r="Z1956" i="7" s="1"/>
  <c r="Y102" i="7"/>
  <c r="Z102" i="7" s="1"/>
  <c r="AM102" i="7" s="1"/>
  <c r="AH104" i="7"/>
  <c r="Y129" i="7"/>
  <c r="Z129" i="7" s="1"/>
  <c r="AH129" i="7" s="1"/>
  <c r="Y210" i="7"/>
  <c r="Z210" i="7" s="1"/>
  <c r="AH210" i="7" s="1"/>
  <c r="AM243" i="7"/>
  <c r="AH347" i="7"/>
  <c r="Y537" i="7"/>
  <c r="Z537" i="7" s="1"/>
  <c r="AM537" i="7" s="1"/>
  <c r="AM539" i="7"/>
  <c r="Y719" i="7"/>
  <c r="Z719" i="7" s="1"/>
  <c r="AM723" i="7"/>
  <c r="Y746" i="7"/>
  <c r="Z746" i="7" s="1"/>
  <c r="AM754" i="7"/>
  <c r="Y764" i="7"/>
  <c r="Z764" i="7" s="1"/>
  <c r="Y768" i="7"/>
  <c r="Z768" i="7" s="1"/>
  <c r="Y2872" i="7"/>
  <c r="Z2872" i="7" s="1"/>
  <c r="Y2876" i="7"/>
  <c r="Z2876" i="7" s="1"/>
  <c r="Y2880" i="7"/>
  <c r="Z2880" i="7" s="1"/>
  <c r="Y3449" i="7"/>
  <c r="Z3449" i="7" s="1"/>
  <c r="AM3449" i="7" s="1"/>
  <c r="Y3451" i="7"/>
  <c r="Z3451" i="7" s="1"/>
  <c r="AE3451" i="7" s="1"/>
  <c r="AF3451" i="7" s="1"/>
  <c r="AI3919" i="7"/>
  <c r="AH1040" i="7"/>
  <c r="AH1830" i="7"/>
  <c r="Y2172" i="7"/>
  <c r="Z2172" i="7" s="1"/>
  <c r="Y2145" i="7"/>
  <c r="Z2145" i="7" s="1"/>
  <c r="AM16" i="7"/>
  <c r="AM691" i="7"/>
  <c r="Y2830" i="7"/>
  <c r="Z2830" i="7" s="1"/>
  <c r="Y2854" i="7"/>
  <c r="Z2854" i="7" s="1"/>
  <c r="Y3426" i="7"/>
  <c r="Z3426" i="7" s="1"/>
  <c r="AM3426" i="7" s="1"/>
  <c r="AM1362" i="7"/>
  <c r="AH1372" i="7"/>
  <c r="Y3722" i="7"/>
  <c r="Z3722" i="7" s="1"/>
  <c r="AA3722" i="7" s="1"/>
  <c r="AH22" i="7"/>
  <c r="Y42" i="7"/>
  <c r="Z42" i="7" s="1"/>
  <c r="AM42" i="7" s="1"/>
  <c r="Y46" i="7"/>
  <c r="Z46" i="7" s="1"/>
  <c r="AM46" i="7" s="1"/>
  <c r="Y93" i="7"/>
  <c r="Z93" i="7" s="1"/>
  <c r="AM93" i="7" s="1"/>
  <c r="Y121" i="7"/>
  <c r="Z121" i="7" s="1"/>
  <c r="AH266" i="7"/>
  <c r="Y366" i="7"/>
  <c r="Z366" i="7" s="1"/>
  <c r="Y500" i="7"/>
  <c r="Z500" i="7" s="1"/>
  <c r="Y516" i="7"/>
  <c r="Z516" i="7" s="1"/>
  <c r="AH596" i="7"/>
  <c r="Y760" i="7"/>
  <c r="Z760" i="7" s="1"/>
  <c r="AM760" i="7" s="1"/>
  <c r="AH410" i="7"/>
  <c r="AH465" i="7"/>
  <c r="AH788" i="7"/>
  <c r="Y346" i="7"/>
  <c r="Z346" i="7" s="1"/>
  <c r="Y582" i="7"/>
  <c r="Z582" i="7" s="1"/>
  <c r="Y584" i="7"/>
  <c r="Z584" i="7" s="1"/>
  <c r="AM584" i="7" s="1"/>
  <c r="AH979" i="7"/>
  <c r="Y983" i="7"/>
  <c r="Z983" i="7" s="1"/>
  <c r="Y1278" i="7"/>
  <c r="Z1278" i="7" s="1"/>
  <c r="Y1325" i="7"/>
  <c r="Z1325" i="7" s="1"/>
  <c r="AH1717" i="7"/>
  <c r="Y1768" i="7"/>
  <c r="Z1768" i="7" s="1"/>
  <c r="AM1768" i="7" s="1"/>
  <c r="AH1890" i="7"/>
  <c r="AH1898" i="7"/>
  <c r="AH2853" i="7"/>
  <c r="AH1343" i="7"/>
  <c r="AM3452" i="7"/>
  <c r="AM1828" i="7"/>
  <c r="AH1514" i="7"/>
  <c r="AH2331" i="7"/>
  <c r="AH29" i="7"/>
  <c r="AH75" i="7"/>
  <c r="AM296" i="7"/>
  <c r="AM306" i="7"/>
  <c r="AH348" i="7"/>
  <c r="AM485" i="7"/>
  <c r="AH491" i="7"/>
  <c r="AH493" i="7"/>
  <c r="Y499" i="7"/>
  <c r="Z499" i="7" s="1"/>
  <c r="AM499" i="7" s="1"/>
  <c r="AH673" i="7"/>
  <c r="Y949" i="7"/>
  <c r="Z949" i="7" s="1"/>
  <c r="Y951" i="7"/>
  <c r="Z951" i="7" s="1"/>
  <c r="AM951" i="7" s="1"/>
  <c r="AM953" i="7"/>
  <c r="AH955" i="7"/>
  <c r="AH961" i="7"/>
  <c r="AH1122" i="7"/>
  <c r="Y1182" i="7"/>
  <c r="Z1182" i="7" s="1"/>
  <c r="Y1186" i="7"/>
  <c r="Z1186" i="7" s="1"/>
  <c r="Y1204" i="7"/>
  <c r="Z1204" i="7" s="1"/>
  <c r="Y1210" i="7"/>
  <c r="Z1210" i="7" s="1"/>
  <c r="AH1210" i="7" s="1"/>
  <c r="AH1212" i="7"/>
  <c r="AM1228" i="7"/>
  <c r="Y1577" i="7"/>
  <c r="Z1577" i="7" s="1"/>
  <c r="Y1610" i="7"/>
  <c r="Z1610" i="7" s="1"/>
  <c r="Y1644" i="7"/>
  <c r="Z1644" i="7" s="1"/>
  <c r="Y3552" i="7"/>
  <c r="Z3552" i="7" s="1"/>
  <c r="Y3562" i="7"/>
  <c r="Z3562" i="7" s="1"/>
  <c r="AH1934" i="7"/>
  <c r="AE1934" i="7"/>
  <c r="AF1934" i="7" s="1"/>
  <c r="AM1934" i="7"/>
  <c r="AC1934" i="7"/>
  <c r="AA1934" i="7"/>
  <c r="AC2414" i="7"/>
  <c r="AH2414" i="7"/>
  <c r="AA2414" i="7"/>
  <c r="AE2414" i="7"/>
  <c r="AF2414" i="7" s="1"/>
  <c r="AM2414" i="7"/>
  <c r="AC1766" i="7"/>
  <c r="AA1766" i="7"/>
  <c r="AM1766" i="7"/>
  <c r="AH1766" i="7"/>
  <c r="AC1536" i="7"/>
  <c r="AH1536" i="7"/>
  <c r="AM1536" i="7"/>
  <c r="AA1536" i="7"/>
  <c r="AC2178" i="7"/>
  <c r="AE2178" i="7"/>
  <c r="AF2178" i="7" s="1"/>
  <c r="AM2178" i="7"/>
  <c r="AA2178" i="7"/>
  <c r="AH145" i="7"/>
  <c r="Y36" i="7"/>
  <c r="Z36" i="7" s="1"/>
  <c r="AM36" i="7" s="1"/>
  <c r="AI518" i="7"/>
  <c r="Y518" i="7"/>
  <c r="Z518" i="7" s="1"/>
  <c r="AI528" i="7"/>
  <c r="Y528" i="7"/>
  <c r="Z528" i="7" s="1"/>
  <c r="AI530" i="7"/>
  <c r="Y530" i="7"/>
  <c r="Z530" i="7" s="1"/>
  <c r="AH2241" i="7"/>
  <c r="Y302" i="7"/>
  <c r="Z302" i="7" s="1"/>
  <c r="AI113" i="7"/>
  <c r="Y113" i="7"/>
  <c r="Z113" i="7" s="1"/>
  <c r="AM113" i="7" s="1"/>
  <c r="AM172" i="7"/>
  <c r="AM258" i="7"/>
  <c r="AI648" i="7"/>
  <c r="Y648" i="7"/>
  <c r="Z648" i="7" s="1"/>
  <c r="AI219" i="7"/>
  <c r="Y219" i="7"/>
  <c r="Z219" i="7" s="1"/>
  <c r="AH2603" i="7"/>
  <c r="AI23" i="7"/>
  <c r="AM39" i="7"/>
  <c r="AI610" i="7"/>
  <c r="Y610" i="7"/>
  <c r="Z610" i="7" s="1"/>
  <c r="AI1134" i="7"/>
  <c r="Y1134" i="7"/>
  <c r="Z1134" i="7" s="1"/>
  <c r="AH1134" i="7" s="1"/>
  <c r="Y1627" i="7"/>
  <c r="Z1627" i="7" s="1"/>
  <c r="AI1627" i="7"/>
  <c r="AI1638" i="7"/>
  <c r="Y1638" i="7"/>
  <c r="Z1638" i="7" s="1"/>
  <c r="AI1646" i="7"/>
  <c r="Y1646" i="7"/>
  <c r="Z1646" i="7" s="1"/>
  <c r="AM1646" i="7" s="1"/>
  <c r="AI700" i="7"/>
  <c r="Y700" i="7"/>
  <c r="Z700" i="7" s="1"/>
  <c r="Y261" i="7"/>
  <c r="Z261" i="7" s="1"/>
  <c r="Y250" i="7"/>
  <c r="Z250" i="7" s="1"/>
  <c r="AI91" i="7"/>
  <c r="Y35" i="7"/>
  <c r="Z35" i="7" s="1"/>
  <c r="AM35" i="7" s="1"/>
  <c r="AI472" i="7"/>
  <c r="Y472" i="7"/>
  <c r="Z472" i="7" s="1"/>
  <c r="AH39" i="7"/>
  <c r="Y483" i="7"/>
  <c r="Z483" i="7" s="1"/>
  <c r="AM483" i="7" s="1"/>
  <c r="Y397" i="7"/>
  <c r="Z397" i="7" s="1"/>
  <c r="AI888" i="7"/>
  <c r="Y888" i="7"/>
  <c r="Z888" i="7" s="1"/>
  <c r="AC26" i="7"/>
  <c r="AI835" i="7"/>
  <c r="Y835" i="7"/>
  <c r="Z835" i="7" s="1"/>
  <c r="AA33" i="7"/>
  <c r="AM354" i="7"/>
  <c r="Y321" i="7"/>
  <c r="Z321" i="7" s="1"/>
  <c r="Y1116" i="7"/>
  <c r="Z1116" i="7" s="1"/>
  <c r="AM340" i="7"/>
  <c r="Y342" i="7"/>
  <c r="Z342" i="7" s="1"/>
  <c r="AM342" i="7" s="1"/>
  <c r="Y26" i="7"/>
  <c r="Z26" i="7" s="1"/>
  <c r="Y252" i="7"/>
  <c r="Z252" i="7" s="1"/>
  <c r="AI386" i="7"/>
  <c r="Y386" i="7"/>
  <c r="Z386" i="7" s="1"/>
  <c r="AM3157" i="7"/>
  <c r="Y3161" i="7"/>
  <c r="Z3161" i="7" s="1"/>
  <c r="Y3187" i="7"/>
  <c r="Z3187" i="7" s="1"/>
  <c r="Y3594" i="7"/>
  <c r="Z3594" i="7" s="1"/>
  <c r="Y3951" i="7"/>
  <c r="Z3951" i="7" s="1"/>
  <c r="AM3951" i="7" s="1"/>
  <c r="Y244" i="7"/>
  <c r="Z244" i="7" s="1"/>
  <c r="Y466" i="7"/>
  <c r="Z466" i="7" s="1"/>
  <c r="Y681" i="7"/>
  <c r="Z681" i="7" s="1"/>
  <c r="Y837" i="7"/>
  <c r="Z837" i="7" s="1"/>
  <c r="AM1544" i="7"/>
  <c r="Y1770" i="7"/>
  <c r="Z1770" i="7" s="1"/>
  <c r="Y1832" i="7"/>
  <c r="Z1832" i="7" s="1"/>
  <c r="Y1834" i="7"/>
  <c r="Z1834" i="7" s="1"/>
  <c r="Y1838" i="7"/>
  <c r="Z1838" i="7" s="1"/>
  <c r="Y3830" i="7"/>
  <c r="Z3830" i="7" s="1"/>
  <c r="AA3830" i="7" s="1"/>
  <c r="AM108" i="7"/>
  <c r="AH156" i="7"/>
  <c r="AM223" i="7"/>
  <c r="Y618" i="7"/>
  <c r="Z618" i="7" s="1"/>
  <c r="AH828" i="7"/>
  <c r="Y843" i="7"/>
  <c r="Z843" i="7" s="1"/>
  <c r="AM1194" i="7"/>
  <c r="AM864" i="7"/>
  <c r="AH1441" i="7"/>
  <c r="AH1707" i="7"/>
  <c r="Y2949" i="7"/>
  <c r="Z2949" i="7" s="1"/>
  <c r="AE3792" i="7"/>
  <c r="AF3792" i="7" s="1"/>
  <c r="AM3753" i="7"/>
  <c r="Y3709" i="7"/>
  <c r="Z3709" i="7" s="1"/>
  <c r="Y3822" i="7"/>
  <c r="Z3822" i="7" s="1"/>
  <c r="AC3822" i="7" s="1"/>
  <c r="Y4028" i="7"/>
  <c r="Z4028" i="7" s="1"/>
  <c r="AM4028" i="7" s="1"/>
  <c r="Y32" i="7"/>
  <c r="Z32" i="7" s="1"/>
  <c r="AH335" i="7"/>
  <c r="Y429" i="7"/>
  <c r="Z429" i="7" s="1"/>
  <c r="AH433" i="7"/>
  <c r="AH439" i="7"/>
  <c r="AH457" i="7"/>
  <c r="Y482" i="7"/>
  <c r="Z482" i="7" s="1"/>
  <c r="AH484" i="7"/>
  <c r="AM490" i="7"/>
  <c r="AH657" i="7"/>
  <c r="AH659" i="7"/>
  <c r="AH694" i="7"/>
  <c r="Y1095" i="7"/>
  <c r="Z1095" i="7" s="1"/>
  <c r="AH1095" i="7" s="1"/>
  <c r="AM1568" i="7"/>
  <c r="Y2225" i="7"/>
  <c r="Z2225" i="7" s="1"/>
  <c r="AA2225" i="7" s="1"/>
  <c r="AM2233" i="7"/>
  <c r="AM2242" i="7"/>
  <c r="Y2244" i="7"/>
  <c r="Z2244" i="7" s="1"/>
  <c r="AM2244" i="7" s="1"/>
  <c r="AM2288" i="7"/>
  <c r="Y2302" i="7"/>
  <c r="Z2302" i="7" s="1"/>
  <c r="AE2302" i="7" s="1"/>
  <c r="AF2302" i="7" s="1"/>
  <c r="Y2306" i="7"/>
  <c r="Z2306" i="7" s="1"/>
  <c r="Y2730" i="7"/>
  <c r="Z2730" i="7" s="1"/>
  <c r="AM2730" i="7" s="1"/>
  <c r="Y2767" i="7"/>
  <c r="Z2767" i="7" s="1"/>
  <c r="AE2767" i="7" s="1"/>
  <c r="AF2767" i="7" s="1"/>
  <c r="Y2781" i="7"/>
  <c r="Z2781" i="7" s="1"/>
  <c r="Y3620" i="7"/>
  <c r="Z3620" i="7" s="1"/>
  <c r="Y1618" i="7"/>
  <c r="Z1618" i="7" s="1"/>
  <c r="Y555" i="7"/>
  <c r="Z555" i="7" s="1"/>
  <c r="AI2102" i="7"/>
  <c r="Y52" i="7"/>
  <c r="Z52" i="7" s="1"/>
  <c r="Y54" i="7"/>
  <c r="Z54" i="7" s="1"/>
  <c r="Y99" i="7"/>
  <c r="Z99" i="7" s="1"/>
  <c r="Y137" i="7"/>
  <c r="Z137" i="7" s="1"/>
  <c r="Y141" i="7"/>
  <c r="Z141" i="7" s="1"/>
  <c r="Y143" i="7"/>
  <c r="Z143" i="7" s="1"/>
  <c r="AH143" i="7" s="1"/>
  <c r="Y149" i="7"/>
  <c r="Z149" i="7" s="1"/>
  <c r="Y153" i="7"/>
  <c r="Z153" i="7" s="1"/>
  <c r="AH157" i="7"/>
  <c r="AH159" i="7"/>
  <c r="Y212" i="7"/>
  <c r="Z212" i="7" s="1"/>
  <c r="AM212" i="7" s="1"/>
  <c r="Y214" i="7"/>
  <c r="Z214" i="7" s="1"/>
  <c r="AM214" i="7" s="1"/>
  <c r="Y220" i="7"/>
  <c r="Z220" i="7" s="1"/>
  <c r="AH220" i="7" s="1"/>
  <c r="AH226" i="7"/>
  <c r="Y228" i="7"/>
  <c r="Z228" i="7" s="1"/>
  <c r="AM228" i="7" s="1"/>
  <c r="Y232" i="7"/>
  <c r="Z232" i="7" s="1"/>
  <c r="AM232" i="7" s="1"/>
  <c r="AM234" i="7"/>
  <c r="AH236" i="7"/>
  <c r="AM245" i="7"/>
  <c r="Y276" i="7"/>
  <c r="Z276" i="7" s="1"/>
  <c r="AC276" i="7" s="1"/>
  <c r="Y280" i="7"/>
  <c r="Z280" i="7" s="1"/>
  <c r="AM280" i="7" s="1"/>
  <c r="AM286" i="7"/>
  <c r="Y288" i="7"/>
  <c r="Z288" i="7" s="1"/>
  <c r="AH825" i="7"/>
  <c r="Y967" i="7"/>
  <c r="Z967" i="7" s="1"/>
  <c r="Y971" i="7"/>
  <c r="Z971" i="7" s="1"/>
  <c r="Y1356" i="7"/>
  <c r="Z1356" i="7" s="1"/>
  <c r="Y1360" i="7"/>
  <c r="Z1360" i="7" s="1"/>
  <c r="Y1400" i="7"/>
  <c r="Z1400" i="7" s="1"/>
  <c r="AH1404" i="7"/>
  <c r="Y1408" i="7"/>
  <c r="Z1408" i="7" s="1"/>
  <c r="AH1422" i="7"/>
  <c r="Y1426" i="7"/>
  <c r="Z1426" i="7" s="1"/>
  <c r="AH1450" i="7"/>
  <c r="Y1484" i="7"/>
  <c r="Z1484" i="7" s="1"/>
  <c r="Y1486" i="7"/>
  <c r="Z1486" i="7" s="1"/>
  <c r="AH1494" i="7"/>
  <c r="Y1543" i="7"/>
  <c r="Z1543" i="7" s="1"/>
  <c r="Y1547" i="7"/>
  <c r="Z1547" i="7" s="1"/>
  <c r="AM2047" i="7"/>
  <c r="Y2065" i="7"/>
  <c r="Z2065" i="7" s="1"/>
  <c r="Y2079" i="7"/>
  <c r="Z2079" i="7" s="1"/>
  <c r="Y2599" i="7"/>
  <c r="Z2599" i="7" s="1"/>
  <c r="AC2599" i="7" s="1"/>
  <c r="Y3293" i="7"/>
  <c r="Z3293" i="7" s="1"/>
  <c r="Y3320" i="7"/>
  <c r="Z3320" i="7" s="1"/>
  <c r="Y3764" i="7"/>
  <c r="Z3764" i="7" s="1"/>
  <c r="AA3764" i="7" s="1"/>
  <c r="Y3625" i="7"/>
  <c r="Z3625" i="7" s="1"/>
  <c r="AM3866" i="7"/>
  <c r="Y4013" i="7"/>
  <c r="Z4013" i="7" s="1"/>
  <c r="AH4013" i="7" s="1"/>
  <c r="AH389" i="7"/>
  <c r="Y1329" i="7"/>
  <c r="Z1329" i="7" s="1"/>
  <c r="Y125" i="7"/>
  <c r="Z125" i="7" s="1"/>
  <c r="AH367" i="7"/>
  <c r="AH770" i="7"/>
  <c r="Y1869" i="7"/>
  <c r="Z1869" i="7" s="1"/>
  <c r="Y1871" i="7"/>
  <c r="Z1871" i="7" s="1"/>
  <c r="Y1893" i="7"/>
  <c r="Z1893" i="7" s="1"/>
  <c r="Y1917" i="7"/>
  <c r="Z1917" i="7" s="1"/>
  <c r="AM989" i="7"/>
  <c r="AH989" i="7"/>
  <c r="AH3012" i="7"/>
  <c r="AA3012" i="7"/>
  <c r="AC3012" i="7"/>
  <c r="AH690" i="7"/>
  <c r="AM690" i="7"/>
  <c r="AM905" i="7"/>
  <c r="AH905" i="7"/>
  <c r="AM1054" i="7"/>
  <c r="AH1054" i="7"/>
  <c r="Y1056" i="7"/>
  <c r="Z1056" i="7" s="1"/>
  <c r="AM1056" i="7" s="1"/>
  <c r="AI1056" i="7"/>
  <c r="AI1067" i="7"/>
  <c r="Y1067" i="7"/>
  <c r="Z1067" i="7" s="1"/>
  <c r="AM1069" i="7"/>
  <c r="AH1069" i="7"/>
  <c r="AM1091" i="7"/>
  <c r="AH1091" i="7"/>
  <c r="AH1093" i="7"/>
  <c r="AM1093" i="7"/>
  <c r="AI1637" i="7"/>
  <c r="Y1637" i="7"/>
  <c r="Z1637" i="7" s="1"/>
  <c r="AM2223" i="7"/>
  <c r="AH2223" i="7"/>
  <c r="AM2296" i="7"/>
  <c r="AI2298" i="7"/>
  <c r="Y2298" i="7"/>
  <c r="Z2298" i="7" s="1"/>
  <c r="AH2304" i="7"/>
  <c r="AC2304" i="7"/>
  <c r="AA2304" i="7"/>
  <c r="AE2304" i="7"/>
  <c r="AF2304" i="7" s="1"/>
  <c r="AM2304" i="7"/>
  <c r="AM2698" i="7"/>
  <c r="AH2698" i="7"/>
  <c r="AI2700" i="7"/>
  <c r="Y2700" i="7"/>
  <c r="Z2700" i="7" s="1"/>
  <c r="AI2702" i="7"/>
  <c r="Y2702" i="7"/>
  <c r="Z2702" i="7" s="1"/>
  <c r="AH2753" i="7"/>
  <c r="AM2753" i="7"/>
  <c r="AH2755" i="7"/>
  <c r="AM2755" i="7"/>
  <c r="Y2757" i="7"/>
  <c r="Z2757" i="7" s="1"/>
  <c r="AI2757" i="7"/>
  <c r="AC2759" i="7"/>
  <c r="AM2759" i="7"/>
  <c r="AA2759" i="7"/>
  <c r="AH2759" i="7"/>
  <c r="AE2761" i="7"/>
  <c r="AF2761" i="7" s="1"/>
  <c r="AC2761" i="7"/>
  <c r="AA2761" i="7"/>
  <c r="AM2761" i="7"/>
  <c r="AM2763" i="7"/>
  <c r="AC2763" i="7"/>
  <c r="AC2765" i="7"/>
  <c r="AE2765" i="7"/>
  <c r="AF2765" i="7" s="1"/>
  <c r="AA2765" i="7"/>
  <c r="AH2765" i="7"/>
  <c r="AM2769" i="7"/>
  <c r="AH2769" i="7"/>
  <c r="AA2769" i="7"/>
  <c r="AE2769" i="7"/>
  <c r="AF2769" i="7" s="1"/>
  <c r="AC2769" i="7"/>
  <c r="AI2779" i="7"/>
  <c r="Y2779" i="7"/>
  <c r="Z2779" i="7" s="1"/>
  <c r="AM2783" i="7"/>
  <c r="AH2783" i="7"/>
  <c r="AH2785" i="7"/>
  <c r="AM2785" i="7"/>
  <c r="AH2789" i="7"/>
  <c r="AM2789" i="7"/>
  <c r="AI3428" i="7"/>
  <c r="Y3428" i="7"/>
  <c r="Z3428" i="7" s="1"/>
  <c r="AA3430" i="7"/>
  <c r="AM3430" i="7"/>
  <c r="AH3430" i="7"/>
  <c r="AE3430" i="7"/>
  <c r="AF3430" i="7" s="1"/>
  <c r="AI3453" i="7"/>
  <c r="Y3453" i="7"/>
  <c r="Z3453" i="7" s="1"/>
  <c r="AH3679" i="7"/>
  <c r="AE3679" i="7"/>
  <c r="AF3679" i="7" s="1"/>
  <c r="AM1755" i="7"/>
  <c r="AH1755" i="7"/>
  <c r="AM562" i="7"/>
  <c r="AH562" i="7"/>
  <c r="AH680" i="7"/>
  <c r="AM680" i="7"/>
  <c r="AH1051" i="7"/>
  <c r="AM1051" i="7"/>
  <c r="AA2578" i="7"/>
  <c r="AM2578" i="7"/>
  <c r="AH2578" i="7"/>
  <c r="AC2578" i="7"/>
  <c r="AM206" i="7"/>
  <c r="AH206" i="7"/>
  <c r="AM216" i="7"/>
  <c r="AH216" i="7"/>
  <c r="AM222" i="7"/>
  <c r="AH222" i="7"/>
  <c r="AM224" i="7"/>
  <c r="AH224" i="7"/>
  <c r="AH230" i="7"/>
  <c r="AM230" i="7"/>
  <c r="AM272" i="7"/>
  <c r="AH272" i="7"/>
  <c r="AM282" i="7"/>
  <c r="AH282" i="7"/>
  <c r="AM284" i="7"/>
  <c r="AH284" i="7"/>
  <c r="AM311" i="7"/>
  <c r="AH311" i="7"/>
  <c r="AM2822" i="7"/>
  <c r="AE2822" i="7"/>
  <c r="AF2822" i="7" s="1"/>
  <c r="AC2822" i="7"/>
  <c r="AE3012" i="7"/>
  <c r="AF3012" i="7" s="1"/>
  <c r="AH1424" i="7"/>
  <c r="AM1424" i="7"/>
  <c r="AC3064" i="7"/>
  <c r="AA3064" i="7"/>
  <c r="AM3064" i="7"/>
  <c r="AE2692" i="7"/>
  <c r="AF2692" i="7" s="1"/>
  <c r="AH2692" i="7"/>
  <c r="AA2692" i="7"/>
  <c r="AC2692" i="7"/>
  <c r="AA2772" i="7"/>
  <c r="AM2772" i="7"/>
  <c r="AH2772" i="7"/>
  <c r="AC2772" i="7"/>
  <c r="AE2772" i="7"/>
  <c r="AF2772" i="7" s="1"/>
  <c r="AM3012" i="7"/>
  <c r="AH2924" i="7"/>
  <c r="AE2924" i="7"/>
  <c r="AF2924" i="7" s="1"/>
  <c r="AC3420" i="7"/>
  <c r="AM3420" i="7"/>
  <c r="AA3420" i="7"/>
  <c r="AH3420" i="7"/>
  <c r="AA2104" i="7"/>
  <c r="AH2104" i="7"/>
  <c r="AM1222" i="7"/>
  <c r="AH1222" i="7"/>
  <c r="AM1268" i="7"/>
  <c r="AC1268" i="7"/>
  <c r="AC1570" i="7"/>
  <c r="AH1570" i="7"/>
  <c r="AA1570" i="7"/>
  <c r="AH1689" i="7"/>
  <c r="AM1689" i="7"/>
  <c r="AA3401" i="7"/>
  <c r="AM3401" i="7"/>
  <c r="AE3401" i="7"/>
  <c r="AF3401" i="7" s="1"/>
  <c r="AH3401" i="7"/>
  <c r="AE3346" i="7"/>
  <c r="AF3346" i="7" s="1"/>
  <c r="AM3346" i="7"/>
  <c r="AC3346" i="7"/>
  <c r="AA3346" i="7"/>
  <c r="AE2385" i="7"/>
  <c r="AF2385" i="7" s="1"/>
  <c r="AM2385" i="7"/>
  <c r="AH2385" i="7"/>
  <c r="AA2385" i="7"/>
  <c r="AH2291" i="7"/>
  <c r="AC2291" i="7"/>
  <c r="AA2291" i="7"/>
  <c r="AM2291" i="7"/>
  <c r="AM1977" i="7"/>
  <c r="AE1977" i="7"/>
  <c r="AF1977" i="7" s="1"/>
  <c r="AC1977" i="7"/>
  <c r="AA1977" i="7"/>
  <c r="AH1977" i="7"/>
  <c r="AM3317" i="7"/>
  <c r="AM3432" i="7"/>
  <c r="AA3432" i="7"/>
  <c r="AE3432" i="7"/>
  <c r="AF3432" i="7" s="1"/>
  <c r="Y270" i="7"/>
  <c r="Z270" i="7" s="1"/>
  <c r="AA1731" i="7"/>
  <c r="AM1731" i="7"/>
  <c r="AH1731" i="7"/>
  <c r="AE2909" i="7"/>
  <c r="AF2909" i="7" s="1"/>
  <c r="AC2909" i="7"/>
  <c r="AA2909" i="7"/>
  <c r="AH2844" i="7"/>
  <c r="AC2844" i="7"/>
  <c r="AM2844" i="7"/>
  <c r="AE2844" i="7"/>
  <c r="AF2844" i="7" s="1"/>
  <c r="AA2844" i="7"/>
  <c r="AM2439" i="7"/>
  <c r="AH2439" i="7"/>
  <c r="AC2439" i="7"/>
  <c r="AA2439" i="7"/>
  <c r="AE2862" i="7"/>
  <c r="AF2862" i="7" s="1"/>
  <c r="AH2862" i="7"/>
  <c r="AC2862" i="7"/>
  <c r="AA2862" i="7"/>
  <c r="AA1827" i="7"/>
  <c r="AM1827" i="7"/>
  <c r="AE3687" i="7"/>
  <c r="AF3687" i="7" s="1"/>
  <c r="AH3687" i="7"/>
  <c r="AC3687" i="7"/>
  <c r="AA3360" i="7"/>
  <c r="AM3360" i="7"/>
  <c r="AC3257" i="7"/>
  <c r="AA3257" i="7"/>
  <c r="AE3257" i="7"/>
  <c r="AF3257" i="7" s="1"/>
  <c r="AM3257" i="7"/>
  <c r="AC2665" i="7"/>
  <c r="AH2665" i="7"/>
  <c r="AA2665" i="7"/>
  <c r="AM2665" i="7"/>
  <c r="AC2268" i="7"/>
  <c r="AA372" i="7"/>
  <c r="AM372" i="7"/>
  <c r="AH372" i="7"/>
  <c r="AC372" i="7"/>
  <c r="AC3230" i="7"/>
  <c r="AE3230" i="7"/>
  <c r="AF3230" i="7" s="1"/>
  <c r="AA3230" i="7"/>
  <c r="AH3414" i="7"/>
  <c r="AM3414" i="7"/>
  <c r="AA3414" i="7"/>
  <c r="AE3414" i="7"/>
  <c r="AF3414" i="7" s="1"/>
  <c r="AA3068" i="7"/>
  <c r="AH3068" i="7"/>
  <c r="AM3068" i="7"/>
  <c r="AC3068" i="7"/>
  <c r="AE3068" i="7"/>
  <c r="AF3068" i="7" s="1"/>
  <c r="Y430" i="7"/>
  <c r="Z430" i="7" s="1"/>
  <c r="Y456" i="7"/>
  <c r="Z456" i="7" s="1"/>
  <c r="AI371" i="7"/>
  <c r="Y371" i="7"/>
  <c r="Z371" i="7" s="1"/>
  <c r="AI2690" i="7"/>
  <c r="Y2690" i="7"/>
  <c r="Z2690" i="7" s="1"/>
  <c r="AI27" i="7"/>
  <c r="Y27" i="7"/>
  <c r="Z27" i="7" s="1"/>
  <c r="AI995" i="7"/>
  <c r="Y995" i="7"/>
  <c r="Z995" i="7" s="1"/>
  <c r="AI3393" i="7"/>
  <c r="Y3393" i="7"/>
  <c r="Z3393" i="7" s="1"/>
  <c r="AI1396" i="7"/>
  <c r="Y1396" i="7"/>
  <c r="Z1396" i="7" s="1"/>
  <c r="AI1460" i="7"/>
  <c r="Y1460" i="7"/>
  <c r="Z1460" i="7" s="1"/>
  <c r="AI1490" i="7"/>
  <c r="Y1490" i="7"/>
  <c r="Z1490" i="7" s="1"/>
  <c r="AI2087" i="7"/>
  <c r="Y2087" i="7"/>
  <c r="Z2087" i="7" s="1"/>
  <c r="AI2654" i="7"/>
  <c r="Y2654" i="7"/>
  <c r="Z2654" i="7" s="1"/>
  <c r="AI3299" i="7"/>
  <c r="Y3299" i="7"/>
  <c r="Z3299" i="7" s="1"/>
  <c r="AI3324" i="7"/>
  <c r="Y3324" i="7"/>
  <c r="Z3324" i="7" s="1"/>
  <c r="Y92" i="7"/>
  <c r="Z92" i="7" s="1"/>
  <c r="AM92" i="7" s="1"/>
  <c r="Y148" i="7"/>
  <c r="Z148" i="7" s="1"/>
  <c r="AI689" i="7"/>
  <c r="Y689" i="7"/>
  <c r="Z689" i="7" s="1"/>
  <c r="AI1946" i="7"/>
  <c r="Y1946" i="7"/>
  <c r="Z1946" i="7" s="1"/>
  <c r="AI1964" i="7"/>
  <c r="Y1964" i="7"/>
  <c r="Z1964" i="7" s="1"/>
  <c r="AI1974" i="7"/>
  <c r="AJ1974" i="7" s="1"/>
  <c r="Y1974" i="7"/>
  <c r="Z1974" i="7" s="1"/>
  <c r="AI2003" i="7"/>
  <c r="AJ2003" i="7" s="1"/>
  <c r="Y2003" i="7"/>
  <c r="Z2003" i="7" s="1"/>
  <c r="AI2005" i="7"/>
  <c r="Y2005" i="7"/>
  <c r="Z2005" i="7" s="1"/>
  <c r="AI2523" i="7"/>
  <c r="Y2523" i="7"/>
  <c r="Z2523" i="7" s="1"/>
  <c r="AI2560" i="7"/>
  <c r="Y2560" i="7"/>
  <c r="Z2560" i="7" s="1"/>
  <c r="AI285" i="7"/>
  <c r="Y285" i="7"/>
  <c r="Z285" i="7" s="1"/>
  <c r="Y434" i="7"/>
  <c r="Z434" i="7" s="1"/>
  <c r="Y436" i="7"/>
  <c r="Z436" i="7" s="1"/>
  <c r="AI460" i="7"/>
  <c r="Y460" i="7"/>
  <c r="Z460" i="7" s="1"/>
  <c r="Y470" i="7"/>
  <c r="Z470" i="7" s="1"/>
  <c r="AM515" i="7"/>
  <c r="AI1911" i="7"/>
  <c r="Y1911" i="7"/>
  <c r="Z1911" i="7" s="1"/>
  <c r="AI2472" i="7"/>
  <c r="Y2472" i="7"/>
  <c r="Z2472" i="7" s="1"/>
  <c r="AI2508" i="7"/>
  <c r="Y2508" i="7"/>
  <c r="Z2508" i="7" s="1"/>
  <c r="AI2510" i="7"/>
  <c r="Y2510" i="7"/>
  <c r="Z2510" i="7" s="1"/>
  <c r="AI1230" i="7"/>
  <c r="Y1230" i="7"/>
  <c r="Z1230" i="7" s="1"/>
  <c r="AI1234" i="7"/>
  <c r="Y1234" i="7"/>
  <c r="Z1234" i="7" s="1"/>
  <c r="AM1234" i="7" s="1"/>
  <c r="AI2443" i="7"/>
  <c r="Y2443" i="7"/>
  <c r="Z2443" i="7" s="1"/>
  <c r="Y3649" i="7"/>
  <c r="Z3649" i="7" s="1"/>
  <c r="AI3649" i="7"/>
  <c r="AI3695" i="7"/>
  <c r="Y3695" i="7"/>
  <c r="Z3695" i="7" s="1"/>
  <c r="Y84" i="7"/>
  <c r="Z84" i="7" s="1"/>
  <c r="AH84" i="7" s="1"/>
  <c r="Y174" i="7"/>
  <c r="Z174" i="7" s="1"/>
  <c r="Y10" i="7"/>
  <c r="Z10" i="7" s="1"/>
  <c r="AI10" i="7"/>
  <c r="AH370" i="7"/>
  <c r="AH2227" i="7"/>
  <c r="AI916" i="7"/>
  <c r="Y916" i="7"/>
  <c r="Z916" i="7" s="1"/>
  <c r="AI1800" i="7"/>
  <c r="Y1800" i="7"/>
  <c r="Z1800" i="7" s="1"/>
  <c r="AI1826" i="7"/>
  <c r="Y1826" i="7"/>
  <c r="Z1826" i="7" s="1"/>
  <c r="Y3597" i="7"/>
  <c r="Z3597" i="7" s="1"/>
  <c r="AI3597" i="7"/>
  <c r="AI1662" i="7"/>
  <c r="Y1662" i="7"/>
  <c r="Z1662" i="7" s="1"/>
  <c r="AI1672" i="7"/>
  <c r="Y1672" i="7"/>
  <c r="Z1672" i="7" s="1"/>
  <c r="AI1684" i="7"/>
  <c r="Y1684" i="7"/>
  <c r="Z1684" i="7" s="1"/>
  <c r="Y1686" i="7"/>
  <c r="Z1686" i="7" s="1"/>
  <c r="AI1686" i="7"/>
  <c r="AI1709" i="7"/>
  <c r="Y1709" i="7"/>
  <c r="Z1709" i="7" s="1"/>
  <c r="AI1739" i="7"/>
  <c r="Y1739" i="7"/>
  <c r="Z1739" i="7" s="1"/>
  <c r="AI3025" i="7"/>
  <c r="Y3025" i="7"/>
  <c r="Z3025" i="7" s="1"/>
  <c r="AI3558" i="7"/>
  <c r="Y3558" i="7"/>
  <c r="Z3558" i="7" s="1"/>
  <c r="AI3566" i="7"/>
  <c r="Y3566" i="7"/>
  <c r="Z3566" i="7" s="1"/>
  <c r="AI425" i="7"/>
  <c r="Y425" i="7"/>
  <c r="Z425" i="7" s="1"/>
  <c r="AI441" i="7"/>
  <c r="Y441" i="7"/>
  <c r="Z441" i="7" s="1"/>
  <c r="AI443" i="7"/>
  <c r="Y443" i="7"/>
  <c r="Z443" i="7" s="1"/>
  <c r="AI447" i="7"/>
  <c r="Y447" i="7"/>
  <c r="Z447" i="7" s="1"/>
  <c r="AI449" i="7"/>
  <c r="Y449" i="7"/>
  <c r="Z449" i="7" s="1"/>
  <c r="AI494" i="7"/>
  <c r="Y494" i="7"/>
  <c r="Z494" i="7" s="1"/>
  <c r="AH688" i="7"/>
  <c r="AH710" i="7"/>
  <c r="AH782" i="7"/>
  <c r="AI800" i="7"/>
  <c r="Y800" i="7"/>
  <c r="Z800" i="7" s="1"/>
  <c r="AH2912" i="7"/>
  <c r="AM2912" i="7"/>
  <c r="AH245" i="7"/>
  <c r="AI720" i="7"/>
  <c r="Y720" i="7"/>
  <c r="Z720" i="7" s="1"/>
  <c r="AI724" i="7"/>
  <c r="Y724" i="7"/>
  <c r="Z724" i="7" s="1"/>
  <c r="AI739" i="7"/>
  <c r="Y739" i="7"/>
  <c r="Z739" i="7" s="1"/>
  <c r="AM739" i="7" s="1"/>
  <c r="AI2812" i="7"/>
  <c r="Y2812" i="7"/>
  <c r="Z2812" i="7" s="1"/>
  <c r="AI2820" i="7"/>
  <c r="Y2820" i="7"/>
  <c r="Z2820" i="7" s="1"/>
  <c r="Y3847" i="7"/>
  <c r="Z3847" i="7" s="1"/>
  <c r="AC3847" i="7" s="1"/>
  <c r="AI3943" i="7"/>
  <c r="AM2415" i="7"/>
  <c r="AH96" i="7"/>
  <c r="Y98" i="7"/>
  <c r="Z98" i="7" s="1"/>
  <c r="Y120" i="7"/>
  <c r="Z120" i="7" s="1"/>
  <c r="AH122" i="7"/>
  <c r="AI3680" i="7"/>
  <c r="AC3779" i="7"/>
  <c r="AH3751" i="7"/>
  <c r="AI3825" i="7"/>
  <c r="AI4032" i="7"/>
  <c r="AM3996" i="7"/>
  <c r="AH2694" i="7"/>
  <c r="Y303" i="7"/>
  <c r="Z303" i="7" s="1"/>
  <c r="AM396" i="7"/>
  <c r="AH398" i="7"/>
  <c r="AH400" i="7"/>
  <c r="AM595" i="7"/>
  <c r="AM3532" i="7"/>
  <c r="AM910" i="7"/>
  <c r="Y3975" i="7"/>
  <c r="Z3975" i="7" s="1"/>
  <c r="AH3975" i="7" s="1"/>
  <c r="AM3422" i="7"/>
  <c r="AH3207" i="7"/>
  <c r="AH183" i="7"/>
  <c r="AH187" i="7"/>
  <c r="AI3936" i="7"/>
  <c r="Y3655" i="7"/>
  <c r="Z3655" i="7" s="1"/>
  <c r="AM3655" i="7" s="1"/>
  <c r="AH3441" i="7"/>
  <c r="AM85" i="7"/>
  <c r="AM2021" i="7"/>
  <c r="AH1938" i="7"/>
  <c r="AM9" i="7"/>
  <c r="Y11" i="7"/>
  <c r="Z11" i="7" s="1"/>
  <c r="AM13" i="7"/>
  <c r="AM17" i="7"/>
  <c r="AH167" i="7"/>
  <c r="AH175" i="7"/>
  <c r="AH177" i="7"/>
  <c r="Y179" i="7"/>
  <c r="Z179" i="7" s="1"/>
  <c r="AH265" i="7"/>
  <c r="AH273" i="7"/>
  <c r="Y279" i="7"/>
  <c r="Z279" i="7" s="1"/>
  <c r="Y1055" i="7"/>
  <c r="Z1055" i="7" s="1"/>
  <c r="AM1055" i="7" s="1"/>
  <c r="AH1437" i="7"/>
  <c r="Y3772" i="7"/>
  <c r="Z3772" i="7" s="1"/>
  <c r="AM3772" i="7" s="1"/>
  <c r="Y3934" i="7"/>
  <c r="Z3934" i="7" s="1"/>
  <c r="AH3934" i="7" s="1"/>
  <c r="Y4030" i="7"/>
  <c r="Z4030" i="7" s="1"/>
  <c r="AM4030" i="7" s="1"/>
  <c r="Y3711" i="7"/>
  <c r="Z3711" i="7" s="1"/>
  <c r="AI3885" i="7"/>
  <c r="Y3768" i="7"/>
  <c r="Z3768" i="7" s="1"/>
  <c r="AH3768" i="7" s="1"/>
  <c r="Y4034" i="7"/>
  <c r="Z4034" i="7" s="1"/>
  <c r="AA4034" i="7" s="1"/>
  <c r="AI3988" i="7"/>
  <c r="AH1336" i="7"/>
  <c r="Y1528" i="7"/>
  <c r="Z1528" i="7" s="1"/>
  <c r="Y1530" i="7"/>
  <c r="Z1530" i="7" s="1"/>
  <c r="Y1538" i="7"/>
  <c r="Z1538" i="7" s="1"/>
  <c r="AM1713" i="7"/>
  <c r="Y3932" i="7"/>
  <c r="Z3932" i="7" s="1"/>
  <c r="AM3932" i="7" s="1"/>
  <c r="Y4033" i="7"/>
  <c r="Z4033" i="7" s="1"/>
  <c r="AH4033" i="7" s="1"/>
  <c r="Y3775" i="7"/>
  <c r="Z3775" i="7" s="1"/>
  <c r="AE3775" i="7" s="1"/>
  <c r="AF3775" i="7" s="1"/>
  <c r="AI4014" i="7"/>
  <c r="AM2391" i="7"/>
  <c r="Y140" i="7"/>
  <c r="Z140" i="7" s="1"/>
  <c r="Y974" i="7"/>
  <c r="Z974" i="7" s="1"/>
  <c r="Y278" i="7"/>
  <c r="Z278" i="7" s="1"/>
  <c r="AM278" i="7" s="1"/>
  <c r="Y134" i="7"/>
  <c r="Z134" i="7" s="1"/>
  <c r="AM190" i="7"/>
  <c r="AM257" i="7"/>
  <c r="AH325" i="7"/>
  <c r="AM333" i="7"/>
  <c r="AM663" i="7"/>
  <c r="AH1033" i="7"/>
  <c r="Y3855" i="7"/>
  <c r="Z3855" i="7" s="1"/>
  <c r="AA3855" i="7" s="1"/>
  <c r="AM236" i="7"/>
  <c r="AM337" i="7"/>
  <c r="AH586" i="7"/>
  <c r="AI3699" i="7"/>
  <c r="AM1549" i="7"/>
  <c r="AH1885" i="7"/>
  <c r="AH2478" i="7"/>
  <c r="AM2962" i="7"/>
  <c r="AM3898" i="7"/>
  <c r="AH772" i="7"/>
  <c r="AM772" i="7"/>
  <c r="AA1969" i="7"/>
  <c r="AM1969" i="7"/>
  <c r="AH1969" i="7"/>
  <c r="AE1969" i="7"/>
  <c r="AF1969" i="7" s="1"/>
  <c r="AM1096" i="7"/>
  <c r="AH1096" i="7"/>
  <c r="AH699" i="7"/>
  <c r="AM699" i="7"/>
  <c r="AC3117" i="7"/>
  <c r="AM3117" i="7"/>
  <c r="AA3117" i="7"/>
  <c r="AE3117" i="7"/>
  <c r="AF3117" i="7" s="1"/>
  <c r="AH73" i="7"/>
  <c r="AM73" i="7"/>
  <c r="AH83" i="7"/>
  <c r="AM83" i="7"/>
  <c r="AH359" i="7"/>
  <c r="AM359" i="7"/>
  <c r="AM454" i="7"/>
  <c r="AH454" i="7"/>
  <c r="AC464" i="7"/>
  <c r="AA464" i="7"/>
  <c r="AH464" i="7"/>
  <c r="AM464" i="7"/>
  <c r="AC1808" i="7"/>
  <c r="AH1808" i="7"/>
  <c r="AE2763" i="7"/>
  <c r="AF2763" i="7" s="1"/>
  <c r="AA2763" i="7"/>
  <c r="AM557" i="7"/>
  <c r="AH557" i="7"/>
  <c r="AM3372" i="7"/>
  <c r="AH3372" i="7"/>
  <c r="AH124" i="7"/>
  <c r="AM124" i="7"/>
  <c r="AM195" i="7"/>
  <c r="AH195" i="7"/>
  <c r="AH427" i="7"/>
  <c r="AM427" i="7"/>
  <c r="AH2046" i="7"/>
  <c r="AM2046" i="7"/>
  <c r="Y3842" i="7"/>
  <c r="Z3842" i="7" s="1"/>
  <c r="AH3842" i="7" s="1"/>
  <c r="Y3953" i="7"/>
  <c r="Z3953" i="7" s="1"/>
  <c r="AE3953" i="7" s="1"/>
  <c r="AF3953" i="7" s="1"/>
  <c r="Y128" i="7"/>
  <c r="Z128" i="7" s="1"/>
  <c r="AH138" i="7"/>
  <c r="Y543" i="7"/>
  <c r="Z543" i="7" s="1"/>
  <c r="AM647" i="7"/>
  <c r="AM651" i="7"/>
  <c r="Y655" i="7"/>
  <c r="Z655" i="7" s="1"/>
  <c r="Y3782" i="7"/>
  <c r="Z3782" i="7" s="1"/>
  <c r="AH3782" i="7" s="1"/>
  <c r="Y3846" i="7"/>
  <c r="Z3846" i="7" s="1"/>
  <c r="AC3846" i="7" s="1"/>
  <c r="Y469" i="7"/>
  <c r="Z469" i="7" s="1"/>
  <c r="Y473" i="7"/>
  <c r="Z473" i="7" s="1"/>
  <c r="Y3869" i="7"/>
  <c r="Z3869" i="7" s="1"/>
  <c r="AE3869" i="7" s="1"/>
  <c r="AF3869" i="7" s="1"/>
  <c r="Y3658" i="7"/>
  <c r="Z3658" i="7" s="1"/>
  <c r="Y74" i="7"/>
  <c r="Z74" i="7" s="1"/>
  <c r="AH43" i="7"/>
  <c r="AM194" i="7"/>
  <c r="AM3993" i="7"/>
  <c r="AI3747" i="7"/>
  <c r="AI3957" i="7"/>
  <c r="Y49" i="7"/>
  <c r="Z49" i="7" s="1"/>
  <c r="AM444" i="7"/>
  <c r="AM446" i="7"/>
  <c r="AM448" i="7"/>
  <c r="AM3800" i="7"/>
  <c r="Y3611" i="7"/>
  <c r="Z3611" i="7" s="1"/>
  <c r="Y3715" i="7"/>
  <c r="Z3715" i="7" s="1"/>
  <c r="AM3715" i="7" s="1"/>
  <c r="AM53" i="7"/>
  <c r="AH234" i="7"/>
  <c r="AH292" i="7"/>
  <c r="Y3650" i="7"/>
  <c r="Z3650" i="7" s="1"/>
  <c r="Y69" i="7"/>
  <c r="Z69" i="7" s="1"/>
  <c r="AH133" i="7"/>
  <c r="AM462" i="7"/>
  <c r="Y1171" i="7"/>
  <c r="Z1171" i="7" s="1"/>
  <c r="Y1177" i="7"/>
  <c r="Z1177" i="7" s="1"/>
  <c r="Y1196" i="7"/>
  <c r="Z1196" i="7" s="1"/>
  <c r="AH1198" i="7"/>
  <c r="AM1200" i="7"/>
  <c r="Y1297" i="7"/>
  <c r="Z1297" i="7" s="1"/>
  <c r="AH1313" i="7"/>
  <c r="Y1315" i="7"/>
  <c r="Z1315" i="7" s="1"/>
  <c r="Y1317" i="7"/>
  <c r="Z1317" i="7" s="1"/>
  <c r="AH1433" i="7"/>
  <c r="AH1435" i="7"/>
  <c r="AE3779" i="7"/>
  <c r="AF3779" i="7" s="1"/>
  <c r="AI3751" i="7"/>
  <c r="Y3849" i="7"/>
  <c r="Z3849" i="7" s="1"/>
  <c r="AC3849" i="7" s="1"/>
  <c r="Y3767" i="7"/>
  <c r="Z3767" i="7" s="1"/>
  <c r="AA3767" i="7" s="1"/>
  <c r="Y4023" i="7"/>
  <c r="Z4023" i="7" s="1"/>
  <c r="AH4023" i="7" s="1"/>
  <c r="AH3979" i="7"/>
  <c r="AA3800" i="7"/>
  <c r="AI3702" i="7"/>
  <c r="Y3712" i="7"/>
  <c r="Z3712" i="7" s="1"/>
  <c r="AM3712" i="7" s="1"/>
  <c r="Y4026" i="7"/>
  <c r="Z4026" i="7" s="1"/>
  <c r="AH4026" i="7" s="1"/>
  <c r="AM44" i="7"/>
  <c r="Y319" i="7"/>
  <c r="Z319" i="7" s="1"/>
  <c r="AM433" i="7"/>
  <c r="Y834" i="7"/>
  <c r="Z834" i="7" s="1"/>
  <c r="AM838" i="7"/>
  <c r="Y842" i="7"/>
  <c r="Z842" i="7" s="1"/>
  <c r="Y850" i="7"/>
  <c r="Z850" i="7" s="1"/>
  <c r="AH860" i="7"/>
  <c r="AM3965" i="7"/>
  <c r="Y3858" i="7"/>
  <c r="Z3858" i="7" s="1"/>
  <c r="AE3858" i="7" s="1"/>
  <c r="AF3858" i="7" s="1"/>
  <c r="Y309" i="7"/>
  <c r="Z309" i="7" s="1"/>
  <c r="Y811" i="7"/>
  <c r="Z811" i="7" s="1"/>
  <c r="AM811" i="7" s="1"/>
  <c r="AM825" i="7"/>
  <c r="AH1469" i="7"/>
  <c r="Y3640" i="7"/>
  <c r="Z3640" i="7" s="1"/>
  <c r="Y3616" i="7"/>
  <c r="Z3616" i="7" s="1"/>
  <c r="Y3949" i="7"/>
  <c r="Z3949" i="7" s="1"/>
  <c r="AM3949" i="7" s="1"/>
  <c r="AA4018" i="7"/>
  <c r="AI3848" i="7"/>
  <c r="AI4022" i="7"/>
  <c r="Y161" i="7"/>
  <c r="Z161" i="7" s="1"/>
  <c r="AM163" i="7"/>
  <c r="AM541" i="7"/>
  <c r="AH547" i="7"/>
  <c r="AH559" i="7"/>
  <c r="AH741" i="7"/>
  <c r="AM743" i="7"/>
  <c r="AH763" i="7"/>
  <c r="Y797" i="7"/>
  <c r="Z797" i="7" s="1"/>
  <c r="AM797" i="7" s="1"/>
  <c r="AM4015" i="7"/>
  <c r="AM2901" i="7"/>
  <c r="AE2901" i="7"/>
  <c r="AF2901" i="7" s="1"/>
  <c r="AA2901" i="7"/>
  <c r="AC2901" i="7"/>
  <c r="AH2901" i="7"/>
  <c r="AC3427" i="7"/>
  <c r="AE3427" i="7"/>
  <c r="AF3427" i="7" s="1"/>
  <c r="AM3427" i="7"/>
  <c r="AA3427" i="7"/>
  <c r="AH3282" i="7"/>
  <c r="AE3282" i="7"/>
  <c r="AF3282" i="7" s="1"/>
  <c r="AC3282" i="7"/>
  <c r="AA3282" i="7"/>
  <c r="AM3282" i="7"/>
  <c r="AA2718" i="7"/>
  <c r="AE2116" i="7"/>
  <c r="AF2116" i="7" s="1"/>
  <c r="AA2116" i="7"/>
  <c r="AC2116" i="7"/>
  <c r="AH2116" i="7"/>
  <c r="AM2116" i="7"/>
  <c r="AE3608" i="7"/>
  <c r="AF3608" i="7" s="1"/>
  <c r="AA3608" i="7"/>
  <c r="AH3608" i="7"/>
  <c r="AM3608" i="7"/>
  <c r="AC3608" i="7"/>
  <c r="AA3383" i="7"/>
  <c r="AC3383" i="7"/>
  <c r="AE3383" i="7"/>
  <c r="AF3383" i="7" s="1"/>
  <c r="AM3383" i="7"/>
  <c r="AH3600" i="7"/>
  <c r="AC3600" i="7"/>
  <c r="AA3600" i="7"/>
  <c r="AE3600" i="7"/>
  <c r="AF3600" i="7" s="1"/>
  <c r="AM3600" i="7"/>
  <c r="AH3133" i="7"/>
  <c r="AE3133" i="7"/>
  <c r="AF3133" i="7" s="1"/>
  <c r="AC3133" i="7"/>
  <c r="AA3133" i="7"/>
  <c r="AM3133" i="7"/>
  <c r="AH3511" i="7"/>
  <c r="AM3511" i="7"/>
  <c r="AC3511" i="7"/>
  <c r="AA3511" i="7"/>
  <c r="AE3511" i="7"/>
  <c r="AF3511" i="7" s="1"/>
  <c r="AE2062" i="7"/>
  <c r="AF2062" i="7" s="1"/>
  <c r="AE3228" i="7"/>
  <c r="AF3228" i="7" s="1"/>
  <c r="AH3228" i="7"/>
  <c r="AM3228" i="7"/>
  <c r="AA3228" i="7"/>
  <c r="AC3228" i="7"/>
  <c r="AM1864" i="7"/>
  <c r="AC1864" i="7"/>
  <c r="AA1864" i="7"/>
  <c r="AH3419" i="7"/>
  <c r="AM3419" i="7"/>
  <c r="AC3419" i="7"/>
  <c r="AE3419" i="7"/>
  <c r="AF3419" i="7" s="1"/>
  <c r="AA3419" i="7"/>
  <c r="AM2378" i="7"/>
  <c r="AC2378" i="7"/>
  <c r="AE2378" i="7"/>
  <c r="AF2378" i="7" s="1"/>
  <c r="AH2378" i="7"/>
  <c r="AA2378" i="7"/>
  <c r="AE2731" i="7"/>
  <c r="AF2731" i="7" s="1"/>
  <c r="AM2731" i="7"/>
  <c r="AA2731" i="7"/>
  <c r="AC2731" i="7"/>
  <c r="AH2731" i="7"/>
  <c r="AE3020" i="7"/>
  <c r="AF3020" i="7" s="1"/>
  <c r="AA3020" i="7"/>
  <c r="AM3020" i="7"/>
  <c r="AC3020" i="7"/>
  <c r="AH3020" i="7"/>
  <c r="AH3090" i="7"/>
  <c r="AC3090" i="7"/>
  <c r="AE3090" i="7"/>
  <c r="AF3090" i="7" s="1"/>
  <c r="AM3090" i="7"/>
  <c r="AA3090" i="7"/>
  <c r="AI106" i="7"/>
  <c r="Y106" i="7"/>
  <c r="Z106" i="7" s="1"/>
  <c r="AI130" i="7"/>
  <c r="Y130" i="7"/>
  <c r="Z130" i="7" s="1"/>
  <c r="AI488" i="7"/>
  <c r="Y488" i="7"/>
  <c r="Z488" i="7" s="1"/>
  <c r="AM122" i="7"/>
  <c r="AI283" i="7"/>
  <c r="Y283" i="7"/>
  <c r="Z283" i="7" s="1"/>
  <c r="AI1634" i="7"/>
  <c r="Y1634" i="7"/>
  <c r="Z1634" i="7" s="1"/>
  <c r="AI267" i="7"/>
  <c r="Y267" i="7"/>
  <c r="Z267" i="7" s="1"/>
  <c r="Y82" i="7"/>
  <c r="Z82" i="7" s="1"/>
  <c r="AM82" i="7" s="1"/>
  <c r="AI249" i="7"/>
  <c r="Y249" i="7"/>
  <c r="Z249" i="7" s="1"/>
  <c r="AI255" i="7"/>
  <c r="Y255" i="7"/>
  <c r="Z255" i="7" s="1"/>
  <c r="AI275" i="7"/>
  <c r="Y275" i="7"/>
  <c r="Z275" i="7" s="1"/>
  <c r="AI1526" i="7"/>
  <c r="Y1526" i="7"/>
  <c r="Z1526" i="7" s="1"/>
  <c r="AA97" i="7"/>
  <c r="AC97" i="7"/>
  <c r="AI394" i="7"/>
  <c r="Y394" i="7"/>
  <c r="Z394" i="7" s="1"/>
  <c r="AI402" i="7"/>
  <c r="Y402" i="7"/>
  <c r="Z402" i="7" s="1"/>
  <c r="AI404" i="7"/>
  <c r="Y404" i="7"/>
  <c r="Z404" i="7" s="1"/>
  <c r="AI450" i="7"/>
  <c r="Y450" i="7"/>
  <c r="Z450" i="7" s="1"/>
  <c r="AM452" i="7"/>
  <c r="AH452" i="7"/>
  <c r="AI59" i="7"/>
  <c r="Y59" i="7"/>
  <c r="Z59" i="7" s="1"/>
  <c r="AM63" i="7"/>
  <c r="AI1192" i="7"/>
  <c r="Y1192" i="7"/>
  <c r="Z1192" i="7" s="1"/>
  <c r="AC1192" i="7"/>
  <c r="AH1319" i="7"/>
  <c r="AM1319" i="7"/>
  <c r="AI189" i="7"/>
  <c r="Y189" i="7"/>
  <c r="Z189" i="7" s="1"/>
  <c r="AM189" i="7" s="1"/>
  <c r="AI331" i="7"/>
  <c r="Y331" i="7"/>
  <c r="Z331" i="7" s="1"/>
  <c r="AI1035" i="7"/>
  <c r="Y1035" i="7"/>
  <c r="Z1035" i="7" s="1"/>
  <c r="Y1049" i="7"/>
  <c r="Z1049" i="7" s="1"/>
  <c r="AI1049" i="7"/>
  <c r="AJ1049" i="7" s="1"/>
  <c r="Y315" i="7"/>
  <c r="Z315" i="7" s="1"/>
  <c r="AI315" i="7"/>
  <c r="AI836" i="7"/>
  <c r="Y836" i="7"/>
  <c r="Z836" i="7" s="1"/>
  <c r="AM836" i="7" s="1"/>
  <c r="Y165" i="7"/>
  <c r="Z165" i="7" s="1"/>
  <c r="AI165" i="7"/>
  <c r="AM305" i="7"/>
  <c r="AH305" i="7"/>
  <c r="Y307" i="7"/>
  <c r="Z307" i="7" s="1"/>
  <c r="AM307" i="7" s="1"/>
  <c r="AI307" i="7"/>
  <c r="AI313" i="7"/>
  <c r="Y313" i="7"/>
  <c r="Z313" i="7" s="1"/>
  <c r="AI807" i="7"/>
  <c r="Y807" i="7"/>
  <c r="Z807" i="7" s="1"/>
  <c r="AI809" i="7"/>
  <c r="Y809" i="7"/>
  <c r="Z809" i="7" s="1"/>
  <c r="AM809" i="7" s="1"/>
  <c r="AI561" i="7"/>
  <c r="Y561" i="7"/>
  <c r="Z561" i="7" s="1"/>
  <c r="AI799" i="7"/>
  <c r="Y799" i="7"/>
  <c r="Z799" i="7" s="1"/>
  <c r="Y801" i="7"/>
  <c r="Z801" i="7" s="1"/>
  <c r="AI801" i="7"/>
  <c r="AH920" i="7"/>
  <c r="AM920" i="7"/>
  <c r="AE3780" i="7"/>
  <c r="AF3780" i="7" s="1"/>
  <c r="AC3780" i="7"/>
  <c r="AA3780" i="7"/>
  <c r="AH65" i="7"/>
  <c r="AM185" i="7"/>
  <c r="AM3867" i="7"/>
  <c r="AA3867" i="7"/>
  <c r="AH3867" i="7"/>
  <c r="AE3867" i="7"/>
  <c r="AF3867" i="7" s="1"/>
  <c r="AH3836" i="7"/>
  <c r="AE3836" i="7"/>
  <c r="AF3836" i="7" s="1"/>
  <c r="AH3994" i="7"/>
  <c r="AM3994" i="7"/>
  <c r="AM4004" i="7"/>
  <c r="AA4004" i="7"/>
  <c r="AE4007" i="7"/>
  <c r="AF4007" i="7" s="1"/>
  <c r="AC4007" i="7"/>
  <c r="AA4007" i="7"/>
  <c r="AA3914" i="7"/>
  <c r="AC3914" i="7"/>
  <c r="AE3914" i="7"/>
  <c r="AF3914" i="7" s="1"/>
  <c r="AH111" i="7"/>
  <c r="AH192" i="7"/>
  <c r="AA3963" i="7"/>
  <c r="AC3963" i="7"/>
  <c r="AM947" i="7"/>
  <c r="AH3984" i="7"/>
  <c r="AE3984" i="7"/>
  <c r="AF3984" i="7" s="1"/>
  <c r="Y24" i="7"/>
  <c r="Z24" i="7" s="1"/>
  <c r="AM795" i="7"/>
  <c r="AH88" i="7"/>
  <c r="AA3799" i="7"/>
  <c r="AC3799" i="7"/>
  <c r="AH4007" i="7"/>
  <c r="AH3790" i="7"/>
  <c r="Y3733" i="7"/>
  <c r="Z3733" i="7" s="1"/>
  <c r="AC3733" i="7" s="1"/>
  <c r="Y3773" i="7"/>
  <c r="Z3773" i="7" s="1"/>
  <c r="AH3773" i="7" s="1"/>
  <c r="AM3880" i="7"/>
  <c r="AI4031" i="7"/>
  <c r="Y3596" i="7"/>
  <c r="Z3596" i="7" s="1"/>
  <c r="Y3697" i="7"/>
  <c r="Z3697" i="7" s="1"/>
  <c r="AM3697" i="7" s="1"/>
  <c r="AH4015" i="7"/>
  <c r="AI3933" i="7"/>
  <c r="AI3800" i="7"/>
  <c r="AI4021" i="7"/>
  <c r="AM3719" i="7"/>
  <c r="Y3721" i="7"/>
  <c r="Z3721" i="7" s="1"/>
  <c r="Y3808" i="7"/>
  <c r="Z3808" i="7" s="1"/>
  <c r="AH3808" i="7" s="1"/>
  <c r="AI3947" i="7"/>
  <c r="AI3811" i="7"/>
  <c r="AI3821" i="7"/>
  <c r="Y3642" i="7"/>
  <c r="Z3642" i="7" s="1"/>
  <c r="AI4011" i="7"/>
  <c r="AI3697" i="7"/>
  <c r="Y4006" i="7"/>
  <c r="Z4006" i="7" s="1"/>
  <c r="AH4006" i="7" s="1"/>
  <c r="AM3815" i="7"/>
  <c r="AI3938" i="7"/>
  <c r="Y3696" i="7"/>
  <c r="Z3696" i="7" s="1"/>
  <c r="AM3696" i="7" s="1"/>
  <c r="Y3617" i="7"/>
  <c r="Z3617" i="7" s="1"/>
  <c r="AH3617" i="7" s="1"/>
  <c r="Y3671" i="7"/>
  <c r="Z3671" i="7" s="1"/>
  <c r="AA3671" i="7" s="1"/>
  <c r="AM3825" i="7"/>
  <c r="AM3779" i="7"/>
  <c r="AC3880" i="7"/>
  <c r="AM4007" i="7"/>
  <c r="AM3970" i="7"/>
  <c r="AH3996" i="7"/>
  <c r="AH3779" i="7"/>
  <c r="AA3880" i="7"/>
  <c r="AC3866" i="7"/>
  <c r="AH300" i="7"/>
  <c r="Y41" i="7"/>
  <c r="Z41" i="7" s="1"/>
  <c r="AH28" i="7"/>
  <c r="AM175" i="7"/>
  <c r="AH12" i="7"/>
  <c r="Y78" i="7"/>
  <c r="Z78" i="7" s="1"/>
  <c r="AE3962" i="7"/>
  <c r="AF3962" i="7" s="1"/>
  <c r="AH3962" i="7"/>
  <c r="AA3962" i="7"/>
  <c r="AC3962" i="7"/>
  <c r="AA3777" i="7"/>
  <c r="AE3777" i="7"/>
  <c r="AF3777" i="7" s="1"/>
  <c r="AC3777" i="7"/>
  <c r="AM3777" i="7"/>
  <c r="AA3943" i="7"/>
  <c r="AC3943" i="7"/>
  <c r="AM3828" i="7"/>
  <c r="AC3828" i="7"/>
  <c r="AC3717" i="7"/>
  <c r="AC3990" i="7"/>
  <c r="AM3990" i="7"/>
  <c r="AE3990" i="7"/>
  <c r="AF3990" i="7" s="1"/>
  <c r="AA3990" i="7"/>
  <c r="AH3966" i="7"/>
  <c r="AC3966" i="7"/>
  <c r="AA3966" i="7"/>
  <c r="AE3791" i="7"/>
  <c r="AF3791" i="7" s="1"/>
  <c r="AH3791" i="7"/>
  <c r="AH3748" i="7"/>
  <c r="AE3748" i="7"/>
  <c r="AF3748" i="7" s="1"/>
  <c r="AA3748" i="7"/>
  <c r="AC3748" i="7"/>
  <c r="AM3966" i="7"/>
  <c r="AA4022" i="7"/>
  <c r="AC4022" i="7"/>
  <c r="AE4022" i="7"/>
  <c r="AF4022" i="7" s="1"/>
  <c r="AH3940" i="7"/>
  <c r="AM3940" i="7"/>
  <c r="AC3940" i="7"/>
  <c r="AA3940" i="7"/>
  <c r="AE3957" i="7"/>
  <c r="AF3957" i="7" s="1"/>
  <c r="AM3957" i="7"/>
  <c r="AA3957" i="7"/>
  <c r="AC3832" i="7"/>
  <c r="AH3832" i="7"/>
  <c r="AM3832" i="7"/>
  <c r="AA3974" i="7"/>
  <c r="AE3974" i="7"/>
  <c r="AF3974" i="7" s="1"/>
  <c r="AC3974" i="7"/>
  <c r="AH3755" i="7"/>
  <c r="AA3755" i="7"/>
  <c r="AE3755" i="7"/>
  <c r="AF3755" i="7" s="1"/>
  <c r="AE3757" i="7"/>
  <c r="AF3757" i="7" s="1"/>
  <c r="AH3757" i="7"/>
  <c r="AC3757" i="7"/>
  <c r="AA3757" i="7"/>
  <c r="AE3871" i="7"/>
  <c r="AF3871" i="7" s="1"/>
  <c r="AC3871" i="7"/>
  <c r="AA3871" i="7"/>
  <c r="AE3936" i="7"/>
  <c r="AF3936" i="7" s="1"/>
  <c r="AH3936" i="7"/>
  <c r="AA3936" i="7"/>
  <c r="AE3831" i="7"/>
  <c r="AF3831" i="7" s="1"/>
  <c r="AA3831" i="7"/>
  <c r="AM3831" i="7"/>
  <c r="AM3757" i="7"/>
  <c r="AE3812" i="7"/>
  <c r="AF3812" i="7" s="1"/>
  <c r="AC3812" i="7"/>
  <c r="AA3812" i="7"/>
  <c r="AC4003" i="7"/>
  <c r="AM4003" i="7"/>
  <c r="AE4003" i="7"/>
  <c r="AF4003" i="7" s="1"/>
  <c r="AA3758" i="7"/>
  <c r="AC3758" i="7"/>
  <c r="AE3758" i="7"/>
  <c r="AF3758" i="7" s="1"/>
  <c r="AE3965" i="7"/>
  <c r="AF3965" i="7" s="1"/>
  <c r="AI3972" i="7"/>
  <c r="Y3972" i="7"/>
  <c r="Z3972" i="7" s="1"/>
  <c r="AA3972" i="7" s="1"/>
  <c r="AE3761" i="7"/>
  <c r="AF3761" i="7" s="1"/>
  <c r="AM3761" i="7"/>
  <c r="AC3797" i="7"/>
  <c r="AM3797" i="7"/>
  <c r="AC3981" i="7"/>
  <c r="AE3981" i="7"/>
  <c r="AF3981" i="7" s="1"/>
  <c r="AA3981" i="7"/>
  <c r="AC3836" i="7"/>
  <c r="AM3986" i="7"/>
  <c r="AM3981" i="7"/>
  <c r="AM3755" i="7"/>
  <c r="AM3919" i="7"/>
  <c r="AI4027" i="7"/>
  <c r="AA3823" i="7"/>
  <c r="Y3837" i="7"/>
  <c r="Z3837" i="7" s="1"/>
  <c r="AE3837" i="7" s="1"/>
  <c r="AF3837" i="7" s="1"/>
  <c r="Y3879" i="7"/>
  <c r="Z3879" i="7" s="1"/>
  <c r="AM3879" i="7" s="1"/>
  <c r="AM4014" i="7"/>
  <c r="AM4022" i="7"/>
  <c r="AI3941" i="7"/>
  <c r="AM3998" i="7"/>
  <c r="Y3952" i="7"/>
  <c r="Z3952" i="7" s="1"/>
  <c r="AM3952" i="7" s="1"/>
  <c r="AI3956" i="7"/>
  <c r="Y3735" i="7"/>
  <c r="Z3735" i="7" s="1"/>
  <c r="AI3712" i="7"/>
  <c r="AI3719" i="7"/>
  <c r="AI3813" i="7"/>
  <c r="AH3970" i="7"/>
  <c r="Y3676" i="7"/>
  <c r="Z3676" i="7" s="1"/>
  <c r="AE3676" i="7" s="1"/>
  <c r="AF3676" i="7" s="1"/>
  <c r="AM4027" i="7"/>
  <c r="Y3732" i="7"/>
  <c r="Z3732" i="7" s="1"/>
  <c r="AM3732" i="7" s="1"/>
  <c r="AI3761" i="7"/>
  <c r="Y3737" i="7"/>
  <c r="Z3737" i="7" s="1"/>
  <c r="AC3737" i="7" s="1"/>
  <c r="Y3818" i="7"/>
  <c r="Z3818" i="7" s="1"/>
  <c r="AA3818" i="7" s="1"/>
  <c r="AM3823" i="7"/>
  <c r="Y4035" i="7"/>
  <c r="Z4035" i="7" s="1"/>
  <c r="AM4035" i="7" s="1"/>
  <c r="AM4017" i="7"/>
  <c r="AA3984" i="7"/>
  <c r="AE4000" i="7"/>
  <c r="AF4000" i="7" s="1"/>
  <c r="Y4024" i="7"/>
  <c r="Z4024" i="7" s="1"/>
  <c r="AM4024" i="7" s="1"/>
  <c r="AC3756" i="7"/>
  <c r="AM3716" i="7"/>
  <c r="Y3673" i="7"/>
  <c r="Z3673" i="7" s="1"/>
  <c r="AA3673" i="7" s="1"/>
  <c r="Y3928" i="7"/>
  <c r="Z3928" i="7" s="1"/>
  <c r="AC3928" i="7" s="1"/>
  <c r="Y3854" i="7"/>
  <c r="Z3854" i="7" s="1"/>
  <c r="AC3854" i="7" s="1"/>
  <c r="AH3823" i="7"/>
  <c r="AM3885" i="7"/>
  <c r="AM3974" i="7"/>
  <c r="AM3656" i="7"/>
  <c r="Y3723" i="7"/>
  <c r="Z3723" i="7" s="1"/>
  <c r="AM3723" i="7" s="1"/>
  <c r="AA3756" i="7"/>
  <c r="AI3670" i="7"/>
  <c r="AM3748" i="7"/>
  <c r="AE3823" i="7"/>
  <c r="AF3823" i="7" s="1"/>
  <c r="AC3983" i="7"/>
  <c r="Y3607" i="7"/>
  <c r="Z3607" i="7" s="1"/>
  <c r="AH3717" i="7"/>
  <c r="Y3730" i="7"/>
  <c r="Z3730" i="7" s="1"/>
  <c r="AE3730" i="7" s="1"/>
  <c r="AF3730" i="7" s="1"/>
  <c r="AI3812" i="7"/>
  <c r="AM3758" i="7"/>
  <c r="AA3815" i="7"/>
  <c r="Y3771" i="7"/>
  <c r="Z3771" i="7" s="1"/>
  <c r="AM3771" i="7" s="1"/>
  <c r="AM3984" i="7"/>
  <c r="Y3958" i="7"/>
  <c r="Z3958" i="7" s="1"/>
  <c r="AM3958" i="7" s="1"/>
  <c r="AH3756" i="7"/>
  <c r="AE3815" i="7"/>
  <c r="AF3815" i="7" s="1"/>
  <c r="AA3769" i="7"/>
  <c r="AC4015" i="7"/>
  <c r="AH3815" i="7"/>
  <c r="Y3778" i="7"/>
  <c r="Z3778" i="7" s="1"/>
  <c r="AM3778" i="7" s="1"/>
  <c r="AE3681" i="7"/>
  <c r="AF3681" i="7" s="1"/>
  <c r="AM3851" i="7"/>
  <c r="AH3769" i="7"/>
  <c r="AI4029" i="7"/>
  <c r="AI3946" i="7"/>
  <c r="AJ3946" i="7" s="1"/>
  <c r="AH3935" i="7"/>
  <c r="AI3989" i="7"/>
  <c r="AC3800" i="7"/>
  <c r="AH3753" i="7"/>
  <c r="Y3817" i="7"/>
  <c r="Z3817" i="7" s="1"/>
  <c r="AH3817" i="7" s="1"/>
  <c r="AC4008" i="7"/>
  <c r="AM3997" i="7"/>
  <c r="AA4015" i="7"/>
  <c r="AC3867" i="7"/>
  <c r="AM3792" i="7"/>
  <c r="AE3728" i="7"/>
  <c r="AF3728" i="7" s="1"/>
  <c r="AC3728" i="7"/>
  <c r="AM3728" i="7"/>
  <c r="AA3728" i="7"/>
  <c r="AH3728" i="7"/>
  <c r="AE3648" i="7"/>
  <c r="AF3648" i="7" s="1"/>
  <c r="AA3648" i="7"/>
  <c r="AH3181" i="7"/>
  <c r="AM3181" i="7"/>
  <c r="AA3242" i="7"/>
  <c r="AC3242" i="7"/>
  <c r="AH3242" i="7"/>
  <c r="AM3525" i="7"/>
  <c r="AA3525" i="7"/>
  <c r="AM2865" i="7"/>
  <c r="AH2865" i="7"/>
  <c r="AA2608" i="7"/>
  <c r="AM2608" i="7"/>
  <c r="AC3801" i="7"/>
  <c r="AM3801" i="7"/>
  <c r="AA3801" i="7"/>
  <c r="AA3455" i="7"/>
  <c r="AC3455" i="7"/>
  <c r="AM3455" i="7"/>
  <c r="AE2058" i="7"/>
  <c r="AF2058" i="7" s="1"/>
  <c r="AM2058" i="7"/>
  <c r="AA2093" i="7"/>
  <c r="AC2093" i="7"/>
  <c r="AE2093" i="7"/>
  <c r="AF2093" i="7" s="1"/>
  <c r="AM2093" i="7"/>
  <c r="AC2562" i="7"/>
  <c r="AM2562" i="7"/>
  <c r="AM2905" i="7"/>
  <c r="AA2905" i="7"/>
  <c r="AE2905" i="7"/>
  <c r="AF2905" i="7" s="1"/>
  <c r="AA3967" i="7"/>
  <c r="AC3967" i="7"/>
  <c r="AE3967" i="7"/>
  <c r="AF3967" i="7" s="1"/>
  <c r="AH4021" i="7"/>
  <c r="AE4021" i="7"/>
  <c r="AF4021" i="7" s="1"/>
  <c r="AA4021" i="7"/>
  <c r="AM4021" i="7"/>
  <c r="AC4021" i="7"/>
  <c r="AA4009" i="7"/>
  <c r="AE4009" i="7"/>
  <c r="AF4009" i="7" s="1"/>
  <c r="AM4009" i="7"/>
  <c r="AH4009" i="7"/>
  <c r="AC4009" i="7"/>
  <c r="AA3734" i="7"/>
  <c r="AC3734" i="7"/>
  <c r="AH3734" i="7"/>
  <c r="AM3734" i="7"/>
  <c r="AE3734" i="7"/>
  <c r="AF3734" i="7" s="1"/>
  <c r="AH3680" i="7"/>
  <c r="AE3680" i="7"/>
  <c r="AF3680" i="7" s="1"/>
  <c r="AC3680" i="7"/>
  <c r="AM3680" i="7"/>
  <c r="AA3680" i="7"/>
  <c r="AA3992" i="7"/>
  <c r="AE3992" i="7"/>
  <c r="AF3992" i="7" s="1"/>
  <c r="Y4012" i="7"/>
  <c r="Z4012" i="7" s="1"/>
  <c r="AM4012" i="7" s="1"/>
  <c r="AI4012" i="7"/>
  <c r="AE3848" i="7"/>
  <c r="AF3848" i="7" s="1"/>
  <c r="AH3848" i="7"/>
  <c r="AA3848" i="7"/>
  <c r="AC3848" i="7"/>
  <c r="AM3791" i="7"/>
  <c r="AC3936" i="7"/>
  <c r="AH3969" i="7"/>
  <c r="AC3969" i="7"/>
  <c r="AM3967" i="7"/>
  <c r="AC4018" i="7"/>
  <c r="AE3852" i="7"/>
  <c r="AF3852" i="7" s="1"/>
  <c r="AH3852" i="7"/>
  <c r="AC3852" i="7"/>
  <c r="AA3852" i="7"/>
  <c r="AM3852" i="7"/>
  <c r="AE3717" i="7"/>
  <c r="AF3717" i="7" s="1"/>
  <c r="AH3785" i="7"/>
  <c r="AM3785" i="7"/>
  <c r="AH3993" i="7"/>
  <c r="AC3993" i="7"/>
  <c r="AH4027" i="7"/>
  <c r="AE4027" i="7"/>
  <c r="AF4027" i="7" s="1"/>
  <c r="AC4027" i="7"/>
  <c r="AA4027" i="7"/>
  <c r="AM3799" i="7"/>
  <c r="AH3799" i="7"/>
  <c r="AM3995" i="7"/>
  <c r="AH3995" i="7"/>
  <c r="AC3995" i="7"/>
  <c r="AA3995" i="7"/>
  <c r="Y3701" i="7"/>
  <c r="Z3701" i="7" s="1"/>
  <c r="AI3734" i="7"/>
  <c r="AM3790" i="7"/>
  <c r="AA3790" i="7"/>
  <c r="AC3790" i="7"/>
  <c r="AE3790" i="7"/>
  <c r="AF3790" i="7" s="1"/>
  <c r="AC3821" i="7"/>
  <c r="AH3821" i="7"/>
  <c r="AE3821" i="7"/>
  <c r="AF3821" i="7" s="1"/>
  <c r="AA3821" i="7"/>
  <c r="AA3656" i="7"/>
  <c r="AA3980" i="7"/>
  <c r="AM3980" i="7"/>
  <c r="AE3980" i="7"/>
  <c r="AF3980" i="7" s="1"/>
  <c r="AE3930" i="7"/>
  <c r="AF3930" i="7" s="1"/>
  <c r="AC3930" i="7"/>
  <c r="AA3930" i="7"/>
  <c r="AC3781" i="7"/>
  <c r="AH3781" i="7"/>
  <c r="AA3781" i="7"/>
  <c r="AE3781" i="7"/>
  <c r="AF3781" i="7" s="1"/>
  <c r="AH3766" i="7"/>
  <c r="AE3766" i="7"/>
  <c r="AF3766" i="7" s="1"/>
  <c r="AC3766" i="7"/>
  <c r="AA3766" i="7"/>
  <c r="Y3691" i="7"/>
  <c r="Z3691" i="7" s="1"/>
  <c r="AM4011" i="7"/>
  <c r="AH4011" i="7"/>
  <c r="AE4011" i="7"/>
  <c r="AF4011" i="7" s="1"/>
  <c r="AC4011" i="7"/>
  <c r="AA4011" i="7"/>
  <c r="AC3656" i="7"/>
  <c r="AH3797" i="7"/>
  <c r="AA3797" i="7"/>
  <c r="AM3605" i="7"/>
  <c r="AC3980" i="7"/>
  <c r="AH3965" i="7"/>
  <c r="AC3965" i="7"/>
  <c r="AM3756" i="7"/>
  <c r="AM3930" i="7"/>
  <c r="AM3781" i="7"/>
  <c r="AM3766" i="7"/>
  <c r="AM3976" i="7"/>
  <c r="AH3976" i="7"/>
  <c r="AE3976" i="7"/>
  <c r="AF3976" i="7" s="1"/>
  <c r="AC3976" i="7"/>
  <c r="AA3976" i="7"/>
  <c r="AE3797" i="7"/>
  <c r="AF3797" i="7" s="1"/>
  <c r="AC3605" i="7"/>
  <c r="AA3785" i="7"/>
  <c r="AE3811" i="7"/>
  <c r="AF3811" i="7" s="1"/>
  <c r="AC3811" i="7"/>
  <c r="AH3811" i="7"/>
  <c r="AA3811" i="7"/>
  <c r="AA3993" i="7"/>
  <c r="AM3969" i="7"/>
  <c r="Y3931" i="7"/>
  <c r="Z3931" i="7" s="1"/>
  <c r="AI3931" i="7"/>
  <c r="AI3948" i="7"/>
  <c r="Y3948" i="7"/>
  <c r="Z3948" i="7" s="1"/>
  <c r="AC3759" i="7"/>
  <c r="AA3759" i="7"/>
  <c r="AM3759" i="7"/>
  <c r="AE3751" i="7"/>
  <c r="AF3751" i="7" s="1"/>
  <c r="AC3751" i="7"/>
  <c r="AA3751" i="7"/>
  <c r="AI3824" i="7"/>
  <c r="Y3824" i="7"/>
  <c r="Z3824" i="7" s="1"/>
  <c r="AH3947" i="7"/>
  <c r="AE3947" i="7"/>
  <c r="AF3947" i="7" s="1"/>
  <c r="AC3947" i="7"/>
  <c r="AA3947" i="7"/>
  <c r="AM3947" i="7"/>
  <c r="AH3656" i="7"/>
  <c r="AM3717" i="7"/>
  <c r="AA3969" i="7"/>
  <c r="AM4018" i="7"/>
  <c r="AM3751" i="7"/>
  <c r="AC3747" i="7"/>
  <c r="AH3747" i="7"/>
  <c r="AA3747" i="7"/>
  <c r="AM3747" i="7"/>
  <c r="AM3848" i="7"/>
  <c r="AE3605" i="7"/>
  <c r="AF3605" i="7" s="1"/>
  <c r="AE3785" i="7"/>
  <c r="AF3785" i="7" s="1"/>
  <c r="AM4002" i="7"/>
  <c r="AH4002" i="7"/>
  <c r="AC4002" i="7"/>
  <c r="AC3760" i="7"/>
  <c r="AE3760" i="7"/>
  <c r="AF3760" i="7" s="1"/>
  <c r="AA3760" i="7"/>
  <c r="AA3838" i="7"/>
  <c r="AE3838" i="7"/>
  <c r="AF3838" i="7" s="1"/>
  <c r="AC3838" i="7"/>
  <c r="AH3838" i="7"/>
  <c r="AM3838" i="7"/>
  <c r="AH3937" i="7"/>
  <c r="AE3937" i="7"/>
  <c r="AF3937" i="7" s="1"/>
  <c r="AC3937" i="7"/>
  <c r="AA3937" i="7"/>
  <c r="AH3605" i="7"/>
  <c r="AA3791" i="7"/>
  <c r="AH3812" i="7"/>
  <c r="AM3812" i="7"/>
  <c r="AH4024" i="7"/>
  <c r="AH3992" i="7"/>
  <c r="AA4002" i="7"/>
  <c r="AE3969" i="7"/>
  <c r="AF3969" i="7" s="1"/>
  <c r="AM3936" i="7"/>
  <c r="AH3759" i="7"/>
  <c r="AM3760" i="7"/>
  <c r="AI3668" i="7"/>
  <c r="Y3668" i="7"/>
  <c r="Z3668" i="7" s="1"/>
  <c r="AH3825" i="7"/>
  <c r="AE3825" i="7"/>
  <c r="AF3825" i="7" s="1"/>
  <c r="AC3825" i="7"/>
  <c r="AA3825" i="7"/>
  <c r="AH3851" i="7"/>
  <c r="AE3851" i="7"/>
  <c r="AF3851" i="7" s="1"/>
  <c r="AC3851" i="7"/>
  <c r="AA3851" i="7"/>
  <c r="AM3914" i="7"/>
  <c r="AH3914" i="7"/>
  <c r="AC3791" i="7"/>
  <c r="AH3800" i="7"/>
  <c r="AC3992" i="7"/>
  <c r="AE4002" i="7"/>
  <c r="AF4002" i="7" s="1"/>
  <c r="AI3960" i="7"/>
  <c r="Y3960" i="7"/>
  <c r="Z3960" i="7" s="1"/>
  <c r="AH3760" i="7"/>
  <c r="AH3716" i="7"/>
  <c r="AH3828" i="7"/>
  <c r="AE3828" i="7"/>
  <c r="AF3828" i="7" s="1"/>
  <c r="AA3828" i="7"/>
  <c r="AM3780" i="7"/>
  <c r="AH3780" i="7"/>
  <c r="AE3747" i="7"/>
  <c r="AF3747" i="7" s="1"/>
  <c r="AE3830" i="7"/>
  <c r="AF3830" i="7" s="1"/>
  <c r="Y3651" i="7"/>
  <c r="Z3651" i="7" s="1"/>
  <c r="AM3651" i="7" s="1"/>
  <c r="AA3965" i="7"/>
  <c r="AM3992" i="7"/>
  <c r="Y3959" i="7"/>
  <c r="Z3959" i="7" s="1"/>
  <c r="AI3959" i="7"/>
  <c r="AE3919" i="7"/>
  <c r="AF3919" i="7" s="1"/>
  <c r="AA3919" i="7"/>
  <c r="AC3670" i="7"/>
  <c r="AE3670" i="7"/>
  <c r="AF3670" i="7" s="1"/>
  <c r="AM3670" i="7"/>
  <c r="AA3670" i="7"/>
  <c r="AH3750" i="7"/>
  <c r="AE3750" i="7"/>
  <c r="AF3750" i="7" s="1"/>
  <c r="AC3750" i="7"/>
  <c r="AA3750" i="7"/>
  <c r="AM3750" i="7"/>
  <c r="Y3878" i="7"/>
  <c r="Z3878" i="7" s="1"/>
  <c r="AM3878" i="7" s="1"/>
  <c r="AI3878" i="7"/>
  <c r="AA3798" i="7"/>
  <c r="AH3798" i="7"/>
  <c r="AE3798" i="7"/>
  <c r="AF3798" i="7" s="1"/>
  <c r="AC3798" i="7"/>
  <c r="AM4032" i="7"/>
  <c r="AH4032" i="7"/>
  <c r="AE4032" i="7"/>
  <c r="AF4032" i="7" s="1"/>
  <c r="AC4032" i="7"/>
  <c r="AH3871" i="7"/>
  <c r="AM3871" i="7"/>
  <c r="AC4005" i="7"/>
  <c r="AA4005" i="7"/>
  <c r="AM4005" i="7"/>
  <c r="AH4005" i="7"/>
  <c r="AH3956" i="7"/>
  <c r="AE3956" i="7"/>
  <c r="AF3956" i="7" s="1"/>
  <c r="AC3956" i="7"/>
  <c r="AA3956" i="7"/>
  <c r="AM3956" i="7"/>
  <c r="AH3955" i="7"/>
  <c r="AE3955" i="7"/>
  <c r="AF3955" i="7" s="1"/>
  <c r="AC3955" i="7"/>
  <c r="AA3955" i="7"/>
  <c r="AM3955" i="7"/>
  <c r="AM3962" i="7"/>
  <c r="AH4003" i="7"/>
  <c r="AE3716" i="7"/>
  <c r="AF3716" i="7" s="1"/>
  <c r="AH3681" i="7"/>
  <c r="AC3769" i="7"/>
  <c r="AM3798" i="7"/>
  <c r="AM3813" i="7"/>
  <c r="AM3937" i="7"/>
  <c r="AM3988" i="7"/>
  <c r="AH3988" i="7"/>
  <c r="Y3816" i="7"/>
  <c r="Z3816" i="7" s="1"/>
  <c r="AM3816" i="7" s="1"/>
  <c r="AI3816" i="7"/>
  <c r="AM4031" i="7"/>
  <c r="AH4031" i="7"/>
  <c r="AA4031" i="7"/>
  <c r="AE4031" i="7"/>
  <c r="AF4031" i="7" s="1"/>
  <c r="AC4031" i="7"/>
  <c r="AE3805" i="7"/>
  <c r="AF3805" i="7" s="1"/>
  <c r="AC3805" i="7"/>
  <c r="AH3805" i="7"/>
  <c r="AA3805" i="7"/>
  <c r="AM3805" i="7"/>
  <c r="AM3907" i="7"/>
  <c r="AH3907" i="7"/>
  <c r="AC3907" i="7"/>
  <c r="AE3907" i="7"/>
  <c r="AF3907" i="7" s="1"/>
  <c r="AA3907" i="7"/>
  <c r="AM3946" i="7"/>
  <c r="AH3946" i="7"/>
  <c r="AE3946" i="7"/>
  <c r="AF3946" i="7" s="1"/>
  <c r="AC3946" i="7"/>
  <c r="AA3946" i="7"/>
  <c r="AE3935" i="7"/>
  <c r="AF3935" i="7" s="1"/>
  <c r="AC3935" i="7"/>
  <c r="AA3935" i="7"/>
  <c r="AC3973" i="7"/>
  <c r="AA3973" i="7"/>
  <c r="AM3973" i="7"/>
  <c r="AH3973" i="7"/>
  <c r="AE3973" i="7"/>
  <c r="AF3973" i="7" s="1"/>
  <c r="AH4001" i="7"/>
  <c r="AE4001" i="7"/>
  <c r="AF4001" i="7" s="1"/>
  <c r="AC4001" i="7"/>
  <c r="AA4001" i="7"/>
  <c r="AM4001" i="7"/>
  <c r="AC3716" i="7"/>
  <c r="AH3761" i="7"/>
  <c r="AM3681" i="7"/>
  <c r="AA3810" i="7"/>
  <c r="AC3810" i="7"/>
  <c r="AA4020" i="7"/>
  <c r="AM4020" i="7"/>
  <c r="AE4020" i="7"/>
  <c r="AF4020" i="7" s="1"/>
  <c r="AM3935" i="7"/>
  <c r="AI3955" i="7"/>
  <c r="AE3968" i="7"/>
  <c r="AF3968" i="7" s="1"/>
  <c r="AC3968" i="7"/>
  <c r="AA3968" i="7"/>
  <c r="AM3968" i="7"/>
  <c r="AC3755" i="7"/>
  <c r="AH3758" i="7"/>
  <c r="AI3655" i="7"/>
  <c r="AA3761" i="7"/>
  <c r="AA3681" i="7"/>
  <c r="AC3787" i="7"/>
  <c r="AA3787" i="7"/>
  <c r="AC3942" i="7"/>
  <c r="AA3942" i="7"/>
  <c r="AH3942" i="7"/>
  <c r="AM3933" i="7"/>
  <c r="AH3933" i="7"/>
  <c r="AE3933" i="7"/>
  <c r="AF3933" i="7" s="1"/>
  <c r="AC3933" i="7"/>
  <c r="AA3933" i="7"/>
  <c r="AH3964" i="7"/>
  <c r="AE3964" i="7"/>
  <c r="AF3964" i="7" s="1"/>
  <c r="AC3964" i="7"/>
  <c r="AA3964" i="7"/>
  <c r="AC3761" i="7"/>
  <c r="AA3994" i="7"/>
  <c r="AC3994" i="7"/>
  <c r="AH3807" i="7"/>
  <c r="AM3807" i="7"/>
  <c r="AA3807" i="7"/>
  <c r="AC3807" i="7"/>
  <c r="AE3807" i="7"/>
  <c r="AF3807" i="7" s="1"/>
  <c r="AM3820" i="7"/>
  <c r="AE3820" i="7"/>
  <c r="AF3820" i="7" s="1"/>
  <c r="AC3820" i="7"/>
  <c r="AA3820" i="7"/>
  <c r="AH4016" i="7"/>
  <c r="AC4016" i="7"/>
  <c r="AA4016" i="7"/>
  <c r="AA3813" i="7"/>
  <c r="AH3813" i="7"/>
  <c r="AC3813" i="7"/>
  <c r="AM3926" i="7"/>
  <c r="AA3926" i="7"/>
  <c r="AC3926" i="7"/>
  <c r="AE3926" i="7"/>
  <c r="AF3926" i="7" s="1"/>
  <c r="AH3926" i="7"/>
  <c r="AM3942" i="7"/>
  <c r="AH3986" i="7"/>
  <c r="AM3964" i="7"/>
  <c r="AH3997" i="7"/>
  <c r="AE3997" i="7"/>
  <c r="AF3997" i="7" s="1"/>
  <c r="AC3997" i="7"/>
  <c r="AA3997" i="7"/>
  <c r="AM4000" i="7"/>
  <c r="AH4000" i="7"/>
  <c r="AH3831" i="7"/>
  <c r="AA3753" i="7"/>
  <c r="AM3769" i="7"/>
  <c r="AM3787" i="7"/>
  <c r="AE3994" i="7"/>
  <c r="AF3994" i="7" s="1"/>
  <c r="AA3885" i="7"/>
  <c r="AE3885" i="7"/>
  <c r="AF3885" i="7" s="1"/>
  <c r="AC3885" i="7"/>
  <c r="AH3885" i="7"/>
  <c r="AM3821" i="7"/>
  <c r="AH3719" i="7"/>
  <c r="AC3719" i="7"/>
  <c r="AA3719" i="7"/>
  <c r="AE3719" i="7"/>
  <c r="AF3719" i="7" s="1"/>
  <c r="AH4017" i="7"/>
  <c r="AM4016" i="7"/>
  <c r="AM3971" i="7"/>
  <c r="AH3971" i="7"/>
  <c r="AE3971" i="7"/>
  <c r="AF3971" i="7" s="1"/>
  <c r="AC3971" i="7"/>
  <c r="AA3971" i="7"/>
  <c r="AC3753" i="7"/>
  <c r="AH3792" i="7"/>
  <c r="Y3765" i="7"/>
  <c r="Z3765" i="7" s="1"/>
  <c r="AI3765" i="7"/>
  <c r="AA4032" i="7"/>
  <c r="AH4014" i="7"/>
  <c r="AC4014" i="7"/>
  <c r="AA4014" i="7"/>
  <c r="AM3938" i="7"/>
  <c r="AH3938" i="7"/>
  <c r="AE3938" i="7"/>
  <c r="AF3938" i="7" s="1"/>
  <c r="AC3938" i="7"/>
  <c r="AA3938" i="7"/>
  <c r="AM3945" i="7"/>
  <c r="AH3945" i="7"/>
  <c r="AE3945" i="7"/>
  <c r="AF3945" i="7" s="1"/>
  <c r="AC3945" i="7"/>
  <c r="AH3977" i="7"/>
  <c r="AE3977" i="7"/>
  <c r="AF3977" i="7" s="1"/>
  <c r="AC3977" i="7"/>
  <c r="AA3977" i="7"/>
  <c r="AM3977" i="7"/>
  <c r="AM3987" i="7"/>
  <c r="AH3987" i="7"/>
  <c r="AE3987" i="7"/>
  <c r="AF3987" i="7" s="1"/>
  <c r="AC3987" i="7"/>
  <c r="AA3987" i="7"/>
  <c r="AM3989" i="7"/>
  <c r="AH3989" i="7"/>
  <c r="AC3831" i="7"/>
  <c r="AH3810" i="7"/>
  <c r="AM4019" i="7"/>
  <c r="AE4019" i="7"/>
  <c r="AF4019" i="7" s="1"/>
  <c r="AC4019" i="7"/>
  <c r="AA4019" i="7"/>
  <c r="AM4029" i="7"/>
  <c r="AH4029" i="7"/>
  <c r="AE4029" i="7"/>
  <c r="AF4029" i="7" s="1"/>
  <c r="AC4029" i="7"/>
  <c r="AA4029" i="7"/>
  <c r="AM3999" i="7"/>
  <c r="AH3999" i="7"/>
  <c r="AE3999" i="7"/>
  <c r="AF3999" i="7" s="1"/>
  <c r="AC3999" i="7"/>
  <c r="AA3999" i="7"/>
  <c r="AA4003" i="7"/>
  <c r="AH3777" i="7"/>
  <c r="AE3753" i="7"/>
  <c r="AF3753" i="7" s="1"/>
  <c r="AM3810" i="7"/>
  <c r="AH3985" i="7"/>
  <c r="AE3985" i="7"/>
  <c r="AF3985" i="7" s="1"/>
  <c r="AC3985" i="7"/>
  <c r="AA3985" i="7"/>
  <c r="AH4010" i="7"/>
  <c r="AE4010" i="7"/>
  <c r="AF4010" i="7" s="1"/>
  <c r="AC4010" i="7"/>
  <c r="AA4010" i="7"/>
  <c r="AE3979" i="7"/>
  <c r="AF3979" i="7" s="1"/>
  <c r="AC3979" i="7"/>
  <c r="AA3979" i="7"/>
  <c r="AA3991" i="7"/>
  <c r="AM3991" i="7"/>
  <c r="AE3991" i="7"/>
  <c r="AF3991" i="7" s="1"/>
  <c r="AA3792" i="7"/>
  <c r="AE3799" i="7"/>
  <c r="AF3799" i="7" s="1"/>
  <c r="AA3866" i="7"/>
  <c r="AH3866" i="7"/>
  <c r="AE3866" i="7"/>
  <c r="AF3866" i="7" s="1"/>
  <c r="AH3820" i="7"/>
  <c r="AE4014" i="7"/>
  <c r="AF4014" i="7" s="1"/>
  <c r="AH3944" i="7"/>
  <c r="AE3944" i="7"/>
  <c r="AF3944" i="7" s="1"/>
  <c r="AC3944" i="7"/>
  <c r="AA3944" i="7"/>
  <c r="AM3944" i="7"/>
  <c r="AM3941" i="7"/>
  <c r="AH3941" i="7"/>
  <c r="AM3985" i="7"/>
  <c r="AM3979" i="7"/>
  <c r="AH3998" i="7"/>
  <c r="AE3998" i="7"/>
  <c r="AF3998" i="7" s="1"/>
  <c r="AC3998" i="7"/>
  <c r="AA3998" i="7"/>
  <c r="AC4017" i="7"/>
  <c r="AA3898" i="7"/>
  <c r="AH3974" i="7"/>
  <c r="AC4004" i="7"/>
  <c r="AA3832" i="7"/>
  <c r="Y3853" i="7"/>
  <c r="Z3853" i="7" s="1"/>
  <c r="AI3942" i="7"/>
  <c r="AE3943" i="7"/>
  <c r="AF3943" i="7" s="1"/>
  <c r="AA3941" i="7"/>
  <c r="AA3988" i="7"/>
  <c r="AA3989" i="7"/>
  <c r="AE3963" i="7"/>
  <c r="AF3963" i="7" s="1"/>
  <c r="AE4008" i="7"/>
  <c r="AF4008" i="7" s="1"/>
  <c r="AE3983" i="7"/>
  <c r="AF3983" i="7" s="1"/>
  <c r="AC3957" i="7"/>
  <c r="AH4022" i="7"/>
  <c r="AE4017" i="7"/>
  <c r="AF4017" i="7" s="1"/>
  <c r="AE3898" i="7"/>
  <c r="AF3898" i="7" s="1"/>
  <c r="AM3836" i="7"/>
  <c r="AH3943" i="7"/>
  <c r="AE3940" i="7"/>
  <c r="AF3940" i="7" s="1"/>
  <c r="AC3941" i="7"/>
  <c r="AA3986" i="7"/>
  <c r="AC3988" i="7"/>
  <c r="AC3989" i="7"/>
  <c r="AH3963" i="7"/>
  <c r="AE4004" i="7"/>
  <c r="AF4004" i="7" s="1"/>
  <c r="AH4008" i="7"/>
  <c r="AH3983" i="7"/>
  <c r="AA4000" i="7"/>
  <c r="AC3898" i="7"/>
  <c r="AE3832" i="7"/>
  <c r="AF3832" i="7" s="1"/>
  <c r="AA3836" i="7"/>
  <c r="AC3986" i="7"/>
  <c r="AH4004" i="7"/>
  <c r="AM3943" i="7"/>
  <c r="AI3945" i="7"/>
  <c r="AM3963" i="7"/>
  <c r="AM4008" i="7"/>
  <c r="AM3983" i="7"/>
  <c r="AC3984" i="7"/>
  <c r="AC3970" i="7"/>
  <c r="AI3937" i="7"/>
  <c r="AA3996" i="7"/>
  <c r="AE3970" i="7"/>
  <c r="AF3970" i="7" s="1"/>
  <c r="AC3996" i="7"/>
  <c r="AE3966" i="7"/>
  <c r="AF3966" i="7" s="1"/>
  <c r="AH3898" i="7"/>
  <c r="AM3729" i="7"/>
  <c r="AA3729" i="7"/>
  <c r="AC3729" i="7"/>
  <c r="AH3729" i="7"/>
  <c r="AE3729" i="7"/>
  <c r="AF3729" i="7" s="1"/>
  <c r="AM3727" i="7"/>
  <c r="AE3727" i="7"/>
  <c r="AF3727" i="7" s="1"/>
  <c r="AA3727" i="7"/>
  <c r="AH3727" i="7"/>
  <c r="AC3727" i="7"/>
  <c r="AC3726" i="7"/>
  <c r="AM3726" i="7"/>
  <c r="AE3726" i="7"/>
  <c r="AF3726" i="7" s="1"/>
  <c r="AA3726" i="7"/>
  <c r="AH3726" i="7"/>
  <c r="T22" i="11"/>
  <c r="T21" i="11"/>
  <c r="T19" i="11"/>
  <c r="AE3317" i="7" l="1"/>
  <c r="AF3317" i="7" s="1"/>
  <c r="AM1757" i="7"/>
  <c r="AC1948" i="7"/>
  <c r="AM701" i="7"/>
  <c r="AM871" i="7"/>
  <c r="AA1354" i="7"/>
  <c r="AH701" i="7"/>
  <c r="AE2258" i="7"/>
  <c r="AF2258" i="7" s="1"/>
  <c r="AM1130" i="7"/>
  <c r="AA2633" i="7"/>
  <c r="AH1354" i="7"/>
  <c r="AM2633" i="7"/>
  <c r="AE2372" i="7"/>
  <c r="AF2372" i="7" s="1"/>
  <c r="AH1197" i="7"/>
  <c r="AH3338" i="7"/>
  <c r="AM1338" i="7"/>
  <c r="AH742" i="7"/>
  <c r="AE2633" i="7"/>
  <c r="AF2633" i="7" s="1"/>
  <c r="AH2303" i="7"/>
  <c r="AA2981" i="7"/>
  <c r="AC1853" i="7"/>
  <c r="AM2950" i="7"/>
  <c r="AH1272" i="7"/>
  <c r="AA2234" i="7"/>
  <c r="AM611" i="7"/>
  <c r="AH2155" i="7"/>
  <c r="AM2981" i="7"/>
  <c r="AM2372" i="7"/>
  <c r="AM3338" i="7"/>
  <c r="AE2981" i="7"/>
  <c r="AF2981" i="7" s="1"/>
  <c r="AH1853" i="7"/>
  <c r="AH1765" i="7"/>
  <c r="AE2070" i="7"/>
  <c r="AF2070" i="7" s="1"/>
  <c r="AM3131" i="7"/>
  <c r="AE1995" i="7"/>
  <c r="AF1995" i="7" s="1"/>
  <c r="AE2746" i="7"/>
  <c r="AF2746" i="7" s="1"/>
  <c r="AH966" i="7"/>
  <c r="AE1944" i="7"/>
  <c r="AF1944" i="7" s="1"/>
  <c r="AH2268" i="7"/>
  <c r="AH2070" i="7"/>
  <c r="AH3131" i="7"/>
  <c r="AM1614" i="7"/>
  <c r="AC1944" i="7"/>
  <c r="AM3315" i="7"/>
  <c r="AM928" i="7"/>
  <c r="AH1835" i="7"/>
  <c r="AA3148" i="7"/>
  <c r="AA1765" i="7"/>
  <c r="AM1773" i="7"/>
  <c r="AH902" i="7"/>
  <c r="AA2070" i="7"/>
  <c r="AA2746" i="7"/>
  <c r="AH1373" i="7"/>
  <c r="AM2268" i="7"/>
  <c r="AA3492" i="7"/>
  <c r="AM1835" i="7"/>
  <c r="AM1436" i="7"/>
  <c r="AM2070" i="7"/>
  <c r="AM2746" i="7"/>
  <c r="AA1592" i="7"/>
  <c r="AM1592" i="7"/>
  <c r="AA2268" i="7"/>
  <c r="AM876" i="7"/>
  <c r="AM1765" i="7"/>
  <c r="AH2746" i="7"/>
  <c r="AM3441" i="7"/>
  <c r="AM1446" i="7"/>
  <c r="AM1944" i="7"/>
  <c r="AH1944" i="7"/>
  <c r="AC1592" i="7"/>
  <c r="AA2189" i="7"/>
  <c r="AC2025" i="7"/>
  <c r="AH1933" i="7"/>
  <c r="AC2817" i="7"/>
  <c r="Y19" i="11"/>
  <c r="Y22" i="11"/>
  <c r="AC1534" i="7"/>
  <c r="AA3445" i="7"/>
  <c r="AA1114" i="7"/>
  <c r="AM1125" i="7"/>
  <c r="AH1554" i="7"/>
  <c r="AH1778" i="7"/>
  <c r="AA3441" i="7"/>
  <c r="AA3158" i="7"/>
  <c r="AH898" i="7"/>
  <c r="AH816" i="7"/>
  <c r="AH806" i="7"/>
  <c r="AA2308" i="7"/>
  <c r="AA1532" i="7"/>
  <c r="AH3543" i="7"/>
  <c r="AH1532" i="7"/>
  <c r="AA2120" i="7"/>
  <c r="AM792" i="7"/>
  <c r="AM3531" i="7"/>
  <c r="AC3712" i="7"/>
  <c r="AH1114" i="7"/>
  <c r="AE3127" i="7"/>
  <c r="AF3127" i="7" s="1"/>
  <c r="AE2234" i="7"/>
  <c r="AF2234" i="7" s="1"/>
  <c r="AC1125" i="7"/>
  <c r="AA1125" i="7"/>
  <c r="AA2703" i="7"/>
  <c r="AE2703" i="7"/>
  <c r="AF2703" i="7" s="1"/>
  <c r="AE2155" i="7"/>
  <c r="AF2155" i="7" s="1"/>
  <c r="AC3551" i="7"/>
  <c r="AM806" i="7"/>
  <c r="AH792" i="7"/>
  <c r="AA2059" i="7"/>
  <c r="AH830" i="7"/>
  <c r="AH1118" i="7"/>
  <c r="AH1759" i="7"/>
  <c r="AC2703" i="7"/>
  <c r="AH3504" i="7"/>
  <c r="AC3441" i="7"/>
  <c r="AC3435" i="7"/>
  <c r="AM3535" i="7"/>
  <c r="AC806" i="7"/>
  <c r="AM2120" i="7"/>
  <c r="AM2308" i="7"/>
  <c r="AM1939" i="7"/>
  <c r="AH1852" i="7"/>
  <c r="AM3274" i="7"/>
  <c r="AE3435" i="7"/>
  <c r="AF3435" i="7" s="1"/>
  <c r="AE3535" i="7"/>
  <c r="AF3535" i="7" s="1"/>
  <c r="AH1710" i="7"/>
  <c r="AH2059" i="7"/>
  <c r="AC1532" i="7"/>
  <c r="AE1939" i="7"/>
  <c r="AF1939" i="7" s="1"/>
  <c r="AA3004" i="7"/>
  <c r="AA792" i="7"/>
  <c r="AH1138" i="7"/>
  <c r="AE3158" i="7"/>
  <c r="AF3158" i="7" s="1"/>
  <c r="AH2234" i="7"/>
  <c r="AC3274" i="7"/>
  <c r="AM2703" i="7"/>
  <c r="AC3158" i="7"/>
  <c r="AM1853" i="7"/>
  <c r="AC2155" i="7"/>
  <c r="AA3535" i="7"/>
  <c r="AC613" i="7"/>
  <c r="AC2059" i="7"/>
  <c r="AM757" i="7"/>
  <c r="AH1534" i="7"/>
  <c r="AE2120" i="7"/>
  <c r="AF2120" i="7" s="1"/>
  <c r="AM709" i="7"/>
  <c r="AC1432" i="7"/>
  <c r="AH617" i="7"/>
  <c r="A10" i="2"/>
  <c r="AC1201" i="7"/>
  <c r="AA1201" i="7"/>
  <c r="AH1384" i="7"/>
  <c r="AH3158" i="7"/>
  <c r="AH3274" i="7"/>
  <c r="AM2155" i="7"/>
  <c r="AM3504" i="7"/>
  <c r="AH3535" i="7"/>
  <c r="AM2059" i="7"/>
  <c r="AC701" i="7"/>
  <c r="AA2886" i="7"/>
  <c r="AM3492" i="7"/>
  <c r="AA3101" i="7"/>
  <c r="AC2886" i="7"/>
  <c r="AC2066" i="7"/>
  <c r="AM2886" i="7"/>
  <c r="AE3492" i="7"/>
  <c r="AF3492" i="7" s="1"/>
  <c r="AH2742" i="7"/>
  <c r="AE3101" i="7"/>
  <c r="AF3101" i="7" s="1"/>
  <c r="AC2582" i="7"/>
  <c r="AC3101" i="7"/>
  <c r="AE3543" i="7"/>
  <c r="AF3543" i="7" s="1"/>
  <c r="AA2066" i="7"/>
  <c r="AH2695" i="7"/>
  <c r="AA2707" i="7"/>
  <c r="AM3101" i="7"/>
  <c r="AH2057" i="7"/>
  <c r="AE3164" i="7"/>
  <c r="AF3164" i="7" s="1"/>
  <c r="AA3272" i="7"/>
  <c r="AM1453" i="7"/>
  <c r="AH3164" i="7"/>
  <c r="AM1587" i="7"/>
  <c r="AC3262" i="7"/>
  <c r="AA2582" i="7"/>
  <c r="AH3496" i="7"/>
  <c r="AE3496" i="7"/>
  <c r="AF3496" i="7" s="1"/>
  <c r="AC3164" i="7"/>
  <c r="AM2582" i="7"/>
  <c r="AA3262" i="7"/>
  <c r="AH3262" i="7"/>
  <c r="AC3060" i="7"/>
  <c r="AH882" i="7"/>
  <c r="AA2742" i="7"/>
  <c r="AC2742" i="7"/>
  <c r="AA2057" i="7"/>
  <c r="AM3164" i="7"/>
  <c r="AM3262" i="7"/>
  <c r="AM3060" i="7"/>
  <c r="AH3060" i="7"/>
  <c r="AA3060" i="7"/>
  <c r="AM3496" i="7"/>
  <c r="AM2057" i="7"/>
  <c r="AH1563" i="7"/>
  <c r="AC3272" i="7"/>
  <c r="AE2057" i="7"/>
  <c r="AF2057" i="7" s="1"/>
  <c r="AM3272" i="7"/>
  <c r="AA3496" i="7"/>
  <c r="AM1751" i="7"/>
  <c r="AA3326" i="7"/>
  <c r="AE2742" i="7"/>
  <c r="AF2742" i="7" s="1"/>
  <c r="AC3543" i="7"/>
  <c r="AM1889" i="7"/>
  <c r="AE4024" i="7"/>
  <c r="AF4024" i="7" s="1"/>
  <c r="AM4013" i="7"/>
  <c r="AH2062" i="7"/>
  <c r="AA3127" i="7"/>
  <c r="AH1104" i="7"/>
  <c r="AC3953" i="7"/>
  <c r="AE4013" i="7"/>
  <c r="AF4013" i="7" s="1"/>
  <c r="AC2062" i="7"/>
  <c r="AC3127" i="7"/>
  <c r="AM2025" i="7"/>
  <c r="AE3378" i="7"/>
  <c r="AF3378" i="7" s="1"/>
  <c r="AA2062" i="7"/>
  <c r="AA2352" i="7"/>
  <c r="AH1978" i="7"/>
  <c r="AM822" i="7"/>
  <c r="AC2153" i="7"/>
  <c r="AC2352" i="7"/>
  <c r="AC1978" i="7"/>
  <c r="AM1720" i="7"/>
  <c r="AC3939" i="7"/>
  <c r="AC2586" i="7"/>
  <c r="AE2352" i="7"/>
  <c r="AF2352" i="7" s="1"/>
  <c r="AH1736" i="7"/>
  <c r="AE3939" i="7"/>
  <c r="AF3939" i="7" s="1"/>
  <c r="AA2586" i="7"/>
  <c r="AM1735" i="7"/>
  <c r="AH2024" i="7"/>
  <c r="AM2153" i="7"/>
  <c r="AE4023" i="7"/>
  <c r="AF4023" i="7" s="1"/>
  <c r="AH3939" i="7"/>
  <c r="AM2586" i="7"/>
  <c r="AE2025" i="7"/>
  <c r="AF2025" i="7" s="1"/>
  <c r="AA3329" i="7"/>
  <c r="AC2725" i="7"/>
  <c r="AA822" i="7"/>
  <c r="AH1607" i="7"/>
  <c r="AA2024" i="7"/>
  <c r="AC2985" i="7"/>
  <c r="AM889" i="7"/>
  <c r="AE2586" i="7"/>
  <c r="AF2586" i="7" s="1"/>
  <c r="AE2725" i="7"/>
  <c r="AF2725" i="7" s="1"/>
  <c r="AH3378" i="7"/>
  <c r="AM1748" i="7"/>
  <c r="AM2725" i="7"/>
  <c r="AA1978" i="7"/>
  <c r="AA3378" i="7"/>
  <c r="AH2153" i="7"/>
  <c r="AM3939" i="7"/>
  <c r="AH3127" i="7"/>
  <c r="AH2025" i="7"/>
  <c r="AM1978" i="7"/>
  <c r="AM2024" i="7"/>
  <c r="AM3378" i="7"/>
  <c r="AE2153" i="7"/>
  <c r="AF2153" i="7" s="1"/>
  <c r="AC2024" i="7"/>
  <c r="AC813" i="7"/>
  <c r="AC2945" i="7"/>
  <c r="AH2945" i="7"/>
  <c r="AM2945" i="7"/>
  <c r="AA2945" i="7"/>
  <c r="AH1844" i="7"/>
  <c r="AA1844" i="7"/>
  <c r="AC1844" i="7"/>
  <c r="AH1344" i="7"/>
  <c r="AM1342" i="7"/>
  <c r="AE3031" i="7"/>
  <c r="AF3031" i="7" s="1"/>
  <c r="AH3031" i="7"/>
  <c r="AC3934" i="7"/>
  <c r="AH1419" i="7"/>
  <c r="AA3424" i="7"/>
  <c r="AC1344" i="7"/>
  <c r="AA3296" i="7"/>
  <c r="AM3110" i="7"/>
  <c r="AM3702" i="7"/>
  <c r="AM1419" i="7"/>
  <c r="AE3424" i="7"/>
  <c r="AF3424" i="7" s="1"/>
  <c r="AA1419" i="7"/>
  <c r="AE2982" i="7"/>
  <c r="AF2982" i="7" s="1"/>
  <c r="AE2866" i="7"/>
  <c r="AF2866" i="7" s="1"/>
  <c r="AM3424" i="7"/>
  <c r="AC1932" i="7"/>
  <c r="AM1692" i="7"/>
  <c r="AH2982" i="7"/>
  <c r="AH2902" i="7"/>
  <c r="AC3500" i="7"/>
  <c r="AE3702" i="7"/>
  <c r="AF3702" i="7" s="1"/>
  <c r="AM2982" i="7"/>
  <c r="AE2902" i="7"/>
  <c r="AF2902" i="7" s="1"/>
  <c r="AE3500" i="7"/>
  <c r="AF3500" i="7" s="1"/>
  <c r="AA3702" i="7"/>
  <c r="AH591" i="7"/>
  <c r="AA2982" i="7"/>
  <c r="AM2902" i="7"/>
  <c r="AM3296" i="7"/>
  <c r="AE1932" i="7"/>
  <c r="AF1932" i="7" s="1"/>
  <c r="AM794" i="7"/>
  <c r="AC3296" i="7"/>
  <c r="AH3110" i="7"/>
  <c r="AM2866" i="7"/>
  <c r="AA2902" i="7"/>
  <c r="AH3296" i="7"/>
  <c r="AM3031" i="7"/>
  <c r="AE3110" i="7"/>
  <c r="AF3110" i="7" s="1"/>
  <c r="AA1594" i="7"/>
  <c r="AH1241" i="7"/>
  <c r="AM2326" i="7"/>
  <c r="AH712" i="7"/>
  <c r="AH794" i="7"/>
  <c r="AM1241" i="7"/>
  <c r="AC3031" i="7"/>
  <c r="AA3110" i="7"/>
  <c r="AA1241" i="7"/>
  <c r="AC1890" i="7"/>
  <c r="AM3954" i="7"/>
  <c r="AH951" i="7"/>
  <c r="AM1890" i="7"/>
  <c r="AE3227" i="7"/>
  <c r="AF3227" i="7" s="1"/>
  <c r="AA2724" i="7"/>
  <c r="AM3953" i="7"/>
  <c r="AM2181" i="7"/>
  <c r="AC4034" i="7"/>
  <c r="AC2693" i="7"/>
  <c r="AC2036" i="7"/>
  <c r="AA1823" i="7"/>
  <c r="AA1949" i="7"/>
  <c r="AE2363" i="7"/>
  <c r="AF2363" i="7" s="1"/>
  <c r="AH1088" i="7"/>
  <c r="AM1949" i="7"/>
  <c r="AA3543" i="7"/>
  <c r="AM1114" i="7"/>
  <c r="AM2363" i="7"/>
  <c r="AH2041" i="7"/>
  <c r="AH3227" i="7"/>
  <c r="AH3953" i="7"/>
  <c r="AA3953" i="7"/>
  <c r="AM1258" i="7"/>
  <c r="AM3227" i="7"/>
  <c r="AA2594" i="7"/>
  <c r="AA3317" i="7"/>
  <c r="AM1781" i="7"/>
  <c r="AC3343" i="7"/>
  <c r="AH790" i="7"/>
  <c r="AA2809" i="7"/>
  <c r="AC2594" i="7"/>
  <c r="AC3317" i="7"/>
  <c r="AA1929" i="7"/>
  <c r="AH2358" i="7"/>
  <c r="AC3102" i="7"/>
  <c r="AE2050" i="7"/>
  <c r="AF2050" i="7" s="1"/>
  <c r="AE2809" i="7"/>
  <c r="AF2809" i="7" s="1"/>
  <c r="AE2594" i="7"/>
  <c r="AF2594" i="7" s="1"/>
  <c r="AE3437" i="7"/>
  <c r="AF3437" i="7" s="1"/>
  <c r="AH1246" i="7"/>
  <c r="AH1929" i="7"/>
  <c r="AM730" i="7"/>
  <c r="AA3343" i="7"/>
  <c r="AE3102" i="7"/>
  <c r="AF3102" i="7" s="1"/>
  <c r="AH3223" i="7"/>
  <c r="AE2358" i="7"/>
  <c r="AF2358" i="7" s="1"/>
  <c r="AM2809" i="7"/>
  <c r="AC2458" i="7"/>
  <c r="AM1345" i="7"/>
  <c r="AC1691" i="7"/>
  <c r="AE1929" i="7"/>
  <c r="AF1929" i="7" s="1"/>
  <c r="AA3437" i="7"/>
  <c r="AE3343" i="7"/>
  <c r="AF3343" i="7" s="1"/>
  <c r="AM2358" i="7"/>
  <c r="AM1931" i="7"/>
  <c r="AC2809" i="7"/>
  <c r="AA2458" i="7"/>
  <c r="AM3437" i="7"/>
  <c r="AH1836" i="7"/>
  <c r="AM1929" i="7"/>
  <c r="AC2119" i="7"/>
  <c r="AA1048" i="7"/>
  <c r="AC1836" i="7"/>
  <c r="AE3236" i="7"/>
  <c r="AF3236" i="7" s="1"/>
  <c r="AE2458" i="7"/>
  <c r="AF2458" i="7" s="1"/>
  <c r="AA362" i="7"/>
  <c r="AC3580" i="7"/>
  <c r="AH3437" i="7"/>
  <c r="AM1048" i="7"/>
  <c r="AA1836" i="7"/>
  <c r="AH1926" i="7"/>
  <c r="AH2458" i="7"/>
  <c r="AM894" i="7"/>
  <c r="AH2107" i="7"/>
  <c r="AH1462" i="7"/>
  <c r="AC1907" i="7"/>
  <c r="AM3458" i="7"/>
  <c r="AA2119" i="7"/>
  <c r="AC3223" i="7"/>
  <c r="AM1926" i="7"/>
  <c r="AM3294" i="7"/>
  <c r="AA3580" i="7"/>
  <c r="AA1907" i="7"/>
  <c r="AA2358" i="7"/>
  <c r="AA3435" i="7"/>
  <c r="AE3223" i="7"/>
  <c r="AF3223" i="7" s="1"/>
  <c r="AA3236" i="7"/>
  <c r="AA2961" i="7"/>
  <c r="AH2961" i="7"/>
  <c r="AC2117" i="7"/>
  <c r="AA3294" i="7"/>
  <c r="AM2594" i="7"/>
  <c r="AC3982" i="7"/>
  <c r="AM2496" i="7"/>
  <c r="AA2107" i="7"/>
  <c r="AM1907" i="7"/>
  <c r="AH3435" i="7"/>
  <c r="AH1907" i="7"/>
  <c r="AA3223" i="7"/>
  <c r="AM2117" i="7"/>
  <c r="AC1048" i="7"/>
  <c r="AM1289" i="7"/>
  <c r="AC2107" i="7"/>
  <c r="AM2119" i="7"/>
  <c r="AM3250" i="7"/>
  <c r="AM2961" i="7"/>
  <c r="AM679" i="7"/>
  <c r="AH3236" i="7"/>
  <c r="AA2546" i="7"/>
  <c r="AC2342" i="7"/>
  <c r="AC2496" i="7"/>
  <c r="AE3104" i="7"/>
  <c r="AF3104" i="7" s="1"/>
  <c r="AM2701" i="7"/>
  <c r="AA2496" i="7"/>
  <c r="AA3355" i="7"/>
  <c r="AM2362" i="7"/>
  <c r="AA3647" i="7"/>
  <c r="AA2362" i="7"/>
  <c r="AE2313" i="7"/>
  <c r="AF2313" i="7" s="1"/>
  <c r="AM1042" i="7"/>
  <c r="AE3355" i="7"/>
  <c r="AF3355" i="7" s="1"/>
  <c r="AM2318" i="7"/>
  <c r="AC2362" i="7"/>
  <c r="AE2314" i="7"/>
  <c r="AF2314" i="7" s="1"/>
  <c r="AH866" i="7"/>
  <c r="AA2701" i="7"/>
  <c r="AM2313" i="7"/>
  <c r="AA2313" i="7"/>
  <c r="AE2318" i="7"/>
  <c r="AF2318" i="7" s="1"/>
  <c r="AH3355" i="7"/>
  <c r="AH2883" i="7"/>
  <c r="AM3355" i="7"/>
  <c r="AA2318" i="7"/>
  <c r="AH1989" i="7"/>
  <c r="AE3647" i="7"/>
  <c r="AF3647" i="7" s="1"/>
  <c r="AM3647" i="7"/>
  <c r="AC2318" i="7"/>
  <c r="AM1480" i="7"/>
  <c r="AC2314" i="7"/>
  <c r="AC2538" i="7"/>
  <c r="AC3321" i="7"/>
  <c r="AE2701" i="7"/>
  <c r="AF2701" i="7" s="1"/>
  <c r="AH3647" i="7"/>
  <c r="AA2538" i="7"/>
  <c r="AH3321" i="7"/>
  <c r="AA2314" i="7"/>
  <c r="AE3699" i="7"/>
  <c r="AF3699" i="7" s="1"/>
  <c r="AC3545" i="7"/>
  <c r="AH2701" i="7"/>
  <c r="AH1823" i="7"/>
  <c r="AH2538" i="7"/>
  <c r="AM3321" i="7"/>
  <c r="AA1476" i="7"/>
  <c r="AH1261" i="7"/>
  <c r="AH644" i="7"/>
  <c r="AA3104" i="7"/>
  <c r="AC1823" i="7"/>
  <c r="AE2538" i="7"/>
  <c r="AF2538" i="7" s="1"/>
  <c r="AE3131" i="7"/>
  <c r="AF3131" i="7" s="1"/>
  <c r="AA3131" i="7"/>
  <c r="AA2146" i="7"/>
  <c r="AC2146" i="7"/>
  <c r="AE2146" i="7"/>
  <c r="AF2146" i="7" s="1"/>
  <c r="AM2146" i="7"/>
  <c r="AH2146" i="7"/>
  <c r="AH4034" i="7"/>
  <c r="AC2018" i="7"/>
  <c r="AH1216" i="7"/>
  <c r="AE3354" i="7"/>
  <c r="AF3354" i="7" s="1"/>
  <c r="AC3416" i="7"/>
  <c r="AA1852" i="7"/>
  <c r="AA2817" i="7"/>
  <c r="AE2817" i="7"/>
  <c r="AF2817" i="7" s="1"/>
  <c r="AM1659" i="7"/>
  <c r="AC1852" i="7"/>
  <c r="AM4034" i="7"/>
  <c r="AE3712" i="7"/>
  <c r="AF3712" i="7" s="1"/>
  <c r="AM3699" i="7"/>
  <c r="AH2018" i="7"/>
  <c r="AH3061" i="7"/>
  <c r="AA2278" i="7"/>
  <c r="AE2713" i="7"/>
  <c r="AF2713" i="7" s="1"/>
  <c r="AM3354" i="7"/>
  <c r="AC3354" i="7"/>
  <c r="AA3327" i="7"/>
  <c r="AE2068" i="7"/>
  <c r="AF2068" i="7" s="1"/>
  <c r="AH2166" i="7"/>
  <c r="AM963" i="7"/>
  <c r="AA3321" i="7"/>
  <c r="AH2817" i="7"/>
  <c r="AM2115" i="7"/>
  <c r="AC2821" i="7"/>
  <c r="AM2883" i="7"/>
  <c r="AH3545" i="7"/>
  <c r="AE2060" i="7"/>
  <c r="AF2060" i="7" s="1"/>
  <c r="AC2068" i="7"/>
  <c r="AH3712" i="7"/>
  <c r="AM4026" i="7"/>
  <c r="AC2944" i="7"/>
  <c r="AM2653" i="7"/>
  <c r="AE2278" i="7"/>
  <c r="AF2278" i="7" s="1"/>
  <c r="AH3354" i="7"/>
  <c r="AM3433" i="7"/>
  <c r="AA2068" i="7"/>
  <c r="AH1961" i="7"/>
  <c r="AH2115" i="7"/>
  <c r="AE2229" i="7"/>
  <c r="AF2229" i="7" s="1"/>
  <c r="AM2821" i="7"/>
  <c r="AE2950" i="7"/>
  <c r="AF2950" i="7" s="1"/>
  <c r="AA3712" i="7"/>
  <c r="AC3950" i="7"/>
  <c r="AC2278" i="7"/>
  <c r="AM2278" i="7"/>
  <c r="AA3549" i="7"/>
  <c r="AE1989" i="7"/>
  <c r="AF1989" i="7" s="1"/>
  <c r="AA2713" i="7"/>
  <c r="AM975" i="7"/>
  <c r="AC3433" i="7"/>
  <c r="AE1961" i="7"/>
  <c r="AF1961" i="7" s="1"/>
  <c r="AE3201" i="7"/>
  <c r="AF3201" i="7" s="1"/>
  <c r="AM2741" i="7"/>
  <c r="AA2821" i="7"/>
  <c r="AA2114" i="7"/>
  <c r="AC2883" i="7"/>
  <c r="AC2546" i="7"/>
  <c r="AM3545" i="7"/>
  <c r="AH2229" i="7"/>
  <c r="AM3950" i="7"/>
  <c r="AE3950" i="7"/>
  <c r="AF3950" i="7" s="1"/>
  <c r="AC2907" i="7"/>
  <c r="AM2099" i="7"/>
  <c r="AH3549" i="7"/>
  <c r="AH2713" i="7"/>
  <c r="AH1902" i="7"/>
  <c r="AH975" i="7"/>
  <c r="AC3327" i="7"/>
  <c r="AA3433" i="7"/>
  <c r="AM1961" i="7"/>
  <c r="AH3201" i="7"/>
  <c r="AA2741" i="7"/>
  <c r="AC2363" i="7"/>
  <c r="AH2363" i="7"/>
  <c r="AM3140" i="7"/>
  <c r="AM2234" i="7"/>
  <c r="AM2114" i="7"/>
  <c r="AA2342" i="7"/>
  <c r="AA3950" i="7"/>
  <c r="AE2099" i="7"/>
  <c r="AF2099" i="7" s="1"/>
  <c r="AM1902" i="7"/>
  <c r="AA3416" i="7"/>
  <c r="AA3201" i="7"/>
  <c r="AH2068" i="7"/>
  <c r="AH1645" i="7"/>
  <c r="AC2977" i="7"/>
  <c r="AE2977" i="7"/>
  <c r="AF2977" i="7" s="1"/>
  <c r="AC2229" i="7"/>
  <c r="AM2060" i="7"/>
  <c r="AH3954" i="7"/>
  <c r="AM3061" i="7"/>
  <c r="AE3416" i="7"/>
  <c r="AF3416" i="7" s="1"/>
  <c r="AC2621" i="7"/>
  <c r="AC3201" i="7"/>
  <c r="AM1657" i="7"/>
  <c r="AC2115" i="7"/>
  <c r="AC2060" i="7"/>
  <c r="AH2821" i="7"/>
  <c r="AA2950" i="7"/>
  <c r="AC4026" i="7"/>
  <c r="AA2350" i="7"/>
  <c r="AA3954" i="7"/>
  <c r="AM2229" i="7"/>
  <c r="AH2099" i="7"/>
  <c r="AE1902" i="7"/>
  <c r="AF1902" i="7" s="1"/>
  <c r="AH1383" i="7"/>
  <c r="AA2115" i="7"/>
  <c r="AC2350" i="7"/>
  <c r="AE4034" i="7"/>
  <c r="AF4034" i="7" s="1"/>
  <c r="AE4026" i="7"/>
  <c r="AF4026" i="7" s="1"/>
  <c r="AC3954" i="7"/>
  <c r="AH747" i="7"/>
  <c r="AH3416" i="7"/>
  <c r="AA1961" i="7"/>
  <c r="AH2653" i="7"/>
  <c r="AC3061" i="7"/>
  <c r="AM2350" i="7"/>
  <c r="AA2883" i="7"/>
  <c r="AC3549" i="7"/>
  <c r="AA3061" i="7"/>
  <c r="AC2099" i="7"/>
  <c r="AM3327" i="7"/>
  <c r="AC2653" i="7"/>
  <c r="AC2713" i="7"/>
  <c r="AA2977" i="7"/>
  <c r="AH2977" i="7"/>
  <c r="AA3545" i="7"/>
  <c r="AE2653" i="7"/>
  <c r="AF2653" i="7" s="1"/>
  <c r="AA1591" i="7"/>
  <c r="AC2333" i="7"/>
  <c r="AH2036" i="7"/>
  <c r="AE3655" i="7"/>
  <c r="AF3655" i="7" s="1"/>
  <c r="AA2985" i="7"/>
  <c r="AC1710" i="7"/>
  <c r="AM3830" i="7"/>
  <c r="AH1085" i="7"/>
  <c r="AC3830" i="7"/>
  <c r="AC1994" i="7"/>
  <c r="AM259" i="7"/>
  <c r="AC2950" i="7"/>
  <c r="AH1776" i="7"/>
  <c r="AM2036" i="7"/>
  <c r="AM2342" i="7"/>
  <c r="AH2333" i="7"/>
  <c r="AM1994" i="7"/>
  <c r="AM1749" i="7"/>
  <c r="AC2028" i="7"/>
  <c r="AE2270" i="7"/>
  <c r="AF2270" i="7" s="1"/>
  <c r="AH2028" i="7"/>
  <c r="AM2028" i="7"/>
  <c r="AM1710" i="7"/>
  <c r="AE2051" i="7"/>
  <c r="AF2051" i="7" s="1"/>
  <c r="AA1921" i="7"/>
  <c r="AE2028" i="7"/>
  <c r="AF2028" i="7" s="1"/>
  <c r="AA2036" i="7"/>
  <c r="AE2944" i="7"/>
  <c r="AF2944" i="7" s="1"/>
  <c r="AE2118" i="7"/>
  <c r="AF2118" i="7" s="1"/>
  <c r="AC3213" i="7"/>
  <c r="AM556" i="7"/>
  <c r="AH1164" i="7"/>
  <c r="AE2492" i="7"/>
  <c r="AF2492" i="7" s="1"/>
  <c r="AE3150" i="7"/>
  <c r="AF3150" i="7" s="1"/>
  <c r="AH3490" i="7"/>
  <c r="AA2944" i="7"/>
  <c r="AC2007" i="7"/>
  <c r="AH1001" i="7"/>
  <c r="AA2118" i="7"/>
  <c r="AM2118" i="7"/>
  <c r="AE3213" i="7"/>
  <c r="AF3213" i="7" s="1"/>
  <c r="AC1950" i="7"/>
  <c r="AE2020" i="7"/>
  <c r="AF2020" i="7" s="1"/>
  <c r="AA2695" i="7"/>
  <c r="AC3203" i="7"/>
  <c r="AH2631" i="7"/>
  <c r="AM1950" i="7"/>
  <c r="AH3213" i="7"/>
  <c r="AC2695" i="7"/>
  <c r="AM1906" i="7"/>
  <c r="AH2492" i="7"/>
  <c r="AE2695" i="7"/>
  <c r="AF2695" i="7" s="1"/>
  <c r="AA2842" i="7"/>
  <c r="AM3150" i="7"/>
  <c r="AH3506" i="7"/>
  <c r="AM1582" i="7"/>
  <c r="AC2631" i="7"/>
  <c r="AM3203" i="7"/>
  <c r="AA3203" i="7"/>
  <c r="AA3506" i="7"/>
  <c r="AM660" i="7"/>
  <c r="AC3978" i="7"/>
  <c r="AA2492" i="7"/>
  <c r="AE2842" i="7"/>
  <c r="AF2842" i="7" s="1"/>
  <c r="AC3009" i="7"/>
  <c r="AA1950" i="7"/>
  <c r="AE3490" i="7"/>
  <c r="AF3490" i="7" s="1"/>
  <c r="AM2492" i="7"/>
  <c r="AM1323" i="7"/>
  <c r="AE3506" i="7"/>
  <c r="AF3506" i="7" s="1"/>
  <c r="AH1950" i="7"/>
  <c r="AA3150" i="7"/>
  <c r="AC3150" i="7"/>
  <c r="AM3506" i="7"/>
  <c r="AH1649" i="7"/>
  <c r="AM3213" i="7"/>
  <c r="AA3951" i="7"/>
  <c r="AC3951" i="7"/>
  <c r="AE3951" i="7"/>
  <c r="AF3951" i="7" s="1"/>
  <c r="AH3951" i="7"/>
  <c r="AC3445" i="7"/>
  <c r="AE2718" i="7"/>
  <c r="AF2718" i="7" s="1"/>
  <c r="AA1818" i="7"/>
  <c r="AC3326" i="7"/>
  <c r="AC2707" i="7"/>
  <c r="AH2078" i="7"/>
  <c r="AH3458" i="7"/>
  <c r="AE3007" i="7"/>
  <c r="AF3007" i="7" s="1"/>
  <c r="AM2320" i="7"/>
  <c r="AH1948" i="7"/>
  <c r="AE2724" i="7"/>
  <c r="AF2724" i="7" s="1"/>
  <c r="AE3445" i="7"/>
  <c r="AF3445" i="7" s="1"/>
  <c r="AM1818" i="7"/>
  <c r="AH3008" i="7"/>
  <c r="AM1841" i="7"/>
  <c r="AA3007" i="7"/>
  <c r="AC3007" i="7"/>
  <c r="AA3644" i="7"/>
  <c r="AE3234" i="7"/>
  <c r="AF3234" i="7" s="1"/>
  <c r="AH1818" i="7"/>
  <c r="AH3326" i="7"/>
  <c r="AA2320" i="7"/>
  <c r="AM2123" i="7"/>
  <c r="AH1016" i="7"/>
  <c r="AA2968" i="7"/>
  <c r="AA3573" i="7"/>
  <c r="AE2320" i="7"/>
  <c r="AF2320" i="7" s="1"/>
  <c r="AH2580" i="7"/>
  <c r="AH848" i="7"/>
  <c r="AA2123" i="7"/>
  <c r="AA2078" i="7"/>
  <c r="AH3573" i="7"/>
  <c r="AE2123" i="7"/>
  <c r="AF2123" i="7" s="1"/>
  <c r="AM1102" i="7"/>
  <c r="AH1284" i="7"/>
  <c r="AH3129" i="7"/>
  <c r="AE1948" i="7"/>
  <c r="AF1948" i="7" s="1"/>
  <c r="AA1948" i="7"/>
  <c r="AC3644" i="7"/>
  <c r="AM512" i="7"/>
  <c r="AC2123" i="7"/>
  <c r="AE3008" i="7"/>
  <c r="AF3008" i="7" s="1"/>
  <c r="AM2707" i="7"/>
  <c r="AE3380" i="7"/>
  <c r="AF3380" i="7" s="1"/>
  <c r="AC512" i="7"/>
  <c r="AC3234" i="7"/>
  <c r="AE3573" i="7"/>
  <c r="AF3573" i="7" s="1"/>
  <c r="AA512" i="7"/>
  <c r="AM3644" i="7"/>
  <c r="AH1527" i="7"/>
  <c r="AM1609" i="7"/>
  <c r="AH2707" i="7"/>
  <c r="AH3380" i="7"/>
  <c r="AA3234" i="7"/>
  <c r="AC2718" i="7"/>
  <c r="AM3326" i="7"/>
  <c r="AE2580" i="7"/>
  <c r="AF2580" i="7" s="1"/>
  <c r="AA2580" i="7"/>
  <c r="AC2580" i="7"/>
  <c r="AM3573" i="7"/>
  <c r="AA2454" i="7"/>
  <c r="AH714" i="7"/>
  <c r="AE2454" i="7"/>
  <c r="AF2454" i="7" s="1"/>
  <c r="AM2718" i="7"/>
  <c r="AC3380" i="7"/>
  <c r="AM2454" i="7"/>
  <c r="AM2078" i="7"/>
  <c r="AC2078" i="7"/>
  <c r="AA3458" i="7"/>
  <c r="AE2037" i="7"/>
  <c r="AF2037" i="7" s="1"/>
  <c r="AE3644" i="7"/>
  <c r="AF3644" i="7" s="1"/>
  <c r="AC2724" i="7"/>
  <c r="AM2037" i="7"/>
  <c r="AM3380" i="7"/>
  <c r="AH2454" i="7"/>
  <c r="AC3458" i="7"/>
  <c r="AH3655" i="7"/>
  <c r="AC1594" i="7"/>
  <c r="AM2602" i="7"/>
  <c r="AE3551" i="7"/>
  <c r="AF3551" i="7" s="1"/>
  <c r="AH2340" i="7"/>
  <c r="AA1905" i="7"/>
  <c r="AH3551" i="7"/>
  <c r="AH3004" i="7"/>
  <c r="AA3822" i="7"/>
  <c r="AM1594" i="7"/>
  <c r="AM3329" i="7"/>
  <c r="AC3329" i="7"/>
  <c r="AM3130" i="7"/>
  <c r="AH451" i="7"/>
  <c r="AH1716" i="7"/>
  <c r="AM1783" i="7"/>
  <c r="AE3329" i="7"/>
  <c r="AF3329" i="7" s="1"/>
  <c r="AC1905" i="7"/>
  <c r="AM2166" i="7"/>
  <c r="AC1889" i="7"/>
  <c r="AM3004" i="7"/>
  <c r="AC2326" i="7"/>
  <c r="AE3059" i="7"/>
  <c r="AF3059" i="7" s="1"/>
  <c r="AC2340" i="7"/>
  <c r="AC3553" i="7"/>
  <c r="AM3553" i="7"/>
  <c r="AE3822" i="7"/>
  <c r="AF3822" i="7" s="1"/>
  <c r="AM3822" i="7"/>
  <c r="AH1732" i="7"/>
  <c r="AM1732" i="7"/>
  <c r="AM1293" i="7"/>
  <c r="AE2699" i="7"/>
  <c r="AF2699" i="7" s="1"/>
  <c r="AM1905" i="7"/>
  <c r="AC3059" i="7"/>
  <c r="AH1905" i="7"/>
  <c r="AE3290" i="7"/>
  <c r="AF3290" i="7" s="1"/>
  <c r="AH3858" i="7"/>
  <c r="AH3822" i="7"/>
  <c r="AE1998" i="7"/>
  <c r="AF1998" i="7" s="1"/>
  <c r="AE2326" i="7"/>
  <c r="AF2326" i="7" s="1"/>
  <c r="AE2166" i="7"/>
  <c r="AF2166" i="7" s="1"/>
  <c r="AC2166" i="7"/>
  <c r="AA1889" i="7"/>
  <c r="AA3290" i="7"/>
  <c r="AH1889" i="7"/>
  <c r="AA3130" i="7"/>
  <c r="AE3151" i="7"/>
  <c r="AF3151" i="7" s="1"/>
  <c r="AH3290" i="7"/>
  <c r="AA3655" i="7"/>
  <c r="AE3130" i="7"/>
  <c r="AF3130" i="7" s="1"/>
  <c r="AC1732" i="7"/>
  <c r="AE3553" i="7"/>
  <c r="AF3553" i="7" s="1"/>
  <c r="AM3551" i="7"/>
  <c r="AC3004" i="7"/>
  <c r="AM3290" i="7"/>
  <c r="AC3655" i="7"/>
  <c r="AM2023" i="7"/>
  <c r="AA3059" i="7"/>
  <c r="AH3059" i="7"/>
  <c r="AH590" i="7"/>
  <c r="AH745" i="7"/>
  <c r="AA3333" i="7"/>
  <c r="AM1649" i="7"/>
  <c r="AM2303" i="7"/>
  <c r="AA2332" i="7"/>
  <c r="AM2694" i="7"/>
  <c r="AH3357" i="7"/>
  <c r="AA3609" i="7"/>
  <c r="AH1492" i="7"/>
  <c r="AM1668" i="7"/>
  <c r="AM3415" i="7"/>
  <c r="AH1623" i="7"/>
  <c r="AC3333" i="7"/>
  <c r="AC1649" i="7"/>
  <c r="AE3250" i="7"/>
  <c r="AF3250" i="7" s="1"/>
  <c r="AH3609" i="7"/>
  <c r="AA3357" i="7"/>
  <c r="AM1623" i="7"/>
  <c r="AE3609" i="7"/>
  <c r="AF3609" i="7" s="1"/>
  <c r="AE3256" i="7"/>
  <c r="AF3256" i="7" s="1"/>
  <c r="AM2008" i="7"/>
  <c r="AM3382" i="7"/>
  <c r="AM3357" i="7"/>
  <c r="AE2554" i="7"/>
  <c r="AF2554" i="7" s="1"/>
  <c r="AH3256" i="7"/>
  <c r="AA3563" i="7"/>
  <c r="AE2008" i="7"/>
  <c r="AF2008" i="7" s="1"/>
  <c r="AM1833" i="7"/>
  <c r="AA1833" i="7"/>
  <c r="AC2008" i="7"/>
  <c r="AM2332" i="7"/>
  <c r="AM2051" i="7"/>
  <c r="AC3250" i="7"/>
  <c r="AE2303" i="7"/>
  <c r="AF2303" i="7" s="1"/>
  <c r="AE2332" i="7"/>
  <c r="AF2332" i="7" s="1"/>
  <c r="AM221" i="7"/>
  <c r="AA3415" i="7"/>
  <c r="AC2733" i="7"/>
  <c r="AA3256" i="7"/>
  <c r="AH769" i="7"/>
  <c r="AC2554" i="7"/>
  <c r="AM1988" i="7"/>
  <c r="AH3415" i="7"/>
  <c r="AA2733" i="7"/>
  <c r="AA2051" i="7"/>
  <c r="AA2008" i="7"/>
  <c r="AH1992" i="7"/>
  <c r="AE1988" i="7"/>
  <c r="AF1988" i="7" s="1"/>
  <c r="AH362" i="7"/>
  <c r="AH1489" i="7"/>
  <c r="AC3415" i="7"/>
  <c r="AA3382" i="7"/>
  <c r="AM2050" i="7"/>
  <c r="AH3382" i="7"/>
  <c r="AH3250" i="7"/>
  <c r="AC2303" i="7"/>
  <c r="AC3609" i="7"/>
  <c r="AC1992" i="7"/>
  <c r="AA1988" i="7"/>
  <c r="AM362" i="7"/>
  <c r="AH3333" i="7"/>
  <c r="AH1833" i="7"/>
  <c r="AE3382" i="7"/>
  <c r="AF3382" i="7" s="1"/>
  <c r="AE3563" i="7"/>
  <c r="AF3563" i="7" s="1"/>
  <c r="AA2050" i="7"/>
  <c r="AC3357" i="7"/>
  <c r="AM3764" i="7"/>
  <c r="AC3764" i="7"/>
  <c r="AE1992" i="7"/>
  <c r="AF1992" i="7" s="1"/>
  <c r="AM3333" i="7"/>
  <c r="AH3563" i="7"/>
  <c r="AH2050" i="7"/>
  <c r="AM3256" i="7"/>
  <c r="AH2554" i="7"/>
  <c r="AC2177" i="7"/>
  <c r="AM2177" i="7"/>
  <c r="AA2177" i="7"/>
  <c r="AH2177" i="7"/>
  <c r="AE2177" i="7"/>
  <c r="AF2177" i="7" s="1"/>
  <c r="AM3563" i="7"/>
  <c r="AH3982" i="7"/>
  <c r="AM708" i="7"/>
  <c r="AM1355" i="7"/>
  <c r="AH2049" i="7"/>
  <c r="AC915" i="7"/>
  <c r="AM2016" i="7"/>
  <c r="AA2500" i="7"/>
  <c r="AC2979" i="7"/>
  <c r="AE3982" i="7"/>
  <c r="AF3982" i="7" s="1"/>
  <c r="AC1945" i="7"/>
  <c r="AM1270" i="7"/>
  <c r="AM2500" i="7"/>
  <c r="AH3638" i="7"/>
  <c r="AM3638" i="7"/>
  <c r="AA1418" i="7"/>
  <c r="AM1945" i="7"/>
  <c r="AH1237" i="7"/>
  <c r="AC2096" i="7"/>
  <c r="AC1355" i="7"/>
  <c r="AE3456" i="7"/>
  <c r="AF3456" i="7" s="1"/>
  <c r="AA2042" i="7"/>
  <c r="AC3116" i="7"/>
  <c r="AH1599" i="7"/>
  <c r="AH2693" i="7"/>
  <c r="AH2600" i="7"/>
  <c r="AM3490" i="7"/>
  <c r="AA3490" i="7"/>
  <c r="AE1965" i="7"/>
  <c r="AF1965" i="7" s="1"/>
  <c r="AA1945" i="7"/>
  <c r="AM3982" i="7"/>
  <c r="AM567" i="7"/>
  <c r="AE2096" i="7"/>
  <c r="AF2096" i="7" s="1"/>
  <c r="AH2042" i="7"/>
  <c r="AA3116" i="7"/>
  <c r="AH2983" i="7"/>
  <c r="AC1850" i="7"/>
  <c r="AM1418" i="7"/>
  <c r="AM3240" i="7"/>
  <c r="AM1965" i="7"/>
  <c r="AE1945" i="7"/>
  <c r="AF1945" i="7" s="1"/>
  <c r="AH749" i="7"/>
  <c r="AC2042" i="7"/>
  <c r="AH3116" i="7"/>
  <c r="AE2600" i="7"/>
  <c r="AF2600" i="7" s="1"/>
  <c r="AC1927" i="7"/>
  <c r="AH2500" i="7"/>
  <c r="AC2983" i="7"/>
  <c r="AA1850" i="7"/>
  <c r="AH2438" i="7"/>
  <c r="AC3638" i="7"/>
  <c r="AC1965" i="7"/>
  <c r="AM1502" i="7"/>
  <c r="AA915" i="7"/>
  <c r="AM2600" i="7"/>
  <c r="AA3638" i="7"/>
  <c r="AH1965" i="7"/>
  <c r="AE2049" i="7"/>
  <c r="AF2049" i="7" s="1"/>
  <c r="AM1927" i="7"/>
  <c r="AE2438" i="7"/>
  <c r="AF2438" i="7" s="1"/>
  <c r="AC1418" i="7"/>
  <c r="AM1648" i="7"/>
  <c r="AA3456" i="7"/>
  <c r="AM3456" i="7"/>
  <c r="AM2438" i="7"/>
  <c r="AC3240" i="7"/>
  <c r="AM77" i="7"/>
  <c r="AH1355" i="7"/>
  <c r="AH1927" i="7"/>
  <c r="AA3240" i="7"/>
  <c r="AM3116" i="7"/>
  <c r="AM3141" i="7"/>
  <c r="AA2049" i="7"/>
  <c r="AE1927" i="7"/>
  <c r="AF1927" i="7" s="1"/>
  <c r="AM1947" i="7"/>
  <c r="AH1947" i="7"/>
  <c r="AM2096" i="7"/>
  <c r="AA2096" i="7"/>
  <c r="AM2049" i="7"/>
  <c r="AC2600" i="7"/>
  <c r="AE3148" i="7"/>
  <c r="AF3148" i="7" s="1"/>
  <c r="AC3462" i="7"/>
  <c r="AA1768" i="7"/>
  <c r="AE3715" i="7"/>
  <c r="AF3715" i="7" s="1"/>
  <c r="AE2726" i="7"/>
  <c r="AF2726" i="7" s="1"/>
  <c r="AC2726" i="7"/>
  <c r="AM2726" i="7"/>
  <c r="AA4013" i="7"/>
  <c r="AH483" i="7"/>
  <c r="AC4013" i="7"/>
  <c r="AE2117" i="7"/>
  <c r="AF2117" i="7" s="1"/>
  <c r="AA2187" i="7"/>
  <c r="AE2187" i="7"/>
  <c r="AF2187" i="7" s="1"/>
  <c r="AH2187" i="7"/>
  <c r="AC2187" i="7"/>
  <c r="AM2554" i="7"/>
  <c r="AE2109" i="7"/>
  <c r="AF2109" i="7" s="1"/>
  <c r="AH2109" i="7"/>
  <c r="AM2109" i="7"/>
  <c r="AA2109" i="7"/>
  <c r="AC2109" i="7"/>
  <c r="AM2546" i="7"/>
  <c r="AM129" i="7"/>
  <c r="AM1745" i="7"/>
  <c r="AE2350" i="7"/>
  <c r="AF2350" i="7" s="1"/>
  <c r="AH2733" i="7"/>
  <c r="AE2733" i="7"/>
  <c r="AF2733" i="7" s="1"/>
  <c r="AC3314" i="7"/>
  <c r="AE3314" i="7"/>
  <c r="AF3314" i="7" s="1"/>
  <c r="AH3314" i="7"/>
  <c r="AA3314" i="7"/>
  <c r="AM3314" i="7"/>
  <c r="AM682" i="7"/>
  <c r="AA3808" i="7"/>
  <c r="AE1949" i="7"/>
  <c r="AF1949" i="7" s="1"/>
  <c r="AE3764" i="7"/>
  <c r="AF3764" i="7" s="1"/>
  <c r="AM1613" i="7"/>
  <c r="AA2302" i="7"/>
  <c r="AC2012" i="7"/>
  <c r="AH3104" i="7"/>
  <c r="AM3104" i="7"/>
  <c r="AC1269" i="7"/>
  <c r="AA1841" i="7"/>
  <c r="AC2037" i="7"/>
  <c r="AE2362" i="7"/>
  <c r="AF2362" i="7" s="1"/>
  <c r="AE3254" i="7"/>
  <c r="AF3254" i="7" s="1"/>
  <c r="AM2333" i="7"/>
  <c r="AH2120" i="7"/>
  <c r="AC1980" i="7"/>
  <c r="AH2037" i="7"/>
  <c r="AA1992" i="7"/>
  <c r="AH1980" i="7"/>
  <c r="AM3254" i="7"/>
  <c r="AM1163" i="7"/>
  <c r="AH1603" i="7"/>
  <c r="AH1032" i="7"/>
  <c r="AH375" i="7"/>
  <c r="AA1261" i="7"/>
  <c r="AM2107" i="7"/>
  <c r="AC3808" i="7"/>
  <c r="AM612" i="7"/>
  <c r="AE2632" i="7"/>
  <c r="AF2632" i="7" s="1"/>
  <c r="AA3227" i="7"/>
  <c r="AC2332" i="7"/>
  <c r="AE1980" i="7"/>
  <c r="AF1980" i="7" s="1"/>
  <c r="AM1980" i="7"/>
  <c r="AC2114" i="7"/>
  <c r="AH2114" i="7"/>
  <c r="AE3462" i="7"/>
  <c r="AF3462" i="7" s="1"/>
  <c r="AC2842" i="7"/>
  <c r="AH2842" i="7"/>
  <c r="AE2468" i="7"/>
  <c r="AF2468" i="7" s="1"/>
  <c r="AA2468" i="7"/>
  <c r="AH2468" i="7"/>
  <c r="AM2468" i="7"/>
  <c r="AC2468" i="7"/>
  <c r="AC1767" i="7"/>
  <c r="AA1767" i="7"/>
  <c r="AM1767" i="7"/>
  <c r="AM1951" i="7"/>
  <c r="AE2066" i="7"/>
  <c r="AF2066" i="7" s="1"/>
  <c r="AH2066" i="7"/>
  <c r="AM3842" i="7"/>
  <c r="AC1951" i="7"/>
  <c r="AE3808" i="7"/>
  <c r="AF3808" i="7" s="1"/>
  <c r="AC3842" i="7"/>
  <c r="AM1099" i="7"/>
  <c r="AH2741" i="7"/>
  <c r="AE1951" i="7"/>
  <c r="AF1951" i="7" s="1"/>
  <c r="AE3842" i="7"/>
  <c r="AF3842" i="7" s="1"/>
  <c r="AC2565" i="7"/>
  <c r="AM131" i="7"/>
  <c r="AM1282" i="7"/>
  <c r="AA2983" i="7"/>
  <c r="AA1951" i="7"/>
  <c r="AE3338" i="7"/>
  <c r="AF3338" i="7" s="1"/>
  <c r="AA3338" i="7"/>
  <c r="AA3009" i="7"/>
  <c r="AH3009" i="7"/>
  <c r="AM3129" i="7"/>
  <c r="AA3129" i="7"/>
  <c r="AC3129" i="7"/>
  <c r="AC2694" i="7"/>
  <c r="AA2694" i="7"/>
  <c r="AE2602" i="7"/>
  <c r="AF2602" i="7" s="1"/>
  <c r="AA2602" i="7"/>
  <c r="AC2602" i="7"/>
  <c r="AA2340" i="7"/>
  <c r="AM2340" i="7"/>
  <c r="AE2312" i="7"/>
  <c r="AF2312" i="7" s="1"/>
  <c r="AC2312" i="7"/>
  <c r="AA2312" i="7"/>
  <c r="AE1931" i="7"/>
  <c r="AF1931" i="7" s="1"/>
  <c r="AA1931" i="7"/>
  <c r="AC1931" i="7"/>
  <c r="AA3842" i="7"/>
  <c r="AM2983" i="7"/>
  <c r="AE2044" i="7"/>
  <c r="AF2044" i="7" s="1"/>
  <c r="AA2044" i="7"/>
  <c r="AC2044" i="7"/>
  <c r="AH2044" i="7"/>
  <c r="AM2044" i="7"/>
  <c r="AH3869" i="7"/>
  <c r="AC3869" i="7"/>
  <c r="AC4028" i="7"/>
  <c r="AA2438" i="7"/>
  <c r="AH1949" i="7"/>
  <c r="AA3468" i="7"/>
  <c r="AE2631" i="7"/>
  <c r="AF2631" i="7" s="1"/>
  <c r="AM2631" i="7"/>
  <c r="AA1849" i="7"/>
  <c r="AC1849" i="7"/>
  <c r="AM3869" i="7"/>
  <c r="AA3869" i="7"/>
  <c r="AA4028" i="7"/>
  <c r="AA3699" i="7"/>
  <c r="AM220" i="7"/>
  <c r="AH1721" i="7"/>
  <c r="AE2985" i="7"/>
  <c r="AF2985" i="7" s="1"/>
  <c r="AH2965" i="7"/>
  <c r="AE2333" i="7"/>
  <c r="AF2333" i="7" s="1"/>
  <c r="AC3468" i="7"/>
  <c r="AC2370" i="7"/>
  <c r="AH2370" i="7"/>
  <c r="AA2370" i="7"/>
  <c r="AE2370" i="7"/>
  <c r="AF2370" i="7" s="1"/>
  <c r="AH3767" i="7"/>
  <c r="AE4028" i="7"/>
  <c r="AF4028" i="7" s="1"/>
  <c r="AH1506" i="7"/>
  <c r="AH581" i="7"/>
  <c r="AA1947" i="7"/>
  <c r="AM3468" i="7"/>
  <c r="AM3151" i="7"/>
  <c r="AC3151" i="7"/>
  <c r="AA2016" i="7"/>
  <c r="AE2016" i="7"/>
  <c r="AF2016" i="7" s="1"/>
  <c r="AC3767" i="7"/>
  <c r="AH4028" i="7"/>
  <c r="AE2181" i="7"/>
  <c r="AF2181" i="7" s="1"/>
  <c r="AC1947" i="7"/>
  <c r="AA2322" i="7"/>
  <c r="AC2322" i="7"/>
  <c r="AM1775" i="7"/>
  <c r="AH1775" i="7"/>
  <c r="AE2014" i="7"/>
  <c r="AF2014" i="7" s="1"/>
  <c r="AM2014" i="7"/>
  <c r="AC2014" i="7"/>
  <c r="AA2014" i="7"/>
  <c r="AE3767" i="7"/>
  <c r="AF3767" i="7" s="1"/>
  <c r="AA4026" i="7"/>
  <c r="AH342" i="7"/>
  <c r="AA1890" i="7"/>
  <c r="AA2181" i="7"/>
  <c r="AH1565" i="7"/>
  <c r="AM1565" i="7"/>
  <c r="AM3102" i="7"/>
  <c r="AH3102" i="7"/>
  <c r="AM1909" i="7"/>
  <c r="AA1909" i="7"/>
  <c r="AM3767" i="7"/>
  <c r="AH684" i="7"/>
  <c r="AA1883" i="7"/>
  <c r="AC1883" i="7"/>
  <c r="AM1883" i="7"/>
  <c r="AC1449" i="7"/>
  <c r="AM1449" i="7"/>
  <c r="AH1449" i="7"/>
  <c r="AH1339" i="7"/>
  <c r="AM1339" i="7"/>
  <c r="AM2965" i="7"/>
  <c r="AC2741" i="7"/>
  <c r="AA1957" i="7"/>
  <c r="AE2965" i="7"/>
  <c r="AF2965" i="7" s="1"/>
  <c r="AE1926" i="7"/>
  <c r="AF1926" i="7" s="1"/>
  <c r="AH2848" i="7"/>
  <c r="AC2848" i="7"/>
  <c r="AA2848" i="7"/>
  <c r="AE2848" i="7"/>
  <c r="AF2848" i="7" s="1"/>
  <c r="AA2965" i="7"/>
  <c r="AC1926" i="7"/>
  <c r="AM2682" i="7"/>
  <c r="AA2682" i="7"/>
  <c r="AE2682" i="7"/>
  <c r="AF2682" i="7" s="1"/>
  <c r="AH2258" i="7"/>
  <c r="AC2258" i="7"/>
  <c r="AA2258" i="7"/>
  <c r="AE2254" i="7"/>
  <c r="AF2254" i="7" s="1"/>
  <c r="AH2254" i="7"/>
  <c r="AC2254" i="7"/>
  <c r="AA2254" i="7"/>
  <c r="AM2254" i="7"/>
  <c r="AH1629" i="7"/>
  <c r="AH2055" i="7"/>
  <c r="AM2055" i="7"/>
  <c r="AM2366" i="7"/>
  <c r="AH2632" i="7"/>
  <c r="AC1025" i="7"/>
  <c r="AH1025" i="7"/>
  <c r="AM1025" i="7"/>
  <c r="AH1245" i="7"/>
  <c r="AM1245" i="7"/>
  <c r="AE3315" i="7"/>
  <c r="AF3315" i="7" s="1"/>
  <c r="AC3315" i="7"/>
  <c r="AA3392" i="7"/>
  <c r="AM3392" i="7"/>
  <c r="AC3392" i="7"/>
  <c r="AE3392" i="7"/>
  <c r="AF3392" i="7" s="1"/>
  <c r="AH3392" i="7"/>
  <c r="AE3818" i="7"/>
  <c r="AF3818" i="7" s="1"/>
  <c r="AC4024" i="7"/>
  <c r="AM3978" i="7"/>
  <c r="AH2302" i="7"/>
  <c r="AH2652" i="7"/>
  <c r="AH1225" i="7"/>
  <c r="AA1593" i="7"/>
  <c r="AM1593" i="7"/>
  <c r="AC1593" i="7"/>
  <c r="AH1593" i="7"/>
  <c r="AE2979" i="7"/>
  <c r="AF2979" i="7" s="1"/>
  <c r="AA2979" i="7"/>
  <c r="AH2979" i="7"/>
  <c r="AC1476" i="7"/>
  <c r="AH1476" i="7"/>
  <c r="AH1011" i="7"/>
  <c r="AM1011" i="7"/>
  <c r="AH1087" i="7"/>
  <c r="AM1087" i="7"/>
  <c r="AH892" i="7"/>
  <c r="AM3196" i="7"/>
  <c r="AM2302" i="7"/>
  <c r="AA2652" i="7"/>
  <c r="AH1357" i="7"/>
  <c r="AH1279" i="7"/>
  <c r="AC1661" i="7"/>
  <c r="AH1661" i="7"/>
  <c r="AM1846" i="7"/>
  <c r="AH1846" i="7"/>
  <c r="AC1846" i="7"/>
  <c r="AA1846" i="7"/>
  <c r="AA1995" i="7"/>
  <c r="AC1995" i="7"/>
  <c r="AH1995" i="7"/>
  <c r="AC2455" i="7"/>
  <c r="AA2455" i="7"/>
  <c r="AH2455" i="7"/>
  <c r="AE2455" i="7"/>
  <c r="AF2455" i="7" s="1"/>
  <c r="AM2455" i="7"/>
  <c r="AM1190" i="7"/>
  <c r="AH3196" i="7"/>
  <c r="AC3148" i="7"/>
  <c r="AA1930" i="7"/>
  <c r="AC1930" i="7"/>
  <c r="AM1930" i="7"/>
  <c r="AM3010" i="7"/>
  <c r="AA3010" i="7"/>
  <c r="AC3010" i="7"/>
  <c r="AM2907" i="7"/>
  <c r="AE2907" i="7"/>
  <c r="AF2907" i="7" s="1"/>
  <c r="AA3140" i="7"/>
  <c r="AC3140" i="7"/>
  <c r="AA2041" i="7"/>
  <c r="AM2041" i="7"/>
  <c r="AE2041" i="7"/>
  <c r="AF2041" i="7" s="1"/>
  <c r="AC3196" i="7"/>
  <c r="AA1906" i="7"/>
  <c r="AC1906" i="7"/>
  <c r="AE1906" i="7"/>
  <c r="AF1906" i="7" s="1"/>
  <c r="AH3018" i="7"/>
  <c r="AM3018" i="7"/>
  <c r="AE3018" i="7"/>
  <c r="AF3018" i="7" s="1"/>
  <c r="AM1165" i="7"/>
  <c r="AH1165" i="7"/>
  <c r="AE3928" i="7"/>
  <c r="AF3928" i="7" s="1"/>
  <c r="AA3196" i="7"/>
  <c r="AH1464" i="7"/>
  <c r="AM1464" i="7"/>
  <c r="AA2699" i="7"/>
  <c r="AH2699" i="7"/>
  <c r="AC2699" i="7"/>
  <c r="AM3154" i="7"/>
  <c r="AC3154" i="7"/>
  <c r="AA3154" i="7"/>
  <c r="AE3154" i="7"/>
  <c r="AF3154" i="7" s="1"/>
  <c r="AH3154" i="7"/>
  <c r="AC664" i="7"/>
  <c r="AM664" i="7"/>
  <c r="AH664" i="7"/>
  <c r="AA664" i="7"/>
  <c r="AM2693" i="7"/>
  <c r="AE2693" i="7"/>
  <c r="AF2693" i="7" s="1"/>
  <c r="AH3978" i="7"/>
  <c r="AH537" i="7"/>
  <c r="AM393" i="7"/>
  <c r="AH1619" i="7"/>
  <c r="AM1162" i="7"/>
  <c r="AC1908" i="7"/>
  <c r="AE1908" i="7"/>
  <c r="AF1908" i="7" s="1"/>
  <c r="AA1908" i="7"/>
  <c r="AM1908" i="7"/>
  <c r="AH1908" i="7"/>
  <c r="AM656" i="7"/>
  <c r="AH656" i="7"/>
  <c r="AM3408" i="7"/>
  <c r="AA3408" i="7"/>
  <c r="AH3408" i="7"/>
  <c r="AE3408" i="7"/>
  <c r="AF3408" i="7" s="1"/>
  <c r="AC3408" i="7"/>
  <c r="AM551" i="7"/>
  <c r="AH652" i="7"/>
  <c r="AM652" i="7"/>
  <c r="AH3254" i="7"/>
  <c r="AA3254" i="7"/>
  <c r="AH1107" i="7"/>
  <c r="AM1107" i="7"/>
  <c r="AA1848" i="7"/>
  <c r="AM1848" i="7"/>
  <c r="AC1848" i="7"/>
  <c r="AM1220" i="7"/>
  <c r="AH1220" i="7"/>
  <c r="AA1932" i="7"/>
  <c r="AM1932" i="7"/>
  <c r="AA3978" i="7"/>
  <c r="AC1860" i="7"/>
  <c r="AA1860" i="7"/>
  <c r="AM1860" i="7"/>
  <c r="AM1478" i="7"/>
  <c r="AH1478" i="7"/>
  <c r="AH1487" i="7"/>
  <c r="AM1487" i="7"/>
  <c r="AM2632" i="7"/>
  <c r="AC2632" i="7"/>
  <c r="AC3676" i="7"/>
  <c r="AA3451" i="7"/>
  <c r="AM997" i="7"/>
  <c r="AM1566" i="7"/>
  <c r="AH2816" i="7"/>
  <c r="AC2816" i="7"/>
  <c r="AM2816" i="7"/>
  <c r="AE2816" i="7"/>
  <c r="AF2816" i="7" s="1"/>
  <c r="AA2816" i="7"/>
  <c r="AM2311" i="7"/>
  <c r="AA2311" i="7"/>
  <c r="AE2311" i="7"/>
  <c r="AF2311" i="7" s="1"/>
  <c r="AC2311" i="7"/>
  <c r="AC2715" i="7"/>
  <c r="AE2715" i="7"/>
  <c r="AF2715" i="7" s="1"/>
  <c r="AM2715" i="7"/>
  <c r="AH2715" i="7"/>
  <c r="AA2715" i="7"/>
  <c r="AM3008" i="7"/>
  <c r="AA3008" i="7"/>
  <c r="AC1492" i="7"/>
  <c r="AE1938" i="7"/>
  <c r="AF1938" i="7" s="1"/>
  <c r="AM534" i="7"/>
  <c r="AM1209" i="7"/>
  <c r="AA2651" i="7"/>
  <c r="AE2405" i="7"/>
  <c r="AF2405" i="7" s="1"/>
  <c r="AH2088" i="7"/>
  <c r="AM1829" i="7"/>
  <c r="AA1881" i="7"/>
  <c r="AA1933" i="7"/>
  <c r="AM1335" i="7"/>
  <c r="AH535" i="7"/>
  <c r="AH1132" i="7"/>
  <c r="AH3451" i="7"/>
  <c r="AM2225" i="7"/>
  <c r="AA1652" i="7"/>
  <c r="AC1261" i="7"/>
  <c r="AC2923" i="7"/>
  <c r="AM2270" i="7"/>
  <c r="AC3817" i="7"/>
  <c r="AA2088" i="7"/>
  <c r="AE2923" i="7"/>
  <c r="AF2923" i="7" s="1"/>
  <c r="AE1933" i="7"/>
  <c r="AF1933" i="7" s="1"/>
  <c r="AC1427" i="7"/>
  <c r="AM1423" i="7"/>
  <c r="AC1652" i="7"/>
  <c r="AA1829" i="7"/>
  <c r="AM3451" i="7"/>
  <c r="AC535" i="7"/>
  <c r="AA2923" i="7"/>
  <c r="AH1333" i="7"/>
  <c r="AH526" i="7"/>
  <c r="AC3673" i="7"/>
  <c r="AC3451" i="7"/>
  <c r="AM535" i="7"/>
  <c r="AM2923" i="7"/>
  <c r="AM1933" i="7"/>
  <c r="AM2651" i="7"/>
  <c r="AH1827" i="7"/>
  <c r="AA116" i="7"/>
  <c r="AC2651" i="7"/>
  <c r="AE2651" i="7"/>
  <c r="AF2651" i="7" s="1"/>
  <c r="AH1652" i="7"/>
  <c r="AH228" i="7"/>
  <c r="AH2225" i="7"/>
  <c r="AM536" i="7"/>
  <c r="AA1879" i="7"/>
  <c r="AM1879" i="7"/>
  <c r="AH3837" i="7"/>
  <c r="AA3730" i="7"/>
  <c r="AM1881" i="7"/>
  <c r="AA3732" i="7"/>
  <c r="AA276" i="7"/>
  <c r="AC2730" i="7"/>
  <c r="AH1678" i="7"/>
  <c r="AC1879" i="7"/>
  <c r="AA2730" i="7"/>
  <c r="AC2302" i="7"/>
  <c r="AH1282" i="7"/>
  <c r="AM546" i="7"/>
  <c r="AC1839" i="7"/>
  <c r="AH831" i="7"/>
  <c r="AC3730" i="7"/>
  <c r="AA42" i="7"/>
  <c r="AH1660" i="7"/>
  <c r="AC831" i="7"/>
  <c r="AC3732" i="7"/>
  <c r="AA831" i="7"/>
  <c r="AM84" i="7"/>
  <c r="AC1768" i="7"/>
  <c r="AH1768" i="7"/>
  <c r="AM890" i="7"/>
  <c r="AE3737" i="7"/>
  <c r="AF3737" i="7" s="1"/>
  <c r="AH280" i="7"/>
  <c r="AC2131" i="7"/>
  <c r="AM353" i="7"/>
  <c r="AH481" i="7"/>
  <c r="AM1839" i="7"/>
  <c r="AH3732" i="7"/>
  <c r="AC42" i="7"/>
  <c r="AM1264" i="7"/>
  <c r="AH1839" i="7"/>
  <c r="AH42" i="7"/>
  <c r="AC1264" i="7"/>
  <c r="AH1829" i="7"/>
  <c r="AH2999" i="7"/>
  <c r="AH463" i="7"/>
  <c r="AM1698" i="7"/>
  <c r="AE2131" i="7"/>
  <c r="AF2131" i="7" s="1"/>
  <c r="AC1912" i="7"/>
  <c r="AM1537" i="7"/>
  <c r="AH3737" i="7"/>
  <c r="AH212" i="7"/>
  <c r="AA2131" i="7"/>
  <c r="AM570" i="7"/>
  <c r="AA1912" i="7"/>
  <c r="AH3818" i="7"/>
  <c r="AM4033" i="7"/>
  <c r="AH2131" i="7"/>
  <c r="AA2244" i="7"/>
  <c r="AH225" i="7"/>
  <c r="AE3662" i="7"/>
  <c r="AF3662" i="7" s="1"/>
  <c r="AM1650" i="7"/>
  <c r="AC1819" i="7"/>
  <c r="AE3732" i="7"/>
  <c r="AF3732" i="7" s="1"/>
  <c r="AE3617" i="7"/>
  <c r="AF3617" i="7" s="1"/>
  <c r="AC2244" i="7"/>
  <c r="AM3662" i="7"/>
  <c r="AC527" i="7"/>
  <c r="AC2999" i="7"/>
  <c r="AC1395" i="7"/>
  <c r="AH3854" i="7"/>
  <c r="AH4030" i="7"/>
  <c r="AM338" i="7"/>
  <c r="AE2244" i="7"/>
  <c r="AF2244" i="7" s="1"/>
  <c r="AA1395" i="7"/>
  <c r="AM3854" i="7"/>
  <c r="AA4033" i="7"/>
  <c r="AE4030" i="7"/>
  <c r="AF4030" i="7" s="1"/>
  <c r="AC4030" i="7"/>
  <c r="AH2244" i="7"/>
  <c r="AH527" i="7"/>
  <c r="AA2999" i="7"/>
  <c r="AH1395" i="7"/>
  <c r="AA3854" i="7"/>
  <c r="AC4033" i="7"/>
  <c r="AM840" i="7"/>
  <c r="AM527" i="7"/>
  <c r="AM2007" i="7"/>
  <c r="AE4033" i="7"/>
  <c r="AF4033" i="7" s="1"/>
  <c r="AE2007" i="7"/>
  <c r="AF2007" i="7" s="1"/>
  <c r="AM3818" i="7"/>
  <c r="AA2007" i="7"/>
  <c r="AE3700" i="7"/>
  <c r="AF3700" i="7" s="1"/>
  <c r="AM508" i="7"/>
  <c r="AA4030" i="7"/>
  <c r="AC3818" i="7"/>
  <c r="AE2999" i="7"/>
  <c r="AF2999" i="7" s="1"/>
  <c r="AM1226" i="7"/>
  <c r="AE2246" i="7"/>
  <c r="AF2246" i="7" s="1"/>
  <c r="AM3700" i="7"/>
  <c r="AE2165" i="7"/>
  <c r="AF2165" i="7" s="1"/>
  <c r="AH2165" i="7"/>
  <c r="AC2165" i="7"/>
  <c r="AA2165" i="7"/>
  <c r="AM2165" i="7"/>
  <c r="AA2364" i="7"/>
  <c r="AC2364" i="7"/>
  <c r="AH2364" i="7"/>
  <c r="AE2219" i="7"/>
  <c r="AF2219" i="7" s="1"/>
  <c r="AA2219" i="7"/>
  <c r="AM2219" i="7"/>
  <c r="AC2219" i="7"/>
  <c r="AH2219" i="7"/>
  <c r="AM3934" i="7"/>
  <c r="AE2225" i="7"/>
  <c r="AF2225" i="7" s="1"/>
  <c r="AA2023" i="7"/>
  <c r="AH1064" i="7"/>
  <c r="AA3700" i="7"/>
  <c r="AH1427" i="7"/>
  <c r="AC1650" i="7"/>
  <c r="AA2139" i="7"/>
  <c r="AM2139" i="7"/>
  <c r="AH2139" i="7"/>
  <c r="AC2139" i="7"/>
  <c r="AE2139" i="7"/>
  <c r="AF2139" i="7" s="1"/>
  <c r="AC2968" i="7"/>
  <c r="AH2968" i="7"/>
  <c r="AE2968" i="7"/>
  <c r="AF2968" i="7" s="1"/>
  <c r="AE2142" i="7"/>
  <c r="AF2142" i="7" s="1"/>
  <c r="AC2142" i="7"/>
  <c r="AM2142" i="7"/>
  <c r="AA2142" i="7"/>
  <c r="AH2142" i="7"/>
  <c r="AH1591" i="7"/>
  <c r="AM1591" i="7"/>
  <c r="AH2637" i="7"/>
  <c r="AM2637" i="7"/>
  <c r="AH3847" i="7"/>
  <c r="AC3449" i="7"/>
  <c r="AM1037" i="7"/>
  <c r="AH1187" i="7"/>
  <c r="AH2023" i="7"/>
  <c r="AH628" i="7"/>
  <c r="AA2201" i="7"/>
  <c r="AC3700" i="7"/>
  <c r="AH3440" i="7"/>
  <c r="AE3440" i="7"/>
  <c r="AF3440" i="7" s="1"/>
  <c r="AC3440" i="7"/>
  <c r="AM3440" i="7"/>
  <c r="AA3440" i="7"/>
  <c r="AA2903" i="7"/>
  <c r="AE2903" i="7"/>
  <c r="AF2903" i="7" s="1"/>
  <c r="AH2903" i="7"/>
  <c r="AM2903" i="7"/>
  <c r="AC2903" i="7"/>
  <c r="AE2625" i="7"/>
  <c r="AF2625" i="7" s="1"/>
  <c r="AA2625" i="7"/>
  <c r="AC2625" i="7"/>
  <c r="AC2282" i="7"/>
  <c r="AA2282" i="7"/>
  <c r="AH2282" i="7"/>
  <c r="AE2282" i="7"/>
  <c r="AF2282" i="7" s="1"/>
  <c r="AM2282" i="7"/>
  <c r="AH725" i="7"/>
  <c r="AM725" i="7"/>
  <c r="AC1537" i="7"/>
  <c r="AH1537" i="7"/>
  <c r="AM1817" i="7"/>
  <c r="AH1817" i="7"/>
  <c r="AC1817" i="7"/>
  <c r="AA1817" i="7"/>
  <c r="AA3934" i="7"/>
  <c r="AC3313" i="7"/>
  <c r="AH2080" i="7"/>
  <c r="AE3449" i="7"/>
  <c r="AF3449" i="7" s="1"/>
  <c r="AE2023" i="7"/>
  <c r="AF2023" i="7" s="1"/>
  <c r="AC628" i="7"/>
  <c r="AH1758" i="7"/>
  <c r="AE2637" i="7"/>
  <c r="AF2637" i="7" s="1"/>
  <c r="AH510" i="7"/>
  <c r="AE2113" i="7"/>
  <c r="AF2113" i="7" s="1"/>
  <c r="AA2113" i="7"/>
  <c r="AC2113" i="7"/>
  <c r="AH2113" i="7"/>
  <c r="AM2113" i="7"/>
  <c r="AH2280" i="7"/>
  <c r="AE2280" i="7"/>
  <c r="AF2280" i="7" s="1"/>
  <c r="AM2280" i="7"/>
  <c r="AC2280" i="7"/>
  <c r="AA2280" i="7"/>
  <c r="AC2126" i="7"/>
  <c r="AM2126" i="7"/>
  <c r="AA2126" i="7"/>
  <c r="AE2126" i="7"/>
  <c r="AF2126" i="7" s="1"/>
  <c r="AM2020" i="7"/>
  <c r="AH2020" i="7"/>
  <c r="AA2020" i="7"/>
  <c r="AM1769" i="7"/>
  <c r="AA1769" i="7"/>
  <c r="AE3934" i="7"/>
  <c r="AF3934" i="7" s="1"/>
  <c r="AA3932" i="7"/>
  <c r="AA3696" i="7"/>
  <c r="AE3313" i="7"/>
  <c r="AF3313" i="7" s="1"/>
  <c r="AM2080" i="7"/>
  <c r="AA3449" i="7"/>
  <c r="AE2935" i="7"/>
  <c r="AF2935" i="7" s="1"/>
  <c r="AA628" i="7"/>
  <c r="AE2105" i="7"/>
  <c r="AF2105" i="7" s="1"/>
  <c r="AC2105" i="7"/>
  <c r="AA2105" i="7"/>
  <c r="AM2105" i="7"/>
  <c r="AH2105" i="7"/>
  <c r="AC3155" i="7"/>
  <c r="AE3155" i="7"/>
  <c r="AF3155" i="7" s="1"/>
  <c r="AA3155" i="7"/>
  <c r="AH3155" i="7"/>
  <c r="AM3155" i="7"/>
  <c r="AA2788" i="7"/>
  <c r="AM2788" i="7"/>
  <c r="AH2621" i="7"/>
  <c r="AM2621" i="7"/>
  <c r="AA2621" i="7"/>
  <c r="AH2124" i="7"/>
  <c r="AM2124" i="7"/>
  <c r="AE2124" i="7"/>
  <c r="AF2124" i="7" s="1"/>
  <c r="AC2124" i="7"/>
  <c r="AA2124" i="7"/>
  <c r="AE2018" i="7"/>
  <c r="AF2018" i="7" s="1"/>
  <c r="AM2018" i="7"/>
  <c r="AE3932" i="7"/>
  <c r="AF3932" i="7" s="1"/>
  <c r="AE3696" i="7"/>
  <c r="AF3696" i="7" s="1"/>
  <c r="AM3313" i="7"/>
  <c r="AA2080" i="7"/>
  <c r="AH3449" i="7"/>
  <c r="AA2935" i="7"/>
  <c r="AH1247" i="7"/>
  <c r="AA2637" i="7"/>
  <c r="AM1615" i="7"/>
  <c r="AA1650" i="7"/>
  <c r="AC3141" i="7"/>
  <c r="AA3141" i="7"/>
  <c r="AM2710" i="7"/>
  <c r="AC2710" i="7"/>
  <c r="AA2710" i="7"/>
  <c r="AE2710" i="7"/>
  <c r="AF2710" i="7" s="1"/>
  <c r="AH2710" i="7"/>
  <c r="AH2276" i="7"/>
  <c r="AC2276" i="7"/>
  <c r="AA2276" i="7"/>
  <c r="AM2276" i="7"/>
  <c r="AE2276" i="7"/>
  <c r="AF2276" i="7" s="1"/>
  <c r="AH1819" i="7"/>
  <c r="AA1819" i="7"/>
  <c r="AH3932" i="7"/>
  <c r="AM3782" i="7"/>
  <c r="AH3696" i="7"/>
  <c r="AH2599" i="7"/>
  <c r="AH3313" i="7"/>
  <c r="AC2080" i="7"/>
  <c r="AM1095" i="7"/>
  <c r="AM2935" i="7"/>
  <c r="AC2637" i="7"/>
  <c r="AH1955" i="7"/>
  <c r="AE1955" i="7"/>
  <c r="AF1955" i="7" s="1"/>
  <c r="AC1955" i="7"/>
  <c r="AA1955" i="7"/>
  <c r="AM1955" i="7"/>
  <c r="AC1158" i="7"/>
  <c r="AM1158" i="7"/>
  <c r="AH1158" i="7"/>
  <c r="AH2704" i="7"/>
  <c r="AC2704" i="7"/>
  <c r="AM2704" i="7"/>
  <c r="AE2704" i="7"/>
  <c r="AF2704" i="7" s="1"/>
  <c r="AA2704" i="7"/>
  <c r="AH2094" i="7"/>
  <c r="AC2094" i="7"/>
  <c r="AA2094" i="7"/>
  <c r="AM2094" i="7"/>
  <c r="AE2094" i="7"/>
  <c r="AF2094" i="7" s="1"/>
  <c r="AM510" i="7"/>
  <c r="AC510" i="7"/>
  <c r="AM3733" i="7"/>
  <c r="AA3782" i="7"/>
  <c r="AC3696" i="7"/>
  <c r="AH1110" i="7"/>
  <c r="AH2935" i="7"/>
  <c r="AA2470" i="7"/>
  <c r="AE2470" i="7"/>
  <c r="AF2470" i="7" s="1"/>
  <c r="AH2470" i="7"/>
  <c r="AM2470" i="7"/>
  <c r="AE2092" i="7"/>
  <c r="AF2092" i="7" s="1"/>
  <c r="AH2092" i="7"/>
  <c r="AA2092" i="7"/>
  <c r="AM2092" i="7"/>
  <c r="AH1998" i="7"/>
  <c r="AC1998" i="7"/>
  <c r="AA1998" i="7"/>
  <c r="AH3662" i="7"/>
  <c r="AC3662" i="7"/>
  <c r="AC3782" i="7"/>
  <c r="AH299" i="7"/>
  <c r="AM1307" i="7"/>
  <c r="AM1187" i="7"/>
  <c r="AM1656" i="7"/>
  <c r="AH1656" i="7"/>
  <c r="AM2441" i="7"/>
  <c r="AH2441" i="7"/>
  <c r="AC2441" i="7"/>
  <c r="AA2441" i="7"/>
  <c r="AE2441" i="7"/>
  <c r="AF2441" i="7" s="1"/>
  <c r="AC2270" i="7"/>
  <c r="AA2270" i="7"/>
  <c r="AC1996" i="7"/>
  <c r="AE1996" i="7"/>
  <c r="AF1996" i="7" s="1"/>
  <c r="AM1996" i="7"/>
  <c r="AA1996" i="7"/>
  <c r="AH1996" i="7"/>
  <c r="AM779" i="7"/>
  <c r="AH779" i="7"/>
  <c r="AA2140" i="7"/>
  <c r="AM2140" i="7"/>
  <c r="AE2140" i="7"/>
  <c r="AF2140" i="7" s="1"/>
  <c r="AH2140" i="7"/>
  <c r="AC2140" i="7"/>
  <c r="AE3782" i="7"/>
  <c r="AF3782" i="7" s="1"/>
  <c r="AH1244" i="7"/>
  <c r="AC3054" i="7"/>
  <c r="AE3054" i="7"/>
  <c r="AF3054" i="7" s="1"/>
  <c r="AM3054" i="7"/>
  <c r="AA3054" i="7"/>
  <c r="AH3054" i="7"/>
  <c r="AC3932" i="7"/>
  <c r="AC2225" i="7"/>
  <c r="AC1247" i="7"/>
  <c r="AE2364" i="7"/>
  <c r="AF2364" i="7" s="1"/>
  <c r="AM3030" i="7"/>
  <c r="AA3030" i="7"/>
  <c r="AH3030" i="7"/>
  <c r="AE3030" i="7"/>
  <c r="AF3030" i="7" s="1"/>
  <c r="AC3030" i="7"/>
  <c r="AE2366" i="7"/>
  <c r="AF2366" i="7" s="1"/>
  <c r="AH2366" i="7"/>
  <c r="AC2366" i="7"/>
  <c r="AH1429" i="7"/>
  <c r="AM1429" i="7"/>
  <c r="AA1251" i="7"/>
  <c r="AC1251" i="7"/>
  <c r="AH1251" i="7"/>
  <c r="AM2045" i="7"/>
  <c r="AE2045" i="7"/>
  <c r="AF2045" i="7" s="1"/>
  <c r="AH2045" i="7"/>
  <c r="AA2045" i="7"/>
  <c r="AC2045" i="7"/>
  <c r="AC517" i="7"/>
  <c r="AA517" i="7"/>
  <c r="AC2509" i="7"/>
  <c r="AM2509" i="7"/>
  <c r="AE2509" i="7"/>
  <c r="AF2509" i="7" s="1"/>
  <c r="AH2509" i="7"/>
  <c r="AA2509" i="7"/>
  <c r="AM2103" i="7"/>
  <c r="AA2103" i="7"/>
  <c r="AM1714" i="7"/>
  <c r="AH1714" i="7"/>
  <c r="AC3273" i="7"/>
  <c r="AH3273" i="7"/>
  <c r="AA3677" i="7"/>
  <c r="AM3677" i="7"/>
  <c r="AH3677" i="7"/>
  <c r="AE3677" i="7"/>
  <c r="AF3677" i="7" s="1"/>
  <c r="AC3677" i="7"/>
  <c r="AA2678" i="7"/>
  <c r="AM2678" i="7"/>
  <c r="AC2433" i="7"/>
  <c r="AM2433" i="7"/>
  <c r="AA2433" i="7"/>
  <c r="AE2433" i="7"/>
  <c r="AF2433" i="7" s="1"/>
  <c r="AH2433" i="7"/>
  <c r="AH978" i="7"/>
  <c r="AM978" i="7"/>
  <c r="AE2084" i="7"/>
  <c r="AF2084" i="7" s="1"/>
  <c r="AH2084" i="7"/>
  <c r="AM2084" i="7"/>
  <c r="AA2084" i="7"/>
  <c r="AC2084" i="7"/>
  <c r="AE3673" i="7"/>
  <c r="AF3673" i="7" s="1"/>
  <c r="AA536" i="7"/>
  <c r="AC536" i="7"/>
  <c r="AE2053" i="7"/>
  <c r="AF2053" i="7" s="1"/>
  <c r="AA2053" i="7"/>
  <c r="AH2053" i="7"/>
  <c r="AC2053" i="7"/>
  <c r="AM2053" i="7"/>
  <c r="AH1764" i="7"/>
  <c r="AM1764" i="7"/>
  <c r="AA1764" i="7"/>
  <c r="AC1764" i="7"/>
  <c r="AH2678" i="7"/>
  <c r="AC2035" i="7"/>
  <c r="AA2035" i="7"/>
  <c r="AH2035" i="7"/>
  <c r="AM2035" i="7"/>
  <c r="AE2035" i="7"/>
  <c r="AF2035" i="7" s="1"/>
  <c r="AM2423" i="7"/>
  <c r="AE2423" i="7"/>
  <c r="AF2423" i="7" s="1"/>
  <c r="AC2423" i="7"/>
  <c r="AA2423" i="7"/>
  <c r="AH2423" i="7"/>
  <c r="AM2266" i="7"/>
  <c r="AC2266" i="7"/>
  <c r="AA2266" i="7"/>
  <c r="AE2266" i="7"/>
  <c r="AF2266" i="7" s="1"/>
  <c r="AH3255" i="7"/>
  <c r="AC3255" i="7"/>
  <c r="AE3255" i="7"/>
  <c r="AF3255" i="7" s="1"/>
  <c r="AM3255" i="7"/>
  <c r="AA3255" i="7"/>
  <c r="AC2619" i="7"/>
  <c r="AM2619" i="7"/>
  <c r="AE2619" i="7"/>
  <c r="AF2619" i="7" s="1"/>
  <c r="AH2619" i="7"/>
  <c r="AA2619" i="7"/>
  <c r="AM774" i="7"/>
  <c r="AH774" i="7"/>
  <c r="AA1873" i="7"/>
  <c r="AC1873" i="7"/>
  <c r="AM1873" i="7"/>
  <c r="AH1873" i="7"/>
  <c r="AC2678" i="7"/>
  <c r="AC2103" i="7"/>
  <c r="AA2252" i="7"/>
  <c r="AH2252" i="7"/>
  <c r="AE2252" i="7"/>
  <c r="AF2252" i="7" s="1"/>
  <c r="AM2252" i="7"/>
  <c r="AC2252" i="7"/>
  <c r="AM1654" i="7"/>
  <c r="AH1654" i="7"/>
  <c r="AH1337" i="7"/>
  <c r="AM1337" i="7"/>
  <c r="AH2993" i="7"/>
  <c r="AC2993" i="7"/>
  <c r="AM2993" i="7"/>
  <c r="AA2993" i="7"/>
  <c r="AE2993" i="7"/>
  <c r="AF2993" i="7" s="1"/>
  <c r="AA2641" i="7"/>
  <c r="AE2641" i="7"/>
  <c r="AF2641" i="7" s="1"/>
  <c r="AC2641" i="7"/>
  <c r="AM2641" i="7"/>
  <c r="AM1172" i="7"/>
  <c r="AH1172" i="7"/>
  <c r="AC964" i="7"/>
  <c r="AA964" i="7"/>
  <c r="AM964" i="7"/>
  <c r="AH964" i="7"/>
  <c r="AH1705" i="7"/>
  <c r="AC1705" i="7"/>
  <c r="AA1705" i="7"/>
  <c r="AM1705" i="7"/>
  <c r="AA791" i="7"/>
  <c r="AM791" i="7"/>
  <c r="AH791" i="7"/>
  <c r="AC791" i="7"/>
  <c r="AE2678" i="7"/>
  <c r="AF2678" i="7" s="1"/>
  <c r="AH2103" i="7"/>
  <c r="AM923" i="7"/>
  <c r="AH923" i="7"/>
  <c r="AE2403" i="7"/>
  <c r="AF2403" i="7" s="1"/>
  <c r="AC2403" i="7"/>
  <c r="AH2403" i="7"/>
  <c r="AA2403" i="7"/>
  <c r="AM2403" i="7"/>
  <c r="AE1975" i="7"/>
  <c r="AF1975" i="7" s="1"/>
  <c r="AA1975" i="7"/>
  <c r="AC1975" i="7"/>
  <c r="AM1975" i="7"/>
  <c r="AH1975" i="7"/>
  <c r="AC2246" i="7"/>
  <c r="AA2246" i="7"/>
  <c r="AM2246" i="7"/>
  <c r="AH3251" i="7"/>
  <c r="AC3251" i="7"/>
  <c r="AE3251" i="7"/>
  <c r="AF3251" i="7" s="1"/>
  <c r="AA3251" i="7"/>
  <c r="AM3251" i="7"/>
  <c r="AM1299" i="7"/>
  <c r="AH1299" i="7"/>
  <c r="AC653" i="7"/>
  <c r="AM653" i="7"/>
  <c r="AA653" i="7"/>
  <c r="AH91" i="7"/>
  <c r="AM91" i="7"/>
  <c r="AM1047" i="7"/>
  <c r="AC1047" i="7"/>
  <c r="AA1047" i="7"/>
  <c r="AH1047" i="7"/>
  <c r="AE3768" i="7"/>
  <c r="AF3768" i="7" s="1"/>
  <c r="AM3673" i="7"/>
  <c r="AM1387" i="7"/>
  <c r="AM1183" i="7"/>
  <c r="AH517" i="7"/>
  <c r="AE2103" i="7"/>
  <c r="AF2103" i="7" s="1"/>
  <c r="AE3065" i="7"/>
  <c r="AF3065" i="7" s="1"/>
  <c r="AA3065" i="7"/>
  <c r="AC3065" i="7"/>
  <c r="AH3065" i="7"/>
  <c r="AC2015" i="7"/>
  <c r="AA2015" i="7"/>
  <c r="AE2015" i="7"/>
  <c r="AF2015" i="7" s="1"/>
  <c r="AH2015" i="7"/>
  <c r="AM2015" i="7"/>
  <c r="AC2301" i="7"/>
  <c r="AH2301" i="7"/>
  <c r="AA2301" i="7"/>
  <c r="AM2301" i="7"/>
  <c r="AE2301" i="7"/>
  <c r="AF2301" i="7" s="1"/>
  <c r="AH1971" i="7"/>
  <c r="AC1971" i="7"/>
  <c r="AE1971" i="7"/>
  <c r="AF1971" i="7" s="1"/>
  <c r="AA1971" i="7"/>
  <c r="AM1971" i="7"/>
  <c r="AM1643" i="7"/>
  <c r="AH1643" i="7"/>
  <c r="AM3034" i="7"/>
  <c r="AA3034" i="7"/>
  <c r="AC3034" i="7"/>
  <c r="AE3034" i="7"/>
  <c r="AF3034" i="7" s="1"/>
  <c r="AA1240" i="7"/>
  <c r="AC1240" i="7"/>
  <c r="AH1240" i="7"/>
  <c r="AM1240" i="7"/>
  <c r="AH1170" i="7"/>
  <c r="AM1170" i="7"/>
  <c r="AA2409" i="7"/>
  <c r="AH2409" i="7"/>
  <c r="AC2409" i="7"/>
  <c r="AE2409" i="7"/>
  <c r="AF2409" i="7" s="1"/>
  <c r="AM2409" i="7"/>
  <c r="AH2201" i="7"/>
  <c r="AC2201" i="7"/>
  <c r="AM1525" i="7"/>
  <c r="AH1074" i="7"/>
  <c r="AM1074" i="7"/>
  <c r="AE1967" i="7"/>
  <c r="AF1967" i="7" s="1"/>
  <c r="AH1967" i="7"/>
  <c r="AM1967" i="7"/>
  <c r="AC1967" i="7"/>
  <c r="AA1967" i="7"/>
  <c r="AA2171" i="7"/>
  <c r="AE2171" i="7"/>
  <c r="AF2171" i="7" s="1"/>
  <c r="AC2171" i="7"/>
  <c r="AH2171" i="7"/>
  <c r="AM2171" i="7"/>
  <c r="AE2004" i="7"/>
  <c r="AF2004" i="7" s="1"/>
  <c r="AA2004" i="7"/>
  <c r="AM2004" i="7"/>
  <c r="AC2004" i="7"/>
  <c r="AH2004" i="7"/>
  <c r="AH2976" i="7"/>
  <c r="AM2976" i="7"/>
  <c r="AE2976" i="7"/>
  <c r="AF2976" i="7" s="1"/>
  <c r="AC2976" i="7"/>
  <c r="AA2976" i="7"/>
  <c r="AM2563" i="7"/>
  <c r="AE2563" i="7"/>
  <c r="AF2563" i="7" s="1"/>
  <c r="AH2563" i="7"/>
  <c r="AC2563" i="7"/>
  <c r="AA2563" i="7"/>
  <c r="AA1815" i="7"/>
  <c r="AC1815" i="7"/>
  <c r="AM1815" i="7"/>
  <c r="AC475" i="7"/>
  <c r="AH475" i="7"/>
  <c r="AA475" i="7"/>
  <c r="AM3768" i="7"/>
  <c r="AA1533" i="7"/>
  <c r="AM1642" i="7"/>
  <c r="AA2289" i="7"/>
  <c r="AC2289" i="7"/>
  <c r="AM2289" i="7"/>
  <c r="AE2289" i="7"/>
  <c r="AF2289" i="7" s="1"/>
  <c r="AE1959" i="7"/>
  <c r="AF1959" i="7" s="1"/>
  <c r="AH1959" i="7"/>
  <c r="AC1959" i="7"/>
  <c r="AA1959" i="7"/>
  <c r="AM1959" i="7"/>
  <c r="AE3032" i="7"/>
  <c r="AF3032" i="7" s="1"/>
  <c r="AC3032" i="7"/>
  <c r="AH3032" i="7"/>
  <c r="AM3032" i="7"/>
  <c r="AM606" i="7"/>
  <c r="AH606" i="7"/>
  <c r="AE2000" i="7"/>
  <c r="AF2000" i="7" s="1"/>
  <c r="AC2000" i="7"/>
  <c r="AM2000" i="7"/>
  <c r="AH2000" i="7"/>
  <c r="AM552" i="7"/>
  <c r="AH1533" i="7"/>
  <c r="AH214" i="7"/>
  <c r="AM210" i="7"/>
  <c r="AC2197" i="7"/>
  <c r="AE2197" i="7"/>
  <c r="AF2197" i="7" s="1"/>
  <c r="AH2197" i="7"/>
  <c r="AM2197" i="7"/>
  <c r="AA2197" i="7"/>
  <c r="AH1912" i="7"/>
  <c r="AM1912" i="7"/>
  <c r="AE2002" i="7"/>
  <c r="AF2002" i="7" s="1"/>
  <c r="AA2002" i="7"/>
  <c r="AH2002" i="7"/>
  <c r="AM2002" i="7"/>
  <c r="AC2002" i="7"/>
  <c r="AM1482" i="7"/>
  <c r="AH1482" i="7"/>
  <c r="AH2866" i="7"/>
  <c r="AA2866" i="7"/>
  <c r="AH1003" i="7"/>
  <c r="AM1003" i="7"/>
  <c r="AM1533" i="7"/>
  <c r="AM1090" i="7"/>
  <c r="AM517" i="7"/>
  <c r="AH525" i="7"/>
  <c r="AA3273" i="7"/>
  <c r="AA1989" i="7"/>
  <c r="AM1989" i="7"/>
  <c r="AC1918" i="7"/>
  <c r="AM1918" i="7"/>
  <c r="AH1918" i="7"/>
  <c r="AA1918" i="7"/>
  <c r="AE1918" i="7"/>
  <c r="AF1918" i="7" s="1"/>
  <c r="AE2189" i="7"/>
  <c r="AF2189" i="7" s="1"/>
  <c r="AH2189" i="7"/>
  <c r="AC2189" i="7"/>
  <c r="AE2972" i="7"/>
  <c r="AF2972" i="7" s="1"/>
  <c r="AH2972" i="7"/>
  <c r="AM2972" i="7"/>
  <c r="AC2972" i="7"/>
  <c r="AA2972" i="7"/>
  <c r="AM2532" i="7"/>
  <c r="AC2532" i="7"/>
  <c r="AE2532" i="7"/>
  <c r="AF2532" i="7" s="1"/>
  <c r="AA2532" i="7"/>
  <c r="AH2532" i="7"/>
  <c r="AH1730" i="7"/>
  <c r="AM1730" i="7"/>
  <c r="AM1180" i="7"/>
  <c r="AH1180" i="7"/>
  <c r="AM481" i="7"/>
  <c r="AC481" i="7"/>
  <c r="AM3273" i="7"/>
  <c r="AE2218" i="7"/>
  <c r="AF2218" i="7" s="1"/>
  <c r="AC2218" i="7"/>
  <c r="AM2218" i="7"/>
  <c r="AA2218" i="7"/>
  <c r="AE1985" i="7"/>
  <c r="AF1985" i="7" s="1"/>
  <c r="AM1985" i="7"/>
  <c r="AC1985" i="7"/>
  <c r="AA1985" i="7"/>
  <c r="AH1985" i="7"/>
  <c r="AM1811" i="7"/>
  <c r="AA1811" i="7"/>
  <c r="AH1811" i="7"/>
  <c r="AC1811" i="7"/>
  <c r="AC1813" i="7"/>
  <c r="AA1813" i="7"/>
  <c r="AA1943" i="7"/>
  <c r="AM1943" i="7"/>
  <c r="AH1943" i="7"/>
  <c r="AE1943" i="7"/>
  <c r="AF1943" i="7" s="1"/>
  <c r="AC1943" i="7"/>
  <c r="AC2264" i="7"/>
  <c r="AA2264" i="7"/>
  <c r="AM2264" i="7"/>
  <c r="AE2264" i="7"/>
  <c r="AF2264" i="7" s="1"/>
  <c r="AA2858" i="7"/>
  <c r="AM2858" i="7"/>
  <c r="AC2858" i="7"/>
  <c r="AH2858" i="7"/>
  <c r="AA188" i="7"/>
  <c r="AH188" i="7"/>
  <c r="AC188" i="7"/>
  <c r="AH2405" i="7"/>
  <c r="AM2405" i="7"/>
  <c r="AC2405" i="7"/>
  <c r="AC3768" i="7"/>
  <c r="AH3673" i="7"/>
  <c r="AH733" i="7"/>
  <c r="AE3273" i="7"/>
  <c r="AF3273" i="7" s="1"/>
  <c r="AM2148" i="7"/>
  <c r="AC2148" i="7"/>
  <c r="AA2148" i="7"/>
  <c r="AH2148" i="7"/>
  <c r="AE2148" i="7"/>
  <c r="AF2148" i="7" s="1"/>
  <c r="AM1803" i="7"/>
  <c r="AC1803" i="7"/>
  <c r="AH1803" i="7"/>
  <c r="AA1803" i="7"/>
  <c r="AC1797" i="7"/>
  <c r="AM1797" i="7"/>
  <c r="AH1797" i="7"/>
  <c r="AA1797" i="7"/>
  <c r="AH1176" i="7"/>
  <c r="AM1176" i="7"/>
  <c r="AM1152" i="7"/>
  <c r="AH1152" i="7"/>
  <c r="AH970" i="7"/>
  <c r="AM970" i="7"/>
  <c r="AM477" i="7"/>
  <c r="AH477" i="7"/>
  <c r="AH1724" i="7"/>
  <c r="AM1724" i="7"/>
  <c r="AH1630" i="7"/>
  <c r="AM1630" i="7"/>
  <c r="AM1019" i="7"/>
  <c r="AH1019" i="7"/>
  <c r="AC4025" i="7"/>
  <c r="AH1215" i="7"/>
  <c r="AM1215" i="7"/>
  <c r="AM1459" i="7"/>
  <c r="AH1459" i="7"/>
  <c r="AH304" i="7"/>
  <c r="AC304" i="7"/>
  <c r="AA304" i="7"/>
  <c r="AM304" i="7"/>
  <c r="AA4025" i="7"/>
  <c r="AH565" i="7"/>
  <c r="AM540" i="7"/>
  <c r="AH540" i="7"/>
  <c r="AH139" i="7"/>
  <c r="AM139" i="7"/>
  <c r="AC3671" i="7"/>
  <c r="AE4025" i="7"/>
  <c r="AF4025" i="7" s="1"/>
  <c r="AM521" i="7"/>
  <c r="AH521" i="7"/>
  <c r="AC353" i="7"/>
  <c r="AA353" i="7"/>
  <c r="AH264" i="7"/>
  <c r="AM264" i="7"/>
  <c r="AA3697" i="7"/>
  <c r="AC3697" i="7"/>
  <c r="AE3722" i="7"/>
  <c r="AF3722" i="7" s="1"/>
  <c r="AM565" i="7"/>
  <c r="AM1465" i="7"/>
  <c r="AH1465" i="7"/>
  <c r="AC3855" i="7"/>
  <c r="AM2520" i="7"/>
  <c r="AH2520" i="7"/>
  <c r="AC2520" i="7"/>
  <c r="AE2520" i="7"/>
  <c r="AF2520" i="7" s="1"/>
  <c r="AA2520" i="7"/>
  <c r="AH1181" i="7"/>
  <c r="AM1181" i="7"/>
  <c r="AA1417" i="7"/>
  <c r="AH1417" i="7"/>
  <c r="AC1417" i="7"/>
  <c r="AA237" i="7"/>
  <c r="AC237" i="7"/>
  <c r="AH237" i="7"/>
  <c r="AM237" i="7"/>
  <c r="AH412" i="7"/>
  <c r="AM412" i="7"/>
  <c r="AE3697" i="7"/>
  <c r="AF3697" i="7" s="1"/>
  <c r="AM4025" i="7"/>
  <c r="AE3671" i="7"/>
  <c r="AF3671" i="7" s="1"/>
  <c r="AC1265" i="7"/>
  <c r="AH1265" i="7"/>
  <c r="AH844" i="7"/>
  <c r="AM844" i="7"/>
  <c r="AM671" i="7"/>
  <c r="AC671" i="7"/>
  <c r="AH671" i="7"/>
  <c r="AA671" i="7"/>
  <c r="AM3671" i="7"/>
  <c r="AA3768" i="7"/>
  <c r="AH1733" i="7"/>
  <c r="AA1733" i="7"/>
  <c r="AC1733" i="7"/>
  <c r="AM1733" i="7"/>
  <c r="AH1267" i="7"/>
  <c r="AC1267" i="7"/>
  <c r="AM1267" i="7"/>
  <c r="AA147" i="7"/>
  <c r="AH147" i="7"/>
  <c r="AM147" i="7"/>
  <c r="AC147" i="7"/>
  <c r="AH1625" i="7"/>
  <c r="AC1625" i="7"/>
  <c r="AM1625" i="7"/>
  <c r="AA3776" i="7"/>
  <c r="AE3776" i="7"/>
  <c r="AF3776" i="7" s="1"/>
  <c r="AC3776" i="7"/>
  <c r="AM3776" i="7"/>
  <c r="AH3776" i="7"/>
  <c r="AA1235" i="7"/>
  <c r="AM1235" i="7"/>
  <c r="AC1235" i="7"/>
  <c r="AH1235" i="7"/>
  <c r="AC1658" i="7"/>
  <c r="AH1658" i="7"/>
  <c r="AM1658" i="7"/>
  <c r="AE3855" i="7"/>
  <c r="AF3855" i="7" s="1"/>
  <c r="AM3855" i="7"/>
  <c r="AM2017" i="7"/>
  <c r="AE2017" i="7"/>
  <c r="AF2017" i="7" s="1"/>
  <c r="AH2017" i="7"/>
  <c r="AC2017" i="7"/>
  <c r="AA2017" i="7"/>
  <c r="AH1207" i="7"/>
  <c r="AM1207" i="7"/>
  <c r="AM3595" i="7"/>
  <c r="AE3595" i="7"/>
  <c r="AF3595" i="7" s="1"/>
  <c r="AC3595" i="7"/>
  <c r="AA3595" i="7"/>
  <c r="AC1648" i="7"/>
  <c r="AA1648" i="7"/>
  <c r="AH327" i="7"/>
  <c r="AC327" i="7"/>
  <c r="AA327" i="7"/>
  <c r="AM274" i="7"/>
  <c r="AA3733" i="7"/>
  <c r="AM2203" i="7"/>
  <c r="AE2203" i="7"/>
  <c r="AF2203" i="7" s="1"/>
  <c r="AC2203" i="7"/>
  <c r="AA2203" i="7"/>
  <c r="AM958" i="7"/>
  <c r="AH958" i="7"/>
  <c r="AH1485" i="7"/>
  <c r="AM1485" i="7"/>
  <c r="AA1896" i="7"/>
  <c r="AC1896" i="7"/>
  <c r="AH1896" i="7"/>
  <c r="AM1896" i="7"/>
  <c r="AE1896" i="7"/>
  <c r="AF1896" i="7" s="1"/>
  <c r="AH453" i="7"/>
  <c r="AM453" i="7"/>
  <c r="AH748" i="7"/>
  <c r="AM748" i="7"/>
  <c r="AH3733" i="7"/>
  <c r="AH2373" i="7"/>
  <c r="AE2373" i="7"/>
  <c r="AF2373" i="7" s="1"/>
  <c r="AA2373" i="7"/>
  <c r="AM2373" i="7"/>
  <c r="AC2373" i="7"/>
  <c r="AH956" i="7"/>
  <c r="AM956" i="7"/>
  <c r="AH1557" i="7"/>
  <c r="AM1557" i="7"/>
  <c r="AH1483" i="7"/>
  <c r="AM1483" i="7"/>
  <c r="AH1936" i="7"/>
  <c r="AE1936" i="7"/>
  <c r="AF1936" i="7" s="1"/>
  <c r="AC1936" i="7"/>
  <c r="AA1936" i="7"/>
  <c r="AM1936" i="7"/>
  <c r="AE3733" i="7"/>
  <c r="AF3733" i="7" s="1"/>
  <c r="AA3775" i="7"/>
  <c r="AE3454" i="7"/>
  <c r="AF3454" i="7" s="1"/>
  <c r="AA3454" i="7"/>
  <c r="AC3454" i="7"/>
  <c r="AH3454" i="7"/>
  <c r="AM3454" i="7"/>
  <c r="AC474" i="7"/>
  <c r="AM474" i="7"/>
  <c r="AH1027" i="7"/>
  <c r="AM1027" i="7"/>
  <c r="AM1481" i="7"/>
  <c r="AH1481" i="7"/>
  <c r="AA692" i="7"/>
  <c r="AM692" i="7"/>
  <c r="AC692" i="7"/>
  <c r="AM821" i="7"/>
  <c r="AH821" i="7"/>
  <c r="AA3958" i="7"/>
  <c r="AC3775" i="7"/>
  <c r="AA3397" i="7"/>
  <c r="AE3397" i="7"/>
  <c r="AF3397" i="7" s="1"/>
  <c r="AM3397" i="7"/>
  <c r="AC3397" i="7"/>
  <c r="AH3397" i="7"/>
  <c r="AM2339" i="7"/>
  <c r="AC2339" i="7"/>
  <c r="AE2339" i="7"/>
  <c r="AF2339" i="7" s="1"/>
  <c r="AH2339" i="7"/>
  <c r="AA2339" i="7"/>
  <c r="AM417" i="7"/>
  <c r="AH417" i="7"/>
  <c r="AC1143" i="7"/>
  <c r="AM1143" i="7"/>
  <c r="AH1143" i="7"/>
  <c r="AM577" i="7"/>
  <c r="AH577" i="7"/>
  <c r="AH1191" i="7"/>
  <c r="AM1191" i="7"/>
  <c r="AM1471" i="7"/>
  <c r="AH1471" i="7"/>
  <c r="AM1872" i="7"/>
  <c r="AA1872" i="7"/>
  <c r="AH1872" i="7"/>
  <c r="AC1872" i="7"/>
  <c r="AH326" i="7"/>
  <c r="AM326" i="7"/>
  <c r="AM3846" i="7"/>
  <c r="AC3958" i="7"/>
  <c r="AH3972" i="7"/>
  <c r="AH3775" i="7"/>
  <c r="AA3386" i="7"/>
  <c r="AC3386" i="7"/>
  <c r="AH3386" i="7"/>
  <c r="AE3386" i="7"/>
  <c r="AF3386" i="7" s="1"/>
  <c r="AM3386" i="7"/>
  <c r="AM1141" i="7"/>
  <c r="AH1141" i="7"/>
  <c r="AC1141" i="7"/>
  <c r="AH948" i="7"/>
  <c r="AM948" i="7"/>
  <c r="AH703" i="7"/>
  <c r="AM703" i="7"/>
  <c r="AM575" i="7"/>
  <c r="AH575" i="7"/>
  <c r="AH1858" i="7"/>
  <c r="AA1858" i="7"/>
  <c r="AC1858" i="7"/>
  <c r="AM1858" i="7"/>
  <c r="AH180" i="7"/>
  <c r="AC180" i="7"/>
  <c r="AM180" i="7"/>
  <c r="AA180" i="7"/>
  <c r="AA1651" i="7"/>
  <c r="AC1651" i="7"/>
  <c r="AM1651" i="7"/>
  <c r="AH1651" i="7"/>
  <c r="AE3958" i="7"/>
  <c r="AF3958" i="7" s="1"/>
  <c r="AM3775" i="7"/>
  <c r="AM3972" i="7"/>
  <c r="AE3364" i="7"/>
  <c r="AF3364" i="7" s="1"/>
  <c r="AC3364" i="7"/>
  <c r="AM3364" i="7"/>
  <c r="AA3364" i="7"/>
  <c r="AH1621" i="7"/>
  <c r="AM1621" i="7"/>
  <c r="AH1139" i="7"/>
  <c r="AM1139" i="7"/>
  <c r="AH1009" i="7"/>
  <c r="AM1009" i="7"/>
  <c r="AH946" i="7"/>
  <c r="AM946" i="7"/>
  <c r="AH672" i="7"/>
  <c r="AM672" i="7"/>
  <c r="AM1854" i="7"/>
  <c r="AC1854" i="7"/>
  <c r="AA1854" i="7"/>
  <c r="AH1854" i="7"/>
  <c r="AH312" i="7"/>
  <c r="AM312" i="7"/>
  <c r="AA1535" i="7"/>
  <c r="AM1535" i="7"/>
  <c r="AH1535" i="7"/>
  <c r="AC1535" i="7"/>
  <c r="AH1585" i="7"/>
  <c r="AM1585" i="7"/>
  <c r="AE3846" i="7"/>
  <c r="AF3846" i="7" s="1"/>
  <c r="AC3771" i="7"/>
  <c r="AM2355" i="7"/>
  <c r="AC1589" i="7"/>
  <c r="AA1589" i="7"/>
  <c r="AM1589" i="7"/>
  <c r="AH1589" i="7"/>
  <c r="AM968" i="7"/>
  <c r="AH968" i="7"/>
  <c r="AC968" i="7"/>
  <c r="AM382" i="7"/>
  <c r="AH382" i="7"/>
  <c r="AE2355" i="7"/>
  <c r="AF2355" i="7" s="1"/>
  <c r="AC3309" i="7"/>
  <c r="AA3309" i="7"/>
  <c r="AE3309" i="7"/>
  <c r="AF3309" i="7" s="1"/>
  <c r="AM3309" i="7"/>
  <c r="AH3309" i="7"/>
  <c r="AC1571" i="7"/>
  <c r="AM1571" i="7"/>
  <c r="AA1571" i="7"/>
  <c r="AH1571" i="7"/>
  <c r="AM996" i="7"/>
  <c r="AH996" i="7"/>
  <c r="AH1520" i="7"/>
  <c r="AM1520" i="7"/>
  <c r="AH1727" i="7"/>
  <c r="AM1727" i="7"/>
  <c r="AA1824" i="7"/>
  <c r="AC1824" i="7"/>
  <c r="AM1824" i="7"/>
  <c r="AH107" i="7"/>
  <c r="AM107" i="7"/>
  <c r="AM2387" i="7"/>
  <c r="AC2387" i="7"/>
  <c r="AA2387" i="7"/>
  <c r="AH2387" i="7"/>
  <c r="AE2387" i="7"/>
  <c r="AF2387" i="7" s="1"/>
  <c r="AH2355" i="7"/>
  <c r="AC2652" i="7"/>
  <c r="AM2652" i="7"/>
  <c r="AC1569" i="7"/>
  <c r="AA1569" i="7"/>
  <c r="AH1569" i="7"/>
  <c r="AM1569" i="7"/>
  <c r="AM1123" i="7"/>
  <c r="AC1123" i="7"/>
  <c r="AA1123" i="7"/>
  <c r="AH1123" i="7"/>
  <c r="AH641" i="7"/>
  <c r="AM641" i="7"/>
  <c r="AM1598" i="7"/>
  <c r="AH1598" i="7"/>
  <c r="AH1822" i="7"/>
  <c r="AC1822" i="7"/>
  <c r="AA1822" i="7"/>
  <c r="AM1822" i="7"/>
  <c r="AM154" i="7"/>
  <c r="AA154" i="7"/>
  <c r="AH154" i="7"/>
  <c r="AC154" i="7"/>
  <c r="AA630" i="7"/>
  <c r="AC630" i="7"/>
  <c r="AM630" i="7"/>
  <c r="AH630" i="7"/>
  <c r="AH1443" i="7"/>
  <c r="AM1443" i="7"/>
  <c r="AH3846" i="7"/>
  <c r="AA2355" i="7"/>
  <c r="AC2571" i="7"/>
  <c r="AH2571" i="7"/>
  <c r="AA2571" i="7"/>
  <c r="AE2571" i="7"/>
  <c r="AF2571" i="7" s="1"/>
  <c r="AM1567" i="7"/>
  <c r="AH1567" i="7"/>
  <c r="AM976" i="7"/>
  <c r="AH976" i="7"/>
  <c r="AA1291" i="7"/>
  <c r="AH1291" i="7"/>
  <c r="AC1291" i="7"/>
  <c r="AM1291" i="7"/>
  <c r="AM1596" i="7"/>
  <c r="AH1596" i="7"/>
  <c r="AC1596" i="7"/>
  <c r="AA1596" i="7"/>
  <c r="AH1495" i="7"/>
  <c r="AM1495" i="7"/>
  <c r="AC3099" i="7"/>
  <c r="AE3099" i="7"/>
  <c r="AF3099" i="7" s="1"/>
  <c r="AA3099" i="7"/>
  <c r="AM3099" i="7"/>
  <c r="AH3099" i="7"/>
  <c r="AM218" i="7"/>
  <c r="AH218" i="7"/>
  <c r="AC218" i="7"/>
  <c r="AA218" i="7"/>
  <c r="AH1491" i="7"/>
  <c r="AC1491" i="7"/>
  <c r="AM1491" i="7"/>
  <c r="AA3846" i="7"/>
  <c r="AA2565" i="7"/>
  <c r="AM2565" i="7"/>
  <c r="AH2565" i="7"/>
  <c r="AH1539" i="7"/>
  <c r="AC1539" i="7"/>
  <c r="AA1539" i="7"/>
  <c r="AM1539" i="7"/>
  <c r="AA1041" i="7"/>
  <c r="AH1041" i="7"/>
  <c r="AM1041" i="7"/>
  <c r="AC1041" i="7"/>
  <c r="AC750" i="7"/>
  <c r="AH750" i="7"/>
  <c r="AM750" i="7"/>
  <c r="AH1493" i="7"/>
  <c r="AM1493" i="7"/>
  <c r="AM3097" i="7"/>
  <c r="AH3097" i="7"/>
  <c r="AE3097" i="7"/>
  <c r="AF3097" i="7" s="1"/>
  <c r="AC3097" i="7"/>
  <c r="AA3097" i="7"/>
  <c r="AA1590" i="7"/>
  <c r="AC1590" i="7"/>
  <c r="AM1590" i="7"/>
  <c r="AH1590" i="7"/>
  <c r="AH2730" i="7"/>
  <c r="AC1282" i="7"/>
  <c r="AM395" i="7"/>
  <c r="AH395" i="7"/>
  <c r="AC395" i="7"/>
  <c r="AA395" i="7"/>
  <c r="AC2885" i="7"/>
  <c r="AM2885" i="7"/>
  <c r="AA2885" i="7"/>
  <c r="AH2885" i="7"/>
  <c r="AE2885" i="7"/>
  <c r="AF2885" i="7" s="1"/>
  <c r="AE1976" i="7"/>
  <c r="AF1976" i="7" s="1"/>
  <c r="AC1976" i="7"/>
  <c r="AH1976" i="7"/>
  <c r="AA1976" i="7"/>
  <c r="AM1976" i="7"/>
  <c r="AH2283" i="7"/>
  <c r="AA2283" i="7"/>
  <c r="AM2283" i="7"/>
  <c r="AC2283" i="7"/>
  <c r="AE2283" i="7"/>
  <c r="AF2283" i="7" s="1"/>
  <c r="AH1401" i="7"/>
  <c r="AM1401" i="7"/>
  <c r="AH1479" i="7"/>
  <c r="AM1479" i="7"/>
  <c r="AA2535" i="7"/>
  <c r="AH2535" i="7"/>
  <c r="AE2535" i="7"/>
  <c r="AF2535" i="7" s="1"/>
  <c r="AM2535" i="7"/>
  <c r="AC2535" i="7"/>
  <c r="AM2477" i="7"/>
  <c r="AC2477" i="7"/>
  <c r="AH2477" i="7"/>
  <c r="AE2477" i="7"/>
  <c r="AF2477" i="7" s="1"/>
  <c r="AA2477" i="7"/>
  <c r="AH2349" i="7"/>
  <c r="AM2349" i="7"/>
  <c r="AE2349" i="7"/>
  <c r="AF2349" i="7" s="1"/>
  <c r="AC2349" i="7"/>
  <c r="AA2349" i="7"/>
  <c r="AM143" i="7"/>
  <c r="AE2730" i="7"/>
  <c r="AF2730" i="7" s="1"/>
  <c r="AM2819" i="7"/>
  <c r="AA2819" i="7"/>
  <c r="AE2819" i="7"/>
  <c r="AF2819" i="7" s="1"/>
  <c r="AH2819" i="7"/>
  <c r="AC2819" i="7"/>
  <c r="AC1942" i="7"/>
  <c r="AA1942" i="7"/>
  <c r="AM1942" i="7"/>
  <c r="AH1942" i="7"/>
  <c r="AE1942" i="7"/>
  <c r="AF1942" i="7" s="1"/>
  <c r="AH37" i="7"/>
  <c r="AM37" i="7"/>
  <c r="AM1129" i="7"/>
  <c r="AH1129" i="7"/>
  <c r="AM847" i="7"/>
  <c r="AC847" i="7"/>
  <c r="AA847" i="7"/>
  <c r="AC922" i="7"/>
  <c r="AA922" i="7"/>
  <c r="AM922" i="7"/>
  <c r="AH922" i="7"/>
  <c r="AM1814" i="7"/>
  <c r="AC1814" i="7"/>
  <c r="AA1814" i="7"/>
  <c r="AM2634" i="7"/>
  <c r="AA2634" i="7"/>
  <c r="AH2634" i="7"/>
  <c r="AC2634" i="7"/>
  <c r="AE2634" i="7"/>
  <c r="AF2634" i="7" s="1"/>
  <c r="AM2518" i="7"/>
  <c r="AC2518" i="7"/>
  <c r="AE2518" i="7"/>
  <c r="AF2518" i="7" s="1"/>
  <c r="AA2518" i="7"/>
  <c r="AH2518" i="7"/>
  <c r="AC2469" i="7"/>
  <c r="AA2469" i="7"/>
  <c r="AH2469" i="7"/>
  <c r="AM2469" i="7"/>
  <c r="AE2469" i="7"/>
  <c r="AF2469" i="7" s="1"/>
  <c r="AC2315" i="7"/>
  <c r="AH2315" i="7"/>
  <c r="AA2315" i="7"/>
  <c r="AM2315" i="7"/>
  <c r="AE2315" i="7"/>
  <c r="AF2315" i="7" s="1"/>
  <c r="AC3715" i="7"/>
  <c r="AA338" i="7"/>
  <c r="AC338" i="7"/>
  <c r="AA1802" i="7"/>
  <c r="AH1802" i="7"/>
  <c r="AC1802" i="7"/>
  <c r="AM1802" i="7"/>
  <c r="AH845" i="7"/>
  <c r="AM845" i="7"/>
  <c r="AC3722" i="7"/>
  <c r="AC336" i="7"/>
  <c r="AH336" i="7"/>
  <c r="AA336" i="7"/>
  <c r="AM336" i="7"/>
  <c r="AA1798" i="7"/>
  <c r="AH1798" i="7"/>
  <c r="AC1798" i="7"/>
  <c r="AM1798" i="7"/>
  <c r="AC1393" i="7"/>
  <c r="AM1393" i="7"/>
  <c r="AA1393" i="7"/>
  <c r="AH1393" i="7"/>
  <c r="AH1259" i="7"/>
  <c r="AM1259" i="7"/>
  <c r="AM1559" i="7"/>
  <c r="AH1559" i="7"/>
  <c r="AE2161" i="7"/>
  <c r="AF2161" i="7" s="1"/>
  <c r="AM2161" i="7"/>
  <c r="AC2161" i="7"/>
  <c r="AH2161" i="7"/>
  <c r="AA2161" i="7"/>
  <c r="AA2467" i="7"/>
  <c r="AM2467" i="7"/>
  <c r="AH2467" i="7"/>
  <c r="AC2467" i="7"/>
  <c r="AE2467" i="7"/>
  <c r="AF2467" i="7" s="1"/>
  <c r="AA2337" i="7"/>
  <c r="AH2337" i="7"/>
  <c r="AE2337" i="7"/>
  <c r="AF2337" i="7" s="1"/>
  <c r="AC2337" i="7"/>
  <c r="AM2337" i="7"/>
  <c r="AH105" i="7"/>
  <c r="AM105" i="7"/>
  <c r="AA2033" i="7"/>
  <c r="AM2033" i="7"/>
  <c r="AC2033" i="7"/>
  <c r="AH2033" i="7"/>
  <c r="AE2033" i="7"/>
  <c r="AF2033" i="7" s="1"/>
  <c r="AC1119" i="7"/>
  <c r="AA1119" i="7"/>
  <c r="AM1119" i="7"/>
  <c r="AH1119" i="7"/>
  <c r="AH3715" i="7"/>
  <c r="AM3617" i="7"/>
  <c r="AH3722" i="7"/>
  <c r="AH2545" i="7"/>
  <c r="AM2545" i="7"/>
  <c r="AE2545" i="7"/>
  <c r="AF2545" i="7" s="1"/>
  <c r="AA2545" i="7"/>
  <c r="AC2545" i="7"/>
  <c r="AM849" i="7"/>
  <c r="AH849" i="7"/>
  <c r="AH1391" i="7"/>
  <c r="AM1391" i="7"/>
  <c r="AM1255" i="7"/>
  <c r="AH1255" i="7"/>
  <c r="AC2628" i="7"/>
  <c r="AE2628" i="7"/>
  <c r="AF2628" i="7" s="1"/>
  <c r="AM2628" i="7"/>
  <c r="AH2628" i="7"/>
  <c r="AA2628" i="7"/>
  <c r="AC2440" i="7"/>
  <c r="AA2440" i="7"/>
  <c r="AE2440" i="7"/>
  <c r="AF2440" i="7" s="1"/>
  <c r="AH2440" i="7"/>
  <c r="AM2440" i="7"/>
  <c r="AA2325" i="7"/>
  <c r="AE2325" i="7"/>
  <c r="AF2325" i="7" s="1"/>
  <c r="AM2325" i="7"/>
  <c r="AC2325" i="7"/>
  <c r="AA3715" i="7"/>
  <c r="AA3617" i="7"/>
  <c r="AM3722" i="7"/>
  <c r="AE2491" i="7"/>
  <c r="AF2491" i="7" s="1"/>
  <c r="AH2491" i="7"/>
  <c r="AC2491" i="7"/>
  <c r="AM2491" i="7"/>
  <c r="AA2491" i="7"/>
  <c r="AH1098" i="7"/>
  <c r="AM1098" i="7"/>
  <c r="AH1128" i="7"/>
  <c r="AM1128" i="7"/>
  <c r="AM1617" i="7"/>
  <c r="AH1617" i="7"/>
  <c r="AA2489" i="7"/>
  <c r="AC2489" i="7"/>
  <c r="AM2489" i="7"/>
  <c r="AH2489" i="7"/>
  <c r="AE2489" i="7"/>
  <c r="AF2489" i="7" s="1"/>
  <c r="AA3975" i="7"/>
  <c r="AM3975" i="7"/>
  <c r="AH999" i="7"/>
  <c r="AM999" i="7"/>
  <c r="AM1375" i="7"/>
  <c r="AH1375" i="7"/>
  <c r="AH1253" i="7"/>
  <c r="AM1253" i="7"/>
  <c r="AH1499" i="7"/>
  <c r="AM1499" i="7"/>
  <c r="AC2539" i="7"/>
  <c r="AM2539" i="7"/>
  <c r="AH2539" i="7"/>
  <c r="AE2539" i="7"/>
  <c r="AF2539" i="7" s="1"/>
  <c r="AA2539" i="7"/>
  <c r="AE2321" i="7"/>
  <c r="AF2321" i="7" s="1"/>
  <c r="AA2321" i="7"/>
  <c r="AM2321" i="7"/>
  <c r="AC2321" i="7"/>
  <c r="AC3975" i="7"/>
  <c r="AA3676" i="7"/>
  <c r="AH914" i="7"/>
  <c r="AM914" i="7"/>
  <c r="AC914" i="7"/>
  <c r="AA914" i="7"/>
  <c r="AH1367" i="7"/>
  <c r="AM1367" i="7"/>
  <c r="AA2226" i="7"/>
  <c r="AH2226" i="7"/>
  <c r="AC2226" i="7"/>
  <c r="AM2226" i="7"/>
  <c r="AE2226" i="7"/>
  <c r="AF2226" i="7" s="1"/>
  <c r="AM2335" i="7"/>
  <c r="AC2335" i="7"/>
  <c r="AH2335" i="7"/>
  <c r="AE2335" i="7"/>
  <c r="AF2335" i="7" s="1"/>
  <c r="AA2335" i="7"/>
  <c r="AE3975" i="7"/>
  <c r="AF3975" i="7" s="1"/>
  <c r="AH935" i="7"/>
  <c r="AM935" i="7"/>
  <c r="AA3690" i="7"/>
  <c r="AC3690" i="7"/>
  <c r="AH3690" i="7"/>
  <c r="AM3690" i="7"/>
  <c r="AE3690" i="7"/>
  <c r="AF3690" i="7" s="1"/>
  <c r="AH3660" i="7"/>
  <c r="AE3660" i="7"/>
  <c r="AF3660" i="7" s="1"/>
  <c r="AM3660" i="7"/>
  <c r="AC3660" i="7"/>
  <c r="AA3660" i="7"/>
  <c r="AH1309" i="7"/>
  <c r="AM1309" i="7"/>
  <c r="AH1249" i="7"/>
  <c r="AM1249" i="7"/>
  <c r="AH1612" i="7"/>
  <c r="AM1612" i="7"/>
  <c r="AH1497" i="7"/>
  <c r="AM1497" i="7"/>
  <c r="AE2319" i="7"/>
  <c r="AF2319" i="7" s="1"/>
  <c r="AM2319" i="7"/>
  <c r="AA2319" i="7"/>
  <c r="AC2319" i="7"/>
  <c r="AH1361" i="7"/>
  <c r="AM1361" i="7"/>
  <c r="AM3742" i="7"/>
  <c r="AA3742" i="7"/>
  <c r="AH3742" i="7"/>
  <c r="AE3742" i="7"/>
  <c r="AF3742" i="7" s="1"/>
  <c r="AC3742" i="7"/>
  <c r="AM1135" i="7"/>
  <c r="AH1135" i="7"/>
  <c r="AA3858" i="7"/>
  <c r="AA3772" i="7"/>
  <c r="AH346" i="7"/>
  <c r="AM346" i="7"/>
  <c r="AM366" i="7"/>
  <c r="AH366" i="7"/>
  <c r="AA3426" i="7"/>
  <c r="AH3426" i="7"/>
  <c r="AC3426" i="7"/>
  <c r="AE3426" i="7"/>
  <c r="AF3426" i="7" s="1"/>
  <c r="AH3023" i="7"/>
  <c r="AC3023" i="7"/>
  <c r="AE3023" i="7"/>
  <c r="AF3023" i="7" s="1"/>
  <c r="AA3023" i="7"/>
  <c r="AM3023" i="7"/>
  <c r="AM3412" i="7"/>
  <c r="AE3412" i="7"/>
  <c r="AF3412" i="7" s="1"/>
  <c r="AH3412" i="7"/>
  <c r="AC3412" i="7"/>
  <c r="AA3412" i="7"/>
  <c r="AC1688" i="7"/>
  <c r="AA1688" i="7"/>
  <c r="AH1688" i="7"/>
  <c r="AM1688" i="7"/>
  <c r="AA2095" i="7"/>
  <c r="AE2095" i="7"/>
  <c r="AF2095" i="7" s="1"/>
  <c r="AH2095" i="7"/>
  <c r="AM2095" i="7"/>
  <c r="AC2095" i="7"/>
  <c r="AE2163" i="7"/>
  <c r="AF2163" i="7" s="1"/>
  <c r="AA2163" i="7"/>
  <c r="AH2163" i="7"/>
  <c r="AM2163" i="7"/>
  <c r="AC2163" i="7"/>
  <c r="AE3772" i="7"/>
  <c r="AF3772" i="7" s="1"/>
  <c r="AC3562" i="7"/>
  <c r="AA3562" i="7"/>
  <c r="AH3562" i="7"/>
  <c r="AM3562" i="7"/>
  <c r="AE3562" i="7"/>
  <c r="AF3562" i="7" s="1"/>
  <c r="AC2854" i="7"/>
  <c r="AE2854" i="7"/>
  <c r="AF2854" i="7" s="1"/>
  <c r="AM2854" i="7"/>
  <c r="AA2854" i="7"/>
  <c r="AE2085" i="7"/>
  <c r="AF2085" i="7" s="1"/>
  <c r="AA2085" i="7"/>
  <c r="AM2085" i="7"/>
  <c r="AC2085" i="7"/>
  <c r="AH2085" i="7"/>
  <c r="AC2141" i="7"/>
  <c r="AA2141" i="7"/>
  <c r="AM2141" i="7"/>
  <c r="AH2141" i="7"/>
  <c r="AE2141" i="7"/>
  <c r="AF2141" i="7" s="1"/>
  <c r="AC61" i="7"/>
  <c r="AM61" i="7"/>
  <c r="AH61" i="7"/>
  <c r="AA61" i="7"/>
  <c r="AH379" i="7"/>
  <c r="AM379" i="7"/>
  <c r="AA1328" i="7"/>
  <c r="AH1328" i="7"/>
  <c r="AM1328" i="7"/>
  <c r="AC1328" i="7"/>
  <c r="AM3858" i="7"/>
  <c r="AM787" i="7"/>
  <c r="AH787" i="7"/>
  <c r="AH3772" i="7"/>
  <c r="AC3552" i="7"/>
  <c r="AE3552" i="7"/>
  <c r="AF3552" i="7" s="1"/>
  <c r="AA3552" i="7"/>
  <c r="AH3552" i="7"/>
  <c r="AM3552" i="7"/>
  <c r="AM121" i="7"/>
  <c r="AH121" i="7"/>
  <c r="AM2830" i="7"/>
  <c r="AA2830" i="7"/>
  <c r="AH2830" i="7"/>
  <c r="AC2830" i="7"/>
  <c r="AE2830" i="7"/>
  <c r="AF2830" i="7" s="1"/>
  <c r="AH2880" i="7"/>
  <c r="AE2880" i="7"/>
  <c r="AF2880" i="7" s="1"/>
  <c r="AA2880" i="7"/>
  <c r="AC2880" i="7"/>
  <c r="AM2880" i="7"/>
  <c r="AM1351" i="7"/>
  <c r="AH1351" i="7"/>
  <c r="AA2031" i="7"/>
  <c r="AE2031" i="7"/>
  <c r="AF2031" i="7" s="1"/>
  <c r="AH2031" i="7"/>
  <c r="AM2031" i="7"/>
  <c r="AC2031" i="7"/>
  <c r="AC2666" i="7"/>
  <c r="AM2666" i="7"/>
  <c r="AH2666" i="7"/>
  <c r="AA2666" i="7"/>
  <c r="AE2666" i="7"/>
  <c r="AF2666" i="7" s="1"/>
  <c r="AM1316" i="7"/>
  <c r="AH1316" i="7"/>
  <c r="AC1316" i="7"/>
  <c r="AA1316" i="7"/>
  <c r="AH1260" i="7"/>
  <c r="AM1260" i="7"/>
  <c r="AC3772" i="7"/>
  <c r="AA2767" i="7"/>
  <c r="AM1644" i="7"/>
  <c r="AH1644" i="7"/>
  <c r="AC2876" i="7"/>
  <c r="AE2876" i="7"/>
  <c r="AF2876" i="7" s="1"/>
  <c r="AA2876" i="7"/>
  <c r="AM2876" i="7"/>
  <c r="AH1763" i="7"/>
  <c r="AC1763" i="7"/>
  <c r="AM1763" i="7"/>
  <c r="AC1997" i="7"/>
  <c r="AM1997" i="7"/>
  <c r="AE1997" i="7"/>
  <c r="AF1997" i="7" s="1"/>
  <c r="AA1997" i="7"/>
  <c r="AH1997" i="7"/>
  <c r="AC2323" i="7"/>
  <c r="AM2323" i="7"/>
  <c r="AE2323" i="7"/>
  <c r="AF2323" i="7" s="1"/>
  <c r="AA2323" i="7"/>
  <c r="AH2499" i="7"/>
  <c r="AE2499" i="7"/>
  <c r="AF2499" i="7" s="1"/>
  <c r="AC2499" i="7"/>
  <c r="AM2499" i="7"/>
  <c r="AA2499" i="7"/>
  <c r="AM3646" i="7"/>
  <c r="AE3646" i="7"/>
  <c r="AF3646" i="7" s="1"/>
  <c r="AH3646" i="7"/>
  <c r="AC3646" i="7"/>
  <c r="AA3646" i="7"/>
  <c r="AC1308" i="7"/>
  <c r="AA1308" i="7"/>
  <c r="AH1308" i="7"/>
  <c r="AM1308" i="7"/>
  <c r="AA3847" i="7"/>
  <c r="AE4035" i="7"/>
  <c r="AF4035" i="7" s="1"/>
  <c r="AM2767" i="7"/>
  <c r="AM1610" i="7"/>
  <c r="AH1610" i="7"/>
  <c r="AA1325" i="7"/>
  <c r="AH1325" i="7"/>
  <c r="AC1325" i="7"/>
  <c r="AM1325" i="7"/>
  <c r="AE2872" i="7"/>
  <c r="AF2872" i="7" s="1"/>
  <c r="AC2872" i="7"/>
  <c r="AA2872" i="7"/>
  <c r="AM2872" i="7"/>
  <c r="AH2872" i="7"/>
  <c r="AH3194" i="7"/>
  <c r="AA3194" i="7"/>
  <c r="AE3194" i="7"/>
  <c r="AF3194" i="7" s="1"/>
  <c r="AC3194" i="7"/>
  <c r="AM3194" i="7"/>
  <c r="AH676" i="7"/>
  <c r="AM676" i="7"/>
  <c r="AM2615" i="7"/>
  <c r="AA2615" i="7"/>
  <c r="AE2615" i="7"/>
  <c r="AF2615" i="7" s="1"/>
  <c r="AH2615" i="7"/>
  <c r="AC2615" i="7"/>
  <c r="AM2792" i="7"/>
  <c r="AE2792" i="7"/>
  <c r="AF2792" i="7" s="1"/>
  <c r="AC2792" i="7"/>
  <c r="AA2792" i="7"/>
  <c r="AM1084" i="7"/>
  <c r="AH1084" i="7"/>
  <c r="AH1292" i="7"/>
  <c r="AM1292" i="7"/>
  <c r="AA4035" i="7"/>
  <c r="AC2767" i="7"/>
  <c r="AH1577" i="7"/>
  <c r="AM1577" i="7"/>
  <c r="AM949" i="7"/>
  <c r="AH949" i="7"/>
  <c r="AH1278" i="7"/>
  <c r="AM1278" i="7"/>
  <c r="AM768" i="7"/>
  <c r="AH768" i="7"/>
  <c r="AH1072" i="7"/>
  <c r="AM1072" i="7"/>
  <c r="AC3156" i="7"/>
  <c r="AM3156" i="7"/>
  <c r="AA3156" i="7"/>
  <c r="AH3156" i="7"/>
  <c r="AE3156" i="7"/>
  <c r="AF3156" i="7" s="1"/>
  <c r="AM385" i="7"/>
  <c r="AH385" i="7"/>
  <c r="AM2309" i="7"/>
  <c r="AE2309" i="7"/>
  <c r="AF2309" i="7" s="1"/>
  <c r="AC2309" i="7"/>
  <c r="AA2309" i="7"/>
  <c r="AH2309" i="7"/>
  <c r="AE2483" i="7"/>
  <c r="AF2483" i="7" s="1"/>
  <c r="AM2483" i="7"/>
  <c r="AH2483" i="7"/>
  <c r="AA2483" i="7"/>
  <c r="AC2483" i="7"/>
  <c r="AM86" i="7"/>
  <c r="AH86" i="7"/>
  <c r="AM1250" i="7"/>
  <c r="AA1250" i="7"/>
  <c r="AH1250" i="7"/>
  <c r="AC1250" i="7"/>
  <c r="AH500" i="7"/>
  <c r="AM500" i="7"/>
  <c r="AM2127" i="7"/>
  <c r="AE2127" i="7"/>
  <c r="AF2127" i="7" s="1"/>
  <c r="AA2127" i="7"/>
  <c r="AC2127" i="7"/>
  <c r="AC4035" i="7"/>
  <c r="AH232" i="7"/>
  <c r="AH2767" i="7"/>
  <c r="AM2145" i="7"/>
  <c r="AE2145" i="7"/>
  <c r="AF2145" i="7" s="1"/>
  <c r="AH2145" i="7"/>
  <c r="AC2145" i="7"/>
  <c r="AA2145" i="7"/>
  <c r="AH764" i="7"/>
  <c r="AM764" i="7"/>
  <c r="AH1252" i="7"/>
  <c r="AM1252" i="7"/>
  <c r="AM3466" i="7"/>
  <c r="AH3466" i="7"/>
  <c r="AE3466" i="7"/>
  <c r="AF3466" i="7" s="1"/>
  <c r="AA3466" i="7"/>
  <c r="AC3466" i="7"/>
  <c r="AM1806" i="7"/>
  <c r="AH1806" i="7"/>
  <c r="AC1806" i="7"/>
  <c r="AA1806" i="7"/>
  <c r="AA2752" i="7"/>
  <c r="AH2752" i="7"/>
  <c r="AC2752" i="7"/>
  <c r="AE2752" i="7"/>
  <c r="AF2752" i="7" s="1"/>
  <c r="AM2752" i="7"/>
  <c r="AH1066" i="7"/>
  <c r="AM1066" i="7"/>
  <c r="AH1182" i="7"/>
  <c r="AM1182" i="7"/>
  <c r="AH409" i="7"/>
  <c r="AM409" i="7"/>
  <c r="AM1330" i="7"/>
  <c r="AH1330" i="7"/>
  <c r="AE3847" i="7"/>
  <c r="AF3847" i="7" s="1"/>
  <c r="AH4035" i="7"/>
  <c r="AM983" i="7"/>
  <c r="AH983" i="7"/>
  <c r="AH1322" i="7"/>
  <c r="AM1322" i="7"/>
  <c r="AH1304" i="7"/>
  <c r="AM1304" i="7"/>
  <c r="AC116" i="7"/>
  <c r="AH116" i="7"/>
  <c r="AA509" i="7"/>
  <c r="AM509" i="7"/>
  <c r="AH509" i="7"/>
  <c r="AC509" i="7"/>
  <c r="AH2172" i="7"/>
  <c r="AC2172" i="7"/>
  <c r="AE2172" i="7"/>
  <c r="AF2172" i="7" s="1"/>
  <c r="AM2172" i="7"/>
  <c r="AA2172" i="7"/>
  <c r="AH746" i="7"/>
  <c r="AM746" i="7"/>
  <c r="AM3053" i="7"/>
  <c r="AH3053" i="7"/>
  <c r="AE3053" i="7"/>
  <c r="AF3053" i="7" s="1"/>
  <c r="AC3053" i="7"/>
  <c r="AA3053" i="7"/>
  <c r="AE3464" i="7"/>
  <c r="AF3464" i="7" s="1"/>
  <c r="AM3464" i="7"/>
  <c r="AC3464" i="7"/>
  <c r="AA3464" i="7"/>
  <c r="AH1761" i="7"/>
  <c r="AM1761" i="7"/>
  <c r="AE2287" i="7"/>
  <c r="AF2287" i="7" s="1"/>
  <c r="AM2287" i="7"/>
  <c r="AC2287" i="7"/>
  <c r="AA2287" i="7"/>
  <c r="AH476" i="7"/>
  <c r="AM476" i="7"/>
  <c r="AC476" i="7"/>
  <c r="AA476" i="7"/>
  <c r="AM505" i="7"/>
  <c r="AH505" i="7"/>
  <c r="AM931" i="7"/>
  <c r="AH931" i="7"/>
  <c r="AC3858" i="7"/>
  <c r="AH1204" i="7"/>
  <c r="AM1204" i="7"/>
  <c r="AC584" i="7"/>
  <c r="AH584" i="7"/>
  <c r="AE1956" i="7"/>
  <c r="AF1956" i="7" s="1"/>
  <c r="AA1956" i="7"/>
  <c r="AM1956" i="7"/>
  <c r="AC1956" i="7"/>
  <c r="AH1956" i="7"/>
  <c r="AH1078" i="7"/>
  <c r="AM1078" i="7"/>
  <c r="AE3043" i="7"/>
  <c r="AF3043" i="7" s="1"/>
  <c r="AM3043" i="7"/>
  <c r="AC3043" i="7"/>
  <c r="AA3043" i="7"/>
  <c r="AE2224" i="7"/>
  <c r="AF2224" i="7" s="1"/>
  <c r="AC2224" i="7"/>
  <c r="AH2224" i="7"/>
  <c r="AM2224" i="7"/>
  <c r="AA2224" i="7"/>
  <c r="AA428" i="7"/>
  <c r="AH428" i="7"/>
  <c r="AC428" i="7"/>
  <c r="AM428" i="7"/>
  <c r="AH1186" i="7"/>
  <c r="AM1186" i="7"/>
  <c r="AH582" i="7"/>
  <c r="AC582" i="7"/>
  <c r="AM582" i="7"/>
  <c r="AM516" i="7"/>
  <c r="AH516" i="7"/>
  <c r="AM719" i="7"/>
  <c r="AH719" i="7"/>
  <c r="AE1954" i="7"/>
  <c r="AF1954" i="7" s="1"/>
  <c r="AH1954" i="7"/>
  <c r="AM1954" i="7"/>
  <c r="AA1954" i="7"/>
  <c r="AC1954" i="7"/>
  <c r="AM3439" i="7"/>
  <c r="AA3439" i="7"/>
  <c r="AH3439" i="7"/>
  <c r="AE3439" i="7"/>
  <c r="AF3439" i="7" s="1"/>
  <c r="AC3439" i="7"/>
  <c r="AH419" i="7"/>
  <c r="AM419" i="7"/>
  <c r="AH861" i="7"/>
  <c r="AM861" i="7"/>
  <c r="AM1210" i="7"/>
  <c r="AH1543" i="7"/>
  <c r="AM1543" i="7"/>
  <c r="AM971" i="7"/>
  <c r="AH971" i="7"/>
  <c r="AC971" i="7"/>
  <c r="AA971" i="7"/>
  <c r="AH54" i="7"/>
  <c r="AM54" i="7"/>
  <c r="AH2306" i="7"/>
  <c r="AM2306" i="7"/>
  <c r="AM618" i="7"/>
  <c r="AH618" i="7"/>
  <c r="AH837" i="7"/>
  <c r="AM837" i="7"/>
  <c r="AH888" i="7"/>
  <c r="AA888" i="7"/>
  <c r="AM888" i="7"/>
  <c r="AC888" i="7"/>
  <c r="AH250" i="7"/>
  <c r="AM250" i="7"/>
  <c r="AC250" i="7"/>
  <c r="AA250" i="7"/>
  <c r="AE3771" i="7"/>
  <c r="AF3771" i="7" s="1"/>
  <c r="AM967" i="7"/>
  <c r="AH967" i="7"/>
  <c r="AH52" i="7"/>
  <c r="AM52" i="7"/>
  <c r="AM681" i="7"/>
  <c r="AH681" i="7"/>
  <c r="AH252" i="7"/>
  <c r="AM252" i="7"/>
  <c r="AH261" i="7"/>
  <c r="AA261" i="7"/>
  <c r="AC261" i="7"/>
  <c r="AM261" i="7"/>
  <c r="AH1486" i="7"/>
  <c r="AM1486" i="7"/>
  <c r="AM3709" i="7"/>
  <c r="AA3709" i="7"/>
  <c r="AH3709" i="7"/>
  <c r="AE3709" i="7"/>
  <c r="AF3709" i="7" s="1"/>
  <c r="AC3709" i="7"/>
  <c r="AH466" i="7"/>
  <c r="AM466" i="7"/>
  <c r="AH26" i="7"/>
  <c r="AM26" i="7"/>
  <c r="AM397" i="7"/>
  <c r="AH397" i="7"/>
  <c r="AM610" i="7"/>
  <c r="AH610" i="7"/>
  <c r="AE3849" i="7"/>
  <c r="AF3849" i="7" s="1"/>
  <c r="AC3625" i="7"/>
  <c r="AA3625" i="7"/>
  <c r="AM3625" i="7"/>
  <c r="AE3625" i="7"/>
  <c r="AF3625" i="7" s="1"/>
  <c r="AH3625" i="7"/>
  <c r="AH1484" i="7"/>
  <c r="AM1484" i="7"/>
  <c r="AM288" i="7"/>
  <c r="AH288" i="7"/>
  <c r="AM244" i="7"/>
  <c r="AH244" i="7"/>
  <c r="AM302" i="7"/>
  <c r="AH302" i="7"/>
  <c r="AC302" i="7"/>
  <c r="AH3849" i="7"/>
  <c r="AM1917" i="7"/>
  <c r="AE1917" i="7"/>
  <c r="AF1917" i="7" s="1"/>
  <c r="AA1917" i="7"/>
  <c r="AH1917" i="7"/>
  <c r="AC1917" i="7"/>
  <c r="AC482" i="7"/>
  <c r="AA482" i="7"/>
  <c r="AM482" i="7"/>
  <c r="AH482" i="7"/>
  <c r="AC700" i="7"/>
  <c r="AA700" i="7"/>
  <c r="AH700" i="7"/>
  <c r="AM700" i="7"/>
  <c r="AM3849" i="7"/>
  <c r="AM1134" i="7"/>
  <c r="AE1893" i="7"/>
  <c r="AF1893" i="7" s="1"/>
  <c r="AA1893" i="7"/>
  <c r="AM1893" i="7"/>
  <c r="AH1893" i="7"/>
  <c r="AC1893" i="7"/>
  <c r="AC3320" i="7"/>
  <c r="AE3320" i="7"/>
  <c r="AF3320" i="7" s="1"/>
  <c r="AA3320" i="7"/>
  <c r="AM3320" i="7"/>
  <c r="AH3320" i="7"/>
  <c r="AH1426" i="7"/>
  <c r="AM1426" i="7"/>
  <c r="AC1426" i="7"/>
  <c r="AH555" i="7"/>
  <c r="AM555" i="7"/>
  <c r="AC2949" i="7"/>
  <c r="AA2949" i="7"/>
  <c r="AE2949" i="7"/>
  <c r="AF2949" i="7" s="1"/>
  <c r="AM2949" i="7"/>
  <c r="AH2949" i="7"/>
  <c r="AM1116" i="7"/>
  <c r="AH1116" i="7"/>
  <c r="AM530" i="7"/>
  <c r="AH530" i="7"/>
  <c r="AA4006" i="7"/>
  <c r="AA3849" i="7"/>
  <c r="AA1871" i="7"/>
  <c r="AH1871" i="7"/>
  <c r="AC1871" i="7"/>
  <c r="AM1871" i="7"/>
  <c r="AM3293" i="7"/>
  <c r="AE3293" i="7"/>
  <c r="AF3293" i="7" s="1"/>
  <c r="AC3293" i="7"/>
  <c r="AA3293" i="7"/>
  <c r="AH3293" i="7"/>
  <c r="AM276" i="7"/>
  <c r="AH276" i="7"/>
  <c r="AC153" i="7"/>
  <c r="AM153" i="7"/>
  <c r="AA153" i="7"/>
  <c r="AH153" i="7"/>
  <c r="AM1618" i="7"/>
  <c r="AH1618" i="7"/>
  <c r="AH321" i="7"/>
  <c r="AM321" i="7"/>
  <c r="AM1869" i="7"/>
  <c r="AA1869" i="7"/>
  <c r="AC1869" i="7"/>
  <c r="AH1869" i="7"/>
  <c r="AA2599" i="7"/>
  <c r="AM2599" i="7"/>
  <c r="AE2599" i="7"/>
  <c r="AF2599" i="7" s="1"/>
  <c r="AM1408" i="7"/>
  <c r="AH1408" i="7"/>
  <c r="AH149" i="7"/>
  <c r="AM149" i="7"/>
  <c r="AC3620" i="7"/>
  <c r="AE3620" i="7"/>
  <c r="AF3620" i="7" s="1"/>
  <c r="AM3620" i="7"/>
  <c r="AA3620" i="7"/>
  <c r="AH3620" i="7"/>
  <c r="AH1838" i="7"/>
  <c r="AM1838" i="7"/>
  <c r="AC1838" i="7"/>
  <c r="AA1838" i="7"/>
  <c r="AM3594" i="7"/>
  <c r="AH3594" i="7"/>
  <c r="AE3594" i="7"/>
  <c r="AF3594" i="7" s="1"/>
  <c r="AC3594" i="7"/>
  <c r="AA3594" i="7"/>
  <c r="AA219" i="7"/>
  <c r="AC219" i="7"/>
  <c r="AM219" i="7"/>
  <c r="AH219" i="7"/>
  <c r="AH528" i="7"/>
  <c r="AM528" i="7"/>
  <c r="AE2079" i="7"/>
  <c r="AF2079" i="7" s="1"/>
  <c r="AM2079" i="7"/>
  <c r="AH2079" i="7"/>
  <c r="AA2079" i="7"/>
  <c r="AC2079" i="7"/>
  <c r="AH429" i="7"/>
  <c r="AM429" i="7"/>
  <c r="AA429" i="7"/>
  <c r="AC429" i="7"/>
  <c r="AM1834" i="7"/>
  <c r="AC1834" i="7"/>
  <c r="AA1834" i="7"/>
  <c r="AH1834" i="7"/>
  <c r="AM3187" i="7"/>
  <c r="AE3187" i="7"/>
  <c r="AF3187" i="7" s="1"/>
  <c r="AA3187" i="7"/>
  <c r="AC3187" i="7"/>
  <c r="AH3187" i="7"/>
  <c r="AM472" i="7"/>
  <c r="AH472" i="7"/>
  <c r="AA1638" i="7"/>
  <c r="AC1638" i="7"/>
  <c r="AM1638" i="7"/>
  <c r="AH1638" i="7"/>
  <c r="AC2306" i="7"/>
  <c r="AE2065" i="7"/>
  <c r="AF2065" i="7" s="1"/>
  <c r="AM2065" i="7"/>
  <c r="AH2065" i="7"/>
  <c r="AA2065" i="7"/>
  <c r="AC2065" i="7"/>
  <c r="AH1400" i="7"/>
  <c r="AM1400" i="7"/>
  <c r="AM141" i="7"/>
  <c r="AC141" i="7"/>
  <c r="AH141" i="7"/>
  <c r="AH2781" i="7"/>
  <c r="AM2781" i="7"/>
  <c r="AE2781" i="7"/>
  <c r="AF2781" i="7" s="1"/>
  <c r="AC2781" i="7"/>
  <c r="AA2781" i="7"/>
  <c r="AH1832" i="7"/>
  <c r="AM1832" i="7"/>
  <c r="AA1832" i="7"/>
  <c r="AC1832" i="7"/>
  <c r="AE3161" i="7"/>
  <c r="AF3161" i="7" s="1"/>
  <c r="AC3161" i="7"/>
  <c r="AM3161" i="7"/>
  <c r="AA3161" i="7"/>
  <c r="AM835" i="7"/>
  <c r="AH835" i="7"/>
  <c r="AM648" i="7"/>
  <c r="AH648" i="7"/>
  <c r="AM518" i="7"/>
  <c r="AA518" i="7"/>
  <c r="AH518" i="7"/>
  <c r="AC518" i="7"/>
  <c r="AE2306" i="7"/>
  <c r="AF2306" i="7" s="1"/>
  <c r="AM125" i="7"/>
  <c r="AH125" i="7"/>
  <c r="AH1360" i="7"/>
  <c r="AM1360" i="7"/>
  <c r="AH137" i="7"/>
  <c r="AC137" i="7"/>
  <c r="AM137" i="7"/>
  <c r="AH32" i="7"/>
  <c r="AM32" i="7"/>
  <c r="AM843" i="7"/>
  <c r="AH843" i="7"/>
  <c r="AM1770" i="7"/>
  <c r="AA1770" i="7"/>
  <c r="AH1770" i="7"/>
  <c r="AC1770" i="7"/>
  <c r="AA2306" i="7"/>
  <c r="AA1329" i="7"/>
  <c r="AM1329" i="7"/>
  <c r="AH1329" i="7"/>
  <c r="AC1329" i="7"/>
  <c r="AH1547" i="7"/>
  <c r="AM1547" i="7"/>
  <c r="AC1356" i="7"/>
  <c r="AM1356" i="7"/>
  <c r="AH1356" i="7"/>
  <c r="AH99" i="7"/>
  <c r="AM99" i="7"/>
  <c r="AH386" i="7"/>
  <c r="AC386" i="7"/>
  <c r="AM386" i="7"/>
  <c r="AA386" i="7"/>
  <c r="AH1627" i="7"/>
  <c r="AM1627" i="7"/>
  <c r="AC3972" i="7"/>
  <c r="AA4024" i="7"/>
  <c r="AH3697" i="7"/>
  <c r="AC3617" i="7"/>
  <c r="AM720" i="7"/>
  <c r="AH720" i="7"/>
  <c r="AH2690" i="7"/>
  <c r="AA2690" i="7"/>
  <c r="AM2690" i="7"/>
  <c r="AE2690" i="7"/>
  <c r="AF2690" i="7" s="1"/>
  <c r="AC2690" i="7"/>
  <c r="AC2779" i="7"/>
  <c r="AA2779" i="7"/>
  <c r="AM2779" i="7"/>
  <c r="AH2779" i="7"/>
  <c r="AE2779" i="7"/>
  <c r="AF2779" i="7" s="1"/>
  <c r="AE3972" i="7"/>
  <c r="AF3972" i="7" s="1"/>
  <c r="AA3949" i="7"/>
  <c r="AM449" i="7"/>
  <c r="AC449" i="7"/>
  <c r="AA449" i="7"/>
  <c r="AH449" i="7"/>
  <c r="AC3558" i="7"/>
  <c r="AE3558" i="7"/>
  <c r="AF3558" i="7" s="1"/>
  <c r="AM3558" i="7"/>
  <c r="AH3558" i="7"/>
  <c r="AA3558" i="7"/>
  <c r="AH1672" i="7"/>
  <c r="AM1672" i="7"/>
  <c r="AM2005" i="7"/>
  <c r="AC2005" i="7"/>
  <c r="AH2005" i="7"/>
  <c r="AA2005" i="7"/>
  <c r="AE2005" i="7"/>
  <c r="AF2005" i="7" s="1"/>
  <c r="AA148" i="7"/>
  <c r="AH148" i="7"/>
  <c r="AM148" i="7"/>
  <c r="AC148" i="7"/>
  <c r="AH1460" i="7"/>
  <c r="AM1460" i="7"/>
  <c r="AM3453" i="7"/>
  <c r="AH3453" i="7"/>
  <c r="AA3453" i="7"/>
  <c r="AC3453" i="7"/>
  <c r="AE3453" i="7"/>
  <c r="AF3453" i="7" s="1"/>
  <c r="AH2700" i="7"/>
  <c r="AC2700" i="7"/>
  <c r="AM2700" i="7"/>
  <c r="AE2700" i="7"/>
  <c r="AF2700" i="7" s="1"/>
  <c r="AA2700" i="7"/>
  <c r="AM443" i="7"/>
  <c r="AH443" i="7"/>
  <c r="AM4023" i="7"/>
  <c r="AC3949" i="7"/>
  <c r="AH11" i="7"/>
  <c r="AM11" i="7"/>
  <c r="AH470" i="7"/>
  <c r="AM470" i="7"/>
  <c r="AH371" i="7"/>
  <c r="AM371" i="7"/>
  <c r="AA2757" i="7"/>
  <c r="AH2757" i="7"/>
  <c r="AM2757" i="7"/>
  <c r="AE2757" i="7"/>
  <c r="AF2757" i="7" s="1"/>
  <c r="AC2757" i="7"/>
  <c r="AM174" i="7"/>
  <c r="AH174" i="7"/>
  <c r="AE3949" i="7"/>
  <c r="AF3949" i="7" s="1"/>
  <c r="AM1538" i="7"/>
  <c r="AC1538" i="7"/>
  <c r="AH1538" i="7"/>
  <c r="AA1538" i="7"/>
  <c r="AH447" i="7"/>
  <c r="AM447" i="7"/>
  <c r="AE3025" i="7"/>
  <c r="AF3025" i="7" s="1"/>
  <c r="AC3025" i="7"/>
  <c r="AA3025" i="7"/>
  <c r="AM3025" i="7"/>
  <c r="AM1662" i="7"/>
  <c r="AC1662" i="7"/>
  <c r="AH1662" i="7"/>
  <c r="AH1230" i="7"/>
  <c r="AM1230" i="7"/>
  <c r="AH460" i="7"/>
  <c r="AM460" i="7"/>
  <c r="AA2003" i="7"/>
  <c r="AC2003" i="7"/>
  <c r="AE2003" i="7"/>
  <c r="AF2003" i="7" s="1"/>
  <c r="AH2003" i="7"/>
  <c r="AM2003" i="7"/>
  <c r="AH3324" i="7"/>
  <c r="AE3324" i="7"/>
  <c r="AF3324" i="7" s="1"/>
  <c r="AC3324" i="7"/>
  <c r="AA3324" i="7"/>
  <c r="AM3324" i="7"/>
  <c r="AM1396" i="7"/>
  <c r="AH1396" i="7"/>
  <c r="AA4023" i="7"/>
  <c r="AC4023" i="7"/>
  <c r="AM134" i="7"/>
  <c r="AH134" i="7"/>
  <c r="AH1530" i="7"/>
  <c r="AM1530" i="7"/>
  <c r="AA2820" i="7"/>
  <c r="AC2820" i="7"/>
  <c r="AE2820" i="7"/>
  <c r="AF2820" i="7" s="1"/>
  <c r="AH2820" i="7"/>
  <c r="AM2820" i="7"/>
  <c r="AH10" i="7"/>
  <c r="AC10" i="7"/>
  <c r="AA10" i="7"/>
  <c r="AM10" i="7"/>
  <c r="AM456" i="7"/>
  <c r="AH456" i="7"/>
  <c r="AC3428" i="7"/>
  <c r="AA3428" i="7"/>
  <c r="AE3428" i="7"/>
  <c r="AF3428" i="7" s="1"/>
  <c r="AM3428" i="7"/>
  <c r="AH3428" i="7"/>
  <c r="AM3299" i="7"/>
  <c r="AE3299" i="7"/>
  <c r="AF3299" i="7" s="1"/>
  <c r="AC3299" i="7"/>
  <c r="AA3299" i="7"/>
  <c r="AH3299" i="7"/>
  <c r="AC3393" i="7"/>
  <c r="AA3393" i="7"/>
  <c r="AM3393" i="7"/>
  <c r="AE3393" i="7"/>
  <c r="AF3393" i="7" s="1"/>
  <c r="AH430" i="7"/>
  <c r="AM430" i="7"/>
  <c r="AA2298" i="7"/>
  <c r="AE2298" i="7"/>
  <c r="AF2298" i="7" s="1"/>
  <c r="AM2298" i="7"/>
  <c r="AH2298" i="7"/>
  <c r="AC2298" i="7"/>
  <c r="AH1067" i="7"/>
  <c r="AC1067" i="7"/>
  <c r="AM1067" i="7"/>
  <c r="AM1528" i="7"/>
  <c r="AH1528" i="7"/>
  <c r="AC1974" i="7"/>
  <c r="AA1974" i="7"/>
  <c r="AH1974" i="7"/>
  <c r="AE1974" i="7"/>
  <c r="AF1974" i="7" s="1"/>
  <c r="AM1974" i="7"/>
  <c r="AM303" i="7"/>
  <c r="AC303" i="7"/>
  <c r="AH303" i="7"/>
  <c r="AC2812" i="7"/>
  <c r="AE2812" i="7"/>
  <c r="AF2812" i="7" s="1"/>
  <c r="AM2812" i="7"/>
  <c r="AH2812" i="7"/>
  <c r="AA2812" i="7"/>
  <c r="AA800" i="7"/>
  <c r="AM800" i="7"/>
  <c r="AH800" i="7"/>
  <c r="AC800" i="7"/>
  <c r="AA3597" i="7"/>
  <c r="AE3597" i="7"/>
  <c r="AF3597" i="7" s="1"/>
  <c r="AC3597" i="7"/>
  <c r="AM3597" i="7"/>
  <c r="AH434" i="7"/>
  <c r="AM434" i="7"/>
  <c r="AH436" i="7"/>
  <c r="AM436" i="7"/>
  <c r="AE3854" i="7"/>
  <c r="AF3854" i="7" s="1"/>
  <c r="AH3928" i="7"/>
  <c r="AH3771" i="7"/>
  <c r="AH974" i="7"/>
  <c r="AM974" i="7"/>
  <c r="AM441" i="7"/>
  <c r="AH441" i="7"/>
  <c r="AC1709" i="7"/>
  <c r="AH1709" i="7"/>
  <c r="AA1709" i="7"/>
  <c r="AM1709" i="7"/>
  <c r="AC1826" i="7"/>
  <c r="AA1826" i="7"/>
  <c r="AM1826" i="7"/>
  <c r="AH1826" i="7"/>
  <c r="AC3695" i="7"/>
  <c r="AM3695" i="7"/>
  <c r="AH3695" i="7"/>
  <c r="AA3695" i="7"/>
  <c r="AE3695" i="7"/>
  <c r="AF3695" i="7" s="1"/>
  <c r="AE2508" i="7"/>
  <c r="AF2508" i="7" s="1"/>
  <c r="AC2508" i="7"/>
  <c r="AA2508" i="7"/>
  <c r="AM2508" i="7"/>
  <c r="AH2508" i="7"/>
  <c r="AM285" i="7"/>
  <c r="AH285" i="7"/>
  <c r="AC1964" i="7"/>
  <c r="AM1964" i="7"/>
  <c r="AE1964" i="7"/>
  <c r="AF1964" i="7" s="1"/>
  <c r="AH1964" i="7"/>
  <c r="AA1964" i="7"/>
  <c r="AH2654" i="7"/>
  <c r="AE2654" i="7"/>
  <c r="AF2654" i="7" s="1"/>
  <c r="AA2654" i="7"/>
  <c r="AM2654" i="7"/>
  <c r="AC2654" i="7"/>
  <c r="AM995" i="7"/>
  <c r="AH995" i="7"/>
  <c r="AM1637" i="7"/>
  <c r="AC1637" i="7"/>
  <c r="AH1637" i="7"/>
  <c r="AA1637" i="7"/>
  <c r="AM279" i="7"/>
  <c r="AH279" i="7"/>
  <c r="AM2510" i="7"/>
  <c r="AH2510" i="7"/>
  <c r="AE2510" i="7"/>
  <c r="AF2510" i="7" s="1"/>
  <c r="AC2510" i="7"/>
  <c r="AA2510" i="7"/>
  <c r="AM3847" i="7"/>
  <c r="AH140" i="7"/>
  <c r="AM140" i="7"/>
  <c r="AH179" i="7"/>
  <c r="AM179" i="7"/>
  <c r="AH120" i="7"/>
  <c r="AM120" i="7"/>
  <c r="AH98" i="7"/>
  <c r="AM98" i="7"/>
  <c r="AH425" i="7"/>
  <c r="AM425" i="7"/>
  <c r="AA1800" i="7"/>
  <c r="AH1800" i="7"/>
  <c r="AM1800" i="7"/>
  <c r="AC1800" i="7"/>
  <c r="AM2472" i="7"/>
  <c r="AE2472" i="7"/>
  <c r="AF2472" i="7" s="1"/>
  <c r="AC2472" i="7"/>
  <c r="AH2472" i="7"/>
  <c r="AA2472" i="7"/>
  <c r="AM2560" i="7"/>
  <c r="AC2560" i="7"/>
  <c r="AH2560" i="7"/>
  <c r="AE2560" i="7"/>
  <c r="AF2560" i="7" s="1"/>
  <c r="AA2560" i="7"/>
  <c r="AA1946" i="7"/>
  <c r="AM1946" i="7"/>
  <c r="AH1946" i="7"/>
  <c r="AC1946" i="7"/>
  <c r="AE1946" i="7"/>
  <c r="AF1946" i="7" s="1"/>
  <c r="AA2087" i="7"/>
  <c r="AH2087" i="7"/>
  <c r="AC2087" i="7"/>
  <c r="AM2087" i="7"/>
  <c r="AE2087" i="7"/>
  <c r="AF2087" i="7" s="1"/>
  <c r="AH1739" i="7"/>
  <c r="AM1739" i="7"/>
  <c r="AM724" i="7"/>
  <c r="AH724" i="7"/>
  <c r="AH1686" i="7"/>
  <c r="AM1686" i="7"/>
  <c r="AC1686" i="7"/>
  <c r="AA1686" i="7"/>
  <c r="AM3649" i="7"/>
  <c r="AE3649" i="7"/>
  <c r="AF3649" i="7" s="1"/>
  <c r="AC3649" i="7"/>
  <c r="AA3649" i="7"/>
  <c r="AH3649" i="7"/>
  <c r="AH27" i="7"/>
  <c r="AM27" i="7"/>
  <c r="AC3711" i="7"/>
  <c r="AH3711" i="7"/>
  <c r="AM3711" i="7"/>
  <c r="AA3711" i="7"/>
  <c r="AE3711" i="7"/>
  <c r="AF3711" i="7" s="1"/>
  <c r="AH494" i="7"/>
  <c r="AM494" i="7"/>
  <c r="AH3566" i="7"/>
  <c r="AC3566" i="7"/>
  <c r="AM3566" i="7"/>
  <c r="AA3566" i="7"/>
  <c r="AE3566" i="7"/>
  <c r="AF3566" i="7" s="1"/>
  <c r="AM1684" i="7"/>
  <c r="AC1684" i="7"/>
  <c r="AH1684" i="7"/>
  <c r="AA1684" i="7"/>
  <c r="AH916" i="7"/>
  <c r="AM916" i="7"/>
  <c r="AC2443" i="7"/>
  <c r="AE2443" i="7"/>
  <c r="AF2443" i="7" s="1"/>
  <c r="AA2443" i="7"/>
  <c r="AM2443" i="7"/>
  <c r="AH2443" i="7"/>
  <c r="AM1911" i="7"/>
  <c r="AA1911" i="7"/>
  <c r="AC1911" i="7"/>
  <c r="AH1911" i="7"/>
  <c r="AE1911" i="7"/>
  <c r="AF1911" i="7" s="1"/>
  <c r="AM2523" i="7"/>
  <c r="AE2523" i="7"/>
  <c r="AF2523" i="7" s="1"/>
  <c r="AH2523" i="7"/>
  <c r="AC2523" i="7"/>
  <c r="AA2523" i="7"/>
  <c r="AH689" i="7"/>
  <c r="AC689" i="7"/>
  <c r="AM689" i="7"/>
  <c r="AM1490" i="7"/>
  <c r="AH1490" i="7"/>
  <c r="AM270" i="7"/>
  <c r="AH270" i="7"/>
  <c r="AM2702" i="7"/>
  <c r="AE2702" i="7"/>
  <c r="AF2702" i="7" s="1"/>
  <c r="AH2702" i="7"/>
  <c r="AC2702" i="7"/>
  <c r="AA2702" i="7"/>
  <c r="AH319" i="7"/>
  <c r="AM319" i="7"/>
  <c r="AH49" i="7"/>
  <c r="AA49" i="7"/>
  <c r="AM49" i="7"/>
  <c r="AC49" i="7"/>
  <c r="AH309" i="7"/>
  <c r="AM309" i="7"/>
  <c r="AM69" i="7"/>
  <c r="AH69" i="7"/>
  <c r="AC69" i="7"/>
  <c r="AA69" i="7"/>
  <c r="AM1317" i="7"/>
  <c r="AA1317" i="7"/>
  <c r="AH1317" i="7"/>
  <c r="AC1317" i="7"/>
  <c r="AE3650" i="7"/>
  <c r="AF3650" i="7" s="1"/>
  <c r="AM3650" i="7"/>
  <c r="AA3650" i="7"/>
  <c r="AC3650" i="7"/>
  <c r="AH161" i="7"/>
  <c r="AM161" i="7"/>
  <c r="AM1315" i="7"/>
  <c r="AH1315" i="7"/>
  <c r="AM655" i="7"/>
  <c r="AH655" i="7"/>
  <c r="AA655" i="7"/>
  <c r="AC655" i="7"/>
  <c r="AH1297" i="7"/>
  <c r="AM1297" i="7"/>
  <c r="AM850" i="7"/>
  <c r="AH850" i="7"/>
  <c r="AM74" i="7"/>
  <c r="AH74" i="7"/>
  <c r="AA543" i="7"/>
  <c r="AC543" i="7"/>
  <c r="AM543" i="7"/>
  <c r="AH543" i="7"/>
  <c r="AH842" i="7"/>
  <c r="AM842" i="7"/>
  <c r="AM3611" i="7"/>
  <c r="AE3611" i="7"/>
  <c r="AF3611" i="7" s="1"/>
  <c r="AC3611" i="7"/>
  <c r="AA3611" i="7"/>
  <c r="AH3611" i="7"/>
  <c r="AE3658" i="7"/>
  <c r="AF3658" i="7" s="1"/>
  <c r="AC3658" i="7"/>
  <c r="AH3658" i="7"/>
  <c r="AA3658" i="7"/>
  <c r="AM3658" i="7"/>
  <c r="AM3616" i="7"/>
  <c r="AE3616" i="7"/>
  <c r="AF3616" i="7" s="1"/>
  <c r="AC3616" i="7"/>
  <c r="AA3616" i="7"/>
  <c r="AM1196" i="7"/>
  <c r="AH1196" i="7"/>
  <c r="AM128" i="7"/>
  <c r="AH128" i="7"/>
  <c r="AA3640" i="7"/>
  <c r="AH3640" i="7"/>
  <c r="AE3640" i="7"/>
  <c r="AF3640" i="7" s="1"/>
  <c r="AC3640" i="7"/>
  <c r="AM3640" i="7"/>
  <c r="AM834" i="7"/>
  <c r="AH834" i="7"/>
  <c r="AH1177" i="7"/>
  <c r="AM1177" i="7"/>
  <c r="AH473" i="7"/>
  <c r="AM473" i="7"/>
  <c r="AA3771" i="7"/>
  <c r="AH3952" i="7"/>
  <c r="AH3730" i="7"/>
  <c r="AH1171" i="7"/>
  <c r="AM1171" i="7"/>
  <c r="AM469" i="7"/>
  <c r="AH469" i="7"/>
  <c r="AM3808" i="7"/>
  <c r="AC3596" i="7"/>
  <c r="AM3596" i="7"/>
  <c r="AA3596" i="7"/>
  <c r="AE3596" i="7"/>
  <c r="AF3596" i="7" s="1"/>
  <c r="AH1526" i="7"/>
  <c r="AM1526" i="7"/>
  <c r="AE3721" i="7"/>
  <c r="AF3721" i="7" s="1"/>
  <c r="AM3721" i="7"/>
  <c r="AH3721" i="7"/>
  <c r="AC3721" i="7"/>
  <c r="AA3721" i="7"/>
  <c r="AA24" i="7"/>
  <c r="AC24" i="7"/>
  <c r="AH24" i="7"/>
  <c r="AM24" i="7"/>
  <c r="AC283" i="7"/>
  <c r="AM283" i="7"/>
  <c r="AH283" i="7"/>
  <c r="AE3817" i="7"/>
  <c r="AF3817" i="7" s="1"/>
  <c r="AH165" i="7"/>
  <c r="AM165" i="7"/>
  <c r="AC450" i="7"/>
  <c r="AM450" i="7"/>
  <c r="AH450" i="7"/>
  <c r="AA450" i="7"/>
  <c r="AA275" i="7"/>
  <c r="AC275" i="7"/>
  <c r="AH275" i="7"/>
  <c r="AM275" i="7"/>
  <c r="AC4006" i="7"/>
  <c r="AM4006" i="7"/>
  <c r="AM404" i="7"/>
  <c r="AH404" i="7"/>
  <c r="AH255" i="7"/>
  <c r="AM255" i="7"/>
  <c r="AM488" i="7"/>
  <c r="AH488" i="7"/>
  <c r="AE4006" i="7"/>
  <c r="AF4006" i="7" s="1"/>
  <c r="AA3773" i="7"/>
  <c r="AM3730" i="7"/>
  <c r="AH807" i="7"/>
  <c r="AM807" i="7"/>
  <c r="AC807" i="7"/>
  <c r="AA807" i="7"/>
  <c r="AM3837" i="7"/>
  <c r="AM3928" i="7"/>
  <c r="AM3773" i="7"/>
  <c r="AA3952" i="7"/>
  <c r="AH315" i="7"/>
  <c r="AM315" i="7"/>
  <c r="AH1192" i="7"/>
  <c r="AM1192" i="7"/>
  <c r="AM402" i="7"/>
  <c r="AH402" i="7"/>
  <c r="AH249" i="7"/>
  <c r="AC249" i="7"/>
  <c r="AM249" i="7"/>
  <c r="AA249" i="7"/>
  <c r="AM130" i="7"/>
  <c r="AC130" i="7"/>
  <c r="AH130" i="7"/>
  <c r="AM3817" i="7"/>
  <c r="AA3837" i="7"/>
  <c r="AC3773" i="7"/>
  <c r="AC3952" i="7"/>
  <c r="AM3642" i="7"/>
  <c r="AH3642" i="7"/>
  <c r="AE3642" i="7"/>
  <c r="AF3642" i="7" s="1"/>
  <c r="AC3642" i="7"/>
  <c r="AA3642" i="7"/>
  <c r="AH313" i="7"/>
  <c r="AM313" i="7"/>
  <c r="AA3817" i="7"/>
  <c r="AC3837" i="7"/>
  <c r="AE3773" i="7"/>
  <c r="AF3773" i="7" s="1"/>
  <c r="AE3952" i="7"/>
  <c r="AF3952" i="7" s="1"/>
  <c r="AC801" i="7"/>
  <c r="AM801" i="7"/>
  <c r="AA801" i="7"/>
  <c r="AH801" i="7"/>
  <c r="AA1049" i="7"/>
  <c r="AM1049" i="7"/>
  <c r="AH1049" i="7"/>
  <c r="AC1049" i="7"/>
  <c r="AH394" i="7"/>
  <c r="AA394" i="7"/>
  <c r="AM394" i="7"/>
  <c r="AC394" i="7"/>
  <c r="AM106" i="7"/>
  <c r="AH106" i="7"/>
  <c r="AM799" i="7"/>
  <c r="AH799" i="7"/>
  <c r="AH1035" i="7"/>
  <c r="AM1035" i="7"/>
  <c r="AH59" i="7"/>
  <c r="AM59" i="7"/>
  <c r="AH267" i="7"/>
  <c r="AM267" i="7"/>
  <c r="AA3928" i="7"/>
  <c r="AM3676" i="7"/>
  <c r="AM561" i="7"/>
  <c r="AH561" i="7"/>
  <c r="AH331" i="7"/>
  <c r="AM331" i="7"/>
  <c r="AM1634" i="7"/>
  <c r="AH1634" i="7"/>
  <c r="AC3735" i="7"/>
  <c r="AM3735" i="7"/>
  <c r="AH3735" i="7"/>
  <c r="AE3735" i="7"/>
  <c r="AF3735" i="7" s="1"/>
  <c r="AA3735" i="7"/>
  <c r="AM3737" i="7"/>
  <c r="AA3737" i="7"/>
  <c r="AE3778" i="7"/>
  <c r="AF3778" i="7" s="1"/>
  <c r="AC3778" i="7"/>
  <c r="AA3778" i="7"/>
  <c r="AC78" i="7"/>
  <c r="AA78" i="7"/>
  <c r="AM78" i="7"/>
  <c r="AH78" i="7"/>
  <c r="AC3723" i="7"/>
  <c r="AA3723" i="7"/>
  <c r="AC3879" i="7"/>
  <c r="AE3879" i="7"/>
  <c r="AF3879" i="7" s="1"/>
  <c r="AA3879" i="7"/>
  <c r="AH3879" i="7"/>
  <c r="AM41" i="7"/>
  <c r="AH41" i="7"/>
  <c r="AE3723" i="7"/>
  <c r="AF3723" i="7" s="1"/>
  <c r="AM3607" i="7"/>
  <c r="AA3607" i="7"/>
  <c r="AH3607" i="7"/>
  <c r="AE3607" i="7"/>
  <c r="AF3607" i="7" s="1"/>
  <c r="AC3607" i="7"/>
  <c r="AE3931" i="7"/>
  <c r="AF3931" i="7" s="1"/>
  <c r="AM3931" i="7"/>
  <c r="AC3931" i="7"/>
  <c r="AA3931" i="7"/>
  <c r="AH3931" i="7"/>
  <c r="AC3701" i="7"/>
  <c r="AE3701" i="7"/>
  <c r="AF3701" i="7" s="1"/>
  <c r="AM3701" i="7"/>
  <c r="AA3701" i="7"/>
  <c r="AC3824" i="7"/>
  <c r="AA3824" i="7"/>
  <c r="AH3824" i="7"/>
  <c r="AE3824" i="7"/>
  <c r="AF3824" i="7" s="1"/>
  <c r="AH3816" i="7"/>
  <c r="AA3816" i="7"/>
  <c r="AE3816" i="7"/>
  <c r="AF3816" i="7" s="1"/>
  <c r="AC3816" i="7"/>
  <c r="AE3878" i="7"/>
  <c r="AF3878" i="7" s="1"/>
  <c r="AC3878" i="7"/>
  <c r="AA3878" i="7"/>
  <c r="AH3878" i="7"/>
  <c r="AM3824" i="7"/>
  <c r="AA3651" i="7"/>
  <c r="AE3651" i="7"/>
  <c r="AF3651" i="7" s="1"/>
  <c r="AC3651" i="7"/>
  <c r="AC3960" i="7"/>
  <c r="AE3960" i="7"/>
  <c r="AF3960" i="7" s="1"/>
  <c r="AA3960" i="7"/>
  <c r="AH3960" i="7"/>
  <c r="AM3960" i="7"/>
  <c r="AE3853" i="7"/>
  <c r="AF3853" i="7" s="1"/>
  <c r="AC3853" i="7"/>
  <c r="AA3853" i="7"/>
  <c r="AM3853" i="7"/>
  <c r="AH3853" i="7"/>
  <c r="AH3691" i="7"/>
  <c r="AC3691" i="7"/>
  <c r="AE3691" i="7"/>
  <c r="AF3691" i="7" s="1"/>
  <c r="AA3691" i="7"/>
  <c r="AM3691" i="7"/>
  <c r="AH3765" i="7"/>
  <c r="AC3765" i="7"/>
  <c r="AA3765" i="7"/>
  <c r="AM3765" i="7"/>
  <c r="AE3765" i="7"/>
  <c r="AF3765" i="7" s="1"/>
  <c r="AH3948" i="7"/>
  <c r="AE3948" i="7"/>
  <c r="AF3948" i="7" s="1"/>
  <c r="AA3948" i="7"/>
  <c r="AC3948" i="7"/>
  <c r="AC3959" i="7"/>
  <c r="AA3959" i="7"/>
  <c r="AH3959" i="7"/>
  <c r="AE3959" i="7"/>
  <c r="AF3959" i="7" s="1"/>
  <c r="AM3668" i="7"/>
  <c r="AE3668" i="7"/>
  <c r="AF3668" i="7" s="1"/>
  <c r="AA3668" i="7"/>
  <c r="AC3668" i="7"/>
  <c r="AM3959" i="7"/>
  <c r="AM3948" i="7"/>
  <c r="AH4012" i="7"/>
  <c r="AE4012" i="7"/>
  <c r="AF4012" i="7" s="1"/>
  <c r="AC4012" i="7"/>
  <c r="AA4012" i="7"/>
  <c r="A11" i="2" l="1"/>
  <c r="A12" i="2" l="1"/>
  <c r="A13" i="2" l="1"/>
  <c r="A14" i="2" l="1"/>
  <c r="A15" i="2" l="1"/>
  <c r="A16" i="2" l="1"/>
  <c r="A17" i="2" l="1"/>
  <c r="A18" i="2" l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E4019" i="7" s="1"/>
  <c r="E373" i="7"/>
  <c r="E3655" i="7"/>
  <c r="E2988" i="7"/>
  <c r="E1857" i="7"/>
  <c r="E3256" i="7"/>
  <c r="E3842" i="7"/>
  <c r="E987" i="7"/>
  <c r="E1318" i="7"/>
  <c r="E1126" i="7"/>
  <c r="E3773" i="7"/>
  <c r="E3673" i="7"/>
  <c r="E3997" i="7"/>
  <c r="E2763" i="7"/>
  <c r="E3936" i="7"/>
  <c r="E1501" i="7"/>
  <c r="E3847" i="7"/>
  <c r="E3885" i="7"/>
  <c r="E2991" i="7"/>
  <c r="E2840" i="7"/>
  <c r="E1476" i="7"/>
  <c r="E3778" i="7"/>
  <c r="E3783" i="7"/>
  <c r="E3015" i="7"/>
  <c r="E1479" i="7"/>
  <c r="E253" i="7"/>
  <c r="E3722" i="7"/>
  <c r="E3687" i="7"/>
  <c r="E2844" i="7"/>
  <c r="E1179" i="7"/>
  <c r="E3466" i="7"/>
  <c r="E2670" i="7"/>
  <c r="E2855" i="7"/>
  <c r="E3347" i="7"/>
  <c r="E1570" i="7"/>
  <c r="E1235" i="7"/>
  <c r="E1965" i="7"/>
  <c r="E3211" i="7"/>
  <c r="E2119" i="7"/>
  <c r="E3492" i="7"/>
  <c r="E2013" i="7"/>
  <c r="E1079" i="7"/>
  <c r="E1345" i="7"/>
  <c r="E2211" i="7"/>
  <c r="E3504" i="7"/>
  <c r="E2447" i="7"/>
  <c r="E2653" i="7"/>
  <c r="E353" i="7"/>
  <c r="E159" i="7"/>
  <c r="E2431" i="7"/>
  <c r="E3369" i="7"/>
  <c r="E3092" i="7"/>
  <c r="E2745" i="7"/>
  <c r="E2955" i="7"/>
  <c r="E2040" i="7"/>
  <c r="E1827" i="7"/>
  <c r="E324" i="7"/>
  <c r="E3561" i="7"/>
  <c r="E2173" i="7"/>
  <c r="E919" i="7"/>
  <c r="E612" i="7"/>
  <c r="E3736" i="7"/>
  <c r="E221" i="7"/>
  <c r="E1000" i="7"/>
  <c r="E3579" i="7"/>
  <c r="E3426" i="7"/>
  <c r="E1165" i="7"/>
  <c r="E442" i="7"/>
  <c r="E73" i="7"/>
  <c r="E1899" i="7"/>
  <c r="E3424" i="7"/>
  <c r="E3293" i="7"/>
  <c r="E860" i="7"/>
  <c r="E2135" i="7"/>
  <c r="E4030" i="7"/>
  <c r="E3106" i="7"/>
  <c r="E337" i="7"/>
  <c r="E977" i="7"/>
  <c r="E591" i="7"/>
  <c r="E3605" i="7"/>
  <c r="D14" i="9"/>
  <c r="E2146" i="7"/>
  <c r="E866" i="7"/>
  <c r="E3155" i="7"/>
  <c r="E2520" i="7"/>
  <c r="E2257" i="7"/>
  <c r="E1339" i="7"/>
  <c r="E750" i="7"/>
  <c r="E3897" i="7"/>
  <c r="E859" i="7"/>
  <c r="E3358" i="7"/>
  <c r="E1584" i="7"/>
  <c r="E1994" i="7"/>
  <c r="E1705" i="7"/>
  <c r="E1001" i="7"/>
  <c r="E3205" i="7"/>
  <c r="E1833" i="7"/>
  <c r="E2108" i="7"/>
  <c r="E699" i="7"/>
  <c r="E3322" i="7"/>
  <c r="E2775" i="7"/>
  <c r="E1164" i="7"/>
  <c r="E3740" i="7"/>
  <c r="E3134" i="7"/>
  <c r="E3586" i="7"/>
  <c r="E3684" i="7"/>
  <c r="E3510" i="7"/>
  <c r="E508" i="7"/>
  <c r="E4009" i="7"/>
  <c r="E3341" i="7"/>
  <c r="E2615" i="7"/>
  <c r="E3193" i="7"/>
  <c r="E1026" i="7"/>
  <c r="E529" i="7"/>
  <c r="E2494" i="7"/>
  <c r="E1483" i="7"/>
  <c r="E1962" i="7"/>
  <c r="E1707" i="7"/>
  <c r="E3297" i="7"/>
  <c r="E3975" i="7"/>
  <c r="E1553" i="7"/>
  <c r="E1545" i="7"/>
  <c r="E528" i="7"/>
  <c r="E1592" i="7"/>
  <c r="E3252" i="7"/>
  <c r="E1911" i="7"/>
  <c r="E2593" i="7"/>
  <c r="E3229" i="7"/>
  <c r="E3696" i="7"/>
  <c r="E2194" i="7"/>
  <c r="E1367" i="7"/>
  <c r="E968" i="7"/>
  <c r="E767" i="7"/>
  <c r="E1136" i="7"/>
  <c r="E3166" i="7"/>
  <c r="E4012" i="7"/>
  <c r="E3177" i="7"/>
  <c r="E3785" i="7"/>
  <c r="E1657" i="7"/>
  <c r="E1562" i="7"/>
  <c r="E893" i="7"/>
  <c r="E2220" i="7"/>
  <c r="E758" i="7"/>
  <c r="E3404" i="7"/>
  <c r="E932" i="7"/>
  <c r="E2459" i="7"/>
  <c r="E2513" i="7"/>
  <c r="E1452" i="7"/>
  <c r="E3735" i="7"/>
  <c r="E3011" i="7"/>
  <c r="E1841" i="7"/>
  <c r="E729" i="7"/>
  <c r="E2504" i="7"/>
  <c r="E160" i="7"/>
  <c r="E3420" i="7"/>
  <c r="E3638" i="7"/>
  <c r="E1935" i="7"/>
  <c r="E909" i="7"/>
  <c r="E485" i="7"/>
  <c r="E1852" i="7"/>
  <c r="E1350" i="7"/>
  <c r="E2550" i="7"/>
  <c r="E2986" i="7"/>
  <c r="E1306" i="7"/>
  <c r="E1086" i="7"/>
  <c r="E3758" i="7"/>
  <c r="E3500" i="7"/>
  <c r="E3716" i="7"/>
  <c r="E1348" i="7"/>
  <c r="E395" i="7"/>
  <c r="E3522" i="7"/>
  <c r="E1893" i="7"/>
  <c r="E2647" i="7"/>
  <c r="E3118" i="7"/>
  <c r="E1229" i="7"/>
  <c r="E167" i="7"/>
  <c r="E3136" i="7"/>
  <c r="E2631" i="7"/>
  <c r="E1302" i="7"/>
  <c r="E1646" i="7"/>
  <c r="E3692" i="7"/>
  <c r="E1977" i="7"/>
  <c r="E3143" i="7"/>
  <c r="E255" i="7"/>
  <c r="E667" i="7"/>
  <c r="E539" i="7"/>
  <c r="E2698" i="7"/>
  <c r="E1444" i="7"/>
  <c r="E1137" i="7"/>
  <c r="E2579" i="7"/>
  <c r="E3556" i="7"/>
  <c r="E3488" i="7"/>
  <c r="E2796" i="7"/>
  <c r="E2629" i="7"/>
  <c r="E2845" i="7"/>
  <c r="E2344" i="7"/>
  <c r="E2037" i="7"/>
  <c r="E3255" i="7"/>
  <c r="E3095" i="7"/>
  <c r="E3416" i="7"/>
  <c r="E2790" i="7"/>
  <c r="E2977" i="7"/>
  <c r="E3221" i="7"/>
  <c r="E389" i="7"/>
  <c r="E1426" i="7"/>
  <c r="E2722" i="7"/>
  <c r="E3442" i="7"/>
  <c r="E2264" i="7"/>
  <c r="E2874" i="7"/>
  <c r="E2827" i="7"/>
  <c r="E47" i="7"/>
  <c r="E1983" i="7"/>
  <c r="E1788" i="7"/>
  <c r="E1930" i="7"/>
  <c r="E350" i="7"/>
  <c r="E1093" i="7"/>
  <c r="E1697" i="7"/>
  <c r="E1274" i="7"/>
  <c r="E832" i="7"/>
  <c r="E541" i="7"/>
  <c r="E441" i="7"/>
  <c r="E6" i="7"/>
  <c r="E494" i="7"/>
  <c r="E2455" i="7"/>
  <c r="E653" i="7"/>
  <c r="E1321" i="7"/>
  <c r="E687" i="7"/>
  <c r="E413" i="7"/>
  <c r="E33" i="7"/>
  <c r="E2787" i="7"/>
  <c r="E1648" i="7"/>
  <c r="E3489" i="7"/>
  <c r="E789" i="7"/>
  <c r="E1398" i="7"/>
  <c r="E795" i="7"/>
  <c r="E1952" i="7"/>
  <c r="E3473" i="7"/>
  <c r="E2383" i="7"/>
  <c r="E3353" i="7"/>
  <c r="E2201" i="7"/>
  <c r="E327" i="7"/>
  <c r="E1898" i="7"/>
  <c r="E3606" i="7"/>
  <c r="E3943" i="7"/>
  <c r="E382" i="7"/>
  <c r="E2938" i="7"/>
  <c r="E917" i="7"/>
  <c r="E67" i="7"/>
  <c r="E1022" i="7"/>
  <c r="E1275" i="7"/>
  <c r="E1919" i="7"/>
  <c r="E2502" i="7"/>
  <c r="E2343" i="7"/>
  <c r="E4035" i="7"/>
  <c r="E2709" i="7"/>
  <c r="E2676" i="7"/>
  <c r="E39" i="7"/>
  <c r="E346" i="7"/>
  <c r="E636" i="7"/>
  <c r="E2449" i="7"/>
  <c r="E761" i="7"/>
  <c r="E2351" i="7"/>
  <c r="E2241" i="7"/>
  <c r="E3497" i="7"/>
  <c r="E3030" i="7"/>
  <c r="E1860" i="7"/>
  <c r="E586" i="7"/>
  <c r="E2402" i="7"/>
  <c r="E471" i="7"/>
  <c r="E2577" i="7"/>
  <c r="E2250" i="7"/>
  <c r="E2947" i="7"/>
  <c r="E153" i="7"/>
  <c r="E1719" i="7"/>
  <c r="E259" i="7"/>
  <c r="E236" i="7"/>
  <c r="E214" i="7"/>
  <c r="E2002" i="7"/>
  <c r="E2486" i="7"/>
  <c r="E2193" i="7"/>
  <c r="E184" i="7"/>
  <c r="E2712" i="7"/>
  <c r="E1169" i="7"/>
  <c r="E417" i="7"/>
  <c r="E398" i="7"/>
  <c r="E144" i="7"/>
  <c r="E590" i="7"/>
  <c r="E217" i="7"/>
  <c r="E2158" i="7"/>
  <c r="E2997" i="7"/>
  <c r="E1286" i="7"/>
  <c r="E4065" i="7"/>
  <c r="E1266" i="7"/>
  <c r="E235" i="7"/>
  <c r="E2105" i="7"/>
  <c r="E3168" i="7"/>
  <c r="E1246" i="7"/>
  <c r="E1437" i="7"/>
  <c r="E2239" i="7"/>
  <c r="E778" i="7"/>
  <c r="E2110" i="7"/>
  <c r="E2965" i="7"/>
  <c r="E495" i="7"/>
  <c r="E1381" i="7"/>
  <c r="E1598" i="7"/>
  <c r="E2109" i="7"/>
  <c r="E3691" i="7"/>
  <c r="E3873" i="7"/>
  <c r="E3982" i="7"/>
  <c r="E2912" i="7"/>
  <c r="E2935" i="7"/>
  <c r="E2358" i="7"/>
  <c r="E28" i="7"/>
  <c r="E1388" i="7"/>
  <c r="E2900" i="7"/>
  <c r="E2281" i="7"/>
  <c r="E4050" i="7"/>
  <c r="E3676" i="7"/>
  <c r="E937" i="7"/>
  <c r="E3304" i="7"/>
  <c r="E2999" i="7"/>
  <c r="E3152" i="7"/>
  <c r="E3005" i="7"/>
  <c r="E170" i="7"/>
  <c r="E2922" i="7"/>
  <c r="E2022" i="7"/>
  <c r="E15" i="7"/>
  <c r="E2238" i="7"/>
  <c r="E533" i="7"/>
  <c r="E2767" i="7"/>
  <c r="E3804" i="7"/>
  <c r="E344" i="7"/>
  <c r="E35" i="7"/>
  <c r="E3429" i="7"/>
  <c r="E961" i="7"/>
  <c r="E4051" i="7"/>
  <c r="E773" i="7"/>
  <c r="E1744" i="7"/>
  <c r="E308" i="7"/>
  <c r="E638" i="7"/>
  <c r="E500" i="7"/>
  <c r="E2641" i="7"/>
  <c r="E3745" i="7"/>
  <c r="E2186" i="7"/>
  <c r="E185" i="7"/>
  <c r="E2378" i="7"/>
  <c r="E719" i="7"/>
  <c r="E3505" i="7"/>
  <c r="E2671" i="7"/>
  <c r="E2960" i="7"/>
  <c r="E3457" i="7"/>
  <c r="E2215" i="7"/>
  <c r="E2657" i="7"/>
  <c r="E418" i="7"/>
  <c r="E2310" i="7"/>
  <c r="E1879" i="7"/>
  <c r="E3169" i="7"/>
  <c r="E3530" i="7"/>
  <c r="E3389" i="7"/>
  <c r="E1796" i="7"/>
  <c r="E1586" i="7"/>
  <c r="E2132" i="7"/>
  <c r="E2544" i="7"/>
  <c r="E1522" i="7"/>
  <c r="E2499" i="7"/>
  <c r="E2945" i="7"/>
  <c r="E2179" i="7"/>
  <c r="E2771" i="7"/>
  <c r="E97" i="7"/>
  <c r="E1999" i="7"/>
  <c r="E2425" i="7"/>
  <c r="E1463" i="7"/>
  <c r="E2994" i="7"/>
  <c r="E2958" i="7"/>
  <c r="E1418" i="7"/>
  <c r="E2952" i="7"/>
  <c r="E2564" i="7"/>
  <c r="E1945" i="7"/>
  <c r="E712" i="7"/>
  <c r="E2829" i="7"/>
  <c r="E3671" i="7"/>
  <c r="E3363" i="7"/>
  <c r="E649" i="7"/>
  <c r="E820" i="7"/>
  <c r="E1613" i="7"/>
  <c r="E436" i="7"/>
  <c r="E3799" i="7"/>
  <c r="E203" i="7"/>
  <c r="E470" i="7"/>
  <c r="E3613" i="7"/>
  <c r="E358" i="7"/>
  <c r="E2505" i="7"/>
  <c r="E3150" i="7"/>
  <c r="E1237" i="7"/>
  <c r="E265" i="7"/>
  <c r="E3156" i="7"/>
  <c r="E925" i="7"/>
  <c r="E1355" i="7"/>
  <c r="E2968" i="7"/>
  <c r="E61" i="7"/>
  <c r="E2223" i="7"/>
  <c r="E10" i="9"/>
  <c r="E2562" i="7"/>
  <c r="E1694" i="7"/>
  <c r="E3397" i="7"/>
  <c r="E2071" i="7"/>
  <c r="E3024" i="7"/>
  <c r="E1417" i="7"/>
  <c r="E2937" i="7"/>
  <c r="E966" i="7"/>
  <c r="E3575" i="7"/>
  <c r="E3701" i="7"/>
  <c r="E2468" i="7"/>
  <c r="E3648" i="7"/>
  <c r="E2673" i="7"/>
  <c r="E3078" i="7"/>
  <c r="E2871" i="7"/>
  <c r="E2602" i="7"/>
  <c r="E2450" i="7"/>
  <c r="E2886" i="7"/>
  <c r="E1177" i="7"/>
  <c r="E775" i="7"/>
  <c r="E3660" i="7"/>
  <c r="E3726" i="7"/>
  <c r="E2789" i="7"/>
  <c r="E3268" i="7"/>
  <c r="E2420" i="7"/>
  <c r="E3405" i="7"/>
  <c r="E2329" i="7"/>
  <c r="E856" i="7"/>
  <c r="E2353" i="7"/>
  <c r="E2387" i="7"/>
  <c r="E2297" i="7"/>
  <c r="E1081" i="7"/>
  <c r="E3962" i="7"/>
  <c r="E1032" i="7"/>
  <c r="E2203" i="7"/>
  <c r="E1668" i="7"/>
  <c r="E1208" i="7"/>
  <c r="E2334" i="7"/>
  <c r="E1837" i="7"/>
  <c r="E116" i="7"/>
  <c r="E251" i="7"/>
  <c r="E1078" i="7"/>
  <c r="E951" i="7"/>
  <c r="E2389" i="7"/>
  <c r="E1382" i="7"/>
  <c r="E1572" i="7"/>
  <c r="E1737" i="7"/>
  <c r="E335" i="7"/>
  <c r="E94" i="7"/>
  <c r="E1421" i="7"/>
  <c r="E330" i="7"/>
  <c r="E1597" i="7"/>
  <c r="E1961" i="7"/>
  <c r="E1815" i="7"/>
  <c r="E95" i="7"/>
  <c r="E2185" i="7"/>
  <c r="E3514" i="7"/>
  <c r="E3182" i="7"/>
  <c r="E3626" i="7"/>
  <c r="E2478" i="7"/>
  <c r="E3523" i="7"/>
  <c r="E3065" i="7"/>
  <c r="E3826" i="7"/>
  <c r="E3075" i="7"/>
  <c r="E2793" i="7"/>
  <c r="E921" i="7"/>
  <c r="E1190" i="7"/>
  <c r="E3219" i="7"/>
  <c r="E19" i="9"/>
  <c r="E3280" i="7"/>
  <c r="E984" i="7"/>
  <c r="E2285" i="7"/>
  <c r="E1119" i="7"/>
  <c r="E2489" i="7"/>
  <c r="E2551" i="7"/>
  <c r="E691" i="7"/>
  <c r="E2417" i="7"/>
  <c r="E2182" i="7"/>
  <c r="E1380" i="7"/>
  <c r="E2963" i="7"/>
  <c r="E956" i="7"/>
  <c r="E603" i="7"/>
  <c r="E3276" i="7"/>
  <c r="E257" i="7"/>
  <c r="E1635" i="7"/>
  <c r="E2883" i="7"/>
  <c r="E57" i="7"/>
  <c r="E2034" i="7"/>
  <c r="E753" i="7"/>
  <c r="E1253" i="7"/>
  <c r="E2609" i="7"/>
  <c r="E716" i="7"/>
  <c r="E38" i="7"/>
  <c r="E1263" i="7"/>
  <c r="E1624" i="7"/>
  <c r="E3258" i="7"/>
  <c r="E1406" i="7"/>
  <c r="E1839" i="7"/>
  <c r="E3780" i="7"/>
  <c r="E2331" i="7"/>
  <c r="E2106" i="7"/>
  <c r="E3449" i="7"/>
  <c r="E1513" i="7"/>
  <c r="E1669" i="7"/>
  <c r="E3565" i="7"/>
  <c r="E3759" i="7"/>
  <c r="E3265" i="7"/>
  <c r="E2715" i="7"/>
  <c r="E1779" i="7"/>
  <c r="E3572" i="7"/>
  <c r="E467" i="7"/>
  <c r="E1295" i="7"/>
  <c r="E2987" i="7"/>
  <c r="E3108" i="7"/>
  <c r="E3662" i="7"/>
  <c r="E745" i="7"/>
  <c r="E2093" i="7"/>
  <c r="E898" i="7"/>
  <c r="E681" i="7"/>
  <c r="E3753" i="7"/>
  <c r="E1701" i="7"/>
  <c r="E725" i="7"/>
  <c r="E2452" i="7"/>
  <c r="E2229" i="7"/>
  <c r="E1212" i="7"/>
  <c r="E1075" i="7"/>
  <c r="E3018" i="7"/>
  <c r="E1264" i="7"/>
  <c r="E613" i="7"/>
  <c r="E3312" i="7"/>
  <c r="E1097" i="7"/>
  <c r="E2645" i="7"/>
  <c r="E842" i="7"/>
  <c r="E1267" i="7"/>
  <c r="E737" i="7"/>
  <c r="E3300" i="7"/>
  <c r="E1193" i="7"/>
  <c r="E128" i="7"/>
  <c r="E2719" i="7"/>
  <c r="E1571" i="7"/>
  <c r="E222" i="7"/>
  <c r="E1216" i="7"/>
  <c r="E65" i="7"/>
  <c r="E4064" i="7"/>
  <c r="E630" i="7"/>
  <c r="E3038" i="7"/>
  <c r="E595" i="7"/>
  <c r="E3909" i="7"/>
  <c r="E1550" i="7"/>
  <c r="E3525" i="7"/>
  <c r="E3436" i="7"/>
  <c r="E422" i="7"/>
  <c r="E1205" i="7"/>
  <c r="E1338" i="7"/>
  <c r="E580" i="7"/>
  <c r="E3157" i="7"/>
  <c r="E2521" i="7"/>
  <c r="E1116" i="7"/>
  <c r="E608" i="7"/>
  <c r="E438" i="7"/>
  <c r="E1343" i="7"/>
  <c r="E425" i="7"/>
  <c r="E2920" i="7"/>
  <c r="E53" i="7"/>
  <c r="E1270" i="7"/>
  <c r="E46" i="7"/>
  <c r="E1106" i="7"/>
  <c r="E320" i="7"/>
  <c r="E1915" i="7"/>
  <c r="E1170" i="7"/>
  <c r="E1030" i="7"/>
  <c r="E2949" i="7"/>
  <c r="E122" i="7"/>
  <c r="E26" i="7"/>
  <c r="E1939" i="7"/>
  <c r="E2756" i="7"/>
  <c r="E2427" i="7"/>
  <c r="E3117" i="7"/>
  <c r="E2386" i="7"/>
  <c r="E1809" i="7"/>
  <c r="E464" i="7"/>
  <c r="E3344" i="7"/>
  <c r="E1946" i="7"/>
  <c r="E3235" i="7"/>
  <c r="E2582" i="7"/>
  <c r="E1519" i="7"/>
  <c r="E3614" i="7"/>
  <c r="E560" i="7"/>
  <c r="E4015" i="7"/>
  <c r="E897" i="7"/>
  <c r="E17" i="7"/>
  <c r="E3077" i="7"/>
  <c r="E896" i="7"/>
  <c r="E1419" i="7"/>
  <c r="E2800" i="7"/>
  <c r="E2543" i="7"/>
  <c r="E2616" i="7"/>
  <c r="E375" i="7"/>
  <c r="E2099" i="7"/>
  <c r="E2465" i="7"/>
  <c r="E993" i="7"/>
  <c r="E1058" i="7"/>
  <c r="E3959" i="7"/>
  <c r="E1980" i="7"/>
  <c r="E1100" i="7"/>
  <c r="E2089" i="7"/>
  <c r="E2001" i="7"/>
  <c r="E916" i="7"/>
  <c r="E3410" i="7"/>
  <c r="E1728" i="7"/>
  <c r="E1277" i="7"/>
  <c r="E690" i="7"/>
  <c r="E950" i="7"/>
  <c r="E191" i="7"/>
  <c r="E1546" i="7"/>
  <c r="E633" i="7"/>
  <c r="E755" i="7"/>
  <c r="E487" i="7"/>
  <c r="E3175" i="7"/>
  <c r="E2959" i="7"/>
  <c r="E1720" i="7"/>
  <c r="E1617" i="7"/>
  <c r="E2161" i="7"/>
  <c r="E2444" i="7"/>
  <c r="E3040" i="7"/>
  <c r="E782" i="7"/>
  <c r="E2760" i="7"/>
  <c r="E452" i="7"/>
  <c r="E1605" i="7"/>
  <c r="E4061" i="7"/>
  <c r="E2124" i="7"/>
  <c r="E3231" i="7"/>
  <c r="E3644" i="7"/>
  <c r="E2065" i="7"/>
  <c r="E246" i="7"/>
  <c r="E791" i="7"/>
  <c r="E2810" i="7"/>
  <c r="E2067" i="7"/>
  <c r="E2861" i="7"/>
  <c r="E1053" i="7"/>
  <c r="E1889" i="7"/>
  <c r="E3718" i="7"/>
  <c r="E1789" i="7"/>
  <c r="E68" i="7"/>
  <c r="E877" i="7"/>
  <c r="E2854" i="7"/>
  <c r="E3264" i="7"/>
  <c r="E2429" i="7"/>
  <c r="E2301" i="7"/>
  <c r="E1230" i="7"/>
  <c r="E302" i="7"/>
  <c r="E3232" i="7"/>
  <c r="E1746" i="7"/>
  <c r="E1800" i="7"/>
  <c r="E289" i="7"/>
  <c r="E445" i="7"/>
  <c r="E1656" i="7"/>
  <c r="E2202" i="7"/>
  <c r="E3558" i="7"/>
  <c r="E900" i="7"/>
  <c r="E1486" i="7"/>
  <c r="E2575" i="7"/>
  <c r="E1725" i="7"/>
  <c r="E3891" i="7"/>
  <c r="E930" i="7"/>
  <c r="E3628" i="7"/>
  <c r="E468" i="7"/>
  <c r="E710" i="7"/>
  <c r="E3325" i="7"/>
  <c r="E2296" i="7"/>
  <c r="E1045" i="7"/>
  <c r="E1315" i="7"/>
  <c r="E2584" i="7"/>
  <c r="E692" i="7"/>
  <c r="E531" i="7"/>
  <c r="E3452" i="7"/>
  <c r="E432" i="7"/>
  <c r="E3251" i="7"/>
  <c r="E1083" i="7"/>
  <c r="E525" i="7"/>
  <c r="E204" i="7"/>
  <c r="E2781" i="7"/>
  <c r="E3992" i="7"/>
  <c r="E1846" i="7"/>
  <c r="E1812" i="7"/>
  <c r="E1243" i="7"/>
  <c r="E1865" i="7"/>
  <c r="E3356" i="7"/>
  <c r="E3283" i="7"/>
  <c r="E2111" i="7"/>
  <c r="E1010" i="7"/>
  <c r="E1027" i="7"/>
  <c r="E562" i="7"/>
  <c r="E148" i="7"/>
  <c r="E3707" i="7"/>
  <c r="E2519" i="7"/>
  <c r="E2145" i="7"/>
  <c r="E3874" i="7"/>
  <c r="E50" i="7"/>
  <c r="E1011" i="7"/>
  <c r="E2791" i="7"/>
  <c r="E2085" i="7"/>
  <c r="E11" i="9"/>
  <c r="E86" i="7"/>
  <c r="E3948" i="7"/>
  <c r="E2532" i="7"/>
  <c r="E280" i="7"/>
  <c r="E3178" i="7"/>
  <c r="E2395" i="7"/>
  <c r="E3267" i="7"/>
  <c r="E3435" i="7"/>
  <c r="E3643" i="7"/>
  <c r="E1468" i="7"/>
  <c r="E3055" i="7"/>
  <c r="E3667" i="7"/>
  <c r="E2129" i="7"/>
  <c r="E3400" i="7"/>
  <c r="E2560" i="7"/>
  <c r="E3003" i="7"/>
  <c r="E808" i="7"/>
  <c r="E2312" i="7"/>
  <c r="E1520" i="7"/>
  <c r="E3122" i="7"/>
  <c r="E1771" i="7"/>
  <c r="E3513" i="7"/>
  <c r="E1368" i="7"/>
  <c r="E1951" i="7"/>
  <c r="E748" i="7"/>
  <c r="E2484" i="7"/>
  <c r="E2837" i="7"/>
  <c r="E3656" i="7"/>
  <c r="E2072" i="7"/>
  <c r="E1798" i="7"/>
  <c r="E514" i="7"/>
  <c r="E2222" i="7"/>
  <c r="E2422" i="7"/>
  <c r="E5" i="9"/>
  <c r="E3380" i="7"/>
  <c r="E601" i="7"/>
  <c r="E1311" i="7"/>
  <c r="E2086" i="7"/>
  <c r="E3181" i="7"/>
  <c r="E732" i="7"/>
  <c r="E2798" i="7"/>
  <c r="E1127" i="7"/>
  <c r="E490" i="7"/>
  <c r="E3082" i="7"/>
  <c r="E922" i="7"/>
  <c r="E1498" i="7"/>
  <c r="E1269" i="7"/>
  <c r="E1791" i="7"/>
  <c r="E2210" i="7"/>
  <c r="E3849" i="7"/>
  <c r="E3810" i="7"/>
  <c r="E2476" i="7"/>
  <c r="E2162" i="7"/>
  <c r="E1583" i="7"/>
  <c r="E3930" i="7"/>
  <c r="E578" i="7"/>
  <c r="E3069" i="7"/>
  <c r="E3823" i="7"/>
  <c r="E3723" i="7"/>
  <c r="E2082" i="7"/>
  <c r="E3419" i="7"/>
  <c r="E3241" i="7"/>
  <c r="E1360" i="7"/>
  <c r="E1506" i="7"/>
  <c r="E391" i="7"/>
  <c r="E3836" i="7"/>
  <c r="E3639" i="7"/>
  <c r="E1582" i="7"/>
  <c r="E3715" i="7"/>
  <c r="E3534" i="7"/>
  <c r="E3464" i="7"/>
  <c r="E3795" i="7"/>
  <c r="E3974" i="7"/>
  <c r="E3173" i="7"/>
  <c r="E3690" i="7"/>
  <c r="E309" i="7"/>
  <c r="E1966" i="7"/>
  <c r="E4016" i="7"/>
  <c r="E3858" i="7"/>
  <c r="E3529" i="7"/>
  <c r="E2632" i="7"/>
  <c r="E2713" i="7"/>
  <c r="E4017" i="7"/>
  <c r="E3983" i="7"/>
  <c r="E2799" i="7"/>
  <c r="E3319" i="7"/>
  <c r="E3263" i="7"/>
  <c r="E3827" i="7"/>
  <c r="E3445" i="7"/>
  <c r="E722" i="7"/>
  <c r="E834" i="7"/>
  <c r="E3721" i="7"/>
  <c r="E477" i="7"/>
  <c r="E3672" i="7"/>
  <c r="E733" i="7"/>
  <c r="E1074" i="7"/>
  <c r="E138" i="7"/>
  <c r="E3816" i="7"/>
  <c r="D16" i="9"/>
  <c r="E2643" i="7"/>
  <c r="E1590" i="7"/>
  <c r="E3334" i="7"/>
  <c r="E3615" i="7"/>
  <c r="E3832" i="7"/>
  <c r="E3067" i="7"/>
  <c r="E3695" i="7"/>
  <c r="E2706" i="7"/>
  <c r="E4008" i="7"/>
  <c r="E3994" i="7"/>
  <c r="E429" i="7"/>
  <c r="E1821" i="7"/>
  <c r="E1186" i="7"/>
  <c r="E3818" i="7"/>
  <c r="E3681" i="7"/>
  <c r="E2440" i="7"/>
  <c r="E2894" i="7"/>
  <c r="E1910" i="7"/>
  <c r="E3942" i="7"/>
  <c r="E4013" i="7"/>
  <c r="E3879" i="7"/>
  <c r="E2546" i="7"/>
  <c r="E2711" i="7"/>
  <c r="E3432" i="7"/>
  <c r="E3937" i="7"/>
  <c r="E4024" i="7"/>
  <c r="E2627" i="7"/>
  <c r="E2101" i="7"/>
  <c r="E428" i="7"/>
  <c r="E3860" i="7"/>
  <c r="E2618" i="7"/>
  <c r="E3113" i="7"/>
  <c r="E955" i="7"/>
  <c r="E3423" i="7"/>
  <c r="E3600" i="7"/>
  <c r="E83" i="7"/>
  <c r="E223" i="7"/>
  <c r="E342" i="7"/>
  <c r="E2341" i="7"/>
  <c r="E3742" i="7"/>
  <c r="E1500" i="7"/>
  <c r="E3191" i="7"/>
  <c r="E454" i="7"/>
  <c r="E2795" i="7"/>
  <c r="E1400" i="7"/>
  <c r="E2881" i="7"/>
  <c r="E2278" i="7"/>
  <c r="E3506" i="7"/>
  <c r="E2610" i="7"/>
  <c r="E1651" i="7"/>
  <c r="E1768" i="7"/>
  <c r="E1272" i="7"/>
  <c r="E3388" i="7"/>
  <c r="E2636" i="7"/>
  <c r="E399" i="7"/>
  <c r="E2608" i="7"/>
  <c r="E3355" i="7"/>
  <c r="E437" i="7"/>
  <c r="E2718" i="7"/>
  <c r="E368" i="7"/>
  <c r="E1008" i="7"/>
  <c r="E449" i="7"/>
  <c r="E3160" i="7"/>
  <c r="E1698" i="7"/>
  <c r="E2410" i="7"/>
  <c r="E273" i="7"/>
  <c r="E2130" i="7"/>
  <c r="E1619" i="7"/>
  <c r="E1099" i="7"/>
  <c r="E270" i="7"/>
  <c r="E130" i="7"/>
  <c r="E1196" i="7"/>
  <c r="E1204" i="7"/>
  <c r="E3794" i="7"/>
  <c r="E2405" i="7"/>
  <c r="E242" i="7"/>
  <c r="E2545" i="7"/>
  <c r="E3099" i="7"/>
  <c r="E3871" i="7"/>
  <c r="E3611" i="7"/>
  <c r="E1096" i="7"/>
  <c r="E1693" i="7"/>
  <c r="E1431" i="7"/>
  <c r="E2332" i="7"/>
  <c r="E2299" i="7"/>
  <c r="E1658" i="7"/>
  <c r="E1968" i="7"/>
  <c r="E1285" i="7"/>
  <c r="E2882" i="7"/>
  <c r="E2008" i="7"/>
  <c r="E2371" i="7"/>
  <c r="E1273" i="7"/>
  <c r="E2390" i="7"/>
  <c r="E1875" i="7"/>
  <c r="E1276" i="7"/>
  <c r="E190" i="7"/>
  <c r="E1034" i="7"/>
  <c r="E3697" i="7"/>
  <c r="E2679" i="7"/>
  <c r="E303" i="7"/>
  <c r="E2253" i="7"/>
  <c r="E2895" i="7"/>
  <c r="E2751" i="7"/>
  <c r="E3714" i="7"/>
  <c r="E686" i="7"/>
  <c r="E1531" i="7"/>
  <c r="E957" i="7"/>
  <c r="E3748" i="7"/>
  <c r="E982" i="7"/>
  <c r="E2246" i="7"/>
  <c r="E2163" i="7"/>
  <c r="E1017" i="7"/>
  <c r="E1004" i="7"/>
  <c r="E3326" i="7"/>
  <c r="E1634" i="7"/>
  <c r="E1377" i="7"/>
  <c r="E779" i="7"/>
  <c r="E3843" i="7"/>
  <c r="E216" i="7"/>
  <c r="E3215" i="7"/>
  <c r="E1143" i="7"/>
  <c r="E2878" i="7"/>
  <c r="E3378" i="7"/>
  <c r="E2547" i="7"/>
  <c r="E3180" i="7"/>
  <c r="E1025" i="7"/>
  <c r="E2592" i="7"/>
  <c r="E3109" i="7"/>
  <c r="E2779" i="7"/>
  <c r="E380" i="7"/>
  <c r="E1460" i="7"/>
  <c r="E2649" i="7"/>
  <c r="E700" i="7"/>
  <c r="E1036" i="7"/>
  <c r="E503" i="7"/>
  <c r="E2630" i="7"/>
  <c r="E1972" i="7"/>
  <c r="E855" i="7"/>
  <c r="E2731" i="7"/>
  <c r="D12" i="9"/>
  <c r="E1856" i="7"/>
  <c r="E3840" i="7"/>
  <c r="E2700" i="7"/>
  <c r="E933" i="7"/>
  <c r="E3216" i="7"/>
  <c r="E2761" i="7"/>
  <c r="E1232" i="7"/>
  <c r="E434" i="7"/>
  <c r="E1015" i="7"/>
  <c r="E837" i="7"/>
  <c r="E3475" i="7"/>
  <c r="E506" i="7"/>
  <c r="E521" i="7"/>
  <c r="E2365" i="7"/>
  <c r="E3446" i="7"/>
  <c r="E1894" i="7"/>
  <c r="E1202" i="7"/>
  <c r="E1414" i="7"/>
  <c r="E583" i="7"/>
  <c r="E165" i="7"/>
  <c r="E1326" i="7"/>
  <c r="E1323" i="7"/>
  <c r="E3574" i="7"/>
  <c r="E1774" i="7"/>
  <c r="E2509" i="7"/>
  <c r="E3545" i="7"/>
  <c r="E3172" i="7"/>
  <c r="E2434" i="7"/>
  <c r="E1209" i="7"/>
  <c r="E1655" i="7"/>
  <c r="E1978" i="7"/>
  <c r="E3546" i="7"/>
  <c r="E77" i="7"/>
  <c r="E1886" i="7"/>
  <c r="E3702" i="7"/>
  <c r="E1239" i="7"/>
  <c r="E2588" i="7"/>
  <c r="E2079" i="7"/>
  <c r="E3393" i="7"/>
  <c r="E2169" i="7"/>
  <c r="E3054" i="7"/>
  <c r="E3188" i="7"/>
  <c r="E804" i="7"/>
  <c r="E3281" i="7"/>
  <c r="E1284" i="7"/>
  <c r="E3755" i="7"/>
  <c r="E2025" i="7"/>
  <c r="E2655" i="7"/>
  <c r="E162" i="7"/>
  <c r="E3896" i="7"/>
  <c r="E1316" i="7"/>
  <c r="E2590" i="7"/>
  <c r="E2049" i="7"/>
  <c r="E42" i="7"/>
  <c r="E3594" i="7"/>
  <c r="E3630" i="7"/>
  <c r="E2286" i="7"/>
  <c r="E2073" i="7"/>
  <c r="E821" i="7"/>
  <c r="E3138" i="7"/>
  <c r="E1896" i="7"/>
  <c r="E3772" i="7"/>
  <c r="E1123" i="7"/>
  <c r="E2898" i="7"/>
  <c r="E2021" i="7"/>
  <c r="E2062" i="7"/>
  <c r="E1607" i="7"/>
  <c r="E2424" i="7"/>
  <c r="E3961" i="7"/>
  <c r="E1082" i="7"/>
  <c r="E1802" i="7"/>
  <c r="E3502" i="7"/>
  <c r="E806" i="7"/>
  <c r="E3291" i="7"/>
  <c r="E252" i="7"/>
  <c r="E2619" i="7"/>
  <c r="E2154" i="7"/>
  <c r="E3409" i="7"/>
  <c r="E64" i="7"/>
  <c r="E3712" i="7"/>
  <c r="E2804" i="7"/>
  <c r="E2157" i="7"/>
  <c r="E914" i="7"/>
  <c r="E757" i="7"/>
  <c r="E3495" i="7"/>
  <c r="E168" i="7"/>
  <c r="E1312" i="7"/>
  <c r="E678" i="7"/>
  <c r="E2006" i="7"/>
  <c r="E316" i="7"/>
  <c r="E3986" i="7"/>
  <c r="E3993" i="7"/>
  <c r="E3584" i="7"/>
  <c r="E1428" i="7"/>
  <c r="E3941" i="7"/>
  <c r="E3893" i="7"/>
  <c r="E2172" i="7"/>
  <c r="E2839" i="7"/>
  <c r="E3855" i="7"/>
  <c r="E3287" i="7"/>
  <c r="E3411" i="7"/>
  <c r="E2382" i="7"/>
  <c r="E790" i="7"/>
  <c r="E3732" i="7"/>
  <c r="E3945" i="7"/>
  <c r="E2933" i="7"/>
  <c r="E2892" i="7"/>
  <c r="E3074" i="7"/>
  <c r="E610" i="7"/>
  <c r="E589" i="7"/>
  <c r="E427" i="7"/>
  <c r="E592" i="7"/>
  <c r="E1979" i="7"/>
  <c r="E1465" i="7"/>
  <c r="E1358" i="7"/>
  <c r="E835" i="7"/>
  <c r="E749" i="7"/>
  <c r="E1168" i="7"/>
  <c r="E1814" i="7"/>
  <c r="E3053" i="7"/>
  <c r="E665" i="7"/>
  <c r="E1248" i="7"/>
  <c r="E357" i="7"/>
  <c r="E1611" i="7"/>
  <c r="E2662" i="7"/>
  <c r="E3243" i="7"/>
  <c r="E58" i="7"/>
  <c r="E3088" i="7"/>
  <c r="E1347" i="7"/>
  <c r="E2149" i="7"/>
  <c r="E2624" i="7"/>
  <c r="E867" i="7"/>
  <c r="E1679" i="7"/>
  <c r="E1526" i="7"/>
  <c r="E2703" i="7"/>
  <c r="E756" i="7"/>
  <c r="E3978" i="7"/>
  <c r="E3470" i="7"/>
  <c r="E2595" i="7"/>
  <c r="E3802" i="7"/>
  <c r="E3533" i="7"/>
  <c r="E2975" i="7"/>
  <c r="E2680" i="7"/>
  <c r="E2003" i="7"/>
  <c r="E863" i="7"/>
  <c r="E2729" i="7"/>
  <c r="E3201" i="7"/>
  <c r="E3617" i="7"/>
  <c r="E3324" i="7"/>
  <c r="E2889" i="7"/>
  <c r="E304" i="7"/>
  <c r="E3939" i="7"/>
  <c r="E2166" i="7"/>
  <c r="E1429" i="7"/>
  <c r="E3700" i="7"/>
  <c r="E962" i="7"/>
  <c r="E3051" i="7"/>
  <c r="E828" i="7"/>
  <c r="E3519" i="7"/>
  <c r="E2058" i="7"/>
  <c r="E2600" i="7"/>
  <c r="E1618" i="7"/>
  <c r="E3967" i="7"/>
  <c r="E2734" i="7"/>
  <c r="E759" i="7"/>
  <c r="E1715" i="7"/>
  <c r="E69" i="7"/>
  <c r="E3365" i="7"/>
  <c r="E3296" i="7"/>
  <c r="E1652" i="7"/>
  <c r="E1095" i="7"/>
  <c r="E3688" i="7"/>
  <c r="E3462" i="7"/>
  <c r="E1240" i="7"/>
  <c r="E3646" i="7"/>
  <c r="E1755" i="7"/>
  <c r="E1811" i="7"/>
  <c r="E1337" i="7"/>
  <c r="E1304" i="7"/>
  <c r="E2496" i="7"/>
  <c r="E3159" i="7"/>
  <c r="E2990" i="7"/>
  <c r="E3373" i="7"/>
  <c r="E12" i="7"/>
  <c r="E530" i="7"/>
  <c r="E261" i="7"/>
  <c r="E2448" i="7"/>
  <c r="E2196" i="7"/>
  <c r="E684" i="7"/>
  <c r="E885" i="7"/>
  <c r="E458" i="7"/>
  <c r="E3253" i="7"/>
  <c r="E1547" i="7"/>
  <c r="E1675" i="7"/>
  <c r="E1447" i="7"/>
  <c r="E769" i="7"/>
  <c r="E2483" i="7"/>
  <c r="E2865" i="7"/>
  <c r="E447" i="7"/>
  <c r="E743" i="7"/>
  <c r="E2217" i="7"/>
  <c r="E1297" i="7"/>
  <c r="E3430" i="7"/>
  <c r="E3922" i="7"/>
  <c r="E1854" i="7"/>
  <c r="E1072" i="7"/>
  <c r="E3184" i="7"/>
  <c r="E1492" i="7"/>
  <c r="E1828" i="7"/>
  <c r="E926" i="7"/>
  <c r="E3116" i="7"/>
  <c r="E3282" i="7"/>
  <c r="E2897" i="7"/>
  <c r="E381" i="7"/>
  <c r="E4033" i="7"/>
  <c r="E886" i="7"/>
  <c r="E2784" i="7"/>
  <c r="E466" i="7"/>
  <c r="E3774" i="7"/>
  <c r="E9" i="7"/>
  <c r="E998" i="7"/>
  <c r="E579" i="7"/>
  <c r="E2406" i="7"/>
  <c r="E1835" i="7"/>
  <c r="E313" i="7"/>
  <c r="E1933" i="7"/>
  <c r="E329" i="7"/>
  <c r="E1403" i="7"/>
  <c r="E1534" i="7"/>
  <c r="E3720" i="7"/>
  <c r="E8" i="9"/>
  <c r="E1490" i="7"/>
  <c r="E3931" i="7"/>
  <c r="E3262" i="7"/>
  <c r="E3091" i="7"/>
  <c r="E2568" i="7"/>
  <c r="E940" i="7"/>
  <c r="E1108" i="7"/>
  <c r="E1401" i="7"/>
  <c r="E1734" i="7"/>
  <c r="E2634" i="7"/>
  <c r="E3547" i="7"/>
  <c r="E3515" i="7"/>
  <c r="E2077" i="7"/>
  <c r="E3348" i="7"/>
  <c r="E2191" i="7"/>
  <c r="E2031" i="7"/>
  <c r="E1753" i="7"/>
  <c r="E673" i="7"/>
  <c r="E72" i="7"/>
  <c r="E3204" i="7"/>
  <c r="E3203" i="7"/>
  <c r="E146" i="7"/>
  <c r="E752" i="7"/>
  <c r="E781" i="7"/>
  <c r="E1931" i="7"/>
  <c r="E3103" i="7"/>
  <c r="E2633" i="7"/>
  <c r="E3414" i="7"/>
  <c r="E1090" i="7"/>
  <c r="E1699" i="7"/>
  <c r="E2714" i="7"/>
  <c r="E2359" i="7"/>
  <c r="E3637" i="7"/>
  <c r="E1349" i="7"/>
  <c r="E2479" i="7"/>
  <c r="E3269" i="7"/>
  <c r="E2992" i="7"/>
  <c r="E1494" i="7"/>
  <c r="E1831" i="7"/>
  <c r="E3114" i="7"/>
  <c r="E3892" i="7"/>
  <c r="E2739" i="7"/>
  <c r="E3654" i="7"/>
  <c r="E1767" i="7"/>
  <c r="E2877" i="7"/>
  <c r="E2292" i="7"/>
  <c r="E180" i="7"/>
  <c r="E2851" i="7"/>
  <c r="E731" i="7"/>
  <c r="E2251" i="7"/>
  <c r="E3028" i="7"/>
  <c r="E3383" i="7"/>
  <c r="E2867" i="7"/>
  <c r="E1683" i="7"/>
  <c r="E720" i="7"/>
  <c r="E3560" i="7"/>
  <c r="E1192" i="7"/>
  <c r="E3734" i="7"/>
  <c r="E1758" i="7"/>
  <c r="E2199" i="7"/>
  <c r="E1007" i="7"/>
  <c r="E2586" i="7"/>
  <c r="E3130" i="7"/>
  <c r="E1037" i="7"/>
  <c r="E2214" i="7"/>
  <c r="E249" i="7"/>
  <c r="E2684" i="7"/>
  <c r="E827" i="7"/>
  <c r="E3244" i="7"/>
  <c r="E1722" i="7"/>
  <c r="E929" i="7"/>
  <c r="E3440" i="7"/>
  <c r="E1181" i="7"/>
  <c r="E3965" i="7"/>
  <c r="E1138" i="7"/>
  <c r="E365" i="7"/>
  <c r="E2290" i="7"/>
  <c r="E2164" i="7"/>
  <c r="D8" i="9"/>
  <c r="E4045" i="7"/>
  <c r="E1551" i="7"/>
  <c r="E3200" i="7"/>
  <c r="E3724" i="7"/>
  <c r="E1626" i="7"/>
  <c r="E1992" i="7"/>
  <c r="E3652" i="7"/>
  <c r="E2187" i="7"/>
  <c r="E770" i="7"/>
  <c r="E671" i="7"/>
  <c r="E3453" i="7"/>
  <c r="E3689" i="7"/>
  <c r="E1130" i="7"/>
  <c r="E1878" i="7"/>
  <c r="E3443" i="7"/>
  <c r="E3763" i="7"/>
  <c r="E1432" i="7"/>
  <c r="E2336" i="7"/>
  <c r="E3261" i="7"/>
  <c r="E1733" i="7"/>
  <c r="E2047" i="7"/>
  <c r="E277" i="7"/>
  <c r="E1466" i="7"/>
  <c r="E1206" i="7"/>
  <c r="E1003" i="7"/>
  <c r="E642" i="7"/>
  <c r="E509" i="7"/>
  <c r="E1552" i="7"/>
  <c r="E2302" i="7"/>
  <c r="E2377" i="7"/>
  <c r="E2212" i="7"/>
  <c r="E4046" i="7"/>
  <c r="E3767" i="7"/>
  <c r="E816" i="7"/>
  <c r="E2828" i="7"/>
  <c r="E1043" i="7"/>
  <c r="E1062" i="7"/>
  <c r="E2068" i="7"/>
  <c r="E3852" i="7"/>
  <c r="E1834" i="7"/>
  <c r="E1710" i="7"/>
  <c r="E1471" i="7"/>
  <c r="E3792" i="7"/>
  <c r="E3869" i="7"/>
  <c r="E3760" i="7"/>
  <c r="E2832" i="7"/>
  <c r="E2591" i="7"/>
  <c r="E4025" i="7"/>
  <c r="E3940" i="7"/>
  <c r="E3803" i="7"/>
  <c r="E2710" i="7"/>
  <c r="E2288" i="7"/>
  <c r="E3926" i="7"/>
  <c r="E3179" i="7"/>
  <c r="E735" i="7"/>
  <c r="E1950" i="7"/>
  <c r="E1424" i="7"/>
  <c r="E1359" i="7"/>
  <c r="E2242" i="7"/>
  <c r="E934" i="7"/>
  <c r="E2727" i="7"/>
  <c r="E2026" i="7"/>
  <c r="E343" i="7"/>
  <c r="E1035" i="7"/>
  <c r="E754" i="7"/>
  <c r="E366" i="7"/>
  <c r="E3305" i="7"/>
  <c r="E964" i="7"/>
  <c r="E139" i="7"/>
  <c r="E7" i="7"/>
  <c r="E2661" i="7"/>
  <c r="E3437" i="7"/>
  <c r="E3653" i="7"/>
  <c r="E3090" i="7"/>
  <c r="E181" i="7"/>
  <c r="E3080" i="7"/>
  <c r="E1384" i="7"/>
  <c r="E173" i="7"/>
  <c r="E415" i="7"/>
  <c r="E1757" i="7"/>
  <c r="E616" i="7"/>
  <c r="E2338" i="7"/>
  <c r="E1291" i="7"/>
  <c r="E2893" i="7"/>
  <c r="E2174" i="7"/>
  <c r="E2758" i="7"/>
  <c r="E2707" i="7"/>
  <c r="E3494" i="7"/>
  <c r="E2853" i="7"/>
  <c r="E3308" i="7"/>
  <c r="E84" i="7"/>
  <c r="E1449" i="7"/>
  <c r="E3321" i="7"/>
  <c r="E310" i="7"/>
  <c r="E87" i="7"/>
  <c r="E3238" i="7"/>
  <c r="E3822" i="7"/>
  <c r="E2646" i="7"/>
  <c r="E1595" i="7"/>
  <c r="E2092" i="7"/>
  <c r="E2936" i="7"/>
  <c r="E2587" i="7"/>
  <c r="E3392" i="7"/>
  <c r="E2388" i="7"/>
  <c r="E543" i="7"/>
  <c r="E3542" i="7"/>
  <c r="E1150" i="7"/>
  <c r="E3536" i="7"/>
  <c r="E1292" i="7"/>
  <c r="E935" i="7"/>
  <c r="E1128" i="7"/>
  <c r="E2309" i="7"/>
  <c r="E1392" i="7"/>
  <c r="E150" i="7"/>
  <c r="E3784" i="7"/>
  <c r="E2759" i="7"/>
  <c r="E2500" i="7"/>
  <c r="E887" i="7"/>
  <c r="E1616" i="7"/>
  <c r="E376" i="7"/>
  <c r="E2738" i="7"/>
  <c r="E1967" i="7"/>
  <c r="E685" i="7"/>
  <c r="E1502" i="7"/>
  <c r="E1936" i="7"/>
  <c r="E3084" i="7"/>
  <c r="E2209" i="7"/>
  <c r="E4041" i="7"/>
  <c r="E2599" i="7"/>
  <c r="E631" i="7"/>
  <c r="E1963" i="7"/>
  <c r="E747" i="7"/>
  <c r="E14" i="7"/>
  <c r="E2834" i="7"/>
  <c r="E2027" i="7"/>
  <c r="E1260" i="7"/>
  <c r="E960" i="7"/>
  <c r="E3677" i="7"/>
  <c r="E2777" i="7"/>
  <c r="E37" i="7"/>
  <c r="E3569" i="7"/>
  <c r="E2529" i="7"/>
  <c r="E3949" i="7"/>
  <c r="E895" i="7"/>
  <c r="E3192" i="7"/>
  <c r="E3254" i="7"/>
  <c r="E1575" i="7"/>
  <c r="E1308" i="7"/>
  <c r="E3387" i="7"/>
  <c r="E1969" i="7"/>
  <c r="E3708" i="7"/>
  <c r="E3441" i="7"/>
  <c r="E3212" i="7"/>
  <c r="E2891" i="7"/>
  <c r="E3729" i="7"/>
  <c r="E1226" i="7"/>
  <c r="E186" i="7"/>
  <c r="E2869" i="7"/>
  <c r="E1917" i="7"/>
  <c r="E4044" i="7"/>
  <c r="E2841" i="7"/>
  <c r="E669" i="7"/>
  <c r="E876" i="7"/>
  <c r="E2576" i="7"/>
  <c r="E1723" i="7"/>
  <c r="E3187" i="7"/>
  <c r="E1052" i="7"/>
  <c r="E3907" i="7"/>
  <c r="E659" i="7"/>
  <c r="E2875" i="7"/>
  <c r="E1038" i="7"/>
  <c r="E1525" i="7"/>
  <c r="E1985" i="7"/>
  <c r="E3431" i="7"/>
  <c r="E3406" i="7"/>
  <c r="E3481" i="7"/>
  <c r="E1877" i="7"/>
  <c r="E1622" i="7"/>
  <c r="E2495" i="7"/>
  <c r="E2454" i="7"/>
  <c r="E3171" i="7"/>
  <c r="E3020" i="7"/>
  <c r="E523" i="7"/>
  <c r="E276" i="7"/>
  <c r="E1740" i="7"/>
  <c r="E819" i="7"/>
  <c r="E568" i="7"/>
  <c r="E2561" i="7"/>
  <c r="E3247" i="7"/>
  <c r="E132" i="7"/>
  <c r="E2407" i="7"/>
  <c r="E1637" i="7"/>
  <c r="E207" i="7"/>
  <c r="E551" i="7"/>
  <c r="E406" i="7"/>
  <c r="E2807" i="7"/>
  <c r="E379" i="7"/>
  <c r="E3520" i="7"/>
  <c r="E206" i="7"/>
  <c r="E1039" i="7"/>
  <c r="E1115" i="7"/>
  <c r="E1620" i="7"/>
  <c r="E3045" i="7"/>
  <c r="E2316" i="7"/>
  <c r="E1155" i="7"/>
  <c r="E915" i="7"/>
  <c r="E315" i="7"/>
  <c r="E3107" i="7"/>
  <c r="E717" i="7"/>
  <c r="E1700" i="7"/>
  <c r="E2516" i="7"/>
  <c r="E3202" i="7"/>
  <c r="E3060" i="7"/>
  <c r="E734" i="7"/>
  <c r="E225" i="7"/>
  <c r="E3950" i="7"/>
  <c r="E268" i="7"/>
  <c r="E3517" i="7"/>
  <c r="E520" i="7"/>
  <c r="E2932" i="7"/>
  <c r="E4040" i="7"/>
  <c r="E3698" i="7"/>
  <c r="E1732" i="7"/>
  <c r="E52" i="7"/>
  <c r="E818" i="7"/>
  <c r="E1402" i="7"/>
  <c r="E4048" i="7"/>
  <c r="E2456" i="7"/>
  <c r="E3176" i="7"/>
  <c r="E141" i="7"/>
  <c r="E2515" i="7"/>
  <c r="E2219" i="7"/>
  <c r="E1565" i="7"/>
  <c r="E1112" i="7"/>
  <c r="E949" i="7"/>
  <c r="E248" i="7"/>
  <c r="E2374" i="7"/>
  <c r="E2803" i="7"/>
  <c r="E2401" i="7"/>
  <c r="E3567" i="7"/>
  <c r="E1871" i="7"/>
  <c r="E2964" i="7"/>
  <c r="E2156" i="7"/>
  <c r="E3878" i="7"/>
  <c r="E3864" i="7"/>
  <c r="E2887" i="7"/>
  <c r="E2783" i="7"/>
  <c r="E3467" i="7"/>
  <c r="E1594" i="7"/>
  <c r="E2628" i="7"/>
  <c r="E3844" i="7"/>
  <c r="E2809" i="7"/>
  <c r="E1068" i="7"/>
  <c r="E264" i="7"/>
  <c r="E208" i="7"/>
  <c r="E558" i="7"/>
  <c r="E2672" i="7"/>
  <c r="E1420" i="7"/>
  <c r="E492" i="7"/>
  <c r="E2451" i="7"/>
  <c r="E250" i="7"/>
  <c r="E2557" i="7"/>
  <c r="E14" i="9"/>
  <c r="E143" i="7"/>
  <c r="E2953" i="7"/>
  <c r="E2074" i="7"/>
  <c r="E621" i="7"/>
  <c r="E3314" i="7"/>
  <c r="E3972" i="7"/>
  <c r="E2273" i="7"/>
  <c r="E799" i="7"/>
  <c r="E2189" i="7"/>
  <c r="E534" i="7"/>
  <c r="E1587" i="7"/>
  <c r="E2948" i="7"/>
  <c r="E1529" i="7"/>
  <c r="E1750" i="7"/>
  <c r="E963" i="7"/>
  <c r="E3026" i="7"/>
  <c r="E2411" i="7"/>
  <c r="E1458" i="7"/>
  <c r="E904" i="7"/>
  <c r="E577" i="7"/>
  <c r="E3153" i="7"/>
  <c r="E853" i="7"/>
  <c r="E2821" i="7"/>
  <c r="E1606" i="7"/>
  <c r="E3368" i="7"/>
  <c r="E670" i="7"/>
  <c r="E281" i="7"/>
  <c r="E637" i="7"/>
  <c r="E2362" i="7"/>
  <c r="E908" i="7"/>
  <c r="E1413" i="7"/>
  <c r="E1153" i="7"/>
  <c r="E1912" i="7"/>
  <c r="E878" i="7"/>
  <c r="E2000" i="7"/>
  <c r="E703" i="7"/>
  <c r="E3568" i="7"/>
  <c r="E4058" i="7"/>
  <c r="E2462" i="7"/>
  <c r="E843" i="7"/>
  <c r="E1612" i="7"/>
  <c r="E1610" i="7"/>
  <c r="E2926" i="7"/>
  <c r="E2687" i="7"/>
  <c r="E3621" i="7"/>
  <c r="E279" i="7"/>
  <c r="E1430" i="7"/>
  <c r="E1782" i="7"/>
  <c r="E2725" i="7"/>
  <c r="E1228" i="7"/>
  <c r="E1265" i="7"/>
  <c r="E230" i="7"/>
  <c r="E571" i="7"/>
  <c r="E1453" i="7"/>
  <c r="E3669" i="7"/>
  <c r="E1666" i="7"/>
  <c r="E1124" i="7"/>
  <c r="E3601" i="7"/>
  <c r="E3526" i="7"/>
  <c r="E3313" i="7"/>
  <c r="E3604" i="7"/>
  <c r="E2261" i="7"/>
  <c r="E1327" i="7"/>
  <c r="E1661" i="7"/>
  <c r="E3825" i="7"/>
  <c r="E3924" i="7"/>
  <c r="E3034" i="7"/>
  <c r="E3485" i="7"/>
  <c r="E1309" i="7"/>
  <c r="E3782" i="7"/>
  <c r="E3815" i="7"/>
  <c r="E1874" i="7"/>
  <c r="E3711" i="7"/>
  <c r="E894" i="7"/>
  <c r="E4034" i="7"/>
  <c r="E4002" i="7"/>
  <c r="E2924" i="7"/>
  <c r="E2198" i="7"/>
  <c r="E2356" i="7"/>
  <c r="E3004" i="7"/>
  <c r="E3789" i="7"/>
  <c r="E3564" i="7"/>
  <c r="E439" i="7"/>
  <c r="E1882" i="7"/>
  <c r="E2862" i="7"/>
  <c r="E3528" i="7"/>
  <c r="E1960" i="7"/>
  <c r="E1934" i="7"/>
  <c r="D19" i="9"/>
  <c r="E2774" i="7"/>
  <c r="E2328" i="7"/>
  <c r="E4027" i="7"/>
  <c r="E3597" i="7"/>
  <c r="E3289" i="7"/>
  <c r="E1690" i="7"/>
  <c r="E3049" i="7"/>
  <c r="E3208" i="7"/>
  <c r="E1005" i="7"/>
  <c r="E604" i="7"/>
  <c r="E2324" i="7"/>
  <c r="E3068" i="7"/>
  <c r="E1850" i="7"/>
  <c r="E2317" i="7"/>
  <c r="E676" i="7"/>
  <c r="E481" i="7"/>
  <c r="E1514" i="7"/>
  <c r="E1729" i="7"/>
  <c r="E2313" i="7"/>
  <c r="E2165" i="7"/>
  <c r="E2232" i="7"/>
  <c r="E3125" i="7"/>
  <c r="E596" i="7"/>
  <c r="E3890" i="7"/>
  <c r="E137" i="7"/>
  <c r="E9" i="9"/>
  <c r="E3599" i="7"/>
  <c r="E2730" i="7"/>
  <c r="E3934" i="7"/>
  <c r="E3779" i="7"/>
  <c r="E3398" i="7"/>
  <c r="E2277" i="7"/>
  <c r="E3274" i="7"/>
  <c r="E3749" i="7"/>
  <c r="E2817" i="7"/>
  <c r="E4059" i="7"/>
  <c r="E1493" i="7"/>
  <c r="E3338" i="7"/>
  <c r="E2441" i="7"/>
  <c r="E3624" i="7"/>
  <c r="E2835" i="7"/>
  <c r="E3559" i="7"/>
  <c r="E3048" i="7"/>
  <c r="E123" i="7"/>
  <c r="E1687" i="7"/>
  <c r="E1677" i="7"/>
  <c r="E1971" i="7"/>
  <c r="E4057" i="7"/>
  <c r="E1373" i="7"/>
  <c r="E2701" i="7"/>
  <c r="E2375" i="7"/>
  <c r="E369" i="7"/>
  <c r="E1964" i="7"/>
  <c r="E3463" i="7"/>
  <c r="E2540" i="7"/>
  <c r="E838" i="7"/>
  <c r="E352" i="7"/>
  <c r="E3377" i="7"/>
  <c r="E4070" i="7"/>
  <c r="E554" i="7"/>
  <c r="E2896" i="7"/>
  <c r="E1173" i="7"/>
  <c r="E1060" i="7"/>
  <c r="E609" i="7"/>
  <c r="E3641" i="7"/>
  <c r="E3285" i="7"/>
  <c r="E2978" i="7"/>
  <c r="E2167" i="7"/>
  <c r="E444" i="7"/>
  <c r="E2245" i="7"/>
  <c r="E384" i="7"/>
  <c r="E3009" i="7"/>
  <c r="E2263" i="7"/>
  <c r="E149" i="7"/>
  <c r="E3266" i="7"/>
  <c r="E1747" i="7"/>
  <c r="E81" i="7"/>
  <c r="E1002" i="7"/>
  <c r="E844" i="7"/>
  <c r="E3932" i="7"/>
  <c r="E1098" i="7"/>
  <c r="E2333" i="7"/>
  <c r="E849" i="7"/>
  <c r="E1394" i="7"/>
  <c r="E556" i="7"/>
  <c r="E2337" i="7"/>
  <c r="E3764" i="7"/>
  <c r="E624" i="7"/>
  <c r="E1903" i="7"/>
  <c r="E2249" i="7"/>
  <c r="E2740" i="7"/>
  <c r="E212" i="7"/>
  <c r="E1016" i="7"/>
  <c r="E2051" i="7"/>
  <c r="E3105" i="7"/>
  <c r="E3609" i="7"/>
  <c r="D11" i="9"/>
  <c r="E3762" i="7"/>
  <c r="E12" i="9"/>
  <c r="E1475" i="7"/>
  <c r="E2755" i="7"/>
  <c r="E3301" i="7"/>
  <c r="E7" i="9"/>
  <c r="E2357" i="7"/>
  <c r="E2514" i="7"/>
  <c r="E1543" i="7"/>
  <c r="E3477" i="7"/>
  <c r="E2346" i="7"/>
  <c r="E3337" i="7"/>
  <c r="E4060" i="7"/>
  <c r="E683" i="7"/>
  <c r="E2705" i="7"/>
  <c r="E1139" i="7"/>
  <c r="E256" i="7"/>
  <c r="E2482" i="7"/>
  <c r="E2045" i="7"/>
  <c r="E797" i="7"/>
  <c r="E2256" i="7"/>
  <c r="E215" i="7"/>
  <c r="E2689" i="7"/>
  <c r="E1385" i="7"/>
  <c r="E19" i="7"/>
  <c r="E2660" i="7"/>
  <c r="E1144" i="7"/>
  <c r="E101" i="7"/>
  <c r="E3132" i="7"/>
  <c r="E2443" i="7"/>
  <c r="E178" i="7"/>
  <c r="E1434" i="7"/>
  <c r="E594" i="7"/>
  <c r="E2816" i="7"/>
  <c r="E3064" i="7"/>
  <c r="E2694" i="7"/>
  <c r="E2716" i="7"/>
  <c r="E1907" i="7"/>
  <c r="E3340" i="7"/>
  <c r="E3104" i="7"/>
  <c r="E347" i="7"/>
  <c r="E226" i="7"/>
  <c r="E3124" i="7"/>
  <c r="E566" i="7"/>
  <c r="E1370" i="7"/>
  <c r="E2617" i="7"/>
  <c r="E2654" i="7"/>
  <c r="E515" i="7"/>
  <c r="E1692" i="7"/>
  <c r="E2213" i="7"/>
  <c r="E2269" i="7"/>
  <c r="E990" i="7"/>
  <c r="E3541" i="7"/>
  <c r="E3318" i="7"/>
  <c r="E744" i="7"/>
  <c r="E2347" i="7"/>
  <c r="E2282" i="7"/>
  <c r="E2971" i="7"/>
  <c r="E1477" i="7"/>
  <c r="E677" i="7"/>
  <c r="E3259" i="7"/>
  <c r="E3066" i="7"/>
  <c r="E1630" i="7"/>
  <c r="E1702" i="7"/>
  <c r="E3552" i="7"/>
  <c r="E3062" i="7"/>
  <c r="E145" i="7"/>
  <c r="E1006" i="7"/>
  <c r="E1094" i="7"/>
  <c r="E2413" i="7"/>
  <c r="E328" i="7"/>
  <c r="E2613" i="7"/>
  <c r="E918" i="7"/>
  <c r="E461" i="7"/>
  <c r="E3895" i="7"/>
  <c r="E465" i="7"/>
  <c r="E2430" i="7"/>
  <c r="E3741" i="7"/>
  <c r="E694" i="7"/>
  <c r="E3037" i="7"/>
  <c r="E1341" i="7"/>
  <c r="E48" i="7"/>
  <c r="E1975" i="7"/>
  <c r="E3553" i="7"/>
  <c r="E2403" i="7"/>
  <c r="E810" i="7"/>
  <c r="E776" i="7"/>
  <c r="E674" i="7"/>
  <c r="E912" i="7"/>
  <c r="E1533" i="7"/>
  <c r="E3744" i="7"/>
  <c r="E2323" i="7"/>
  <c r="E3433" i="7"/>
  <c r="E2637" i="7"/>
  <c r="E1386" i="7"/>
  <c r="E1790" i="7"/>
  <c r="E1107" i="7"/>
  <c r="E430" i="7"/>
  <c r="E2523" i="7"/>
  <c r="E1023" i="7"/>
  <c r="E3603" i="7"/>
  <c r="E5" i="7"/>
  <c r="E1149" i="7"/>
  <c r="E1067" i="7"/>
  <c r="E536" i="7"/>
  <c r="E4056" i="7"/>
  <c r="E1141" i="7"/>
  <c r="E3812" i="7"/>
  <c r="E2721" i="7"/>
  <c r="E3342" i="7"/>
  <c r="E1769" i="7"/>
  <c r="E3302" i="7"/>
  <c r="E4071" i="7"/>
  <c r="E2929" i="7"/>
  <c r="E836" i="7"/>
  <c r="E1176" i="7"/>
  <c r="E3271" i="7"/>
  <c r="E1357" i="7"/>
  <c r="E3699" i="7"/>
  <c r="E3315" i="7"/>
  <c r="E2421" i="7"/>
  <c r="E1340" i="7"/>
  <c r="E3451" i="7"/>
  <c r="E2626" i="7"/>
  <c r="E1775" i="7"/>
  <c r="E872" i="7"/>
  <c r="E1410" i="7"/>
  <c r="E3649" i="7"/>
  <c r="E2603" i="7"/>
  <c r="E446" i="7"/>
  <c r="E2373" i="7"/>
  <c r="E341" i="7"/>
  <c r="E2088" i="7"/>
  <c r="E3920" i="7"/>
  <c r="E3458" i="7"/>
  <c r="E3472" i="7"/>
  <c r="E2708" i="7"/>
  <c r="E1415" i="7"/>
  <c r="E2176" i="7"/>
  <c r="E2464" i="7"/>
  <c r="E2648" i="7"/>
  <c r="E1927" i="7"/>
  <c r="E209" i="7"/>
  <c r="E2665" i="7"/>
  <c r="E3351" i="7"/>
  <c r="E1198" i="7"/>
  <c r="E3555" i="7"/>
  <c r="E1539" i="7"/>
  <c r="E3853" i="7"/>
  <c r="E4014" i="7"/>
  <c r="E3776" i="7"/>
  <c r="E3371" i="7"/>
  <c r="E2910" i="7"/>
  <c r="E2114" i="7"/>
  <c r="E4020" i="7"/>
  <c r="E3957" i="7"/>
  <c r="E575" i="7"/>
  <c r="E2345" i="7"/>
  <c r="E848" i="7"/>
  <c r="E4028" i="7"/>
  <c r="E3798" i="7"/>
  <c r="E3295" i="7"/>
  <c r="E899" i="7"/>
  <c r="E3141" i="7"/>
  <c r="E3830" i="7"/>
  <c r="E3428" i="7"/>
  <c r="E3471" i="7"/>
  <c r="E1921" i="7"/>
  <c r="E3050" i="7"/>
  <c r="E133" i="7"/>
  <c r="E3448" i="7"/>
  <c r="E2757" i="7"/>
  <c r="E3310" i="7"/>
  <c r="E2859" i="7"/>
  <c r="E2030" i="7"/>
  <c r="E2262" i="7"/>
  <c r="E2197" i="7"/>
  <c r="E1454" i="7"/>
  <c r="E3554" i="7"/>
  <c r="E3623" i="7"/>
  <c r="E3000" i="7"/>
  <c r="E2876" i="7"/>
  <c r="E1191" i="7"/>
  <c r="E537" i="7"/>
  <c r="E1780" i="7"/>
  <c r="E188" i="7"/>
  <c r="E1462" i="7"/>
  <c r="E1644" i="7"/>
  <c r="E239" i="7"/>
  <c r="E597" i="7"/>
  <c r="E3375" i="7"/>
  <c r="E2911" i="7"/>
  <c r="E3260" i="7"/>
  <c r="E1855" i="7"/>
  <c r="E620" i="7"/>
  <c r="E2569" i="7"/>
  <c r="E3496" i="7"/>
  <c r="E1538" i="7"/>
  <c r="E20" i="7"/>
  <c r="E1057" i="7"/>
  <c r="E2305" i="7"/>
  <c r="E3222" i="7"/>
  <c r="E1770" i="7"/>
  <c r="E1251" i="7"/>
  <c r="E3151" i="7"/>
  <c r="E2150" i="7"/>
  <c r="E1335" i="7"/>
  <c r="E2224" i="7"/>
  <c r="E3225" i="7"/>
  <c r="E3127" i="7"/>
  <c r="E1207" i="7"/>
  <c r="E796" i="7"/>
  <c r="E2372" i="7"/>
  <c r="E2652" i="7"/>
  <c r="E1014" i="7"/>
  <c r="E1330" i="7"/>
  <c r="E2137" i="7"/>
  <c r="E3632" i="7"/>
  <c r="E2972" i="7"/>
  <c r="E3189" i="7"/>
  <c r="E2934" i="7"/>
  <c r="E2298" i="7"/>
  <c r="E931" i="7"/>
  <c r="E724" i="7"/>
  <c r="E2437" i="7"/>
  <c r="E1056" i="7"/>
  <c r="E2024" i="7"/>
  <c r="E3456" i="7"/>
  <c r="E2204" i="7"/>
  <c r="E3587" i="7"/>
  <c r="E3089" i="7"/>
  <c r="E1250" i="7"/>
  <c r="E1557" i="7"/>
  <c r="E27" i="7"/>
  <c r="E1589" i="7"/>
  <c r="E3683" i="7"/>
  <c r="E3752" i="7"/>
  <c r="E80" i="7"/>
  <c r="E1231" i="7"/>
  <c r="E563" i="7"/>
  <c r="E3401" i="7"/>
  <c r="E3713" i="7"/>
  <c r="E351" i="7"/>
  <c r="E360" i="7"/>
  <c r="E1906" i="7"/>
  <c r="E1379" i="7"/>
  <c r="E2788" i="7"/>
  <c r="E2023" i="7"/>
  <c r="E1213" i="7"/>
  <c r="E645" i="7"/>
  <c r="E695" i="7"/>
  <c r="E2028" i="7"/>
  <c r="E3664" i="7"/>
  <c r="E881" i="7"/>
  <c r="E629" i="7"/>
  <c r="E2392" i="7"/>
  <c r="E1303" i="7"/>
  <c r="E1109" i="7"/>
  <c r="E3580" i="7"/>
  <c r="E2054" i="7"/>
  <c r="E118" i="7"/>
  <c r="E1799" i="7"/>
  <c r="E1356" i="7"/>
  <c r="E1496" i="7"/>
  <c r="E1844" i="7"/>
  <c r="E475" i="7"/>
  <c r="E3140" i="7"/>
  <c r="E3194" i="7"/>
  <c r="E2815" i="7"/>
  <c r="E1819" i="7"/>
  <c r="E2508" i="7"/>
  <c r="E3121" i="7"/>
  <c r="E1252" i="7"/>
  <c r="E787" i="7"/>
  <c r="E1696" i="7"/>
  <c r="E4068" i="7"/>
  <c r="E136" i="7"/>
  <c r="E3413" i="7"/>
  <c r="E2563" i="7"/>
  <c r="E1689" i="7"/>
  <c r="E3097" i="7"/>
  <c r="E2152" i="7"/>
  <c r="E1020" i="7"/>
  <c r="E1627" i="7"/>
  <c r="E3484" i="7"/>
  <c r="E2394" i="7"/>
  <c r="E3570" i="7"/>
  <c r="E1711" i="7"/>
  <c r="E1089" i="7"/>
  <c r="E2823" i="7"/>
  <c r="E2884" i="7"/>
  <c r="E1461" i="7"/>
  <c r="E1998" i="7"/>
  <c r="E2491" i="7"/>
  <c r="E1909" i="7"/>
  <c r="E505" i="7"/>
  <c r="E3144" i="7"/>
  <c r="E1727" i="7"/>
  <c r="E2248" i="7"/>
  <c r="E2319" i="7"/>
  <c r="E2525" i="7"/>
  <c r="E1167" i="7"/>
  <c r="E1554" i="7"/>
  <c r="E348" i="7"/>
  <c r="E2842" i="7"/>
  <c r="E1665" i="7"/>
  <c r="E1156" i="7"/>
  <c r="E3728" i="7"/>
  <c r="E1076" i="7"/>
  <c r="E339" i="7"/>
  <c r="E1544" i="7"/>
  <c r="E451" i="7"/>
  <c r="E3706" i="7"/>
  <c r="E3625" i="7"/>
  <c r="E1451" i="7"/>
  <c r="E1810" i="7"/>
  <c r="E63" i="7"/>
  <c r="E3017" i="7"/>
  <c r="E2423" i="7"/>
  <c r="E762" i="7"/>
  <c r="E1948" i="7"/>
  <c r="E889" i="7"/>
  <c r="E553" i="7"/>
  <c r="E1532" i="7"/>
  <c r="E307" i="7"/>
  <c r="E3824" i="7"/>
  <c r="E2280" i="7"/>
  <c r="E489" i="7"/>
  <c r="E2537" i="7"/>
  <c r="E338" i="7"/>
  <c r="E981" i="7"/>
  <c r="E2445" i="7"/>
  <c r="E1070" i="7"/>
  <c r="E2474" i="7"/>
  <c r="E2533" i="7"/>
  <c r="E158" i="7"/>
  <c r="E973" i="7"/>
  <c r="E2792" i="7"/>
  <c r="E3757" i="7"/>
  <c r="E388" i="7"/>
  <c r="E1530" i="7"/>
  <c r="E1412" i="7"/>
  <c r="E3848" i="7"/>
  <c r="E2078" i="7"/>
  <c r="E2518" i="7"/>
  <c r="E119" i="7"/>
  <c r="E155" i="7"/>
  <c r="E3002" i="7"/>
  <c r="E3027" i="7"/>
  <c r="E2846" i="7"/>
  <c r="E1467" i="7"/>
  <c r="E3307" i="7"/>
  <c r="E1195" i="7"/>
  <c r="E698" i="7"/>
  <c r="E2923" i="7"/>
  <c r="E476" i="7"/>
  <c r="E1643" i="7"/>
  <c r="E2435" i="7"/>
  <c r="E1925" i="7"/>
  <c r="E1031" i="7"/>
  <c r="E3046" i="7"/>
  <c r="E2951" i="7"/>
  <c r="E3499" i="7"/>
  <c r="E3357" i="7"/>
  <c r="E2098" i="7"/>
  <c r="E1404" i="7"/>
  <c r="E2836" i="7"/>
  <c r="E3323" i="7"/>
  <c r="E1287" i="7"/>
  <c r="E3768" i="7"/>
  <c r="E2901" i="7"/>
  <c r="E3737" i="7"/>
  <c r="E3947" i="7"/>
  <c r="E2870" i="7"/>
  <c r="E1159" i="7"/>
  <c r="E3316" i="7"/>
  <c r="E3775" i="7"/>
  <c r="E1873" i="7"/>
  <c r="E1680" i="7"/>
  <c r="E3330" i="7"/>
  <c r="E2467" i="7"/>
  <c r="E2159" i="7"/>
  <c r="E89" i="7"/>
  <c r="E10" i="7"/>
  <c r="E891" i="7"/>
  <c r="E17" i="9"/>
  <c r="E293" i="7"/>
  <c r="E2060" i="7"/>
  <c r="E2974" i="7"/>
  <c r="E570" i="7"/>
  <c r="E3425" i="7"/>
  <c r="E1489" i="7"/>
  <c r="E2704" i="7"/>
  <c r="E697" i="7"/>
  <c r="E4036" i="7"/>
  <c r="E3821" i="7"/>
  <c r="E240" i="7"/>
  <c r="E2917" i="7"/>
  <c r="E472" i="7"/>
  <c r="E1352" i="7"/>
  <c r="E2941" i="7"/>
  <c r="E3223" i="7"/>
  <c r="E3073" i="7"/>
  <c r="E3367" i="7"/>
  <c r="E1868" i="7"/>
  <c r="E126" i="7"/>
  <c r="E3805" i="7"/>
  <c r="E3622" i="7"/>
  <c r="E511" i="7"/>
  <c r="E1861" i="7"/>
  <c r="E3933" i="7"/>
  <c r="D5" i="9"/>
  <c r="E1080" i="7"/>
  <c r="E2838" i="7"/>
  <c r="E85" i="7"/>
  <c r="E3474" i="7"/>
  <c r="E2147" i="7"/>
  <c r="E640" i="7"/>
  <c r="E672" i="7"/>
  <c r="E2315" i="7"/>
  <c r="E2753" i="7"/>
  <c r="E20" i="9"/>
  <c r="E851" i="7"/>
  <c r="E2015" i="7"/>
  <c r="E1996" i="7"/>
  <c r="E2580" i="7"/>
  <c r="E2200" i="7"/>
  <c r="E2539" i="7"/>
  <c r="E1234" i="7"/>
  <c r="E409" i="7"/>
  <c r="E2614" i="7"/>
  <c r="E1422" i="7"/>
  <c r="E3218" i="7"/>
  <c r="E374" i="7"/>
  <c r="E793" i="7"/>
  <c r="E1997" i="7"/>
  <c r="E13" i="7"/>
  <c r="E1704" i="7"/>
  <c r="E4042" i="7"/>
  <c r="E298" i="7"/>
  <c r="E3516" i="7"/>
  <c r="E815" i="7"/>
  <c r="E3128" i="7"/>
  <c r="E3562" i="7"/>
  <c r="E125" i="7"/>
  <c r="E1555" i="7"/>
  <c r="E3854" i="7"/>
  <c r="E2981" i="7"/>
  <c r="E2457" i="7"/>
  <c r="E3703" i="7"/>
  <c r="E3889" i="7"/>
  <c r="E2418" i="7"/>
  <c r="E1760" i="7"/>
  <c r="E2888" i="7"/>
  <c r="E2667" i="7"/>
  <c r="E3434" i="7"/>
  <c r="E2102" i="7"/>
  <c r="E1332" i="7"/>
  <c r="E2574" i="7"/>
  <c r="E3311" i="7"/>
  <c r="E3100" i="7"/>
  <c r="E2717" i="7"/>
  <c r="E3573" i="7"/>
  <c r="E1849" i="7"/>
  <c r="E1457" i="7"/>
  <c r="E426" i="7"/>
  <c r="E1353" i="7"/>
  <c r="E1577" i="7"/>
  <c r="E826" i="7"/>
  <c r="E1472" i="7"/>
  <c r="E4037" i="7"/>
  <c r="E1649" i="7"/>
  <c r="E1721" i="7"/>
  <c r="E3666" i="7"/>
  <c r="E2181" i="7"/>
  <c r="E1019" i="7"/>
  <c r="E435" i="7"/>
  <c r="E1088" i="7"/>
  <c r="E169" i="7"/>
  <c r="E1443" i="7"/>
  <c r="E1122" i="7"/>
  <c r="E1731" i="7"/>
  <c r="E1459" i="7"/>
  <c r="E237" i="7"/>
  <c r="E3503" i="7"/>
  <c r="E1795" i="7"/>
  <c r="E2236" i="7"/>
  <c r="E2123" i="7"/>
  <c r="E1580" i="7"/>
  <c r="E1695" i="7"/>
  <c r="E3019" i="7"/>
  <c r="E1416" i="7"/>
  <c r="E1464" i="7"/>
  <c r="E1013" i="7"/>
  <c r="E2954" i="7"/>
  <c r="E2749" i="7"/>
  <c r="E1676" i="7"/>
  <c r="E332" i="7"/>
  <c r="E847" i="7"/>
  <c r="E538" i="7"/>
  <c r="E482" i="7"/>
  <c r="E3532" i="7"/>
  <c r="E854" i="7"/>
  <c r="E573" i="7"/>
  <c r="E1365" i="7"/>
  <c r="E2732" i="7"/>
  <c r="E2567" i="7"/>
  <c r="E2128" i="7"/>
  <c r="E412" i="7"/>
  <c r="E1650" i="7"/>
  <c r="E2644" i="7"/>
  <c r="E3588" i="7"/>
  <c r="E1040" i="7"/>
  <c r="E199" i="7"/>
  <c r="E2178" i="7"/>
  <c r="E3059" i="7"/>
  <c r="E2247" i="7"/>
  <c r="E407" i="7"/>
  <c r="E1923" i="7"/>
  <c r="E1408" i="7"/>
  <c r="E2396" i="7"/>
  <c r="E1009" i="7"/>
  <c r="E3115" i="7"/>
  <c r="E1221" i="7"/>
  <c r="E91" i="7"/>
  <c r="E1743" i="7"/>
  <c r="E3421" i="7"/>
  <c r="E1944" i="7"/>
  <c r="E3650" i="7"/>
  <c r="E2266" i="7"/>
  <c r="E319" i="7"/>
  <c r="E3960" i="7"/>
  <c r="E800" i="7"/>
  <c r="E3985" i="7"/>
  <c r="E1369" i="7"/>
  <c r="E3245" i="7"/>
  <c r="E988" i="7"/>
  <c r="E1257" i="7"/>
  <c r="E161" i="7"/>
  <c r="E1808" i="7"/>
  <c r="E2797" i="7"/>
  <c r="E1395" i="7"/>
  <c r="E3540" i="7"/>
  <c r="E224" i="7"/>
  <c r="E765" i="7"/>
  <c r="E1864" i="7"/>
  <c r="E241" i="7"/>
  <c r="E2585" i="7"/>
  <c r="E74" i="7"/>
  <c r="E581" i="7"/>
  <c r="E2268" i="7"/>
  <c r="E3831" i="7"/>
  <c r="E2133" i="7"/>
  <c r="E1647" i="7"/>
  <c r="E392" i="7"/>
  <c r="E3418" i="7"/>
  <c r="E4047" i="7"/>
  <c r="E622" i="7"/>
  <c r="E946" i="7"/>
  <c r="E3906" i="7"/>
  <c r="E3627" i="7"/>
  <c r="E974" i="7"/>
  <c r="E286" i="7"/>
  <c r="E2943" i="7"/>
  <c r="E559" i="7"/>
  <c r="E3468" i="7"/>
  <c r="E2534" i="7"/>
  <c r="E952" i="7"/>
  <c r="E628" i="7"/>
  <c r="E1135" i="7"/>
  <c r="E3382" i="7"/>
  <c r="E840" i="7"/>
  <c r="E569" i="7"/>
  <c r="E1371" i="7"/>
  <c r="E1754" i="7"/>
  <c r="E3923" i="7"/>
  <c r="E1593" i="7"/>
  <c r="E1301" i="7"/>
  <c r="E3147" i="7"/>
  <c r="E3661" i="7"/>
  <c r="E2144" i="7"/>
  <c r="E2052" i="7"/>
  <c r="E2260" i="7"/>
  <c r="E1041" i="7"/>
  <c r="E1579" i="7"/>
  <c r="E284" i="7"/>
  <c r="E2976" i="7"/>
  <c r="E907" i="7"/>
  <c r="E272" i="7"/>
  <c r="E2218" i="7"/>
  <c r="E2639" i="7"/>
  <c r="E2685" i="7"/>
  <c r="E3509" i="7"/>
  <c r="E2785" i="7"/>
  <c r="E2735" i="7"/>
  <c r="E2826" i="7"/>
  <c r="E404" i="7"/>
  <c r="E2885" i="7"/>
  <c r="E18" i="7"/>
  <c r="E486" i="7"/>
  <c r="E1638" i="7"/>
  <c r="E1278" i="7"/>
  <c r="E2094" i="7"/>
  <c r="E3539" i="7"/>
  <c r="E2477" i="7"/>
  <c r="E1959" i="7"/>
  <c r="E3239" i="7"/>
  <c r="E2350" i="7"/>
  <c r="E419" i="7"/>
  <c r="E3635" i="7"/>
  <c r="E1703" i="7"/>
  <c r="E2118" i="7"/>
  <c r="E359" i="7"/>
  <c r="E2522" i="7"/>
  <c r="E3800" i="7"/>
  <c r="E2404" i="7"/>
  <c r="E2623" i="7"/>
  <c r="E2961" i="7"/>
  <c r="E641" i="7"/>
  <c r="E2956" i="7"/>
  <c r="E1220" i="7"/>
  <c r="E448" i="7"/>
  <c r="E1433" i="7"/>
  <c r="E841" i="7"/>
  <c r="E2117" i="7"/>
  <c r="E2177" i="7"/>
  <c r="E792" i="7"/>
  <c r="E1673" i="7"/>
  <c r="E3299" i="7"/>
  <c r="E2669" i="7"/>
  <c r="E1214" i="7"/>
  <c r="E1569" i="7"/>
  <c r="E3336" i="7"/>
  <c r="E902" i="7"/>
  <c r="E2018" i="7"/>
  <c r="E2778" i="7"/>
  <c r="E2348" i="7"/>
  <c r="E2096" i="7"/>
  <c r="E372" i="7"/>
  <c r="E1566" i="7"/>
  <c r="E1152" i="7"/>
  <c r="E3694" i="7"/>
  <c r="E3279" i="7"/>
  <c r="E3589" i="7"/>
  <c r="E2011" i="7"/>
  <c r="E3511" i="7"/>
  <c r="E1238" i="7"/>
  <c r="E1497" i="7"/>
  <c r="E3354" i="7"/>
  <c r="E3668" i="7"/>
  <c r="E1826" i="7"/>
  <c r="E2342" i="7"/>
  <c r="E1389" i="7"/>
  <c r="E1549" i="7"/>
  <c r="E2782" i="7"/>
  <c r="E2856" i="7"/>
  <c r="E1480" i="7"/>
  <c r="E1842" i="7"/>
  <c r="E3227" i="7"/>
  <c r="E1793" i="7"/>
  <c r="E135" i="7"/>
  <c r="E1956" i="7"/>
  <c r="E557" i="7"/>
  <c r="E588" i="7"/>
  <c r="E994" i="7"/>
  <c r="E1862" i="7"/>
  <c r="E1044" i="7"/>
  <c r="E1629" i="7"/>
  <c r="E1739" i="7"/>
  <c r="E2397" i="7"/>
  <c r="E1621" i="7"/>
  <c r="E2255" i="7"/>
  <c r="E23" i="7"/>
  <c r="E1372" i="7"/>
  <c r="E2453" i="7"/>
  <c r="E1473" i="7"/>
  <c r="E2688" i="7"/>
  <c r="E1926" i="7"/>
  <c r="E267" i="7"/>
  <c r="E540" i="7"/>
  <c r="E2398" i="7"/>
  <c r="E44" i="7"/>
  <c r="E542" i="7"/>
  <c r="E2044" i="7"/>
  <c r="E3366" i="7"/>
  <c r="E2385" i="7"/>
  <c r="E2621" i="7"/>
  <c r="E2064" i="7"/>
  <c r="E3888" i="7"/>
  <c r="E3033" i="7"/>
  <c r="E3031" i="7"/>
  <c r="E3674" i="7"/>
  <c r="E258" i="7"/>
  <c r="E2526" i="7"/>
  <c r="E3493" i="7"/>
  <c r="E3096" i="7"/>
  <c r="E480" i="7"/>
  <c r="E488" i="7"/>
  <c r="E2283" i="7"/>
  <c r="E3521" i="7"/>
  <c r="E1423" i="7"/>
  <c r="E944" i="7"/>
  <c r="E813" i="7"/>
  <c r="E1752" i="7"/>
  <c r="E3938" i="7"/>
  <c r="E3250" i="7"/>
  <c r="E11" i="7"/>
  <c r="E812" i="7"/>
  <c r="E323" i="7"/>
  <c r="E108" i="7"/>
  <c r="E1783" i="7"/>
  <c r="E3598" i="7"/>
  <c r="E632" i="7"/>
  <c r="E1713" i="7"/>
  <c r="E1183" i="7"/>
  <c r="E2083" i="7"/>
  <c r="E548" i="7"/>
  <c r="E1667" i="7"/>
  <c r="E2340" i="7"/>
  <c r="E3362" i="7"/>
  <c r="E2419" i="7"/>
  <c r="E172" i="7"/>
  <c r="E3209" i="7"/>
  <c r="E715" i="7"/>
  <c r="E2100" i="7"/>
  <c r="E803" i="7"/>
  <c r="E3549" i="7"/>
  <c r="E3043" i="7"/>
  <c r="E1233" i="7"/>
  <c r="E2432" i="7"/>
  <c r="E3327" i="7"/>
  <c r="E3217" i="7"/>
  <c r="E3704" i="7"/>
  <c r="E1310" i="7"/>
  <c r="E760" i="7"/>
  <c r="E1333" i="7"/>
  <c r="E2690" i="7"/>
  <c r="E1867" i="7"/>
  <c r="E228" i="7"/>
  <c r="E1709" i="7"/>
  <c r="E176" i="7"/>
  <c r="E3390" i="7"/>
  <c r="E938" i="7"/>
  <c r="E1280" i="7"/>
  <c r="E1736" i="7"/>
  <c r="E401" i="7"/>
  <c r="E785" i="7"/>
  <c r="E2287" i="7"/>
  <c r="E2695" i="7"/>
  <c r="E1664" i="7"/>
  <c r="E1328" i="7"/>
  <c r="E2942" i="7"/>
  <c r="E3058" i="7"/>
  <c r="E880" i="7"/>
  <c r="E1375" i="7"/>
  <c r="E802" i="7"/>
  <c r="E2115" i="7"/>
  <c r="E3929" i="7"/>
  <c r="E939" i="7"/>
  <c r="E1976" i="7"/>
  <c r="E3813" i="7"/>
  <c r="E3761" i="7"/>
  <c r="E3131" i="7"/>
  <c r="E1759" i="7"/>
  <c r="E3273" i="7"/>
  <c r="E3750" i="7"/>
  <c r="E3391" i="7"/>
  <c r="E3944" i="7"/>
  <c r="E1990" i="7"/>
  <c r="E2860" i="7"/>
  <c r="E3620" i="7"/>
  <c r="E3370" i="7"/>
  <c r="E1317" i="7"/>
  <c r="E611" i="7"/>
  <c r="E1591" i="7"/>
  <c r="E4067" i="7"/>
  <c r="E1061" i="7"/>
  <c r="E549" i="7"/>
  <c r="E527" i="7"/>
  <c r="E618" i="7"/>
  <c r="E127" i="7"/>
  <c r="E585" i="7"/>
  <c r="E623" i="7"/>
  <c r="E2786" i="7"/>
  <c r="E2029" i="7"/>
  <c r="E1632" i="7"/>
  <c r="E1970" i="7"/>
  <c r="E2032" i="7"/>
  <c r="E1816" i="7"/>
  <c r="E2750" i="7"/>
  <c r="E1942" i="7"/>
  <c r="E3969" i="7"/>
  <c r="E4038" i="7"/>
  <c r="E2538" i="7"/>
  <c r="E16" i="7"/>
  <c r="E1745" i="7"/>
  <c r="E1820" i="7"/>
  <c r="E2507" i="7"/>
  <c r="E3137" i="7"/>
  <c r="E2970" i="7"/>
  <c r="E1450" i="7"/>
  <c r="E2438" i="7"/>
  <c r="E301" i="7"/>
  <c r="E1187" i="7"/>
  <c r="E2195" i="7"/>
  <c r="E2091" i="7"/>
  <c r="E2415" i="7"/>
  <c r="E1748" i="7"/>
  <c r="E2116" i="7"/>
  <c r="E402" i="7"/>
  <c r="E383" i="7"/>
  <c r="E2899" i="7"/>
  <c r="E2512" i="7"/>
  <c r="E593" i="7"/>
  <c r="E3183" i="7"/>
  <c r="E182" i="7"/>
  <c r="E3036" i="7"/>
  <c r="E1981" i="7"/>
  <c r="E2270" i="7"/>
  <c r="E3828" i="7"/>
  <c r="E4022" i="7"/>
  <c r="E3548" i="7"/>
  <c r="E363" i="7"/>
  <c r="E1588" i="7"/>
  <c r="E1528" i="7"/>
  <c r="E709" i="7"/>
  <c r="E2944" i="7"/>
  <c r="E2919" i="7"/>
  <c r="E3796" i="7"/>
  <c r="E1495" i="7"/>
  <c r="E1487" i="7"/>
  <c r="E3163" i="7"/>
  <c r="E1938" i="7"/>
  <c r="E1765" i="7"/>
  <c r="E2180" i="7"/>
  <c r="E2605" i="7"/>
  <c r="E2426" i="7"/>
  <c r="E3361" i="7"/>
  <c r="E2620" i="7"/>
  <c r="E1824" i="7"/>
  <c r="E650" i="7"/>
  <c r="E2674" i="7"/>
  <c r="E2466" i="7"/>
  <c r="E3727" i="7"/>
  <c r="E947" i="7"/>
  <c r="E2221" i="7"/>
  <c r="E510" i="7"/>
  <c r="E1785" i="7"/>
  <c r="E2659" i="7"/>
  <c r="E2573" i="7"/>
  <c r="E1160" i="7"/>
  <c r="E3111" i="7"/>
  <c r="E864" i="7"/>
  <c r="E1556" i="7"/>
  <c r="E244" i="7"/>
  <c r="E2279" i="7"/>
  <c r="E1836" i="7"/>
  <c r="E1399" i="7"/>
  <c r="E2697" i="7"/>
  <c r="E888" i="7"/>
  <c r="E2849" i="7"/>
  <c r="E2125" i="7"/>
  <c r="E2020" i="7"/>
  <c r="E4062" i="7"/>
  <c r="E1536" i="7"/>
  <c r="E972" i="7"/>
  <c r="E524" i="7"/>
  <c r="E3491" i="7"/>
  <c r="E1084" i="7"/>
  <c r="E2033" i="7"/>
  <c r="E2511" i="7"/>
  <c r="E1488" i="7"/>
  <c r="E60" i="7"/>
  <c r="E367" i="7"/>
  <c r="E1244" i="7"/>
  <c r="E2160" i="7"/>
  <c r="E1029" i="7"/>
  <c r="E901" i="7"/>
  <c r="D18" i="9"/>
  <c r="E2206" i="7"/>
  <c r="E1174" i="7"/>
  <c r="E1863" i="7"/>
  <c r="E295" i="7"/>
  <c r="E3914" i="7"/>
  <c r="E2556" i="7"/>
  <c r="E3329" i="7"/>
  <c r="E3710" i="7"/>
  <c r="E3249" i="7"/>
  <c r="E1949" i="7"/>
  <c r="E2625" i="7"/>
  <c r="E3364" i="7"/>
  <c r="E1763" i="7"/>
  <c r="E3012" i="7"/>
  <c r="E1576" i="7"/>
  <c r="E850" i="7"/>
  <c r="E3912" i="7"/>
  <c r="E943" i="7"/>
  <c r="E4066" i="7"/>
  <c r="E2120" i="7"/>
  <c r="E3139" i="7"/>
  <c r="E2737" i="7"/>
  <c r="E177" i="7"/>
  <c r="E1749" i="7"/>
  <c r="E1708" i="7"/>
  <c r="E3210" i="7"/>
  <c r="E1282" i="7"/>
  <c r="E1440" i="7"/>
  <c r="E2913" i="7"/>
  <c r="E229" i="7"/>
  <c r="E2412" i="7"/>
  <c r="E3023" i="7"/>
  <c r="E1853" i="7"/>
  <c r="E1102" i="7"/>
  <c r="E387" i="7"/>
  <c r="E3490" i="7"/>
  <c r="E3675" i="7"/>
  <c r="E2175" i="7"/>
  <c r="E1163" i="7"/>
  <c r="E2536" i="7"/>
  <c r="E532" i="7"/>
  <c r="E2993" i="7"/>
  <c r="E2276" i="7"/>
  <c r="E1051" i="7"/>
  <c r="E3544" i="7"/>
  <c r="E2571" i="7"/>
  <c r="E2458" i="7"/>
  <c r="E2728" i="7"/>
  <c r="E805" i="7"/>
  <c r="E414" i="7"/>
  <c r="E3234" i="7"/>
  <c r="E3081" i="7"/>
  <c r="E1738" i="7"/>
  <c r="E34" i="7"/>
  <c r="E2852" i="7"/>
  <c r="E1425" i="7"/>
  <c r="E3651" i="7"/>
  <c r="E3120" i="7"/>
  <c r="E2016" i="7"/>
  <c r="E2822" i="7"/>
  <c r="E875" i="7"/>
  <c r="E3135" i="7"/>
  <c r="E3190" i="7"/>
  <c r="E1142" i="7"/>
  <c r="E16" i="9"/>
  <c r="E3663" i="7"/>
  <c r="E1922" i="7"/>
  <c r="E3465" i="7"/>
  <c r="E4023" i="7"/>
  <c r="E1129" i="7"/>
  <c r="E4003" i="7"/>
  <c r="E2274" i="7"/>
  <c r="E2327" i="7"/>
  <c r="E2726" i="7"/>
  <c r="E349" i="7"/>
  <c r="E3685" i="7"/>
  <c r="E2651" i="7"/>
  <c r="E654" i="7"/>
  <c r="E1870" i="7"/>
  <c r="E1916" i="7"/>
  <c r="E2724" i="7"/>
  <c r="E1560" i="7"/>
  <c r="E606" i="7"/>
  <c r="E43" i="7"/>
  <c r="E3230" i="7"/>
  <c r="E657" i="7"/>
  <c r="E3010" i="7"/>
  <c r="E2470" i="7"/>
  <c r="E1684" i="7"/>
  <c r="E504" i="7"/>
  <c r="E131" i="7"/>
  <c r="E340" i="7"/>
  <c r="E2366" i="7"/>
  <c r="E2930" i="7"/>
  <c r="E3765" i="7"/>
  <c r="E1378" i="7"/>
  <c r="E1298" i="7"/>
  <c r="E1314" i="7"/>
  <c r="E1236" i="7"/>
  <c r="E2363" i="7"/>
  <c r="E390" i="7"/>
  <c r="E2370" i="7"/>
  <c r="E927" i="7"/>
  <c r="E3021" i="7"/>
  <c r="E1778" i="7"/>
  <c r="E996" i="7"/>
  <c r="E300" i="7"/>
  <c r="E1548" i="7"/>
  <c r="E656" i="7"/>
  <c r="E3233" i="7"/>
  <c r="E2858" i="7"/>
  <c r="E714" i="7"/>
  <c r="E3898" i="7"/>
  <c r="E1900" i="7"/>
  <c r="E1563" i="7"/>
  <c r="E861" i="7"/>
  <c r="E852" i="7"/>
  <c r="E1712" i="7"/>
  <c r="E1283" i="7"/>
  <c r="E1838" i="7"/>
  <c r="E1241" i="7"/>
  <c r="E474" i="7"/>
  <c r="E106" i="7"/>
  <c r="E1558" i="7"/>
  <c r="E774" i="7"/>
  <c r="E1474" i="7"/>
  <c r="E2498" i="7"/>
  <c r="E2019" i="7"/>
  <c r="E3025" i="7"/>
  <c r="E2240" i="7"/>
  <c r="E2408" i="7"/>
  <c r="E965" i="7"/>
  <c r="E997" i="7"/>
  <c r="E3835" i="7"/>
  <c r="E1445" i="7"/>
  <c r="E3859" i="7"/>
  <c r="E1069" i="7"/>
  <c r="E2367" i="7"/>
  <c r="E763" i="7"/>
  <c r="E1953" i="7"/>
  <c r="E2057" i="7"/>
  <c r="E786" i="7"/>
  <c r="E2686" i="7"/>
  <c r="E2360" i="7"/>
  <c r="E115" i="7"/>
  <c r="E3581" i="7"/>
  <c r="E1133" i="7"/>
  <c r="E1055" i="7"/>
  <c r="E1527" i="7"/>
  <c r="E2565" i="7"/>
  <c r="E2873" i="7"/>
  <c r="E2168" i="7"/>
  <c r="E1132" i="7"/>
  <c r="E936" i="7"/>
  <c r="E3399" i="7"/>
  <c r="E3791" i="7"/>
  <c r="E1885" i="7"/>
  <c r="E651" i="7"/>
  <c r="E1869" i="7"/>
  <c r="E59" i="7"/>
  <c r="E3730" i="7"/>
  <c r="E3174" i="7"/>
  <c r="E2153" i="7"/>
  <c r="E96" i="7"/>
  <c r="E1259" i="7"/>
  <c r="E3642" i="7"/>
  <c r="E688" i="7"/>
  <c r="E1047" i="7"/>
  <c r="E364" i="7"/>
  <c r="E928" i="7"/>
  <c r="E675" i="7"/>
  <c r="E110" i="7"/>
  <c r="E1224" i="7"/>
  <c r="D21" i="9"/>
  <c r="E3917" i="7"/>
  <c r="E3746" i="7"/>
  <c r="E522" i="7"/>
  <c r="E544" i="7"/>
  <c r="E2216" i="7"/>
  <c r="E1511" i="7"/>
  <c r="E1255" i="7"/>
  <c r="E3928" i="7"/>
  <c r="E3006" i="7"/>
  <c r="E4052" i="7"/>
  <c r="E2766" i="7"/>
  <c r="E3220" i="7"/>
  <c r="E2368" i="7"/>
  <c r="E2635" i="7"/>
  <c r="E711" i="7"/>
  <c r="E2471" i="7"/>
  <c r="E2604" i="7"/>
  <c r="E1941" i="7"/>
  <c r="E3501" i="7"/>
  <c r="E2558" i="7"/>
  <c r="E166" i="7"/>
  <c r="E661" i="7"/>
  <c r="E701" i="7"/>
  <c r="E1636" i="7"/>
  <c r="E2053" i="7"/>
  <c r="E2596" i="7"/>
  <c r="E405" i="7"/>
  <c r="E2140" i="7"/>
  <c r="E411" i="7"/>
  <c r="E1199" i="7"/>
  <c r="E1804" i="7"/>
  <c r="E479" i="7"/>
  <c r="E680" i="7"/>
  <c r="E262" i="7"/>
  <c r="E3007" i="7"/>
  <c r="E147" i="7"/>
  <c r="E862" i="7"/>
  <c r="E124" i="7"/>
  <c r="E2962" i="7"/>
  <c r="E3679" i="7"/>
  <c r="E2916" i="7"/>
  <c r="E4018" i="7"/>
  <c r="E2601" i="7"/>
  <c r="E3747" i="7"/>
  <c r="E3867" i="7"/>
  <c r="E3820" i="7"/>
  <c r="E1073" i="7"/>
  <c r="E3963" i="7"/>
  <c r="E1764" i="7"/>
  <c r="E3705" i="7"/>
  <c r="E2272" i="7"/>
  <c r="E1249" i="7"/>
  <c r="D22" i="9"/>
  <c r="E3407" i="7"/>
  <c r="E2656" i="7"/>
  <c r="E1256" i="7"/>
  <c r="E370" i="7"/>
  <c r="E2764" i="7"/>
  <c r="E2813" i="7"/>
  <c r="E245" i="7"/>
  <c r="E1807" i="7"/>
  <c r="E1866" i="7"/>
  <c r="E3408" i="7"/>
  <c r="E3976" i="7"/>
  <c r="E1663" i="7"/>
  <c r="D7" i="9"/>
  <c r="E1943" i="7"/>
  <c r="E393" i="7"/>
  <c r="E1832" i="7"/>
  <c r="E4055" i="7"/>
  <c r="E478" i="7"/>
  <c r="E317" i="7"/>
  <c r="E1817" i="7"/>
  <c r="E2677" i="7"/>
  <c r="E3566" i="7"/>
  <c r="E3725" i="7"/>
  <c r="E76" i="7"/>
  <c r="E780" i="7"/>
  <c r="E884" i="7"/>
  <c r="E151" i="7"/>
  <c r="E183" i="7"/>
  <c r="E3346" i="7"/>
  <c r="E2007" i="7"/>
  <c r="E3880" i="7"/>
  <c r="E2748" i="7"/>
  <c r="E3257" i="7"/>
  <c r="E3403" i="7"/>
  <c r="E2081" i="7"/>
  <c r="E3242" i="7"/>
  <c r="E1955" i="7"/>
  <c r="E3384" i="7"/>
  <c r="E1245" i="7"/>
  <c r="E2381" i="7"/>
  <c r="E1913" i="7"/>
  <c r="E2606" i="7"/>
  <c r="E2814" i="7"/>
  <c r="E3987" i="7"/>
  <c r="E2506" i="7"/>
  <c r="E3659" i="7"/>
  <c r="E565" i="7"/>
  <c r="E2872" i="7"/>
  <c r="E3851" i="7"/>
  <c r="E809" i="7"/>
  <c r="E1200" i="7"/>
  <c r="E1261" i="7"/>
  <c r="E727" i="7"/>
  <c r="E2066" i="7"/>
  <c r="E1223" i="7"/>
  <c r="E3415" i="7"/>
  <c r="E2559" i="7"/>
  <c r="E2134" i="7"/>
  <c r="E2409" i="7"/>
  <c r="E2076" i="7"/>
  <c r="E355" i="7"/>
  <c r="E985" i="7"/>
  <c r="E3284" i="7"/>
  <c r="E2416" i="7"/>
  <c r="E1716" i="7"/>
  <c r="E473" i="7"/>
  <c r="E311" i="7"/>
  <c r="E693" i="7"/>
  <c r="E3270" i="7"/>
  <c r="E3797" i="7"/>
  <c r="E1210" i="7"/>
  <c r="E3531" i="7"/>
  <c r="E3214" i="7"/>
  <c r="E243" i="7"/>
  <c r="E4029" i="7"/>
  <c r="E2925" i="7"/>
  <c r="E817" i="7"/>
  <c r="E2801" i="7"/>
  <c r="E55" i="7"/>
  <c r="E892" i="7"/>
  <c r="E3185" i="7"/>
  <c r="E403" i="7"/>
  <c r="E572" i="7"/>
  <c r="E1585" i="7"/>
  <c r="E668" i="7"/>
  <c r="E3543" i="7"/>
  <c r="E619" i="7"/>
  <c r="E3786" i="7"/>
  <c r="E90" i="7"/>
  <c r="E1290" i="7"/>
  <c r="E202" i="7"/>
  <c r="E576" i="7"/>
  <c r="E1012" i="7"/>
  <c r="E3142" i="7"/>
  <c r="E3980" i="7"/>
  <c r="E1279" i="7"/>
  <c r="E2059" i="7"/>
  <c r="E2831" i="7"/>
  <c r="E1851" i="7"/>
  <c r="E362" i="7"/>
  <c r="E2097" i="7"/>
  <c r="E874" i="7"/>
  <c r="E483" i="7"/>
  <c r="E1427" i="7"/>
  <c r="E2433" i="7"/>
  <c r="E1537" i="7"/>
  <c r="E3237" i="7"/>
  <c r="E2391" i="7"/>
  <c r="E906" i="7"/>
  <c r="E696" i="7"/>
  <c r="E2142" i="7"/>
  <c r="E3170" i="7"/>
  <c r="E2918" i="7"/>
  <c r="E3788" i="7"/>
  <c r="E3198" i="7"/>
  <c r="E105" i="7"/>
  <c r="E546" i="7"/>
  <c r="E2295" i="7"/>
  <c r="E1987" i="7"/>
  <c r="E3093" i="7"/>
  <c r="E924" i="7"/>
  <c r="E2967" i="7"/>
  <c r="E2267" i="7"/>
  <c r="E2548" i="7"/>
  <c r="E440" i="7"/>
  <c r="E2170" i="7"/>
  <c r="E2284" i="7"/>
  <c r="E1225" i="7"/>
  <c r="E1254" i="7"/>
  <c r="E3240" i="7"/>
  <c r="E3487" i="7"/>
  <c r="E3590" i="7"/>
  <c r="E3014" i="7"/>
  <c r="E15" i="9"/>
  <c r="E2773" i="7"/>
  <c r="E643" i="7"/>
  <c r="E1897" i="7"/>
  <c r="E1376" i="7"/>
  <c r="E3248" i="7"/>
  <c r="E777" i="7"/>
  <c r="D17" i="9"/>
  <c r="D10" i="9"/>
  <c r="E71" i="7"/>
  <c r="E40" i="7"/>
  <c r="E1988" i="7"/>
  <c r="E1523" i="7"/>
  <c r="E2640" i="7"/>
  <c r="E3422" i="7"/>
  <c r="E3631" i="7"/>
  <c r="E3016" i="7"/>
  <c r="E386" i="7"/>
  <c r="E3292" i="7"/>
  <c r="E2857" i="7"/>
  <c r="E2259" i="7"/>
  <c r="E2104" i="7"/>
  <c r="E2776" i="7"/>
  <c r="E1872" i="7"/>
  <c r="E1781" i="7"/>
  <c r="E552" i="7"/>
  <c r="E664" i="7"/>
  <c r="E3811" i="7"/>
  <c r="E3806" i="7"/>
  <c r="E1787" i="7"/>
  <c r="E1288" i="7"/>
  <c r="E3335" i="7"/>
  <c r="E3557" i="7"/>
  <c r="E2061" i="7"/>
  <c r="E1654" i="7"/>
  <c r="E102" i="7"/>
  <c r="E1289" i="7"/>
  <c r="E3479" i="7"/>
  <c r="E2678" i="7"/>
  <c r="E3186" i="7"/>
  <c r="E1307" i="7"/>
  <c r="E24" i="7"/>
  <c r="E179" i="7"/>
  <c r="E1411" i="7"/>
  <c r="E2005" i="7"/>
  <c r="E1151" i="7"/>
  <c r="E1383" i="7"/>
  <c r="E2607" i="7"/>
  <c r="E989" i="7"/>
  <c r="E2226" i="7"/>
  <c r="E1888" i="7"/>
  <c r="E3636" i="7"/>
  <c r="E871" i="7"/>
  <c r="E2663" i="7"/>
  <c r="E2733" i="7"/>
  <c r="E378" i="7"/>
  <c r="E2744" i="7"/>
  <c r="E1599" i="7"/>
  <c r="E491" i="7"/>
  <c r="E2126" i="7"/>
  <c r="E2184" i="7"/>
  <c r="E2271" i="7"/>
  <c r="E13" i="9"/>
  <c r="E1087" i="7"/>
  <c r="E3583" i="7"/>
  <c r="E3717" i="7"/>
  <c r="E1054" i="7"/>
  <c r="E2819" i="7"/>
  <c r="E2850" i="7"/>
  <c r="E1319" i="7"/>
  <c r="E2984" i="7"/>
  <c r="E3608" i="7"/>
  <c r="E2293" i="7"/>
  <c r="E3678" i="7"/>
  <c r="E2802" i="7"/>
  <c r="E2696" i="7"/>
  <c r="E3577" i="7"/>
  <c r="E459" i="7"/>
  <c r="E1776" i="7"/>
  <c r="E1756" i="7"/>
  <c r="E385" i="7"/>
  <c r="E1182" i="7"/>
  <c r="E564" i="7"/>
  <c r="E1148" i="7"/>
  <c r="E1670" i="7"/>
  <c r="E2488" i="7"/>
  <c r="E1792" i="7"/>
  <c r="E1601" i="7"/>
  <c r="E2228" i="7"/>
  <c r="E1717" i="7"/>
  <c r="E2275" i="7"/>
  <c r="E3154" i="7"/>
  <c r="E1803" i="7"/>
  <c r="E2612" i="7"/>
  <c r="E911" i="7"/>
  <c r="E1484" i="7"/>
  <c r="E948" i="7"/>
  <c r="E3101" i="7"/>
  <c r="E2038" i="7"/>
  <c r="E3808" i="7"/>
  <c r="E857" i="7"/>
  <c r="E192" i="7"/>
  <c r="E1175" i="7"/>
  <c r="E2866" i="7"/>
  <c r="E1766" i="7"/>
  <c r="E2041" i="7"/>
  <c r="E605" i="7"/>
  <c r="E3647" i="7"/>
  <c r="E1120" i="7"/>
  <c r="E2493" i="7"/>
  <c r="E3751" i="7"/>
  <c r="E3460" i="7"/>
  <c r="E285" i="7"/>
  <c r="D13" i="9"/>
  <c r="E2692" i="7"/>
  <c r="E1456" i="7"/>
  <c r="E1786" i="7"/>
  <c r="E104" i="7"/>
  <c r="E1482" i="7"/>
  <c r="E2772" i="7"/>
  <c r="E232" i="7"/>
  <c r="E1197" i="7"/>
  <c r="E410" i="7"/>
  <c r="E3618" i="7"/>
  <c r="E2946" i="7"/>
  <c r="E3328" i="7"/>
  <c r="E879" i="7"/>
  <c r="E416" i="7"/>
  <c r="E3709" i="7"/>
  <c r="E2664" i="7"/>
  <c r="E705" i="7"/>
  <c r="E942" i="7"/>
  <c r="E1324" i="7"/>
  <c r="E1325" i="7"/>
  <c r="E484" i="7"/>
  <c r="E739" i="7"/>
  <c r="E49" i="7"/>
  <c r="E2765" i="7"/>
  <c r="E2227" i="7"/>
  <c r="E830" i="7"/>
  <c r="E1515" i="7"/>
  <c r="E3538" i="7"/>
  <c r="E2890" i="7"/>
  <c r="E3973" i="7"/>
  <c r="E2490" i="7"/>
  <c r="E3085" i="7"/>
  <c r="E3110" i="7"/>
  <c r="E3733" i="7"/>
  <c r="E2304" i="7"/>
  <c r="E829" i="7"/>
  <c r="E424" i="7"/>
  <c r="E3146" i="7"/>
  <c r="E4049" i="7"/>
  <c r="E1609" i="7"/>
  <c r="E431" i="7"/>
  <c r="E920" i="7"/>
  <c r="E1859" i="7"/>
  <c r="E2879" i="7"/>
  <c r="E2622" i="7"/>
  <c r="E2517" i="7"/>
  <c r="E287" i="7"/>
  <c r="E1021" i="7"/>
  <c r="E4063" i="7"/>
  <c r="E1672" i="7"/>
  <c r="E2070" i="7"/>
  <c r="E1320" i="7"/>
  <c r="E1773" i="7"/>
  <c r="E1957" i="7"/>
  <c r="E1504" i="7"/>
  <c r="E397" i="7"/>
  <c r="E2330" i="7"/>
  <c r="E2527" i="7"/>
  <c r="E3133" i="7"/>
  <c r="E1508" i="7"/>
  <c r="E1567" i="7"/>
  <c r="E3001" i="7"/>
  <c r="E238" i="7"/>
  <c r="E1920" i="7"/>
  <c r="E2155" i="7"/>
  <c r="E783" i="7"/>
  <c r="E2553" i="7"/>
  <c r="E3320" i="7"/>
  <c r="E21" i="7"/>
  <c r="E3349" i="7"/>
  <c r="E3657" i="7"/>
  <c r="E3629" i="7"/>
  <c r="E296" i="7"/>
  <c r="E3126" i="7"/>
  <c r="E171" i="7"/>
  <c r="E1063" i="7"/>
  <c r="E3739" i="7"/>
  <c r="E3275" i="7"/>
  <c r="E3228" i="7"/>
  <c r="E1685" i="7"/>
  <c r="E644" i="7"/>
  <c r="E1222" i="7"/>
  <c r="E3044" i="7"/>
  <c r="E1049" i="7"/>
  <c r="E3331" i="7"/>
  <c r="E1843" i="7"/>
  <c r="E113" i="7"/>
  <c r="E1540" i="7"/>
  <c r="E260" i="7"/>
  <c r="E2012" i="7"/>
  <c r="E3483" i="7"/>
  <c r="E2480" i="7"/>
  <c r="E1185" i="7"/>
  <c r="E306" i="7"/>
  <c r="E976" i="7"/>
  <c r="E784" i="7"/>
  <c r="E3386" i="7"/>
  <c r="E1895" i="7"/>
  <c r="E4069" i="7"/>
  <c r="E290" i="7"/>
  <c r="E234" i="7"/>
  <c r="E2510" i="7"/>
  <c r="E54" i="7"/>
  <c r="E2864" i="7"/>
  <c r="E986" i="7"/>
  <c r="E746" i="7"/>
  <c r="E195" i="7"/>
  <c r="E1890" i="7"/>
  <c r="E2830" i="7"/>
  <c r="E1751" i="7"/>
  <c r="E109" i="7"/>
  <c r="E1258" i="7"/>
  <c r="E535" i="7"/>
  <c r="E798" i="7"/>
  <c r="E112" i="7"/>
  <c r="E723" i="7"/>
  <c r="E1682" i="7"/>
  <c r="E1726" i="7"/>
  <c r="E567" i="7"/>
  <c r="E1596" i="7"/>
  <c r="E2754" i="7"/>
  <c r="E1847" i="7"/>
  <c r="E3550" i="7"/>
  <c r="E512" i="7"/>
  <c r="E1299" i="7"/>
  <c r="E1442" i="7"/>
  <c r="E1633" i="7"/>
  <c r="E751" i="7"/>
  <c r="E1262" i="7"/>
  <c r="E2234" i="7"/>
  <c r="E331" i="7"/>
  <c r="E890" i="7"/>
  <c r="E1441" i="7"/>
  <c r="E1211" i="7"/>
  <c r="E1125" i="7"/>
  <c r="E1114" i="7"/>
  <c r="E3056" i="7"/>
  <c r="E2171" i="7"/>
  <c r="E3512" i="7"/>
  <c r="E2127" i="7"/>
  <c r="E3317" i="7"/>
  <c r="E1481" i="7"/>
  <c r="E2501" i="7"/>
  <c r="E51" i="7"/>
  <c r="E2004" i="7"/>
  <c r="E547" i="7"/>
  <c r="E1113" i="7"/>
  <c r="E639" i="7"/>
  <c r="E1024" i="7"/>
  <c r="E2103" i="7"/>
  <c r="E1883" i="7"/>
  <c r="E3379" i="7"/>
  <c r="E2833" i="7"/>
  <c r="E1071" i="7"/>
  <c r="E3686" i="7"/>
  <c r="E22" i="7"/>
  <c r="E2927" i="7"/>
  <c r="E967" i="7"/>
  <c r="E1639" i="7"/>
  <c r="E1145" i="7"/>
  <c r="E1603" i="7"/>
  <c r="E2303" i="7"/>
  <c r="E3381" i="7"/>
  <c r="E3480" i="7"/>
  <c r="E1881" i="7"/>
  <c r="E3207" i="7"/>
  <c r="E2122" i="7"/>
  <c r="E3951" i="7"/>
  <c r="E2531" i="7"/>
  <c r="E420" i="7"/>
  <c r="E299" i="7"/>
  <c r="E2080" i="7"/>
  <c r="E3964" i="7"/>
  <c r="E2555" i="7"/>
  <c r="E1973" i="7"/>
  <c r="E518" i="7"/>
  <c r="E1329" i="7"/>
  <c r="E288" i="7"/>
  <c r="E1157" i="7"/>
  <c r="E2014" i="7"/>
  <c r="E582" i="7"/>
  <c r="E883" i="7"/>
  <c r="E3612" i="7"/>
  <c r="E3576" i="7"/>
  <c r="E3343" i="7"/>
  <c r="E3035" i="7"/>
  <c r="E1247" i="7"/>
  <c r="E2805" i="7"/>
  <c r="E218" i="7"/>
  <c r="E3022" i="7"/>
  <c r="E822" i="7"/>
  <c r="E1813" i="7"/>
  <c r="E193" i="7"/>
  <c r="E219" i="7"/>
  <c r="E2208" i="7"/>
  <c r="E2355" i="7"/>
  <c r="E3527" i="7"/>
  <c r="E1166" i="7"/>
  <c r="E614" i="7"/>
  <c r="E513" i="7"/>
  <c r="E3086" i="7"/>
  <c r="E3444" i="7"/>
  <c r="E1300" i="7"/>
  <c r="E266" i="7"/>
  <c r="E2996" i="7"/>
  <c r="E555" i="7"/>
  <c r="E2524" i="7"/>
  <c r="E2914" i="7"/>
  <c r="E1409" i="7"/>
  <c r="E1686" i="7"/>
  <c r="D15" i="9"/>
  <c r="E999" i="7"/>
  <c r="E2308" i="7"/>
  <c r="E2824" i="7"/>
  <c r="E1281" i="7"/>
  <c r="E3008" i="7"/>
  <c r="E3585" i="7"/>
  <c r="E2335" i="7"/>
  <c r="E2770" i="7"/>
  <c r="E3112" i="7"/>
  <c r="E663" i="7"/>
  <c r="E282" i="7"/>
  <c r="E3790" i="7"/>
  <c r="E3394" i="7"/>
  <c r="E2306" i="7"/>
  <c r="E2473" i="7"/>
  <c r="E1830" i="7"/>
  <c r="E2812" i="7"/>
  <c r="E325" i="7"/>
  <c r="E2989" i="7"/>
  <c r="E1162" i="7"/>
  <c r="E2151" i="7"/>
  <c r="E771" i="7"/>
  <c r="E607" i="7"/>
  <c r="E3145" i="7"/>
  <c r="E3376" i="7"/>
  <c r="E526" i="7"/>
  <c r="E1602" i="7"/>
  <c r="E3535" i="7"/>
  <c r="E3029" i="7"/>
  <c r="E3345" i="7"/>
  <c r="E845" i="7"/>
  <c r="E2950" i="7"/>
  <c r="E396" i="7"/>
  <c r="E831" i="7"/>
  <c r="E1294" i="7"/>
  <c r="E189" i="7"/>
  <c r="E1103" i="7"/>
  <c r="E2940" i="7"/>
  <c r="E2530" i="7"/>
  <c r="E1147" i="7"/>
  <c r="E2138" i="7"/>
  <c r="E134" i="7"/>
  <c r="E247" i="7"/>
  <c r="E658" i="7"/>
  <c r="E1797" i="7"/>
  <c r="E1884" i="7"/>
  <c r="E2736" i="7"/>
  <c r="E2675" i="7"/>
  <c r="E3298" i="7"/>
  <c r="E3161" i="7"/>
  <c r="E3206" i="7"/>
  <c r="E3071" i="7"/>
  <c r="E2326" i="7"/>
  <c r="E2369" i="7"/>
  <c r="E3013" i="7"/>
  <c r="E599" i="7"/>
  <c r="E2658" i="7"/>
  <c r="E354" i="7"/>
  <c r="E652" i="7"/>
  <c r="E174" i="7"/>
  <c r="E3226" i="7"/>
  <c r="E3070" i="7"/>
  <c r="E1448" i="7"/>
  <c r="E2141" i="7"/>
  <c r="E1491" i="7"/>
  <c r="E1937" i="7"/>
  <c r="E3350" i="7"/>
  <c r="E584" i="7"/>
  <c r="E814" i="7"/>
  <c r="E233" i="7"/>
  <c r="E1681" i="7"/>
  <c r="E1387" i="7"/>
  <c r="E959" i="7"/>
  <c r="E1706" i="7"/>
  <c r="E3288" i="7"/>
  <c r="E463" i="7"/>
  <c r="E231" i="7"/>
  <c r="E978" i="7"/>
  <c r="E2611" i="7"/>
  <c r="E825" i="7"/>
  <c r="E736" i="7"/>
  <c r="E2460" i="7"/>
  <c r="E4053" i="7"/>
  <c r="E2050" i="7"/>
  <c r="E3272" i="7"/>
  <c r="D6" i="9"/>
  <c r="E3793" i="7"/>
  <c r="E3850" i="7"/>
  <c r="E3072" i="7"/>
  <c r="E1845" i="7"/>
  <c r="E3771" i="7"/>
  <c r="E62" i="7"/>
  <c r="E2009" i="7"/>
  <c r="E648" i="7"/>
  <c r="E1046" i="7"/>
  <c r="E941" i="7"/>
  <c r="E1991" i="7"/>
  <c r="E3162" i="7"/>
  <c r="E2095" i="7"/>
  <c r="E3754" i="7"/>
  <c r="E991" i="7"/>
  <c r="E2598" i="7"/>
  <c r="E1446" i="7"/>
  <c r="E2720" i="7"/>
  <c r="E1581" i="7"/>
  <c r="E6" i="9"/>
  <c r="E1218" i="7"/>
  <c r="E3616" i="7"/>
  <c r="E1374" i="7"/>
  <c r="E1134" i="7"/>
  <c r="E421" i="7"/>
  <c r="E2230" i="7"/>
  <c r="E2939" i="7"/>
  <c r="E1541" i="7"/>
  <c r="E3309" i="7"/>
  <c r="E1064" i="7"/>
  <c r="E1614" i="7"/>
  <c r="E2121" i="7"/>
  <c r="E1640" i="7"/>
  <c r="E3478" i="7"/>
  <c r="E2762" i="7"/>
  <c r="E1065" i="7"/>
  <c r="E496" i="7"/>
  <c r="E545" i="7"/>
  <c r="E1887" i="7"/>
  <c r="E1346" i="7"/>
  <c r="E2806" i="7"/>
  <c r="E1660" i="7"/>
  <c r="E2364" i="7"/>
  <c r="E1391" i="7"/>
  <c r="E2973" i="7"/>
  <c r="E3052" i="7"/>
  <c r="E1227" i="7"/>
  <c r="E2294" i="7"/>
  <c r="E3537" i="7"/>
  <c r="E1351" i="7"/>
  <c r="E211" i="7"/>
  <c r="E2768" i="7"/>
  <c r="E1974" i="7"/>
  <c r="E502" i="7"/>
  <c r="E1904" i="7"/>
  <c r="E1507" i="7"/>
  <c r="E574" i="7"/>
  <c r="E21" i="9"/>
  <c r="E1714" i="7"/>
  <c r="E1568" i="7"/>
  <c r="E2205" i="7"/>
  <c r="E254" i="7"/>
  <c r="E361" i="7"/>
  <c r="E1510" i="7"/>
  <c r="E3645" i="7"/>
  <c r="E1478" i="7"/>
  <c r="E1364" i="7"/>
  <c r="E2339" i="7"/>
  <c r="E3333" i="7"/>
  <c r="E1118" i="7"/>
  <c r="E1396" i="7"/>
  <c r="E2825" i="7"/>
  <c r="E2693" i="7"/>
  <c r="E2554" i="7"/>
  <c r="E2847" i="7"/>
  <c r="E3719" i="7"/>
  <c r="E2998" i="7"/>
  <c r="E3984" i="7"/>
  <c r="E1902" i="7"/>
  <c r="E3524" i="7"/>
  <c r="E2379" i="7"/>
  <c r="E3670" i="7"/>
  <c r="E45" i="7"/>
  <c r="E839" i="7"/>
  <c r="E220" i="7"/>
  <c r="E227" i="7"/>
  <c r="E3278" i="7"/>
  <c r="E163" i="7"/>
  <c r="E3047" i="7"/>
  <c r="E3098" i="7"/>
  <c r="E3619" i="7"/>
  <c r="E70" i="7"/>
  <c r="E975" i="7"/>
  <c r="E400" i="7"/>
  <c r="E598" i="7"/>
  <c r="E1730" i="7"/>
  <c r="E3571" i="7"/>
  <c r="E1794" i="7"/>
  <c r="E3680" i="7"/>
  <c r="E865" i="7"/>
  <c r="E1829" i="7"/>
  <c r="E2046" i="7"/>
  <c r="E3801" i="7"/>
  <c r="E1271" i="7"/>
  <c r="E3591" i="7"/>
  <c r="E3770" i="7"/>
  <c r="E1104" i="7"/>
  <c r="E1761" i="7"/>
  <c r="E1742" i="7"/>
  <c r="E1390" i="7"/>
  <c r="E2811" i="7"/>
  <c r="E3083" i="7"/>
  <c r="E3970" i="7"/>
  <c r="E30" i="7"/>
  <c r="E1405" i="7"/>
  <c r="E3809" i="7"/>
  <c r="E1982" i="7"/>
  <c r="E2650" i="7"/>
  <c r="E3087" i="7"/>
  <c r="E1033" i="7"/>
  <c r="E2535" i="7"/>
  <c r="E3385" i="7"/>
  <c r="E2352" i="7"/>
  <c r="E3743" i="7"/>
  <c r="E635" i="7"/>
  <c r="E2549" i="7"/>
  <c r="E2258" i="7"/>
  <c r="E88" i="7"/>
  <c r="E707" i="7"/>
  <c r="E1121" i="7"/>
  <c r="E2075" i="7"/>
  <c r="E4043" i="7"/>
  <c r="E2780" i="7"/>
  <c r="E3459" i="7"/>
  <c r="E1735" i="7"/>
  <c r="E1724" i="7"/>
  <c r="E4032" i="7"/>
  <c r="E1505" i="7"/>
  <c r="E3693" i="7"/>
  <c r="E201" i="7"/>
  <c r="E1600" i="7"/>
  <c r="E3076" i="7"/>
  <c r="E334" i="7"/>
  <c r="E1918" i="7"/>
  <c r="E970" i="7"/>
  <c r="E1678" i="7"/>
  <c r="E1092" i="7"/>
  <c r="E1741" i="7"/>
  <c r="E443" i="7"/>
  <c r="E2542" i="7"/>
  <c r="E910" i="7"/>
  <c r="E1509" i="7"/>
  <c r="E2289" i="7"/>
  <c r="E2541" i="7"/>
  <c r="E2243" i="7"/>
  <c r="E394" i="7"/>
  <c r="E2380" i="7"/>
  <c r="E1989" i="7"/>
  <c r="E3102" i="7"/>
  <c r="E356" i="7"/>
  <c r="E2190" i="7"/>
  <c r="E923" i="7"/>
  <c r="E1777" i="7"/>
  <c r="E2966" i="7"/>
  <c r="E292" i="7"/>
  <c r="E1559" i="7"/>
  <c r="E1313" i="7"/>
  <c r="E1823" i="7"/>
  <c r="E718" i="7"/>
  <c r="E3595" i="7"/>
  <c r="E2723" i="7"/>
  <c r="E1293" i="7"/>
  <c r="E1929" i="7"/>
  <c r="E2252" i="7"/>
  <c r="E75" i="7"/>
  <c r="E507" i="7"/>
  <c r="E3482" i="7"/>
  <c r="E801" i="7"/>
  <c r="E617" i="7"/>
  <c r="E1499" i="7"/>
  <c r="E2136" i="7"/>
  <c r="E702" i="7"/>
  <c r="E2572" i="7"/>
  <c r="E1542" i="7"/>
  <c r="E634" i="7"/>
  <c r="E2084" i="7"/>
  <c r="E2931" i="7"/>
  <c r="E2880" i="7"/>
  <c r="E2681" i="7"/>
  <c r="E3447" i="7"/>
  <c r="E740" i="7"/>
  <c r="E713" i="7"/>
  <c r="E2642" i="7"/>
  <c r="E2683" i="7"/>
  <c r="E3438" i="7"/>
  <c r="E2384" i="7"/>
  <c r="E1219" i="7"/>
  <c r="E1772" i="7"/>
  <c r="E2668" i="7"/>
  <c r="E4006" i="7"/>
  <c r="E2594" i="7"/>
  <c r="E3634" i="7"/>
  <c r="E1521" i="7"/>
  <c r="E305" i="7"/>
  <c r="E3461" i="7"/>
  <c r="E626" i="7"/>
  <c r="E2487" i="7"/>
  <c r="E2188" i="7"/>
  <c r="E2207" i="7"/>
  <c r="D9" i="9"/>
  <c r="E345" i="7"/>
  <c r="E3578" i="7"/>
  <c r="E56" i="7"/>
  <c r="E3946" i="7"/>
  <c r="E3787" i="7"/>
  <c r="E1642" i="7"/>
  <c r="E3246" i="7"/>
  <c r="E1891" i="7"/>
  <c r="E1806" i="7"/>
  <c r="E3910" i="7"/>
  <c r="E2400" i="7"/>
  <c r="E1641" i="7"/>
  <c r="E294" i="7"/>
  <c r="E1158" i="7"/>
  <c r="E1901" i="7"/>
  <c r="E662" i="7"/>
  <c r="E913" i="7"/>
  <c r="E3927" i="7"/>
  <c r="E499" i="7"/>
  <c r="E2581" i="7"/>
  <c r="E3894" i="7"/>
  <c r="E980" i="7"/>
  <c r="E2552" i="7"/>
  <c r="E3507" i="7"/>
  <c r="E625" i="7"/>
  <c r="E1940" i="7"/>
  <c r="E2254" i="7"/>
  <c r="E1905" i="7"/>
  <c r="E462" i="7"/>
  <c r="E3658" i="7"/>
  <c r="E120" i="7"/>
  <c r="E274" i="7"/>
  <c r="E587" i="7"/>
  <c r="E2300" i="7"/>
  <c r="E1059" i="7"/>
  <c r="E3306" i="7"/>
  <c r="E1140" i="7"/>
  <c r="E92" i="7"/>
  <c r="E1331" i="7"/>
  <c r="E1184" i="7"/>
  <c r="E1958" i="7"/>
  <c r="E2475" i="7"/>
  <c r="E3839" i="7"/>
  <c r="E460" i="7"/>
  <c r="E1439" i="7"/>
  <c r="E3935" i="7"/>
  <c r="E561" i="7"/>
  <c r="E2742" i="7"/>
  <c r="E31" i="7"/>
  <c r="E2741" i="7"/>
  <c r="E1762" i="7"/>
  <c r="E995" i="7"/>
  <c r="E3450" i="7"/>
  <c r="E2583" i="7"/>
  <c r="E3469" i="7"/>
  <c r="E455" i="7"/>
  <c r="E3042" i="7"/>
  <c r="E2183" i="7"/>
  <c r="E945" i="7"/>
  <c r="E2666" i="7"/>
  <c r="E3877" i="7"/>
  <c r="D20" i="9"/>
  <c r="E2752" i="7"/>
  <c r="E788" i="7"/>
  <c r="E873" i="7"/>
  <c r="E721" i="7"/>
  <c r="E98" i="7"/>
  <c r="E824" i="7"/>
  <c r="E2148" i="7"/>
  <c r="E2322" i="7"/>
  <c r="E1892" i="7"/>
  <c r="E2980" i="7"/>
  <c r="E2042" i="7"/>
  <c r="E22" i="9"/>
  <c r="E1105" i="7"/>
  <c r="E3602" i="7"/>
  <c r="E1188" i="7"/>
  <c r="E983" i="7"/>
  <c r="E2589" i="7"/>
  <c r="E456" i="7"/>
  <c r="E3032" i="7"/>
  <c r="E3439" i="7"/>
  <c r="E2699" i="7"/>
  <c r="E498" i="7"/>
  <c r="E2225" i="7"/>
  <c r="E1194" i="7"/>
  <c r="E2566" i="7"/>
  <c r="E453" i="7"/>
  <c r="E2307" i="7"/>
  <c r="E2747" i="7"/>
  <c r="E2314" i="7"/>
  <c r="E2769" i="7"/>
  <c r="E175" i="7"/>
  <c r="E457" i="7"/>
  <c r="E1171" i="7"/>
  <c r="E1172" i="7"/>
  <c r="E187" i="7"/>
  <c r="E283" i="7"/>
  <c r="E291" i="7"/>
  <c r="E2746" i="7"/>
  <c r="E846" i="7"/>
  <c r="E660" i="7"/>
  <c r="E823" i="7"/>
  <c r="E3427" i="7"/>
  <c r="E1050" i="7"/>
  <c r="E1954" i="7"/>
  <c r="E742" i="7"/>
  <c r="E772" i="7"/>
  <c r="E3665" i="7"/>
  <c r="E2461" i="7"/>
  <c r="E78" i="7"/>
  <c r="E3213" i="7"/>
  <c r="E2485" i="7"/>
  <c r="E408" i="7"/>
  <c r="E1825" i="7"/>
  <c r="E764" i="7"/>
  <c r="E1947" i="7"/>
  <c r="E371" i="7"/>
  <c r="E4039" i="7"/>
  <c r="E271" i="7"/>
  <c r="E1154" i="7"/>
  <c r="E3781" i="7"/>
  <c r="E519" i="7"/>
  <c r="E3303" i="7"/>
  <c r="E336" i="7"/>
  <c r="E1932" i="7"/>
  <c r="E1322" i="7"/>
  <c r="E2043" i="7"/>
  <c r="E1336" i="7"/>
  <c r="E2446" i="7"/>
  <c r="E1628" i="7"/>
  <c r="E205" i="7"/>
  <c r="E3633" i="7"/>
  <c r="E1344" i="7"/>
  <c r="E1674" i="7"/>
  <c r="E196" i="7"/>
  <c r="E3039" i="7"/>
  <c r="E154" i="7"/>
  <c r="E3374" i="7"/>
  <c r="E2820" i="7"/>
  <c r="E1028" i="7"/>
  <c r="E2848" i="7"/>
  <c r="E333" i="7"/>
  <c r="E1189" i="7"/>
  <c r="E3498" i="7"/>
  <c r="E738" i="7"/>
  <c r="E3829" i="7"/>
  <c r="E4054" i="7"/>
  <c r="E1524" i="7"/>
  <c r="E2107" i="7"/>
  <c r="E766" i="7"/>
  <c r="E312" i="7"/>
  <c r="E2237" i="7"/>
  <c r="E833" i="7"/>
  <c r="E2265" i="7"/>
  <c r="E200" i="7"/>
  <c r="E858" i="7"/>
  <c r="E3861" i="7"/>
  <c r="E2682" i="7"/>
  <c r="E1645" i="7"/>
  <c r="E3918" i="7"/>
  <c r="E29" i="7"/>
  <c r="E2818" i="7"/>
  <c r="E868" i="7"/>
  <c r="E1818" i="7"/>
  <c r="E2393" i="7"/>
  <c r="E2503" i="7"/>
  <c r="E1880" i="7"/>
  <c r="E2597" i="7"/>
  <c r="E2036" i="7"/>
  <c r="E2472" i="7"/>
  <c r="E3486" i="7"/>
  <c r="E1438" i="7"/>
  <c r="E1111" i="7"/>
  <c r="E2233" i="7"/>
  <c r="E3199" i="7"/>
  <c r="E321" i="7"/>
  <c r="E2235" i="7"/>
  <c r="E3841" i="7"/>
  <c r="E2087" i="7"/>
  <c r="E979" i="7"/>
  <c r="E646" i="7"/>
  <c r="E3196" i="7"/>
  <c r="E1840" i="7"/>
  <c r="E4021" i="7"/>
  <c r="E2325" i="7"/>
  <c r="E3412" i="7"/>
  <c r="E2321" i="7"/>
  <c r="E2794" i="7"/>
  <c r="E3417" i="7"/>
  <c r="E1615" i="7"/>
  <c r="E708" i="7"/>
  <c r="E768" i="7"/>
  <c r="E297" i="7"/>
  <c r="E1042" i="7"/>
  <c r="E1018" i="7"/>
  <c r="E263" i="7"/>
  <c r="E3518" i="7"/>
  <c r="E3563" i="7"/>
  <c r="E197" i="7"/>
  <c r="E2995" i="7"/>
  <c r="E1435" i="7"/>
  <c r="E1469" i="7"/>
  <c r="E3640" i="7"/>
  <c r="E156" i="7"/>
  <c r="E2063" i="7"/>
  <c r="E152" i="7"/>
  <c r="E423" i="7"/>
  <c r="E741" i="7"/>
  <c r="E82" i="7"/>
  <c r="E1354" i="7"/>
  <c r="E1342" i="7"/>
  <c r="E882" i="7"/>
  <c r="E1242" i="7"/>
  <c r="E1393" i="7"/>
  <c r="E2318" i="7"/>
  <c r="E3551" i="7"/>
  <c r="E1217" i="7"/>
  <c r="E2291" i="7"/>
  <c r="E278" i="7"/>
  <c r="E2090" i="7"/>
  <c r="E2143" i="7"/>
  <c r="E93" i="7"/>
  <c r="E1535" i="7"/>
  <c r="E3756" i="7"/>
  <c r="E3777" i="7"/>
  <c r="E2436" i="7"/>
  <c r="E794" i="7"/>
  <c r="E2112" i="7"/>
  <c r="E501" i="7"/>
  <c r="E3455" i="7"/>
  <c r="E3339" i="7"/>
  <c r="E2069" i="7"/>
  <c r="E1914" i="7"/>
  <c r="E728" i="7"/>
  <c r="E602" i="7"/>
  <c r="E1180" i="7"/>
  <c r="E36" i="7"/>
  <c r="E1131" i="7"/>
  <c r="E2017" i="7"/>
  <c r="E704" i="7"/>
  <c r="E121" i="7"/>
  <c r="E3061" i="7"/>
  <c r="E1688" i="7"/>
  <c r="E100" i="7"/>
  <c r="E99" i="7"/>
  <c r="E969" i="7"/>
  <c r="E3224" i="7"/>
  <c r="E3977" i="7"/>
  <c r="E2192" i="7"/>
  <c r="E198" i="7"/>
  <c r="E2320" i="7"/>
  <c r="E516" i="7"/>
  <c r="E8" i="7"/>
  <c r="E905" i="7"/>
  <c r="E1993" i="7"/>
  <c r="E2921" i="7"/>
  <c r="E1101" i="7"/>
  <c r="E958" i="7"/>
  <c r="E1718" i="7"/>
  <c r="E2035" i="7"/>
  <c r="E2578" i="7"/>
  <c r="E1662" i="7"/>
  <c r="E1407" i="7"/>
  <c r="E615" i="7"/>
  <c r="E326" i="7"/>
  <c r="E971" i="7"/>
  <c r="E142" i="7"/>
  <c r="E1995" i="7"/>
  <c r="E3372" i="7"/>
  <c r="E2414" i="7"/>
  <c r="E3610" i="7"/>
  <c r="E2497" i="7"/>
  <c r="E3766" i="7"/>
  <c r="E2469" i="7"/>
  <c r="E1801" i="7"/>
  <c r="E3508" i="7"/>
  <c r="E3286" i="7"/>
  <c r="E2528" i="7"/>
  <c r="E493" i="7"/>
  <c r="E269" i="7"/>
  <c r="E1085" i="7"/>
  <c r="E3195" i="7"/>
  <c r="E3079" i="7"/>
  <c r="E3129" i="7"/>
  <c r="E682" i="7"/>
  <c r="E1296" i="7"/>
  <c r="E140" i="7"/>
  <c r="E2868" i="7"/>
  <c r="E1517" i="7"/>
  <c r="E2570" i="7"/>
  <c r="E647" i="7"/>
  <c r="E1984" i="7"/>
  <c r="E213" i="7"/>
  <c r="E1518" i="7"/>
  <c r="E3925" i="7"/>
  <c r="E1161" i="7"/>
  <c r="E3402" i="7"/>
  <c r="E2055" i="7"/>
  <c r="E1397" i="7"/>
  <c r="E2139" i="7"/>
  <c r="E2113" i="7"/>
  <c r="E275" i="7"/>
  <c r="E2399" i="7"/>
  <c r="E1485" i="7"/>
  <c r="E1659" i="7"/>
  <c r="E2691" i="7"/>
  <c r="E1215" i="7"/>
  <c r="E517" i="7"/>
  <c r="E1561" i="7"/>
  <c r="E1203" i="7"/>
  <c r="E1516" i="7"/>
  <c r="E3454" i="7"/>
  <c r="E807" i="7"/>
  <c r="E164" i="7"/>
  <c r="E954" i="7"/>
  <c r="E1908" i="7"/>
  <c r="E2428" i="7"/>
  <c r="E600" i="7"/>
  <c r="E3057" i="7"/>
  <c r="E1928" i="7"/>
  <c r="E655" i="7"/>
  <c r="E706" i="7"/>
  <c r="E2863" i="7"/>
  <c r="E730" i="7"/>
  <c r="E3294" i="7"/>
  <c r="E811" i="7"/>
  <c r="E2982" i="7"/>
  <c r="E3236" i="7"/>
  <c r="E1470" i="7"/>
  <c r="E3352" i="7"/>
  <c r="E103" i="7"/>
  <c r="E1631" i="7"/>
  <c r="E41" i="7"/>
  <c r="E210" i="7"/>
  <c r="E2492" i="7"/>
  <c r="E2244" i="7"/>
  <c r="E1361" i="7"/>
  <c r="E2048" i="7"/>
  <c r="E2481" i="7"/>
  <c r="E627" i="7"/>
  <c r="E3807" i="7"/>
  <c r="E2957" i="7"/>
  <c r="E1048" i="7"/>
  <c r="E1876" i="7"/>
  <c r="E18" i="9"/>
  <c r="E2439" i="7"/>
  <c r="E1691" i="7"/>
  <c r="E32" i="7"/>
  <c r="E2354" i="7"/>
  <c r="E129" i="7"/>
  <c r="E3846" i="7"/>
  <c r="E3290" i="7"/>
  <c r="E433" i="7"/>
  <c r="E1201" i="7"/>
  <c r="E1146" i="7"/>
  <c r="E194" i="7"/>
  <c r="E1512" i="7"/>
  <c r="E2743" i="7"/>
  <c r="E2983" i="7"/>
  <c r="E3981" i="7"/>
  <c r="E3592" i="7"/>
  <c r="E992" i="7"/>
  <c r="E1366" i="7"/>
  <c r="E1178" i="7"/>
  <c r="E1608" i="7"/>
  <c r="E1924" i="7"/>
  <c r="E679" i="7"/>
  <c r="E2463" i="7"/>
  <c r="E3476" i="7"/>
  <c r="E1604" i="7"/>
  <c r="E2376" i="7"/>
  <c r="E1805" i="7"/>
  <c r="E3682" i="7"/>
  <c r="E114" i="7"/>
  <c r="E1671" i="7"/>
  <c r="E2056" i="7"/>
  <c r="E1623" i="7"/>
  <c r="E903" i="7"/>
  <c r="E1573" i="7"/>
  <c r="E3838" i="7"/>
  <c r="E1455" i="7"/>
  <c r="E3359" i="7"/>
  <c r="E2010" i="7"/>
  <c r="E1653" i="7"/>
  <c r="E107" i="7"/>
  <c r="E450" i="7"/>
  <c r="E2979" i="7"/>
  <c r="E3041" i="7"/>
  <c r="E3119" i="7"/>
  <c r="E3123" i="7"/>
  <c r="E666" i="7"/>
  <c r="E1305" i="7"/>
  <c r="E2039" i="7"/>
  <c r="E3921" i="7"/>
  <c r="E1574" i="7"/>
  <c r="E2361" i="7"/>
  <c r="E469" i="7"/>
  <c r="E3197" i="7"/>
  <c r="E2442" i="7"/>
  <c r="E2843" i="7"/>
  <c r="E1784" i="7"/>
  <c r="E25" i="7"/>
  <c r="E1625" i="7"/>
  <c r="E497" i="7"/>
  <c r="E2985" i="7"/>
  <c r="E3593" i="7"/>
  <c r="E1117" i="7"/>
  <c r="E726" i="7"/>
  <c r="E1503" i="7"/>
  <c r="E2131" i="7"/>
  <c r="E2231" i="7"/>
  <c r="E2915" i="7"/>
  <c r="E1858" i="7"/>
  <c r="E318" i="7"/>
  <c r="E1848" i="7"/>
  <c r="E314" i="7"/>
  <c r="E3919" i="7"/>
  <c r="E2702" i="7"/>
  <c r="E1363" i="7"/>
  <c r="E1110" i="7"/>
  <c r="E1334" i="7"/>
  <c r="E1066" i="7"/>
  <c r="E322" i="7"/>
  <c r="E1986" i="7"/>
  <c r="E3277" i="7"/>
  <c r="E1436" i="7"/>
  <c r="E4026" i="7"/>
  <c r="E1362" i="7"/>
  <c r="E1578" i="7"/>
  <c r="E1822" i="7"/>
  <c r="E2349" i="7"/>
  <c r="E2808" i="7"/>
  <c r="E1091" i="7"/>
  <c r="E1077" i="7"/>
  <c r="E117" i="7"/>
  <c r="E3596" i="7"/>
  <c r="E3332" i="7"/>
  <c r="E111" i="7"/>
  <c r="E3094" i="7"/>
  <c r="E2311" i="7"/>
  <c r="E2638" i="7"/>
  <c r="E869" i="7"/>
  <c r="E870" i="7"/>
  <c r="E2928" i="7"/>
  <c r="E3862" i="7"/>
  <c r="E79" i="7"/>
  <c r="E1268" i="7"/>
  <c r="E66" i="7"/>
  <c r="E1564" i="7"/>
  <c r="E377" i="7"/>
  <c r="E3582" i="7"/>
  <c r="E3167" i="7"/>
  <c r="E689" i="7"/>
  <c r="E157" i="7"/>
  <c r="E953" i="7"/>
  <c r="E3769" i="7" l="1"/>
  <c r="E550" i="7"/>
  <c r="E4031" i="7"/>
  <c r="E3607" i="7"/>
  <c r="E3817" i="7"/>
  <c r="E4001" i="7"/>
  <c r="E3988" i="7"/>
  <c r="E3991" i="7"/>
  <c r="E3953" i="7"/>
  <c r="E3999" i="7"/>
  <c r="E4004" i="7"/>
  <c r="E4010" i="7"/>
  <c r="E3971" i="7"/>
  <c r="E3865" i="7"/>
  <c r="E3866" i="7"/>
  <c r="E3955" i="7"/>
  <c r="E3857" i="7"/>
  <c r="E3915" i="7"/>
  <c r="E3966" i="7"/>
  <c r="E3819" i="7"/>
  <c r="E3902" i="7"/>
  <c r="E3837" i="7"/>
  <c r="E3995" i="7"/>
  <c r="E3954" i="7"/>
  <c r="E3908" i="7"/>
  <c r="E4000" i="7"/>
  <c r="E3833" i="7"/>
  <c r="E3731" i="7"/>
  <c r="E3913" i="7"/>
  <c r="E4011" i="7"/>
  <c r="E4007" i="7"/>
  <c r="E3958" i="7"/>
  <c r="E3901" i="7"/>
  <c r="E3911" i="7"/>
  <c r="E3916" i="7"/>
  <c r="E3883" i="7"/>
  <c r="E3884" i="7"/>
  <c r="E3814" i="7"/>
  <c r="E3872" i="7"/>
  <c r="E3876" i="7"/>
  <c r="E3856" i="7"/>
  <c r="E3868" i="7"/>
  <c r="E3887" i="7"/>
  <c r="E3834" i="7"/>
  <c r="E3870" i="7"/>
  <c r="E3996" i="7"/>
  <c r="E3900" i="7"/>
  <c r="E3903" i="7"/>
  <c r="E3989" i="7"/>
  <c r="E3905" i="7"/>
  <c r="E3979" i="7"/>
  <c r="E3968" i="7"/>
  <c r="E3990" i="7"/>
  <c r="E3738" i="7"/>
  <c r="E3863" i="7"/>
  <c r="E3899" i="7"/>
  <c r="E3881" i="7"/>
  <c r="E3845" i="7"/>
  <c r="E3998" i="7"/>
  <c r="E3904" i="7"/>
  <c r="E3886" i="7"/>
  <c r="E4005" i="7"/>
  <c r="E3956" i="7"/>
  <c r="E3882" i="7"/>
  <c r="E3875" i="7"/>
  <c r="E395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PARINYA THEPHI</author>
  </authors>
  <commentList>
    <comment ref="P10" authorId="0" shapeId="0" xr:uid="{51DB4730-009E-483B-9982-9F61F9F2367E}">
      <text>
        <r>
          <rPr>
            <b/>
            <sz val="9"/>
            <color indexed="81"/>
            <rFont val="Tahoma"/>
            <family val="2"/>
          </rPr>
          <t>PARINYA THEPHI:</t>
        </r>
        <r>
          <rPr>
            <sz val="9"/>
            <color indexed="81"/>
            <rFont val="Tahoma"/>
            <family val="2"/>
          </rPr>
          <t xml:space="preserve">
Source: mapped from size ranges in A11:A25 per production grading rule (M=51-75, S/SS=76-100, Broken=101-140).</t>
        </r>
      </text>
    </comment>
    <comment ref="U10" authorId="0" shapeId="0" xr:uid="{FAEA844B-E2E6-4994-9CDC-DFB3A3E9FACA}">
      <text>
        <r>
          <rPr>
            <b/>
            <sz val="9"/>
            <color indexed="81"/>
            <rFont val="Tahoma"/>
            <family val="2"/>
          </rPr>
          <t>PARINYA THEPHI:</t>
        </r>
        <r>
          <rPr>
            <sz val="9"/>
            <color indexed="81"/>
            <rFont val="Tahoma"/>
            <family val="2"/>
          </rPr>
          <t xml:space="preserve">
Source: mapped from size ranges in A11:A25 per production grading rule (M=51-75, S/SS=76-100, Broken=101-140).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<sst xmlns="http://schemas.openxmlformats.org/spreadsheetml/2006/main" count="73724" uniqueCount="3269">
  <si>
    <t>Date Report</t>
  </si>
  <si>
    <t>ซ่อน</t>
  </si>
  <si>
    <t>Cooked Wonton &amp; Wonton Noodle</t>
  </si>
  <si>
    <t>แผนผลิต
Date</t>
  </si>
  <si>
    <t>แผน LOAD
Date</t>
  </si>
  <si>
    <t>WEEK</t>
  </si>
  <si>
    <t>Month</t>
  </si>
  <si>
    <t>Order</t>
  </si>
  <si>
    <t>Country</t>
  </si>
  <si>
    <t>Customer</t>
  </si>
  <si>
    <t>Group1</t>
  </si>
  <si>
    <t>Group</t>
  </si>
  <si>
    <t>Product</t>
  </si>
  <si>
    <t>CODE</t>
  </si>
  <si>
    <t>Packing</t>
  </si>
  <si>
    <t>cups</t>
  </si>
  <si>
    <t>Pcs./Cup</t>
  </si>
  <si>
    <t>WT/Pcs</t>
  </si>
  <si>
    <t>RM</t>
  </si>
  <si>
    <t>Dip</t>
  </si>
  <si>
    <t>Soup</t>
  </si>
  <si>
    <t>QTY</t>
  </si>
  <si>
    <t>Stock
สำรอง</t>
  </si>
  <si>
    <t>Stock
 จริง</t>
  </si>
  <si>
    <t>Short/cs</t>
  </si>
  <si>
    <t>Short/cup</t>
  </si>
  <si>
    <t xml:space="preserve"> Raw Wonton /Pcs.</t>
  </si>
  <si>
    <t>ผงซุป/tray</t>
  </si>
  <si>
    <t>Remaek</t>
  </si>
  <si>
    <t>WT/ PD
(Kg)</t>
  </si>
  <si>
    <t>WT/ HO
(Kg)</t>
  </si>
  <si>
    <t>WT</t>
  </si>
  <si>
    <t>Order ถ้วย</t>
  </si>
  <si>
    <t>ผลิต ถ้วย</t>
  </si>
  <si>
    <t>PL No</t>
  </si>
  <si>
    <t>ฟิล์ม</t>
  </si>
  <si>
    <t>ถ้วย</t>
  </si>
  <si>
    <t>ฝา</t>
  </si>
  <si>
    <t>INNER</t>
  </si>
  <si>
    <t>แผ่นกั้น</t>
  </si>
  <si>
    <t>M</t>
  </si>
  <si>
    <t>M/ก้น</t>
  </si>
  <si>
    <t>ถุง</t>
  </si>
  <si>
    <t>STK-ฝา</t>
  </si>
  <si>
    <t>STK-ถ้วย</t>
  </si>
  <si>
    <t>STK-ข้างถ้วย</t>
  </si>
  <si>
    <t>add15/4</t>
  </si>
  <si>
    <t>ขายภายใน</t>
  </si>
  <si>
    <t>FM</t>
  </si>
  <si>
    <t>CP fresh Mart</t>
  </si>
  <si>
    <t>C-Mince wonton</t>
  </si>
  <si>
    <t>Minced WT</t>
  </si>
  <si>
    <t>Minced Wonton No Egg  (5pcs)</t>
  </si>
  <si>
    <t>082SKFA24005P03001</t>
  </si>
  <si>
    <t>135g*24</t>
  </si>
  <si>
    <t>BK</t>
  </si>
  <si>
    <t>STPP</t>
  </si>
  <si>
    <t>Regular</t>
  </si>
  <si>
    <t>12069365=</t>
  </si>
  <si>
    <t>12069363=</t>
  </si>
  <si>
    <t>12069364=</t>
  </si>
  <si>
    <t>C-Mince ND</t>
  </si>
  <si>
    <t>Minced NDE</t>
  </si>
  <si>
    <t>Minced Noodle with egg  (3 pcs)</t>
  </si>
  <si>
    <t>082SRFA24005P00001</t>
  </si>
  <si>
    <t>216g*24</t>
  </si>
  <si>
    <t>12069368=</t>
  </si>
  <si>
    <t>12069362=</t>
  </si>
  <si>
    <t>May-Jun'20</t>
  </si>
  <si>
    <t>5 STARS</t>
  </si>
  <si>
    <t>ซีพีเอฟ เทรดดิ้ง</t>
  </si>
  <si>
    <t>C-wonton</t>
  </si>
  <si>
    <t>EP+Wonton</t>
  </si>
  <si>
    <t xml:space="preserve">Cooked Wonton with egg </t>
  </si>
  <si>
    <t>082S81N16020P00001</t>
  </si>
  <si>
    <t>20 pcs*16</t>
  </si>
  <si>
    <t>S</t>
  </si>
  <si>
    <t>-</t>
  </si>
  <si>
    <t>12054050=53,25/5=150</t>
  </si>
  <si>
    <t>12043448=(156)=325</t>
  </si>
  <si>
    <t>12054140=980,20/5=1450</t>
  </si>
  <si>
    <t>KL2000011</t>
  </si>
  <si>
    <t>China</t>
  </si>
  <si>
    <t>Shanghai T&amp;G International Trade Co.,Ltd.</t>
  </si>
  <si>
    <t>R-Wonton</t>
  </si>
  <si>
    <t>R-Wonton no egg</t>
  </si>
  <si>
    <t>Raw Wonton 50 pcs</t>
  </si>
  <si>
    <t>082I9MN08050P00001</t>
  </si>
  <si>
    <t>630g.*8 packs</t>
  </si>
  <si>
    <t>ซุปซอง 5g.</t>
  </si>
  <si>
    <t>inner China ติด STK</t>
  </si>
  <si>
    <t>R-014/2020</t>
  </si>
  <si>
    <t>12056345=28/6</t>
  </si>
  <si>
    <t>12036656(135)</t>
  </si>
  <si>
    <t>E+Wonton</t>
  </si>
  <si>
    <t xml:space="preserve">Cooked Wonton  with egg </t>
  </si>
  <si>
    <t>082S8FA12005P02001</t>
  </si>
  <si>
    <t>145g*12</t>
  </si>
  <si>
    <t>E+Wonton TY</t>
  </si>
  <si>
    <t xml:space="preserve">Cooked Wonton  TY  with egg. </t>
  </si>
  <si>
    <t>082S8FA12005P03001</t>
  </si>
  <si>
    <t>115g*12</t>
  </si>
  <si>
    <t>TYTB3C 
30G</t>
  </si>
  <si>
    <t>DRY2000183</t>
  </si>
  <si>
    <t>USA</t>
  </si>
  <si>
    <t>Bellisio Foods, Inc.</t>
  </si>
  <si>
    <t>C-Wonton ND</t>
  </si>
  <si>
    <t>Wonton ND+V</t>
  </si>
  <si>
    <t>Cooked Wonton ND No Egg with Pumpkin
+ Yu Choy Low sodium</t>
  </si>
  <si>
    <t>082SJBW36005P00001</t>
  </si>
  <si>
    <t>308g*6c*6in</t>
  </si>
  <si>
    <t>HC</t>
  </si>
  <si>
    <t>Salt</t>
  </si>
  <si>
    <t>Y3</t>
  </si>
  <si>
    <t>12062153=</t>
  </si>
  <si>
    <t>DRY2000184</t>
  </si>
  <si>
    <t>DRY2000185</t>
  </si>
  <si>
    <t>DRY2000186</t>
  </si>
  <si>
    <t>DRY2000187</t>
  </si>
  <si>
    <t>DRY2000188</t>
  </si>
  <si>
    <t>R</t>
  </si>
  <si>
    <t>DRY2000189</t>
  </si>
  <si>
    <t>DRY2000190</t>
  </si>
  <si>
    <t>DRY2000191</t>
  </si>
  <si>
    <t>DRY2000192</t>
  </si>
  <si>
    <t>DRY2000193</t>
  </si>
  <si>
    <t>ผงซุป</t>
  </si>
  <si>
    <t>Week19</t>
  </si>
  <si>
    <t>DRY2000194</t>
  </si>
  <si>
    <t>DRY2000195</t>
  </si>
  <si>
    <t>DRY2000196</t>
  </si>
  <si>
    <t>DRY2000197</t>
  </si>
  <si>
    <t>DRY2000198</t>
  </si>
  <si>
    <t>DRY2000327</t>
  </si>
  <si>
    <t>SG</t>
  </si>
  <si>
    <t>CPI Singapore</t>
  </si>
  <si>
    <t>Cooked Wonton ND No Egg with Pumpkin 
+ Vegetable  HC  3 pcs</t>
  </si>
  <si>
    <t>082SJ3B24003P02001</t>
  </si>
  <si>
    <t>219g*24</t>
  </si>
  <si>
    <t>ซุปซอง 10g</t>
  </si>
  <si>
    <t>12061353</t>
  </si>
  <si>
    <t>12061354</t>
  </si>
  <si>
    <t>12060808=9/7</t>
  </si>
  <si>
    <t>12061325=</t>
  </si>
  <si>
    <t>12060807=</t>
  </si>
  <si>
    <t>12061259=1/7</t>
  </si>
  <si>
    <t>12064123=</t>
  </si>
  <si>
    <t>12064127=</t>
  </si>
  <si>
    <t>DRY2000199</t>
  </si>
  <si>
    <t>DRY2000200</t>
  </si>
  <si>
    <t>DRY2000201</t>
  </si>
  <si>
    <t>DRY2000202</t>
  </si>
  <si>
    <t>CP Catering</t>
  </si>
  <si>
    <t>R-Wonton egg past</t>
  </si>
  <si>
    <t>Raw Wonton 50 pcs OISHI</t>
  </si>
  <si>
    <t>082S01508600G01001</t>
  </si>
  <si>
    <t>600g.*8 packs</t>
  </si>
  <si>
    <t>R-080/2019</t>
  </si>
  <si>
    <t>12045770</t>
  </si>
  <si>
    <t>12038019=</t>
  </si>
  <si>
    <t>12055751=2/7</t>
  </si>
  <si>
    <t>12049471=</t>
  </si>
  <si>
    <t>12038020(355)</t>
  </si>
  <si>
    <t>DRY2000307</t>
  </si>
  <si>
    <t>CPI SINGAPORE</t>
  </si>
  <si>
    <t>Raw Wonton 12 pcs</t>
  </si>
  <si>
    <t>082I93B20012P06001</t>
  </si>
  <si>
    <t>154g*20inner</t>
  </si>
  <si>
    <t>ห่อแบบสุก</t>
  </si>
  <si>
    <t>12019692=</t>
  </si>
  <si>
    <t>12055901=</t>
  </si>
  <si>
    <t>12055893=</t>
  </si>
  <si>
    <t>12045309(248)=</t>
  </si>
  <si>
    <t>DRY2000299</t>
  </si>
  <si>
    <t>Bellisio Foods, Inc.
(99 RANCH)</t>
  </si>
  <si>
    <t>C-Wonton</t>
  </si>
  <si>
    <t>Wonton</t>
  </si>
  <si>
    <t>Cooked Wonton Soup No Egg</t>
  </si>
  <si>
    <t>082S8BW36005P00001</t>
  </si>
  <si>
    <t>145g*6c*6in</t>
  </si>
  <si>
    <t>008/2020</t>
  </si>
  <si>
    <t>12069427=18/2=3680</t>
  </si>
  <si>
    <t>12069428=18/2=603</t>
  </si>
  <si>
    <t>12024404=26/2=603</t>
  </si>
  <si>
    <t>12069426=18/2=21750</t>
  </si>
  <si>
    <t>DRY2000298</t>
  </si>
  <si>
    <t>082S8BW08005P00001</t>
  </si>
  <si>
    <t>145g*8</t>
  </si>
  <si>
    <t>032/2020</t>
  </si>
  <si>
    <t>12069396=11/6</t>
  </si>
  <si>
    <t>12069395=</t>
  </si>
  <si>
    <t>DRY2000303</t>
  </si>
  <si>
    <t>DRY2000300</t>
  </si>
  <si>
    <t>Cooked Wonton No Egg</t>
  </si>
  <si>
    <t>082S83B24005P07001</t>
  </si>
  <si>
    <t>145g*24</t>
  </si>
  <si>
    <t>011/2020</t>
  </si>
  <si>
    <t>12026902=9/7</t>
  </si>
  <si>
    <t>12054724=</t>
  </si>
  <si>
    <t>12026904=</t>
  </si>
  <si>
    <t>12054436=1/7</t>
  </si>
  <si>
    <t>12054433=</t>
  </si>
  <si>
    <t>12054434=</t>
  </si>
  <si>
    <t>DRY2000301</t>
  </si>
  <si>
    <t>Wonton TY</t>
  </si>
  <si>
    <t>082S83B24005P06001</t>
  </si>
  <si>
    <t>115g*24</t>
  </si>
  <si>
    <t>012/2020</t>
  </si>
  <si>
    <t>12054722=</t>
  </si>
  <si>
    <t>12061939=1/7</t>
  </si>
  <si>
    <t>12061940=</t>
  </si>
  <si>
    <t>12061938=</t>
  </si>
  <si>
    <t>add21/4</t>
  </si>
  <si>
    <t>DRY2000308</t>
  </si>
  <si>
    <t>Raw Wonton 8 pcs</t>
  </si>
  <si>
    <t>082I93B20008P00001</t>
  </si>
  <si>
    <t>194g*20inner</t>
  </si>
  <si>
    <t>JB</t>
  </si>
  <si>
    <t>ห่อแบบดิบ</t>
  </si>
  <si>
    <t>12064528=</t>
  </si>
  <si>
    <t>12064493=</t>
  </si>
  <si>
    <t>12064535(280)=</t>
  </si>
  <si>
    <t>DRY2000309</t>
  </si>
  <si>
    <t>Week20</t>
  </si>
  <si>
    <t>DRY2000105</t>
  </si>
  <si>
    <t xml:space="preserve">CAN </t>
  </si>
  <si>
    <t>CP Foods Canada,Inc</t>
  </si>
  <si>
    <t>Wonton ND</t>
  </si>
  <si>
    <t>Cooked Wonton Noodle (Enriched wonton sheet&amp;noodles)</t>
  </si>
  <si>
    <t>082SJ5312005P01001</t>
  </si>
  <si>
    <t>258g*12</t>
  </si>
  <si>
    <t>228/2019</t>
  </si>
  <si>
    <t>12060840=</t>
  </si>
  <si>
    <t>12060849=</t>
  </si>
  <si>
    <t>KL2000008</t>
  </si>
  <si>
    <t>Charoen Pokphand Import&amp;Export Trading (Shanghai) Co., Ltd</t>
  </si>
  <si>
    <t>Cooked Wonton Noodle No Egg</t>
  </si>
  <si>
    <t>082SJ5J24005P02001</t>
  </si>
  <si>
    <t>183g*24</t>
  </si>
  <si>
    <t>12054217=25/5</t>
  </si>
  <si>
    <t>12064631=25/5</t>
  </si>
  <si>
    <t>12054246=</t>
  </si>
  <si>
    <t>12055328=33700</t>
  </si>
  <si>
    <t>12064634=15/5</t>
  </si>
  <si>
    <t>12064635=</t>
  </si>
  <si>
    <t>KL2000009</t>
  </si>
  <si>
    <t>Wonton ND TY</t>
  </si>
  <si>
    <t>Cooked Wonton Noodle Tomyum
 3 pcs</t>
  </si>
  <si>
    <t>082SJ5J24003P04001</t>
  </si>
  <si>
    <t>184g*24</t>
  </si>
  <si>
    <t>TYTB3C
 42G</t>
  </si>
  <si>
    <t>12055578=25/5</t>
  </si>
  <si>
    <t>12055338=15/5</t>
  </si>
  <si>
    <t>12055339=</t>
  </si>
  <si>
    <t>12055356=</t>
  </si>
  <si>
    <t>ชดเชยกัก</t>
  </si>
  <si>
    <t>DRY2000203</t>
  </si>
  <si>
    <t>DRY2000204</t>
  </si>
  <si>
    <t>082I95J20012P04001</t>
  </si>
  <si>
    <t>12026905=14/6</t>
  </si>
  <si>
    <t>.7-11</t>
  </si>
  <si>
    <t>Seven  ถ้วยดำ</t>
  </si>
  <si>
    <t>Cooked Wonton No Egg .7-11</t>
  </si>
  <si>
    <t>082S81A24005P04001</t>
  </si>
  <si>
    <t>12055314=</t>
  </si>
  <si>
    <t>12064587 รอแบบ</t>
  </si>
  <si>
    <t>DRY2000321</t>
  </si>
  <si>
    <t>Spain</t>
  </si>
  <si>
    <t>CPM SPAIN</t>
  </si>
  <si>
    <t>082SJ5T12003P00001</t>
  </si>
  <si>
    <t>309g*12</t>
  </si>
  <si>
    <t>12033473</t>
  </si>
  <si>
    <t>DRY2000205</t>
  </si>
  <si>
    <t>082I95J08050P03001</t>
  </si>
  <si>
    <t>DRY2000206</t>
  </si>
  <si>
    <t>DRY2000207</t>
  </si>
  <si>
    <t>DRY2000208</t>
  </si>
  <si>
    <t>DRY2000209</t>
  </si>
  <si>
    <t>DRY2000210</t>
  </si>
  <si>
    <t>DRY2000211</t>
  </si>
  <si>
    <t>DRY2000212</t>
  </si>
  <si>
    <t>DRY2000213</t>
  </si>
  <si>
    <t>DRY2000214</t>
  </si>
  <si>
    <t>DRY2000215</t>
  </si>
  <si>
    <t>DRY2000094</t>
  </si>
  <si>
    <t>Consumer Package Commerce</t>
  </si>
  <si>
    <t>082I93U40012P01001</t>
  </si>
  <si>
    <t>154g*40inner</t>
  </si>
  <si>
    <t>R-072/2019</t>
  </si>
  <si>
    <t>12065371=20/6</t>
  </si>
  <si>
    <t>ปลอกสวม 12040669</t>
  </si>
  <si>
    <t>DRY2000216</t>
  </si>
  <si>
    <t>DRY2000217</t>
  </si>
  <si>
    <t>DRY2000218</t>
  </si>
  <si>
    <t>DRY2000219</t>
  </si>
  <si>
    <t>DRY2000220</t>
  </si>
  <si>
    <t>DRY2000221</t>
  </si>
  <si>
    <t>DRY2000222</t>
  </si>
  <si>
    <t>DRY2000223</t>
  </si>
  <si>
    <t>DRY2000224</t>
  </si>
  <si>
    <t>KL2000012</t>
  </si>
  <si>
    <t>DRY2000290</t>
  </si>
  <si>
    <t>DRY2000304</t>
  </si>
  <si>
    <t>082SJBW08005P00001</t>
  </si>
  <si>
    <t>258g*8</t>
  </si>
  <si>
    <t>047/2020</t>
  </si>
  <si>
    <t>12069394=11/4=36300</t>
  </si>
  <si>
    <t>12074328=12/4=4525</t>
  </si>
  <si>
    <t>KL2000014</t>
  </si>
  <si>
    <t>DRY2000322</t>
  </si>
  <si>
    <t>DRY2000150</t>
  </si>
  <si>
    <t>AUS</t>
  </si>
  <si>
    <t>CPM Australia</t>
  </si>
  <si>
    <t xml:space="preserve">Cooked Wonton ND No Egg with Pumpkin
+ Yu Choy </t>
  </si>
  <si>
    <t>082SJ9U36005P00001</t>
  </si>
  <si>
    <t>12062266=</t>
  </si>
  <si>
    <t>12062261=</t>
  </si>
  <si>
    <t>12062262=</t>
  </si>
  <si>
    <t>DRY2000151</t>
  </si>
  <si>
    <t>DRY2000278</t>
  </si>
  <si>
    <t>KL2000013</t>
  </si>
  <si>
    <t>DRY2000225</t>
  </si>
  <si>
    <t>DRY2000226</t>
  </si>
  <si>
    <t>DRY2000279</t>
  </si>
  <si>
    <t>DRY2000227</t>
  </si>
  <si>
    <t>DRY2000228</t>
  </si>
  <si>
    <t>DRY2000229</t>
  </si>
  <si>
    <t>DRY2000230</t>
  </si>
  <si>
    <t>DRY2000231</t>
  </si>
  <si>
    <t>DRY2000232</t>
  </si>
  <si>
    <t>DRY2000233</t>
  </si>
  <si>
    <t>DRY2000234</t>
  </si>
  <si>
    <t>DRY2000235</t>
  </si>
  <si>
    <t>DRY2000236</t>
  </si>
  <si>
    <t>DRY2000287</t>
  </si>
  <si>
    <t>CP Foods Canada,Inc (CPFC)</t>
  </si>
  <si>
    <t>Wonton Soup  (Enriched wonton sheet)</t>
  </si>
  <si>
    <t>082S85336005P00001</t>
  </si>
  <si>
    <t>145g*6*6</t>
  </si>
  <si>
    <t>12054919=</t>
  </si>
  <si>
    <t>12054869=</t>
  </si>
  <si>
    <t>12024404=</t>
  </si>
  <si>
    <t>12054815 =</t>
  </si>
  <si>
    <t>DRY2000154</t>
  </si>
  <si>
    <t>HK</t>
  </si>
  <si>
    <t>CPM Hongkong</t>
  </si>
  <si>
    <t>082I93G18008P00001</t>
  </si>
  <si>
    <t>101g.*18 packs</t>
  </si>
  <si>
    <t>DRY2000324</t>
  </si>
  <si>
    <t>Seven  ถ้วยขาว ถ้วยพิมพ์ลาย</t>
  </si>
  <si>
    <t>082S81A24005P06001</t>
  </si>
  <si>
    <t>130g*24</t>
  </si>
  <si>
    <t>SS</t>
  </si>
  <si>
    <t>ทำชดเชย 26/5</t>
  </si>
  <si>
    <t>R-Mince</t>
  </si>
  <si>
    <t>R-Minced egg past</t>
  </si>
  <si>
    <t>Raw Minced Wonton 8 pcs</t>
  </si>
  <si>
    <t>082ID3G18008P00001</t>
  </si>
  <si>
    <t>90g*18 packs</t>
  </si>
  <si>
    <t>R-079/2019</t>
  </si>
  <si>
    <t>DRY2000325</t>
  </si>
  <si>
    <t>DRY2000326</t>
  </si>
  <si>
    <t>DRY2000305</t>
  </si>
  <si>
    <t>Japan</t>
  </si>
  <si>
    <t>CPF JAPAN</t>
  </si>
  <si>
    <t>Wonton +V</t>
  </si>
  <si>
    <t>Cooked Wonton No Egg 
+ Vegetable  HC  4 pcs</t>
  </si>
  <si>
    <t>082S85736004P00001</t>
  </si>
  <si>
    <t>150g*6c*6in</t>
  </si>
  <si>
    <t>240/2019</t>
  </si>
  <si>
    <t>12062461=4/6</t>
  </si>
  <si>
    <t>12062468=</t>
  </si>
  <si>
    <t>12062460=</t>
  </si>
  <si>
    <t>DRY2000306</t>
  </si>
  <si>
    <t>ทำชดเชย 30/5</t>
  </si>
  <si>
    <t>DRY2000328</t>
  </si>
  <si>
    <t>DRY2000155</t>
  </si>
  <si>
    <t>new</t>
  </si>
  <si>
    <t>DRY2000237</t>
  </si>
  <si>
    <t>KL2000015</t>
  </si>
  <si>
    <t>Gansu Zhongheliang Supply Chain Management Co.,Ltd</t>
  </si>
  <si>
    <t>082I9GZ08050P00001</t>
  </si>
  <si>
    <t>DRY2000339</t>
  </si>
  <si>
    <t>DRY2000238</t>
  </si>
  <si>
    <t>DRY2000239</t>
  </si>
  <si>
    <t>DRY2000240</t>
  </si>
  <si>
    <t>082I9GZ20012P00001</t>
  </si>
  <si>
    <t>DRY2000241</t>
  </si>
  <si>
    <t>DRY2000242</t>
  </si>
  <si>
    <t>DRY2000243</t>
  </si>
  <si>
    <t>DRY2000244</t>
  </si>
  <si>
    <t>DRY2000295</t>
  </si>
  <si>
    <t>Malay</t>
  </si>
  <si>
    <t>CPM Malaysia</t>
  </si>
  <si>
    <t>082I95I20012P00001</t>
  </si>
  <si>
    <t>144g*20inner</t>
  </si>
  <si>
    <t>12055583=13/7</t>
  </si>
  <si>
    <t>12055608=</t>
  </si>
  <si>
    <t>12045309(248)</t>
  </si>
  <si>
    <t xml:space="preserve">Cooked Wonton No Egg  </t>
  </si>
  <si>
    <t>082S85I24005P01001</t>
  </si>
  <si>
    <t>12026902=8/7</t>
  </si>
  <si>
    <t>12054689=</t>
  </si>
  <si>
    <t>12054585=1/7</t>
  </si>
  <si>
    <t>12054581=</t>
  </si>
  <si>
    <t>12054582=</t>
  </si>
  <si>
    <t>Cooked Wonton No Egg  TY</t>
  </si>
  <si>
    <t>082S85I24005P02001</t>
  </si>
  <si>
    <t>12054431=1/7</t>
  </si>
  <si>
    <t>12054446=</t>
  </si>
  <si>
    <t>12054445=</t>
  </si>
  <si>
    <t>DRY2000329</t>
  </si>
  <si>
    <t>DRY2000330</t>
  </si>
  <si>
    <t>DRY2000314</t>
  </si>
  <si>
    <t>082SJBW24005P00001</t>
  </si>
  <si>
    <t>258g*4c*6in</t>
  </si>
  <si>
    <t>007/2020</t>
  </si>
  <si>
    <t>12069430=11/6</t>
  </si>
  <si>
    <t>12049607=</t>
  </si>
  <si>
    <t>12069429=</t>
  </si>
  <si>
    <t>DRY2000293</t>
  </si>
  <si>
    <t>082I9BW10050P00001</t>
  </si>
  <si>
    <t>ไม่ใช้ฟิล์ม</t>
  </si>
  <si>
    <t>R-004/2020</t>
  </si>
  <si>
    <t>UK</t>
  </si>
  <si>
    <t>Westbridge Foods Limited (One UK)</t>
  </si>
  <si>
    <t xml:space="preserve">Wonton Soup No Egg  </t>
  </si>
  <si>
    <t>082S85L36005P04001</t>
  </si>
  <si>
    <t>308g*4c*6in</t>
  </si>
  <si>
    <t>082I93B20012P02001</t>
  </si>
  <si>
    <t xml:space="preserve"> sesame 30g</t>
  </si>
  <si>
    <t>Belgium</t>
  </si>
  <si>
    <t>CPF EUROPE S.A.</t>
  </si>
  <si>
    <t>C-WT in tray no egg</t>
  </si>
  <si>
    <t>Bellisio</t>
  </si>
  <si>
    <t>WT / PD</t>
  </si>
  <si>
    <t>WT / HO</t>
  </si>
  <si>
    <t>KG.</t>
  </si>
  <si>
    <t>T</t>
  </si>
  <si>
    <t>Date</t>
  </si>
  <si>
    <t>Week KPI</t>
  </si>
  <si>
    <t>wed</t>
  </si>
  <si>
    <t>Week1</t>
  </si>
  <si>
    <t>thu</t>
  </si>
  <si>
    <t>fri</t>
  </si>
  <si>
    <t>sat</t>
  </si>
  <si>
    <t>Week2</t>
  </si>
  <si>
    <t>sun</t>
  </si>
  <si>
    <t>mon</t>
  </si>
  <si>
    <t>tue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</si>
  <si>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</si>
  <si>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</si>
  <si>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</si>
  <si>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</si>
  <si>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</si>
  <si>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</si>
  <si>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</si>
  <si>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</si>
  <si>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</si>
  <si>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Week12</t>
  </si>
  <si>
    <t>Week13</t>
  </si>
  <si>
    <t>Week14</t>
  </si>
  <si>
    <t>Week15</t>
  </si>
  <si>
    <t>Week16</t>
  </si>
  <si>
    <t>Week17</t>
  </si>
  <si>
    <t>Week18</t>
  </si>
  <si>
    <t>Week21</t>
  </si>
  <si>
    <t>Week22</t>
  </si>
  <si>
    <t>Week23</t>
  </si>
  <si>
    <t>Week24</t>
  </si>
  <si>
    <t>Week25</t>
  </si>
  <si>
    <t>Week26</t>
  </si>
  <si>
    <t>Week27</t>
  </si>
  <si>
    <t>Week28</t>
  </si>
  <si>
    <t>Week29</t>
  </si>
  <si>
    <t>Week30</t>
  </si>
  <si>
    <t>Week31</t>
  </si>
  <si>
    <t>Week32</t>
  </si>
  <si>
    <t>Week33</t>
  </si>
  <si>
    <t>Week34</t>
  </si>
  <si>
    <t>Week35</t>
  </si>
  <si>
    <t>Week36</t>
  </si>
  <si>
    <t>Week37</t>
  </si>
  <si>
    <t>Week38</t>
  </si>
  <si>
    <t>Week39</t>
  </si>
  <si>
    <t>Week40</t>
  </si>
  <si>
    <t>Week41</t>
  </si>
  <si>
    <t>Week42</t>
  </si>
  <si>
    <t>Week43</t>
  </si>
  <si>
    <t>Week44</t>
  </si>
  <si>
    <t>Week45</t>
  </si>
  <si>
    <t>Week46</t>
  </si>
  <si>
    <t>Week47</t>
  </si>
  <si>
    <t>Week48</t>
  </si>
  <si>
    <t>Week49</t>
  </si>
  <si>
    <t>Week50</t>
  </si>
  <si>
    <t>Week51</t>
  </si>
  <si>
    <t>Week52</t>
  </si>
  <si>
    <t>Week53</t>
  </si>
  <si>
    <t>TYTB3C 30G</t>
  </si>
  <si>
    <t>Korea</t>
  </si>
  <si>
    <t>145g*6c*6</t>
  </si>
  <si>
    <t>154g*20in</t>
  </si>
  <si>
    <t>154g*40in</t>
  </si>
  <si>
    <t>194g*20in</t>
  </si>
  <si>
    <t>204g*20in</t>
  </si>
  <si>
    <t>580g*10in</t>
  </si>
  <si>
    <t>630g*8in</t>
  </si>
  <si>
    <t>90g*18in</t>
  </si>
  <si>
    <t>101g*18in</t>
  </si>
  <si>
    <t>WT/ PD
(Tons.)</t>
  </si>
  <si>
    <t>WT/ HO
(Tons.)</t>
  </si>
  <si>
    <t>CP TAIWAN</t>
  </si>
  <si>
    <t>ปลอกสวม 12034748</t>
  </si>
  <si>
    <t xml:space="preserve"> Short Raw Wonton /Pcs.</t>
  </si>
  <si>
    <t>Raw Wonton 20 pcs</t>
  </si>
  <si>
    <t>082I95J16020P00001</t>
  </si>
  <si>
    <t>255g*16in</t>
  </si>
  <si>
    <t>MTFS</t>
  </si>
  <si>
    <t>Cooked Wonton  with egg V-Food</t>
  </si>
  <si>
    <t>Minced Wonton (5pcs)</t>
  </si>
  <si>
    <t>Cooked Wonton Multipack  with Egg  270g</t>
  </si>
  <si>
    <t>270g*3B*6B</t>
  </si>
  <si>
    <t>12019692</t>
  </si>
  <si>
    <t>12026905</t>
  </si>
  <si>
    <t>12079041</t>
  </si>
  <si>
    <t>12079249</t>
  </si>
  <si>
    <t>12079326</t>
  </si>
  <si>
    <t>12079445</t>
  </si>
  <si>
    <t>12055234</t>
  </si>
  <si>
    <t>12063471</t>
  </si>
  <si>
    <t>ถาด 12054242</t>
  </si>
  <si>
    <t>ซอง 12054204</t>
  </si>
  <si>
    <t>12074457(18/กก.)</t>
  </si>
  <si>
    <t>Minced Noodle with egg V-Food (3 pcs)</t>
  </si>
  <si>
    <t>Food Fellas</t>
  </si>
  <si>
    <t>Cooked Wonton  No Egg
HC  5 pcs</t>
  </si>
  <si>
    <t>082S85L08005P03001</t>
  </si>
  <si>
    <t>12063749</t>
  </si>
  <si>
    <t>Cooked Wonton ND No Egg with 
HC  5 pcs</t>
  </si>
  <si>
    <t>082SJ5L08005P03001</t>
  </si>
  <si>
    <t>12054938=</t>
  </si>
  <si>
    <t>082SJ3I08003P00001</t>
  </si>
  <si>
    <t>309g*8</t>
  </si>
  <si>
    <t>12055893</t>
  </si>
  <si>
    <t>12064535(280)</t>
  </si>
  <si>
    <t>220g*12in</t>
  </si>
  <si>
    <t>082I93U10050P01001</t>
  </si>
  <si>
    <t>630g*10inner</t>
  </si>
  <si>
    <t>12004862</t>
  </si>
  <si>
    <t>082I93I10050P02001</t>
  </si>
  <si>
    <t>12055716</t>
  </si>
  <si>
    <t>12055760</t>
  </si>
  <si>
    <t>Cooked Wonton Tomyum with egg.V-Food TY</t>
  </si>
  <si>
    <t>5 Stars</t>
  </si>
  <si>
    <t>CPFB</t>
  </si>
  <si>
    <t>E+Minced WT</t>
  </si>
  <si>
    <t>082S83Q12005P04001</t>
  </si>
  <si>
    <t>Cooked Wonton ND with egg V-Food</t>
  </si>
  <si>
    <t>082SJ3Q12003P07001</t>
  </si>
  <si>
    <t>226g*12</t>
  </si>
  <si>
    <t>Cooked Wonton  No Egg 
+ Vegetable  HC  4 pcs</t>
  </si>
  <si>
    <t>082S83I08004P00001</t>
  </si>
  <si>
    <t>12035353</t>
  </si>
  <si>
    <t>E+Wonton NDE</t>
  </si>
  <si>
    <t>COOKED WONTON 6 pcs.</t>
  </si>
  <si>
    <t>117*2tray*8in</t>
  </si>
  <si>
    <t>082S8BW08012P00001</t>
  </si>
  <si>
    <t>12060808</t>
  </si>
  <si>
    <t>12061325</t>
  </si>
  <si>
    <t>12060807</t>
  </si>
  <si>
    <t>Germany</t>
  </si>
  <si>
    <t>ซุปซอง 10g.</t>
  </si>
  <si>
    <t>cap 3000 tray/hr.</t>
  </si>
  <si>
    <t>082SJ3N12003P01001</t>
  </si>
  <si>
    <t>Raw Wonton 50 pcs (Fried Sheet)</t>
  </si>
  <si>
    <t>600g*10inner</t>
  </si>
  <si>
    <t>082I93B10050P04001</t>
  </si>
  <si>
    <t>082SR3Q12003P00001</t>
  </si>
  <si>
    <t>Raw Wonton 60 pcs</t>
  </si>
  <si>
    <t>082I9WN08060P00001</t>
  </si>
  <si>
    <t>750g*8in</t>
  </si>
  <si>
    <t>E+Minced NDE</t>
  </si>
  <si>
    <t>191g*12</t>
  </si>
  <si>
    <t>R-Wonton  (Fried Sheet)</t>
  </si>
  <si>
    <t>135g*12</t>
  </si>
  <si>
    <t>082SK3Q12005P00001</t>
  </si>
  <si>
    <t>082S83Q18005P05001</t>
  </si>
  <si>
    <t>082I93Q12020P01001</t>
  </si>
  <si>
    <t>082S83Q12005P05001</t>
  </si>
  <si>
    <t>B/K</t>
  </si>
  <si>
    <t>082SJ9U08004P00001</t>
  </si>
  <si>
    <t>305g*8</t>
  </si>
  <si>
    <t>Minced ND</t>
  </si>
  <si>
    <t>Cooked Minced Wonton Noodle No Egg</t>
  </si>
  <si>
    <t>Cooked Minced Wonton No Egg</t>
  </si>
  <si>
    <t>082SRBW08005P00001</t>
  </si>
  <si>
    <t>082SKBW08005P00001</t>
  </si>
  <si>
    <t>เก็บตก</t>
  </si>
  <si>
    <t>148g*6c*6in</t>
  </si>
  <si>
    <t>Denmark</t>
  </si>
  <si>
    <t>Cooked Wonton ND No Egg with Pumpkin 
+ Vegetable  HC  3 pcs tomyam</t>
  </si>
  <si>
    <t>302g*8</t>
  </si>
  <si>
    <t>Cooked Minced  ND No Egg with Pumpkin
+ Yu Choy Tomyum</t>
  </si>
  <si>
    <t>082SJKW08003P00001</t>
  </si>
  <si>
    <t>082SR9U08003P00001</t>
  </si>
  <si>
    <t>12055608</t>
  </si>
  <si>
    <t>12055583</t>
  </si>
  <si>
    <t>6/11/21</t>
  </si>
  <si>
    <t>18/12/21</t>
  </si>
  <si>
    <t>20/12/21</t>
  </si>
  <si>
    <t>23/11/21</t>
  </si>
  <si>
    <t>13/12/21</t>
  </si>
  <si>
    <t>14/12/21</t>
  </si>
  <si>
    <t>ถาด 12079041</t>
  </si>
  <si>
    <t>12083562 STK ติดถุง</t>
  </si>
  <si>
    <t>12083721 STK ติดกล่อง</t>
  </si>
  <si>
    <t>12083560 (80)</t>
  </si>
  <si>
    <t>11/12/21</t>
  </si>
  <si>
    <t>12062814(86)</t>
  </si>
  <si>
    <t>13/11/21</t>
  </si>
  <si>
    <t>12080741(117)</t>
  </si>
  <si>
    <t>10/11/21</t>
  </si>
  <si>
    <t>25/11/21</t>
  </si>
  <si>
    <t>12054446</t>
  </si>
  <si>
    <t>12054431</t>
  </si>
  <si>
    <t>12026902</t>
  </si>
  <si>
    <t>ซอง 12080447/ม้วน</t>
  </si>
  <si>
    <t>10/12/21</t>
  </si>
  <si>
    <t>13/1/22</t>
  </si>
  <si>
    <t>12054869</t>
  </si>
  <si>
    <t>12071839</t>
  </si>
  <si>
    <t>12047514</t>
  </si>
  <si>
    <t>12047515</t>
  </si>
  <si>
    <t>12026904</t>
  </si>
  <si>
    <t>12054815</t>
  </si>
  <si>
    <t>12054581</t>
  </si>
  <si>
    <t>12054582</t>
  </si>
  <si>
    <t>6/12/21</t>
  </si>
  <si>
    <t>17/1/22</t>
  </si>
  <si>
    <t>8/12/21</t>
  </si>
  <si>
    <t>ถุงพิมพ์ 12080790</t>
  </si>
  <si>
    <t>รอแบบ</t>
  </si>
  <si>
    <t>6/1/22</t>
  </si>
  <si>
    <t>4/1/22</t>
  </si>
  <si>
    <t>ดิวเข้า PK</t>
  </si>
  <si>
    <t>Cooked Wonton No Egg 5 pcs</t>
  </si>
  <si>
    <t>082S85736005P00001</t>
  </si>
  <si>
    <t>082S83Q12005P05000</t>
  </si>
  <si>
    <t>STK ตรุษจีน</t>
  </si>
  <si>
    <t>Bellisio Foods Canada</t>
  </si>
  <si>
    <t>ชดเชยของกัก</t>
  </si>
  <si>
    <t>082ID3B18008P00001</t>
  </si>
  <si>
    <t>Westbridge Foods Limited</t>
  </si>
  <si>
    <t>Cooked Wonton ND No Egg with Pumpkin 
+ Vegetable 5 pcs tomyam</t>
  </si>
  <si>
    <t>307g*4c*6in</t>
  </si>
  <si>
    <t>082SJWE24005P00001</t>
  </si>
  <si>
    <t>RD</t>
  </si>
  <si>
    <t>082SR3N12003P00001</t>
  </si>
  <si>
    <t>302g*12</t>
  </si>
  <si>
    <t>cap 3000 tray/hr. อื่น 83,000 ถ้วย</t>
  </si>
  <si>
    <t>Cooked Minced Wonton in Tray 6 pcs + Sesame Sauce</t>
  </si>
  <si>
    <t xml:space="preserve"> Sesame 15g</t>
  </si>
  <si>
    <t xml:space="preserve"> CPF Distribution (under Paulsen Food)</t>
  </si>
  <si>
    <t>Minced ND+V+TY</t>
  </si>
  <si>
    <t>Wonton ND+V+TY</t>
  </si>
  <si>
    <t>082SK9U16006P00001</t>
  </si>
  <si>
    <t>E+Wonton NDE TY</t>
  </si>
  <si>
    <t>211g*12</t>
  </si>
  <si>
    <t>TYNSF</t>
  </si>
  <si>
    <t>Minced Dry Noodle+V</t>
  </si>
  <si>
    <t>C-Minced WT in tray no egg</t>
  </si>
  <si>
    <t>NEWPACKAGE</t>
  </si>
  <si>
    <t>ต้มยำสูตรลดเผ็ดลง 10 %</t>
  </si>
  <si>
    <t>Cooked Minced Wonton Soup No Egg</t>
  </si>
  <si>
    <t>New Zealand</t>
  </si>
  <si>
    <t>Minced ND+V</t>
  </si>
  <si>
    <t>082SKBW36005P00001</t>
  </si>
  <si>
    <t>141*2tray*12in</t>
  </si>
  <si>
    <t>Emart</t>
  </si>
  <si>
    <t>Minced ND+V+TK</t>
  </si>
  <si>
    <t>Minced ND+Kee Mao</t>
  </si>
  <si>
    <t>Cooked Minced  ND No Egg with Pumpkin
+ Yu Choy Tomkha</t>
  </si>
  <si>
    <t>Cooked Minced Wonton Thai Spicy Noodles (Kee Mao Noodles)</t>
  </si>
  <si>
    <t>219g*8</t>
  </si>
  <si>
    <t>082I95I20012P02001</t>
  </si>
  <si>
    <t>082S8EJ12012P00001</t>
  </si>
  <si>
    <t>082SRBW24005P00001</t>
  </si>
  <si>
    <t>082SRBW24005P01001</t>
  </si>
  <si>
    <t>RES_KL3_FUR_FREEZE_RAW</t>
  </si>
  <si>
    <t>RES_KL3_FUR_FREEZE_COOK</t>
  </si>
  <si>
    <t>66S03</t>
  </si>
  <si>
    <t>2</t>
  </si>
  <si>
    <t>082SR9U08003P01001</t>
  </si>
  <si>
    <t>082SR9U08003P02001</t>
  </si>
  <si>
    <t>รอ rd สรุป</t>
  </si>
  <si>
    <t>082SJN736005P00001</t>
  </si>
  <si>
    <t>Netherlands</t>
  </si>
  <si>
    <t>ถ้วยขาวพิมพ์ลายใหม่</t>
  </si>
  <si>
    <t>Mercadona</t>
  </si>
  <si>
    <t>082I93R40012P03001</t>
  </si>
  <si>
    <t>(blank)</t>
  </si>
  <si>
    <t>Grand Total</t>
  </si>
  <si>
    <t>Total</t>
  </si>
  <si>
    <t>Sum of Short/cup</t>
  </si>
  <si>
    <t>144g*20in</t>
  </si>
  <si>
    <t>add</t>
  </si>
  <si>
    <t>Wonton ND+Kee Mao</t>
  </si>
  <si>
    <t>CPF DENMARK</t>
  </si>
  <si>
    <t>Lim Brothers</t>
  </si>
  <si>
    <t>082SJN708004P00001</t>
  </si>
  <si>
    <t>082SRN708003P00001</t>
  </si>
  <si>
    <t>082SRN708003P01001</t>
  </si>
  <si>
    <t>082SRN708003P02001</t>
  </si>
  <si>
    <t>082SKN716006P00001</t>
  </si>
  <si>
    <t>NEWPACKAGE INNER / CARTON OLD STK</t>
  </si>
  <si>
    <t>Kee Mao 50G.</t>
  </si>
  <si>
    <t>Cooked Minced Wonton Noodle (Enriched wonton sheet&amp;noodles)</t>
  </si>
  <si>
    <t>082SR3N12003P01001</t>
  </si>
  <si>
    <t>082SR5312005P00001</t>
  </si>
  <si>
    <t>Sam's (Shanghai) Investment Co., Ltd.</t>
  </si>
  <si>
    <t>TYEX+CO</t>
  </si>
  <si>
    <t>TYANS+CM</t>
  </si>
  <si>
    <t>TYA+CO</t>
  </si>
  <si>
    <t>Tomkha+CM</t>
  </si>
  <si>
    <t>ของสำรอง NZ</t>
  </si>
  <si>
    <t>082SJ9U24005P00001</t>
  </si>
  <si>
    <t>082S8WE36005P00001</t>
  </si>
  <si>
    <t>ใช้ package ที่เป็น หมึกพิมพ์ใหม่</t>
  </si>
  <si>
    <t>ใช้ package new</t>
  </si>
  <si>
    <t>Cooked Wonton in Tray 20 pcs with soup powder</t>
  </si>
  <si>
    <t>082S8T216020P00001</t>
  </si>
  <si>
    <t>082S8T212005P00001</t>
  </si>
  <si>
    <t>082SJT212005P00001</t>
  </si>
  <si>
    <t>DRY2300369</t>
  </si>
  <si>
    <t>360g.*16Pack</t>
  </si>
  <si>
    <t>คุณจั๊กให้สั่ง มาตามขั้นต่ำ ที่เหลือจะเปิดออเดอร์มาเคลียร์</t>
  </si>
  <si>
    <t>รวบการผลิตให้เป็นวันเดียวกันตามความต้องการของลูกค้า</t>
  </si>
  <si>
    <t>CPF Australia Pty Ltd.</t>
  </si>
  <si>
    <t>หมาล่า</t>
  </si>
  <si>
    <t>082S81A24005P0B001</t>
  </si>
  <si>
    <t>เกี๊ยวกุ้งจักรพรรดิซุปหมาล่า (ตรา ซีพี)_7E</t>
  </si>
  <si>
    <t>143g*24</t>
  </si>
  <si>
    <t>147g*6c*6in</t>
  </si>
  <si>
    <t>Wonton+TY</t>
  </si>
  <si>
    <t>082S8BW36005P01001</t>
  </si>
  <si>
    <t>เกี๊ยวกุ้งจักรพรรดิซุปหมาล่า (ตรา ซีพี)_MT</t>
  </si>
  <si>
    <t>143g*12</t>
  </si>
  <si>
    <t>082S85336005P02001</t>
  </si>
  <si>
    <t>DRY2300541</t>
  </si>
  <si>
    <t>082SJN724005P00001</t>
  </si>
  <si>
    <t>082S83Q12005P06001</t>
  </si>
  <si>
    <t>KL2300030</t>
  </si>
  <si>
    <t>082SJ5J36005P00001</t>
  </si>
  <si>
    <t>DRY2300563</t>
  </si>
  <si>
    <t>R&amp;D</t>
  </si>
  <si>
    <t>DRY2300575</t>
  </si>
  <si>
    <t>DRY2300577</t>
  </si>
  <si>
    <t>DRY2300578</t>
  </si>
  <si>
    <t>DRY2300579</t>
  </si>
  <si>
    <t>DRY2300614</t>
  </si>
  <si>
    <t>DRY2300615</t>
  </si>
  <si>
    <t>DRY2300616</t>
  </si>
  <si>
    <t>DRY2300600</t>
  </si>
  <si>
    <t>DRY2300591</t>
  </si>
  <si>
    <t>DRY2300594</t>
  </si>
  <si>
    <t>DRY2300595</t>
  </si>
  <si>
    <t>DRY2300596</t>
  </si>
  <si>
    <t>DRY2300607</t>
  </si>
  <si>
    <t>DRY2300601</t>
  </si>
  <si>
    <t>DRY2300602</t>
  </si>
  <si>
    <t>DRY2300603</t>
  </si>
  <si>
    <t>DRY2300604</t>
  </si>
  <si>
    <t>DRY2300605</t>
  </si>
  <si>
    <t>DRY2300612</t>
  </si>
  <si>
    <t>DRY2300608</t>
  </si>
  <si>
    <t>DRY2300609</t>
  </si>
  <si>
    <t>DRY2300598</t>
  </si>
  <si>
    <t>DRY2300606</t>
  </si>
  <si>
    <t>DRY2300611</t>
  </si>
  <si>
    <t>DRY2300618</t>
  </si>
  <si>
    <t>DRY2300619</t>
  </si>
  <si>
    <t>DRY2300620</t>
  </si>
  <si>
    <t>DRY2300621</t>
  </si>
  <si>
    <t>DRY2300622</t>
  </si>
  <si>
    <t>DRY2300623</t>
  </si>
  <si>
    <t>DRY2300624</t>
  </si>
  <si>
    <t>DRY2300625</t>
  </si>
  <si>
    <t>DRY2300626</t>
  </si>
  <si>
    <t>DRY2300627</t>
  </si>
  <si>
    <t>DRY2300628</t>
  </si>
  <si>
    <t>DRY2300629</t>
  </si>
  <si>
    <t>DRY2300630</t>
  </si>
  <si>
    <t>DRY2300631</t>
  </si>
  <si>
    <t>DRY2300632</t>
  </si>
  <si>
    <t>DRY2300633</t>
  </si>
  <si>
    <t>DRY2300634</t>
  </si>
  <si>
    <t>DRY2300635</t>
  </si>
  <si>
    <t>DRY2300636</t>
  </si>
  <si>
    <t>DRY2300637</t>
  </si>
  <si>
    <t>DRY2300638</t>
  </si>
  <si>
    <t>DRY2300640</t>
  </si>
  <si>
    <t>DRY2300641</t>
  </si>
  <si>
    <t>DRY2300642</t>
  </si>
  <si>
    <t>DRY2300643</t>
  </si>
  <si>
    <t>DRY2300644</t>
  </si>
  <si>
    <t>DRY2300645</t>
  </si>
  <si>
    <t>DRY2300646</t>
  </si>
  <si>
    <t>DRY2300647</t>
  </si>
  <si>
    <t>DRY2300648</t>
  </si>
  <si>
    <t>DRY2300649</t>
  </si>
  <si>
    <t>DRY2300650</t>
  </si>
  <si>
    <t>DRY2300651</t>
  </si>
  <si>
    <t>DRY2300652</t>
  </si>
  <si>
    <t>DRY2300653</t>
  </si>
  <si>
    <t>DRY2300654</t>
  </si>
  <si>
    <t>DRY2300655</t>
  </si>
  <si>
    <t>DRY2300656</t>
  </si>
  <si>
    <t>DRY2300657</t>
  </si>
  <si>
    <t>DRY2300663</t>
  </si>
  <si>
    <t>DRY2300664</t>
  </si>
  <si>
    <t>DRY2300659</t>
  </si>
  <si>
    <t>DRY2300660</t>
  </si>
  <si>
    <t>DRY2300661</t>
  </si>
  <si>
    <t>DRY2300666</t>
  </si>
  <si>
    <t>DRY2300667</t>
  </si>
  <si>
    <t>DRY2300668</t>
  </si>
  <si>
    <t>DRY2300669</t>
  </si>
  <si>
    <t>DRY2300670</t>
  </si>
  <si>
    <t>DRY2300557</t>
  </si>
  <si>
    <t>DRY2300665</t>
  </si>
  <si>
    <t>BRUNEI</t>
  </si>
  <si>
    <t>082S8C324005P00001</t>
  </si>
  <si>
    <t>082S8C324005P01001</t>
  </si>
  <si>
    <t>DRY2300676</t>
  </si>
  <si>
    <t>DRY2300677</t>
  </si>
  <si>
    <t>DRY2300678</t>
  </si>
  <si>
    <t>DRY2300679</t>
  </si>
  <si>
    <t>DRY2300680</t>
  </si>
  <si>
    <t>DRY2300681</t>
  </si>
  <si>
    <t>DRY2300682</t>
  </si>
  <si>
    <t>DRY2300683</t>
  </si>
  <si>
    <t>DRY2300684</t>
  </si>
  <si>
    <t>DRY2300685</t>
  </si>
  <si>
    <t>DRY2300686</t>
  </si>
  <si>
    <t>DRY2300687</t>
  </si>
  <si>
    <t>DRY2300688</t>
  </si>
  <si>
    <t>DRY2300689</t>
  </si>
  <si>
    <t>DRY2300690</t>
  </si>
  <si>
    <t>DRY2300691</t>
  </si>
  <si>
    <t>DRY2300692</t>
  </si>
  <si>
    <t>DRY2300693</t>
  </si>
  <si>
    <t>DRY2300694</t>
  </si>
  <si>
    <t>DRY2300695</t>
  </si>
  <si>
    <t>DRY2300697</t>
  </si>
  <si>
    <t>DRY2300700</t>
  </si>
  <si>
    <t>DRY2300701</t>
  </si>
  <si>
    <t>DRY2300702</t>
  </si>
  <si>
    <t>DRY2300703</t>
  </si>
  <si>
    <t>DRY2300704</t>
  </si>
  <si>
    <t>DRY2300705</t>
  </si>
  <si>
    <t>DRY2300706</t>
  </si>
  <si>
    <t>DRY2300696</t>
  </si>
  <si>
    <t>DRY2300698</t>
  </si>
  <si>
    <t>DRY2300699</t>
  </si>
  <si>
    <t>DRY2300707</t>
  </si>
  <si>
    <t>DRY2300710</t>
  </si>
  <si>
    <t>DRY2300711</t>
  </si>
  <si>
    <t>DRY2300712</t>
  </si>
  <si>
    <t>DRY2300713</t>
  </si>
  <si>
    <t>DRY2300714</t>
  </si>
  <si>
    <t>DRY2300715</t>
  </si>
  <si>
    <t>DRY2300716</t>
  </si>
  <si>
    <t>DRY2300717</t>
  </si>
  <si>
    <t>DRY2300718</t>
  </si>
  <si>
    <t>DRY2300719</t>
  </si>
  <si>
    <t>DRY2300720</t>
  </si>
  <si>
    <t>DRY2300721</t>
  </si>
  <si>
    <t>DRY2300722</t>
  </si>
  <si>
    <t>DRY2300723</t>
  </si>
  <si>
    <t>DRY2300724</t>
  </si>
  <si>
    <t>DRY2300725</t>
  </si>
  <si>
    <t>DRY2300726</t>
  </si>
  <si>
    <t>KL2300033</t>
  </si>
  <si>
    <t>KL2300034</t>
  </si>
  <si>
    <t>KL2300035</t>
  </si>
  <si>
    <t>KL2300036</t>
  </si>
  <si>
    <t>DRY2300730</t>
  </si>
  <si>
    <t>DRY2300731</t>
  </si>
  <si>
    <t>DRY2300740</t>
  </si>
  <si>
    <t>DRY2300741</t>
  </si>
  <si>
    <t>DRY2300742</t>
  </si>
  <si>
    <t>DRY2300732</t>
  </si>
  <si>
    <t>DRY2300733</t>
  </si>
  <si>
    <t>DRY2300734</t>
  </si>
  <si>
    <t>DRY2300735</t>
  </si>
  <si>
    <t>DRY2300736</t>
  </si>
  <si>
    <t>DRY2300737</t>
  </si>
  <si>
    <t>DRY2300738</t>
  </si>
  <si>
    <t>DRY2300739</t>
  </si>
  <si>
    <t>KL2300037</t>
  </si>
  <si>
    <t>DRY2300743</t>
  </si>
  <si>
    <t>DRY2300744</t>
  </si>
  <si>
    <t>เริ่มหมึกพิพม์ใหม่</t>
  </si>
  <si>
    <t>ถ้วยขาวพิมพ์กดสีฟ้า</t>
  </si>
  <si>
    <t>pkเข้า5/1</t>
  </si>
  <si>
    <t>DRY2300775</t>
  </si>
  <si>
    <t>DRY2300776</t>
  </si>
  <si>
    <t>DRY2300777</t>
  </si>
  <si>
    <t>DRY2300781</t>
  </si>
  <si>
    <t>DRY2300778</t>
  </si>
  <si>
    <t>DRY2300779</t>
  </si>
  <si>
    <t>DRY2300780</t>
  </si>
  <si>
    <t>DRY2300782</t>
  </si>
  <si>
    <t>DRY2300783</t>
  </si>
  <si>
    <t>DRY2300784</t>
  </si>
  <si>
    <t>DRY2300785</t>
  </si>
  <si>
    <t>DRY2300786</t>
  </si>
  <si>
    <t>รอสั่งซอสใหม่</t>
  </si>
  <si>
    <t>082SJWE24005P01001</t>
  </si>
  <si>
    <t>DRY2400001</t>
  </si>
  <si>
    <t>DRY2400002</t>
  </si>
  <si>
    <t>DRY2400003</t>
  </si>
  <si>
    <t>DRY2400004</t>
  </si>
  <si>
    <t>DRY2400005</t>
  </si>
  <si>
    <t>DRY2400007</t>
  </si>
  <si>
    <t>DRY2400006</t>
  </si>
  <si>
    <t>DRY2400008</t>
  </si>
  <si>
    <t>DRY2400009</t>
  </si>
  <si>
    <t>DRY2400010</t>
  </si>
  <si>
    <t>DRY2400011</t>
  </si>
  <si>
    <t>DRY2400012</t>
  </si>
  <si>
    <t>DRY2400013</t>
  </si>
  <si>
    <t>DRY2400014</t>
  </si>
  <si>
    <t>DRY2400015</t>
  </si>
  <si>
    <t>DRY2400016</t>
  </si>
  <si>
    <t>DRY2400017</t>
  </si>
  <si>
    <t>DRY2400018</t>
  </si>
  <si>
    <t>DRY2400019</t>
  </si>
  <si>
    <t>DRY2400020</t>
  </si>
  <si>
    <t>DRY2400021</t>
  </si>
  <si>
    <t>DRY2400022</t>
  </si>
  <si>
    <t>DRY2400023</t>
  </si>
  <si>
    <t>DRY2400024</t>
  </si>
  <si>
    <t>DRY2400025</t>
  </si>
  <si>
    <t>DRY2400026</t>
  </si>
  <si>
    <t>DRY2400027</t>
  </si>
  <si>
    <t>DRY2400028</t>
  </si>
  <si>
    <t>DRY2400029</t>
  </si>
  <si>
    <t>DRY2400030</t>
  </si>
  <si>
    <t>DRY2400031</t>
  </si>
  <si>
    <t>DRY2400032</t>
  </si>
  <si>
    <t>DRY2400033</t>
  </si>
  <si>
    <t>DRY2400034</t>
  </si>
  <si>
    <t>DRY2400035</t>
  </si>
  <si>
    <t>DRY2400036</t>
  </si>
  <si>
    <t>DRY2400037</t>
  </si>
  <si>
    <t>DRY2400038</t>
  </si>
  <si>
    <t>DRY2400039</t>
  </si>
  <si>
    <t>DRY2400040</t>
  </si>
  <si>
    <t>DRY2400041</t>
  </si>
  <si>
    <t>DRY2400042</t>
  </si>
  <si>
    <t>DRY2400043</t>
  </si>
  <si>
    <t>DRY2400044</t>
  </si>
  <si>
    <t>DRY2400045</t>
  </si>
  <si>
    <t>DRY2400046</t>
  </si>
  <si>
    <t>DRY2400047</t>
  </si>
  <si>
    <t>DRY2400048</t>
  </si>
  <si>
    <t>DRY2400049</t>
  </si>
  <si>
    <t>DRY2400050</t>
  </si>
  <si>
    <t>DRY2400051</t>
  </si>
  <si>
    <t>DRY2400052</t>
  </si>
  <si>
    <t>DRY2400053</t>
  </si>
  <si>
    <t>DRY2400054</t>
  </si>
  <si>
    <t>DRY2400055</t>
  </si>
  <si>
    <t>DRY2400056</t>
  </si>
  <si>
    <t>DRY2400057</t>
  </si>
  <si>
    <t>DRY2400058</t>
  </si>
  <si>
    <t>DRY2400059</t>
  </si>
  <si>
    <t>DRY2400060</t>
  </si>
  <si>
    <t>DRY2400061</t>
  </si>
  <si>
    <t>DRY2400062</t>
  </si>
  <si>
    <t>DRY2400063</t>
  </si>
  <si>
    <t>DRY2400064</t>
  </si>
  <si>
    <t>DRY2400065</t>
  </si>
  <si>
    <t>DRY2400067</t>
  </si>
  <si>
    <t>DRY2400068</t>
  </si>
  <si>
    <t>DRY2400069</t>
  </si>
  <si>
    <t>DRY2400070</t>
  </si>
  <si>
    <t>DRY2400071</t>
  </si>
  <si>
    <t>DRY2400072</t>
  </si>
  <si>
    <t>DRY2400073</t>
  </si>
  <si>
    <t>DRY2400074</t>
  </si>
  <si>
    <t>DRY2400075</t>
  </si>
  <si>
    <t>DRY2400076</t>
  </si>
  <si>
    <t>DRY2400077</t>
  </si>
  <si>
    <t>DRY2400078</t>
  </si>
  <si>
    <t>DRY2400079</t>
  </si>
  <si>
    <t>DRY2400080</t>
  </si>
  <si>
    <t>DRY2400081</t>
  </si>
  <si>
    <t>DRY2400082</t>
  </si>
  <si>
    <t>DRY2400083</t>
  </si>
  <si>
    <t>DRY2400084</t>
  </si>
  <si>
    <t>DRY2400085</t>
  </si>
  <si>
    <t>DRY2400086</t>
  </si>
  <si>
    <t>DRY2400087</t>
  </si>
  <si>
    <t>DRY2400088</t>
  </si>
  <si>
    <t>DRY2400090</t>
  </si>
  <si>
    <t>DRY2400089</t>
  </si>
  <si>
    <t>DRY2400091</t>
  </si>
  <si>
    <t>DRY2400092</t>
  </si>
  <si>
    <t>DRY2400093</t>
  </si>
  <si>
    <t>KL2300038</t>
  </si>
  <si>
    <t>DRY2400096</t>
  </si>
  <si>
    <t>DRY2400097</t>
  </si>
  <si>
    <t>DRY2400098</t>
  </si>
  <si>
    <t>DRY2400099</t>
  </si>
  <si>
    <t>DRY2400100</t>
  </si>
  <si>
    <t>082S85J36005P00001</t>
  </si>
  <si>
    <t>KL2400001</t>
  </si>
  <si>
    <t>E+Wonton+หมาล่า</t>
  </si>
  <si>
    <t>DRY2400101</t>
  </si>
  <si>
    <t>DRY2400102</t>
  </si>
  <si>
    <t>DRY2400103</t>
  </si>
  <si>
    <t>DRY2400104</t>
  </si>
  <si>
    <t>DRY2400105</t>
  </si>
  <si>
    <t>DRY2400106</t>
  </si>
  <si>
    <t>DRY2400107</t>
  </si>
  <si>
    <t>DRY2300639</t>
  </si>
  <si>
    <t>DRY2400108</t>
  </si>
  <si>
    <t>DRY2400109</t>
  </si>
  <si>
    <t>DRY2400110</t>
  </si>
  <si>
    <t>DRY2400111</t>
  </si>
  <si>
    <t>DRY2400112</t>
  </si>
  <si>
    <t>DRY2400113</t>
  </si>
  <si>
    <t>DRY2300473</t>
  </si>
  <si>
    <t>DRY2300474</t>
  </si>
  <si>
    <t>DRY2400114</t>
  </si>
  <si>
    <t>DRY2400115</t>
  </si>
  <si>
    <t>DRY2400116</t>
  </si>
  <si>
    <t>DRY2400117</t>
  </si>
  <si>
    <t>DRY2400118</t>
  </si>
  <si>
    <t>DRY2400119</t>
  </si>
  <si>
    <t>Newpackage330x330x234 mm.=2040+238</t>
  </si>
  <si>
    <t>DRY2400120</t>
  </si>
  <si>
    <t>DRY2400121</t>
  </si>
  <si>
    <t>DRY2400122</t>
  </si>
  <si>
    <t>ตกเป้า 6948 ถ้วย</t>
  </si>
  <si>
    <t>INNERใหม่ / กล่องใหม่</t>
  </si>
  <si>
    <t>ตกเป้า 5652+612ถ้วย</t>
  </si>
  <si>
    <t>DRY2400123</t>
  </si>
  <si>
    <t>DRY2400124</t>
  </si>
  <si>
    <t>DRY2400125</t>
  </si>
  <si>
    <t>DRY2400126</t>
  </si>
  <si>
    <t>DRY2400127</t>
  </si>
  <si>
    <t>DRY2400128</t>
  </si>
  <si>
    <t>DRY2400129</t>
  </si>
  <si>
    <t>DRY2400130</t>
  </si>
  <si>
    <t>DRY2400131</t>
  </si>
  <si>
    <t>DRY2400132</t>
  </si>
  <si>
    <t>DRY2400133</t>
  </si>
  <si>
    <t>DRY2400134</t>
  </si>
  <si>
    <t>DRY2400136</t>
  </si>
  <si>
    <t>DRY2400137</t>
  </si>
  <si>
    <t>DRY2400138</t>
  </si>
  <si>
    <t>DRY2400139</t>
  </si>
  <si>
    <t>DRY2400140</t>
  </si>
  <si>
    <t>DRY2400141</t>
  </si>
  <si>
    <t>DRY2400142</t>
  </si>
  <si>
    <t>DRY2400143</t>
  </si>
  <si>
    <t>DRY2400144</t>
  </si>
  <si>
    <t>DRY2400145</t>
  </si>
  <si>
    <t>DRY2400146</t>
  </si>
  <si>
    <t>DRY2400147</t>
  </si>
  <si>
    <t>DRY2400148</t>
  </si>
  <si>
    <t>DRY2400149</t>
  </si>
  <si>
    <t>DRY2400150</t>
  </si>
  <si>
    <t>DRY2400151</t>
  </si>
  <si>
    <t>DRY2400152</t>
  </si>
  <si>
    <t>DRY2400153</t>
  </si>
  <si>
    <t>DRY2400154</t>
  </si>
  <si>
    <t>DRY2400155</t>
  </si>
  <si>
    <t>DRY2400156</t>
  </si>
  <si>
    <t>DRY2400157</t>
  </si>
  <si>
    <t>DRY2400158</t>
  </si>
  <si>
    <t>DRY2400159</t>
  </si>
  <si>
    <t>DRY2400160</t>
  </si>
  <si>
    <t>DRY2400161</t>
  </si>
  <si>
    <t>DRY2400162</t>
  </si>
  <si>
    <t>DRY2400163</t>
  </si>
  <si>
    <t>DRY2400164</t>
  </si>
  <si>
    <t>DRY2400165</t>
  </si>
  <si>
    <t>DRY2400166</t>
  </si>
  <si>
    <t>DRY2400167</t>
  </si>
  <si>
    <t>DRY2400168</t>
  </si>
  <si>
    <t>DRY2400169</t>
  </si>
  <si>
    <t>DRY2400170</t>
  </si>
  <si>
    <t>DRY2400171</t>
  </si>
  <si>
    <t>DRY2400172</t>
  </si>
  <si>
    <t>DRY2400173</t>
  </si>
  <si>
    <t>DRY2400174</t>
  </si>
  <si>
    <t>DRY2400175</t>
  </si>
  <si>
    <t>DRY2400176</t>
  </si>
  <si>
    <t>DRY2400177</t>
  </si>
  <si>
    <t>DRY2400178</t>
  </si>
  <si>
    <t>DRY2400184</t>
  </si>
  <si>
    <t>DRY2400185</t>
  </si>
  <si>
    <t>DRY2400186</t>
  </si>
  <si>
    <t>DRY2400187</t>
  </si>
  <si>
    <t>DRY2400179</t>
  </si>
  <si>
    <t>DRY2400180</t>
  </si>
  <si>
    <t>DRY2400181</t>
  </si>
  <si>
    <t>DRY2400182</t>
  </si>
  <si>
    <t>DRY2400183</t>
  </si>
  <si>
    <t>DRY2400188</t>
  </si>
  <si>
    <t>AUS 637ถ้วย</t>
  </si>
  <si>
    <t>Cooked Wonton ND+ Vegetable  SS  3 pcs</t>
  </si>
  <si>
    <t>DRY2400189</t>
  </si>
  <si>
    <t>DRY2400192</t>
  </si>
  <si>
    <t>DRY2400190</t>
  </si>
  <si>
    <t>DRY2400193</t>
  </si>
  <si>
    <t>DRY2400191</t>
  </si>
  <si>
    <t>DRY2400194</t>
  </si>
  <si>
    <t>DRY2400195</t>
  </si>
  <si>
    <t>DRY2400196</t>
  </si>
  <si>
    <t>DRY2400197</t>
  </si>
  <si>
    <t>TYEX+CO  2370 +2330 7/2 +4320 12/2 +4320 22/2</t>
  </si>
  <si>
    <t>KL2400005</t>
  </si>
  <si>
    <t>143g*18</t>
  </si>
  <si>
    <t>082S83Q18005P06001</t>
  </si>
  <si>
    <t>Ben Foods</t>
  </si>
  <si>
    <t>082SRB508003P01001</t>
  </si>
  <si>
    <t>กัก213</t>
  </si>
  <si>
    <t>กัก 755</t>
  </si>
  <si>
    <t>กัก 502</t>
  </si>
  <si>
    <t>กัก 250</t>
  </si>
  <si>
    <t>กัก 193</t>
  </si>
  <si>
    <t>กัก 275</t>
  </si>
  <si>
    <t>กัก 2400</t>
  </si>
  <si>
    <t>กัก 81</t>
  </si>
  <si>
    <t>กัก 244</t>
  </si>
  <si>
    <t>กัก 999+315สำรอง</t>
  </si>
  <si>
    <t>DRY2400198</t>
  </si>
  <si>
    <t>DRY2400199</t>
  </si>
  <si>
    <t>DRY2400200</t>
  </si>
  <si>
    <t>DRY2400201</t>
  </si>
  <si>
    <t>DRY2400202</t>
  </si>
  <si>
    <t>DRY2400203</t>
  </si>
  <si>
    <t>DRY2400204</t>
  </si>
  <si>
    <t>DRY2400205</t>
  </si>
  <si>
    <t>DRY2400206</t>
  </si>
  <si>
    <t>DRY2400207</t>
  </si>
  <si>
    <t>DRY2400208</t>
  </si>
  <si>
    <t>DRY2400209</t>
  </si>
  <si>
    <t>DRY2400210</t>
  </si>
  <si>
    <t>DRY2400211</t>
  </si>
  <si>
    <t>DRY2400212</t>
  </si>
  <si>
    <t>DRY2400213</t>
  </si>
  <si>
    <t>DRY2400214</t>
  </si>
  <si>
    <t>DRY2400215</t>
  </si>
  <si>
    <t>DRY2400216</t>
  </si>
  <si>
    <t>DRY2400219</t>
  </si>
  <si>
    <t>DRY2400220</t>
  </si>
  <si>
    <t>DRY2400221</t>
  </si>
  <si>
    <t>DRY2400222</t>
  </si>
  <si>
    <t>DRY2400223</t>
  </si>
  <si>
    <t>DRY2400218</t>
  </si>
  <si>
    <t>082S83U36005P01001</t>
  </si>
  <si>
    <t>082S83U36005P00001</t>
  </si>
  <si>
    <t>DRY2400224</t>
  </si>
  <si>
    <t>DRY2400225</t>
  </si>
  <si>
    <t>DRY2400226</t>
  </si>
  <si>
    <t>DRY2400227</t>
  </si>
  <si>
    <t>KL2400006</t>
  </si>
  <si>
    <t>KL2400007</t>
  </si>
  <si>
    <t>INNERเก่า / กล่องใหม่ เหลือง</t>
  </si>
  <si>
    <t>DRY2400228</t>
  </si>
  <si>
    <t>DRY2400229</t>
  </si>
  <si>
    <t>DRY2400230</t>
  </si>
  <si>
    <t>DRY2400231</t>
  </si>
  <si>
    <t>DRY2400232</t>
  </si>
  <si>
    <t>DRY2400233</t>
  </si>
  <si>
    <t>DRY2400234</t>
  </si>
  <si>
    <t>DRY2400235</t>
  </si>
  <si>
    <t>DRY2400236</t>
  </si>
  <si>
    <t>DRY2400237</t>
  </si>
  <si>
    <t>DRY2400217</t>
  </si>
  <si>
    <t>DRY2400238</t>
  </si>
  <si>
    <t>DRY2400239</t>
  </si>
  <si>
    <t>DRY2400240</t>
  </si>
  <si>
    <t>DRY2400241</t>
  </si>
  <si>
    <t>DRY2400242</t>
  </si>
  <si>
    <t>DRY2400243</t>
  </si>
  <si>
    <t>DRY2400244</t>
  </si>
  <si>
    <t>DRY2400245</t>
  </si>
  <si>
    <t>DRY2400246</t>
  </si>
  <si>
    <t>DRY2400247</t>
  </si>
  <si>
    <t>DRY2400248</t>
  </si>
  <si>
    <t>DRY2400249</t>
  </si>
  <si>
    <t>DRY2400250</t>
  </si>
  <si>
    <t>DRY2400251</t>
  </si>
  <si>
    <t>DRY2400252</t>
  </si>
  <si>
    <t>DRY2400253</t>
  </si>
  <si>
    <t>DRY2400254</t>
  </si>
  <si>
    <t>DRY2400255</t>
  </si>
  <si>
    <t>DRY2400256</t>
  </si>
  <si>
    <t>DRY2400257</t>
  </si>
  <si>
    <t>DRY2400258</t>
  </si>
  <si>
    <t>DRY2400259</t>
  </si>
  <si>
    <t>DRY2400260</t>
  </si>
  <si>
    <t>DRY2400261</t>
  </si>
  <si>
    <t>DRY2400262</t>
  </si>
  <si>
    <t>DRY2400263</t>
  </si>
  <si>
    <t>DRY2400264</t>
  </si>
  <si>
    <t>DRY2400265</t>
  </si>
  <si>
    <t>DRY2400266</t>
  </si>
  <si>
    <t>DRY2400267</t>
  </si>
  <si>
    <t>DRY2400268</t>
  </si>
  <si>
    <t>DRY2400269</t>
  </si>
  <si>
    <t>DRY2400270</t>
  </si>
  <si>
    <t>DRY2400271</t>
  </si>
  <si>
    <t>DRY2400272</t>
  </si>
  <si>
    <t>DRY2400273</t>
  </si>
  <si>
    <t>DRY2400274</t>
  </si>
  <si>
    <t>DRY2400275</t>
  </si>
  <si>
    <t>DRY2400276</t>
  </si>
  <si>
    <t>DRY2400277</t>
  </si>
  <si>
    <t>DRY2400278</t>
  </si>
  <si>
    <t>DRY2400279</t>
  </si>
  <si>
    <t>DRY2400280</t>
  </si>
  <si>
    <t>DRY2400281</t>
  </si>
  <si>
    <t>DRY2400282</t>
  </si>
  <si>
    <t>DRY2400283</t>
  </si>
  <si>
    <t>DRY2400284</t>
  </si>
  <si>
    <t>DRY2400285</t>
  </si>
  <si>
    <t>DRY2400286</t>
  </si>
  <si>
    <t>DRY2400287</t>
  </si>
  <si>
    <t>DRY2400288</t>
  </si>
  <si>
    <t>DRY2400289</t>
  </si>
  <si>
    <t>DRY2400290</t>
  </si>
  <si>
    <t>DRY2400291</t>
  </si>
  <si>
    <t>DRY2400292</t>
  </si>
  <si>
    <t>DRY2400293</t>
  </si>
  <si>
    <t>DRY2400294</t>
  </si>
  <si>
    <t>DRY2400295</t>
  </si>
  <si>
    <t>DRY2400296</t>
  </si>
  <si>
    <t>DRY2400297</t>
  </si>
  <si>
    <t>DRY2400298</t>
  </si>
  <si>
    <t>DRY2400299</t>
  </si>
  <si>
    <t>DRY2400300</t>
  </si>
  <si>
    <t>DRY2400301</t>
  </si>
  <si>
    <t>DRY2400302</t>
  </si>
  <si>
    <t>DRY2400303</t>
  </si>
  <si>
    <t>DRY2400304</t>
  </si>
  <si>
    <t>เครื่องจักรเสีย</t>
  </si>
  <si>
    <t>เครื่องฟรีส 2 เสีย</t>
  </si>
  <si>
    <t>082SRRE12003P00001</t>
  </si>
  <si>
    <t>DRY2400305</t>
  </si>
  <si>
    <t>DRY2400306</t>
  </si>
  <si>
    <t>Taiwan</t>
  </si>
  <si>
    <t>DRY2400307</t>
  </si>
  <si>
    <t>DRY2400308</t>
  </si>
  <si>
    <t>DRY2400309</t>
  </si>
  <si>
    <t>DRY2400310</t>
  </si>
  <si>
    <t>DRY2400311</t>
  </si>
  <si>
    <t>DRY2400312</t>
  </si>
  <si>
    <t>DRY2400323</t>
  </si>
  <si>
    <t>DRY2400325</t>
  </si>
  <si>
    <t>DRY2400313</t>
  </si>
  <si>
    <t>DRY2400326</t>
  </si>
  <si>
    <t>DRY2400314</t>
  </si>
  <si>
    <t>DRY2400316</t>
  </si>
  <si>
    <t>DRY2400318</t>
  </si>
  <si>
    <t>DRY2400319</t>
  </si>
  <si>
    <t>DRY2400320</t>
  </si>
  <si>
    <t>DRY2400321</t>
  </si>
  <si>
    <t>DRY2400322</t>
  </si>
  <si>
    <t>DRY2400331</t>
  </si>
  <si>
    <t>DRY2400332</t>
  </si>
  <si>
    <t>DRY2400333</t>
  </si>
  <si>
    <t>DRY2400345</t>
  </si>
  <si>
    <t>DRY2400337</t>
  </si>
  <si>
    <t>DRY2400342</t>
  </si>
  <si>
    <t>DRY2400343</t>
  </si>
  <si>
    <t>DRY2400344</t>
  </si>
  <si>
    <t>DRY2400350</t>
  </si>
  <si>
    <t>DRY2400334</t>
  </si>
  <si>
    <t>DRY2400335</t>
  </si>
  <si>
    <t>DRY2400336</t>
  </si>
  <si>
    <t>DRY2400346</t>
  </si>
  <si>
    <t>DRY2400347</t>
  </si>
  <si>
    <t>DRY2400348</t>
  </si>
  <si>
    <t>DRY2400349</t>
  </si>
  <si>
    <t>DRY2400338</t>
  </si>
  <si>
    <t>DRY2400339</t>
  </si>
  <si>
    <t>DRY2400340</t>
  </si>
  <si>
    <t>DRY2400341</t>
  </si>
  <si>
    <t>DRY2400353</t>
  </si>
  <si>
    <t>DRY2400351</t>
  </si>
  <si>
    <t>KL2400008</t>
  </si>
  <si>
    <t>DRY2400352</t>
  </si>
  <si>
    <t>เกี๊ยวกุ้งซุปหมาล่าแพ็คสุดคุ้ม (ตรา ซีพี)</t>
  </si>
  <si>
    <t>082SJ1A12003P02001</t>
  </si>
  <si>
    <t>Cooked Wonton With Egg .7-11</t>
  </si>
  <si>
    <t>DRY2400354</t>
  </si>
  <si>
    <t>DRY2400355</t>
  </si>
  <si>
    <t>DRY2400356</t>
  </si>
  <si>
    <t>DRY2400357</t>
  </si>
  <si>
    <t>DRY2400066</t>
  </si>
  <si>
    <t>KL2400009</t>
  </si>
  <si>
    <t>DRY2400358</t>
  </si>
  <si>
    <t>DRY2400359</t>
  </si>
  <si>
    <t>DRY2400360</t>
  </si>
  <si>
    <t>DRY2400361</t>
  </si>
  <si>
    <t>DRY2400362</t>
  </si>
  <si>
    <t>KL2400010</t>
  </si>
  <si>
    <t>DRY2400364</t>
  </si>
  <si>
    <t>รับโดยไม่รอผลเชื้อ</t>
  </si>
  <si>
    <t>Wonton Soup  (Enriched wonton sheet) tom yum</t>
  </si>
  <si>
    <t>DRY2400365</t>
  </si>
  <si>
    <t>DRY2400366</t>
  </si>
  <si>
    <t>DRY2400367</t>
  </si>
  <si>
    <t>DRY2400368</t>
  </si>
  <si>
    <t>DRY2400369</t>
  </si>
  <si>
    <t>KL2400011</t>
  </si>
  <si>
    <t>DRY2400370</t>
  </si>
  <si>
    <t>DRY2400389</t>
  </si>
  <si>
    <t>DRY2400371</t>
  </si>
  <si>
    <t>DRY2400372</t>
  </si>
  <si>
    <t>DRY2400373</t>
  </si>
  <si>
    <t>DRY2400374</t>
  </si>
  <si>
    <t>DRY2400375</t>
  </si>
  <si>
    <t>DRY2400376</t>
  </si>
  <si>
    <t>DRY2400377</t>
  </si>
  <si>
    <t>DRY2400378</t>
  </si>
  <si>
    <t>DRY2400379</t>
  </si>
  <si>
    <t>DRY2400380</t>
  </si>
  <si>
    <t>DRY2400381</t>
  </si>
  <si>
    <t>DRY2400382</t>
  </si>
  <si>
    <t>DRY2400383</t>
  </si>
  <si>
    <t>DRY2400384</t>
  </si>
  <si>
    <t>DRY2400385</t>
  </si>
  <si>
    <t>DRY2400386</t>
  </si>
  <si>
    <t>DRY2400387</t>
  </si>
  <si>
    <t>DRY2400388</t>
  </si>
  <si>
    <t>DRY2400390</t>
  </si>
  <si>
    <t>DRY2400391</t>
  </si>
  <si>
    <t>DRY2400392</t>
  </si>
  <si>
    <t>DRY2400393</t>
  </si>
  <si>
    <t>DRY2400394</t>
  </si>
  <si>
    <t>DRY2400395</t>
  </si>
  <si>
    <t>DRY2400396</t>
  </si>
  <si>
    <t>SGS ตรวจพิเศษเพิ่ม 40%</t>
  </si>
  <si>
    <t>DRY2400135</t>
  </si>
  <si>
    <t>DRY2400398</t>
  </si>
  <si>
    <t>DRY2400397</t>
  </si>
  <si>
    <t>DRY2400399</t>
  </si>
  <si>
    <t>FIX 25/4</t>
  </si>
  <si>
    <t>พร้อมผลิต</t>
  </si>
  <si>
    <t>วันผักเข้าโรงงาน</t>
  </si>
  <si>
    <t>ผลออก/16.00น.</t>
  </si>
  <si>
    <t>ล้างผักแล้วฟรีส</t>
  </si>
  <si>
    <t>c-intray 1 กะ 10 ชม.</t>
  </si>
  <si>
    <t>ขอใช้ผักแบบไม่ล้าง</t>
  </si>
  <si>
    <t>วันล้างผัก</t>
  </si>
  <si>
    <t>3.7/1วันผลิต</t>
  </si>
  <si>
    <t>KL2400012</t>
  </si>
  <si>
    <t>KL2400013</t>
  </si>
  <si>
    <t>กรมประมง</t>
  </si>
  <si>
    <t>DRY2400421</t>
  </si>
  <si>
    <t>DRY2400400</t>
  </si>
  <si>
    <t>DRY2400401</t>
  </si>
  <si>
    <t>DRY2400402</t>
  </si>
  <si>
    <t>DRY2400403</t>
  </si>
  <si>
    <t>DRY2400404</t>
  </si>
  <si>
    <t>DRY2400405</t>
  </si>
  <si>
    <t>DRY2400406</t>
  </si>
  <si>
    <t>DRY2400407</t>
  </si>
  <si>
    <t>DRY2400408</t>
  </si>
  <si>
    <t>DRY2400409</t>
  </si>
  <si>
    <t>DRY2400410</t>
  </si>
  <si>
    <t>DRY2400411</t>
  </si>
  <si>
    <t>DRY2400412</t>
  </si>
  <si>
    <t>DRY2400413</t>
  </si>
  <si>
    <t>DRY2400414</t>
  </si>
  <si>
    <t>DRY2400415</t>
  </si>
  <si>
    <t>DRY2400416</t>
  </si>
  <si>
    <t>DRY2400417</t>
  </si>
  <si>
    <t>DRY2400418</t>
  </si>
  <si>
    <t>DRY2400419</t>
  </si>
  <si>
    <t>DRY2400420</t>
  </si>
  <si>
    <t>DRY2400423</t>
  </si>
  <si>
    <t>670 kg.exp 10/7 / ทำได้ 13,000 ครั้งเดียว แต่ถ้าทำ 2 รอบจะเป็น 4,752 / 6,000</t>
  </si>
  <si>
    <t>13&amp;15</t>
  </si>
  <si>
    <t>16-17</t>
  </si>
  <si>
    <t>18-19</t>
  </si>
  <si>
    <t>20-21</t>
  </si>
  <si>
    <t>22-23</t>
  </si>
  <si>
    <t>24-25</t>
  </si>
  <si>
    <t>26-27</t>
  </si>
  <si>
    <t>28-29</t>
  </si>
  <si>
    <t>1-2</t>
  </si>
  <si>
    <t>DRY2400424</t>
  </si>
  <si>
    <t>ผลิตสวม code เป็น 22/04/24 เพื่อไป Air</t>
  </si>
  <si>
    <t>082SJKW08003P01001</t>
  </si>
  <si>
    <t>DRY2400426</t>
  </si>
  <si>
    <t>DRY2400425</t>
  </si>
  <si>
    <t>KL2400015</t>
  </si>
  <si>
    <t>KL2400014</t>
  </si>
  <si>
    <t>DRY2400427</t>
  </si>
  <si>
    <t>DRY2400428</t>
  </si>
  <si>
    <t>DRY2400429</t>
  </si>
  <si>
    <t>DRY2400430</t>
  </si>
  <si>
    <t>DRY2400422</t>
  </si>
  <si>
    <t>Newpackage  เปลี่ยน AW   330x330x234 mm.=2040+238</t>
  </si>
  <si>
    <t>DRY2400431</t>
  </si>
  <si>
    <t xml:space="preserve">Cooked Wonton ND No Egg with Pumpkin
</t>
  </si>
  <si>
    <t>082SJEJ36004P00001</t>
  </si>
  <si>
    <t>239g*6c*6in</t>
  </si>
  <si>
    <t>DRY2400432</t>
  </si>
  <si>
    <t>DRY2400433</t>
  </si>
  <si>
    <t>Wonton Soup 5pcs</t>
  </si>
  <si>
    <t>082S85736005P01001</t>
  </si>
  <si>
    <t>DRY2400434</t>
  </si>
  <si>
    <t>DRY2400435</t>
  </si>
  <si>
    <t>DRY2400436</t>
  </si>
  <si>
    <t>DRY2400440</t>
  </si>
  <si>
    <t>DRY2400441</t>
  </si>
  <si>
    <t>DRY2400439</t>
  </si>
  <si>
    <t>DRY2400442</t>
  </si>
  <si>
    <t>DRY2400443</t>
  </si>
  <si>
    <t>DRY2400444</t>
  </si>
  <si>
    <t>DRY2400445</t>
  </si>
  <si>
    <t>DRY2400446</t>
  </si>
  <si>
    <t>DRY2400447</t>
  </si>
  <si>
    <t>DRY2400448</t>
  </si>
  <si>
    <t>DRY2400449</t>
  </si>
  <si>
    <t>DRY2400450</t>
  </si>
  <si>
    <t>DRY2400451</t>
  </si>
  <si>
    <t>DRY2400452</t>
  </si>
  <si>
    <t>DRY2400453</t>
  </si>
  <si>
    <t>DRY2400454</t>
  </si>
  <si>
    <t>DRY2400455</t>
  </si>
  <si>
    <t>DRY2400456</t>
  </si>
  <si>
    <t>DRY2400457</t>
  </si>
  <si>
    <t>DRY2400458</t>
  </si>
  <si>
    <t>DRY2400459</t>
  </si>
  <si>
    <t>DRY2400460</t>
  </si>
  <si>
    <t>DRY2400461</t>
  </si>
  <si>
    <t>DRY2400462</t>
  </si>
  <si>
    <t>DRY2400463</t>
  </si>
  <si>
    <t>DRY2400464</t>
  </si>
  <si>
    <t>DRY2400465</t>
  </si>
  <si>
    <t>DRY2400466</t>
  </si>
  <si>
    <t>DRY2400467</t>
  </si>
  <si>
    <t>DRY2400468</t>
  </si>
  <si>
    <t>DRY2400469</t>
  </si>
  <si>
    <t>DRY2400470</t>
  </si>
  <si>
    <t>DRY2400471</t>
  </si>
  <si>
    <t>DRY2400472</t>
  </si>
  <si>
    <t>DRY2400473</t>
  </si>
  <si>
    <t>DRY2400474</t>
  </si>
  <si>
    <t>DRY2400475</t>
  </si>
  <si>
    <t>DRY2400479</t>
  </si>
  <si>
    <t>DRY2400477</t>
  </si>
  <si>
    <t>DRY2400478</t>
  </si>
  <si>
    <t>DRY2400476</t>
  </si>
  <si>
    <t>pk เข้า 22/05/24</t>
  </si>
  <si>
    <t>OLD Package</t>
  </si>
  <si>
    <t>DRY2400480</t>
  </si>
  <si>
    <t>DRY2400481</t>
  </si>
  <si>
    <t>DRY2400486</t>
  </si>
  <si>
    <t>DRY2400487</t>
  </si>
  <si>
    <t>DRY2400483</t>
  </si>
  <si>
    <t>DRY2400484</t>
  </si>
  <si>
    <t>DRY2400485</t>
  </si>
  <si>
    <t>DRY2400488</t>
  </si>
  <si>
    <t>DRY2400489</t>
  </si>
  <si>
    <t>Fix 7-11 Audit 24/6</t>
  </si>
  <si>
    <t>1457 ถ้วย New Zealand</t>
  </si>
  <si>
    <t>351 ถ้วยUK /1030 New Zealand</t>
  </si>
  <si>
    <t>DRY2400490</t>
  </si>
  <si>
    <t>DRY2400491</t>
  </si>
  <si>
    <t>DRY2400492</t>
  </si>
  <si>
    <t>DRY2400493</t>
  </si>
  <si>
    <t>DRY2400494</t>
  </si>
  <si>
    <t>DRY2400495</t>
  </si>
  <si>
    <t>DRY2400496</t>
  </si>
  <si>
    <t>DRY2400497</t>
  </si>
  <si>
    <t>DRY2400499</t>
  </si>
  <si>
    <t>DRY2400503</t>
  </si>
  <si>
    <t>DRY2400501</t>
  </si>
  <si>
    <t>DRY2400504</t>
  </si>
  <si>
    <t>DRY2400502</t>
  </si>
  <si>
    <t>DRY2400505</t>
  </si>
  <si>
    <t>DRY2400508</t>
  </si>
  <si>
    <t>DRY2400509</t>
  </si>
  <si>
    <t>DRY2400510</t>
  </si>
  <si>
    <t>DRY2400511</t>
  </si>
  <si>
    <t>DRY2400438</t>
  </si>
  <si>
    <t>12063755</t>
  </si>
  <si>
    <t>12091060 stk ติดถุง</t>
  </si>
  <si>
    <t>KL2400017</t>
  </si>
  <si>
    <t>KL2400016</t>
  </si>
  <si>
    <t>สำรอง บรูไน</t>
  </si>
  <si>
    <t>DRY2400513</t>
  </si>
  <si>
    <t>DRY2400514</t>
  </si>
  <si>
    <t>DRY2400515</t>
  </si>
  <si>
    <t>ขั่นต่ำ 58,000 ถ้วย</t>
  </si>
  <si>
    <t>rema</t>
  </si>
  <si>
    <t>DRY2400516</t>
  </si>
  <si>
    <t>DRY2400517</t>
  </si>
  <si>
    <t>DRY2400518</t>
  </si>
  <si>
    <t>DRY2400519</t>
  </si>
  <si>
    <t>DRY2400520</t>
  </si>
  <si>
    <t>DRY2400521</t>
  </si>
  <si>
    <t>DRY2400522</t>
  </si>
  <si>
    <t>DRY2400523</t>
  </si>
  <si>
    <t>DRY2400524</t>
  </si>
  <si>
    <t>DRY2400525</t>
  </si>
  <si>
    <t>DRY2400526</t>
  </si>
  <si>
    <t>DRY2400527</t>
  </si>
  <si>
    <t>DRY2400528</t>
  </si>
  <si>
    <t>DRY2400529</t>
  </si>
  <si>
    <t>DRY2400530</t>
  </si>
  <si>
    <t>DRY2400531</t>
  </si>
  <si>
    <t>DRY2400532</t>
  </si>
  <si>
    <t>DRY2400533</t>
  </si>
  <si>
    <t>DRY2400534</t>
  </si>
  <si>
    <t>DRY2400535</t>
  </si>
  <si>
    <t>DRY2400536</t>
  </si>
  <si>
    <t>DRY2400537</t>
  </si>
  <si>
    <t>DRY2400538</t>
  </si>
  <si>
    <t>DRY2400539</t>
  </si>
  <si>
    <t>DRY2400540</t>
  </si>
  <si>
    <t>DRY2400541</t>
  </si>
  <si>
    <t>DRY2400542</t>
  </si>
  <si>
    <t>DRY2400543</t>
  </si>
  <si>
    <t>DRY2400544</t>
  </si>
  <si>
    <t>DRY2400545</t>
  </si>
  <si>
    <t>DRY2400546</t>
  </si>
  <si>
    <t>DRY2400549</t>
  </si>
  <si>
    <t>DRY2400550</t>
  </si>
  <si>
    <t>08.2024</t>
  </si>
  <si>
    <t>09.2024</t>
  </si>
  <si>
    <t>DRY2400551</t>
  </si>
  <si>
    <t>DRY2400552</t>
  </si>
  <si>
    <t>DRY2400548</t>
  </si>
  <si>
    <t>DRY2400554</t>
  </si>
  <si>
    <t>DRY2400555</t>
  </si>
  <si>
    <t>DRY2400556</t>
  </si>
  <si>
    <t>DRY2400557</t>
  </si>
  <si>
    <t>DRY2400558</t>
  </si>
  <si>
    <t>DRY2400559</t>
  </si>
  <si>
    <t>DRY2400560</t>
  </si>
  <si>
    <t>DRY2400561</t>
  </si>
  <si>
    <t>DRY2400562</t>
  </si>
  <si>
    <t>DRY2400563</t>
  </si>
  <si>
    <t>DRY2400564</t>
  </si>
  <si>
    <t>DRY2400565</t>
  </si>
  <si>
    <t>DRY2400566</t>
  </si>
  <si>
    <t>DRY2400567</t>
  </si>
  <si>
    <t>DRY2400568</t>
  </si>
  <si>
    <t>DRY2400569</t>
  </si>
  <si>
    <t>DRY2400570</t>
  </si>
  <si>
    <t>DRY2400571</t>
  </si>
  <si>
    <t>DRY2400572</t>
  </si>
  <si>
    <t>DRY2400573</t>
  </si>
  <si>
    <t>DRY2400574</t>
  </si>
  <si>
    <t>DRY2400575</t>
  </si>
  <si>
    <t>DRY2400576</t>
  </si>
  <si>
    <t>06-2024</t>
  </si>
  <si>
    <t>07-2024</t>
  </si>
  <si>
    <t>08-2024</t>
  </si>
  <si>
    <t>DRY2400578</t>
  </si>
  <si>
    <t>DRY2400579</t>
  </si>
  <si>
    <t>DRY2400580</t>
  </si>
  <si>
    <t>DRY2400581</t>
  </si>
  <si>
    <t>DRY2400582</t>
  </si>
  <si>
    <t>DRY2400583</t>
  </si>
  <si>
    <t>DRY2400584</t>
  </si>
  <si>
    <t>DRY2400585</t>
  </si>
  <si>
    <t>DRY2400586</t>
  </si>
  <si>
    <t>DRY2400587</t>
  </si>
  <si>
    <t>DRY2400589</t>
  </si>
  <si>
    <t>DRY2400590</t>
  </si>
  <si>
    <t>DRY2400588</t>
  </si>
  <si>
    <t>DRY2400591</t>
  </si>
  <si>
    <t>DRY2400592</t>
  </si>
  <si>
    <t>DRY2400593</t>
  </si>
  <si>
    <t>ผลิตสินค้าไว้ก่อน  เพราะ ซอส จะหมดอายุ 10/07/24  และให้สั่ง package ไว้เลย / แต่ชุดนี้ทาง CPFNW ขอสวมวันผลิตประมาณเดือน 10/2024</t>
  </si>
  <si>
    <t>09-2024</t>
  </si>
  <si>
    <t>fix เป็นเกี๊ยว ซ่อมโบลเว่อร์</t>
  </si>
  <si>
    <t>DRY2400596</t>
  </si>
  <si>
    <t>DRY2400597</t>
  </si>
  <si>
    <t>DRY2400598</t>
  </si>
  <si>
    <t>DRY2400599</t>
  </si>
  <si>
    <t>DRY2400600</t>
  </si>
  <si>
    <t>DRY2400601</t>
  </si>
  <si>
    <t>DRY2400602</t>
  </si>
  <si>
    <t>DRY2400603</t>
  </si>
  <si>
    <t>DRY2400604</t>
  </si>
  <si>
    <t>DRY2400605</t>
  </si>
  <si>
    <t>DRY2400606</t>
  </si>
  <si>
    <t>DRY2400608</t>
  </si>
  <si>
    <t>DRY2400611</t>
  </si>
  <si>
    <t>DRY2400612</t>
  </si>
  <si>
    <t>DRY2400613</t>
  </si>
  <si>
    <t>DRY2400614</t>
  </si>
  <si>
    <t>DRY2400615</t>
  </si>
  <si>
    <t>DRY2400616</t>
  </si>
  <si>
    <t>DRY2400617</t>
  </si>
  <si>
    <t>DRY2400618</t>
  </si>
  <si>
    <t>DRY2400619</t>
  </si>
  <si>
    <t>DRY2400620</t>
  </si>
  <si>
    <t>DRY2400621</t>
  </si>
  <si>
    <t>DRY2400622</t>
  </si>
  <si>
    <t>DRY2400623</t>
  </si>
  <si>
    <t>DRY2400624</t>
  </si>
  <si>
    <t>DRY2400625</t>
  </si>
  <si>
    <t>DRY2400626</t>
  </si>
  <si>
    <t>DRY2400627</t>
  </si>
  <si>
    <t>รอเปลี่ยนNEWPACKAGE</t>
  </si>
  <si>
    <t>DRY2400628</t>
  </si>
  <si>
    <t>KL2400018</t>
  </si>
  <si>
    <t>KL2400019</t>
  </si>
  <si>
    <t>Fix Audit UK</t>
  </si>
  <si>
    <t>DRY2400629</t>
  </si>
  <si>
    <t>DRY2400630</t>
  </si>
  <si>
    <t>DRY2400631</t>
  </si>
  <si>
    <t>DRY2400632</t>
  </si>
  <si>
    <t>DRY2400512</t>
  </si>
  <si>
    <t>DRY2400633</t>
  </si>
  <si>
    <t>Kee Mao</t>
  </si>
  <si>
    <t>082SJ3B24003P04001</t>
  </si>
  <si>
    <t>250g*24</t>
  </si>
  <si>
    <t>Cooked Wonton Thai Spicy Pumpkin Noodles (Drunken Noodles)</t>
  </si>
  <si>
    <t>DRY2400634</t>
  </si>
  <si>
    <t>DRY2400635</t>
  </si>
  <si>
    <t>DRY2400636</t>
  </si>
  <si>
    <t>12054445</t>
  </si>
  <si>
    <t>KL2400020</t>
  </si>
  <si>
    <r>
      <t xml:space="preserve">Raw Wonton 12 pcs with </t>
    </r>
    <r>
      <rPr>
        <sz val="11"/>
        <color indexed="10"/>
        <rFont val="Leelawadee UI Semilight"/>
        <family val="2"/>
      </rPr>
      <t>sesame</t>
    </r>
  </si>
  <si>
    <r>
      <t>Wonton+</t>
    </r>
    <r>
      <rPr>
        <sz val="11"/>
        <color rgb="FFFF0000"/>
        <rFont val="Leelawadee UI Semilight"/>
        <family val="2"/>
      </rPr>
      <t>TY</t>
    </r>
  </si>
  <si>
    <r>
      <t xml:space="preserve">Wonton </t>
    </r>
    <r>
      <rPr>
        <sz val="11"/>
        <color rgb="FFFF0000"/>
        <rFont val="Leelawadee UI Semilight"/>
        <family val="2"/>
      </rPr>
      <t>TY</t>
    </r>
  </si>
  <si>
    <r>
      <t xml:space="preserve">E+Wonton </t>
    </r>
    <r>
      <rPr>
        <sz val="11"/>
        <color rgb="FFFF0000"/>
        <rFont val="Leelawadee UI Semilight"/>
        <family val="2"/>
      </rPr>
      <t>TY</t>
    </r>
  </si>
  <si>
    <r>
      <t>Wonton ND+V+</t>
    </r>
    <r>
      <rPr>
        <sz val="11"/>
        <color rgb="FFFF0000"/>
        <rFont val="Leelawadee UI Semilight"/>
        <family val="2"/>
      </rPr>
      <t>TY</t>
    </r>
  </si>
  <si>
    <r>
      <t>E+Wonton</t>
    </r>
    <r>
      <rPr>
        <sz val="11"/>
        <color rgb="FFFF0000"/>
        <rFont val="Leelawadee UI Semilight"/>
        <family val="2"/>
      </rPr>
      <t xml:space="preserve"> TY</t>
    </r>
  </si>
  <si>
    <r>
      <t>Wonton +</t>
    </r>
    <r>
      <rPr>
        <sz val="11"/>
        <color rgb="FFFF0000"/>
        <rFont val="Leelawadee UI Semilight"/>
        <family val="2"/>
      </rPr>
      <t>TY</t>
    </r>
  </si>
  <si>
    <r>
      <t>Minced ND+V+</t>
    </r>
    <r>
      <rPr>
        <sz val="11"/>
        <color rgb="FFFF0000"/>
        <rFont val="Leelawadee UI Semilight"/>
        <family val="2"/>
      </rPr>
      <t>TY</t>
    </r>
  </si>
  <si>
    <r>
      <t>Minced ND+V+</t>
    </r>
    <r>
      <rPr>
        <sz val="11"/>
        <color indexed="10"/>
        <rFont val="Leelawadee UI Semilight"/>
        <family val="2"/>
      </rPr>
      <t>TY</t>
    </r>
  </si>
  <si>
    <r>
      <t>Minced ND+</t>
    </r>
    <r>
      <rPr>
        <sz val="11"/>
        <color rgb="FFFF0000"/>
        <rFont val="Leelawadee UI Semilight"/>
        <family val="2"/>
      </rPr>
      <t>Kee Mao</t>
    </r>
  </si>
  <si>
    <r>
      <t>Minced ND+V+</t>
    </r>
    <r>
      <rPr>
        <sz val="11"/>
        <color rgb="FFFF0000"/>
        <rFont val="Leelawadee UI Semilight"/>
        <family val="2"/>
      </rPr>
      <t>TK</t>
    </r>
  </si>
  <si>
    <t>REVISON  :                     0</t>
  </si>
  <si>
    <t>DOCNO.  :  FM  -  PL  -  016</t>
  </si>
  <si>
    <t>FROM</t>
  </si>
  <si>
    <t>EFFECTIVE  DATE  :                            16       JULY          2024</t>
  </si>
  <si>
    <t>อายุการเก็บรักษา  :  6 เดือน</t>
  </si>
  <si>
    <t>TITLE  : แผนสั่งผลิตสินค้า Wonton &amp; Noodle Plant 3</t>
  </si>
  <si>
    <t>DRY2400637</t>
  </si>
  <si>
    <t>DRY2400638</t>
  </si>
  <si>
    <t>DRY2400639</t>
  </si>
  <si>
    <t>DRY2400640</t>
  </si>
  <si>
    <t>DRY2400641</t>
  </si>
  <si>
    <t>DRY2400642</t>
  </si>
  <si>
    <t>DRY2400643</t>
  </si>
  <si>
    <t>DRY2400644</t>
  </si>
  <si>
    <t>DRY2400645</t>
  </si>
  <si>
    <t>DRY2400648</t>
  </si>
  <si>
    <t>DRY2400647</t>
  </si>
  <si>
    <t>DRY2400649</t>
  </si>
  <si>
    <t>082SRWE24005P00001</t>
  </si>
  <si>
    <t>Cooked Wonton  No Egg 
+ 4 pcs</t>
  </si>
  <si>
    <t>129g*8</t>
  </si>
  <si>
    <t>DRY2400650</t>
  </si>
  <si>
    <t>DRY2400651</t>
  </si>
  <si>
    <t>10-2024</t>
  </si>
  <si>
    <t>11-2024</t>
  </si>
  <si>
    <t>12-2024</t>
  </si>
  <si>
    <t>DRY2400652</t>
  </si>
  <si>
    <t>DRY2400653</t>
  </si>
  <si>
    <t>DRY2400654</t>
  </si>
  <si>
    <t>DRY2400655</t>
  </si>
  <si>
    <t>DRY2400656</t>
  </si>
  <si>
    <t>DRY2400657</t>
  </si>
  <si>
    <t>DRY2400658</t>
  </si>
  <si>
    <t>DRY2400659</t>
  </si>
  <si>
    <t>DRY2400660</t>
  </si>
  <si>
    <t>DRY2400661</t>
  </si>
  <si>
    <t>DRY2400662</t>
  </si>
  <si>
    <t>DRY2400663</t>
  </si>
  <si>
    <t>DRY2400664</t>
  </si>
  <si>
    <t>082S83I08004P01001</t>
  </si>
  <si>
    <t>DRY2400665</t>
  </si>
  <si>
    <t>DRY2400666</t>
  </si>
  <si>
    <t>DRY2400330</t>
  </si>
  <si>
    <t>DRY2400668</t>
  </si>
  <si>
    <t>DRY2400577</t>
  </si>
  <si>
    <t>DRY2400669</t>
  </si>
  <si>
    <t>DRY2400670</t>
  </si>
  <si>
    <t>KL2400021</t>
  </si>
  <si>
    <t>KL2400022</t>
  </si>
  <si>
    <t>DRY2400671</t>
  </si>
  <si>
    <t>KL2400023</t>
  </si>
  <si>
    <t>KL2400024</t>
  </si>
  <si>
    <t>KL2400025</t>
  </si>
  <si>
    <t>DRY2400672</t>
  </si>
  <si>
    <t>repack สวมวันผลิต</t>
  </si>
  <si>
    <t>เร่งผลเชื้อ</t>
  </si>
  <si>
    <t>DRY2400673</t>
  </si>
  <si>
    <t>082S01508600G01000</t>
  </si>
  <si>
    <t>10.2024</t>
  </si>
  <si>
    <t>11.2024</t>
  </si>
  <si>
    <t>เกี๊ยวกุ้งทรัฟเฟิลซุปน้ำดำ CP 143g 7E</t>
  </si>
  <si>
    <t>น้ำดำ</t>
  </si>
  <si>
    <t>DRY2400674</t>
  </si>
  <si>
    <t>DRY2400683</t>
  </si>
  <si>
    <t>DRY2400675</t>
  </si>
  <si>
    <t>DRY2400676</t>
  </si>
  <si>
    <t>DRY2400678</t>
  </si>
  <si>
    <t>DRY2400677</t>
  </si>
  <si>
    <t>DRY2400680</t>
  </si>
  <si>
    <t>DRY2400681</t>
  </si>
  <si>
    <t>DRY2400685</t>
  </si>
  <si>
    <t>DRY2400686</t>
  </si>
  <si>
    <t>DRY2400687</t>
  </si>
  <si>
    <t>DRY2400688</t>
  </si>
  <si>
    <t>DRY2400689</t>
  </si>
  <si>
    <t>082S81A24005P0C001</t>
  </si>
  <si>
    <t>DRY2400693</t>
  </si>
  <si>
    <t>DRY2400690</t>
  </si>
  <si>
    <t>DRY2400691</t>
  </si>
  <si>
    <t>DRY2400692</t>
  </si>
  <si>
    <t>โหลดไม่รอผลเชื้อ  มีบันทึกจากฝ่ายขาย</t>
  </si>
  <si>
    <t>KL2400026</t>
  </si>
  <si>
    <t>KL2400027</t>
  </si>
  <si>
    <t>DRY2400694</t>
  </si>
  <si>
    <t>DRY2400695</t>
  </si>
  <si>
    <t xml:space="preserve">fix Mercadona </t>
  </si>
  <si>
    <t>DRY2400667</t>
  </si>
  <si>
    <t>บริษัท อินสยาม ฟู้ด แอนด์ เบฟเวอเรจ จำกัด</t>
  </si>
  <si>
    <t>90g*100B</t>
  </si>
  <si>
    <t>71-24</t>
  </si>
  <si>
    <t>082S811AA005P00001</t>
  </si>
  <si>
    <t>DRY2400696</t>
  </si>
  <si>
    <t>DRY2400697</t>
  </si>
  <si>
    <t>DRY2400698</t>
  </si>
  <si>
    <t>KL2400028</t>
  </si>
  <si>
    <t>DRY2400699</t>
  </si>
  <si>
    <t>repack</t>
  </si>
  <si>
    <t>78-24</t>
  </si>
  <si>
    <t>DRY2400700</t>
  </si>
  <si>
    <t>DRY2400701</t>
  </si>
  <si>
    <t>DRY2400702</t>
  </si>
  <si>
    <t>DRY2400704</t>
  </si>
  <si>
    <t>DRY2400705</t>
  </si>
  <si>
    <t>DRY2400706</t>
  </si>
  <si>
    <t>DRY2400707</t>
  </si>
  <si>
    <t>DRY2400708</t>
  </si>
  <si>
    <t>DRY2400709</t>
  </si>
  <si>
    <t>DRY2400710</t>
  </si>
  <si>
    <t>DRY2400711</t>
  </si>
  <si>
    <t>DRY2400712</t>
  </si>
  <si>
    <t>DRY2400713</t>
  </si>
  <si>
    <t>DRY2400714</t>
  </si>
  <si>
    <t>DRY2400715</t>
  </si>
  <si>
    <t>DRY2400716</t>
  </si>
  <si>
    <t>DRY2400717</t>
  </si>
  <si>
    <t>DRY2400718</t>
  </si>
  <si>
    <t>DRY2400719</t>
  </si>
  <si>
    <t>DRY2400720</t>
  </si>
  <si>
    <t>DRY2400721</t>
  </si>
  <si>
    <t>DRY2400722</t>
  </si>
  <si>
    <t>DRY2400723</t>
  </si>
  <si>
    <t>DRY2400724</t>
  </si>
  <si>
    <t>DRY2400725</t>
  </si>
  <si>
    <t>DRY2400726</t>
  </si>
  <si>
    <t>DRY2400727</t>
  </si>
  <si>
    <t>DRY2400728</t>
  </si>
  <si>
    <t>DRY2400729</t>
  </si>
  <si>
    <t>DRY2400730</t>
  </si>
  <si>
    <t>DRY2400731</t>
  </si>
  <si>
    <t>DRY2400733</t>
  </si>
  <si>
    <t>082SRB508003P00001</t>
  </si>
  <si>
    <t>082S83Q12005P07001</t>
  </si>
  <si>
    <t>เกี๊ยวกุ้งทรัฟเฟิลซุปน้ำดำ CP 143g</t>
  </si>
  <si>
    <t>Testrun</t>
  </si>
  <si>
    <t>082S83Q18005P07001</t>
  </si>
  <si>
    <t>ถ้วยขาวพิมพ์ STKตุษจีน</t>
  </si>
  <si>
    <t>STKตุษจีน</t>
  </si>
  <si>
    <t>KL2400029</t>
  </si>
  <si>
    <t>pk เข้า 4/10</t>
  </si>
  <si>
    <t>DRY2400734</t>
  </si>
  <si>
    <t>DRY2400738</t>
  </si>
  <si>
    <t>DRY2400739</t>
  </si>
  <si>
    <t>DRY2400735</t>
  </si>
  <si>
    <t>DRY2400736</t>
  </si>
  <si>
    <t>DRY2400737</t>
  </si>
  <si>
    <t>DRY2400740</t>
  </si>
  <si>
    <t>DRY2400741</t>
  </si>
  <si>
    <t>DRY2400742</t>
  </si>
  <si>
    <t>DRY2400743</t>
  </si>
  <si>
    <t>DRY2400744</t>
  </si>
  <si>
    <t>DRY2400745</t>
  </si>
  <si>
    <t>DRY2400746</t>
  </si>
  <si>
    <t>DRY2400747</t>
  </si>
  <si>
    <t>DRY2400748</t>
  </si>
  <si>
    <t>DRY2400749</t>
  </si>
  <si>
    <t>DRY2400750</t>
  </si>
  <si>
    <t>DRY2400751</t>
  </si>
  <si>
    <t>DRY2400752</t>
  </si>
  <si>
    <t>DRY2400753</t>
  </si>
  <si>
    <t>CP Laos</t>
  </si>
  <si>
    <t>DRY2400754</t>
  </si>
  <si>
    <t>KL2400031</t>
  </si>
  <si>
    <t>การตลาดรับทราบเรื่อง 2 วันหมดอายุในตู้เดียวกัน</t>
  </si>
  <si>
    <t>ขาดซุปน้ำดำ  8900 ถ้วย</t>
  </si>
  <si>
    <t>082S8L212005P01001</t>
  </si>
  <si>
    <t>082S8L212005P00001</t>
  </si>
  <si>
    <t>LA001/2567</t>
  </si>
  <si>
    <t>Laos</t>
  </si>
  <si>
    <t>บริษัท ปิก้าเทรดดิ้ง จำกัด</t>
  </si>
  <si>
    <t>DRY2400755</t>
  </si>
  <si>
    <t>เกี๊ยวกุ้งจักรพรรดิ 12x145g.</t>
  </si>
  <si>
    <t>เกี๊ยวกุ้งจักรพรรดิ ซุปหม่าล่า 12x143g.</t>
  </si>
  <si>
    <t>DRY2400703</t>
  </si>
  <si>
    <t>CB002/2567</t>
  </si>
  <si>
    <t>Cambodia</t>
  </si>
  <si>
    <t>หจก.คิงฟู้ดส์</t>
  </si>
  <si>
    <t>DRY2400756</t>
  </si>
  <si>
    <t>DRY2400757</t>
  </si>
  <si>
    <t>DRY2400758</t>
  </si>
  <si>
    <t>ขาดซอส  5300  ถ้วย</t>
  </si>
  <si>
    <t>KL2400033</t>
  </si>
  <si>
    <t>ผลิตสินค้าไว้ก่อน  เพราะ ซอส จะหมดอายุ 10/07/24  และให้สั่ง package ไว้เลย / แต่ชุดนี้ทาง CPFNW ขอสวมวันผลิตประมาณเดือน 10/2024  รัดสีเชือกแยก</t>
  </si>
  <si>
    <t>รัดสีเชือกแยก</t>
  </si>
  <si>
    <t>DRY2400759</t>
  </si>
  <si>
    <t>DRY2400760</t>
  </si>
  <si>
    <t>DRY2400761</t>
  </si>
  <si>
    <t>DRY2400762</t>
  </si>
  <si>
    <t>KL2400034</t>
  </si>
  <si>
    <t>KL2400035</t>
  </si>
  <si>
    <t>KL2400036</t>
  </si>
  <si>
    <t>KL2400037</t>
  </si>
  <si>
    <t>KL2400038</t>
  </si>
  <si>
    <t>DRY2400766</t>
  </si>
  <si>
    <t>DRY2400763</t>
  </si>
  <si>
    <t>DRY2400767</t>
  </si>
  <si>
    <t>DRY2400768</t>
  </si>
  <si>
    <t>DRY2400764</t>
  </si>
  <si>
    <t>DRY2400765</t>
  </si>
  <si>
    <t>DRY2400769</t>
  </si>
  <si>
    <t>DRY2400770</t>
  </si>
  <si>
    <t>DRY2400771</t>
  </si>
  <si>
    <t>DRY2400772</t>
  </si>
  <si>
    <t>DRY2400773</t>
  </si>
  <si>
    <t>ขั้นต่ำน้ำซุป 1080 กก / ทำได้ 30,000 ถ้วย</t>
  </si>
  <si>
    <t>DRY2400774</t>
  </si>
  <si>
    <t>DRY2400775</t>
  </si>
  <si>
    <t>DRY2400776</t>
  </si>
  <si>
    <t>DRY2400777</t>
  </si>
  <si>
    <t>DRY2400778</t>
  </si>
  <si>
    <t>DRY2400779</t>
  </si>
  <si>
    <t>DRY2400780</t>
  </si>
  <si>
    <t>DRY2400781</t>
  </si>
  <si>
    <t>DRY2400782</t>
  </si>
  <si>
    <t>DRY2400783</t>
  </si>
  <si>
    <t>DRY2400784</t>
  </si>
  <si>
    <t>DRY2400785</t>
  </si>
  <si>
    <t>DRY2400786</t>
  </si>
  <si>
    <t>DRY2400787</t>
  </si>
  <si>
    <t>DRY2400788</t>
  </si>
  <si>
    <t>DRY2400789</t>
  </si>
  <si>
    <t>DRY2400790</t>
  </si>
  <si>
    <t>01-2025</t>
  </si>
  <si>
    <t>DRY2400791</t>
  </si>
  <si>
    <t>DRY2400792</t>
  </si>
  <si>
    <t>KL2400039</t>
  </si>
  <si>
    <t>136-24</t>
  </si>
  <si>
    <t>DRY2400793</t>
  </si>
  <si>
    <t>สำรองจาก  082SRBW08005P00000</t>
  </si>
  <si>
    <t>LA005/2567</t>
  </si>
  <si>
    <t>cp all audit</t>
  </si>
  <si>
    <t>R/M ต้องตรวจผลก่อนการนำมาผลิต</t>
  </si>
  <si>
    <t>DRY2400794</t>
  </si>
  <si>
    <t>DRY2400795</t>
  </si>
  <si>
    <t>DRY2400796</t>
  </si>
  <si>
    <t>DRY2400797</t>
  </si>
  <si>
    <t>DRY2400798</t>
  </si>
  <si>
    <t>DRY2400799</t>
  </si>
  <si>
    <t>DRY2400800</t>
  </si>
  <si>
    <t>DRY2400801</t>
  </si>
  <si>
    <t>01-2024</t>
  </si>
  <si>
    <t>TYANSSG+CM</t>
  </si>
  <si>
    <t>TYEXSG+CO</t>
  </si>
  <si>
    <t>DRY2400802</t>
  </si>
  <si>
    <t>DRY2400803</t>
  </si>
  <si>
    <t>DRY2400808</t>
  </si>
  <si>
    <t>DRY2400804</t>
  </si>
  <si>
    <t>DRY2400805</t>
  </si>
  <si>
    <t>DRY2400806</t>
  </si>
  <si>
    <t>DRY2400809</t>
  </si>
  <si>
    <t>DRY2400807</t>
  </si>
  <si>
    <t>DRY2400811</t>
  </si>
  <si>
    <t>DRY2400812</t>
  </si>
  <si>
    <t>DRY2400813</t>
  </si>
  <si>
    <t>DRY2400810</t>
  </si>
  <si>
    <t>เหลือซอส 33,000 ซอง</t>
  </si>
  <si>
    <t>DRY2400814</t>
  </si>
  <si>
    <t>DRY2400815</t>
  </si>
  <si>
    <t>DRY2400816</t>
  </si>
  <si>
    <t>DRY2400817</t>
  </si>
  <si>
    <t>DRY2400818</t>
  </si>
  <si>
    <t>DRY2400819</t>
  </si>
  <si>
    <t>KL2400040</t>
  </si>
  <si>
    <t>KL2400041</t>
  </si>
  <si>
    <t>DRY2400820</t>
  </si>
  <si>
    <t>DRY2400821</t>
  </si>
  <si>
    <t>02-2025</t>
  </si>
  <si>
    <t>082S83R36005P00001</t>
  </si>
  <si>
    <t>PK ก่าเสามารถผลิตได้อีก 14,690 กล่อง</t>
  </si>
  <si>
    <t>DRY2400822</t>
  </si>
  <si>
    <t>DRY2400823</t>
  </si>
  <si>
    <t>Cooked Minced  ND No Egg</t>
  </si>
  <si>
    <t>082SR9U08003P03001</t>
  </si>
  <si>
    <t>300g*8</t>
  </si>
  <si>
    <t>DRY2400824</t>
  </si>
  <si>
    <t>03-2025</t>
  </si>
  <si>
    <t>04-2025</t>
  </si>
  <si>
    <t>05-2025</t>
  </si>
  <si>
    <t>06-2025</t>
  </si>
  <si>
    <t>07-2025</t>
  </si>
  <si>
    <t>08-2025</t>
  </si>
  <si>
    <t>09-2025</t>
  </si>
  <si>
    <t>10-2025</t>
  </si>
  <si>
    <t>11-2025</t>
  </si>
  <si>
    <t>12-2025</t>
  </si>
  <si>
    <t>ชมรมกอล์ฟ ซีพี</t>
  </si>
  <si>
    <t>PK ก่าเสามารถผลิตได้อีก 7436 กล่องในยอด FO 02/2025</t>
  </si>
  <si>
    <t>DRY2400825</t>
  </si>
  <si>
    <t>DRY2400826</t>
  </si>
  <si>
    <t>DRY2400827</t>
  </si>
  <si>
    <t>DRY2400828</t>
  </si>
  <si>
    <t>KL2400042</t>
  </si>
  <si>
    <t>KL2400043</t>
  </si>
  <si>
    <t>KL2400044</t>
  </si>
  <si>
    <t>DRY2400829</t>
  </si>
  <si>
    <t>DRY2400832</t>
  </si>
  <si>
    <t>DRY2400830</t>
  </si>
  <si>
    <t>DRY2400831</t>
  </si>
  <si>
    <t>DRY2400833</t>
  </si>
  <si>
    <t>DRY2400834</t>
  </si>
  <si>
    <t>DRY2400835</t>
  </si>
  <si>
    <t>DRY2400836</t>
  </si>
  <si>
    <t>DRY2400837</t>
  </si>
  <si>
    <t>DRY2400838</t>
  </si>
  <si>
    <t>DRY2400839</t>
  </si>
  <si>
    <t>DRY2400840</t>
  </si>
  <si>
    <t>DRY2400841</t>
  </si>
  <si>
    <t>DRY2400842</t>
  </si>
  <si>
    <t>DRY2400843</t>
  </si>
  <si>
    <t>DRY2400844</t>
  </si>
  <si>
    <t>DRY2400845</t>
  </si>
  <si>
    <t>DRY2400846</t>
  </si>
  <si>
    <t>DRY2400847</t>
  </si>
  <si>
    <t>DRY2400848</t>
  </si>
  <si>
    <t>DRY2400849</t>
  </si>
  <si>
    <t>DRY2400850</t>
  </si>
  <si>
    <t>DRY2400851</t>
  </si>
  <si>
    <t>DRY2400852</t>
  </si>
  <si>
    <t>DRY2400853</t>
  </si>
  <si>
    <t>DRY2400854</t>
  </si>
  <si>
    <t>DRY2500003</t>
  </si>
  <si>
    <t>DRY2500006</t>
  </si>
  <si>
    <t>DRY2500004</t>
  </si>
  <si>
    <t>DRY2500005</t>
  </si>
  <si>
    <t>DRY2500001</t>
  </si>
  <si>
    <t>DRY2500002</t>
  </si>
  <si>
    <t>DRY2500007</t>
  </si>
  <si>
    <t>DRY2500011</t>
  </si>
  <si>
    <t>DRY2500012</t>
  </si>
  <si>
    <t>001-25</t>
  </si>
  <si>
    <t>DRY2500008</t>
  </si>
  <si>
    <t>DRY2500009</t>
  </si>
  <si>
    <t>DRY2500010</t>
  </si>
  <si>
    <t>DRY2500013</t>
  </si>
  <si>
    <t>DRY2500014</t>
  </si>
  <si>
    <t>DRY2500015</t>
  </si>
  <si>
    <t>KL2500001</t>
  </si>
  <si>
    <t>KL2500002</t>
  </si>
  <si>
    <t>DRY2500016</t>
  </si>
  <si>
    <t>DRY2500019</t>
  </si>
  <si>
    <t>DRY2500023</t>
  </si>
  <si>
    <t>DRY2500024</t>
  </si>
  <si>
    <t>DRY2500025</t>
  </si>
  <si>
    <t>DRY2500032</t>
  </si>
  <si>
    <t>DRY2500033</t>
  </si>
  <si>
    <t>DRY2500034</t>
  </si>
  <si>
    <t>DRY2500038</t>
  </si>
  <si>
    <t>KL2500003</t>
  </si>
  <si>
    <t>KL2500004</t>
  </si>
  <si>
    <t>KL2500005</t>
  </si>
  <si>
    <t>KL2500006</t>
  </si>
  <si>
    <t>รอเปลี่ยนNEWPACKAGE/ถ้าว,ฝา สีขาว</t>
  </si>
  <si>
    <t>082SJ3Q12003P09001</t>
  </si>
  <si>
    <t>227g*12</t>
  </si>
  <si>
    <t>บะหมี่เกี๊ยวกุ้งซุปสุกี้ CPxMK 227g ND Pumpkin</t>
  </si>
  <si>
    <t>MK</t>
  </si>
  <si>
    <t>DRY2500017</t>
  </si>
  <si>
    <t>DRY2500018</t>
  </si>
  <si>
    <t>DRY2500040</t>
  </si>
  <si>
    <t>DRY2500039</t>
  </si>
  <si>
    <t>DRY2500044</t>
  </si>
  <si>
    <t>DRY2500045</t>
  </si>
  <si>
    <t>DRY2500041</t>
  </si>
  <si>
    <t>DRY2500043</t>
  </si>
  <si>
    <t>DRY2500042</t>
  </si>
  <si>
    <t>คาดการณ์ pk เข้า 21/3</t>
  </si>
  <si>
    <t>DRY2500048</t>
  </si>
  <si>
    <t>DRY2500046</t>
  </si>
  <si>
    <t>DRY2500049</t>
  </si>
  <si>
    <t>DRY2500050</t>
  </si>
  <si>
    <t>DRY2500051</t>
  </si>
  <si>
    <t>DRY2500054</t>
  </si>
  <si>
    <t>DRY2500052</t>
  </si>
  <si>
    <t>DRY2500053</t>
  </si>
  <si>
    <t>DRY2500047</t>
  </si>
  <si>
    <t>DRY2500055</t>
  </si>
  <si>
    <t>DRY2500056</t>
  </si>
  <si>
    <t>DRY2500057</t>
  </si>
  <si>
    <t>DRY2500058</t>
  </si>
  <si>
    <t>DRY2500059</t>
  </si>
  <si>
    <t>DRY2500060</t>
  </si>
  <si>
    <t>DRY2500061</t>
  </si>
  <si>
    <t>DRY2500062</t>
  </si>
  <si>
    <t>DRY2500063</t>
  </si>
  <si>
    <t>DRY2500064</t>
  </si>
  <si>
    <t>DRY2500066</t>
  </si>
  <si>
    <t>สำรอง</t>
  </si>
  <si>
    <t>KL2500007</t>
  </si>
  <si>
    <t>KL2500008</t>
  </si>
  <si>
    <t>KL2500009</t>
  </si>
  <si>
    <t>KL2500010</t>
  </si>
  <si>
    <t>DRY2500067</t>
  </si>
  <si>
    <t>DRY2500068</t>
  </si>
  <si>
    <t>DRY2500069</t>
  </si>
  <si>
    <t>DRY2500070</t>
  </si>
  <si>
    <t>DRY2500071</t>
  </si>
  <si>
    <t>DRY2500072</t>
  </si>
  <si>
    <t>DRY2500073</t>
  </si>
  <si>
    <t>DRY2500074</t>
  </si>
  <si>
    <t>DRY2500075</t>
  </si>
  <si>
    <t>DRY2500076</t>
  </si>
  <si>
    <t>DRY2500077</t>
  </si>
  <si>
    <t>DRY2500065</t>
  </si>
  <si>
    <t>Row Labels</t>
  </si>
  <si>
    <t>Column Labels</t>
  </si>
  <si>
    <t>Sum of WT/ HO</t>
  </si>
  <si>
    <t>Sum of WT/ PD</t>
  </si>
  <si>
    <t>WT/ PD</t>
  </si>
  <si>
    <t>year</t>
  </si>
  <si>
    <t>Week 1</t>
  </si>
  <si>
    <t>Wed</t>
  </si>
  <si>
    <t>Thu</t>
  </si>
  <si>
    <t>Fri</t>
  </si>
  <si>
    <t>Sat</t>
  </si>
  <si>
    <t>Week 2</t>
  </si>
  <si>
    <t>Sun</t>
  </si>
  <si>
    <t>Mon</t>
  </si>
  <si>
    <t>Tue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</si>
  <si>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</si>
  <si>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</si>
  <si>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</si>
  <si>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</si>
  <si>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</si>
  <si>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</si>
  <si>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</si>
  <si>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</si>
  <si>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</si>
  <si>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</si>
  <si>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</si>
  <si>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</si>
  <si>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</si>
  <si>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</si>
  <si>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</si>
  <si>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</si>
  <si>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</si>
  <si>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</si>
  <si>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</si>
  <si>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</si>
  <si>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</si>
  <si>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</si>
  <si>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</si>
  <si>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</si>
  <si>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</si>
  <si>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</si>
  <si>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</si>
  <si>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</si>
  <si>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</si>
  <si>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</si>
  <si>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</si>
  <si>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</si>
  <si>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</si>
  <si>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</si>
  <si>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</si>
  <si>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</si>
  <si>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</si>
  <si>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</si>
  <si>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</si>
  <si>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</si>
  <si>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</si>
  <si>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</si>
  <si>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</si>
  <si>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</si>
  <si>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</si>
  <si>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</si>
  <si>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</si>
  <si>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</si>
  <si>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</si>
  <si>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</si>
  <si>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Week 53</t>
  </si>
  <si>
    <t>Mar</t>
  </si>
  <si>
    <t>Jan</t>
  </si>
  <si>
    <t>Feb</t>
  </si>
  <si>
    <t>Apr</t>
  </si>
  <si>
    <t>May</t>
  </si>
  <si>
    <t>DRY2500078</t>
  </si>
  <si>
    <t>DRY2500079</t>
  </si>
  <si>
    <t>DRY2500080</t>
  </si>
  <si>
    <t>DRY2500081</t>
  </si>
  <si>
    <t>Total Sum of WT/ PD</t>
  </si>
  <si>
    <t>Total Sum of WT/ HO</t>
  </si>
  <si>
    <t>PACKAGE USA  / STK</t>
  </si>
  <si>
    <t>PACKAGE CAN / STK</t>
  </si>
  <si>
    <t>DRY2500083</t>
  </si>
  <si>
    <t>DRY2500084</t>
  </si>
  <si>
    <t>DRY2500082</t>
  </si>
  <si>
    <t>DRY2500085</t>
  </si>
  <si>
    <t>DRY2500086</t>
  </si>
  <si>
    <t>DRY2500087</t>
  </si>
  <si>
    <t>DRY2500088</t>
  </si>
  <si>
    <t>DRY2500089</t>
  </si>
  <si>
    <t>ถาด 12080573</t>
  </si>
  <si>
    <t>12088677</t>
  </si>
  <si>
    <t>ถาด 12080450</t>
  </si>
  <si>
    <t>ซอง 12085796/ม้วน</t>
  </si>
  <si>
    <t>12088311-ใหม่12094240</t>
  </si>
  <si>
    <t>12088315-ใหม่12094239</t>
  </si>
  <si>
    <t>12061939-12094111</t>
  </si>
  <si>
    <t>12061940-12094113</t>
  </si>
  <si>
    <t>12061938-12094114</t>
  </si>
  <si>
    <t>12085747-12094129</t>
  </si>
  <si>
    <t>12093775 STK ติด Inner</t>
  </si>
  <si>
    <t>12091418 STK ติด Inner</t>
  </si>
  <si>
    <t>12084373-12094311</t>
  </si>
  <si>
    <t>ซอง 12084876</t>
  </si>
  <si>
    <t>12054246</t>
  </si>
  <si>
    <t>แผ่นกั้น 12054217</t>
  </si>
  <si>
    <t>DRY2500090</t>
  </si>
  <si>
    <t>R T C</t>
  </si>
  <si>
    <t>DRY2500091</t>
  </si>
  <si>
    <t>DRY2500092</t>
  </si>
  <si>
    <t>DRY2500094</t>
  </si>
  <si>
    <t>short inner</t>
  </si>
  <si>
    <t>short PCS.</t>
  </si>
  <si>
    <t>short cup</t>
  </si>
  <si>
    <t>Raw Wonton</t>
  </si>
  <si>
    <t>Cooked Wonton</t>
  </si>
  <si>
    <t>Group2</t>
  </si>
  <si>
    <t>DRY2500093</t>
  </si>
  <si>
    <t>DRY2500095</t>
  </si>
  <si>
    <t>DRY2500096</t>
  </si>
  <si>
    <t>DRY2500097</t>
  </si>
  <si>
    <t>DRY2500098</t>
  </si>
  <si>
    <t>DRY2500099</t>
  </si>
  <si>
    <t>DRY2500100</t>
  </si>
  <si>
    <t>CB003/2568</t>
  </si>
  <si>
    <t>LA005/2568</t>
  </si>
  <si>
    <t>DRY2500101</t>
  </si>
  <si>
    <t>KL2500011</t>
  </si>
  <si>
    <t>KL2500012</t>
  </si>
  <si>
    <t>KL2500013</t>
  </si>
  <si>
    <t>KL2500014</t>
  </si>
  <si>
    <t>KL2500015</t>
  </si>
  <si>
    <t>KL2500016</t>
  </si>
  <si>
    <t>KL2500017</t>
  </si>
  <si>
    <t>KL2500018</t>
  </si>
  <si>
    <t>ซอง 12083140</t>
  </si>
  <si>
    <t>12091392 STK ติด INNER</t>
  </si>
  <si>
    <t>12083305-12094380</t>
  </si>
  <si>
    <t>12083306-12094381</t>
  </si>
  <si>
    <t>12093324 ติดถ้วย/12066263</t>
  </si>
  <si>
    <t>12089871-12094382</t>
  </si>
  <si>
    <t>12089872-12094383</t>
  </si>
  <si>
    <t>DRY2500102</t>
  </si>
  <si>
    <t>KL2500019</t>
  </si>
  <si>
    <t>2021 ถ้วยสำรองของ Germany  082SR3N12003P00000</t>
  </si>
  <si>
    <t>309 ถ้วยสำรองของ Germany  082SR3N12003P01000</t>
  </si>
  <si>
    <t>082SJ3Q18003P02001</t>
  </si>
  <si>
    <t>681g*6</t>
  </si>
  <si>
    <t>บะหมี่เกี๊ยวกุ้งซุปสุกี้ CPxMK multi681g</t>
  </si>
  <si>
    <t>KL2500020</t>
  </si>
  <si>
    <t>KL2500021</t>
  </si>
  <si>
    <t>KL2500022</t>
  </si>
  <si>
    <t>082SJ3N12003P02001</t>
  </si>
  <si>
    <t>DRY2500104</t>
  </si>
  <si>
    <t>DRY2500105</t>
  </si>
  <si>
    <t>DRY2500106</t>
  </si>
  <si>
    <t>DRY2500108</t>
  </si>
  <si>
    <t>DRY2500109</t>
  </si>
  <si>
    <t>CB004/2568</t>
  </si>
  <si>
    <t>LA006/2568</t>
  </si>
  <si>
    <t>DRY2500110</t>
  </si>
  <si>
    <t>DRY2500111</t>
  </si>
  <si>
    <t>DRY2500113</t>
  </si>
  <si>
    <t>DRY2500115</t>
  </si>
  <si>
    <t>DRY2500114</t>
  </si>
  <si>
    <t>KL2500023</t>
  </si>
  <si>
    <t>082S85I24005P03001</t>
  </si>
  <si>
    <t>DRY2500116</t>
  </si>
  <si>
    <t>Jun</t>
  </si>
  <si>
    <t>DRY2500117</t>
  </si>
  <si>
    <t>DRY2500118</t>
  </si>
  <si>
    <t>DRY2500119</t>
  </si>
  <si>
    <t>DRY2500120</t>
  </si>
  <si>
    <t>12094444(50ใบ/กก.)</t>
  </si>
  <si>
    <t>12094065 STKติดถุง</t>
  </si>
  <si>
    <t>12088311/12094240</t>
  </si>
  <si>
    <t>12088315/12094239</t>
  </si>
  <si>
    <t>12094278</t>
  </si>
  <si>
    <t>12094317</t>
  </si>
  <si>
    <t>12094319</t>
  </si>
  <si>
    <t>12094320</t>
  </si>
  <si>
    <t>300g*24</t>
  </si>
  <si>
    <t>Minced ND+หมาล่า</t>
  </si>
  <si>
    <t>Cooked Minced  ND No Egg หมาล่า</t>
  </si>
  <si>
    <t>082SR3B24003P00001</t>
  </si>
  <si>
    <t>DRY2500121</t>
  </si>
  <si>
    <t>628 SG</t>
  </si>
  <si>
    <t>232 SG</t>
  </si>
  <si>
    <t>ถ้วยใหม่</t>
  </si>
  <si>
    <t>DRY2500122</t>
  </si>
  <si>
    <t>Aug</t>
  </si>
  <si>
    <t>DRY2500123</t>
  </si>
  <si>
    <t>DRY2500129</t>
  </si>
  <si>
    <t>DRY2500130</t>
  </si>
  <si>
    <t>DRY2500124</t>
  </si>
  <si>
    <t>DRY2500125</t>
  </si>
  <si>
    <t>DRY2500126</t>
  </si>
  <si>
    <t>DRY2500127</t>
  </si>
  <si>
    <t>DRY2500128</t>
  </si>
  <si>
    <t>DRY2500131</t>
  </si>
  <si>
    <t>DRY2500132</t>
  </si>
  <si>
    <t>147g*8</t>
  </si>
  <si>
    <t>300g*6</t>
  </si>
  <si>
    <t>082S8KW08005P00001</t>
  </si>
  <si>
    <t>Wonton ND+BC</t>
  </si>
  <si>
    <t>082SRKW06003P00001</t>
  </si>
  <si>
    <t>Cooked Wonton ND No Egg with Pumpkin
+ Bok Choy Low sodium Enriched</t>
  </si>
  <si>
    <t>082SJ5336005PA0001</t>
  </si>
  <si>
    <t>Cooked Minced Wonton Thai Spicy Noodles (Drunken Noodles)</t>
  </si>
  <si>
    <t>DRY2500133</t>
  </si>
  <si>
    <t>DRY2500134</t>
  </si>
  <si>
    <t>DRY2500153</t>
  </si>
  <si>
    <t>DRY2500154</t>
  </si>
  <si>
    <t>DRY2500135</t>
  </si>
  <si>
    <t>DRY2500155</t>
  </si>
  <si>
    <t>DRY2500136</t>
  </si>
  <si>
    <t>DRY2500137</t>
  </si>
  <si>
    <t>DRY2500138</t>
  </si>
  <si>
    <t>DRY2500139</t>
  </si>
  <si>
    <t>DRY2500156</t>
  </si>
  <si>
    <t>DRY2500140</t>
  </si>
  <si>
    <t>DRY2500141</t>
  </si>
  <si>
    <t>DRY2500157</t>
  </si>
  <si>
    <t>DRY2500142</t>
  </si>
  <si>
    <t>DRY2500143</t>
  </si>
  <si>
    <t>DRY2500158</t>
  </si>
  <si>
    <t>DRY2500144</t>
  </si>
  <si>
    <t>DRY2500145</t>
  </si>
  <si>
    <t>DRY2500146</t>
  </si>
  <si>
    <t>DRY2500147</t>
  </si>
  <si>
    <t>DRY2500159</t>
  </si>
  <si>
    <t>DRY2500148</t>
  </si>
  <si>
    <t>DRY2500149</t>
  </si>
  <si>
    <t>DRY2500150</t>
  </si>
  <si>
    <t>DRY2500151</t>
  </si>
  <si>
    <t>DRY2500152</t>
  </si>
  <si>
    <t>DRY2500160</t>
  </si>
  <si>
    <t>082SJ5T12003P01001</t>
  </si>
  <si>
    <t>DRY2500161</t>
  </si>
  <si>
    <t>DRY2500162</t>
  </si>
  <si>
    <t>082S8BW36005P02001</t>
  </si>
  <si>
    <t>LA011/2568</t>
  </si>
  <si>
    <t>CB006/2568</t>
  </si>
  <si>
    <t>cap 3000 tray/hr. อื่น 8,300 ถ้วย</t>
  </si>
  <si>
    <t>DRY2500163</t>
  </si>
  <si>
    <t>DRY2500164</t>
  </si>
  <si>
    <t>DRY2500165</t>
  </si>
  <si>
    <t>DRY2500170</t>
  </si>
  <si>
    <t>DRY2500171</t>
  </si>
  <si>
    <t>DRY2500172</t>
  </si>
  <si>
    <t>DRY2500173</t>
  </si>
  <si>
    <t>DRY2500174</t>
  </si>
  <si>
    <t>DRY2500175</t>
  </si>
  <si>
    <t>DRY2500176</t>
  </si>
  <si>
    <t>DRY2500177</t>
  </si>
  <si>
    <t>DRY2500178</t>
  </si>
  <si>
    <t>DRY2500180</t>
  </si>
  <si>
    <t>DRY2500181</t>
  </si>
  <si>
    <t>DRY2500182</t>
  </si>
  <si>
    <t>DRY2500179</t>
  </si>
  <si>
    <t>Sep</t>
  </si>
  <si>
    <t>DRY2500185</t>
  </si>
  <si>
    <t>DRY2500184</t>
  </si>
  <si>
    <t>DRY2500183</t>
  </si>
  <si>
    <t>082S81A24005P0D001</t>
  </si>
  <si>
    <t>เปลี่ยนแบบ Package SKU</t>
  </si>
  <si>
    <t>เกี๊ยวกุ้งจักรพรรดิซุปหมาล่า CP 143g 7E_LV</t>
  </si>
  <si>
    <t>ไม่มี STK แล้ว</t>
  </si>
  <si>
    <t>082SJ5J16004PA0001</t>
  </si>
  <si>
    <t>082SR5J16003PA0001</t>
  </si>
  <si>
    <t>305g*2c*8in</t>
  </si>
  <si>
    <t>302g*2c*8in</t>
  </si>
  <si>
    <t>Cooked Wonton ND No Egg with Pumpkin
+ Box Choy</t>
  </si>
  <si>
    <t>Cooked Minced  ND No Egg with Pumpkin
+ Box Choy Tomyum</t>
  </si>
  <si>
    <t>DRY2500186</t>
  </si>
  <si>
    <t>DRY2500187</t>
  </si>
  <si>
    <t>DRY2500188</t>
  </si>
  <si>
    <t>DRY2500189</t>
  </si>
  <si>
    <t>DRY2500190</t>
  </si>
  <si>
    <t>DRY2500191</t>
  </si>
  <si>
    <t>DRY2500192</t>
  </si>
  <si>
    <t>package new ถ้วยสีขาว</t>
  </si>
  <si>
    <t>082SJ3Q12003P0A001</t>
  </si>
  <si>
    <t>บะหมี่เกี๊ยวกุ้งซุปสุกี้ CPxMK 227g  MT</t>
  </si>
  <si>
    <t>บะหมี่เกี๊ยวกุ้งซุปสุกี้ CPxMK 227g 7-11</t>
  </si>
  <si>
    <t>DRY2500193</t>
  </si>
  <si>
    <t>เกี๊ยวกุ้ง ตรา อีซี่ โก 24x5 PCS</t>
  </si>
  <si>
    <t>เกี๊ยวกุ้ง_ตราซีพี_(145กรัมx24)(7-11)</t>
  </si>
  <si>
    <t>เกี๊ยวกุ้งรสต้มยำ ตราซีพี 12x115 กรัม</t>
  </si>
  <si>
    <t>เกี๊ยวกุ้งจักรพรรดิ ตราซีพี 12x145 กรัม</t>
  </si>
  <si>
    <t>เกี๊ยวกุ้งจักรพรรดิแพ็คสุดคุ้มซีพี6x270g</t>
  </si>
  <si>
    <t>บะหมี่เกี๊ยวกุ้ง ตราซีพี 12X226 กรัม</t>
  </si>
  <si>
    <t>เปลี่ยนใช้ผักกวางตุ้งแบบแช่แข็ง</t>
  </si>
  <si>
    <t>คาดการณ์ pk เข้า 30/5</t>
  </si>
  <si>
    <t>DRY2500194</t>
  </si>
  <si>
    <t>DRY2500195</t>
  </si>
  <si>
    <t>DRY2500196</t>
  </si>
  <si>
    <t>DRY2500197</t>
  </si>
  <si>
    <t>DRY2500198</t>
  </si>
  <si>
    <t>DRY2500199</t>
  </si>
  <si>
    <t xml:space="preserve">Cooked Wonton With Egg หมาล่า </t>
  </si>
  <si>
    <t>บะหมี่เกี๊ยวกุ้งซุปสุกี้ CPxMK 227g  7-11</t>
  </si>
  <si>
    <t>ถ้าว,ฝา สีขาว</t>
  </si>
  <si>
    <t>Cooked Minced Wonton Noodles Yu Choy Tomyum</t>
  </si>
  <si>
    <t>Cooked Minced Wonton Noodles Yu Choy Tomkha</t>
  </si>
  <si>
    <t>DRY2500200</t>
  </si>
  <si>
    <t>DRY2500201</t>
  </si>
  <si>
    <t>DRY2500204</t>
  </si>
  <si>
    <t>DRY2500205</t>
  </si>
  <si>
    <t>DRY2500202</t>
  </si>
  <si>
    <t>DRY2500203</t>
  </si>
  <si>
    <t>Raw Wonton 8 pcs (Tomyam 30g.)</t>
  </si>
  <si>
    <t>082I93B18008P01001</t>
  </si>
  <si>
    <t>126g*18in</t>
  </si>
  <si>
    <t>DRY2500206</t>
  </si>
  <si>
    <t>242g*8</t>
  </si>
  <si>
    <t>NEWPACKAGE/ถ้าว,ฝา สีขาว  เอาstock ไตหวัน= 72ถ้วย กับเกาหลี=181 ถ้วย จีน 1285 ถ้วย มารีแพ็คด้วย</t>
  </si>
  <si>
    <t>DRY2500207</t>
  </si>
  <si>
    <t>DRY2500208</t>
  </si>
  <si>
    <t>DRY2500209</t>
  </si>
  <si>
    <t>DRY2500210</t>
  </si>
  <si>
    <t>DRY2500211</t>
  </si>
  <si>
    <t>DRY2500212</t>
  </si>
  <si>
    <t>DRY2500213</t>
  </si>
  <si>
    <t>DRY2500214</t>
  </si>
  <si>
    <t>ห่อแบบพับ</t>
  </si>
  <si>
    <t>ปลอกสวม 12095749</t>
  </si>
  <si>
    <t>ไม่มีถ้วย</t>
  </si>
  <si>
    <t>12054689</t>
  </si>
  <si>
    <t>DRY2500215</t>
  </si>
  <si>
    <t>DRY2500216</t>
  </si>
  <si>
    <t>DRY2500217</t>
  </si>
  <si>
    <r>
      <t xml:space="preserve">Cooked Wonton No Egg </t>
    </r>
    <r>
      <rPr>
        <sz val="11"/>
        <color rgb="FFFF0000"/>
        <rFont val="Leelawadee UI Semilight"/>
        <family val="2"/>
      </rPr>
      <t>Tomyum</t>
    </r>
  </si>
  <si>
    <r>
      <t xml:space="preserve">Cooked Wonton No Egg  </t>
    </r>
    <r>
      <rPr>
        <sz val="11"/>
        <color rgb="FFFF0000"/>
        <rFont val="Leelawadee UI Semilight"/>
        <family val="2"/>
      </rPr>
      <t>Tomyum</t>
    </r>
  </si>
  <si>
    <t>DRY2500219</t>
  </si>
  <si>
    <t>DRY2500220</t>
  </si>
  <si>
    <t>DRY2500221</t>
  </si>
  <si>
    <t>DRY2500222</t>
  </si>
  <si>
    <t>DRY2500223</t>
  </si>
  <si>
    <t>DRY2500224</t>
  </si>
  <si>
    <t>DRY2500225</t>
  </si>
  <si>
    <t>DRY2500226</t>
  </si>
  <si>
    <t>DRY2500227</t>
  </si>
  <si>
    <t>DRY2500228</t>
  </si>
  <si>
    <t>สำรอง PK</t>
  </si>
  <si>
    <t>2673 ถ้วย เอา Germany มา</t>
  </si>
  <si>
    <t>082SRWE24005P01001</t>
  </si>
  <si>
    <t>082SRWE24005P02001</t>
  </si>
  <si>
    <r>
      <t>Minced ND+BC+</t>
    </r>
    <r>
      <rPr>
        <sz val="11"/>
        <color rgb="FFFF0000"/>
        <rFont val="Leelawadee UI Semilight"/>
        <family val="2"/>
      </rPr>
      <t>TY</t>
    </r>
  </si>
  <si>
    <t>DRY2500229</t>
  </si>
  <si>
    <t>DRY2500230</t>
  </si>
  <si>
    <t>12094400</t>
  </si>
  <si>
    <t>12094402</t>
  </si>
  <si>
    <t>12094401</t>
  </si>
  <si>
    <t>DRY2500231</t>
  </si>
  <si>
    <t>DRY2500232</t>
  </si>
  <si>
    <t>DRY2500233</t>
  </si>
  <si>
    <t>302g*6c*6in</t>
  </si>
  <si>
    <r>
      <t>Minced ND+V+</t>
    </r>
    <r>
      <rPr>
        <sz val="11"/>
        <color rgb="FFCC00CC"/>
        <rFont val="Leelawadee UI Semilight"/>
        <family val="2"/>
      </rPr>
      <t>TK</t>
    </r>
  </si>
  <si>
    <t>DRY2500235</t>
  </si>
  <si>
    <t>DRY2500234</t>
  </si>
  <si>
    <t>DRY2500237</t>
  </si>
  <si>
    <t>DRY2500236</t>
  </si>
  <si>
    <t>DRY2500238</t>
  </si>
  <si>
    <t>DRY2500239</t>
  </si>
  <si>
    <t>082SREJ36003P00001</t>
  </si>
  <si>
    <t>Cooked Wonton Soup Tomyum</t>
  </si>
  <si>
    <t>Tomkha1+CM</t>
  </si>
  <si>
    <t>DRY2500240</t>
  </si>
  <si>
    <t>new package (ลบโลโก้ Facebook)</t>
  </si>
  <si>
    <t>DRY2500241</t>
  </si>
  <si>
    <t>DRY2500242</t>
  </si>
  <si>
    <t>DRY2500243</t>
  </si>
  <si>
    <t>DRY2500244</t>
  </si>
  <si>
    <t>ซอส 15,159 ซอง</t>
  </si>
  <si>
    <t>DRY2500245</t>
  </si>
  <si>
    <t>DRY2500246</t>
  </si>
  <si>
    <t>DRY2500247</t>
  </si>
  <si>
    <t>DRY2500248</t>
  </si>
  <si>
    <t>DRY2500249</t>
  </si>
  <si>
    <t>DRY2500250</t>
  </si>
  <si>
    <t>KL2500024</t>
  </si>
  <si>
    <t>KL2500025</t>
  </si>
  <si>
    <t>KL2500026</t>
  </si>
  <si>
    <t>DRY2500251</t>
  </si>
  <si>
    <t>082SRN708003P03001</t>
  </si>
  <si>
    <t>12096092</t>
  </si>
  <si>
    <t>DRY2500252</t>
  </si>
  <si>
    <t>DRY2500253</t>
  </si>
  <si>
    <t>DRY2500254</t>
  </si>
  <si>
    <t>DRY2500255</t>
  </si>
  <si>
    <t>KL2500027</t>
  </si>
  <si>
    <t>KL2500028</t>
  </si>
  <si>
    <t>KL2500029</t>
  </si>
  <si>
    <t>DRY2500256</t>
  </si>
  <si>
    <t>DRY2500257</t>
  </si>
  <si>
    <t>ถ้าว,ฝา สีขาว/Halal/ New Design</t>
  </si>
  <si>
    <t>ถ้าว,ฝา สีขาว/Halal</t>
  </si>
  <si>
    <t>DRY2500258</t>
  </si>
  <si>
    <t>DRY2500218</t>
  </si>
  <si>
    <t>DRY2500259</t>
  </si>
  <si>
    <t>DRY2500260</t>
  </si>
  <si>
    <t>DRY2500261</t>
  </si>
  <si>
    <t>DRY2500262</t>
  </si>
  <si>
    <t>DRY2500263</t>
  </si>
  <si>
    <t>DRY2500264</t>
  </si>
  <si>
    <t>DRY2500265</t>
  </si>
  <si>
    <t>DRY2500266</t>
  </si>
  <si>
    <t>12094589</t>
  </si>
  <si>
    <t>12094590</t>
  </si>
  <si>
    <t>12094591</t>
  </si>
  <si>
    <t>12094403</t>
  </si>
  <si>
    <t>12094404</t>
  </si>
  <si>
    <t>12094405</t>
  </si>
  <si>
    <t>DRY2500267</t>
  </si>
  <si>
    <t>DRY2500268</t>
  </si>
  <si>
    <t>DRY2500269</t>
  </si>
  <si>
    <t>DRY2500270</t>
  </si>
  <si>
    <t>DRY2500277</t>
  </si>
  <si>
    <t>DRY2500278</t>
  </si>
  <si>
    <t>DRY2500279</t>
  </si>
  <si>
    <t>DRY2500271</t>
  </si>
  <si>
    <t>DRY2500272</t>
  </si>
  <si>
    <t>DRY2500273</t>
  </si>
  <si>
    <t>DRY2500274</t>
  </si>
  <si>
    <t>DRY2500275</t>
  </si>
  <si>
    <t>DRY2500276</t>
  </si>
  <si>
    <t>DRY2500280</t>
  </si>
  <si>
    <t>DRY2500281</t>
  </si>
  <si>
    <t>DRY2500282</t>
  </si>
  <si>
    <t>DRY2500283</t>
  </si>
  <si>
    <t>DRY2500284</t>
  </si>
  <si>
    <t>cpall audit</t>
  </si>
  <si>
    <t>DRY2500285</t>
  </si>
  <si>
    <t>DRY2500286</t>
  </si>
  <si>
    <t>67 ถ้วยจาก SG</t>
  </si>
  <si>
    <t>DRY2500287</t>
  </si>
  <si>
    <t>DRY2500288</t>
  </si>
  <si>
    <t>DRY2500289</t>
  </si>
  <si>
    <t>KL2500030</t>
  </si>
  <si>
    <t>KL2500031</t>
  </si>
  <si>
    <t>KL2500032</t>
  </si>
  <si>
    <t>DRY2500290</t>
  </si>
  <si>
    <t>DRY2500291</t>
  </si>
  <si>
    <t>DRY2500292</t>
  </si>
  <si>
    <t>DRY2500293</t>
  </si>
  <si>
    <t>DRY2500294</t>
  </si>
  <si>
    <t>DRY2500295</t>
  </si>
  <si>
    <t>DRY2500297</t>
  </si>
  <si>
    <t>DRY2500298</t>
  </si>
  <si>
    <t>DRY2500299</t>
  </si>
  <si>
    <t>DRY2500300</t>
  </si>
  <si>
    <t>DRY2500301</t>
  </si>
  <si>
    <t>DRY2500302</t>
  </si>
  <si>
    <t>กรมประมง audit</t>
  </si>
  <si>
    <t>12096525</t>
  </si>
  <si>
    <t>KL2500033</t>
  </si>
  <si>
    <t>DRY2500303</t>
  </si>
  <si>
    <t>DRY2500304</t>
  </si>
  <si>
    <t>LA021/2568</t>
  </si>
  <si>
    <t>repack จาก กัมพูชา</t>
  </si>
  <si>
    <t>DRY2500305</t>
  </si>
  <si>
    <t>DRY2500306</t>
  </si>
  <si>
    <t>DRY2500307</t>
  </si>
  <si>
    <t>DRY2500308</t>
  </si>
  <si>
    <t>DRY2500309</t>
  </si>
  <si>
    <t>ซอง 12096572</t>
  </si>
  <si>
    <t>ซอง 12096614</t>
  </si>
  <si>
    <t>082S83Q12005P09001</t>
  </si>
  <si>
    <t>CPเกี๊ยวกุ้งสับ 405g (Multi Pack)</t>
  </si>
  <si>
    <t>CPบะหมี่เกี๊ยวกุ้งจักรพรรดิ 678g  (Multi Pack)</t>
  </si>
  <si>
    <t>082SK3Q18005P00001</t>
  </si>
  <si>
    <t>082SJ3Q18003P03001</t>
  </si>
  <si>
    <t>082I93G20008P01001</t>
  </si>
  <si>
    <t>082SJ3G24003P02001</t>
  </si>
  <si>
    <t>082S83G24005P05001</t>
  </si>
  <si>
    <t>082SR3G24003P04001</t>
  </si>
  <si>
    <t>DRY2500311</t>
  </si>
  <si>
    <t>DRY2500312</t>
  </si>
  <si>
    <t>DRY2500313</t>
  </si>
  <si>
    <t>DRY2500314</t>
  </si>
  <si>
    <t>082SRKW08003P01001</t>
  </si>
  <si>
    <r>
      <t>Minced ND+</t>
    </r>
    <r>
      <rPr>
        <sz val="11"/>
        <color rgb="FFCC00CC"/>
        <rFont val="Leelawadee UI Semilight"/>
        <family val="2"/>
      </rPr>
      <t>หมาล่า</t>
    </r>
  </si>
  <si>
    <t>DRY2500310</t>
  </si>
  <si>
    <t>KL2500034</t>
  </si>
  <si>
    <t>KL2500035</t>
  </si>
  <si>
    <t>KL2500036</t>
  </si>
  <si>
    <t>KL2500037</t>
  </si>
  <si>
    <t>KL2500038</t>
  </si>
  <si>
    <t>LA022/2568</t>
  </si>
  <si>
    <t>repack จาก กัมพูชา ติด stk ก้นถ้วย (stk เข้า 12/9)</t>
  </si>
  <si>
    <t>2058 ถ้วย เอา Germany มา</t>
  </si>
  <si>
    <t>104 ถ้วย เอา Germany มา</t>
  </si>
  <si>
    <t>stock Aus 678 cup /  Denmark 1678 cup</t>
  </si>
  <si>
    <t>stock Denmark 740 cup</t>
  </si>
  <si>
    <t>stock 1275 ถ้วย สินค้าผลิตเดือน 1/2025, korea 181 / taiwan 64</t>
  </si>
  <si>
    <t>INNERใหม่ / กล่องใหม่  รีแพ็คจาก usa กล่องจริง 5 กล่อง สำรอง 33 ถ้วย</t>
  </si>
  <si>
    <t>Stock Aus192 ถ้วย</t>
  </si>
  <si>
    <t>STOCK USA Pack 8x258g.</t>
  </si>
  <si>
    <t>STOCK USA Pack 8x148g.</t>
  </si>
  <si>
    <t>DRY2500316</t>
  </si>
  <si>
    <t>DRY2500317</t>
  </si>
  <si>
    <t>บะหมี่เกี๊ยวกุ้งซุปสุกี้ CPxMK 227g MT</t>
  </si>
  <si>
    <t>231g*12</t>
  </si>
  <si>
    <t>Cooked Minced Wonton Noodle</t>
  </si>
  <si>
    <t>DRY2500318</t>
  </si>
  <si>
    <t>082SR3U12004P00001</t>
  </si>
  <si>
    <t>12085746/12094238</t>
  </si>
  <si>
    <t>KL2500039</t>
  </si>
  <si>
    <t>DRY2500319</t>
  </si>
  <si>
    <t>DRY2500320</t>
  </si>
  <si>
    <t>DRY2500321</t>
  </si>
  <si>
    <t>DRY2500322</t>
  </si>
  <si>
    <t>DRY2500323</t>
  </si>
  <si>
    <t>DRY2500324</t>
  </si>
  <si>
    <t>เกี๊ยวกุ้งจักรพรรดิซุปต้มยำ LV CP 143g</t>
  </si>
  <si>
    <t>211g*24</t>
  </si>
  <si>
    <t>บะหมี่เกี๊ยวกุ้งซุปต้มยำชีส ตราซีพี 211 g x24pack 7-11</t>
  </si>
  <si>
    <t>ซอสเข้า 22/10</t>
  </si>
  <si>
    <t>082SJ1A24003P01001</t>
  </si>
  <si>
    <t>KL2500040</t>
  </si>
  <si>
    <t>KL2500041</t>
  </si>
  <si>
    <t>235g*12</t>
  </si>
  <si>
    <t>บะหมี่เกี๊ยวกุ้งขี้เมา ตราซีพี 235 กรัม</t>
  </si>
  <si>
    <t>บะหมี่เกี๊ยวกุ้งสไตล์ฮ่องกง ตราซีพี 235 กรัม</t>
  </si>
  <si>
    <t>น้ำราดเป็ด</t>
  </si>
  <si>
    <t>082SR3Q12003P02001</t>
  </si>
  <si>
    <t>082SR3Q12003P01001</t>
  </si>
  <si>
    <t>Minced+ND+V+น้ำราดเป็ด</t>
  </si>
  <si>
    <t>Minced+ND+Kee Mao แห้ง</t>
  </si>
  <si>
    <t>Raw Minced Wonton 50 pcs</t>
  </si>
  <si>
    <t>R-Minced</t>
  </si>
  <si>
    <t>082ID5710050P0000B</t>
  </si>
  <si>
    <t>DRY2500326</t>
  </si>
  <si>
    <t>Raw Minced Wonton 50 pcs Warabeya</t>
  </si>
  <si>
    <t>500g*10inner*2C/B</t>
  </si>
  <si>
    <t>1436 ถ้วย NZ</t>
  </si>
  <si>
    <t>DRY2500327</t>
  </si>
  <si>
    <t>082SR3Q18003P00001</t>
  </si>
  <si>
    <t>CPบะหมี่เกี๊ยวกุ้งสับ 573g (Multi Pack)</t>
  </si>
  <si>
    <t>191g*3ถ้วย*6ถุง</t>
  </si>
  <si>
    <t>135g*3ถ้วย*6ถุง</t>
  </si>
  <si>
    <t>226g*3ถ้วย*6ถุง</t>
  </si>
  <si>
    <t>12090589+12090589</t>
  </si>
  <si>
    <t>12026902=34=11/10=1825</t>
  </si>
  <si>
    <t>12026904=40=11/10=3606</t>
  </si>
  <si>
    <t>12026902=15/10=270</t>
  </si>
  <si>
    <t>12026904=15/10=535</t>
  </si>
  <si>
    <t>12096829 Stk ติดถุง</t>
  </si>
  <si>
    <t>12096831 Stk ติดถุง</t>
  </si>
  <si>
    <t>12096442</t>
  </si>
  <si>
    <t>12096443</t>
  </si>
  <si>
    <t>12096529</t>
  </si>
  <si>
    <t>12096530</t>
  </si>
  <si>
    <t>12026902=17/11=1000</t>
  </si>
  <si>
    <t>12026904=17/11=1803</t>
  </si>
  <si>
    <t>รอผัก</t>
  </si>
  <si>
    <t>DRY2500328</t>
  </si>
  <si>
    <t>DRY2500329</t>
  </si>
  <si>
    <t>DRY2500330</t>
  </si>
  <si>
    <t>stock 631 ถ้วยจาก denmark</t>
  </si>
  <si>
    <t>DRY2500331</t>
  </si>
  <si>
    <t>new package</t>
  </si>
  <si>
    <t>DRY2500332</t>
  </si>
  <si>
    <t>Stk ติดกล่อง 12097086</t>
  </si>
  <si>
    <t>KL2500042</t>
  </si>
  <si>
    <t>DRY2500333</t>
  </si>
  <si>
    <t>ถ้าว,ฝา สีขาว/ New Design</t>
  </si>
  <si>
    <t>DRY2500334</t>
  </si>
  <si>
    <t>DRY2500335</t>
  </si>
  <si>
    <t>DRY2500336</t>
  </si>
  <si>
    <t>ซอสเข้า 28/10 , Package รอร้านตอบกลับ (ร้านยังไม่ได้แบบ)</t>
  </si>
  <si>
    <t>ซอสเข้า 30/10 ,  Package รอร้านตอบกลับ (ร้านยังไม่ได้แบบ)</t>
  </si>
  <si>
    <t>ซอสรอร้านแจ้ง (และมีติดส่วนผสม 1 ตัว ยังไม่ทราบวันเข้า) ,  Package รอร้านตอบกลับ (ร้านยังไม่ได้แบบ)</t>
  </si>
  <si>
    <t>ซอสรอร้านแจ้ง ,  Package รอร้านตอบกลับ (ร้านยังไม่ได้แบบ)</t>
  </si>
  <si>
    <t>กล่องใหม่</t>
  </si>
  <si>
    <t>DRY2500337</t>
  </si>
  <si>
    <t>01-2026</t>
  </si>
  <si>
    <t>CPFRF</t>
  </si>
  <si>
    <t>DRY2500338</t>
  </si>
  <si>
    <t>DRY2500340</t>
  </si>
  <si>
    <t>DRY2500339</t>
  </si>
  <si>
    <t>082ID5710050P01001</t>
  </si>
  <si>
    <t>500g*10inner</t>
  </si>
  <si>
    <t>082S83Q18005P09001</t>
  </si>
  <si>
    <t>082I93Q12020P02001</t>
  </si>
  <si>
    <t>DRY2500341</t>
  </si>
  <si>
    <t>DRY2500342</t>
  </si>
  <si>
    <t>12097171 Stk ติดถุง</t>
  </si>
  <si>
    <t>DRY2500343</t>
  </si>
  <si>
    <t>DRY2500344</t>
  </si>
  <si>
    <t>DRY2500345</t>
  </si>
  <si>
    <t>DRY2500346</t>
  </si>
  <si>
    <t>DRY2500347</t>
  </si>
  <si>
    <t>DRY2500348</t>
  </si>
  <si>
    <t>DRY2500349</t>
  </si>
  <si>
    <t>DRY2500350</t>
  </si>
  <si>
    <t>DRY2500351</t>
  </si>
  <si>
    <t>DRY2500352</t>
  </si>
  <si>
    <t>770g*8in</t>
  </si>
  <si>
    <t>DRY2500353</t>
  </si>
  <si>
    <t>DRY2500355</t>
  </si>
  <si>
    <t>DRY2500354</t>
  </si>
  <si>
    <t>DRY2500356</t>
  </si>
  <si>
    <t>DRY2500357</t>
  </si>
  <si>
    <t>DRY2500358</t>
  </si>
  <si>
    <t>DRY2500359</t>
  </si>
  <si>
    <t>DRY2500360</t>
  </si>
  <si>
    <t>12097331</t>
  </si>
  <si>
    <t>12097330</t>
  </si>
  <si>
    <t>ซอง 12097309</t>
  </si>
  <si>
    <t>143g*3ถ้วย*6ถุง</t>
  </si>
  <si>
    <t>530g*10inner</t>
  </si>
  <si>
    <t>082ID3U10050P00001</t>
  </si>
  <si>
    <t>DRY2500361</t>
  </si>
  <si>
    <t>กิจกรรมปลูกป่า ความปลอดภัย</t>
  </si>
  <si>
    <t>DRY2500363</t>
  </si>
  <si>
    <t>Raw Shrimp Wonton 20 pcs. (Enrich No Egg)</t>
  </si>
  <si>
    <t>260g*10in</t>
  </si>
  <si>
    <t>082I95J20012P05001</t>
  </si>
  <si>
    <t>DRY2500364</t>
  </si>
  <si>
    <t>DRY2500366</t>
  </si>
  <si>
    <t>DRY2500365</t>
  </si>
  <si>
    <t>082SJSF08004P00001</t>
  </si>
  <si>
    <t>082SRSF08003P00001</t>
  </si>
  <si>
    <t>082SRSF08003P02001</t>
  </si>
  <si>
    <t>082SRSF08003P01001</t>
  </si>
  <si>
    <t>DRY2500368</t>
  </si>
  <si>
    <t>KL2500043</t>
  </si>
  <si>
    <t xml:space="preserve">C.P. Food Products, INC. </t>
  </si>
  <si>
    <t>082S83Q18005P08001</t>
  </si>
  <si>
    <t>Shore Mariner Limited</t>
  </si>
  <si>
    <t>DRY2500296</t>
  </si>
  <si>
    <t>DRY2500369</t>
  </si>
  <si>
    <t>DRY2500370</t>
  </si>
  <si>
    <t>DRY2500371</t>
  </si>
  <si>
    <t>DRY2500372</t>
  </si>
  <si>
    <t>DRY2500373</t>
  </si>
  <si>
    <t>ซีพี เกี๊ยวกุ้งจักรพรรดิ 270 ก. Sready</t>
  </si>
  <si>
    <t>ซีพี เกี๊ยวกุ้งจักรพรรดิดิบ 220ก. Sready</t>
  </si>
  <si>
    <t>CPเกี๊ยวกุ้งจักรพรรดิซุปต้มยำ 429g (Multi Pack)</t>
  </si>
  <si>
    <t>12096753</t>
  </si>
  <si>
    <t>12097084</t>
  </si>
  <si>
    <t>กล่อง เหลือ 240/Stk 21,000</t>
  </si>
  <si>
    <t>กล่องเหลือ 285/STK เหลืออย่างละ 260 ดวง</t>
  </si>
  <si>
    <t>กล่องเหลือ 83/Stkติดฝา 156 ดวง/Stk ติดถ้วย 990</t>
  </si>
  <si>
    <t>กล่อง 1000/Stk 23,900</t>
  </si>
  <si>
    <t>KL2500044</t>
  </si>
  <si>
    <t>KL2500045</t>
  </si>
  <si>
    <t>DRY2500374</t>
  </si>
  <si>
    <t>CPFGS</t>
  </si>
  <si>
    <t>E+NDเส้นมัน+หมาล่า</t>
  </si>
  <si>
    <t>082SG1A24003P00001</t>
  </si>
  <si>
    <t>เส้นมันเกี๊ยวกุ้งจักรพรรดิซุปหมาล่า  ตราซีพี ซีคิวเค</t>
  </si>
  <si>
    <t>Wonton ND+เย็นตาโฟ</t>
  </si>
  <si>
    <t>เย็นตาโฟ</t>
  </si>
  <si>
    <t>03-2026</t>
  </si>
  <si>
    <t>DRY2500375</t>
  </si>
  <si>
    <t>DRY2500376</t>
  </si>
  <si>
    <t>KL2500046</t>
  </si>
  <si>
    <t>KL2500047</t>
  </si>
  <si>
    <t>Stk ติดถุง</t>
  </si>
  <si>
    <t>Stk ติดกล่อง</t>
  </si>
  <si>
    <t>12084732 อาจเปลี่ยนอีก</t>
  </si>
  <si>
    <t>Stk ติดถุง 12097423</t>
  </si>
  <si>
    <t>02-2026</t>
  </si>
  <si>
    <t>DRY2500379</t>
  </si>
  <si>
    <t>DRY2500378</t>
  </si>
  <si>
    <t>DRY2500377</t>
  </si>
  <si>
    <r>
      <t>Wonton ND+BC+</t>
    </r>
    <r>
      <rPr>
        <sz val="11"/>
        <color rgb="FFFF0000"/>
        <rFont val="Leelawadee UI Semilight"/>
        <family val="2"/>
      </rPr>
      <t>TY</t>
    </r>
  </si>
  <si>
    <t>Cooked Wonton Noodles Bok Choy Tomyum</t>
  </si>
  <si>
    <t>082SJT208005P00001</t>
  </si>
  <si>
    <t>307g*8</t>
  </si>
  <si>
    <t>Cooked Wonton Tomyum</t>
  </si>
  <si>
    <t>082S8T208005P00001</t>
  </si>
  <si>
    <r>
      <t>Wonton +</t>
    </r>
    <r>
      <rPr>
        <sz val="11"/>
        <color rgb="FFFF0000"/>
        <rFont val="Leelawadee UI Semilight"/>
        <family val="2"/>
      </rPr>
      <t>LS</t>
    </r>
  </si>
  <si>
    <t>Cooked Wonton Laksa</t>
  </si>
  <si>
    <t>082S8T208005P01001</t>
  </si>
  <si>
    <t>Laksa</t>
  </si>
  <si>
    <t>315g*8</t>
  </si>
  <si>
    <t>082SRT208003P00001</t>
  </si>
  <si>
    <t>บะหมี่เย็นตาโฟแห้ง CP นายอ้วน 225g 7E</t>
  </si>
  <si>
    <t>082SR1A12002P00001</t>
  </si>
  <si>
    <t>225g*12</t>
  </si>
  <si>
    <t>04-2026</t>
  </si>
  <si>
    <t>บะหมี่เกี๊ยวกุ้งขี้เมา ตราซีพี 705g (Multi Pack)</t>
  </si>
  <si>
    <t>บะหมี่เกี๊ยวกุ้งสไตล์ฮ่องกง ตราซีพี 705g (Multi Pack)</t>
  </si>
  <si>
    <t>235g*3ถ้วย*6ถุง</t>
  </si>
  <si>
    <t>DRY2500380</t>
  </si>
  <si>
    <t>DRY2500381</t>
  </si>
  <si>
    <t>DRY2500382</t>
  </si>
  <si>
    <t>DRY2500383</t>
  </si>
  <si>
    <t>DRY2500384</t>
  </si>
  <si>
    <t>082I93U10060P00001</t>
  </si>
  <si>
    <t>750g*10inner</t>
  </si>
  <si>
    <t>305g*5</t>
  </si>
  <si>
    <t>302g*5</t>
  </si>
  <si>
    <t>283g*5</t>
  </si>
  <si>
    <t>DRY2500385</t>
  </si>
  <si>
    <t>DRY2500386</t>
  </si>
  <si>
    <t>กัก</t>
  </si>
  <si>
    <t>DRY2500391</t>
  </si>
  <si>
    <t>DRY2500387</t>
  </si>
  <si>
    <t>DRY2500388</t>
  </si>
  <si>
    <t>DRY2500389</t>
  </si>
  <si>
    <t>DRY2500390</t>
  </si>
  <si>
    <t>Cooked Minced Wonton Noodles Bok Choy Laksa</t>
  </si>
  <si>
    <r>
      <t>Minced ND+BC+</t>
    </r>
    <r>
      <rPr>
        <sz val="11"/>
        <color rgb="FFFF0000"/>
        <rFont val="Leelawadee UI Semilight"/>
        <family val="2"/>
      </rPr>
      <t>LS</t>
    </r>
  </si>
  <si>
    <t>DRY2500392</t>
  </si>
  <si>
    <t>ชดเชยกัก/แล้วกักอีก</t>
  </si>
  <si>
    <t>104500 ถ้วย</t>
  </si>
  <si>
    <t>กัก 1559</t>
  </si>
  <si>
    <t>ผ่าน 750 กล่อง</t>
  </si>
  <si>
    <t>No-. order</t>
  </si>
  <si>
    <t>ถ้าว,ฝา สีขาว/Halal/ New Design   สวมผลิต 05/01/26</t>
  </si>
  <si>
    <t>082SR3Q18003P01001</t>
  </si>
  <si>
    <t>082SR3Q18003P02001</t>
  </si>
  <si>
    <t>580 ถ้วย</t>
  </si>
  <si>
    <t>rema  T683580303  ของรีแพ็ค</t>
  </si>
  <si>
    <t>Country2</t>
  </si>
  <si>
    <t>CPFNW</t>
  </si>
  <si>
    <t xml:space="preserve">CPFNW </t>
  </si>
  <si>
    <t>CPFNW.</t>
  </si>
  <si>
    <t>082SR9U05003P01001</t>
  </si>
  <si>
    <t>082SR9U05003P00001</t>
  </si>
  <si>
    <t>DRY2600001</t>
  </si>
  <si>
    <t>DRY2600002</t>
  </si>
  <si>
    <t>ถ้าว,ฝา สีขาว New Package</t>
  </si>
  <si>
    <t>DRY2600003</t>
  </si>
  <si>
    <t>DRY2600004</t>
  </si>
  <si>
    <t>DRY2600006</t>
  </si>
  <si>
    <t>KL2600001</t>
  </si>
  <si>
    <t>รีเช็คผ่าน</t>
  </si>
  <si>
    <t>กัก 2328</t>
  </si>
  <si>
    <t>ถ้าว,ฝา สีขาว/Halal/ New Design   สวมผลิต 06/01/26</t>
  </si>
  <si>
    <t>ถ้าว,ฝา สีขาว/Halal/ New Design   สวมผลิต 12/01/26</t>
  </si>
  <si>
    <t>รีเช็คผ่าน186</t>
  </si>
  <si>
    <t>LA001/2569</t>
  </si>
  <si>
    <t>DRY2600007</t>
  </si>
  <si>
    <t>DRY2600008</t>
  </si>
  <si>
    <t>KL2600006</t>
  </si>
  <si>
    <t>12094444</t>
  </si>
  <si>
    <t>STK ติดถุง 12097969</t>
  </si>
  <si>
    <t>STK ติดถุง 12097967</t>
  </si>
  <si>
    <t>DRY2600009</t>
  </si>
  <si>
    <t>DRY2600010</t>
  </si>
  <si>
    <t>DRY2600011</t>
  </si>
  <si>
    <t>DRY2600012</t>
  </si>
  <si>
    <t>DRY2600013</t>
  </si>
  <si>
    <t>DRY2600014</t>
  </si>
  <si>
    <t>DRY2600015</t>
  </si>
  <si>
    <t>DRY2600016</t>
  </si>
  <si>
    <t>DRY2600017</t>
  </si>
  <si>
    <t>DRY2600019</t>
  </si>
  <si>
    <t>DRY2600020</t>
  </si>
  <si>
    <t>DRY2600021</t>
  </si>
  <si>
    <t>DRY2500367</t>
  </si>
  <si>
    <t>DRY2600022</t>
  </si>
  <si>
    <t>DRY2600023</t>
  </si>
  <si>
    <t>DRY2600024</t>
  </si>
  <si>
    <t>CIP</t>
  </si>
  <si>
    <t>COP</t>
  </si>
  <si>
    <t>รวม 2 กิจกรรม 8 ชม.</t>
  </si>
  <si>
    <t>ผลิต</t>
  </si>
  <si>
    <t>cap / Hr</t>
  </si>
  <si>
    <t>เตรียมไลน์ ต้มน้ำ ทำความเย็น</t>
  </si>
  <si>
    <t>เดิมวางไว้</t>
  </si>
  <si>
    <t>Dif</t>
  </si>
  <si>
    <t>รวม</t>
  </si>
  <si>
    <t>หลังจากวีคนี้ สุก2กะ</t>
  </si>
  <si>
    <t>หลังจากวีคนี้ สุก1กะ/ดิบ 1กะ</t>
  </si>
  <si>
    <t>สินค้าที่เข้ามาใหม่ทำให้ใช้ CAP ที่มีมากกว่าสินค้าอื่น  เส้นมันหมาล่า เย็นตาโฟ ขี้เมาUK</t>
  </si>
  <si>
    <t>LA002/2569</t>
  </si>
  <si>
    <t>DRY2600025</t>
  </si>
  <si>
    <t>DRY2600026</t>
  </si>
  <si>
    <t>DRY2600027</t>
  </si>
  <si>
    <t>DRY2600028</t>
  </si>
  <si>
    <t>DRY2600029</t>
  </si>
  <si>
    <t>DRY2600030</t>
  </si>
  <si>
    <t>DRY2600031</t>
  </si>
  <si>
    <t>DRY2600032</t>
  </si>
  <si>
    <t>DRY2600033</t>
  </si>
  <si>
    <t>DRY2600034</t>
  </si>
  <si>
    <t>DRY2600035</t>
  </si>
  <si>
    <t>DRY2600036</t>
  </si>
  <si>
    <t>DRY2600037</t>
  </si>
  <si>
    <t>DRY2600038</t>
  </si>
  <si>
    <t>DRY2600039</t>
  </si>
  <si>
    <t>302g*4c*6in</t>
  </si>
  <si>
    <t>มีบันทึกจองซุป</t>
  </si>
  <si>
    <t>DRY2600041</t>
  </si>
  <si>
    <t>DRY2600042</t>
  </si>
  <si>
    <t>DRY2600043</t>
  </si>
  <si>
    <t>DRY2600044</t>
  </si>
  <si>
    <t>DRY2600045</t>
  </si>
  <si>
    <t>DRY2600046</t>
  </si>
  <si>
    <t>05-2026</t>
  </si>
  <si>
    <t>06-2026</t>
  </si>
  <si>
    <t>816 ถ้วยของ pack36</t>
  </si>
  <si>
    <t>สวมผลิต 20/01/26</t>
  </si>
  <si>
    <t>DRY2600047</t>
  </si>
  <si>
    <t>082SJ9U05004P00001</t>
  </si>
  <si>
    <t>ทำให้หมด stk ตรุษจีน</t>
  </si>
  <si>
    <t>DRY2600048</t>
  </si>
  <si>
    <t>DRY2600049</t>
  </si>
  <si>
    <t>DRY2600050</t>
  </si>
  <si>
    <t>DRY2600051</t>
  </si>
  <si>
    <t>DRY2600052</t>
  </si>
  <si>
    <t>DRY2600053</t>
  </si>
  <si>
    <t>addเพิ่ม</t>
  </si>
  <si>
    <t>DRY2600054</t>
  </si>
  <si>
    <t>DRY2600055</t>
  </si>
  <si>
    <t>DRY2600056</t>
  </si>
  <si>
    <t>DRY2600059</t>
  </si>
  <si>
    <t>DRY2600057</t>
  </si>
  <si>
    <t>DRY2600060</t>
  </si>
  <si>
    <t>DRY2600061</t>
  </si>
  <si>
    <t>DRY2600062</t>
  </si>
  <si>
    <t>NEWPACKAGE/ถ้าว,ฝา สีขาว</t>
  </si>
  <si>
    <t>DRY2600063</t>
  </si>
  <si>
    <t>DRY2600064</t>
  </si>
  <si>
    <t>082I9ZE10020P00001</t>
  </si>
  <si>
    <t>KL2600005</t>
  </si>
  <si>
    <t>KL2600004</t>
  </si>
  <si>
    <t>ถ้าว,ฝา สีขาว New Package   662 stock NZ</t>
  </si>
  <si>
    <t>082I9SC08060P00001</t>
  </si>
  <si>
    <t>DRY2600066</t>
  </si>
  <si>
    <t>Jul</t>
  </si>
  <si>
    <t>DRY2600058</t>
  </si>
  <si>
    <t>KL2600007</t>
  </si>
  <si>
    <t>DRY2600067</t>
  </si>
  <si>
    <t>DRY2600068</t>
  </si>
  <si>
    <t>DRY2600065</t>
  </si>
  <si>
    <t>DRY2600069</t>
  </si>
  <si>
    <t>082I95I18008P00001</t>
  </si>
  <si>
    <t>DRY2600070</t>
  </si>
  <si>
    <t>DRY2600071</t>
  </si>
  <si>
    <t>DRY2600072</t>
  </si>
  <si>
    <t>DRY2600073</t>
  </si>
  <si>
    <t>DRY2600074</t>
  </si>
  <si>
    <t>ชดเชยของกัก R</t>
  </si>
  <si>
    <t>DRY2600075</t>
  </si>
  <si>
    <t>DRY2600076</t>
  </si>
  <si>
    <t>ใช้คำว่า “Best if Used By” แทนคำว่า Best by Date</t>
  </si>
  <si>
    <t>DRY2600078</t>
  </si>
  <si>
    <t>250g*12</t>
  </si>
  <si>
    <t>เส้นมันเกี๊ยวกุ้งจักรพรรดิซุปหมาล่า  ตราซีพี ซีคิวเค MT</t>
  </si>
  <si>
    <t>เส้นมันเกี๊ยวกุ้งจักรพรรดิซุปหมาล่า  ตราซีพี ซีคิวเค 7-11</t>
  </si>
  <si>
    <t>082SG3Q12003P00001</t>
  </si>
  <si>
    <t>DRY2600077</t>
  </si>
  <si>
    <t>ใช้ Package เก่า  จำนวน 132 กล่อง  โดยจะปิด  Opp Tape  สีแดงไปค่ะ</t>
  </si>
  <si>
    <t>DRY2600079</t>
  </si>
  <si>
    <t>DRY2600080</t>
  </si>
  <si>
    <t>New Package</t>
  </si>
  <si>
    <t>Lim Brothers Import&amp;Export Co.,Ltd.</t>
  </si>
  <si>
    <t>DRY2600005</t>
  </si>
  <si>
    <t>DRY2600081</t>
  </si>
  <si>
    <t>Package ใหม่</t>
  </si>
  <si>
    <t>DRY2600082</t>
  </si>
  <si>
    <t>DRY2600083</t>
  </si>
  <si>
    <r>
      <t>E+NDเส้นมัน+</t>
    </r>
    <r>
      <rPr>
        <sz val="11"/>
        <color rgb="FFCC00CC"/>
        <rFont val="Leelawadee UI Semilight"/>
        <family val="2"/>
      </rPr>
      <t>หมาล่า</t>
    </r>
  </si>
  <si>
    <t>CPF Australia Pty Ltd.(Woolworth)</t>
  </si>
  <si>
    <t>DRY2600084</t>
  </si>
  <si>
    <r>
      <t>Minced ND+</t>
    </r>
    <r>
      <rPr>
        <sz val="11"/>
        <color rgb="FFFF0000"/>
        <rFont val="Leelawadee UI Semilight"/>
        <family val="2"/>
      </rPr>
      <t>TK</t>
    </r>
  </si>
  <si>
    <t>130g*12ถ้วย</t>
  </si>
  <si>
    <t>240g*12ถ้วย</t>
  </si>
  <si>
    <t>082SRKW12001P00001</t>
  </si>
  <si>
    <t>082SRKW12001P01001</t>
  </si>
  <si>
    <t>082SRKW12001P02001</t>
  </si>
  <si>
    <t>082SRKW12003P00001</t>
  </si>
  <si>
    <t>082SRKW12003P01001</t>
  </si>
  <si>
    <t>082SRKW12003P02001</t>
  </si>
  <si>
    <t>Cooked Minced Wonton 1 pcs Noodle (Pumpkin)
with "Tomyum"</t>
  </si>
  <si>
    <t>Cooked Minced Wonton 1 pcs Noodle (Pumpkin)
with "Tomka"</t>
  </si>
  <si>
    <t>Cooked Minced Wonton 1 pcs Noodle (Pumpkin)
with "Mala"</t>
  </si>
  <si>
    <t>Cooked Minced Wonton 3 pcs Noodle (Pumpkin)
with "Tomyum"+Yu Choy</t>
  </si>
  <si>
    <t>Cooked Minced Wonton 3 pcs Noodle (Pumpkin)
with "Tomka"+Yu Choy</t>
  </si>
  <si>
    <r>
      <t>Minced ND+</t>
    </r>
    <r>
      <rPr>
        <sz val="11"/>
        <color rgb="FFFF0000"/>
        <rFont val="Leelawadee UI Semilight"/>
        <family val="2"/>
      </rPr>
      <t>TY</t>
    </r>
  </si>
  <si>
    <t>662 Stock Aus</t>
  </si>
  <si>
    <t>KL2600009</t>
  </si>
  <si>
    <t>CP FOODS SINGAPORE PTE. LTD</t>
  </si>
  <si>
    <t>Cooked Minced Wonton 3 pcs Noodle (Pumpkin)
with "Mala"</t>
  </si>
  <si>
    <t>Package เก่า แยกสีเชือก</t>
  </si>
  <si>
    <t>LA005/2569</t>
  </si>
  <si>
    <t>082SG3Q18003P00001</t>
  </si>
  <si>
    <t>DRY2600085</t>
  </si>
  <si>
    <t>DRY2600086</t>
  </si>
  <si>
    <t>DRY2600087</t>
  </si>
  <si>
    <t>DRY2600088</t>
  </si>
  <si>
    <t>DRY2600089</t>
  </si>
  <si>
    <t>DRY2600090</t>
  </si>
  <si>
    <t>DRY2600091</t>
  </si>
  <si>
    <t>250g*3ถ้วย*6ถุง</t>
  </si>
  <si>
    <r>
      <t>Wonton ND+</t>
    </r>
    <r>
      <rPr>
        <sz val="11"/>
        <color rgb="FFFF0000"/>
        <rFont val="Leelawadee UI Semilight"/>
        <family val="2"/>
      </rPr>
      <t>Kee Mao</t>
    </r>
  </si>
  <si>
    <t>DRY2600092</t>
  </si>
  <si>
    <t>R-Minced no egg</t>
  </si>
  <si>
    <t>DRY2600095</t>
  </si>
  <si>
    <t>STOCK  69,900</t>
  </si>
  <si>
    <t>รอ ผงไก่ จะเข้าวันไหน</t>
  </si>
  <si>
    <t>LA006/2569</t>
  </si>
  <si>
    <t>DRY2600096</t>
  </si>
  <si>
    <t>310g*12ถ้วย</t>
  </si>
  <si>
    <t>320g*12ถ้วย</t>
  </si>
  <si>
    <t>082S8KW08005P01001</t>
  </si>
  <si>
    <t>Ireland</t>
  </si>
  <si>
    <t>DRY2600097</t>
  </si>
  <si>
    <t>DRY2600098</t>
  </si>
  <si>
    <t>DRY2600099</t>
  </si>
  <si>
    <t>DRY2600100</t>
  </si>
  <si>
    <t>DRY2600101</t>
  </si>
  <si>
    <t>DRY2600102</t>
  </si>
  <si>
    <t>DRY2600109</t>
  </si>
  <si>
    <t>DRY2600103</t>
  </si>
  <si>
    <t>DRY2600105</t>
  </si>
  <si>
    <t>DRY2600107</t>
  </si>
  <si>
    <t>DRY2600093</t>
  </si>
  <si>
    <t>DRY2600094</t>
  </si>
  <si>
    <t>DRY2600111</t>
  </si>
  <si>
    <t>DRY2600112</t>
  </si>
  <si>
    <t>DRY2600110</t>
  </si>
  <si>
    <t>082SLKW12310G00001</t>
  </si>
  <si>
    <t>Aubergine</t>
  </si>
  <si>
    <t>Soy Sauce</t>
  </si>
  <si>
    <t>Noodles+BC</t>
  </si>
  <si>
    <t>Crispy Chilli Oil Biang Biang Noodles+BC "Kitchen Joy"</t>
  </si>
  <si>
    <t>Cooked Minced Wonton Garlic &amp; Soy Noodles+Yu Choy "Kitchen Joy"</t>
  </si>
  <si>
    <t>082SRKW12003P03001</t>
  </si>
  <si>
    <t>12097213</t>
  </si>
  <si>
    <t>12098599</t>
  </si>
  <si>
    <t>12098045</t>
  </si>
  <si>
    <t>12098050</t>
  </si>
  <si>
    <t>12098137</t>
  </si>
  <si>
    <t>STK ติดก้นถ้วย12097163</t>
  </si>
  <si>
    <t>STK 12097164 ติดก้นถ้วย</t>
  </si>
  <si>
    <t>STK 12093325</t>
  </si>
  <si>
    <t>12098049</t>
  </si>
  <si>
    <t>12098842</t>
  </si>
  <si>
    <t>12098843</t>
  </si>
  <si>
    <t>12098844</t>
  </si>
  <si>
    <t>12098847</t>
  </si>
  <si>
    <t>12098848</t>
  </si>
  <si>
    <t>DRY2600113</t>
  </si>
  <si>
    <r>
      <t>Minced ND+V+</t>
    </r>
    <r>
      <rPr>
        <sz val="11"/>
        <color rgb="FFFF0000"/>
        <rFont val="Leelawadee UI Semilight"/>
        <family val="2"/>
      </rPr>
      <t>น้ำราดเป็ด</t>
    </r>
  </si>
  <si>
    <t>DRY2600114</t>
  </si>
  <si>
    <t>07-2026</t>
  </si>
  <si>
    <t>082S81A24005P0E001</t>
  </si>
  <si>
    <t>DRY2600115</t>
  </si>
  <si>
    <t>DRY2600116</t>
  </si>
  <si>
    <t>DRY2600117</t>
  </si>
  <si>
    <t>DRY2600118</t>
  </si>
  <si>
    <t>DRY2600119</t>
  </si>
  <si>
    <t>DRY2600121</t>
  </si>
  <si>
    <t>DRY2600122</t>
  </si>
  <si>
    <t>DRY2600123</t>
  </si>
  <si>
    <t>DRY2600120</t>
  </si>
  <si>
    <t>DRY2600124</t>
  </si>
  <si>
    <t>DRY2600125</t>
  </si>
  <si>
    <t>DRY2600126</t>
  </si>
  <si>
    <t>DRY2600127</t>
  </si>
  <si>
    <t>DRY2600128</t>
  </si>
  <si>
    <t>DRY2600129</t>
  </si>
  <si>
    <t>DRY2600130</t>
  </si>
  <si>
    <t>DRY2600131</t>
  </si>
  <si>
    <t>DRY2600132</t>
  </si>
  <si>
    <t>DRY2600133</t>
  </si>
  <si>
    <t>old Package</t>
  </si>
  <si>
    <t>Sleeve 12098858</t>
  </si>
  <si>
    <t>Sleeve 12098860</t>
  </si>
  <si>
    <t>Sleeve 12098853</t>
  </si>
  <si>
    <t>12098881</t>
  </si>
  <si>
    <t>Sleeve 12098988</t>
  </si>
  <si>
    <t>Sleeve 12098991</t>
  </si>
  <si>
    <t>DRY2600134</t>
  </si>
  <si>
    <t>DRY2600135</t>
  </si>
  <si>
    <t>DRY2600136</t>
  </si>
  <si>
    <t>DRY2600137</t>
  </si>
  <si>
    <t>LA009/2569</t>
  </si>
  <si>
    <t>DRY2600138</t>
  </si>
  <si>
    <t>DRY2600139</t>
  </si>
  <si>
    <t>KL2600011</t>
  </si>
  <si>
    <t>CP Global Supply Chain (Guangdong) Co., Ltd.</t>
  </si>
  <si>
    <t>เส้นมันเกี๊ยวกุ้งจักรพรรดิซุปหมาล่า  ตราซีพี ซีคิวเค 750g (Multi Pack)</t>
  </si>
  <si>
    <r>
      <t xml:space="preserve">Cooked Minced Wonton ND No Egg with Pumpkin 
+ Vegetable 5 pcs </t>
    </r>
    <r>
      <rPr>
        <sz val="11"/>
        <color rgb="FFFF0000"/>
        <rFont val="Leelawadee UI Semilight"/>
        <family val="2"/>
      </rPr>
      <t>Tomka</t>
    </r>
  </si>
  <si>
    <t>082SR9U24003P00001</t>
  </si>
  <si>
    <t>DRY2600140</t>
  </si>
  <si>
    <t>082I9CO20012P00001</t>
  </si>
  <si>
    <t>DRY2600141</t>
  </si>
  <si>
    <t>DRY2600142</t>
  </si>
  <si>
    <t>กรมประมง Audit 24-25</t>
  </si>
  <si>
    <t>บะหมี่เย็นตาโฟแห้ง CP นายอ้วน 225g MT</t>
  </si>
  <si>
    <t>082SR3Q12002P00001</t>
  </si>
  <si>
    <t>DRY2600147</t>
  </si>
  <si>
    <t>DRY2600148</t>
  </si>
  <si>
    <t>DRY2600149</t>
  </si>
  <si>
    <t>DRY2600150</t>
  </si>
  <si>
    <t>DRY2600151</t>
  </si>
  <si>
    <t>DRY2600152</t>
  </si>
  <si>
    <t>DRY2600153</t>
  </si>
  <si>
    <t>082SRKW06003P01001</t>
  </si>
  <si>
    <t>DRY2600143</t>
  </si>
  <si>
    <t>DRY2600144</t>
  </si>
  <si>
    <t>DRY2600145</t>
  </si>
  <si>
    <t>DRY2600146</t>
  </si>
  <si>
    <t>08-2026</t>
  </si>
  <si>
    <t>DRY2600156</t>
  </si>
  <si>
    <t>DRY2600155</t>
  </si>
  <si>
    <t>082SRWE12005PA0001</t>
  </si>
  <si>
    <t>Minced ND+BC</t>
  </si>
  <si>
    <t>Cooked Minced Wonton Noodle  (Low Sodium)+Bok Choy</t>
  </si>
  <si>
    <t>DRY2600157</t>
  </si>
  <si>
    <t>DRY2600158</t>
  </si>
  <si>
    <t>DRY2600159</t>
  </si>
  <si>
    <t>DRY2600160</t>
  </si>
  <si>
    <t>DRY2600162</t>
  </si>
  <si>
    <t>DRY2600161</t>
  </si>
  <si>
    <t>DRY2600163</t>
  </si>
  <si>
    <t>DRY2600164</t>
  </si>
  <si>
    <t>DRY2600165</t>
  </si>
  <si>
    <t>DRY2600166</t>
  </si>
  <si>
    <t>DRY2600167</t>
  </si>
  <si>
    <t>DRY2600168</t>
  </si>
  <si>
    <t>DRY2600169</t>
  </si>
  <si>
    <t>DRY2600170</t>
  </si>
  <si>
    <t>09-2026</t>
  </si>
  <si>
    <t>DRY2600172</t>
  </si>
  <si>
    <t>stock icr</t>
  </si>
  <si>
    <t>DRY2600173</t>
  </si>
  <si>
    <t>RM &amp; FG ต้องตรวจตามข้อกำหนดลูกค้า</t>
  </si>
  <si>
    <t>191g*6c*6in</t>
  </si>
  <si>
    <t>082SKEJ36006P00001</t>
  </si>
  <si>
    <t>Cooked Minced Wonton</t>
  </si>
  <si>
    <t>DRY2600174</t>
  </si>
  <si>
    <t>DRY2600175</t>
  </si>
  <si>
    <t>DRY2600176</t>
  </si>
  <si>
    <t>DRY2600177</t>
  </si>
  <si>
    <t>Cooked Wonton No Egg 
HC  5 pcs</t>
  </si>
  <si>
    <t>DRY2600178</t>
  </si>
  <si>
    <t>DRY2600179</t>
  </si>
  <si>
    <t>DRY2600180</t>
  </si>
  <si>
    <t>DRY2600181</t>
  </si>
  <si>
    <t>DRY2600182</t>
  </si>
  <si>
    <t>DRY2600183</t>
  </si>
  <si>
    <t>Oct</t>
  </si>
  <si>
    <t>Nov</t>
  </si>
  <si>
    <t>DRY2600184</t>
  </si>
  <si>
    <t>DRY2600185</t>
  </si>
  <si>
    <t>DRY2600186</t>
  </si>
  <si>
    <t>สั่งซุป</t>
  </si>
  <si>
    <t>DRY2600187</t>
  </si>
  <si>
    <t>LA012/2569</t>
  </si>
  <si>
    <t>SLEEVE 12099377</t>
  </si>
  <si>
    <t>DRY2600189</t>
  </si>
  <si>
    <t>DRY2600188</t>
  </si>
  <si>
    <t>DRY2600190</t>
  </si>
  <si>
    <t>DRY2600191</t>
  </si>
  <si>
    <t>DRY2600192</t>
  </si>
  <si>
    <t>DRY2600193</t>
  </si>
  <si>
    <t>Add Potassium</t>
  </si>
  <si>
    <t>hold</t>
  </si>
  <si>
    <t>สั่งซุป &amp; ingredient</t>
  </si>
  <si>
    <t>package เก่า</t>
  </si>
  <si>
    <t>hold&gt;&gt;mix</t>
  </si>
  <si>
    <t>hold&gt;&gt;recheck Hold</t>
  </si>
  <si>
    <t>082I9CO08050P00001</t>
  </si>
  <si>
    <t>KL2600012</t>
  </si>
  <si>
    <t xml:space="preserve"> HOTPOT 10g</t>
  </si>
  <si>
    <t>98g*24tray</t>
  </si>
  <si>
    <t>VA GYOZA KC TRAY HOTPOT MYS CP 24x4 PCS</t>
  </si>
  <si>
    <t>DRY2600154</t>
  </si>
  <si>
    <t>082SM5I24004P00001</t>
  </si>
  <si>
    <t>DRY2600194</t>
  </si>
  <si>
    <t>DRY2600195</t>
  </si>
  <si>
    <t>DRY2600196</t>
  </si>
  <si>
    <t>DRY2600197</t>
  </si>
  <si>
    <t>DRY2600198</t>
  </si>
  <si>
    <t>DRY2600199</t>
  </si>
  <si>
    <t>DRY2600200</t>
  </si>
  <si>
    <t>DRY2600202</t>
  </si>
  <si>
    <t>DRY2600203</t>
  </si>
  <si>
    <t>DRY2600204</t>
  </si>
  <si>
    <t>DRY2600201</t>
  </si>
  <si>
    <t>DRY2600205</t>
  </si>
  <si>
    <t>ASC</t>
  </si>
  <si>
    <t>DRY2600206</t>
  </si>
  <si>
    <t>ทำให้หมด Package เก่า</t>
  </si>
  <si>
    <t xml:space="preserve">"may contain egg เเละ Allergen Update" </t>
  </si>
  <si>
    <t>DRY2600171</t>
  </si>
  <si>
    <t>DRY2600207</t>
  </si>
  <si>
    <t>DRY2600208</t>
  </si>
  <si>
    <t>DRY2600209</t>
  </si>
  <si>
    <t>DRY2600210</t>
  </si>
  <si>
    <t>DRY2600211</t>
  </si>
  <si>
    <t>DRY2600212</t>
  </si>
  <si>
    <t>DRY2600213</t>
  </si>
  <si>
    <t>10-2026</t>
  </si>
  <si>
    <t>DRY2600214</t>
  </si>
  <si>
    <t>DRY2600215</t>
  </si>
  <si>
    <t>DRY2600216</t>
  </si>
  <si>
    <t>DRY2600217</t>
  </si>
  <si>
    <t>DRY2600218</t>
  </si>
  <si>
    <t>สั่ง Package แล้ว</t>
  </si>
  <si>
    <t xml:space="preserve">มี Package เก่า </t>
  </si>
  <si>
    <t>Dec</t>
  </si>
  <si>
    <t>มี Package เก่า 3.98 ตู้</t>
  </si>
  <si>
    <t>Budget</t>
  </si>
  <si>
    <t>Budget R</t>
  </si>
  <si>
    <t>DRY2600219</t>
  </si>
  <si>
    <t>New Design</t>
  </si>
  <si>
    <t>DRY2600224</t>
  </si>
  <si>
    <t>DRY2600220</t>
  </si>
  <si>
    <t>DRY2600221</t>
  </si>
  <si>
    <t>DRY2600222</t>
  </si>
  <si>
    <t>DRY2600223</t>
  </si>
  <si>
    <t>DRY2600226</t>
  </si>
  <si>
    <t>DRY2600227</t>
  </si>
  <si>
    <t>DRY2600228</t>
  </si>
  <si>
    <t>DRY2600229</t>
  </si>
  <si>
    <r>
      <t>Minced ND+V+</t>
    </r>
    <r>
      <rPr>
        <sz val="11"/>
        <color rgb="FFCC00CC"/>
        <rFont val="Leelawadee UI Semilight"/>
        <family val="2"/>
      </rPr>
      <t>น้ำราดเป็ด</t>
    </r>
  </si>
  <si>
    <t>DRY2600230</t>
  </si>
  <si>
    <t>จำนวนกะ</t>
  </si>
  <si>
    <t>รวมจำนวนกะ</t>
  </si>
  <si>
    <t>DRY2600231</t>
  </si>
  <si>
    <t>รอยืนยันเรื่องกล่อง</t>
  </si>
  <si>
    <t>DRY2600232</t>
  </si>
  <si>
    <t>ทำให้หมดผงซุป tynsf</t>
  </si>
  <si>
    <t>บะหมี่เย็นตาโฟแห้ง CP นายอ้วน 675g Multi</t>
  </si>
  <si>
    <t>082SR3Q18002P00001</t>
  </si>
  <si>
    <t>225g*3ถ้วย*6ถุง/ctn</t>
  </si>
  <si>
    <t>รอเคลียร์ Package  ถ้วยกระดาษ</t>
  </si>
  <si>
    <t>DRY2600233</t>
  </si>
  <si>
    <t>DRY2600234</t>
  </si>
  <si>
    <t>DRY2600235</t>
  </si>
  <si>
    <t>air</t>
  </si>
  <si>
    <t>sea</t>
  </si>
  <si>
    <t>DRY2600236</t>
  </si>
  <si>
    <t>DRY2600237</t>
  </si>
  <si>
    <t>DRY2600238</t>
  </si>
  <si>
    <t>DRY2600239</t>
  </si>
  <si>
    <t>DRY2600240</t>
  </si>
  <si>
    <t>ถ้าว,ฝา สีขาว New Package 1,800/HR</t>
  </si>
  <si>
    <t>DRY2600241</t>
  </si>
  <si>
    <t>DRY2600242</t>
  </si>
  <si>
    <t>DRY2600243</t>
  </si>
  <si>
    <t>LA016/2569</t>
  </si>
  <si>
    <t>DRY2600244</t>
  </si>
  <si>
    <t>11-2026</t>
  </si>
  <si>
    <t>90g*3B*6B</t>
  </si>
  <si>
    <t>DRY2600247</t>
  </si>
  <si>
    <t>DRY2600248</t>
  </si>
  <si>
    <t>DRY2600245</t>
  </si>
  <si>
    <t>DRY2600246</t>
  </si>
  <si>
    <t>DRY2600249</t>
  </si>
  <si>
    <t>DRY2600250</t>
  </si>
  <si>
    <t>DRY2600251</t>
  </si>
  <si>
    <t>DRY2600252</t>
  </si>
  <si>
    <t>DRY2600253</t>
  </si>
  <si>
    <t>DRY2600254</t>
  </si>
  <si>
    <t>retort 11/09/26</t>
  </si>
  <si>
    <t>DRY2600255</t>
  </si>
  <si>
    <t>DRY2600256</t>
  </si>
  <si>
    <t>DRY2600259</t>
  </si>
  <si>
    <t>DRY2600260</t>
  </si>
  <si>
    <t>DRY2600261</t>
  </si>
  <si>
    <t>DRY2600262</t>
  </si>
  <si>
    <t>DRY2600263</t>
  </si>
  <si>
    <t>DRY2600264</t>
  </si>
  <si>
    <t>12-2026</t>
  </si>
  <si>
    <t>DRY2600266</t>
  </si>
  <si>
    <t>DRY2600267</t>
  </si>
  <si>
    <t>วันที่</t>
  </si>
  <si>
    <t>ฟาร์ม</t>
  </si>
  <si>
    <t>ณรรฐพงษ์ฟาร์ม 
(กีระติ บุญนิมิตร)</t>
  </si>
  <si>
    <t>สิริชัย 
เลิศชัยพัฒนกุล</t>
  </si>
  <si>
    <t>ลูกกระต่ายฟาร์ม-พัชรินทร์ 
จินดาพรรณ</t>
  </si>
  <si>
    <t>จังหวัด</t>
  </si>
  <si>
    <t>จันทบุรี</t>
  </si>
  <si>
    <t>ตราด</t>
  </si>
  <si>
    <t>บ่อ</t>
  </si>
  <si>
    <t>size</t>
  </si>
  <si>
    <t>การจับ</t>
  </si>
  <si>
    <t>Closed</t>
  </si>
  <si>
    <t>ปริมาณ(กก.)</t>
  </si>
  <si>
    <t>46-50</t>
  </si>
  <si>
    <t>51-55</t>
  </si>
  <si>
    <t>56-60</t>
  </si>
  <si>
    <t>61-65</t>
  </si>
  <si>
    <t>66-70</t>
  </si>
  <si>
    <t>71-75</t>
  </si>
  <si>
    <t>76-80</t>
  </si>
  <si>
    <t>81-85</t>
  </si>
  <si>
    <t>86-90</t>
  </si>
  <si>
    <t>91-95</t>
  </si>
  <si>
    <t>96-100</t>
  </si>
  <si>
    <t>101-120</t>
  </si>
  <si>
    <t>121-130</t>
  </si>
  <si>
    <t>131-140</t>
  </si>
  <si>
    <t>ฝอยคัดทิ้ง &gt;140</t>
  </si>
  <si>
    <t>SUM</t>
  </si>
  <si>
    <t>วิธีจับ</t>
  </si>
  <si>
    <t>แพ็ค</t>
  </si>
  <si>
    <t>Sal. (ppt)</t>
  </si>
  <si>
    <t xml:space="preserve">Remark </t>
  </si>
  <si>
    <t>%หักDefect</t>
  </si>
  <si>
    <t>Uniform</t>
  </si>
  <si>
    <t>แจ้งจับ ปิด/แบ่ง</t>
  </si>
  <si>
    <t>แบ่ง STD</t>
  </si>
  <si>
    <t>แบ่ง Premium</t>
  </si>
  <si>
    <t>แบ่ง ปัดใหญ่</t>
  </si>
  <si>
    <t>แบ่ง โรง2/ใต้</t>
  </si>
  <si>
    <t>แบ่งวันก่อน</t>
  </si>
  <si>
    <t>Sum of KG</t>
  </si>
  <si>
    <t>วันที่เริ่มต้นผลิต</t>
  </si>
  <si>
    <t>วันที่สินสุด</t>
  </si>
  <si>
    <t>Assortment</t>
  </si>
  <si>
    <t>S/SS</t>
  </si>
  <si>
    <t>Broken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</si>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</sst>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-* #,##0.00_-;\-* #,##0.00_-;_-* &quot;-&quot;??_-;_-@_-"/>
    <numFmt numFmtId="187" formatCode="[$-409]d\-mmm\-yy;@"/>
    <numFmt numFmtId="188" formatCode="0.000"/>
    <numFmt numFmtId="189" formatCode="#,##0.000"/>
    <numFmt numFmtId="190" formatCode="[$-409]mmm\-yy;@"/>
    <numFmt numFmtId="191" formatCode="#,##0_ ;[Red]\-#,##0\ "/>
    <numFmt numFmtId="192" formatCode="dd\-mm\-yy"/>
    <numFmt numFmtId="193" formatCode="[$-409]mmmm/yy;@"/>
    <numFmt numFmtId="194" formatCode="yyyy\/mm\/dd"/>
    <numFmt numFmtId="195" formatCode="#,##0.0000"/>
    <numFmt numFmtId="196" formatCode="_(* #,##0.00_);_(* \(#,##0.00\);_(* &quot;-&quot;??_);_(@_)"/>
    <numFmt numFmtId="197" formatCode="dd/mm/yyyy;@"/>
    <numFmt numFmtId="198" formatCode="_(* #,##0_);_(* \(#,##0\);_(* &quot;-&quot;??_);_(@_)"/>
    <numFmt numFmtId="199" formatCode="dd"/>
    <numFmt numFmtId="200" formatCode="_-* #,##0_-;\-* #,##0_-;_-* &quot;-&quot;??_-;_-@_-"/>
    <numFmt numFmtId="201" formatCode="[$-1070000]d/m/yy;@"/>
    <numFmt numFmtId="202" formatCode="yyyy\-mm\-dd;@"/>
  </numFmts>
  <fonts count="91">
    <font>
      <sz val="11"/>
      <color theme="1"/>
      <name val="Tahoma"/>
      <family val="2"/>
      <charset val="222"/>
      <scheme val="minor"/>
    </font>
    <font>
      <sz val="11"/>
      <color indexed="8"/>
      <name val="Tahoma"/>
      <family val="2"/>
      <charset val="222"/>
    </font>
    <font>
      <sz val="12"/>
      <color indexed="9"/>
      <name val="Wingdings"/>
      <charset val="2"/>
    </font>
    <font>
      <sz val="14"/>
      <color indexed="9"/>
      <name val="Calibri"/>
      <family val="2"/>
    </font>
    <font>
      <sz val="14"/>
      <name val="Calibri"/>
      <family val="2"/>
    </font>
    <font>
      <sz val="12"/>
      <name val="Calibri"/>
      <family val="2"/>
    </font>
    <font>
      <sz val="11"/>
      <name val="Tahoma"/>
      <family val="2"/>
    </font>
    <font>
      <sz val="14"/>
      <name val="Tahoma"/>
      <family val="2"/>
    </font>
    <font>
      <sz val="11"/>
      <color indexed="9"/>
      <name val="Tahoma"/>
      <family val="2"/>
    </font>
    <font>
      <sz val="11"/>
      <color indexed="9"/>
      <name val="Calibri"/>
      <family val="2"/>
    </font>
    <font>
      <i/>
      <sz val="14"/>
      <color indexed="9"/>
      <name val="Calibri"/>
      <family val="2"/>
    </font>
    <font>
      <sz val="10"/>
      <name val="Arial"/>
      <family val="2"/>
    </font>
    <font>
      <sz val="8"/>
      <name val="Calibri"/>
      <family val="2"/>
      <charset val="222"/>
    </font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sz val="12"/>
      <color theme="0"/>
      <name val="Calibri"/>
      <family val="2"/>
    </font>
    <font>
      <sz val="14"/>
      <color theme="0"/>
      <name val="Calibri"/>
      <family val="2"/>
    </font>
    <font>
      <sz val="14"/>
      <color rgb="FF00B0F0"/>
      <name val="Calibri"/>
      <family val="2"/>
    </font>
    <font>
      <i/>
      <sz val="11"/>
      <color theme="1"/>
      <name val="Tahoma"/>
      <family val="2"/>
      <charset val="222"/>
      <scheme val="minor"/>
    </font>
    <font>
      <sz val="14"/>
      <color theme="1"/>
      <name val="Tahoma"/>
      <family val="2"/>
      <scheme val="minor"/>
    </font>
    <font>
      <sz val="11"/>
      <name val="Tahoma"/>
      <family val="2"/>
      <charset val="222"/>
      <scheme val="minor"/>
    </font>
    <font>
      <sz val="10"/>
      <name val="Tahoma"/>
      <family val="2"/>
      <scheme val="minor"/>
    </font>
    <font>
      <sz val="12"/>
      <color theme="1"/>
      <name val="Tahoma"/>
      <family val="2"/>
      <charset val="222"/>
      <scheme val="minor"/>
    </font>
    <font>
      <sz val="12"/>
      <color rgb="FFFF0000"/>
      <name val="Tahoma"/>
      <family val="2"/>
      <charset val="222"/>
      <scheme val="minor"/>
    </font>
    <font>
      <b/>
      <sz val="11"/>
      <color theme="1"/>
      <name val="Leelawadee UI Semilight"/>
      <family val="2"/>
    </font>
    <font>
      <sz val="11"/>
      <name val="Leelawadee UI Semilight"/>
      <family val="2"/>
    </font>
    <font>
      <sz val="11"/>
      <color theme="1"/>
      <name val="Leelawadee UI Semilight"/>
      <family val="2"/>
    </font>
    <font>
      <sz val="11"/>
      <color rgb="FFFF0000"/>
      <name val="Leelawadee UI Semilight"/>
      <family val="2"/>
    </font>
    <font>
      <i/>
      <sz val="11"/>
      <color rgb="FFCC00CC"/>
      <name val="Leelawadee UI Semilight"/>
      <family val="2"/>
    </font>
    <font>
      <sz val="12"/>
      <name val="Leelawadee UI Semilight"/>
      <family val="2"/>
    </font>
    <font>
      <sz val="11"/>
      <color theme="0"/>
      <name val="Leelawadee UI Semilight"/>
      <family val="2"/>
    </font>
    <font>
      <sz val="11"/>
      <color indexed="9"/>
      <name val="Leelawadee UI Semilight"/>
      <family val="2"/>
    </font>
    <font>
      <sz val="11"/>
      <color rgb="FFFFFF00"/>
      <name val="Leelawadee UI Semilight"/>
      <family val="2"/>
    </font>
    <font>
      <sz val="11"/>
      <color rgb="FFCC00CC"/>
      <name val="Leelawadee UI Semilight"/>
      <family val="2"/>
    </font>
    <font>
      <sz val="11"/>
      <color indexed="10"/>
      <name val="Leelawadee UI Semilight"/>
      <family val="2"/>
    </font>
    <font>
      <sz val="11"/>
      <color rgb="FFFF3300"/>
      <name val="Leelawadee UI Semilight"/>
      <family val="2"/>
    </font>
    <font>
      <sz val="14"/>
      <name val="Leelawadee UI Semilight"/>
      <family val="2"/>
    </font>
    <font>
      <sz val="12"/>
      <color theme="1"/>
      <name val="Leelawadee UI Semilight"/>
      <family val="2"/>
    </font>
    <font>
      <sz val="14"/>
      <color theme="1"/>
      <name val="Leelawadee UI Semilight"/>
      <family val="2"/>
    </font>
    <font>
      <sz val="16"/>
      <color theme="1"/>
      <name val="Leelawadee UI Semilight"/>
      <family val="2"/>
    </font>
    <font>
      <sz val="22"/>
      <color theme="0"/>
      <name val="Leelawadee UI Semilight"/>
      <family val="2"/>
    </font>
    <font>
      <sz val="12"/>
      <color indexed="9"/>
      <name val="Leelawadee UI Semilight"/>
      <family val="2"/>
    </font>
    <font>
      <sz val="12"/>
      <color theme="0"/>
      <name val="Leelawadee UI Semilight"/>
      <family val="2"/>
    </font>
    <font>
      <sz val="14"/>
      <color indexed="9"/>
      <name val="Leelawadee UI Semilight"/>
      <family val="2"/>
    </font>
    <font>
      <sz val="14"/>
      <color theme="0"/>
      <name val="Leelawadee UI Semilight"/>
      <family val="2"/>
    </font>
    <font>
      <i/>
      <sz val="14"/>
      <color rgb="FFCC00CC"/>
      <name val="Leelawadee UI Semilight"/>
      <family val="2"/>
    </font>
    <font>
      <sz val="14"/>
      <color rgb="FFFF0000"/>
      <name val="Leelawadee UI Semilight"/>
      <family val="2"/>
    </font>
    <font>
      <sz val="14"/>
      <color rgb="FFFFFF00"/>
      <name val="Leelawadee UI Semilight"/>
      <family val="2"/>
    </font>
    <font>
      <sz val="12"/>
      <color rgb="FF002060"/>
      <name val="Leelawadee UI Semilight"/>
      <family val="2"/>
    </font>
    <font>
      <sz val="11"/>
      <color rgb="FF008000"/>
      <name val="Leelawadee UI Semilight"/>
      <family val="2"/>
    </font>
    <font>
      <sz val="11"/>
      <color rgb="FF0000CC"/>
      <name val="Tahoma"/>
      <family val="2"/>
      <charset val="222"/>
      <scheme val="minor"/>
    </font>
    <font>
      <b/>
      <sz val="14"/>
      <color rgb="FFFF0000"/>
      <name val="Tahoma"/>
      <family val="2"/>
      <scheme val="minor"/>
    </font>
    <font>
      <i/>
      <sz val="11"/>
      <color rgb="FFFF0000"/>
      <name val="Leelawadee UI Semilight"/>
      <family val="2"/>
    </font>
    <font>
      <sz val="11"/>
      <color rgb="FFFF0000"/>
      <name val="Tahoma"/>
      <family val="2"/>
      <charset val="222"/>
      <scheme val="minor"/>
    </font>
    <font>
      <sz val="8"/>
      <color theme="1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sz val="11"/>
      <color rgb="FF0000CC"/>
      <name val="Leelawadee UI Semilight"/>
      <family val="2"/>
    </font>
    <font>
      <sz val="11"/>
      <color theme="1"/>
      <name val="Tahoma"/>
      <family val="2"/>
      <scheme val="minor"/>
    </font>
    <font>
      <b/>
      <sz val="16"/>
      <color rgb="FFFF0000"/>
      <name val="CPFImmSook"/>
      <charset val="222"/>
    </font>
    <font>
      <b/>
      <sz val="16"/>
      <color theme="1"/>
      <name val="CPFImmSook"/>
      <charset val="222"/>
    </font>
    <font>
      <sz val="16"/>
      <color theme="1"/>
      <name val="CPF Imm Sook"/>
    </font>
    <font>
      <b/>
      <sz val="16"/>
      <color rgb="FFFF0000"/>
      <name val="CPFImmSook"/>
    </font>
    <font>
      <b/>
      <sz val="16"/>
      <color theme="1"/>
      <name val="CPFImmSook"/>
    </font>
    <font>
      <b/>
      <sz val="16"/>
      <color theme="0"/>
      <name val="CPFImmSook"/>
      <charset val="222"/>
    </font>
    <font>
      <b/>
      <sz val="16"/>
      <color theme="0"/>
      <name val="CPF Imm Sook"/>
    </font>
    <font>
      <b/>
      <sz val="16"/>
      <color theme="0"/>
      <name val="CPFImmSook"/>
    </font>
    <font>
      <b/>
      <sz val="16"/>
      <name val="CPFImmSook"/>
      <charset val="222"/>
    </font>
    <font>
      <sz val="16"/>
      <name val="CPF Imm Sook"/>
      <family val="3"/>
      <charset val="222"/>
    </font>
    <font>
      <b/>
      <sz val="16"/>
      <color rgb="FFFFFF00"/>
      <name val="CPFImmSook"/>
    </font>
    <font>
      <sz val="16"/>
      <color rgb="FFFF0000"/>
      <name val="CPF Imm Sook"/>
      <family val="3"/>
    </font>
    <font>
      <b/>
      <sz val="16"/>
      <name val="CPFImmSook"/>
    </font>
    <font>
      <sz val="16"/>
      <color theme="1"/>
      <name val="CPFImmSook"/>
    </font>
    <font>
      <b/>
      <sz val="16"/>
      <color rgb="FFC00000"/>
      <name val="CPFImmSook"/>
    </font>
    <font>
      <sz val="16"/>
      <color rgb="FFC00000"/>
      <name val="CPFImmSook"/>
    </font>
    <font>
      <b/>
      <sz val="16"/>
      <color rgb="FF006600"/>
      <name val="CPFImmSook"/>
    </font>
    <font>
      <sz val="16"/>
      <color rgb="FF006600"/>
      <name val="CPFImmSook"/>
    </font>
    <font>
      <b/>
      <sz val="16"/>
      <color rgb="FF99470F"/>
      <name val="CPFImmSook"/>
    </font>
    <font>
      <b/>
      <sz val="16"/>
      <color rgb="FFD05B1A"/>
      <name val="CPFImmSook"/>
    </font>
    <font>
      <b/>
      <sz val="16"/>
      <color rgb="FFF1691E"/>
      <name val="CPFImmSook"/>
    </font>
    <font>
      <b/>
      <sz val="16"/>
      <color theme="9" tint="-0.499984740745262"/>
      <name val="CPFImmSook"/>
    </font>
    <font>
      <b/>
      <sz val="16"/>
      <color rgb="FF0070C0"/>
      <name val="CPFImmSook"/>
      <charset val="222"/>
    </font>
    <font>
      <b/>
      <sz val="11"/>
      <color theme="1"/>
      <name val="Cordia New"/>
      <family val="2"/>
    </font>
    <font>
      <b/>
      <sz val="11"/>
      <name val="Cordia New"/>
      <family val="2"/>
    </font>
    <font>
      <b/>
      <sz val="11"/>
      <color theme="0"/>
      <name val="Cordia New"/>
      <family val="2"/>
    </font>
    <font>
      <b/>
      <sz val="11"/>
      <color indexed="9"/>
      <name val="Cordia New"/>
      <family val="2"/>
    </font>
    <font>
      <b/>
      <i/>
      <sz val="11"/>
      <color rgb="FFCC00CC"/>
      <name val="Cordia New"/>
      <family val="2"/>
    </font>
    <font>
      <b/>
      <sz val="11"/>
      <color rgb="FFFF0000"/>
      <name val="Cordia New"/>
      <family val="2"/>
    </font>
    <font>
      <b/>
      <sz val="11"/>
      <color rgb="FFFFFF00"/>
      <name val="Cordia Ne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4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BE8C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2E2C2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11" fillId="0" borderId="0"/>
    <xf numFmtId="0" fontId="1" fillId="0" borderId="0"/>
    <xf numFmtId="9" fontId="13" fillId="0" borderId="0" applyFont="0" applyFill="0" applyBorder="0" applyAlignment="0" applyProtection="0"/>
    <xf numFmtId="0" fontId="11" fillId="0" borderId="0"/>
    <xf numFmtId="0" fontId="58" fillId="0" borderId="0"/>
    <xf numFmtId="196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9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</cellStyleXfs>
  <cellXfs count="1059">
    <xf numFmtId="0" fontId="0" fillId="0" borderId="0" xfId="0"/>
    <xf numFmtId="0" fontId="2" fillId="0" borderId="0" xfId="3" applyFont="1" applyAlignment="1">
      <alignment horizontal="right" vertical="center"/>
    </xf>
    <xf numFmtId="3" fontId="5" fillId="0" borderId="0" xfId="3" applyNumberFormat="1" applyFont="1" applyAlignment="1">
      <alignment horizontal="right" vertical="center"/>
    </xf>
    <xf numFmtId="3" fontId="6" fillId="0" borderId="0" xfId="3" applyNumberFormat="1" applyFont="1" applyAlignment="1">
      <alignment horizontal="right" vertical="center"/>
    </xf>
    <xf numFmtId="0" fontId="8" fillId="0" borderId="0" xfId="3" applyFont="1" applyAlignment="1">
      <alignment horizontal="center" vertical="center"/>
    </xf>
    <xf numFmtId="187" fontId="0" fillId="0" borderId="0" xfId="0" applyNumberFormat="1"/>
    <xf numFmtId="2" fontId="3" fillId="2" borderId="1" xfId="3" applyNumberFormat="1" applyFont="1" applyFill="1" applyBorder="1" applyAlignment="1">
      <alignment horizontal="center" vertical="center" wrapText="1"/>
    </xf>
    <xf numFmtId="2" fontId="3" fillId="2" borderId="1" xfId="3" applyNumberFormat="1" applyFont="1" applyFill="1" applyBorder="1" applyAlignment="1">
      <alignment horizontal="center" vertical="center"/>
    </xf>
    <xf numFmtId="2" fontId="3" fillId="2" borderId="1" xfId="1" applyNumberFormat="1" applyFont="1" applyFill="1" applyBorder="1" applyAlignment="1">
      <alignment horizontal="center" vertical="center" wrapText="1"/>
    </xf>
    <xf numFmtId="187" fontId="3" fillId="2" borderId="1" xfId="3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0" xfId="0" applyNumberFormat="1"/>
    <xf numFmtId="189" fontId="0" fillId="0" borderId="0" xfId="0" applyNumberFormat="1"/>
    <xf numFmtId="189" fontId="3" fillId="0" borderId="0" xfId="3" applyNumberFormat="1" applyFont="1" applyAlignment="1">
      <alignment horizontal="center" vertical="center"/>
    </xf>
    <xf numFmtId="189" fontId="0" fillId="6" borderId="0" xfId="0" applyNumberFormat="1" applyFill="1"/>
    <xf numFmtId="189" fontId="0" fillId="0" borderId="2" xfId="0" applyNumberFormat="1" applyBorder="1"/>
    <xf numFmtId="189" fontId="0" fillId="6" borderId="2" xfId="0" applyNumberFormat="1" applyFill="1" applyBorder="1"/>
    <xf numFmtId="4" fontId="0" fillId="0" borderId="0" xfId="0" applyNumberFormat="1"/>
    <xf numFmtId="4" fontId="5" fillId="0" borderId="0" xfId="3" applyNumberFormat="1" applyFont="1" applyAlignment="1">
      <alignment horizontal="center" vertical="center"/>
    </xf>
    <xf numFmtId="4" fontId="0" fillId="6" borderId="0" xfId="0" applyNumberFormat="1" applyFill="1"/>
    <xf numFmtId="0" fontId="0" fillId="0" borderId="0" xfId="0" applyAlignment="1">
      <alignment horizontal="left"/>
    </xf>
    <xf numFmtId="2" fontId="7" fillId="0" borderId="3" xfId="3" applyNumberFormat="1" applyFont="1" applyBorder="1" applyAlignment="1">
      <alignment vertical="center"/>
    </xf>
    <xf numFmtId="2" fontId="8" fillId="3" borderId="3" xfId="3" applyNumberFormat="1" applyFont="1" applyFill="1" applyBorder="1" applyAlignment="1">
      <alignment horizontal="left" vertical="center"/>
    </xf>
    <xf numFmtId="2" fontId="8" fillId="3" borderId="3" xfId="3" applyNumberFormat="1" applyFont="1" applyFill="1" applyBorder="1" applyAlignment="1">
      <alignment horizontal="left" vertical="center" wrapText="1"/>
    </xf>
    <xf numFmtId="2" fontId="0" fillId="0" borderId="3" xfId="0" applyNumberFormat="1" applyBorder="1"/>
    <xf numFmtId="2" fontId="0" fillId="0" borderId="3" xfId="0" applyNumberFormat="1" applyBorder="1" applyAlignment="1">
      <alignment horizontal="left"/>
    </xf>
    <xf numFmtId="0" fontId="0" fillId="0" borderId="0" xfId="0" applyAlignment="1">
      <alignment horizontal="right"/>
    </xf>
    <xf numFmtId="0" fontId="14" fillId="0" borderId="0" xfId="0" applyFont="1" applyAlignment="1">
      <alignment horizontal="right"/>
    </xf>
    <xf numFmtId="189" fontId="0" fillId="0" borderId="4" xfId="0" applyNumberFormat="1" applyBorder="1"/>
    <xf numFmtId="0" fontId="0" fillId="7" borderId="0" xfId="0" applyFill="1" applyAlignment="1">
      <alignment horizontal="center"/>
    </xf>
    <xf numFmtId="187" fontId="15" fillId="0" borderId="0" xfId="0" applyNumberFormat="1" applyFont="1" applyAlignment="1">
      <alignment horizontal="center"/>
    </xf>
    <xf numFmtId="187" fontId="0" fillId="0" borderId="0" xfId="0" applyNumberFormat="1" applyAlignment="1">
      <alignment horizontal="center"/>
    </xf>
    <xf numFmtId="187" fontId="16" fillId="2" borderId="1" xfId="3" applyNumberFormat="1" applyFont="1" applyFill="1" applyBorder="1" applyAlignment="1">
      <alignment horizontal="center" vertical="center" wrapText="1"/>
    </xf>
    <xf numFmtId="3" fontId="4" fillId="4" borderId="5" xfId="3" applyNumberFormat="1" applyFont="1" applyFill="1" applyBorder="1" applyAlignment="1">
      <alignment horizontal="center" vertical="center" wrapText="1"/>
    </xf>
    <xf numFmtId="3" fontId="4" fillId="5" borderId="5" xfId="3" applyNumberFormat="1" applyFont="1" applyFill="1" applyBorder="1" applyAlignment="1">
      <alignment horizontal="center" vertical="center" wrapText="1"/>
    </xf>
    <xf numFmtId="187" fontId="0" fillId="6" borderId="4" xfId="0" applyNumberFormat="1" applyFill="1" applyBorder="1" applyAlignment="1">
      <alignment horizontal="center"/>
    </xf>
    <xf numFmtId="2" fontId="0" fillId="6" borderId="4" xfId="0" applyNumberFormat="1" applyFill="1" applyBorder="1" applyAlignment="1">
      <alignment horizontal="center"/>
    </xf>
    <xf numFmtId="2" fontId="0" fillId="6" borderId="4" xfId="0" applyNumberFormat="1" applyFill="1" applyBorder="1"/>
    <xf numFmtId="3" fontId="0" fillId="6" borderId="4" xfId="0" applyNumberFormat="1" applyFill="1" applyBorder="1"/>
    <xf numFmtId="187" fontId="0" fillId="0" borderId="4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4" xfId="0" applyNumberFormat="1" applyBorder="1"/>
    <xf numFmtId="3" fontId="0" fillId="0" borderId="4" xfId="0" applyNumberFormat="1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6" borderId="4" xfId="0" applyFill="1" applyBorder="1" applyAlignment="1">
      <alignment horizontal="center"/>
    </xf>
    <xf numFmtId="0" fontId="0" fillId="6" borderId="4" xfId="0" applyFill="1" applyBorder="1"/>
    <xf numFmtId="190" fontId="0" fillId="0" borderId="0" xfId="0" applyNumberFormat="1"/>
    <xf numFmtId="187" fontId="14" fillId="8" borderId="0" xfId="0" applyNumberFormat="1" applyFont="1" applyFill="1" applyAlignment="1">
      <alignment horizontal="center"/>
    </xf>
    <xf numFmtId="0" fontId="14" fillId="8" borderId="0" xfId="0" applyFont="1" applyFill="1" applyAlignment="1">
      <alignment horizontal="center"/>
    </xf>
    <xf numFmtId="190" fontId="14" fillId="8" borderId="0" xfId="0" applyNumberFormat="1" applyFont="1" applyFill="1" applyAlignment="1">
      <alignment horizontal="center"/>
    </xf>
    <xf numFmtId="2" fontId="17" fillId="2" borderId="1" xfId="3" applyNumberFormat="1" applyFont="1" applyFill="1" applyBorder="1" applyAlignment="1">
      <alignment horizontal="center" vertical="center"/>
    </xf>
    <xf numFmtId="3" fontId="3" fillId="2" borderId="1" xfId="3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6" borderId="4" xfId="0" applyNumberFormat="1" applyFill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189" fontId="3" fillId="2" borderId="1" xfId="3" applyNumberFormat="1" applyFont="1" applyFill="1" applyBorder="1" applyAlignment="1">
      <alignment horizontal="center" vertical="center"/>
    </xf>
    <xf numFmtId="189" fontId="0" fillId="6" borderId="4" xfId="0" applyNumberFormat="1" applyFill="1" applyBorder="1"/>
    <xf numFmtId="0" fontId="0" fillId="0" borderId="0" xfId="0" applyAlignment="1">
      <alignment horizontal="left" indent="1"/>
    </xf>
    <xf numFmtId="2" fontId="0" fillId="6" borderId="4" xfId="0" applyNumberFormat="1" applyFill="1" applyBorder="1" applyAlignment="1">
      <alignment horizontal="left" indent="1"/>
    </xf>
    <xf numFmtId="2" fontId="0" fillId="0" borderId="4" xfId="0" applyNumberFormat="1" applyBorder="1" applyAlignment="1">
      <alignment horizontal="left" indent="1"/>
    </xf>
    <xf numFmtId="0" fontId="0" fillId="0" borderId="4" xfId="0" applyBorder="1" applyAlignment="1">
      <alignment horizontal="left" indent="1"/>
    </xf>
    <xf numFmtId="0" fontId="0" fillId="6" borderId="4" xfId="0" applyFill="1" applyBorder="1" applyAlignment="1">
      <alignment horizontal="left" indent="1"/>
    </xf>
    <xf numFmtId="3" fontId="3" fillId="2" borderId="1" xfId="3" applyNumberFormat="1" applyFont="1" applyFill="1" applyBorder="1" applyAlignment="1">
      <alignment horizontal="center" vertical="center" wrapText="1"/>
    </xf>
    <xf numFmtId="3" fontId="18" fillId="2" borderId="1" xfId="3" applyNumberFormat="1" applyFont="1" applyFill="1" applyBorder="1" applyAlignment="1">
      <alignment horizontal="right" vertical="center"/>
    </xf>
    <xf numFmtId="3" fontId="3" fillId="2" borderId="1" xfId="3" applyNumberFormat="1" applyFont="1" applyFill="1" applyBorder="1" applyAlignment="1">
      <alignment horizontal="left" vertical="center"/>
    </xf>
    <xf numFmtId="3" fontId="9" fillId="2" borderId="1" xfId="3" applyNumberFormat="1" applyFont="1" applyFill="1" applyBorder="1" applyAlignment="1">
      <alignment horizontal="center" vertical="center"/>
    </xf>
    <xf numFmtId="3" fontId="19" fillId="0" borderId="0" xfId="0" applyNumberFormat="1" applyFont="1"/>
    <xf numFmtId="3" fontId="10" fillId="2" borderId="1" xfId="3" applyNumberFormat="1" applyFont="1" applyFill="1" applyBorder="1" applyAlignment="1">
      <alignment horizontal="center" vertical="center" wrapText="1"/>
    </xf>
    <xf numFmtId="3" fontId="19" fillId="6" borderId="4" xfId="0" applyNumberFormat="1" applyFont="1" applyFill="1" applyBorder="1"/>
    <xf numFmtId="3" fontId="19" fillId="0" borderId="4" xfId="0" applyNumberFormat="1" applyFont="1" applyBorder="1"/>
    <xf numFmtId="191" fontId="0" fillId="0" borderId="0" xfId="0" applyNumberFormat="1"/>
    <xf numFmtId="191" fontId="18" fillId="2" borderId="1" xfId="3" applyNumberFormat="1" applyFont="1" applyFill="1" applyBorder="1" applyAlignment="1">
      <alignment horizontal="right" vertical="center"/>
    </xf>
    <xf numFmtId="191" fontId="0" fillId="6" borderId="4" xfId="0" applyNumberFormat="1" applyFill="1" applyBorder="1"/>
    <xf numFmtId="191" fontId="0" fillId="0" borderId="4" xfId="0" applyNumberFormat="1" applyBorder="1"/>
    <xf numFmtId="187" fontId="20" fillId="0" borderId="0" xfId="0" applyNumberFormat="1" applyFont="1" applyAlignment="1">
      <alignment horizontal="center"/>
    </xf>
    <xf numFmtId="2" fontId="14" fillId="0" borderId="4" xfId="0" applyNumberFormat="1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2" fontId="0" fillId="0" borderId="4" xfId="0" applyNumberFormat="1" applyBorder="1" applyAlignment="1">
      <alignment horizontal="left"/>
    </xf>
    <xf numFmtId="0" fontId="0" fillId="0" borderId="0" xfId="0" pivotButton="1"/>
    <xf numFmtId="14" fontId="0" fillId="0" borderId="0" xfId="0" applyNumberFormat="1"/>
    <xf numFmtId="9" fontId="13" fillId="0" borderId="0" xfId="4" applyFont="1"/>
    <xf numFmtId="192" fontId="22" fillId="27" borderId="0" xfId="2" applyNumberFormat="1" applyFont="1" applyFill="1" applyAlignment="1">
      <alignment horizontal="right" vertical="center"/>
    </xf>
    <xf numFmtId="0" fontId="21" fillId="27" borderId="0" xfId="0" applyFont="1" applyFill="1" applyAlignment="1">
      <alignment horizontal="right"/>
    </xf>
    <xf numFmtId="193" fontId="11" fillId="27" borderId="0" xfId="2" applyNumberFormat="1" applyFill="1"/>
    <xf numFmtId="0" fontId="11" fillId="27" borderId="0" xfId="2" applyFill="1"/>
    <xf numFmtId="192" fontId="22" fillId="0" borderId="0" xfId="2" applyNumberFormat="1" applyFont="1" applyAlignment="1">
      <alignment horizontal="right" vertical="center"/>
    </xf>
    <xf numFmtId="0" fontId="21" fillId="0" borderId="0" xfId="0" applyFont="1" applyAlignment="1">
      <alignment horizontal="right"/>
    </xf>
    <xf numFmtId="193" fontId="11" fillId="0" borderId="0" xfId="2" applyNumberFormat="1"/>
    <xf numFmtId="0" fontId="11" fillId="0" borderId="0" xfId="2"/>
    <xf numFmtId="0" fontId="23" fillId="0" borderId="0" xfId="0" applyFont="1"/>
    <xf numFmtId="1" fontId="23" fillId="0" borderId="0" xfId="0" applyNumberFormat="1" applyFont="1"/>
    <xf numFmtId="16" fontId="23" fillId="0" borderId="0" xfId="0" applyNumberFormat="1" applyFont="1"/>
    <xf numFmtId="0" fontId="23" fillId="15" borderId="0" xfId="0" applyFont="1" applyFill="1"/>
    <xf numFmtId="0" fontId="23" fillId="9" borderId="0" xfId="0" applyFont="1" applyFill="1"/>
    <xf numFmtId="0" fontId="23" fillId="8" borderId="0" xfId="0" applyFont="1" applyFill="1"/>
    <xf numFmtId="1" fontId="23" fillId="0" borderId="0" xfId="0" applyNumberFormat="1" applyFont="1" applyAlignment="1">
      <alignment horizontal="right"/>
    </xf>
    <xf numFmtId="0" fontId="23" fillId="37" borderId="0" xfId="0" applyFont="1" applyFill="1"/>
    <xf numFmtId="16" fontId="24" fillId="0" borderId="0" xfId="0" applyNumberFormat="1" applyFont="1"/>
    <xf numFmtId="0" fontId="24" fillId="0" borderId="0" xfId="0" applyFont="1"/>
    <xf numFmtId="1" fontId="23" fillId="0" borderId="0" xfId="0" quotePrefix="1" applyNumberFormat="1" applyFont="1" applyAlignment="1">
      <alignment horizontal="right"/>
    </xf>
    <xf numFmtId="16" fontId="23" fillId="27" borderId="0" xfId="0" applyNumberFormat="1" applyFont="1" applyFill="1"/>
    <xf numFmtId="0" fontId="25" fillId="0" borderId="0" xfId="0" applyFont="1" applyAlignment="1">
      <alignment horizontal="right"/>
    </xf>
    <xf numFmtId="187" fontId="26" fillId="29" borderId="4" xfId="0" applyNumberFormat="1" applyFont="1" applyFill="1" applyBorder="1" applyAlignment="1">
      <alignment horizontal="center"/>
    </xf>
    <xf numFmtId="187" fontId="27" fillId="29" borderId="4" xfId="0" applyNumberFormat="1" applyFont="1" applyFill="1" applyBorder="1" applyAlignment="1">
      <alignment horizontal="center"/>
    </xf>
    <xf numFmtId="0" fontId="27" fillId="29" borderId="4" xfId="0" applyFont="1" applyFill="1" applyBorder="1" applyAlignment="1">
      <alignment horizontal="center"/>
    </xf>
    <xf numFmtId="190" fontId="27" fillId="29" borderId="4" xfId="0" applyNumberFormat="1" applyFont="1" applyFill="1" applyBorder="1" applyAlignment="1">
      <alignment horizontal="center"/>
    </xf>
    <xf numFmtId="0" fontId="28" fillId="29" borderId="4" xfId="0" applyFont="1" applyFill="1" applyBorder="1" applyAlignment="1">
      <alignment horizontal="center"/>
    </xf>
    <xf numFmtId="0" fontId="27" fillId="29" borderId="4" xfId="0" applyFont="1" applyFill="1" applyBorder="1"/>
    <xf numFmtId="3" fontId="27" fillId="29" borderId="4" xfId="0" applyNumberFormat="1" applyFont="1" applyFill="1" applyBorder="1" applyAlignment="1">
      <alignment horizontal="center"/>
    </xf>
    <xf numFmtId="189" fontId="27" fillId="29" borderId="4" xfId="0" applyNumberFormat="1" applyFont="1" applyFill="1" applyBorder="1" applyAlignment="1">
      <alignment horizontal="center"/>
    </xf>
    <xf numFmtId="3" fontId="27" fillId="29" borderId="4" xfId="0" applyNumberFormat="1" applyFont="1" applyFill="1" applyBorder="1"/>
    <xf numFmtId="3" fontId="29" fillId="29" borderId="4" xfId="0" applyNumberFormat="1" applyFont="1" applyFill="1" applyBorder="1"/>
    <xf numFmtId="191" fontId="28" fillId="29" borderId="4" xfId="0" applyNumberFormat="1" applyFont="1" applyFill="1" applyBorder="1"/>
    <xf numFmtId="3" fontId="28" fillId="29" borderId="4" xfId="0" applyNumberFormat="1" applyFont="1" applyFill="1" applyBorder="1"/>
    <xf numFmtId="0" fontId="28" fillId="27" borderId="4" xfId="0" applyFont="1" applyFill="1" applyBorder="1"/>
    <xf numFmtId="4" fontId="27" fillId="29" borderId="4" xfId="0" applyNumberFormat="1" applyFont="1" applyFill="1" applyBorder="1"/>
    <xf numFmtId="189" fontId="27" fillId="0" borderId="6" xfId="0" applyNumberFormat="1" applyFont="1" applyBorder="1"/>
    <xf numFmtId="4" fontId="27" fillId="0" borderId="0" xfId="0" applyNumberFormat="1" applyFont="1"/>
    <xf numFmtId="3" fontId="27" fillId="0" borderId="0" xfId="0" applyNumberFormat="1" applyFont="1"/>
    <xf numFmtId="0" fontId="27" fillId="0" borderId="0" xfId="0" applyFont="1"/>
    <xf numFmtId="0" fontId="28" fillId="0" borderId="0" xfId="0" applyFont="1"/>
    <xf numFmtId="188" fontId="27" fillId="0" borderId="0" xfId="0" applyNumberFormat="1" applyFont="1"/>
    <xf numFmtId="194" fontId="27" fillId="0" borderId="0" xfId="0" applyNumberFormat="1" applyFont="1"/>
    <xf numFmtId="49" fontId="27" fillId="0" borderId="0" xfId="0" applyNumberFormat="1" applyFont="1"/>
    <xf numFmtId="2" fontId="27" fillId="0" borderId="3" xfId="0" applyNumberFormat="1" applyFont="1" applyBorder="1"/>
    <xf numFmtId="1" fontId="27" fillId="0" borderId="3" xfId="0" applyNumberFormat="1" applyFont="1" applyBorder="1" applyAlignment="1">
      <alignment horizontal="left"/>
    </xf>
    <xf numFmtId="2" fontId="27" fillId="0" borderId="3" xfId="0" applyNumberFormat="1" applyFont="1" applyBorder="1" applyAlignment="1">
      <alignment horizontal="left"/>
    </xf>
    <xf numFmtId="187" fontId="26" fillId="10" borderId="4" xfId="0" applyNumberFormat="1" applyFont="1" applyFill="1" applyBorder="1" applyAlignment="1">
      <alignment horizontal="center"/>
    </xf>
    <xf numFmtId="187" fontId="27" fillId="10" borderId="4" xfId="0" applyNumberFormat="1" applyFont="1" applyFill="1" applyBorder="1" applyAlignment="1">
      <alignment horizontal="center"/>
    </xf>
    <xf numFmtId="0" fontId="27" fillId="10" borderId="4" xfId="0" applyFont="1" applyFill="1" applyBorder="1" applyAlignment="1">
      <alignment horizontal="center"/>
    </xf>
    <xf numFmtId="190" fontId="27" fillId="10" borderId="4" xfId="0" applyNumberFormat="1" applyFont="1" applyFill="1" applyBorder="1" applyAlignment="1">
      <alignment horizontal="center"/>
    </xf>
    <xf numFmtId="0" fontId="28" fillId="10" borderId="4" xfId="0" applyFont="1" applyFill="1" applyBorder="1" applyAlignment="1">
      <alignment horizontal="center"/>
    </xf>
    <xf numFmtId="0" fontId="27" fillId="10" borderId="4" xfId="0" applyFont="1" applyFill="1" applyBorder="1"/>
    <xf numFmtId="3" fontId="27" fillId="10" borderId="4" xfId="0" applyNumberFormat="1" applyFont="1" applyFill="1" applyBorder="1" applyAlignment="1">
      <alignment horizontal="center"/>
    </xf>
    <xf numFmtId="189" fontId="27" fillId="10" borderId="4" xfId="0" applyNumberFormat="1" applyFont="1" applyFill="1" applyBorder="1" applyAlignment="1">
      <alignment horizontal="center"/>
    </xf>
    <xf numFmtId="3" fontId="27" fillId="10" borderId="4" xfId="0" applyNumberFormat="1" applyFont="1" applyFill="1" applyBorder="1"/>
    <xf numFmtId="3" fontId="29" fillId="10" borderId="4" xfId="0" applyNumberFormat="1" applyFont="1" applyFill="1" applyBorder="1"/>
    <xf numFmtId="191" fontId="28" fillId="10" borderId="4" xfId="0" applyNumberFormat="1" applyFont="1" applyFill="1" applyBorder="1"/>
    <xf numFmtId="3" fontId="28" fillId="10" borderId="4" xfId="0" applyNumberFormat="1" applyFont="1" applyFill="1" applyBorder="1"/>
    <xf numFmtId="4" fontId="27" fillId="10" borderId="4" xfId="0" applyNumberFormat="1" applyFont="1" applyFill="1" applyBorder="1"/>
    <xf numFmtId="49" fontId="28" fillId="0" borderId="0" xfId="0" applyNumberFormat="1" applyFont="1"/>
    <xf numFmtId="0" fontId="27" fillId="0" borderId="0" xfId="0" applyFont="1" applyAlignment="1">
      <alignment horizontal="right" vertical="center"/>
    </xf>
    <xf numFmtId="187" fontId="30" fillId="0" borderId="0" xfId="0" applyNumberFormat="1" applyFont="1" applyAlignment="1">
      <alignment horizontal="center" vertical="center"/>
    </xf>
    <xf numFmtId="187" fontId="27" fillId="0" borderId="0" xfId="0" applyNumberFormat="1" applyFont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190" fontId="27" fillId="7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left" vertical="center"/>
    </xf>
    <xf numFmtId="16" fontId="31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189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vertical="center"/>
    </xf>
    <xf numFmtId="3" fontId="29" fillId="0" borderId="0" xfId="0" applyNumberFormat="1" applyFont="1" applyAlignment="1">
      <alignment vertical="center"/>
    </xf>
    <xf numFmtId="191" fontId="28" fillId="0" borderId="0" xfId="0" applyNumberFormat="1" applyFont="1" applyAlignment="1">
      <alignment vertical="center"/>
    </xf>
    <xf numFmtId="3" fontId="28" fillId="0" borderId="0" xfId="0" applyNumberFormat="1" applyFont="1" applyAlignment="1">
      <alignment vertical="center"/>
    </xf>
    <xf numFmtId="0" fontId="27" fillId="0" borderId="0" xfId="0" applyFont="1" applyAlignment="1">
      <alignment vertical="center"/>
    </xf>
    <xf numFmtId="4" fontId="27" fillId="0" borderId="0" xfId="0" applyNumberFormat="1" applyFont="1" applyAlignment="1">
      <alignment vertical="center"/>
    </xf>
    <xf numFmtId="189" fontId="27" fillId="0" borderId="0" xfId="0" applyNumberFormat="1" applyFont="1" applyAlignment="1">
      <alignment vertical="center"/>
    </xf>
    <xf numFmtId="49" fontId="27" fillId="0" borderId="0" xfId="0" applyNumberFormat="1" applyFont="1" applyAlignment="1">
      <alignment vertical="center"/>
    </xf>
    <xf numFmtId="187" fontId="26" fillId="0" borderId="1" xfId="3" applyNumberFormat="1" applyFont="1" applyBorder="1" applyAlignment="1">
      <alignment horizontal="center" vertical="center" wrapText="1"/>
    </xf>
    <xf numFmtId="187" fontId="31" fillId="2" borderId="1" xfId="3" applyNumberFormat="1" applyFont="1" applyFill="1" applyBorder="1" applyAlignment="1">
      <alignment horizontal="center" vertical="center" wrapText="1"/>
    </xf>
    <xf numFmtId="2" fontId="32" fillId="2" borderId="1" xfId="3" applyNumberFormat="1" applyFont="1" applyFill="1" applyBorder="1" applyAlignment="1">
      <alignment horizontal="center" vertical="center" wrapText="1"/>
    </xf>
    <xf numFmtId="190" fontId="32" fillId="2" borderId="1" xfId="3" applyNumberFormat="1" applyFont="1" applyFill="1" applyBorder="1" applyAlignment="1">
      <alignment horizontal="center" vertical="center" wrapText="1"/>
    </xf>
    <xf numFmtId="2" fontId="32" fillId="2" borderId="1" xfId="3" applyNumberFormat="1" applyFont="1" applyFill="1" applyBorder="1" applyAlignment="1">
      <alignment horizontal="center" vertical="center"/>
    </xf>
    <xf numFmtId="2" fontId="32" fillId="2" borderId="1" xfId="3" applyNumberFormat="1" applyFont="1" applyFill="1" applyBorder="1" applyAlignment="1">
      <alignment horizontal="left" vertical="center"/>
    </xf>
    <xf numFmtId="2" fontId="31" fillId="2" borderId="1" xfId="3" applyNumberFormat="1" applyFont="1" applyFill="1" applyBorder="1" applyAlignment="1">
      <alignment horizontal="center" vertical="center"/>
    </xf>
    <xf numFmtId="3" fontId="32" fillId="2" borderId="1" xfId="3" applyNumberFormat="1" applyFont="1" applyFill="1" applyBorder="1" applyAlignment="1">
      <alignment horizontal="center" vertical="center"/>
    </xf>
    <xf numFmtId="189" fontId="32" fillId="2" borderId="1" xfId="3" applyNumberFormat="1" applyFont="1" applyFill="1" applyBorder="1" applyAlignment="1">
      <alignment horizontal="center" vertical="center"/>
    </xf>
    <xf numFmtId="3" fontId="32" fillId="2" borderId="1" xfId="3" applyNumberFormat="1" applyFont="1" applyFill="1" applyBorder="1" applyAlignment="1">
      <alignment horizontal="center" vertical="center" wrapText="1"/>
    </xf>
    <xf numFmtId="3" fontId="29" fillId="2" borderId="1" xfId="3" applyNumberFormat="1" applyFont="1" applyFill="1" applyBorder="1" applyAlignment="1">
      <alignment horizontal="center" vertical="center" wrapText="1"/>
    </xf>
    <xf numFmtId="191" fontId="28" fillId="2" borderId="1" xfId="3" applyNumberFormat="1" applyFont="1" applyFill="1" applyBorder="1" applyAlignment="1">
      <alignment horizontal="right" vertical="center"/>
    </xf>
    <xf numFmtId="3" fontId="28" fillId="2" borderId="1" xfId="3" applyNumberFormat="1" applyFont="1" applyFill="1" applyBorder="1" applyAlignment="1">
      <alignment horizontal="left" vertical="center"/>
    </xf>
    <xf numFmtId="3" fontId="33" fillId="2" borderId="1" xfId="3" applyNumberFormat="1" applyFont="1" applyFill="1" applyBorder="1" applyAlignment="1">
      <alignment horizontal="left" vertical="center"/>
    </xf>
    <xf numFmtId="2" fontId="32" fillId="2" borderId="1" xfId="1" applyNumberFormat="1" applyFont="1" applyFill="1" applyBorder="1" applyAlignment="1">
      <alignment horizontal="center" vertical="center" wrapText="1"/>
    </xf>
    <xf numFmtId="4" fontId="26" fillId="4" borderId="5" xfId="3" applyNumberFormat="1" applyFont="1" applyFill="1" applyBorder="1" applyAlignment="1">
      <alignment horizontal="center" vertical="center" wrapText="1"/>
    </xf>
    <xf numFmtId="4" fontId="26" fillId="5" borderId="5" xfId="3" applyNumberFormat="1" applyFont="1" applyFill="1" applyBorder="1" applyAlignment="1">
      <alignment horizontal="center" vertical="center" wrapText="1"/>
    </xf>
    <xf numFmtId="189" fontId="32" fillId="0" borderId="0" xfId="3" applyNumberFormat="1" applyFont="1" applyAlignment="1">
      <alignment horizontal="center" vertical="center"/>
    </xf>
    <xf numFmtId="4" fontId="26" fillId="0" borderId="0" xfId="3" applyNumberFormat="1" applyFont="1" applyAlignment="1">
      <alignment horizontal="center" vertical="center"/>
    </xf>
    <xf numFmtId="3" fontId="26" fillId="0" borderId="0" xfId="3" applyNumberFormat="1" applyFont="1" applyAlignment="1">
      <alignment horizontal="right" vertical="center"/>
    </xf>
    <xf numFmtId="0" fontId="26" fillId="0" borderId="0" xfId="3" applyFont="1" applyAlignment="1">
      <alignment horizontal="right" vertical="center"/>
    </xf>
    <xf numFmtId="49" fontId="26" fillId="0" borderId="0" xfId="3" applyNumberFormat="1" applyFont="1" applyAlignment="1">
      <alignment horizontal="right" vertical="center"/>
    </xf>
    <xf numFmtId="0" fontId="32" fillId="0" borderId="0" xfId="3" applyFont="1" applyAlignment="1">
      <alignment horizontal="center" vertical="center"/>
    </xf>
    <xf numFmtId="187" fontId="26" fillId="6" borderId="4" xfId="0" applyNumberFormat="1" applyFont="1" applyFill="1" applyBorder="1" applyAlignment="1">
      <alignment horizontal="center" vertical="center"/>
    </xf>
    <xf numFmtId="187" fontId="27" fillId="6" borderId="4" xfId="0" applyNumberFormat="1" applyFont="1" applyFill="1" applyBorder="1" applyAlignment="1">
      <alignment horizontal="center" vertical="center"/>
    </xf>
    <xf numFmtId="0" fontId="27" fillId="6" borderId="4" xfId="0" applyFont="1" applyFill="1" applyBorder="1" applyAlignment="1">
      <alignment horizontal="center" vertical="center"/>
    </xf>
    <xf numFmtId="190" fontId="27" fillId="6" borderId="4" xfId="0" applyNumberFormat="1" applyFont="1" applyFill="1" applyBorder="1" applyAlignment="1">
      <alignment horizontal="center" vertical="center"/>
    </xf>
    <xf numFmtId="0" fontId="27" fillId="6" borderId="4" xfId="0" applyFont="1" applyFill="1" applyBorder="1" applyAlignment="1">
      <alignment vertical="center"/>
    </xf>
    <xf numFmtId="0" fontId="27" fillId="6" borderId="4" xfId="0" applyFont="1" applyFill="1" applyBorder="1" applyAlignment="1">
      <alignment horizontal="left" vertical="center"/>
    </xf>
    <xf numFmtId="3" fontId="27" fillId="6" borderId="4" xfId="0" applyNumberFormat="1" applyFont="1" applyFill="1" applyBorder="1" applyAlignment="1">
      <alignment horizontal="center" vertical="center"/>
    </xf>
    <xf numFmtId="189" fontId="27" fillId="6" borderId="4" xfId="0" applyNumberFormat="1" applyFont="1" applyFill="1" applyBorder="1" applyAlignment="1">
      <alignment horizontal="center" vertical="center"/>
    </xf>
    <xf numFmtId="3" fontId="27" fillId="6" borderId="4" xfId="0" applyNumberFormat="1" applyFont="1" applyFill="1" applyBorder="1" applyAlignment="1">
      <alignment vertical="center"/>
    </xf>
    <xf numFmtId="3" fontId="29" fillId="6" borderId="4" xfId="0" applyNumberFormat="1" applyFont="1" applyFill="1" applyBorder="1" applyAlignment="1">
      <alignment vertical="center"/>
    </xf>
    <xf numFmtId="191" fontId="28" fillId="6" borderId="4" xfId="0" applyNumberFormat="1" applyFont="1" applyFill="1" applyBorder="1" applyAlignment="1">
      <alignment vertical="center"/>
    </xf>
    <xf numFmtId="3" fontId="28" fillId="6" borderId="4" xfId="0" applyNumberFormat="1" applyFont="1" applyFill="1" applyBorder="1" applyAlignment="1">
      <alignment vertical="center"/>
    </xf>
    <xf numFmtId="4" fontId="27" fillId="6" borderId="4" xfId="0" applyNumberFormat="1" applyFont="1" applyFill="1" applyBorder="1" applyAlignment="1">
      <alignment vertical="center"/>
    </xf>
    <xf numFmtId="189" fontId="27" fillId="6" borderId="6" xfId="0" applyNumberFormat="1" applyFont="1" applyFill="1" applyBorder="1" applyAlignment="1">
      <alignment vertical="center"/>
    </xf>
    <xf numFmtId="4" fontId="27" fillId="6" borderId="0" xfId="0" applyNumberFormat="1" applyFont="1" applyFill="1" applyAlignment="1">
      <alignment vertical="center"/>
    </xf>
    <xf numFmtId="188" fontId="27" fillId="0" borderId="0" xfId="0" applyNumberFormat="1" applyFont="1" applyAlignment="1">
      <alignment vertical="center"/>
    </xf>
    <xf numFmtId="194" fontId="27" fillId="0" borderId="0" xfId="0" applyNumberFormat="1" applyFont="1" applyAlignment="1">
      <alignment vertical="center"/>
    </xf>
    <xf numFmtId="187" fontId="26" fillId="28" borderId="4" xfId="0" applyNumberFormat="1" applyFont="1" applyFill="1" applyBorder="1" applyAlignment="1">
      <alignment horizontal="center" vertical="center"/>
    </xf>
    <xf numFmtId="187" fontId="27" fillId="28" borderId="4" xfId="0" applyNumberFormat="1" applyFont="1" applyFill="1" applyBorder="1" applyAlignment="1">
      <alignment horizontal="center" vertical="center"/>
    </xf>
    <xf numFmtId="190" fontId="27" fillId="28" borderId="4" xfId="0" applyNumberFormat="1" applyFont="1" applyFill="1" applyBorder="1" applyAlignment="1">
      <alignment horizontal="center" vertical="center"/>
    </xf>
    <xf numFmtId="3" fontId="27" fillId="28" borderId="4" xfId="0" applyNumberFormat="1" applyFont="1" applyFill="1" applyBorder="1" applyAlignment="1">
      <alignment horizontal="center" vertical="center"/>
    </xf>
    <xf numFmtId="189" fontId="27" fillId="28" borderId="4" xfId="0" applyNumberFormat="1" applyFont="1" applyFill="1" applyBorder="1" applyAlignment="1">
      <alignment horizontal="center" vertical="center"/>
    </xf>
    <xf numFmtId="3" fontId="27" fillId="28" borderId="4" xfId="0" applyNumberFormat="1" applyFont="1" applyFill="1" applyBorder="1" applyAlignment="1">
      <alignment vertical="center"/>
    </xf>
    <xf numFmtId="3" fontId="29" fillId="28" borderId="4" xfId="0" applyNumberFormat="1" applyFont="1" applyFill="1" applyBorder="1" applyAlignment="1">
      <alignment vertical="center"/>
    </xf>
    <xf numFmtId="191" fontId="28" fillId="28" borderId="4" xfId="0" applyNumberFormat="1" applyFont="1" applyFill="1" applyBorder="1" applyAlignment="1">
      <alignment vertical="center"/>
    </xf>
    <xf numFmtId="3" fontId="28" fillId="28" borderId="4" xfId="0" applyNumberFormat="1" applyFont="1" applyFill="1" applyBorder="1" applyAlignment="1">
      <alignment vertical="center"/>
    </xf>
    <xf numFmtId="0" fontId="27" fillId="0" borderId="4" xfId="0" applyFont="1" applyBorder="1" applyAlignment="1">
      <alignment vertical="center"/>
    </xf>
    <xf numFmtId="4" fontId="27" fillId="0" borderId="4" xfId="0" applyNumberFormat="1" applyFont="1" applyBorder="1" applyAlignment="1">
      <alignment vertical="center"/>
    </xf>
    <xf numFmtId="189" fontId="27" fillId="0" borderId="6" xfId="0" applyNumberFormat="1" applyFont="1" applyBorder="1" applyAlignment="1">
      <alignment vertical="center"/>
    </xf>
    <xf numFmtId="49" fontId="28" fillId="0" borderId="0" xfId="0" applyNumberFormat="1" applyFont="1" applyAlignment="1">
      <alignment vertical="center"/>
    </xf>
    <xf numFmtId="187" fontId="26" fillId="0" borderId="4" xfId="0" applyNumberFormat="1" applyFont="1" applyBorder="1" applyAlignment="1">
      <alignment horizontal="center" vertical="center"/>
    </xf>
    <xf numFmtId="187" fontId="27" fillId="0" borderId="4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190" fontId="27" fillId="0" borderId="4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left" vertical="center"/>
    </xf>
    <xf numFmtId="3" fontId="27" fillId="0" borderId="4" xfId="0" applyNumberFormat="1" applyFont="1" applyBorder="1" applyAlignment="1">
      <alignment horizontal="center" vertical="center"/>
    </xf>
    <xf numFmtId="189" fontId="27" fillId="0" borderId="4" xfId="0" applyNumberFormat="1" applyFont="1" applyBorder="1" applyAlignment="1">
      <alignment horizontal="center" vertical="center"/>
    </xf>
    <xf numFmtId="3" fontId="27" fillId="0" borderId="4" xfId="0" applyNumberFormat="1" applyFont="1" applyBorder="1" applyAlignment="1">
      <alignment vertical="center"/>
    </xf>
    <xf numFmtId="3" fontId="29" fillId="0" borderId="4" xfId="0" applyNumberFormat="1" applyFont="1" applyBorder="1" applyAlignment="1">
      <alignment vertical="center"/>
    </xf>
    <xf numFmtId="191" fontId="28" fillId="0" borderId="4" xfId="0" applyNumberFormat="1" applyFont="1" applyBorder="1" applyAlignment="1">
      <alignment vertical="center"/>
    </xf>
    <xf numFmtId="3" fontId="28" fillId="0" borderId="4" xfId="0" applyNumberFormat="1" applyFont="1" applyBorder="1" applyAlignment="1">
      <alignment vertical="center"/>
    </xf>
    <xf numFmtId="187" fontId="27" fillId="18" borderId="4" xfId="0" applyNumberFormat="1" applyFont="1" applyFill="1" applyBorder="1" applyAlignment="1">
      <alignment horizontal="center" vertical="center"/>
    </xf>
    <xf numFmtId="0" fontId="27" fillId="18" borderId="4" xfId="0" applyFont="1" applyFill="1" applyBorder="1" applyAlignment="1">
      <alignment horizontal="center" vertical="center"/>
    </xf>
    <xf numFmtId="190" fontId="27" fillId="18" borderId="4" xfId="0" applyNumberFormat="1" applyFont="1" applyFill="1" applyBorder="1" applyAlignment="1">
      <alignment horizontal="center" vertical="center"/>
    </xf>
    <xf numFmtId="0" fontId="27" fillId="18" borderId="4" xfId="0" applyFont="1" applyFill="1" applyBorder="1" applyAlignment="1">
      <alignment vertical="center"/>
    </xf>
    <xf numFmtId="0" fontId="27" fillId="18" borderId="4" xfId="0" applyFont="1" applyFill="1" applyBorder="1" applyAlignment="1">
      <alignment horizontal="left" vertical="center"/>
    </xf>
    <xf numFmtId="3" fontId="27" fillId="18" borderId="4" xfId="0" applyNumberFormat="1" applyFont="1" applyFill="1" applyBorder="1" applyAlignment="1">
      <alignment horizontal="center" vertical="center"/>
    </xf>
    <xf numFmtId="189" fontId="27" fillId="18" borderId="4" xfId="0" applyNumberFormat="1" applyFont="1" applyFill="1" applyBorder="1" applyAlignment="1">
      <alignment horizontal="center" vertical="center"/>
    </xf>
    <xf numFmtId="3" fontId="27" fillId="18" borderId="4" xfId="0" applyNumberFormat="1" applyFont="1" applyFill="1" applyBorder="1" applyAlignment="1">
      <alignment vertical="center"/>
    </xf>
    <xf numFmtId="3" fontId="29" fillId="18" borderId="4" xfId="0" applyNumberFormat="1" applyFont="1" applyFill="1" applyBorder="1" applyAlignment="1">
      <alignment vertical="center"/>
    </xf>
    <xf numFmtId="191" fontId="28" fillId="18" borderId="4" xfId="0" applyNumberFormat="1" applyFont="1" applyFill="1" applyBorder="1" applyAlignment="1">
      <alignment vertical="center"/>
    </xf>
    <xf numFmtId="3" fontId="28" fillId="18" borderId="4" xfId="0" applyNumberFormat="1" applyFont="1" applyFill="1" applyBorder="1" applyAlignment="1">
      <alignment vertical="center"/>
    </xf>
    <xf numFmtId="187" fontId="27" fillId="19" borderId="4" xfId="0" applyNumberFormat="1" applyFont="1" applyFill="1" applyBorder="1" applyAlignment="1">
      <alignment horizontal="center" vertical="center"/>
    </xf>
    <xf numFmtId="0" fontId="27" fillId="19" borderId="4" xfId="0" applyFont="1" applyFill="1" applyBorder="1" applyAlignment="1">
      <alignment horizontal="center" vertical="center"/>
    </xf>
    <xf numFmtId="190" fontId="27" fillId="19" borderId="4" xfId="0" applyNumberFormat="1" applyFont="1" applyFill="1" applyBorder="1" applyAlignment="1">
      <alignment horizontal="center" vertical="center"/>
    </xf>
    <xf numFmtId="0" fontId="27" fillId="19" borderId="4" xfId="0" applyFont="1" applyFill="1" applyBorder="1" applyAlignment="1">
      <alignment vertical="center"/>
    </xf>
    <xf numFmtId="0" fontId="27" fillId="19" borderId="4" xfId="0" applyFont="1" applyFill="1" applyBorder="1" applyAlignment="1">
      <alignment horizontal="left" vertical="center"/>
    </xf>
    <xf numFmtId="3" fontId="27" fillId="19" borderId="4" xfId="0" applyNumberFormat="1" applyFont="1" applyFill="1" applyBorder="1" applyAlignment="1">
      <alignment horizontal="center" vertical="center"/>
    </xf>
    <xf numFmtId="189" fontId="27" fillId="19" borderId="4" xfId="0" applyNumberFormat="1" applyFont="1" applyFill="1" applyBorder="1" applyAlignment="1">
      <alignment horizontal="center" vertical="center"/>
    </xf>
    <xf numFmtId="3" fontId="27" fillId="19" borderId="4" xfId="0" applyNumberFormat="1" applyFont="1" applyFill="1" applyBorder="1" applyAlignment="1">
      <alignment vertical="center"/>
    </xf>
    <xf numFmtId="3" fontId="29" fillId="19" borderId="4" xfId="0" applyNumberFormat="1" applyFont="1" applyFill="1" applyBorder="1" applyAlignment="1">
      <alignment vertical="center"/>
    </xf>
    <xf numFmtId="191" fontId="28" fillId="19" borderId="4" xfId="0" applyNumberFormat="1" applyFont="1" applyFill="1" applyBorder="1" applyAlignment="1">
      <alignment vertical="center"/>
    </xf>
    <xf numFmtId="3" fontId="28" fillId="19" borderId="4" xfId="0" applyNumberFormat="1" applyFont="1" applyFill="1" applyBorder="1" applyAlignment="1">
      <alignment vertical="center"/>
    </xf>
    <xf numFmtId="187" fontId="26" fillId="32" borderId="4" xfId="0" applyNumberFormat="1" applyFont="1" applyFill="1" applyBorder="1" applyAlignment="1">
      <alignment horizontal="center" vertical="center"/>
    </xf>
    <xf numFmtId="187" fontId="27" fillId="32" borderId="4" xfId="0" applyNumberFormat="1" applyFont="1" applyFill="1" applyBorder="1" applyAlignment="1">
      <alignment horizontal="center" vertical="center"/>
    </xf>
    <xf numFmtId="190" fontId="27" fillId="32" borderId="4" xfId="0" applyNumberFormat="1" applyFont="1" applyFill="1" applyBorder="1" applyAlignment="1">
      <alignment horizontal="center" vertical="center"/>
    </xf>
    <xf numFmtId="0" fontId="27" fillId="32" borderId="4" xfId="0" applyFont="1" applyFill="1" applyBorder="1" applyAlignment="1">
      <alignment horizontal="center" vertical="center"/>
    </xf>
    <xf numFmtId="0" fontId="27" fillId="32" borderId="4" xfId="0" applyFont="1" applyFill="1" applyBorder="1" applyAlignment="1">
      <alignment vertical="center"/>
    </xf>
    <xf numFmtId="0" fontId="27" fillId="32" borderId="4" xfId="0" applyFont="1" applyFill="1" applyBorder="1" applyAlignment="1">
      <alignment horizontal="left" vertical="center"/>
    </xf>
    <xf numFmtId="3" fontId="27" fillId="32" borderId="4" xfId="0" applyNumberFormat="1" applyFont="1" applyFill="1" applyBorder="1" applyAlignment="1">
      <alignment horizontal="center" vertical="center"/>
    </xf>
    <xf numFmtId="189" fontId="27" fillId="32" borderId="4" xfId="0" applyNumberFormat="1" applyFont="1" applyFill="1" applyBorder="1" applyAlignment="1">
      <alignment horizontal="center" vertical="center"/>
    </xf>
    <xf numFmtId="3" fontId="27" fillId="32" borderId="4" xfId="0" applyNumberFormat="1" applyFont="1" applyFill="1" applyBorder="1" applyAlignment="1">
      <alignment vertical="center"/>
    </xf>
    <xf numFmtId="3" fontId="29" fillId="32" borderId="4" xfId="0" applyNumberFormat="1" applyFont="1" applyFill="1" applyBorder="1" applyAlignment="1">
      <alignment vertical="center"/>
    </xf>
    <xf numFmtId="191" fontId="28" fillId="32" borderId="4" xfId="0" applyNumberFormat="1" applyFont="1" applyFill="1" applyBorder="1" applyAlignment="1">
      <alignment vertical="center"/>
    </xf>
    <xf numFmtId="3" fontId="28" fillId="32" borderId="4" xfId="0" applyNumberFormat="1" applyFont="1" applyFill="1" applyBorder="1" applyAlignment="1">
      <alignment vertical="center"/>
    </xf>
    <xf numFmtId="187" fontId="26" fillId="15" borderId="4" xfId="0" applyNumberFormat="1" applyFont="1" applyFill="1" applyBorder="1" applyAlignment="1">
      <alignment horizontal="center" vertical="center"/>
    </xf>
    <xf numFmtId="187" fontId="27" fillId="15" borderId="4" xfId="0" applyNumberFormat="1" applyFont="1" applyFill="1" applyBorder="1" applyAlignment="1">
      <alignment horizontal="center" vertical="center"/>
    </xf>
    <xf numFmtId="0" fontId="27" fillId="15" borderId="4" xfId="0" applyFont="1" applyFill="1" applyBorder="1" applyAlignment="1">
      <alignment horizontal="center" vertical="center"/>
    </xf>
    <xf numFmtId="190" fontId="27" fillId="15" borderId="4" xfId="0" applyNumberFormat="1" applyFont="1" applyFill="1" applyBorder="1" applyAlignment="1">
      <alignment horizontal="center" vertical="center"/>
    </xf>
    <xf numFmtId="0" fontId="26" fillId="15" borderId="4" xfId="0" applyFont="1" applyFill="1" applyBorder="1" applyAlignment="1">
      <alignment horizontal="center" vertical="center"/>
    </xf>
    <xf numFmtId="0" fontId="27" fillId="15" borderId="4" xfId="0" applyFont="1" applyFill="1" applyBorder="1" applyAlignment="1">
      <alignment vertical="center"/>
    </xf>
    <xf numFmtId="0" fontId="27" fillId="15" borderId="4" xfId="0" applyFont="1" applyFill="1" applyBorder="1" applyAlignment="1">
      <alignment horizontal="left" vertical="center"/>
    </xf>
    <xf numFmtId="3" fontId="27" fillId="15" borderId="4" xfId="0" applyNumberFormat="1" applyFont="1" applyFill="1" applyBorder="1" applyAlignment="1">
      <alignment horizontal="center" vertical="center"/>
    </xf>
    <xf numFmtId="189" fontId="27" fillId="15" borderId="4" xfId="0" applyNumberFormat="1" applyFont="1" applyFill="1" applyBorder="1" applyAlignment="1">
      <alignment horizontal="center" vertical="center"/>
    </xf>
    <xf numFmtId="3" fontId="27" fillId="15" borderId="4" xfId="0" applyNumberFormat="1" applyFont="1" applyFill="1" applyBorder="1" applyAlignment="1">
      <alignment vertical="center"/>
    </xf>
    <xf numFmtId="3" fontId="29" fillId="15" borderId="4" xfId="0" applyNumberFormat="1" applyFont="1" applyFill="1" applyBorder="1" applyAlignment="1">
      <alignment vertical="center"/>
    </xf>
    <xf numFmtId="191" fontId="28" fillId="15" borderId="4" xfId="0" applyNumberFormat="1" applyFont="1" applyFill="1" applyBorder="1" applyAlignment="1">
      <alignment vertical="center"/>
    </xf>
    <xf numFmtId="3" fontId="28" fillId="15" borderId="4" xfId="0" applyNumberFormat="1" applyFont="1" applyFill="1" applyBorder="1" applyAlignment="1">
      <alignment vertical="center"/>
    </xf>
    <xf numFmtId="187" fontId="26" fillId="12" borderId="4" xfId="0" applyNumberFormat="1" applyFont="1" applyFill="1" applyBorder="1" applyAlignment="1">
      <alignment horizontal="center" vertical="center"/>
    </xf>
    <xf numFmtId="187" fontId="27" fillId="12" borderId="4" xfId="0" applyNumberFormat="1" applyFont="1" applyFill="1" applyBorder="1" applyAlignment="1">
      <alignment horizontal="center" vertical="center"/>
    </xf>
    <xf numFmtId="190" fontId="27" fillId="12" borderId="4" xfId="0" applyNumberFormat="1" applyFont="1" applyFill="1" applyBorder="1" applyAlignment="1">
      <alignment horizontal="center" vertical="center"/>
    </xf>
    <xf numFmtId="0" fontId="27" fillId="12" borderId="4" xfId="0" applyFont="1" applyFill="1" applyBorder="1" applyAlignment="1">
      <alignment horizontal="center" vertical="center"/>
    </xf>
    <xf numFmtId="0" fontId="27" fillId="12" borderId="4" xfId="0" applyFont="1" applyFill="1" applyBorder="1" applyAlignment="1">
      <alignment vertical="center"/>
    </xf>
    <xf numFmtId="0" fontId="27" fillId="12" borderId="4" xfId="0" applyFont="1" applyFill="1" applyBorder="1" applyAlignment="1">
      <alignment horizontal="left" vertical="center"/>
    </xf>
    <xf numFmtId="3" fontId="27" fillId="12" borderId="4" xfId="0" applyNumberFormat="1" applyFont="1" applyFill="1" applyBorder="1" applyAlignment="1">
      <alignment horizontal="center" vertical="center"/>
    </xf>
    <xf numFmtId="189" fontId="27" fillId="12" borderId="4" xfId="0" applyNumberFormat="1" applyFont="1" applyFill="1" applyBorder="1" applyAlignment="1">
      <alignment horizontal="center" vertical="center"/>
    </xf>
    <xf numFmtId="3" fontId="27" fillId="12" borderId="4" xfId="0" applyNumberFormat="1" applyFont="1" applyFill="1" applyBorder="1" applyAlignment="1">
      <alignment vertical="center"/>
    </xf>
    <xf numFmtId="3" fontId="29" fillId="12" borderId="4" xfId="0" applyNumberFormat="1" applyFont="1" applyFill="1" applyBorder="1" applyAlignment="1">
      <alignment vertical="center"/>
    </xf>
    <xf numFmtId="191" fontId="28" fillId="12" borderId="4" xfId="0" applyNumberFormat="1" applyFont="1" applyFill="1" applyBorder="1" applyAlignment="1">
      <alignment vertical="center"/>
    </xf>
    <xf numFmtId="3" fontId="28" fillId="12" borderId="4" xfId="0" applyNumberFormat="1" applyFont="1" applyFill="1" applyBorder="1" applyAlignment="1">
      <alignment vertical="center"/>
    </xf>
    <xf numFmtId="187" fontId="26" fillId="16" borderId="4" xfId="0" applyNumberFormat="1" applyFont="1" applyFill="1" applyBorder="1" applyAlignment="1">
      <alignment horizontal="center" vertical="center"/>
    </xf>
    <xf numFmtId="187" fontId="27" fillId="16" borderId="4" xfId="0" applyNumberFormat="1" applyFont="1" applyFill="1" applyBorder="1" applyAlignment="1">
      <alignment horizontal="center" vertical="center"/>
    </xf>
    <xf numFmtId="190" fontId="27" fillId="16" borderId="4" xfId="0" applyNumberFormat="1" applyFont="1" applyFill="1" applyBorder="1" applyAlignment="1">
      <alignment horizontal="center" vertical="center"/>
    </xf>
    <xf numFmtId="0" fontId="27" fillId="16" borderId="4" xfId="0" applyFont="1" applyFill="1" applyBorder="1" applyAlignment="1">
      <alignment horizontal="center" vertical="center"/>
    </xf>
    <xf numFmtId="0" fontId="27" fillId="16" borderId="4" xfId="0" applyFont="1" applyFill="1" applyBorder="1" applyAlignment="1">
      <alignment vertical="center"/>
    </xf>
    <xf numFmtId="0" fontId="27" fillId="16" borderId="4" xfId="0" applyFont="1" applyFill="1" applyBorder="1" applyAlignment="1">
      <alignment horizontal="left" vertical="center"/>
    </xf>
    <xf numFmtId="3" fontId="27" fillId="16" borderId="4" xfId="0" applyNumberFormat="1" applyFont="1" applyFill="1" applyBorder="1" applyAlignment="1">
      <alignment horizontal="center" vertical="center"/>
    </xf>
    <xf numFmtId="189" fontId="27" fillId="16" borderId="4" xfId="0" applyNumberFormat="1" applyFont="1" applyFill="1" applyBorder="1" applyAlignment="1">
      <alignment horizontal="center" vertical="center"/>
    </xf>
    <xf numFmtId="3" fontId="27" fillId="16" borderId="4" xfId="0" applyNumberFormat="1" applyFont="1" applyFill="1" applyBorder="1" applyAlignment="1">
      <alignment vertical="center"/>
    </xf>
    <xf numFmtId="3" fontId="29" fillId="16" borderId="4" xfId="0" applyNumberFormat="1" applyFont="1" applyFill="1" applyBorder="1" applyAlignment="1">
      <alignment vertical="center"/>
    </xf>
    <xf numFmtId="191" fontId="28" fillId="16" borderId="4" xfId="0" applyNumberFormat="1" applyFont="1" applyFill="1" applyBorder="1" applyAlignment="1">
      <alignment vertical="center"/>
    </xf>
    <xf numFmtId="3" fontId="28" fillId="16" borderId="4" xfId="0" applyNumberFormat="1" applyFont="1" applyFill="1" applyBorder="1" applyAlignment="1">
      <alignment vertical="center"/>
    </xf>
    <xf numFmtId="187" fontId="26" fillId="22" borderId="4" xfId="0" applyNumberFormat="1" applyFont="1" applyFill="1" applyBorder="1" applyAlignment="1">
      <alignment horizontal="center" vertical="center"/>
    </xf>
    <xf numFmtId="187" fontId="27" fillId="22" borderId="4" xfId="0" applyNumberFormat="1" applyFont="1" applyFill="1" applyBorder="1" applyAlignment="1">
      <alignment horizontal="center" vertical="center"/>
    </xf>
    <xf numFmtId="190" fontId="27" fillId="22" borderId="4" xfId="0" applyNumberFormat="1" applyFont="1" applyFill="1" applyBorder="1" applyAlignment="1">
      <alignment horizontal="center" vertical="center"/>
    </xf>
    <xf numFmtId="0" fontId="27" fillId="22" borderId="4" xfId="0" applyFont="1" applyFill="1" applyBorder="1" applyAlignment="1">
      <alignment horizontal="center" vertical="center"/>
    </xf>
    <xf numFmtId="0" fontId="27" fillId="22" borderId="4" xfId="0" applyFont="1" applyFill="1" applyBorder="1" applyAlignment="1">
      <alignment vertical="center"/>
    </xf>
    <xf numFmtId="0" fontId="27" fillId="22" borderId="4" xfId="0" applyFont="1" applyFill="1" applyBorder="1" applyAlignment="1">
      <alignment horizontal="left" vertical="center"/>
    </xf>
    <xf numFmtId="3" fontId="27" fillId="22" borderId="4" xfId="0" applyNumberFormat="1" applyFont="1" applyFill="1" applyBorder="1" applyAlignment="1">
      <alignment horizontal="center" vertical="center"/>
    </xf>
    <xf numFmtId="189" fontId="27" fillId="22" borderId="4" xfId="0" applyNumberFormat="1" applyFont="1" applyFill="1" applyBorder="1" applyAlignment="1">
      <alignment horizontal="center" vertical="center"/>
    </xf>
    <xf numFmtId="3" fontId="27" fillId="22" borderId="4" xfId="0" applyNumberFormat="1" applyFont="1" applyFill="1" applyBorder="1" applyAlignment="1">
      <alignment vertical="center"/>
    </xf>
    <xf numFmtId="3" fontId="29" fillId="22" borderId="4" xfId="0" applyNumberFormat="1" applyFont="1" applyFill="1" applyBorder="1" applyAlignment="1">
      <alignment vertical="center"/>
    </xf>
    <xf numFmtId="191" fontId="28" fillId="22" borderId="4" xfId="0" applyNumberFormat="1" applyFont="1" applyFill="1" applyBorder="1" applyAlignment="1">
      <alignment vertical="center"/>
    </xf>
    <xf numFmtId="3" fontId="28" fillId="22" borderId="4" xfId="0" applyNumberFormat="1" applyFont="1" applyFill="1" applyBorder="1" applyAlignment="1">
      <alignment vertical="center"/>
    </xf>
    <xf numFmtId="0" fontId="28" fillId="27" borderId="4" xfId="0" applyFont="1" applyFill="1" applyBorder="1" applyAlignment="1">
      <alignment vertical="center"/>
    </xf>
    <xf numFmtId="187" fontId="26" fillId="13" borderId="4" xfId="0" applyNumberFormat="1" applyFont="1" applyFill="1" applyBorder="1" applyAlignment="1">
      <alignment horizontal="center" vertical="center"/>
    </xf>
    <xf numFmtId="187" fontId="27" fillId="13" borderId="4" xfId="0" applyNumberFormat="1" applyFont="1" applyFill="1" applyBorder="1" applyAlignment="1">
      <alignment horizontal="center" vertical="center"/>
    </xf>
    <xf numFmtId="190" fontId="27" fillId="13" borderId="4" xfId="0" applyNumberFormat="1" applyFont="1" applyFill="1" applyBorder="1" applyAlignment="1">
      <alignment horizontal="center" vertical="center"/>
    </xf>
    <xf numFmtId="0" fontId="27" fillId="13" borderId="4" xfId="0" applyFont="1" applyFill="1" applyBorder="1" applyAlignment="1">
      <alignment horizontal="center" vertical="center"/>
    </xf>
    <xf numFmtId="0" fontId="27" fillId="13" borderId="4" xfId="0" applyFont="1" applyFill="1" applyBorder="1" applyAlignment="1">
      <alignment vertical="center"/>
    </xf>
    <xf numFmtId="0" fontId="27" fillId="13" borderId="4" xfId="0" applyFont="1" applyFill="1" applyBorder="1" applyAlignment="1">
      <alignment horizontal="left" vertical="center"/>
    </xf>
    <xf numFmtId="3" fontId="27" fillId="13" borderId="4" xfId="0" applyNumberFormat="1" applyFont="1" applyFill="1" applyBorder="1" applyAlignment="1">
      <alignment horizontal="center" vertical="center"/>
    </xf>
    <xf numFmtId="189" fontId="27" fillId="13" borderId="4" xfId="0" applyNumberFormat="1" applyFont="1" applyFill="1" applyBorder="1" applyAlignment="1">
      <alignment horizontal="center" vertical="center"/>
    </xf>
    <xf numFmtId="3" fontId="27" fillId="13" borderId="4" xfId="0" applyNumberFormat="1" applyFont="1" applyFill="1" applyBorder="1" applyAlignment="1">
      <alignment vertical="center"/>
    </xf>
    <xf numFmtId="3" fontId="29" fillId="13" borderId="4" xfId="0" applyNumberFormat="1" applyFont="1" applyFill="1" applyBorder="1" applyAlignment="1">
      <alignment vertical="center"/>
    </xf>
    <xf numFmtId="191" fontId="28" fillId="13" borderId="4" xfId="0" applyNumberFormat="1" applyFont="1" applyFill="1" applyBorder="1" applyAlignment="1">
      <alignment vertical="center"/>
    </xf>
    <xf numFmtId="3" fontId="28" fillId="13" borderId="4" xfId="0" applyNumberFormat="1" applyFont="1" applyFill="1" applyBorder="1" applyAlignment="1">
      <alignment vertical="center"/>
    </xf>
    <xf numFmtId="187" fontId="26" fillId="8" borderId="4" xfId="0" applyNumberFormat="1" applyFont="1" applyFill="1" applyBorder="1" applyAlignment="1">
      <alignment horizontal="center" vertical="center"/>
    </xf>
    <xf numFmtId="187" fontId="27" fillId="8" borderId="4" xfId="0" applyNumberFormat="1" applyFont="1" applyFill="1" applyBorder="1" applyAlignment="1">
      <alignment horizontal="center" vertical="center"/>
    </xf>
    <xf numFmtId="190" fontId="27" fillId="8" borderId="4" xfId="0" applyNumberFormat="1" applyFont="1" applyFill="1" applyBorder="1" applyAlignment="1">
      <alignment horizontal="center" vertical="center"/>
    </xf>
    <xf numFmtId="0" fontId="27" fillId="8" borderId="4" xfId="0" applyFont="1" applyFill="1" applyBorder="1" applyAlignment="1">
      <alignment horizontal="center" vertical="center"/>
    </xf>
    <xf numFmtId="0" fontId="27" fillId="8" borderId="4" xfId="0" applyFont="1" applyFill="1" applyBorder="1" applyAlignment="1">
      <alignment vertical="center"/>
    </xf>
    <xf numFmtId="0" fontId="27" fillId="8" borderId="4" xfId="0" applyFont="1" applyFill="1" applyBorder="1" applyAlignment="1">
      <alignment horizontal="left" vertical="center"/>
    </xf>
    <xf numFmtId="3" fontId="27" fillId="8" borderId="4" xfId="0" applyNumberFormat="1" applyFont="1" applyFill="1" applyBorder="1" applyAlignment="1">
      <alignment horizontal="center" vertical="center"/>
    </xf>
    <xf numFmtId="189" fontId="27" fillId="8" borderId="4" xfId="0" applyNumberFormat="1" applyFont="1" applyFill="1" applyBorder="1" applyAlignment="1">
      <alignment horizontal="center" vertical="center"/>
    </xf>
    <xf numFmtId="3" fontId="27" fillId="8" borderId="4" xfId="0" applyNumberFormat="1" applyFont="1" applyFill="1" applyBorder="1" applyAlignment="1">
      <alignment vertical="center"/>
    </xf>
    <xf numFmtId="3" fontId="29" fillId="8" borderId="4" xfId="0" applyNumberFormat="1" applyFont="1" applyFill="1" applyBorder="1" applyAlignment="1">
      <alignment vertical="center"/>
    </xf>
    <xf numFmtId="191" fontId="28" fillId="8" borderId="4" xfId="0" applyNumberFormat="1" applyFont="1" applyFill="1" applyBorder="1" applyAlignment="1">
      <alignment vertical="center"/>
    </xf>
    <xf numFmtId="3" fontId="28" fillId="8" borderId="4" xfId="0" applyNumberFormat="1" applyFont="1" applyFill="1" applyBorder="1" applyAlignment="1">
      <alignment vertical="center"/>
    </xf>
    <xf numFmtId="187" fontId="26" fillId="10" borderId="4" xfId="0" applyNumberFormat="1" applyFont="1" applyFill="1" applyBorder="1" applyAlignment="1">
      <alignment horizontal="center" vertical="center"/>
    </xf>
    <xf numFmtId="187" fontId="27" fillId="10" borderId="4" xfId="0" applyNumberFormat="1" applyFont="1" applyFill="1" applyBorder="1" applyAlignment="1">
      <alignment horizontal="center" vertical="center"/>
    </xf>
    <xf numFmtId="190" fontId="27" fillId="10" borderId="4" xfId="0" applyNumberFormat="1" applyFont="1" applyFill="1" applyBorder="1" applyAlignment="1">
      <alignment horizontal="center" vertical="center"/>
    </xf>
    <xf numFmtId="0" fontId="27" fillId="10" borderId="4" xfId="0" applyFont="1" applyFill="1" applyBorder="1" applyAlignment="1">
      <alignment horizontal="center" vertical="center"/>
    </xf>
    <xf numFmtId="0" fontId="27" fillId="10" borderId="4" xfId="0" applyFont="1" applyFill="1" applyBorder="1" applyAlignment="1">
      <alignment vertical="center"/>
    </xf>
    <xf numFmtId="0" fontId="27" fillId="10" borderId="4" xfId="0" applyFont="1" applyFill="1" applyBorder="1" applyAlignment="1">
      <alignment horizontal="left" vertical="center"/>
    </xf>
    <xf numFmtId="3" fontId="27" fillId="10" borderId="4" xfId="0" applyNumberFormat="1" applyFont="1" applyFill="1" applyBorder="1" applyAlignment="1">
      <alignment horizontal="center" vertical="center"/>
    </xf>
    <xf numFmtId="189" fontId="27" fillId="10" borderId="4" xfId="0" applyNumberFormat="1" applyFont="1" applyFill="1" applyBorder="1" applyAlignment="1">
      <alignment horizontal="center" vertical="center"/>
    </xf>
    <xf numFmtId="0" fontId="34" fillId="10" borderId="4" xfId="0" applyFont="1" applyFill="1" applyBorder="1" applyAlignment="1">
      <alignment horizontal="center" vertical="center"/>
    </xf>
    <xf numFmtId="3" fontId="27" fillId="10" borderId="4" xfId="0" applyNumberFormat="1" applyFont="1" applyFill="1" applyBorder="1" applyAlignment="1">
      <alignment vertical="center"/>
    </xf>
    <xf numFmtId="3" fontId="29" fillId="10" borderId="4" xfId="0" applyNumberFormat="1" applyFont="1" applyFill="1" applyBorder="1" applyAlignment="1">
      <alignment vertical="center"/>
    </xf>
    <xf numFmtId="191" fontId="28" fillId="10" borderId="4" xfId="0" applyNumberFormat="1" applyFont="1" applyFill="1" applyBorder="1" applyAlignment="1">
      <alignment vertical="center"/>
    </xf>
    <xf numFmtId="3" fontId="28" fillId="10" borderId="4" xfId="0" applyNumberFormat="1" applyFont="1" applyFill="1" applyBorder="1" applyAlignment="1">
      <alignment vertical="center"/>
    </xf>
    <xf numFmtId="187" fontId="26" fillId="21" borderId="4" xfId="0" applyNumberFormat="1" applyFont="1" applyFill="1" applyBorder="1" applyAlignment="1">
      <alignment horizontal="center" vertical="center"/>
    </xf>
    <xf numFmtId="187" fontId="27" fillId="21" borderId="4" xfId="0" applyNumberFormat="1" applyFont="1" applyFill="1" applyBorder="1" applyAlignment="1">
      <alignment horizontal="center" vertical="center"/>
    </xf>
    <xf numFmtId="0" fontId="27" fillId="21" borderId="4" xfId="0" applyFont="1" applyFill="1" applyBorder="1" applyAlignment="1">
      <alignment horizontal="center" vertical="center"/>
    </xf>
    <xf numFmtId="190" fontId="27" fillId="21" borderId="4" xfId="0" applyNumberFormat="1" applyFont="1" applyFill="1" applyBorder="1" applyAlignment="1">
      <alignment horizontal="center" vertical="center"/>
    </xf>
    <xf numFmtId="0" fontId="27" fillId="21" borderId="4" xfId="0" applyFont="1" applyFill="1" applyBorder="1" applyAlignment="1">
      <alignment vertical="center"/>
    </xf>
    <xf numFmtId="0" fontId="27" fillId="21" borderId="4" xfId="0" applyFont="1" applyFill="1" applyBorder="1" applyAlignment="1">
      <alignment horizontal="left" vertical="center"/>
    </xf>
    <xf numFmtId="3" fontId="27" fillId="21" borderId="4" xfId="0" applyNumberFormat="1" applyFont="1" applyFill="1" applyBorder="1" applyAlignment="1">
      <alignment horizontal="center" vertical="center"/>
    </xf>
    <xf numFmtId="189" fontId="27" fillId="21" borderId="4" xfId="0" applyNumberFormat="1" applyFont="1" applyFill="1" applyBorder="1" applyAlignment="1">
      <alignment horizontal="center" vertical="center"/>
    </xf>
    <xf numFmtId="3" fontId="27" fillId="21" borderId="4" xfId="0" applyNumberFormat="1" applyFont="1" applyFill="1" applyBorder="1" applyAlignment="1">
      <alignment vertical="center"/>
    </xf>
    <xf numFmtId="3" fontId="29" fillId="21" borderId="4" xfId="0" applyNumberFormat="1" applyFont="1" applyFill="1" applyBorder="1" applyAlignment="1">
      <alignment vertical="center"/>
    </xf>
    <xf numFmtId="191" fontId="28" fillId="21" borderId="4" xfId="0" applyNumberFormat="1" applyFont="1" applyFill="1" applyBorder="1" applyAlignment="1">
      <alignment vertical="center"/>
    </xf>
    <xf numFmtId="3" fontId="28" fillId="21" borderId="4" xfId="0" applyNumberFormat="1" applyFont="1" applyFill="1" applyBorder="1" applyAlignment="1">
      <alignment vertical="center"/>
    </xf>
    <xf numFmtId="187" fontId="26" fillId="24" borderId="4" xfId="0" applyNumberFormat="1" applyFont="1" applyFill="1" applyBorder="1" applyAlignment="1">
      <alignment horizontal="center" vertical="center"/>
    </xf>
    <xf numFmtId="187" fontId="27" fillId="24" borderId="4" xfId="0" applyNumberFormat="1" applyFont="1" applyFill="1" applyBorder="1" applyAlignment="1">
      <alignment horizontal="center" vertical="center"/>
    </xf>
    <xf numFmtId="0" fontId="27" fillId="24" borderId="4" xfId="0" applyFont="1" applyFill="1" applyBorder="1" applyAlignment="1">
      <alignment horizontal="center" vertical="center"/>
    </xf>
    <xf numFmtId="190" fontId="27" fillId="24" borderId="4" xfId="0" applyNumberFormat="1" applyFont="1" applyFill="1" applyBorder="1" applyAlignment="1">
      <alignment horizontal="center" vertical="center"/>
    </xf>
    <xf numFmtId="0" fontId="27" fillId="24" borderId="4" xfId="0" applyFont="1" applyFill="1" applyBorder="1" applyAlignment="1">
      <alignment vertical="center"/>
    </xf>
    <xf numFmtId="0" fontId="27" fillId="24" borderId="4" xfId="0" applyFont="1" applyFill="1" applyBorder="1" applyAlignment="1">
      <alignment horizontal="left" vertical="center"/>
    </xf>
    <xf numFmtId="3" fontId="27" fillId="24" borderId="4" xfId="0" applyNumberFormat="1" applyFont="1" applyFill="1" applyBorder="1" applyAlignment="1">
      <alignment horizontal="center" vertical="center"/>
    </xf>
    <xf numFmtId="189" fontId="27" fillId="24" borderId="4" xfId="0" applyNumberFormat="1" applyFont="1" applyFill="1" applyBorder="1" applyAlignment="1">
      <alignment horizontal="center" vertical="center"/>
    </xf>
    <xf numFmtId="3" fontId="27" fillId="24" borderId="4" xfId="0" applyNumberFormat="1" applyFont="1" applyFill="1" applyBorder="1" applyAlignment="1">
      <alignment vertical="center"/>
    </xf>
    <xf numFmtId="3" fontId="29" fillId="24" borderId="4" xfId="0" applyNumberFormat="1" applyFont="1" applyFill="1" applyBorder="1" applyAlignment="1">
      <alignment vertical="center"/>
    </xf>
    <xf numFmtId="191" fontId="28" fillId="24" borderId="4" xfId="0" applyNumberFormat="1" applyFont="1" applyFill="1" applyBorder="1" applyAlignment="1">
      <alignment vertical="center"/>
    </xf>
    <xf numFmtId="3" fontId="28" fillId="24" borderId="4" xfId="0" applyNumberFormat="1" applyFont="1" applyFill="1" applyBorder="1" applyAlignment="1">
      <alignment vertical="center"/>
    </xf>
    <xf numFmtId="187" fontId="26" fillId="11" borderId="4" xfId="0" applyNumberFormat="1" applyFont="1" applyFill="1" applyBorder="1" applyAlignment="1">
      <alignment horizontal="center" vertical="center"/>
    </xf>
    <xf numFmtId="187" fontId="27" fillId="11" borderId="4" xfId="0" applyNumberFormat="1" applyFont="1" applyFill="1" applyBorder="1" applyAlignment="1">
      <alignment horizontal="center" vertical="center"/>
    </xf>
    <xf numFmtId="0" fontId="27" fillId="11" borderId="4" xfId="0" applyFont="1" applyFill="1" applyBorder="1" applyAlignment="1">
      <alignment horizontal="center" vertical="center"/>
    </xf>
    <xf numFmtId="190" fontId="27" fillId="11" borderId="4" xfId="0" applyNumberFormat="1" applyFont="1" applyFill="1" applyBorder="1" applyAlignment="1">
      <alignment horizontal="center" vertical="center"/>
    </xf>
    <xf numFmtId="0" fontId="27" fillId="11" borderId="4" xfId="0" applyFont="1" applyFill="1" applyBorder="1" applyAlignment="1">
      <alignment vertical="center"/>
    </xf>
    <xf numFmtId="0" fontId="27" fillId="11" borderId="4" xfId="0" applyFont="1" applyFill="1" applyBorder="1" applyAlignment="1">
      <alignment horizontal="left" vertical="center"/>
    </xf>
    <xf numFmtId="3" fontId="27" fillId="11" borderId="4" xfId="0" applyNumberFormat="1" applyFont="1" applyFill="1" applyBorder="1" applyAlignment="1">
      <alignment horizontal="center" vertical="center"/>
    </xf>
    <xf numFmtId="189" fontId="27" fillId="11" borderId="4" xfId="0" applyNumberFormat="1" applyFont="1" applyFill="1" applyBorder="1" applyAlignment="1">
      <alignment horizontal="center" vertical="center"/>
    </xf>
    <xf numFmtId="3" fontId="27" fillId="11" borderId="4" xfId="0" applyNumberFormat="1" applyFont="1" applyFill="1" applyBorder="1" applyAlignment="1">
      <alignment vertical="center"/>
    </xf>
    <xf numFmtId="3" fontId="29" fillId="11" borderId="4" xfId="0" applyNumberFormat="1" applyFont="1" applyFill="1" applyBorder="1" applyAlignment="1">
      <alignment vertical="center"/>
    </xf>
    <xf numFmtId="191" fontId="28" fillId="11" borderId="4" xfId="0" applyNumberFormat="1" applyFont="1" applyFill="1" applyBorder="1" applyAlignment="1">
      <alignment vertical="center"/>
    </xf>
    <xf numFmtId="3" fontId="28" fillId="11" borderId="4" xfId="0" applyNumberFormat="1" applyFont="1" applyFill="1" applyBorder="1" applyAlignment="1">
      <alignment vertical="center"/>
    </xf>
    <xf numFmtId="0" fontId="27" fillId="0" borderId="4" xfId="0" quotePrefix="1" applyFont="1" applyBorder="1" applyAlignment="1">
      <alignment vertical="center"/>
    </xf>
    <xf numFmtId="0" fontId="27" fillId="10" borderId="4" xfId="0" applyFont="1" applyFill="1" applyBorder="1" applyAlignment="1">
      <alignment vertical="center" wrapText="1"/>
    </xf>
    <xf numFmtId="187" fontId="26" fillId="18" borderId="4" xfId="0" applyNumberFormat="1" applyFont="1" applyFill="1" applyBorder="1" applyAlignment="1">
      <alignment horizontal="center" vertical="center"/>
    </xf>
    <xf numFmtId="0" fontId="26" fillId="18" borderId="4" xfId="0" applyFont="1" applyFill="1" applyBorder="1" applyAlignment="1">
      <alignment horizontal="center" vertical="center"/>
    </xf>
    <xf numFmtId="187" fontId="26" fillId="14" borderId="4" xfId="0" applyNumberFormat="1" applyFont="1" applyFill="1" applyBorder="1" applyAlignment="1">
      <alignment horizontal="center" vertical="center"/>
    </xf>
    <xf numFmtId="187" fontId="27" fillId="14" borderId="4" xfId="0" applyNumberFormat="1" applyFont="1" applyFill="1" applyBorder="1" applyAlignment="1">
      <alignment horizontal="center" vertical="center"/>
    </xf>
    <xf numFmtId="190" fontId="27" fillId="14" borderId="4" xfId="0" applyNumberFormat="1" applyFont="1" applyFill="1" applyBorder="1" applyAlignment="1">
      <alignment horizontal="center" vertical="center"/>
    </xf>
    <xf numFmtId="0" fontId="27" fillId="14" borderId="4" xfId="0" applyFont="1" applyFill="1" applyBorder="1" applyAlignment="1">
      <alignment horizontal="center" vertical="center"/>
    </xf>
    <xf numFmtId="0" fontId="27" fillId="14" borderId="4" xfId="0" applyFont="1" applyFill="1" applyBorder="1" applyAlignment="1">
      <alignment vertical="center"/>
    </xf>
    <xf numFmtId="0" fontId="27" fillId="14" borderId="4" xfId="0" applyFont="1" applyFill="1" applyBorder="1" applyAlignment="1">
      <alignment horizontal="left" vertical="center"/>
    </xf>
    <xf numFmtId="3" fontId="27" fillId="14" borderId="4" xfId="0" applyNumberFormat="1" applyFont="1" applyFill="1" applyBorder="1" applyAlignment="1">
      <alignment horizontal="center" vertical="center"/>
    </xf>
    <xf numFmtId="189" fontId="27" fillId="14" borderId="4" xfId="0" applyNumberFormat="1" applyFont="1" applyFill="1" applyBorder="1" applyAlignment="1">
      <alignment horizontal="center" vertical="center"/>
    </xf>
    <xf numFmtId="3" fontId="27" fillId="14" borderId="4" xfId="0" applyNumberFormat="1" applyFont="1" applyFill="1" applyBorder="1" applyAlignment="1">
      <alignment vertical="center"/>
    </xf>
    <xf numFmtId="3" fontId="29" fillId="14" borderId="4" xfId="0" applyNumberFormat="1" applyFont="1" applyFill="1" applyBorder="1" applyAlignment="1">
      <alignment vertical="center"/>
    </xf>
    <xf numFmtId="191" fontId="28" fillId="14" borderId="4" xfId="0" applyNumberFormat="1" applyFont="1" applyFill="1" applyBorder="1" applyAlignment="1">
      <alignment vertical="center"/>
    </xf>
    <xf numFmtId="3" fontId="28" fillId="14" borderId="4" xfId="0" applyNumberFormat="1" applyFont="1" applyFill="1" applyBorder="1" applyAlignment="1">
      <alignment vertical="center"/>
    </xf>
    <xf numFmtId="3" fontId="26" fillId="8" borderId="4" xfId="0" applyNumberFormat="1" applyFont="1" applyFill="1" applyBorder="1" applyAlignment="1">
      <alignment vertical="center"/>
    </xf>
    <xf numFmtId="187" fontId="26" fillId="31" borderId="4" xfId="0" applyNumberFormat="1" applyFont="1" applyFill="1" applyBorder="1" applyAlignment="1">
      <alignment horizontal="center" vertical="center"/>
    </xf>
    <xf numFmtId="187" fontId="27" fillId="31" borderId="4" xfId="0" applyNumberFormat="1" applyFont="1" applyFill="1" applyBorder="1" applyAlignment="1">
      <alignment horizontal="center" vertical="center"/>
    </xf>
    <xf numFmtId="190" fontId="27" fillId="31" borderId="4" xfId="0" applyNumberFormat="1" applyFont="1" applyFill="1" applyBorder="1" applyAlignment="1">
      <alignment horizontal="center" vertical="center"/>
    </xf>
    <xf numFmtId="0" fontId="27" fillId="31" borderId="4" xfId="0" applyFont="1" applyFill="1" applyBorder="1" applyAlignment="1">
      <alignment horizontal="center" vertical="center"/>
    </xf>
    <xf numFmtId="0" fontId="27" fillId="31" borderId="4" xfId="0" applyFont="1" applyFill="1" applyBorder="1" applyAlignment="1">
      <alignment vertical="center"/>
    </xf>
    <xf numFmtId="0" fontId="27" fillId="31" borderId="4" xfId="0" applyFont="1" applyFill="1" applyBorder="1" applyAlignment="1">
      <alignment horizontal="left" vertical="center"/>
    </xf>
    <xf numFmtId="0" fontId="26" fillId="31" borderId="4" xfId="0" applyFont="1" applyFill="1" applyBorder="1" applyAlignment="1">
      <alignment horizontal="center" vertical="center"/>
    </xf>
    <xf numFmtId="3" fontId="27" fillId="31" borderId="4" xfId="0" applyNumberFormat="1" applyFont="1" applyFill="1" applyBorder="1" applyAlignment="1">
      <alignment horizontal="center" vertical="center"/>
    </xf>
    <xf numFmtId="189" fontId="27" fillId="31" borderId="4" xfId="0" applyNumberFormat="1" applyFont="1" applyFill="1" applyBorder="1" applyAlignment="1">
      <alignment horizontal="center" vertical="center"/>
    </xf>
    <xf numFmtId="3" fontId="27" fillId="31" borderId="4" xfId="0" applyNumberFormat="1" applyFont="1" applyFill="1" applyBorder="1" applyAlignment="1">
      <alignment vertical="center"/>
    </xf>
    <xf numFmtId="3" fontId="29" fillId="31" borderId="4" xfId="0" applyNumberFormat="1" applyFont="1" applyFill="1" applyBorder="1" applyAlignment="1">
      <alignment vertical="center"/>
    </xf>
    <xf numFmtId="191" fontId="28" fillId="31" borderId="4" xfId="0" applyNumberFormat="1" applyFont="1" applyFill="1" applyBorder="1" applyAlignment="1">
      <alignment vertical="center"/>
    </xf>
    <xf numFmtId="3" fontId="28" fillId="31" borderId="4" xfId="0" applyNumberFormat="1" applyFont="1" applyFill="1" applyBorder="1" applyAlignment="1">
      <alignment vertical="center"/>
    </xf>
    <xf numFmtId="187" fontId="26" fillId="23" borderId="4" xfId="0" applyNumberFormat="1" applyFont="1" applyFill="1" applyBorder="1" applyAlignment="1">
      <alignment horizontal="center" vertical="center"/>
    </xf>
    <xf numFmtId="187" fontId="27" fillId="23" borderId="4" xfId="0" applyNumberFormat="1" applyFont="1" applyFill="1" applyBorder="1" applyAlignment="1">
      <alignment horizontal="center" vertical="center"/>
    </xf>
    <xf numFmtId="190" fontId="27" fillId="23" borderId="4" xfId="0" applyNumberFormat="1" applyFont="1" applyFill="1" applyBorder="1" applyAlignment="1">
      <alignment horizontal="center" vertical="center"/>
    </xf>
    <xf numFmtId="0" fontId="27" fillId="23" borderId="4" xfId="0" applyFont="1" applyFill="1" applyBorder="1" applyAlignment="1">
      <alignment horizontal="center" vertical="center"/>
    </xf>
    <xf numFmtId="0" fontId="27" fillId="23" borderId="4" xfId="0" applyFont="1" applyFill="1" applyBorder="1" applyAlignment="1">
      <alignment vertical="center"/>
    </xf>
    <xf numFmtId="0" fontId="27" fillId="23" borderId="4" xfId="0" applyFont="1" applyFill="1" applyBorder="1" applyAlignment="1">
      <alignment horizontal="left" vertical="center"/>
    </xf>
    <xf numFmtId="3" fontId="27" fillId="23" borderId="4" xfId="0" applyNumberFormat="1" applyFont="1" applyFill="1" applyBorder="1" applyAlignment="1">
      <alignment horizontal="center" vertical="center"/>
    </xf>
    <xf numFmtId="189" fontId="27" fillId="23" borderId="4" xfId="0" applyNumberFormat="1" applyFont="1" applyFill="1" applyBorder="1" applyAlignment="1">
      <alignment horizontal="center" vertical="center"/>
    </xf>
    <xf numFmtId="3" fontId="27" fillId="23" borderId="4" xfId="0" applyNumberFormat="1" applyFont="1" applyFill="1" applyBorder="1" applyAlignment="1">
      <alignment vertical="center"/>
    </xf>
    <xf numFmtId="3" fontId="29" fillId="23" borderId="4" xfId="0" applyNumberFormat="1" applyFont="1" applyFill="1" applyBorder="1" applyAlignment="1">
      <alignment vertical="center"/>
    </xf>
    <xf numFmtId="191" fontId="28" fillId="23" borderId="4" xfId="0" applyNumberFormat="1" applyFont="1" applyFill="1" applyBorder="1" applyAlignment="1">
      <alignment vertical="center"/>
    </xf>
    <xf numFmtId="3" fontId="28" fillId="23" borderId="4" xfId="0" applyNumberFormat="1" applyFont="1" applyFill="1" applyBorder="1" applyAlignment="1">
      <alignment vertical="center"/>
    </xf>
    <xf numFmtId="0" fontId="28" fillId="12" borderId="4" xfId="0" applyFont="1" applyFill="1" applyBorder="1" applyAlignment="1">
      <alignment horizontal="center" vertical="center"/>
    </xf>
    <xf numFmtId="187" fontId="26" fillId="29" borderId="4" xfId="0" applyNumberFormat="1" applyFont="1" applyFill="1" applyBorder="1" applyAlignment="1">
      <alignment horizontal="center" vertical="center"/>
    </xf>
    <xf numFmtId="187" fontId="27" fillId="29" borderId="4" xfId="0" applyNumberFormat="1" applyFont="1" applyFill="1" applyBorder="1" applyAlignment="1">
      <alignment horizontal="center" vertical="center"/>
    </xf>
    <xf numFmtId="190" fontId="27" fillId="29" borderId="4" xfId="0" applyNumberFormat="1" applyFont="1" applyFill="1" applyBorder="1" applyAlignment="1">
      <alignment horizontal="center" vertical="center"/>
    </xf>
    <xf numFmtId="0" fontId="27" fillId="29" borderId="4" xfId="0" applyFont="1" applyFill="1" applyBorder="1" applyAlignment="1">
      <alignment horizontal="center" vertical="center"/>
    </xf>
    <xf numFmtId="0" fontId="27" fillId="29" borderId="4" xfId="0" applyFont="1" applyFill="1" applyBorder="1" applyAlignment="1">
      <alignment vertical="center"/>
    </xf>
    <xf numFmtId="0" fontId="27" fillId="29" borderId="4" xfId="0" applyFont="1" applyFill="1" applyBorder="1" applyAlignment="1">
      <alignment horizontal="left" vertical="center"/>
    </xf>
    <xf numFmtId="3" fontId="27" fillId="29" borderId="4" xfId="0" applyNumberFormat="1" applyFont="1" applyFill="1" applyBorder="1" applyAlignment="1">
      <alignment horizontal="center" vertical="center"/>
    </xf>
    <xf numFmtId="189" fontId="27" fillId="29" borderId="4" xfId="0" applyNumberFormat="1" applyFont="1" applyFill="1" applyBorder="1" applyAlignment="1">
      <alignment horizontal="center" vertical="center"/>
    </xf>
    <xf numFmtId="3" fontId="27" fillId="29" borderId="4" xfId="0" applyNumberFormat="1" applyFont="1" applyFill="1" applyBorder="1" applyAlignment="1">
      <alignment vertical="center"/>
    </xf>
    <xf numFmtId="3" fontId="29" fillId="29" borderId="4" xfId="0" applyNumberFormat="1" applyFont="1" applyFill="1" applyBorder="1" applyAlignment="1">
      <alignment vertical="center"/>
    </xf>
    <xf numFmtId="191" fontId="28" fillId="29" borderId="4" xfId="0" applyNumberFormat="1" applyFont="1" applyFill="1" applyBorder="1" applyAlignment="1">
      <alignment vertical="center"/>
    </xf>
    <xf numFmtId="3" fontId="28" fillId="29" borderId="4" xfId="0" applyNumberFormat="1" applyFont="1" applyFill="1" applyBorder="1" applyAlignment="1">
      <alignment vertical="center"/>
    </xf>
    <xf numFmtId="0" fontId="28" fillId="24" borderId="4" xfId="0" applyFont="1" applyFill="1" applyBorder="1" applyAlignment="1">
      <alignment horizontal="center" vertical="center"/>
    </xf>
    <xf numFmtId="0" fontId="28" fillId="24" borderId="4" xfId="0" applyFont="1" applyFill="1" applyBorder="1" applyAlignment="1">
      <alignment vertical="center"/>
    </xf>
    <xf numFmtId="0" fontId="28" fillId="21" borderId="4" xfId="0" applyFont="1" applyFill="1" applyBorder="1" applyAlignment="1">
      <alignment vertical="center"/>
    </xf>
    <xf numFmtId="0" fontId="28" fillId="11" borderId="4" xfId="0" applyFont="1" applyFill="1" applyBorder="1" applyAlignment="1">
      <alignment horizontal="center" vertical="center"/>
    </xf>
    <xf numFmtId="0" fontId="28" fillId="0" borderId="0" xfId="0" applyFont="1" applyAlignment="1">
      <alignment horizontal="right" vertical="center"/>
    </xf>
    <xf numFmtId="187" fontId="28" fillId="12" borderId="4" xfId="0" applyNumberFormat="1" applyFont="1" applyFill="1" applyBorder="1" applyAlignment="1">
      <alignment horizontal="center" vertical="center"/>
    </xf>
    <xf numFmtId="190" fontId="28" fillId="12" borderId="4" xfId="0" applyNumberFormat="1" applyFont="1" applyFill="1" applyBorder="1" applyAlignment="1">
      <alignment horizontal="center" vertical="center"/>
    </xf>
    <xf numFmtId="0" fontId="28" fillId="0" borderId="4" xfId="0" applyFont="1" applyBorder="1" applyAlignment="1">
      <alignment vertical="center"/>
    </xf>
    <xf numFmtId="0" fontId="27" fillId="25" borderId="4" xfId="0" applyFont="1" applyFill="1" applyBorder="1" applyAlignment="1">
      <alignment horizontal="center" vertical="center"/>
    </xf>
    <xf numFmtId="190" fontId="27" fillId="25" borderId="4" xfId="0" applyNumberFormat="1" applyFont="1" applyFill="1" applyBorder="1" applyAlignment="1">
      <alignment horizontal="center" vertical="center"/>
    </xf>
    <xf numFmtId="0" fontId="26" fillId="13" borderId="4" xfId="0" applyFont="1" applyFill="1" applyBorder="1" applyAlignment="1">
      <alignment horizontal="center" vertical="center"/>
    </xf>
    <xf numFmtId="0" fontId="28" fillId="27" borderId="4" xfId="0" applyFont="1" applyFill="1" applyBorder="1" applyAlignment="1">
      <alignment horizontal="center" vertical="center"/>
    </xf>
    <xf numFmtId="187" fontId="26" fillId="17" borderId="4" xfId="0" applyNumberFormat="1" applyFont="1" applyFill="1" applyBorder="1" applyAlignment="1">
      <alignment horizontal="center" vertical="center"/>
    </xf>
    <xf numFmtId="187" fontId="27" fillId="17" borderId="4" xfId="0" applyNumberFormat="1" applyFont="1" applyFill="1" applyBorder="1" applyAlignment="1">
      <alignment horizontal="center" vertical="center"/>
    </xf>
    <xf numFmtId="0" fontId="27" fillId="17" borderId="4" xfId="0" applyFont="1" applyFill="1" applyBorder="1" applyAlignment="1">
      <alignment horizontal="center" vertical="center"/>
    </xf>
    <xf numFmtId="190" fontId="27" fillId="17" borderId="4" xfId="0" applyNumberFormat="1" applyFont="1" applyFill="1" applyBorder="1" applyAlignment="1">
      <alignment horizontal="center" vertical="center"/>
    </xf>
    <xf numFmtId="0" fontId="27" fillId="17" borderId="4" xfId="0" applyFont="1" applyFill="1" applyBorder="1" applyAlignment="1">
      <alignment vertical="center"/>
    </xf>
    <xf numFmtId="0" fontId="27" fillId="17" borderId="4" xfId="0" applyFont="1" applyFill="1" applyBorder="1" applyAlignment="1">
      <alignment horizontal="left" vertical="center"/>
    </xf>
    <xf numFmtId="3" fontId="27" fillId="17" borderId="4" xfId="0" applyNumberFormat="1" applyFont="1" applyFill="1" applyBorder="1" applyAlignment="1">
      <alignment horizontal="center" vertical="center"/>
    </xf>
    <xf numFmtId="189" fontId="27" fillId="17" borderId="4" xfId="0" applyNumberFormat="1" applyFont="1" applyFill="1" applyBorder="1" applyAlignment="1">
      <alignment horizontal="center" vertical="center"/>
    </xf>
    <xf numFmtId="3" fontId="27" fillId="17" borderId="4" xfId="0" applyNumberFormat="1" applyFont="1" applyFill="1" applyBorder="1" applyAlignment="1">
      <alignment vertical="center"/>
    </xf>
    <xf numFmtId="3" fontId="29" fillId="17" borderId="4" xfId="0" applyNumberFormat="1" applyFont="1" applyFill="1" applyBorder="1" applyAlignment="1">
      <alignment vertical="center"/>
    </xf>
    <xf numFmtId="191" fontId="28" fillId="17" borderId="4" xfId="0" applyNumberFormat="1" applyFont="1" applyFill="1" applyBorder="1" applyAlignment="1">
      <alignment vertical="center"/>
    </xf>
    <xf numFmtId="3" fontId="28" fillId="17" borderId="4" xfId="0" applyNumberFormat="1" applyFont="1" applyFill="1" applyBorder="1" applyAlignment="1">
      <alignment vertical="center"/>
    </xf>
    <xf numFmtId="0" fontId="28" fillId="16" borderId="4" xfId="0" applyFont="1" applyFill="1" applyBorder="1" applyAlignment="1">
      <alignment horizontal="center" vertical="center"/>
    </xf>
    <xf numFmtId="4" fontId="27" fillId="15" borderId="4" xfId="0" applyNumberFormat="1" applyFont="1" applyFill="1" applyBorder="1" applyAlignment="1">
      <alignment vertical="center"/>
    </xf>
    <xf numFmtId="0" fontId="28" fillId="15" borderId="4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right" vertical="center"/>
    </xf>
    <xf numFmtId="187" fontId="28" fillId="21" borderId="4" xfId="0" applyNumberFormat="1" applyFont="1" applyFill="1" applyBorder="1" applyAlignment="1">
      <alignment horizontal="center" vertical="center"/>
    </xf>
    <xf numFmtId="190" fontId="28" fillId="21" borderId="4" xfId="0" applyNumberFormat="1" applyFont="1" applyFill="1" applyBorder="1" applyAlignment="1">
      <alignment horizontal="center" vertical="center"/>
    </xf>
    <xf numFmtId="187" fontId="26" fillId="20" borderId="4" xfId="0" applyNumberFormat="1" applyFont="1" applyFill="1" applyBorder="1" applyAlignment="1">
      <alignment horizontal="center" vertical="center"/>
    </xf>
    <xf numFmtId="187" fontId="27" fillId="20" borderId="4" xfId="0" applyNumberFormat="1" applyFont="1" applyFill="1" applyBorder="1" applyAlignment="1">
      <alignment horizontal="center" vertical="center"/>
    </xf>
    <xf numFmtId="0" fontId="27" fillId="20" borderId="4" xfId="0" applyFont="1" applyFill="1" applyBorder="1" applyAlignment="1">
      <alignment horizontal="center" vertical="center"/>
    </xf>
    <xf numFmtId="190" fontId="27" fillId="20" borderId="4" xfId="0" applyNumberFormat="1" applyFont="1" applyFill="1" applyBorder="1" applyAlignment="1">
      <alignment horizontal="center" vertical="center"/>
    </xf>
    <xf numFmtId="0" fontId="26" fillId="20" borderId="4" xfId="0" applyFont="1" applyFill="1" applyBorder="1" applyAlignment="1">
      <alignment horizontal="center" vertical="center"/>
    </xf>
    <xf numFmtId="0" fontId="27" fillId="20" borderId="4" xfId="0" applyFont="1" applyFill="1" applyBorder="1" applyAlignment="1">
      <alignment vertical="center"/>
    </xf>
    <xf numFmtId="0" fontId="27" fillId="20" borderId="4" xfId="0" applyFont="1" applyFill="1" applyBorder="1" applyAlignment="1">
      <alignment horizontal="left" vertical="center"/>
    </xf>
    <xf numFmtId="3" fontId="27" fillId="20" borderId="4" xfId="0" applyNumberFormat="1" applyFont="1" applyFill="1" applyBorder="1" applyAlignment="1">
      <alignment horizontal="center" vertical="center"/>
    </xf>
    <xf numFmtId="189" fontId="27" fillId="20" borderId="4" xfId="0" applyNumberFormat="1" applyFont="1" applyFill="1" applyBorder="1" applyAlignment="1">
      <alignment horizontal="center" vertical="center"/>
    </xf>
    <xf numFmtId="3" fontId="27" fillId="20" borderId="4" xfId="0" applyNumberFormat="1" applyFont="1" applyFill="1" applyBorder="1" applyAlignment="1">
      <alignment vertical="center"/>
    </xf>
    <xf numFmtId="3" fontId="29" fillId="20" borderId="4" xfId="0" applyNumberFormat="1" applyFont="1" applyFill="1" applyBorder="1" applyAlignment="1">
      <alignment vertical="center"/>
    </xf>
    <xf numFmtId="191" fontId="28" fillId="20" borderId="4" xfId="0" applyNumberFormat="1" applyFont="1" applyFill="1" applyBorder="1" applyAlignment="1">
      <alignment vertical="center"/>
    </xf>
    <xf numFmtId="3" fontId="28" fillId="20" borderId="4" xfId="0" applyNumberFormat="1" applyFont="1" applyFill="1" applyBorder="1" applyAlignment="1">
      <alignment vertical="center"/>
    </xf>
    <xf numFmtId="0" fontId="28" fillId="21" borderId="4" xfId="0" applyFont="1" applyFill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/>
    </xf>
    <xf numFmtId="2" fontId="27" fillId="20" borderId="4" xfId="0" applyNumberFormat="1" applyFont="1" applyFill="1" applyBorder="1" applyAlignment="1">
      <alignment horizontal="center" vertical="center"/>
    </xf>
    <xf numFmtId="2" fontId="27" fillId="20" borderId="4" xfId="0" applyNumberFormat="1" applyFont="1" applyFill="1" applyBorder="1" applyAlignment="1">
      <alignment vertical="center"/>
    </xf>
    <xf numFmtId="2" fontId="27" fillId="20" borderId="4" xfId="0" applyNumberFormat="1" applyFont="1" applyFill="1" applyBorder="1" applyAlignment="1">
      <alignment horizontal="left" vertical="center"/>
    </xf>
    <xf numFmtId="2" fontId="28" fillId="0" borderId="4" xfId="0" applyNumberFormat="1" applyFont="1" applyBorder="1" applyAlignment="1">
      <alignment vertical="center"/>
    </xf>
    <xf numFmtId="2" fontId="27" fillId="0" borderId="4" xfId="0" applyNumberFormat="1" applyFont="1" applyBorder="1" applyAlignment="1">
      <alignment vertical="center"/>
    </xf>
    <xf numFmtId="187" fontId="26" fillId="25" borderId="4" xfId="0" applyNumberFormat="1" applyFont="1" applyFill="1" applyBorder="1" applyAlignment="1">
      <alignment horizontal="center" vertical="center"/>
    </xf>
    <xf numFmtId="187" fontId="28" fillId="25" borderId="4" xfId="0" applyNumberFormat="1" applyFont="1" applyFill="1" applyBorder="1" applyAlignment="1">
      <alignment horizontal="center" vertical="center"/>
    </xf>
    <xf numFmtId="190" fontId="28" fillId="25" borderId="4" xfId="0" applyNumberFormat="1" applyFont="1" applyFill="1" applyBorder="1" applyAlignment="1">
      <alignment horizontal="center" vertical="center"/>
    </xf>
    <xf numFmtId="0" fontId="27" fillId="25" borderId="4" xfId="0" applyFont="1" applyFill="1" applyBorder="1" applyAlignment="1">
      <alignment vertical="center"/>
    </xf>
    <xf numFmtId="0" fontId="27" fillId="25" borderId="4" xfId="0" applyFont="1" applyFill="1" applyBorder="1" applyAlignment="1">
      <alignment horizontal="left" vertical="center"/>
    </xf>
    <xf numFmtId="3" fontId="27" fillId="25" borderId="4" xfId="0" applyNumberFormat="1" applyFont="1" applyFill="1" applyBorder="1" applyAlignment="1">
      <alignment horizontal="center" vertical="center"/>
    </xf>
    <xf numFmtId="189" fontId="27" fillId="25" borderId="4" xfId="0" applyNumberFormat="1" applyFont="1" applyFill="1" applyBorder="1" applyAlignment="1">
      <alignment horizontal="center" vertical="center"/>
    </xf>
    <xf numFmtId="3" fontId="27" fillId="25" borderId="4" xfId="0" applyNumberFormat="1" applyFont="1" applyFill="1" applyBorder="1" applyAlignment="1">
      <alignment vertical="center"/>
    </xf>
    <xf numFmtId="3" fontId="29" fillId="25" borderId="4" xfId="0" applyNumberFormat="1" applyFont="1" applyFill="1" applyBorder="1" applyAlignment="1">
      <alignment vertical="center"/>
    </xf>
    <xf numFmtId="191" fontId="28" fillId="25" borderId="4" xfId="0" applyNumberFormat="1" applyFont="1" applyFill="1" applyBorder="1" applyAlignment="1">
      <alignment vertical="center"/>
    </xf>
    <xf numFmtId="3" fontId="28" fillId="25" borderId="4" xfId="0" applyNumberFormat="1" applyFont="1" applyFill="1" applyBorder="1" applyAlignment="1">
      <alignment vertical="center"/>
    </xf>
    <xf numFmtId="187" fontId="26" fillId="35" borderId="4" xfId="0" applyNumberFormat="1" applyFont="1" applyFill="1" applyBorder="1" applyAlignment="1">
      <alignment horizontal="center" vertical="center"/>
    </xf>
    <xf numFmtId="187" fontId="27" fillId="35" borderId="4" xfId="0" applyNumberFormat="1" applyFont="1" applyFill="1" applyBorder="1" applyAlignment="1">
      <alignment horizontal="center" vertical="center"/>
    </xf>
    <xf numFmtId="190" fontId="27" fillId="35" borderId="4" xfId="0" applyNumberFormat="1" applyFont="1" applyFill="1" applyBorder="1" applyAlignment="1">
      <alignment horizontal="center" vertical="center"/>
    </xf>
    <xf numFmtId="0" fontId="27" fillId="35" borderId="4" xfId="0" applyFont="1" applyFill="1" applyBorder="1" applyAlignment="1">
      <alignment horizontal="center" vertical="center"/>
    </xf>
    <xf numFmtId="0" fontId="27" fillId="35" borderId="4" xfId="0" applyFont="1" applyFill="1" applyBorder="1" applyAlignment="1">
      <alignment vertical="center"/>
    </xf>
    <xf numFmtId="0" fontId="27" fillId="35" borderId="4" xfId="0" applyFont="1" applyFill="1" applyBorder="1" applyAlignment="1">
      <alignment horizontal="left" vertical="center"/>
    </xf>
    <xf numFmtId="3" fontId="27" fillId="35" borderId="4" xfId="0" applyNumberFormat="1" applyFont="1" applyFill="1" applyBorder="1" applyAlignment="1">
      <alignment horizontal="center" vertical="center"/>
    </xf>
    <xf numFmtId="189" fontId="27" fillId="35" borderId="4" xfId="0" applyNumberFormat="1" applyFont="1" applyFill="1" applyBorder="1" applyAlignment="1">
      <alignment horizontal="center" vertical="center"/>
    </xf>
    <xf numFmtId="0" fontId="34" fillId="35" borderId="4" xfId="0" applyFont="1" applyFill="1" applyBorder="1" applyAlignment="1">
      <alignment horizontal="center" vertical="center"/>
    </xf>
    <xf numFmtId="3" fontId="27" fillId="35" borderId="4" xfId="0" applyNumberFormat="1" applyFont="1" applyFill="1" applyBorder="1" applyAlignment="1">
      <alignment vertical="center"/>
    </xf>
    <xf numFmtId="3" fontId="29" fillId="35" borderId="4" xfId="0" applyNumberFormat="1" applyFont="1" applyFill="1" applyBorder="1" applyAlignment="1">
      <alignment vertical="center"/>
    </xf>
    <xf numFmtId="191" fontId="28" fillId="35" borderId="4" xfId="0" applyNumberFormat="1" applyFont="1" applyFill="1" applyBorder="1" applyAlignment="1">
      <alignment vertical="center"/>
    </xf>
    <xf numFmtId="3" fontId="28" fillId="35" borderId="4" xfId="0" applyNumberFormat="1" applyFont="1" applyFill="1" applyBorder="1" applyAlignment="1">
      <alignment vertical="center"/>
    </xf>
    <xf numFmtId="4" fontId="27" fillId="29" borderId="4" xfId="0" applyNumberFormat="1" applyFont="1" applyFill="1" applyBorder="1" applyAlignment="1">
      <alignment vertical="center"/>
    </xf>
    <xf numFmtId="0" fontId="27" fillId="28" borderId="4" xfId="0" applyFont="1" applyFill="1" applyBorder="1" applyAlignment="1">
      <alignment horizontal="center" vertical="center"/>
    </xf>
    <xf numFmtId="0" fontId="27" fillId="28" borderId="4" xfId="0" applyFont="1" applyFill="1" applyBorder="1" applyAlignment="1">
      <alignment vertical="center"/>
    </xf>
    <xf numFmtId="0" fontId="27" fillId="28" borderId="4" xfId="0" applyFont="1" applyFill="1" applyBorder="1" applyAlignment="1">
      <alignment horizontal="left" vertical="center"/>
    </xf>
    <xf numFmtId="0" fontId="26" fillId="0" borderId="4" xfId="0" applyFont="1" applyBorder="1" applyAlignment="1">
      <alignment vertical="center"/>
    </xf>
    <xf numFmtId="0" fontId="27" fillId="27" borderId="0" xfId="0" applyFont="1" applyFill="1" applyAlignment="1">
      <alignment horizontal="right" vertical="center"/>
    </xf>
    <xf numFmtId="187" fontId="28" fillId="27" borderId="4" xfId="0" applyNumberFormat="1" applyFont="1" applyFill="1" applyBorder="1" applyAlignment="1">
      <alignment horizontal="center" vertical="center"/>
    </xf>
    <xf numFmtId="187" fontId="27" fillId="27" borderId="4" xfId="0" applyNumberFormat="1" applyFont="1" applyFill="1" applyBorder="1" applyAlignment="1">
      <alignment horizontal="center" vertical="center"/>
    </xf>
    <xf numFmtId="0" fontId="27" fillId="27" borderId="4" xfId="0" applyFont="1" applyFill="1" applyBorder="1" applyAlignment="1">
      <alignment horizontal="center" vertical="center"/>
    </xf>
    <xf numFmtId="190" fontId="27" fillId="27" borderId="4" xfId="0" applyNumberFormat="1" applyFont="1" applyFill="1" applyBorder="1" applyAlignment="1">
      <alignment horizontal="center" vertical="center"/>
    </xf>
    <xf numFmtId="0" fontId="27" fillId="27" borderId="4" xfId="0" applyFont="1" applyFill="1" applyBorder="1" applyAlignment="1">
      <alignment vertical="center"/>
    </xf>
    <xf numFmtId="0" fontId="27" fillId="27" borderId="4" xfId="0" applyFont="1" applyFill="1" applyBorder="1" applyAlignment="1">
      <alignment horizontal="left" vertical="center"/>
    </xf>
    <xf numFmtId="3" fontId="27" fillId="27" borderId="4" xfId="0" applyNumberFormat="1" applyFont="1" applyFill="1" applyBorder="1" applyAlignment="1">
      <alignment horizontal="center" vertical="center"/>
    </xf>
    <xf numFmtId="189" fontId="27" fillId="27" borderId="4" xfId="0" applyNumberFormat="1" applyFont="1" applyFill="1" applyBorder="1" applyAlignment="1">
      <alignment horizontal="center" vertical="center"/>
    </xf>
    <xf numFmtId="3" fontId="27" fillId="27" borderId="4" xfId="0" applyNumberFormat="1" applyFont="1" applyFill="1" applyBorder="1" applyAlignment="1">
      <alignment vertical="center"/>
    </xf>
    <xf numFmtId="3" fontId="29" fillId="27" borderId="4" xfId="0" applyNumberFormat="1" applyFont="1" applyFill="1" applyBorder="1" applyAlignment="1">
      <alignment vertical="center"/>
    </xf>
    <xf numFmtId="191" fontId="28" fillId="27" borderId="4" xfId="0" applyNumberFormat="1" applyFont="1" applyFill="1" applyBorder="1" applyAlignment="1">
      <alignment vertical="center"/>
    </xf>
    <xf numFmtId="3" fontId="28" fillId="27" borderId="4" xfId="0" applyNumberFormat="1" applyFont="1" applyFill="1" applyBorder="1" applyAlignment="1">
      <alignment vertical="center"/>
    </xf>
    <xf numFmtId="0" fontId="28" fillId="27" borderId="0" xfId="0" applyFont="1" applyFill="1" applyAlignment="1">
      <alignment horizontal="right" vertical="center"/>
    </xf>
    <xf numFmtId="0" fontId="28" fillId="10" borderId="4" xfId="0" applyFont="1" applyFill="1" applyBorder="1" applyAlignment="1">
      <alignment horizontal="center" vertical="center"/>
    </xf>
    <xf numFmtId="191" fontId="27" fillId="10" borderId="4" xfId="0" applyNumberFormat="1" applyFont="1" applyFill="1" applyBorder="1" applyAlignment="1">
      <alignment vertical="center"/>
    </xf>
    <xf numFmtId="187" fontId="26" fillId="27" borderId="4" xfId="0" applyNumberFormat="1" applyFont="1" applyFill="1" applyBorder="1" applyAlignment="1">
      <alignment horizontal="center" vertical="center"/>
    </xf>
    <xf numFmtId="4" fontId="27" fillId="10" borderId="4" xfId="0" applyNumberFormat="1" applyFont="1" applyFill="1" applyBorder="1" applyAlignment="1">
      <alignment vertical="center"/>
    </xf>
    <xf numFmtId="187" fontId="26" fillId="9" borderId="4" xfId="0" applyNumberFormat="1" applyFont="1" applyFill="1" applyBorder="1" applyAlignment="1">
      <alignment horizontal="center" vertical="center"/>
    </xf>
    <xf numFmtId="187" fontId="27" fillId="9" borderId="4" xfId="0" applyNumberFormat="1" applyFont="1" applyFill="1" applyBorder="1" applyAlignment="1">
      <alignment horizontal="center" vertical="center"/>
    </xf>
    <xf numFmtId="190" fontId="27" fillId="9" borderId="4" xfId="0" applyNumberFormat="1" applyFont="1" applyFill="1" applyBorder="1" applyAlignment="1">
      <alignment horizontal="center" vertical="center"/>
    </xf>
    <xf numFmtId="0" fontId="27" fillId="9" borderId="4" xfId="0" applyFont="1" applyFill="1" applyBorder="1" applyAlignment="1">
      <alignment horizontal="center" vertical="center"/>
    </xf>
    <xf numFmtId="0" fontId="27" fillId="9" borderId="4" xfId="0" applyFont="1" applyFill="1" applyBorder="1" applyAlignment="1">
      <alignment vertical="center"/>
    </xf>
    <xf numFmtId="0" fontId="27" fillId="9" borderId="4" xfId="0" applyFont="1" applyFill="1" applyBorder="1" applyAlignment="1">
      <alignment horizontal="left" vertical="center"/>
    </xf>
    <xf numFmtId="3" fontId="27" fillId="9" borderId="4" xfId="0" applyNumberFormat="1" applyFont="1" applyFill="1" applyBorder="1" applyAlignment="1">
      <alignment horizontal="center" vertical="center"/>
    </xf>
    <xf numFmtId="189" fontId="27" fillId="9" borderId="4" xfId="0" applyNumberFormat="1" applyFont="1" applyFill="1" applyBorder="1" applyAlignment="1">
      <alignment horizontal="center" vertical="center"/>
    </xf>
    <xf numFmtId="3" fontId="27" fillId="9" borderId="4" xfId="0" applyNumberFormat="1" applyFont="1" applyFill="1" applyBorder="1" applyAlignment="1">
      <alignment vertical="center"/>
    </xf>
    <xf numFmtId="3" fontId="29" fillId="9" borderId="4" xfId="0" applyNumberFormat="1" applyFont="1" applyFill="1" applyBorder="1" applyAlignment="1">
      <alignment vertical="center"/>
    </xf>
    <xf numFmtId="191" fontId="28" fillId="9" borderId="4" xfId="0" applyNumberFormat="1" applyFont="1" applyFill="1" applyBorder="1" applyAlignment="1">
      <alignment vertical="center"/>
    </xf>
    <xf numFmtId="3" fontId="28" fillId="9" borderId="4" xfId="0" applyNumberFormat="1" applyFont="1" applyFill="1" applyBorder="1" applyAlignment="1">
      <alignment vertical="center"/>
    </xf>
    <xf numFmtId="187" fontId="26" fillId="30" borderId="4" xfId="0" applyNumberFormat="1" applyFont="1" applyFill="1" applyBorder="1" applyAlignment="1">
      <alignment horizontal="center" vertical="center"/>
    </xf>
    <xf numFmtId="187" fontId="27" fillId="30" borderId="4" xfId="0" applyNumberFormat="1" applyFont="1" applyFill="1" applyBorder="1" applyAlignment="1">
      <alignment horizontal="center" vertical="center"/>
    </xf>
    <xf numFmtId="190" fontId="27" fillId="30" borderId="4" xfId="0" applyNumberFormat="1" applyFont="1" applyFill="1" applyBorder="1" applyAlignment="1">
      <alignment horizontal="center" vertical="center"/>
    </xf>
    <xf numFmtId="0" fontId="27" fillId="30" borderId="4" xfId="0" applyFont="1" applyFill="1" applyBorder="1" applyAlignment="1">
      <alignment horizontal="center" vertical="center"/>
    </xf>
    <xf numFmtId="0" fontId="27" fillId="30" borderId="4" xfId="0" applyFont="1" applyFill="1" applyBorder="1" applyAlignment="1">
      <alignment vertical="center"/>
    </xf>
    <xf numFmtId="0" fontId="27" fillId="30" borderId="4" xfId="0" applyFont="1" applyFill="1" applyBorder="1" applyAlignment="1">
      <alignment horizontal="left" vertical="center"/>
    </xf>
    <xf numFmtId="3" fontId="27" fillId="30" borderId="4" xfId="0" applyNumberFormat="1" applyFont="1" applyFill="1" applyBorder="1" applyAlignment="1">
      <alignment horizontal="center" vertical="center"/>
    </xf>
    <xf numFmtId="189" fontId="27" fillId="30" borderId="4" xfId="0" applyNumberFormat="1" applyFont="1" applyFill="1" applyBorder="1" applyAlignment="1">
      <alignment horizontal="center" vertical="center"/>
    </xf>
    <xf numFmtId="3" fontId="27" fillId="30" borderId="4" xfId="0" applyNumberFormat="1" applyFont="1" applyFill="1" applyBorder="1" applyAlignment="1">
      <alignment vertical="center"/>
    </xf>
    <xf numFmtId="3" fontId="29" fillId="30" borderId="4" xfId="0" applyNumberFormat="1" applyFont="1" applyFill="1" applyBorder="1" applyAlignment="1">
      <alignment vertical="center"/>
    </xf>
    <xf numFmtId="191" fontId="28" fillId="30" borderId="4" xfId="0" applyNumberFormat="1" applyFont="1" applyFill="1" applyBorder="1" applyAlignment="1">
      <alignment vertical="center"/>
    </xf>
    <xf numFmtId="3" fontId="28" fillId="30" borderId="4" xfId="0" applyNumberFormat="1" applyFont="1" applyFill="1" applyBorder="1" applyAlignment="1">
      <alignment vertical="center"/>
    </xf>
    <xf numFmtId="187" fontId="28" fillId="13" borderId="4" xfId="0" applyNumberFormat="1" applyFont="1" applyFill="1" applyBorder="1" applyAlignment="1">
      <alignment horizontal="center" vertical="center"/>
    </xf>
    <xf numFmtId="187" fontId="26" fillId="34" borderId="4" xfId="0" applyNumberFormat="1" applyFont="1" applyFill="1" applyBorder="1" applyAlignment="1">
      <alignment horizontal="center" vertical="center"/>
    </xf>
    <xf numFmtId="187" fontId="27" fillId="34" borderId="4" xfId="0" applyNumberFormat="1" applyFont="1" applyFill="1" applyBorder="1" applyAlignment="1">
      <alignment horizontal="center" vertical="center"/>
    </xf>
    <xf numFmtId="0" fontId="27" fillId="34" borderId="4" xfId="0" applyFont="1" applyFill="1" applyBorder="1" applyAlignment="1">
      <alignment horizontal="center" vertical="center"/>
    </xf>
    <xf numFmtId="190" fontId="27" fillId="34" borderId="4" xfId="0" applyNumberFormat="1" applyFont="1" applyFill="1" applyBorder="1" applyAlignment="1">
      <alignment horizontal="center" vertical="center"/>
    </xf>
    <xf numFmtId="0" fontId="27" fillId="34" borderId="4" xfId="0" applyFont="1" applyFill="1" applyBorder="1" applyAlignment="1">
      <alignment vertical="center"/>
    </xf>
    <xf numFmtId="0" fontId="27" fillId="34" borderId="4" xfId="0" applyFont="1" applyFill="1" applyBorder="1" applyAlignment="1">
      <alignment horizontal="left" vertical="center"/>
    </xf>
    <xf numFmtId="3" fontId="27" fillId="34" borderId="4" xfId="0" applyNumberFormat="1" applyFont="1" applyFill="1" applyBorder="1" applyAlignment="1">
      <alignment horizontal="center" vertical="center"/>
    </xf>
    <xf numFmtId="189" fontId="27" fillId="34" borderId="4" xfId="0" applyNumberFormat="1" applyFont="1" applyFill="1" applyBorder="1" applyAlignment="1">
      <alignment horizontal="center" vertical="center"/>
    </xf>
    <xf numFmtId="3" fontId="27" fillId="34" borderId="4" xfId="0" applyNumberFormat="1" applyFont="1" applyFill="1" applyBorder="1" applyAlignment="1">
      <alignment vertical="center"/>
    </xf>
    <xf numFmtId="3" fontId="29" fillId="34" borderId="4" xfId="0" applyNumberFormat="1" applyFont="1" applyFill="1" applyBorder="1" applyAlignment="1">
      <alignment vertical="center"/>
    </xf>
    <xf numFmtId="191" fontId="28" fillId="34" borderId="4" xfId="0" applyNumberFormat="1" applyFont="1" applyFill="1" applyBorder="1" applyAlignment="1">
      <alignment vertical="center"/>
    </xf>
    <xf numFmtId="3" fontId="28" fillId="34" borderId="4" xfId="0" applyNumberFormat="1" applyFont="1" applyFill="1" applyBorder="1" applyAlignment="1">
      <alignment vertical="center"/>
    </xf>
    <xf numFmtId="187" fontId="26" fillId="19" borderId="4" xfId="0" applyNumberFormat="1" applyFont="1" applyFill="1" applyBorder="1" applyAlignment="1">
      <alignment horizontal="center" vertical="center"/>
    </xf>
    <xf numFmtId="4" fontId="27" fillId="9" borderId="4" xfId="0" applyNumberFormat="1" applyFont="1" applyFill="1" applyBorder="1" applyAlignment="1">
      <alignment vertical="center"/>
    </xf>
    <xf numFmtId="0" fontId="28" fillId="27" borderId="4" xfId="0" quotePrefix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2" fontId="27" fillId="30" borderId="4" xfId="0" applyNumberFormat="1" applyFont="1" applyFill="1" applyBorder="1" applyAlignment="1">
      <alignment horizontal="center" vertical="center"/>
    </xf>
    <xf numFmtId="2" fontId="27" fillId="30" borderId="4" xfId="0" applyNumberFormat="1" applyFont="1" applyFill="1" applyBorder="1" applyAlignment="1">
      <alignment vertical="center"/>
    </xf>
    <xf numFmtId="2" fontId="27" fillId="30" borderId="4" xfId="0" applyNumberFormat="1" applyFont="1" applyFill="1" applyBorder="1" applyAlignment="1">
      <alignment horizontal="left" vertical="center"/>
    </xf>
    <xf numFmtId="187" fontId="28" fillId="0" borderId="4" xfId="0" applyNumberFormat="1" applyFont="1" applyBorder="1" applyAlignment="1">
      <alignment horizontal="center" vertical="center"/>
    </xf>
    <xf numFmtId="0" fontId="28" fillId="13" borderId="4" xfId="0" applyFont="1" applyFill="1" applyBorder="1" applyAlignment="1">
      <alignment horizontal="center" vertical="center"/>
    </xf>
    <xf numFmtId="0" fontId="28" fillId="14" borderId="4" xfId="0" applyFont="1" applyFill="1" applyBorder="1" applyAlignment="1">
      <alignment vertical="center"/>
    </xf>
    <xf numFmtId="187" fontId="28" fillId="10" borderId="4" xfId="0" applyNumberFormat="1" applyFont="1" applyFill="1" applyBorder="1" applyAlignment="1">
      <alignment horizontal="center" vertical="center"/>
    </xf>
    <xf numFmtId="187" fontId="28" fillId="9" borderId="4" xfId="0" applyNumberFormat="1" applyFont="1" applyFill="1" applyBorder="1" applyAlignment="1">
      <alignment horizontal="center" vertical="center"/>
    </xf>
    <xf numFmtId="187" fontId="26" fillId="33" borderId="4" xfId="0" applyNumberFormat="1" applyFont="1" applyFill="1" applyBorder="1" applyAlignment="1">
      <alignment horizontal="center" vertical="center"/>
    </xf>
    <xf numFmtId="187" fontId="28" fillId="33" borderId="4" xfId="0" applyNumberFormat="1" applyFont="1" applyFill="1" applyBorder="1" applyAlignment="1">
      <alignment horizontal="center" vertical="center"/>
    </xf>
    <xf numFmtId="190" fontId="28" fillId="33" borderId="4" xfId="0" applyNumberFormat="1" applyFont="1" applyFill="1" applyBorder="1" applyAlignment="1">
      <alignment horizontal="center" vertical="center"/>
    </xf>
    <xf numFmtId="0" fontId="27" fillId="33" borderId="4" xfId="0" applyFont="1" applyFill="1" applyBorder="1" applyAlignment="1">
      <alignment horizontal="center" vertical="center"/>
    </xf>
    <xf numFmtId="0" fontId="27" fillId="33" borderId="4" xfId="0" applyFont="1" applyFill="1" applyBorder="1" applyAlignment="1">
      <alignment vertical="center"/>
    </xf>
    <xf numFmtId="0" fontId="27" fillId="33" borderId="4" xfId="0" applyFont="1" applyFill="1" applyBorder="1" applyAlignment="1">
      <alignment horizontal="left" vertical="center"/>
    </xf>
    <xf numFmtId="3" fontId="27" fillId="33" borderId="4" xfId="0" applyNumberFormat="1" applyFont="1" applyFill="1" applyBorder="1" applyAlignment="1">
      <alignment horizontal="center" vertical="center"/>
    </xf>
    <xf numFmtId="189" fontId="27" fillId="33" borderId="4" xfId="0" applyNumberFormat="1" applyFont="1" applyFill="1" applyBorder="1" applyAlignment="1">
      <alignment horizontal="center" vertical="center"/>
    </xf>
    <xf numFmtId="0" fontId="34" fillId="33" borderId="4" xfId="0" applyFont="1" applyFill="1" applyBorder="1" applyAlignment="1">
      <alignment horizontal="center" vertical="center"/>
    </xf>
    <xf numFmtId="3" fontId="27" fillId="33" borderId="4" xfId="0" applyNumberFormat="1" applyFont="1" applyFill="1" applyBorder="1" applyAlignment="1">
      <alignment vertical="center"/>
    </xf>
    <xf numFmtId="3" fontId="29" fillId="33" borderId="4" xfId="0" applyNumberFormat="1" applyFont="1" applyFill="1" applyBorder="1" applyAlignment="1">
      <alignment vertical="center"/>
    </xf>
    <xf numFmtId="191" fontId="28" fillId="33" borderId="4" xfId="0" applyNumberFormat="1" applyFont="1" applyFill="1" applyBorder="1" applyAlignment="1">
      <alignment vertical="center"/>
    </xf>
    <xf numFmtId="3" fontId="28" fillId="33" borderId="4" xfId="0" applyNumberFormat="1" applyFont="1" applyFill="1" applyBorder="1" applyAlignment="1">
      <alignment vertical="center"/>
    </xf>
    <xf numFmtId="0" fontId="28" fillId="8" borderId="4" xfId="0" applyFont="1" applyFill="1" applyBorder="1" applyAlignment="1">
      <alignment horizontal="center" vertical="center"/>
    </xf>
    <xf numFmtId="187" fontId="28" fillId="18" borderId="4" xfId="0" applyNumberFormat="1" applyFont="1" applyFill="1" applyBorder="1" applyAlignment="1">
      <alignment horizontal="center" vertical="center"/>
    </xf>
    <xf numFmtId="16" fontId="27" fillId="0" borderId="0" xfId="0" applyNumberFormat="1" applyFont="1" applyAlignment="1">
      <alignment horizontal="right" vertical="center"/>
    </xf>
    <xf numFmtId="0" fontId="28" fillId="32" borderId="4" xfId="0" applyFont="1" applyFill="1" applyBorder="1" applyAlignment="1">
      <alignment horizontal="center" vertical="center"/>
    </xf>
    <xf numFmtId="187" fontId="28" fillId="30" borderId="4" xfId="0" applyNumberFormat="1" applyFont="1" applyFill="1" applyBorder="1" applyAlignment="1">
      <alignment horizontal="center" vertical="center"/>
    </xf>
    <xf numFmtId="0" fontId="34" fillId="14" borderId="4" xfId="0" applyFont="1" applyFill="1" applyBorder="1" applyAlignment="1">
      <alignment horizontal="center" vertical="center"/>
    </xf>
    <xf numFmtId="187" fontId="26" fillId="36" borderId="4" xfId="0" applyNumberFormat="1" applyFont="1" applyFill="1" applyBorder="1" applyAlignment="1">
      <alignment horizontal="center" vertical="center"/>
    </xf>
    <xf numFmtId="187" fontId="27" fillId="36" borderId="4" xfId="0" applyNumberFormat="1" applyFont="1" applyFill="1" applyBorder="1" applyAlignment="1">
      <alignment horizontal="center" vertical="center"/>
    </xf>
    <xf numFmtId="0" fontId="27" fillId="36" borderId="4" xfId="0" applyFont="1" applyFill="1" applyBorder="1" applyAlignment="1">
      <alignment horizontal="center" vertical="center"/>
    </xf>
    <xf numFmtId="190" fontId="27" fillId="36" borderId="4" xfId="0" applyNumberFormat="1" applyFont="1" applyFill="1" applyBorder="1" applyAlignment="1">
      <alignment horizontal="center" vertical="center"/>
    </xf>
    <xf numFmtId="0" fontId="27" fillId="36" borderId="4" xfId="0" applyFont="1" applyFill="1" applyBorder="1" applyAlignment="1">
      <alignment vertical="center"/>
    </xf>
    <xf numFmtId="0" fontId="27" fillId="36" borderId="4" xfId="0" applyFont="1" applyFill="1" applyBorder="1" applyAlignment="1">
      <alignment horizontal="left" vertical="center"/>
    </xf>
    <xf numFmtId="3" fontId="27" fillId="36" borderId="4" xfId="0" applyNumberFormat="1" applyFont="1" applyFill="1" applyBorder="1" applyAlignment="1">
      <alignment horizontal="center" vertical="center"/>
    </xf>
    <xf numFmtId="189" fontId="27" fillId="36" borderId="4" xfId="0" applyNumberFormat="1" applyFont="1" applyFill="1" applyBorder="1" applyAlignment="1">
      <alignment horizontal="center" vertical="center"/>
    </xf>
    <xf numFmtId="3" fontId="27" fillId="36" borderId="4" xfId="0" applyNumberFormat="1" applyFont="1" applyFill="1" applyBorder="1" applyAlignment="1">
      <alignment vertical="center"/>
    </xf>
    <xf numFmtId="3" fontId="29" fillId="36" borderId="4" xfId="0" applyNumberFormat="1" applyFont="1" applyFill="1" applyBorder="1" applyAlignment="1">
      <alignment vertical="center"/>
    </xf>
    <xf numFmtId="191" fontId="28" fillId="36" borderId="4" xfId="0" applyNumberFormat="1" applyFont="1" applyFill="1" applyBorder="1" applyAlignment="1">
      <alignment vertical="center"/>
    </xf>
    <xf numFmtId="3" fontId="28" fillId="36" borderId="4" xfId="0" applyNumberFormat="1" applyFont="1" applyFill="1" applyBorder="1" applyAlignment="1">
      <alignment vertical="center"/>
    </xf>
    <xf numFmtId="187" fontId="27" fillId="25" borderId="4" xfId="0" applyNumberFormat="1" applyFont="1" applyFill="1" applyBorder="1" applyAlignment="1">
      <alignment horizontal="center" vertical="center"/>
    </xf>
    <xf numFmtId="0" fontId="28" fillId="25" borderId="4" xfId="0" applyFont="1" applyFill="1" applyBorder="1" applyAlignment="1">
      <alignment horizontal="center" vertical="center"/>
    </xf>
    <xf numFmtId="0" fontId="34" fillId="25" borderId="4" xfId="0" applyFont="1" applyFill="1" applyBorder="1" applyAlignment="1">
      <alignment horizontal="center" vertical="center"/>
    </xf>
    <xf numFmtId="0" fontId="28" fillId="20" borderId="4" xfId="0" applyFont="1" applyFill="1" applyBorder="1" applyAlignment="1">
      <alignment horizontal="center" vertical="center"/>
    </xf>
    <xf numFmtId="0" fontId="28" fillId="30" borderId="4" xfId="0" applyFont="1" applyFill="1" applyBorder="1" applyAlignment="1">
      <alignment horizontal="center" vertical="center"/>
    </xf>
    <xf numFmtId="187" fontId="28" fillId="20" borderId="4" xfId="0" applyNumberFormat="1" applyFont="1" applyFill="1" applyBorder="1" applyAlignment="1">
      <alignment horizontal="center" vertical="center"/>
    </xf>
    <xf numFmtId="0" fontId="34" fillId="20" borderId="4" xfId="0" applyFont="1" applyFill="1" applyBorder="1" applyAlignment="1">
      <alignment horizontal="center" vertical="center"/>
    </xf>
    <xf numFmtId="0" fontId="34" fillId="15" borderId="4" xfId="0" applyFont="1" applyFill="1" applyBorder="1" applyAlignment="1">
      <alignment horizontal="center" vertical="center"/>
    </xf>
    <xf numFmtId="0" fontId="34" fillId="31" borderId="4" xfId="0" applyFont="1" applyFill="1" applyBorder="1" applyAlignment="1">
      <alignment horizontal="center" vertical="center"/>
    </xf>
    <xf numFmtId="16" fontId="28" fillId="0" borderId="0" xfId="0" applyNumberFormat="1" applyFont="1" applyAlignment="1">
      <alignment horizontal="right" vertical="center"/>
    </xf>
    <xf numFmtId="2" fontId="27" fillId="16" borderId="4" xfId="0" applyNumberFormat="1" applyFont="1" applyFill="1" applyBorder="1" applyAlignment="1">
      <alignment horizontal="center" vertical="center"/>
    </xf>
    <xf numFmtId="2" fontId="27" fillId="16" borderId="4" xfId="0" applyNumberFormat="1" applyFont="1" applyFill="1" applyBorder="1" applyAlignment="1">
      <alignment vertical="center"/>
    </xf>
    <xf numFmtId="2" fontId="28" fillId="16" borderId="4" xfId="0" applyNumberFormat="1" applyFont="1" applyFill="1" applyBorder="1" applyAlignment="1">
      <alignment horizontal="center" vertical="center"/>
    </xf>
    <xf numFmtId="0" fontId="28" fillId="27" borderId="4" xfId="0" applyFont="1" applyFill="1" applyBorder="1" applyAlignment="1">
      <alignment horizontal="left" vertical="center"/>
    </xf>
    <xf numFmtId="3" fontId="26" fillId="29" borderId="4" xfId="0" applyNumberFormat="1" applyFont="1" applyFill="1" applyBorder="1" applyAlignment="1">
      <alignment vertical="center"/>
    </xf>
    <xf numFmtId="0" fontId="34" fillId="13" borderId="4" xfId="0" applyFont="1" applyFill="1" applyBorder="1" applyAlignment="1">
      <alignment horizontal="center" vertical="center"/>
    </xf>
    <xf numFmtId="0" fontId="26" fillId="0" borderId="0" xfId="0" applyFont="1" applyAlignment="1">
      <alignment horizontal="right" vertical="center"/>
    </xf>
    <xf numFmtId="1" fontId="28" fillId="16" borderId="4" xfId="0" applyNumberFormat="1" applyFont="1" applyFill="1" applyBorder="1" applyAlignment="1">
      <alignment horizontal="center" vertical="center"/>
    </xf>
    <xf numFmtId="0" fontId="34" fillId="29" borderId="4" xfId="0" applyFont="1" applyFill="1" applyBorder="1" applyAlignment="1">
      <alignment horizontal="center" vertical="center"/>
    </xf>
    <xf numFmtId="187" fontId="36" fillId="0" borderId="4" xfId="0" applyNumberFormat="1" applyFont="1" applyBorder="1" applyAlignment="1">
      <alignment horizontal="center" vertical="center"/>
    </xf>
    <xf numFmtId="0" fontId="34" fillId="27" borderId="4" xfId="0" applyFont="1" applyFill="1" applyBorder="1" applyAlignment="1">
      <alignment horizontal="center" vertical="center"/>
    </xf>
    <xf numFmtId="0" fontId="27" fillId="22" borderId="4" xfId="0" quotePrefix="1" applyFont="1" applyFill="1" applyBorder="1" applyAlignment="1">
      <alignment horizontal="center" vertical="center"/>
    </xf>
    <xf numFmtId="0" fontId="28" fillId="0" borderId="4" xfId="0" applyFont="1" applyBorder="1" applyAlignment="1">
      <alignment horizontal="left" vertical="center"/>
    </xf>
    <xf numFmtId="0" fontId="28" fillId="14" borderId="4" xfId="0" applyFont="1" applyFill="1" applyBorder="1" applyAlignment="1">
      <alignment horizontal="center" vertical="center"/>
    </xf>
    <xf numFmtId="0" fontId="27" fillId="8" borderId="4" xfId="0" quotePrefix="1" applyFont="1" applyFill="1" applyBorder="1" applyAlignment="1">
      <alignment horizontal="center" vertical="center"/>
    </xf>
    <xf numFmtId="0" fontId="26" fillId="26" borderId="4" xfId="0" applyFont="1" applyFill="1" applyBorder="1" applyAlignment="1">
      <alignment vertical="center"/>
    </xf>
    <xf numFmtId="0" fontId="34" fillId="19" borderId="4" xfId="0" applyFont="1" applyFill="1" applyBorder="1" applyAlignment="1">
      <alignment horizontal="center" vertical="center"/>
    </xf>
    <xf numFmtId="2" fontId="28" fillId="20" borderId="4" xfId="0" applyNumberFormat="1" applyFont="1" applyFill="1" applyBorder="1" applyAlignment="1">
      <alignment horizontal="center" vertical="center"/>
    </xf>
    <xf numFmtId="0" fontId="28" fillId="18" borderId="4" xfId="0" applyFont="1" applyFill="1" applyBorder="1" applyAlignment="1">
      <alignment horizontal="center" vertical="center"/>
    </xf>
    <xf numFmtId="0" fontId="27" fillId="12" borderId="4" xfId="0" quotePrefix="1" applyFont="1" applyFill="1" applyBorder="1" applyAlignment="1">
      <alignment horizontal="center" vertical="center"/>
    </xf>
    <xf numFmtId="17" fontId="26" fillId="13" borderId="4" xfId="0" quotePrefix="1" applyNumberFormat="1" applyFont="1" applyFill="1" applyBorder="1" applyAlignment="1">
      <alignment horizontal="center" vertical="center"/>
    </xf>
    <xf numFmtId="187" fontId="27" fillId="23" borderId="4" xfId="0" quotePrefix="1" applyNumberFormat="1" applyFont="1" applyFill="1" applyBorder="1" applyAlignment="1">
      <alignment horizontal="center" vertical="center"/>
    </xf>
    <xf numFmtId="187" fontId="27" fillId="10" borderId="4" xfId="0" quotePrefix="1" applyNumberFormat="1" applyFont="1" applyFill="1" applyBorder="1" applyAlignment="1">
      <alignment horizontal="center" vertical="center"/>
    </xf>
    <xf numFmtId="187" fontId="27" fillId="29" borderId="4" xfId="0" quotePrefix="1" applyNumberFormat="1" applyFont="1" applyFill="1" applyBorder="1" applyAlignment="1">
      <alignment horizontal="center" vertical="center"/>
    </xf>
    <xf numFmtId="17" fontId="27" fillId="22" borderId="4" xfId="0" quotePrefix="1" applyNumberFormat="1" applyFont="1" applyFill="1" applyBorder="1" applyAlignment="1">
      <alignment horizontal="center" vertical="center"/>
    </xf>
    <xf numFmtId="187" fontId="26" fillId="7" borderId="4" xfId="0" applyNumberFormat="1" applyFont="1" applyFill="1" applyBorder="1" applyAlignment="1">
      <alignment horizontal="center" vertical="center"/>
    </xf>
    <xf numFmtId="187" fontId="27" fillId="7" borderId="4" xfId="0" applyNumberFormat="1" applyFont="1" applyFill="1" applyBorder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190" fontId="27" fillId="7" borderId="4" xfId="0" applyNumberFormat="1" applyFont="1" applyFill="1" applyBorder="1" applyAlignment="1">
      <alignment horizontal="center" vertical="center"/>
    </xf>
    <xf numFmtId="0" fontId="27" fillId="7" borderId="4" xfId="0" applyFont="1" applyFill="1" applyBorder="1" applyAlignment="1">
      <alignment vertical="center"/>
    </xf>
    <xf numFmtId="0" fontId="27" fillId="7" borderId="4" xfId="0" applyFont="1" applyFill="1" applyBorder="1" applyAlignment="1">
      <alignment horizontal="left" vertical="center"/>
    </xf>
    <xf numFmtId="3" fontId="27" fillId="7" borderId="4" xfId="0" applyNumberFormat="1" applyFont="1" applyFill="1" applyBorder="1" applyAlignment="1">
      <alignment horizontal="center" vertical="center"/>
    </xf>
    <xf numFmtId="189" fontId="27" fillId="7" borderId="4" xfId="0" applyNumberFormat="1" applyFont="1" applyFill="1" applyBorder="1" applyAlignment="1">
      <alignment horizontal="center" vertical="center"/>
    </xf>
    <xf numFmtId="3" fontId="27" fillId="7" borderId="4" xfId="0" applyNumberFormat="1" applyFont="1" applyFill="1" applyBorder="1" applyAlignment="1">
      <alignment vertical="center"/>
    </xf>
    <xf numFmtId="3" fontId="29" fillId="7" borderId="4" xfId="0" applyNumberFormat="1" applyFont="1" applyFill="1" applyBorder="1" applyAlignment="1">
      <alignment vertical="center"/>
    </xf>
    <xf numFmtId="191" fontId="28" fillId="7" borderId="4" xfId="0" applyNumberFormat="1" applyFont="1" applyFill="1" applyBorder="1" applyAlignment="1">
      <alignment vertical="center"/>
    </xf>
    <xf numFmtId="3" fontId="28" fillId="7" borderId="4" xfId="0" applyNumberFormat="1" applyFont="1" applyFill="1" applyBorder="1" applyAlignment="1">
      <alignment vertical="center"/>
    </xf>
    <xf numFmtId="4" fontId="27" fillId="7" borderId="4" xfId="0" applyNumberFormat="1" applyFont="1" applyFill="1" applyBorder="1" applyAlignment="1">
      <alignment vertical="center"/>
    </xf>
    <xf numFmtId="0" fontId="27" fillId="29" borderId="4" xfId="0" applyFont="1" applyFill="1" applyBorder="1" applyAlignment="1">
      <alignment horizontal="left" indent="1"/>
    </xf>
    <xf numFmtId="0" fontId="27" fillId="10" borderId="4" xfId="0" applyFont="1" applyFill="1" applyBorder="1" applyAlignment="1">
      <alignment horizontal="left" indent="1"/>
    </xf>
    <xf numFmtId="190" fontId="27" fillId="0" borderId="0" xfId="0" applyNumberFormat="1" applyFont="1" applyAlignment="1">
      <alignment horizontal="center" vertical="center"/>
    </xf>
    <xf numFmtId="187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right"/>
    </xf>
    <xf numFmtId="187" fontId="37" fillId="0" borderId="0" xfId="0" applyNumberFormat="1" applyFont="1" applyAlignment="1">
      <alignment horizontal="center"/>
    </xf>
    <xf numFmtId="187" fontId="38" fillId="0" borderId="0" xfId="0" applyNumberFormat="1" applyFont="1" applyAlignment="1">
      <alignment horizontal="center"/>
    </xf>
    <xf numFmtId="0" fontId="27" fillId="7" borderId="0" xfId="0" applyFont="1" applyFill="1" applyAlignment="1">
      <alignment horizontal="center"/>
    </xf>
    <xf numFmtId="190" fontId="27" fillId="7" borderId="0" xfId="0" applyNumberFormat="1" applyFont="1" applyFill="1" applyAlignment="1">
      <alignment horizontal="center"/>
    </xf>
    <xf numFmtId="187" fontId="39" fillId="0" borderId="0" xfId="0" applyNumberFormat="1" applyFont="1" applyAlignment="1">
      <alignment horizontal="center"/>
    </xf>
    <xf numFmtId="0" fontId="27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0" fontId="27" fillId="0" borderId="0" xfId="0" applyFont="1" applyAlignment="1">
      <alignment horizontal="left" indent="1"/>
    </xf>
    <xf numFmtId="16" fontId="41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3" fontId="27" fillId="0" borderId="0" xfId="0" applyNumberFormat="1" applyFont="1" applyAlignment="1">
      <alignment horizontal="center"/>
    </xf>
    <xf numFmtId="189" fontId="27" fillId="0" borderId="0" xfId="0" applyNumberFormat="1" applyFont="1" applyAlignment="1">
      <alignment horizontal="center"/>
    </xf>
    <xf numFmtId="3" fontId="29" fillId="0" borderId="0" xfId="0" applyNumberFormat="1" applyFont="1"/>
    <xf numFmtId="191" fontId="28" fillId="0" borderId="0" xfId="0" applyNumberFormat="1" applyFont="1"/>
    <xf numFmtId="3" fontId="28" fillId="0" borderId="0" xfId="0" applyNumberFormat="1" applyFont="1"/>
    <xf numFmtId="189" fontId="27" fillId="0" borderId="0" xfId="0" applyNumberFormat="1" applyFont="1"/>
    <xf numFmtId="0" fontId="42" fillId="0" borderId="0" xfId="3" applyFont="1" applyAlignment="1">
      <alignment horizontal="right" vertical="center"/>
    </xf>
    <xf numFmtId="187" fontId="37" fillId="0" borderId="1" xfId="3" applyNumberFormat="1" applyFont="1" applyBorder="1" applyAlignment="1">
      <alignment horizontal="center" vertical="center" wrapText="1"/>
    </xf>
    <xf numFmtId="187" fontId="43" fillId="2" borderId="1" xfId="3" applyNumberFormat="1" applyFont="1" applyFill="1" applyBorder="1" applyAlignment="1">
      <alignment horizontal="center" vertical="center" wrapText="1"/>
    </xf>
    <xf numFmtId="2" fontId="44" fillId="2" borderId="1" xfId="3" applyNumberFormat="1" applyFont="1" applyFill="1" applyBorder="1" applyAlignment="1">
      <alignment horizontal="center" vertical="center" wrapText="1"/>
    </xf>
    <xf numFmtId="190" fontId="44" fillId="2" borderId="1" xfId="3" applyNumberFormat="1" applyFont="1" applyFill="1" applyBorder="1" applyAlignment="1">
      <alignment horizontal="center" vertical="center" wrapText="1"/>
    </xf>
    <xf numFmtId="2" fontId="44" fillId="2" borderId="1" xfId="3" applyNumberFormat="1" applyFont="1" applyFill="1" applyBorder="1" applyAlignment="1">
      <alignment horizontal="center" vertical="center"/>
    </xf>
    <xf numFmtId="2" fontId="44" fillId="2" borderId="1" xfId="3" applyNumberFormat="1" applyFont="1" applyFill="1" applyBorder="1" applyAlignment="1">
      <alignment horizontal="left" vertical="center" indent="1"/>
    </xf>
    <xf numFmtId="2" fontId="45" fillId="2" borderId="1" xfId="3" applyNumberFormat="1" applyFont="1" applyFill="1" applyBorder="1" applyAlignment="1">
      <alignment horizontal="center" vertical="center"/>
    </xf>
    <xf numFmtId="3" fontId="44" fillId="2" borderId="1" xfId="3" applyNumberFormat="1" applyFont="1" applyFill="1" applyBorder="1" applyAlignment="1">
      <alignment horizontal="center" vertical="center"/>
    </xf>
    <xf numFmtId="189" fontId="44" fillId="2" borderId="1" xfId="3" applyNumberFormat="1" applyFont="1" applyFill="1" applyBorder="1" applyAlignment="1">
      <alignment horizontal="center" vertical="center"/>
    </xf>
    <xf numFmtId="3" fontId="44" fillId="2" borderId="1" xfId="3" applyNumberFormat="1" applyFont="1" applyFill="1" applyBorder="1" applyAlignment="1">
      <alignment horizontal="center" vertical="center" wrapText="1"/>
    </xf>
    <xf numFmtId="3" fontId="46" fillId="2" borderId="1" xfId="3" applyNumberFormat="1" applyFont="1" applyFill="1" applyBorder="1" applyAlignment="1">
      <alignment horizontal="center" vertical="center" wrapText="1"/>
    </xf>
    <xf numFmtId="191" fontId="47" fillId="2" borderId="1" xfId="3" applyNumberFormat="1" applyFont="1" applyFill="1" applyBorder="1" applyAlignment="1">
      <alignment horizontal="right" vertical="center"/>
    </xf>
    <xf numFmtId="3" fontId="47" fillId="2" borderId="1" xfId="3" applyNumberFormat="1" applyFont="1" applyFill="1" applyBorder="1" applyAlignment="1">
      <alignment horizontal="left" vertical="center"/>
    </xf>
    <xf numFmtId="3" fontId="48" fillId="2" borderId="1" xfId="3" applyNumberFormat="1" applyFont="1" applyFill="1" applyBorder="1" applyAlignment="1">
      <alignment horizontal="left" vertical="center"/>
    </xf>
    <xf numFmtId="2" fontId="44" fillId="2" borderId="1" xfId="1" applyNumberFormat="1" applyFont="1" applyFill="1" applyBorder="1" applyAlignment="1">
      <alignment horizontal="center" vertical="center" wrapText="1"/>
    </xf>
    <xf numFmtId="4" fontId="37" fillId="4" borderId="5" xfId="3" applyNumberFormat="1" applyFont="1" applyFill="1" applyBorder="1" applyAlignment="1">
      <alignment horizontal="center" vertical="center" wrapText="1"/>
    </xf>
    <xf numFmtId="4" fontId="37" fillId="5" borderId="5" xfId="3" applyNumberFormat="1" applyFont="1" applyFill="1" applyBorder="1" applyAlignment="1">
      <alignment horizontal="center" vertical="center" wrapText="1"/>
    </xf>
    <xf numFmtId="189" fontId="44" fillId="0" borderId="0" xfId="3" applyNumberFormat="1" applyFont="1" applyAlignment="1">
      <alignment horizontal="center" vertical="center"/>
    </xf>
    <xf numFmtId="4" fontId="30" fillId="0" borderId="0" xfId="3" applyNumberFormat="1" applyFont="1" applyAlignment="1">
      <alignment horizontal="center" vertical="center"/>
    </xf>
    <xf numFmtId="3" fontId="30" fillId="0" borderId="0" xfId="3" applyNumberFormat="1" applyFont="1" applyAlignment="1">
      <alignment horizontal="right" vertical="center"/>
    </xf>
    <xf numFmtId="2" fontId="37" fillId="27" borderId="3" xfId="3" applyNumberFormat="1" applyFont="1" applyFill="1" applyBorder="1" applyAlignment="1">
      <alignment vertical="center"/>
    </xf>
    <xf numFmtId="2" fontId="32" fillId="3" borderId="3" xfId="3" applyNumberFormat="1" applyFont="1" applyFill="1" applyBorder="1" applyAlignment="1">
      <alignment horizontal="left" vertical="center"/>
    </xf>
    <xf numFmtId="2" fontId="32" fillId="3" borderId="3" xfId="3" applyNumberFormat="1" applyFont="1" applyFill="1" applyBorder="1" applyAlignment="1">
      <alignment horizontal="left" vertical="center" wrapText="1"/>
    </xf>
    <xf numFmtId="187" fontId="26" fillId="6" borderId="4" xfId="0" applyNumberFormat="1" applyFont="1" applyFill="1" applyBorder="1" applyAlignment="1">
      <alignment horizontal="center"/>
    </xf>
    <xf numFmtId="187" fontId="27" fillId="6" borderId="4" xfId="0" applyNumberFormat="1" applyFont="1" applyFill="1" applyBorder="1" applyAlignment="1">
      <alignment horizontal="center"/>
    </xf>
    <xf numFmtId="0" fontId="27" fillId="6" borderId="4" xfId="0" applyFont="1" applyFill="1" applyBorder="1" applyAlignment="1">
      <alignment horizontal="center"/>
    </xf>
    <xf numFmtId="190" fontId="27" fillId="6" borderId="4" xfId="0" applyNumberFormat="1" applyFont="1" applyFill="1" applyBorder="1" applyAlignment="1">
      <alignment horizontal="center"/>
    </xf>
    <xf numFmtId="0" fontId="27" fillId="6" borderId="4" xfId="0" applyFont="1" applyFill="1" applyBorder="1"/>
    <xf numFmtId="0" fontId="27" fillId="6" borderId="4" xfId="0" applyFont="1" applyFill="1" applyBorder="1" applyAlignment="1">
      <alignment horizontal="left" indent="1"/>
    </xf>
    <xf numFmtId="3" fontId="27" fillId="6" borderId="4" xfId="0" applyNumberFormat="1" applyFont="1" applyFill="1" applyBorder="1" applyAlignment="1">
      <alignment horizontal="center"/>
    </xf>
    <xf numFmtId="189" fontId="27" fillId="6" borderId="4" xfId="0" applyNumberFormat="1" applyFont="1" applyFill="1" applyBorder="1" applyAlignment="1">
      <alignment horizontal="center"/>
    </xf>
    <xf numFmtId="3" fontId="27" fillId="6" borderId="4" xfId="0" applyNumberFormat="1" applyFont="1" applyFill="1" applyBorder="1"/>
    <xf numFmtId="3" fontId="29" fillId="6" borderId="4" xfId="0" applyNumberFormat="1" applyFont="1" applyFill="1" applyBorder="1"/>
    <xf numFmtId="191" fontId="28" fillId="6" borderId="4" xfId="0" applyNumberFormat="1" applyFont="1" applyFill="1" applyBorder="1"/>
    <xf numFmtId="3" fontId="28" fillId="6" borderId="4" xfId="0" applyNumberFormat="1" applyFont="1" applyFill="1" applyBorder="1"/>
    <xf numFmtId="4" fontId="27" fillId="6" borderId="4" xfId="0" applyNumberFormat="1" applyFont="1" applyFill="1" applyBorder="1"/>
    <xf numFmtId="189" fontId="27" fillId="6" borderId="6" xfId="0" applyNumberFormat="1" applyFont="1" applyFill="1" applyBorder="1"/>
    <xf numFmtId="4" fontId="27" fillId="6" borderId="0" xfId="0" applyNumberFormat="1" applyFont="1" applyFill="1"/>
    <xf numFmtId="187" fontId="26" fillId="0" borderId="0" xfId="0" applyNumberFormat="1" applyFont="1" applyAlignment="1">
      <alignment horizontal="center"/>
    </xf>
    <xf numFmtId="187" fontId="27" fillId="0" borderId="0" xfId="0" applyNumberFormat="1" applyFont="1" applyAlignment="1">
      <alignment horizontal="center"/>
    </xf>
    <xf numFmtId="190" fontId="27" fillId="0" borderId="0" xfId="0" applyNumberFormat="1" applyFont="1" applyAlignment="1">
      <alignment horizontal="center"/>
    </xf>
    <xf numFmtId="16" fontId="27" fillId="0" borderId="0" xfId="0" applyNumberFormat="1" applyFont="1" applyAlignment="1">
      <alignment horizontal="center"/>
    </xf>
    <xf numFmtId="187" fontId="27" fillId="0" borderId="8" xfId="0" applyNumberFormat="1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190" fontId="27" fillId="0" borderId="8" xfId="0" applyNumberFormat="1" applyFont="1" applyBorder="1" applyAlignment="1">
      <alignment horizontal="center" vertical="center"/>
    </xf>
    <xf numFmtId="0" fontId="27" fillId="0" borderId="8" xfId="0" applyFont="1" applyBorder="1" applyAlignment="1">
      <alignment vertical="center"/>
    </xf>
    <xf numFmtId="0" fontId="27" fillId="0" borderId="8" xfId="0" applyFont="1" applyBorder="1" applyAlignment="1">
      <alignment horizontal="left" vertical="center"/>
    </xf>
    <xf numFmtId="3" fontId="27" fillId="0" borderId="8" xfId="0" applyNumberFormat="1" applyFont="1" applyBorder="1" applyAlignment="1">
      <alignment horizontal="center" vertical="center"/>
    </xf>
    <xf numFmtId="189" fontId="27" fillId="0" borderId="8" xfId="0" applyNumberFormat="1" applyFont="1" applyBorder="1" applyAlignment="1">
      <alignment horizontal="center" vertical="center"/>
    </xf>
    <xf numFmtId="3" fontId="27" fillId="0" borderId="8" xfId="0" applyNumberFormat="1" applyFont="1" applyBorder="1" applyAlignment="1">
      <alignment vertical="center"/>
    </xf>
    <xf numFmtId="3" fontId="29" fillId="0" borderId="8" xfId="0" applyNumberFormat="1" applyFont="1" applyBorder="1" applyAlignment="1">
      <alignment vertical="center"/>
    </xf>
    <xf numFmtId="191" fontId="28" fillId="0" borderId="8" xfId="0" applyNumberFormat="1" applyFont="1" applyBorder="1" applyAlignment="1">
      <alignment vertical="center"/>
    </xf>
    <xf numFmtId="3" fontId="28" fillId="0" borderId="8" xfId="0" applyNumberFormat="1" applyFont="1" applyBorder="1" applyAlignment="1">
      <alignment vertical="center"/>
    </xf>
    <xf numFmtId="4" fontId="27" fillId="0" borderId="8" xfId="0" applyNumberFormat="1" applyFont="1" applyBorder="1" applyAlignment="1">
      <alignment vertical="center"/>
    </xf>
    <xf numFmtId="4" fontId="27" fillId="0" borderId="9" xfId="0" applyNumberFormat="1" applyFont="1" applyBorder="1" applyAlignment="1">
      <alignment vertical="center"/>
    </xf>
    <xf numFmtId="0" fontId="27" fillId="0" borderId="9" xfId="0" applyFont="1" applyBorder="1" applyAlignment="1">
      <alignment vertical="center"/>
    </xf>
    <xf numFmtId="187" fontId="26" fillId="0" borderId="7" xfId="0" applyNumberFormat="1" applyFont="1" applyBorder="1" applyAlignment="1">
      <alignment horizontal="left" vertical="center"/>
    </xf>
    <xf numFmtId="3" fontId="26" fillId="0" borderId="7" xfId="0" applyNumberFormat="1" applyFont="1" applyBorder="1" applyAlignment="1">
      <alignment vertical="center"/>
    </xf>
    <xf numFmtId="187" fontId="49" fillId="27" borderId="0" xfId="0" applyNumberFormat="1" applyFont="1" applyFill="1" applyAlignment="1">
      <alignment horizontal="center" vertical="center"/>
    </xf>
    <xf numFmtId="187" fontId="26" fillId="38" borderId="4" xfId="0" applyNumberFormat="1" applyFont="1" applyFill="1" applyBorder="1" applyAlignment="1">
      <alignment horizontal="center" vertical="center"/>
    </xf>
    <xf numFmtId="187" fontId="27" fillId="38" borderId="4" xfId="0" applyNumberFormat="1" applyFont="1" applyFill="1" applyBorder="1" applyAlignment="1">
      <alignment horizontal="center" vertical="center"/>
    </xf>
    <xf numFmtId="190" fontId="27" fillId="38" borderId="4" xfId="0" applyNumberFormat="1" applyFont="1" applyFill="1" applyBorder="1" applyAlignment="1">
      <alignment horizontal="center" vertical="center"/>
    </xf>
    <xf numFmtId="0" fontId="27" fillId="38" borderId="4" xfId="0" applyFont="1" applyFill="1" applyBorder="1" applyAlignment="1">
      <alignment horizontal="center" vertical="center"/>
    </xf>
    <xf numFmtId="0" fontId="27" fillId="38" borderId="4" xfId="0" applyFont="1" applyFill="1" applyBorder="1" applyAlignment="1">
      <alignment vertical="center"/>
    </xf>
    <xf numFmtId="0" fontId="27" fillId="38" borderId="4" xfId="0" applyFont="1" applyFill="1" applyBorder="1" applyAlignment="1">
      <alignment horizontal="left" vertical="center"/>
    </xf>
    <xf numFmtId="3" fontId="27" fillId="38" borderId="4" xfId="0" applyNumberFormat="1" applyFont="1" applyFill="1" applyBorder="1" applyAlignment="1">
      <alignment horizontal="center" vertical="center"/>
    </xf>
    <xf numFmtId="3" fontId="27" fillId="38" borderId="4" xfId="0" applyNumberFormat="1" applyFont="1" applyFill="1" applyBorder="1" applyAlignment="1">
      <alignment vertical="center"/>
    </xf>
    <xf numFmtId="3" fontId="29" fillId="38" borderId="4" xfId="0" applyNumberFormat="1" applyFont="1" applyFill="1" applyBorder="1" applyAlignment="1">
      <alignment vertical="center"/>
    </xf>
    <xf numFmtId="191" fontId="28" fillId="38" borderId="4" xfId="0" applyNumberFormat="1" applyFont="1" applyFill="1" applyBorder="1" applyAlignment="1">
      <alignment vertical="center"/>
    </xf>
    <xf numFmtId="3" fontId="28" fillId="38" borderId="4" xfId="0" applyNumberFormat="1" applyFont="1" applyFill="1" applyBorder="1" applyAlignment="1">
      <alignment vertical="center"/>
    </xf>
    <xf numFmtId="0" fontId="25" fillId="0" borderId="0" xfId="0" applyFont="1" applyAlignment="1">
      <alignment horizontal="right" vertical="center"/>
    </xf>
    <xf numFmtId="0" fontId="28" fillId="29" borderId="4" xfId="0" applyFont="1" applyFill="1" applyBorder="1" applyAlignment="1">
      <alignment horizontal="center" vertical="center"/>
    </xf>
    <xf numFmtId="0" fontId="28" fillId="19" borderId="4" xfId="0" applyFont="1" applyFill="1" applyBorder="1" applyAlignment="1">
      <alignment horizontal="center" vertical="center"/>
    </xf>
    <xf numFmtId="187" fontId="26" fillId="39" borderId="4" xfId="0" applyNumberFormat="1" applyFont="1" applyFill="1" applyBorder="1" applyAlignment="1">
      <alignment horizontal="center" vertical="center"/>
    </xf>
    <xf numFmtId="187" fontId="27" fillId="39" borderId="4" xfId="0" applyNumberFormat="1" applyFont="1" applyFill="1" applyBorder="1" applyAlignment="1">
      <alignment horizontal="center" vertical="center"/>
    </xf>
    <xf numFmtId="190" fontId="27" fillId="39" borderId="4" xfId="0" applyNumberFormat="1" applyFont="1" applyFill="1" applyBorder="1" applyAlignment="1">
      <alignment horizontal="center" vertical="center"/>
    </xf>
    <xf numFmtId="0" fontId="28" fillId="39" borderId="4" xfId="0" applyFont="1" applyFill="1" applyBorder="1" applyAlignment="1">
      <alignment horizontal="center" vertical="center"/>
    </xf>
    <xf numFmtId="0" fontId="27" fillId="39" borderId="4" xfId="0" applyFont="1" applyFill="1" applyBorder="1" applyAlignment="1">
      <alignment horizontal="center" vertical="center"/>
    </xf>
    <xf numFmtId="0" fontId="27" fillId="39" borderId="4" xfId="0" applyFont="1" applyFill="1" applyBorder="1" applyAlignment="1">
      <alignment vertical="center"/>
    </xf>
    <xf numFmtId="0" fontId="27" fillId="39" borderId="4" xfId="0" applyFont="1" applyFill="1" applyBorder="1" applyAlignment="1">
      <alignment horizontal="left" vertical="center"/>
    </xf>
    <xf numFmtId="3" fontId="27" fillId="39" borderId="4" xfId="0" applyNumberFormat="1" applyFont="1" applyFill="1" applyBorder="1" applyAlignment="1">
      <alignment horizontal="center" vertical="center"/>
    </xf>
    <xf numFmtId="189" fontId="27" fillId="39" borderId="4" xfId="0" applyNumberFormat="1" applyFont="1" applyFill="1" applyBorder="1" applyAlignment="1">
      <alignment horizontal="center" vertical="center"/>
    </xf>
    <xf numFmtId="3" fontId="27" fillId="39" borderId="4" xfId="0" applyNumberFormat="1" applyFont="1" applyFill="1" applyBorder="1" applyAlignment="1">
      <alignment vertical="center"/>
    </xf>
    <xf numFmtId="3" fontId="29" fillId="39" borderId="4" xfId="0" applyNumberFormat="1" applyFont="1" applyFill="1" applyBorder="1" applyAlignment="1">
      <alignment vertical="center"/>
    </xf>
    <xf numFmtId="191" fontId="28" fillId="39" borderId="4" xfId="0" applyNumberFormat="1" applyFont="1" applyFill="1" applyBorder="1" applyAlignment="1">
      <alignment vertical="center"/>
    </xf>
    <xf numFmtId="3" fontId="28" fillId="39" borderId="4" xfId="0" applyNumberFormat="1" applyFont="1" applyFill="1" applyBorder="1" applyAlignment="1">
      <alignment vertical="center"/>
    </xf>
    <xf numFmtId="0" fontId="28" fillId="31" borderId="4" xfId="0" applyFont="1" applyFill="1" applyBorder="1" applyAlignment="1">
      <alignment horizontal="center" vertical="center"/>
    </xf>
    <xf numFmtId="187" fontId="27" fillId="22" borderId="4" xfId="0" quotePrefix="1" applyNumberFormat="1" applyFont="1" applyFill="1" applyBorder="1" applyAlignment="1">
      <alignment horizontal="center" vertical="center"/>
    </xf>
    <xf numFmtId="0" fontId="28" fillId="30" borderId="4" xfId="0" applyFont="1" applyFill="1" applyBorder="1" applyAlignment="1">
      <alignment vertical="center"/>
    </xf>
    <xf numFmtId="0" fontId="28" fillId="17" borderId="4" xfId="0" applyFont="1" applyFill="1" applyBorder="1" applyAlignment="1">
      <alignment horizontal="center" vertical="center"/>
    </xf>
    <xf numFmtId="0" fontId="28" fillId="19" borderId="4" xfId="0" applyFont="1" applyFill="1" applyBorder="1" applyAlignment="1">
      <alignment vertical="center"/>
    </xf>
    <xf numFmtId="0" fontId="50" fillId="15" borderId="4" xfId="0" applyFont="1" applyFill="1" applyBorder="1" applyAlignment="1">
      <alignment horizontal="center" vertical="center"/>
    </xf>
    <xf numFmtId="187" fontId="27" fillId="24" borderId="4" xfId="0" quotePrefix="1" applyNumberFormat="1" applyFont="1" applyFill="1" applyBorder="1" applyAlignment="1">
      <alignment horizontal="center" vertical="center"/>
    </xf>
    <xf numFmtId="187" fontId="27" fillId="33" borderId="4" xfId="0" applyNumberFormat="1" applyFont="1" applyFill="1" applyBorder="1" applyAlignment="1">
      <alignment horizontal="center" vertical="center"/>
    </xf>
    <xf numFmtId="190" fontId="27" fillId="33" borderId="4" xfId="0" applyNumberFormat="1" applyFont="1" applyFill="1" applyBorder="1" applyAlignment="1">
      <alignment horizontal="center" vertical="center"/>
    </xf>
    <xf numFmtId="3" fontId="26" fillId="33" borderId="4" xfId="0" applyNumberFormat="1" applyFont="1" applyFill="1" applyBorder="1" applyAlignment="1">
      <alignment vertical="center"/>
    </xf>
    <xf numFmtId="187" fontId="27" fillId="32" borderId="4" xfId="0" quotePrefix="1" applyNumberFormat="1" applyFont="1" applyFill="1" applyBorder="1" applyAlignment="1">
      <alignment horizontal="center" vertical="center"/>
    </xf>
    <xf numFmtId="2" fontId="27" fillId="0" borderId="10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2" fontId="27" fillId="0" borderId="10" xfId="0" quotePrefix="1" applyNumberFormat="1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31" fillId="2" borderId="1" xfId="3" applyFont="1" applyFill="1" applyBorder="1" applyAlignment="1">
      <alignment horizontal="center" vertical="center" wrapText="1"/>
    </xf>
    <xf numFmtId="0" fontId="0" fillId="13" borderId="6" xfId="0" applyFill="1" applyBorder="1"/>
    <xf numFmtId="0" fontId="0" fillId="0" borderId="0" xfId="0" applyAlignment="1">
      <alignment horizontal="center" vertical="center"/>
    </xf>
    <xf numFmtId="4" fontId="0" fillId="13" borderId="6" xfId="0" applyNumberFormat="1" applyFill="1" applyBorder="1" applyAlignment="1">
      <alignment horizontal="center" vertical="center"/>
    </xf>
    <xf numFmtId="4" fontId="0" fillId="13" borderId="6" xfId="0" applyNumberFormat="1" applyFill="1" applyBorder="1"/>
    <xf numFmtId="0" fontId="51" fillId="0" borderId="0" xfId="0" applyFont="1"/>
    <xf numFmtId="4" fontId="51" fillId="9" borderId="0" xfId="0" applyNumberFormat="1" applyFont="1" applyFill="1"/>
    <xf numFmtId="0" fontId="51" fillId="0" borderId="0" xfId="0" applyFont="1" applyAlignment="1">
      <alignment horizontal="center" vertical="center"/>
    </xf>
    <xf numFmtId="4" fontId="51" fillId="9" borderId="0" xfId="0" applyNumberFormat="1" applyFont="1" applyFill="1" applyAlignment="1">
      <alignment horizontal="center" vertical="center"/>
    </xf>
    <xf numFmtId="0" fontId="51" fillId="9" borderId="0" xfId="0" applyFont="1" applyFill="1" applyAlignment="1">
      <alignment vertical="center"/>
    </xf>
    <xf numFmtId="187" fontId="27" fillId="33" borderId="4" xfId="0" quotePrefix="1" applyNumberFormat="1" applyFont="1" applyFill="1" applyBorder="1" applyAlignment="1">
      <alignment horizontal="center" vertical="center"/>
    </xf>
    <xf numFmtId="1" fontId="27" fillId="0" borderId="10" xfId="0" quotePrefix="1" applyNumberFormat="1" applyFont="1" applyBorder="1" applyAlignment="1">
      <alignment horizontal="center" vertical="center"/>
    </xf>
    <xf numFmtId="2" fontId="27" fillId="0" borderId="10" xfId="0" applyNumberFormat="1" applyFont="1" applyBorder="1" applyAlignment="1">
      <alignment vertical="center"/>
    </xf>
    <xf numFmtId="1" fontId="27" fillId="0" borderId="10" xfId="0" applyNumberFormat="1" applyFont="1" applyBorder="1" applyAlignment="1">
      <alignment horizontal="left" vertical="center"/>
    </xf>
    <xf numFmtId="2" fontId="27" fillId="0" borderId="10" xfId="0" applyNumberFormat="1" applyFont="1" applyBorder="1" applyAlignment="1">
      <alignment horizontal="left" vertical="center"/>
    </xf>
    <xf numFmtId="0" fontId="27" fillId="0" borderId="10" xfId="0" applyFont="1" applyBorder="1" applyAlignment="1">
      <alignment horizontal="center" vertical="center"/>
    </xf>
    <xf numFmtId="0" fontId="26" fillId="40" borderId="4" xfId="3" applyFont="1" applyFill="1" applyBorder="1" applyAlignment="1">
      <alignment horizontal="center" vertical="center"/>
    </xf>
    <xf numFmtId="195" fontId="27" fillId="0" borderId="8" xfId="0" applyNumberFormat="1" applyFont="1" applyBorder="1" applyAlignment="1">
      <alignment horizontal="center" vertical="center"/>
    </xf>
    <xf numFmtId="195" fontId="27" fillId="0" borderId="0" xfId="0" applyNumberFormat="1" applyFont="1" applyAlignment="1">
      <alignment horizontal="center" vertical="center"/>
    </xf>
    <xf numFmtId="195" fontId="32" fillId="2" borderId="1" xfId="3" applyNumberFormat="1" applyFont="1" applyFill="1" applyBorder="1" applyAlignment="1">
      <alignment horizontal="center" vertical="center"/>
    </xf>
    <xf numFmtId="195" fontId="27" fillId="6" borderId="4" xfId="0" applyNumberFormat="1" applyFont="1" applyFill="1" applyBorder="1" applyAlignment="1">
      <alignment horizontal="center" vertical="center"/>
    </xf>
    <xf numFmtId="195" fontId="27" fillId="28" borderId="4" xfId="0" applyNumberFormat="1" applyFont="1" applyFill="1" applyBorder="1" applyAlignment="1">
      <alignment horizontal="center" vertical="center"/>
    </xf>
    <xf numFmtId="195" fontId="27" fillId="0" borderId="4" xfId="0" applyNumberFormat="1" applyFont="1" applyBorder="1" applyAlignment="1">
      <alignment horizontal="center" vertical="center"/>
    </xf>
    <xf numFmtId="195" fontId="27" fillId="18" borderId="4" xfId="0" applyNumberFormat="1" applyFont="1" applyFill="1" applyBorder="1" applyAlignment="1">
      <alignment vertical="center"/>
    </xf>
    <xf numFmtId="195" fontId="27" fillId="19" borderId="4" xfId="0" applyNumberFormat="1" applyFont="1" applyFill="1" applyBorder="1" applyAlignment="1">
      <alignment horizontal="center" vertical="center"/>
    </xf>
    <xf numFmtId="195" fontId="27" fillId="32" borderId="4" xfId="0" applyNumberFormat="1" applyFont="1" applyFill="1" applyBorder="1" applyAlignment="1">
      <alignment horizontal="center" vertical="center"/>
    </xf>
    <xf numFmtId="195" fontId="27" fillId="15" borderId="4" xfId="0" applyNumberFormat="1" applyFont="1" applyFill="1" applyBorder="1" applyAlignment="1">
      <alignment horizontal="center" vertical="center"/>
    </xf>
    <xf numFmtId="195" fontId="27" fillId="12" borderId="4" xfId="0" applyNumberFormat="1" applyFont="1" applyFill="1" applyBorder="1" applyAlignment="1">
      <alignment horizontal="center" vertical="center"/>
    </xf>
    <xf numFmtId="195" fontId="27" fillId="16" borderId="4" xfId="0" applyNumberFormat="1" applyFont="1" applyFill="1" applyBorder="1" applyAlignment="1">
      <alignment horizontal="center" vertical="center"/>
    </xf>
    <xf numFmtId="195" fontId="27" fillId="22" borderId="4" xfId="0" applyNumberFormat="1" applyFont="1" applyFill="1" applyBorder="1" applyAlignment="1">
      <alignment horizontal="center" vertical="center"/>
    </xf>
    <xf numFmtId="195" fontId="27" fillId="13" borderId="4" xfId="0" applyNumberFormat="1" applyFont="1" applyFill="1" applyBorder="1" applyAlignment="1">
      <alignment horizontal="center" vertical="center"/>
    </xf>
    <xf numFmtId="195" fontId="27" fillId="8" borderId="4" xfId="0" applyNumberFormat="1" applyFont="1" applyFill="1" applyBorder="1" applyAlignment="1">
      <alignment horizontal="center" vertical="center"/>
    </xf>
    <xf numFmtId="195" fontId="27" fillId="10" borderId="4" xfId="0" applyNumberFormat="1" applyFont="1" applyFill="1" applyBorder="1" applyAlignment="1">
      <alignment horizontal="center" vertical="center"/>
    </xf>
    <xf numFmtId="195" fontId="27" fillId="21" borderId="4" xfId="0" applyNumberFormat="1" applyFont="1" applyFill="1" applyBorder="1" applyAlignment="1">
      <alignment horizontal="center" vertical="center"/>
    </xf>
    <xf numFmtId="195" fontId="27" fillId="24" borderId="4" xfId="0" applyNumberFormat="1" applyFont="1" applyFill="1" applyBorder="1" applyAlignment="1">
      <alignment horizontal="center" vertical="center"/>
    </xf>
    <xf numFmtId="195" fontId="27" fillId="11" borderId="4" xfId="0" applyNumberFormat="1" applyFont="1" applyFill="1" applyBorder="1" applyAlignment="1">
      <alignment horizontal="center" vertical="center"/>
    </xf>
    <xf numFmtId="195" fontId="27" fillId="10" borderId="4" xfId="0" applyNumberFormat="1" applyFont="1" applyFill="1" applyBorder="1" applyAlignment="1">
      <alignment vertical="center"/>
    </xf>
    <xf numFmtId="195" fontId="27" fillId="18" borderId="4" xfId="0" applyNumberFormat="1" applyFont="1" applyFill="1" applyBorder="1" applyAlignment="1">
      <alignment horizontal="center" vertical="center"/>
    </xf>
    <xf numFmtId="195" fontId="27" fillId="14" borderId="4" xfId="0" applyNumberFormat="1" applyFont="1" applyFill="1" applyBorder="1" applyAlignment="1">
      <alignment horizontal="center" vertical="center"/>
    </xf>
    <xf numFmtId="195" fontId="27" fillId="31" borderId="4" xfId="0" applyNumberFormat="1" applyFont="1" applyFill="1" applyBorder="1" applyAlignment="1">
      <alignment horizontal="center" vertical="center"/>
    </xf>
    <xf numFmtId="195" fontId="27" fillId="23" borderId="4" xfId="0" applyNumberFormat="1" applyFont="1" applyFill="1" applyBorder="1" applyAlignment="1">
      <alignment horizontal="center" vertical="center"/>
    </xf>
    <xf numFmtId="195" fontId="27" fillId="29" borderId="4" xfId="0" applyNumberFormat="1" applyFont="1" applyFill="1" applyBorder="1" applyAlignment="1">
      <alignment horizontal="center" vertical="center"/>
    </xf>
    <xf numFmtId="195" fontId="27" fillId="17" borderId="4" xfId="0" applyNumberFormat="1" applyFont="1" applyFill="1" applyBorder="1" applyAlignment="1">
      <alignment horizontal="center" vertical="center"/>
    </xf>
    <xf numFmtId="195" fontId="27" fillId="20" borderId="4" xfId="0" applyNumberFormat="1" applyFont="1" applyFill="1" applyBorder="1" applyAlignment="1">
      <alignment horizontal="center" vertical="center"/>
    </xf>
    <xf numFmtId="195" fontId="27" fillId="25" borderId="4" xfId="0" applyNumberFormat="1" applyFont="1" applyFill="1" applyBorder="1" applyAlignment="1">
      <alignment horizontal="center" vertical="center"/>
    </xf>
    <xf numFmtId="195" fontId="27" fillId="35" borderId="4" xfId="0" applyNumberFormat="1" applyFont="1" applyFill="1" applyBorder="1" applyAlignment="1">
      <alignment horizontal="center" vertical="center"/>
    </xf>
    <xf numFmtId="195" fontId="27" fillId="27" borderId="4" xfId="0" applyNumberFormat="1" applyFont="1" applyFill="1" applyBorder="1" applyAlignment="1">
      <alignment horizontal="center" vertical="center"/>
    </xf>
    <xf numFmtId="195" fontId="27" fillId="9" borderId="4" xfId="0" applyNumberFormat="1" applyFont="1" applyFill="1" applyBorder="1" applyAlignment="1">
      <alignment horizontal="center" vertical="center"/>
    </xf>
    <xf numFmtId="195" fontId="27" fillId="30" borderId="4" xfId="0" applyNumberFormat="1" applyFont="1" applyFill="1" applyBorder="1" applyAlignment="1">
      <alignment horizontal="center" vertical="center"/>
    </xf>
    <xf numFmtId="195" fontId="27" fillId="34" borderId="4" xfId="0" applyNumberFormat="1" applyFont="1" applyFill="1" applyBorder="1" applyAlignment="1">
      <alignment horizontal="center" vertical="center"/>
    </xf>
    <xf numFmtId="195" fontId="27" fillId="33" borderId="4" xfId="0" applyNumberFormat="1" applyFont="1" applyFill="1" applyBorder="1" applyAlignment="1">
      <alignment horizontal="center" vertical="center"/>
    </xf>
    <xf numFmtId="195" fontId="27" fillId="36" borderId="4" xfId="0" applyNumberFormat="1" applyFont="1" applyFill="1" applyBorder="1" applyAlignment="1">
      <alignment horizontal="center" vertical="center"/>
    </xf>
    <xf numFmtId="195" fontId="27" fillId="39" borderId="4" xfId="0" applyNumberFormat="1" applyFont="1" applyFill="1" applyBorder="1" applyAlignment="1">
      <alignment horizontal="center" vertical="center"/>
    </xf>
    <xf numFmtId="195" fontId="27" fillId="38" borderId="4" xfId="0" applyNumberFormat="1" applyFont="1" applyFill="1" applyBorder="1" applyAlignment="1">
      <alignment horizontal="center" vertical="center"/>
    </xf>
    <xf numFmtId="195" fontId="27" fillId="7" borderId="4" xfId="0" applyNumberFormat="1" applyFont="1" applyFill="1" applyBorder="1" applyAlignment="1">
      <alignment horizontal="center" vertical="center"/>
    </xf>
    <xf numFmtId="0" fontId="26" fillId="27" borderId="0" xfId="3" applyFont="1" applyFill="1" applyAlignment="1">
      <alignment horizontal="center" vertical="center"/>
    </xf>
    <xf numFmtId="0" fontId="52" fillId="27" borderId="0" xfId="0" applyFont="1" applyFill="1"/>
    <xf numFmtId="0" fontId="0" fillId="27" borderId="0" xfId="0" applyFill="1"/>
    <xf numFmtId="0" fontId="28" fillId="9" borderId="4" xfId="0" applyFont="1" applyFill="1" applyBorder="1" applyAlignment="1">
      <alignment horizontal="center" vertical="center"/>
    </xf>
    <xf numFmtId="187" fontId="27" fillId="8" borderId="4" xfId="0" quotePrefix="1" applyNumberFormat="1" applyFont="1" applyFill="1" applyBorder="1" applyAlignment="1">
      <alignment horizontal="center" vertical="center"/>
    </xf>
    <xf numFmtId="187" fontId="27" fillId="19" borderId="4" xfId="0" quotePrefix="1" applyNumberFormat="1" applyFont="1" applyFill="1" applyBorder="1" applyAlignment="1">
      <alignment horizontal="center" vertical="center"/>
    </xf>
    <xf numFmtId="3" fontId="27" fillId="41" borderId="4" xfId="0" applyNumberFormat="1" applyFont="1" applyFill="1" applyBorder="1" applyAlignment="1">
      <alignment vertical="center"/>
    </xf>
    <xf numFmtId="0" fontId="28" fillId="36" borderId="4" xfId="0" applyFont="1" applyFill="1" applyBorder="1" applyAlignment="1">
      <alignment horizontal="center" vertical="center"/>
    </xf>
    <xf numFmtId="187" fontId="27" fillId="38" borderId="4" xfId="0" quotePrefix="1" applyNumberFormat="1" applyFont="1" applyFill="1" applyBorder="1" applyAlignment="1">
      <alignment horizontal="center" vertical="center"/>
    </xf>
    <xf numFmtId="189" fontId="27" fillId="38" borderId="4" xfId="0" applyNumberFormat="1" applyFont="1" applyFill="1" applyBorder="1" applyAlignment="1">
      <alignment horizontal="center" vertical="center"/>
    </xf>
    <xf numFmtId="3" fontId="26" fillId="38" borderId="4" xfId="0" applyNumberFormat="1" applyFont="1" applyFill="1" applyBorder="1" applyAlignment="1">
      <alignment vertical="center"/>
    </xf>
    <xf numFmtId="195" fontId="27" fillId="39" borderId="4" xfId="0" applyNumberFormat="1" applyFont="1" applyFill="1" applyBorder="1" applyAlignment="1">
      <alignment vertical="center"/>
    </xf>
    <xf numFmtId="0" fontId="34" fillId="0" borderId="4" xfId="0" applyFont="1" applyBorder="1" applyAlignment="1">
      <alignment horizontal="center" vertical="center"/>
    </xf>
    <xf numFmtId="0" fontId="34" fillId="12" borderId="4" xfId="0" applyFont="1" applyFill="1" applyBorder="1" applyAlignment="1">
      <alignment horizontal="center" vertical="center"/>
    </xf>
    <xf numFmtId="0" fontId="28" fillId="12" borderId="4" xfId="0" applyFont="1" applyFill="1" applyBorder="1" applyAlignment="1">
      <alignment vertical="center"/>
    </xf>
    <xf numFmtId="187" fontId="28" fillId="22" borderId="4" xfId="0" applyNumberFormat="1" applyFont="1" applyFill="1" applyBorder="1" applyAlignment="1">
      <alignment horizontal="center" vertical="center"/>
    </xf>
    <xf numFmtId="190" fontId="28" fillId="22" borderId="4" xfId="0" applyNumberFormat="1" applyFont="1" applyFill="1" applyBorder="1" applyAlignment="1">
      <alignment horizontal="center" vertical="center"/>
    </xf>
    <xf numFmtId="0" fontId="28" fillId="22" borderId="4" xfId="0" applyFont="1" applyFill="1" applyBorder="1" applyAlignment="1">
      <alignment horizontal="center" vertical="center"/>
    </xf>
    <xf numFmtId="187" fontId="28" fillId="38" borderId="4" xfId="0" applyNumberFormat="1" applyFont="1" applyFill="1" applyBorder="1" applyAlignment="1">
      <alignment horizontal="center" vertical="center"/>
    </xf>
    <xf numFmtId="190" fontId="28" fillId="38" borderId="4" xfId="0" applyNumberFormat="1" applyFont="1" applyFill="1" applyBorder="1" applyAlignment="1">
      <alignment horizontal="center" vertical="center"/>
    </xf>
    <xf numFmtId="0" fontId="34" fillId="38" borderId="4" xfId="0" applyFont="1" applyFill="1" applyBorder="1" applyAlignment="1">
      <alignment horizontal="center" vertical="center"/>
    </xf>
    <xf numFmtId="187" fontId="27" fillId="36" borderId="4" xfId="0" quotePrefix="1" applyNumberFormat="1" applyFont="1" applyFill="1" applyBorder="1" applyAlignment="1">
      <alignment horizontal="center" vertical="center"/>
    </xf>
    <xf numFmtId="3" fontId="26" fillId="36" borderId="4" xfId="0" applyNumberFormat="1" applyFont="1" applyFill="1" applyBorder="1" applyAlignment="1">
      <alignment vertical="center"/>
    </xf>
    <xf numFmtId="0" fontId="26" fillId="39" borderId="4" xfId="0" applyFont="1" applyFill="1" applyBorder="1" applyAlignment="1">
      <alignment horizontal="center" vertical="center"/>
    </xf>
    <xf numFmtId="0" fontId="26" fillId="30" borderId="4" xfId="0" applyFont="1" applyFill="1" applyBorder="1" applyAlignment="1">
      <alignment horizontal="center" vertical="center"/>
    </xf>
    <xf numFmtId="0" fontId="34" fillId="30" borderId="4" xfId="0" applyFont="1" applyFill="1" applyBorder="1" applyAlignment="1">
      <alignment horizontal="center" vertical="center"/>
    </xf>
    <xf numFmtId="2" fontId="28" fillId="27" borderId="4" xfId="0" applyNumberFormat="1" applyFont="1" applyFill="1" applyBorder="1" applyAlignment="1">
      <alignment vertical="center"/>
    </xf>
    <xf numFmtId="1" fontId="28" fillId="0" borderId="10" xfId="0" applyNumberFormat="1" applyFont="1" applyBorder="1" applyAlignment="1">
      <alignment horizontal="center" vertical="center"/>
    </xf>
    <xf numFmtId="2" fontId="28" fillId="0" borderId="10" xfId="0" applyNumberFormat="1" applyFont="1" applyBorder="1" applyAlignment="1">
      <alignment horizontal="center" vertical="center"/>
    </xf>
    <xf numFmtId="1" fontId="27" fillId="27" borderId="10" xfId="0" applyNumberFormat="1" applyFont="1" applyFill="1" applyBorder="1" applyAlignment="1">
      <alignment horizontal="center" vertical="center"/>
    </xf>
    <xf numFmtId="187" fontId="27" fillId="12" borderId="4" xfId="0" quotePrefix="1" applyNumberFormat="1" applyFont="1" applyFill="1" applyBorder="1" applyAlignment="1">
      <alignment horizontal="center" vertical="center"/>
    </xf>
    <xf numFmtId="0" fontId="28" fillId="35" borderId="4" xfId="0" applyFont="1" applyFill="1" applyBorder="1" applyAlignment="1">
      <alignment horizontal="center" vertical="center"/>
    </xf>
    <xf numFmtId="0" fontId="34" fillId="8" borderId="4" xfId="0" applyFont="1" applyFill="1" applyBorder="1" applyAlignment="1">
      <alignment horizontal="center" vertical="center"/>
    </xf>
    <xf numFmtId="2" fontId="26" fillId="27" borderId="10" xfId="3" applyNumberFormat="1" applyFont="1" applyFill="1" applyBorder="1" applyAlignment="1">
      <alignment horizontal="center" vertical="center"/>
    </xf>
    <xf numFmtId="2" fontId="32" fillId="3" borderId="10" xfId="3" applyNumberFormat="1" applyFont="1" applyFill="1" applyBorder="1" applyAlignment="1">
      <alignment horizontal="center" vertical="center"/>
    </xf>
    <xf numFmtId="2" fontId="32" fillId="3" borderId="10" xfId="3" applyNumberFormat="1" applyFont="1" applyFill="1" applyBorder="1" applyAlignment="1">
      <alignment horizontal="center" vertical="center" wrapText="1"/>
    </xf>
    <xf numFmtId="3" fontId="26" fillId="32" borderId="4" xfId="0" applyNumberFormat="1" applyFont="1" applyFill="1" applyBorder="1" applyAlignment="1">
      <alignment vertical="center"/>
    </xf>
    <xf numFmtId="187" fontId="27" fillId="30" borderId="4" xfId="0" quotePrefix="1" applyNumberFormat="1" applyFont="1" applyFill="1" applyBorder="1" applyAlignment="1">
      <alignment horizontal="center" vertical="center"/>
    </xf>
    <xf numFmtId="0" fontId="34" fillId="32" borderId="4" xfId="0" applyFont="1" applyFill="1" applyBorder="1" applyAlignment="1">
      <alignment horizontal="center" vertical="center"/>
    </xf>
    <xf numFmtId="187" fontId="27" fillId="31" borderId="4" xfId="0" quotePrefix="1" applyNumberFormat="1" applyFont="1" applyFill="1" applyBorder="1" applyAlignment="1">
      <alignment horizontal="center" vertical="center"/>
    </xf>
    <xf numFmtId="187" fontId="26" fillId="42" borderId="4" xfId="0" applyNumberFormat="1" applyFont="1" applyFill="1" applyBorder="1" applyAlignment="1">
      <alignment horizontal="center" vertical="center"/>
    </xf>
    <xf numFmtId="0" fontId="27" fillId="42" borderId="4" xfId="0" applyFont="1" applyFill="1" applyBorder="1" applyAlignment="1">
      <alignment horizontal="center" vertical="center"/>
    </xf>
    <xf numFmtId="187" fontId="27" fillId="42" borderId="4" xfId="0" applyNumberFormat="1" applyFont="1" applyFill="1" applyBorder="1" applyAlignment="1">
      <alignment horizontal="center" vertical="center"/>
    </xf>
    <xf numFmtId="190" fontId="27" fillId="42" borderId="4" xfId="0" applyNumberFormat="1" applyFont="1" applyFill="1" applyBorder="1" applyAlignment="1">
      <alignment horizontal="center" vertical="center"/>
    </xf>
    <xf numFmtId="0" fontId="27" fillId="42" borderId="4" xfId="0" applyFont="1" applyFill="1" applyBorder="1" applyAlignment="1">
      <alignment vertical="center"/>
    </xf>
    <xf numFmtId="0" fontId="27" fillId="42" borderId="4" xfId="0" applyFont="1" applyFill="1" applyBorder="1" applyAlignment="1">
      <alignment horizontal="left" vertical="center"/>
    </xf>
    <xf numFmtId="3" fontId="27" fillId="42" borderId="4" xfId="0" applyNumberFormat="1" applyFont="1" applyFill="1" applyBorder="1" applyAlignment="1">
      <alignment horizontal="center" vertical="center"/>
    </xf>
    <xf numFmtId="189" fontId="27" fillId="42" borderId="4" xfId="0" applyNumberFormat="1" applyFont="1" applyFill="1" applyBorder="1" applyAlignment="1">
      <alignment horizontal="center" vertical="center"/>
    </xf>
    <xf numFmtId="3" fontId="27" fillId="42" borderId="4" xfId="0" applyNumberFormat="1" applyFont="1" applyFill="1" applyBorder="1" applyAlignment="1">
      <alignment vertical="center"/>
    </xf>
    <xf numFmtId="3" fontId="29" fillId="42" borderId="4" xfId="0" applyNumberFormat="1" applyFont="1" applyFill="1" applyBorder="1" applyAlignment="1">
      <alignment vertical="center"/>
    </xf>
    <xf numFmtId="191" fontId="28" fillId="42" borderId="4" xfId="0" applyNumberFormat="1" applyFont="1" applyFill="1" applyBorder="1" applyAlignment="1">
      <alignment vertical="center"/>
    </xf>
    <xf numFmtId="3" fontId="28" fillId="42" borderId="4" xfId="0" applyNumberFormat="1" applyFont="1" applyFill="1" applyBorder="1" applyAlignment="1">
      <alignment vertical="center"/>
    </xf>
    <xf numFmtId="195" fontId="27" fillId="42" borderId="4" xfId="0" applyNumberFormat="1" applyFont="1" applyFill="1" applyBorder="1" applyAlignment="1">
      <alignment horizontal="center" vertical="center"/>
    </xf>
    <xf numFmtId="17" fontId="26" fillId="42" borderId="4" xfId="0" quotePrefix="1" applyNumberFormat="1" applyFont="1" applyFill="1" applyBorder="1" applyAlignment="1">
      <alignment horizontal="center" vertical="center"/>
    </xf>
    <xf numFmtId="190" fontId="28" fillId="27" borderId="4" xfId="0" applyNumberFormat="1" applyFont="1" applyFill="1" applyBorder="1" applyAlignment="1">
      <alignment horizontal="center" vertical="center"/>
    </xf>
    <xf numFmtId="3" fontId="28" fillId="27" borderId="4" xfId="0" applyNumberFormat="1" applyFont="1" applyFill="1" applyBorder="1" applyAlignment="1">
      <alignment horizontal="center" vertical="center"/>
    </xf>
    <xf numFmtId="189" fontId="28" fillId="27" borderId="4" xfId="0" applyNumberFormat="1" applyFont="1" applyFill="1" applyBorder="1" applyAlignment="1">
      <alignment horizontal="center" vertical="center"/>
    </xf>
    <xf numFmtId="3" fontId="53" fillId="27" borderId="4" xfId="0" applyNumberFormat="1" applyFont="1" applyFill="1" applyBorder="1" applyAlignment="1">
      <alignment vertical="center"/>
    </xf>
    <xf numFmtId="195" fontId="28" fillId="27" borderId="4" xfId="0" applyNumberFormat="1" applyFont="1" applyFill="1" applyBorder="1" applyAlignment="1">
      <alignment horizontal="center" vertical="center"/>
    </xf>
    <xf numFmtId="4" fontId="28" fillId="27" borderId="4" xfId="0" applyNumberFormat="1" applyFont="1" applyFill="1" applyBorder="1" applyAlignment="1">
      <alignment vertical="center"/>
    </xf>
    <xf numFmtId="189" fontId="28" fillId="27" borderId="6" xfId="0" applyNumberFormat="1" applyFont="1" applyFill="1" applyBorder="1" applyAlignment="1">
      <alignment vertical="center"/>
    </xf>
    <xf numFmtId="4" fontId="28" fillId="27" borderId="0" xfId="0" applyNumberFormat="1" applyFont="1" applyFill="1" applyAlignment="1">
      <alignment vertical="center"/>
    </xf>
    <xf numFmtId="187" fontId="27" fillId="0" borderId="4" xfId="0" quotePrefix="1" applyNumberFormat="1" applyFont="1" applyBorder="1" applyAlignment="1">
      <alignment horizontal="center" vertical="center"/>
    </xf>
    <xf numFmtId="195" fontId="27" fillId="24" borderId="4" xfId="0" applyNumberFormat="1" applyFont="1" applyFill="1" applyBorder="1" applyAlignment="1">
      <alignment vertical="center"/>
    </xf>
    <xf numFmtId="0" fontId="27" fillId="24" borderId="4" xfId="0" applyFont="1" applyFill="1" applyBorder="1" applyAlignment="1">
      <alignment vertical="center" wrapText="1"/>
    </xf>
    <xf numFmtId="0" fontId="34" fillId="24" borderId="4" xfId="0" applyFont="1" applyFill="1" applyBorder="1" applyAlignment="1">
      <alignment horizontal="center" vertical="center"/>
    </xf>
    <xf numFmtId="0" fontId="28" fillId="43" borderId="0" xfId="0" applyFont="1" applyFill="1" applyAlignment="1">
      <alignment horizontal="right" vertical="center"/>
    </xf>
    <xf numFmtId="0" fontId="28" fillId="34" borderId="0" xfId="0" applyFont="1" applyFill="1" applyAlignment="1">
      <alignment horizontal="right" vertical="center"/>
    </xf>
    <xf numFmtId="0" fontId="28" fillId="34" borderId="4" xfId="0" applyFont="1" applyFill="1" applyBorder="1" applyAlignment="1">
      <alignment vertical="center"/>
    </xf>
    <xf numFmtId="16" fontId="0" fillId="0" borderId="0" xfId="0" applyNumberForma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0" fillId="43" borderId="0" xfId="0" applyFill="1"/>
    <xf numFmtId="0" fontId="54" fillId="43" borderId="0" xfId="0" applyFont="1" applyFill="1"/>
    <xf numFmtId="0" fontId="28" fillId="38" borderId="4" xfId="0" applyFont="1" applyFill="1" applyBorder="1" applyAlignment="1">
      <alignment horizontal="center" vertical="center"/>
    </xf>
    <xf numFmtId="0" fontId="34" fillId="28" borderId="4" xfId="0" applyFont="1" applyFill="1" applyBorder="1" applyAlignment="1">
      <alignment horizontal="center" vertical="center"/>
    </xf>
    <xf numFmtId="0" fontId="34" fillId="18" borderId="4" xfId="0" applyFont="1" applyFill="1" applyBorder="1" applyAlignment="1">
      <alignment horizontal="center" vertical="center"/>
    </xf>
    <xf numFmtId="2" fontId="27" fillId="27" borderId="4" xfId="0" applyNumberFormat="1" applyFont="1" applyFill="1" applyBorder="1" applyAlignment="1">
      <alignment vertical="center"/>
    </xf>
    <xf numFmtId="16" fontId="28" fillId="0" borderId="4" xfId="0" applyNumberFormat="1" applyFont="1" applyBorder="1" applyAlignment="1">
      <alignment vertical="center"/>
    </xf>
    <xf numFmtId="187" fontId="26" fillId="44" borderId="4" xfId="0" applyNumberFormat="1" applyFont="1" applyFill="1" applyBorder="1" applyAlignment="1">
      <alignment horizontal="center" vertical="center"/>
    </xf>
    <xf numFmtId="187" fontId="27" fillId="44" borderId="4" xfId="0" applyNumberFormat="1" applyFont="1" applyFill="1" applyBorder="1" applyAlignment="1">
      <alignment horizontal="center" vertical="center"/>
    </xf>
    <xf numFmtId="0" fontId="27" fillId="44" borderId="4" xfId="0" applyFont="1" applyFill="1" applyBorder="1" applyAlignment="1">
      <alignment horizontal="center" vertical="center"/>
    </xf>
    <xf numFmtId="190" fontId="27" fillId="44" borderId="4" xfId="0" applyNumberFormat="1" applyFont="1" applyFill="1" applyBorder="1" applyAlignment="1">
      <alignment horizontal="center" vertical="center"/>
    </xf>
    <xf numFmtId="0" fontId="27" fillId="44" borderId="4" xfId="0" applyFont="1" applyFill="1" applyBorder="1" applyAlignment="1">
      <alignment vertical="center"/>
    </xf>
    <xf numFmtId="0" fontId="27" fillId="44" borderId="4" xfId="0" applyFont="1" applyFill="1" applyBorder="1" applyAlignment="1">
      <alignment horizontal="left" vertical="center"/>
    </xf>
    <xf numFmtId="0" fontId="28" fillId="44" borderId="4" xfId="0" applyFont="1" applyFill="1" applyBorder="1" applyAlignment="1">
      <alignment horizontal="center" vertical="center"/>
    </xf>
    <xf numFmtId="3" fontId="27" fillId="44" borderId="4" xfId="0" applyNumberFormat="1" applyFont="1" applyFill="1" applyBorder="1" applyAlignment="1">
      <alignment horizontal="center" vertical="center"/>
    </xf>
    <xf numFmtId="189" fontId="27" fillId="44" borderId="4" xfId="0" applyNumberFormat="1" applyFont="1" applyFill="1" applyBorder="1" applyAlignment="1">
      <alignment horizontal="center" vertical="center"/>
    </xf>
    <xf numFmtId="0" fontId="34" fillId="44" borderId="4" xfId="0" applyFont="1" applyFill="1" applyBorder="1" applyAlignment="1">
      <alignment horizontal="center" vertical="center"/>
    </xf>
    <xf numFmtId="3" fontId="27" fillId="44" borderId="4" xfId="0" applyNumberFormat="1" applyFont="1" applyFill="1" applyBorder="1" applyAlignment="1">
      <alignment vertical="center"/>
    </xf>
    <xf numFmtId="3" fontId="29" fillId="44" borderId="4" xfId="0" applyNumberFormat="1" applyFont="1" applyFill="1" applyBorder="1" applyAlignment="1">
      <alignment vertical="center"/>
    </xf>
    <xf numFmtId="191" fontId="28" fillId="44" borderId="4" xfId="0" applyNumberFormat="1" applyFont="1" applyFill="1" applyBorder="1" applyAlignment="1">
      <alignment vertical="center"/>
    </xf>
    <xf numFmtId="3" fontId="28" fillId="44" borderId="4" xfId="0" applyNumberFormat="1" applyFont="1" applyFill="1" applyBorder="1" applyAlignment="1">
      <alignment vertical="center"/>
    </xf>
    <xf numFmtId="195" fontId="27" fillId="44" borderId="4" xfId="0" applyNumberFormat="1" applyFont="1" applyFill="1" applyBorder="1" applyAlignment="1">
      <alignment horizontal="center" vertical="center"/>
    </xf>
    <xf numFmtId="0" fontId="27" fillId="9" borderId="4" xfId="0" applyFont="1" applyFill="1" applyBorder="1" applyAlignment="1">
      <alignment vertical="center" wrapText="1"/>
    </xf>
    <xf numFmtId="195" fontId="27" fillId="9" borderId="4" xfId="0" applyNumberFormat="1" applyFont="1" applyFill="1" applyBorder="1" applyAlignment="1">
      <alignment vertical="center"/>
    </xf>
    <xf numFmtId="0" fontId="34" fillId="9" borderId="4" xfId="0" applyFont="1" applyFill="1" applyBorder="1" applyAlignment="1">
      <alignment horizontal="center" vertical="center"/>
    </xf>
    <xf numFmtId="17" fontId="27" fillId="36" borderId="4" xfId="0" quotePrefix="1" applyNumberFormat="1" applyFont="1" applyFill="1" applyBorder="1" applyAlignment="1">
      <alignment horizontal="center" vertical="center"/>
    </xf>
    <xf numFmtId="0" fontId="28" fillId="36" borderId="4" xfId="0" applyFont="1" applyFill="1" applyBorder="1" applyAlignment="1">
      <alignment vertical="center"/>
    </xf>
    <xf numFmtId="1" fontId="27" fillId="27" borderId="10" xfId="0" quotePrefix="1" applyNumberFormat="1" applyFont="1" applyFill="1" applyBorder="1" applyAlignment="1">
      <alignment horizontal="center" vertical="center"/>
    </xf>
    <xf numFmtId="187" fontId="27" fillId="20" borderId="4" xfId="0" quotePrefix="1" applyNumberFormat="1" applyFont="1" applyFill="1" applyBorder="1" applyAlignment="1">
      <alignment horizontal="center" vertical="center"/>
    </xf>
    <xf numFmtId="1" fontId="28" fillId="8" borderId="4" xfId="0" applyNumberFormat="1" applyFont="1" applyFill="1" applyBorder="1" applyAlignment="1">
      <alignment horizontal="center" vertical="center"/>
    </xf>
    <xf numFmtId="2" fontId="27" fillId="8" borderId="4" xfId="0" applyNumberFormat="1" applyFont="1" applyFill="1" applyBorder="1" applyAlignment="1">
      <alignment horizontal="center" vertical="center"/>
    </xf>
    <xf numFmtId="2" fontId="27" fillId="8" borderId="4" xfId="0" applyNumberFormat="1" applyFont="1" applyFill="1" applyBorder="1" applyAlignment="1">
      <alignment vertical="center"/>
    </xf>
    <xf numFmtId="0" fontId="26" fillId="41" borderId="0" xfId="0" applyFont="1" applyFill="1" applyAlignment="1">
      <alignment horizontal="center" vertical="center"/>
    </xf>
    <xf numFmtId="0" fontId="26" fillId="36" borderId="0" xfId="0" applyFont="1" applyFill="1" applyAlignment="1">
      <alignment horizontal="center" vertical="center"/>
    </xf>
    <xf numFmtId="0" fontId="26" fillId="43" borderId="0" xfId="0" applyFont="1" applyFill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8" fillId="44" borderId="4" xfId="0" applyFont="1" applyFill="1" applyBorder="1" applyAlignment="1">
      <alignment vertical="center"/>
    </xf>
    <xf numFmtId="187" fontId="26" fillId="45" borderId="4" xfId="0" applyNumberFormat="1" applyFont="1" applyFill="1" applyBorder="1" applyAlignment="1">
      <alignment horizontal="center" vertical="center"/>
    </xf>
    <xf numFmtId="187" fontId="27" fillId="45" borderId="4" xfId="0" quotePrefix="1" applyNumberFormat="1" applyFont="1" applyFill="1" applyBorder="1" applyAlignment="1">
      <alignment horizontal="center" vertical="center"/>
    </xf>
    <xf numFmtId="0" fontId="27" fillId="45" borderId="4" xfId="0" applyFont="1" applyFill="1" applyBorder="1" applyAlignment="1">
      <alignment horizontal="center" vertical="center"/>
    </xf>
    <xf numFmtId="0" fontId="27" fillId="45" borderId="4" xfId="0" applyFont="1" applyFill="1" applyBorder="1" applyAlignment="1">
      <alignment vertical="center"/>
    </xf>
    <xf numFmtId="0" fontId="27" fillId="45" borderId="4" xfId="0" applyFont="1" applyFill="1" applyBorder="1" applyAlignment="1">
      <alignment horizontal="left" vertical="center"/>
    </xf>
    <xf numFmtId="0" fontId="28" fillId="45" borderId="4" xfId="0" applyFont="1" applyFill="1" applyBorder="1" applyAlignment="1">
      <alignment horizontal="center" vertical="center"/>
    </xf>
    <xf numFmtId="3" fontId="27" fillId="45" borderId="4" xfId="0" applyNumberFormat="1" applyFont="1" applyFill="1" applyBorder="1" applyAlignment="1">
      <alignment horizontal="center" vertical="center"/>
    </xf>
    <xf numFmtId="189" fontId="27" fillId="45" borderId="4" xfId="0" applyNumberFormat="1" applyFont="1" applyFill="1" applyBorder="1" applyAlignment="1">
      <alignment horizontal="center" vertical="center"/>
    </xf>
    <xf numFmtId="0" fontId="34" fillId="45" borderId="4" xfId="0" applyFont="1" applyFill="1" applyBorder="1" applyAlignment="1">
      <alignment horizontal="center" vertical="center"/>
    </xf>
    <xf numFmtId="3" fontId="27" fillId="45" borderId="4" xfId="0" applyNumberFormat="1" applyFont="1" applyFill="1" applyBorder="1" applyAlignment="1">
      <alignment vertical="center"/>
    </xf>
    <xf numFmtId="3" fontId="29" fillId="45" borderId="4" xfId="0" applyNumberFormat="1" applyFont="1" applyFill="1" applyBorder="1" applyAlignment="1">
      <alignment vertical="center"/>
    </xf>
    <xf numFmtId="191" fontId="28" fillId="45" borderId="4" xfId="0" applyNumberFormat="1" applyFont="1" applyFill="1" applyBorder="1" applyAlignment="1">
      <alignment vertical="center"/>
    </xf>
    <xf numFmtId="3" fontId="28" fillId="45" borderId="4" xfId="0" applyNumberFormat="1" applyFont="1" applyFill="1" applyBorder="1" applyAlignment="1">
      <alignment vertical="center"/>
    </xf>
    <xf numFmtId="195" fontId="27" fillId="45" borderId="4" xfId="0" applyNumberFormat="1" applyFont="1" applyFill="1" applyBorder="1" applyAlignment="1">
      <alignment horizontal="center" vertical="center"/>
    </xf>
    <xf numFmtId="0" fontId="51" fillId="15" borderId="0" xfId="0" applyFont="1" applyFill="1"/>
    <xf numFmtId="2" fontId="51" fillId="15" borderId="0" xfId="0" applyNumberFormat="1" applyFont="1" applyFill="1"/>
    <xf numFmtId="3" fontId="0" fillId="37" borderId="0" xfId="0" applyNumberFormat="1" applyFill="1"/>
    <xf numFmtId="3" fontId="0" fillId="13" borderId="0" xfId="0" applyNumberFormat="1" applyFill="1"/>
    <xf numFmtId="0" fontId="51" fillId="13" borderId="0" xfId="0" applyFont="1" applyFill="1"/>
    <xf numFmtId="2" fontId="51" fillId="13" borderId="0" xfId="0" applyNumberFormat="1" applyFont="1" applyFill="1"/>
    <xf numFmtId="0" fontId="51" fillId="37" borderId="0" xfId="0" applyFont="1" applyFill="1"/>
    <xf numFmtId="2" fontId="51" fillId="37" borderId="0" xfId="0" applyNumberFormat="1" applyFont="1" applyFill="1"/>
    <xf numFmtId="0" fontId="57" fillId="0" borderId="0" xfId="0" applyFont="1" applyAlignment="1">
      <alignment horizontal="right" vertical="center"/>
    </xf>
    <xf numFmtId="0" fontId="0" fillId="13" borderId="0" xfId="0" applyFill="1"/>
    <xf numFmtId="4" fontId="0" fillId="13" borderId="0" xfId="0" applyNumberFormat="1" applyFill="1" applyAlignment="1">
      <alignment horizontal="center" vertical="center"/>
    </xf>
    <xf numFmtId="0" fontId="59" fillId="46" borderId="4" xfId="6" applyFont="1" applyFill="1" applyBorder="1" applyAlignment="1">
      <alignment horizontal="center"/>
    </xf>
    <xf numFmtId="0" fontId="60" fillId="47" borderId="12" xfId="6" applyFont="1" applyFill="1" applyBorder="1" applyAlignment="1">
      <alignment horizontal="right"/>
    </xf>
    <xf numFmtId="0" fontId="61" fillId="0" borderId="0" xfId="6" applyFont="1"/>
    <xf numFmtId="0" fontId="58" fillId="0" borderId="0" xfId="6"/>
    <xf numFmtId="0" fontId="62" fillId="0" borderId="4" xfId="6" applyFont="1" applyBorder="1" applyAlignment="1">
      <alignment horizontal="right"/>
    </xf>
    <xf numFmtId="0" fontId="63" fillId="0" borderId="11" xfId="6" applyFont="1" applyBorder="1" applyAlignment="1">
      <alignment horizontal="right"/>
    </xf>
    <xf numFmtId="197" fontId="64" fillId="48" borderId="4" xfId="7" applyNumberFormat="1" applyFont="1" applyFill="1" applyBorder="1" applyAlignment="1">
      <alignment horizontal="center" vertical="center"/>
    </xf>
    <xf numFmtId="198" fontId="64" fillId="49" borderId="11" xfId="7" applyNumberFormat="1" applyFont="1" applyFill="1" applyBorder="1" applyAlignment="1">
      <alignment horizontal="center" vertical="center"/>
    </xf>
    <xf numFmtId="198" fontId="65" fillId="49" borderId="11" xfId="7" applyNumberFormat="1" applyFont="1" applyFill="1" applyBorder="1" applyAlignment="1">
      <alignment horizontal="center" vertical="center"/>
    </xf>
    <xf numFmtId="199" fontId="66" fillId="48" borderId="4" xfId="7" applyNumberFormat="1" applyFont="1" applyFill="1" applyBorder="1" applyAlignment="1">
      <alignment horizontal="center"/>
    </xf>
    <xf numFmtId="199" fontId="67" fillId="9" borderId="4" xfId="8" applyNumberFormat="1" applyFont="1" applyFill="1" applyBorder="1" applyAlignment="1">
      <alignment horizontal="right"/>
    </xf>
    <xf numFmtId="0" fontId="61" fillId="50" borderId="0" xfId="6" applyFont="1" applyFill="1"/>
    <xf numFmtId="198" fontId="66" fillId="48" borderId="4" xfId="7" applyNumberFormat="1" applyFont="1" applyFill="1" applyBorder="1" applyAlignment="1">
      <alignment horizontal="center" vertical="center"/>
    </xf>
    <xf numFmtId="198" fontId="67" fillId="9" borderId="4" xfId="7" applyNumberFormat="1" applyFont="1" applyFill="1" applyBorder="1" applyAlignment="1">
      <alignment horizontal="center" vertical="center" wrapText="1"/>
    </xf>
    <xf numFmtId="198" fontId="66" fillId="48" borderId="4" xfId="7" applyNumberFormat="1" applyFont="1" applyFill="1" applyBorder="1" applyAlignment="1">
      <alignment horizontal="center"/>
    </xf>
    <xf numFmtId="198" fontId="67" fillId="9" borderId="4" xfId="7" applyNumberFormat="1" applyFont="1" applyFill="1" applyBorder="1" applyAlignment="1">
      <alignment horizontal="center"/>
    </xf>
    <xf numFmtId="0" fontId="66" fillId="48" borderId="4" xfId="7" applyNumberFormat="1" applyFont="1" applyFill="1" applyBorder="1" applyAlignment="1">
      <alignment horizontal="center"/>
    </xf>
    <xf numFmtId="198" fontId="67" fillId="9" borderId="4" xfId="7" applyNumberFormat="1" applyFont="1" applyFill="1" applyBorder="1" applyAlignment="1">
      <alignment horizontal="center" vertical="center"/>
    </xf>
    <xf numFmtId="198" fontId="68" fillId="9" borderId="4" xfId="7" applyNumberFormat="1" applyFont="1" applyFill="1" applyBorder="1" applyAlignment="1"/>
    <xf numFmtId="198" fontId="68" fillId="9" borderId="4" xfId="7" applyNumberFormat="1" applyFont="1" applyFill="1" applyBorder="1" applyAlignment="1">
      <alignment horizontal="center"/>
    </xf>
    <xf numFmtId="198" fontId="68" fillId="9" borderId="13" xfId="7" applyNumberFormat="1" applyFont="1" applyFill="1" applyBorder="1" applyAlignment="1"/>
    <xf numFmtId="0" fontId="61" fillId="15" borderId="14" xfId="6" applyFont="1" applyFill="1" applyBorder="1"/>
    <xf numFmtId="198" fontId="69" fillId="51" borderId="4" xfId="7" applyNumberFormat="1" applyFont="1" applyFill="1" applyBorder="1" applyAlignment="1">
      <alignment horizontal="center"/>
    </xf>
    <xf numFmtId="1" fontId="68" fillId="9" borderId="4" xfId="9" applyNumberFormat="1" applyFont="1" applyFill="1" applyBorder="1" applyAlignment="1"/>
    <xf numFmtId="1" fontId="68" fillId="9" borderId="13" xfId="9" applyNumberFormat="1" applyFont="1" applyFill="1" applyBorder="1" applyAlignment="1"/>
    <xf numFmtId="1" fontId="61" fillId="15" borderId="14" xfId="6" applyNumberFormat="1" applyFont="1" applyFill="1" applyBorder="1"/>
    <xf numFmtId="1" fontId="68" fillId="30" borderId="4" xfId="9" applyNumberFormat="1" applyFont="1" applyFill="1" applyBorder="1" applyAlignment="1"/>
    <xf numFmtId="198" fontId="66" fillId="30" borderId="4" xfId="7" applyNumberFormat="1" applyFont="1" applyFill="1" applyBorder="1" applyAlignment="1">
      <alignment horizontal="center"/>
    </xf>
    <xf numFmtId="1" fontId="68" fillId="30" borderId="13" xfId="9" applyNumberFormat="1" applyFont="1" applyFill="1" applyBorder="1" applyAlignment="1"/>
    <xf numFmtId="1" fontId="61" fillId="30" borderId="14" xfId="6" applyNumberFormat="1" applyFont="1" applyFill="1" applyBorder="1"/>
    <xf numFmtId="198" fontId="66" fillId="51" borderId="4" xfId="7" applyNumberFormat="1" applyFont="1" applyFill="1" applyBorder="1" applyAlignment="1">
      <alignment horizontal="center"/>
    </xf>
    <xf numFmtId="198" fontId="69" fillId="48" borderId="4" xfId="7" applyNumberFormat="1" applyFont="1" applyFill="1" applyBorder="1" applyAlignment="1">
      <alignment horizontal="center"/>
    </xf>
    <xf numFmtId="198" fontId="66" fillId="52" borderId="4" xfId="7" applyNumberFormat="1" applyFont="1" applyFill="1" applyBorder="1" applyAlignment="1">
      <alignment horizontal="center"/>
    </xf>
    <xf numFmtId="198" fontId="66" fillId="53" borderId="4" xfId="7" applyNumberFormat="1" applyFont="1" applyFill="1" applyBorder="1" applyAlignment="1">
      <alignment horizontal="center"/>
    </xf>
    <xf numFmtId="198" fontId="62" fillId="0" borderId="4" xfId="7" applyNumberFormat="1" applyFont="1" applyFill="1" applyBorder="1" applyAlignment="1">
      <alignment horizontal="center"/>
    </xf>
    <xf numFmtId="1" fontId="70" fillId="0" borderId="4" xfId="9" applyNumberFormat="1" applyFont="1" applyFill="1" applyBorder="1" applyAlignment="1"/>
    <xf numFmtId="1" fontId="70" fillId="0" borderId="13" xfId="9" applyNumberFormat="1" applyFont="1" applyFill="1" applyBorder="1" applyAlignment="1"/>
    <xf numFmtId="198" fontId="64" fillId="48" borderId="4" xfId="7" applyNumberFormat="1" applyFont="1" applyFill="1" applyBorder="1" applyAlignment="1">
      <alignment horizontal="center"/>
    </xf>
    <xf numFmtId="198" fontId="67" fillId="24" borderId="4" xfId="10" applyNumberFormat="1" applyFont="1" applyFill="1" applyBorder="1" applyAlignment="1">
      <alignment horizontal="center"/>
    </xf>
    <xf numFmtId="198" fontId="67" fillId="24" borderId="15" xfId="10" applyNumberFormat="1" applyFont="1" applyFill="1" applyBorder="1" applyAlignment="1">
      <alignment horizontal="center"/>
    </xf>
    <xf numFmtId="198" fontId="71" fillId="0" borderId="0" xfId="7" applyNumberFormat="1" applyFont="1" applyFill="1" applyBorder="1" applyAlignment="1">
      <alignment horizontal="center"/>
    </xf>
    <xf numFmtId="0" fontId="71" fillId="0" borderId="0" xfId="6" applyFont="1" applyAlignment="1">
      <alignment horizontal="center" wrapText="1"/>
    </xf>
    <xf numFmtId="198" fontId="71" fillId="15" borderId="0" xfId="7" applyNumberFormat="1" applyFont="1" applyFill="1" applyBorder="1" applyAlignment="1">
      <alignment horizontal="center"/>
    </xf>
    <xf numFmtId="0" fontId="72" fillId="0" borderId="0" xfId="6" applyFont="1" applyAlignment="1">
      <alignment horizontal="center"/>
    </xf>
    <xf numFmtId="198" fontId="67" fillId="0" borderId="0" xfId="7" applyNumberFormat="1" applyFont="1" applyFill="1" applyBorder="1" applyAlignment="1">
      <alignment horizontal="center"/>
    </xf>
    <xf numFmtId="0" fontId="60" fillId="0" borderId="0" xfId="6" applyFont="1" applyAlignment="1">
      <alignment horizontal="center"/>
    </xf>
    <xf numFmtId="9" fontId="73" fillId="0" borderId="0" xfId="7" applyNumberFormat="1" applyFont="1" applyFill="1" applyBorder="1" applyAlignment="1">
      <alignment horizontal="center"/>
    </xf>
    <xf numFmtId="9" fontId="74" fillId="0" borderId="0" xfId="6" applyNumberFormat="1" applyFont="1" applyAlignment="1">
      <alignment horizontal="center"/>
    </xf>
    <xf numFmtId="2" fontId="75" fillId="0" borderId="0" xfId="7" applyNumberFormat="1" applyFont="1" applyFill="1" applyBorder="1" applyAlignment="1">
      <alignment horizontal="center"/>
    </xf>
    <xf numFmtId="2" fontId="76" fillId="0" borderId="0" xfId="6" applyNumberFormat="1" applyFont="1" applyAlignment="1">
      <alignment horizontal="center"/>
    </xf>
    <xf numFmtId="0" fontId="63" fillId="0" borderId="0" xfId="6" applyFont="1" applyAlignment="1">
      <alignment horizontal="center"/>
    </xf>
    <xf numFmtId="0" fontId="63" fillId="0" borderId="0" xfId="6" quotePrefix="1" applyFont="1" applyAlignment="1">
      <alignment horizontal="center"/>
    </xf>
    <xf numFmtId="0" fontId="77" fillId="0" borderId="0" xfId="6" applyFont="1" applyAlignment="1">
      <alignment horizontal="center"/>
    </xf>
    <xf numFmtId="0" fontId="78" fillId="0" borderId="0" xfId="6" applyFont="1" applyAlignment="1">
      <alignment horizontal="center"/>
    </xf>
    <xf numFmtId="0" fontId="79" fillId="0" borderId="0" xfId="6" applyFont="1" applyAlignment="1">
      <alignment horizontal="center"/>
    </xf>
    <xf numFmtId="0" fontId="80" fillId="0" borderId="0" xfId="6" applyFont="1" applyAlignment="1">
      <alignment horizontal="center"/>
    </xf>
    <xf numFmtId="0" fontId="81" fillId="0" borderId="0" xfId="6" applyFont="1" applyAlignment="1">
      <alignment horizontal="center"/>
    </xf>
    <xf numFmtId="0" fontId="72" fillId="0" borderId="0" xfId="6" applyFont="1"/>
    <xf numFmtId="200" fontId="0" fillId="0" borderId="0" xfId="0" applyNumberFormat="1"/>
    <xf numFmtId="201" fontId="82" fillId="0" borderId="0" xfId="0" applyNumberFormat="1" applyFont="1"/>
    <xf numFmtId="187" fontId="82" fillId="0" borderId="0" xfId="0" applyNumberFormat="1" applyFont="1"/>
    <xf numFmtId="0" fontId="82" fillId="0" borderId="0" xfId="0" applyFont="1"/>
    <xf numFmtId="187" fontId="83" fillId="0" borderId="1" xfId="3" applyNumberFormat="1" applyFont="1" applyBorder="1" applyAlignment="1">
      <alignment horizontal="center" vertical="center" wrapText="1"/>
    </xf>
    <xf numFmtId="187" fontId="84" fillId="2" borderId="1" xfId="3" applyNumberFormat="1" applyFont="1" applyFill="1" applyBorder="1" applyAlignment="1">
      <alignment horizontal="center" vertical="center" wrapText="1"/>
    </xf>
    <xf numFmtId="2" fontId="85" fillId="2" borderId="1" xfId="3" applyNumberFormat="1" applyFont="1" applyFill="1" applyBorder="1" applyAlignment="1">
      <alignment horizontal="center" vertical="center"/>
    </xf>
    <xf numFmtId="2" fontId="85" fillId="2" borderId="1" xfId="3" applyNumberFormat="1" applyFont="1" applyFill="1" applyBorder="1" applyAlignment="1">
      <alignment horizontal="left" vertical="center"/>
    </xf>
    <xf numFmtId="2" fontId="85" fillId="2" borderId="1" xfId="3" applyNumberFormat="1" applyFont="1" applyFill="1" applyBorder="1" applyAlignment="1">
      <alignment horizontal="center" vertical="center" wrapText="1"/>
    </xf>
    <xf numFmtId="2" fontId="84" fillId="2" borderId="1" xfId="3" applyNumberFormat="1" applyFont="1" applyFill="1" applyBorder="1" applyAlignment="1">
      <alignment horizontal="center" vertical="center"/>
    </xf>
    <xf numFmtId="3" fontId="85" fillId="2" borderId="1" xfId="3" applyNumberFormat="1" applyFont="1" applyFill="1" applyBorder="1" applyAlignment="1">
      <alignment horizontal="center" vertical="center"/>
    </xf>
    <xf numFmtId="189" fontId="85" fillId="2" borderId="1" xfId="3" applyNumberFormat="1" applyFont="1" applyFill="1" applyBorder="1" applyAlignment="1">
      <alignment horizontal="center" vertical="center"/>
    </xf>
    <xf numFmtId="3" fontId="85" fillId="2" borderId="1" xfId="3" applyNumberFormat="1" applyFont="1" applyFill="1" applyBorder="1" applyAlignment="1">
      <alignment horizontal="center" vertical="center" wrapText="1"/>
    </xf>
    <xf numFmtId="3" fontId="86" fillId="2" borderId="1" xfId="3" applyNumberFormat="1" applyFont="1" applyFill="1" applyBorder="1" applyAlignment="1">
      <alignment horizontal="center" vertical="center" wrapText="1"/>
    </xf>
    <xf numFmtId="191" fontId="87" fillId="2" borderId="1" xfId="3" applyNumberFormat="1" applyFont="1" applyFill="1" applyBorder="1" applyAlignment="1">
      <alignment horizontal="right" vertical="center"/>
    </xf>
    <xf numFmtId="3" fontId="87" fillId="2" borderId="1" xfId="3" applyNumberFormat="1" applyFont="1" applyFill="1" applyBorder="1" applyAlignment="1">
      <alignment horizontal="left" vertical="center"/>
    </xf>
    <xf numFmtId="3" fontId="88" fillId="2" borderId="1" xfId="3" applyNumberFormat="1" applyFont="1" applyFill="1" applyBorder="1" applyAlignment="1">
      <alignment horizontal="left" vertical="center"/>
    </xf>
    <xf numFmtId="195" fontId="85" fillId="2" borderId="1" xfId="3" applyNumberFormat="1" applyFont="1" applyFill="1" applyBorder="1" applyAlignment="1">
      <alignment horizontal="center" vertical="center"/>
    </xf>
    <xf numFmtId="2" fontId="85" fillId="2" borderId="1" xfId="1" applyNumberFormat="1" applyFont="1" applyFill="1" applyBorder="1" applyAlignment="1">
      <alignment horizontal="center" vertical="center" wrapText="1"/>
    </xf>
    <xf numFmtId="4" fontId="83" fillId="4" borderId="5" xfId="3" applyNumberFormat="1" applyFont="1" applyFill="1" applyBorder="1" applyAlignment="1">
      <alignment horizontal="center" vertical="center" wrapText="1"/>
    </xf>
    <xf numFmtId="4" fontId="83" fillId="5" borderId="5" xfId="3" applyNumberFormat="1" applyFont="1" applyFill="1" applyBorder="1" applyAlignment="1">
      <alignment horizontal="center" vertical="center" wrapText="1"/>
    </xf>
    <xf numFmtId="189" fontId="85" fillId="0" borderId="0" xfId="3" applyNumberFormat="1" applyFont="1" applyAlignment="1">
      <alignment horizontal="center" vertical="center"/>
    </xf>
    <xf numFmtId="4" fontId="83" fillId="0" borderId="0" xfId="3" applyNumberFormat="1" applyFont="1" applyAlignment="1">
      <alignment horizontal="center" vertical="center"/>
    </xf>
    <xf numFmtId="3" fontId="83" fillId="0" borderId="0" xfId="3" applyNumberFormat="1" applyFont="1" applyAlignment="1">
      <alignment horizontal="right" vertical="center"/>
    </xf>
    <xf numFmtId="202" fontId="82" fillId="0" borderId="0" xfId="0" applyNumberFormat="1" applyFont="1"/>
    <xf numFmtId="1" fontId="82" fillId="0" borderId="0" xfId="0" applyNumberFormat="1" applyFont="1"/>
  </cellXfs>
  <cellStyles count="11">
    <cellStyle name="Comma 2" xfId="1" xr:uid="{00000000-0005-0000-0000-000000000000}"/>
    <cellStyle name="Comma 3" xfId="7" xr:uid="{DFB20420-0C5E-4327-8840-38A949CC212E}"/>
    <cellStyle name="Normal" xfId="0" builtinId="0"/>
    <cellStyle name="Normal 2" xfId="6" xr:uid="{E2A139AE-766B-4334-836F-5DC0F042F247}"/>
    <cellStyle name="Normal 2 2 2 2 2 2 2 2 2 2 2" xfId="2" xr:uid="{00000000-0005-0000-0000-000002000000}"/>
    <cellStyle name="Normal 2 2 2 2 2 2 2 2 2 2 2 2" xfId="5" xr:uid="{00000000-0005-0000-0000-000003000000}"/>
    <cellStyle name="Normal 5 3" xfId="3" xr:uid="{00000000-0005-0000-0000-000004000000}"/>
    <cellStyle name="Percent" xfId="4" builtinId="5"/>
    <cellStyle name="Percent 2" xfId="9" xr:uid="{05D71259-1C13-4317-B267-896C47DB770F}"/>
    <cellStyle name="จุลภาค 2 2 19 4" xfId="8" xr:uid="{E69A5FC1-0B79-44AF-83E6-A6769EC27CEE}"/>
    <cellStyle name="จุลภาค 2 2 5" xfId="10" xr:uid="{D4338C22-4704-4212-9E4E-F54C2DFB9A01}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CFFCC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CCFFCC"/>
        </patternFill>
      </fill>
    </dxf>
    <dxf>
      <font>
        <b/>
        <i val="0"/>
      </font>
      <fill>
        <patternFill>
          <bgColor rgb="FFCCFFCC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rgb="FFCAEFED"/>
        </patternFill>
      </fill>
    </dxf>
    <dxf>
      <font>
        <color rgb="FF9C0006"/>
      </font>
      <fill>
        <patternFill>
          <bgColor rgb="FFFFC7CE"/>
        </patternFill>
      </fill>
    </dxf>
    <dxf>
      <numFmt numFmtId="200" formatCode="_-* #,##0_-;\-* #,##0_-;_-* &quot;-&quot;??_-;_-@_-"/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FF0000"/>
      </font>
    </dxf>
    <dxf>
      <alignment horizontal="general"/>
    </dxf>
    <dxf>
      <alignment vertical="center"/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auto="1"/>
      </font>
    </dxf>
    <dxf>
      <alignment vertical="center" readingOrder="0"/>
    </dxf>
    <dxf>
      <alignment horizontal="center" readingOrder="0"/>
    </dxf>
    <dxf>
      <border>
        <left style="thin">
          <color indexed="64"/>
        </left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horizontal="right"/>
    </dxf>
    <dxf>
      <numFmt numFmtId="3" formatCode="#,##0"/>
    </dxf>
    <dxf>
      <numFmt numFmtId="3" formatCode="#,##0"/>
    </dxf>
    <dxf>
      <font>
        <color auto="1"/>
      </font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numFmt numFmtId="3" formatCode="#,##0"/>
    </dxf>
    <dxf>
      <numFmt numFmtId="3" formatCode="#,##0"/>
    </dxf>
    <dxf>
      <font>
        <color auto="1"/>
      </font>
    </dxf>
  </dxfs>
  <tableStyles count="0" defaultTableStyle="TableStyleMedium2" defaultPivotStyle="PivotStyleLight16"/>
  <colors>
    <mruColors>
      <color rgb="FF0000CC"/>
      <color rgb="FFCC00CC"/>
      <color rgb="FF99FFCC"/>
      <color rgb="FFCCFFFF"/>
      <color rgb="FF99FF99"/>
      <color rgb="FF66FF66"/>
      <color rgb="FFFFCCFF"/>
      <color rgb="FFFF99CC"/>
      <color rgb="FFCC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thanatorn_taw_cpf_co_th/Documents/&#3591;&#3634;&#3609;2021/&#3649;&#3612;&#3609;&#3612;&#3621;&#3636;&#3605;/&#3649;&#3612;&#3609;&#3626;&#3633;&#3656;&#3591;&#3612;&#3621;&#3636;&#3605;&#3626;&#3636;&#3609;&#3588;&#3657;&#3634;%20Wonton%20&amp;%20Noodle%20Plant%203%20_%2011-12-25.xlsx" TargetMode="External"/><Relationship Id="rId1" Type="http://schemas.openxmlformats.org/officeDocument/2006/relationships/externalLinkPath" Target="/personal/thanatorn_taw_cpf_co_th/Documents/&#3591;&#3634;&#3609;2021/&#3649;&#3612;&#3609;&#3612;&#3621;&#3636;&#3605;/&#3649;&#3612;&#3609;&#3626;&#3633;&#3656;&#3591;&#3612;&#3621;&#3636;&#3605;&#3626;&#3636;&#3609;&#3588;&#3657;&#3634;%20Wonton%20&amp;%20Noodle%20Plant%203%20_%2011-12-2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pajunngam_cho_cpf_co_th/Documents/RM%20Plan%20&#3648;&#3585;&#3637;&#3658;&#3618;&#3623;&#3605;&#3632;&#3623;&#3633;&#3609;&#3629;&#3629;&#3585;.xlsx" TargetMode="External"/><Relationship Id="rId2" Type="http://schemas.openxmlformats.org/officeDocument/2006/relationships/externalLinkPath" Target="https://cpfito365-my.sharepoint.com/personal/pajunngam_cho_cpf_co_th/Documents/RM%20Plan%20&#3648;&#3585;&#3637;&#3658;&#3618;&#3623;&#3605;&#3632;&#3623;&#3633;&#3609;&#3629;&#3629;&#3585;.xlsx" TargetMode="External"/><Relationship Id="rId1" Type="http://schemas.openxmlformats.org/officeDocument/2006/relationships/externalLinkPath" Target="/personal/pajunngam_cho_cpf_co_th/Documents/RM%20Plan%20&#3648;&#3585;&#3637;&#3658;&#3618;&#3623;&#3605;&#3632;&#3623;&#3633;&#3609;&#3629;&#3629;&#35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แผนผลิต "/>
      <sheetName val="RM &amp; PD"/>
      <sheetName val="COOKED IN TRAY ผลิตโรง 2"/>
      <sheetName val="แผนล้างผัก"/>
      <sheetName val="Sheet1"/>
      <sheetName val="May-20"/>
      <sheetName val="Week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Date</v>
          </cell>
          <cell r="B1" t="str">
            <v>Week KPI</v>
          </cell>
          <cell r="C1" t="str">
            <v>Month</v>
          </cell>
        </row>
        <row r="2">
          <cell r="A2">
            <v>44197</v>
          </cell>
          <cell r="B2" t="str">
            <v>Week1</v>
          </cell>
          <cell r="C2">
            <v>44197</v>
          </cell>
        </row>
        <row r="3">
          <cell r="A3">
            <v>44198</v>
          </cell>
          <cell r="B3" t="str">
            <v>Week1</v>
          </cell>
          <cell r="C3">
            <v>44197</v>
          </cell>
        </row>
        <row r="4">
          <cell r="A4">
            <v>44199</v>
          </cell>
          <cell r="B4" t="str">
            <v>Week2</v>
          </cell>
          <cell r="C4">
            <v>44197</v>
          </cell>
        </row>
        <row r="5">
          <cell r="A5">
            <v>44200</v>
          </cell>
          <cell r="B5" t="str">
            <v>Week2</v>
          </cell>
          <cell r="C5">
            <v>44197</v>
          </cell>
        </row>
        <row r="6">
          <cell r="A6">
            <v>44201</v>
          </cell>
          <cell r="B6" t="str">
            <v>Week2</v>
          </cell>
          <cell r="C6">
            <v>44197</v>
          </cell>
        </row>
        <row r="7">
          <cell r="A7">
            <v>44202</v>
          </cell>
          <cell r="B7" t="str">
            <v>Week2</v>
          </cell>
          <cell r="C7">
            <v>44197</v>
          </cell>
        </row>
        <row r="8">
          <cell r="A8">
            <v>44203</v>
          </cell>
          <cell r="B8" t="str">
            <v>Week2</v>
          </cell>
          <cell r="C8">
            <v>44197</v>
          </cell>
        </row>
        <row r="9">
          <cell r="A9">
            <v>44204</v>
          </cell>
          <cell r="B9" t="str">
            <v>Week2</v>
          </cell>
          <cell r="C9">
            <v>44197</v>
          </cell>
        </row>
        <row r="10">
          <cell r="A10">
            <v>44205</v>
          </cell>
          <cell r="B10" t="str">
            <v>Week2</v>
          </cell>
          <cell r="C10">
            <v>44197</v>
          </cell>
        </row>
        <row r="11">
          <cell r="A11">
            <v>44206</v>
          </cell>
          <cell r="B11" t="str">
            <v>Week3</v>
          </cell>
          <cell r="C11">
            <v>44197</v>
          </cell>
        </row>
        <row r="12">
          <cell r="A12">
            <v>44207</v>
          </cell>
          <cell r="B12" t="str">
            <v>Week3</v>
          </cell>
          <cell r="C12">
            <v>44197</v>
          </cell>
        </row>
        <row r="13">
          <cell r="A13">
            <v>44208</v>
          </cell>
          <cell r="B13" t="str">
            <v>Week3</v>
          </cell>
          <cell r="C13">
            <v>44197</v>
          </cell>
        </row>
        <row r="14">
          <cell r="A14">
            <v>44209</v>
          </cell>
          <cell r="B14" t="str">
            <v>Week3</v>
          </cell>
          <cell r="C14">
            <v>44197</v>
          </cell>
        </row>
        <row r="15">
          <cell r="A15">
            <v>44210</v>
          </cell>
          <cell r="B15" t="str">
            <v>Week3</v>
          </cell>
          <cell r="C15">
            <v>44197</v>
          </cell>
        </row>
        <row r="16">
          <cell r="A16">
            <v>44211</v>
          </cell>
          <cell r="B16" t="str">
            <v>Week3</v>
          </cell>
          <cell r="C16">
            <v>44197</v>
          </cell>
        </row>
        <row r="17">
          <cell r="A17">
            <v>44212</v>
          </cell>
          <cell r="B17" t="str">
            <v>Week3</v>
          </cell>
          <cell r="C17">
            <v>44197</v>
          </cell>
        </row>
        <row r="18">
          <cell r="A18">
            <v>44213</v>
          </cell>
          <cell r="B18" t="str">
            <v>Week4</v>
          </cell>
          <cell r="C18">
            <v>44197</v>
          </cell>
        </row>
        <row r="19">
          <cell r="A19">
            <v>44214</v>
          </cell>
          <cell r="B19" t="str">
            <v>Week4</v>
          </cell>
          <cell r="C19">
            <v>44197</v>
          </cell>
        </row>
        <row r="20">
          <cell r="A20">
            <v>44215</v>
          </cell>
          <cell r="B20" t="str">
            <v>Week4</v>
          </cell>
          <cell r="C20">
            <v>44197</v>
          </cell>
        </row>
        <row r="21">
          <cell r="A21">
            <v>44216</v>
          </cell>
          <cell r="B21" t="str">
            <v>Week4</v>
          </cell>
          <cell r="C21">
            <v>44197</v>
          </cell>
        </row>
        <row r="22">
          <cell r="A22">
            <v>44217</v>
          </cell>
          <cell r="B22" t="str">
            <v>Week4</v>
          </cell>
          <cell r="C22">
            <v>44197</v>
          </cell>
        </row>
        <row r="23">
          <cell r="A23">
            <v>44218</v>
          </cell>
          <cell r="B23" t="str">
            <v>Week4</v>
          </cell>
          <cell r="C23">
            <v>44197</v>
          </cell>
        </row>
        <row r="24">
          <cell r="A24">
            <v>44219</v>
          </cell>
          <cell r="B24" t="str">
            <v>Week4</v>
          </cell>
          <cell r="C24">
            <v>44197</v>
          </cell>
        </row>
        <row r="25">
          <cell r="A25">
            <v>44220</v>
          </cell>
          <cell r="B25" t="str">
            <v>Week5</v>
          </cell>
          <cell r="C25">
            <v>44197</v>
          </cell>
        </row>
        <row r="26">
          <cell r="A26">
            <v>44221</v>
          </cell>
          <cell r="B26" t="str">
            <v>Week5</v>
          </cell>
          <cell r="C26">
            <v>44197</v>
          </cell>
        </row>
        <row r="27">
          <cell r="A27">
            <v>44222</v>
          </cell>
          <cell r="B27" t="str">
            <v>Week5</v>
          </cell>
          <cell r="C27">
            <v>44197</v>
          </cell>
        </row>
        <row r="28">
          <cell r="A28">
            <v>44223</v>
          </cell>
          <cell r="B28" t="str">
            <v>Week5</v>
          </cell>
          <cell r="C28">
            <v>44197</v>
          </cell>
        </row>
        <row r="29">
          <cell r="A29">
            <v>44224</v>
          </cell>
          <cell r="B29" t="str">
            <v>Week5</v>
          </cell>
          <cell r="C29">
            <v>44197</v>
          </cell>
        </row>
        <row r="30">
          <cell r="A30">
            <v>44225</v>
          </cell>
          <cell r="B30" t="str">
            <v>Week5</v>
          </cell>
          <cell r="C30">
            <v>44197</v>
          </cell>
        </row>
        <row r="31">
          <cell r="A31">
            <v>44226</v>
          </cell>
          <cell r="B31" t="str">
            <v>Week5</v>
          </cell>
          <cell r="C31">
            <v>44197</v>
          </cell>
        </row>
        <row r="32">
          <cell r="A32">
            <v>44227</v>
          </cell>
          <cell r="B32" t="str">
            <v>Week6</v>
          </cell>
          <cell r="C32">
            <v>44197</v>
          </cell>
        </row>
        <row r="33">
          <cell r="A33">
            <v>44228</v>
          </cell>
          <cell r="B33" t="str">
            <v>Week6</v>
          </cell>
          <cell r="C33">
            <v>44228</v>
          </cell>
        </row>
        <row r="34">
          <cell r="A34">
            <v>44229</v>
          </cell>
          <cell r="B34" t="str">
            <v>Week6</v>
          </cell>
          <cell r="C34">
            <v>44228</v>
          </cell>
        </row>
        <row r="35">
          <cell r="A35">
            <v>44230</v>
          </cell>
          <cell r="B35" t="str">
            <v>Week6</v>
          </cell>
          <cell r="C35">
            <v>44228</v>
          </cell>
        </row>
        <row r="36">
          <cell r="A36">
            <v>44231</v>
          </cell>
          <cell r="B36" t="str">
            <v>Week6</v>
          </cell>
          <cell r="C36">
            <v>44228</v>
          </cell>
        </row>
        <row r="37">
          <cell r="A37">
            <v>44232</v>
          </cell>
          <cell r="B37" t="str">
            <v>Week6</v>
          </cell>
          <cell r="C37">
            <v>44228</v>
          </cell>
        </row>
        <row r="38">
          <cell r="A38">
            <v>44233</v>
          </cell>
          <cell r="B38" t="str">
            <v>Week6</v>
          </cell>
          <cell r="C38">
            <v>44228</v>
          </cell>
        </row>
        <row r="39">
          <cell r="A39">
            <v>44234</v>
          </cell>
          <cell r="B39" t="str">
            <v>Week7</v>
          </cell>
          <cell r="C39">
            <v>44228</v>
          </cell>
        </row>
        <row r="40">
          <cell r="A40">
            <v>44235</v>
          </cell>
          <cell r="B40" t="str">
            <v>Week7</v>
          </cell>
          <cell r="C40">
            <v>44228</v>
          </cell>
        </row>
        <row r="41">
          <cell r="A41">
            <v>44236</v>
          </cell>
          <cell r="B41" t="str">
            <v>Week7</v>
          </cell>
          <cell r="C41">
            <v>44228</v>
          </cell>
        </row>
        <row r="42">
          <cell r="A42">
            <v>44237</v>
          </cell>
          <cell r="B42" t="str">
            <v>Week7</v>
          </cell>
          <cell r="C42">
            <v>44228</v>
          </cell>
        </row>
        <row r="43">
          <cell r="A43">
            <v>44238</v>
          </cell>
          <cell r="B43" t="str">
            <v>Week7</v>
          </cell>
          <cell r="C43">
            <v>44228</v>
          </cell>
        </row>
        <row r="44">
          <cell r="A44">
            <v>44239</v>
          </cell>
          <cell r="B44" t="str">
            <v>Week7</v>
          </cell>
          <cell r="C44">
            <v>44228</v>
          </cell>
        </row>
        <row r="45">
          <cell r="A45">
            <v>44240</v>
          </cell>
          <cell r="B45" t="str">
            <v>Week7</v>
          </cell>
          <cell r="C45">
            <v>44228</v>
          </cell>
        </row>
        <row r="46">
          <cell r="A46">
            <v>44241</v>
          </cell>
          <cell r="B46" t="str">
            <v>Week8</v>
          </cell>
          <cell r="C46">
            <v>44228</v>
          </cell>
        </row>
        <row r="47">
          <cell r="A47">
            <v>44242</v>
          </cell>
          <cell r="B47" t="str">
            <v>Week8</v>
          </cell>
          <cell r="C47">
            <v>44228</v>
          </cell>
        </row>
        <row r="48">
          <cell r="A48">
            <v>44243</v>
          </cell>
          <cell r="B48" t="str">
            <v>Week8</v>
          </cell>
          <cell r="C48">
            <v>44228</v>
          </cell>
        </row>
        <row r="49">
          <cell r="A49">
            <v>44244</v>
          </cell>
          <cell r="B49" t="str">
            <v>Week8</v>
          </cell>
          <cell r="C49">
            <v>44228</v>
          </cell>
        </row>
        <row r="50">
          <cell r="A50">
            <v>44245</v>
          </cell>
          <cell r="B50" t="str">
            <v>Week8</v>
          </cell>
          <cell r="C50">
            <v>44228</v>
          </cell>
        </row>
        <row r="51">
          <cell r="A51">
            <v>44246</v>
          </cell>
          <cell r="B51" t="str">
            <v>Week8</v>
          </cell>
          <cell r="C51">
            <v>44228</v>
          </cell>
        </row>
        <row r="52">
          <cell r="A52">
            <v>44247</v>
          </cell>
          <cell r="B52" t="str">
            <v>Week8</v>
          </cell>
          <cell r="C52">
            <v>44228</v>
          </cell>
        </row>
        <row r="53">
          <cell r="A53">
            <v>44248</v>
          </cell>
          <cell r="B53" t="str">
            <v>Week9</v>
          </cell>
          <cell r="C53">
            <v>44228</v>
          </cell>
        </row>
        <row r="54">
          <cell r="A54">
            <v>44249</v>
          </cell>
          <cell r="B54" t="str">
            <v>Week9</v>
          </cell>
          <cell r="C54">
            <v>44228</v>
          </cell>
        </row>
        <row r="55">
          <cell r="A55">
            <v>44250</v>
          </cell>
          <cell r="B55" t="str">
            <v>Week9</v>
          </cell>
          <cell r="C55">
            <v>44228</v>
          </cell>
        </row>
        <row r="56">
          <cell r="A56">
            <v>44251</v>
          </cell>
          <cell r="B56" t="str">
            <v>Week9</v>
          </cell>
          <cell r="C56">
            <v>44228</v>
          </cell>
        </row>
        <row r="57">
          <cell r="A57">
            <v>44252</v>
          </cell>
          <cell r="B57" t="str">
            <v>Week9</v>
          </cell>
          <cell r="C57">
            <v>44228</v>
          </cell>
        </row>
        <row r="58">
          <cell r="A58">
            <v>44253</v>
          </cell>
          <cell r="B58" t="str">
            <v>Week9</v>
          </cell>
          <cell r="C58">
            <v>44228</v>
          </cell>
        </row>
        <row r="59">
          <cell r="A59">
            <v>44254</v>
          </cell>
          <cell r="B59" t="str">
            <v>Week9</v>
          </cell>
          <cell r="C59">
            <v>44228</v>
          </cell>
        </row>
        <row r="60">
          <cell r="A60">
            <v>44255</v>
          </cell>
          <cell r="B60" t="str">
            <v>Week10</v>
          </cell>
          <cell r="C60">
            <v>44228</v>
          </cell>
        </row>
        <row r="61">
          <cell r="A61">
            <v>44256</v>
          </cell>
          <cell r="B61" t="str">
            <v>Week10</v>
          </cell>
          <cell r="C61">
            <v>44256</v>
          </cell>
        </row>
        <row r="62">
          <cell r="A62">
            <v>44257</v>
          </cell>
          <cell r="B62" t="str">
            <v>Week10</v>
          </cell>
          <cell r="C62">
            <v>44256</v>
          </cell>
        </row>
        <row r="63">
          <cell r="A63">
            <v>44258</v>
          </cell>
          <cell r="B63" t="str">
            <v>Week10</v>
          </cell>
          <cell r="C63">
            <v>44256</v>
          </cell>
        </row>
        <row r="64">
          <cell r="A64">
            <v>44259</v>
          </cell>
          <cell r="B64" t="str">
            <v>Week10</v>
          </cell>
          <cell r="C64">
            <v>44256</v>
          </cell>
        </row>
        <row r="65">
          <cell r="A65">
            <v>44260</v>
          </cell>
          <cell r="B65" t="str">
            <v>Week10</v>
          </cell>
          <cell r="C65">
            <v>44256</v>
          </cell>
        </row>
        <row r="66">
          <cell r="A66">
            <v>44261</v>
          </cell>
          <cell r="B66" t="str">
            <v>Week10</v>
          </cell>
          <cell r="C66">
            <v>44256</v>
          </cell>
        </row>
        <row r="67">
          <cell r="A67">
            <v>44262</v>
          </cell>
          <cell r="B67" t="str">
            <v>Week11</v>
          </cell>
          <cell r="C67">
            <v>44256</v>
          </cell>
        </row>
        <row r="68">
          <cell r="A68">
            <v>44263</v>
          </cell>
          <cell r="B68" t="str">
            <v>Week11</v>
          </cell>
          <cell r="C68">
            <v>44256</v>
          </cell>
        </row>
        <row r="69">
          <cell r="A69">
            <v>44264</v>
          </cell>
          <cell r="B69" t="str">
            <v>Week11</v>
          </cell>
          <cell r="C69">
            <v>44256</v>
          </cell>
        </row>
        <row r="70">
          <cell r="A70">
            <v>44265</v>
          </cell>
          <cell r="B70" t="str">
            <v>Week11</v>
          </cell>
          <cell r="C70">
            <v>44256</v>
          </cell>
        </row>
        <row r="71">
          <cell r="A71">
            <v>44266</v>
          </cell>
          <cell r="B71" t="str">
            <v>Week11</v>
          </cell>
          <cell r="C71">
            <v>44256</v>
          </cell>
        </row>
        <row r="72">
          <cell r="A72">
            <v>44267</v>
          </cell>
          <cell r="B72" t="str">
            <v>Week11</v>
          </cell>
          <cell r="C72">
            <v>44256</v>
          </cell>
        </row>
        <row r="73">
          <cell r="A73">
            <v>44268</v>
          </cell>
          <cell r="B73" t="str">
            <v>Week11</v>
          </cell>
          <cell r="C73">
            <v>44256</v>
          </cell>
        </row>
        <row r="74">
          <cell r="A74">
            <v>44269</v>
          </cell>
          <cell r="B74" t="str">
            <v>Week12</v>
          </cell>
          <cell r="C74">
            <v>44256</v>
          </cell>
        </row>
        <row r="75">
          <cell r="A75">
            <v>44270</v>
          </cell>
          <cell r="B75" t="str">
            <v>Week12</v>
          </cell>
          <cell r="C75">
            <v>44256</v>
          </cell>
        </row>
        <row r="76">
          <cell r="A76">
            <v>44271</v>
          </cell>
          <cell r="B76" t="str">
            <v>Week12</v>
          </cell>
          <cell r="C76">
            <v>44256</v>
          </cell>
        </row>
        <row r="77">
          <cell r="A77">
            <v>44272</v>
          </cell>
          <cell r="B77" t="str">
            <v>Week12</v>
          </cell>
          <cell r="C77">
            <v>44256</v>
          </cell>
        </row>
        <row r="78">
          <cell r="A78">
            <v>44273</v>
          </cell>
          <cell r="B78" t="str">
            <v>Week12</v>
          </cell>
          <cell r="C78">
            <v>44256</v>
          </cell>
        </row>
        <row r="79">
          <cell r="A79">
            <v>44274</v>
          </cell>
          <cell r="B79" t="str">
            <v>Week12</v>
          </cell>
          <cell r="C79">
            <v>44256</v>
          </cell>
        </row>
        <row r="80">
          <cell r="A80">
            <v>44275</v>
          </cell>
          <cell r="B80" t="str">
            <v>Week12</v>
          </cell>
          <cell r="C80">
            <v>44256</v>
          </cell>
        </row>
        <row r="81">
          <cell r="A81">
            <v>44276</v>
          </cell>
          <cell r="B81" t="str">
            <v>Week13</v>
          </cell>
          <cell r="C81">
            <v>44256</v>
          </cell>
        </row>
        <row r="82">
          <cell r="A82">
            <v>44277</v>
          </cell>
          <cell r="B82" t="str">
            <v>Week13</v>
          </cell>
          <cell r="C82">
            <v>44256</v>
          </cell>
        </row>
        <row r="83">
          <cell r="A83">
            <v>44278</v>
          </cell>
          <cell r="B83" t="str">
            <v>Week13</v>
          </cell>
          <cell r="C83">
            <v>44256</v>
          </cell>
        </row>
        <row r="84">
          <cell r="A84">
            <v>44279</v>
          </cell>
          <cell r="B84" t="str">
            <v>Week13</v>
          </cell>
          <cell r="C84">
            <v>44256</v>
          </cell>
        </row>
        <row r="85">
          <cell r="A85">
            <v>44280</v>
          </cell>
          <cell r="B85" t="str">
            <v>Week13</v>
          </cell>
          <cell r="C85">
            <v>44256</v>
          </cell>
        </row>
        <row r="86">
          <cell r="A86">
            <v>44281</v>
          </cell>
          <cell r="B86" t="str">
            <v>Week13</v>
          </cell>
          <cell r="C86">
            <v>44256</v>
          </cell>
        </row>
        <row r="87">
          <cell r="A87">
            <v>44282</v>
          </cell>
          <cell r="B87" t="str">
            <v>Week13</v>
          </cell>
          <cell r="C87">
            <v>44256</v>
          </cell>
        </row>
        <row r="88">
          <cell r="A88">
            <v>44283</v>
          </cell>
          <cell r="B88" t="str">
            <v>Week14</v>
          </cell>
          <cell r="C88">
            <v>44256</v>
          </cell>
        </row>
        <row r="89">
          <cell r="A89">
            <v>44284</v>
          </cell>
          <cell r="B89" t="str">
            <v>Week14</v>
          </cell>
          <cell r="C89">
            <v>44256</v>
          </cell>
        </row>
        <row r="90">
          <cell r="A90">
            <v>44285</v>
          </cell>
          <cell r="B90" t="str">
            <v>Week14</v>
          </cell>
          <cell r="C90">
            <v>44256</v>
          </cell>
        </row>
        <row r="91">
          <cell r="A91">
            <v>44286</v>
          </cell>
          <cell r="B91" t="str">
            <v>Week14</v>
          </cell>
          <cell r="C91">
            <v>44256</v>
          </cell>
        </row>
        <row r="92">
          <cell r="A92">
            <v>44287</v>
          </cell>
          <cell r="B92" t="str">
            <v>Week14</v>
          </cell>
          <cell r="C92">
            <v>44287</v>
          </cell>
        </row>
        <row r="93">
          <cell r="A93">
            <v>44288</v>
          </cell>
          <cell r="B93" t="str">
            <v>Week14</v>
          </cell>
          <cell r="C93">
            <v>44287</v>
          </cell>
        </row>
        <row r="94">
          <cell r="A94">
            <v>44289</v>
          </cell>
          <cell r="B94" t="str">
            <v>Week14</v>
          </cell>
          <cell r="C94">
            <v>44287</v>
          </cell>
        </row>
        <row r="95">
          <cell r="A95">
            <v>44290</v>
          </cell>
          <cell r="B95" t="str">
            <v>Week15</v>
          </cell>
          <cell r="C95">
            <v>44287</v>
          </cell>
        </row>
        <row r="96">
          <cell r="A96">
            <v>44291</v>
          </cell>
          <cell r="B96" t="str">
            <v>Week15</v>
          </cell>
          <cell r="C96">
            <v>44287</v>
          </cell>
        </row>
        <row r="97">
          <cell r="A97">
            <v>44292</v>
          </cell>
          <cell r="B97" t="str">
            <v>Week15</v>
          </cell>
          <cell r="C97">
            <v>44287</v>
          </cell>
        </row>
        <row r="98">
          <cell r="A98">
            <v>44293</v>
          </cell>
          <cell r="B98" t="str">
            <v>Week15</v>
          </cell>
          <cell r="C98">
            <v>44287</v>
          </cell>
        </row>
        <row r="99">
          <cell r="A99">
            <v>44294</v>
          </cell>
          <cell r="B99" t="str">
            <v>Week15</v>
          </cell>
          <cell r="C99">
            <v>44287</v>
          </cell>
        </row>
        <row r="100">
          <cell r="A100">
            <v>44295</v>
          </cell>
          <cell r="B100" t="str">
            <v>Week15</v>
          </cell>
          <cell r="C100">
            <v>44287</v>
          </cell>
        </row>
        <row r="101">
          <cell r="A101">
            <v>44296</v>
          </cell>
          <cell r="B101" t="str">
            <v>Week15</v>
          </cell>
          <cell r="C101">
            <v>44287</v>
          </cell>
        </row>
        <row r="102">
          <cell r="A102">
            <v>44297</v>
          </cell>
          <cell r="B102" t="str">
            <v>Week16</v>
          </cell>
          <cell r="C102">
            <v>44287</v>
          </cell>
        </row>
        <row r="103">
          <cell r="A103">
            <v>44298</v>
          </cell>
          <cell r="B103" t="str">
            <v>Week16</v>
          </cell>
          <cell r="C103">
            <v>44287</v>
          </cell>
        </row>
        <row r="104">
          <cell r="A104">
            <v>44299</v>
          </cell>
          <cell r="B104" t="str">
            <v>Week16</v>
          </cell>
          <cell r="C104">
            <v>44287</v>
          </cell>
        </row>
        <row r="105">
          <cell r="A105">
            <v>44300</v>
          </cell>
          <cell r="B105" t="str">
            <v>Week16</v>
          </cell>
          <cell r="C105">
            <v>44287</v>
          </cell>
        </row>
        <row r="106">
          <cell r="A106">
            <v>44301</v>
          </cell>
          <cell r="B106" t="str">
            <v>Week16</v>
          </cell>
          <cell r="C106">
            <v>44287</v>
          </cell>
        </row>
        <row r="107">
          <cell r="A107">
            <v>44302</v>
          </cell>
          <cell r="B107" t="str">
            <v>Week16</v>
          </cell>
          <cell r="C107">
            <v>44287</v>
          </cell>
        </row>
        <row r="108">
          <cell r="A108">
            <v>44303</v>
          </cell>
          <cell r="B108" t="str">
            <v>Week16</v>
          </cell>
          <cell r="C108">
            <v>44287</v>
          </cell>
        </row>
        <row r="109">
          <cell r="A109">
            <v>44304</v>
          </cell>
          <cell r="B109" t="str">
            <v>Week17</v>
          </cell>
          <cell r="C109">
            <v>44287</v>
          </cell>
        </row>
        <row r="110">
          <cell r="A110">
            <v>44305</v>
          </cell>
          <cell r="B110" t="str">
            <v>Week17</v>
          </cell>
          <cell r="C110">
            <v>44287</v>
          </cell>
        </row>
        <row r="111">
          <cell r="A111">
            <v>44306</v>
          </cell>
          <cell r="B111" t="str">
            <v>Week17</v>
          </cell>
          <cell r="C111">
            <v>44287</v>
          </cell>
        </row>
        <row r="112">
          <cell r="A112">
            <v>44307</v>
          </cell>
          <cell r="B112" t="str">
            <v>Week17</v>
          </cell>
          <cell r="C112">
            <v>44287</v>
          </cell>
        </row>
        <row r="113">
          <cell r="A113">
            <v>44308</v>
          </cell>
          <cell r="B113" t="str">
            <v>Week17</v>
          </cell>
          <cell r="C113">
            <v>44287</v>
          </cell>
        </row>
        <row r="114">
          <cell r="A114">
            <v>44309</v>
          </cell>
          <cell r="B114" t="str">
            <v>Week17</v>
          </cell>
          <cell r="C114">
            <v>44287</v>
          </cell>
        </row>
        <row r="115">
          <cell r="A115">
            <v>44310</v>
          </cell>
          <cell r="B115" t="str">
            <v>Week17</v>
          </cell>
          <cell r="C115">
            <v>44287</v>
          </cell>
        </row>
        <row r="116">
          <cell r="A116">
            <v>44311</v>
          </cell>
          <cell r="B116" t="str">
            <v>Week18</v>
          </cell>
          <cell r="C116">
            <v>44287</v>
          </cell>
        </row>
        <row r="117">
          <cell r="A117">
            <v>44312</v>
          </cell>
          <cell r="B117" t="str">
            <v>Week18</v>
          </cell>
          <cell r="C117">
            <v>44287</v>
          </cell>
        </row>
        <row r="118">
          <cell r="A118">
            <v>44313</v>
          </cell>
          <cell r="B118" t="str">
            <v>Week18</v>
          </cell>
          <cell r="C118">
            <v>44287</v>
          </cell>
        </row>
        <row r="119">
          <cell r="A119">
            <v>44314</v>
          </cell>
          <cell r="B119" t="str">
            <v>Week18</v>
          </cell>
          <cell r="C119">
            <v>44287</v>
          </cell>
        </row>
        <row r="120">
          <cell r="A120">
            <v>44315</v>
          </cell>
          <cell r="B120" t="str">
            <v>Week18</v>
          </cell>
          <cell r="C120">
            <v>44287</v>
          </cell>
        </row>
        <row r="121">
          <cell r="A121">
            <v>44316</v>
          </cell>
          <cell r="B121" t="str">
            <v>Week18</v>
          </cell>
          <cell r="C121">
            <v>44287</v>
          </cell>
        </row>
        <row r="122">
          <cell r="A122">
            <v>44317</v>
          </cell>
          <cell r="B122" t="str">
            <v>Week18</v>
          </cell>
          <cell r="C122">
            <v>44317</v>
          </cell>
        </row>
        <row r="123">
          <cell r="A123">
            <v>44318</v>
          </cell>
          <cell r="B123" t="str">
            <v>Week19</v>
          </cell>
          <cell r="C123">
            <v>44317</v>
          </cell>
        </row>
        <row r="124">
          <cell r="A124">
            <v>44319</v>
          </cell>
          <cell r="B124" t="str">
            <v>Week19</v>
          </cell>
          <cell r="C124">
            <v>44317</v>
          </cell>
        </row>
        <row r="125">
          <cell r="A125">
            <v>44320</v>
          </cell>
          <cell r="B125" t="str">
            <v>Week19</v>
          </cell>
          <cell r="C125">
            <v>44317</v>
          </cell>
        </row>
        <row r="126">
          <cell r="A126">
            <v>44321</v>
          </cell>
          <cell r="B126" t="str">
            <v>Week19</v>
          </cell>
          <cell r="C126">
            <v>44317</v>
          </cell>
        </row>
        <row r="127">
          <cell r="A127">
            <v>44322</v>
          </cell>
          <cell r="B127" t="str">
            <v>Week19</v>
          </cell>
          <cell r="C127">
            <v>44317</v>
          </cell>
        </row>
        <row r="128">
          <cell r="A128">
            <v>44323</v>
          </cell>
          <cell r="B128" t="str">
            <v>Week19</v>
          </cell>
          <cell r="C128">
            <v>44317</v>
          </cell>
        </row>
        <row r="129">
          <cell r="A129">
            <v>44324</v>
          </cell>
          <cell r="B129" t="str">
            <v>Week19</v>
          </cell>
          <cell r="C129">
            <v>44317</v>
          </cell>
        </row>
        <row r="130">
          <cell r="A130">
            <v>44325</v>
          </cell>
          <cell r="B130" t="str">
            <v>Week20</v>
          </cell>
          <cell r="C130">
            <v>44317</v>
          </cell>
        </row>
        <row r="131">
          <cell r="A131">
            <v>44326</v>
          </cell>
          <cell r="B131" t="str">
            <v>Week20</v>
          </cell>
          <cell r="C131">
            <v>44317</v>
          </cell>
        </row>
        <row r="132">
          <cell r="A132">
            <v>44327</v>
          </cell>
          <cell r="B132" t="str">
            <v>Week20</v>
          </cell>
          <cell r="C132">
            <v>44317</v>
          </cell>
        </row>
        <row r="133">
          <cell r="A133">
            <v>44328</v>
          </cell>
          <cell r="B133" t="str">
            <v>Week20</v>
          </cell>
          <cell r="C133">
            <v>44317</v>
          </cell>
        </row>
        <row r="134">
          <cell r="A134">
            <v>44329</v>
          </cell>
          <cell r="B134" t="str">
            <v>Week20</v>
          </cell>
          <cell r="C134">
            <v>44317</v>
          </cell>
        </row>
        <row r="135">
          <cell r="A135">
            <v>44330</v>
          </cell>
          <cell r="B135" t="str">
            <v>Week20</v>
          </cell>
          <cell r="C135">
            <v>44317</v>
          </cell>
        </row>
        <row r="136">
          <cell r="A136">
            <v>44331</v>
          </cell>
          <cell r="B136" t="str">
            <v>Week20</v>
          </cell>
          <cell r="C136">
            <v>44317</v>
          </cell>
        </row>
        <row r="137">
          <cell r="A137">
            <v>44332</v>
          </cell>
          <cell r="B137" t="str">
            <v>Week21</v>
          </cell>
          <cell r="C137">
            <v>44317</v>
          </cell>
        </row>
        <row r="138">
          <cell r="A138">
            <v>44333</v>
          </cell>
          <cell r="B138" t="str">
            <v>Week21</v>
          </cell>
          <cell r="C138">
            <v>44317</v>
          </cell>
        </row>
        <row r="139">
          <cell r="A139">
            <v>44334</v>
          </cell>
          <cell r="B139" t="str">
            <v>Week21</v>
          </cell>
          <cell r="C139">
            <v>44317</v>
          </cell>
        </row>
        <row r="140">
          <cell r="A140">
            <v>44335</v>
          </cell>
          <cell r="B140" t="str">
            <v>Week21</v>
          </cell>
          <cell r="C140">
            <v>44317</v>
          </cell>
        </row>
        <row r="141">
          <cell r="A141">
            <v>44336</v>
          </cell>
          <cell r="B141" t="str">
            <v>Week21</v>
          </cell>
          <cell r="C141">
            <v>44317</v>
          </cell>
        </row>
        <row r="142">
          <cell r="A142">
            <v>44337</v>
          </cell>
          <cell r="B142" t="str">
            <v>Week21</v>
          </cell>
          <cell r="C142">
            <v>44317</v>
          </cell>
        </row>
        <row r="143">
          <cell r="A143">
            <v>44338</v>
          </cell>
          <cell r="B143" t="str">
            <v>Week21</v>
          </cell>
          <cell r="C143">
            <v>44317</v>
          </cell>
        </row>
        <row r="144">
          <cell r="A144">
            <v>44339</v>
          </cell>
          <cell r="B144" t="str">
            <v>Week22</v>
          </cell>
          <cell r="C144">
            <v>44317</v>
          </cell>
        </row>
        <row r="145">
          <cell r="A145">
            <v>44340</v>
          </cell>
          <cell r="B145" t="str">
            <v>Week22</v>
          </cell>
          <cell r="C145">
            <v>44317</v>
          </cell>
        </row>
        <row r="146">
          <cell r="A146">
            <v>44341</v>
          </cell>
          <cell r="B146" t="str">
            <v>Week22</v>
          </cell>
          <cell r="C146">
            <v>44317</v>
          </cell>
        </row>
        <row r="147">
          <cell r="A147">
            <v>44342</v>
          </cell>
          <cell r="B147" t="str">
            <v>Week22</v>
          </cell>
          <cell r="C147">
            <v>44317</v>
          </cell>
        </row>
        <row r="148">
          <cell r="A148">
            <v>44343</v>
          </cell>
          <cell r="B148" t="str">
            <v>Week22</v>
          </cell>
          <cell r="C148">
            <v>44317</v>
          </cell>
        </row>
        <row r="149">
          <cell r="A149">
            <v>44344</v>
          </cell>
          <cell r="B149" t="str">
            <v>Week22</v>
          </cell>
          <cell r="C149">
            <v>44317</v>
          </cell>
        </row>
        <row r="150">
          <cell r="A150">
            <v>44345</v>
          </cell>
          <cell r="B150" t="str">
            <v>Week22</v>
          </cell>
          <cell r="C150">
            <v>44317</v>
          </cell>
        </row>
        <row r="151">
          <cell r="A151">
            <v>44346</v>
          </cell>
          <cell r="B151" t="str">
            <v>Week23</v>
          </cell>
          <cell r="C151">
            <v>44317</v>
          </cell>
        </row>
        <row r="152">
          <cell r="A152">
            <v>44347</v>
          </cell>
          <cell r="B152" t="str">
            <v>Week23</v>
          </cell>
          <cell r="C152">
            <v>44317</v>
          </cell>
        </row>
        <row r="153">
          <cell r="A153">
            <v>44348</v>
          </cell>
          <cell r="B153" t="str">
            <v>Week23</v>
          </cell>
          <cell r="C153">
            <v>44348</v>
          </cell>
        </row>
        <row r="154">
          <cell r="A154">
            <v>44349</v>
          </cell>
          <cell r="B154" t="str">
            <v>Week23</v>
          </cell>
          <cell r="C154">
            <v>44348</v>
          </cell>
        </row>
        <row r="155">
          <cell r="A155">
            <v>44350</v>
          </cell>
          <cell r="B155" t="str">
            <v>Week23</v>
          </cell>
          <cell r="C155">
            <v>44348</v>
          </cell>
        </row>
        <row r="156">
          <cell r="A156">
            <v>44351</v>
          </cell>
          <cell r="B156" t="str">
            <v>Week23</v>
          </cell>
          <cell r="C156">
            <v>44348</v>
          </cell>
        </row>
        <row r="157">
          <cell r="A157">
            <v>44352</v>
          </cell>
          <cell r="B157" t="str">
            <v>Week23</v>
          </cell>
          <cell r="C157">
            <v>44348</v>
          </cell>
        </row>
        <row r="158">
          <cell r="A158">
            <v>44353</v>
          </cell>
          <cell r="B158" t="str">
            <v>Week24</v>
          </cell>
          <cell r="C158">
            <v>44348</v>
          </cell>
        </row>
        <row r="159">
          <cell r="A159">
            <v>44354</v>
          </cell>
          <cell r="B159" t="str">
            <v>Week24</v>
          </cell>
          <cell r="C159">
            <v>44348</v>
          </cell>
        </row>
        <row r="160">
          <cell r="A160">
            <v>44355</v>
          </cell>
          <cell r="B160" t="str">
            <v>Week24</v>
          </cell>
          <cell r="C160">
            <v>44348</v>
          </cell>
        </row>
        <row r="161">
          <cell r="A161">
            <v>44356</v>
          </cell>
          <cell r="B161" t="str">
            <v>Week24</v>
          </cell>
          <cell r="C161">
            <v>44348</v>
          </cell>
        </row>
        <row r="162">
          <cell r="A162">
            <v>44357</v>
          </cell>
          <cell r="B162" t="str">
            <v>Week24</v>
          </cell>
          <cell r="C162">
            <v>44348</v>
          </cell>
        </row>
        <row r="163">
          <cell r="A163">
            <v>44358</v>
          </cell>
          <cell r="B163" t="str">
            <v>Week24</v>
          </cell>
          <cell r="C163">
            <v>44348</v>
          </cell>
        </row>
        <row r="164">
          <cell r="A164">
            <v>44359</v>
          </cell>
          <cell r="B164" t="str">
            <v>Week24</v>
          </cell>
          <cell r="C164">
            <v>44348</v>
          </cell>
        </row>
        <row r="165">
          <cell r="A165">
            <v>44360</v>
          </cell>
          <cell r="B165" t="str">
            <v>Week25</v>
          </cell>
          <cell r="C165">
            <v>44348</v>
          </cell>
        </row>
        <row r="166">
          <cell r="A166">
            <v>44361</v>
          </cell>
          <cell r="B166" t="str">
            <v>Week25</v>
          </cell>
          <cell r="C166">
            <v>44348</v>
          </cell>
        </row>
        <row r="167">
          <cell r="A167">
            <v>44362</v>
          </cell>
          <cell r="B167" t="str">
            <v>Week25</v>
          </cell>
          <cell r="C167">
            <v>44348</v>
          </cell>
        </row>
        <row r="168">
          <cell r="A168">
            <v>44363</v>
          </cell>
          <cell r="B168" t="str">
            <v>Week25</v>
          </cell>
          <cell r="C168">
            <v>44348</v>
          </cell>
        </row>
        <row r="169">
          <cell r="A169">
            <v>44364</v>
          </cell>
          <cell r="B169" t="str">
            <v>Week25</v>
          </cell>
          <cell r="C169">
            <v>44348</v>
          </cell>
        </row>
        <row r="170">
          <cell r="A170">
            <v>44365</v>
          </cell>
          <cell r="B170" t="str">
            <v>Week25</v>
          </cell>
          <cell r="C170">
            <v>44348</v>
          </cell>
        </row>
        <row r="171">
          <cell r="A171">
            <v>44366</v>
          </cell>
          <cell r="B171" t="str">
            <v>Week25</v>
          </cell>
          <cell r="C171">
            <v>44348</v>
          </cell>
        </row>
        <row r="172">
          <cell r="A172">
            <v>44367</v>
          </cell>
          <cell r="B172" t="str">
            <v>Week26</v>
          </cell>
          <cell r="C172">
            <v>44348</v>
          </cell>
        </row>
        <row r="173">
          <cell r="A173">
            <v>44368</v>
          </cell>
          <cell r="B173" t="str">
            <v>Week26</v>
          </cell>
          <cell r="C173">
            <v>44348</v>
          </cell>
        </row>
        <row r="174">
          <cell r="A174">
            <v>44369</v>
          </cell>
          <cell r="B174" t="str">
            <v>Week26</v>
          </cell>
          <cell r="C174">
            <v>44348</v>
          </cell>
        </row>
        <row r="175">
          <cell r="A175">
            <v>44370</v>
          </cell>
          <cell r="B175" t="str">
            <v>Week26</v>
          </cell>
          <cell r="C175">
            <v>44348</v>
          </cell>
        </row>
        <row r="176">
          <cell r="A176">
            <v>44371</v>
          </cell>
          <cell r="B176" t="str">
            <v>Week26</v>
          </cell>
          <cell r="C176">
            <v>44348</v>
          </cell>
        </row>
        <row r="177">
          <cell r="A177">
            <v>44372</v>
          </cell>
          <cell r="B177" t="str">
            <v>Week26</v>
          </cell>
          <cell r="C177">
            <v>44348</v>
          </cell>
        </row>
        <row r="178">
          <cell r="A178">
            <v>44373</v>
          </cell>
          <cell r="B178" t="str">
            <v>Week26</v>
          </cell>
          <cell r="C178">
            <v>44348</v>
          </cell>
        </row>
        <row r="179">
          <cell r="A179">
            <v>44374</v>
          </cell>
          <cell r="B179" t="str">
            <v>Week27</v>
          </cell>
          <cell r="C179">
            <v>44348</v>
          </cell>
        </row>
        <row r="180">
          <cell r="A180">
            <v>44375</v>
          </cell>
          <cell r="B180" t="str">
            <v>Week27</v>
          </cell>
          <cell r="C180">
            <v>44348</v>
          </cell>
        </row>
        <row r="181">
          <cell r="A181">
            <v>44376</v>
          </cell>
          <cell r="B181" t="str">
            <v>Week27</v>
          </cell>
          <cell r="C181">
            <v>44348</v>
          </cell>
        </row>
        <row r="182">
          <cell r="A182">
            <v>44377</v>
          </cell>
          <cell r="B182" t="str">
            <v>Week27</v>
          </cell>
          <cell r="C182">
            <v>44348</v>
          </cell>
        </row>
        <row r="183">
          <cell r="A183">
            <v>44378</v>
          </cell>
          <cell r="B183" t="str">
            <v>Week27</v>
          </cell>
          <cell r="C183">
            <v>44378</v>
          </cell>
        </row>
        <row r="184">
          <cell r="A184">
            <v>44379</v>
          </cell>
          <cell r="B184" t="str">
            <v>Week27</v>
          </cell>
          <cell r="C184">
            <v>44378</v>
          </cell>
        </row>
        <row r="185">
          <cell r="A185">
            <v>44380</v>
          </cell>
          <cell r="B185" t="str">
            <v>Week27</v>
          </cell>
          <cell r="C185">
            <v>44378</v>
          </cell>
        </row>
        <row r="186">
          <cell r="A186">
            <v>44381</v>
          </cell>
          <cell r="B186" t="str">
            <v>Week28</v>
          </cell>
          <cell r="C186">
            <v>44378</v>
          </cell>
        </row>
        <row r="187">
          <cell r="A187">
            <v>44382</v>
          </cell>
          <cell r="B187" t="str">
            <v>Week28</v>
          </cell>
          <cell r="C187">
            <v>44378</v>
          </cell>
        </row>
        <row r="188">
          <cell r="A188">
            <v>44383</v>
          </cell>
          <cell r="B188" t="str">
            <v>Week28</v>
          </cell>
          <cell r="C188">
            <v>44378</v>
          </cell>
        </row>
        <row r="189">
          <cell r="A189">
            <v>44384</v>
          </cell>
          <cell r="B189" t="str">
            <v>Week28</v>
          </cell>
          <cell r="C189">
            <v>44378</v>
          </cell>
        </row>
        <row r="190">
          <cell r="A190">
            <v>44385</v>
          </cell>
          <cell r="B190" t="str">
            <v>Week28</v>
          </cell>
          <cell r="C190">
            <v>44378</v>
          </cell>
        </row>
        <row r="191">
          <cell r="A191">
            <v>44386</v>
          </cell>
          <cell r="B191" t="str">
            <v>Week28</v>
          </cell>
          <cell r="C191">
            <v>44378</v>
          </cell>
        </row>
        <row r="192">
          <cell r="A192">
            <v>44387</v>
          </cell>
          <cell r="B192" t="str">
            <v>Week28</v>
          </cell>
          <cell r="C192">
            <v>44378</v>
          </cell>
        </row>
        <row r="193">
          <cell r="A193">
            <v>44388</v>
          </cell>
          <cell r="B193" t="str">
            <v>Week29</v>
          </cell>
          <cell r="C193">
            <v>44378</v>
          </cell>
        </row>
        <row r="194">
          <cell r="A194">
            <v>44389</v>
          </cell>
          <cell r="B194" t="str">
            <v>Week29</v>
          </cell>
          <cell r="C194">
            <v>44378</v>
          </cell>
        </row>
        <row r="195">
          <cell r="A195">
            <v>44390</v>
          </cell>
          <cell r="B195" t="str">
            <v>Week29</v>
          </cell>
          <cell r="C195">
            <v>44378</v>
          </cell>
        </row>
        <row r="196">
          <cell r="A196">
            <v>44391</v>
          </cell>
          <cell r="B196" t="str">
            <v>Week29</v>
          </cell>
          <cell r="C196">
            <v>44378</v>
          </cell>
        </row>
        <row r="197">
          <cell r="A197">
            <v>44392</v>
          </cell>
          <cell r="B197" t="str">
            <v>Week29</v>
          </cell>
          <cell r="C197">
            <v>44378</v>
          </cell>
        </row>
        <row r="198">
          <cell r="A198">
            <v>44393</v>
          </cell>
          <cell r="B198" t="str">
            <v>Week29</v>
          </cell>
          <cell r="C198">
            <v>44378</v>
          </cell>
        </row>
        <row r="199">
          <cell r="A199">
            <v>44394</v>
          </cell>
          <cell r="B199" t="str">
            <v>Week29</v>
          </cell>
          <cell r="C199">
            <v>44378</v>
          </cell>
        </row>
        <row r="200">
          <cell r="A200">
            <v>44395</v>
          </cell>
          <cell r="B200" t="str">
            <v>Week30</v>
          </cell>
          <cell r="C200">
            <v>44378</v>
          </cell>
        </row>
        <row r="201">
          <cell r="A201">
            <v>44396</v>
          </cell>
          <cell r="B201" t="str">
            <v>Week30</v>
          </cell>
          <cell r="C201">
            <v>44378</v>
          </cell>
        </row>
        <row r="202">
          <cell r="A202">
            <v>44397</v>
          </cell>
          <cell r="B202" t="str">
            <v>Week30</v>
          </cell>
          <cell r="C202">
            <v>44378</v>
          </cell>
        </row>
        <row r="203">
          <cell r="A203">
            <v>44398</v>
          </cell>
          <cell r="B203" t="str">
            <v>Week30</v>
          </cell>
          <cell r="C203">
            <v>44378</v>
          </cell>
        </row>
        <row r="204">
          <cell r="A204">
            <v>44399</v>
          </cell>
          <cell r="B204" t="str">
            <v>Week30</v>
          </cell>
          <cell r="C204">
            <v>44378</v>
          </cell>
        </row>
        <row r="205">
          <cell r="A205">
            <v>44400</v>
          </cell>
          <cell r="B205" t="str">
            <v>Week30</v>
          </cell>
          <cell r="C205">
            <v>44378</v>
          </cell>
        </row>
        <row r="206">
          <cell r="A206">
            <v>44401</v>
          </cell>
          <cell r="B206" t="str">
            <v>Week30</v>
          </cell>
          <cell r="C206">
            <v>44378</v>
          </cell>
        </row>
        <row r="207">
          <cell r="A207">
            <v>44402</v>
          </cell>
          <cell r="B207" t="str">
            <v>Week31</v>
          </cell>
          <cell r="C207">
            <v>44378</v>
          </cell>
        </row>
        <row r="208">
          <cell r="A208">
            <v>44403</v>
          </cell>
          <cell r="B208" t="str">
            <v>Week31</v>
          </cell>
          <cell r="C208">
            <v>44378</v>
          </cell>
        </row>
        <row r="209">
          <cell r="A209">
            <v>44404</v>
          </cell>
          <cell r="B209" t="str">
            <v>Week31</v>
          </cell>
          <cell r="C209">
            <v>44378</v>
          </cell>
        </row>
        <row r="210">
          <cell r="A210">
            <v>44405</v>
          </cell>
          <cell r="B210" t="str">
            <v>Week31</v>
          </cell>
          <cell r="C210">
            <v>44378</v>
          </cell>
        </row>
        <row r="211">
          <cell r="A211">
            <v>44406</v>
          </cell>
          <cell r="B211" t="str">
            <v>Week31</v>
          </cell>
          <cell r="C211">
            <v>44378</v>
          </cell>
        </row>
        <row r="212">
          <cell r="A212">
            <v>44407</v>
          </cell>
          <cell r="B212" t="str">
            <v>Week31</v>
          </cell>
          <cell r="C212">
            <v>44378</v>
          </cell>
        </row>
        <row r="213">
          <cell r="A213">
            <v>44408</v>
          </cell>
          <cell r="B213" t="str">
            <v>Week31</v>
          </cell>
          <cell r="C213">
            <v>44378</v>
          </cell>
        </row>
        <row r="214">
          <cell r="A214">
            <v>44409</v>
          </cell>
          <cell r="B214" t="str">
            <v>Week32</v>
          </cell>
          <cell r="C214">
            <v>44409</v>
          </cell>
        </row>
        <row r="215">
          <cell r="A215">
            <v>44410</v>
          </cell>
          <cell r="B215" t="str">
            <v>Week32</v>
          </cell>
          <cell r="C215">
            <v>44409</v>
          </cell>
        </row>
        <row r="216">
          <cell r="A216">
            <v>44411</v>
          </cell>
          <cell r="B216" t="str">
            <v>Week32</v>
          </cell>
          <cell r="C216">
            <v>44409</v>
          </cell>
        </row>
        <row r="217">
          <cell r="A217">
            <v>44412</v>
          </cell>
          <cell r="B217" t="str">
            <v>Week32</v>
          </cell>
          <cell r="C217">
            <v>44409</v>
          </cell>
        </row>
        <row r="218">
          <cell r="A218">
            <v>44413</v>
          </cell>
          <cell r="B218" t="str">
            <v>Week32</v>
          </cell>
          <cell r="C218">
            <v>44409</v>
          </cell>
        </row>
        <row r="219">
          <cell r="A219">
            <v>44414</v>
          </cell>
          <cell r="B219" t="str">
            <v>Week32</v>
          </cell>
          <cell r="C219">
            <v>44409</v>
          </cell>
        </row>
        <row r="220">
          <cell r="A220">
            <v>44415</v>
          </cell>
          <cell r="B220" t="str">
            <v>Week32</v>
          </cell>
          <cell r="C220">
            <v>44409</v>
          </cell>
        </row>
        <row r="221">
          <cell r="A221">
            <v>44416</v>
          </cell>
          <cell r="B221" t="str">
            <v>Week33</v>
          </cell>
          <cell r="C221">
            <v>44409</v>
          </cell>
        </row>
        <row r="222">
          <cell r="A222">
            <v>44417</v>
          </cell>
          <cell r="B222" t="str">
            <v>Week33</v>
          </cell>
          <cell r="C222">
            <v>44409</v>
          </cell>
        </row>
        <row r="223">
          <cell r="A223">
            <v>44418</v>
          </cell>
          <cell r="B223" t="str">
            <v>Week33</v>
          </cell>
          <cell r="C223">
            <v>44409</v>
          </cell>
        </row>
        <row r="224">
          <cell r="A224">
            <v>44419</v>
          </cell>
          <cell r="B224" t="str">
            <v>Week33</v>
          </cell>
          <cell r="C224">
            <v>44409</v>
          </cell>
        </row>
        <row r="225">
          <cell r="A225">
            <v>44420</v>
          </cell>
          <cell r="B225" t="str">
            <v>Week33</v>
          </cell>
          <cell r="C225">
            <v>44409</v>
          </cell>
        </row>
        <row r="226">
          <cell r="A226">
            <v>44421</v>
          </cell>
          <cell r="B226" t="str">
            <v>Week33</v>
          </cell>
          <cell r="C226">
            <v>44409</v>
          </cell>
        </row>
        <row r="227">
          <cell r="A227">
            <v>44422</v>
          </cell>
          <cell r="B227" t="str">
            <v>Week33</v>
          </cell>
          <cell r="C227">
            <v>44409</v>
          </cell>
        </row>
        <row r="228">
          <cell r="A228">
            <v>44423</v>
          </cell>
          <cell r="B228" t="str">
            <v>Week34</v>
          </cell>
          <cell r="C228">
            <v>44409</v>
          </cell>
        </row>
        <row r="229">
          <cell r="A229">
            <v>44424</v>
          </cell>
          <cell r="B229" t="str">
            <v>Week34</v>
          </cell>
          <cell r="C229">
            <v>44409</v>
          </cell>
        </row>
        <row r="230">
          <cell r="A230">
            <v>44425</v>
          </cell>
          <cell r="B230" t="str">
            <v>Week34</v>
          </cell>
          <cell r="C230">
            <v>44409</v>
          </cell>
        </row>
        <row r="231">
          <cell r="A231">
            <v>44426</v>
          </cell>
          <cell r="B231" t="str">
            <v>Week34</v>
          </cell>
          <cell r="C231">
            <v>44409</v>
          </cell>
        </row>
        <row r="232">
          <cell r="A232">
            <v>44427</v>
          </cell>
          <cell r="B232" t="str">
            <v>Week34</v>
          </cell>
          <cell r="C232">
            <v>44409</v>
          </cell>
        </row>
        <row r="233">
          <cell r="A233">
            <v>44428</v>
          </cell>
          <cell r="B233" t="str">
            <v>Week34</v>
          </cell>
          <cell r="C233">
            <v>44409</v>
          </cell>
        </row>
        <row r="234">
          <cell r="A234">
            <v>44429</v>
          </cell>
          <cell r="B234" t="str">
            <v>Week34</v>
          </cell>
          <cell r="C234">
            <v>44409</v>
          </cell>
        </row>
        <row r="235">
          <cell r="A235">
            <v>44430</v>
          </cell>
          <cell r="B235" t="str">
            <v>Week35</v>
          </cell>
          <cell r="C235">
            <v>44409</v>
          </cell>
        </row>
        <row r="236">
          <cell r="A236">
            <v>44431</v>
          </cell>
          <cell r="B236" t="str">
            <v>Week35</v>
          </cell>
          <cell r="C236">
            <v>44409</v>
          </cell>
        </row>
        <row r="237">
          <cell r="A237">
            <v>44432</v>
          </cell>
          <cell r="B237" t="str">
            <v>Week35</v>
          </cell>
          <cell r="C237">
            <v>44409</v>
          </cell>
        </row>
        <row r="238">
          <cell r="A238">
            <v>44433</v>
          </cell>
          <cell r="B238" t="str">
            <v>Week35</v>
          </cell>
          <cell r="C238">
            <v>44409</v>
          </cell>
        </row>
        <row r="239">
          <cell r="A239">
            <v>44434</v>
          </cell>
          <cell r="B239" t="str">
            <v>Week35</v>
          </cell>
          <cell r="C239">
            <v>44409</v>
          </cell>
        </row>
        <row r="240">
          <cell r="A240">
            <v>44435</v>
          </cell>
          <cell r="B240" t="str">
            <v>Week35</v>
          </cell>
          <cell r="C240">
            <v>44409</v>
          </cell>
        </row>
        <row r="241">
          <cell r="A241">
            <v>44436</v>
          </cell>
          <cell r="B241" t="str">
            <v>Week35</v>
          </cell>
          <cell r="C241">
            <v>44409</v>
          </cell>
        </row>
        <row r="242">
          <cell r="A242">
            <v>44437</v>
          </cell>
          <cell r="B242" t="str">
            <v>Week36</v>
          </cell>
          <cell r="C242">
            <v>44409</v>
          </cell>
        </row>
        <row r="243">
          <cell r="A243">
            <v>44438</v>
          </cell>
          <cell r="B243" t="str">
            <v>Week36</v>
          </cell>
          <cell r="C243">
            <v>44409</v>
          </cell>
        </row>
        <row r="244">
          <cell r="A244">
            <v>44439</v>
          </cell>
          <cell r="B244" t="str">
            <v>Week36</v>
          </cell>
          <cell r="C244">
            <v>44409</v>
          </cell>
        </row>
        <row r="245">
          <cell r="A245">
            <v>44440</v>
          </cell>
          <cell r="B245" t="str">
            <v>Week36</v>
          </cell>
          <cell r="C245">
            <v>44440</v>
          </cell>
        </row>
        <row r="246">
          <cell r="A246">
            <v>44441</v>
          </cell>
          <cell r="B246" t="str">
            <v>Week36</v>
          </cell>
          <cell r="C246">
            <v>44440</v>
          </cell>
        </row>
        <row r="247">
          <cell r="A247">
            <v>44442</v>
          </cell>
          <cell r="B247" t="str">
            <v>Week36</v>
          </cell>
          <cell r="C247">
            <v>44440</v>
          </cell>
        </row>
        <row r="248">
          <cell r="A248">
            <v>44443</v>
          </cell>
          <cell r="B248" t="str">
            <v>Week36</v>
          </cell>
          <cell r="C248">
            <v>44440</v>
          </cell>
        </row>
        <row r="249">
          <cell r="A249">
            <v>44444</v>
          </cell>
          <cell r="B249" t="str">
            <v>Week37</v>
          </cell>
          <cell r="C249">
            <v>44440</v>
          </cell>
        </row>
        <row r="250">
          <cell r="A250">
            <v>44445</v>
          </cell>
          <cell r="B250" t="str">
            <v>Week37</v>
          </cell>
          <cell r="C250">
            <v>44440</v>
          </cell>
        </row>
        <row r="251">
          <cell r="A251">
            <v>44446</v>
          </cell>
          <cell r="B251" t="str">
            <v>Week37</v>
          </cell>
          <cell r="C251">
            <v>44440</v>
          </cell>
        </row>
        <row r="252">
          <cell r="A252">
            <v>44447</v>
          </cell>
          <cell r="B252" t="str">
            <v>Week37</v>
          </cell>
          <cell r="C252">
            <v>44440</v>
          </cell>
        </row>
        <row r="253">
          <cell r="A253">
            <v>44448</v>
          </cell>
          <cell r="B253" t="str">
            <v>Week37</v>
          </cell>
          <cell r="C253">
            <v>44440</v>
          </cell>
        </row>
        <row r="254">
          <cell r="A254">
            <v>44449</v>
          </cell>
          <cell r="B254" t="str">
            <v>Week37</v>
          </cell>
          <cell r="C254">
            <v>44440</v>
          </cell>
        </row>
        <row r="255">
          <cell r="A255">
            <v>44450</v>
          </cell>
          <cell r="B255" t="str">
            <v>Week37</v>
          </cell>
          <cell r="C255">
            <v>44440</v>
          </cell>
        </row>
        <row r="256">
          <cell r="A256">
            <v>44451</v>
          </cell>
          <cell r="B256" t="str">
            <v>Week38</v>
          </cell>
          <cell r="C256">
            <v>44440</v>
          </cell>
        </row>
        <row r="257">
          <cell r="A257">
            <v>44452</v>
          </cell>
          <cell r="B257" t="str">
            <v>Week38</v>
          </cell>
          <cell r="C257">
            <v>44440</v>
          </cell>
        </row>
        <row r="258">
          <cell r="A258">
            <v>44453</v>
          </cell>
          <cell r="B258" t="str">
            <v>Week38</v>
          </cell>
          <cell r="C258">
            <v>44440</v>
          </cell>
        </row>
        <row r="259">
          <cell r="A259">
            <v>44454</v>
          </cell>
          <cell r="B259" t="str">
            <v>Week38</v>
          </cell>
          <cell r="C259">
            <v>44440</v>
          </cell>
        </row>
        <row r="260">
          <cell r="A260">
            <v>44455</v>
          </cell>
          <cell r="B260" t="str">
            <v>Week38</v>
          </cell>
          <cell r="C260">
            <v>44440</v>
          </cell>
        </row>
        <row r="261">
          <cell r="A261">
            <v>44456</v>
          </cell>
          <cell r="B261" t="str">
            <v>Week38</v>
          </cell>
          <cell r="C261">
            <v>44440</v>
          </cell>
        </row>
        <row r="262">
          <cell r="A262">
            <v>44457</v>
          </cell>
          <cell r="B262" t="str">
            <v>Week38</v>
          </cell>
          <cell r="C262">
            <v>44440</v>
          </cell>
        </row>
        <row r="263">
          <cell r="A263">
            <v>44458</v>
          </cell>
          <cell r="B263" t="str">
            <v>Week39</v>
          </cell>
          <cell r="C263">
            <v>44440</v>
          </cell>
        </row>
        <row r="264">
          <cell r="A264">
            <v>44459</v>
          </cell>
          <cell r="B264" t="str">
            <v>Week39</v>
          </cell>
          <cell r="C264">
            <v>44440</v>
          </cell>
        </row>
        <row r="265">
          <cell r="A265">
            <v>44460</v>
          </cell>
          <cell r="B265" t="str">
            <v>Week39</v>
          </cell>
          <cell r="C265">
            <v>44440</v>
          </cell>
        </row>
        <row r="266">
          <cell r="A266">
            <v>44461</v>
          </cell>
          <cell r="B266" t="str">
            <v>Week39</v>
          </cell>
          <cell r="C266">
            <v>44440</v>
          </cell>
        </row>
        <row r="267">
          <cell r="A267">
            <v>44462</v>
          </cell>
          <cell r="B267" t="str">
            <v>Week39</v>
          </cell>
          <cell r="C267">
            <v>44440</v>
          </cell>
        </row>
        <row r="268">
          <cell r="A268">
            <v>44463</v>
          </cell>
          <cell r="B268" t="str">
            <v>Week39</v>
          </cell>
          <cell r="C268">
            <v>44440</v>
          </cell>
        </row>
        <row r="269">
          <cell r="A269">
            <v>44464</v>
          </cell>
          <cell r="B269" t="str">
            <v>Week39</v>
          </cell>
          <cell r="C269">
            <v>44440</v>
          </cell>
        </row>
        <row r="270">
          <cell r="A270">
            <v>44465</v>
          </cell>
          <cell r="B270" t="str">
            <v>Week40</v>
          </cell>
          <cell r="C270">
            <v>44440</v>
          </cell>
        </row>
        <row r="271">
          <cell r="A271">
            <v>44466</v>
          </cell>
          <cell r="B271" t="str">
            <v>Week40</v>
          </cell>
          <cell r="C271">
            <v>44440</v>
          </cell>
        </row>
        <row r="272">
          <cell r="A272">
            <v>44467</v>
          </cell>
          <cell r="B272" t="str">
            <v>Week40</v>
          </cell>
          <cell r="C272">
            <v>44440</v>
          </cell>
        </row>
        <row r="273">
          <cell r="A273">
            <v>44468</v>
          </cell>
          <cell r="B273" t="str">
            <v>Week40</v>
          </cell>
          <cell r="C273">
            <v>44440</v>
          </cell>
        </row>
        <row r="274">
          <cell r="A274">
            <v>44469</v>
          </cell>
          <cell r="B274" t="str">
            <v>Week40</v>
          </cell>
          <cell r="C274">
            <v>44440</v>
          </cell>
        </row>
        <row r="275">
          <cell r="A275">
            <v>44470</v>
          </cell>
          <cell r="B275" t="str">
            <v>Week40</v>
          </cell>
          <cell r="C275">
            <v>44470</v>
          </cell>
        </row>
        <row r="276">
          <cell r="A276">
            <v>44471</v>
          </cell>
          <cell r="B276" t="str">
            <v>Week40</v>
          </cell>
          <cell r="C276">
            <v>44470</v>
          </cell>
        </row>
        <row r="277">
          <cell r="A277">
            <v>44472</v>
          </cell>
          <cell r="B277" t="str">
            <v>Week41</v>
          </cell>
          <cell r="C277">
            <v>44470</v>
          </cell>
        </row>
        <row r="278">
          <cell r="A278">
            <v>44473</v>
          </cell>
          <cell r="B278" t="str">
            <v>Week41</v>
          </cell>
          <cell r="C278">
            <v>44470</v>
          </cell>
        </row>
        <row r="279">
          <cell r="A279">
            <v>44474</v>
          </cell>
          <cell r="B279" t="str">
            <v>Week41</v>
          </cell>
          <cell r="C279">
            <v>44470</v>
          </cell>
        </row>
        <row r="280">
          <cell r="A280">
            <v>44475</v>
          </cell>
          <cell r="B280" t="str">
            <v>Week41</v>
          </cell>
          <cell r="C280">
            <v>44470</v>
          </cell>
        </row>
        <row r="281">
          <cell r="A281">
            <v>44476</v>
          </cell>
          <cell r="B281" t="str">
            <v>Week41</v>
          </cell>
          <cell r="C281">
            <v>44470</v>
          </cell>
        </row>
        <row r="282">
          <cell r="A282">
            <v>44477</v>
          </cell>
          <cell r="B282" t="str">
            <v>Week41</v>
          </cell>
          <cell r="C282">
            <v>44470</v>
          </cell>
        </row>
        <row r="283">
          <cell r="A283">
            <v>44478</v>
          </cell>
          <cell r="B283" t="str">
            <v>Week41</v>
          </cell>
          <cell r="C283">
            <v>44470</v>
          </cell>
        </row>
        <row r="284">
          <cell r="A284">
            <v>44479</v>
          </cell>
          <cell r="B284" t="str">
            <v>Week42</v>
          </cell>
          <cell r="C284">
            <v>44470</v>
          </cell>
        </row>
        <row r="285">
          <cell r="A285">
            <v>44480</v>
          </cell>
          <cell r="B285" t="str">
            <v>Week42</v>
          </cell>
          <cell r="C285">
            <v>44470</v>
          </cell>
        </row>
        <row r="286">
          <cell r="A286">
            <v>44481</v>
          </cell>
          <cell r="B286" t="str">
            <v>Week42</v>
          </cell>
          <cell r="C286">
            <v>44470</v>
          </cell>
        </row>
        <row r="287">
          <cell r="A287">
            <v>44482</v>
          </cell>
          <cell r="B287" t="str">
            <v>Week42</v>
          </cell>
          <cell r="C287">
            <v>44470</v>
          </cell>
        </row>
        <row r="288">
          <cell r="A288">
            <v>44483</v>
          </cell>
          <cell r="B288" t="str">
            <v>Week42</v>
          </cell>
          <cell r="C288">
            <v>44470</v>
          </cell>
        </row>
        <row r="289">
          <cell r="A289">
            <v>44484</v>
          </cell>
          <cell r="B289" t="str">
            <v>Week42</v>
          </cell>
          <cell r="C289">
            <v>44470</v>
          </cell>
        </row>
        <row r="290">
          <cell r="A290">
            <v>44485</v>
          </cell>
          <cell r="B290" t="str">
            <v>Week42</v>
          </cell>
          <cell r="C290">
            <v>44470</v>
          </cell>
        </row>
        <row r="291">
          <cell r="A291">
            <v>44486</v>
          </cell>
          <cell r="B291" t="str">
            <v>Week43</v>
          </cell>
          <cell r="C291">
            <v>44470</v>
          </cell>
        </row>
        <row r="292">
          <cell r="A292">
            <v>44487</v>
          </cell>
          <cell r="B292" t="str">
            <v>Week43</v>
          </cell>
          <cell r="C292">
            <v>44470</v>
          </cell>
        </row>
        <row r="293">
          <cell r="A293">
            <v>44488</v>
          </cell>
          <cell r="B293" t="str">
            <v>Week43</v>
          </cell>
          <cell r="C293">
            <v>44470</v>
          </cell>
        </row>
        <row r="294">
          <cell r="A294">
            <v>44489</v>
          </cell>
          <cell r="B294" t="str">
            <v>Week43</v>
          </cell>
          <cell r="C294">
            <v>44470</v>
          </cell>
        </row>
        <row r="295">
          <cell r="A295">
            <v>44490</v>
          </cell>
          <cell r="B295" t="str">
            <v>Week43</v>
          </cell>
          <cell r="C295">
            <v>44470</v>
          </cell>
        </row>
        <row r="296">
          <cell r="A296">
            <v>44491</v>
          </cell>
          <cell r="B296" t="str">
            <v>Week43</v>
          </cell>
          <cell r="C296">
            <v>44470</v>
          </cell>
        </row>
        <row r="297">
          <cell r="A297">
            <v>44492</v>
          </cell>
          <cell r="B297" t="str">
            <v>Week43</v>
          </cell>
          <cell r="C297">
            <v>44470</v>
          </cell>
        </row>
        <row r="298">
          <cell r="A298">
            <v>44493</v>
          </cell>
          <cell r="B298" t="str">
            <v>Week44</v>
          </cell>
          <cell r="C298">
            <v>44470</v>
          </cell>
        </row>
        <row r="299">
          <cell r="A299">
            <v>44494</v>
          </cell>
          <cell r="B299" t="str">
            <v>Week44</v>
          </cell>
          <cell r="C299">
            <v>44470</v>
          </cell>
        </row>
        <row r="300">
          <cell r="A300">
            <v>44495</v>
          </cell>
          <cell r="B300" t="str">
            <v>Week44</v>
          </cell>
          <cell r="C300">
            <v>44470</v>
          </cell>
        </row>
        <row r="301">
          <cell r="A301">
            <v>44496</v>
          </cell>
          <cell r="B301" t="str">
            <v>Week44</v>
          </cell>
          <cell r="C301">
            <v>44470</v>
          </cell>
        </row>
        <row r="302">
          <cell r="A302">
            <v>44497</v>
          </cell>
          <cell r="B302" t="str">
            <v>Week44</v>
          </cell>
          <cell r="C302">
            <v>44470</v>
          </cell>
        </row>
        <row r="303">
          <cell r="A303">
            <v>44498</v>
          </cell>
          <cell r="B303" t="str">
            <v>Week44</v>
          </cell>
          <cell r="C303">
            <v>44470</v>
          </cell>
        </row>
        <row r="304">
          <cell r="A304">
            <v>44499</v>
          </cell>
          <cell r="B304" t="str">
            <v>Week44</v>
          </cell>
          <cell r="C304">
            <v>44470</v>
          </cell>
        </row>
        <row r="305">
          <cell r="A305">
            <v>44500</v>
          </cell>
          <cell r="B305" t="str">
            <v>Week45</v>
          </cell>
          <cell r="C305">
            <v>44470</v>
          </cell>
        </row>
        <row r="306">
          <cell r="A306">
            <v>44501</v>
          </cell>
          <cell r="B306" t="str">
            <v>Week45</v>
          </cell>
          <cell r="C306">
            <v>44501</v>
          </cell>
        </row>
        <row r="307">
          <cell r="A307">
            <v>44502</v>
          </cell>
          <cell r="B307" t="str">
            <v>Week45</v>
          </cell>
          <cell r="C307">
            <v>44501</v>
          </cell>
        </row>
        <row r="308">
          <cell r="A308">
            <v>44503</v>
          </cell>
          <cell r="B308" t="str">
            <v>Week45</v>
          </cell>
          <cell r="C308">
            <v>44501</v>
          </cell>
        </row>
        <row r="309">
          <cell r="A309">
            <v>44504</v>
          </cell>
          <cell r="B309" t="str">
            <v>Week45</v>
          </cell>
          <cell r="C309">
            <v>44501</v>
          </cell>
        </row>
        <row r="310">
          <cell r="A310">
            <v>44505</v>
          </cell>
          <cell r="B310" t="str">
            <v>Week45</v>
          </cell>
          <cell r="C310">
            <v>44501</v>
          </cell>
        </row>
        <row r="311">
          <cell r="A311">
            <v>44506</v>
          </cell>
          <cell r="B311" t="str">
            <v>Week45</v>
          </cell>
          <cell r="C311">
            <v>44501</v>
          </cell>
        </row>
        <row r="312">
          <cell r="A312">
            <v>44507</v>
          </cell>
          <cell r="B312" t="str">
            <v>Week46</v>
          </cell>
          <cell r="C312">
            <v>44501</v>
          </cell>
        </row>
        <row r="313">
          <cell r="A313">
            <v>44508</v>
          </cell>
          <cell r="B313" t="str">
            <v>Week46</v>
          </cell>
          <cell r="C313">
            <v>44501</v>
          </cell>
        </row>
        <row r="314">
          <cell r="A314">
            <v>44509</v>
          </cell>
          <cell r="B314" t="str">
            <v>Week46</v>
          </cell>
          <cell r="C314">
            <v>44501</v>
          </cell>
        </row>
        <row r="315">
          <cell r="A315">
            <v>44510</v>
          </cell>
          <cell r="B315" t="str">
            <v>Week46</v>
          </cell>
          <cell r="C315">
            <v>44501</v>
          </cell>
        </row>
        <row r="316">
          <cell r="A316">
            <v>44511</v>
          </cell>
          <cell r="B316" t="str">
            <v>Week46</v>
          </cell>
          <cell r="C316">
            <v>44501</v>
          </cell>
        </row>
        <row r="317">
          <cell r="A317">
            <v>44512</v>
          </cell>
          <cell r="B317" t="str">
            <v>Week46</v>
          </cell>
          <cell r="C317">
            <v>44501</v>
          </cell>
        </row>
        <row r="318">
          <cell r="A318">
            <v>44513</v>
          </cell>
          <cell r="B318" t="str">
            <v>Week46</v>
          </cell>
          <cell r="C318">
            <v>44501</v>
          </cell>
        </row>
        <row r="319">
          <cell r="A319">
            <v>44514</v>
          </cell>
          <cell r="B319" t="str">
            <v>Week47</v>
          </cell>
          <cell r="C319">
            <v>44501</v>
          </cell>
        </row>
        <row r="320">
          <cell r="A320">
            <v>44515</v>
          </cell>
          <cell r="B320" t="str">
            <v>Week47</v>
          </cell>
          <cell r="C320">
            <v>44501</v>
          </cell>
        </row>
        <row r="321">
          <cell r="A321">
            <v>44516</v>
          </cell>
          <cell r="B321" t="str">
            <v>Week47</v>
          </cell>
          <cell r="C321">
            <v>44501</v>
          </cell>
        </row>
        <row r="322">
          <cell r="A322">
            <v>44517</v>
          </cell>
          <cell r="B322" t="str">
            <v>Week47</v>
          </cell>
          <cell r="C322">
            <v>44501</v>
          </cell>
        </row>
        <row r="323">
          <cell r="A323">
            <v>44518</v>
          </cell>
          <cell r="B323" t="str">
            <v>Week47</v>
          </cell>
          <cell r="C323">
            <v>44501</v>
          </cell>
        </row>
        <row r="324">
          <cell r="A324">
            <v>44519</v>
          </cell>
          <cell r="B324" t="str">
            <v>Week47</v>
          </cell>
          <cell r="C324">
            <v>44501</v>
          </cell>
        </row>
        <row r="325">
          <cell r="A325">
            <v>44520</v>
          </cell>
          <cell r="B325" t="str">
            <v>Week47</v>
          </cell>
          <cell r="C325">
            <v>44501</v>
          </cell>
        </row>
        <row r="326">
          <cell r="A326">
            <v>44521</v>
          </cell>
          <cell r="B326" t="str">
            <v>Week48</v>
          </cell>
          <cell r="C326">
            <v>44501</v>
          </cell>
        </row>
        <row r="327">
          <cell r="A327">
            <v>44522</v>
          </cell>
          <cell r="B327" t="str">
            <v>Week48</v>
          </cell>
          <cell r="C327">
            <v>44501</v>
          </cell>
        </row>
        <row r="328">
          <cell r="A328">
            <v>44523</v>
          </cell>
          <cell r="B328" t="str">
            <v>Week48</v>
          </cell>
          <cell r="C328">
            <v>44501</v>
          </cell>
        </row>
        <row r="329">
          <cell r="A329">
            <v>44524</v>
          </cell>
          <cell r="B329" t="str">
            <v>Week48</v>
          </cell>
          <cell r="C329">
            <v>44501</v>
          </cell>
        </row>
        <row r="330">
          <cell r="A330">
            <v>44525</v>
          </cell>
          <cell r="B330" t="str">
            <v>Week48</v>
          </cell>
          <cell r="C330">
            <v>44501</v>
          </cell>
        </row>
        <row r="331">
          <cell r="A331">
            <v>44526</v>
          </cell>
          <cell r="B331" t="str">
            <v>Week48</v>
          </cell>
          <cell r="C331">
            <v>44501</v>
          </cell>
        </row>
        <row r="332">
          <cell r="A332">
            <v>44527</v>
          </cell>
          <cell r="B332" t="str">
            <v>Week48</v>
          </cell>
          <cell r="C332">
            <v>44501</v>
          </cell>
        </row>
        <row r="333">
          <cell r="A333">
            <v>44528</v>
          </cell>
          <cell r="B333" t="str">
            <v>Week49</v>
          </cell>
          <cell r="C333">
            <v>44501</v>
          </cell>
        </row>
        <row r="334">
          <cell r="A334">
            <v>44529</v>
          </cell>
          <cell r="B334" t="str">
            <v>Week49</v>
          </cell>
          <cell r="C334">
            <v>44501</v>
          </cell>
        </row>
        <row r="335">
          <cell r="A335">
            <v>44530</v>
          </cell>
          <cell r="B335" t="str">
            <v>Week49</v>
          </cell>
          <cell r="C335">
            <v>44501</v>
          </cell>
        </row>
        <row r="336">
          <cell r="A336">
            <v>44531</v>
          </cell>
          <cell r="B336" t="str">
            <v>Week49</v>
          </cell>
          <cell r="C336">
            <v>44531</v>
          </cell>
        </row>
        <row r="337">
          <cell r="A337">
            <v>44532</v>
          </cell>
          <cell r="B337" t="str">
            <v>Week49</v>
          </cell>
          <cell r="C337">
            <v>44531</v>
          </cell>
        </row>
        <row r="338">
          <cell r="A338">
            <v>44533</v>
          </cell>
          <cell r="B338" t="str">
            <v>Week49</v>
          </cell>
          <cell r="C338">
            <v>44531</v>
          </cell>
        </row>
        <row r="339">
          <cell r="A339">
            <v>44534</v>
          </cell>
          <cell r="B339" t="str">
            <v>Week49</v>
          </cell>
          <cell r="C339">
            <v>44531</v>
          </cell>
        </row>
        <row r="340">
          <cell r="A340">
            <v>44535</v>
          </cell>
          <cell r="B340" t="str">
            <v>Week50</v>
          </cell>
          <cell r="C340">
            <v>44531</v>
          </cell>
        </row>
        <row r="341">
          <cell r="A341">
            <v>44536</v>
          </cell>
          <cell r="B341" t="str">
            <v>Week50</v>
          </cell>
          <cell r="C341">
            <v>44531</v>
          </cell>
        </row>
        <row r="342">
          <cell r="A342">
            <v>44537</v>
          </cell>
          <cell r="B342" t="str">
            <v>Week50</v>
          </cell>
          <cell r="C342">
            <v>44531</v>
          </cell>
        </row>
        <row r="343">
          <cell r="A343">
            <v>44538</v>
          </cell>
          <cell r="B343" t="str">
            <v>Week50</v>
          </cell>
          <cell r="C343">
            <v>44531</v>
          </cell>
        </row>
        <row r="344">
          <cell r="A344">
            <v>44539</v>
          </cell>
          <cell r="B344" t="str">
            <v>Week50</v>
          </cell>
          <cell r="C344">
            <v>44531</v>
          </cell>
        </row>
        <row r="345">
          <cell r="A345">
            <v>44540</v>
          </cell>
          <cell r="B345" t="str">
            <v>Week50</v>
          </cell>
          <cell r="C345">
            <v>44531</v>
          </cell>
        </row>
        <row r="346">
          <cell r="A346">
            <v>44541</v>
          </cell>
          <cell r="B346" t="str">
            <v>Week50</v>
          </cell>
          <cell r="C346">
            <v>44531</v>
          </cell>
        </row>
        <row r="347">
          <cell r="A347">
            <v>44542</v>
          </cell>
          <cell r="B347" t="str">
            <v>Week51</v>
          </cell>
          <cell r="C347">
            <v>44531</v>
          </cell>
        </row>
        <row r="348">
          <cell r="A348">
            <v>44543</v>
          </cell>
          <cell r="B348" t="str">
            <v>Week51</v>
          </cell>
          <cell r="C348">
            <v>44531</v>
          </cell>
        </row>
        <row r="349">
          <cell r="A349">
            <v>44544</v>
          </cell>
          <cell r="B349" t="str">
            <v>Week51</v>
          </cell>
          <cell r="C349">
            <v>44531</v>
          </cell>
        </row>
        <row r="350">
          <cell r="A350">
            <v>44545</v>
          </cell>
          <cell r="B350" t="str">
            <v>Week51</v>
          </cell>
          <cell r="C350">
            <v>44531</v>
          </cell>
        </row>
        <row r="351">
          <cell r="A351">
            <v>44546</v>
          </cell>
          <cell r="B351" t="str">
            <v>Week51</v>
          </cell>
          <cell r="C351">
            <v>44531</v>
          </cell>
        </row>
        <row r="352">
          <cell r="A352">
            <v>44547</v>
          </cell>
          <cell r="B352" t="str">
            <v>Week51</v>
          </cell>
          <cell r="C352">
            <v>44531</v>
          </cell>
        </row>
        <row r="353">
          <cell r="A353">
            <v>44548</v>
          </cell>
          <cell r="B353" t="str">
            <v>Week51</v>
          </cell>
          <cell r="C353">
            <v>44531</v>
          </cell>
        </row>
        <row r="354">
          <cell r="A354">
            <v>44549</v>
          </cell>
          <cell r="B354" t="str">
            <v>Week52</v>
          </cell>
          <cell r="C354">
            <v>44531</v>
          </cell>
        </row>
        <row r="355">
          <cell r="A355">
            <v>44550</v>
          </cell>
          <cell r="B355" t="str">
            <v>Week52</v>
          </cell>
          <cell r="C355">
            <v>44531</v>
          </cell>
        </row>
        <row r="356">
          <cell r="A356">
            <v>44551</v>
          </cell>
          <cell r="B356" t="str">
            <v>Week52</v>
          </cell>
          <cell r="C356">
            <v>44531</v>
          </cell>
        </row>
        <row r="357">
          <cell r="A357">
            <v>44552</v>
          </cell>
          <cell r="B357" t="str">
            <v>Week52</v>
          </cell>
          <cell r="C357">
            <v>44531</v>
          </cell>
        </row>
        <row r="358">
          <cell r="A358">
            <v>44553</v>
          </cell>
          <cell r="B358" t="str">
            <v>Week52</v>
          </cell>
          <cell r="C358">
            <v>44531</v>
          </cell>
        </row>
        <row r="359">
          <cell r="A359">
            <v>44554</v>
          </cell>
          <cell r="B359" t="str">
            <v>Week52</v>
          </cell>
          <cell r="C359">
            <v>44531</v>
          </cell>
        </row>
        <row r="360">
          <cell r="A360">
            <v>44555</v>
          </cell>
          <cell r="B360" t="str">
            <v>Week52</v>
          </cell>
          <cell r="C360">
            <v>44531</v>
          </cell>
        </row>
        <row r="361">
          <cell r="A361">
            <v>44556</v>
          </cell>
          <cell r="B361" t="str">
            <v>Week53</v>
          </cell>
          <cell r="C361">
            <v>44531</v>
          </cell>
        </row>
        <row r="362">
          <cell r="A362">
            <v>44557</v>
          </cell>
          <cell r="B362" t="str">
            <v>Week53</v>
          </cell>
          <cell r="C362">
            <v>44531</v>
          </cell>
        </row>
        <row r="363">
          <cell r="A363">
            <v>44558</v>
          </cell>
          <cell r="B363" t="str">
            <v>Week53</v>
          </cell>
          <cell r="C363">
            <v>44531</v>
          </cell>
        </row>
        <row r="364">
          <cell r="A364">
            <v>44559</v>
          </cell>
          <cell r="B364" t="str">
            <v>Week53</v>
          </cell>
          <cell r="C364">
            <v>44531</v>
          </cell>
        </row>
        <row r="365">
          <cell r="A365">
            <v>44560</v>
          </cell>
          <cell r="B365" t="str">
            <v>Week53</v>
          </cell>
          <cell r="C365">
            <v>44531</v>
          </cell>
        </row>
        <row r="366">
          <cell r="A366">
            <v>44561</v>
          </cell>
          <cell r="B366" t="str">
            <v>Week53</v>
          </cell>
          <cell r="C366">
            <v>44531</v>
          </cell>
        </row>
        <row r="367">
          <cell r="A367">
            <v>44562</v>
          </cell>
          <cell r="B367" t="str">
            <v>Week53</v>
          </cell>
          <cell r="C367">
            <v>44562</v>
          </cell>
        </row>
        <row r="368">
          <cell r="A368">
            <v>44563</v>
          </cell>
          <cell r="B368" t="str">
            <v>Week1</v>
          </cell>
          <cell r="C368">
            <v>44562</v>
          </cell>
        </row>
        <row r="369">
          <cell r="A369">
            <v>44564</v>
          </cell>
          <cell r="B369" t="str">
            <v>Week1</v>
          </cell>
          <cell r="C369">
            <v>44562</v>
          </cell>
        </row>
        <row r="370">
          <cell r="A370">
            <v>44565</v>
          </cell>
          <cell r="B370" t="str">
            <v>Week1</v>
          </cell>
          <cell r="C370">
            <v>44562</v>
          </cell>
        </row>
        <row r="371">
          <cell r="A371">
            <v>44566</v>
          </cell>
          <cell r="B371" t="str">
            <v>Week1</v>
          </cell>
          <cell r="C371">
            <v>44562</v>
          </cell>
        </row>
        <row r="372">
          <cell r="A372">
            <v>44567</v>
          </cell>
          <cell r="B372" t="str">
            <v>Week1</v>
          </cell>
          <cell r="C372">
            <v>44562</v>
          </cell>
        </row>
        <row r="373">
          <cell r="A373">
            <v>44568</v>
          </cell>
          <cell r="B373" t="str">
            <v>Week1</v>
          </cell>
          <cell r="C373">
            <v>44562</v>
          </cell>
        </row>
        <row r="374">
          <cell r="A374">
            <v>44569</v>
          </cell>
          <cell r="B374" t="str">
            <v>Week1</v>
          </cell>
          <cell r="C374">
            <v>44562</v>
          </cell>
        </row>
        <row r="375">
          <cell r="A375">
            <v>44570</v>
          </cell>
          <cell r="B375" t="str">
            <v>Week2</v>
          </cell>
          <cell r="C375">
            <v>44562</v>
          </cell>
        </row>
        <row r="376">
          <cell r="A376">
            <v>44571</v>
          </cell>
          <cell r="B376" t="str">
            <v>Week2</v>
          </cell>
          <cell r="C376">
            <v>44562</v>
          </cell>
        </row>
        <row r="377">
          <cell r="A377">
            <v>44572</v>
          </cell>
          <cell r="B377" t="str">
            <v>Week2</v>
          </cell>
          <cell r="C377">
            <v>44562</v>
          </cell>
        </row>
        <row r="378">
          <cell r="A378">
            <v>44573</v>
          </cell>
          <cell r="B378" t="str">
            <v>Week2</v>
          </cell>
          <cell r="C378">
            <v>44562</v>
          </cell>
        </row>
        <row r="379">
          <cell r="A379">
            <v>44574</v>
          </cell>
          <cell r="B379" t="str">
            <v>Week2</v>
          </cell>
          <cell r="C379">
            <v>44562</v>
          </cell>
        </row>
        <row r="380">
          <cell r="A380">
            <v>44575</v>
          </cell>
          <cell r="B380" t="str">
            <v>Week2</v>
          </cell>
          <cell r="C380">
            <v>44562</v>
          </cell>
        </row>
        <row r="381">
          <cell r="A381">
            <v>44576</v>
          </cell>
          <cell r="B381" t="str">
            <v>Week2</v>
          </cell>
          <cell r="C381">
            <v>44562</v>
          </cell>
        </row>
        <row r="382">
          <cell r="A382">
            <v>44577</v>
          </cell>
          <cell r="B382" t="str">
            <v>Week3</v>
          </cell>
          <cell r="C382">
            <v>44562</v>
          </cell>
        </row>
        <row r="383">
          <cell r="A383">
            <v>44578</v>
          </cell>
          <cell r="B383" t="str">
            <v>Week3</v>
          </cell>
          <cell r="C383">
            <v>44562</v>
          </cell>
        </row>
        <row r="384">
          <cell r="A384">
            <v>44579</v>
          </cell>
          <cell r="B384" t="str">
            <v>Week3</v>
          </cell>
          <cell r="C384">
            <v>44562</v>
          </cell>
        </row>
        <row r="385">
          <cell r="A385">
            <v>44580</v>
          </cell>
          <cell r="B385" t="str">
            <v>Week3</v>
          </cell>
          <cell r="C385">
            <v>44562</v>
          </cell>
        </row>
        <row r="386">
          <cell r="A386">
            <v>44581</v>
          </cell>
          <cell r="B386" t="str">
            <v>Week3</v>
          </cell>
          <cell r="C386">
            <v>44562</v>
          </cell>
        </row>
        <row r="387">
          <cell r="A387">
            <v>44582</v>
          </cell>
          <cell r="B387" t="str">
            <v>Week3</v>
          </cell>
          <cell r="C387">
            <v>44562</v>
          </cell>
        </row>
        <row r="388">
          <cell r="A388">
            <v>44583</v>
          </cell>
          <cell r="B388" t="str">
            <v>Week3</v>
          </cell>
          <cell r="C388">
            <v>44562</v>
          </cell>
        </row>
        <row r="389">
          <cell r="A389">
            <v>44584</v>
          </cell>
          <cell r="B389" t="str">
            <v>Week4</v>
          </cell>
          <cell r="C389">
            <v>44562</v>
          </cell>
        </row>
        <row r="390">
          <cell r="A390">
            <v>44585</v>
          </cell>
          <cell r="B390" t="str">
            <v>Week4</v>
          </cell>
          <cell r="C390">
            <v>44562</v>
          </cell>
        </row>
        <row r="391">
          <cell r="A391">
            <v>44586</v>
          </cell>
          <cell r="B391" t="str">
            <v>Week4</v>
          </cell>
          <cell r="C391">
            <v>44562</v>
          </cell>
        </row>
        <row r="392">
          <cell r="A392">
            <v>44587</v>
          </cell>
          <cell r="B392" t="str">
            <v>Week4</v>
          </cell>
          <cell r="C392">
            <v>44562</v>
          </cell>
        </row>
        <row r="393">
          <cell r="A393">
            <v>44588</v>
          </cell>
          <cell r="B393" t="str">
            <v>Week4</v>
          </cell>
          <cell r="C393">
            <v>44562</v>
          </cell>
        </row>
        <row r="394">
          <cell r="A394">
            <v>44589</v>
          </cell>
          <cell r="B394" t="str">
            <v>Week4</v>
          </cell>
          <cell r="C394">
            <v>44562</v>
          </cell>
        </row>
        <row r="395">
          <cell r="A395">
            <v>44590</v>
          </cell>
          <cell r="B395" t="str">
            <v>Week4</v>
          </cell>
          <cell r="C395">
            <v>44562</v>
          </cell>
        </row>
        <row r="396">
          <cell r="A396">
            <v>44591</v>
          </cell>
          <cell r="B396" t="str">
            <v>Week5</v>
          </cell>
          <cell r="C396">
            <v>44562</v>
          </cell>
        </row>
        <row r="397">
          <cell r="A397">
            <v>44592</v>
          </cell>
          <cell r="B397" t="str">
            <v>Week5</v>
          </cell>
          <cell r="C397">
            <v>44562</v>
          </cell>
        </row>
        <row r="398">
          <cell r="A398">
            <v>44593</v>
          </cell>
          <cell r="B398" t="str">
            <v>Week5</v>
          </cell>
          <cell r="C398">
            <v>44593</v>
          </cell>
        </row>
        <row r="399">
          <cell r="A399">
            <v>44594</v>
          </cell>
          <cell r="B399" t="str">
            <v>Week5</v>
          </cell>
          <cell r="C399">
            <v>44593</v>
          </cell>
        </row>
        <row r="400">
          <cell r="A400">
            <v>44595</v>
          </cell>
          <cell r="B400" t="str">
            <v>Week5</v>
          </cell>
          <cell r="C400">
            <v>44593</v>
          </cell>
        </row>
        <row r="401">
          <cell r="A401">
            <v>44596</v>
          </cell>
          <cell r="B401" t="str">
            <v>Week5</v>
          </cell>
          <cell r="C401">
            <v>44593</v>
          </cell>
        </row>
        <row r="402">
          <cell r="A402">
            <v>44597</v>
          </cell>
          <cell r="B402" t="str">
            <v>Week5</v>
          </cell>
          <cell r="C402">
            <v>44593</v>
          </cell>
        </row>
        <row r="403">
          <cell r="A403">
            <v>44598</v>
          </cell>
          <cell r="B403" t="str">
            <v>Week6</v>
          </cell>
          <cell r="C403">
            <v>44593</v>
          </cell>
        </row>
        <row r="404">
          <cell r="A404">
            <v>44599</v>
          </cell>
          <cell r="B404" t="str">
            <v>Week6</v>
          </cell>
          <cell r="C404">
            <v>44593</v>
          </cell>
        </row>
        <row r="405">
          <cell r="A405">
            <v>44600</v>
          </cell>
          <cell r="B405" t="str">
            <v>Week6</v>
          </cell>
          <cell r="C405">
            <v>44593</v>
          </cell>
        </row>
        <row r="406">
          <cell r="A406">
            <v>44601</v>
          </cell>
          <cell r="B406" t="str">
            <v>Week6</v>
          </cell>
          <cell r="C406">
            <v>44593</v>
          </cell>
        </row>
        <row r="407">
          <cell r="A407">
            <v>44602</v>
          </cell>
          <cell r="B407" t="str">
            <v>Week6</v>
          </cell>
          <cell r="C407">
            <v>44593</v>
          </cell>
        </row>
        <row r="408">
          <cell r="A408">
            <v>44603</v>
          </cell>
          <cell r="B408" t="str">
            <v>Week6</v>
          </cell>
          <cell r="C408">
            <v>44593</v>
          </cell>
        </row>
        <row r="409">
          <cell r="A409">
            <v>44604</v>
          </cell>
          <cell r="B409" t="str">
            <v>Week6</v>
          </cell>
          <cell r="C409">
            <v>44593</v>
          </cell>
        </row>
        <row r="410">
          <cell r="A410">
            <v>44605</v>
          </cell>
          <cell r="B410" t="str">
            <v>Week7</v>
          </cell>
          <cell r="C410">
            <v>44593</v>
          </cell>
        </row>
        <row r="411">
          <cell r="A411">
            <v>44606</v>
          </cell>
          <cell r="B411" t="str">
            <v>Week7</v>
          </cell>
          <cell r="C411">
            <v>44593</v>
          </cell>
        </row>
        <row r="412">
          <cell r="A412">
            <v>44607</v>
          </cell>
          <cell r="B412" t="str">
            <v>Week7</v>
          </cell>
          <cell r="C412">
            <v>44593</v>
          </cell>
        </row>
        <row r="413">
          <cell r="A413">
            <v>44608</v>
          </cell>
          <cell r="B413" t="str">
            <v>Week7</v>
          </cell>
          <cell r="C413">
            <v>44593</v>
          </cell>
        </row>
        <row r="414">
          <cell r="A414">
            <v>44609</v>
          </cell>
          <cell r="B414" t="str">
            <v>Week7</v>
          </cell>
          <cell r="C414">
            <v>44593</v>
          </cell>
        </row>
        <row r="415">
          <cell r="A415">
            <v>44610</v>
          </cell>
          <cell r="B415" t="str">
            <v>Week7</v>
          </cell>
          <cell r="C415">
            <v>44593</v>
          </cell>
        </row>
        <row r="416">
          <cell r="A416">
            <v>44611</v>
          </cell>
          <cell r="B416" t="str">
            <v>Week7</v>
          </cell>
          <cell r="C416">
            <v>44593</v>
          </cell>
        </row>
        <row r="417">
          <cell r="A417">
            <v>44612</v>
          </cell>
          <cell r="B417" t="str">
            <v>Week8</v>
          </cell>
          <cell r="C417">
            <v>44593</v>
          </cell>
        </row>
        <row r="418">
          <cell r="A418">
            <v>44613</v>
          </cell>
          <cell r="B418" t="str">
            <v>Week8</v>
          </cell>
          <cell r="C418">
            <v>44593</v>
          </cell>
        </row>
        <row r="419">
          <cell r="A419">
            <v>44614</v>
          </cell>
          <cell r="B419" t="str">
            <v>Week8</v>
          </cell>
          <cell r="C419">
            <v>44593</v>
          </cell>
        </row>
        <row r="420">
          <cell r="A420">
            <v>44615</v>
          </cell>
          <cell r="B420" t="str">
            <v>Week8</v>
          </cell>
          <cell r="C420">
            <v>44593</v>
          </cell>
        </row>
        <row r="421">
          <cell r="A421">
            <v>44616</v>
          </cell>
          <cell r="B421" t="str">
            <v>Week8</v>
          </cell>
          <cell r="C421">
            <v>44593</v>
          </cell>
        </row>
        <row r="422">
          <cell r="A422">
            <v>44617</v>
          </cell>
          <cell r="B422" t="str">
            <v>Week8</v>
          </cell>
          <cell r="C422">
            <v>44593</v>
          </cell>
        </row>
        <row r="423">
          <cell r="A423">
            <v>44618</v>
          </cell>
          <cell r="B423" t="str">
            <v>Week8</v>
          </cell>
          <cell r="C423">
            <v>44593</v>
          </cell>
        </row>
        <row r="424">
          <cell r="A424">
            <v>44619</v>
          </cell>
          <cell r="B424" t="str">
            <v>Week9</v>
          </cell>
          <cell r="C424">
            <v>44593</v>
          </cell>
        </row>
        <row r="425">
          <cell r="A425">
            <v>44620</v>
          </cell>
          <cell r="B425" t="str">
            <v>Week9</v>
          </cell>
          <cell r="C425">
            <v>44593</v>
          </cell>
        </row>
        <row r="426">
          <cell r="A426">
            <v>44621</v>
          </cell>
          <cell r="B426" t="str">
            <v>Week9</v>
          </cell>
          <cell r="C426">
            <v>44621</v>
          </cell>
        </row>
        <row r="427">
          <cell r="A427">
            <v>44622</v>
          </cell>
          <cell r="B427" t="str">
            <v>Week9</v>
          </cell>
          <cell r="C427">
            <v>44621</v>
          </cell>
        </row>
        <row r="428">
          <cell r="A428">
            <v>44623</v>
          </cell>
          <cell r="B428" t="str">
            <v>Week9</v>
          </cell>
          <cell r="C428">
            <v>44621</v>
          </cell>
        </row>
        <row r="429">
          <cell r="A429">
            <v>44624</v>
          </cell>
          <cell r="B429" t="str">
            <v>Week9</v>
          </cell>
          <cell r="C429">
            <v>44621</v>
          </cell>
        </row>
        <row r="430">
          <cell r="A430">
            <v>44625</v>
          </cell>
          <cell r="B430" t="str">
            <v>Week9</v>
          </cell>
          <cell r="C430">
            <v>44621</v>
          </cell>
        </row>
        <row r="431">
          <cell r="A431">
            <v>44626</v>
          </cell>
          <cell r="B431" t="str">
            <v>Week10</v>
          </cell>
          <cell r="C431">
            <v>44621</v>
          </cell>
        </row>
        <row r="432">
          <cell r="A432">
            <v>44627</v>
          </cell>
          <cell r="B432" t="str">
            <v>Week10</v>
          </cell>
          <cell r="C432">
            <v>44621</v>
          </cell>
        </row>
        <row r="433">
          <cell r="A433">
            <v>44628</v>
          </cell>
          <cell r="B433" t="str">
            <v>Week10</v>
          </cell>
          <cell r="C433">
            <v>44621</v>
          </cell>
        </row>
        <row r="434">
          <cell r="A434">
            <v>44629</v>
          </cell>
          <cell r="B434" t="str">
            <v>Week10</v>
          </cell>
          <cell r="C434">
            <v>44621</v>
          </cell>
        </row>
        <row r="435">
          <cell r="A435">
            <v>44630</v>
          </cell>
          <cell r="B435" t="str">
            <v>Week10</v>
          </cell>
          <cell r="C435">
            <v>44621</v>
          </cell>
        </row>
        <row r="436">
          <cell r="A436">
            <v>44631</v>
          </cell>
          <cell r="B436" t="str">
            <v>Week10</v>
          </cell>
          <cell r="C436">
            <v>44621</v>
          </cell>
        </row>
        <row r="437">
          <cell r="A437">
            <v>44632</v>
          </cell>
          <cell r="B437" t="str">
            <v>Week10</v>
          </cell>
          <cell r="C437">
            <v>44621</v>
          </cell>
        </row>
        <row r="438">
          <cell r="A438">
            <v>44633</v>
          </cell>
          <cell r="B438" t="str">
            <v>Week11</v>
          </cell>
          <cell r="C438">
            <v>44621</v>
          </cell>
        </row>
        <row r="439">
          <cell r="A439">
            <v>44634</v>
          </cell>
          <cell r="B439" t="str">
            <v>Week11</v>
          </cell>
          <cell r="C439">
            <v>44621</v>
          </cell>
        </row>
        <row r="440">
          <cell r="A440">
            <v>44635</v>
          </cell>
          <cell r="B440" t="str">
            <v>Week11</v>
          </cell>
          <cell r="C440">
            <v>44621</v>
          </cell>
        </row>
        <row r="441">
          <cell r="A441">
            <v>44636</v>
          </cell>
          <cell r="B441" t="str">
            <v>Week11</v>
          </cell>
          <cell r="C441">
            <v>44621</v>
          </cell>
        </row>
        <row r="442">
          <cell r="A442">
            <v>44637</v>
          </cell>
          <cell r="B442" t="str">
            <v>Week11</v>
          </cell>
          <cell r="C442">
            <v>44621</v>
          </cell>
        </row>
        <row r="443">
          <cell r="A443">
            <v>44638</v>
          </cell>
          <cell r="B443" t="str">
            <v>Week11</v>
          </cell>
          <cell r="C443">
            <v>44621</v>
          </cell>
        </row>
        <row r="444">
          <cell r="A444">
            <v>44639</v>
          </cell>
          <cell r="B444" t="str">
            <v>Week11</v>
          </cell>
          <cell r="C444">
            <v>44621</v>
          </cell>
        </row>
        <row r="445">
          <cell r="A445">
            <v>44640</v>
          </cell>
          <cell r="B445" t="str">
            <v>Week12</v>
          </cell>
          <cell r="C445">
            <v>44621</v>
          </cell>
        </row>
        <row r="446">
          <cell r="A446">
            <v>44641</v>
          </cell>
          <cell r="B446" t="str">
            <v>Week12</v>
          </cell>
          <cell r="C446">
            <v>44621</v>
          </cell>
        </row>
        <row r="447">
          <cell r="A447">
            <v>44642</v>
          </cell>
          <cell r="B447" t="str">
            <v>Week12</v>
          </cell>
          <cell r="C447">
            <v>44621</v>
          </cell>
        </row>
        <row r="448">
          <cell r="A448">
            <v>44643</v>
          </cell>
          <cell r="B448" t="str">
            <v>Week12</v>
          </cell>
          <cell r="C448">
            <v>44621</v>
          </cell>
        </row>
        <row r="449">
          <cell r="A449">
            <v>44644</v>
          </cell>
          <cell r="B449" t="str">
            <v>Week12</v>
          </cell>
          <cell r="C449">
            <v>44621</v>
          </cell>
        </row>
        <row r="450">
          <cell r="A450">
            <v>44645</v>
          </cell>
          <cell r="B450" t="str">
            <v>Week12</v>
          </cell>
          <cell r="C450">
            <v>44621</v>
          </cell>
        </row>
        <row r="451">
          <cell r="A451">
            <v>44646</v>
          </cell>
          <cell r="B451" t="str">
            <v>Week12</v>
          </cell>
          <cell r="C451">
            <v>44621</v>
          </cell>
        </row>
        <row r="452">
          <cell r="A452">
            <v>44647</v>
          </cell>
          <cell r="B452" t="str">
            <v>Week13</v>
          </cell>
          <cell r="C452">
            <v>44621</v>
          </cell>
        </row>
        <row r="453">
          <cell r="A453">
            <v>44648</v>
          </cell>
          <cell r="B453" t="str">
            <v>Week13</v>
          </cell>
          <cell r="C453">
            <v>44621</v>
          </cell>
        </row>
        <row r="454">
          <cell r="A454">
            <v>44649</v>
          </cell>
          <cell r="B454" t="str">
            <v>Week13</v>
          </cell>
          <cell r="C454">
            <v>44621</v>
          </cell>
        </row>
        <row r="455">
          <cell r="A455">
            <v>44650</v>
          </cell>
          <cell r="B455" t="str">
            <v>Week13</v>
          </cell>
          <cell r="C455">
            <v>44621</v>
          </cell>
        </row>
        <row r="456">
          <cell r="A456">
            <v>44651</v>
          </cell>
          <cell r="B456" t="str">
            <v>Week13</v>
          </cell>
          <cell r="C456">
            <v>44621</v>
          </cell>
        </row>
        <row r="457">
          <cell r="A457">
            <v>44652</v>
          </cell>
          <cell r="B457" t="str">
            <v>Week13</v>
          </cell>
          <cell r="C457">
            <v>44652</v>
          </cell>
        </row>
        <row r="458">
          <cell r="A458">
            <v>44653</v>
          </cell>
          <cell r="B458" t="str">
            <v>Week13</v>
          </cell>
          <cell r="C458">
            <v>44652</v>
          </cell>
        </row>
        <row r="459">
          <cell r="A459">
            <v>44654</v>
          </cell>
          <cell r="B459" t="str">
            <v>Week14</v>
          </cell>
          <cell r="C459">
            <v>44652</v>
          </cell>
        </row>
        <row r="460">
          <cell r="A460">
            <v>44655</v>
          </cell>
          <cell r="B460" t="str">
            <v>Week14</v>
          </cell>
          <cell r="C460">
            <v>44652</v>
          </cell>
        </row>
        <row r="461">
          <cell r="A461">
            <v>44656</v>
          </cell>
          <cell r="B461" t="str">
            <v>Week14</v>
          </cell>
          <cell r="C461">
            <v>44652</v>
          </cell>
        </row>
        <row r="462">
          <cell r="A462">
            <v>44657</v>
          </cell>
          <cell r="B462" t="str">
            <v>Week14</v>
          </cell>
          <cell r="C462">
            <v>44652</v>
          </cell>
        </row>
        <row r="463">
          <cell r="A463">
            <v>44658</v>
          </cell>
          <cell r="B463" t="str">
            <v>Week14</v>
          </cell>
          <cell r="C463">
            <v>44652</v>
          </cell>
        </row>
        <row r="464">
          <cell r="A464">
            <v>44659</v>
          </cell>
          <cell r="B464" t="str">
            <v>Week14</v>
          </cell>
          <cell r="C464">
            <v>44652</v>
          </cell>
        </row>
        <row r="465">
          <cell r="A465">
            <v>44660</v>
          </cell>
          <cell r="B465" t="str">
            <v>Week14</v>
          </cell>
          <cell r="C465">
            <v>44652</v>
          </cell>
        </row>
        <row r="466">
          <cell r="A466">
            <v>44661</v>
          </cell>
          <cell r="B466" t="str">
            <v>Week15</v>
          </cell>
          <cell r="C466">
            <v>44652</v>
          </cell>
        </row>
        <row r="467">
          <cell r="A467">
            <v>44662</v>
          </cell>
          <cell r="B467" t="str">
            <v>Week15</v>
          </cell>
          <cell r="C467">
            <v>44652</v>
          </cell>
        </row>
        <row r="468">
          <cell r="A468">
            <v>44663</v>
          </cell>
          <cell r="B468" t="str">
            <v>Week15</v>
          </cell>
          <cell r="C468">
            <v>44652</v>
          </cell>
        </row>
        <row r="469">
          <cell r="A469">
            <v>44664</v>
          </cell>
          <cell r="B469" t="str">
            <v>Week15</v>
          </cell>
          <cell r="C469">
            <v>44652</v>
          </cell>
        </row>
        <row r="470">
          <cell r="A470">
            <v>44665</v>
          </cell>
          <cell r="B470" t="str">
            <v>Week15</v>
          </cell>
          <cell r="C470">
            <v>44652</v>
          </cell>
        </row>
        <row r="471">
          <cell r="A471">
            <v>44666</v>
          </cell>
          <cell r="B471" t="str">
            <v>Week15</v>
          </cell>
          <cell r="C471">
            <v>44652</v>
          </cell>
        </row>
        <row r="472">
          <cell r="A472">
            <v>44667</v>
          </cell>
          <cell r="B472" t="str">
            <v>Week15</v>
          </cell>
          <cell r="C472">
            <v>44652</v>
          </cell>
        </row>
        <row r="473">
          <cell r="A473">
            <v>44668</v>
          </cell>
          <cell r="B473" t="str">
            <v>Week16</v>
          </cell>
          <cell r="C473">
            <v>44652</v>
          </cell>
        </row>
        <row r="474">
          <cell r="A474">
            <v>44669</v>
          </cell>
          <cell r="B474" t="str">
            <v>Week16</v>
          </cell>
          <cell r="C474">
            <v>44652</v>
          </cell>
        </row>
        <row r="475">
          <cell r="A475">
            <v>44670</v>
          </cell>
          <cell r="B475" t="str">
            <v>Week16</v>
          </cell>
          <cell r="C475">
            <v>44652</v>
          </cell>
        </row>
        <row r="476">
          <cell r="A476">
            <v>44671</v>
          </cell>
          <cell r="B476" t="str">
            <v>Week16</v>
          </cell>
          <cell r="C476">
            <v>44652</v>
          </cell>
        </row>
        <row r="477">
          <cell r="A477">
            <v>44672</v>
          </cell>
          <cell r="B477" t="str">
            <v>Week16</v>
          </cell>
          <cell r="C477">
            <v>44652</v>
          </cell>
        </row>
        <row r="478">
          <cell r="A478">
            <v>44673</v>
          </cell>
          <cell r="B478" t="str">
            <v>Week16</v>
          </cell>
          <cell r="C478">
            <v>44652</v>
          </cell>
        </row>
        <row r="479">
          <cell r="A479">
            <v>44674</v>
          </cell>
          <cell r="B479" t="str">
            <v>Week16</v>
          </cell>
          <cell r="C479">
            <v>44652</v>
          </cell>
        </row>
        <row r="480">
          <cell r="A480">
            <v>44675</v>
          </cell>
          <cell r="B480" t="str">
            <v>Week17</v>
          </cell>
          <cell r="C480">
            <v>44652</v>
          </cell>
        </row>
        <row r="481">
          <cell r="A481">
            <v>44676</v>
          </cell>
          <cell r="B481" t="str">
            <v>Week17</v>
          </cell>
          <cell r="C481">
            <v>44652</v>
          </cell>
        </row>
        <row r="482">
          <cell r="A482">
            <v>44677</v>
          </cell>
          <cell r="B482" t="str">
            <v>Week17</v>
          </cell>
          <cell r="C482">
            <v>44652</v>
          </cell>
        </row>
        <row r="483">
          <cell r="A483">
            <v>44678</v>
          </cell>
          <cell r="B483" t="str">
            <v>Week17</v>
          </cell>
          <cell r="C483">
            <v>44652</v>
          </cell>
        </row>
        <row r="484">
          <cell r="A484">
            <v>44679</v>
          </cell>
          <cell r="B484" t="str">
            <v>Week17</v>
          </cell>
          <cell r="C484">
            <v>44652</v>
          </cell>
        </row>
        <row r="485">
          <cell r="A485">
            <v>44680</v>
          </cell>
          <cell r="B485" t="str">
            <v>Week17</v>
          </cell>
          <cell r="C485">
            <v>44652</v>
          </cell>
        </row>
        <row r="486">
          <cell r="A486">
            <v>44681</v>
          </cell>
          <cell r="B486" t="str">
            <v>Week17</v>
          </cell>
          <cell r="C486">
            <v>44652</v>
          </cell>
        </row>
        <row r="487">
          <cell r="A487">
            <v>44682</v>
          </cell>
          <cell r="B487" t="str">
            <v>Week18</v>
          </cell>
          <cell r="C487">
            <v>44682</v>
          </cell>
        </row>
        <row r="488">
          <cell r="A488">
            <v>44683</v>
          </cell>
          <cell r="B488" t="str">
            <v>Week18</v>
          </cell>
          <cell r="C488">
            <v>44682</v>
          </cell>
        </row>
        <row r="489">
          <cell r="A489">
            <v>44684</v>
          </cell>
          <cell r="B489" t="str">
            <v>Week18</v>
          </cell>
          <cell r="C489">
            <v>44682</v>
          </cell>
        </row>
        <row r="490">
          <cell r="A490">
            <v>44685</v>
          </cell>
          <cell r="B490" t="str">
            <v>Week18</v>
          </cell>
          <cell r="C490">
            <v>44682</v>
          </cell>
        </row>
        <row r="491">
          <cell r="A491">
            <v>44686</v>
          </cell>
          <cell r="B491" t="str">
            <v>Week18</v>
          </cell>
          <cell r="C491">
            <v>44682</v>
          </cell>
        </row>
        <row r="492">
          <cell r="A492">
            <v>44687</v>
          </cell>
          <cell r="B492" t="str">
            <v>Week18</v>
          </cell>
          <cell r="C492">
            <v>44682</v>
          </cell>
        </row>
        <row r="493">
          <cell r="A493">
            <v>44688</v>
          </cell>
          <cell r="B493" t="str">
            <v>Week18</v>
          </cell>
          <cell r="C493">
            <v>44682</v>
          </cell>
        </row>
        <row r="494">
          <cell r="A494">
            <v>44689</v>
          </cell>
          <cell r="B494" t="str">
            <v>Week19</v>
          </cell>
          <cell r="C494">
            <v>44682</v>
          </cell>
        </row>
        <row r="495">
          <cell r="A495">
            <v>44690</v>
          </cell>
          <cell r="B495" t="str">
            <v>Week19</v>
          </cell>
          <cell r="C495">
            <v>44682</v>
          </cell>
        </row>
        <row r="496">
          <cell r="A496">
            <v>44691</v>
          </cell>
          <cell r="B496" t="str">
            <v>Week19</v>
          </cell>
          <cell r="C496">
            <v>44682</v>
          </cell>
        </row>
        <row r="497">
          <cell r="A497">
            <v>44692</v>
          </cell>
          <cell r="B497" t="str">
            <v>Week19</v>
          </cell>
          <cell r="C497">
            <v>44682</v>
          </cell>
        </row>
        <row r="498">
          <cell r="A498">
            <v>44693</v>
          </cell>
          <cell r="B498" t="str">
            <v>Week19</v>
          </cell>
          <cell r="C498">
            <v>44682</v>
          </cell>
        </row>
        <row r="499">
          <cell r="A499">
            <v>44694</v>
          </cell>
          <cell r="B499" t="str">
            <v>Week19</v>
          </cell>
          <cell r="C499">
            <v>44682</v>
          </cell>
        </row>
        <row r="500">
          <cell r="A500">
            <v>44695</v>
          </cell>
          <cell r="B500" t="str">
            <v>Week19</v>
          </cell>
          <cell r="C500">
            <v>44682</v>
          </cell>
        </row>
        <row r="501">
          <cell r="A501">
            <v>44696</v>
          </cell>
          <cell r="B501" t="str">
            <v>Week20</v>
          </cell>
          <cell r="C501">
            <v>44682</v>
          </cell>
        </row>
        <row r="502">
          <cell r="A502">
            <v>44697</v>
          </cell>
          <cell r="B502" t="str">
            <v>Week20</v>
          </cell>
          <cell r="C502">
            <v>44682</v>
          </cell>
        </row>
        <row r="503">
          <cell r="A503">
            <v>44698</v>
          </cell>
          <cell r="B503" t="str">
            <v>Week20</v>
          </cell>
          <cell r="C503">
            <v>44682</v>
          </cell>
        </row>
        <row r="504">
          <cell r="A504">
            <v>44699</v>
          </cell>
          <cell r="B504" t="str">
            <v>Week20</v>
          </cell>
          <cell r="C504">
            <v>44682</v>
          </cell>
        </row>
        <row r="505">
          <cell r="A505">
            <v>44700</v>
          </cell>
          <cell r="B505" t="str">
            <v>Week20</v>
          </cell>
          <cell r="C505">
            <v>44682</v>
          </cell>
        </row>
        <row r="506">
          <cell r="A506">
            <v>44701</v>
          </cell>
          <cell r="B506" t="str">
            <v>Week20</v>
          </cell>
          <cell r="C506">
            <v>44682</v>
          </cell>
        </row>
        <row r="507">
          <cell r="A507">
            <v>44702</v>
          </cell>
          <cell r="B507" t="str">
            <v>Week20</v>
          </cell>
          <cell r="C507">
            <v>44682</v>
          </cell>
        </row>
        <row r="508">
          <cell r="A508">
            <v>44703</v>
          </cell>
          <cell r="B508" t="str">
            <v>Week21</v>
          </cell>
          <cell r="C508">
            <v>44682</v>
          </cell>
        </row>
        <row r="509">
          <cell r="A509">
            <v>44704</v>
          </cell>
          <cell r="B509" t="str">
            <v>Week21</v>
          </cell>
          <cell r="C509">
            <v>44682</v>
          </cell>
        </row>
        <row r="510">
          <cell r="A510">
            <v>44705</v>
          </cell>
          <cell r="B510" t="str">
            <v>Week21</v>
          </cell>
          <cell r="C510">
            <v>44682</v>
          </cell>
        </row>
        <row r="511">
          <cell r="A511">
            <v>44706</v>
          </cell>
          <cell r="B511" t="str">
            <v>Week21</v>
          </cell>
          <cell r="C511">
            <v>44682</v>
          </cell>
        </row>
        <row r="512">
          <cell r="A512">
            <v>44707</v>
          </cell>
          <cell r="B512" t="str">
            <v>Week21</v>
          </cell>
          <cell r="C512">
            <v>44682</v>
          </cell>
        </row>
        <row r="513">
          <cell r="A513">
            <v>44708</v>
          </cell>
          <cell r="B513" t="str">
            <v>Week21</v>
          </cell>
          <cell r="C513">
            <v>44682</v>
          </cell>
        </row>
        <row r="514">
          <cell r="A514">
            <v>44709</v>
          </cell>
          <cell r="B514" t="str">
            <v>Week21</v>
          </cell>
          <cell r="C514">
            <v>44682</v>
          </cell>
        </row>
        <row r="515">
          <cell r="A515">
            <v>44710</v>
          </cell>
          <cell r="B515" t="str">
            <v>Week22</v>
          </cell>
          <cell r="C515">
            <v>44682</v>
          </cell>
        </row>
        <row r="516">
          <cell r="A516">
            <v>44711</v>
          </cell>
          <cell r="B516" t="str">
            <v>Week22</v>
          </cell>
          <cell r="C516">
            <v>44682</v>
          </cell>
        </row>
        <row r="517">
          <cell r="A517">
            <v>44712</v>
          </cell>
          <cell r="B517" t="str">
            <v>Week22</v>
          </cell>
          <cell r="C517">
            <v>44682</v>
          </cell>
        </row>
        <row r="518">
          <cell r="A518">
            <v>44713</v>
          </cell>
          <cell r="B518" t="str">
            <v>Week22</v>
          </cell>
          <cell r="C518">
            <v>44713</v>
          </cell>
        </row>
        <row r="519">
          <cell r="A519">
            <v>44714</v>
          </cell>
          <cell r="B519" t="str">
            <v>Week22</v>
          </cell>
          <cell r="C519">
            <v>44713</v>
          </cell>
        </row>
        <row r="520">
          <cell r="A520">
            <v>44715</v>
          </cell>
          <cell r="B520" t="str">
            <v>Week22</v>
          </cell>
          <cell r="C520">
            <v>44713</v>
          </cell>
        </row>
        <row r="521">
          <cell r="A521">
            <v>44716</v>
          </cell>
          <cell r="B521" t="str">
            <v>Week22</v>
          </cell>
          <cell r="C521">
            <v>44713</v>
          </cell>
        </row>
        <row r="522">
          <cell r="A522">
            <v>44717</v>
          </cell>
          <cell r="B522" t="str">
            <v>Week23</v>
          </cell>
          <cell r="C522">
            <v>44713</v>
          </cell>
        </row>
        <row r="523">
          <cell r="A523">
            <v>44718</v>
          </cell>
          <cell r="B523" t="str">
            <v>Week23</v>
          </cell>
          <cell r="C523">
            <v>44713</v>
          </cell>
        </row>
        <row r="524">
          <cell r="A524">
            <v>44719</v>
          </cell>
          <cell r="B524" t="str">
            <v>Week23</v>
          </cell>
          <cell r="C524">
            <v>44713</v>
          </cell>
        </row>
        <row r="525">
          <cell r="A525">
            <v>44720</v>
          </cell>
          <cell r="B525" t="str">
            <v>Week23</v>
          </cell>
          <cell r="C525">
            <v>44713</v>
          </cell>
        </row>
        <row r="526">
          <cell r="A526">
            <v>44721</v>
          </cell>
          <cell r="B526" t="str">
            <v>Week23</v>
          </cell>
          <cell r="C526">
            <v>44713</v>
          </cell>
        </row>
        <row r="527">
          <cell r="A527">
            <v>44722</v>
          </cell>
          <cell r="B527" t="str">
            <v>Week23</v>
          </cell>
          <cell r="C527">
            <v>44713</v>
          </cell>
        </row>
        <row r="528">
          <cell r="A528">
            <v>44723</v>
          </cell>
          <cell r="B528" t="str">
            <v>Week23</v>
          </cell>
          <cell r="C528">
            <v>44713</v>
          </cell>
        </row>
        <row r="529">
          <cell r="A529">
            <v>44724</v>
          </cell>
          <cell r="B529" t="str">
            <v>Week24</v>
          </cell>
          <cell r="C529">
            <v>44713</v>
          </cell>
        </row>
        <row r="530">
          <cell r="A530">
            <v>44725</v>
          </cell>
          <cell r="B530" t="str">
            <v>Week24</v>
          </cell>
          <cell r="C530">
            <v>44713</v>
          </cell>
        </row>
        <row r="531">
          <cell r="A531">
            <v>44726</v>
          </cell>
          <cell r="B531" t="str">
            <v>Week24</v>
          </cell>
          <cell r="C531">
            <v>44713</v>
          </cell>
        </row>
        <row r="532">
          <cell r="A532">
            <v>44727</v>
          </cell>
          <cell r="B532" t="str">
            <v>Week24</v>
          </cell>
          <cell r="C532">
            <v>44713</v>
          </cell>
        </row>
        <row r="533">
          <cell r="A533">
            <v>44728</v>
          </cell>
          <cell r="B533" t="str">
            <v>Week24</v>
          </cell>
          <cell r="C533">
            <v>44713</v>
          </cell>
        </row>
        <row r="534">
          <cell r="A534">
            <v>44729</v>
          </cell>
          <cell r="B534" t="str">
            <v>Week24</v>
          </cell>
          <cell r="C534">
            <v>44713</v>
          </cell>
        </row>
        <row r="535">
          <cell r="A535">
            <v>44730</v>
          </cell>
          <cell r="B535" t="str">
            <v>Week24</v>
          </cell>
          <cell r="C535">
            <v>44713</v>
          </cell>
        </row>
        <row r="536">
          <cell r="A536">
            <v>44731</v>
          </cell>
          <cell r="B536" t="str">
            <v>Week25</v>
          </cell>
          <cell r="C536">
            <v>44713</v>
          </cell>
        </row>
        <row r="537">
          <cell r="A537">
            <v>44732</v>
          </cell>
          <cell r="B537" t="str">
            <v>Week25</v>
          </cell>
          <cell r="C537">
            <v>44713</v>
          </cell>
        </row>
        <row r="538">
          <cell r="A538">
            <v>44733</v>
          </cell>
          <cell r="B538" t="str">
            <v>Week25</v>
          </cell>
          <cell r="C538">
            <v>44713</v>
          </cell>
        </row>
        <row r="539">
          <cell r="A539">
            <v>44734</v>
          </cell>
          <cell r="B539" t="str">
            <v>Week25</v>
          </cell>
          <cell r="C539">
            <v>44713</v>
          </cell>
        </row>
        <row r="540">
          <cell r="A540">
            <v>44735</v>
          </cell>
          <cell r="B540" t="str">
            <v>Week25</v>
          </cell>
          <cell r="C540">
            <v>44713</v>
          </cell>
        </row>
        <row r="541">
          <cell r="A541">
            <v>44736</v>
          </cell>
          <cell r="B541" t="str">
            <v>Week25</v>
          </cell>
          <cell r="C541">
            <v>44713</v>
          </cell>
        </row>
        <row r="542">
          <cell r="A542">
            <v>44737</v>
          </cell>
          <cell r="B542" t="str">
            <v>Week25</v>
          </cell>
          <cell r="C542">
            <v>44713</v>
          </cell>
        </row>
        <row r="543">
          <cell r="A543">
            <v>44738</v>
          </cell>
          <cell r="B543" t="str">
            <v>Week26</v>
          </cell>
          <cell r="C543">
            <v>44713</v>
          </cell>
        </row>
        <row r="544">
          <cell r="A544">
            <v>44739</v>
          </cell>
          <cell r="B544" t="str">
            <v>Week26</v>
          </cell>
          <cell r="C544">
            <v>44713</v>
          </cell>
        </row>
        <row r="545">
          <cell r="A545">
            <v>44740</v>
          </cell>
          <cell r="B545" t="str">
            <v>Week26</v>
          </cell>
          <cell r="C545">
            <v>44713</v>
          </cell>
        </row>
        <row r="546">
          <cell r="A546">
            <v>44741</v>
          </cell>
          <cell r="B546" t="str">
            <v>Week26</v>
          </cell>
          <cell r="C546">
            <v>44713</v>
          </cell>
        </row>
        <row r="547">
          <cell r="A547">
            <v>44742</v>
          </cell>
          <cell r="B547" t="str">
            <v>Week26</v>
          </cell>
          <cell r="C547">
            <v>44713</v>
          </cell>
        </row>
        <row r="548">
          <cell r="A548">
            <v>44743</v>
          </cell>
          <cell r="B548" t="str">
            <v>Week26</v>
          </cell>
          <cell r="C548">
            <v>44743</v>
          </cell>
        </row>
        <row r="549">
          <cell r="A549">
            <v>44744</v>
          </cell>
          <cell r="B549" t="str">
            <v>Week26</v>
          </cell>
          <cell r="C549">
            <v>44743</v>
          </cell>
        </row>
        <row r="550">
          <cell r="A550">
            <v>44745</v>
          </cell>
          <cell r="B550" t="str">
            <v>Week27</v>
          </cell>
          <cell r="C550">
            <v>44743</v>
          </cell>
        </row>
        <row r="551">
          <cell r="A551">
            <v>44746</v>
          </cell>
          <cell r="B551" t="str">
            <v>Week27</v>
          </cell>
          <cell r="C551">
            <v>44743</v>
          </cell>
        </row>
        <row r="552">
          <cell r="A552">
            <v>44747</v>
          </cell>
          <cell r="B552" t="str">
            <v>Week27</v>
          </cell>
          <cell r="C552">
            <v>44743</v>
          </cell>
        </row>
        <row r="553">
          <cell r="A553">
            <v>44748</v>
          </cell>
          <cell r="B553" t="str">
            <v>Week27</v>
          </cell>
          <cell r="C553">
            <v>44743</v>
          </cell>
        </row>
        <row r="554">
          <cell r="A554">
            <v>44749</v>
          </cell>
          <cell r="B554" t="str">
            <v>Week27</v>
          </cell>
          <cell r="C554">
            <v>44743</v>
          </cell>
        </row>
        <row r="555">
          <cell r="A555">
            <v>44750</v>
          </cell>
          <cell r="B555" t="str">
            <v>Week27</v>
          </cell>
          <cell r="C555">
            <v>44743</v>
          </cell>
        </row>
        <row r="556">
          <cell r="A556">
            <v>44751</v>
          </cell>
          <cell r="B556" t="str">
            <v>Week27</v>
          </cell>
          <cell r="C556">
            <v>44743</v>
          </cell>
        </row>
        <row r="557">
          <cell r="A557">
            <v>44752</v>
          </cell>
          <cell r="B557" t="str">
            <v>Week28</v>
          </cell>
          <cell r="C557">
            <v>44743</v>
          </cell>
        </row>
        <row r="558">
          <cell r="A558">
            <v>44753</v>
          </cell>
          <cell r="B558" t="str">
            <v>Week28</v>
          </cell>
          <cell r="C558">
            <v>44743</v>
          </cell>
        </row>
        <row r="559">
          <cell r="A559">
            <v>44754</v>
          </cell>
          <cell r="B559" t="str">
            <v>Week28</v>
          </cell>
          <cell r="C559">
            <v>44743</v>
          </cell>
        </row>
        <row r="560">
          <cell r="A560">
            <v>44755</v>
          </cell>
          <cell r="B560" t="str">
            <v>Week28</v>
          </cell>
          <cell r="C560">
            <v>44743</v>
          </cell>
        </row>
        <row r="561">
          <cell r="A561">
            <v>44756</v>
          </cell>
          <cell r="B561" t="str">
            <v>Week28</v>
          </cell>
          <cell r="C561">
            <v>44743</v>
          </cell>
        </row>
        <row r="562">
          <cell r="A562">
            <v>44757</v>
          </cell>
          <cell r="B562" t="str">
            <v>Week28</v>
          </cell>
          <cell r="C562">
            <v>44743</v>
          </cell>
        </row>
        <row r="563">
          <cell r="A563">
            <v>44758</v>
          </cell>
          <cell r="B563" t="str">
            <v>Week28</v>
          </cell>
          <cell r="C563">
            <v>44743</v>
          </cell>
        </row>
        <row r="564">
          <cell r="A564">
            <v>44759</v>
          </cell>
          <cell r="B564" t="str">
            <v>Week29</v>
          </cell>
          <cell r="C564">
            <v>44743</v>
          </cell>
        </row>
        <row r="565">
          <cell r="A565">
            <v>44760</v>
          </cell>
          <cell r="B565" t="str">
            <v>Week29</v>
          </cell>
          <cell r="C565">
            <v>44743</v>
          </cell>
        </row>
        <row r="566">
          <cell r="A566">
            <v>44761</v>
          </cell>
          <cell r="B566" t="str">
            <v>Week29</v>
          </cell>
          <cell r="C566">
            <v>44743</v>
          </cell>
        </row>
        <row r="567">
          <cell r="A567">
            <v>44762</v>
          </cell>
          <cell r="B567" t="str">
            <v>Week29</v>
          </cell>
          <cell r="C567">
            <v>44743</v>
          </cell>
        </row>
        <row r="568">
          <cell r="A568">
            <v>44763</v>
          </cell>
          <cell r="B568" t="str">
            <v>Week29</v>
          </cell>
          <cell r="C568">
            <v>44743</v>
          </cell>
        </row>
        <row r="569">
          <cell r="A569">
            <v>44764</v>
          </cell>
          <cell r="B569" t="str">
            <v>Week29</v>
          </cell>
          <cell r="C569">
            <v>44743</v>
          </cell>
        </row>
        <row r="570">
          <cell r="A570">
            <v>44765</v>
          </cell>
          <cell r="B570" t="str">
            <v>Week29</v>
          </cell>
          <cell r="C570">
            <v>44743</v>
          </cell>
        </row>
        <row r="571">
          <cell r="A571">
            <v>44766</v>
          </cell>
          <cell r="B571" t="str">
            <v>Week30</v>
          </cell>
          <cell r="C571">
            <v>44743</v>
          </cell>
        </row>
        <row r="572">
          <cell r="A572">
            <v>44767</v>
          </cell>
          <cell r="B572" t="str">
            <v>Week30</v>
          </cell>
          <cell r="C572">
            <v>44743</v>
          </cell>
        </row>
        <row r="573">
          <cell r="A573">
            <v>44768</v>
          </cell>
          <cell r="B573" t="str">
            <v>Week30</v>
          </cell>
          <cell r="C573">
            <v>44743</v>
          </cell>
        </row>
        <row r="574">
          <cell r="A574">
            <v>44769</v>
          </cell>
          <cell r="B574" t="str">
            <v>Week30</v>
          </cell>
          <cell r="C574">
            <v>44743</v>
          </cell>
        </row>
        <row r="575">
          <cell r="A575">
            <v>44770</v>
          </cell>
          <cell r="B575" t="str">
            <v>Week30</v>
          </cell>
          <cell r="C575">
            <v>44743</v>
          </cell>
        </row>
        <row r="576">
          <cell r="A576">
            <v>44771</v>
          </cell>
          <cell r="B576" t="str">
            <v>Week30</v>
          </cell>
          <cell r="C576">
            <v>44743</v>
          </cell>
        </row>
        <row r="577">
          <cell r="A577">
            <v>44772</v>
          </cell>
          <cell r="B577" t="str">
            <v>Week30</v>
          </cell>
          <cell r="C577">
            <v>44743</v>
          </cell>
        </row>
        <row r="578">
          <cell r="A578">
            <v>44773</v>
          </cell>
          <cell r="B578" t="str">
            <v>Week31</v>
          </cell>
          <cell r="C578">
            <v>44743</v>
          </cell>
        </row>
        <row r="579">
          <cell r="A579">
            <v>44774</v>
          </cell>
          <cell r="B579" t="str">
            <v>Week31</v>
          </cell>
          <cell r="C579">
            <v>44774</v>
          </cell>
        </row>
        <row r="580">
          <cell r="A580">
            <v>44775</v>
          </cell>
          <cell r="B580" t="str">
            <v>Week31</v>
          </cell>
          <cell r="C580">
            <v>44774</v>
          </cell>
        </row>
        <row r="581">
          <cell r="A581">
            <v>44776</v>
          </cell>
          <cell r="B581" t="str">
            <v>Week31</v>
          </cell>
          <cell r="C581">
            <v>44774</v>
          </cell>
        </row>
        <row r="582">
          <cell r="A582">
            <v>44777</v>
          </cell>
          <cell r="B582" t="str">
            <v>Week31</v>
          </cell>
          <cell r="C582">
            <v>44774</v>
          </cell>
        </row>
        <row r="583">
          <cell r="A583">
            <v>44778</v>
          </cell>
          <cell r="B583" t="str">
            <v>Week31</v>
          </cell>
          <cell r="C583">
            <v>44774</v>
          </cell>
        </row>
        <row r="584">
          <cell r="A584">
            <v>44779</v>
          </cell>
          <cell r="B584" t="str">
            <v>Week31</v>
          </cell>
          <cell r="C584">
            <v>44774</v>
          </cell>
        </row>
        <row r="585">
          <cell r="A585">
            <v>44780</v>
          </cell>
          <cell r="B585" t="str">
            <v>Week32</v>
          </cell>
          <cell r="C585">
            <v>44774</v>
          </cell>
        </row>
        <row r="586">
          <cell r="A586">
            <v>44781</v>
          </cell>
          <cell r="B586" t="str">
            <v>Week32</v>
          </cell>
          <cell r="C586">
            <v>44774</v>
          </cell>
        </row>
        <row r="587">
          <cell r="A587">
            <v>44782</v>
          </cell>
          <cell r="B587" t="str">
            <v>Week32</v>
          </cell>
          <cell r="C587">
            <v>44774</v>
          </cell>
        </row>
        <row r="588">
          <cell r="A588">
            <v>44783</v>
          </cell>
          <cell r="B588" t="str">
            <v>Week32</v>
          </cell>
          <cell r="C588">
            <v>44774</v>
          </cell>
        </row>
        <row r="589">
          <cell r="A589">
            <v>44784</v>
          </cell>
          <cell r="B589" t="str">
            <v>Week32</v>
          </cell>
          <cell r="C589">
            <v>44774</v>
          </cell>
        </row>
        <row r="590">
          <cell r="A590">
            <v>44785</v>
          </cell>
          <cell r="B590" t="str">
            <v>Week32</v>
          </cell>
          <cell r="C590">
            <v>44774</v>
          </cell>
        </row>
        <row r="591">
          <cell r="A591">
            <v>44786</v>
          </cell>
          <cell r="B591" t="str">
            <v>Week32</v>
          </cell>
          <cell r="C591">
            <v>44774</v>
          </cell>
        </row>
        <row r="592">
          <cell r="A592">
            <v>44787</v>
          </cell>
          <cell r="B592" t="str">
            <v>Week33</v>
          </cell>
          <cell r="C592">
            <v>44774</v>
          </cell>
        </row>
        <row r="593">
          <cell r="A593">
            <v>44788</v>
          </cell>
          <cell r="B593" t="str">
            <v>Week33</v>
          </cell>
          <cell r="C593">
            <v>44774</v>
          </cell>
        </row>
        <row r="594">
          <cell r="A594">
            <v>44789</v>
          </cell>
          <cell r="B594" t="str">
            <v>Week33</v>
          </cell>
          <cell r="C594">
            <v>44774</v>
          </cell>
        </row>
        <row r="595">
          <cell r="A595">
            <v>44790</v>
          </cell>
          <cell r="B595" t="str">
            <v>Week33</v>
          </cell>
          <cell r="C595">
            <v>44774</v>
          </cell>
        </row>
        <row r="596">
          <cell r="A596">
            <v>44791</v>
          </cell>
          <cell r="B596" t="str">
            <v>Week33</v>
          </cell>
          <cell r="C596">
            <v>44774</v>
          </cell>
        </row>
        <row r="597">
          <cell r="A597">
            <v>44792</v>
          </cell>
          <cell r="B597" t="str">
            <v>Week33</v>
          </cell>
          <cell r="C597">
            <v>44774</v>
          </cell>
        </row>
        <row r="598">
          <cell r="A598">
            <v>44793</v>
          </cell>
          <cell r="B598" t="str">
            <v>Week33</v>
          </cell>
          <cell r="C598">
            <v>44774</v>
          </cell>
        </row>
        <row r="599">
          <cell r="A599">
            <v>44794</v>
          </cell>
          <cell r="B599" t="str">
            <v>Week34</v>
          </cell>
          <cell r="C599">
            <v>44774</v>
          </cell>
        </row>
        <row r="600">
          <cell r="A600">
            <v>44795</v>
          </cell>
          <cell r="B600" t="str">
            <v>Week34</v>
          </cell>
          <cell r="C600">
            <v>44774</v>
          </cell>
        </row>
        <row r="601">
          <cell r="A601">
            <v>44796</v>
          </cell>
          <cell r="B601" t="str">
            <v>Week34</v>
          </cell>
          <cell r="C601">
            <v>44774</v>
          </cell>
        </row>
        <row r="602">
          <cell r="A602">
            <v>44797</v>
          </cell>
          <cell r="B602" t="str">
            <v>Week34</v>
          </cell>
          <cell r="C602">
            <v>44774</v>
          </cell>
        </row>
        <row r="603">
          <cell r="A603">
            <v>44798</v>
          </cell>
          <cell r="B603" t="str">
            <v>Week34</v>
          </cell>
          <cell r="C603">
            <v>44774</v>
          </cell>
        </row>
        <row r="604">
          <cell r="A604">
            <v>44799</v>
          </cell>
          <cell r="B604" t="str">
            <v>Week34</v>
          </cell>
          <cell r="C604">
            <v>44774</v>
          </cell>
        </row>
        <row r="605">
          <cell r="A605">
            <v>44800</v>
          </cell>
          <cell r="B605" t="str">
            <v>Week34</v>
          </cell>
          <cell r="C605">
            <v>44774</v>
          </cell>
        </row>
        <row r="606">
          <cell r="A606">
            <v>44801</v>
          </cell>
          <cell r="B606" t="str">
            <v>Week35</v>
          </cell>
          <cell r="C606">
            <v>44774</v>
          </cell>
        </row>
        <row r="607">
          <cell r="A607">
            <v>44802</v>
          </cell>
          <cell r="B607" t="str">
            <v>Week35</v>
          </cell>
          <cell r="C607">
            <v>44774</v>
          </cell>
        </row>
        <row r="608">
          <cell r="A608">
            <v>44803</v>
          </cell>
          <cell r="B608" t="str">
            <v>Week35</v>
          </cell>
          <cell r="C608">
            <v>44774</v>
          </cell>
        </row>
        <row r="609">
          <cell r="A609">
            <v>44804</v>
          </cell>
          <cell r="B609" t="str">
            <v>Week35</v>
          </cell>
          <cell r="C609">
            <v>44774</v>
          </cell>
        </row>
        <row r="610">
          <cell r="A610">
            <v>44805</v>
          </cell>
          <cell r="B610" t="str">
            <v>Week35</v>
          </cell>
          <cell r="C610">
            <v>44805</v>
          </cell>
        </row>
        <row r="611">
          <cell r="A611">
            <v>44806</v>
          </cell>
          <cell r="B611" t="str">
            <v>Week35</v>
          </cell>
          <cell r="C611">
            <v>44805</v>
          </cell>
        </row>
        <row r="612">
          <cell r="A612">
            <v>44807</v>
          </cell>
          <cell r="B612" t="str">
            <v>Week35</v>
          </cell>
          <cell r="C612">
            <v>44805</v>
          </cell>
        </row>
        <row r="613">
          <cell r="A613">
            <v>44808</v>
          </cell>
          <cell r="B613" t="str">
            <v>Week36</v>
          </cell>
          <cell r="C613">
            <v>44805</v>
          </cell>
        </row>
        <row r="614">
          <cell r="A614">
            <v>44809</v>
          </cell>
          <cell r="B614" t="str">
            <v>Week36</v>
          </cell>
          <cell r="C614">
            <v>44805</v>
          </cell>
        </row>
        <row r="615">
          <cell r="A615">
            <v>44810</v>
          </cell>
          <cell r="B615" t="str">
            <v>Week36</v>
          </cell>
          <cell r="C615">
            <v>44805</v>
          </cell>
        </row>
        <row r="616">
          <cell r="A616">
            <v>44811</v>
          </cell>
          <cell r="B616" t="str">
            <v>Week36</v>
          </cell>
          <cell r="C616">
            <v>44805</v>
          </cell>
        </row>
        <row r="617">
          <cell r="A617">
            <v>44812</v>
          </cell>
          <cell r="B617" t="str">
            <v>Week36</v>
          </cell>
          <cell r="C617">
            <v>44805</v>
          </cell>
        </row>
        <row r="618">
          <cell r="A618">
            <v>44813</v>
          </cell>
          <cell r="B618" t="str">
            <v>Week36</v>
          </cell>
          <cell r="C618">
            <v>44805</v>
          </cell>
        </row>
        <row r="619">
          <cell r="A619">
            <v>44814</v>
          </cell>
          <cell r="B619" t="str">
            <v>Week36</v>
          </cell>
          <cell r="C619">
            <v>44805</v>
          </cell>
        </row>
        <row r="620">
          <cell r="A620">
            <v>44815</v>
          </cell>
          <cell r="B620" t="str">
            <v>Week37</v>
          </cell>
          <cell r="C620">
            <v>44805</v>
          </cell>
        </row>
        <row r="621">
          <cell r="A621">
            <v>44816</v>
          </cell>
          <cell r="B621" t="str">
            <v>Week37</v>
          </cell>
          <cell r="C621">
            <v>44805</v>
          </cell>
        </row>
        <row r="622">
          <cell r="A622">
            <v>44817</v>
          </cell>
          <cell r="B622" t="str">
            <v>Week37</v>
          </cell>
          <cell r="C622">
            <v>44805</v>
          </cell>
        </row>
        <row r="623">
          <cell r="A623">
            <v>44818</v>
          </cell>
          <cell r="B623" t="str">
            <v>Week37</v>
          </cell>
          <cell r="C623">
            <v>44805</v>
          </cell>
        </row>
        <row r="624">
          <cell r="A624">
            <v>44819</v>
          </cell>
          <cell r="B624" t="str">
            <v>Week37</v>
          </cell>
          <cell r="C624">
            <v>44805</v>
          </cell>
        </row>
        <row r="625">
          <cell r="A625">
            <v>44820</v>
          </cell>
          <cell r="B625" t="str">
            <v>Week37</v>
          </cell>
          <cell r="C625">
            <v>44805</v>
          </cell>
        </row>
        <row r="626">
          <cell r="A626">
            <v>44821</v>
          </cell>
          <cell r="B626" t="str">
            <v>Week37</v>
          </cell>
          <cell r="C626">
            <v>44805</v>
          </cell>
        </row>
        <row r="627">
          <cell r="A627">
            <v>44822</v>
          </cell>
          <cell r="B627" t="str">
            <v>Week38</v>
          </cell>
          <cell r="C627">
            <v>44805</v>
          </cell>
        </row>
        <row r="628">
          <cell r="A628">
            <v>44823</v>
          </cell>
          <cell r="B628" t="str">
            <v>Week38</v>
          </cell>
          <cell r="C628">
            <v>44805</v>
          </cell>
        </row>
        <row r="629">
          <cell r="A629">
            <v>44824</v>
          </cell>
          <cell r="B629" t="str">
            <v>Week38</v>
          </cell>
          <cell r="C629">
            <v>44805</v>
          </cell>
        </row>
        <row r="630">
          <cell r="A630">
            <v>44825</v>
          </cell>
          <cell r="B630" t="str">
            <v>Week38</v>
          </cell>
          <cell r="C630">
            <v>44805</v>
          </cell>
        </row>
        <row r="631">
          <cell r="A631">
            <v>44826</v>
          </cell>
          <cell r="B631" t="str">
            <v>Week38</v>
          </cell>
          <cell r="C631">
            <v>44805</v>
          </cell>
        </row>
        <row r="632">
          <cell r="A632">
            <v>44827</v>
          </cell>
          <cell r="B632" t="str">
            <v>Week38</v>
          </cell>
          <cell r="C632">
            <v>44805</v>
          </cell>
        </row>
        <row r="633">
          <cell r="A633">
            <v>44828</v>
          </cell>
          <cell r="B633" t="str">
            <v>Week38</v>
          </cell>
          <cell r="C633">
            <v>44805</v>
          </cell>
        </row>
        <row r="634">
          <cell r="A634">
            <v>44829</v>
          </cell>
          <cell r="B634" t="str">
            <v>Week39</v>
          </cell>
          <cell r="C634">
            <v>44805</v>
          </cell>
        </row>
        <row r="635">
          <cell r="A635">
            <v>44830</v>
          </cell>
          <cell r="B635" t="str">
            <v>Week39</v>
          </cell>
          <cell r="C635">
            <v>44805</v>
          </cell>
        </row>
        <row r="636">
          <cell r="A636">
            <v>44831</v>
          </cell>
          <cell r="B636" t="str">
            <v>Week39</v>
          </cell>
          <cell r="C636">
            <v>44805</v>
          </cell>
        </row>
        <row r="637">
          <cell r="A637">
            <v>44832</v>
          </cell>
          <cell r="B637" t="str">
            <v>Week39</v>
          </cell>
          <cell r="C637">
            <v>44805</v>
          </cell>
        </row>
        <row r="638">
          <cell r="A638">
            <v>44833</v>
          </cell>
          <cell r="B638" t="str">
            <v>Week39</v>
          </cell>
          <cell r="C638">
            <v>44805</v>
          </cell>
        </row>
        <row r="639">
          <cell r="A639">
            <v>44834</v>
          </cell>
          <cell r="B639" t="str">
            <v>Week39</v>
          </cell>
          <cell r="C639">
            <v>44805</v>
          </cell>
        </row>
        <row r="640">
          <cell r="A640">
            <v>44835</v>
          </cell>
          <cell r="B640" t="str">
            <v>Week39</v>
          </cell>
          <cell r="C640">
            <v>44835</v>
          </cell>
        </row>
        <row r="641">
          <cell r="A641">
            <v>44836</v>
          </cell>
          <cell r="B641" t="str">
            <v>Week40</v>
          </cell>
          <cell r="C641">
            <v>44835</v>
          </cell>
        </row>
        <row r="642">
          <cell r="A642">
            <v>44837</v>
          </cell>
          <cell r="B642" t="str">
            <v>Week40</v>
          </cell>
          <cell r="C642">
            <v>44835</v>
          </cell>
        </row>
        <row r="643">
          <cell r="A643">
            <v>44838</v>
          </cell>
          <cell r="B643" t="str">
            <v>Week40</v>
          </cell>
          <cell r="C643">
            <v>44835</v>
          </cell>
        </row>
        <row r="644">
          <cell r="A644">
            <v>44839</v>
          </cell>
          <cell r="B644" t="str">
            <v>Week40</v>
          </cell>
          <cell r="C644">
            <v>44835</v>
          </cell>
        </row>
        <row r="645">
          <cell r="A645">
            <v>44840</v>
          </cell>
          <cell r="B645" t="str">
            <v>Week40</v>
          </cell>
          <cell r="C645">
            <v>44835</v>
          </cell>
        </row>
        <row r="646">
          <cell r="A646">
            <v>44841</v>
          </cell>
          <cell r="B646" t="str">
            <v>Week40</v>
          </cell>
          <cell r="C646">
            <v>44835</v>
          </cell>
        </row>
        <row r="647">
          <cell r="A647">
            <v>44842</v>
          </cell>
          <cell r="B647" t="str">
            <v>Week40</v>
          </cell>
          <cell r="C647">
            <v>44835</v>
          </cell>
        </row>
        <row r="648">
          <cell r="A648">
            <v>44843</v>
          </cell>
          <cell r="B648" t="str">
            <v>Week41</v>
          </cell>
          <cell r="C648">
            <v>44835</v>
          </cell>
        </row>
        <row r="649">
          <cell r="A649">
            <v>44844</v>
          </cell>
          <cell r="B649" t="str">
            <v>Week41</v>
          </cell>
          <cell r="C649">
            <v>44835</v>
          </cell>
        </row>
        <row r="650">
          <cell r="A650">
            <v>44845</v>
          </cell>
          <cell r="B650" t="str">
            <v>Week41</v>
          </cell>
          <cell r="C650">
            <v>44835</v>
          </cell>
        </row>
        <row r="651">
          <cell r="A651">
            <v>44846</v>
          </cell>
          <cell r="B651" t="str">
            <v>Week41</v>
          </cell>
          <cell r="C651">
            <v>44835</v>
          </cell>
        </row>
        <row r="652">
          <cell r="A652">
            <v>44847</v>
          </cell>
          <cell r="B652" t="str">
            <v>Week41</v>
          </cell>
          <cell r="C652">
            <v>44835</v>
          </cell>
        </row>
        <row r="653">
          <cell r="A653">
            <v>44848</v>
          </cell>
          <cell r="B653" t="str">
            <v>Week41</v>
          </cell>
          <cell r="C653">
            <v>44835</v>
          </cell>
        </row>
        <row r="654">
          <cell r="A654">
            <v>44849</v>
          </cell>
          <cell r="B654" t="str">
            <v>Week41</v>
          </cell>
          <cell r="C654">
            <v>44835</v>
          </cell>
        </row>
        <row r="655">
          <cell r="A655">
            <v>44850</v>
          </cell>
          <cell r="B655" t="str">
            <v>Week42</v>
          </cell>
          <cell r="C655">
            <v>44835</v>
          </cell>
        </row>
        <row r="656">
          <cell r="A656">
            <v>44851</v>
          </cell>
          <cell r="B656" t="str">
            <v>Week42</v>
          </cell>
          <cell r="C656">
            <v>44835</v>
          </cell>
        </row>
        <row r="657">
          <cell r="A657">
            <v>44852</v>
          </cell>
          <cell r="B657" t="str">
            <v>Week42</v>
          </cell>
          <cell r="C657">
            <v>44835</v>
          </cell>
        </row>
        <row r="658">
          <cell r="A658">
            <v>44853</v>
          </cell>
          <cell r="B658" t="str">
            <v>Week42</v>
          </cell>
          <cell r="C658">
            <v>44835</v>
          </cell>
        </row>
        <row r="659">
          <cell r="A659">
            <v>44854</v>
          </cell>
          <cell r="B659" t="str">
            <v>Week42</v>
          </cell>
          <cell r="C659">
            <v>44835</v>
          </cell>
        </row>
        <row r="660">
          <cell r="A660">
            <v>44855</v>
          </cell>
          <cell r="B660" t="str">
            <v>Week42</v>
          </cell>
          <cell r="C660">
            <v>44835</v>
          </cell>
        </row>
        <row r="661">
          <cell r="A661">
            <v>44856</v>
          </cell>
          <cell r="B661" t="str">
            <v>Week42</v>
          </cell>
          <cell r="C661">
            <v>44835</v>
          </cell>
        </row>
        <row r="662">
          <cell r="A662">
            <v>44857</v>
          </cell>
          <cell r="B662" t="str">
            <v>Week43</v>
          </cell>
          <cell r="C662">
            <v>44835</v>
          </cell>
        </row>
        <row r="663">
          <cell r="A663">
            <v>44858</v>
          </cell>
          <cell r="B663" t="str">
            <v>Week43</v>
          </cell>
          <cell r="C663">
            <v>44835</v>
          </cell>
        </row>
        <row r="664">
          <cell r="A664">
            <v>44859</v>
          </cell>
          <cell r="B664" t="str">
            <v>Week43</v>
          </cell>
          <cell r="C664">
            <v>44835</v>
          </cell>
        </row>
        <row r="665">
          <cell r="A665">
            <v>44860</v>
          </cell>
          <cell r="B665" t="str">
            <v>Week43</v>
          </cell>
          <cell r="C665">
            <v>44835</v>
          </cell>
        </row>
        <row r="666">
          <cell r="A666">
            <v>44861</v>
          </cell>
          <cell r="B666" t="str">
            <v>Week43</v>
          </cell>
          <cell r="C666">
            <v>44835</v>
          </cell>
        </row>
        <row r="667">
          <cell r="A667">
            <v>44862</v>
          </cell>
          <cell r="B667" t="str">
            <v>Week43</v>
          </cell>
          <cell r="C667">
            <v>44835</v>
          </cell>
        </row>
        <row r="668">
          <cell r="A668">
            <v>44863</v>
          </cell>
          <cell r="B668" t="str">
            <v>Week43</v>
          </cell>
          <cell r="C668">
            <v>44835</v>
          </cell>
        </row>
        <row r="669">
          <cell r="A669">
            <v>44864</v>
          </cell>
          <cell r="B669" t="str">
            <v>Week44</v>
          </cell>
          <cell r="C669">
            <v>44835</v>
          </cell>
        </row>
        <row r="670">
          <cell r="A670">
            <v>44865</v>
          </cell>
          <cell r="B670" t="str">
            <v>Week44</v>
          </cell>
          <cell r="C670">
            <v>44835</v>
          </cell>
        </row>
        <row r="671">
          <cell r="A671">
            <v>44866</v>
          </cell>
          <cell r="B671" t="str">
            <v>Week44</v>
          </cell>
          <cell r="C671">
            <v>44866</v>
          </cell>
        </row>
        <row r="672">
          <cell r="A672">
            <v>44867</v>
          </cell>
          <cell r="B672" t="str">
            <v>Week44</v>
          </cell>
          <cell r="C672">
            <v>44866</v>
          </cell>
        </row>
        <row r="673">
          <cell r="A673">
            <v>44868</v>
          </cell>
          <cell r="B673" t="str">
            <v>Week44</v>
          </cell>
          <cell r="C673">
            <v>44866</v>
          </cell>
        </row>
        <row r="674">
          <cell r="A674">
            <v>44869</v>
          </cell>
          <cell r="B674" t="str">
            <v>Week44</v>
          </cell>
          <cell r="C674">
            <v>44866</v>
          </cell>
        </row>
        <row r="675">
          <cell r="A675">
            <v>44870</v>
          </cell>
          <cell r="B675" t="str">
            <v>Week44</v>
          </cell>
          <cell r="C675">
            <v>44866</v>
          </cell>
        </row>
        <row r="676">
          <cell r="A676">
            <v>44871</v>
          </cell>
          <cell r="B676" t="str">
            <v>Week45</v>
          </cell>
          <cell r="C676">
            <v>44866</v>
          </cell>
        </row>
        <row r="677">
          <cell r="A677">
            <v>44872</v>
          </cell>
          <cell r="B677" t="str">
            <v>Week45</v>
          </cell>
          <cell r="C677">
            <v>44866</v>
          </cell>
        </row>
        <row r="678">
          <cell r="A678">
            <v>44873</v>
          </cell>
          <cell r="B678" t="str">
            <v>Week45</v>
          </cell>
          <cell r="C678">
            <v>44866</v>
          </cell>
        </row>
        <row r="679">
          <cell r="A679">
            <v>44874</v>
          </cell>
          <cell r="B679" t="str">
            <v>Week45</v>
          </cell>
          <cell r="C679">
            <v>44866</v>
          </cell>
        </row>
        <row r="680">
          <cell r="A680">
            <v>44875</v>
          </cell>
          <cell r="B680" t="str">
            <v>Week45</v>
          </cell>
          <cell r="C680">
            <v>44866</v>
          </cell>
        </row>
        <row r="681">
          <cell r="A681">
            <v>44876</v>
          </cell>
          <cell r="B681" t="str">
            <v>Week45</v>
          </cell>
          <cell r="C681">
            <v>44866</v>
          </cell>
        </row>
        <row r="682">
          <cell r="A682">
            <v>44877</v>
          </cell>
          <cell r="B682" t="str">
            <v>Week45</v>
          </cell>
          <cell r="C682">
            <v>44866</v>
          </cell>
        </row>
        <row r="683">
          <cell r="A683">
            <v>44878</v>
          </cell>
          <cell r="B683" t="str">
            <v>Week46</v>
          </cell>
          <cell r="C683">
            <v>44866</v>
          </cell>
        </row>
        <row r="684">
          <cell r="A684">
            <v>44879</v>
          </cell>
          <cell r="B684" t="str">
            <v>Week46</v>
          </cell>
          <cell r="C684">
            <v>44866</v>
          </cell>
        </row>
        <row r="685">
          <cell r="A685">
            <v>44880</v>
          </cell>
          <cell r="B685" t="str">
            <v>Week46</v>
          </cell>
          <cell r="C685">
            <v>44866</v>
          </cell>
        </row>
        <row r="686">
          <cell r="A686">
            <v>44881</v>
          </cell>
          <cell r="B686" t="str">
            <v>Week46</v>
          </cell>
          <cell r="C686">
            <v>44866</v>
          </cell>
        </row>
        <row r="687">
          <cell r="A687">
            <v>44882</v>
          </cell>
          <cell r="B687" t="str">
            <v>Week46</v>
          </cell>
          <cell r="C687">
            <v>44866</v>
          </cell>
        </row>
        <row r="688">
          <cell r="A688">
            <v>44883</v>
          </cell>
          <cell r="B688" t="str">
            <v>Week46</v>
          </cell>
          <cell r="C688">
            <v>44866</v>
          </cell>
        </row>
        <row r="689">
          <cell r="A689">
            <v>44884</v>
          </cell>
          <cell r="B689" t="str">
            <v>Week46</v>
          </cell>
          <cell r="C689">
            <v>44866</v>
          </cell>
        </row>
        <row r="690">
          <cell r="A690">
            <v>44885</v>
          </cell>
          <cell r="B690" t="str">
            <v>Week47</v>
          </cell>
          <cell r="C690">
            <v>44866</v>
          </cell>
        </row>
        <row r="691">
          <cell r="A691">
            <v>44886</v>
          </cell>
          <cell r="B691" t="str">
            <v>Week47</v>
          </cell>
          <cell r="C691">
            <v>44866</v>
          </cell>
        </row>
        <row r="692">
          <cell r="A692">
            <v>44887</v>
          </cell>
          <cell r="B692" t="str">
            <v>Week47</v>
          </cell>
          <cell r="C692">
            <v>44866</v>
          </cell>
        </row>
        <row r="693">
          <cell r="A693">
            <v>44888</v>
          </cell>
          <cell r="B693" t="str">
            <v>Week47</v>
          </cell>
          <cell r="C693">
            <v>44866</v>
          </cell>
        </row>
        <row r="694">
          <cell r="A694">
            <v>44889</v>
          </cell>
          <cell r="B694" t="str">
            <v>Week47</v>
          </cell>
          <cell r="C694">
            <v>44866</v>
          </cell>
        </row>
        <row r="695">
          <cell r="A695">
            <v>44890</v>
          </cell>
          <cell r="B695" t="str">
            <v>Week47</v>
          </cell>
          <cell r="C695">
            <v>44866</v>
          </cell>
        </row>
        <row r="696">
          <cell r="A696">
            <v>44891</v>
          </cell>
          <cell r="B696" t="str">
            <v>Week47</v>
          </cell>
          <cell r="C696">
            <v>44866</v>
          </cell>
        </row>
        <row r="697">
          <cell r="A697">
            <v>44892</v>
          </cell>
          <cell r="B697" t="str">
            <v>Week48</v>
          </cell>
          <cell r="C697">
            <v>44866</v>
          </cell>
        </row>
        <row r="698">
          <cell r="A698">
            <v>44893</v>
          </cell>
          <cell r="B698" t="str">
            <v>Week48</v>
          </cell>
          <cell r="C698">
            <v>44866</v>
          </cell>
        </row>
        <row r="699">
          <cell r="A699">
            <v>44894</v>
          </cell>
          <cell r="B699" t="str">
            <v>Week48</v>
          </cell>
          <cell r="C699">
            <v>44866</v>
          </cell>
        </row>
        <row r="700">
          <cell r="A700">
            <v>44895</v>
          </cell>
          <cell r="B700" t="str">
            <v>Week48</v>
          </cell>
          <cell r="C700">
            <v>44866</v>
          </cell>
        </row>
        <row r="701">
          <cell r="A701">
            <v>44896</v>
          </cell>
          <cell r="B701" t="str">
            <v>Week48</v>
          </cell>
          <cell r="C701">
            <v>44896</v>
          </cell>
        </row>
        <row r="702">
          <cell r="A702">
            <v>44897</v>
          </cell>
          <cell r="B702" t="str">
            <v>Week48</v>
          </cell>
          <cell r="C702">
            <v>44896</v>
          </cell>
        </row>
        <row r="703">
          <cell r="A703">
            <v>44898</v>
          </cell>
          <cell r="B703" t="str">
            <v>Week48</v>
          </cell>
          <cell r="C703">
            <v>44896</v>
          </cell>
        </row>
        <row r="704">
          <cell r="A704">
            <v>44899</v>
          </cell>
          <cell r="B704" t="str">
            <v>Week49</v>
          </cell>
          <cell r="C704">
            <v>44896</v>
          </cell>
        </row>
        <row r="705">
          <cell r="A705">
            <v>44900</v>
          </cell>
          <cell r="B705" t="str">
            <v>Week49</v>
          </cell>
          <cell r="C705">
            <v>44896</v>
          </cell>
        </row>
        <row r="706">
          <cell r="A706">
            <v>44901</v>
          </cell>
          <cell r="B706" t="str">
            <v>Week49</v>
          </cell>
          <cell r="C706">
            <v>44896</v>
          </cell>
        </row>
        <row r="707">
          <cell r="A707">
            <v>44902</v>
          </cell>
          <cell r="B707" t="str">
            <v>Week49</v>
          </cell>
          <cell r="C707">
            <v>44896</v>
          </cell>
        </row>
        <row r="708">
          <cell r="A708">
            <v>44903</v>
          </cell>
          <cell r="B708" t="str">
            <v>Week49</v>
          </cell>
          <cell r="C708">
            <v>44896</v>
          </cell>
        </row>
        <row r="709">
          <cell r="A709">
            <v>44904</v>
          </cell>
          <cell r="B709" t="str">
            <v>Week49</v>
          </cell>
          <cell r="C709">
            <v>44896</v>
          </cell>
        </row>
        <row r="710">
          <cell r="A710">
            <v>44905</v>
          </cell>
          <cell r="B710" t="str">
            <v>Week49</v>
          </cell>
          <cell r="C710">
            <v>44896</v>
          </cell>
        </row>
        <row r="711">
          <cell r="A711">
            <v>44906</v>
          </cell>
          <cell r="B711" t="str">
            <v>Week50</v>
          </cell>
          <cell r="C711">
            <v>44896</v>
          </cell>
        </row>
        <row r="712">
          <cell r="A712">
            <v>44907</v>
          </cell>
          <cell r="B712" t="str">
            <v>Week50</v>
          </cell>
          <cell r="C712">
            <v>44896</v>
          </cell>
        </row>
        <row r="713">
          <cell r="A713">
            <v>44908</v>
          </cell>
          <cell r="B713" t="str">
            <v>Week50</v>
          </cell>
          <cell r="C713">
            <v>44896</v>
          </cell>
        </row>
        <row r="714">
          <cell r="A714">
            <v>44909</v>
          </cell>
          <cell r="B714" t="str">
            <v>Week50</v>
          </cell>
          <cell r="C714">
            <v>44896</v>
          </cell>
        </row>
        <row r="715">
          <cell r="A715">
            <v>44910</v>
          </cell>
          <cell r="B715" t="str">
            <v>Week50</v>
          </cell>
          <cell r="C715">
            <v>44896</v>
          </cell>
        </row>
        <row r="716">
          <cell r="A716">
            <v>44911</v>
          </cell>
          <cell r="B716" t="str">
            <v>Week50</v>
          </cell>
          <cell r="C716">
            <v>44896</v>
          </cell>
        </row>
        <row r="717">
          <cell r="A717">
            <v>44912</v>
          </cell>
          <cell r="B717" t="str">
            <v>Week50</v>
          </cell>
          <cell r="C717">
            <v>44896</v>
          </cell>
        </row>
        <row r="718">
          <cell r="A718">
            <v>44913</v>
          </cell>
          <cell r="B718" t="str">
            <v>Week51</v>
          </cell>
          <cell r="C718">
            <v>44896</v>
          </cell>
        </row>
        <row r="719">
          <cell r="A719">
            <v>44914</v>
          </cell>
          <cell r="B719" t="str">
            <v>Week51</v>
          </cell>
          <cell r="C719">
            <v>44896</v>
          </cell>
        </row>
        <row r="720">
          <cell r="A720">
            <v>44915</v>
          </cell>
          <cell r="B720" t="str">
            <v>Week51</v>
          </cell>
          <cell r="C720">
            <v>44896</v>
          </cell>
        </row>
        <row r="721">
          <cell r="A721">
            <v>44916</v>
          </cell>
          <cell r="B721" t="str">
            <v>Week51</v>
          </cell>
          <cell r="C721">
            <v>44896</v>
          </cell>
        </row>
        <row r="722">
          <cell r="A722">
            <v>44917</v>
          </cell>
          <cell r="B722" t="str">
            <v>Week51</v>
          </cell>
          <cell r="C722">
            <v>44896</v>
          </cell>
        </row>
        <row r="723">
          <cell r="A723">
            <v>44918</v>
          </cell>
          <cell r="B723" t="str">
            <v>Week51</v>
          </cell>
          <cell r="C723">
            <v>44896</v>
          </cell>
        </row>
        <row r="724">
          <cell r="A724">
            <v>44919</v>
          </cell>
          <cell r="B724" t="str">
            <v>Week51</v>
          </cell>
          <cell r="C724">
            <v>44896</v>
          </cell>
        </row>
        <row r="725">
          <cell r="A725">
            <v>44920</v>
          </cell>
          <cell r="B725" t="str">
            <v>Week52</v>
          </cell>
          <cell r="C725">
            <v>44896</v>
          </cell>
        </row>
        <row r="726">
          <cell r="A726">
            <v>44921</v>
          </cell>
          <cell r="B726" t="str">
            <v>Week52</v>
          </cell>
          <cell r="C726">
            <v>44896</v>
          </cell>
        </row>
        <row r="727">
          <cell r="A727">
            <v>44922</v>
          </cell>
          <cell r="B727" t="str">
            <v>Week52</v>
          </cell>
          <cell r="C727">
            <v>44896</v>
          </cell>
        </row>
        <row r="728">
          <cell r="A728">
            <v>44923</v>
          </cell>
          <cell r="B728" t="str">
            <v>Week52</v>
          </cell>
          <cell r="C728">
            <v>44896</v>
          </cell>
        </row>
        <row r="729">
          <cell r="A729">
            <v>44924</v>
          </cell>
          <cell r="B729" t="str">
            <v>Week52</v>
          </cell>
          <cell r="C729">
            <v>44896</v>
          </cell>
        </row>
        <row r="730">
          <cell r="A730">
            <v>44925</v>
          </cell>
          <cell r="B730" t="str">
            <v>Week52</v>
          </cell>
          <cell r="C730">
            <v>44896</v>
          </cell>
        </row>
        <row r="731">
          <cell r="A731">
            <v>44926</v>
          </cell>
          <cell r="B731" t="str">
            <v>Week52</v>
          </cell>
          <cell r="C731">
            <v>44896</v>
          </cell>
        </row>
        <row r="732">
          <cell r="A732">
            <v>44927</v>
          </cell>
          <cell r="B732" t="str">
            <v>Week1</v>
          </cell>
          <cell r="C732">
            <v>44927</v>
          </cell>
        </row>
        <row r="733">
          <cell r="A733">
            <v>44928</v>
          </cell>
          <cell r="B733" t="str">
            <v>Week1</v>
          </cell>
          <cell r="C733">
            <v>44927</v>
          </cell>
        </row>
        <row r="734">
          <cell r="A734">
            <v>44929</v>
          </cell>
          <cell r="B734" t="str">
            <v>Week1</v>
          </cell>
          <cell r="C734">
            <v>44927</v>
          </cell>
        </row>
        <row r="735">
          <cell r="A735">
            <v>44930</v>
          </cell>
          <cell r="B735" t="str">
            <v>Week1</v>
          </cell>
          <cell r="C735">
            <v>44927</v>
          </cell>
        </row>
        <row r="736">
          <cell r="A736">
            <v>44931</v>
          </cell>
          <cell r="B736" t="str">
            <v>Week1</v>
          </cell>
          <cell r="C736">
            <v>44927</v>
          </cell>
        </row>
        <row r="737">
          <cell r="A737">
            <v>44932</v>
          </cell>
          <cell r="B737" t="str">
            <v>Week1</v>
          </cell>
          <cell r="C737">
            <v>44927</v>
          </cell>
        </row>
        <row r="738">
          <cell r="A738">
            <v>44933</v>
          </cell>
          <cell r="B738" t="str">
            <v>Week1</v>
          </cell>
          <cell r="C738">
            <v>44927</v>
          </cell>
        </row>
        <row r="739">
          <cell r="A739">
            <v>44934</v>
          </cell>
          <cell r="B739" t="str">
            <v>Week2</v>
          </cell>
          <cell r="C739">
            <v>44927</v>
          </cell>
        </row>
        <row r="740">
          <cell r="A740">
            <v>44935</v>
          </cell>
          <cell r="B740" t="str">
            <v>Week2</v>
          </cell>
          <cell r="C740">
            <v>44927</v>
          </cell>
        </row>
        <row r="741">
          <cell r="A741">
            <v>44936</v>
          </cell>
          <cell r="B741" t="str">
            <v>Week2</v>
          </cell>
          <cell r="C741">
            <v>44927</v>
          </cell>
        </row>
        <row r="742">
          <cell r="A742">
            <v>44937</v>
          </cell>
          <cell r="B742" t="str">
            <v>Week2</v>
          </cell>
          <cell r="C742">
            <v>44927</v>
          </cell>
        </row>
        <row r="743">
          <cell r="A743">
            <v>44938</v>
          </cell>
          <cell r="B743" t="str">
            <v>Week2</v>
          </cell>
          <cell r="C743">
            <v>44927</v>
          </cell>
        </row>
        <row r="744">
          <cell r="A744">
            <v>44939</v>
          </cell>
          <cell r="B744" t="str">
            <v>Week2</v>
          </cell>
          <cell r="C744">
            <v>44927</v>
          </cell>
        </row>
        <row r="745">
          <cell r="A745">
            <v>44940</v>
          </cell>
          <cell r="B745" t="str">
            <v>Week2</v>
          </cell>
          <cell r="C745">
            <v>44927</v>
          </cell>
        </row>
        <row r="746">
          <cell r="A746">
            <v>44941</v>
          </cell>
          <cell r="B746" t="str">
            <v>Week3</v>
          </cell>
          <cell r="C746">
            <v>44927</v>
          </cell>
        </row>
        <row r="747">
          <cell r="A747">
            <v>44942</v>
          </cell>
          <cell r="B747" t="str">
            <v>Week3</v>
          </cell>
          <cell r="C747">
            <v>44927</v>
          </cell>
        </row>
        <row r="748">
          <cell r="A748">
            <v>44943</v>
          </cell>
          <cell r="B748" t="str">
            <v>Week3</v>
          </cell>
          <cell r="C748">
            <v>44927</v>
          </cell>
        </row>
        <row r="749">
          <cell r="A749">
            <v>44944</v>
          </cell>
          <cell r="B749" t="str">
            <v>Week3</v>
          </cell>
          <cell r="C749">
            <v>44927</v>
          </cell>
        </row>
        <row r="750">
          <cell r="A750">
            <v>44945</v>
          </cell>
          <cell r="B750" t="str">
            <v>Week3</v>
          </cell>
          <cell r="C750">
            <v>44927</v>
          </cell>
        </row>
        <row r="751">
          <cell r="A751">
            <v>44946</v>
          </cell>
          <cell r="B751" t="str">
            <v>Week3</v>
          </cell>
          <cell r="C751">
            <v>44927</v>
          </cell>
        </row>
        <row r="752">
          <cell r="A752">
            <v>44947</v>
          </cell>
          <cell r="B752" t="str">
            <v>Week3</v>
          </cell>
          <cell r="C752">
            <v>44927</v>
          </cell>
        </row>
        <row r="753">
          <cell r="A753">
            <v>44948</v>
          </cell>
          <cell r="B753" t="str">
            <v>Week4</v>
          </cell>
          <cell r="C753">
            <v>44927</v>
          </cell>
        </row>
        <row r="754">
          <cell r="A754">
            <v>44949</v>
          </cell>
          <cell r="B754" t="str">
            <v>Week4</v>
          </cell>
          <cell r="C754">
            <v>44927</v>
          </cell>
        </row>
        <row r="755">
          <cell r="A755">
            <v>44950</v>
          </cell>
          <cell r="B755" t="str">
            <v>Week4</v>
          </cell>
          <cell r="C755">
            <v>44927</v>
          </cell>
        </row>
        <row r="756">
          <cell r="A756">
            <v>44951</v>
          </cell>
          <cell r="B756" t="str">
            <v>Week4</v>
          </cell>
          <cell r="C756">
            <v>44927</v>
          </cell>
        </row>
        <row r="757">
          <cell r="A757">
            <v>44952</v>
          </cell>
          <cell r="B757" t="str">
            <v>Week4</v>
          </cell>
          <cell r="C757">
            <v>44927</v>
          </cell>
        </row>
        <row r="758">
          <cell r="A758">
            <v>44953</v>
          </cell>
          <cell r="B758" t="str">
            <v>Week4</v>
          </cell>
          <cell r="C758">
            <v>44927</v>
          </cell>
        </row>
        <row r="759">
          <cell r="A759">
            <v>44954</v>
          </cell>
          <cell r="B759" t="str">
            <v>Week4</v>
          </cell>
          <cell r="C759">
            <v>44927</v>
          </cell>
        </row>
        <row r="760">
          <cell r="A760">
            <v>44955</v>
          </cell>
          <cell r="B760" t="str">
            <v>Week5</v>
          </cell>
          <cell r="C760">
            <v>44927</v>
          </cell>
        </row>
        <row r="761">
          <cell r="A761">
            <v>44956</v>
          </cell>
          <cell r="B761" t="str">
            <v>Week5</v>
          </cell>
          <cell r="C761">
            <v>44927</v>
          </cell>
        </row>
        <row r="762">
          <cell r="A762">
            <v>44957</v>
          </cell>
          <cell r="B762" t="str">
            <v>Week5</v>
          </cell>
          <cell r="C762">
            <v>44927</v>
          </cell>
        </row>
        <row r="763">
          <cell r="A763">
            <v>44958</v>
          </cell>
          <cell r="B763" t="str">
            <v>Week5</v>
          </cell>
          <cell r="C763">
            <v>44958</v>
          </cell>
        </row>
        <row r="764">
          <cell r="A764">
            <v>44959</v>
          </cell>
          <cell r="B764" t="str">
            <v>Week5</v>
          </cell>
          <cell r="C764">
            <v>44958</v>
          </cell>
        </row>
        <row r="765">
          <cell r="A765">
            <v>44960</v>
          </cell>
          <cell r="B765" t="str">
            <v>Week5</v>
          </cell>
          <cell r="C765">
            <v>44958</v>
          </cell>
        </row>
        <row r="766">
          <cell r="A766">
            <v>44961</v>
          </cell>
          <cell r="B766" t="str">
            <v>Week5</v>
          </cell>
          <cell r="C766">
            <v>44958</v>
          </cell>
        </row>
        <row r="767">
          <cell r="A767">
            <v>44962</v>
          </cell>
          <cell r="B767" t="str">
            <v>Week6</v>
          </cell>
          <cell r="C767">
            <v>44958</v>
          </cell>
        </row>
        <row r="768">
          <cell r="A768">
            <v>44963</v>
          </cell>
          <cell r="B768" t="str">
            <v>Week6</v>
          </cell>
          <cell r="C768">
            <v>44958</v>
          </cell>
        </row>
        <row r="769">
          <cell r="A769">
            <v>44964</v>
          </cell>
          <cell r="B769" t="str">
            <v>Week6</v>
          </cell>
          <cell r="C769">
            <v>44958</v>
          </cell>
        </row>
        <row r="770">
          <cell r="A770">
            <v>44965</v>
          </cell>
          <cell r="B770" t="str">
            <v>Week6</v>
          </cell>
          <cell r="C770">
            <v>44958</v>
          </cell>
        </row>
        <row r="771">
          <cell r="A771">
            <v>44966</v>
          </cell>
          <cell r="B771" t="str">
            <v>Week6</v>
          </cell>
          <cell r="C771">
            <v>44958</v>
          </cell>
        </row>
        <row r="772">
          <cell r="A772">
            <v>44967</v>
          </cell>
          <cell r="B772" t="str">
            <v>Week6</v>
          </cell>
          <cell r="C772">
            <v>44958</v>
          </cell>
        </row>
        <row r="773">
          <cell r="A773">
            <v>44968</v>
          </cell>
          <cell r="B773" t="str">
            <v>Week6</v>
          </cell>
          <cell r="C773">
            <v>44958</v>
          </cell>
        </row>
        <row r="774">
          <cell r="A774">
            <v>44969</v>
          </cell>
          <cell r="B774" t="str">
            <v>Week7</v>
          </cell>
          <cell r="C774">
            <v>44958</v>
          </cell>
        </row>
        <row r="775">
          <cell r="A775">
            <v>44970</v>
          </cell>
          <cell r="B775" t="str">
            <v>Week7</v>
          </cell>
          <cell r="C775">
            <v>44958</v>
          </cell>
        </row>
        <row r="776">
          <cell r="A776">
            <v>44971</v>
          </cell>
          <cell r="B776" t="str">
            <v>Week7</v>
          </cell>
          <cell r="C776">
            <v>44958</v>
          </cell>
        </row>
        <row r="777">
          <cell r="A777">
            <v>44972</v>
          </cell>
          <cell r="B777" t="str">
            <v>Week7</v>
          </cell>
          <cell r="C777">
            <v>44958</v>
          </cell>
        </row>
        <row r="778">
          <cell r="A778">
            <v>44973</v>
          </cell>
          <cell r="B778" t="str">
            <v>Week7</v>
          </cell>
          <cell r="C778">
            <v>44958</v>
          </cell>
        </row>
        <row r="779">
          <cell r="A779">
            <v>44974</v>
          </cell>
          <cell r="B779" t="str">
            <v>Week7</v>
          </cell>
          <cell r="C779">
            <v>44958</v>
          </cell>
        </row>
        <row r="780">
          <cell r="A780">
            <v>44975</v>
          </cell>
          <cell r="B780" t="str">
            <v>Week7</v>
          </cell>
          <cell r="C780">
            <v>44958</v>
          </cell>
        </row>
        <row r="781">
          <cell r="A781">
            <v>44976</v>
          </cell>
          <cell r="B781" t="str">
            <v>Week8</v>
          </cell>
          <cell r="C781">
            <v>44958</v>
          </cell>
        </row>
        <row r="782">
          <cell r="A782">
            <v>44977</v>
          </cell>
          <cell r="B782" t="str">
            <v>Week8</v>
          </cell>
          <cell r="C782">
            <v>44958</v>
          </cell>
        </row>
        <row r="783">
          <cell r="A783">
            <v>44978</v>
          </cell>
          <cell r="B783" t="str">
            <v>Week8</v>
          </cell>
          <cell r="C783">
            <v>44958</v>
          </cell>
        </row>
        <row r="784">
          <cell r="A784">
            <v>44979</v>
          </cell>
          <cell r="B784" t="str">
            <v>Week8</v>
          </cell>
          <cell r="C784">
            <v>44958</v>
          </cell>
        </row>
        <row r="785">
          <cell r="A785">
            <v>44980</v>
          </cell>
          <cell r="B785" t="str">
            <v>Week8</v>
          </cell>
          <cell r="C785">
            <v>44958</v>
          </cell>
        </row>
        <row r="786">
          <cell r="A786">
            <v>44981</v>
          </cell>
          <cell r="B786" t="str">
            <v>Week8</v>
          </cell>
          <cell r="C786">
            <v>44958</v>
          </cell>
        </row>
        <row r="787">
          <cell r="A787">
            <v>44982</v>
          </cell>
          <cell r="B787" t="str">
            <v>Week8</v>
          </cell>
          <cell r="C787">
            <v>44958</v>
          </cell>
        </row>
        <row r="788">
          <cell r="A788">
            <v>44983</v>
          </cell>
          <cell r="B788" t="str">
            <v>Week9</v>
          </cell>
          <cell r="C788">
            <v>44958</v>
          </cell>
        </row>
        <row r="789">
          <cell r="A789">
            <v>44984</v>
          </cell>
          <cell r="B789" t="str">
            <v>Week9</v>
          </cell>
          <cell r="C789">
            <v>44958</v>
          </cell>
        </row>
        <row r="790">
          <cell r="A790">
            <v>44985</v>
          </cell>
          <cell r="B790" t="str">
            <v>Week9</v>
          </cell>
          <cell r="C790">
            <v>44958</v>
          </cell>
        </row>
        <row r="791">
          <cell r="A791">
            <v>44986</v>
          </cell>
          <cell r="B791" t="str">
            <v>Week9</v>
          </cell>
          <cell r="C791">
            <v>44986</v>
          </cell>
        </row>
        <row r="792">
          <cell r="A792">
            <v>44987</v>
          </cell>
          <cell r="B792" t="str">
            <v>Week9</v>
          </cell>
          <cell r="C792">
            <v>44986</v>
          </cell>
        </row>
        <row r="793">
          <cell r="A793">
            <v>44988</v>
          </cell>
          <cell r="B793" t="str">
            <v>Week9</v>
          </cell>
          <cell r="C793">
            <v>44986</v>
          </cell>
        </row>
        <row r="794">
          <cell r="A794">
            <v>44989</v>
          </cell>
          <cell r="B794" t="str">
            <v>Week9</v>
          </cell>
          <cell r="C794">
            <v>44986</v>
          </cell>
        </row>
        <row r="795">
          <cell r="A795">
            <v>44990</v>
          </cell>
          <cell r="B795" t="str">
            <v>Week10</v>
          </cell>
          <cell r="C795">
            <v>44986</v>
          </cell>
        </row>
        <row r="796">
          <cell r="A796">
            <v>44991</v>
          </cell>
          <cell r="B796" t="str">
            <v>Week10</v>
          </cell>
          <cell r="C796">
            <v>44986</v>
          </cell>
        </row>
        <row r="797">
          <cell r="A797">
            <v>44992</v>
          </cell>
          <cell r="B797" t="str">
            <v>Week10</v>
          </cell>
          <cell r="C797">
            <v>44986</v>
          </cell>
        </row>
        <row r="798">
          <cell r="A798">
            <v>44993</v>
          </cell>
          <cell r="B798" t="str">
            <v>Week10</v>
          </cell>
          <cell r="C798">
            <v>44986</v>
          </cell>
        </row>
        <row r="799">
          <cell r="A799">
            <v>44994</v>
          </cell>
          <cell r="B799" t="str">
            <v>Week10</v>
          </cell>
          <cell r="C799">
            <v>44986</v>
          </cell>
        </row>
        <row r="800">
          <cell r="A800">
            <v>44995</v>
          </cell>
          <cell r="B800" t="str">
            <v>Week10</v>
          </cell>
          <cell r="C800">
            <v>44986</v>
          </cell>
        </row>
        <row r="801">
          <cell r="A801">
            <v>44996</v>
          </cell>
          <cell r="B801" t="str">
            <v>Week10</v>
          </cell>
          <cell r="C801">
            <v>44986</v>
          </cell>
        </row>
        <row r="802">
          <cell r="A802">
            <v>44997</v>
          </cell>
          <cell r="B802" t="str">
            <v>Week11</v>
          </cell>
          <cell r="C802">
            <v>44986</v>
          </cell>
        </row>
        <row r="803">
          <cell r="A803">
            <v>44998</v>
          </cell>
          <cell r="B803" t="str">
            <v>Week11</v>
          </cell>
          <cell r="C803">
            <v>44986</v>
          </cell>
        </row>
        <row r="804">
          <cell r="A804">
            <v>44999</v>
          </cell>
          <cell r="B804" t="str">
            <v>Week11</v>
          </cell>
          <cell r="C804">
            <v>44986</v>
          </cell>
        </row>
        <row r="805">
          <cell r="A805">
            <v>45000</v>
          </cell>
          <cell r="B805" t="str">
            <v>Week11</v>
          </cell>
          <cell r="C805">
            <v>44986</v>
          </cell>
        </row>
        <row r="806">
          <cell r="A806">
            <v>45001</v>
          </cell>
          <cell r="B806" t="str">
            <v>Week11</v>
          </cell>
          <cell r="C806">
            <v>44986</v>
          </cell>
        </row>
        <row r="807">
          <cell r="A807">
            <v>45002</v>
          </cell>
          <cell r="B807" t="str">
            <v>Week11</v>
          </cell>
          <cell r="C807">
            <v>44986</v>
          </cell>
        </row>
        <row r="808">
          <cell r="A808">
            <v>45003</v>
          </cell>
          <cell r="B808" t="str">
            <v>Week11</v>
          </cell>
          <cell r="C808">
            <v>44986</v>
          </cell>
        </row>
        <row r="809">
          <cell r="A809">
            <v>45004</v>
          </cell>
          <cell r="B809" t="str">
            <v>Week12</v>
          </cell>
          <cell r="C809">
            <v>44986</v>
          </cell>
        </row>
        <row r="810">
          <cell r="A810">
            <v>45005</v>
          </cell>
          <cell r="B810" t="str">
            <v>Week12</v>
          </cell>
          <cell r="C810">
            <v>44986</v>
          </cell>
        </row>
        <row r="811">
          <cell r="A811">
            <v>45006</v>
          </cell>
          <cell r="B811" t="str">
            <v>Week12</v>
          </cell>
          <cell r="C811">
            <v>44986</v>
          </cell>
        </row>
        <row r="812">
          <cell r="A812">
            <v>45007</v>
          </cell>
          <cell r="B812" t="str">
            <v>Week12</v>
          </cell>
          <cell r="C812">
            <v>44986</v>
          </cell>
        </row>
        <row r="813">
          <cell r="A813">
            <v>45008</v>
          </cell>
          <cell r="B813" t="str">
            <v>Week12</v>
          </cell>
          <cell r="C813">
            <v>44986</v>
          </cell>
        </row>
        <row r="814">
          <cell r="A814">
            <v>45009</v>
          </cell>
          <cell r="B814" t="str">
            <v>Week12</v>
          </cell>
          <cell r="C814">
            <v>44986</v>
          </cell>
        </row>
        <row r="815">
          <cell r="A815">
            <v>45010</v>
          </cell>
          <cell r="B815" t="str">
            <v>Week12</v>
          </cell>
          <cell r="C815">
            <v>44986</v>
          </cell>
        </row>
        <row r="816">
          <cell r="A816">
            <v>45011</v>
          </cell>
          <cell r="B816" t="str">
            <v>Week13</v>
          </cell>
          <cell r="C816">
            <v>44986</v>
          </cell>
        </row>
        <row r="817">
          <cell r="A817">
            <v>45012</v>
          </cell>
          <cell r="B817" t="str">
            <v>Week13</v>
          </cell>
          <cell r="C817">
            <v>44986</v>
          </cell>
        </row>
        <row r="818">
          <cell r="A818">
            <v>45013</v>
          </cell>
          <cell r="B818" t="str">
            <v>Week13</v>
          </cell>
          <cell r="C818">
            <v>44986</v>
          </cell>
        </row>
        <row r="819">
          <cell r="A819">
            <v>45014</v>
          </cell>
          <cell r="B819" t="str">
            <v>Week13</v>
          </cell>
          <cell r="C819">
            <v>44986</v>
          </cell>
        </row>
        <row r="820">
          <cell r="A820">
            <v>45015</v>
          </cell>
          <cell r="B820" t="str">
            <v>Week13</v>
          </cell>
          <cell r="C820">
            <v>44986</v>
          </cell>
        </row>
        <row r="821">
          <cell r="A821">
            <v>45016</v>
          </cell>
          <cell r="B821" t="str">
            <v>Week13</v>
          </cell>
          <cell r="C821">
            <v>44986</v>
          </cell>
        </row>
        <row r="822">
          <cell r="A822">
            <v>45017</v>
          </cell>
          <cell r="B822" t="str">
            <v>Week13</v>
          </cell>
          <cell r="C822">
            <v>45017</v>
          </cell>
        </row>
        <row r="823">
          <cell r="A823">
            <v>45018</v>
          </cell>
          <cell r="B823" t="str">
            <v>Week14</v>
          </cell>
          <cell r="C823">
            <v>45017</v>
          </cell>
        </row>
        <row r="824">
          <cell r="A824">
            <v>45019</v>
          </cell>
          <cell r="B824" t="str">
            <v>Week14</v>
          </cell>
          <cell r="C824">
            <v>45017</v>
          </cell>
        </row>
        <row r="825">
          <cell r="A825">
            <v>45020</v>
          </cell>
          <cell r="B825" t="str">
            <v>Week14</v>
          </cell>
          <cell r="C825">
            <v>45017</v>
          </cell>
        </row>
        <row r="826">
          <cell r="A826">
            <v>45021</v>
          </cell>
          <cell r="B826" t="str">
            <v>Week14</v>
          </cell>
          <cell r="C826">
            <v>45017</v>
          </cell>
        </row>
        <row r="827">
          <cell r="A827">
            <v>45022</v>
          </cell>
          <cell r="B827" t="str">
            <v>Week14</v>
          </cell>
          <cell r="C827">
            <v>45017</v>
          </cell>
        </row>
        <row r="828">
          <cell r="A828">
            <v>45023</v>
          </cell>
          <cell r="B828" t="str">
            <v>Week14</v>
          </cell>
          <cell r="C828">
            <v>45017</v>
          </cell>
        </row>
        <row r="829">
          <cell r="A829">
            <v>45024</v>
          </cell>
          <cell r="B829" t="str">
            <v>Week14</v>
          </cell>
          <cell r="C829">
            <v>45017</v>
          </cell>
        </row>
        <row r="830">
          <cell r="A830">
            <v>45025</v>
          </cell>
          <cell r="B830" t="str">
            <v>Week15</v>
          </cell>
          <cell r="C830">
            <v>45017</v>
          </cell>
        </row>
        <row r="831">
          <cell r="A831">
            <v>45026</v>
          </cell>
          <cell r="B831" t="str">
            <v>Week15</v>
          </cell>
          <cell r="C831">
            <v>45017</v>
          </cell>
        </row>
        <row r="832">
          <cell r="A832">
            <v>45027</v>
          </cell>
          <cell r="B832" t="str">
            <v>Week15</v>
          </cell>
          <cell r="C832">
            <v>45017</v>
          </cell>
        </row>
        <row r="833">
          <cell r="A833">
            <v>45028</v>
          </cell>
          <cell r="B833" t="str">
            <v>Week15</v>
          </cell>
          <cell r="C833">
            <v>45017</v>
          </cell>
        </row>
        <row r="834">
          <cell r="A834">
            <v>45029</v>
          </cell>
          <cell r="B834" t="str">
            <v>Week15</v>
          </cell>
          <cell r="C834">
            <v>45017</v>
          </cell>
        </row>
        <row r="835">
          <cell r="A835">
            <v>45030</v>
          </cell>
          <cell r="B835" t="str">
            <v>Week15</v>
          </cell>
          <cell r="C835">
            <v>45017</v>
          </cell>
        </row>
        <row r="836">
          <cell r="A836">
            <v>45031</v>
          </cell>
          <cell r="B836" t="str">
            <v>Week15</v>
          </cell>
          <cell r="C836">
            <v>45017</v>
          </cell>
        </row>
        <row r="837">
          <cell r="A837">
            <v>45032</v>
          </cell>
          <cell r="B837" t="str">
            <v>Week16</v>
          </cell>
          <cell r="C837">
            <v>45017</v>
          </cell>
        </row>
        <row r="838">
          <cell r="A838">
            <v>45033</v>
          </cell>
          <cell r="B838" t="str">
            <v>Week16</v>
          </cell>
          <cell r="C838">
            <v>45017</v>
          </cell>
        </row>
        <row r="839">
          <cell r="A839">
            <v>45034</v>
          </cell>
          <cell r="B839" t="str">
            <v>Week16</v>
          </cell>
          <cell r="C839">
            <v>45017</v>
          </cell>
        </row>
        <row r="840">
          <cell r="A840">
            <v>45035</v>
          </cell>
          <cell r="B840" t="str">
            <v>Week16</v>
          </cell>
          <cell r="C840">
            <v>45017</v>
          </cell>
        </row>
        <row r="841">
          <cell r="A841">
            <v>45036</v>
          </cell>
          <cell r="B841" t="str">
            <v>Week16</v>
          </cell>
          <cell r="C841">
            <v>45017</v>
          </cell>
        </row>
        <row r="842">
          <cell r="A842">
            <v>45037</v>
          </cell>
          <cell r="B842" t="str">
            <v>Week16</v>
          </cell>
          <cell r="C842">
            <v>45017</v>
          </cell>
        </row>
        <row r="843">
          <cell r="A843">
            <v>45038</v>
          </cell>
          <cell r="B843" t="str">
            <v>Week16</v>
          </cell>
          <cell r="C843">
            <v>45017</v>
          </cell>
        </row>
        <row r="844">
          <cell r="A844">
            <v>45039</v>
          </cell>
          <cell r="B844" t="str">
            <v>Week17</v>
          </cell>
          <cell r="C844">
            <v>45017</v>
          </cell>
        </row>
        <row r="845">
          <cell r="A845">
            <v>45040</v>
          </cell>
          <cell r="B845" t="str">
            <v>Week17</v>
          </cell>
          <cell r="C845">
            <v>45017</v>
          </cell>
        </row>
        <row r="846">
          <cell r="A846">
            <v>45041</v>
          </cell>
          <cell r="B846" t="str">
            <v>Week17</v>
          </cell>
          <cell r="C846">
            <v>45017</v>
          </cell>
        </row>
        <row r="847">
          <cell r="A847">
            <v>45042</v>
          </cell>
          <cell r="B847" t="str">
            <v>Week17</v>
          </cell>
          <cell r="C847">
            <v>45017</v>
          </cell>
        </row>
        <row r="848">
          <cell r="A848">
            <v>45043</v>
          </cell>
          <cell r="B848" t="str">
            <v>Week17</v>
          </cell>
          <cell r="C848">
            <v>45017</v>
          </cell>
        </row>
        <row r="849">
          <cell r="A849">
            <v>45044</v>
          </cell>
          <cell r="B849" t="str">
            <v>Week17</v>
          </cell>
          <cell r="C849">
            <v>45017</v>
          </cell>
        </row>
        <row r="850">
          <cell r="A850">
            <v>45045</v>
          </cell>
          <cell r="B850" t="str">
            <v>Week17</v>
          </cell>
          <cell r="C850">
            <v>45017</v>
          </cell>
        </row>
        <row r="851">
          <cell r="A851">
            <v>45046</v>
          </cell>
          <cell r="B851" t="str">
            <v>Week18</v>
          </cell>
          <cell r="C851">
            <v>45017</v>
          </cell>
        </row>
        <row r="852">
          <cell r="A852">
            <v>45047</v>
          </cell>
          <cell r="B852" t="str">
            <v>Week18</v>
          </cell>
          <cell r="C852">
            <v>45047</v>
          </cell>
        </row>
        <row r="853">
          <cell r="A853">
            <v>45048</v>
          </cell>
          <cell r="B853" t="str">
            <v>Week18</v>
          </cell>
          <cell r="C853">
            <v>45047</v>
          </cell>
        </row>
        <row r="854">
          <cell r="A854">
            <v>45049</v>
          </cell>
          <cell r="B854" t="str">
            <v>Week18</v>
          </cell>
          <cell r="C854">
            <v>45047</v>
          </cell>
        </row>
        <row r="855">
          <cell r="A855">
            <v>45050</v>
          </cell>
          <cell r="B855" t="str">
            <v>Week18</v>
          </cell>
          <cell r="C855">
            <v>45047</v>
          </cell>
        </row>
        <row r="856">
          <cell r="A856">
            <v>45051</v>
          </cell>
          <cell r="B856" t="str">
            <v>Week18</v>
          </cell>
          <cell r="C856">
            <v>45047</v>
          </cell>
        </row>
        <row r="857">
          <cell r="A857">
            <v>45052</v>
          </cell>
          <cell r="B857" t="str">
            <v>Week18</v>
          </cell>
          <cell r="C857">
            <v>45047</v>
          </cell>
        </row>
        <row r="858">
          <cell r="A858">
            <v>45053</v>
          </cell>
          <cell r="B858" t="str">
            <v>Week19</v>
          </cell>
          <cell r="C858">
            <v>45047</v>
          </cell>
        </row>
        <row r="859">
          <cell r="A859">
            <v>45054</v>
          </cell>
          <cell r="B859" t="str">
            <v>Week19</v>
          </cell>
          <cell r="C859">
            <v>45047</v>
          </cell>
        </row>
        <row r="860">
          <cell r="A860">
            <v>45055</v>
          </cell>
          <cell r="B860" t="str">
            <v>Week19</v>
          </cell>
          <cell r="C860">
            <v>45047</v>
          </cell>
        </row>
        <row r="861">
          <cell r="A861">
            <v>45056</v>
          </cell>
          <cell r="B861" t="str">
            <v>Week19</v>
          </cell>
          <cell r="C861">
            <v>45047</v>
          </cell>
        </row>
        <row r="862">
          <cell r="A862">
            <v>45057</v>
          </cell>
          <cell r="B862" t="str">
            <v>Week19</v>
          </cell>
          <cell r="C862">
            <v>45047</v>
          </cell>
        </row>
        <row r="863">
          <cell r="A863">
            <v>45058</v>
          </cell>
          <cell r="B863" t="str">
            <v>Week19</v>
          </cell>
          <cell r="C863">
            <v>45047</v>
          </cell>
        </row>
        <row r="864">
          <cell r="A864">
            <v>45059</v>
          </cell>
          <cell r="B864" t="str">
            <v>Week19</v>
          </cell>
          <cell r="C864">
            <v>45047</v>
          </cell>
        </row>
        <row r="865">
          <cell r="A865">
            <v>45060</v>
          </cell>
          <cell r="B865" t="str">
            <v>Week20</v>
          </cell>
          <cell r="C865">
            <v>45047</v>
          </cell>
        </row>
        <row r="866">
          <cell r="A866">
            <v>45061</v>
          </cell>
          <cell r="B866" t="str">
            <v>Week20</v>
          </cell>
          <cell r="C866">
            <v>45047</v>
          </cell>
        </row>
        <row r="867">
          <cell r="A867">
            <v>45062</v>
          </cell>
          <cell r="B867" t="str">
            <v>Week20</v>
          </cell>
          <cell r="C867">
            <v>45047</v>
          </cell>
        </row>
        <row r="868">
          <cell r="A868">
            <v>45063</v>
          </cell>
          <cell r="B868" t="str">
            <v>Week20</v>
          </cell>
          <cell r="C868">
            <v>45047</v>
          </cell>
        </row>
        <row r="869">
          <cell r="A869">
            <v>45064</v>
          </cell>
          <cell r="B869" t="str">
            <v>Week20</v>
          </cell>
          <cell r="C869">
            <v>45047</v>
          </cell>
        </row>
        <row r="870">
          <cell r="A870">
            <v>45065</v>
          </cell>
          <cell r="B870" t="str">
            <v>Week20</v>
          </cell>
          <cell r="C870">
            <v>45047</v>
          </cell>
        </row>
        <row r="871">
          <cell r="A871">
            <v>45066</v>
          </cell>
          <cell r="B871" t="str">
            <v>Week20</v>
          </cell>
          <cell r="C871">
            <v>45047</v>
          </cell>
        </row>
        <row r="872">
          <cell r="A872">
            <v>45067</v>
          </cell>
          <cell r="B872" t="str">
            <v>Week21</v>
          </cell>
          <cell r="C872">
            <v>45047</v>
          </cell>
        </row>
        <row r="873">
          <cell r="A873">
            <v>45068</v>
          </cell>
          <cell r="B873" t="str">
            <v>Week21</v>
          </cell>
          <cell r="C873">
            <v>45047</v>
          </cell>
        </row>
        <row r="874">
          <cell r="A874">
            <v>45069</v>
          </cell>
          <cell r="B874" t="str">
            <v>Week21</v>
          </cell>
          <cell r="C874">
            <v>45047</v>
          </cell>
        </row>
        <row r="875">
          <cell r="A875">
            <v>45070</v>
          </cell>
          <cell r="B875" t="str">
            <v>Week21</v>
          </cell>
          <cell r="C875">
            <v>45047</v>
          </cell>
        </row>
        <row r="876">
          <cell r="A876">
            <v>45071</v>
          </cell>
          <cell r="B876" t="str">
            <v>Week21</v>
          </cell>
          <cell r="C876">
            <v>45047</v>
          </cell>
        </row>
        <row r="877">
          <cell r="A877">
            <v>45072</v>
          </cell>
          <cell r="B877" t="str">
            <v>Week21</v>
          </cell>
          <cell r="C877">
            <v>45047</v>
          </cell>
        </row>
        <row r="878">
          <cell r="A878">
            <v>45073</v>
          </cell>
          <cell r="B878" t="str">
            <v>Week21</v>
          </cell>
          <cell r="C878">
            <v>45047</v>
          </cell>
        </row>
        <row r="879">
          <cell r="A879">
            <v>45074</v>
          </cell>
          <cell r="B879" t="str">
            <v>Week22</v>
          </cell>
          <cell r="C879">
            <v>45047</v>
          </cell>
        </row>
        <row r="880">
          <cell r="A880">
            <v>45075</v>
          </cell>
          <cell r="B880" t="str">
            <v>Week22</v>
          </cell>
          <cell r="C880">
            <v>45047</v>
          </cell>
        </row>
        <row r="881">
          <cell r="A881">
            <v>45076</v>
          </cell>
          <cell r="B881" t="str">
            <v>Week22</v>
          </cell>
          <cell r="C881">
            <v>45047</v>
          </cell>
        </row>
        <row r="882">
          <cell r="A882">
            <v>45077</v>
          </cell>
          <cell r="B882" t="str">
            <v>Week22</v>
          </cell>
          <cell r="C882">
            <v>45047</v>
          </cell>
        </row>
        <row r="883">
          <cell r="A883">
            <v>45078</v>
          </cell>
          <cell r="B883" t="str">
            <v>Week22</v>
          </cell>
          <cell r="C883">
            <v>45078</v>
          </cell>
        </row>
        <row r="884">
          <cell r="A884">
            <v>45079</v>
          </cell>
          <cell r="B884" t="str">
            <v>Week22</v>
          </cell>
          <cell r="C884">
            <v>45078</v>
          </cell>
        </row>
        <row r="885">
          <cell r="A885">
            <v>45080</v>
          </cell>
          <cell r="B885" t="str">
            <v>Week22</v>
          </cell>
          <cell r="C885">
            <v>45078</v>
          </cell>
        </row>
        <row r="886">
          <cell r="A886">
            <v>45081</v>
          </cell>
          <cell r="B886" t="str">
            <v>Week23</v>
          </cell>
          <cell r="C886">
            <v>45078</v>
          </cell>
        </row>
        <row r="887">
          <cell r="A887">
            <v>45082</v>
          </cell>
          <cell r="B887" t="str">
            <v>Week23</v>
          </cell>
          <cell r="C887">
            <v>45078</v>
          </cell>
        </row>
        <row r="888">
          <cell r="A888">
            <v>45083</v>
          </cell>
          <cell r="B888" t="str">
            <v>Week23</v>
          </cell>
          <cell r="C888">
            <v>45078</v>
          </cell>
        </row>
        <row r="889">
          <cell r="A889">
            <v>45084</v>
          </cell>
          <cell r="B889" t="str">
            <v>Week23</v>
          </cell>
          <cell r="C889">
            <v>45078</v>
          </cell>
        </row>
        <row r="890">
          <cell r="A890">
            <v>45085</v>
          </cell>
          <cell r="B890" t="str">
            <v>Week23</v>
          </cell>
          <cell r="C890">
            <v>45078</v>
          </cell>
        </row>
        <row r="891">
          <cell r="A891">
            <v>45086</v>
          </cell>
          <cell r="B891" t="str">
            <v>Week23</v>
          </cell>
          <cell r="C891">
            <v>45078</v>
          </cell>
        </row>
        <row r="892">
          <cell r="A892">
            <v>45087</v>
          </cell>
          <cell r="B892" t="str">
            <v>Week23</v>
          </cell>
          <cell r="C892">
            <v>45078</v>
          </cell>
        </row>
        <row r="893">
          <cell r="A893">
            <v>45088</v>
          </cell>
          <cell r="B893" t="str">
            <v>Week24</v>
          </cell>
          <cell r="C893">
            <v>45078</v>
          </cell>
        </row>
        <row r="894">
          <cell r="A894">
            <v>45089</v>
          </cell>
          <cell r="B894" t="str">
            <v>Week24</v>
          </cell>
          <cell r="C894">
            <v>45078</v>
          </cell>
        </row>
        <row r="895">
          <cell r="A895">
            <v>45090</v>
          </cell>
          <cell r="B895" t="str">
            <v>Week24</v>
          </cell>
          <cell r="C895">
            <v>45078</v>
          </cell>
        </row>
        <row r="896">
          <cell r="A896">
            <v>45091</v>
          </cell>
          <cell r="B896" t="str">
            <v>Week24</v>
          </cell>
          <cell r="C896">
            <v>45078</v>
          </cell>
        </row>
        <row r="897">
          <cell r="A897">
            <v>45092</v>
          </cell>
          <cell r="B897" t="str">
            <v>Week24</v>
          </cell>
          <cell r="C897">
            <v>45078</v>
          </cell>
        </row>
        <row r="898">
          <cell r="A898">
            <v>45093</v>
          </cell>
          <cell r="B898" t="str">
            <v>Week24</v>
          </cell>
          <cell r="C898">
            <v>45078</v>
          </cell>
        </row>
        <row r="899">
          <cell r="A899">
            <v>45094</v>
          </cell>
          <cell r="B899" t="str">
            <v>Week24</v>
          </cell>
          <cell r="C899">
            <v>45078</v>
          </cell>
        </row>
        <row r="900">
          <cell r="A900">
            <v>45095</v>
          </cell>
          <cell r="B900" t="str">
            <v>Week25</v>
          </cell>
          <cell r="C900">
            <v>45078</v>
          </cell>
        </row>
        <row r="901">
          <cell r="A901">
            <v>45096</v>
          </cell>
          <cell r="B901" t="str">
            <v>Week25</v>
          </cell>
          <cell r="C901">
            <v>45078</v>
          </cell>
        </row>
        <row r="902">
          <cell r="A902">
            <v>45097</v>
          </cell>
          <cell r="B902" t="str">
            <v>Week25</v>
          </cell>
          <cell r="C902">
            <v>45078</v>
          </cell>
        </row>
        <row r="903">
          <cell r="A903">
            <v>45098</v>
          </cell>
          <cell r="B903" t="str">
            <v>Week25</v>
          </cell>
          <cell r="C903">
            <v>45078</v>
          </cell>
        </row>
        <row r="904">
          <cell r="A904">
            <v>45099</v>
          </cell>
          <cell r="B904" t="str">
            <v>Week25</v>
          </cell>
          <cell r="C904">
            <v>45078</v>
          </cell>
        </row>
        <row r="905">
          <cell r="A905">
            <v>45100</v>
          </cell>
          <cell r="B905" t="str">
            <v>Week25</v>
          </cell>
          <cell r="C905">
            <v>45078</v>
          </cell>
        </row>
        <row r="906">
          <cell r="A906">
            <v>45101</v>
          </cell>
          <cell r="B906" t="str">
            <v>Week25</v>
          </cell>
          <cell r="C906">
            <v>45078</v>
          </cell>
        </row>
        <row r="907">
          <cell r="A907">
            <v>45102</v>
          </cell>
          <cell r="B907" t="str">
            <v>Week26</v>
          </cell>
          <cell r="C907">
            <v>45078</v>
          </cell>
        </row>
        <row r="908">
          <cell r="A908">
            <v>45103</v>
          </cell>
          <cell r="B908" t="str">
            <v>Week26</v>
          </cell>
          <cell r="C908">
            <v>45078</v>
          </cell>
        </row>
        <row r="909">
          <cell r="A909">
            <v>45104</v>
          </cell>
          <cell r="B909" t="str">
            <v>Week26</v>
          </cell>
          <cell r="C909">
            <v>45078</v>
          </cell>
        </row>
        <row r="910">
          <cell r="A910">
            <v>45105</v>
          </cell>
          <cell r="B910" t="str">
            <v>Week26</v>
          </cell>
          <cell r="C910">
            <v>45078</v>
          </cell>
        </row>
        <row r="911">
          <cell r="A911">
            <v>45106</v>
          </cell>
          <cell r="B911" t="str">
            <v>Week26</v>
          </cell>
          <cell r="C911">
            <v>45078</v>
          </cell>
        </row>
        <row r="912">
          <cell r="A912">
            <v>45107</v>
          </cell>
          <cell r="B912" t="str">
            <v>Week26</v>
          </cell>
          <cell r="C912">
            <v>45078</v>
          </cell>
        </row>
        <row r="913">
          <cell r="A913">
            <v>45108</v>
          </cell>
          <cell r="B913" t="str">
            <v>Week26</v>
          </cell>
          <cell r="C913">
            <v>45108</v>
          </cell>
        </row>
        <row r="914">
          <cell r="A914">
            <v>45109</v>
          </cell>
          <cell r="B914" t="str">
            <v>Week27</v>
          </cell>
          <cell r="C914">
            <v>45108</v>
          </cell>
        </row>
        <row r="915">
          <cell r="A915">
            <v>45110</v>
          </cell>
          <cell r="B915" t="str">
            <v>Week27</v>
          </cell>
          <cell r="C915">
            <v>45108</v>
          </cell>
        </row>
        <row r="916">
          <cell r="A916">
            <v>45111</v>
          </cell>
          <cell r="B916" t="str">
            <v>Week27</v>
          </cell>
          <cell r="C916">
            <v>45108</v>
          </cell>
        </row>
        <row r="917">
          <cell r="A917">
            <v>45112</v>
          </cell>
          <cell r="B917" t="str">
            <v>Week27</v>
          </cell>
          <cell r="C917">
            <v>45108</v>
          </cell>
        </row>
        <row r="918">
          <cell r="A918">
            <v>45113</v>
          </cell>
          <cell r="B918" t="str">
            <v>Week27</v>
          </cell>
          <cell r="C918">
            <v>45108</v>
          </cell>
        </row>
        <row r="919">
          <cell r="A919">
            <v>45114</v>
          </cell>
          <cell r="B919" t="str">
            <v>Week27</v>
          </cell>
          <cell r="C919">
            <v>45108</v>
          </cell>
        </row>
        <row r="920">
          <cell r="A920">
            <v>45115</v>
          </cell>
          <cell r="B920" t="str">
            <v>Week27</v>
          </cell>
          <cell r="C920">
            <v>45108</v>
          </cell>
        </row>
        <row r="921">
          <cell r="A921">
            <v>45116</v>
          </cell>
          <cell r="B921" t="str">
            <v>Week28</v>
          </cell>
          <cell r="C921">
            <v>45108</v>
          </cell>
        </row>
        <row r="922">
          <cell r="A922">
            <v>45117</v>
          </cell>
          <cell r="B922" t="str">
            <v>Week28</v>
          </cell>
          <cell r="C922">
            <v>45108</v>
          </cell>
        </row>
        <row r="923">
          <cell r="A923">
            <v>45118</v>
          </cell>
          <cell r="B923" t="str">
            <v>Week28</v>
          </cell>
          <cell r="C923">
            <v>45108</v>
          </cell>
        </row>
        <row r="924">
          <cell r="A924">
            <v>45119</v>
          </cell>
          <cell r="B924" t="str">
            <v>Week28</v>
          </cell>
          <cell r="C924">
            <v>45108</v>
          </cell>
        </row>
        <row r="925">
          <cell r="A925">
            <v>45120</v>
          </cell>
          <cell r="B925" t="str">
            <v>Week28</v>
          </cell>
          <cell r="C925">
            <v>45108</v>
          </cell>
        </row>
        <row r="926">
          <cell r="A926">
            <v>45121</v>
          </cell>
          <cell r="B926" t="str">
            <v>Week28</v>
          </cell>
          <cell r="C926">
            <v>45108</v>
          </cell>
        </row>
        <row r="927">
          <cell r="A927">
            <v>45122</v>
          </cell>
          <cell r="B927" t="str">
            <v>Week28</v>
          </cell>
          <cell r="C927">
            <v>45108</v>
          </cell>
        </row>
        <row r="928">
          <cell r="A928">
            <v>45123</v>
          </cell>
          <cell r="B928" t="str">
            <v>Week29</v>
          </cell>
          <cell r="C928">
            <v>45108</v>
          </cell>
        </row>
        <row r="929">
          <cell r="A929">
            <v>45124</v>
          </cell>
          <cell r="B929" t="str">
            <v>Week29</v>
          </cell>
          <cell r="C929">
            <v>45108</v>
          </cell>
        </row>
        <row r="930">
          <cell r="A930">
            <v>45125</v>
          </cell>
          <cell r="B930" t="str">
            <v>Week29</v>
          </cell>
          <cell r="C930">
            <v>45108</v>
          </cell>
        </row>
        <row r="931">
          <cell r="A931">
            <v>45126</v>
          </cell>
          <cell r="B931" t="str">
            <v>Week29</v>
          </cell>
          <cell r="C931">
            <v>45108</v>
          </cell>
        </row>
        <row r="932">
          <cell r="A932">
            <v>45127</v>
          </cell>
          <cell r="B932" t="str">
            <v>Week29</v>
          </cell>
          <cell r="C932">
            <v>45108</v>
          </cell>
        </row>
        <row r="933">
          <cell r="A933">
            <v>45128</v>
          </cell>
          <cell r="B933" t="str">
            <v>Week29</v>
          </cell>
          <cell r="C933">
            <v>45108</v>
          </cell>
        </row>
        <row r="934">
          <cell r="A934">
            <v>45129</v>
          </cell>
          <cell r="B934" t="str">
            <v>Week29</v>
          </cell>
          <cell r="C934">
            <v>45108</v>
          </cell>
        </row>
        <row r="935">
          <cell r="A935">
            <v>45130</v>
          </cell>
          <cell r="B935" t="str">
            <v>Week30</v>
          </cell>
          <cell r="C935">
            <v>45108</v>
          </cell>
        </row>
        <row r="936">
          <cell r="A936">
            <v>45131</v>
          </cell>
          <cell r="B936" t="str">
            <v>Week30</v>
          </cell>
          <cell r="C936">
            <v>45108</v>
          </cell>
        </row>
        <row r="937">
          <cell r="A937">
            <v>45132</v>
          </cell>
          <cell r="B937" t="str">
            <v>Week30</v>
          </cell>
          <cell r="C937">
            <v>45108</v>
          </cell>
        </row>
        <row r="938">
          <cell r="A938">
            <v>45133</v>
          </cell>
          <cell r="B938" t="str">
            <v>Week30</v>
          </cell>
          <cell r="C938">
            <v>45108</v>
          </cell>
        </row>
        <row r="939">
          <cell r="A939">
            <v>45134</v>
          </cell>
          <cell r="B939" t="str">
            <v>Week30</v>
          </cell>
          <cell r="C939">
            <v>45108</v>
          </cell>
        </row>
        <row r="940">
          <cell r="A940">
            <v>45135</v>
          </cell>
          <cell r="B940" t="str">
            <v>Week30</v>
          </cell>
          <cell r="C940">
            <v>45108</v>
          </cell>
        </row>
        <row r="941">
          <cell r="A941">
            <v>45136</v>
          </cell>
          <cell r="B941" t="str">
            <v>Week30</v>
          </cell>
          <cell r="C941">
            <v>45108</v>
          </cell>
        </row>
        <row r="942">
          <cell r="A942">
            <v>45137</v>
          </cell>
          <cell r="B942" t="str">
            <v>Week31</v>
          </cell>
          <cell r="C942">
            <v>45108</v>
          </cell>
        </row>
        <row r="943">
          <cell r="A943">
            <v>45138</v>
          </cell>
          <cell r="B943" t="str">
            <v>Week31</v>
          </cell>
          <cell r="C943">
            <v>45108</v>
          </cell>
        </row>
        <row r="944">
          <cell r="A944">
            <v>45139</v>
          </cell>
          <cell r="B944" t="str">
            <v>Week31</v>
          </cell>
          <cell r="C944">
            <v>45139</v>
          </cell>
        </row>
        <row r="945">
          <cell r="A945">
            <v>45140</v>
          </cell>
          <cell r="B945" t="str">
            <v>Week31</v>
          </cell>
          <cell r="C945">
            <v>45139</v>
          </cell>
        </row>
        <row r="946">
          <cell r="A946">
            <v>45141</v>
          </cell>
          <cell r="B946" t="str">
            <v>Week31</v>
          </cell>
          <cell r="C946">
            <v>45139</v>
          </cell>
        </row>
        <row r="947">
          <cell r="A947">
            <v>45142</v>
          </cell>
          <cell r="B947" t="str">
            <v>Week31</v>
          </cell>
          <cell r="C947">
            <v>45139</v>
          </cell>
        </row>
        <row r="948">
          <cell r="A948">
            <v>45143</v>
          </cell>
          <cell r="B948" t="str">
            <v>Week31</v>
          </cell>
          <cell r="C948">
            <v>45139</v>
          </cell>
        </row>
        <row r="949">
          <cell r="A949">
            <v>45144</v>
          </cell>
          <cell r="B949" t="str">
            <v>Week32</v>
          </cell>
          <cell r="C949">
            <v>45139</v>
          </cell>
        </row>
        <row r="950">
          <cell r="A950">
            <v>45145</v>
          </cell>
          <cell r="B950" t="str">
            <v>Week32</v>
          </cell>
          <cell r="C950">
            <v>45139</v>
          </cell>
        </row>
        <row r="951">
          <cell r="A951">
            <v>45146</v>
          </cell>
          <cell r="B951" t="str">
            <v>Week32</v>
          </cell>
          <cell r="C951">
            <v>45139</v>
          </cell>
        </row>
        <row r="952">
          <cell r="A952">
            <v>45147</v>
          </cell>
          <cell r="B952" t="str">
            <v>Week32</v>
          </cell>
          <cell r="C952">
            <v>45139</v>
          </cell>
        </row>
        <row r="953">
          <cell r="A953">
            <v>45148</v>
          </cell>
          <cell r="B953" t="str">
            <v>Week32</v>
          </cell>
          <cell r="C953">
            <v>45139</v>
          </cell>
        </row>
        <row r="954">
          <cell r="A954">
            <v>45149</v>
          </cell>
          <cell r="B954" t="str">
            <v>Week32</v>
          </cell>
          <cell r="C954">
            <v>45139</v>
          </cell>
        </row>
        <row r="955">
          <cell r="A955">
            <v>45150</v>
          </cell>
          <cell r="B955" t="str">
            <v>Week32</v>
          </cell>
          <cell r="C955">
            <v>45139</v>
          </cell>
        </row>
        <row r="956">
          <cell r="A956">
            <v>45151</v>
          </cell>
          <cell r="B956" t="str">
            <v>Week33</v>
          </cell>
          <cell r="C956">
            <v>45139</v>
          </cell>
        </row>
        <row r="957">
          <cell r="A957">
            <v>45152</v>
          </cell>
          <cell r="B957" t="str">
            <v>Week33</v>
          </cell>
          <cell r="C957">
            <v>45139</v>
          </cell>
        </row>
        <row r="958">
          <cell r="A958">
            <v>45153</v>
          </cell>
          <cell r="B958" t="str">
            <v>Week33</v>
          </cell>
          <cell r="C958">
            <v>45139</v>
          </cell>
        </row>
        <row r="959">
          <cell r="A959">
            <v>45154</v>
          </cell>
          <cell r="B959" t="str">
            <v>Week33</v>
          </cell>
          <cell r="C959">
            <v>45139</v>
          </cell>
        </row>
        <row r="960">
          <cell r="A960">
            <v>45155</v>
          </cell>
          <cell r="B960" t="str">
            <v>Week33</v>
          </cell>
          <cell r="C960">
            <v>45139</v>
          </cell>
        </row>
        <row r="961">
          <cell r="A961">
            <v>45156</v>
          </cell>
          <cell r="B961" t="str">
            <v>Week33</v>
          </cell>
          <cell r="C961">
            <v>45139</v>
          </cell>
        </row>
        <row r="962">
          <cell r="A962">
            <v>45157</v>
          </cell>
          <cell r="B962" t="str">
            <v>Week33</v>
          </cell>
          <cell r="C962">
            <v>45139</v>
          </cell>
        </row>
        <row r="963">
          <cell r="A963">
            <v>45158</v>
          </cell>
          <cell r="B963" t="str">
            <v>Week34</v>
          </cell>
          <cell r="C963">
            <v>45139</v>
          </cell>
        </row>
        <row r="964">
          <cell r="A964">
            <v>45159</v>
          </cell>
          <cell r="B964" t="str">
            <v>Week34</v>
          </cell>
          <cell r="C964">
            <v>45139</v>
          </cell>
        </row>
        <row r="965">
          <cell r="A965">
            <v>45160</v>
          </cell>
          <cell r="B965" t="str">
            <v>Week34</v>
          </cell>
          <cell r="C965">
            <v>45139</v>
          </cell>
        </row>
        <row r="966">
          <cell r="A966">
            <v>45161</v>
          </cell>
          <cell r="B966" t="str">
            <v>Week34</v>
          </cell>
          <cell r="C966">
            <v>45139</v>
          </cell>
        </row>
        <row r="967">
          <cell r="A967">
            <v>45162</v>
          </cell>
          <cell r="B967" t="str">
            <v>Week34</v>
          </cell>
          <cell r="C967">
            <v>45139</v>
          </cell>
        </row>
        <row r="968">
          <cell r="A968">
            <v>45163</v>
          </cell>
          <cell r="B968" t="str">
            <v>Week34</v>
          </cell>
          <cell r="C968">
            <v>45139</v>
          </cell>
        </row>
        <row r="969">
          <cell r="A969">
            <v>45164</v>
          </cell>
          <cell r="B969" t="str">
            <v>Week34</v>
          </cell>
          <cell r="C969">
            <v>45139</v>
          </cell>
        </row>
        <row r="970">
          <cell r="A970">
            <v>45165</v>
          </cell>
          <cell r="B970" t="str">
            <v>Week35</v>
          </cell>
          <cell r="C970">
            <v>45139</v>
          </cell>
        </row>
        <row r="971">
          <cell r="A971">
            <v>45166</v>
          </cell>
          <cell r="B971" t="str">
            <v>Week35</v>
          </cell>
          <cell r="C971">
            <v>45139</v>
          </cell>
        </row>
        <row r="972">
          <cell r="A972">
            <v>45167</v>
          </cell>
          <cell r="B972" t="str">
            <v>Week35</v>
          </cell>
          <cell r="C972">
            <v>45139</v>
          </cell>
        </row>
        <row r="973">
          <cell r="A973">
            <v>45168</v>
          </cell>
          <cell r="B973" t="str">
            <v>Week35</v>
          </cell>
          <cell r="C973">
            <v>45139</v>
          </cell>
        </row>
        <row r="974">
          <cell r="A974">
            <v>45169</v>
          </cell>
          <cell r="B974" t="str">
            <v>Week35</v>
          </cell>
          <cell r="C974">
            <v>45139</v>
          </cell>
        </row>
        <row r="975">
          <cell r="A975">
            <v>45170</v>
          </cell>
          <cell r="B975" t="str">
            <v>Week35</v>
          </cell>
          <cell r="C975">
            <v>45170</v>
          </cell>
        </row>
        <row r="976">
          <cell r="A976">
            <v>45171</v>
          </cell>
          <cell r="B976" t="str">
            <v>Week35</v>
          </cell>
          <cell r="C976">
            <v>45170</v>
          </cell>
        </row>
        <row r="977">
          <cell r="A977">
            <v>45172</v>
          </cell>
          <cell r="B977" t="str">
            <v>Week36</v>
          </cell>
          <cell r="C977">
            <v>45170</v>
          </cell>
        </row>
        <row r="978">
          <cell r="A978">
            <v>45173</v>
          </cell>
          <cell r="B978" t="str">
            <v>Week36</v>
          </cell>
          <cell r="C978">
            <v>45170</v>
          </cell>
        </row>
        <row r="979">
          <cell r="A979">
            <v>45174</v>
          </cell>
          <cell r="B979" t="str">
            <v>Week36</v>
          </cell>
          <cell r="C979">
            <v>45170</v>
          </cell>
        </row>
        <row r="980">
          <cell r="A980">
            <v>45175</v>
          </cell>
          <cell r="B980" t="str">
            <v>Week36</v>
          </cell>
          <cell r="C980">
            <v>45170</v>
          </cell>
        </row>
        <row r="981">
          <cell r="A981">
            <v>45176</v>
          </cell>
          <cell r="B981" t="str">
            <v>Week36</v>
          </cell>
          <cell r="C981">
            <v>45170</v>
          </cell>
        </row>
        <row r="982">
          <cell r="A982">
            <v>45177</v>
          </cell>
          <cell r="B982" t="str">
            <v>Week36</v>
          </cell>
          <cell r="C982">
            <v>45170</v>
          </cell>
        </row>
        <row r="983">
          <cell r="A983">
            <v>45178</v>
          </cell>
          <cell r="B983" t="str">
            <v>Week36</v>
          </cell>
          <cell r="C983">
            <v>45170</v>
          </cell>
        </row>
        <row r="984">
          <cell r="A984">
            <v>45179</v>
          </cell>
          <cell r="B984" t="str">
            <v>Week37</v>
          </cell>
          <cell r="C984">
            <v>45170</v>
          </cell>
        </row>
        <row r="985">
          <cell r="A985">
            <v>45180</v>
          </cell>
          <cell r="B985" t="str">
            <v>Week37</v>
          </cell>
          <cell r="C985">
            <v>45170</v>
          </cell>
        </row>
        <row r="986">
          <cell r="A986">
            <v>45181</v>
          </cell>
          <cell r="B986" t="str">
            <v>Week37</v>
          </cell>
          <cell r="C986">
            <v>45170</v>
          </cell>
        </row>
        <row r="987">
          <cell r="A987">
            <v>45182</v>
          </cell>
          <cell r="B987" t="str">
            <v>Week37</v>
          </cell>
          <cell r="C987">
            <v>45170</v>
          </cell>
        </row>
        <row r="988">
          <cell r="A988">
            <v>45183</v>
          </cell>
          <cell r="B988" t="str">
            <v>Week37</v>
          </cell>
          <cell r="C988">
            <v>45170</v>
          </cell>
        </row>
        <row r="989">
          <cell r="A989">
            <v>45184</v>
          </cell>
          <cell r="B989" t="str">
            <v>Week37</v>
          </cell>
          <cell r="C989">
            <v>45170</v>
          </cell>
        </row>
        <row r="990">
          <cell r="A990">
            <v>45185</v>
          </cell>
          <cell r="B990" t="str">
            <v>Week37</v>
          </cell>
          <cell r="C990">
            <v>45170</v>
          </cell>
        </row>
        <row r="991">
          <cell r="A991">
            <v>45186</v>
          </cell>
          <cell r="B991" t="str">
            <v>Week38</v>
          </cell>
          <cell r="C991">
            <v>45170</v>
          </cell>
        </row>
        <row r="992">
          <cell r="A992">
            <v>45187</v>
          </cell>
          <cell r="B992" t="str">
            <v>Week38</v>
          </cell>
          <cell r="C992">
            <v>45170</v>
          </cell>
        </row>
        <row r="993">
          <cell r="A993">
            <v>45188</v>
          </cell>
          <cell r="B993" t="str">
            <v>Week38</v>
          </cell>
          <cell r="C993">
            <v>45170</v>
          </cell>
        </row>
        <row r="994">
          <cell r="A994">
            <v>45189</v>
          </cell>
          <cell r="B994" t="str">
            <v>Week38</v>
          </cell>
          <cell r="C994">
            <v>45170</v>
          </cell>
        </row>
        <row r="995">
          <cell r="A995">
            <v>45190</v>
          </cell>
          <cell r="B995" t="str">
            <v>Week38</v>
          </cell>
          <cell r="C995">
            <v>45170</v>
          </cell>
        </row>
        <row r="996">
          <cell r="A996">
            <v>45191</v>
          </cell>
          <cell r="B996" t="str">
            <v>Week38</v>
          </cell>
          <cell r="C996">
            <v>45170</v>
          </cell>
        </row>
        <row r="997">
          <cell r="A997">
            <v>45192</v>
          </cell>
          <cell r="B997" t="str">
            <v>Week38</v>
          </cell>
          <cell r="C997">
            <v>45170</v>
          </cell>
        </row>
        <row r="998">
          <cell r="A998">
            <v>45193</v>
          </cell>
          <cell r="B998" t="str">
            <v>Week39</v>
          </cell>
          <cell r="C998">
            <v>45170</v>
          </cell>
        </row>
        <row r="999">
          <cell r="A999">
            <v>45194</v>
          </cell>
          <cell r="B999" t="str">
            <v>Week39</v>
          </cell>
          <cell r="C999">
            <v>45170</v>
          </cell>
        </row>
        <row r="1000">
          <cell r="A1000">
            <v>45195</v>
          </cell>
          <cell r="B1000" t="str">
            <v>Week39</v>
          </cell>
          <cell r="C1000">
            <v>45170</v>
          </cell>
        </row>
        <row r="1001">
          <cell r="A1001">
            <v>45196</v>
          </cell>
          <cell r="B1001" t="str">
            <v>Week39</v>
          </cell>
          <cell r="C1001">
            <v>45170</v>
          </cell>
        </row>
        <row r="1002">
          <cell r="A1002">
            <v>45197</v>
          </cell>
          <cell r="B1002" t="str">
            <v>Week39</v>
          </cell>
          <cell r="C1002">
            <v>45170</v>
          </cell>
        </row>
        <row r="1003">
          <cell r="A1003">
            <v>45198</v>
          </cell>
          <cell r="B1003" t="str">
            <v>Week39</v>
          </cell>
          <cell r="C1003">
            <v>45170</v>
          </cell>
        </row>
        <row r="1004">
          <cell r="A1004">
            <v>45199</v>
          </cell>
          <cell r="B1004" t="str">
            <v>Week39</v>
          </cell>
          <cell r="C1004">
            <v>45170</v>
          </cell>
        </row>
        <row r="1005">
          <cell r="A1005">
            <v>45200</v>
          </cell>
          <cell r="B1005" t="str">
            <v>Week40</v>
          </cell>
          <cell r="C1005">
            <v>45200</v>
          </cell>
        </row>
        <row r="1006">
          <cell r="A1006">
            <v>45201</v>
          </cell>
          <cell r="B1006" t="str">
            <v>Week40</v>
          </cell>
          <cell r="C1006">
            <v>45200</v>
          </cell>
        </row>
        <row r="1007">
          <cell r="A1007">
            <v>45202</v>
          </cell>
          <cell r="B1007" t="str">
            <v>Week40</v>
          </cell>
          <cell r="C1007">
            <v>45200</v>
          </cell>
        </row>
        <row r="1008">
          <cell r="A1008">
            <v>45203</v>
          </cell>
          <cell r="B1008" t="str">
            <v>Week40</v>
          </cell>
          <cell r="C1008">
            <v>45200</v>
          </cell>
        </row>
        <row r="1009">
          <cell r="A1009">
            <v>45204</v>
          </cell>
          <cell r="B1009" t="str">
            <v>Week40</v>
          </cell>
          <cell r="C1009">
            <v>45200</v>
          </cell>
        </row>
        <row r="1010">
          <cell r="A1010">
            <v>45205</v>
          </cell>
          <cell r="B1010" t="str">
            <v>Week40</v>
          </cell>
          <cell r="C1010">
            <v>45200</v>
          </cell>
        </row>
        <row r="1011">
          <cell r="A1011">
            <v>45206</v>
          </cell>
          <cell r="B1011" t="str">
            <v>Week40</v>
          </cell>
          <cell r="C1011">
            <v>45200</v>
          </cell>
        </row>
        <row r="1012">
          <cell r="A1012">
            <v>45207</v>
          </cell>
          <cell r="B1012" t="str">
            <v>Week41</v>
          </cell>
          <cell r="C1012">
            <v>45200</v>
          </cell>
        </row>
        <row r="1013">
          <cell r="A1013">
            <v>45208</v>
          </cell>
          <cell r="B1013" t="str">
            <v>Week41</v>
          </cell>
          <cell r="C1013">
            <v>45200</v>
          </cell>
        </row>
        <row r="1014">
          <cell r="A1014">
            <v>45209</v>
          </cell>
          <cell r="B1014" t="str">
            <v>Week41</v>
          </cell>
          <cell r="C1014">
            <v>45200</v>
          </cell>
        </row>
        <row r="1015">
          <cell r="A1015">
            <v>45210</v>
          </cell>
          <cell r="B1015" t="str">
            <v>Week41</v>
          </cell>
          <cell r="C1015">
            <v>45200</v>
          </cell>
        </row>
        <row r="1016">
          <cell r="A1016">
            <v>45211</v>
          </cell>
          <cell r="B1016" t="str">
            <v>Week41</v>
          </cell>
          <cell r="C1016">
            <v>45200</v>
          </cell>
        </row>
        <row r="1017">
          <cell r="A1017">
            <v>45212</v>
          </cell>
          <cell r="B1017" t="str">
            <v>Week41</v>
          </cell>
          <cell r="C1017">
            <v>45200</v>
          </cell>
        </row>
        <row r="1018">
          <cell r="A1018">
            <v>45213</v>
          </cell>
          <cell r="B1018" t="str">
            <v>Week41</v>
          </cell>
          <cell r="C1018">
            <v>45200</v>
          </cell>
        </row>
        <row r="1019">
          <cell r="A1019">
            <v>45214</v>
          </cell>
          <cell r="B1019" t="str">
            <v>Week42</v>
          </cell>
          <cell r="C1019">
            <v>45200</v>
          </cell>
        </row>
        <row r="1020">
          <cell r="A1020">
            <v>45215</v>
          </cell>
          <cell r="B1020" t="str">
            <v>Week42</v>
          </cell>
          <cell r="C1020">
            <v>45200</v>
          </cell>
        </row>
        <row r="1021">
          <cell r="A1021">
            <v>45216</v>
          </cell>
          <cell r="B1021" t="str">
            <v>Week42</v>
          </cell>
          <cell r="C1021">
            <v>45200</v>
          </cell>
        </row>
        <row r="1022">
          <cell r="A1022">
            <v>45217</v>
          </cell>
          <cell r="B1022" t="str">
            <v>Week42</v>
          </cell>
          <cell r="C1022">
            <v>45200</v>
          </cell>
        </row>
        <row r="1023">
          <cell r="A1023">
            <v>45218</v>
          </cell>
          <cell r="B1023" t="str">
            <v>Week42</v>
          </cell>
          <cell r="C1023">
            <v>45200</v>
          </cell>
        </row>
        <row r="1024">
          <cell r="A1024">
            <v>45219</v>
          </cell>
          <cell r="B1024" t="str">
            <v>Week42</v>
          </cell>
          <cell r="C1024">
            <v>45200</v>
          </cell>
        </row>
        <row r="1025">
          <cell r="A1025">
            <v>45220</v>
          </cell>
          <cell r="B1025" t="str">
            <v>Week42</v>
          </cell>
          <cell r="C1025">
            <v>45200</v>
          </cell>
        </row>
        <row r="1026">
          <cell r="A1026">
            <v>45221</v>
          </cell>
          <cell r="B1026" t="str">
            <v>Week43</v>
          </cell>
          <cell r="C1026">
            <v>45200</v>
          </cell>
        </row>
        <row r="1027">
          <cell r="A1027">
            <v>45222</v>
          </cell>
          <cell r="B1027" t="str">
            <v>Week43</v>
          </cell>
          <cell r="C1027">
            <v>45200</v>
          </cell>
        </row>
        <row r="1028">
          <cell r="A1028">
            <v>45223</v>
          </cell>
          <cell r="B1028" t="str">
            <v>Week43</v>
          </cell>
          <cell r="C1028">
            <v>45200</v>
          </cell>
        </row>
        <row r="1029">
          <cell r="A1029">
            <v>45224</v>
          </cell>
          <cell r="B1029" t="str">
            <v>Week43</v>
          </cell>
          <cell r="C1029">
            <v>45200</v>
          </cell>
        </row>
        <row r="1030">
          <cell r="A1030">
            <v>45225</v>
          </cell>
          <cell r="B1030" t="str">
            <v>Week43</v>
          </cell>
          <cell r="C1030">
            <v>45200</v>
          </cell>
        </row>
        <row r="1031">
          <cell r="A1031">
            <v>45226</v>
          </cell>
          <cell r="B1031" t="str">
            <v>Week43</v>
          </cell>
          <cell r="C1031">
            <v>45200</v>
          </cell>
        </row>
        <row r="1032">
          <cell r="A1032">
            <v>45227</v>
          </cell>
          <cell r="B1032" t="str">
            <v>Week43</v>
          </cell>
          <cell r="C1032">
            <v>45200</v>
          </cell>
        </row>
        <row r="1033">
          <cell r="A1033">
            <v>45228</v>
          </cell>
          <cell r="B1033" t="str">
            <v>Week44</v>
          </cell>
          <cell r="C1033">
            <v>45200</v>
          </cell>
        </row>
        <row r="1034">
          <cell r="A1034">
            <v>45229</v>
          </cell>
          <cell r="B1034" t="str">
            <v>Week44</v>
          </cell>
          <cell r="C1034">
            <v>45200</v>
          </cell>
        </row>
        <row r="1035">
          <cell r="A1035">
            <v>45230</v>
          </cell>
          <cell r="B1035" t="str">
            <v>Week44</v>
          </cell>
          <cell r="C1035">
            <v>45200</v>
          </cell>
        </row>
        <row r="1036">
          <cell r="A1036">
            <v>45231</v>
          </cell>
          <cell r="B1036" t="str">
            <v>Week44</v>
          </cell>
          <cell r="C1036">
            <v>45231</v>
          </cell>
        </row>
        <row r="1037">
          <cell r="A1037">
            <v>45232</v>
          </cell>
          <cell r="B1037" t="str">
            <v>Week44</v>
          </cell>
          <cell r="C1037">
            <v>45231</v>
          </cell>
        </row>
        <row r="1038">
          <cell r="A1038">
            <v>45233</v>
          </cell>
          <cell r="B1038" t="str">
            <v>Week44</v>
          </cell>
          <cell r="C1038">
            <v>45231</v>
          </cell>
        </row>
        <row r="1039">
          <cell r="A1039">
            <v>45234</v>
          </cell>
          <cell r="B1039" t="str">
            <v>Week44</v>
          </cell>
          <cell r="C1039">
            <v>45231</v>
          </cell>
        </row>
        <row r="1040">
          <cell r="A1040">
            <v>45235</v>
          </cell>
          <cell r="B1040" t="str">
            <v>Week45</v>
          </cell>
          <cell r="C1040">
            <v>45231</v>
          </cell>
        </row>
        <row r="1041">
          <cell r="A1041">
            <v>45236</v>
          </cell>
          <cell r="B1041" t="str">
            <v>Week45</v>
          </cell>
          <cell r="C1041">
            <v>45231</v>
          </cell>
        </row>
        <row r="1042">
          <cell r="A1042">
            <v>45237</v>
          </cell>
          <cell r="B1042" t="str">
            <v>Week45</v>
          </cell>
          <cell r="C1042">
            <v>45231</v>
          </cell>
        </row>
        <row r="1043">
          <cell r="A1043">
            <v>45238</v>
          </cell>
          <cell r="B1043" t="str">
            <v>Week45</v>
          </cell>
          <cell r="C1043">
            <v>45231</v>
          </cell>
        </row>
        <row r="1044">
          <cell r="A1044">
            <v>45239</v>
          </cell>
          <cell r="B1044" t="str">
            <v>Week45</v>
          </cell>
          <cell r="C1044">
            <v>45231</v>
          </cell>
        </row>
        <row r="1045">
          <cell r="A1045">
            <v>45240</v>
          </cell>
          <cell r="B1045" t="str">
            <v>Week45</v>
          </cell>
          <cell r="C1045">
            <v>45231</v>
          </cell>
        </row>
        <row r="1046">
          <cell r="A1046">
            <v>45241</v>
          </cell>
          <cell r="B1046" t="str">
            <v>Week45</v>
          </cell>
          <cell r="C1046">
            <v>45231</v>
          </cell>
        </row>
        <row r="1047">
          <cell r="A1047">
            <v>45242</v>
          </cell>
          <cell r="B1047" t="str">
            <v>Week46</v>
          </cell>
          <cell r="C1047">
            <v>45231</v>
          </cell>
        </row>
        <row r="1048">
          <cell r="A1048">
            <v>45243</v>
          </cell>
          <cell r="B1048" t="str">
            <v>Week46</v>
          </cell>
          <cell r="C1048">
            <v>45231</v>
          </cell>
        </row>
        <row r="1049">
          <cell r="A1049">
            <v>45244</v>
          </cell>
          <cell r="B1049" t="str">
            <v>Week46</v>
          </cell>
          <cell r="C1049">
            <v>45231</v>
          </cell>
        </row>
        <row r="1050">
          <cell r="A1050">
            <v>45245</v>
          </cell>
          <cell r="B1050" t="str">
            <v>Week46</v>
          </cell>
          <cell r="C1050">
            <v>45231</v>
          </cell>
        </row>
        <row r="1051">
          <cell r="A1051">
            <v>45246</v>
          </cell>
          <cell r="B1051" t="str">
            <v>Week46</v>
          </cell>
          <cell r="C1051">
            <v>45231</v>
          </cell>
        </row>
        <row r="1052">
          <cell r="A1052">
            <v>45247</v>
          </cell>
          <cell r="B1052" t="str">
            <v>Week46</v>
          </cell>
          <cell r="C1052">
            <v>45231</v>
          </cell>
        </row>
        <row r="1053">
          <cell r="A1053">
            <v>45248</v>
          </cell>
          <cell r="B1053" t="str">
            <v>Week46</v>
          </cell>
          <cell r="C1053">
            <v>45231</v>
          </cell>
        </row>
        <row r="1054">
          <cell r="A1054">
            <v>45249</v>
          </cell>
          <cell r="B1054" t="str">
            <v>Week47</v>
          </cell>
          <cell r="C1054">
            <v>45231</v>
          </cell>
        </row>
        <row r="1055">
          <cell r="A1055">
            <v>45250</v>
          </cell>
          <cell r="B1055" t="str">
            <v>Week47</v>
          </cell>
          <cell r="C1055">
            <v>45231</v>
          </cell>
        </row>
        <row r="1056">
          <cell r="A1056">
            <v>45251</v>
          </cell>
          <cell r="B1056" t="str">
            <v>Week47</v>
          </cell>
          <cell r="C1056">
            <v>45231</v>
          </cell>
        </row>
        <row r="1057">
          <cell r="A1057">
            <v>45252</v>
          </cell>
          <cell r="B1057" t="str">
            <v>Week47</v>
          </cell>
          <cell r="C1057">
            <v>45231</v>
          </cell>
        </row>
        <row r="1058">
          <cell r="A1058">
            <v>45253</v>
          </cell>
          <cell r="B1058" t="str">
            <v>Week47</v>
          </cell>
          <cell r="C1058">
            <v>45231</v>
          </cell>
        </row>
        <row r="1059">
          <cell r="A1059">
            <v>45254</v>
          </cell>
          <cell r="B1059" t="str">
            <v>Week47</v>
          </cell>
          <cell r="C1059">
            <v>45231</v>
          </cell>
        </row>
        <row r="1060">
          <cell r="A1060">
            <v>45255</v>
          </cell>
          <cell r="B1060" t="str">
            <v>Week47</v>
          </cell>
          <cell r="C1060">
            <v>45231</v>
          </cell>
        </row>
        <row r="1061">
          <cell r="A1061">
            <v>45256</v>
          </cell>
          <cell r="B1061" t="str">
            <v>Week48</v>
          </cell>
          <cell r="C1061">
            <v>45231</v>
          </cell>
        </row>
        <row r="1062">
          <cell r="A1062">
            <v>45257</v>
          </cell>
          <cell r="B1062" t="str">
            <v>Week48</v>
          </cell>
          <cell r="C1062">
            <v>45231</v>
          </cell>
        </row>
        <row r="1063">
          <cell r="A1063">
            <v>45258</v>
          </cell>
          <cell r="B1063" t="str">
            <v>Week48</v>
          </cell>
          <cell r="C1063">
            <v>45231</v>
          </cell>
        </row>
        <row r="1064">
          <cell r="A1064">
            <v>45259</v>
          </cell>
          <cell r="B1064" t="str">
            <v>Week48</v>
          </cell>
          <cell r="C1064">
            <v>45231</v>
          </cell>
        </row>
        <row r="1065">
          <cell r="A1065">
            <v>45260</v>
          </cell>
          <cell r="B1065" t="str">
            <v>Week48</v>
          </cell>
          <cell r="C1065">
            <v>45231</v>
          </cell>
        </row>
        <row r="1066">
          <cell r="A1066">
            <v>45261</v>
          </cell>
          <cell r="B1066" t="str">
            <v>Week48</v>
          </cell>
          <cell r="C1066">
            <v>45261</v>
          </cell>
        </row>
        <row r="1067">
          <cell r="A1067">
            <v>45262</v>
          </cell>
          <cell r="B1067" t="str">
            <v>Week48</v>
          </cell>
          <cell r="C1067">
            <v>45261</v>
          </cell>
        </row>
        <row r="1068">
          <cell r="A1068">
            <v>45263</v>
          </cell>
          <cell r="B1068" t="str">
            <v>Week49</v>
          </cell>
          <cell r="C1068">
            <v>45261</v>
          </cell>
        </row>
        <row r="1069">
          <cell r="A1069">
            <v>45264</v>
          </cell>
          <cell r="B1069" t="str">
            <v>Week49</v>
          </cell>
          <cell r="C1069">
            <v>45261</v>
          </cell>
        </row>
        <row r="1070">
          <cell r="A1070">
            <v>45265</v>
          </cell>
          <cell r="B1070" t="str">
            <v>Week49</v>
          </cell>
          <cell r="C1070">
            <v>45261</v>
          </cell>
        </row>
        <row r="1071">
          <cell r="A1071">
            <v>45266</v>
          </cell>
          <cell r="B1071" t="str">
            <v>Week49</v>
          </cell>
          <cell r="C1071">
            <v>45261</v>
          </cell>
        </row>
        <row r="1072">
          <cell r="A1072">
            <v>45267</v>
          </cell>
          <cell r="B1072" t="str">
            <v>Week49</v>
          </cell>
          <cell r="C1072">
            <v>45261</v>
          </cell>
        </row>
        <row r="1073">
          <cell r="A1073">
            <v>45268</v>
          </cell>
          <cell r="B1073" t="str">
            <v>Week49</v>
          </cell>
          <cell r="C1073">
            <v>45261</v>
          </cell>
        </row>
        <row r="1074">
          <cell r="A1074">
            <v>45269</v>
          </cell>
          <cell r="B1074" t="str">
            <v>Week49</v>
          </cell>
          <cell r="C1074">
            <v>45261</v>
          </cell>
        </row>
        <row r="1075">
          <cell r="A1075">
            <v>45270</v>
          </cell>
          <cell r="B1075" t="str">
            <v>Week50</v>
          </cell>
          <cell r="C1075">
            <v>45261</v>
          </cell>
        </row>
        <row r="1076">
          <cell r="A1076">
            <v>45271</v>
          </cell>
          <cell r="B1076" t="str">
            <v>Week50</v>
          </cell>
          <cell r="C1076">
            <v>45261</v>
          </cell>
        </row>
        <row r="1077">
          <cell r="A1077">
            <v>45272</v>
          </cell>
          <cell r="B1077" t="str">
            <v>Week50</v>
          </cell>
          <cell r="C1077">
            <v>45261</v>
          </cell>
        </row>
        <row r="1078">
          <cell r="A1078">
            <v>45273</v>
          </cell>
          <cell r="B1078" t="str">
            <v>Week50</v>
          </cell>
          <cell r="C1078">
            <v>45261</v>
          </cell>
        </row>
        <row r="1079">
          <cell r="A1079">
            <v>45274</v>
          </cell>
          <cell r="B1079" t="str">
            <v>Week50</v>
          </cell>
          <cell r="C1079">
            <v>45261</v>
          </cell>
        </row>
        <row r="1080">
          <cell r="A1080">
            <v>45275</v>
          </cell>
          <cell r="B1080" t="str">
            <v>Week50</v>
          </cell>
          <cell r="C1080">
            <v>45261</v>
          </cell>
        </row>
        <row r="1081">
          <cell r="A1081">
            <v>45276</v>
          </cell>
          <cell r="B1081" t="str">
            <v>Week50</v>
          </cell>
          <cell r="C1081">
            <v>45261</v>
          </cell>
        </row>
        <row r="1082">
          <cell r="A1082">
            <v>45277</v>
          </cell>
          <cell r="B1082" t="str">
            <v>Week51</v>
          </cell>
          <cell r="C1082">
            <v>45261</v>
          </cell>
        </row>
        <row r="1083">
          <cell r="A1083">
            <v>45278</v>
          </cell>
          <cell r="B1083" t="str">
            <v>Week51</v>
          </cell>
          <cell r="C1083">
            <v>45261</v>
          </cell>
        </row>
        <row r="1084">
          <cell r="A1084">
            <v>45279</v>
          </cell>
          <cell r="B1084" t="str">
            <v>Week51</v>
          </cell>
          <cell r="C1084">
            <v>45261</v>
          </cell>
        </row>
        <row r="1085">
          <cell r="A1085">
            <v>45280</v>
          </cell>
          <cell r="B1085" t="str">
            <v>Week51</v>
          </cell>
          <cell r="C1085">
            <v>45261</v>
          </cell>
        </row>
        <row r="1086">
          <cell r="A1086">
            <v>45281</v>
          </cell>
          <cell r="B1086" t="str">
            <v>Week51</v>
          </cell>
          <cell r="C1086">
            <v>45261</v>
          </cell>
        </row>
        <row r="1087">
          <cell r="A1087">
            <v>45282</v>
          </cell>
          <cell r="B1087" t="str">
            <v>Week51</v>
          </cell>
          <cell r="C1087">
            <v>45261</v>
          </cell>
        </row>
        <row r="1088">
          <cell r="A1088">
            <v>45283</v>
          </cell>
          <cell r="B1088" t="str">
            <v>Week51</v>
          </cell>
          <cell r="C1088">
            <v>45261</v>
          </cell>
        </row>
        <row r="1089">
          <cell r="A1089">
            <v>45284</v>
          </cell>
          <cell r="B1089" t="str">
            <v>Week52</v>
          </cell>
          <cell r="C1089">
            <v>45261</v>
          </cell>
        </row>
        <row r="1090">
          <cell r="A1090">
            <v>45285</v>
          </cell>
          <cell r="B1090" t="str">
            <v>Week52</v>
          </cell>
          <cell r="C1090">
            <v>45261</v>
          </cell>
        </row>
        <row r="1091">
          <cell r="A1091">
            <v>45286</v>
          </cell>
          <cell r="B1091" t="str">
            <v>Week52</v>
          </cell>
          <cell r="C1091">
            <v>45261</v>
          </cell>
        </row>
        <row r="1092">
          <cell r="A1092">
            <v>45287</v>
          </cell>
          <cell r="B1092" t="str">
            <v>Week52</v>
          </cell>
          <cell r="C1092">
            <v>45261</v>
          </cell>
        </row>
        <row r="1093">
          <cell r="A1093">
            <v>45288</v>
          </cell>
          <cell r="B1093" t="str">
            <v>Week52</v>
          </cell>
          <cell r="C1093">
            <v>45261</v>
          </cell>
        </row>
        <row r="1094">
          <cell r="A1094">
            <v>45289</v>
          </cell>
          <cell r="B1094" t="str">
            <v>Week52</v>
          </cell>
          <cell r="C1094">
            <v>45261</v>
          </cell>
        </row>
        <row r="1095">
          <cell r="A1095">
            <v>45290</v>
          </cell>
          <cell r="B1095" t="str">
            <v>Week52</v>
          </cell>
          <cell r="C1095">
            <v>45261</v>
          </cell>
        </row>
        <row r="1096">
          <cell r="A1096">
            <v>45291</v>
          </cell>
          <cell r="B1096" t="str">
            <v>Week52</v>
          </cell>
          <cell r="C1096">
            <v>45261</v>
          </cell>
        </row>
        <row r="1097">
          <cell r="A1097">
            <v>45292</v>
          </cell>
          <cell r="B1097" t="str">
            <v>Week1</v>
          </cell>
          <cell r="C1097">
            <v>45292</v>
          </cell>
        </row>
        <row r="1098">
          <cell r="A1098">
            <v>45293</v>
          </cell>
          <cell r="B1098" t="str">
            <v>Week1</v>
          </cell>
          <cell r="C1098">
            <v>45292</v>
          </cell>
        </row>
        <row r="1099">
          <cell r="A1099">
            <v>45294</v>
          </cell>
          <cell r="B1099" t="str">
            <v>Week1</v>
          </cell>
          <cell r="C1099">
            <v>45292</v>
          </cell>
        </row>
        <row r="1100">
          <cell r="A1100">
            <v>45295</v>
          </cell>
          <cell r="B1100" t="str">
            <v>Week1</v>
          </cell>
          <cell r="C1100">
            <v>45292</v>
          </cell>
        </row>
        <row r="1101">
          <cell r="A1101">
            <v>45296</v>
          </cell>
          <cell r="B1101" t="str">
            <v>Week1</v>
          </cell>
          <cell r="C1101">
            <v>45292</v>
          </cell>
        </row>
        <row r="1102">
          <cell r="A1102">
            <v>45297</v>
          </cell>
          <cell r="B1102" t="str">
            <v>Week1</v>
          </cell>
          <cell r="C1102">
            <v>45292</v>
          </cell>
        </row>
        <row r="1103">
          <cell r="A1103">
            <v>45298</v>
          </cell>
          <cell r="B1103" t="str">
            <v>Week1</v>
          </cell>
          <cell r="C1103">
            <v>45292</v>
          </cell>
        </row>
        <row r="1104">
          <cell r="A1104">
            <v>45299</v>
          </cell>
          <cell r="B1104" t="str">
            <v>Week2</v>
          </cell>
          <cell r="C1104">
            <v>45292</v>
          </cell>
        </row>
        <row r="1105">
          <cell r="A1105">
            <v>45300</v>
          </cell>
          <cell r="B1105" t="str">
            <v>Week2</v>
          </cell>
          <cell r="C1105">
            <v>45292</v>
          </cell>
        </row>
        <row r="1106">
          <cell r="A1106">
            <v>45301</v>
          </cell>
          <cell r="B1106" t="str">
            <v>Week2</v>
          </cell>
          <cell r="C1106">
            <v>45292</v>
          </cell>
        </row>
        <row r="1107">
          <cell r="A1107">
            <v>45302</v>
          </cell>
          <cell r="B1107" t="str">
            <v>Week2</v>
          </cell>
          <cell r="C1107">
            <v>45292</v>
          </cell>
        </row>
        <row r="1108">
          <cell r="A1108">
            <v>45303</v>
          </cell>
          <cell r="B1108" t="str">
            <v>Week2</v>
          </cell>
          <cell r="C1108">
            <v>45292</v>
          </cell>
        </row>
        <row r="1109">
          <cell r="A1109">
            <v>45304</v>
          </cell>
          <cell r="B1109" t="str">
            <v>Week2</v>
          </cell>
          <cell r="C1109">
            <v>45292</v>
          </cell>
        </row>
        <row r="1110">
          <cell r="A1110">
            <v>45305</v>
          </cell>
          <cell r="B1110" t="str">
            <v>Week2</v>
          </cell>
          <cell r="C1110">
            <v>45292</v>
          </cell>
        </row>
        <row r="1111">
          <cell r="A1111">
            <v>45306</v>
          </cell>
          <cell r="B1111" t="str">
            <v>Week3</v>
          </cell>
          <cell r="C1111">
            <v>45292</v>
          </cell>
        </row>
        <row r="1112">
          <cell r="A1112">
            <v>45307</v>
          </cell>
          <cell r="B1112" t="str">
            <v>Week3</v>
          </cell>
          <cell r="C1112">
            <v>45292</v>
          </cell>
        </row>
        <row r="1113">
          <cell r="A1113">
            <v>45308</v>
          </cell>
          <cell r="B1113" t="str">
            <v>Week3</v>
          </cell>
          <cell r="C1113">
            <v>45292</v>
          </cell>
        </row>
        <row r="1114">
          <cell r="A1114">
            <v>45309</v>
          </cell>
          <cell r="B1114" t="str">
            <v>Week3</v>
          </cell>
          <cell r="C1114">
            <v>45292</v>
          </cell>
        </row>
        <row r="1115">
          <cell r="A1115">
            <v>45310</v>
          </cell>
          <cell r="B1115" t="str">
            <v>Week3</v>
          </cell>
          <cell r="C1115">
            <v>45292</v>
          </cell>
        </row>
        <row r="1116">
          <cell r="A1116">
            <v>45311</v>
          </cell>
          <cell r="B1116" t="str">
            <v>Week3</v>
          </cell>
          <cell r="C1116">
            <v>45292</v>
          </cell>
        </row>
        <row r="1117">
          <cell r="A1117">
            <v>45312</v>
          </cell>
          <cell r="B1117" t="str">
            <v>Week3</v>
          </cell>
          <cell r="C1117">
            <v>45292</v>
          </cell>
        </row>
        <row r="1118">
          <cell r="A1118">
            <v>45313</v>
          </cell>
          <cell r="B1118" t="str">
            <v>Week4</v>
          </cell>
          <cell r="C1118">
            <v>45292</v>
          </cell>
        </row>
        <row r="1119">
          <cell r="A1119">
            <v>45314</v>
          </cell>
          <cell r="B1119" t="str">
            <v>Week4</v>
          </cell>
          <cell r="C1119">
            <v>45292</v>
          </cell>
        </row>
        <row r="1120">
          <cell r="A1120">
            <v>45315</v>
          </cell>
          <cell r="B1120" t="str">
            <v>Week4</v>
          </cell>
          <cell r="C1120">
            <v>45292</v>
          </cell>
        </row>
        <row r="1121">
          <cell r="A1121">
            <v>45316</v>
          </cell>
          <cell r="B1121" t="str">
            <v>Week4</v>
          </cell>
          <cell r="C1121">
            <v>45292</v>
          </cell>
        </row>
        <row r="1122">
          <cell r="A1122">
            <v>45317</v>
          </cell>
          <cell r="B1122" t="str">
            <v>Week4</v>
          </cell>
          <cell r="C1122">
            <v>45292</v>
          </cell>
        </row>
        <row r="1123">
          <cell r="A1123">
            <v>45318</v>
          </cell>
          <cell r="B1123" t="str">
            <v>Week4</v>
          </cell>
          <cell r="C1123">
            <v>45292</v>
          </cell>
        </row>
        <row r="1124">
          <cell r="A1124">
            <v>45319</v>
          </cell>
          <cell r="B1124" t="str">
            <v>Week4</v>
          </cell>
          <cell r="C1124">
            <v>45292</v>
          </cell>
        </row>
        <row r="1125">
          <cell r="A1125">
            <v>45320</v>
          </cell>
          <cell r="B1125" t="str">
            <v>Week5</v>
          </cell>
          <cell r="C1125">
            <v>45292</v>
          </cell>
        </row>
        <row r="1126">
          <cell r="A1126">
            <v>45321</v>
          </cell>
          <cell r="B1126" t="str">
            <v>Week5</v>
          </cell>
          <cell r="C1126">
            <v>45292</v>
          </cell>
        </row>
        <row r="1127">
          <cell r="A1127">
            <v>45322</v>
          </cell>
          <cell r="B1127" t="str">
            <v>Week5</v>
          </cell>
          <cell r="C1127">
            <v>45292</v>
          </cell>
        </row>
        <row r="1128">
          <cell r="A1128">
            <v>45323</v>
          </cell>
          <cell r="B1128" t="str">
            <v>Week5</v>
          </cell>
          <cell r="C1128">
            <v>45323</v>
          </cell>
        </row>
        <row r="1129">
          <cell r="A1129">
            <v>45324</v>
          </cell>
          <cell r="B1129" t="str">
            <v>Week5</v>
          </cell>
          <cell r="C1129">
            <v>45323</v>
          </cell>
        </row>
        <row r="1130">
          <cell r="A1130">
            <v>45325</v>
          </cell>
          <cell r="B1130" t="str">
            <v>Week5</v>
          </cell>
          <cell r="C1130">
            <v>45323</v>
          </cell>
        </row>
        <row r="1131">
          <cell r="A1131">
            <v>45326</v>
          </cell>
          <cell r="B1131" t="str">
            <v>Week5</v>
          </cell>
          <cell r="C1131">
            <v>45323</v>
          </cell>
        </row>
        <row r="1132">
          <cell r="A1132">
            <v>45327</v>
          </cell>
          <cell r="B1132" t="str">
            <v>Week6</v>
          </cell>
          <cell r="C1132">
            <v>45323</v>
          </cell>
        </row>
        <row r="1133">
          <cell r="A1133">
            <v>45328</v>
          </cell>
          <cell r="B1133" t="str">
            <v>Week6</v>
          </cell>
          <cell r="C1133">
            <v>45323</v>
          </cell>
        </row>
        <row r="1134">
          <cell r="A1134">
            <v>45329</v>
          </cell>
          <cell r="B1134" t="str">
            <v>Week6</v>
          </cell>
          <cell r="C1134">
            <v>45323</v>
          </cell>
        </row>
        <row r="1135">
          <cell r="A1135">
            <v>45330</v>
          </cell>
          <cell r="B1135" t="str">
            <v>Week6</v>
          </cell>
          <cell r="C1135">
            <v>45323</v>
          </cell>
        </row>
        <row r="1136">
          <cell r="A1136">
            <v>45331</v>
          </cell>
          <cell r="B1136" t="str">
            <v>Week6</v>
          </cell>
          <cell r="C1136">
            <v>45323</v>
          </cell>
        </row>
        <row r="1137">
          <cell r="A1137">
            <v>45332</v>
          </cell>
          <cell r="B1137" t="str">
            <v>Week6</v>
          </cell>
          <cell r="C1137">
            <v>45323</v>
          </cell>
        </row>
        <row r="1138">
          <cell r="A1138">
            <v>45333</v>
          </cell>
          <cell r="B1138" t="str">
            <v>Week6</v>
          </cell>
          <cell r="C1138">
            <v>45323</v>
          </cell>
        </row>
        <row r="1139">
          <cell r="A1139">
            <v>45334</v>
          </cell>
          <cell r="B1139" t="str">
            <v>Week7</v>
          </cell>
          <cell r="C1139">
            <v>45323</v>
          </cell>
        </row>
        <row r="1140">
          <cell r="A1140">
            <v>45335</v>
          </cell>
          <cell r="B1140" t="str">
            <v>Week7</v>
          </cell>
          <cell r="C1140">
            <v>45323</v>
          </cell>
        </row>
        <row r="1141">
          <cell r="A1141">
            <v>45336</v>
          </cell>
          <cell r="B1141" t="str">
            <v>Week7</v>
          </cell>
          <cell r="C1141">
            <v>45323</v>
          </cell>
        </row>
        <row r="1142">
          <cell r="A1142">
            <v>45337</v>
          </cell>
          <cell r="B1142" t="str">
            <v>Week7</v>
          </cell>
          <cell r="C1142">
            <v>45323</v>
          </cell>
        </row>
        <row r="1143">
          <cell r="A1143">
            <v>45338</v>
          </cell>
          <cell r="B1143" t="str">
            <v>Week7</v>
          </cell>
          <cell r="C1143">
            <v>45323</v>
          </cell>
        </row>
        <row r="1144">
          <cell r="A1144">
            <v>45339</v>
          </cell>
          <cell r="B1144" t="str">
            <v>Week7</v>
          </cell>
          <cell r="C1144">
            <v>45323</v>
          </cell>
        </row>
        <row r="1145">
          <cell r="A1145">
            <v>45340</v>
          </cell>
          <cell r="B1145" t="str">
            <v>Week7</v>
          </cell>
          <cell r="C1145">
            <v>45323</v>
          </cell>
        </row>
        <row r="1146">
          <cell r="A1146">
            <v>45341</v>
          </cell>
          <cell r="B1146" t="str">
            <v>Week8</v>
          </cell>
          <cell r="C1146">
            <v>45323</v>
          </cell>
        </row>
        <row r="1147">
          <cell r="A1147">
            <v>45342</v>
          </cell>
          <cell r="B1147" t="str">
            <v>Week8</v>
          </cell>
          <cell r="C1147">
            <v>45323</v>
          </cell>
        </row>
        <row r="1148">
          <cell r="A1148">
            <v>45343</v>
          </cell>
          <cell r="B1148" t="str">
            <v>Week8</v>
          </cell>
          <cell r="C1148">
            <v>45323</v>
          </cell>
        </row>
        <row r="1149">
          <cell r="A1149">
            <v>45344</v>
          </cell>
          <cell r="B1149" t="str">
            <v>Week8</v>
          </cell>
          <cell r="C1149">
            <v>45323</v>
          </cell>
        </row>
        <row r="1150">
          <cell r="A1150">
            <v>45345</v>
          </cell>
          <cell r="B1150" t="str">
            <v>Week8</v>
          </cell>
          <cell r="C1150">
            <v>45323</v>
          </cell>
        </row>
        <row r="1151">
          <cell r="A1151">
            <v>45346</v>
          </cell>
          <cell r="B1151" t="str">
            <v>Week8</v>
          </cell>
          <cell r="C1151">
            <v>45323</v>
          </cell>
        </row>
        <row r="1152">
          <cell r="A1152">
            <v>45347</v>
          </cell>
          <cell r="B1152" t="str">
            <v>Week8</v>
          </cell>
          <cell r="C1152">
            <v>45323</v>
          </cell>
        </row>
        <row r="1153">
          <cell r="A1153">
            <v>45348</v>
          </cell>
          <cell r="B1153" t="str">
            <v>Week9</v>
          </cell>
          <cell r="C1153">
            <v>45323</v>
          </cell>
        </row>
        <row r="1154">
          <cell r="A1154">
            <v>45349</v>
          </cell>
          <cell r="B1154" t="str">
            <v>Week9</v>
          </cell>
          <cell r="C1154">
            <v>45323</v>
          </cell>
        </row>
        <row r="1155">
          <cell r="A1155">
            <v>45350</v>
          </cell>
          <cell r="B1155" t="str">
            <v>Week9</v>
          </cell>
          <cell r="C1155">
            <v>45323</v>
          </cell>
        </row>
        <row r="1156">
          <cell r="A1156">
            <v>45351</v>
          </cell>
          <cell r="B1156" t="str">
            <v>Week9</v>
          </cell>
          <cell r="C1156">
            <v>45323</v>
          </cell>
        </row>
        <row r="1157">
          <cell r="A1157">
            <v>45352</v>
          </cell>
          <cell r="B1157" t="str">
            <v>Week9</v>
          </cell>
          <cell r="C1157">
            <v>45352</v>
          </cell>
        </row>
        <row r="1158">
          <cell r="A1158">
            <v>45353</v>
          </cell>
          <cell r="B1158" t="str">
            <v>Week9</v>
          </cell>
          <cell r="C1158">
            <v>45352</v>
          </cell>
        </row>
        <row r="1159">
          <cell r="A1159">
            <v>45354</v>
          </cell>
          <cell r="B1159" t="str">
            <v>Week9</v>
          </cell>
          <cell r="C1159">
            <v>45352</v>
          </cell>
        </row>
        <row r="1160">
          <cell r="A1160">
            <v>45355</v>
          </cell>
          <cell r="B1160" t="str">
            <v>Week10</v>
          </cell>
          <cell r="C1160">
            <v>45352</v>
          </cell>
        </row>
        <row r="1161">
          <cell r="A1161">
            <v>45356</v>
          </cell>
          <cell r="B1161" t="str">
            <v>Week10</v>
          </cell>
          <cell r="C1161">
            <v>45352</v>
          </cell>
        </row>
        <row r="1162">
          <cell r="A1162">
            <v>45357</v>
          </cell>
          <cell r="B1162" t="str">
            <v>Week10</v>
          </cell>
          <cell r="C1162">
            <v>45352</v>
          </cell>
        </row>
        <row r="1163">
          <cell r="A1163">
            <v>45358</v>
          </cell>
          <cell r="B1163" t="str">
            <v>Week10</v>
          </cell>
          <cell r="C1163">
            <v>45352</v>
          </cell>
        </row>
        <row r="1164">
          <cell r="A1164">
            <v>45359</v>
          </cell>
          <cell r="B1164" t="str">
            <v>Week10</v>
          </cell>
          <cell r="C1164">
            <v>45352</v>
          </cell>
        </row>
        <row r="1165">
          <cell r="A1165">
            <v>45360</v>
          </cell>
          <cell r="B1165" t="str">
            <v>Week10</v>
          </cell>
          <cell r="C1165">
            <v>45352</v>
          </cell>
        </row>
        <row r="1166">
          <cell r="A1166">
            <v>45361</v>
          </cell>
          <cell r="B1166" t="str">
            <v>Week10</v>
          </cell>
          <cell r="C1166">
            <v>45352</v>
          </cell>
        </row>
        <row r="1167">
          <cell r="A1167">
            <v>45362</v>
          </cell>
          <cell r="B1167" t="str">
            <v>Week11</v>
          </cell>
          <cell r="C1167">
            <v>45352</v>
          </cell>
        </row>
        <row r="1168">
          <cell r="A1168">
            <v>45363</v>
          </cell>
          <cell r="B1168" t="str">
            <v>Week11</v>
          </cell>
          <cell r="C1168">
            <v>45352</v>
          </cell>
        </row>
        <row r="1169">
          <cell r="A1169">
            <v>45364</v>
          </cell>
          <cell r="B1169" t="str">
            <v>Week11</v>
          </cell>
          <cell r="C1169">
            <v>45352</v>
          </cell>
        </row>
        <row r="1170">
          <cell r="A1170">
            <v>45365</v>
          </cell>
          <cell r="B1170" t="str">
            <v>Week11</v>
          </cell>
          <cell r="C1170">
            <v>45352</v>
          </cell>
        </row>
        <row r="1171">
          <cell r="A1171">
            <v>45366</v>
          </cell>
          <cell r="B1171" t="str">
            <v>Week11</v>
          </cell>
          <cell r="C1171">
            <v>45352</v>
          </cell>
        </row>
        <row r="1172">
          <cell r="A1172">
            <v>45367</v>
          </cell>
          <cell r="B1172" t="str">
            <v>Week11</v>
          </cell>
          <cell r="C1172">
            <v>45352</v>
          </cell>
        </row>
        <row r="1173">
          <cell r="A1173">
            <v>45368</v>
          </cell>
          <cell r="B1173" t="str">
            <v>Week11</v>
          </cell>
          <cell r="C1173">
            <v>45352</v>
          </cell>
        </row>
        <row r="1174">
          <cell r="A1174">
            <v>45369</v>
          </cell>
          <cell r="B1174" t="str">
            <v>Week12</v>
          </cell>
          <cell r="C1174">
            <v>45352</v>
          </cell>
        </row>
        <row r="1175">
          <cell r="A1175">
            <v>45370</v>
          </cell>
          <cell r="B1175" t="str">
            <v>Week12</v>
          </cell>
          <cell r="C1175">
            <v>45352</v>
          </cell>
        </row>
        <row r="1176">
          <cell r="A1176">
            <v>45371</v>
          </cell>
          <cell r="B1176" t="str">
            <v>Week12</v>
          </cell>
          <cell r="C1176">
            <v>45352</v>
          </cell>
        </row>
        <row r="1177">
          <cell r="A1177">
            <v>45372</v>
          </cell>
          <cell r="B1177" t="str">
            <v>Week12</v>
          </cell>
          <cell r="C1177">
            <v>45352</v>
          </cell>
        </row>
        <row r="1178">
          <cell r="A1178">
            <v>45373</v>
          </cell>
          <cell r="B1178" t="str">
            <v>Week12</v>
          </cell>
          <cell r="C1178">
            <v>45352</v>
          </cell>
        </row>
        <row r="1179">
          <cell r="A1179">
            <v>45374</v>
          </cell>
          <cell r="B1179" t="str">
            <v>Week12</v>
          </cell>
          <cell r="C1179">
            <v>45352</v>
          </cell>
        </row>
        <row r="1180">
          <cell r="A1180">
            <v>45375</v>
          </cell>
          <cell r="B1180" t="str">
            <v>Week12</v>
          </cell>
          <cell r="C1180">
            <v>45352</v>
          </cell>
        </row>
        <row r="1181">
          <cell r="A1181">
            <v>45376</v>
          </cell>
          <cell r="B1181" t="str">
            <v>Week13</v>
          </cell>
          <cell r="C1181">
            <v>45352</v>
          </cell>
        </row>
        <row r="1182">
          <cell r="A1182">
            <v>45377</v>
          </cell>
          <cell r="B1182" t="str">
            <v>Week13</v>
          </cell>
          <cell r="C1182">
            <v>45352</v>
          </cell>
        </row>
        <row r="1183">
          <cell r="A1183">
            <v>45378</v>
          </cell>
          <cell r="B1183" t="str">
            <v>Week13</v>
          </cell>
          <cell r="C1183">
            <v>45352</v>
          </cell>
        </row>
        <row r="1184">
          <cell r="A1184">
            <v>45379</v>
          </cell>
          <cell r="B1184" t="str">
            <v>Week13</v>
          </cell>
          <cell r="C1184">
            <v>45352</v>
          </cell>
        </row>
        <row r="1185">
          <cell r="A1185">
            <v>45380</v>
          </cell>
          <cell r="B1185" t="str">
            <v>Week13</v>
          </cell>
          <cell r="C1185">
            <v>45352</v>
          </cell>
        </row>
        <row r="1186">
          <cell r="A1186">
            <v>45381</v>
          </cell>
          <cell r="B1186" t="str">
            <v>Week13</v>
          </cell>
          <cell r="C1186">
            <v>45352</v>
          </cell>
        </row>
        <row r="1187">
          <cell r="A1187">
            <v>45382</v>
          </cell>
          <cell r="B1187" t="str">
            <v>Week13</v>
          </cell>
          <cell r="C1187">
            <v>45352</v>
          </cell>
        </row>
        <row r="1188">
          <cell r="A1188">
            <v>45383</v>
          </cell>
          <cell r="B1188" t="str">
            <v>Week14</v>
          </cell>
          <cell r="C1188">
            <v>45383</v>
          </cell>
        </row>
        <row r="1189">
          <cell r="A1189">
            <v>45384</v>
          </cell>
          <cell r="B1189" t="str">
            <v>Week14</v>
          </cell>
          <cell r="C1189">
            <v>45383</v>
          </cell>
        </row>
        <row r="1190">
          <cell r="A1190">
            <v>45385</v>
          </cell>
          <cell r="B1190" t="str">
            <v>Week14</v>
          </cell>
          <cell r="C1190">
            <v>45383</v>
          </cell>
        </row>
        <row r="1191">
          <cell r="A1191">
            <v>45386</v>
          </cell>
          <cell r="B1191" t="str">
            <v>Week14</v>
          </cell>
          <cell r="C1191">
            <v>45383</v>
          </cell>
        </row>
        <row r="1192">
          <cell r="A1192">
            <v>45387</v>
          </cell>
          <cell r="B1192" t="str">
            <v>Week14</v>
          </cell>
          <cell r="C1192">
            <v>45383</v>
          </cell>
        </row>
        <row r="1193">
          <cell r="A1193">
            <v>45388</v>
          </cell>
          <cell r="B1193" t="str">
            <v>Week14</v>
          </cell>
          <cell r="C1193">
            <v>45383</v>
          </cell>
        </row>
        <row r="1194">
          <cell r="A1194">
            <v>45389</v>
          </cell>
          <cell r="B1194" t="str">
            <v>Week14</v>
          </cell>
          <cell r="C1194">
            <v>45383</v>
          </cell>
        </row>
        <row r="1195">
          <cell r="A1195">
            <v>45390</v>
          </cell>
          <cell r="B1195" t="str">
            <v>Week15</v>
          </cell>
          <cell r="C1195">
            <v>45383</v>
          </cell>
        </row>
        <row r="1196">
          <cell r="A1196">
            <v>45391</v>
          </cell>
          <cell r="B1196" t="str">
            <v>Week15</v>
          </cell>
          <cell r="C1196">
            <v>45383</v>
          </cell>
        </row>
        <row r="1197">
          <cell r="A1197">
            <v>45392</v>
          </cell>
          <cell r="B1197" t="str">
            <v>Week15</v>
          </cell>
          <cell r="C1197">
            <v>45383</v>
          </cell>
        </row>
        <row r="1198">
          <cell r="A1198">
            <v>45393</v>
          </cell>
          <cell r="B1198" t="str">
            <v>Week15</v>
          </cell>
          <cell r="C1198">
            <v>45383</v>
          </cell>
        </row>
        <row r="1199">
          <cell r="A1199">
            <v>45394</v>
          </cell>
          <cell r="B1199" t="str">
            <v>Week15</v>
          </cell>
          <cell r="C1199">
            <v>45383</v>
          </cell>
        </row>
        <row r="1200">
          <cell r="A1200">
            <v>45395</v>
          </cell>
          <cell r="B1200" t="str">
            <v>Week15</v>
          </cell>
          <cell r="C1200">
            <v>45383</v>
          </cell>
        </row>
        <row r="1201">
          <cell r="A1201">
            <v>45396</v>
          </cell>
          <cell r="B1201" t="str">
            <v>Week15</v>
          </cell>
          <cell r="C1201">
            <v>45383</v>
          </cell>
        </row>
        <row r="1202">
          <cell r="A1202">
            <v>45397</v>
          </cell>
          <cell r="B1202" t="str">
            <v>Week16</v>
          </cell>
          <cell r="C1202">
            <v>45383</v>
          </cell>
        </row>
        <row r="1203">
          <cell r="A1203">
            <v>45398</v>
          </cell>
          <cell r="B1203" t="str">
            <v>Week16</v>
          </cell>
          <cell r="C1203">
            <v>45383</v>
          </cell>
        </row>
        <row r="1204">
          <cell r="A1204">
            <v>45399</v>
          </cell>
          <cell r="B1204" t="str">
            <v>Week16</v>
          </cell>
          <cell r="C1204">
            <v>45383</v>
          </cell>
        </row>
        <row r="1205">
          <cell r="A1205">
            <v>45400</v>
          </cell>
          <cell r="B1205" t="str">
            <v>Week16</v>
          </cell>
          <cell r="C1205">
            <v>45383</v>
          </cell>
        </row>
        <row r="1206">
          <cell r="A1206">
            <v>45401</v>
          </cell>
          <cell r="B1206" t="str">
            <v>Week16</v>
          </cell>
          <cell r="C1206">
            <v>45383</v>
          </cell>
        </row>
        <row r="1207">
          <cell r="A1207">
            <v>45402</v>
          </cell>
          <cell r="B1207" t="str">
            <v>Week16</v>
          </cell>
          <cell r="C1207">
            <v>45383</v>
          </cell>
        </row>
        <row r="1208">
          <cell r="A1208">
            <v>45403</v>
          </cell>
          <cell r="B1208" t="str">
            <v>Week16</v>
          </cell>
          <cell r="C1208">
            <v>45383</v>
          </cell>
        </row>
        <row r="1209">
          <cell r="A1209">
            <v>45404</v>
          </cell>
          <cell r="B1209" t="str">
            <v>Week17</v>
          </cell>
          <cell r="C1209">
            <v>45383</v>
          </cell>
        </row>
        <row r="1210">
          <cell r="A1210">
            <v>45405</v>
          </cell>
          <cell r="B1210" t="str">
            <v>Week17</v>
          </cell>
          <cell r="C1210">
            <v>45383</v>
          </cell>
        </row>
        <row r="1211">
          <cell r="A1211">
            <v>45406</v>
          </cell>
          <cell r="B1211" t="str">
            <v>Week17</v>
          </cell>
          <cell r="C1211">
            <v>45383</v>
          </cell>
        </row>
        <row r="1212">
          <cell r="A1212">
            <v>45407</v>
          </cell>
          <cell r="B1212" t="str">
            <v>Week17</v>
          </cell>
          <cell r="C1212">
            <v>45383</v>
          </cell>
        </row>
        <row r="1213">
          <cell r="A1213">
            <v>45408</v>
          </cell>
          <cell r="B1213" t="str">
            <v>Week17</v>
          </cell>
          <cell r="C1213">
            <v>45383</v>
          </cell>
        </row>
        <row r="1214">
          <cell r="A1214">
            <v>45409</v>
          </cell>
          <cell r="B1214" t="str">
            <v>Week17</v>
          </cell>
          <cell r="C1214">
            <v>45383</v>
          </cell>
        </row>
        <row r="1215">
          <cell r="A1215">
            <v>45410</v>
          </cell>
          <cell r="B1215" t="str">
            <v>Week17</v>
          </cell>
          <cell r="C1215">
            <v>45383</v>
          </cell>
        </row>
        <row r="1216">
          <cell r="A1216">
            <v>45411</v>
          </cell>
          <cell r="B1216" t="str">
            <v>Week18</v>
          </cell>
          <cell r="C1216">
            <v>45383</v>
          </cell>
        </row>
        <row r="1217">
          <cell r="A1217">
            <v>45412</v>
          </cell>
          <cell r="B1217" t="str">
            <v>Week18</v>
          </cell>
          <cell r="C1217">
            <v>45383</v>
          </cell>
        </row>
        <row r="1218">
          <cell r="A1218">
            <v>45413</v>
          </cell>
          <cell r="B1218" t="str">
            <v>Week18</v>
          </cell>
          <cell r="C1218">
            <v>45413</v>
          </cell>
        </row>
        <row r="1219">
          <cell r="A1219">
            <v>45414</v>
          </cell>
          <cell r="B1219" t="str">
            <v>Week18</v>
          </cell>
          <cell r="C1219">
            <v>45413</v>
          </cell>
        </row>
        <row r="1220">
          <cell r="A1220">
            <v>45415</v>
          </cell>
          <cell r="B1220" t="str">
            <v>Week18</v>
          </cell>
          <cell r="C1220">
            <v>45413</v>
          </cell>
        </row>
        <row r="1221">
          <cell r="A1221">
            <v>45416</v>
          </cell>
          <cell r="B1221" t="str">
            <v>Week18</v>
          </cell>
          <cell r="C1221">
            <v>45413</v>
          </cell>
        </row>
        <row r="1222">
          <cell r="A1222">
            <v>45417</v>
          </cell>
          <cell r="B1222" t="str">
            <v>Week18</v>
          </cell>
          <cell r="C1222">
            <v>45413</v>
          </cell>
        </row>
        <row r="1223">
          <cell r="A1223">
            <v>45418</v>
          </cell>
          <cell r="B1223" t="str">
            <v>Week19</v>
          </cell>
          <cell r="C1223">
            <v>45413</v>
          </cell>
        </row>
        <row r="1224">
          <cell r="A1224">
            <v>45419</v>
          </cell>
          <cell r="B1224" t="str">
            <v>Week19</v>
          </cell>
          <cell r="C1224">
            <v>45413</v>
          </cell>
        </row>
        <row r="1225">
          <cell r="A1225">
            <v>45420</v>
          </cell>
          <cell r="B1225" t="str">
            <v>Week19</v>
          </cell>
          <cell r="C1225">
            <v>45413</v>
          </cell>
        </row>
        <row r="1226">
          <cell r="A1226">
            <v>45421</v>
          </cell>
          <cell r="B1226" t="str">
            <v>Week19</v>
          </cell>
          <cell r="C1226">
            <v>45413</v>
          </cell>
        </row>
        <row r="1227">
          <cell r="A1227">
            <v>45422</v>
          </cell>
          <cell r="B1227" t="str">
            <v>Week19</v>
          </cell>
          <cell r="C1227">
            <v>45413</v>
          </cell>
        </row>
        <row r="1228">
          <cell r="A1228">
            <v>45423</v>
          </cell>
          <cell r="B1228" t="str">
            <v>Week19</v>
          </cell>
          <cell r="C1228">
            <v>45413</v>
          </cell>
        </row>
        <row r="1229">
          <cell r="A1229">
            <v>45424</v>
          </cell>
          <cell r="B1229" t="str">
            <v>Week19</v>
          </cell>
          <cell r="C1229">
            <v>45413</v>
          </cell>
        </row>
        <row r="1230">
          <cell r="A1230">
            <v>45425</v>
          </cell>
          <cell r="B1230" t="str">
            <v>Week20</v>
          </cell>
          <cell r="C1230">
            <v>45413</v>
          </cell>
        </row>
        <row r="1231">
          <cell r="A1231">
            <v>45426</v>
          </cell>
          <cell r="B1231" t="str">
            <v>Week20</v>
          </cell>
          <cell r="C1231">
            <v>45413</v>
          </cell>
        </row>
        <row r="1232">
          <cell r="A1232">
            <v>45427</v>
          </cell>
          <cell r="B1232" t="str">
            <v>Week20</v>
          </cell>
          <cell r="C1232">
            <v>45413</v>
          </cell>
        </row>
        <row r="1233">
          <cell r="A1233">
            <v>45428</v>
          </cell>
          <cell r="B1233" t="str">
            <v>Week20</v>
          </cell>
          <cell r="C1233">
            <v>45413</v>
          </cell>
        </row>
        <row r="1234">
          <cell r="A1234">
            <v>45429</v>
          </cell>
          <cell r="B1234" t="str">
            <v>Week20</v>
          </cell>
          <cell r="C1234">
            <v>45413</v>
          </cell>
        </row>
        <row r="1235">
          <cell r="A1235">
            <v>45430</v>
          </cell>
          <cell r="B1235" t="str">
            <v>Week20</v>
          </cell>
          <cell r="C1235">
            <v>45413</v>
          </cell>
        </row>
        <row r="1236">
          <cell r="A1236">
            <v>45431</v>
          </cell>
          <cell r="B1236" t="str">
            <v>Week20</v>
          </cell>
          <cell r="C1236">
            <v>45413</v>
          </cell>
        </row>
        <row r="1237">
          <cell r="A1237">
            <v>45432</v>
          </cell>
          <cell r="B1237" t="str">
            <v>Week21</v>
          </cell>
          <cell r="C1237">
            <v>45413</v>
          </cell>
        </row>
        <row r="1238">
          <cell r="A1238">
            <v>45433</v>
          </cell>
          <cell r="B1238" t="str">
            <v>Week21</v>
          </cell>
          <cell r="C1238">
            <v>45413</v>
          </cell>
        </row>
        <row r="1239">
          <cell r="A1239">
            <v>45434</v>
          </cell>
          <cell r="B1239" t="str">
            <v>Week21</v>
          </cell>
          <cell r="C1239">
            <v>45413</v>
          </cell>
        </row>
        <row r="1240">
          <cell r="A1240">
            <v>45435</v>
          </cell>
          <cell r="B1240" t="str">
            <v>Week21</v>
          </cell>
          <cell r="C1240">
            <v>45413</v>
          </cell>
        </row>
        <row r="1241">
          <cell r="A1241">
            <v>45436</v>
          </cell>
          <cell r="B1241" t="str">
            <v>Week21</v>
          </cell>
          <cell r="C1241">
            <v>45413</v>
          </cell>
        </row>
        <row r="1242">
          <cell r="A1242">
            <v>45437</v>
          </cell>
          <cell r="B1242" t="str">
            <v>Week21</v>
          </cell>
          <cell r="C1242">
            <v>45413</v>
          </cell>
        </row>
        <row r="1243">
          <cell r="A1243">
            <v>45438</v>
          </cell>
          <cell r="B1243" t="str">
            <v>Week21</v>
          </cell>
          <cell r="C1243">
            <v>45413</v>
          </cell>
        </row>
        <row r="1244">
          <cell r="A1244">
            <v>45439</v>
          </cell>
          <cell r="B1244" t="str">
            <v>Week22</v>
          </cell>
          <cell r="C1244">
            <v>45413</v>
          </cell>
        </row>
        <row r="1245">
          <cell r="A1245">
            <v>45440</v>
          </cell>
          <cell r="B1245" t="str">
            <v>Week22</v>
          </cell>
          <cell r="C1245">
            <v>45413</v>
          </cell>
        </row>
        <row r="1246">
          <cell r="A1246">
            <v>45441</v>
          </cell>
          <cell r="B1246" t="str">
            <v>Week22</v>
          </cell>
          <cell r="C1246">
            <v>45413</v>
          </cell>
        </row>
        <row r="1247">
          <cell r="A1247">
            <v>45442</v>
          </cell>
          <cell r="B1247" t="str">
            <v>Week22</v>
          </cell>
          <cell r="C1247">
            <v>45413</v>
          </cell>
        </row>
        <row r="1248">
          <cell r="A1248">
            <v>45443</v>
          </cell>
          <cell r="B1248" t="str">
            <v>Week22</v>
          </cell>
          <cell r="C1248">
            <v>45413</v>
          </cell>
        </row>
        <row r="1249">
          <cell r="A1249">
            <v>45444</v>
          </cell>
          <cell r="B1249" t="str">
            <v>Week22</v>
          </cell>
          <cell r="C1249">
            <v>45444</v>
          </cell>
        </row>
        <row r="1250">
          <cell r="A1250">
            <v>45445</v>
          </cell>
          <cell r="B1250" t="str">
            <v>Week22</v>
          </cell>
          <cell r="C1250">
            <v>45444</v>
          </cell>
        </row>
        <row r="1251">
          <cell r="A1251">
            <v>45446</v>
          </cell>
          <cell r="B1251" t="str">
            <v>Week23</v>
          </cell>
          <cell r="C1251">
            <v>45444</v>
          </cell>
        </row>
        <row r="1252">
          <cell r="A1252">
            <v>45447</v>
          </cell>
          <cell r="B1252" t="str">
            <v>Week23</v>
          </cell>
          <cell r="C1252">
            <v>45444</v>
          </cell>
        </row>
        <row r="1253">
          <cell r="A1253">
            <v>45448</v>
          </cell>
          <cell r="B1253" t="str">
            <v>Week23</v>
          </cell>
          <cell r="C1253">
            <v>45444</v>
          </cell>
        </row>
        <row r="1254">
          <cell r="A1254">
            <v>45449</v>
          </cell>
          <cell r="B1254" t="str">
            <v>Week23</v>
          </cell>
          <cell r="C1254">
            <v>45444</v>
          </cell>
        </row>
        <row r="1255">
          <cell r="A1255">
            <v>45450</v>
          </cell>
          <cell r="B1255" t="str">
            <v>Week23</v>
          </cell>
          <cell r="C1255">
            <v>45444</v>
          </cell>
        </row>
        <row r="1256">
          <cell r="A1256">
            <v>45451</v>
          </cell>
          <cell r="B1256" t="str">
            <v>Week23</v>
          </cell>
          <cell r="C1256">
            <v>45444</v>
          </cell>
        </row>
        <row r="1257">
          <cell r="A1257">
            <v>45452</v>
          </cell>
          <cell r="B1257" t="str">
            <v>Week23</v>
          </cell>
          <cell r="C1257">
            <v>45444</v>
          </cell>
        </row>
        <row r="1258">
          <cell r="A1258">
            <v>45453</v>
          </cell>
          <cell r="B1258" t="str">
            <v>Week24</v>
          </cell>
          <cell r="C1258">
            <v>45444</v>
          </cell>
        </row>
        <row r="1259">
          <cell r="A1259">
            <v>45454</v>
          </cell>
          <cell r="B1259" t="str">
            <v>Week24</v>
          </cell>
          <cell r="C1259">
            <v>45444</v>
          </cell>
        </row>
        <row r="1260">
          <cell r="A1260">
            <v>45455</v>
          </cell>
          <cell r="B1260" t="str">
            <v>Week24</v>
          </cell>
          <cell r="C1260">
            <v>45444</v>
          </cell>
        </row>
        <row r="1261">
          <cell r="A1261">
            <v>45456</v>
          </cell>
          <cell r="B1261" t="str">
            <v>Week24</v>
          </cell>
          <cell r="C1261">
            <v>45444</v>
          </cell>
        </row>
        <row r="1262">
          <cell r="A1262">
            <v>45457</v>
          </cell>
          <cell r="B1262" t="str">
            <v>Week24</v>
          </cell>
          <cell r="C1262">
            <v>45444</v>
          </cell>
        </row>
        <row r="1263">
          <cell r="A1263">
            <v>45458</v>
          </cell>
          <cell r="B1263" t="str">
            <v>Week24</v>
          </cell>
          <cell r="C1263">
            <v>45444</v>
          </cell>
        </row>
        <row r="1264">
          <cell r="A1264">
            <v>45459</v>
          </cell>
          <cell r="B1264" t="str">
            <v>Week24</v>
          </cell>
          <cell r="C1264">
            <v>45444</v>
          </cell>
        </row>
        <row r="1265">
          <cell r="A1265">
            <v>45460</v>
          </cell>
          <cell r="B1265" t="str">
            <v>Week25</v>
          </cell>
          <cell r="C1265">
            <v>45444</v>
          </cell>
        </row>
        <row r="1266">
          <cell r="A1266">
            <v>45461</v>
          </cell>
          <cell r="B1266" t="str">
            <v>Week25</v>
          </cell>
          <cell r="C1266">
            <v>45444</v>
          </cell>
        </row>
        <row r="1267">
          <cell r="A1267">
            <v>45462</v>
          </cell>
          <cell r="B1267" t="str">
            <v>Week25</v>
          </cell>
          <cell r="C1267">
            <v>45444</v>
          </cell>
        </row>
        <row r="1268">
          <cell r="A1268">
            <v>45463</v>
          </cell>
          <cell r="B1268" t="str">
            <v>Week25</v>
          </cell>
          <cell r="C1268">
            <v>45444</v>
          </cell>
        </row>
        <row r="1269">
          <cell r="A1269">
            <v>45464</v>
          </cell>
          <cell r="B1269" t="str">
            <v>Week25</v>
          </cell>
          <cell r="C1269">
            <v>45444</v>
          </cell>
        </row>
        <row r="1270">
          <cell r="A1270">
            <v>45465</v>
          </cell>
          <cell r="B1270" t="str">
            <v>Week25</v>
          </cell>
          <cell r="C1270">
            <v>45444</v>
          </cell>
        </row>
        <row r="1271">
          <cell r="A1271">
            <v>45466</v>
          </cell>
          <cell r="B1271" t="str">
            <v>Week25</v>
          </cell>
          <cell r="C1271">
            <v>45444</v>
          </cell>
        </row>
        <row r="1272">
          <cell r="A1272">
            <v>45467</v>
          </cell>
          <cell r="B1272" t="str">
            <v>Week26</v>
          </cell>
          <cell r="C1272">
            <v>45444</v>
          </cell>
        </row>
        <row r="1273">
          <cell r="A1273">
            <v>45468</v>
          </cell>
          <cell r="B1273" t="str">
            <v>Week26</v>
          </cell>
          <cell r="C1273">
            <v>45444</v>
          </cell>
        </row>
        <row r="1274">
          <cell r="A1274">
            <v>45469</v>
          </cell>
          <cell r="B1274" t="str">
            <v>Week26</v>
          </cell>
          <cell r="C1274">
            <v>45444</v>
          </cell>
        </row>
        <row r="1275">
          <cell r="A1275">
            <v>45470</v>
          </cell>
          <cell r="B1275" t="str">
            <v>Week26</v>
          </cell>
          <cell r="C1275">
            <v>45444</v>
          </cell>
        </row>
        <row r="1276">
          <cell r="A1276">
            <v>45471</v>
          </cell>
          <cell r="B1276" t="str">
            <v>Week26</v>
          </cell>
          <cell r="C1276">
            <v>45444</v>
          </cell>
        </row>
        <row r="1277">
          <cell r="A1277">
            <v>45472</v>
          </cell>
          <cell r="B1277" t="str">
            <v>Week26</v>
          </cell>
          <cell r="C1277">
            <v>45444</v>
          </cell>
        </row>
        <row r="1278">
          <cell r="A1278">
            <v>45473</v>
          </cell>
          <cell r="B1278" t="str">
            <v>Week26</v>
          </cell>
          <cell r="C1278">
            <v>45444</v>
          </cell>
        </row>
        <row r="1279">
          <cell r="A1279">
            <v>45474</v>
          </cell>
          <cell r="B1279" t="str">
            <v>Week27</v>
          </cell>
          <cell r="C1279">
            <v>45474</v>
          </cell>
        </row>
        <row r="1280">
          <cell r="A1280">
            <v>45475</v>
          </cell>
          <cell r="B1280" t="str">
            <v>Week27</v>
          </cell>
          <cell r="C1280">
            <v>45474</v>
          </cell>
        </row>
        <row r="1281">
          <cell r="A1281">
            <v>45476</v>
          </cell>
          <cell r="B1281" t="str">
            <v>Week27</v>
          </cell>
          <cell r="C1281">
            <v>45474</v>
          </cell>
        </row>
        <row r="1282">
          <cell r="A1282">
            <v>45477</v>
          </cell>
          <cell r="B1282" t="str">
            <v>Week27</v>
          </cell>
          <cell r="C1282">
            <v>45474</v>
          </cell>
        </row>
        <row r="1283">
          <cell r="A1283">
            <v>45478</v>
          </cell>
          <cell r="B1283" t="str">
            <v>Week27</v>
          </cell>
          <cell r="C1283">
            <v>45474</v>
          </cell>
        </row>
        <row r="1284">
          <cell r="A1284">
            <v>45479</v>
          </cell>
          <cell r="B1284" t="str">
            <v>Week27</v>
          </cell>
          <cell r="C1284">
            <v>45474</v>
          </cell>
        </row>
        <row r="1285">
          <cell r="A1285">
            <v>45480</v>
          </cell>
          <cell r="B1285" t="str">
            <v>Week27</v>
          </cell>
          <cell r="C1285">
            <v>45474</v>
          </cell>
        </row>
        <row r="1286">
          <cell r="A1286">
            <v>45481</v>
          </cell>
          <cell r="B1286" t="str">
            <v>Week28</v>
          </cell>
          <cell r="C1286">
            <v>45474</v>
          </cell>
        </row>
        <row r="1287">
          <cell r="A1287">
            <v>45482</v>
          </cell>
          <cell r="B1287" t="str">
            <v>Week28</v>
          </cell>
          <cell r="C1287">
            <v>45474</v>
          </cell>
        </row>
        <row r="1288">
          <cell r="A1288">
            <v>45483</v>
          </cell>
          <cell r="B1288" t="str">
            <v>Week28</v>
          </cell>
          <cell r="C1288">
            <v>45474</v>
          </cell>
        </row>
        <row r="1289">
          <cell r="A1289">
            <v>45484</v>
          </cell>
          <cell r="B1289" t="str">
            <v>Week28</v>
          </cell>
          <cell r="C1289">
            <v>45474</v>
          </cell>
        </row>
        <row r="1290">
          <cell r="A1290">
            <v>45485</v>
          </cell>
          <cell r="B1290" t="str">
            <v>Week28</v>
          </cell>
          <cell r="C1290">
            <v>45474</v>
          </cell>
        </row>
        <row r="1291">
          <cell r="A1291">
            <v>45486</v>
          </cell>
          <cell r="B1291" t="str">
            <v>Week28</v>
          </cell>
          <cell r="C1291">
            <v>45474</v>
          </cell>
        </row>
        <row r="1292">
          <cell r="A1292">
            <v>45487</v>
          </cell>
          <cell r="B1292" t="str">
            <v>Week28</v>
          </cell>
          <cell r="C1292">
            <v>45474</v>
          </cell>
        </row>
        <row r="1293">
          <cell r="A1293">
            <v>45488</v>
          </cell>
          <cell r="B1293" t="str">
            <v>Week29</v>
          </cell>
          <cell r="C1293">
            <v>45474</v>
          </cell>
        </row>
        <row r="1294">
          <cell r="A1294">
            <v>45489</v>
          </cell>
          <cell r="B1294" t="str">
            <v>Week29</v>
          </cell>
          <cell r="C1294">
            <v>45474</v>
          </cell>
        </row>
        <row r="1295">
          <cell r="A1295">
            <v>45490</v>
          </cell>
          <cell r="B1295" t="str">
            <v>Week29</v>
          </cell>
          <cell r="C1295">
            <v>45474</v>
          </cell>
        </row>
        <row r="1296">
          <cell r="A1296">
            <v>45491</v>
          </cell>
          <cell r="B1296" t="str">
            <v>Week29</v>
          </cell>
          <cell r="C1296">
            <v>45474</v>
          </cell>
        </row>
        <row r="1297">
          <cell r="A1297">
            <v>45492</v>
          </cell>
          <cell r="B1297" t="str">
            <v>Week29</v>
          </cell>
          <cell r="C1297">
            <v>45474</v>
          </cell>
        </row>
        <row r="1298">
          <cell r="A1298">
            <v>45493</v>
          </cell>
          <cell r="B1298" t="str">
            <v>Week29</v>
          </cell>
          <cell r="C1298">
            <v>45474</v>
          </cell>
        </row>
        <row r="1299">
          <cell r="A1299">
            <v>45494</v>
          </cell>
          <cell r="B1299" t="str">
            <v>Week29</v>
          </cell>
          <cell r="C1299">
            <v>45474</v>
          </cell>
        </row>
        <row r="1300">
          <cell r="A1300">
            <v>45495</v>
          </cell>
          <cell r="B1300" t="str">
            <v>Week30</v>
          </cell>
          <cell r="C1300">
            <v>45474</v>
          </cell>
        </row>
        <row r="1301">
          <cell r="A1301">
            <v>45496</v>
          </cell>
          <cell r="B1301" t="str">
            <v>Week30</v>
          </cell>
          <cell r="C1301">
            <v>45474</v>
          </cell>
        </row>
        <row r="1302">
          <cell r="A1302">
            <v>45497</v>
          </cell>
          <cell r="B1302" t="str">
            <v>Week30</v>
          </cell>
          <cell r="C1302">
            <v>45474</v>
          </cell>
        </row>
        <row r="1303">
          <cell r="A1303">
            <v>45498</v>
          </cell>
          <cell r="B1303" t="str">
            <v>Week30</v>
          </cell>
          <cell r="C1303">
            <v>45474</v>
          </cell>
        </row>
        <row r="1304">
          <cell r="A1304">
            <v>45499</v>
          </cell>
          <cell r="B1304" t="str">
            <v>Week30</v>
          </cell>
          <cell r="C1304">
            <v>45474</v>
          </cell>
        </row>
        <row r="1305">
          <cell r="A1305">
            <v>45500</v>
          </cell>
          <cell r="B1305" t="str">
            <v>Week30</v>
          </cell>
          <cell r="C1305">
            <v>45474</v>
          </cell>
        </row>
        <row r="1306">
          <cell r="A1306">
            <v>45501</v>
          </cell>
          <cell r="B1306" t="str">
            <v>Week30</v>
          </cell>
          <cell r="C1306">
            <v>45474</v>
          </cell>
        </row>
        <row r="1307">
          <cell r="A1307">
            <v>45502</v>
          </cell>
          <cell r="B1307" t="str">
            <v>Week31</v>
          </cell>
          <cell r="C1307">
            <v>45474</v>
          </cell>
        </row>
        <row r="1308">
          <cell r="A1308">
            <v>45503</v>
          </cell>
          <cell r="B1308" t="str">
            <v>Week31</v>
          </cell>
          <cell r="C1308">
            <v>45474</v>
          </cell>
        </row>
        <row r="1309">
          <cell r="A1309">
            <v>45504</v>
          </cell>
          <cell r="B1309" t="str">
            <v>Week31</v>
          </cell>
          <cell r="C1309">
            <v>45474</v>
          </cell>
        </row>
        <row r="1310">
          <cell r="A1310">
            <v>45505</v>
          </cell>
          <cell r="B1310" t="str">
            <v>Week31</v>
          </cell>
          <cell r="C1310">
            <v>45505</v>
          </cell>
        </row>
        <row r="1311">
          <cell r="A1311">
            <v>45506</v>
          </cell>
          <cell r="B1311" t="str">
            <v>Week31</v>
          </cell>
          <cell r="C1311">
            <v>45505</v>
          </cell>
        </row>
        <row r="1312">
          <cell r="A1312">
            <v>45507</v>
          </cell>
          <cell r="B1312" t="str">
            <v>Week31</v>
          </cell>
          <cell r="C1312">
            <v>45505</v>
          </cell>
        </row>
        <row r="1313">
          <cell r="A1313">
            <v>45508</v>
          </cell>
          <cell r="B1313" t="str">
            <v>Week31</v>
          </cell>
          <cell r="C1313">
            <v>45505</v>
          </cell>
        </row>
        <row r="1314">
          <cell r="A1314">
            <v>45509</v>
          </cell>
          <cell r="B1314" t="str">
            <v>Week32</v>
          </cell>
          <cell r="C1314">
            <v>45505</v>
          </cell>
        </row>
        <row r="1315">
          <cell r="A1315">
            <v>45510</v>
          </cell>
          <cell r="B1315" t="str">
            <v>Week32</v>
          </cell>
          <cell r="C1315">
            <v>45505</v>
          </cell>
        </row>
        <row r="1316">
          <cell r="A1316">
            <v>45511</v>
          </cell>
          <cell r="B1316" t="str">
            <v>Week32</v>
          </cell>
          <cell r="C1316">
            <v>45505</v>
          </cell>
        </row>
        <row r="1317">
          <cell r="A1317">
            <v>45512</v>
          </cell>
          <cell r="B1317" t="str">
            <v>Week32</v>
          </cell>
          <cell r="C1317">
            <v>45505</v>
          </cell>
        </row>
        <row r="1318">
          <cell r="A1318">
            <v>45513</v>
          </cell>
          <cell r="B1318" t="str">
            <v>Week32</v>
          </cell>
          <cell r="C1318">
            <v>45505</v>
          </cell>
        </row>
        <row r="1319">
          <cell r="A1319">
            <v>45514</v>
          </cell>
          <cell r="B1319" t="str">
            <v>Week32</v>
          </cell>
          <cell r="C1319">
            <v>45505</v>
          </cell>
        </row>
        <row r="1320">
          <cell r="A1320">
            <v>45515</v>
          </cell>
          <cell r="B1320" t="str">
            <v>Week32</v>
          </cell>
          <cell r="C1320">
            <v>45505</v>
          </cell>
        </row>
        <row r="1321">
          <cell r="A1321">
            <v>45516</v>
          </cell>
          <cell r="B1321" t="str">
            <v>Week33</v>
          </cell>
          <cell r="C1321">
            <v>45505</v>
          </cell>
        </row>
        <row r="1322">
          <cell r="A1322">
            <v>45517</v>
          </cell>
          <cell r="B1322" t="str">
            <v>Week33</v>
          </cell>
          <cell r="C1322">
            <v>45505</v>
          </cell>
        </row>
        <row r="1323">
          <cell r="A1323">
            <v>45518</v>
          </cell>
          <cell r="B1323" t="str">
            <v>Week33</v>
          </cell>
          <cell r="C1323">
            <v>45505</v>
          </cell>
        </row>
        <row r="1324">
          <cell r="A1324">
            <v>45519</v>
          </cell>
          <cell r="B1324" t="str">
            <v>Week33</v>
          </cell>
          <cell r="C1324">
            <v>45505</v>
          </cell>
        </row>
        <row r="1325">
          <cell r="A1325">
            <v>45520</v>
          </cell>
          <cell r="B1325" t="str">
            <v>Week33</v>
          </cell>
          <cell r="C1325">
            <v>45505</v>
          </cell>
        </row>
        <row r="1326">
          <cell r="A1326">
            <v>45521</v>
          </cell>
          <cell r="B1326" t="str">
            <v>Week33</v>
          </cell>
          <cell r="C1326">
            <v>45505</v>
          </cell>
        </row>
        <row r="1327">
          <cell r="A1327">
            <v>45522</v>
          </cell>
          <cell r="B1327" t="str">
            <v>Week33</v>
          </cell>
          <cell r="C1327">
            <v>45505</v>
          </cell>
        </row>
        <row r="1328">
          <cell r="A1328">
            <v>45523</v>
          </cell>
          <cell r="B1328" t="str">
            <v>Week34</v>
          </cell>
          <cell r="C1328">
            <v>45505</v>
          </cell>
        </row>
        <row r="1329">
          <cell r="A1329">
            <v>45524</v>
          </cell>
          <cell r="B1329" t="str">
            <v>Week34</v>
          </cell>
          <cell r="C1329">
            <v>45505</v>
          </cell>
        </row>
        <row r="1330">
          <cell r="A1330">
            <v>45525</v>
          </cell>
          <cell r="B1330" t="str">
            <v>Week34</v>
          </cell>
          <cell r="C1330">
            <v>45505</v>
          </cell>
        </row>
        <row r="1331">
          <cell r="A1331">
            <v>45526</v>
          </cell>
          <cell r="B1331" t="str">
            <v>Week34</v>
          </cell>
          <cell r="C1331">
            <v>45505</v>
          </cell>
        </row>
        <row r="1332">
          <cell r="A1332">
            <v>45527</v>
          </cell>
          <cell r="B1332" t="str">
            <v>Week34</v>
          </cell>
          <cell r="C1332">
            <v>45505</v>
          </cell>
        </row>
        <row r="1333">
          <cell r="A1333">
            <v>45528</v>
          </cell>
          <cell r="B1333" t="str">
            <v>Week34</v>
          </cell>
          <cell r="C1333">
            <v>45505</v>
          </cell>
        </row>
        <row r="1334">
          <cell r="A1334">
            <v>45529</v>
          </cell>
          <cell r="B1334" t="str">
            <v>Week34</v>
          </cell>
          <cell r="C1334">
            <v>45505</v>
          </cell>
        </row>
        <row r="1335">
          <cell r="A1335">
            <v>45530</v>
          </cell>
          <cell r="B1335" t="str">
            <v>Week35</v>
          </cell>
          <cell r="C1335">
            <v>45505</v>
          </cell>
        </row>
        <row r="1336">
          <cell r="A1336">
            <v>45531</v>
          </cell>
          <cell r="B1336" t="str">
            <v>Week35</v>
          </cell>
          <cell r="C1336">
            <v>45505</v>
          </cell>
        </row>
        <row r="1337">
          <cell r="A1337">
            <v>45532</v>
          </cell>
          <cell r="B1337" t="str">
            <v>Week35</v>
          </cell>
          <cell r="C1337">
            <v>45505</v>
          </cell>
        </row>
        <row r="1338">
          <cell r="A1338">
            <v>45533</v>
          </cell>
          <cell r="B1338" t="str">
            <v>Week35</v>
          </cell>
          <cell r="C1338">
            <v>45505</v>
          </cell>
        </row>
        <row r="1339">
          <cell r="A1339">
            <v>45534</v>
          </cell>
          <cell r="B1339" t="str">
            <v>Week35</v>
          </cell>
          <cell r="C1339">
            <v>45505</v>
          </cell>
        </row>
        <row r="1340">
          <cell r="A1340">
            <v>45535</v>
          </cell>
          <cell r="B1340" t="str">
            <v>Week35</v>
          </cell>
          <cell r="C1340">
            <v>45505</v>
          </cell>
        </row>
        <row r="1341">
          <cell r="A1341">
            <v>45536</v>
          </cell>
          <cell r="B1341" t="str">
            <v>Week35</v>
          </cell>
          <cell r="C1341">
            <v>45536</v>
          </cell>
        </row>
        <row r="1342">
          <cell r="A1342">
            <v>45537</v>
          </cell>
          <cell r="B1342" t="str">
            <v>Week36</v>
          </cell>
          <cell r="C1342">
            <v>45536</v>
          </cell>
        </row>
        <row r="1343">
          <cell r="A1343">
            <v>45538</v>
          </cell>
          <cell r="B1343" t="str">
            <v>Week36</v>
          </cell>
          <cell r="C1343">
            <v>45536</v>
          </cell>
        </row>
        <row r="1344">
          <cell r="A1344">
            <v>45539</v>
          </cell>
          <cell r="B1344" t="str">
            <v>Week36</v>
          </cell>
          <cell r="C1344">
            <v>45536</v>
          </cell>
        </row>
        <row r="1345">
          <cell r="A1345">
            <v>45540</v>
          </cell>
          <cell r="B1345" t="str">
            <v>Week36</v>
          </cell>
          <cell r="C1345">
            <v>45536</v>
          </cell>
        </row>
        <row r="1346">
          <cell r="A1346">
            <v>45541</v>
          </cell>
          <cell r="B1346" t="str">
            <v>Week36</v>
          </cell>
          <cell r="C1346">
            <v>45536</v>
          </cell>
        </row>
        <row r="1347">
          <cell r="A1347">
            <v>45542</v>
          </cell>
          <cell r="B1347" t="str">
            <v>Week36</v>
          </cell>
          <cell r="C1347">
            <v>45536</v>
          </cell>
        </row>
        <row r="1348">
          <cell r="A1348">
            <v>45543</v>
          </cell>
          <cell r="B1348" t="str">
            <v>Week36</v>
          </cell>
          <cell r="C1348">
            <v>45536</v>
          </cell>
        </row>
        <row r="1349">
          <cell r="A1349">
            <v>45544</v>
          </cell>
          <cell r="B1349" t="str">
            <v>Week37</v>
          </cell>
          <cell r="C1349">
            <v>45536</v>
          </cell>
        </row>
        <row r="1350">
          <cell r="A1350">
            <v>45545</v>
          </cell>
          <cell r="B1350" t="str">
            <v>Week37</v>
          </cell>
          <cell r="C1350">
            <v>45536</v>
          </cell>
        </row>
        <row r="1351">
          <cell r="A1351">
            <v>45546</v>
          </cell>
          <cell r="B1351" t="str">
            <v>Week37</v>
          </cell>
          <cell r="C1351">
            <v>45536</v>
          </cell>
        </row>
        <row r="1352">
          <cell r="A1352">
            <v>45547</v>
          </cell>
          <cell r="B1352" t="str">
            <v>Week37</v>
          </cell>
          <cell r="C1352">
            <v>45536</v>
          </cell>
        </row>
        <row r="1353">
          <cell r="A1353">
            <v>45548</v>
          </cell>
          <cell r="B1353" t="str">
            <v>Week37</v>
          </cell>
          <cell r="C1353">
            <v>45536</v>
          </cell>
        </row>
        <row r="1354">
          <cell r="A1354">
            <v>45549</v>
          </cell>
          <cell r="B1354" t="str">
            <v>Week37</v>
          </cell>
          <cell r="C1354">
            <v>45536</v>
          </cell>
        </row>
        <row r="1355">
          <cell r="A1355">
            <v>45550</v>
          </cell>
          <cell r="B1355" t="str">
            <v>Week37</v>
          </cell>
          <cell r="C1355">
            <v>45536</v>
          </cell>
        </row>
        <row r="1356">
          <cell r="A1356">
            <v>45551</v>
          </cell>
          <cell r="B1356" t="str">
            <v>Week38</v>
          </cell>
          <cell r="C1356">
            <v>45536</v>
          </cell>
        </row>
        <row r="1357">
          <cell r="A1357">
            <v>45552</v>
          </cell>
          <cell r="B1357" t="str">
            <v>Week38</v>
          </cell>
          <cell r="C1357">
            <v>45536</v>
          </cell>
        </row>
        <row r="1358">
          <cell r="A1358">
            <v>45553</v>
          </cell>
          <cell r="B1358" t="str">
            <v>Week38</v>
          </cell>
          <cell r="C1358">
            <v>45536</v>
          </cell>
        </row>
        <row r="1359">
          <cell r="A1359">
            <v>45554</v>
          </cell>
          <cell r="B1359" t="str">
            <v>Week38</v>
          </cell>
          <cell r="C1359">
            <v>45536</v>
          </cell>
        </row>
        <row r="1360">
          <cell r="A1360">
            <v>45555</v>
          </cell>
          <cell r="B1360" t="str">
            <v>Week38</v>
          </cell>
          <cell r="C1360">
            <v>45536</v>
          </cell>
        </row>
        <row r="1361">
          <cell r="A1361">
            <v>45556</v>
          </cell>
          <cell r="B1361" t="str">
            <v>Week38</v>
          </cell>
          <cell r="C1361">
            <v>45536</v>
          </cell>
        </row>
        <row r="1362">
          <cell r="A1362">
            <v>45557</v>
          </cell>
          <cell r="B1362" t="str">
            <v>Week38</v>
          </cell>
          <cell r="C1362">
            <v>45536</v>
          </cell>
        </row>
        <row r="1363">
          <cell r="A1363">
            <v>45558</v>
          </cell>
          <cell r="B1363" t="str">
            <v>Week39</v>
          </cell>
          <cell r="C1363">
            <v>45536</v>
          </cell>
        </row>
        <row r="1364">
          <cell r="A1364">
            <v>45559</v>
          </cell>
          <cell r="B1364" t="str">
            <v>Week39</v>
          </cell>
          <cell r="C1364">
            <v>45536</v>
          </cell>
        </row>
        <row r="1365">
          <cell r="A1365">
            <v>45560</v>
          </cell>
          <cell r="B1365" t="str">
            <v>Week39</v>
          </cell>
          <cell r="C1365">
            <v>45536</v>
          </cell>
        </row>
        <row r="1366">
          <cell r="A1366">
            <v>45561</v>
          </cell>
          <cell r="B1366" t="str">
            <v>Week39</v>
          </cell>
          <cell r="C1366">
            <v>45536</v>
          </cell>
        </row>
        <row r="1367">
          <cell r="A1367">
            <v>45562</v>
          </cell>
          <cell r="B1367" t="str">
            <v>Week39</v>
          </cell>
          <cell r="C1367">
            <v>45536</v>
          </cell>
        </row>
        <row r="1368">
          <cell r="A1368">
            <v>45563</v>
          </cell>
          <cell r="B1368" t="str">
            <v>Week39</v>
          </cell>
          <cell r="C1368">
            <v>45536</v>
          </cell>
        </row>
        <row r="1369">
          <cell r="A1369">
            <v>45564</v>
          </cell>
          <cell r="B1369" t="str">
            <v>Week39</v>
          </cell>
          <cell r="C1369">
            <v>45536</v>
          </cell>
        </row>
        <row r="1370">
          <cell r="A1370">
            <v>45565</v>
          </cell>
          <cell r="B1370" t="str">
            <v>Week40</v>
          </cell>
          <cell r="C1370">
            <v>45536</v>
          </cell>
        </row>
        <row r="1371">
          <cell r="A1371">
            <v>45566</v>
          </cell>
          <cell r="B1371" t="str">
            <v>Week40</v>
          </cell>
          <cell r="C1371">
            <v>45566</v>
          </cell>
        </row>
        <row r="1372">
          <cell r="A1372">
            <v>45567</v>
          </cell>
          <cell r="B1372" t="str">
            <v>Week40</v>
          </cell>
          <cell r="C1372">
            <v>45566</v>
          </cell>
        </row>
        <row r="1373">
          <cell r="A1373">
            <v>45568</v>
          </cell>
          <cell r="B1373" t="str">
            <v>Week40</v>
          </cell>
          <cell r="C1373">
            <v>45566</v>
          </cell>
        </row>
        <row r="1374">
          <cell r="A1374">
            <v>45569</v>
          </cell>
          <cell r="B1374" t="str">
            <v>Week40</v>
          </cell>
          <cell r="C1374">
            <v>45566</v>
          </cell>
        </row>
        <row r="1375">
          <cell r="A1375">
            <v>45570</v>
          </cell>
          <cell r="B1375" t="str">
            <v>Week40</v>
          </cell>
          <cell r="C1375">
            <v>45566</v>
          </cell>
        </row>
        <row r="1376">
          <cell r="A1376">
            <v>45571</v>
          </cell>
          <cell r="B1376" t="str">
            <v>Week40</v>
          </cell>
          <cell r="C1376">
            <v>45566</v>
          </cell>
        </row>
        <row r="1377">
          <cell r="A1377">
            <v>45572</v>
          </cell>
          <cell r="B1377" t="str">
            <v>Week41</v>
          </cell>
          <cell r="C1377">
            <v>45566</v>
          </cell>
        </row>
        <row r="1378">
          <cell r="A1378">
            <v>45573</v>
          </cell>
          <cell r="B1378" t="str">
            <v>Week41</v>
          </cell>
          <cell r="C1378">
            <v>45566</v>
          </cell>
        </row>
        <row r="1379">
          <cell r="A1379">
            <v>45574</v>
          </cell>
          <cell r="B1379" t="str">
            <v>Week41</v>
          </cell>
          <cell r="C1379">
            <v>45566</v>
          </cell>
        </row>
        <row r="1380">
          <cell r="A1380">
            <v>45575</v>
          </cell>
          <cell r="B1380" t="str">
            <v>Week41</v>
          </cell>
          <cell r="C1380">
            <v>45566</v>
          </cell>
        </row>
        <row r="1381">
          <cell r="A1381">
            <v>45576</v>
          </cell>
          <cell r="B1381" t="str">
            <v>Week41</v>
          </cell>
          <cell r="C1381">
            <v>45566</v>
          </cell>
        </row>
        <row r="1382">
          <cell r="A1382">
            <v>45577</v>
          </cell>
          <cell r="B1382" t="str">
            <v>Week41</v>
          </cell>
          <cell r="C1382">
            <v>45566</v>
          </cell>
        </row>
        <row r="1383">
          <cell r="A1383">
            <v>45578</v>
          </cell>
          <cell r="B1383" t="str">
            <v>Week41</v>
          </cell>
          <cell r="C1383">
            <v>45566</v>
          </cell>
        </row>
        <row r="1384">
          <cell r="A1384">
            <v>45579</v>
          </cell>
          <cell r="B1384" t="str">
            <v>Week42</v>
          </cell>
          <cell r="C1384">
            <v>45566</v>
          </cell>
        </row>
        <row r="1385">
          <cell r="A1385">
            <v>45580</v>
          </cell>
          <cell r="B1385" t="str">
            <v>Week42</v>
          </cell>
          <cell r="C1385">
            <v>45566</v>
          </cell>
        </row>
        <row r="1386">
          <cell r="A1386">
            <v>45581</v>
          </cell>
          <cell r="B1386" t="str">
            <v>Week42</v>
          </cell>
          <cell r="C1386">
            <v>45566</v>
          </cell>
        </row>
        <row r="1387">
          <cell r="A1387">
            <v>45582</v>
          </cell>
          <cell r="B1387" t="str">
            <v>Week42</v>
          </cell>
          <cell r="C1387">
            <v>45566</v>
          </cell>
        </row>
        <row r="1388">
          <cell r="A1388">
            <v>45583</v>
          </cell>
          <cell r="B1388" t="str">
            <v>Week42</v>
          </cell>
          <cell r="C1388">
            <v>45566</v>
          </cell>
        </row>
        <row r="1389">
          <cell r="A1389">
            <v>45584</v>
          </cell>
          <cell r="B1389" t="str">
            <v>Week42</v>
          </cell>
          <cell r="C1389">
            <v>45566</v>
          </cell>
        </row>
        <row r="1390">
          <cell r="A1390">
            <v>45585</v>
          </cell>
          <cell r="B1390" t="str">
            <v>Week42</v>
          </cell>
          <cell r="C1390">
            <v>45566</v>
          </cell>
        </row>
        <row r="1391">
          <cell r="A1391">
            <v>45586</v>
          </cell>
          <cell r="B1391" t="str">
            <v>Week43</v>
          </cell>
          <cell r="C1391">
            <v>45566</v>
          </cell>
        </row>
        <row r="1392">
          <cell r="A1392">
            <v>45587</v>
          </cell>
          <cell r="B1392" t="str">
            <v>Week43</v>
          </cell>
          <cell r="C1392">
            <v>45566</v>
          </cell>
        </row>
        <row r="1393">
          <cell r="A1393">
            <v>45588</v>
          </cell>
          <cell r="B1393" t="str">
            <v>Week43</v>
          </cell>
          <cell r="C1393">
            <v>45566</v>
          </cell>
        </row>
        <row r="1394">
          <cell r="A1394">
            <v>45589</v>
          </cell>
          <cell r="B1394" t="str">
            <v>Week43</v>
          </cell>
          <cell r="C1394">
            <v>45566</v>
          </cell>
        </row>
        <row r="1395">
          <cell r="A1395">
            <v>45590</v>
          </cell>
          <cell r="B1395" t="str">
            <v>Week43</v>
          </cell>
          <cell r="C1395">
            <v>45566</v>
          </cell>
        </row>
        <row r="1396">
          <cell r="A1396">
            <v>45591</v>
          </cell>
          <cell r="B1396" t="str">
            <v>Week43</v>
          </cell>
          <cell r="C1396">
            <v>45566</v>
          </cell>
        </row>
        <row r="1397">
          <cell r="A1397">
            <v>45592</v>
          </cell>
          <cell r="B1397" t="str">
            <v>Week43</v>
          </cell>
          <cell r="C1397">
            <v>45566</v>
          </cell>
        </row>
        <row r="1398">
          <cell r="A1398">
            <v>45593</v>
          </cell>
          <cell r="B1398" t="str">
            <v>Week44</v>
          </cell>
          <cell r="C1398">
            <v>45566</v>
          </cell>
        </row>
        <row r="1399">
          <cell r="A1399">
            <v>45594</v>
          </cell>
          <cell r="B1399" t="str">
            <v>Week44</v>
          </cell>
          <cell r="C1399">
            <v>45566</v>
          </cell>
        </row>
        <row r="1400">
          <cell r="A1400">
            <v>45595</v>
          </cell>
          <cell r="B1400" t="str">
            <v>Week44</v>
          </cell>
          <cell r="C1400">
            <v>45566</v>
          </cell>
        </row>
        <row r="1401">
          <cell r="A1401">
            <v>45596</v>
          </cell>
          <cell r="B1401" t="str">
            <v>Week44</v>
          </cell>
          <cell r="C1401">
            <v>45566</v>
          </cell>
        </row>
        <row r="1402">
          <cell r="A1402">
            <v>45597</v>
          </cell>
          <cell r="B1402" t="str">
            <v>Week44</v>
          </cell>
          <cell r="C1402">
            <v>45597</v>
          </cell>
        </row>
        <row r="1403">
          <cell r="A1403">
            <v>45598</v>
          </cell>
          <cell r="B1403" t="str">
            <v>Week44</v>
          </cell>
          <cell r="C1403">
            <v>45597</v>
          </cell>
        </row>
        <row r="1404">
          <cell r="A1404">
            <v>45599</v>
          </cell>
          <cell r="B1404" t="str">
            <v>Week44</v>
          </cell>
          <cell r="C1404">
            <v>45597</v>
          </cell>
        </row>
        <row r="1405">
          <cell r="A1405">
            <v>45600</v>
          </cell>
          <cell r="B1405" t="str">
            <v>Week45</v>
          </cell>
          <cell r="C1405">
            <v>45597</v>
          </cell>
        </row>
        <row r="1406">
          <cell r="A1406">
            <v>45601</v>
          </cell>
          <cell r="B1406" t="str">
            <v>Week45</v>
          </cell>
          <cell r="C1406">
            <v>45597</v>
          </cell>
        </row>
        <row r="1407">
          <cell r="A1407">
            <v>45602</v>
          </cell>
          <cell r="B1407" t="str">
            <v>Week45</v>
          </cell>
          <cell r="C1407">
            <v>45597</v>
          </cell>
        </row>
        <row r="1408">
          <cell r="A1408">
            <v>45603</v>
          </cell>
          <cell r="B1408" t="str">
            <v>Week45</v>
          </cell>
          <cell r="C1408">
            <v>45597</v>
          </cell>
        </row>
        <row r="1409">
          <cell r="A1409">
            <v>45604</v>
          </cell>
          <cell r="B1409" t="str">
            <v>Week45</v>
          </cell>
          <cell r="C1409">
            <v>45597</v>
          </cell>
        </row>
        <row r="1410">
          <cell r="A1410">
            <v>45605</v>
          </cell>
          <cell r="B1410" t="str">
            <v>Week45</v>
          </cell>
          <cell r="C1410">
            <v>45597</v>
          </cell>
        </row>
        <row r="1411">
          <cell r="A1411">
            <v>45606</v>
          </cell>
          <cell r="B1411" t="str">
            <v>Week45</v>
          </cell>
          <cell r="C1411">
            <v>45597</v>
          </cell>
        </row>
        <row r="1412">
          <cell r="A1412">
            <v>45607</v>
          </cell>
          <cell r="B1412" t="str">
            <v>Week46</v>
          </cell>
          <cell r="C1412">
            <v>45597</v>
          </cell>
        </row>
        <row r="1413">
          <cell r="A1413">
            <v>45608</v>
          </cell>
          <cell r="B1413" t="str">
            <v>Week46</v>
          </cell>
          <cell r="C1413">
            <v>45597</v>
          </cell>
        </row>
        <row r="1414">
          <cell r="A1414">
            <v>45609</v>
          </cell>
          <cell r="B1414" t="str">
            <v>Week46</v>
          </cell>
          <cell r="C1414">
            <v>45597</v>
          </cell>
        </row>
        <row r="1415">
          <cell r="A1415">
            <v>45610</v>
          </cell>
          <cell r="B1415" t="str">
            <v>Week46</v>
          </cell>
          <cell r="C1415">
            <v>45597</v>
          </cell>
        </row>
        <row r="1416">
          <cell r="A1416">
            <v>45611</v>
          </cell>
          <cell r="B1416" t="str">
            <v>Week46</v>
          </cell>
          <cell r="C1416">
            <v>45597</v>
          </cell>
        </row>
        <row r="1417">
          <cell r="A1417">
            <v>45612</v>
          </cell>
          <cell r="B1417" t="str">
            <v>Week46</v>
          </cell>
          <cell r="C1417">
            <v>45597</v>
          </cell>
        </row>
        <row r="1418">
          <cell r="A1418">
            <v>45613</v>
          </cell>
          <cell r="B1418" t="str">
            <v>Week46</v>
          </cell>
          <cell r="C1418">
            <v>45597</v>
          </cell>
        </row>
        <row r="1419">
          <cell r="A1419">
            <v>45614</v>
          </cell>
          <cell r="B1419" t="str">
            <v>Week47</v>
          </cell>
          <cell r="C1419">
            <v>45597</v>
          </cell>
        </row>
        <row r="1420">
          <cell r="A1420">
            <v>45615</v>
          </cell>
          <cell r="B1420" t="str">
            <v>Week47</v>
          </cell>
          <cell r="C1420">
            <v>45597</v>
          </cell>
        </row>
        <row r="1421">
          <cell r="A1421">
            <v>45616</v>
          </cell>
          <cell r="B1421" t="str">
            <v>Week47</v>
          </cell>
          <cell r="C1421">
            <v>45597</v>
          </cell>
        </row>
        <row r="1422">
          <cell r="A1422">
            <v>45617</v>
          </cell>
          <cell r="B1422" t="str">
            <v>Week47</v>
          </cell>
          <cell r="C1422">
            <v>45597</v>
          </cell>
        </row>
        <row r="1423">
          <cell r="A1423">
            <v>45618</v>
          </cell>
          <cell r="B1423" t="str">
            <v>Week47</v>
          </cell>
          <cell r="C1423">
            <v>45597</v>
          </cell>
        </row>
        <row r="1424">
          <cell r="A1424">
            <v>45619</v>
          </cell>
          <cell r="B1424" t="str">
            <v>Week47</v>
          </cell>
          <cell r="C1424">
            <v>45597</v>
          </cell>
        </row>
        <row r="1425">
          <cell r="A1425">
            <v>45620</v>
          </cell>
          <cell r="B1425" t="str">
            <v>Week47</v>
          </cell>
          <cell r="C1425">
            <v>45597</v>
          </cell>
        </row>
        <row r="1426">
          <cell r="A1426">
            <v>45621</v>
          </cell>
          <cell r="B1426" t="str">
            <v>Week48</v>
          </cell>
          <cell r="C1426">
            <v>45597</v>
          </cell>
        </row>
        <row r="1427">
          <cell r="A1427">
            <v>45622</v>
          </cell>
          <cell r="B1427" t="str">
            <v>Week48</v>
          </cell>
          <cell r="C1427">
            <v>45597</v>
          </cell>
        </row>
        <row r="1428">
          <cell r="A1428">
            <v>45623</v>
          </cell>
          <cell r="B1428" t="str">
            <v>Week48</v>
          </cell>
          <cell r="C1428">
            <v>45597</v>
          </cell>
        </row>
        <row r="1429">
          <cell r="A1429">
            <v>45624</v>
          </cell>
          <cell r="B1429" t="str">
            <v>Week48</v>
          </cell>
          <cell r="C1429">
            <v>45597</v>
          </cell>
        </row>
        <row r="1430">
          <cell r="A1430">
            <v>45625</v>
          </cell>
          <cell r="B1430" t="str">
            <v>Week48</v>
          </cell>
          <cell r="C1430">
            <v>45597</v>
          </cell>
        </row>
        <row r="1431">
          <cell r="A1431">
            <v>45626</v>
          </cell>
          <cell r="B1431" t="str">
            <v>Week48</v>
          </cell>
          <cell r="C1431">
            <v>45597</v>
          </cell>
        </row>
        <row r="1432">
          <cell r="A1432">
            <v>45627</v>
          </cell>
          <cell r="B1432" t="str">
            <v>Week48</v>
          </cell>
          <cell r="C1432">
            <v>45627</v>
          </cell>
        </row>
        <row r="1433">
          <cell r="A1433">
            <v>45628</v>
          </cell>
          <cell r="B1433" t="str">
            <v>Week49</v>
          </cell>
          <cell r="C1433">
            <v>45627</v>
          </cell>
        </row>
        <row r="1434">
          <cell r="A1434">
            <v>45629</v>
          </cell>
          <cell r="B1434" t="str">
            <v>Week49</v>
          </cell>
          <cell r="C1434">
            <v>45627</v>
          </cell>
        </row>
        <row r="1435">
          <cell r="A1435">
            <v>45630</v>
          </cell>
          <cell r="B1435" t="str">
            <v>Week49</v>
          </cell>
          <cell r="C1435">
            <v>45627</v>
          </cell>
        </row>
        <row r="1436">
          <cell r="A1436">
            <v>45631</v>
          </cell>
          <cell r="B1436" t="str">
            <v>Week49</v>
          </cell>
          <cell r="C1436">
            <v>45627</v>
          </cell>
        </row>
        <row r="1437">
          <cell r="A1437">
            <v>45632</v>
          </cell>
          <cell r="B1437" t="str">
            <v>Week49</v>
          </cell>
          <cell r="C1437">
            <v>45627</v>
          </cell>
        </row>
        <row r="1438">
          <cell r="A1438">
            <v>45633</v>
          </cell>
          <cell r="B1438" t="str">
            <v>Week49</v>
          </cell>
          <cell r="C1438">
            <v>45627</v>
          </cell>
        </row>
        <row r="1439">
          <cell r="A1439">
            <v>45634</v>
          </cell>
          <cell r="B1439" t="str">
            <v>Week49</v>
          </cell>
          <cell r="C1439">
            <v>45627</v>
          </cell>
        </row>
        <row r="1440">
          <cell r="A1440">
            <v>45635</v>
          </cell>
          <cell r="B1440" t="str">
            <v>Week50</v>
          </cell>
          <cell r="C1440">
            <v>45627</v>
          </cell>
        </row>
        <row r="1441">
          <cell r="A1441">
            <v>45636</v>
          </cell>
          <cell r="B1441" t="str">
            <v>Week50</v>
          </cell>
          <cell r="C1441">
            <v>45627</v>
          </cell>
        </row>
        <row r="1442">
          <cell r="A1442">
            <v>45637</v>
          </cell>
          <cell r="B1442" t="str">
            <v>Week50</v>
          </cell>
          <cell r="C1442">
            <v>45627</v>
          </cell>
        </row>
        <row r="1443">
          <cell r="A1443">
            <v>45638</v>
          </cell>
          <cell r="B1443" t="str">
            <v>Week50</v>
          </cell>
          <cell r="C1443">
            <v>45627</v>
          </cell>
        </row>
        <row r="1444">
          <cell r="A1444">
            <v>45639</v>
          </cell>
          <cell r="B1444" t="str">
            <v>Week50</v>
          </cell>
          <cell r="C1444">
            <v>45627</v>
          </cell>
        </row>
        <row r="1445">
          <cell r="A1445">
            <v>45640</v>
          </cell>
          <cell r="B1445" t="str">
            <v>Week50</v>
          </cell>
          <cell r="C1445">
            <v>45627</v>
          </cell>
        </row>
        <row r="1446">
          <cell r="A1446">
            <v>45641</v>
          </cell>
          <cell r="B1446" t="str">
            <v>Week50</v>
          </cell>
          <cell r="C1446">
            <v>45627</v>
          </cell>
        </row>
        <row r="1447">
          <cell r="A1447">
            <v>45642</v>
          </cell>
          <cell r="B1447" t="str">
            <v>Week51</v>
          </cell>
          <cell r="C1447">
            <v>45627</v>
          </cell>
        </row>
        <row r="1448">
          <cell r="A1448">
            <v>45643</v>
          </cell>
          <cell r="B1448" t="str">
            <v>Week51</v>
          </cell>
          <cell r="C1448">
            <v>45627</v>
          </cell>
        </row>
        <row r="1449">
          <cell r="A1449">
            <v>45644</v>
          </cell>
          <cell r="B1449" t="str">
            <v>Week51</v>
          </cell>
          <cell r="C1449">
            <v>45627</v>
          </cell>
        </row>
        <row r="1450">
          <cell r="A1450">
            <v>45645</v>
          </cell>
          <cell r="B1450" t="str">
            <v>Week51</v>
          </cell>
          <cell r="C1450">
            <v>45627</v>
          </cell>
        </row>
        <row r="1451">
          <cell r="A1451">
            <v>45646</v>
          </cell>
          <cell r="B1451" t="str">
            <v>Week51</v>
          </cell>
          <cell r="C1451">
            <v>45627</v>
          </cell>
        </row>
        <row r="1452">
          <cell r="A1452">
            <v>45647</v>
          </cell>
          <cell r="B1452" t="str">
            <v>Week51</v>
          </cell>
          <cell r="C1452">
            <v>45627</v>
          </cell>
        </row>
        <row r="1453">
          <cell r="A1453">
            <v>45648</v>
          </cell>
          <cell r="B1453" t="str">
            <v>Week51</v>
          </cell>
          <cell r="C1453">
            <v>45627</v>
          </cell>
        </row>
        <row r="1454">
          <cell r="A1454">
            <v>45649</v>
          </cell>
          <cell r="B1454" t="str">
            <v>Week52</v>
          </cell>
          <cell r="C1454">
            <v>45627</v>
          </cell>
        </row>
        <row r="1455">
          <cell r="A1455">
            <v>45650</v>
          </cell>
          <cell r="B1455" t="str">
            <v>Week52</v>
          </cell>
          <cell r="C1455">
            <v>45627</v>
          </cell>
        </row>
        <row r="1456">
          <cell r="A1456">
            <v>45651</v>
          </cell>
          <cell r="B1456" t="str">
            <v>Week52</v>
          </cell>
          <cell r="C1456">
            <v>45627</v>
          </cell>
        </row>
        <row r="1457">
          <cell r="A1457">
            <v>45652</v>
          </cell>
          <cell r="B1457" t="str">
            <v>Week52</v>
          </cell>
          <cell r="C1457">
            <v>45627</v>
          </cell>
        </row>
        <row r="1458">
          <cell r="A1458">
            <v>45653</v>
          </cell>
          <cell r="B1458" t="str">
            <v>Week52</v>
          </cell>
          <cell r="C1458">
            <v>45627</v>
          </cell>
        </row>
        <row r="1459">
          <cell r="A1459">
            <v>45654</v>
          </cell>
          <cell r="B1459" t="str">
            <v>Week52</v>
          </cell>
          <cell r="C1459">
            <v>45627</v>
          </cell>
        </row>
        <row r="1460">
          <cell r="A1460">
            <v>45655</v>
          </cell>
          <cell r="B1460" t="str">
            <v>Week52</v>
          </cell>
          <cell r="C1460">
            <v>45627</v>
          </cell>
        </row>
        <row r="1461">
          <cell r="A1461">
            <v>45656</v>
          </cell>
          <cell r="B1461" t="str">
            <v>Week53</v>
          </cell>
          <cell r="C1461">
            <v>45627</v>
          </cell>
        </row>
        <row r="1462">
          <cell r="A1462">
            <v>45657</v>
          </cell>
          <cell r="B1462" t="str">
            <v>Week53</v>
          </cell>
          <cell r="C1462">
            <v>45627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ster"/>
      <sheetName val="ตัวอย่าง"/>
    </sheetNames>
    <sheetDataSet>
      <sheetData sheetId="0">
        <row r="2">
          <cell r="B2" t="str">
            <v>S.71</v>
          </cell>
          <cell r="C2" t="str">
            <v>S.72</v>
          </cell>
          <cell r="D2" t="str">
            <v>S.73</v>
          </cell>
          <cell r="E2" t="str">
            <v>S.74</v>
          </cell>
          <cell r="F2" t="str">
            <v>S.75</v>
          </cell>
          <cell r="G2" t="str">
            <v>S.76</v>
          </cell>
          <cell r="H2" t="str">
            <v>S.77</v>
          </cell>
          <cell r="I2" t="str">
            <v>S.78</v>
          </cell>
          <cell r="J2" t="str">
            <v>S.79</v>
          </cell>
          <cell r="K2" t="str">
            <v>S.80</v>
          </cell>
          <cell r="L2" t="str">
            <v>S.81</v>
          </cell>
          <cell r="M2" t="str">
            <v>S.82</v>
          </cell>
          <cell r="N2" t="str">
            <v>S.83</v>
          </cell>
          <cell r="O2" t="str">
            <v>S.84</v>
          </cell>
          <cell r="P2" t="str">
            <v>S.85</v>
          </cell>
          <cell r="Q2" t="str">
            <v>S.86</v>
          </cell>
          <cell r="R2" t="str">
            <v>S.88</v>
          </cell>
          <cell r="S2" t="str">
            <v>S.90</v>
          </cell>
          <cell r="T2" t="str">
            <v>S.113</v>
          </cell>
        </row>
        <row r="3">
          <cell r="A3" t="str">
            <v>46-50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3.0324346322955316E-3</v>
          </cell>
          <cell r="T3">
            <v>0</v>
          </cell>
        </row>
        <row r="4">
          <cell r="A4" t="str">
            <v>51-55</v>
          </cell>
          <cell r="B4">
            <v>1.1084073977842236E-2</v>
          </cell>
          <cell r="C4">
            <v>0.15641305012543436</v>
          </cell>
          <cell r="D4">
            <v>2.6432763149683076E-2</v>
          </cell>
          <cell r="E4">
            <v>9.7720591132494816E-2</v>
          </cell>
          <cell r="F4">
            <v>6.5682588502544062E-2</v>
          </cell>
          <cell r="G4">
            <v>3.960726797761973E-2</v>
          </cell>
          <cell r="H4">
            <v>6.0246406061831237E-2</v>
          </cell>
          <cell r="I4">
            <v>4.1019541998315423E-2</v>
          </cell>
          <cell r="J4">
            <v>4.355894735435438E-2</v>
          </cell>
          <cell r="K4">
            <v>3.5631383680918165E-2</v>
          </cell>
          <cell r="L4">
            <v>4.2144165074118932E-3</v>
          </cell>
          <cell r="M4">
            <v>2.0704885040488355E-2</v>
          </cell>
          <cell r="N4">
            <v>2.0806124814416488E-2</v>
          </cell>
          <cell r="O4">
            <v>2.8662191521360968E-2</v>
          </cell>
          <cell r="P4">
            <v>1.4001837649974725E-2</v>
          </cell>
          <cell r="Q4">
            <v>5.3103033023455294E-3</v>
          </cell>
          <cell r="R4">
            <v>2.2045793130247973E-2</v>
          </cell>
          <cell r="S4">
            <v>2.0365786141589869E-2</v>
          </cell>
          <cell r="T4">
            <v>0</v>
          </cell>
        </row>
        <row r="5">
          <cell r="A5" t="str">
            <v>56-60</v>
          </cell>
          <cell r="B5">
            <v>7.4153519649973632E-2</v>
          </cell>
          <cell r="C5">
            <v>9.2312254335650795E-2</v>
          </cell>
          <cell r="D5">
            <v>0.20598808138079736</v>
          </cell>
          <cell r="E5">
            <v>5.2561775072922159E-2</v>
          </cell>
          <cell r="F5">
            <v>6.4984171969498933E-2</v>
          </cell>
          <cell r="G5">
            <v>7.1768695703447738E-2</v>
          </cell>
          <cell r="H5">
            <v>6.0906749353916559E-2</v>
          </cell>
          <cell r="I5">
            <v>8.3438652940079669E-2</v>
          </cell>
          <cell r="J5">
            <v>4.8380762627371322E-2</v>
          </cell>
          <cell r="K5">
            <v>4.0395629685166766E-2</v>
          </cell>
          <cell r="L5">
            <v>5.0341446004835491E-2</v>
          </cell>
          <cell r="M5">
            <v>1.1673602108836304E-2</v>
          </cell>
          <cell r="N5">
            <v>3.3947392408953225E-2</v>
          </cell>
          <cell r="O5">
            <v>3.260301302876098E-2</v>
          </cell>
          <cell r="P5">
            <v>1.6567289538260938E-2</v>
          </cell>
          <cell r="Q5">
            <v>0</v>
          </cell>
          <cell r="R5">
            <v>4.6319592435891573E-2</v>
          </cell>
          <cell r="S5">
            <v>3.5546031398067092E-2</v>
          </cell>
          <cell r="T5">
            <v>0</v>
          </cell>
        </row>
        <row r="6">
          <cell r="A6" t="str">
            <v>61-65</v>
          </cell>
          <cell r="B6">
            <v>0.10211801814970131</v>
          </cell>
          <cell r="C6">
            <v>3.7486834560011978E-2</v>
          </cell>
          <cell r="D6">
            <v>3.7647522707302455E-2</v>
          </cell>
          <cell r="E6">
            <v>4.7532881447257883E-2</v>
          </cell>
          <cell r="F6">
            <v>1.5682402620496597E-2</v>
          </cell>
          <cell r="G6">
            <v>1.944175492484599E-2</v>
          </cell>
          <cell r="H6">
            <v>9.4107951812391361E-3</v>
          </cell>
          <cell r="I6">
            <v>2.621107029927806E-3</v>
          </cell>
          <cell r="J6">
            <v>0</v>
          </cell>
          <cell r="K6">
            <v>8.5484812540191739E-3</v>
          </cell>
          <cell r="L6">
            <v>0</v>
          </cell>
          <cell r="M6">
            <v>0</v>
          </cell>
          <cell r="N6">
            <v>2.3906445298689988E-2</v>
          </cell>
          <cell r="O6">
            <v>0</v>
          </cell>
          <cell r="P6">
            <v>1.6184756199808499E-3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</row>
        <row r="7">
          <cell r="A7" t="str">
            <v>66-70</v>
          </cell>
          <cell r="B7">
            <v>0.42091047075650523</v>
          </cell>
          <cell r="C7">
            <v>0.40686193488233208</v>
          </cell>
          <cell r="D7">
            <v>0.33147019467774008</v>
          </cell>
          <cell r="E7">
            <v>0.37549752730784647</v>
          </cell>
          <cell r="F7">
            <v>0.41855786453262339</v>
          </cell>
          <cell r="G7">
            <v>0.28976699825706814</v>
          </cell>
          <cell r="H7">
            <v>0.36104819518310549</v>
          </cell>
          <cell r="I7">
            <v>0.404493611648298</v>
          </cell>
          <cell r="J7">
            <v>0.34396056187915836</v>
          </cell>
          <cell r="K7">
            <v>0.36094100671864193</v>
          </cell>
          <cell r="L7">
            <v>0.3161489697497612</v>
          </cell>
          <cell r="M7">
            <v>0.32949469064167863</v>
          </cell>
          <cell r="N7">
            <v>0.35501032430000645</v>
          </cell>
          <cell r="O7">
            <v>0.24389556413133215</v>
          </cell>
          <cell r="P7">
            <v>0.21380154794675055</v>
          </cell>
          <cell r="Q7">
            <v>0.16616878793531731</v>
          </cell>
          <cell r="R7">
            <v>0.24532212676827786</v>
          </cell>
          <cell r="S7">
            <v>0.26109291252800487</v>
          </cell>
          <cell r="T7">
            <v>5.584102237886769E-3</v>
          </cell>
        </row>
        <row r="8">
          <cell r="A8" t="str">
            <v>71-75</v>
          </cell>
          <cell r="B8">
            <v>0.19723451094649103</v>
          </cell>
          <cell r="C8">
            <v>7.3629865683337126E-2</v>
          </cell>
          <cell r="D8">
            <v>0.16323230181390475</v>
          </cell>
          <cell r="E8">
            <v>0.17156158866653518</v>
          </cell>
          <cell r="F8">
            <v>7.2280874151586169E-2</v>
          </cell>
          <cell r="G8">
            <v>0.10853610564619294</v>
          </cell>
          <cell r="H8">
            <v>9.0565773578024159E-2</v>
          </cell>
          <cell r="I8">
            <v>3.2527105443741468E-2</v>
          </cell>
          <cell r="J8">
            <v>0</v>
          </cell>
          <cell r="K8">
            <v>3.1904615897625492E-2</v>
          </cell>
          <cell r="L8">
            <v>0</v>
          </cell>
          <cell r="M8">
            <v>0</v>
          </cell>
          <cell r="N8">
            <v>2.9771717291127816E-2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</row>
        <row r="9">
          <cell r="A9" t="str">
            <v>76-80</v>
          </cell>
          <cell r="B9">
            <v>8.0906498413990363E-2</v>
          </cell>
          <cell r="C9">
            <v>8.6880500967595684E-2</v>
          </cell>
          <cell r="D9">
            <v>0.11015017931720586</v>
          </cell>
          <cell r="E9">
            <v>8.801415121086463E-2</v>
          </cell>
          <cell r="F9">
            <v>0.19935605055266939</v>
          </cell>
          <cell r="G9">
            <v>0.1995570341537343</v>
          </cell>
          <cell r="H9">
            <v>0.17921697135587647</v>
          </cell>
          <cell r="I9">
            <v>0.18373025783241953</v>
          </cell>
          <cell r="J9">
            <v>0.27154328549110124</v>
          </cell>
          <cell r="K9">
            <v>0.2726480799099768</v>
          </cell>
          <cell r="L9">
            <v>0.29429420986132521</v>
          </cell>
          <cell r="M9">
            <v>0.3349424027531423</v>
          </cell>
          <cell r="N9">
            <v>0.26027435080388561</v>
          </cell>
          <cell r="O9">
            <v>0.3137568314511272</v>
          </cell>
          <cell r="P9">
            <v>0.29155083764431156</v>
          </cell>
          <cell r="Q9">
            <v>0.31224433356236009</v>
          </cell>
          <cell r="R9">
            <v>0.3012870794299024</v>
          </cell>
          <cell r="S9">
            <v>0.32370945905250587</v>
          </cell>
          <cell r="T9">
            <v>8.3167480138739112E-3</v>
          </cell>
        </row>
        <row r="10">
          <cell r="A10" t="str">
            <v>81-85</v>
          </cell>
          <cell r="B10">
            <v>5.5270692099094229E-2</v>
          </cell>
          <cell r="C10">
            <v>3.3987079171175195E-2</v>
          </cell>
          <cell r="D10">
            <v>4.276858897435358E-2</v>
          </cell>
          <cell r="E10">
            <v>7.0942705201805331E-2</v>
          </cell>
          <cell r="F10">
            <v>2.9644039708043898E-2</v>
          </cell>
          <cell r="G10">
            <v>0.13069768354366346</v>
          </cell>
          <cell r="H10">
            <v>7.0185493833050339E-2</v>
          </cell>
          <cell r="I10">
            <v>2.7281759153624879E-2</v>
          </cell>
          <cell r="J10">
            <v>2.3345006038256233E-2</v>
          </cell>
          <cell r="K10">
            <v>3.33343473442657E-2</v>
          </cell>
          <cell r="L10">
            <v>0</v>
          </cell>
          <cell r="M10">
            <v>5.1884265630743986E-4</v>
          </cell>
          <cell r="N10">
            <v>2.3618943734590756E-2</v>
          </cell>
          <cell r="O10">
            <v>1.6372798748717284E-3</v>
          </cell>
          <cell r="P10">
            <v>7.4900662523864833E-2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A11" t="str">
            <v>86-90</v>
          </cell>
          <cell r="B11">
            <v>0</v>
          </cell>
          <cell r="C11">
            <v>5.9986338746803782E-3</v>
          </cell>
          <cell r="D11">
            <v>0</v>
          </cell>
          <cell r="E11">
            <v>0</v>
          </cell>
          <cell r="F11">
            <v>1.0360679147145876E-3</v>
          </cell>
          <cell r="G11">
            <v>1.2610847735433557E-2</v>
          </cell>
          <cell r="H11">
            <v>0</v>
          </cell>
          <cell r="I11">
            <v>0</v>
          </cell>
          <cell r="J11">
            <v>2.2275374523302912E-3</v>
          </cell>
          <cell r="K11">
            <v>1.5293248735920337E-3</v>
          </cell>
          <cell r="L11">
            <v>0</v>
          </cell>
          <cell r="M11">
            <v>1.0794066256232979E-3</v>
          </cell>
          <cell r="N11">
            <v>1.03716639407824E-3</v>
          </cell>
          <cell r="O11">
            <v>0</v>
          </cell>
          <cell r="P11">
            <v>2.9570475415451099E-3</v>
          </cell>
          <cell r="Q11">
            <v>4.832192179728698E-4</v>
          </cell>
          <cell r="R11">
            <v>6.2098259799618779E-4</v>
          </cell>
          <cell r="S11">
            <v>1.2815124543314623E-3</v>
          </cell>
          <cell r="T11">
            <v>0</v>
          </cell>
        </row>
        <row r="12">
          <cell r="A12" t="str">
            <v>91-95</v>
          </cell>
          <cell r="B12">
            <v>4.6034824586592055E-2</v>
          </cell>
          <cell r="C12">
            <v>6.1462059572919489E-2</v>
          </cell>
          <cell r="D12">
            <v>3.7512241900272372E-2</v>
          </cell>
          <cell r="E12">
            <v>5.0929185839225337E-2</v>
          </cell>
          <cell r="F12">
            <v>7.2152755963813098E-2</v>
          </cell>
          <cell r="G12">
            <v>7.2205716123856734E-2</v>
          </cell>
          <cell r="H12">
            <v>9.196964919934221E-2</v>
          </cell>
          <cell r="I12">
            <v>0.13799167444575419</v>
          </cell>
          <cell r="J12">
            <v>0.14697801267239258</v>
          </cell>
          <cell r="K12">
            <v>0.13201571053480243</v>
          </cell>
          <cell r="L12">
            <v>0.2064838316318931</v>
          </cell>
          <cell r="M12">
            <v>0.19334765573266058</v>
          </cell>
          <cell r="N12">
            <v>0.1462850852851843</v>
          </cell>
          <cell r="O12">
            <v>0.17088751835648469</v>
          </cell>
          <cell r="P12">
            <v>0.22228971838447653</v>
          </cell>
          <cell r="Q12">
            <v>0.30314685174802741</v>
          </cell>
          <cell r="R12">
            <v>0.20790145398407003</v>
          </cell>
          <cell r="S12">
            <v>0.17152174059392356</v>
          </cell>
          <cell r="T12">
            <v>0</v>
          </cell>
        </row>
        <row r="13">
          <cell r="A13" t="str">
            <v>96-100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A14" t="str">
            <v>101-120</v>
          </cell>
          <cell r="B14">
            <v>9.2846400713226095E-3</v>
          </cell>
          <cell r="C14">
            <v>1.8582881183304121E-2</v>
          </cell>
          <cell r="D14">
            <v>6.8917185048574473E-3</v>
          </cell>
          <cell r="E14">
            <v>1.2489933999209153E-2</v>
          </cell>
          <cell r="F14">
            <v>2.755091982631639E-2</v>
          </cell>
          <cell r="G14">
            <v>3.5128229526108889E-2</v>
          </cell>
          <cell r="H14">
            <v>3.8531061036376921E-2</v>
          </cell>
          <cell r="I14">
            <v>6.1257344642285029E-2</v>
          </cell>
          <cell r="J14">
            <v>6.9563304853341557E-2</v>
          </cell>
          <cell r="K14">
            <v>6.0800816930506409E-2</v>
          </cell>
          <cell r="L14">
            <v>0.12851712624477304</v>
          </cell>
          <cell r="M14">
            <v>8.7126554011068613E-2</v>
          </cell>
          <cell r="N14">
            <v>6.5402540316550656E-2</v>
          </cell>
          <cell r="O14">
            <v>0.16299746916807667</v>
          </cell>
          <cell r="P14">
            <v>0.10633756419303671</v>
          </cell>
          <cell r="Q14">
            <v>0.20202786343566478</v>
          </cell>
          <cell r="R14">
            <v>0.12547490730556035</v>
          </cell>
          <cell r="S14">
            <v>9.7054825236435646E-2</v>
          </cell>
          <cell r="T14">
            <v>0.69111943405902365</v>
          </cell>
        </row>
        <row r="15">
          <cell r="A15" t="str">
            <v>121-130</v>
          </cell>
          <cell r="B15">
            <v>3.0027513484874309E-3</v>
          </cell>
          <cell r="C15">
            <v>0</v>
          </cell>
          <cell r="D15">
            <v>1.1550714633147326E-2</v>
          </cell>
          <cell r="E15">
            <v>1.4286372962212423E-2</v>
          </cell>
          <cell r="F15">
            <v>6.8545344457946215E-3</v>
          </cell>
          <cell r="G15">
            <v>0</v>
          </cell>
          <cell r="H15">
            <v>1.0876039593753118E-2</v>
          </cell>
          <cell r="I15">
            <v>5.6364012015189709E-3</v>
          </cell>
          <cell r="J15">
            <v>5.019295110826081E-3</v>
          </cell>
          <cell r="K15">
            <v>5.1642473657907261E-4</v>
          </cell>
          <cell r="L15">
            <v>0</v>
          </cell>
          <cell r="M15">
            <v>9.6860961521953726E-3</v>
          </cell>
          <cell r="N15">
            <v>0</v>
          </cell>
          <cell r="O15">
            <v>0</v>
          </cell>
          <cell r="P15">
            <v>5.1476358942008152E-3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A16" t="str">
            <v>131-140</v>
          </cell>
          <cell r="B16">
            <v>0</v>
          </cell>
          <cell r="C16">
            <v>2.1888152047344271E-3</v>
          </cell>
          <cell r="D16">
            <v>0</v>
          </cell>
          <cell r="E16">
            <v>1.6298287029447217E-2</v>
          </cell>
          <cell r="F16">
            <v>8.9127771965262818E-4</v>
          </cell>
          <cell r="G16">
            <v>1.7266706852033398E-3</v>
          </cell>
          <cell r="H16">
            <v>4.8231246111948923E-3</v>
          </cell>
          <cell r="I16">
            <v>4.3783268180656709E-3</v>
          </cell>
          <cell r="J16">
            <v>2.2424568158485716E-2</v>
          </cell>
          <cell r="K16">
            <v>1.0584185834322031E-2</v>
          </cell>
          <cell r="L16">
            <v>0</v>
          </cell>
          <cell r="M16">
            <v>0</v>
          </cell>
          <cell r="N16">
            <v>0</v>
          </cell>
          <cell r="O16">
            <v>3.8926048250864764E-2</v>
          </cell>
          <cell r="P16">
            <v>2.6905741440736583E-2</v>
          </cell>
          <cell r="Q16">
            <v>0</v>
          </cell>
          <cell r="R16">
            <v>3.4873001175779101E-3</v>
          </cell>
          <cell r="S16">
            <v>0</v>
          </cell>
          <cell r="T16">
            <v>0</v>
          </cell>
        </row>
        <row r="17">
          <cell r="A17" t="str">
            <v>141-150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1.3595589852987573E-2</v>
          </cell>
          <cell r="G17">
            <v>8.1924025789889641E-3</v>
          </cell>
          <cell r="H17">
            <v>0</v>
          </cell>
          <cell r="I17">
            <v>8.5011443804507551E-5</v>
          </cell>
          <cell r="J17">
            <v>1.4819014745399829E-2</v>
          </cell>
          <cell r="K17">
            <v>0</v>
          </cell>
          <cell r="L17">
            <v>0</v>
          </cell>
          <cell r="M17">
            <v>8.1073933822452069E-3</v>
          </cell>
          <cell r="N17">
            <v>1.2313950081544662E-2</v>
          </cell>
          <cell r="O17">
            <v>6.5784176779814865E-3</v>
          </cell>
          <cell r="P17">
            <v>2.032155270224381E-3</v>
          </cell>
          <cell r="Q17">
            <v>0</v>
          </cell>
          <cell r="R17">
            <v>0</v>
          </cell>
          <cell r="S17">
            <v>2.1965426312224257E-2</v>
          </cell>
          <cell r="T17">
            <v>0</v>
          </cell>
        </row>
        <row r="18">
          <cell r="A18" t="str">
            <v>151-160</v>
          </cell>
          <cell r="B18">
            <v>0</v>
          </cell>
          <cell r="C18">
            <v>2.4196090438824296E-2</v>
          </cell>
          <cell r="D18">
            <v>0</v>
          </cell>
          <cell r="E18">
            <v>0</v>
          </cell>
          <cell r="F18">
            <v>8.2542650107583701E-3</v>
          </cell>
          <cell r="G18">
            <v>2.3277563135200938E-3</v>
          </cell>
          <cell r="H18">
            <v>4.4076014308096776E-3</v>
          </cell>
          <cell r="I18">
            <v>2.78661813699971E-3</v>
          </cell>
          <cell r="J18">
            <v>3.2918949284130748E-3</v>
          </cell>
          <cell r="K18">
            <v>2.7829555248983355E-3</v>
          </cell>
          <cell r="L18">
            <v>0</v>
          </cell>
          <cell r="M18">
            <v>0</v>
          </cell>
          <cell r="N18">
            <v>2.6467550046104259E-2</v>
          </cell>
          <cell r="O18">
            <v>0</v>
          </cell>
          <cell r="P18">
            <v>1.2934496990263335E-2</v>
          </cell>
          <cell r="Q18">
            <v>0</v>
          </cell>
          <cell r="R18">
            <v>2.7375746461152026E-2</v>
          </cell>
          <cell r="S18">
            <v>3.9704571190791953E-2</v>
          </cell>
          <cell r="T18">
            <v>0.29497971568921555</v>
          </cell>
        </row>
        <row r="19">
          <cell r="A19" t="str">
            <v>161-200</v>
          </cell>
          <cell r="B19">
            <v>0</v>
          </cell>
          <cell r="C19">
            <v>0</v>
          </cell>
          <cell r="D19">
            <v>2.6355692940735913E-2</v>
          </cell>
          <cell r="E19">
            <v>1.9976493884715312E-3</v>
          </cell>
          <cell r="F19">
            <v>2.5520100734002116E-3</v>
          </cell>
          <cell r="G19">
            <v>8.432836830315666E-3</v>
          </cell>
          <cell r="H19">
            <v>1.5720717935250327E-2</v>
          </cell>
          <cell r="I19">
            <v>1.1710920039404745E-2</v>
          </cell>
          <cell r="J19">
            <v>4.8878086885694042E-3</v>
          </cell>
          <cell r="K19">
            <v>8.3670370746857514E-3</v>
          </cell>
          <cell r="L19">
            <v>0</v>
          </cell>
          <cell r="M19">
            <v>3.3184708957531232E-3</v>
          </cell>
          <cell r="N19">
            <v>1.1584092248674788E-3</v>
          </cell>
          <cell r="O19">
            <v>5.566653913968894E-5</v>
          </cell>
          <cell r="P19">
            <v>7.763501362219199E-3</v>
          </cell>
          <cell r="Q19">
            <v>1.0618640798311383E-2</v>
          </cell>
          <cell r="R19">
            <v>2.0165017769323421E-2</v>
          </cell>
          <cell r="S19">
            <v>0</v>
          </cell>
          <cell r="T19">
            <v>0</v>
          </cell>
        </row>
        <row r="20">
          <cell r="A20" t="str">
            <v>201-250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2.0470587146620249E-3</v>
          </cell>
          <cell r="I20">
            <v>1.041667225761005E-3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2.4725300459829888E-2</v>
          </cell>
          <cell r="T20">
            <v>0</v>
          </cell>
        </row>
        <row r="21">
          <cell r="A21" t="str">
            <v>251-300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9.2458715510100001E-4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1.1914880001538519E-3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33;&#3656;&#3591;&#3612;&#3621;&#3636;&#3605;%20Wonton%20&amp;%20Noodle%20Plant%203%20_%2002-04-24.xls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NATORN TAWILAI" refreshedDate="46273.69004710648" createdVersion="5" refreshedVersion="6" minRefreshableVersion="3" recordCount="4063" xr:uid="{00000000-000A-0000-FFFF-FFFF01000000}">
  <cacheSource type="worksheet">
    <worksheetSource ref="B4:AF1048576" sheet="แผนผลิต"/>
  </cacheSource>
  <cacheFields count="31">
    <cacheField name="แผนผลิต_x000a_Date" numFmtId="187">
      <sharedItems containsNonDate="0" containsDate="1" containsString="0" containsBlank="1" minDate="2024-01-01T00:00:00" maxDate="2027-03-02T00:00:00" count="1043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31T00:00:00"/>
        <d v="2026-06-03T00:00:00"/>
        <d v="2026-06-07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2T00:00:00"/>
        <d v="2026-11-03T00:00:00"/>
        <d v="2026-11-09T00:00:00"/>
        <d v="2026-11-10T00:00:00"/>
        <d v="2026-11-16T00:00:00"/>
        <d v="2026-11-17T00:00:00"/>
        <d v="2026-11-23T00:00:00"/>
        <d v="2026-11-24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21T00:00:00"/>
        <d v="2026-12-22T00:00:00"/>
        <d v="2026-12-28T00:00:00"/>
        <d v="2026-12-29T00:00:00"/>
        <d v="2026-12-30T00:00:00"/>
        <d v="2026-12-31T00:00:00"/>
        <d v="2027-01-06T00:00:00"/>
        <d v="2027-02-02T00:00:00"/>
        <m/>
        <d v="2027-01-01T00:00:00"/>
        <d v="2027-02-01T00:00:00"/>
        <d v="2026-11-01T00:00:00"/>
        <d v="2026-11-21T00:00:00" u="1"/>
        <d v="2026-11-25T00:00:00" u="1"/>
        <d v="2026-11-04T00:00:00" u="1"/>
        <d v="2026-11-06T00:00:00" u="1"/>
        <d v="2026-11-08T00:00:00" u="1"/>
        <d v="2026-11-12T00:00:00" u="1"/>
        <d v="2026-11-18T00:00:00" u="1"/>
        <d v="2026-11-20T00:00:00" u="1"/>
        <d v="2026-11-22T00:00:00" u="1"/>
        <d v="2026-11-26T00:00:00" u="1"/>
        <d v="2027-03-01T00:00:00" u="1"/>
        <d v="2026-11-05T00:00:00" u="1"/>
        <d v="2026-11-07T00:00:00" u="1"/>
        <d v="2026-11-11T00:00:00" u="1"/>
        <d v="2026-11-13T00:00:00" u="1"/>
        <d v="2026-11-15T00:00:00" u="1"/>
        <d v="2026-11-19T00:00:00" u="1"/>
      </sharedItems>
    </cacheField>
    <cacheField name="แผน LOAD_x000a_Date" numFmtId="0">
      <sharedItems containsDate="1" containsBlank="1" containsMixedTypes="1" minDate="2007-01-05T00:00:00" maxDate="2027-03-02T00:00:00"/>
    </cacheField>
    <cacheField name="year" numFmtId="0">
      <sharedItems containsBlank="1" containsMixedTypes="1" containsNumber="1" containsInteger="1" minValue="2022" maxValue="2027" count="8">
        <n v="2024"/>
        <n v="2025"/>
        <n v="2026"/>
        <n v="2027"/>
        <s v=""/>
        <m/>
        <n v="2022" u="1"/>
        <n v="2023" u="1"/>
      </sharedItems>
    </cacheField>
    <cacheField name="WEEK" numFmtId="0">
      <sharedItems containsBlank="1"/>
    </cacheField>
    <cacheField name="Month" numFmtId="190">
      <sharedItems containsDate="1" containsBlank="1" containsMixedTypes="1" minDate="2022-01-01T00:00:00" maxDate="2025-06-02T00:00:00" count="59">
        <s v="Jan"/>
        <s v="Feb"/>
        <s v="Mar"/>
        <s v="Apr"/>
        <s v="May"/>
        <s v="Jun"/>
        <s v="Jul"/>
        <s v="Aug"/>
        <s v="Sep"/>
        <s v="Oct"/>
        <s v="Nov"/>
        <s v="Dec"/>
        <s v=""/>
        <m/>
        <d v="2022-05-01T00:00:00" u="1"/>
        <d v="2023-05-01T00:00:00" u="1"/>
        <d v="2024-05-01T00:00:00" u="1"/>
        <s v="รอผัก" u="1"/>
        <d v="2025-05-01T00:00:00" u="1"/>
        <d v="2022-11-01T00:00:00" u="1"/>
        <d v="2023-11-01T00:00:00" u="1"/>
        <d v="2024-11-01T00:00:00" u="1"/>
        <e v="#REF!" u="1"/>
        <e v="#N/A" u="1"/>
        <d v="2022-06-01T00:00:00" u="1"/>
        <d v="2023-06-01T00:00:00" u="1"/>
        <d v="2024-06-01T00:00:00" u="1"/>
        <d v="2025-06-01T00:00:00" u="1"/>
        <d v="2022-12-01T00:00:00" u="1"/>
        <d v="2023-12-01T00:00:00" u="1"/>
        <d v="2024-12-01T00:00:00" u="1"/>
        <d v="2022-01-01T00:00:00" u="1"/>
        <d v="2023-01-01T00:00:00" u="1"/>
        <d v="2024-01-01T00:00:00" u="1"/>
        <d v="2025-01-01T00:00:00" u="1"/>
        <d v="2022-07-01T00:00:00" u="1"/>
        <d v="2023-07-01T00:00:00" u="1"/>
        <d v="2024-07-01T00:00:00" u="1"/>
        <d v="2022-02-01T00:00:00" u="1"/>
        <d v="2023-02-01T00:00:00" u="1"/>
        <d v="2024-02-01T00:00:00" u="1"/>
        <d v="2025-02-01T00:00:00" u="1"/>
        <d v="2022-08-01T00:00:00" u="1"/>
        <d v="2023-08-01T00:00:00" u="1"/>
        <d v="2024-08-01T00:00:00" u="1"/>
        <d v="2022-03-01T00:00:00" u="1"/>
        <d v="2023-03-01T00:00:00" u="1"/>
        <d v="2024-03-01T00:00:00" u="1"/>
        <d v="2025-03-01T00:00:00" u="1"/>
        <d v="2022-09-01T00:00:00" u="1"/>
        <d v="2023-09-01T00:00:00" u="1"/>
        <d v="2024-09-01T00:00:00" u="1"/>
        <d v="2022-04-01T00:00:00" u="1"/>
        <d v="2023-04-01T00:00:00" u="1"/>
        <d v="2024-04-01T00:00:00" u="1"/>
        <d v="2025-04-01T00:00:00" u="1"/>
        <d v="2022-10-01T00:00:00" u="1"/>
        <d v="2023-10-01T00:00:00" u="1"/>
        <d v="2024-10-01T00:00:00" u="1"/>
      </sharedItems>
    </cacheField>
    <cacheField name="No-. order" numFmtId="0">
      <sharedItems containsBlank="1" containsMixedTypes="1" containsNumber="1" containsInteger="1" minValue="1" maxValue="35"/>
    </cacheField>
    <cacheField name="Country" numFmtId="0">
      <sharedItems containsBlank="1"/>
    </cacheField>
    <cacheField name="Country2" numFmtId="0">
      <sharedItems containsBlank="1"/>
    </cacheField>
    <cacheField name="Customer" numFmtId="0">
      <sharedItems containsBlank="1"/>
    </cacheField>
    <cacheField name="Group1" numFmtId="0">
      <sharedItems containsBlank="1"/>
    </cacheField>
    <cacheField name="Group2" numFmtId="0">
      <sharedItems containsBlank="1"/>
    </cacheField>
    <cacheField name="Product" numFmtId="0">
      <sharedItems containsBlank="1"/>
    </cacheField>
    <cacheField name="CODE" numFmtId="0">
      <sharedItems containsBlank="1"/>
    </cacheField>
    <cacheField name="Packing" numFmtId="0">
      <sharedItems containsBlank="1"/>
    </cacheField>
    <cacheField name="cups" numFmtId="3">
      <sharedItems containsString="0" containsBlank="1" containsNumber="1" containsInteger="1" minValue="5" maxValue="100"/>
    </cacheField>
    <cacheField name="Pcs./Cup" numFmtId="3">
      <sharedItems containsString="0" containsBlank="1" containsNumber="1" containsInteger="1" minValue="1" maxValue="60"/>
    </cacheField>
    <cacheField name="WT/Pcs" numFmtId="0">
      <sharedItems containsString="0" containsBlank="1" containsNumber="1" minValue="4.0000000000000001E-3" maxValue="1.4999999999999999E-2"/>
    </cacheField>
    <cacheField name="RM" numFmtId="0">
      <sharedItems containsBlank="1" count="8">
        <m/>
        <s v="M"/>
        <s v="SS"/>
        <s v="S"/>
        <s v="BK"/>
        <s v="HC"/>
        <s v="JB"/>
        <s v="Aubergine"/>
      </sharedItems>
    </cacheField>
    <cacheField name="Dip" numFmtId="0">
      <sharedItems containsBlank="1"/>
    </cacheField>
    <cacheField name="Soup" numFmtId="0">
      <sharedItems containsBlank="1"/>
    </cacheField>
    <cacheField name="QTY" numFmtId="3">
      <sharedItems containsString="0" containsBlank="1" containsNumber="1" minValue="3" maxValue="12500"/>
    </cacheField>
    <cacheField name="Stock_x000a_ จริง" numFmtId="3">
      <sharedItems containsString="0" containsBlank="1" containsNumber="1" minValue="3" maxValue="11836"/>
    </cacheField>
    <cacheField name="Stock_x000a_สำรอง" numFmtId="3">
      <sharedItems containsString="0" containsBlank="1" containsNumber="1" minValue="1" maxValue="5255"/>
    </cacheField>
    <cacheField name="Short/cs" numFmtId="191">
      <sharedItems containsString="0" containsBlank="1" containsNumber="1" minValue="-12500" maxValue="484"/>
    </cacheField>
    <cacheField name="Short/cup" numFmtId="3">
      <sharedItems containsString="0" containsBlank="1" containsNumber="1" minValue="0" maxValue="300000"/>
    </cacheField>
    <cacheField name=" Short Raw Wonton /Pcs." numFmtId="3">
      <sharedItems containsString="0" containsBlank="1" containsNumber="1" minValue="0" maxValue="2280000"/>
    </cacheField>
    <cacheField name="ผงซุป/tray" numFmtId="195">
      <sharedItems containsString="0" containsBlank="1" containsNumber="1" minValue="4.0000000000000001E-3" maxValue="10"/>
    </cacheField>
    <cacheField name="ผงซุป" numFmtId="3">
      <sharedItems containsString="0" containsBlank="1" containsNumber="1" minValue="0" maxValue="380000"/>
    </cacheField>
    <cacheField name="Remaek" numFmtId="0">
      <sharedItems containsDate="1" containsBlank="1" containsMixedTypes="1" minDate="1900-01-02T14:00:04" maxDate="2026-04-03T00:00:00"/>
    </cacheField>
    <cacheField name="WT/ PD" numFmtId="0">
      <sharedItems containsString="0" containsBlank="1" containsNumber="1" minValue="0" maxValue="15.526800000000001"/>
    </cacheField>
    <cacheField name="WT/ HO_x000a_(Tons.)" numFmtId="0">
      <sharedItems containsString="0" containsBlank="1" containsNumber="1" minValue="0" maxValue="28.7533333333333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NATORN TAWILAI" refreshedDate="46273.690047800927" createdVersion="8" refreshedVersion="6" minRefreshableVersion="3" recordCount="4063" xr:uid="{B1B54DDD-9F9D-453B-9DD5-A691A60EE5DA}">
  <cacheSource type="worksheet">
    <worksheetSource ref="A4:AF1048576" sheet="แผนผลิต"/>
  </cacheSource>
  <cacheFields count="32">
    <cacheField name="R T C" numFmtId="0">
      <sharedItems containsBlank="1" containsMixedTypes="1" containsNumber="1" containsInteger="1" minValue="13" maxValue="13"/>
    </cacheField>
    <cacheField name="แผนผลิต_x000a_Date" numFmtId="187">
      <sharedItems containsNonDate="0" containsDate="1" containsString="0" containsBlank="1" minDate="2024-01-01T00:00:00" maxDate="2027-03-02T00:00:00" count="1043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31T00:00:00"/>
        <d v="2026-06-03T00:00:00"/>
        <d v="2026-06-07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2T00:00:00"/>
        <d v="2026-11-03T00:00:00"/>
        <d v="2026-11-09T00:00:00"/>
        <d v="2026-11-10T00:00:00"/>
        <d v="2026-11-16T00:00:00"/>
        <d v="2026-11-17T00:00:00"/>
        <d v="2026-11-23T00:00:00"/>
        <d v="2026-11-24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21T00:00:00"/>
        <d v="2026-12-22T00:00:00"/>
        <d v="2026-12-28T00:00:00"/>
        <d v="2026-12-29T00:00:00"/>
        <d v="2026-12-30T00:00:00"/>
        <d v="2026-12-31T00:00:00"/>
        <d v="2027-01-06T00:00:00"/>
        <d v="2027-02-02T00:00:00"/>
        <m/>
        <d v="2027-01-01T00:00:00"/>
        <d v="2027-02-01T00:00:00"/>
        <d v="2026-11-01T00:00:00"/>
        <d v="2026-11-21T00:00:00" u="1"/>
        <d v="2026-11-25T00:00:00" u="1"/>
        <d v="2026-11-04T00:00:00" u="1"/>
        <d v="2026-11-06T00:00:00" u="1"/>
        <d v="2026-11-08T00:00:00" u="1"/>
        <d v="2026-11-12T00:00:00" u="1"/>
        <d v="2026-11-18T00:00:00" u="1"/>
        <d v="2026-11-20T00:00:00" u="1"/>
        <d v="2026-11-22T00:00:00" u="1"/>
        <d v="2026-11-26T00:00:00" u="1"/>
        <d v="2027-03-01T00:00:00" u="1"/>
        <d v="2026-11-05T00:00:00" u="1"/>
        <d v="2026-11-07T00:00:00" u="1"/>
        <d v="2026-11-11T00:00:00" u="1"/>
        <d v="2026-11-13T00:00:00" u="1"/>
        <d v="2026-11-15T00:00:00" u="1"/>
        <d v="2026-11-19T00:00:00" u="1"/>
      </sharedItems>
    </cacheField>
    <cacheField name="แผน LOAD_x000a_Date" numFmtId="0">
      <sharedItems containsDate="1" containsBlank="1" containsMixedTypes="1" minDate="2007-01-05T00:00:00" maxDate="2027-03-02T00:00:00"/>
    </cacheField>
    <cacheField name="year" numFmtId="0">
      <sharedItems containsBlank="1" containsMixedTypes="1" containsNumber="1" containsInteger="1" minValue="2023" maxValue="2027" count="7">
        <n v="2024"/>
        <n v="2025"/>
        <n v="2026"/>
        <n v="2027"/>
        <s v=""/>
        <m/>
        <n v="2023" u="1"/>
      </sharedItems>
    </cacheField>
    <cacheField name="WEEK" numFmtId="0">
      <sharedItems containsBlank="1"/>
    </cacheField>
    <cacheField name="Month" numFmtId="190">
      <sharedItems containsBlank="1" count="16">
        <s v="Jan"/>
        <s v="Feb"/>
        <s v="Mar"/>
        <s v="Apr"/>
        <s v="May"/>
        <s v="Jun"/>
        <s v="Jul"/>
        <s v="Aug"/>
        <s v="Sep"/>
        <s v="Oct"/>
        <s v="Nov"/>
        <s v="Dec"/>
        <s v=""/>
        <m/>
        <e v="#REF!" u="1"/>
        <s v="รอผัก" u="1"/>
      </sharedItems>
    </cacheField>
    <cacheField name="No-. order" numFmtId="0">
      <sharedItems containsBlank="1" containsMixedTypes="1" containsNumber="1" containsInteger="1" minValue="1" maxValue="35"/>
    </cacheField>
    <cacheField name="Country" numFmtId="0">
      <sharedItems containsBlank="1"/>
    </cacheField>
    <cacheField name="Country2" numFmtId="0">
      <sharedItems containsBlank="1"/>
    </cacheField>
    <cacheField name="Customer" numFmtId="0">
      <sharedItems containsBlank="1"/>
    </cacheField>
    <cacheField name="Group1" numFmtId="0">
      <sharedItems containsBlank="1"/>
    </cacheField>
    <cacheField name="Group2" numFmtId="0">
      <sharedItems containsBlank="1" count="5">
        <m/>
        <s v="Cooked Wonton"/>
        <s v="Raw Wonton"/>
        <s v="Cooked Minced  ND No Egg หมาล่า"/>
        <s v="Cooked Wonton ND No Egg with Pumpkin_x000a_+ Yu Choy "/>
      </sharedItems>
    </cacheField>
    <cacheField name="Product" numFmtId="0">
      <sharedItems containsBlank="1"/>
    </cacheField>
    <cacheField name="CODE" numFmtId="0">
      <sharedItems containsBlank="1"/>
    </cacheField>
    <cacheField name="Packing" numFmtId="0">
      <sharedItems containsBlank="1"/>
    </cacheField>
    <cacheField name="cups" numFmtId="3">
      <sharedItems containsString="0" containsBlank="1" containsNumber="1" containsInteger="1" minValue="5" maxValue="100"/>
    </cacheField>
    <cacheField name="Pcs./Cup" numFmtId="3">
      <sharedItems containsString="0" containsBlank="1" containsNumber="1" containsInteger="1" minValue="1" maxValue="60"/>
    </cacheField>
    <cacheField name="WT/Pcs" numFmtId="0">
      <sharedItems containsString="0" containsBlank="1" containsNumber="1" minValue="4.0000000000000001E-3" maxValue="1.4999999999999999E-2"/>
    </cacheField>
    <cacheField name="RM" numFmtId="0">
      <sharedItems containsBlank="1"/>
    </cacheField>
    <cacheField name="Dip" numFmtId="0">
      <sharedItems containsBlank="1"/>
    </cacheField>
    <cacheField name="Soup" numFmtId="0">
      <sharedItems containsBlank="1"/>
    </cacheField>
    <cacheField name="QTY" numFmtId="3">
      <sharedItems containsString="0" containsBlank="1" containsNumber="1" minValue="3" maxValue="12500"/>
    </cacheField>
    <cacheField name="Stock_x000a_ จริง" numFmtId="3">
      <sharedItems containsString="0" containsBlank="1" containsNumber="1" minValue="3" maxValue="11836"/>
    </cacheField>
    <cacheField name="Stock_x000a_สำรอง" numFmtId="3">
      <sharedItems containsString="0" containsBlank="1" containsNumber="1" minValue="1" maxValue="5255"/>
    </cacheField>
    <cacheField name="Short/cs" numFmtId="191">
      <sharedItems containsString="0" containsBlank="1" containsNumber="1" minValue="-12500" maxValue="484"/>
    </cacheField>
    <cacheField name="Short/cup" numFmtId="3">
      <sharedItems containsString="0" containsBlank="1" containsNumber="1" minValue="0" maxValue="300000"/>
    </cacheField>
    <cacheField name=" Short Raw Wonton /Pcs." numFmtId="3">
      <sharedItems containsString="0" containsBlank="1" containsNumber="1" minValue="0" maxValue="2280000"/>
    </cacheField>
    <cacheField name="ผงซุป/tray" numFmtId="195">
      <sharedItems containsString="0" containsBlank="1" containsNumber="1" minValue="4.0000000000000001E-3" maxValue="10"/>
    </cacheField>
    <cacheField name="ผงซุป" numFmtId="3">
      <sharedItems containsString="0" containsBlank="1" containsNumber="1" minValue="0" maxValue="380000"/>
    </cacheField>
    <cacheField name="Remaek" numFmtId="0">
      <sharedItems containsDate="1" containsBlank="1" containsMixedTypes="1" minDate="1900-01-02T14:00:04" maxDate="2026-04-03T00:00:00"/>
    </cacheField>
    <cacheField name="WT/ PD" numFmtId="0">
      <sharedItems containsString="0" containsBlank="1" containsNumber="1" minValue="0" maxValue="15.526800000000001"/>
    </cacheField>
    <cacheField name="WT/ HO_x000a_(Tons.)" numFmtId="0">
      <sharedItems containsString="0" containsBlank="1" containsNumber="1" minValue="0" maxValue="28.7533333333333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NATORN TAWILAI" refreshedDate="46273.690049421297" createdVersion="8" refreshedVersion="6" recordCount="3868" xr:uid="{00000000-000A-0000-FFFF-FFFF00000000}">
  <cacheSource type="worksheet">
    <worksheetSource ref="B2:AB3870" sheet="แผนผลิต " r:id="rId2"/>
  </cacheSource>
  <cacheFields count="27">
    <cacheField name="แผนผลิต_x000a_Date" numFmtId="0">
      <sharedItems containsDate="1" containsBlank="1" containsMixedTypes="1" minDate="2021-01-01T00:00:00" maxDate="2024-07-02T00:00:00" count="1270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s v="stock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7T00:00:00"/>
        <d v="2024-06-20T00:00:00"/>
        <d v="2024-06-23T00:00:00"/>
        <d v="2024-06-24T00:00:00"/>
        <d v="2024-06-25T00:00:00"/>
        <d v="2024-06-30T00:00:00"/>
        <d v="2024-07-01T00:00:00"/>
        <m u="1"/>
        <d v="2021-09-29T00:00:00" u="1"/>
        <d v="2021-10-25T00:00:00" u="1"/>
        <d v="2021-11-21T00:00:00" u="1"/>
        <d v="2021-12-17T00:00:00" u="1"/>
        <d v="2021-10-27T00:00:00" u="1"/>
        <d v="2021-11-23T00:00:00" u="1"/>
        <d v="2021-12-19T00:00:00" u="1"/>
        <d v="2021-10-29T00:00:00" u="1"/>
        <d v="2021-11-25T00:00:00" u="1"/>
        <d v="2021-12-21T00:00:00" u="1"/>
        <d v="2021-01-02T00:00:00" u="1"/>
        <d v="2021-10-31T00:00:00" u="1"/>
        <d v="2021-11-27T00:00:00" u="1"/>
        <d v="2021-12-23T00:00:00" u="1"/>
        <d v="2021-01-04T00:00:00" u="1"/>
        <d v="2021-11-29T00:00:00" u="1"/>
        <d v="2021-12-25T00:00:00" u="1"/>
        <d v="2021-01-06T00:00:00" u="1"/>
        <d v="2021-02-02T00:00:00" u="1"/>
        <d v="2021-12-27T00:00:00" u="1"/>
        <d v="2021-01-08T00:00:00" u="1"/>
        <d v="2021-02-04T00:00:00" u="1"/>
        <d v="2021-12-29T00:00:00" u="1"/>
        <d v="2021-01-10T00:00:00" u="1"/>
        <d v="2021-02-06T00:00:00" u="1"/>
        <d v="2021-03-02T00:00:00" u="1"/>
        <d v="2021-12-31T00:00:00" u="1"/>
        <d v="2021-01-12T00:00:00" u="1"/>
        <d v="2021-02-08T00:00:00" u="1"/>
        <d v="2021-03-04T00:00:00" u="1"/>
        <d v="2021-01-14T00:00:00" u="1"/>
        <d v="2021-02-10T00:00:00" u="1"/>
        <d v="2021-03-06T00:00:00" u="1"/>
        <d v="2021-04-02T00:00:00" u="1"/>
        <d v="2021-01-16T00:00:00" u="1"/>
        <d v="2021-02-12T00:00:00" u="1"/>
        <d v="2021-03-08T00:00:00" u="1"/>
        <d v="2021-04-04T00:00:00" u="1"/>
        <d v="2021-01-18T00:00:00" u="1"/>
        <d v="2021-02-14T00:00:00" u="1"/>
        <d v="2021-03-10T00:00:00" u="1"/>
        <d v="2021-04-06T00:00:00" u="1"/>
        <d v="2021-05-02T00:00:00" u="1"/>
        <d v="2021-01-20T00:00:00" u="1"/>
        <d v="2021-02-16T00:00:00" u="1"/>
        <d v="2021-03-12T00:00:00" u="1"/>
        <d v="2021-04-08T00:00:00" u="1"/>
        <d v="2021-05-04T00:00:00" u="1"/>
        <d v="2021-01-22T00:00:00" u="1"/>
        <d v="2021-02-18T00:00:00" u="1"/>
        <d v="2021-03-14T00:00:00" u="1"/>
        <d v="2021-04-10T00:00:00" u="1"/>
        <d v="2021-05-06T00:00:00" u="1"/>
        <d v="2021-06-02T00:00:00" u="1"/>
        <d v="2021-01-24T00:00:00" u="1"/>
        <d v="2021-02-20T00:00:00" u="1"/>
        <d v="2021-03-16T00:00:00" u="1"/>
        <d v="2021-04-12T00:00:00" u="1"/>
        <d v="2021-05-08T00:00:00" u="1"/>
        <d v="2021-06-04T00:00:00" u="1"/>
        <d v="2021-01-26T00:00:00" u="1"/>
        <d v="2021-02-22T00:00:00" u="1"/>
        <d v="2021-03-18T00:00:00" u="1"/>
        <d v="2021-04-14T00:00:00" u="1"/>
        <d v="2021-05-10T00:00:00" u="1"/>
        <d v="2021-06-06T00:00:00" u="1"/>
        <d v="2021-07-02T00:00:00" u="1"/>
        <d v="2021-01-28T00:00:00" u="1"/>
        <d v="2021-02-24T00:00:00" u="1"/>
        <d v="2021-03-20T00:00:00" u="1"/>
        <d v="2021-04-16T00:00:00" u="1"/>
        <d v="2021-05-12T00:00:00" u="1"/>
        <d v="2021-06-08T00:00:00" u="1"/>
        <d v="2021-07-04T00:00:00" u="1"/>
        <d v="2021-01-30T00:00:00" u="1"/>
        <d v="2021-02-26T00:00:00" u="1"/>
        <d v="2021-03-22T00:00:00" u="1"/>
        <d v="2021-04-18T00:00:00" u="1"/>
        <d v="2021-05-14T00:00:00" u="1"/>
        <d v="2021-06-10T00:00:00" u="1"/>
        <d v="2021-07-06T00:00:00" u="1"/>
        <d v="2021-08-02T00:00:00" u="1"/>
        <d v="2021-02-28T00:00:00" u="1"/>
        <d v="2021-03-24T00:00:00" u="1"/>
        <d v="2021-04-20T00:00:00" u="1"/>
        <d v="2021-05-16T00:00:00" u="1"/>
        <d v="2021-06-12T00:00:00" u="1"/>
        <d v="2021-07-08T00:00:00" u="1"/>
        <d v="2021-08-04T00:00:00" u="1"/>
        <d v="2021-03-26T00:00:00" u="1"/>
        <d v="2021-04-22T00:00:00" u="1"/>
        <d v="2021-05-18T00:00:00" u="1"/>
        <d v="2021-06-14T00:00:00" u="1"/>
        <d v="2021-07-10T00:00:00" u="1"/>
        <d v="2021-08-06T00:00:00" u="1"/>
        <d v="2021-09-02T00:00:00" u="1"/>
        <d v="2021-03-28T00:00:00" u="1"/>
        <d v="2021-04-24T00:00:00" u="1"/>
        <d v="2021-05-20T00:00:00" u="1"/>
        <d v="2021-06-16T00:00:00" u="1"/>
        <d v="2021-07-12T00:00:00" u="1"/>
        <d v="2021-08-08T00:00:00" u="1"/>
        <d v="2021-09-04T00:00:00" u="1"/>
        <d v="2021-03-30T00:00:00" u="1"/>
        <d v="2021-04-26T00:00:00" u="1"/>
        <d v="2021-05-22T00:00:00" u="1"/>
        <d v="2021-06-18T00:00:00" u="1"/>
        <d v="2021-07-14T00:00:00" u="1"/>
        <d v="2021-08-10T00:00:00" u="1"/>
        <d v="2021-09-06T00:00:00" u="1"/>
        <d v="2021-10-02T00:00:00" u="1"/>
        <d v="2021-04-28T00:00:00" u="1"/>
        <d v="2021-05-24T00:00:00" u="1"/>
        <d v="2021-06-20T00:00:00" u="1"/>
        <d v="2021-07-16T00:00:00" u="1"/>
        <d v="2021-08-12T00:00:00" u="1"/>
        <d v="2021-09-08T00:00:00" u="1"/>
        <d v="2021-10-04T00:00:00" u="1"/>
        <d v="2021-04-30T00:00:00" u="1"/>
        <d v="2021-05-26T00:00:00" u="1"/>
        <d v="2021-06-22T00:00:00" u="1"/>
        <d v="2021-07-18T00:00:00" u="1"/>
        <d v="2021-08-14T00:00:00" u="1"/>
        <d v="2021-09-10T00:00:00" u="1"/>
        <d v="2021-10-06T00:00:00" u="1"/>
        <d v="2021-11-02T00:00:00" u="1"/>
        <d v="2021-05-28T00:00:00" u="1"/>
        <d v="2021-06-24T00:00:00" u="1"/>
        <d v="2021-07-20T00:00:00" u="1"/>
        <d v="2021-08-16T00:00:00" u="1"/>
        <d v="2021-09-12T00:00:00" u="1"/>
        <d v="2021-10-08T00:00:00" u="1"/>
        <d v="2021-11-04T00:00:00" u="1"/>
        <d v="2021-05-30T00:00:00" u="1"/>
        <d v="2021-06-26T00:00:00" u="1"/>
        <d v="2021-07-22T00:00:00" u="1"/>
        <d v="2021-08-18T00:00:00" u="1"/>
        <d v="2021-09-14T00:00:00" u="1"/>
        <d v="2021-10-10T00:00:00" u="1"/>
        <d v="2021-11-06T00:00:00" u="1"/>
        <d v="2021-12-02T00:00:00" u="1"/>
        <d v="2021-06-28T00:00:00" u="1"/>
        <d v="2021-07-24T00:00:00" u="1"/>
        <d v="2021-08-20T00:00:00" u="1"/>
        <d v="2021-09-16T00:00:00" u="1"/>
        <d v="2021-10-12T00:00:00" u="1"/>
        <d v="2021-11-08T00:00:00" u="1"/>
        <d v="2021-12-04T00:00:00" u="1"/>
        <d v="2021-06-30T00:00:00" u="1"/>
        <d v="2021-07-26T00:00:00" u="1"/>
        <d v="2021-08-22T00:00:00" u="1"/>
        <d v="2021-09-18T00:00:00" u="1"/>
        <d v="2021-10-14T00:00:00" u="1"/>
        <d v="2021-11-10T00:00:00" u="1"/>
        <d v="2021-12-06T00:00:00" u="1"/>
        <d v="2021-07-28T00:00:00" u="1"/>
        <d v="2021-08-24T00:00:00" u="1"/>
        <d v="2021-09-20T00:00:00" u="1"/>
        <d v="2021-10-16T00:00:00" u="1"/>
        <d v="2021-11-12T00:00:00" u="1"/>
        <d v="2021-12-08T00:00:00" u="1"/>
        <d v="2021-07-30T00:00:00" u="1"/>
        <d v="2021-08-26T00:00:00" u="1"/>
        <d v="2021-09-22T00:00:00" u="1"/>
        <d v="2021-10-18T00:00:00" u="1"/>
        <d v="2021-11-14T00:00:00" u="1"/>
        <d v="2021-12-10T00:00:00" u="1"/>
        <d v="2021-08-28T00:00:00" u="1"/>
        <d v="2021-09-24T00:00:00" u="1"/>
        <d v="2021-10-20T00:00:00" u="1"/>
        <d v="2021-11-16T00:00:00" u="1"/>
        <d v="2021-12-12T00:00:00" u="1"/>
        <d v="2021-08-30T00:00:00" u="1"/>
        <d v="2021-09-26T00:00:00" u="1"/>
        <d v="2021-10-22T00:00:00" u="1"/>
        <d v="2021-11-18T00:00:00" u="1"/>
        <d v="2021-12-14T00:00:00" u="1"/>
        <d v="2021-09-28T00:00:00" u="1"/>
        <d v="2021-10-24T00:00:00" u="1"/>
        <d v="2021-11-20T00:00:00" u="1"/>
        <d v="2021-12-16T00:00:00" u="1"/>
        <d v="2021-09-30T00:00:00" u="1"/>
        <d v="2021-10-26T00:00:00" u="1"/>
        <d v="2021-11-22T00:00:00" u="1"/>
        <d v="2021-12-18T00:00:00" u="1"/>
        <d v="2021-10-28T00:00:00" u="1"/>
        <d v="2021-11-24T00:00:00" u="1"/>
        <d v="2021-12-20T00:00:00" u="1"/>
        <d v="2021-01-01T00:00:00" u="1"/>
        <d v="2021-10-30T00:00:00" u="1"/>
        <d v="2021-11-26T00:00:00" u="1"/>
        <d v="2021-12-22T00:00:00" u="1"/>
        <d v="2021-01-03T00:00:00" u="1"/>
        <d v="2021-11-28T00:00:00" u="1"/>
        <d v="2021-12-24T00:00:00" u="1"/>
        <d v="2021-01-05T00:00:00" u="1"/>
        <d v="2021-02-01T00:00:00" u="1"/>
        <d v="2021-11-30T00:00:00" u="1"/>
        <d v="2021-12-26T00:00:00" u="1"/>
        <d v="2021-01-07T00:00:00" u="1"/>
        <d v="2021-02-03T00:00:00" u="1"/>
        <d v="2021-12-28T00:00:00" u="1"/>
        <d v="2021-01-09T00:00:00" u="1"/>
        <d v="2021-02-05T00:00:00" u="1"/>
        <d v="2021-03-01T00:00:00" u="1"/>
        <d v="2021-12-30T00:00:00" u="1"/>
        <d v="2021-01-11T00:00:00" u="1"/>
        <d v="2021-02-07T00:00:00" u="1"/>
        <d v="2021-03-03T00:00:00" u="1"/>
        <d v="2021-01-13T00:00:00" u="1"/>
        <d v="2021-02-09T00:00:00" u="1"/>
        <d v="2021-03-05T00:00:00" u="1"/>
        <d v="2021-04-01T00:00:00" u="1"/>
        <d v="2021-01-15T00:00:00" u="1"/>
        <d v="2021-02-11T00:00:00" u="1"/>
        <d v="2021-03-07T00:00:00" u="1"/>
        <d v="2021-04-03T00:00:00" u="1"/>
        <d v="2021-01-17T00:00:00" u="1"/>
        <d v="2021-02-13T00:00:00" u="1"/>
        <d v="2021-03-09T00:00:00" u="1"/>
        <d v="2021-04-05T00:00:00" u="1"/>
        <d v="2021-05-01T00:00:00" u="1"/>
        <d v="2021-01-19T00:00:00" u="1"/>
        <d v="2021-02-15T00:00:00" u="1"/>
        <d v="2021-03-11T00:00:00" u="1"/>
        <d v="2021-04-07T00:00:00" u="1"/>
        <d v="2021-05-03T00:00:00" u="1"/>
        <d v="2021-01-21T00:00:00" u="1"/>
        <d v="2021-02-17T00:00:00" u="1"/>
        <d v="2021-03-13T00:00:00" u="1"/>
        <d v="2021-04-09T00:00:00" u="1"/>
        <d v="2021-05-05T00:00:00" u="1"/>
        <d v="2021-06-01T00:00:00" u="1"/>
        <d v="2021-01-23T00:00:00" u="1"/>
        <d v="2021-02-19T00:00:00" u="1"/>
        <d v="2021-03-15T00:00:00" u="1"/>
        <d v="2021-04-11T00:00:00" u="1"/>
        <d v="2021-05-07T00:00:00" u="1"/>
        <d v="2021-06-03T00:00:00" u="1"/>
        <d v="2021-01-25T00:00:00" u="1"/>
        <d v="2021-02-21T00:00:00" u="1"/>
        <d v="2021-03-17T00:00:00" u="1"/>
        <d v="2021-04-13T00:00:00" u="1"/>
        <d v="2021-05-09T00:00:00" u="1"/>
        <d v="2021-06-05T00:00:00" u="1"/>
        <d v="2021-07-01T00:00:00" u="1"/>
        <d v="2021-01-27T00:00:00" u="1"/>
        <d v="2021-02-23T00:00:00" u="1"/>
        <d v="2021-03-19T00:00:00" u="1"/>
        <d v="2021-04-15T00:00:00" u="1"/>
        <d v="2021-05-11T00:00:00" u="1"/>
        <d v="2021-06-07T00:00:00" u="1"/>
        <d v="2021-07-03T00:00:00" u="1"/>
        <d v="2021-01-29T00:00:00" u="1"/>
        <d v="2021-02-25T00:00:00" u="1"/>
        <d v="2021-03-21T00:00:00" u="1"/>
        <d v="2021-04-17T00:00:00" u="1"/>
        <d v="2021-05-13T00:00:00" u="1"/>
        <d v="2021-06-09T00:00:00" u="1"/>
        <d v="2021-07-05T00:00:00" u="1"/>
        <d v="2021-08-01T00:00:00" u="1"/>
        <d v="2021-01-31T00:00:00" u="1"/>
        <d v="2021-02-27T00:00:00" u="1"/>
        <d v="2021-03-23T00:00:00" u="1"/>
        <d v="2021-04-19T00:00:00" u="1"/>
        <d v="2021-05-15T00:00:00" u="1"/>
        <d v="2021-06-11T00:00:00" u="1"/>
        <d v="2021-07-07T00:00:00" u="1"/>
        <d v="2021-08-03T00:00:00" u="1"/>
        <d v="2021-03-25T00:00:00" u="1"/>
        <d v="2021-04-21T00:00:00" u="1"/>
        <d v="2021-05-17T00:00:00" u="1"/>
        <d v="2021-06-13T00:00:00" u="1"/>
        <d v="2021-07-09T00:00:00" u="1"/>
        <d v="2021-08-05T00:00:00" u="1"/>
        <d v="2021-09-01T00:00:00" u="1"/>
        <d v="2021-03-27T00:00:00" u="1"/>
        <d v="2021-04-23T00:00:00" u="1"/>
        <d v="2021-05-19T00:00:00" u="1"/>
        <d v="2021-06-15T00:00:00" u="1"/>
        <d v="2021-07-11T00:00:00" u="1"/>
        <d v="2021-08-07T00:00:00" u="1"/>
        <d v="2021-09-03T00:00:00" u="1"/>
        <d v="2021-03-29T00:00:00" u="1"/>
        <d v="2021-04-25T00:00:00" u="1"/>
        <d v="2021-05-21T00:00:00" u="1"/>
        <d v="2021-06-17T00:00:00" u="1"/>
        <d v="2021-07-13T00:00:00" u="1"/>
        <d v="2021-08-09T00:00:00" u="1"/>
        <d v="2021-09-05T00:00:00" u="1"/>
        <d v="2021-10-01T00:00:00" u="1"/>
        <d v="2021-03-31T00:00:00" u="1"/>
        <d v="2021-04-27T00:00:00" u="1"/>
        <d v="2021-05-23T00:00:00" u="1"/>
        <d v="2021-06-19T00:00:00" u="1"/>
        <d v="2021-07-15T00:00:00" u="1"/>
        <d v="2021-08-11T00:00:00" u="1"/>
        <d v="2021-09-07T00:00:00" u="1"/>
        <d v="2021-10-03T00:00:00" u="1"/>
        <d v="2021-04-29T00:00:00" u="1"/>
        <d v="2021-05-25T00:00:00" u="1"/>
        <d v="2021-06-21T00:00:00" u="1"/>
        <d v="2021-07-17T00:00:00" u="1"/>
        <d v="2021-08-13T00:00:00" u="1"/>
        <d v="2021-09-09T00:00:00" u="1"/>
        <d v="2021-10-05T00:00:00" u="1"/>
        <d v="2021-11-01T00:00:00" u="1"/>
        <d v="2021-05-27T00:00:00" u="1"/>
        <d v="2021-06-23T00:00:00" u="1"/>
        <d v="2021-07-19T00:00:00" u="1"/>
        <d v="2021-08-15T00:00:00" u="1"/>
        <d v="2021-09-11T00:00:00" u="1"/>
        <d v="2021-10-07T00:00:00" u="1"/>
        <d v="2021-11-03T00:00:00" u="1"/>
        <d v="2021-05-29T00:00:00" u="1"/>
        <d v="2021-06-25T00:00:00" u="1"/>
        <d v="2021-07-21T00:00:00" u="1"/>
        <d v="2021-08-17T00:00:00" u="1"/>
        <d v="2021-09-13T00:00:00" u="1"/>
        <d v="2021-10-09T00:00:00" u="1"/>
        <d v="2021-11-05T00:00:00" u="1"/>
        <d v="2021-12-01T00:00:00" u="1"/>
        <d v="2021-05-31T00:00:00" u="1"/>
        <d v="2021-06-27T00:00:00" u="1"/>
        <d v="2021-07-23T00:00:00" u="1"/>
        <d v="2021-08-19T00:00:00" u="1"/>
        <d v="2021-09-15T00:00:00" u="1"/>
        <d v="2021-10-11T00:00:00" u="1"/>
        <d v="2021-11-07T00:00:00" u="1"/>
        <d v="2021-12-03T00:00:00" u="1"/>
        <d v="2021-06-29T00:00:00" u="1"/>
        <d v="2021-07-25T00:00:00" u="1"/>
        <d v="2021-08-21T00:00:00" u="1"/>
        <d v="2021-09-17T00:00:00" u="1"/>
        <d v="2021-10-13T00:00:00" u="1"/>
        <d v="2021-11-09T00:00:00" u="1"/>
        <d v="2021-12-05T00:00:00" u="1"/>
        <d v="2021-07-27T00:00:00" u="1"/>
        <d v="2021-08-23T00:00:00" u="1"/>
        <d v="2021-09-19T00:00:00" u="1"/>
        <d v="2021-10-15T00:00:00" u="1"/>
        <d v="2021-11-11T00:00:00" u="1"/>
        <d v="2021-12-07T00:00:00" u="1"/>
        <s v="รอลงแผน" u="1"/>
        <d v="2021-07-29T00:00:00" u="1"/>
        <d v="2021-08-25T00:00:00" u="1"/>
        <d v="2021-09-21T00:00:00" u="1"/>
        <d v="2021-10-17T00:00:00" u="1"/>
        <d v="2021-11-13T00:00:00" u="1"/>
        <d v="2021-12-09T00:00:00" u="1"/>
        <d v="2021-07-31T00:00:00" u="1"/>
        <d v="2021-08-27T00:00:00" u="1"/>
        <d v="2021-09-23T00:00:00" u="1"/>
        <d v="2021-10-19T00:00:00" u="1"/>
        <d v="2021-11-15T00:00:00" u="1"/>
        <d v="2021-12-11T00:00:00" u="1"/>
        <d v="2021-08-29T00:00:00" u="1"/>
        <d v="2021-09-25T00:00:00" u="1"/>
        <d v="2021-10-21T00:00:00" u="1"/>
        <d v="2021-11-17T00:00:00" u="1"/>
        <d v="2021-12-13T00:00:00" u="1"/>
        <d v="2021-08-31T00:00:00" u="1"/>
        <d v="2021-09-27T00:00:00" u="1"/>
        <d v="2021-10-23T00:00:00" u="1"/>
        <d v="2021-11-19T00:00:00" u="1"/>
        <d v="2021-12-15T00:00:00" u="1"/>
      </sharedItems>
    </cacheField>
    <cacheField name="แผน LOAD_x000a_Date" numFmtId="0">
      <sharedItems containsDate="1" containsBlank="1" containsMixedTypes="1" minDate="2022-01-05T00:00:00" maxDate="2024-07-26T00:00:00"/>
    </cacheField>
    <cacheField name="WEEK" numFmtId="0">
      <sharedItems containsBlank="1"/>
    </cacheField>
    <cacheField name="Month" numFmtId="0">
      <sharedItems containsDate="1" containsBlank="1" containsMixedTypes="1" minDate="2022-01-01T00:00:00" maxDate="2024-07-02T00:00:00"/>
    </cacheField>
    <cacheField name="Order" numFmtId="0">
      <sharedItems containsBlank="1" containsMixedTypes="1" containsNumber="1" containsInteger="1" minValue="1" maxValue="34"/>
    </cacheField>
    <cacheField name="Country" numFmtId="0">
      <sharedItems containsBlank="1"/>
    </cacheField>
    <cacheField name="Customer" numFmtId="0">
      <sharedItems containsBlank="1"/>
    </cacheField>
    <cacheField name="Group2" numFmtId="0">
      <sharedItems containsBlank="1"/>
    </cacheField>
    <cacheField name="Group1" numFmtId="0">
      <sharedItems containsBlank="1"/>
    </cacheField>
    <cacheField name="Group" numFmtId="0">
      <sharedItems containsBlank="1" count="35">
        <m/>
        <s v="Wonton"/>
        <s v="Wonton TY"/>
        <s v="Minced ND"/>
        <s v="R-Wonton egg past"/>
        <s v="Wonton ND+V"/>
        <s v="Wonton+ผัก3สี+Y3-1"/>
        <s v="Minced WT"/>
        <s v="Wonton ND+V+TY"/>
        <s v="R-Minced egg past"/>
        <s v="R-Wonton no egg"/>
        <s v="E+Wonton NDE"/>
        <s v="E+Wonton"/>
        <s v="E+Wonton TY"/>
        <s v="E+Minced WT"/>
        <s v="Wonton ND"/>
        <s v="EP+Wonton"/>
        <s v="Minced ND+V+TY"/>
        <s v="R-Wonton  (Fried Sheet)"/>
        <s v="Wonton +V"/>
        <s v="C-WT in tray no egg"/>
        <s v="E+Wonton NDE TY"/>
        <s v="E+Minced NDE"/>
        <s v="C-Minced WT in tray no egg"/>
        <s v="E+NOODLES"/>
        <s v="Minced Dry Noodle+V"/>
        <s v="Minced ND+V"/>
        <s v="Minced ND+V+TK"/>
        <s v="Minced ND+Kee Mao"/>
        <s v="R-Minced no egg"/>
        <s v="Wonton ND+Kee Mao"/>
        <s v="Wonton+TY"/>
        <s v="E+Wonton+หมาล่า"/>
        <s v="Wonton+ผัก3สี" u="1"/>
        <s v="Minced NDE" u="1"/>
      </sharedItems>
    </cacheField>
    <cacheField name="Product" numFmtId="0">
      <sharedItems containsBlank="1"/>
    </cacheField>
    <cacheField name="CODE" numFmtId="0">
      <sharedItems containsBlank="1" containsMixedTypes="1" containsNumber="1" containsInteger="1" minValue="23098903" maxValue="23098903"/>
    </cacheField>
    <cacheField name="Packing" numFmtId="0">
      <sharedItems containsBlank="1"/>
    </cacheField>
    <cacheField name="cups" numFmtId="0">
      <sharedItems containsString="0" containsBlank="1" containsNumber="1" containsInteger="1" minValue="8" maxValue="200"/>
    </cacheField>
    <cacheField name="Pcs./Cup" numFmtId="0">
      <sharedItems containsString="0" containsBlank="1" containsNumber="1" containsInteger="1" minValue="1" maxValue="60"/>
    </cacheField>
    <cacheField name="WT/Pcs" numFmtId="0">
      <sharedItems containsBlank="1" containsMixedTypes="1" containsNumber="1" minValue="5.0000000000000001E-3" maxValue="1.4999999999999999E-2"/>
    </cacheField>
    <cacheField name="RM" numFmtId="0">
      <sharedItems containsBlank="1"/>
    </cacheField>
    <cacheField name="Dip" numFmtId="0">
      <sharedItems containsBlank="1"/>
    </cacheField>
    <cacheField name="Soup" numFmtId="0">
      <sharedItems containsBlank="1"/>
    </cacheField>
    <cacheField name="QTY" numFmtId="0">
      <sharedItems containsString="0" containsBlank="1" containsNumber="1" minValue="1" maxValue="10000"/>
    </cacheField>
    <cacheField name="Stock_x000a_ จริง" numFmtId="0">
      <sharedItems containsString="0" containsBlank="1" containsNumber="1" containsInteger="1" minValue="1" maxValue="9958"/>
    </cacheField>
    <cacheField name="Stock_x000a_สำรอง" numFmtId="0">
      <sharedItems containsString="0" containsBlank="1" containsNumber="1" minValue="0.54166666666666663" maxValue="5041.375"/>
    </cacheField>
    <cacheField name="Short/cs" numFmtId="0">
      <sharedItems containsString="0" containsBlank="1" containsNumber="1" minValue="-10000" maxValue="567.5"/>
    </cacheField>
    <cacheField name="Short/cup" numFmtId="0">
      <sharedItems containsString="0" containsBlank="1" containsNumber="1" minValue="0" maxValue="150000"/>
    </cacheField>
    <cacheField name=" Short Raw Wonton /Pcs." numFmtId="0">
      <sharedItems containsString="0" containsBlank="1" containsNumber="1" containsInteger="1" minValue="0" maxValue="675840"/>
    </cacheField>
    <cacheField name="ผงซุป/tray" numFmtId="0">
      <sharedItems containsString="0" containsBlank="1" containsNumber="1" containsInteger="1" minValue="1" maxValue="6"/>
    </cacheField>
    <cacheField name="ผงซุป" numFmtId="0">
      <sharedItems containsString="0" containsBlank="1" containsNumber="1" containsInteger="1" minValue="0" maxValue="675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INYA THEPHI" refreshedDate="46275.621630555557" createdVersion="8" refreshedVersion="8" minRefreshableVersion="3" recordCount="21" xr:uid="{71677EC0-018B-4142-9A70-951B9C4C398A}">
  <cacheSource type="worksheet">
    <worksheetSource ref="B2:AZ23" sheet="WK38"/>
  </cacheSource>
  <cacheFields count="51">
    <cacheField name="แผนผลิต_x000a_Date" numFmtId="187">
      <sharedItems containsSemiMixedTypes="0" containsNonDate="0" containsDate="1" containsString="0" minDate="2026-09-14T00:00:00" maxDate="2026-09-21T00:00:00" count="7">
        <d v="2026-09-14T00:00:00"/>
        <d v="2026-09-15T00:00:00"/>
        <d v="2026-09-16T00:00:00"/>
        <d v="2026-09-17T00:00:00"/>
        <d v="2026-09-18T00:00:00"/>
        <d v="2026-09-19T00:00:00"/>
        <d v="2026-09-20T00:00:00"/>
      </sharedItems>
    </cacheField>
    <cacheField name="แผน LOAD_x000a_Date" numFmtId="0">
      <sharedItems containsDate="1" containsBlank="1" containsMixedTypes="1" minDate="2026-09-29T00:00:00" maxDate="2026-10-27T00:00:00"/>
    </cacheField>
    <cacheField name="No-. order" numFmtId="0">
      <sharedItems containsBlank="1"/>
    </cacheField>
    <cacheField name="Country" numFmtId="0">
      <sharedItems containsBlank="1"/>
    </cacheField>
    <cacheField name="Customer" numFmtId="0">
      <sharedItems containsBlank="1"/>
    </cacheField>
    <cacheField name="Group1" numFmtId="0">
      <sharedItems containsBlank="1"/>
    </cacheField>
    <cacheField name="Product" numFmtId="0">
      <sharedItems containsBlank="1"/>
    </cacheField>
    <cacheField name="CODE" numFmtId="0">
      <sharedItems containsBlank="1"/>
    </cacheField>
    <cacheField name="Packing" numFmtId="0">
      <sharedItems containsBlank="1"/>
    </cacheField>
    <cacheField name="cups" numFmtId="3">
      <sharedItems containsString="0" containsBlank="1" containsNumber="1" containsInteger="1" minValue="10" maxValue="36"/>
    </cacheField>
    <cacheField name="Pcs./Cup" numFmtId="3">
      <sharedItems containsString="0" containsBlank="1" containsNumber="1" containsInteger="1" minValue="3" maxValue="50"/>
    </cacheField>
    <cacheField name="WT/Pcs" numFmtId="189">
      <sharedItems containsString="0" containsBlank="1" containsNumber="1" minValue="6.0000000000000001E-3" maxValue="0.01"/>
    </cacheField>
    <cacheField name="RM" numFmtId="0">
      <sharedItems containsBlank="1" count="7">
        <m/>
        <s v="Aubergine"/>
        <s v="SS"/>
        <s v="S"/>
        <s v="BK"/>
        <s v="M"/>
        <s v="HC"/>
      </sharedItems>
    </cacheField>
    <cacheField name="Dip" numFmtId="0">
      <sharedItems containsBlank="1"/>
    </cacheField>
    <cacheField name="Soup" numFmtId="0">
      <sharedItems containsBlank="1"/>
    </cacheField>
    <cacheField name="QTY" numFmtId="3">
      <sharedItems containsString="0" containsBlank="1" containsNumber="1" containsInteger="1" minValue="100" maxValue="2660"/>
    </cacheField>
    <cacheField name="Stock_x000a_ จริง" numFmtId="3">
      <sharedItems containsNonDate="0" containsString="0" containsBlank="1"/>
    </cacheField>
    <cacheField name="Stock_x000a_สำรอง" numFmtId="3">
      <sharedItems containsString="0" containsBlank="1" containsNumber="1" minValue="1.5833333333333333" maxValue="131.5"/>
    </cacheField>
    <cacheField name="Short/cs" numFmtId="191">
      <sharedItems containsString="0" containsBlank="1" containsNumber="1" minValue="-2636" maxValue="-100"/>
    </cacheField>
    <cacheField name="Short/cup" numFmtId="3">
      <sharedItems containsString="0" containsBlank="1" containsNumber="1" containsInteger="1" minValue="1300" maxValue="34200"/>
    </cacheField>
    <cacheField name=" Short Raw Wonton /Pcs." numFmtId="3">
      <sharedItems containsSemiMixedTypes="0" containsString="0" containsNumber="1" containsInteger="1" minValue="0" maxValue="273600"/>
    </cacheField>
    <cacheField name="ผงซุป/tray" numFmtId="195">
      <sharedItems containsString="0" containsBlank="1" containsNumber="1" minValue="7.4999999999999997E-3" maxValue="6"/>
    </cacheField>
    <cacheField name="ผงซุป" numFmtId="3">
      <sharedItems containsString="0" containsBlank="1" containsNumber="1" minValue="0" maxValue="34200"/>
    </cacheField>
    <cacheField name="Remaek" numFmtId="0">
      <sharedItems containsBlank="1"/>
    </cacheField>
    <cacheField name="WT/ PD" numFmtId="4">
      <sharedItems containsString="0" containsBlank="1" containsNumber="1" minValue="9.8064000000000012E-2" maxValue="1.8632160000000002"/>
    </cacheField>
    <cacheField name="WT/ HO_x000a_(Tons.)" numFmtId="4">
      <sharedItems containsString="0" containsBlank="1" containsNumber="1" minValue="0.18160000000000001" maxValue="3.4504000000000001"/>
    </cacheField>
    <cacheField name="Field27" caption="Field27" numFmtId="189">
      <sharedItems containsString="0" containsBlank="1" containsNumber="1" minValue="1.2E-2" maxValue="0.57999999999999996"/>
    </cacheField>
    <cacheField name="WT" numFmtId="4">
      <sharedItems containsString="0" containsBlank="1" containsNumber="1" minValue="2.1600000000000001E-2" maxValue="8.7816960000000002"/>
    </cacheField>
    <cacheField name="Order ถ้วย" numFmtId="3">
      <sharedItems containsString="0" containsBlank="1" containsNumber="1" containsInteger="1" minValue="1300" maxValue="34200"/>
    </cacheField>
    <cacheField name="ผลิต ถ้วย" numFmtId="0">
      <sharedItems containsString="0" containsBlank="1" containsNumber="1" containsInteger="1" minValue="65000" maxValue="75000"/>
    </cacheField>
    <cacheField name="Field31" caption="Field31" numFmtId="0">
      <sharedItems/>
    </cacheField>
    <cacheField name="Field32" caption="Field32" numFmtId="0">
      <sharedItems containsBlank="1"/>
    </cacheField>
    <cacheField name="Field33" caption="Field33" numFmtId="188">
      <sharedItems containsSemiMixedTypes="0" containsString="0" containsNumber="1" minValue="0" maxValue="8781.6959999999999"/>
    </cacheField>
    <cacheField name="Field34" caption="Field34" numFmtId="194">
      <sharedItems containsSemiMixedTypes="0" containsNonDate="0" containsDate="1" containsString="0" minDate="2026-09-14T00:00:00" maxDate="2026-09-21T00:00:00"/>
    </cacheField>
    <cacheField name="Field35" caption="Field35" numFmtId="49">
      <sharedItems/>
    </cacheField>
    <cacheField name="ดิวเข้า PK" numFmtId="2">
      <sharedItems containsBlank="1"/>
    </cacheField>
    <cacheField name="ฟิล์ม" numFmtId="0">
      <sharedItems containsBlank="1" containsMixedTypes="1" containsNumber="1" containsInteger="1" minValue="12063755" maxValue="12071839"/>
    </cacheField>
    <cacheField name="ถ้วย" numFmtId="0">
      <sharedItems containsBlank="1" containsMixedTypes="1" containsNumber="1" containsInteger="1" minValue="12038019" maxValue="12095778"/>
    </cacheField>
    <cacheField name="ฝา" numFmtId="0">
      <sharedItems containsBlank="1" containsMixedTypes="1" containsNumber="1" containsInteger="1" minValue="12047515" maxValue="12095777"/>
    </cacheField>
    <cacheField name="INNER" numFmtId="0">
      <sharedItems containsBlank="1" containsMixedTypes="1" containsNumber="1" containsInteger="1" minValue="12069432" maxValue="12098623"/>
    </cacheField>
    <cacheField name="แผ่นกั้น" numFmtId="0">
      <sharedItems containsString="0" containsBlank="1" containsNumber="1" containsInteger="1" minValue="12026902" maxValue="12026902"/>
    </cacheField>
    <cacheField name="M" numFmtId="0">
      <sharedItems containsBlank="1" containsMixedTypes="1" containsNumber="1" containsInteger="1" minValue="12069433" maxValue="12099948"/>
    </cacheField>
    <cacheField name="M/ก้น" numFmtId="0">
      <sharedItems containsString="0" containsBlank="1" containsNumber="1" containsInteger="1" minValue="12026904" maxValue="12088207"/>
    </cacheField>
    <cacheField name="ถุง" numFmtId="0">
      <sharedItems containsBlank="1" containsMixedTypes="1" containsNumber="1" containsInteger="1" minValue="12099957" maxValue="12099957"/>
    </cacheField>
    <cacheField name="STK-ฝา" numFmtId="0">
      <sharedItems containsBlank="1" containsMixedTypes="1" containsNumber="1" containsInteger="1" minValue="12094111" maxValue="12094406"/>
    </cacheField>
    <cacheField name="STK-ถ้วย" numFmtId="0">
      <sharedItems containsBlank="1" containsMixedTypes="1" containsNumber="1" containsInteger="1" minValue="12094113" maxValue="12094407"/>
    </cacheField>
    <cacheField name="STK-ข้างถ้วย" numFmtId="0">
      <sharedItems containsBlank="1" containsMixedTypes="1" containsNumber="1" containsInteger="1" minValue="12094114" maxValue="12094408"/>
    </cacheField>
    <cacheField name="ผงซุป2" numFmtId="0">
      <sharedItems containsString="0" containsBlank="1" containsNumber="1" containsInteger="1" minValue="23052995" maxValue="23099860"/>
    </cacheField>
    <cacheField name="KG" numFmtId="0">
      <sharedItems containsString="0" containsBlank="1" containsNumber="1" minValue="181.60000000000002" maxValue="3450.4"/>
    </cacheField>
    <cacheField name="Field50" caption="Field50" numFmtId="0">
      <sharedItems containsNonDate="0" containsString="0" containsBlank="1"/>
    </cacheField>
    <cacheField name="Field51" caption="Field5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63">
  <r>
    <x v="0"/>
    <m/>
    <x v="0"/>
    <s v="Week1"/>
    <x v="0"/>
    <m/>
    <m/>
    <m/>
    <m/>
    <m/>
    <m/>
    <m/>
    <m/>
    <m/>
    <m/>
    <m/>
    <m/>
    <x v="0"/>
    <m/>
    <m/>
    <m/>
    <m/>
    <m/>
    <m/>
    <m/>
    <m/>
    <m/>
    <m/>
    <m/>
    <m/>
    <m/>
  </r>
  <r>
    <x v="1"/>
    <m/>
    <x v="0"/>
    <s v="Week1"/>
    <x v="0"/>
    <m/>
    <m/>
    <m/>
    <m/>
    <m/>
    <m/>
    <m/>
    <m/>
    <m/>
    <m/>
    <m/>
    <m/>
    <x v="0"/>
    <m/>
    <m/>
    <m/>
    <m/>
    <m/>
    <m/>
    <m/>
    <m/>
    <m/>
    <m/>
    <m/>
    <m/>
    <m/>
  </r>
  <r>
    <x v="2"/>
    <d v="2023-10-08T00:00:00"/>
    <x v="0"/>
    <s v="Week1"/>
    <x v="0"/>
    <s v="DRY2300557"/>
    <s v="USA"/>
    <s v="CPFNW"/>
    <s v="Bellisio"/>
    <s v="C-WT in tray no egg"/>
    <s v="Cooked Wonton"/>
    <s v="COOKED WONTON 6 pcs."/>
    <s v="082S8BW08012P00001"/>
    <s v="117*2tray*8in"/>
    <n v="16"/>
    <n v="6"/>
    <n v="8.1300000000000001E-3"/>
    <x v="1"/>
    <s v="Salt"/>
    <s v=" Sesame 15g"/>
    <n v="901"/>
    <m/>
    <n v="901"/>
    <n v="0"/>
    <n v="0"/>
    <m/>
    <n v="1"/>
    <n v="14416"/>
    <s v="cap 3000 tray/hr."/>
    <m/>
    <m/>
  </r>
  <r>
    <x v="2"/>
    <d v="2024-01-08T00:00:00"/>
    <x v="0"/>
    <s v="Week1"/>
    <x v="0"/>
    <s v="ขายภายใน"/>
    <s v=".7-11"/>
    <s v="CPFGS"/>
    <s v="ถ้วยขาวพิมพ์ลายใหม่"/>
    <s v="Wonton"/>
    <s v="Cooked Wonton"/>
    <s v="Cooked Wonton No Egg .7-11"/>
    <s v="082S81A24005P06001"/>
    <s v="130g*24"/>
    <n v="24"/>
    <n v="5"/>
    <n v="6.1999999999999998E-3"/>
    <x v="2"/>
    <s v="STPP"/>
    <s v="Regular"/>
    <n v="2878"/>
    <n v="2878"/>
    <m/>
    <n v="0"/>
    <n v="0"/>
    <m/>
    <m/>
    <m/>
    <s v="STK ตรุษจีน"/>
    <m/>
    <m/>
  </r>
  <r>
    <x v="2"/>
    <d v="2024-01-08T00:00:00"/>
    <x v="0"/>
    <s v="Week1"/>
    <x v="0"/>
    <s v="DRY2300667"/>
    <s v="Netherlands"/>
    <s v="CPFNW"/>
    <s v="Westbridge Foods Limited"/>
    <s v="Wonton ND+V+TY"/>
    <s v="Cooked Wonton"/>
    <s v="Cooked Wonton ND No Egg with Pumpkin _x000a_+ Vegetable 5 pcs tomyam"/>
    <s v="082SJWE24005P01001"/>
    <s v="307g*4c*6in"/>
    <n v="24"/>
    <n v="5"/>
    <n v="7.4999999999999997E-3"/>
    <x v="1"/>
    <s v="Salt"/>
    <s v="TYEX+CO"/>
    <n v="924"/>
    <n v="924"/>
    <m/>
    <n v="0"/>
    <n v="0"/>
    <m/>
    <m/>
    <m/>
    <s v="เริ่มหมึกพิพม์ใหม่"/>
    <m/>
    <m/>
  </r>
  <r>
    <x v="2"/>
    <d v="2024-01-08T00:00:00"/>
    <x v="0"/>
    <s v="Week1"/>
    <x v="0"/>
    <s v="DRY2300541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664"/>
    <n v="664"/>
    <m/>
    <n v="0"/>
    <n v="0"/>
    <n v="0"/>
    <n v="2"/>
    <n v="0"/>
    <s v="ห่อแบบสุก"/>
    <m/>
    <m/>
  </r>
  <r>
    <x v="3"/>
    <d v="2024-01-08T00:00:00"/>
    <x v="0"/>
    <s v="Week1"/>
    <x v="0"/>
    <s v="ขายภายใน"/>
    <s v=".7-11"/>
    <s v="CPFGS"/>
    <s v="ถ้วยขาวพิมพ์ลายใหม่"/>
    <s v="Wonton"/>
    <s v="Cooked Wonton"/>
    <s v="Cooked Wonton No Egg .7-11"/>
    <s v="082S81A24005P06001"/>
    <s v="130g*24"/>
    <n v="24"/>
    <n v="5"/>
    <n v="6.1999999999999998E-3"/>
    <x v="2"/>
    <s v="STPP"/>
    <s v="Regular"/>
    <n v="5492"/>
    <n v="5492"/>
    <m/>
    <n v="0"/>
    <n v="0"/>
    <m/>
    <m/>
    <m/>
    <s v="STK ตรุษจีน"/>
    <m/>
    <m/>
  </r>
  <r>
    <x v="3"/>
    <d v="2024-01-16T00:00:00"/>
    <x v="0"/>
    <s v="Week1"/>
    <x v="0"/>
    <s v="DRY2300666"/>
    <s v="UK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+CO"/>
    <n v="924"/>
    <n v="924"/>
    <m/>
    <n v="0"/>
    <n v="0"/>
    <m/>
    <m/>
    <m/>
    <m/>
    <m/>
    <m/>
  </r>
  <r>
    <x v="3"/>
    <d v="2024-01-08T00:00:00"/>
    <x v="0"/>
    <s v="Week1"/>
    <x v="0"/>
    <s v="KL2300030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546"/>
    <n v="546"/>
    <m/>
    <n v="0"/>
    <n v="0"/>
    <n v="0"/>
    <n v="6"/>
    <n v="0"/>
    <m/>
    <m/>
    <m/>
  </r>
  <r>
    <x v="4"/>
    <d v="2023-10-08T00:00:00"/>
    <x v="0"/>
    <s v="Week1"/>
    <x v="0"/>
    <s v="DRY2300557"/>
    <s v="USA"/>
    <s v="CPFNW"/>
    <s v="Bellisio"/>
    <s v="C-WT in tray no egg"/>
    <s v="Cooked Wonton"/>
    <s v="COOKED WONTON 6 pcs."/>
    <s v="082S8BW08012P00001"/>
    <s v="117*2tray*8in"/>
    <n v="16"/>
    <n v="6"/>
    <n v="8.1300000000000001E-3"/>
    <x v="1"/>
    <s v="Salt"/>
    <s v=" Sesame 15g"/>
    <n v="599"/>
    <n v="599"/>
    <m/>
    <n v="0"/>
    <n v="0"/>
    <m/>
    <n v="1"/>
    <n v="9584"/>
    <s v="cap 3000 tray/hr."/>
    <m/>
    <m/>
  </r>
  <r>
    <x v="4"/>
    <m/>
    <x v="0"/>
    <s v="Week1"/>
    <x v="0"/>
    <s v="ขายภายใน"/>
    <s v=".7-11"/>
    <s v="CPFGS"/>
    <s v="ถ้วยขาวพิมพ์ลายใหม่"/>
    <s v="Wonton"/>
    <s v="Cooked Wonton"/>
    <s v="Cooked Wonton No Egg .7-11"/>
    <s v="082S81A24005P06001"/>
    <s v="130g*24"/>
    <n v="24"/>
    <n v="5"/>
    <n v="6.1999999999999998E-3"/>
    <x v="2"/>
    <s v="STPP"/>
    <s v="Regular"/>
    <n v="1997"/>
    <n v="1997"/>
    <m/>
    <n v="0"/>
    <n v="0"/>
    <m/>
    <m/>
    <m/>
    <m/>
    <m/>
    <m/>
  </r>
  <r>
    <x v="4"/>
    <d v="2024-01-08T00:00:00"/>
    <x v="0"/>
    <s v="Week1"/>
    <x v="0"/>
    <s v="KL2300030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555"/>
    <n v="555"/>
    <m/>
    <n v="0"/>
    <n v="0"/>
    <n v="0"/>
    <n v="6"/>
    <n v="0"/>
    <m/>
    <m/>
    <m/>
  </r>
  <r>
    <x v="5"/>
    <d v="2024-01-08T00:00:00"/>
    <x v="0"/>
    <s v="Week1"/>
    <x v="0"/>
    <s v="DRY2300557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202"/>
    <n v="202"/>
    <m/>
    <n v="0"/>
    <n v="0"/>
    <m/>
    <m/>
    <m/>
    <m/>
    <m/>
    <m/>
  </r>
  <r>
    <x v="5"/>
    <d v="2024-01-15T00:00:00"/>
    <x v="0"/>
    <s v="Week1"/>
    <x v="0"/>
    <s v="ขายภายใน"/>
    <s v="MTFS"/>
    <s v="CPFGS"/>
    <s v="ซีพีเอฟ เทรดดิ้ง"/>
    <s v="E+Wonton NDE"/>
    <s v="Cooked Wonton"/>
    <s v="Cooked Wonton ND with egg V-Food"/>
    <s v="082SJ3Q12003P07001"/>
    <s v="226g*12"/>
    <n v="12"/>
    <n v="3"/>
    <n v="8.0000000000000002E-3"/>
    <x v="1"/>
    <s v="STPP"/>
    <s v="Regular"/>
    <n v="515"/>
    <n v="515"/>
    <m/>
    <n v="0"/>
    <n v="0"/>
    <m/>
    <m/>
    <m/>
    <m/>
    <m/>
    <m/>
  </r>
  <r>
    <x v="5"/>
    <d v="2024-01-29T00:00:00"/>
    <x v="0"/>
    <s v="Week1"/>
    <x v="0"/>
    <s v="ขายภายใน"/>
    <s v="MTFS"/>
    <s v="CPFGS"/>
    <s v="ซีพีเอฟ เทรดดิ้ง"/>
    <s v="E+Wonton TY"/>
    <s v="Cooked Wonton"/>
    <s v="Cooked Wonton Tomyum with egg.V-Food TY"/>
    <s v="082S83Q12005P04001"/>
    <s v="115g*12"/>
    <n v="12"/>
    <n v="5"/>
    <n v="8.0000000000000002E-3"/>
    <x v="1"/>
    <s v="STPP"/>
    <s v="TYTB3C 30G"/>
    <n v="320"/>
    <n v="320"/>
    <m/>
    <n v="0"/>
    <n v="0"/>
    <m/>
    <n v="1"/>
    <n v="0"/>
    <m/>
    <m/>
    <m/>
  </r>
  <r>
    <x v="5"/>
    <d v="2024-01-08T00:00:00"/>
    <x v="0"/>
    <s v="Week1"/>
    <x v="0"/>
    <s v="ขายภายใน"/>
    <s v="MTFS"/>
    <s v="CPFGS"/>
    <s v="ซีพีเอฟ เทรดดิ้ง"/>
    <s v="E+Wonton"/>
    <s v="Cooked Wonton"/>
    <s v="Cooked Wonton  with egg V-Food"/>
    <s v="082S83Q12005P05001"/>
    <s v="145g*12"/>
    <n v="12"/>
    <n v="5"/>
    <n v="8.0000000000000002E-3"/>
    <x v="1"/>
    <s v="STPP"/>
    <s v="Regular"/>
    <n v="2919"/>
    <n v="2919"/>
    <m/>
    <n v="0"/>
    <n v="0"/>
    <m/>
    <m/>
    <m/>
    <m/>
    <m/>
    <m/>
  </r>
  <r>
    <x v="5"/>
    <d v="2024-01-18T00:00:00"/>
    <x v="0"/>
    <s v="Week1"/>
    <x v="0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270g*3B*6B"/>
    <n v="18"/>
    <n v="5"/>
    <n v="8.0000000000000002E-3"/>
    <x v="1"/>
    <s v="STPP"/>
    <s v="ซุปซอง 5g."/>
    <n v="1700"/>
    <n v="1700"/>
    <m/>
    <n v="0"/>
    <n v="0"/>
    <m/>
    <n v="1"/>
    <n v="0"/>
    <m/>
    <m/>
    <m/>
  </r>
  <r>
    <x v="5"/>
    <d v="2024-01-08T00:00:00"/>
    <x v="0"/>
    <s v="Week1"/>
    <x v="0"/>
    <s v="ขายภายใน"/>
    <s v=".7-11"/>
    <s v="CPFGS"/>
    <s v="ซีพีเอฟ เทรดดิ้ง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2030"/>
    <n v="2030"/>
    <m/>
    <n v="0"/>
    <n v="0"/>
    <m/>
    <m/>
    <m/>
    <m/>
    <m/>
    <m/>
  </r>
  <r>
    <x v="5"/>
    <d v="2024-01-08T00:00:00"/>
    <x v="0"/>
    <s v="Week1"/>
    <x v="0"/>
    <s v="KL2300030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307"/>
    <n v="307"/>
    <m/>
    <n v="0"/>
    <n v="0"/>
    <n v="0"/>
    <n v="6"/>
    <n v="0"/>
    <m/>
    <m/>
    <m/>
  </r>
  <r>
    <x v="5"/>
    <d v="2024-02-08T00:00:00"/>
    <x v="0"/>
    <s v="Week1"/>
    <x v="0"/>
    <s v="KL2300038"/>
    <s v="China"/>
    <s v="China"/>
    <s v="Charoen Pokphand Import&amp;Export Trading (Shanghai) Co., Ltd"/>
    <s v="R-Wonton no egg"/>
    <s v="Raw Wonton"/>
    <s v="Raw Wonton 12 pcs"/>
    <s v="082I95J20012P04001"/>
    <s v="144g*20in"/>
    <n v="20"/>
    <n v="12"/>
    <n v="6.8100000000000001E-3"/>
    <x v="3"/>
    <s v="STPP"/>
    <s v="ซุปซอง 5g."/>
    <n v="957"/>
    <n v="761"/>
    <n v="196"/>
    <n v="0"/>
    <n v="0"/>
    <n v="0"/>
    <n v="2"/>
    <n v="0"/>
    <s v="pkเข้า5/1"/>
    <m/>
    <m/>
  </r>
  <r>
    <x v="6"/>
    <m/>
    <x v="0"/>
    <s v="Week1"/>
    <x v="0"/>
    <m/>
    <m/>
    <m/>
    <m/>
    <m/>
    <m/>
    <s v="เครื่องจักรเสีย"/>
    <m/>
    <m/>
    <m/>
    <m/>
    <m/>
    <x v="0"/>
    <m/>
    <m/>
    <m/>
    <m/>
    <m/>
    <m/>
    <m/>
    <m/>
    <m/>
    <m/>
    <m/>
    <m/>
    <m/>
  </r>
  <r>
    <x v="6"/>
    <d v="2024-01-23T00:00:00"/>
    <x v="0"/>
    <s v="Week1"/>
    <x v="0"/>
    <s v="DRY2300670"/>
    <s v="Korea"/>
    <s v="CPFNW"/>
    <s v="Emart"/>
    <s v="C-WT in tray no egg"/>
    <s v="Cooked Wonton"/>
    <s v="COOKED WONTON 6 pcs."/>
    <s v="082S8EJ12012P00001"/>
    <s v="141*2tray*12in"/>
    <n v="24"/>
    <n v="6"/>
    <n v="6.1999999999999998E-3"/>
    <x v="2"/>
    <s v="Salt"/>
    <s v=" Sesame 15g"/>
    <n v="2799"/>
    <n v="532"/>
    <n v="2342.75"/>
    <n v="75.75"/>
    <n v="0"/>
    <m/>
    <n v="1"/>
    <n v="67176"/>
    <s v="NEWPACKAGE"/>
    <m/>
    <m/>
  </r>
  <r>
    <x v="7"/>
    <d v="2024-01-12T00:00:00"/>
    <x v="0"/>
    <s v="Week2"/>
    <x v="0"/>
    <s v="DRY230060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31"/>
    <n v="131"/>
    <m/>
    <n v="0"/>
    <n v="0"/>
    <m/>
    <m/>
    <m/>
    <m/>
    <m/>
    <m/>
  </r>
  <r>
    <x v="7"/>
    <d v="2024-01-12T00:00:00"/>
    <x v="0"/>
    <s v="Week2"/>
    <x v="0"/>
    <s v="DRY230059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7"/>
    <d v="2024-01-12T00:00:00"/>
    <x v="0"/>
    <s v="Week2"/>
    <x v="0"/>
    <s v="DRY230059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7"/>
    <d v="2024-01-26T00:00:00"/>
    <x v="0"/>
    <s v="Week2"/>
    <x v="0"/>
    <s v="DRY230059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15"/>
    <n v="615"/>
    <m/>
    <n v="0"/>
    <n v="0"/>
    <m/>
    <m/>
    <m/>
    <m/>
    <m/>
    <m/>
  </r>
  <r>
    <x v="7"/>
    <d v="2024-01-12T00:00:00"/>
    <x v="0"/>
    <s v="Week2"/>
    <x v="0"/>
    <s v="DRY2300614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7"/>
    <d v="2024-01-18T00:00:00"/>
    <x v="0"/>
    <s v="Week2"/>
    <x v="0"/>
    <s v="DRY2300615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294"/>
    <n v="498"/>
    <n v="0"/>
    <n v="0"/>
    <m/>
    <m/>
    <m/>
    <m/>
    <m/>
    <m/>
  </r>
  <r>
    <x v="7"/>
    <d v="2024-02-08T00:00:00"/>
    <x v="0"/>
    <s v="Week2"/>
    <x v="0"/>
    <s v="KL2300038"/>
    <s v="China"/>
    <s v="China"/>
    <s v="Charoen Pokphand Import&amp;Export Trading (Shanghai) Co., Ltd"/>
    <s v="R-Wonton no egg"/>
    <s v="Raw Wonton"/>
    <s v="Raw Wonton 12 pcs"/>
    <s v="082I95J20012P04001"/>
    <s v="144g*20in"/>
    <n v="20"/>
    <n v="12"/>
    <n v="6.8100000000000001E-3"/>
    <x v="3"/>
    <s v="STPP"/>
    <s v="ซุปซอง 5g."/>
    <n v="1282"/>
    <n v="1282"/>
    <m/>
    <n v="0"/>
    <n v="0"/>
    <n v="0"/>
    <n v="2"/>
    <n v="0"/>
    <m/>
    <m/>
    <m/>
  </r>
  <r>
    <x v="8"/>
    <d v="2024-02-02T00:00:00"/>
    <x v="0"/>
    <s v="Week2"/>
    <x v="0"/>
    <s v="DRY2300678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1400"/>
    <m/>
    <n v="1400"/>
    <n v="0"/>
    <n v="0"/>
    <m/>
    <m/>
    <m/>
    <m/>
    <m/>
    <m/>
  </r>
  <r>
    <x v="8"/>
    <d v="2024-02-13T00:00:00"/>
    <x v="0"/>
    <s v="Week2"/>
    <x v="0"/>
    <s v="DRY2300725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1400"/>
    <m/>
    <n v="1400"/>
    <n v="0"/>
    <n v="0"/>
    <m/>
    <m/>
    <m/>
    <m/>
    <m/>
    <m/>
  </r>
  <r>
    <x v="8"/>
    <d v="2024-02-20T00:00:00"/>
    <x v="0"/>
    <s v="Week2"/>
    <x v="0"/>
    <s v="DRY2300726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700"/>
    <m/>
    <n v="700"/>
    <n v="0"/>
    <n v="0"/>
    <m/>
    <m/>
    <m/>
    <m/>
    <m/>
    <m/>
  </r>
  <r>
    <x v="8"/>
    <d v="2024-01-26T00:00:00"/>
    <x v="0"/>
    <s v="Week2"/>
    <x v="0"/>
    <s v="DRY230059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77"/>
    <n v="177"/>
    <m/>
    <n v="0"/>
    <n v="0"/>
    <m/>
    <m/>
    <m/>
    <m/>
    <m/>
    <m/>
  </r>
  <r>
    <x v="8"/>
    <d v="2024-01-26T00:00:00"/>
    <x v="0"/>
    <s v="Week2"/>
    <x v="0"/>
    <s v="DRY230060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8"/>
    <d v="2024-01-26T00:00:00"/>
    <x v="0"/>
    <s v="Week2"/>
    <x v="0"/>
    <s v="DRY230060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8"/>
    <d v="2024-01-26T00:00:00"/>
    <x v="0"/>
    <s v="Week2"/>
    <x v="0"/>
    <s v="DRY230060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8"/>
    <d v="2024-01-26T00:00:00"/>
    <x v="0"/>
    <s v="Week2"/>
    <x v="0"/>
    <s v="DRY230060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23"/>
    <n v="60"/>
    <n v="563"/>
    <n v="0"/>
    <n v="0"/>
    <m/>
    <m/>
    <m/>
    <m/>
    <m/>
    <m/>
  </r>
  <r>
    <x v="8"/>
    <d v="2024-02-08T00:00:00"/>
    <x v="0"/>
    <s v="Week2"/>
    <x v="0"/>
    <s v="KL2300038"/>
    <s v="China"/>
    <s v="China"/>
    <s v="Charoen Pokphand Import&amp;Export Trading (Shanghai) Co., Ltd"/>
    <s v="R-Wonton no egg"/>
    <s v="Raw Wonton"/>
    <s v="Raw Wonton 12 pcs"/>
    <s v="082I95J20012P04001"/>
    <s v="144g*20in"/>
    <n v="20"/>
    <n v="12"/>
    <n v="6.8100000000000001E-3"/>
    <x v="3"/>
    <s v="STPP"/>
    <s v="ซุปซอง 5g."/>
    <n v="231"/>
    <n v="231"/>
    <m/>
    <n v="0"/>
    <n v="0"/>
    <n v="0"/>
    <n v="2"/>
    <n v="0"/>
    <m/>
    <m/>
    <m/>
  </r>
  <r>
    <x v="8"/>
    <d v="2024-02-08T00:00:00"/>
    <x v="0"/>
    <s v="Week2"/>
    <x v="0"/>
    <s v="KL2300038"/>
    <s v="China"/>
    <s v="China"/>
    <s v="Charoen Pokphand Import&amp;Export Trading (Shanghai) Co., Ltd"/>
    <s v="R-Wonton no egg"/>
    <s v="Raw Wonton"/>
    <s v="Raw Wonton 50 pcs"/>
    <s v="082I95J08050P03001"/>
    <s v="630g*8in"/>
    <n v="8"/>
    <n v="50"/>
    <n v="6.8100000000000001E-3"/>
    <x v="3"/>
    <s v="STPP"/>
    <s v="ซุปซอง 5g."/>
    <n v="600"/>
    <n v="600"/>
    <m/>
    <n v="0"/>
    <n v="0"/>
    <n v="0"/>
    <n v="6"/>
    <n v="0"/>
    <m/>
    <m/>
    <m/>
  </r>
  <r>
    <x v="9"/>
    <d v="2024-02-02T00:00:00"/>
    <x v="0"/>
    <s v="Week2"/>
    <x v="0"/>
    <s v="DRY2300678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1900"/>
    <m/>
    <n v="1900"/>
    <n v="0"/>
    <n v="0"/>
    <m/>
    <m/>
    <m/>
    <m/>
    <m/>
    <m/>
  </r>
  <r>
    <x v="9"/>
    <d v="2024-02-02T00:00:00"/>
    <x v="0"/>
    <s v="Week2"/>
    <x v="0"/>
    <s v="DRY2300679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2400"/>
    <m/>
    <n v="2400"/>
    <n v="0"/>
    <n v="0"/>
    <m/>
    <m/>
    <m/>
    <m/>
    <m/>
    <m/>
  </r>
  <r>
    <x v="9"/>
    <d v="2024-02-13T00:00:00"/>
    <x v="0"/>
    <s v="Week2"/>
    <x v="0"/>
    <s v="DRY2300725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1871"/>
    <m/>
    <n v="1871.375"/>
    <n v="0.375"/>
    <n v="0"/>
    <m/>
    <m/>
    <m/>
    <m/>
    <m/>
    <m/>
  </r>
  <r>
    <x v="9"/>
    <d v="2024-01-18T00:00:00"/>
    <x v="0"/>
    <s v="Week2"/>
    <x v="0"/>
    <s v="DRY2300616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9"/>
    <d v="2024-01-19T00:00:00"/>
    <x v="0"/>
    <s v="Week2"/>
    <x v="0"/>
    <s v="DRY2300688"/>
    <s v="Spain"/>
    <s v="CPFNW"/>
    <s v="Mercadona"/>
    <s v="Wonton ND+V"/>
    <s v="Cooked Wonton"/>
    <s v="Cooked Wonton ND No Egg with Pumpkin _x000a_+ Vegetable  HC  3 pcs"/>
    <s v="082SJ5T12003P00001"/>
    <s v="309g*12"/>
    <n v="12"/>
    <n v="3"/>
    <n v="7.4999999999999997E-3"/>
    <x v="5"/>
    <s v="Salt"/>
    <s v="Regular"/>
    <n v="2520"/>
    <n v="2520"/>
    <m/>
    <n v="0"/>
    <n v="0"/>
    <m/>
    <m/>
    <m/>
    <s v="รวบการผลิตให้เป็นวันเดียวกันตามความต้องการของลูกค้า"/>
    <m/>
    <m/>
  </r>
  <r>
    <x v="9"/>
    <d v="2024-01-16T00:00:00"/>
    <x v="0"/>
    <s v="Week2"/>
    <x v="0"/>
    <s v="DRY2300575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694"/>
    <n v="638"/>
    <n v="56"/>
    <n v="0"/>
    <n v="0"/>
    <n v="0"/>
    <n v="2"/>
    <n v="0"/>
    <m/>
    <m/>
    <m/>
  </r>
  <r>
    <x v="10"/>
    <d v="2024-01-26T00:00:00"/>
    <x v="0"/>
    <s v="Week2"/>
    <x v="0"/>
    <s v="DRY2300686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m/>
    <m/>
    <m/>
    <s v="NEWPACKAGE"/>
    <m/>
    <m/>
  </r>
  <r>
    <x v="10"/>
    <d v="2024-01-19T00:00:00"/>
    <x v="0"/>
    <s v="Week2"/>
    <x v="0"/>
    <s v="DRY2300689"/>
    <s v="Spain"/>
    <s v="CPFNW"/>
    <s v="Mercadona"/>
    <s v="Wonton ND+V"/>
    <s v="Cooked Wonton"/>
    <s v="Cooked Wonton ND No Egg with Pumpkin _x000a_+ Vegetable  HC  3 pcs"/>
    <s v="082SJ5T12003P00001"/>
    <s v="309g*12"/>
    <n v="12"/>
    <n v="3"/>
    <n v="7.4999999999999997E-3"/>
    <x v="5"/>
    <s v="Salt"/>
    <s v="Regular"/>
    <n v="2520"/>
    <n v="2520"/>
    <m/>
    <n v="0"/>
    <n v="0"/>
    <m/>
    <m/>
    <m/>
    <s v="รวบการผลิตให้เป็นวันเดียวกันตามความต้องการของลูกค้า"/>
    <m/>
    <m/>
  </r>
  <r>
    <x v="10"/>
    <d v="2024-01-26T00:00:00"/>
    <x v="0"/>
    <s v="Week2"/>
    <x v="0"/>
    <s v="DRY230060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69"/>
    <n v="169"/>
    <m/>
    <n v="0"/>
    <n v="0"/>
    <m/>
    <m/>
    <m/>
    <m/>
    <m/>
    <m/>
  </r>
  <r>
    <x v="10"/>
    <d v="2024-01-29T00:00:00"/>
    <x v="0"/>
    <s v="Week2"/>
    <x v="0"/>
    <s v="DRY230060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0"/>
    <d v="2024-01-29T00:00:00"/>
    <x v="0"/>
    <s v="Week2"/>
    <x v="0"/>
    <s v="DRY230060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96"/>
    <n v="696"/>
    <m/>
    <n v="0"/>
    <n v="0"/>
    <m/>
    <m/>
    <m/>
    <m/>
    <m/>
    <m/>
  </r>
  <r>
    <x v="10"/>
    <d v="2024-01-16T00:00:00"/>
    <x v="0"/>
    <s v="Week2"/>
    <x v="0"/>
    <s v="DRY2300575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641"/>
    <n v="641"/>
    <m/>
    <n v="0"/>
    <n v="0"/>
    <n v="0"/>
    <n v="2"/>
    <n v="0"/>
    <m/>
    <m/>
    <m/>
  </r>
  <r>
    <x v="11"/>
    <d v="2024-01-26T00:00:00"/>
    <x v="0"/>
    <s v="Week2"/>
    <x v="0"/>
    <s v="DRY2300687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m/>
    <m/>
    <m/>
    <s v="NEWPACKAGE"/>
    <m/>
    <m/>
  </r>
  <r>
    <x v="11"/>
    <d v="2024-01-25T00:00:00"/>
    <x v="0"/>
    <s v="Week2"/>
    <x v="0"/>
    <s v="DRY2300700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11"/>
    <d v="2024-01-25T00:00:00"/>
    <x v="0"/>
    <s v="Week2"/>
    <x v="0"/>
    <s v="DRY2300701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11"/>
    <d v="2024-01-25T00:00:00"/>
    <x v="0"/>
    <s v="Week2"/>
    <x v="0"/>
    <s v="DRY2300702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527"/>
    <n v="527"/>
    <m/>
    <n v="0"/>
    <n v="0"/>
    <m/>
    <m/>
    <m/>
    <m/>
    <m/>
    <m/>
  </r>
  <r>
    <x v="11"/>
    <d v="2024-01-16T00:00:00"/>
    <x v="0"/>
    <s v="Week2"/>
    <x v="0"/>
    <s v="DRY2300563"/>
    <s v="Denmark"/>
    <s v="CPFNW"/>
    <s v="CPF DENMARK"/>
    <s v="Wonton ND+V+TY"/>
    <s v="Cooked Wonton"/>
    <s v="Cooked Wonton ND No Egg with Pumpkin _x000a_+ Vegetable  HC  3 pcs tomyam"/>
    <s v="082SJKW08003P00001"/>
    <s v="309g*8"/>
    <n v="8"/>
    <n v="3"/>
    <n v="7.4999999999999997E-3"/>
    <x v="1"/>
    <s v="Salt"/>
    <s v="TYANS+CM"/>
    <n v="3500"/>
    <m/>
    <n v="3500"/>
    <n v="0"/>
    <n v="0"/>
    <m/>
    <m/>
    <m/>
    <s v="ต้มยำสูตรลดเผ็ดลง 10 %"/>
    <m/>
    <m/>
  </r>
  <r>
    <x v="11"/>
    <d v="2024-01-16T00:00:00"/>
    <x v="0"/>
    <s v="Week2"/>
    <x v="0"/>
    <s v="DRY2300575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289"/>
    <n v="289"/>
    <m/>
    <n v="0"/>
    <n v="0"/>
    <n v="0"/>
    <n v="2"/>
    <n v="0"/>
    <m/>
    <m/>
    <m/>
  </r>
  <r>
    <x v="11"/>
    <d v="2024-01-17T00:00:00"/>
    <x v="0"/>
    <s v="Week2"/>
    <x v="0"/>
    <s v="DRY2300665"/>
    <s v="SG"/>
    <s v="CPFNW"/>
    <s v="CPI SINGAPORE"/>
    <s v="R-Wonton egg past"/>
    <s v="Raw Wonton"/>
    <s v="Raw Wonton 12 pcs with sesame"/>
    <s v="082I93B20012P02001"/>
    <s v="204g*20in"/>
    <n v="20"/>
    <n v="12"/>
    <n v="6.8100000000000001E-3"/>
    <x v="3"/>
    <s v="STPP"/>
    <s v=" sesame 30g"/>
    <n v="424"/>
    <n v="424"/>
    <m/>
    <n v="0"/>
    <n v="0"/>
    <n v="0"/>
    <n v="2"/>
    <n v="0"/>
    <s v="ห่อแบบดิบ"/>
    <m/>
    <m/>
  </r>
  <r>
    <x v="12"/>
    <d v="2024-01-25T00:00:00"/>
    <x v="0"/>
    <s v="Week2"/>
    <x v="0"/>
    <s v="DRY2300702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265"/>
    <n v="265"/>
    <m/>
    <n v="0"/>
    <n v="0"/>
    <m/>
    <m/>
    <m/>
    <m/>
    <m/>
    <m/>
  </r>
  <r>
    <x v="12"/>
    <d v="2024-01-29T00:00:00"/>
    <x v="0"/>
    <s v="Week2"/>
    <x v="0"/>
    <s v="DRY230060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96"/>
    <n v="96"/>
    <m/>
    <n v="0"/>
    <n v="0"/>
    <m/>
    <m/>
    <m/>
    <m/>
    <m/>
    <m/>
  </r>
  <r>
    <x v="12"/>
    <d v="2024-01-29T00:00:00"/>
    <x v="0"/>
    <s v="Week2"/>
    <x v="0"/>
    <s v="DRY230059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2"/>
    <d v="2024-01-30T00:00:00"/>
    <x v="0"/>
    <s v="Week2"/>
    <x v="0"/>
    <s v="DRY230061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2"/>
    <d v="2024-01-31T00:00:00"/>
    <x v="0"/>
    <s v="Week2"/>
    <x v="0"/>
    <s v="DRY230061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2"/>
    <d v="2024-01-31T00:00:00"/>
    <x v="0"/>
    <s v="Week2"/>
    <x v="0"/>
    <s v="DRY230061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74"/>
    <n v="674"/>
    <m/>
    <n v="0"/>
    <n v="0"/>
    <m/>
    <m/>
    <m/>
    <m/>
    <m/>
    <m/>
  </r>
  <r>
    <x v="12"/>
    <d v="2024-01-17T00:00:00"/>
    <x v="0"/>
    <s v="Week2"/>
    <x v="0"/>
    <s v="DRY2300665"/>
    <s v="SG"/>
    <s v="CPFNW"/>
    <s v="CPI SINGAPORE"/>
    <s v="R-Wonton egg past"/>
    <s v="Raw Wonton"/>
    <s v="Raw Wonton 12 pcs with sesame"/>
    <s v="082I93B20012P02001"/>
    <s v="204g*20in"/>
    <n v="20"/>
    <n v="12"/>
    <n v="6.8100000000000001E-3"/>
    <x v="3"/>
    <s v="STPP"/>
    <s v=" sesame 30g"/>
    <n v="776"/>
    <n v="772"/>
    <n v="4"/>
    <n v="0"/>
    <n v="0"/>
    <n v="0"/>
    <n v="2"/>
    <n v="0"/>
    <s v="ห่อแบบดิบ"/>
    <m/>
    <m/>
  </r>
  <r>
    <x v="13"/>
    <m/>
    <x v="0"/>
    <s v="Week2"/>
    <x v="0"/>
    <m/>
    <m/>
    <m/>
    <m/>
    <m/>
    <m/>
    <m/>
    <m/>
    <m/>
    <m/>
    <m/>
    <m/>
    <x v="0"/>
    <m/>
    <m/>
    <m/>
    <m/>
    <m/>
    <m/>
    <m/>
    <m/>
    <m/>
    <m/>
    <m/>
    <m/>
    <m/>
  </r>
  <r>
    <x v="14"/>
    <d v="2024-02-02T00:00:00"/>
    <x v="0"/>
    <s v="Week3"/>
    <x v="0"/>
    <s v="DRY2300679"/>
    <s v="USA"/>
    <s v="CPFNW"/>
    <s v="Bellisio"/>
    <s v="C-WT in tray no egg"/>
    <s v="Cooked Wonton"/>
    <s v="COOKED WONTON 6 pcs."/>
    <s v="082S8BW08012P00001"/>
    <s v="117*2tray*8in"/>
    <n v="16"/>
    <n v="6"/>
    <n v="8.1300000000000001E-3"/>
    <x v="1"/>
    <s v="Salt"/>
    <s v=" Sesame 15g"/>
    <n v="721"/>
    <n v="721"/>
    <m/>
    <n v="0"/>
    <n v="0"/>
    <m/>
    <n v="1"/>
    <n v="11536"/>
    <s v="cap 3000 tray/hr."/>
    <m/>
    <m/>
  </r>
  <r>
    <x v="14"/>
    <m/>
    <x v="0"/>
    <s v="Week3"/>
    <x v="0"/>
    <s v="ขายภายใน"/>
    <s v=".7-11"/>
    <s v="CPFGS"/>
    <s v="ถ้วยขาวพิมพ์ลายใหม่"/>
    <s v="Wonton"/>
    <s v="Cooked Wonton"/>
    <s v="Cooked Wonton No Egg .7-11"/>
    <s v="082S81A24005P06001"/>
    <s v="130g*24"/>
    <n v="24"/>
    <n v="5"/>
    <n v="6.1999999999999998E-3"/>
    <x v="2"/>
    <s v="STPP"/>
    <s v="Regular"/>
    <n v="1100"/>
    <n v="1100"/>
    <m/>
    <n v="0"/>
    <n v="0"/>
    <m/>
    <m/>
    <m/>
    <m/>
    <m/>
    <m/>
  </r>
  <r>
    <x v="14"/>
    <d v="2024-02-01T00:00:00"/>
    <x v="0"/>
    <s v="Week3"/>
    <x v="0"/>
    <s v="DRY2300703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14"/>
    <d v="2024-01-31T00:00:00"/>
    <x v="0"/>
    <s v="Week3"/>
    <x v="0"/>
    <s v="DRY230061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18"/>
    <n v="118"/>
    <m/>
    <n v="0"/>
    <n v="0"/>
    <m/>
    <m/>
    <m/>
    <m/>
    <m/>
    <m/>
  </r>
  <r>
    <x v="14"/>
    <d v="2024-02-02T00:00:00"/>
    <x v="0"/>
    <s v="Week3"/>
    <x v="0"/>
    <s v="DRY230060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4"/>
    <d v="2024-02-02T00:00:00"/>
    <x v="0"/>
    <s v="Week3"/>
    <x v="0"/>
    <s v="DRY230060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4"/>
    <d v="2024-02-02T00:00:00"/>
    <x v="0"/>
    <s v="Week3"/>
    <x v="0"/>
    <s v="DRY230063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71"/>
    <n v="171"/>
    <m/>
    <n v="0"/>
    <n v="0"/>
    <m/>
    <m/>
    <m/>
    <m/>
    <m/>
    <m/>
  </r>
  <r>
    <x v="14"/>
    <d v="2024-01-23T00:00:00"/>
    <x v="0"/>
    <s v="Week3"/>
    <x v="0"/>
    <s v="DRY2300577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629"/>
    <n v="621"/>
    <n v="8.3249999999999993"/>
    <n v="0.32500000000004547"/>
    <n v="0"/>
    <n v="0"/>
    <n v="2"/>
    <n v="0"/>
    <m/>
    <m/>
    <m/>
  </r>
  <r>
    <x v="15"/>
    <d v="2024-01-30T00:00:00"/>
    <x v="0"/>
    <s v="Week3"/>
    <x v="0"/>
    <s v="DRY2300692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m/>
    <m/>
    <m/>
    <s v="ใช้ package ที่เป็น หมึกพิมพ์ใหม่"/>
    <m/>
    <m/>
  </r>
  <r>
    <x v="15"/>
    <d v="2024-01-30T00:00:00"/>
    <x v="0"/>
    <s v="Week3"/>
    <x v="0"/>
    <s v="DRY2300693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m/>
    <m/>
    <m/>
    <s v="ใช้ package ที่เป็น หมึกพิมพ์ใหม่"/>
    <m/>
    <m/>
  </r>
  <r>
    <x v="15"/>
    <d v="2024-02-13T00:00:00"/>
    <x v="0"/>
    <s v="Week3"/>
    <x v="0"/>
    <s v="DRY2300694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606"/>
    <n v="606"/>
    <m/>
    <n v="0"/>
    <n v="0"/>
    <m/>
    <m/>
    <m/>
    <s v="ใช้ package ที่เป็น หมึกพิมพ์ใหม่"/>
    <m/>
    <m/>
  </r>
  <r>
    <x v="15"/>
    <d v="2024-02-26T00:00:00"/>
    <x v="0"/>
    <s v="Week3"/>
    <x v="0"/>
    <s v="DRY2300743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629.75"/>
    <m/>
    <n v="629.75"/>
    <n v="0"/>
    <n v="0"/>
    <m/>
    <m/>
    <m/>
    <m/>
    <m/>
    <m/>
  </r>
  <r>
    <x v="15"/>
    <d v="2024-01-23T00:00:00"/>
    <x v="0"/>
    <s v="Week3"/>
    <x v="0"/>
    <s v="DRY2300577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645"/>
    <n v="645"/>
    <m/>
    <n v="0"/>
    <n v="0"/>
    <n v="0"/>
    <n v="2"/>
    <n v="0"/>
    <m/>
    <m/>
    <m/>
  </r>
  <r>
    <x v="16"/>
    <d v="2024-02-02T00:00:00"/>
    <x v="0"/>
    <s v="Week3"/>
    <x v="0"/>
    <s v="DRY2300679"/>
    <s v="USA"/>
    <s v="CPFNW"/>
    <s v="Bellisio"/>
    <s v="C-WT in tray no egg"/>
    <s v="Cooked Wonton"/>
    <s v="COOKED WONTON 6 pcs."/>
    <s v="082S8BW08012P00001"/>
    <s v="117*2tray*8in"/>
    <n v="16"/>
    <n v="6"/>
    <n v="8.1300000000000001E-3"/>
    <x v="1"/>
    <s v="Salt"/>
    <s v=" Sesame 15g"/>
    <n v="479"/>
    <n v="479"/>
    <m/>
    <n v="0"/>
    <n v="0"/>
    <m/>
    <n v="1"/>
    <n v="7664"/>
    <s v="cap 3000 tray/hr."/>
    <m/>
    <m/>
  </r>
  <r>
    <x v="17"/>
    <d v="2024-02-02T00:00:00"/>
    <x v="0"/>
    <s v="Week3"/>
    <x v="0"/>
    <s v="DRY2300678"/>
    <s v="USA"/>
    <s v="CPFNW"/>
    <s v="Bellisio"/>
    <s v="C-WT in tray no egg"/>
    <s v="Cooked Wonton"/>
    <s v="COOKED WONTON 6 pcs."/>
    <s v="082S8BW08012P00001"/>
    <s v="117*2tray*8in"/>
    <n v="16"/>
    <n v="6"/>
    <n v="8.1300000000000001E-3"/>
    <x v="1"/>
    <s v="Salt"/>
    <s v=" Sesame 15g"/>
    <n v="177"/>
    <n v="177"/>
    <m/>
    <n v="0"/>
    <n v="0"/>
    <m/>
    <n v="1"/>
    <n v="2832"/>
    <s v="cap 3000 tray/hr."/>
    <m/>
    <m/>
  </r>
  <r>
    <x v="16"/>
    <d v="2024-02-13T00:00:00"/>
    <x v="0"/>
    <s v="Week3"/>
    <x v="0"/>
    <s v="DRY2300694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682"/>
    <n v="682"/>
    <m/>
    <n v="0"/>
    <n v="0"/>
    <m/>
    <m/>
    <m/>
    <s v="ใช้ package ที่เป็น หมึกพิมพ์ใหม่"/>
    <m/>
    <m/>
  </r>
  <r>
    <x v="16"/>
    <d v="2024-02-13T00:00:00"/>
    <x v="0"/>
    <s v="Week3"/>
    <x v="0"/>
    <s v="DRY2300695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m/>
    <m/>
    <m/>
    <s v="ใช้ package ที่เป็น หมึกพิมพ์ใหม่"/>
    <m/>
    <m/>
  </r>
  <r>
    <x v="16"/>
    <d v="2024-01-22T00:00:00"/>
    <x v="0"/>
    <s v="Week3"/>
    <x v="0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2410"/>
    <n v="2410"/>
    <m/>
    <n v="0"/>
    <n v="0"/>
    <m/>
    <m/>
    <m/>
    <m/>
    <m/>
    <m/>
  </r>
  <r>
    <x v="16"/>
    <d v="2024-01-23T00:00:00"/>
    <x v="0"/>
    <s v="Week3"/>
    <x v="0"/>
    <s v="DRY2300577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350"/>
    <n v="350"/>
    <m/>
    <n v="0"/>
    <n v="0"/>
    <n v="0"/>
    <n v="2"/>
    <n v="0"/>
    <m/>
    <m/>
    <m/>
  </r>
  <r>
    <x v="16"/>
    <d v="2024-01-23T00:00:00"/>
    <x v="0"/>
    <s v="Week3"/>
    <x v="0"/>
    <s v="DRY2300680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294"/>
    <n v="136"/>
    <n v="158"/>
    <n v="0"/>
    <n v="0"/>
    <n v="0"/>
    <n v="2"/>
    <n v="0"/>
    <m/>
    <m/>
    <m/>
  </r>
  <r>
    <x v="17"/>
    <d v="2024-02-02T00:00:00"/>
    <x v="0"/>
    <s v="Week3"/>
    <x v="0"/>
    <s v="DRY2300678"/>
    <s v="USA"/>
    <s v="CPFNW"/>
    <s v="Bellisio"/>
    <s v="C-WT in tray no egg"/>
    <s v="Cooked Wonton"/>
    <s v="COOKED WONTON 6 pcs."/>
    <s v="082S8BW08012P00001"/>
    <s v="117*2tray*8in"/>
    <n v="16"/>
    <n v="6"/>
    <n v="8.1300000000000001E-3"/>
    <x v="1"/>
    <s v="Salt"/>
    <s v=" Sesame 15g"/>
    <n v="423"/>
    <n v="423"/>
    <m/>
    <n v="0"/>
    <n v="0"/>
    <m/>
    <n v="1"/>
    <n v="6768"/>
    <s v="cap 3000 tray/hr."/>
    <m/>
    <m/>
  </r>
  <r>
    <x v="17"/>
    <d v="2024-02-01T00:00:00"/>
    <x v="0"/>
    <s v="Week3"/>
    <x v="0"/>
    <s v="DRY2300698"/>
    <s v="AUS"/>
    <s v="CPFNW"/>
    <s v="CPF Australia Pty Ltd."/>
    <s v="Minced ND+Kee Mao"/>
    <s v="Cooked Wonton"/>
    <s v="Cooked Minced Wonton Thai Spicy Noodles (Kee Mao Noodles)"/>
    <s v="082SR9U08003P02001"/>
    <s v="219g*8"/>
    <n v="8"/>
    <n v="3"/>
    <n v="8.0000000000000002E-3"/>
    <x v="4"/>
    <s v="Salt"/>
    <s v="Kee Mao 50G."/>
    <n v="200"/>
    <m/>
    <n v="200"/>
    <n v="0"/>
    <n v="0"/>
    <m/>
    <m/>
    <m/>
    <s v="รอ rd สรุป"/>
    <m/>
    <m/>
  </r>
  <r>
    <x v="17"/>
    <d v="2024-02-01T00:00:00"/>
    <x v="0"/>
    <s v="Week3"/>
    <x v="0"/>
    <s v="DRY2300699"/>
    <s v="AUS"/>
    <s v="CPFNW"/>
    <s v="CPF Australia Pty Ltd."/>
    <s v="Minced ND+Kee Mao"/>
    <s v="Cooked Wonton"/>
    <s v="Cooked Minced Wonton Thai Spicy Noodles (Kee Mao Noodles)"/>
    <s v="082SR9U08003P02001"/>
    <s v="219g*8"/>
    <n v="8"/>
    <n v="3"/>
    <n v="8.0000000000000002E-3"/>
    <x v="4"/>
    <s v="Salt"/>
    <s v="Kee Mao 50G."/>
    <n v="220"/>
    <m/>
    <n v="284.25"/>
    <n v="64.25"/>
    <n v="0"/>
    <m/>
    <m/>
    <m/>
    <s v="รอ rd สรุป"/>
    <m/>
    <m/>
  </r>
  <r>
    <x v="17"/>
    <d v="2024-02-02T00:00:00"/>
    <x v="0"/>
    <s v="Week3"/>
    <x v="0"/>
    <s v="DRY2300697"/>
    <s v="New Zealand"/>
    <s v="CPFNW"/>
    <s v="Lim Brothers"/>
    <s v="Minced ND+Kee Mao"/>
    <s v="Cooked Wonton"/>
    <s v="Cooked Minced Wonton Thai Spicy Noodles (Kee Mao Noodles)"/>
    <s v="082SRN708003P02001"/>
    <s v="219g*8"/>
    <n v="8"/>
    <n v="3"/>
    <n v="6.0000000000000001E-3"/>
    <x v="4"/>
    <s v="Salt"/>
    <s v="Kee Mao 50G."/>
    <n v="300"/>
    <n v="172"/>
    <n v="138.875"/>
    <n v="10.875"/>
    <n v="0"/>
    <m/>
    <m/>
    <m/>
    <s v="NEWPACKAGE"/>
    <m/>
    <m/>
  </r>
  <r>
    <x v="17"/>
    <d v="2024-01-29T00:00:00"/>
    <x v="0"/>
    <s v="Week3"/>
    <x v="0"/>
    <s v="DRY2300733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s v="NEWPACKAGE"/>
    <m/>
    <m/>
  </r>
  <r>
    <x v="17"/>
    <d v="2024-01-25T00:00:00"/>
    <x v="0"/>
    <s v="Week3"/>
    <x v="0"/>
    <s v="DRY2300696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88"/>
    <m/>
    <n v="0"/>
    <n v="0"/>
    <m/>
    <m/>
    <m/>
    <m/>
    <m/>
    <m/>
  </r>
  <r>
    <x v="17"/>
    <d v="2024-01-30T00:00:00"/>
    <x v="0"/>
    <s v="Week3"/>
    <x v="0"/>
    <s v="DRY2300680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651"/>
    <n v="651"/>
    <m/>
    <n v="0"/>
    <n v="0"/>
    <n v="0"/>
    <n v="2"/>
    <n v="0"/>
    <m/>
    <m/>
    <m/>
  </r>
  <r>
    <x v="18"/>
    <d v="2024-02-01T00:00:00"/>
    <x v="0"/>
    <s v="Week3"/>
    <x v="0"/>
    <s v="DRY2300699"/>
    <s v="AUS"/>
    <s v="CPFNW"/>
    <s v="CPF Australia Pty Ltd."/>
    <s v="C-Minced WT in tray no egg"/>
    <s v="Cooked Wonton"/>
    <s v="Cooked Minced Wonton in Tray 6 pcs + Sesame Sauce"/>
    <s v="082SK9U16006P00001"/>
    <s v="117*2tray*8in"/>
    <n v="16"/>
    <n v="6"/>
    <n v="8.1300000000000001E-3"/>
    <x v="4"/>
    <s v="Salt"/>
    <s v=" Sesame 15g"/>
    <n v="150"/>
    <n v="150"/>
    <m/>
    <n v="0"/>
    <n v="0"/>
    <m/>
    <n v="1"/>
    <n v="2400"/>
    <s v="cap 3000 tray/hr. อื่น 8,300 ถ้วย"/>
    <m/>
    <m/>
  </r>
  <r>
    <x v="18"/>
    <d v="2024-02-02T00:00:00"/>
    <x v="0"/>
    <s v="Week3"/>
    <x v="0"/>
    <s v="DRY2300697"/>
    <s v="New Zealand"/>
    <s v="CPFNW"/>
    <s v="Lim Brothers"/>
    <s v="C-Minced WT in tray no egg"/>
    <s v="Cooked Wonton"/>
    <s v="Cooked Minced Wonton in Tray 6 pcs + Sesame Sauce"/>
    <s v="082SKN716006P00001"/>
    <s v="117*2tray*8in"/>
    <n v="16"/>
    <n v="6"/>
    <n v="6.0000000000000001E-3"/>
    <x v="4"/>
    <s v="Salt"/>
    <s v=" Sesame 15g"/>
    <n v="600"/>
    <n v="600"/>
    <n v="43.25"/>
    <n v="43.25"/>
    <n v="0"/>
    <m/>
    <n v="1"/>
    <n v="9600"/>
    <s v="cap 3000 tray/hr. อื่น 8,300 ถ้วย"/>
    <m/>
    <m/>
  </r>
  <r>
    <x v="18"/>
    <d v="2024-02-07T00:00:00"/>
    <x v="0"/>
    <s v="Week3"/>
    <x v="0"/>
    <s v="DRY2300732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s v="NEWPACKAGE"/>
    <m/>
    <m/>
  </r>
  <r>
    <x v="18"/>
    <d v="2024-02-14T00:00:00"/>
    <x v="0"/>
    <s v="Week3"/>
    <x v="0"/>
    <s v="DRY2300734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s v="NEWPACKAGE"/>
    <m/>
    <m/>
  </r>
  <r>
    <x v="18"/>
    <d v="2024-02-01T00:00:00"/>
    <x v="0"/>
    <s v="Week3"/>
    <x v="0"/>
    <s v="DRY2300698"/>
    <s v="AUS"/>
    <s v="CPFNW"/>
    <s v="CPF Australia Pty Ltd."/>
    <s v="Minced ND+V+TY"/>
    <s v="Cooked Wonton"/>
    <s v="Cooked Minced  ND No Egg with Pumpkin_x000a_+ Yu Choy Tomyum"/>
    <s v="082SR9U08003P00001"/>
    <s v="302g*8"/>
    <n v="8"/>
    <n v="3"/>
    <n v="8.0000000000000002E-3"/>
    <x v="4"/>
    <s v="Salt"/>
    <s v="TYEX+CO"/>
    <n v="300"/>
    <m/>
    <n v="300"/>
    <n v="0"/>
    <n v="0"/>
    <m/>
    <m/>
    <m/>
    <s v="คุณจั๊กให้สั่ง มาตามขั้นต่ำ ที่เหลือจะเปิดออเดอร์มาเคลียร์"/>
    <m/>
    <m/>
  </r>
  <r>
    <x v="18"/>
    <d v="2024-02-01T00:00:00"/>
    <x v="0"/>
    <s v="Week3"/>
    <x v="0"/>
    <s v="DRY2300699"/>
    <s v="AUS"/>
    <s v="CPFNW"/>
    <s v="CPF Australia Pty Ltd."/>
    <s v="Minced ND+V+TY"/>
    <s v="Cooked Wonton"/>
    <s v="Cooked Minced  ND No Egg with Pumpkin_x000a_+ Yu Choy Tomyum"/>
    <s v="082SR9U08003P00001"/>
    <s v="302g*8"/>
    <n v="8"/>
    <n v="3"/>
    <n v="8.0000000000000002E-3"/>
    <x v="4"/>
    <s v="Salt"/>
    <s v="TYEX+CO"/>
    <n v="300"/>
    <m/>
    <n v="486.625"/>
    <n v="186.625"/>
    <n v="0"/>
    <m/>
    <m/>
    <m/>
    <s v="คุณจั๊กให้สั่ง มาตามขั้นต่ำ ที่เหลือจะเปิดออเดอร์มาเคลียร์"/>
    <m/>
    <m/>
  </r>
  <r>
    <x v="18"/>
    <d v="2024-01-30T00:00:00"/>
    <x v="0"/>
    <s v="Week3"/>
    <x v="0"/>
    <s v="DRY2300680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642"/>
    <n v="642"/>
    <m/>
    <n v="0"/>
    <n v="0"/>
    <n v="0"/>
    <n v="2"/>
    <n v="0"/>
    <m/>
    <m/>
    <m/>
  </r>
  <r>
    <x v="19"/>
    <d v="2024-02-02T00:00:00"/>
    <x v="0"/>
    <s v="Week3"/>
    <x v="0"/>
    <s v="DRY230063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21"/>
    <n v="621"/>
    <m/>
    <n v="0"/>
    <n v="0"/>
    <m/>
    <m/>
    <m/>
    <m/>
    <m/>
    <m/>
  </r>
  <r>
    <x v="19"/>
    <d v="2024-02-02T00:00:00"/>
    <x v="0"/>
    <s v="Week3"/>
    <x v="0"/>
    <s v="DRY230062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88"/>
    <n v="388"/>
    <m/>
    <n v="0"/>
    <n v="0"/>
    <m/>
    <m/>
    <m/>
    <m/>
    <m/>
    <m/>
  </r>
  <r>
    <x v="19"/>
    <d v="2024-02-01T00:00:00"/>
    <x v="0"/>
    <s v="Week3"/>
    <x v="0"/>
    <s v="DRY2300698"/>
    <s v="AUS"/>
    <s v="CPFNW"/>
    <s v="CPF Australia Pty Ltd."/>
    <s v="Wonton ND+V"/>
    <s v="Cooked Wonton"/>
    <s v="Cooked Wonton ND No Egg with Pumpkin_x000a_+ Yu Choy "/>
    <s v="082SJ9U08004P00001"/>
    <s v="305g*8"/>
    <n v="8"/>
    <n v="4"/>
    <n v="7.4999999999999997E-3"/>
    <x v="5"/>
    <s v="Salt"/>
    <s v="Regular"/>
    <n v="800"/>
    <m/>
    <n v="800"/>
    <n v="0"/>
    <n v="0"/>
    <m/>
    <m/>
    <m/>
    <m/>
    <m/>
    <m/>
  </r>
  <r>
    <x v="19"/>
    <d v="2024-02-01T00:00:00"/>
    <x v="0"/>
    <s v="Week3"/>
    <x v="0"/>
    <s v="DRY2300699"/>
    <s v="AUS"/>
    <s v="CPFNW"/>
    <s v="CPF Australia Pty Ltd."/>
    <s v="Wonton ND+V"/>
    <s v="Cooked Wonton"/>
    <s v="Cooked Wonton ND No Egg with Pumpkin_x000a_+ Yu Choy "/>
    <s v="082SJ9U08004P00001"/>
    <s v="305g*8"/>
    <n v="8"/>
    <n v="4"/>
    <n v="7.4999999999999997E-3"/>
    <x v="5"/>
    <s v="Salt"/>
    <s v="Regular"/>
    <n v="600"/>
    <m/>
    <n v="600"/>
    <n v="0"/>
    <n v="0"/>
    <m/>
    <m/>
    <m/>
    <m/>
    <m/>
    <m/>
  </r>
  <r>
    <x v="19"/>
    <d v="2024-02-02T00:00:00"/>
    <x v="0"/>
    <s v="Week3"/>
    <x v="0"/>
    <s v="DRY2300697"/>
    <s v="New Zealand"/>
    <s v="CPFNW"/>
    <s v="Lim Brothers"/>
    <s v="Wonton ND+V"/>
    <s v="Cooked Wonton"/>
    <s v="Cooked Wonton ND No Egg with Pumpkin_x000a_+ Yu Choy "/>
    <s v="082SJN708004P00001"/>
    <s v="305g*8"/>
    <n v="8"/>
    <n v="4"/>
    <n v="7.4999999999999997E-3"/>
    <x v="5"/>
    <s v="Salt"/>
    <s v="Regular"/>
    <n v="960"/>
    <m/>
    <n v="960"/>
    <n v="0"/>
    <n v="0"/>
    <m/>
    <m/>
    <m/>
    <s v="NEWPACKAGE"/>
    <m/>
    <m/>
  </r>
  <r>
    <x v="19"/>
    <d v="2024-02-01T00:00:00"/>
    <x v="0"/>
    <s v="Week3"/>
    <x v="0"/>
    <s v="DRY2300704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19"/>
    <d v="2024-02-01T00:00:00"/>
    <x v="0"/>
    <s v="Week3"/>
    <x v="0"/>
    <s v="DRY2300705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19"/>
    <d v="2024-02-02T00:00:00"/>
    <x v="0"/>
    <s v="Week3"/>
    <x v="0"/>
    <s v="DRY2300661"/>
    <s v="SG"/>
    <s v="CPFNW"/>
    <s v="CPI SINGAPORE"/>
    <s v="Wonton ND+V"/>
    <s v="Cooked Wonton"/>
    <s v="Cooked Wonton ND No Egg with Pumpkin _x000a_+ Vegetable  HC  3 pcs"/>
    <s v="082SJ3B24003P02001"/>
    <s v="219g*24"/>
    <n v="24"/>
    <n v="3"/>
    <n v="7.4999999999999997E-3"/>
    <x v="5"/>
    <s v="STPP"/>
    <s v="ซุปซอง 10g."/>
    <n v="350"/>
    <n v="350"/>
    <m/>
    <n v="0"/>
    <n v="0"/>
    <m/>
    <m/>
    <m/>
    <m/>
    <m/>
    <m/>
  </r>
  <r>
    <x v="19"/>
    <d v="2024-02-01T00:00:00"/>
    <x v="0"/>
    <s v="Week3"/>
    <x v="0"/>
    <s v="DRY2300699"/>
    <s v="AUS"/>
    <s v="CPFNW"/>
    <s v="CPF Australia Pty Ltd."/>
    <s v="Minced ND+V+TK"/>
    <s v="Cooked Wonton"/>
    <s v="Cooked Minced  ND No Egg with Pumpkin_x000a_+ Yu Choy Tomkha"/>
    <s v="082SR9U08003P01001"/>
    <s v="302g*8"/>
    <n v="8"/>
    <n v="3"/>
    <n v="6.0000000000000001E-3"/>
    <x v="4"/>
    <s v="Salt"/>
    <s v="Tomkha+CM"/>
    <n v="220"/>
    <m/>
    <n v="250"/>
    <n v="30"/>
    <n v="0"/>
    <m/>
    <m/>
    <m/>
    <s v="ของสำรอง NZ"/>
    <m/>
    <m/>
  </r>
  <r>
    <x v="19"/>
    <d v="2024-02-02T00:00:00"/>
    <x v="0"/>
    <s v="Week3"/>
    <x v="0"/>
    <s v="DRY2300697"/>
    <s v="New Zealand"/>
    <s v="CPFNW"/>
    <s v="Lim Brothers"/>
    <s v="Minced ND+V+TK"/>
    <s v="Cooked Wonton"/>
    <s v="Cooked Minced  ND No Egg with Pumpkin_x000a_+ Yu Choy Tomkha"/>
    <s v="082SRN708003P01001"/>
    <s v="302g*8"/>
    <n v="8"/>
    <n v="3"/>
    <n v="6.0000000000000001E-3"/>
    <x v="4"/>
    <s v="Salt"/>
    <s v="Tomkha+CM"/>
    <n v="725"/>
    <m/>
    <n v="725"/>
    <n v="0"/>
    <n v="0"/>
    <m/>
    <m/>
    <m/>
    <s v="NEWPACKAGE"/>
    <m/>
    <m/>
  </r>
  <r>
    <x v="19"/>
    <d v="2024-02-15T00:00:00"/>
    <x v="0"/>
    <s v="Week3"/>
    <x v="0"/>
    <s v="DRY2300742"/>
    <s v="New Zealand"/>
    <s v="CPFNW"/>
    <s v="Lim Brothers"/>
    <s v="Minced ND+V+TK"/>
    <s v="Cooked Wonton"/>
    <s v="Cooked Minced  ND No Egg with Pumpkin_x000a_+ Yu Choy Tomkha"/>
    <s v="082SRN708003P01001"/>
    <s v="302g*8"/>
    <n v="8"/>
    <n v="3"/>
    <n v="6.0000000000000001E-3"/>
    <x v="4"/>
    <s v="Salt"/>
    <s v="Tomkha+CM"/>
    <n v="1610"/>
    <m/>
    <n v="1655.125"/>
    <n v="45.125"/>
    <n v="0"/>
    <m/>
    <m/>
    <m/>
    <s v="NEWPACKAGE"/>
    <m/>
    <m/>
  </r>
  <r>
    <x v="19"/>
    <d v="2024-01-30T00:00:00"/>
    <x v="0"/>
    <s v="Week3"/>
    <x v="0"/>
    <s v="DRY2300680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37"/>
    <n v="37"/>
    <m/>
    <n v="0"/>
    <n v="0"/>
    <n v="0"/>
    <n v="2"/>
    <n v="0"/>
    <m/>
    <m/>
    <m/>
  </r>
  <r>
    <x v="19"/>
    <d v="2024-01-30T00:00:00"/>
    <x v="0"/>
    <s v="Week3"/>
    <x v="0"/>
    <s v="DRY2300681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586"/>
    <n v="586"/>
    <m/>
    <n v="0"/>
    <n v="0"/>
    <n v="0"/>
    <n v="6"/>
    <n v="0"/>
    <m/>
    <m/>
    <m/>
  </r>
  <r>
    <x v="20"/>
    <m/>
    <x v="0"/>
    <s v="Week3"/>
    <x v="0"/>
    <m/>
    <m/>
    <m/>
    <m/>
    <m/>
    <m/>
    <m/>
    <m/>
    <m/>
    <m/>
    <m/>
    <m/>
    <x v="0"/>
    <m/>
    <m/>
    <m/>
    <m/>
    <m/>
    <m/>
    <m/>
    <m/>
    <m/>
    <m/>
    <m/>
    <m/>
    <m/>
  </r>
  <r>
    <x v="21"/>
    <d v="2024-01-31T00:00:00"/>
    <x v="0"/>
    <s v="Week4"/>
    <x v="0"/>
    <s v="DRY2300676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700"/>
    <n v="700"/>
    <m/>
    <n v="0"/>
    <n v="0"/>
    <m/>
    <m/>
    <m/>
    <m/>
    <m/>
    <m/>
  </r>
  <r>
    <x v="21"/>
    <d v="2024-02-09T00:00:00"/>
    <x v="0"/>
    <s v="Week4"/>
    <x v="0"/>
    <s v="DRY2300677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650"/>
    <n v="342"/>
    <n v="308"/>
    <n v="0"/>
    <n v="0"/>
    <m/>
    <m/>
    <m/>
    <m/>
    <m/>
    <m/>
  </r>
  <r>
    <x v="21"/>
    <d v="2024-02-02T00:00:00"/>
    <x v="0"/>
    <s v="Week4"/>
    <x v="0"/>
    <s v="DRY230062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04"/>
    <n v="404"/>
    <m/>
    <n v="0"/>
    <n v="0"/>
    <m/>
    <m/>
    <m/>
    <m/>
    <m/>
    <m/>
  </r>
  <r>
    <x v="21"/>
    <d v="2024-02-02T00:00:00"/>
    <x v="0"/>
    <s v="Week4"/>
    <x v="0"/>
    <s v="DRY230062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1"/>
    <d v="2024-02-02T00:00:00"/>
    <x v="0"/>
    <s v="Week4"/>
    <x v="0"/>
    <s v="DRY230062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1"/>
    <d v="2024-02-05T00:00:00"/>
    <x v="0"/>
    <s v="Week4"/>
    <x v="0"/>
    <s v="DRY230059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1"/>
    <d v="2024-02-05T00:00:00"/>
    <x v="0"/>
    <s v="Week4"/>
    <x v="0"/>
    <s v="DRY230060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62"/>
    <n v="162"/>
    <m/>
    <n v="0"/>
    <n v="0"/>
    <m/>
    <m/>
    <m/>
    <s v="ตกเป้า 6948 ถ้วย"/>
    <m/>
    <m/>
  </r>
  <r>
    <x v="21"/>
    <d v="2024-01-30T00:00:00"/>
    <x v="0"/>
    <s v="Week4"/>
    <x v="0"/>
    <s v="DRY2300681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37"/>
    <n v="637"/>
    <m/>
    <n v="0"/>
    <n v="0"/>
    <n v="0"/>
    <n v="6"/>
    <n v="0"/>
    <m/>
    <m/>
    <m/>
  </r>
  <r>
    <x v="22"/>
    <d v="2024-01-31T00:00:00"/>
    <x v="0"/>
    <s v="Week4"/>
    <x v="0"/>
    <s v="DRY2300676"/>
    <s v="USA"/>
    <s v="CPFNW"/>
    <s v="Bellisio Foods, Inc."/>
    <s v="Minced WT"/>
    <s v="Cooked Wonton"/>
    <s v="Cooked Minced Wonton Soup No Egg"/>
    <s v="082SKBW36005P00001"/>
    <s v="145g*6c*6"/>
    <n v="36"/>
    <n v="5"/>
    <n v="6.0000000000000001E-3"/>
    <x v="4"/>
    <s v="Salt"/>
    <s v="Regular"/>
    <n v="450"/>
    <n v="450"/>
    <m/>
    <n v="0"/>
    <n v="0"/>
    <m/>
    <m/>
    <m/>
    <m/>
    <m/>
    <m/>
  </r>
  <r>
    <x v="22"/>
    <d v="2024-02-09T00:00:00"/>
    <x v="0"/>
    <s v="Week4"/>
    <x v="0"/>
    <s v="DRY2300677"/>
    <s v="USA"/>
    <s v="CPFNW"/>
    <s v="Bellisio Foods, Inc."/>
    <s v="Minced WT"/>
    <s v="Cooked Wonton"/>
    <s v="Cooked Minced Wonton Soup No Egg"/>
    <s v="082SKBW36005P00001"/>
    <s v="145g*6c*6"/>
    <n v="36"/>
    <n v="5"/>
    <n v="6.0000000000000001E-3"/>
    <x v="4"/>
    <s v="Salt"/>
    <s v="Regular"/>
    <n v="500"/>
    <n v="500"/>
    <m/>
    <n v="0"/>
    <n v="0"/>
    <m/>
    <m/>
    <m/>
    <m/>
    <m/>
    <m/>
  </r>
  <r>
    <x v="22"/>
    <d v="2024-02-02T00:00:00"/>
    <x v="0"/>
    <s v="Week4"/>
    <x v="0"/>
    <s v="DRY2300659"/>
    <s v="SG"/>
    <s v="CPFNW"/>
    <s v="CPI SINGAPORE"/>
    <s v="Wonton"/>
    <s v="Cooked Wonton"/>
    <s v="Cooked Wonton No Egg"/>
    <s v="082S83B24005P07001"/>
    <s v="145g*24"/>
    <n v="24"/>
    <n v="5"/>
    <n v="8.0000000000000002E-3"/>
    <x v="1"/>
    <s v="STPP"/>
    <s v="Regular"/>
    <n v="400"/>
    <n v="400"/>
    <m/>
    <n v="0"/>
    <n v="0"/>
    <m/>
    <m/>
    <m/>
    <m/>
    <m/>
    <m/>
  </r>
  <r>
    <x v="22"/>
    <d v="2024-02-02T00:00:00"/>
    <x v="0"/>
    <s v="Week4"/>
    <x v="0"/>
    <s v="DRY2300660"/>
    <s v="SG"/>
    <s v="CPFNW"/>
    <s v="CPI SINGAPORE"/>
    <s v="Wonton TY"/>
    <s v="Cooked Wonton"/>
    <s v="Cooked Wonton No Egg"/>
    <s v="082S83B24005P06001"/>
    <s v="115g*24"/>
    <n v="24"/>
    <n v="5"/>
    <n v="8.0000000000000002E-3"/>
    <x v="1"/>
    <s v="STPP"/>
    <s v="TYTB3C 30G"/>
    <n v="250"/>
    <n v="250"/>
    <m/>
    <n v="0"/>
    <n v="0"/>
    <m/>
    <n v="1"/>
    <n v="0"/>
    <m/>
    <m/>
    <m/>
  </r>
  <r>
    <x v="22"/>
    <d v="2024-02-05T00:00:00"/>
    <x v="0"/>
    <s v="Week4"/>
    <x v="0"/>
    <s v="DRY230060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30"/>
    <n v="630"/>
    <m/>
    <n v="0"/>
    <n v="0"/>
    <m/>
    <m/>
    <m/>
    <m/>
    <m/>
    <m/>
  </r>
  <r>
    <x v="22"/>
    <d v="2024-02-05T00:00:00"/>
    <x v="0"/>
    <s v="Week4"/>
    <x v="0"/>
    <s v="DRY230062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2"/>
    <d v="2024-02-05T00:00:00"/>
    <x v="0"/>
    <s v="Week4"/>
    <x v="0"/>
    <s v="DRY230062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2"/>
    <d v="2024-02-05T00:00:00"/>
    <x v="0"/>
    <s v="Week4"/>
    <x v="0"/>
    <s v="DRY230062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88"/>
    <n v="288"/>
    <m/>
    <n v="0"/>
    <n v="0"/>
    <m/>
    <m/>
    <m/>
    <s v="ตกเป้า 5652+612ถ้วย"/>
    <m/>
    <m/>
  </r>
  <r>
    <x v="22"/>
    <d v="2024-01-30T00:00:00"/>
    <x v="0"/>
    <s v="Week4"/>
    <x v="0"/>
    <s v="DRY2300681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08"/>
    <n v="608"/>
    <m/>
    <n v="0"/>
    <n v="0"/>
    <n v="0"/>
    <n v="6"/>
    <n v="0"/>
    <m/>
    <m/>
    <m/>
  </r>
  <r>
    <x v="23"/>
    <d v="2024-02-05T00:00:00"/>
    <x v="0"/>
    <s v="Week4"/>
    <x v="0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1017"/>
    <n v="1017"/>
    <m/>
    <n v="0"/>
    <n v="0"/>
    <m/>
    <m/>
    <m/>
    <s v="NEWPACKAGE"/>
    <m/>
    <m/>
  </r>
  <r>
    <x v="23"/>
    <d v="2024-02-19T00:00:00"/>
    <x v="0"/>
    <s v="Week4"/>
    <x v="0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850"/>
    <n v="850"/>
    <m/>
    <n v="0"/>
    <n v="0"/>
    <m/>
    <n v="1"/>
    <n v="0"/>
    <m/>
    <m/>
    <m/>
  </r>
  <r>
    <x v="23"/>
    <d v="2024-02-01T00:00:00"/>
    <x v="0"/>
    <s v="Week4"/>
    <x v="0"/>
    <s v="ขายภายใน"/>
    <s v="MTFS"/>
    <s v="CPFGS"/>
    <s v="ซีพีเอฟ เทรดดิ้ง"/>
    <s v="E+Wonton"/>
    <s v="Cooked Wonton"/>
    <s v="Cooked Wonton  with egg V-Food"/>
    <s v="082S83Q12005P05000"/>
    <s v="145g*12"/>
    <n v="12"/>
    <n v="5"/>
    <n v="8.0000000000000002E-3"/>
    <x v="1"/>
    <s v="STPP"/>
    <s v="Regular"/>
    <n v="12"/>
    <n v="12"/>
    <m/>
    <n v="0"/>
    <n v="0"/>
    <m/>
    <m/>
    <m/>
    <m/>
    <m/>
    <m/>
  </r>
  <r>
    <x v="23"/>
    <d v="2024-01-29T00:00:00"/>
    <x v="0"/>
    <s v="Week4"/>
    <x v="0"/>
    <s v="ขายภายใน"/>
    <s v="MTFS"/>
    <s v="CPFGS"/>
    <s v="ซีพีเอฟ เทรดดิ้ง"/>
    <s v="E+Wonton"/>
    <s v="Cooked Wonton"/>
    <s v="Cooked Wonton  with egg V-Food"/>
    <s v="082S83Q12005P05001"/>
    <s v="145g*12"/>
    <n v="12"/>
    <n v="5"/>
    <n v="8.0000000000000002E-3"/>
    <x v="1"/>
    <s v="STPP"/>
    <s v="Regular"/>
    <n v="2793"/>
    <n v="2793"/>
    <m/>
    <n v="0"/>
    <n v="0"/>
    <m/>
    <m/>
    <m/>
    <m/>
    <m/>
    <m/>
  </r>
  <r>
    <x v="23"/>
    <d v="2024-02-05T00:00:00"/>
    <x v="0"/>
    <s v="Week4"/>
    <x v="0"/>
    <s v="ขายภายใน"/>
    <s v="MTFS"/>
    <s v="CPFGS"/>
    <s v="ซีพีเอฟ เทรดดิ้ง"/>
    <s v="E+Wonton"/>
    <s v="Cooked Wonton"/>
    <s v="Cooked Wonton  with egg V-Food"/>
    <s v="082S83Q12005P05001"/>
    <s v="145g*12"/>
    <n v="12"/>
    <n v="5"/>
    <n v="8.0000000000000002E-3"/>
    <x v="1"/>
    <s v="STPP"/>
    <s v="Regular"/>
    <n v="3382"/>
    <n v="3382"/>
    <m/>
    <n v="0"/>
    <n v="0"/>
    <m/>
    <m/>
    <m/>
    <m/>
    <m/>
    <m/>
  </r>
  <r>
    <x v="23"/>
    <d v="2024-01-29T00:00:00"/>
    <x v="0"/>
    <s v="Week4"/>
    <x v="0"/>
    <s v="ขายภายใน"/>
    <s v="MTFS"/>
    <s v="CPFGS"/>
    <s v="ซีพีเอฟ เทรดดิ้ง"/>
    <s v="E+Wonton TY"/>
    <s v="Cooked Wonton"/>
    <s v="Cooked Wonton Tomyum with egg.V-Food TY"/>
    <s v="082S83Q12005P04001"/>
    <s v="115g*12"/>
    <n v="12"/>
    <n v="5"/>
    <n v="8.0000000000000002E-3"/>
    <x v="1"/>
    <s v="STPP"/>
    <s v="TYTB3C 30G"/>
    <n v="400"/>
    <n v="400"/>
    <m/>
    <n v="0"/>
    <n v="0"/>
    <m/>
    <n v="1"/>
    <n v="0"/>
    <m/>
    <m/>
    <m/>
  </r>
  <r>
    <x v="23"/>
    <d v="2024-02-05T00:00:00"/>
    <x v="0"/>
    <s v="Week4"/>
    <x v="0"/>
    <s v="ขายภายใน"/>
    <s v="MTFS"/>
    <s v="CPFGS"/>
    <s v="ซีพีเอฟ เทรดดิ้ง"/>
    <s v="E+Wonton TY"/>
    <s v="Cooked Wonton"/>
    <s v="Cooked Wonton Tomyum with egg.V-Food TY"/>
    <s v="082S83Q12005P04001"/>
    <s v="115g*12"/>
    <n v="12"/>
    <n v="5"/>
    <n v="8.0000000000000002E-3"/>
    <x v="1"/>
    <s v="STPP"/>
    <s v="TYTB3C 30G"/>
    <n v="823"/>
    <n v="823"/>
    <m/>
    <n v="0"/>
    <n v="0"/>
    <m/>
    <n v="1"/>
    <n v="0"/>
    <m/>
    <m/>
    <m/>
  </r>
  <r>
    <x v="23"/>
    <d v="2024-01-29T00:00:00"/>
    <x v="0"/>
    <s v="Week4"/>
    <x v="0"/>
    <s v="ขายภายใน"/>
    <s v="MTFS"/>
    <s v="CPFGS"/>
    <s v="ซีพีเอฟ เทรดดิ้ง"/>
    <s v="E+Wonton NDE"/>
    <s v="Cooked Wonton"/>
    <s v="Cooked Wonton ND with egg V-Food"/>
    <s v="082SJ3Q12003P07001"/>
    <s v="226g*12"/>
    <n v="12"/>
    <n v="3"/>
    <n v="8.0000000000000002E-3"/>
    <x v="1"/>
    <s v="STPP"/>
    <s v="Regular"/>
    <n v="500"/>
    <n v="500"/>
    <m/>
    <n v="0"/>
    <n v="0"/>
    <m/>
    <m/>
    <m/>
    <m/>
    <m/>
    <m/>
  </r>
  <r>
    <x v="23"/>
    <d v="2024-02-19T00:00:00"/>
    <x v="0"/>
    <s v="Week4"/>
    <x v="0"/>
    <s v="ขายภายใน"/>
    <s v="MTFS"/>
    <s v="CPFGS"/>
    <s v="ซีพีเอฟ เทรดดิ้ง"/>
    <s v="E+Wonton NDE"/>
    <s v="Cooked Wonton"/>
    <s v="Cooked Wonton ND with egg V-Food"/>
    <s v="082SJ3Q12003P07001"/>
    <s v="226g*12"/>
    <n v="12"/>
    <n v="3"/>
    <n v="8.0000000000000002E-3"/>
    <x v="1"/>
    <s v="STPP"/>
    <s v="Regular"/>
    <n v="541"/>
    <n v="541"/>
    <m/>
    <n v="0"/>
    <n v="0"/>
    <m/>
    <m/>
    <m/>
    <m/>
    <m/>
    <m/>
  </r>
  <r>
    <x v="23"/>
    <d v="2024-01-31T00:00:00"/>
    <x v="0"/>
    <s v="Week4"/>
    <x v="0"/>
    <s v="DRY2300676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00"/>
    <n v="100"/>
    <m/>
    <n v="0"/>
    <n v="0"/>
    <n v="0"/>
    <n v="6"/>
    <n v="0"/>
    <m/>
    <m/>
    <m/>
  </r>
  <r>
    <x v="23"/>
    <d v="2024-02-16T00:00:00"/>
    <x v="0"/>
    <s v="Week4"/>
    <x v="0"/>
    <s v="DRY2300677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00"/>
    <n v="100"/>
    <m/>
    <n v="0"/>
    <n v="0"/>
    <n v="0"/>
    <n v="6"/>
    <n v="0"/>
    <m/>
    <m/>
    <m/>
  </r>
  <r>
    <x v="23"/>
    <d v="2024-01-30T00:00:00"/>
    <x v="0"/>
    <s v="Week4"/>
    <x v="0"/>
    <s v="DRY2300681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225"/>
    <n v="225"/>
    <m/>
    <n v="0"/>
    <n v="0"/>
    <n v="0"/>
    <n v="6"/>
    <n v="0"/>
    <m/>
    <m/>
    <m/>
  </r>
  <r>
    <x v="23"/>
    <d v="2024-02-02T00:00:00"/>
    <x v="0"/>
    <s v="Week4"/>
    <x v="0"/>
    <s v="DRY2300663"/>
    <s v="SG"/>
    <s v="CPFNW"/>
    <s v="CPI SINGAPORE"/>
    <s v="R-Minced egg past"/>
    <s v="Raw Wonton"/>
    <s v="Raw Minced Wonton 8 pcs"/>
    <s v="082ID3B18008P00001"/>
    <s v="90g*18in"/>
    <n v="18"/>
    <n v="8"/>
    <n v="5.0000000000000001E-3"/>
    <x v="4"/>
    <s v="STPP"/>
    <s v="ซุปซอง 5g."/>
    <n v="600"/>
    <n v="600"/>
    <n v="50"/>
    <n v="50"/>
    <n v="0"/>
    <n v="0"/>
    <n v="2"/>
    <n v="0"/>
    <m/>
    <m/>
    <m/>
  </r>
  <r>
    <x v="24"/>
    <d v="2024-01-30T00:00:00"/>
    <x v="0"/>
    <s v="Week4"/>
    <x v="0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540"/>
    <n v="540"/>
    <m/>
    <n v="0"/>
    <n v="0"/>
    <m/>
    <m/>
    <m/>
    <m/>
    <m/>
    <m/>
  </r>
  <r>
    <x v="24"/>
    <d v="2024-02-12T00:00:00"/>
    <x v="0"/>
    <s v="Week4"/>
    <x v="0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1288"/>
    <n v="1288"/>
    <m/>
    <n v="0"/>
    <n v="0"/>
    <m/>
    <m/>
    <m/>
    <m/>
    <m/>
    <m/>
  </r>
  <r>
    <x v="24"/>
    <d v="2024-01-29T00:00:00"/>
    <x v="0"/>
    <s v="Week4"/>
    <x v="0"/>
    <s v="ขายภายใน"/>
    <s v="MTFS"/>
    <s v="CPFGS"/>
    <s v="ซีพีเอฟ เทรดดิ้ง"/>
    <s v="E+Wonton+หมาล่า"/>
    <s v="Cooked Wonton"/>
    <s v="เกี๊ยวกุ้งจักรพรรดิซุปหมาล่า (ตรา ซีพี)_MT"/>
    <s v="082S83Q12005P06001"/>
    <s v="143g*12"/>
    <n v="12"/>
    <n v="5"/>
    <n v="6.1999999999999998E-3"/>
    <x v="2"/>
    <s v="STPP"/>
    <s v="หมาล่า"/>
    <n v="2456"/>
    <n v="2456"/>
    <m/>
    <n v="0"/>
    <n v="0"/>
    <m/>
    <m/>
    <m/>
    <m/>
    <m/>
    <m/>
  </r>
  <r>
    <x v="24"/>
    <d v="2024-02-12T00:00:00"/>
    <x v="0"/>
    <s v="Week4"/>
    <x v="0"/>
    <s v="ขายภายใน"/>
    <s v=".7-11"/>
    <s v="CPFGS"/>
    <s v="ซีพีเอฟ เทรดดิ้ง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3247"/>
    <n v="3247"/>
    <m/>
    <n v="0"/>
    <n v="0"/>
    <m/>
    <m/>
    <m/>
    <m/>
    <m/>
    <m/>
  </r>
  <r>
    <x v="24"/>
    <d v="2024-02-02T00:00:00"/>
    <x v="0"/>
    <s v="Week4"/>
    <x v="0"/>
    <s v="DRY2300664"/>
    <s v="SG"/>
    <s v="CPFNW"/>
    <s v="CPI SINGAPORE"/>
    <s v="R-Wonton egg past"/>
    <s v="Raw Wonton"/>
    <s v="Raw Wonton 8 pcs"/>
    <s v="082I93B20008P00001"/>
    <s v="194g*20in"/>
    <n v="20"/>
    <n v="8"/>
    <n v="1.4999999999999999E-2"/>
    <x v="6"/>
    <s v="STPP"/>
    <s v="ซุปซอง 5g."/>
    <n v="500"/>
    <n v="500"/>
    <n v="71"/>
    <n v="71"/>
    <n v="0"/>
    <n v="0"/>
    <n v="2"/>
    <n v="0"/>
    <s v="ห่อแบบดิบ"/>
    <m/>
    <m/>
  </r>
  <r>
    <x v="24"/>
    <d v="2024-02-05T00:00:00"/>
    <x v="0"/>
    <s v="Week4"/>
    <x v="0"/>
    <s v="DRY2300707"/>
    <s v="HK"/>
    <s v="CPFNW"/>
    <s v="CPM Hongkong"/>
    <s v="R-Minced egg past"/>
    <s v="Raw Wonton"/>
    <s v="Raw Minced Wonton 8 pcs"/>
    <s v="082ID3G18008P00001"/>
    <s v="90g*18in"/>
    <n v="18"/>
    <n v="8"/>
    <n v="6.0000000000000001E-3"/>
    <x v="4"/>
    <s v="STPP"/>
    <s v="ซุปซอง 5g."/>
    <n v="200"/>
    <n v="200"/>
    <m/>
    <n v="0"/>
    <n v="0"/>
    <n v="0"/>
    <n v="2"/>
    <n v="0"/>
    <m/>
    <m/>
    <m/>
  </r>
  <r>
    <x v="24"/>
    <d v="2024-02-05T00:00:00"/>
    <x v="0"/>
    <s v="Week4"/>
    <x v="0"/>
    <s v="DRY2300707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269"/>
    <n v="269"/>
    <m/>
    <n v="0"/>
    <n v="0"/>
    <n v="0"/>
    <n v="1"/>
    <n v="0"/>
    <m/>
    <m/>
    <m/>
  </r>
  <r>
    <x v="25"/>
    <d v="2024-02-05T00:00:00"/>
    <x v="0"/>
    <s v="Week4"/>
    <x v="0"/>
    <s v="DRY230062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04"/>
    <n v="504"/>
    <m/>
    <n v="0"/>
    <n v="0"/>
    <m/>
    <m/>
    <m/>
    <m/>
    <m/>
    <m/>
  </r>
  <r>
    <x v="25"/>
    <d v="2024-02-05T00:00:00"/>
    <x v="0"/>
    <s v="Week4"/>
    <x v="0"/>
    <s v="DRY230062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5"/>
    <d v="2024-02-05T00:00:00"/>
    <x v="0"/>
    <s v="Week4"/>
    <x v="0"/>
    <s v="DRY230062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5"/>
    <d v="2024-02-05T00:00:00"/>
    <x v="0"/>
    <s v="Week4"/>
    <x v="0"/>
    <s v="DRY230063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5"/>
    <d v="2024-02-05T00:00:00"/>
    <x v="0"/>
    <s v="Week4"/>
    <x v="0"/>
    <s v="DRY230063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5"/>
    <d v="2024-02-05T00:00:00"/>
    <x v="0"/>
    <s v="Week4"/>
    <x v="0"/>
    <s v="DRY230063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31"/>
    <n v="131"/>
    <m/>
    <n v="0"/>
    <n v="0"/>
    <m/>
    <m/>
    <m/>
    <m/>
    <m/>
    <m/>
  </r>
  <r>
    <x v="25"/>
    <d v="2024-02-05T00:00:00"/>
    <x v="0"/>
    <s v="Week4"/>
    <x v="0"/>
    <s v="DRY2300707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1431"/>
    <n v="1431"/>
    <m/>
    <n v="0"/>
    <n v="0"/>
    <n v="0"/>
    <n v="1"/>
    <n v="0"/>
    <m/>
    <m/>
    <m/>
  </r>
  <r>
    <x v="26"/>
    <d v="2024-02-07T00:00:00"/>
    <x v="0"/>
    <s v="Week4"/>
    <x v="0"/>
    <s v="DRY2300690"/>
    <s v="Spain"/>
    <s v="CPFNW"/>
    <s v="Mercadona"/>
    <s v="Wonton ND+V"/>
    <s v="Cooked Wonton"/>
    <s v="Cooked Wonton ND No Egg with Pumpkin _x000a_+ Vegetable  HC  3 pcs"/>
    <s v="082SJ5T12003P00001"/>
    <s v="309g*12"/>
    <n v="12"/>
    <n v="3"/>
    <n v="7.4999999999999997E-3"/>
    <x v="5"/>
    <s v="Salt"/>
    <s v="Regular"/>
    <n v="2520"/>
    <n v="2520"/>
    <m/>
    <n v="0"/>
    <n v="0"/>
    <m/>
    <m/>
    <m/>
    <s v="รวบการผลิตให้เป็นวันเดียวกันตามความต้องการของลูกค้า"/>
    <m/>
    <m/>
  </r>
  <r>
    <x v="26"/>
    <d v="2024-03-06T00:00:00"/>
    <x v="0"/>
    <s v="Week4"/>
    <x v="0"/>
    <s v="DRY2300691"/>
    <s v="Spain"/>
    <s v="CPFNW"/>
    <s v="Mercadona"/>
    <s v="Wonton ND+V"/>
    <s v="Cooked Wonton"/>
    <s v="Cooked Wonton ND No Egg with Pumpkin _x000a_+ Vegetable  HC  3 pcs"/>
    <s v="082SJ5T12003P00001"/>
    <s v="309g*12"/>
    <n v="12"/>
    <n v="3"/>
    <n v="7.4999999999999997E-3"/>
    <x v="5"/>
    <s v="Salt"/>
    <s v="Regular"/>
    <n v="2520"/>
    <n v="2520"/>
    <m/>
    <n v="0"/>
    <n v="0"/>
    <m/>
    <m/>
    <m/>
    <s v="รวบการผลิตให้เป็นวันเดียวกันตามความต้องการของลูกค้า"/>
    <m/>
    <m/>
  </r>
  <r>
    <x v="26"/>
    <d v="2024-02-23T00:00:00"/>
    <x v="0"/>
    <s v="Week4"/>
    <x v="0"/>
    <s v="DRY2300783"/>
    <s v="Belgium"/>
    <s v="CPFNW"/>
    <s v="CPF EUROPE S.A."/>
    <s v="Wonton ND+V"/>
    <s v="Cooked Wonton"/>
    <s v="Cooked Wonton ND No Egg with Pumpkin _x000a_+ Vegetable  HC  3 pcs"/>
    <s v="082SJ3I08003P00001"/>
    <s v="309g*8"/>
    <n v="8"/>
    <n v="3"/>
    <n v="7.4999999999999997E-3"/>
    <x v="5"/>
    <s v="Salt"/>
    <s v="Regular"/>
    <n v="500"/>
    <m/>
    <n v="500"/>
    <n v="0"/>
    <n v="0"/>
    <m/>
    <m/>
    <m/>
    <m/>
    <m/>
    <m/>
  </r>
  <r>
    <x v="26"/>
    <d v="2024-02-08T00:00:00"/>
    <x v="0"/>
    <s v="Week4"/>
    <x v="0"/>
    <s v="DRY2300740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26"/>
    <d v="2024-02-15T00:00:00"/>
    <x v="0"/>
    <s v="Week4"/>
    <x v="0"/>
    <s v="DRY2300741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26"/>
    <d v="2024-02-15T00:00:00"/>
    <x v="0"/>
    <s v="Week4"/>
    <x v="0"/>
    <s v="DRY2300742"/>
    <s v="New Zealand"/>
    <s v="CPFNW"/>
    <s v="Lim Brothers"/>
    <s v="Wonton ND+V"/>
    <s v="Cooked Wonton"/>
    <s v="Cooked Wonton ND No Egg with Pumpkin_x000a_+ Yu Choy "/>
    <s v="082SJN708004P00001"/>
    <s v="305g*8"/>
    <n v="8"/>
    <n v="4"/>
    <n v="7.4999999999999997E-3"/>
    <x v="5"/>
    <s v="Salt"/>
    <s v="Regular"/>
    <n v="1500"/>
    <m/>
    <n v="1545.5"/>
    <n v="45.5"/>
    <n v="0"/>
    <m/>
    <m/>
    <m/>
    <s v="AUS 637ถ้วย"/>
    <m/>
    <m/>
  </r>
  <r>
    <x v="26"/>
    <d v="2024-02-02T00:00:00"/>
    <x v="0"/>
    <s v="Week4"/>
    <x v="0"/>
    <s v="DRY2300697"/>
    <s v="New Zealand"/>
    <s v="CPFNW"/>
    <s v="Lim Brothers"/>
    <s v="Minced ND+V+TY"/>
    <s v="Cooked Wonton"/>
    <s v="Cooked Minced  ND No Egg with Pumpkin_x000a_+ Yu Choy Tomyum"/>
    <s v="082SRN708003P00001"/>
    <s v="302g*8"/>
    <n v="8"/>
    <n v="3"/>
    <n v="6.0000000000000001E-3"/>
    <x v="4"/>
    <s v="Salt"/>
    <s v="TYA+CO"/>
    <n v="700"/>
    <m/>
    <n v="711.5"/>
    <n v="11.5"/>
    <n v="0"/>
    <m/>
    <m/>
    <m/>
    <s v="NEWPACKAGE"/>
    <m/>
    <m/>
  </r>
  <r>
    <x v="26"/>
    <d v="2024-02-06T00:00:00"/>
    <x v="0"/>
    <s v="Week4"/>
    <x v="0"/>
    <s v="DRY2300578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677"/>
    <n v="677"/>
    <m/>
    <n v="0"/>
    <n v="0"/>
    <n v="0"/>
    <n v="2"/>
    <n v="0"/>
    <m/>
    <m/>
    <m/>
  </r>
  <r>
    <x v="27"/>
    <m/>
    <x v="0"/>
    <s v="Week4"/>
    <x v="0"/>
    <m/>
    <m/>
    <m/>
    <m/>
    <m/>
    <m/>
    <m/>
    <m/>
    <m/>
    <m/>
    <m/>
    <m/>
    <x v="0"/>
    <m/>
    <m/>
    <m/>
    <m/>
    <m/>
    <m/>
    <m/>
    <m/>
    <m/>
    <m/>
    <m/>
    <m/>
    <m/>
  </r>
  <r>
    <x v="28"/>
    <d v="2024-02-05T00:00:00"/>
    <x v="0"/>
    <s v="Week5"/>
    <x v="0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6111"/>
    <n v="6111"/>
    <m/>
    <n v="0"/>
    <n v="0"/>
    <m/>
    <m/>
    <m/>
    <s v="NEWPACKAGE"/>
    <m/>
    <m/>
  </r>
  <r>
    <x v="28"/>
    <d v="2024-02-06T00:00:00"/>
    <x v="0"/>
    <s v="Week5"/>
    <x v="0"/>
    <s v="DRY2300578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667"/>
    <n v="667"/>
    <m/>
    <n v="0"/>
    <n v="0"/>
    <n v="0"/>
    <n v="2"/>
    <n v="0"/>
    <m/>
    <m/>
    <m/>
  </r>
  <r>
    <x v="29"/>
    <d v="2024-02-05T00:00:00"/>
    <x v="0"/>
    <s v="Week5"/>
    <x v="0"/>
    <s v="DRY230063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61"/>
    <n v="661"/>
    <m/>
    <n v="0"/>
    <n v="0"/>
    <m/>
    <m/>
    <m/>
    <m/>
    <m/>
    <m/>
  </r>
  <r>
    <x v="29"/>
    <d v="2024-02-05T00:00:00"/>
    <x v="0"/>
    <s v="Week5"/>
    <x v="0"/>
    <s v="DRY230062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9"/>
    <d v="2024-02-06T00:00:00"/>
    <x v="0"/>
    <s v="Week5"/>
    <x v="0"/>
    <s v="DRY230062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9"/>
    <d v="2024-02-06T00:00:00"/>
    <x v="0"/>
    <s v="Week5"/>
    <x v="0"/>
    <s v="DRY230062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9"/>
    <d v="2024-02-06T00:00:00"/>
    <x v="0"/>
    <s v="Week5"/>
    <x v="0"/>
    <s v="DRY230064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9"/>
    <d v="2024-02-06T00:00:00"/>
    <x v="0"/>
    <s v="Week5"/>
    <x v="0"/>
    <s v="DRY230061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35"/>
    <n v="435"/>
    <m/>
    <n v="0"/>
    <n v="0"/>
    <m/>
    <m/>
    <m/>
    <m/>
    <m/>
    <m/>
  </r>
  <r>
    <x v="29"/>
    <d v="2024-02-06T00:00:00"/>
    <x v="0"/>
    <s v="Week5"/>
    <x v="0"/>
    <s v="DRY2300578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280"/>
    <n v="280"/>
    <m/>
    <n v="0"/>
    <n v="0"/>
    <n v="0"/>
    <n v="2"/>
    <n v="0"/>
    <m/>
    <m/>
    <m/>
  </r>
  <r>
    <x v="29"/>
    <d v="2024-02-09T00:00:00"/>
    <x v="0"/>
    <s v="Week5"/>
    <x v="0"/>
    <s v="DRY2300579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364"/>
    <n v="364"/>
    <m/>
    <n v="0"/>
    <n v="0"/>
    <n v="0"/>
    <n v="2"/>
    <n v="0"/>
    <m/>
    <m/>
    <m/>
  </r>
  <r>
    <x v="30"/>
    <d v="2024-02-06T00:00:00"/>
    <x v="0"/>
    <s v="Week5"/>
    <x v="0"/>
    <s v="DRY230061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57"/>
    <n v="357"/>
    <m/>
    <n v="0"/>
    <n v="0"/>
    <m/>
    <m/>
    <m/>
    <m/>
    <m/>
    <m/>
  </r>
  <r>
    <x v="30"/>
    <d v="2024-02-08T00:00:00"/>
    <x v="0"/>
    <s v="Week5"/>
    <x v="0"/>
    <s v="DRY230063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0"/>
    <d v="2024-02-09T00:00:00"/>
    <x v="0"/>
    <s v="Week5"/>
    <x v="0"/>
    <s v="DRY230063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0"/>
    <d v="2024-02-09T00:00:00"/>
    <x v="0"/>
    <s v="Week5"/>
    <x v="0"/>
    <s v="DRY230064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0"/>
    <d v="2024-02-13T00:00:00"/>
    <x v="0"/>
    <s v="Week5"/>
    <x v="0"/>
    <s v="DRY230064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s v="กัก 755"/>
    <m/>
    <m/>
  </r>
  <r>
    <x v="30"/>
    <d v="2024-02-13T00:00:00"/>
    <x v="0"/>
    <s v="Week5"/>
    <x v="0"/>
    <s v="DRY230064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02"/>
    <n v="502"/>
    <m/>
    <n v="0"/>
    <n v="0"/>
    <m/>
    <m/>
    <m/>
    <s v="กัก 502"/>
    <m/>
    <m/>
  </r>
  <r>
    <x v="30"/>
    <d v="2024-02-09T00:00:00"/>
    <x v="0"/>
    <s v="Week5"/>
    <x v="0"/>
    <s v="DRY2300579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649"/>
    <n v="649"/>
    <m/>
    <n v="0"/>
    <n v="0"/>
    <n v="0"/>
    <n v="2"/>
    <n v="0"/>
    <s v="กัก 81"/>
    <m/>
    <m/>
  </r>
  <r>
    <x v="31"/>
    <d v="2024-02-13T00:00:00"/>
    <x v="0"/>
    <s v="Week5"/>
    <x v="1"/>
    <s v="DRY2300725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28.625"/>
    <n v="29"/>
    <m/>
    <n v="0.375"/>
    <n v="0"/>
    <m/>
    <m/>
    <m/>
    <m/>
    <m/>
    <m/>
  </r>
  <r>
    <x v="31"/>
    <d v="2024-02-20T00:00:00"/>
    <x v="0"/>
    <s v="Week5"/>
    <x v="1"/>
    <s v="DRY2300726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2400"/>
    <m/>
    <n v="2400"/>
    <n v="0"/>
    <n v="0"/>
    <m/>
    <m/>
    <m/>
    <s v="กัก 2400"/>
    <m/>
    <m/>
  </r>
  <r>
    <x v="31"/>
    <d v="2024-02-26T00:00:00"/>
    <x v="0"/>
    <s v="Week5"/>
    <x v="1"/>
    <s v="DRY2300743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2366"/>
    <m/>
    <n v="2366"/>
    <n v="0"/>
    <n v="0"/>
    <m/>
    <m/>
    <m/>
    <s v="กัก 999+315สำรอง"/>
    <m/>
    <m/>
  </r>
  <r>
    <x v="31"/>
    <d v="2024-02-09T00:00:00"/>
    <x v="0"/>
    <s v="Week5"/>
    <x v="1"/>
    <s v="DRY2300706"/>
    <s v="New Zealand"/>
    <s v="CPFNW"/>
    <s v="Lim Brothers"/>
    <s v="Wonton ND+V"/>
    <s v="Cooked Wonton"/>
    <s v="Cooked Wonton ND No Egg with Pumpkin_x000a_+ Yu Choy "/>
    <s v="082SJN736005P00001"/>
    <s v="308g*6c*6in"/>
    <n v="36"/>
    <n v="5"/>
    <n v="7.4999999999999997E-3"/>
    <x v="5"/>
    <s v="Salt"/>
    <s v="Regular"/>
    <n v="792"/>
    <n v="792"/>
    <m/>
    <n v="0"/>
    <n v="0"/>
    <m/>
    <m/>
    <m/>
    <s v="กัก 193"/>
    <m/>
    <m/>
  </r>
  <r>
    <x v="31"/>
    <d v="2024-02-12T00:00:00"/>
    <x v="0"/>
    <s v="Week5"/>
    <x v="1"/>
    <s v="DRY2300731"/>
    <s v="New Zealand"/>
    <s v="CPFNW"/>
    <s v="Lim Brothers"/>
    <s v="Wonton ND+V"/>
    <s v="Cooked Wonton"/>
    <s v="Cooked Wonton ND No Egg with Pumpkin_x000a_+ Yu Choy "/>
    <s v="082SJN736005P00001"/>
    <s v="308g*6c*6in"/>
    <n v="36"/>
    <n v="5"/>
    <n v="7.4999999999999997E-3"/>
    <x v="5"/>
    <s v="Salt"/>
    <s v="Regular"/>
    <n v="550"/>
    <n v="550"/>
    <m/>
    <n v="0"/>
    <n v="0"/>
    <m/>
    <m/>
    <m/>
    <m/>
    <m/>
    <m/>
  </r>
  <r>
    <x v="31"/>
    <d v="2024-02-05T00:00:00"/>
    <x v="0"/>
    <s v="Week5"/>
    <x v="1"/>
    <s v="DRY2300730"/>
    <s v="New Zealand"/>
    <s v="CPFNW"/>
    <s v="Lim Brothers"/>
    <s v="Wonton ND+V+TY"/>
    <s v="Cooked Wonton"/>
    <s v="Cooked Wonton ND No Egg with Pumpkin _x000a_+ Vegetable 5 pcs tomyam"/>
    <s v="082SJN724005P00001"/>
    <s v="307g*4c*6in"/>
    <n v="24"/>
    <n v="5"/>
    <n v="7.4999999999999997E-3"/>
    <x v="1"/>
    <s v="Salt"/>
    <s v="TYEX+CO"/>
    <n v="390"/>
    <n v="390"/>
    <m/>
    <n v="0"/>
    <n v="0"/>
    <m/>
    <m/>
    <m/>
    <s v="กัก 250"/>
    <m/>
    <m/>
  </r>
  <r>
    <x v="31"/>
    <d v="2024-02-12T00:00:00"/>
    <x v="0"/>
    <s v="Week5"/>
    <x v="1"/>
    <s v="DRY2300731"/>
    <s v="New Zealand"/>
    <s v="CPFNW"/>
    <s v="Lim Brothers"/>
    <s v="Wonton ND+V+TY"/>
    <s v="Cooked Wonton"/>
    <s v="Cooked Wonton ND No Egg with Pumpkin _x000a_+ Vegetable 5 pcs tomyam"/>
    <s v="082SJN724005P00001"/>
    <s v="307g*4c*6in"/>
    <n v="24"/>
    <n v="5"/>
    <n v="7.4999999999999997E-3"/>
    <x v="1"/>
    <s v="Salt"/>
    <s v="TYEX+CO"/>
    <n v="250"/>
    <n v="247"/>
    <n v="3"/>
    <n v="0"/>
    <n v="0"/>
    <m/>
    <m/>
    <m/>
    <s v="กัก 250"/>
    <m/>
    <m/>
  </r>
  <r>
    <x v="31"/>
    <d v="2024-02-20T00:00:00"/>
    <x v="0"/>
    <s v="Week5"/>
    <x v="1"/>
    <s v="DRY2300668"/>
    <s v="UK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+CO"/>
    <n v="924"/>
    <n v="924"/>
    <m/>
    <n v="0"/>
    <n v="0"/>
    <m/>
    <m/>
    <m/>
    <s v="กัก 275"/>
    <m/>
    <m/>
  </r>
  <r>
    <x v="31"/>
    <d v="2024-02-09T00:00:00"/>
    <x v="0"/>
    <s v="Week5"/>
    <x v="1"/>
    <s v="DRY2300579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611"/>
    <n v="611"/>
    <m/>
    <n v="0"/>
    <n v="0"/>
    <n v="0"/>
    <n v="2"/>
    <n v="0"/>
    <s v="กัก 244"/>
    <m/>
    <m/>
  </r>
  <r>
    <x v="32"/>
    <d v="2024-02-12T00:00:00"/>
    <x v="0"/>
    <s v="Week5"/>
    <x v="1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5524"/>
    <n v="5524"/>
    <m/>
    <n v="0"/>
    <n v="0"/>
    <m/>
    <m/>
    <m/>
    <m/>
    <m/>
    <m/>
  </r>
  <r>
    <x v="32"/>
    <d v="2024-02-09T00:00:00"/>
    <x v="0"/>
    <s v="Week5"/>
    <x v="1"/>
    <s v="DRY2300682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22"/>
    <n v="622"/>
    <m/>
    <n v="0"/>
    <n v="0"/>
    <n v="0"/>
    <n v="6"/>
    <n v="0"/>
    <m/>
    <m/>
    <m/>
  </r>
  <r>
    <x v="33"/>
    <d v="2024-02-15T00:00:00"/>
    <x v="0"/>
    <s v="Week5"/>
    <x v="1"/>
    <s v="DRY2300742"/>
    <s v="New Zealand"/>
    <s v="CPFNW"/>
    <s v="Lim Brothers"/>
    <s v="Minced ND+Kee Mao"/>
    <s v="Cooked Wonton"/>
    <s v="Cooked Minced Wonton Thai Spicy Noodles (Kee Mao Noodles)"/>
    <s v="082SRN708003P02001"/>
    <s v="219g*8"/>
    <n v="8"/>
    <n v="3"/>
    <n v="6.0000000000000001E-3"/>
    <x v="4"/>
    <s v="Salt"/>
    <s v="Kee Mao 50G."/>
    <n v="250"/>
    <n v="250"/>
    <m/>
    <n v="0"/>
    <n v="0"/>
    <m/>
    <m/>
    <m/>
    <s v="NEWPACKAGE"/>
    <m/>
    <m/>
  </r>
  <r>
    <x v="33"/>
    <d v="2024-02-22T00:00:00"/>
    <x v="0"/>
    <s v="Week5"/>
    <x v="1"/>
    <s v="DRY2400001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s v="กัก213"/>
    <m/>
    <m/>
  </r>
  <r>
    <x v="33"/>
    <d v="2024-02-22T00:00:00"/>
    <x v="0"/>
    <s v="Week5"/>
    <x v="1"/>
    <s v="DRY2400002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33"/>
    <d v="2024-02-29T00:00:00"/>
    <x v="0"/>
    <s v="Week5"/>
    <x v="1"/>
    <s v="DRY2400003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33"/>
    <d v="2024-02-29T00:00:00"/>
    <x v="0"/>
    <s v="Week5"/>
    <x v="1"/>
    <s v="DRY2400004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33"/>
    <d v="2024-03-07T00:00:00"/>
    <x v="0"/>
    <s v="Week5"/>
    <x v="1"/>
    <s v="DRY2400005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33"/>
    <d v="2024-02-09T00:00:00"/>
    <x v="0"/>
    <s v="Week5"/>
    <x v="1"/>
    <s v="DRY2300682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46"/>
    <n v="646"/>
    <m/>
    <n v="0"/>
    <n v="0"/>
    <n v="0"/>
    <n v="6"/>
    <n v="0"/>
    <m/>
    <m/>
    <m/>
  </r>
  <r>
    <x v="34"/>
    <m/>
    <x v="0"/>
    <s v="Week5"/>
    <x v="1"/>
    <m/>
    <m/>
    <m/>
    <m/>
    <m/>
    <m/>
    <m/>
    <m/>
    <m/>
    <m/>
    <m/>
    <m/>
    <x v="0"/>
    <m/>
    <m/>
    <m/>
    <m/>
    <m/>
    <m/>
    <m/>
    <m/>
    <m/>
    <m/>
    <m/>
    <m/>
    <m/>
  </r>
  <r>
    <x v="35"/>
    <d v="2024-02-13T00:00:00"/>
    <x v="0"/>
    <s v="Week6"/>
    <x v="1"/>
    <s v="DRY2300725"/>
    <s v="USA"/>
    <s v="CPFNW"/>
    <s v="Bellisio Foods, Inc."/>
    <s v="C-WT in tray no egg"/>
    <s v="Cooked Wonton"/>
    <s v="COOKED WONTON 6 pcs."/>
    <s v="082S8BW08012P00001"/>
    <s v="117*2tray*8in"/>
    <n v="16"/>
    <n v="6"/>
    <n v="8.1300000000000001E-3"/>
    <x v="1"/>
    <s v="Salt"/>
    <s v=" Sesame 15g"/>
    <n v="600"/>
    <n v="600"/>
    <m/>
    <n v="0"/>
    <n v="0"/>
    <m/>
    <n v="1"/>
    <n v="9600"/>
    <s v="cap 3000 tray/hr."/>
    <m/>
    <m/>
  </r>
  <r>
    <x v="35"/>
    <d v="2024-02-13T00:00:00"/>
    <x v="0"/>
    <s v="Week6"/>
    <x v="1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4127"/>
    <n v="4127"/>
    <m/>
    <n v="0"/>
    <n v="0"/>
    <m/>
    <m/>
    <m/>
    <s v="NEWPACKAGE"/>
    <m/>
    <m/>
  </r>
  <r>
    <x v="35"/>
    <d v="2024-02-23T00:00:00"/>
    <x v="0"/>
    <s v="Week6"/>
    <x v="1"/>
    <s v="DRY2300783"/>
    <s v="Belgium"/>
    <s v="CPFNW"/>
    <s v="CPF EUROPE S.A."/>
    <s v="Wonton +V"/>
    <s v="Cooked Wonton"/>
    <s v="Cooked Wonton  No Egg _x000a_+ Vegetable  HC  4 pcs"/>
    <s v="082S83I08004P00001"/>
    <s v="145g*8"/>
    <n v="8"/>
    <n v="4"/>
    <n v="7.4999999999999997E-3"/>
    <x v="5"/>
    <s v="Salt"/>
    <s v="Regular"/>
    <n v="1100"/>
    <m/>
    <n v="1103.125"/>
    <n v="3.125"/>
    <n v="0"/>
    <m/>
    <m/>
    <m/>
    <n v="4923"/>
    <m/>
    <m/>
  </r>
  <r>
    <x v="35"/>
    <d v="2024-02-09T00:00:00"/>
    <x v="0"/>
    <s v="Week6"/>
    <x v="1"/>
    <s v="DRY2300682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31"/>
    <n v="631"/>
    <m/>
    <n v="0"/>
    <n v="0"/>
    <n v="0"/>
    <n v="6"/>
    <n v="0"/>
    <m/>
    <m/>
    <m/>
  </r>
  <r>
    <x v="36"/>
    <d v="2024-02-20T00:00:00"/>
    <x v="0"/>
    <s v="Week6"/>
    <x v="1"/>
    <s v="DRY2300726"/>
    <s v="USA"/>
    <s v="CPFNW"/>
    <s v="Bellisio Foods, Inc."/>
    <s v="C-WT in tray no egg"/>
    <s v="Cooked Wonton"/>
    <s v="COOKED WONTON 6 pcs."/>
    <s v="082S8BW08012P00001"/>
    <s v="117*2tray*8in"/>
    <n v="16"/>
    <n v="6"/>
    <n v="8.1300000000000001E-3"/>
    <x v="1"/>
    <s v="Salt"/>
    <s v=" Sesame 15g"/>
    <n v="650"/>
    <n v="650"/>
    <m/>
    <n v="0"/>
    <n v="0"/>
    <m/>
    <n v="1"/>
    <n v="10400"/>
    <s v="cap 3000 tray/hr."/>
    <m/>
    <m/>
  </r>
  <r>
    <x v="36"/>
    <d v="2024-02-09T00:00:00"/>
    <x v="0"/>
    <s v="Week6"/>
    <x v="1"/>
    <s v="KL2400005"/>
    <s v="China"/>
    <s v="China"/>
    <s v="Charoen Pokphand Import&amp;Export Trading (Shanghai) Co., Ltd"/>
    <s v="Wonton ND+V"/>
    <s v="Cooked Wonton"/>
    <s v="Cooked Wonton ND No Egg with Pumpkin _x000a_+ Vegetable 5 pcs tomyam"/>
    <s v="082SJ5J36005P00001"/>
    <s v="308g*6c*6in"/>
    <n v="36"/>
    <n v="5"/>
    <n v="7.4999999999999997E-3"/>
    <x v="5"/>
    <s v="Salt"/>
    <s v="Y3"/>
    <n v="792"/>
    <n v="792"/>
    <m/>
    <n v="0"/>
    <n v="0"/>
    <m/>
    <m/>
    <m/>
    <s v="INNERเก่า / กล่องใหม่ เหลือง"/>
    <m/>
    <m/>
  </r>
  <r>
    <x v="36"/>
    <d v="2024-02-13T00:00:00"/>
    <x v="0"/>
    <s v="Week6"/>
    <x v="1"/>
    <s v="DRY230064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90"/>
    <n v="290"/>
    <m/>
    <n v="0"/>
    <n v="0"/>
    <m/>
    <m/>
    <m/>
    <m/>
    <m/>
    <m/>
  </r>
  <r>
    <x v="36"/>
    <d v="2024-02-13T00:00:00"/>
    <x v="0"/>
    <s v="Week6"/>
    <x v="1"/>
    <s v="DRY230063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6"/>
    <d v="2024-02-14T00:00:00"/>
    <x v="0"/>
    <s v="Week6"/>
    <x v="1"/>
    <s v="DRY230065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6"/>
    <d v="2024-02-15T00:00:00"/>
    <x v="0"/>
    <s v="Week6"/>
    <x v="1"/>
    <s v="DRY230064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09"/>
    <n v="709"/>
    <m/>
    <n v="0"/>
    <n v="0"/>
    <m/>
    <m/>
    <m/>
    <m/>
    <m/>
    <m/>
  </r>
  <r>
    <x v="36"/>
    <d v="2024-02-09T00:00:00"/>
    <x v="0"/>
    <s v="Week6"/>
    <x v="1"/>
    <s v="DRY2300682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157"/>
    <n v="157"/>
    <m/>
    <n v="0"/>
    <n v="0"/>
    <n v="0"/>
    <n v="6"/>
    <n v="0"/>
    <m/>
    <m/>
    <m/>
  </r>
  <r>
    <x v="36"/>
    <d v="2024-02-13T00:00:00"/>
    <x v="0"/>
    <s v="Week6"/>
    <x v="1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850"/>
    <n v="850"/>
    <m/>
    <n v="0"/>
    <n v="0"/>
    <n v="0"/>
    <m/>
    <n v="0"/>
    <m/>
    <m/>
    <m/>
  </r>
  <r>
    <x v="37"/>
    <d v="2024-02-26T00:00:00"/>
    <x v="0"/>
    <s v="Week6"/>
    <x v="1"/>
    <s v="DRY2300743"/>
    <s v="USA"/>
    <s v="CPFNW"/>
    <s v="Bellisio Foods, Inc."/>
    <s v="C-WT in tray no egg"/>
    <s v="Cooked Wonton"/>
    <s v="COOKED WONTON 6 pcs."/>
    <s v="082S8BW08012P00001"/>
    <s v="117*2tray*8in"/>
    <n v="16"/>
    <n v="6"/>
    <n v="8.1300000000000001E-3"/>
    <x v="1"/>
    <s v="Salt"/>
    <s v=" Sesame 15g"/>
    <n v="650"/>
    <n v="645"/>
    <n v="5.25"/>
    <n v="0.25"/>
    <n v="0"/>
    <m/>
    <n v="1"/>
    <n v="10400"/>
    <s v="cap 3000 tray/hr."/>
    <m/>
    <m/>
  </r>
  <r>
    <x v="37"/>
    <d v="2024-02-15T00:00:00"/>
    <x v="0"/>
    <s v="Week6"/>
    <x v="1"/>
    <s v="DRY230064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83"/>
    <n v="83"/>
    <m/>
    <n v="0"/>
    <n v="0"/>
    <m/>
    <m/>
    <m/>
    <m/>
    <m/>
    <m/>
  </r>
  <r>
    <x v="37"/>
    <d v="2024-02-15T00:00:00"/>
    <x v="0"/>
    <s v="Week6"/>
    <x v="1"/>
    <s v="DRY230064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7"/>
    <d v="2024-02-15T00:00:00"/>
    <x v="0"/>
    <s v="Week6"/>
    <x v="1"/>
    <s v="DRY230065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7"/>
    <d v="2024-02-16T00:00:00"/>
    <x v="0"/>
    <s v="Week6"/>
    <x v="1"/>
    <s v="DRY230065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7"/>
    <d v="2024-02-16T00:00:00"/>
    <x v="0"/>
    <s v="Week6"/>
    <x v="1"/>
    <s v="DRY230063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21"/>
    <n v="321"/>
    <m/>
    <n v="0"/>
    <n v="0"/>
    <m/>
    <m/>
    <m/>
    <m/>
    <m/>
    <m/>
  </r>
  <r>
    <x v="37"/>
    <d v="2024-02-19T00:00:00"/>
    <x v="0"/>
    <s v="Week6"/>
    <x v="1"/>
    <s v="KL2300033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644"/>
    <n v="644"/>
    <m/>
    <n v="0"/>
    <n v="0"/>
    <n v="0"/>
    <n v="6"/>
    <n v="0"/>
    <m/>
    <m/>
    <m/>
  </r>
  <r>
    <x v="38"/>
    <d v="2024-02-17T00:00:00"/>
    <x v="0"/>
    <s v="Week6"/>
    <x v="1"/>
    <s v="DRY2400104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m/>
    <m/>
    <m/>
    <s v="NEWPACKAGE"/>
    <m/>
    <m/>
  </r>
  <r>
    <x v="38"/>
    <d v="2024-02-16T00:00:00"/>
    <x v="0"/>
    <s v="Week6"/>
    <x v="1"/>
    <s v="DRY230063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71"/>
    <n v="471"/>
    <m/>
    <n v="0"/>
    <n v="0"/>
    <m/>
    <m/>
    <m/>
    <m/>
    <m/>
    <m/>
  </r>
  <r>
    <x v="38"/>
    <d v="2024-02-16T00:00:00"/>
    <x v="0"/>
    <s v="Week6"/>
    <x v="1"/>
    <s v="DRY230064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8"/>
    <d v="2024-02-20T00:00:00"/>
    <x v="0"/>
    <s v="Week6"/>
    <x v="1"/>
    <s v="DRY230064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8"/>
    <d v="2024-02-20T00:00:00"/>
    <x v="0"/>
    <s v="Week6"/>
    <x v="1"/>
    <s v="DRY230065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8"/>
    <d v="2024-02-20T00:00:00"/>
    <x v="0"/>
    <s v="Week6"/>
    <x v="1"/>
    <s v="DRY230065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96"/>
    <n v="396"/>
    <m/>
    <n v="0"/>
    <n v="0"/>
    <m/>
    <m/>
    <m/>
    <m/>
    <m/>
    <m/>
  </r>
  <r>
    <x v="38"/>
    <d v="2024-02-19T00:00:00"/>
    <x v="0"/>
    <s v="Week6"/>
    <x v="1"/>
    <s v="KL2300033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631"/>
    <n v="631"/>
    <m/>
    <n v="0"/>
    <n v="0"/>
    <n v="0"/>
    <n v="6"/>
    <n v="0"/>
    <m/>
    <m/>
    <m/>
  </r>
  <r>
    <x v="39"/>
    <d v="2024-02-15T00:00:00"/>
    <x v="0"/>
    <s v="Week6"/>
    <x v="1"/>
    <s v="DRY2300735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s v="NEWPACKAGE"/>
    <m/>
    <m/>
  </r>
  <r>
    <x v="39"/>
    <d v="2024-02-15T00:00:00"/>
    <x v="0"/>
    <s v="Week6"/>
    <x v="1"/>
    <s v="DRY2300744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88"/>
    <m/>
    <n v="0"/>
    <n v="0"/>
    <m/>
    <m/>
    <m/>
    <m/>
    <m/>
    <m/>
  </r>
  <r>
    <x v="39"/>
    <d v="2024-02-15T00:00:00"/>
    <x v="0"/>
    <s v="Week6"/>
    <x v="1"/>
    <s v="DRY2300775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88"/>
    <m/>
    <n v="0"/>
    <n v="0"/>
    <m/>
    <m/>
    <m/>
    <m/>
    <m/>
    <m/>
  </r>
  <r>
    <x v="39"/>
    <d v="2024-02-19T00:00:00"/>
    <x v="0"/>
    <s v="Week6"/>
    <x v="1"/>
    <s v="KL2300033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33"/>
    <n v="133"/>
    <m/>
    <n v="0"/>
    <n v="0"/>
    <n v="0"/>
    <n v="6"/>
    <n v="0"/>
    <m/>
    <m/>
    <m/>
  </r>
  <r>
    <x v="39"/>
    <d v="2024-02-19T00:00:00"/>
    <x v="0"/>
    <s v="Week6"/>
    <x v="1"/>
    <s v="KL2300035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552"/>
    <n v="552"/>
    <m/>
    <n v="0"/>
    <n v="0"/>
    <n v="0"/>
    <n v="6"/>
    <n v="0"/>
    <m/>
    <m/>
    <m/>
  </r>
  <r>
    <x v="40"/>
    <m/>
    <x v="0"/>
    <s v="Week6"/>
    <x v="1"/>
    <m/>
    <m/>
    <m/>
    <m/>
    <m/>
    <m/>
    <m/>
    <m/>
    <m/>
    <m/>
    <m/>
    <m/>
    <x v="0"/>
    <m/>
    <m/>
    <m/>
    <m/>
    <m/>
    <m/>
    <m/>
    <m/>
    <m/>
    <m/>
    <m/>
    <m/>
    <m/>
  </r>
  <r>
    <x v="41"/>
    <m/>
    <x v="0"/>
    <s v="Week6"/>
    <x v="1"/>
    <m/>
    <m/>
    <m/>
    <m/>
    <m/>
    <m/>
    <m/>
    <m/>
    <m/>
    <m/>
    <m/>
    <m/>
    <x v="0"/>
    <m/>
    <m/>
    <m/>
    <m/>
    <m/>
    <m/>
    <m/>
    <m/>
    <m/>
    <m/>
    <m/>
    <m/>
    <m/>
  </r>
  <r>
    <x v="42"/>
    <m/>
    <x v="0"/>
    <s v="Week7"/>
    <x v="1"/>
    <m/>
    <m/>
    <m/>
    <m/>
    <m/>
    <m/>
    <m/>
    <m/>
    <m/>
    <m/>
    <m/>
    <m/>
    <x v="0"/>
    <m/>
    <m/>
    <m/>
    <m/>
    <m/>
    <m/>
    <m/>
    <m/>
    <m/>
    <m/>
    <m/>
    <m/>
    <m/>
  </r>
  <r>
    <x v="43"/>
    <d v="2024-02-26T00:00:00"/>
    <x v="0"/>
    <s v="Week7"/>
    <x v="1"/>
    <s v="DRY2300736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s v="NEWPACKAGE"/>
    <m/>
    <m/>
  </r>
  <r>
    <x v="43"/>
    <d v="2024-02-22T00:00:00"/>
    <x v="0"/>
    <s v="Week7"/>
    <x v="1"/>
    <s v="DRY2300776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88"/>
    <m/>
    <n v="0"/>
    <n v="0"/>
    <m/>
    <m/>
    <m/>
    <m/>
    <m/>
    <m/>
  </r>
  <r>
    <x v="43"/>
    <d v="2024-02-22T00:00:00"/>
    <x v="0"/>
    <s v="Week7"/>
    <x v="1"/>
    <s v="DRY2300777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363"/>
    <n v="1037.5277777777778"/>
    <n v="112.52777777777783"/>
    <n v="0"/>
    <m/>
    <m/>
    <m/>
    <m/>
    <m/>
    <m/>
  </r>
  <r>
    <x v="43"/>
    <d v="2024-02-28T00:00:00"/>
    <x v="0"/>
    <s v="Week7"/>
    <x v="1"/>
    <s v="DRY2300778"/>
    <s v="SG"/>
    <s v="CPFNW"/>
    <s v="CPI SINGAPORE"/>
    <s v="Wonton"/>
    <s v="Cooked Wonton"/>
    <s v="Cooked Wonton No Egg"/>
    <s v="082S83B24005P07001"/>
    <s v="145g*24"/>
    <n v="24"/>
    <n v="5"/>
    <n v="8.0000000000000002E-3"/>
    <x v="1"/>
    <s v="STPP"/>
    <s v="Regular"/>
    <n v="250"/>
    <n v="250"/>
    <m/>
    <n v="0"/>
    <n v="0"/>
    <m/>
    <m/>
    <m/>
    <m/>
    <m/>
    <m/>
  </r>
  <r>
    <x v="43"/>
    <d v="2024-02-19T00:00:00"/>
    <x v="0"/>
    <s v="Week7"/>
    <x v="1"/>
    <s v="KL2300035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673"/>
    <n v="673"/>
    <m/>
    <n v="0"/>
    <n v="0"/>
    <n v="0"/>
    <n v="6"/>
    <n v="0"/>
    <m/>
    <m/>
    <m/>
  </r>
  <r>
    <x v="44"/>
    <m/>
    <x v="0"/>
    <s v="Week7"/>
    <x v="1"/>
    <m/>
    <m/>
    <m/>
    <m/>
    <m/>
    <m/>
    <s v="เครื่องฟรีส 2 เสีย"/>
    <m/>
    <m/>
    <m/>
    <m/>
    <m/>
    <x v="0"/>
    <m/>
    <m/>
    <m/>
    <m/>
    <m/>
    <m/>
    <m/>
    <m/>
    <m/>
    <m/>
    <m/>
    <m/>
    <m/>
  </r>
  <r>
    <x v="44"/>
    <d v="2024-02-19T00:00:00"/>
    <x v="0"/>
    <s v="Week7"/>
    <x v="1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2001"/>
    <n v="2001"/>
    <m/>
    <n v="0"/>
    <n v="0"/>
    <m/>
    <m/>
    <m/>
    <s v="NEWPACKAGE"/>
    <m/>
    <m/>
  </r>
  <r>
    <x v="44"/>
    <d v="2024-02-19T00:00:00"/>
    <x v="0"/>
    <s v="Week7"/>
    <x v="1"/>
    <s v="KL2300035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83"/>
    <n v="183"/>
    <m/>
    <n v="0"/>
    <n v="0"/>
    <n v="0"/>
    <n v="6"/>
    <n v="0"/>
    <m/>
    <m/>
    <m/>
  </r>
  <r>
    <x v="44"/>
    <d v="2024-02-22T00:00:00"/>
    <x v="0"/>
    <s v="Week7"/>
    <x v="1"/>
    <s v="KL2300034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577"/>
    <n v="577"/>
    <m/>
    <n v="0"/>
    <n v="0"/>
    <n v="0"/>
    <n v="6"/>
    <n v="0"/>
    <m/>
    <m/>
    <m/>
  </r>
  <r>
    <x v="45"/>
    <d v="2024-02-17T00:00:00"/>
    <x v="0"/>
    <s v="Week7"/>
    <x v="1"/>
    <s v="KL2400006"/>
    <s v="China"/>
    <s v="China"/>
    <s v="Charoen Pokphand Import&amp;Export Trading (Shanghai) Co., Ltd"/>
    <s v="Wonton ND+V"/>
    <s v="Cooked Wonton"/>
    <s v="Cooked Wonton ND No Egg with Pumpkin _x000a_+ Vegetable 5 pcs tomyam"/>
    <s v="082SJ5J36005P00001"/>
    <s v="308g*6c*6in"/>
    <n v="36"/>
    <n v="5"/>
    <n v="7.4999999999999997E-3"/>
    <x v="5"/>
    <s v="Salt"/>
    <s v="Y3"/>
    <n v="792"/>
    <n v="792"/>
    <m/>
    <n v="0"/>
    <n v="0"/>
    <m/>
    <m/>
    <m/>
    <s v="INNERใหม่ / กล่องใหม่"/>
    <m/>
    <m/>
  </r>
  <r>
    <x v="45"/>
    <d v="2024-02-21T00:00:00"/>
    <x v="0"/>
    <s v="Week7"/>
    <x v="1"/>
    <s v="KL2400007"/>
    <s v="China"/>
    <s v="China"/>
    <s v="Charoen Pokphand Import&amp;Export Trading (Shanghai) Co., Ltd"/>
    <s v="Wonton ND+V"/>
    <s v="Cooked Wonton"/>
    <s v="Cooked Wonton ND No Egg with Pumpkin _x000a_+ Vegetable 5 pcs tomyam"/>
    <s v="082SJ5J36005P00001"/>
    <s v="308g*6c*6in"/>
    <n v="36"/>
    <n v="5"/>
    <n v="7.4999999999999997E-3"/>
    <x v="5"/>
    <s v="Salt"/>
    <s v="Y3"/>
    <n v="792"/>
    <n v="425"/>
    <n v="445.11111111111109"/>
    <n v="78.111111111111086"/>
    <n v="0"/>
    <m/>
    <m/>
    <m/>
    <s v="INNERใหม่ / กล่องใหม่"/>
    <m/>
    <m/>
  </r>
  <r>
    <x v="45"/>
    <d v="2024-02-20T00:00:00"/>
    <x v="0"/>
    <s v="Week7"/>
    <x v="1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4274"/>
    <n v="4274"/>
    <m/>
    <n v="0"/>
    <n v="0"/>
    <m/>
    <m/>
    <m/>
    <m/>
    <m/>
    <m/>
  </r>
  <r>
    <x v="45"/>
    <d v="2024-02-22T00:00:00"/>
    <x v="0"/>
    <s v="Week7"/>
    <x v="1"/>
    <s v="KL2300034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663"/>
    <n v="663"/>
    <m/>
    <n v="0"/>
    <n v="0"/>
    <n v="0"/>
    <n v="6"/>
    <n v="0"/>
    <m/>
    <m/>
    <m/>
  </r>
  <r>
    <x v="46"/>
    <d v="2024-02-23T00:00:00"/>
    <x v="0"/>
    <s v="Week7"/>
    <x v="1"/>
    <s v="DRY230065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96"/>
    <n v="396"/>
    <m/>
    <n v="0"/>
    <n v="0"/>
    <m/>
    <m/>
    <m/>
    <m/>
    <m/>
    <m/>
  </r>
  <r>
    <x v="46"/>
    <d v="2024-02-23T00:00:00"/>
    <x v="0"/>
    <s v="Week7"/>
    <x v="1"/>
    <s v="DRY230063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46"/>
    <d v="2024-02-23T00:00:00"/>
    <x v="0"/>
    <s v="Week7"/>
    <x v="1"/>
    <s v="DRY230063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46"/>
    <d v="2024-02-23T00:00:00"/>
    <x v="0"/>
    <s v="Week7"/>
    <x v="1"/>
    <s v="DRY230065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46"/>
    <d v="2024-02-26T00:00:00"/>
    <x v="0"/>
    <s v="Week7"/>
    <x v="1"/>
    <s v="DRY230064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27"/>
    <n v="127"/>
    <m/>
    <n v="0"/>
    <n v="0"/>
    <m/>
    <m/>
    <m/>
    <m/>
    <m/>
    <m/>
  </r>
  <r>
    <x v="46"/>
    <d v="2024-02-19T00:00:00"/>
    <x v="0"/>
    <s v="Week7"/>
    <x v="1"/>
    <s v="ขายภายใน"/>
    <s v=".7-11"/>
    <s v="CPFGS"/>
    <s v="ซีพีเอฟ เทรดดิ้ง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1805"/>
    <n v="1805"/>
    <m/>
    <n v="0"/>
    <n v="0"/>
    <m/>
    <m/>
    <m/>
    <m/>
    <m/>
    <m/>
  </r>
  <r>
    <x v="46"/>
    <d v="2024-02-22T00:00:00"/>
    <x v="0"/>
    <s v="Week7"/>
    <x v="1"/>
    <s v="KL2300034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68"/>
    <n v="168"/>
    <m/>
    <n v="0"/>
    <n v="0"/>
    <n v="0"/>
    <n v="6"/>
    <n v="0"/>
    <m/>
    <m/>
    <m/>
  </r>
  <r>
    <x v="46"/>
    <d v="2024-02-23T00:00:00"/>
    <x v="0"/>
    <s v="Week7"/>
    <x v="1"/>
    <s v="KL2300036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490"/>
    <n v="490"/>
    <m/>
    <n v="0"/>
    <n v="0"/>
    <n v="0"/>
    <n v="6"/>
    <n v="0"/>
    <m/>
    <m/>
    <m/>
  </r>
  <r>
    <x v="47"/>
    <d v="2024-02-28T00:00:00"/>
    <x v="0"/>
    <s v="Week7"/>
    <x v="1"/>
    <s v="DRY2300780"/>
    <s v="SG"/>
    <s v="CPFNW"/>
    <s v="CPI SINGAPORE"/>
    <s v="Wonton ND+V"/>
    <s v="Cooked Wonton"/>
    <s v="Cooked Wonton ND No Egg with Pumpkin _x000a_+ Vegetable  HC  3 pcs"/>
    <s v="082SJ3B24003P02001"/>
    <s v="219g*24"/>
    <n v="24"/>
    <n v="3"/>
    <n v="7.4999999999999997E-3"/>
    <x v="5"/>
    <s v="STPP"/>
    <s v="ซุปซอง 10g."/>
    <n v="300"/>
    <n v="300"/>
    <m/>
    <n v="0"/>
    <n v="0"/>
    <m/>
    <m/>
    <m/>
    <m/>
    <m/>
    <m/>
  </r>
  <r>
    <x v="47"/>
    <d v="2024-02-26T00:00:00"/>
    <x v="0"/>
    <s v="Week7"/>
    <x v="1"/>
    <s v="DRY230064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65"/>
    <n v="665"/>
    <m/>
    <n v="0"/>
    <n v="0"/>
    <m/>
    <m/>
    <m/>
    <m/>
    <m/>
    <m/>
  </r>
  <r>
    <x v="47"/>
    <d v="2024-02-26T00:00:00"/>
    <x v="0"/>
    <s v="Week7"/>
    <x v="1"/>
    <s v="DRY230064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47"/>
    <d v="2024-02-26T00:00:00"/>
    <x v="0"/>
    <s v="Week7"/>
    <x v="1"/>
    <s v="DRY230065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47"/>
    <d v="2024-02-26T00:00:00"/>
    <x v="0"/>
    <s v="Week7"/>
    <x v="1"/>
    <s v="DRY230065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89"/>
    <n v="289"/>
    <m/>
    <n v="0"/>
    <n v="0"/>
    <m/>
    <m/>
    <m/>
    <m/>
    <m/>
    <m/>
  </r>
  <r>
    <x v="47"/>
    <d v="2024-02-23T00:00:00"/>
    <x v="0"/>
    <s v="Week7"/>
    <x v="1"/>
    <s v="KL2300036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719"/>
    <n v="719"/>
    <m/>
    <n v="0"/>
    <n v="0"/>
    <n v="0"/>
    <n v="6"/>
    <n v="0"/>
    <m/>
    <m/>
    <m/>
  </r>
  <r>
    <x v="48"/>
    <m/>
    <x v="0"/>
    <s v="Week7"/>
    <x v="1"/>
    <m/>
    <m/>
    <m/>
    <m/>
    <m/>
    <m/>
    <m/>
    <m/>
    <m/>
    <m/>
    <m/>
    <m/>
    <x v="0"/>
    <m/>
    <m/>
    <m/>
    <m/>
    <m/>
    <m/>
    <m/>
    <m/>
    <m/>
    <m/>
    <m/>
    <m/>
    <m/>
  </r>
  <r>
    <x v="49"/>
    <d v="2024-02-26T00:00:00"/>
    <x v="0"/>
    <s v="Week8"/>
    <x v="1"/>
    <s v="DRY230065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03"/>
    <n v="503"/>
    <m/>
    <n v="0"/>
    <n v="0"/>
    <m/>
    <m/>
    <m/>
    <m/>
    <m/>
    <m/>
  </r>
  <r>
    <x v="49"/>
    <d v="2024-02-26T00:00:00"/>
    <x v="0"/>
    <s v="Week8"/>
    <x v="1"/>
    <s v="DRY230071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49"/>
    <d v="2024-02-26T00:00:00"/>
    <x v="0"/>
    <s v="Week8"/>
    <x v="1"/>
    <s v="DRY230071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49"/>
    <d v="2024-03-01T00:00:00"/>
    <x v="0"/>
    <s v="Week8"/>
    <x v="1"/>
    <s v="DRY230071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49"/>
    <d v="2024-03-01T00:00:00"/>
    <x v="0"/>
    <s v="Week8"/>
    <x v="1"/>
    <s v="DRY230071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72"/>
    <n v="772"/>
    <m/>
    <n v="0"/>
    <n v="0"/>
    <m/>
    <m/>
    <m/>
    <m/>
    <m/>
    <m/>
  </r>
  <r>
    <x v="49"/>
    <d v="2024-02-23T00:00:00"/>
    <x v="0"/>
    <s v="Week8"/>
    <x v="1"/>
    <s v="KL2300036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99"/>
    <n v="199"/>
    <m/>
    <n v="0"/>
    <n v="0"/>
    <n v="0"/>
    <n v="6"/>
    <n v="0"/>
    <m/>
    <m/>
    <m/>
  </r>
  <r>
    <x v="49"/>
    <m/>
    <x v="0"/>
    <s v="Week8"/>
    <x v="1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511"/>
    <n v="385"/>
    <n v="126"/>
    <n v="0"/>
    <n v="0"/>
    <n v="0"/>
    <m/>
    <n v="0"/>
    <m/>
    <m/>
    <m/>
  </r>
  <r>
    <x v="49"/>
    <d v="2024-02-28T00:00:00"/>
    <x v="0"/>
    <s v="Week8"/>
    <x v="1"/>
    <s v="DRY2300781"/>
    <s v="SG"/>
    <s v="CPFNW"/>
    <s v="CPI SINGAPORE"/>
    <s v="R-Wonton  (Fried Sheet)"/>
    <s v="Raw Wonton"/>
    <s v="Raw Wonton 50 pcs (Fried Sheet)"/>
    <s v="082I93B10050P04001"/>
    <s v="600g*10inner"/>
    <n v="10"/>
    <n v="50"/>
    <n v="6.8100000000000001E-3"/>
    <x v="3"/>
    <s v="STPP"/>
    <m/>
    <n v="200"/>
    <n v="200"/>
    <m/>
    <n v="0"/>
    <n v="0"/>
    <n v="0"/>
    <m/>
    <n v="0"/>
    <m/>
    <m/>
    <m/>
  </r>
  <r>
    <x v="50"/>
    <d v="2024-02-26T00:00:00"/>
    <x v="0"/>
    <s v="Week8"/>
    <x v="1"/>
    <s v="DRY2300743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70.25"/>
    <m/>
    <n v="70.25"/>
    <n v="0"/>
    <n v="0"/>
    <m/>
    <m/>
    <m/>
    <m/>
    <m/>
    <m/>
  </r>
  <r>
    <x v="50"/>
    <d v="2024-03-05T00:00:00"/>
    <x v="0"/>
    <s v="Week8"/>
    <x v="1"/>
    <s v="DRY2400006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1400"/>
    <m/>
    <n v="1400"/>
    <n v="0"/>
    <n v="0"/>
    <m/>
    <m/>
    <m/>
    <m/>
    <m/>
    <m/>
  </r>
  <r>
    <x v="50"/>
    <d v="2024-03-12T00:00:00"/>
    <x v="0"/>
    <s v="Week8"/>
    <x v="1"/>
    <s v="DRY2400008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700"/>
    <m/>
    <n v="700"/>
    <n v="0"/>
    <n v="0"/>
    <m/>
    <m/>
    <m/>
    <m/>
    <m/>
    <m/>
  </r>
  <r>
    <x v="50"/>
    <d v="2024-03-05T00:00:00"/>
    <x v="0"/>
    <s v="Week8"/>
    <x v="1"/>
    <s v="DRY2300782"/>
    <s v="Malay"/>
    <s v="CPFNW"/>
    <s v="CPM Malaysia"/>
    <s v="Wonton"/>
    <s v="Cooked Wonton"/>
    <s v="Cooked Wonton No Egg  "/>
    <s v="082S85I24005P01001"/>
    <s v="145g*24"/>
    <n v="24"/>
    <n v="5"/>
    <n v="8.0000000000000002E-3"/>
    <x v="1"/>
    <s v="STPP"/>
    <s v="Regular"/>
    <n v="900"/>
    <n v="900"/>
    <m/>
    <n v="0"/>
    <n v="0"/>
    <m/>
    <m/>
    <m/>
    <n v="30000"/>
    <m/>
    <m/>
  </r>
  <r>
    <x v="50"/>
    <d v="2024-03-05T00:00:00"/>
    <x v="0"/>
    <s v="Week8"/>
    <x v="1"/>
    <s v="DRY2300782"/>
    <s v="Malay"/>
    <s v="CPFNW"/>
    <s v="CPM Malaysia"/>
    <s v="Wonton TY"/>
    <s v="Cooked Wonton"/>
    <s v="Cooked Wonton No Egg  TY"/>
    <s v="082S85I24005P02001"/>
    <s v="115g*24"/>
    <n v="24"/>
    <n v="5"/>
    <n v="8.0000000000000002E-3"/>
    <x v="1"/>
    <s v="STPP"/>
    <s v="TYTB3C 30G"/>
    <n v="800"/>
    <n v="800"/>
    <m/>
    <n v="0"/>
    <n v="0"/>
    <m/>
    <n v="1"/>
    <n v="0"/>
    <m/>
    <m/>
    <m/>
  </r>
  <r>
    <x v="50"/>
    <d v="2024-02-28T00:00:00"/>
    <x v="0"/>
    <s v="Week8"/>
    <x v="1"/>
    <s v="DRY2300779"/>
    <s v="SG"/>
    <s v="CPFNW"/>
    <s v="CPI SINGAPORE"/>
    <s v="Wonton TY"/>
    <s v="Cooked Wonton"/>
    <s v="Cooked Wonton No Egg"/>
    <s v="082S83B24005P06001"/>
    <s v="115g*24"/>
    <n v="24"/>
    <n v="5"/>
    <n v="8.0000000000000002E-3"/>
    <x v="1"/>
    <s v="STPP"/>
    <s v="TYTB3C 30G"/>
    <n v="250"/>
    <n v="250"/>
    <m/>
    <n v="0"/>
    <n v="0"/>
    <m/>
    <n v="1"/>
    <n v="0"/>
    <m/>
    <m/>
    <m/>
  </r>
  <r>
    <x v="50"/>
    <d v="2024-02-26T00:00:00"/>
    <x v="0"/>
    <s v="Week8"/>
    <x v="1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2447"/>
    <n v="2447"/>
    <m/>
    <n v="0"/>
    <n v="0"/>
    <m/>
    <m/>
    <m/>
    <s v="NEWPACKAGE"/>
    <m/>
    <m/>
  </r>
  <r>
    <x v="50"/>
    <d v="2024-03-12T00:00:00"/>
    <x v="0"/>
    <s v="Week8"/>
    <x v="1"/>
    <s v="DRY2400105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1641.0833333333333"/>
    <m/>
    <n v="1641.0833333333333"/>
    <n v="0"/>
    <n v="0"/>
    <m/>
    <m/>
    <m/>
    <s v="NEWPACKAGE"/>
    <m/>
    <m/>
  </r>
  <r>
    <x v="50"/>
    <d v="2024-03-05T00:00:00"/>
    <x v="0"/>
    <s v="Week8"/>
    <x v="1"/>
    <s v="DRY2300782"/>
    <s v="Malay"/>
    <s v="CPFNW"/>
    <s v="CPM Malaysia"/>
    <s v="R-Wonton egg past"/>
    <s v="Raw Wonton"/>
    <s v="Raw Wonton 12 pcs"/>
    <s v="082I95I20012P02001"/>
    <s v="154g*20inner"/>
    <n v="20"/>
    <n v="12"/>
    <n v="6.8100000000000001E-3"/>
    <x v="3"/>
    <s v="STPP"/>
    <s v="ซุปซอง 5g."/>
    <n v="400"/>
    <n v="400"/>
    <m/>
    <n v="0"/>
    <n v="0"/>
    <n v="0"/>
    <n v="2"/>
    <n v="0"/>
    <s v="NEWPACKAGE"/>
    <m/>
    <m/>
  </r>
  <r>
    <x v="50"/>
    <d v="2024-03-05T00:00:00"/>
    <x v="0"/>
    <s v="Week8"/>
    <x v="1"/>
    <s v="DRY2300683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485"/>
    <n v="485"/>
    <m/>
    <n v="0"/>
    <n v="0"/>
    <n v="0"/>
    <n v="2"/>
    <n v="0"/>
    <m/>
    <m/>
    <m/>
  </r>
  <r>
    <x v="51"/>
    <d v="2024-03-12T00:00:00"/>
    <x v="0"/>
    <s v="Week8"/>
    <x v="1"/>
    <s v="DRY2400105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958.91666666666663"/>
    <m/>
    <n v="958.91666666666663"/>
    <n v="0"/>
    <n v="0"/>
    <m/>
    <m/>
    <m/>
    <s v="NEWPACKAGE"/>
    <m/>
    <m/>
  </r>
  <r>
    <x v="51"/>
    <d v="2024-02-26T00:00:00"/>
    <x v="0"/>
    <s v="Week8"/>
    <x v="1"/>
    <s v="DRY2300743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34"/>
    <m/>
    <n v="34"/>
    <n v="0"/>
    <n v="0"/>
    <m/>
    <m/>
    <m/>
    <s v="กัก 999+315สำรอง"/>
    <m/>
    <m/>
  </r>
  <r>
    <x v="51"/>
    <d v="2024-03-05T00:00:00"/>
    <x v="0"/>
    <s v="Week8"/>
    <x v="1"/>
    <s v="DRY2400006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2400"/>
    <m/>
    <n v="2400"/>
    <n v="0"/>
    <n v="0"/>
    <m/>
    <m/>
    <m/>
    <m/>
    <m/>
    <m/>
  </r>
  <r>
    <x v="51"/>
    <d v="2024-03-12T00:00:00"/>
    <x v="0"/>
    <s v="Week8"/>
    <x v="1"/>
    <s v="DRY2400008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2400"/>
    <m/>
    <n v="2400"/>
    <n v="0"/>
    <n v="0"/>
    <m/>
    <m/>
    <m/>
    <m/>
    <m/>
    <m/>
  </r>
  <r>
    <x v="51"/>
    <d v="2024-03-01T00:00:00"/>
    <x v="0"/>
    <s v="Week8"/>
    <x v="1"/>
    <s v="DRY230071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0"/>
    <n v="20"/>
    <m/>
    <n v="0"/>
    <n v="0"/>
    <m/>
    <m/>
    <m/>
    <m/>
    <m/>
    <m/>
  </r>
  <r>
    <x v="51"/>
    <d v="2024-03-01T00:00:00"/>
    <x v="0"/>
    <s v="Week8"/>
    <x v="1"/>
    <s v="DRY230071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51"/>
    <d v="2024-03-02T00:00:00"/>
    <x v="0"/>
    <s v="Week8"/>
    <x v="1"/>
    <s v="DRY230071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51"/>
    <d v="2024-03-02T00:00:00"/>
    <x v="0"/>
    <s v="Week8"/>
    <x v="1"/>
    <s v="DRY230071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34"/>
    <n v="534"/>
    <m/>
    <n v="0"/>
    <n v="0"/>
    <m/>
    <m/>
    <m/>
    <m/>
    <m/>
    <m/>
  </r>
  <r>
    <x v="51"/>
    <d v="2024-03-05T00:00:00"/>
    <x v="0"/>
    <s v="Week8"/>
    <x v="1"/>
    <s v="DRY2300683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626"/>
    <n v="626"/>
    <m/>
    <n v="0"/>
    <n v="0"/>
    <n v="0"/>
    <n v="2"/>
    <n v="0"/>
    <m/>
    <m/>
    <m/>
  </r>
  <r>
    <x v="52"/>
    <d v="2024-03-01T00:00:00"/>
    <x v="0"/>
    <s v="Week8"/>
    <x v="1"/>
    <s v="ขายภายใน"/>
    <s v="MTFS"/>
    <s v="CPFGS"/>
    <s v="ซีพีเอฟ เทรดดิ้ง"/>
    <s v="E+Wonton"/>
    <s v="Cooked Wonton"/>
    <s v="Cooked Wonton  with egg V-Food"/>
    <s v="082S83Q12005P05000"/>
    <s v="145g*12"/>
    <n v="12"/>
    <n v="5"/>
    <n v="8.0000000000000002E-3"/>
    <x v="1"/>
    <s v="STPP"/>
    <s v="Regular"/>
    <n v="12"/>
    <n v="12"/>
    <m/>
    <n v="0"/>
    <n v="0"/>
    <m/>
    <m/>
    <m/>
    <m/>
    <m/>
    <m/>
  </r>
  <r>
    <x v="52"/>
    <d v="2024-02-28T00:00:00"/>
    <x v="0"/>
    <s v="Week8"/>
    <x v="1"/>
    <s v="ขายภายใน"/>
    <s v="MTFS"/>
    <s v="CPFGS"/>
    <s v="ซีพีเอฟ เทรดดิ้ง"/>
    <s v="E+Wonton"/>
    <s v="Cooked Wonton"/>
    <s v="Cooked Wonton  with egg V-Food"/>
    <s v="082S83Q12005P05001"/>
    <s v="145g*12"/>
    <n v="12"/>
    <n v="5"/>
    <n v="8.0000000000000002E-3"/>
    <x v="1"/>
    <s v="STPP"/>
    <s v="Regular"/>
    <n v="1068"/>
    <n v="1068"/>
    <m/>
    <n v="0"/>
    <n v="0"/>
    <m/>
    <m/>
    <m/>
    <m/>
    <m/>
    <m/>
  </r>
  <r>
    <x v="52"/>
    <d v="2024-02-27T00:00:00"/>
    <x v="0"/>
    <s v="Week8"/>
    <x v="1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1494"/>
    <n v="1494"/>
    <m/>
    <n v="0"/>
    <n v="0"/>
    <m/>
    <m/>
    <m/>
    <m/>
    <m/>
    <m/>
  </r>
  <r>
    <x v="52"/>
    <d v="2024-03-01T00:00:00"/>
    <x v="0"/>
    <s v="Week8"/>
    <x v="1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1328"/>
    <n v="1328"/>
    <m/>
    <n v="0"/>
    <n v="0"/>
    <m/>
    <m/>
    <m/>
    <m/>
    <m/>
    <m/>
  </r>
  <r>
    <x v="52"/>
    <d v="2024-03-01T00:00:00"/>
    <x v="0"/>
    <s v="Week8"/>
    <x v="1"/>
    <s v="ขายภายใน"/>
    <s v="MTFS"/>
    <s v="CPFGS"/>
    <s v="ซีพีเอฟ เทรดดิ้ง"/>
    <s v="E+Wonton TY"/>
    <s v="Cooked Wonton"/>
    <s v="Cooked Wonton Tomyum with egg.V-Food TY"/>
    <s v="082S83Q12005P04001"/>
    <s v="115g*12"/>
    <n v="12"/>
    <n v="5"/>
    <n v="8.0000000000000002E-3"/>
    <x v="1"/>
    <s v="STPP"/>
    <s v="TYTB3C 30G"/>
    <n v="466"/>
    <n v="466"/>
    <m/>
    <n v="0"/>
    <n v="0"/>
    <m/>
    <n v="1"/>
    <n v="0"/>
    <m/>
    <m/>
    <m/>
  </r>
  <r>
    <x v="52"/>
    <d v="2024-02-28T00:00:00"/>
    <x v="0"/>
    <s v="Week8"/>
    <x v="1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553"/>
    <n v="488"/>
    <n v="65"/>
    <n v="0"/>
    <n v="0"/>
    <m/>
    <n v="1"/>
    <n v="0"/>
    <m/>
    <m/>
    <m/>
  </r>
  <r>
    <x v="52"/>
    <d v="2024-03-01T00:00:00"/>
    <x v="0"/>
    <s v="Week8"/>
    <x v="1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856"/>
    <n v="856"/>
    <m/>
    <n v="0"/>
    <n v="0"/>
    <m/>
    <n v="1"/>
    <n v="0"/>
    <m/>
    <m/>
    <m/>
  </r>
  <r>
    <x v="52"/>
    <d v="2024-03-05T00:00:00"/>
    <x v="0"/>
    <s v="Week8"/>
    <x v="1"/>
    <s v="DRY2300683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513"/>
    <n v="513"/>
    <m/>
    <n v="0"/>
    <n v="0"/>
    <n v="0"/>
    <n v="2"/>
    <n v="0"/>
    <m/>
    <m/>
    <m/>
  </r>
  <r>
    <x v="52"/>
    <d v="2024-03-02T00:00:00"/>
    <x v="0"/>
    <s v="Week8"/>
    <x v="1"/>
    <s v="KL2300037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64"/>
    <n v="164"/>
    <m/>
    <n v="0"/>
    <n v="0"/>
    <n v="0"/>
    <n v="6"/>
    <n v="0"/>
    <m/>
    <m/>
    <m/>
  </r>
  <r>
    <x v="53"/>
    <d v="2024-03-12T00:00:00"/>
    <x v="0"/>
    <s v="Week8"/>
    <x v="1"/>
    <s v="DRY2400097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1900"/>
    <m/>
    <n v="1900"/>
    <n v="0"/>
    <n v="0"/>
    <m/>
    <m/>
    <m/>
    <m/>
    <m/>
    <m/>
  </r>
  <r>
    <x v="53"/>
    <d v="2024-03-19T00:00:00"/>
    <x v="0"/>
    <s v="Week8"/>
    <x v="1"/>
    <s v="DRY2400009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1400"/>
    <m/>
    <n v="1400"/>
    <n v="0"/>
    <n v="0"/>
    <m/>
    <m/>
    <m/>
    <m/>
    <m/>
    <m/>
  </r>
  <r>
    <x v="53"/>
    <d v="2024-03-19T00:00:00"/>
    <x v="0"/>
    <s v="Week8"/>
    <x v="1"/>
    <s v="DRY2400098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1900"/>
    <m/>
    <n v="1900"/>
    <n v="0"/>
    <n v="0"/>
    <m/>
    <m/>
    <m/>
    <m/>
    <m/>
    <m/>
  </r>
  <r>
    <x v="53"/>
    <d v="2024-03-02T00:00:00"/>
    <x v="0"/>
    <s v="Week8"/>
    <x v="1"/>
    <s v="DRY230071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58"/>
    <n v="258"/>
    <m/>
    <n v="0"/>
    <n v="0"/>
    <m/>
    <m/>
    <m/>
    <m/>
    <m/>
    <m/>
  </r>
  <r>
    <x v="53"/>
    <d v="2024-03-05T00:00:00"/>
    <x v="0"/>
    <s v="Week8"/>
    <x v="1"/>
    <s v="DRY230071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53"/>
    <d v="2024-03-05T00:00:00"/>
    <x v="0"/>
    <s v="Week8"/>
    <x v="1"/>
    <s v="DRY230071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89"/>
    <n v="489"/>
    <m/>
    <n v="0"/>
    <n v="0"/>
    <m/>
    <m/>
    <m/>
    <m/>
    <m/>
    <m/>
  </r>
  <r>
    <x v="53"/>
    <d v="2024-02-28T00:00:00"/>
    <x v="0"/>
    <s v="Week8"/>
    <x v="1"/>
    <s v="ขายภายใน"/>
    <s v="MTFS"/>
    <s v="CPFGS"/>
    <s v="ซีพีเอฟ เทรดดิ้ง"/>
    <s v="E+Wonton"/>
    <s v="Cooked Wonton"/>
    <s v="Cooked Wonton  with egg V-Food"/>
    <s v="082S83Q12005P05001"/>
    <s v="145g*12"/>
    <n v="12"/>
    <n v="5"/>
    <n v="8.0000000000000002E-3"/>
    <x v="1"/>
    <s v="STPP"/>
    <s v="Regular"/>
    <n v="477"/>
    <n v="477"/>
    <m/>
    <n v="0"/>
    <n v="0"/>
    <m/>
    <m/>
    <m/>
    <m/>
    <m/>
    <m/>
  </r>
  <r>
    <x v="53"/>
    <d v="2024-03-01T00:00:00"/>
    <x v="0"/>
    <s v="Week8"/>
    <x v="1"/>
    <s v="ขายภายใน"/>
    <s v="MTFS"/>
    <s v="CPFGS"/>
    <s v="ซีพีเอฟ เทรดดิ้ง"/>
    <s v="E+Wonton"/>
    <s v="Cooked Wonton"/>
    <s v="Cooked Wonton  with egg V-Food"/>
    <s v="082S83Q12005P05001"/>
    <s v="145g*12"/>
    <n v="12"/>
    <n v="5"/>
    <n v="8.0000000000000002E-3"/>
    <x v="1"/>
    <s v="STPP"/>
    <s v="Regular"/>
    <n v="417"/>
    <n v="417"/>
    <m/>
    <n v="0"/>
    <n v="0"/>
    <m/>
    <m/>
    <m/>
    <m/>
    <m/>
    <m/>
  </r>
  <r>
    <x v="53"/>
    <d v="2024-02-28T00:00:00"/>
    <x v="0"/>
    <s v="Week8"/>
    <x v="1"/>
    <s v="ขายภายใน"/>
    <s v="MTFS"/>
    <s v="CPFGS"/>
    <s v="ซีพีเอฟ เทรดดิ้ง"/>
    <s v="E+Wonton+หมาล่า"/>
    <s v="Cooked Wonton"/>
    <s v="เกี๊ยวกุ้งจักรพรรดิซุปหมาล่า (ตรา ซีพี)_MT"/>
    <s v="082S83Q12005P06001"/>
    <s v="143g*12"/>
    <n v="12"/>
    <n v="5"/>
    <n v="6.1999999999999998E-3"/>
    <x v="2"/>
    <s v="STPP"/>
    <s v="หมาล่า"/>
    <n v="233"/>
    <n v="233"/>
    <m/>
    <n v="0"/>
    <n v="0"/>
    <m/>
    <m/>
    <m/>
    <m/>
    <m/>
    <m/>
  </r>
  <r>
    <x v="53"/>
    <d v="2024-02-28T00:00:00"/>
    <x v="0"/>
    <s v="Week8"/>
    <x v="1"/>
    <s v="ขายภายใน"/>
    <s v=".7-11"/>
    <s v="CPFGS"/>
    <s v="ซีพีเอฟ เทรดดิ้ง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995"/>
    <n v="995"/>
    <m/>
    <n v="0"/>
    <n v="0"/>
    <m/>
    <m/>
    <m/>
    <m/>
    <m/>
    <m/>
  </r>
  <r>
    <x v="53"/>
    <d v="2024-03-02T00:00:00"/>
    <x v="0"/>
    <s v="Week8"/>
    <x v="1"/>
    <s v="KL2300037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633"/>
    <n v="633"/>
    <m/>
    <n v="0"/>
    <n v="0"/>
    <n v="0"/>
    <n v="6"/>
    <n v="0"/>
    <m/>
    <m/>
    <m/>
  </r>
  <r>
    <x v="54"/>
    <d v="2024-03-01T00:00:00"/>
    <x v="0"/>
    <s v="Week8"/>
    <x v="1"/>
    <s v="DRY2300737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s v="NEWPACKAGE"/>
    <m/>
    <m/>
  </r>
  <r>
    <x v="54"/>
    <d v="2024-03-01T00:00:00"/>
    <x v="0"/>
    <s v="Week8"/>
    <x v="1"/>
    <s v="DRY2300738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s v="NEWPACKAGE"/>
    <m/>
    <m/>
  </r>
  <r>
    <x v="54"/>
    <d v="2024-03-07T00:00:00"/>
    <x v="0"/>
    <s v="Week8"/>
    <x v="1"/>
    <s v="DRY2300739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981"/>
    <n v="308.08333333333331"/>
    <n v="1.0833333333332575"/>
    <n v="0"/>
    <m/>
    <m/>
    <m/>
    <s v="NEWPACKAGE"/>
    <m/>
    <m/>
  </r>
  <r>
    <x v="55"/>
    <m/>
    <x v="0"/>
    <s v="Week8"/>
    <x v="1"/>
    <m/>
    <m/>
    <m/>
    <m/>
    <m/>
    <m/>
    <m/>
    <m/>
    <m/>
    <m/>
    <m/>
    <m/>
    <x v="0"/>
    <m/>
    <m/>
    <m/>
    <m/>
    <m/>
    <m/>
    <m/>
    <m/>
    <m/>
    <m/>
    <m/>
    <m/>
    <m/>
  </r>
  <r>
    <x v="56"/>
    <d v="2024-03-05T00:00:00"/>
    <x v="0"/>
    <s v="Week9"/>
    <x v="1"/>
    <s v="DRY230071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03"/>
    <n v="303"/>
    <m/>
    <n v="0"/>
    <n v="0"/>
    <m/>
    <m/>
    <m/>
    <m/>
    <m/>
    <m/>
  </r>
  <r>
    <x v="56"/>
    <d v="2024-03-05T00:00:00"/>
    <x v="0"/>
    <s v="Week9"/>
    <x v="1"/>
    <s v="DRY230071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56"/>
    <d v="2024-03-05T00:00:00"/>
    <x v="0"/>
    <s v="Week9"/>
    <x v="1"/>
    <s v="DRY230072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56"/>
    <d v="2024-03-05T00:00:00"/>
    <x v="0"/>
    <s v="Week9"/>
    <x v="1"/>
    <s v="DRY230072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56"/>
    <d v="2024-03-06T00:00:00"/>
    <x v="0"/>
    <s v="Week9"/>
    <x v="1"/>
    <s v="DRY230072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56"/>
    <d v="2024-03-06T00:00:00"/>
    <x v="0"/>
    <s v="Week9"/>
    <x v="1"/>
    <s v="DRY230072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93"/>
    <n v="293"/>
    <m/>
    <n v="0"/>
    <n v="0"/>
    <m/>
    <m/>
    <m/>
    <m/>
    <m/>
    <m/>
  </r>
  <r>
    <x v="56"/>
    <d v="2024-03-02T00:00:00"/>
    <x v="0"/>
    <s v="Week9"/>
    <x v="1"/>
    <s v="KL2300037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611"/>
    <n v="611"/>
    <m/>
    <n v="0"/>
    <n v="0"/>
    <n v="0"/>
    <n v="6"/>
    <n v="0"/>
    <m/>
    <m/>
    <m/>
  </r>
  <r>
    <x v="56"/>
    <d v="2024-03-04T00:00:00"/>
    <x v="0"/>
    <s v="Week9"/>
    <x v="1"/>
    <s v="DRY2300784"/>
    <s v="HK"/>
    <s v="CPFNW"/>
    <s v="CPM Hongkong"/>
    <s v="R-Minced egg past"/>
    <s v="Raw Wonton"/>
    <s v="Raw Minced Wonton 8 pcs"/>
    <s v="082ID3G18008P00001"/>
    <s v="90g*18in"/>
    <n v="18"/>
    <n v="8"/>
    <n v="6.0000000000000001E-3"/>
    <x v="4"/>
    <s v="STPP"/>
    <s v="ซุปซอง 5g."/>
    <n v="250"/>
    <n v="250"/>
    <m/>
    <n v="0"/>
    <n v="0"/>
    <n v="0"/>
    <n v="2"/>
    <n v="0"/>
    <m/>
    <m/>
    <m/>
  </r>
  <r>
    <x v="57"/>
    <d v="2024-03-19T00:00:00"/>
    <x v="0"/>
    <s v="Week9"/>
    <x v="1"/>
    <s v="DRY2400099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1900"/>
    <m/>
    <n v="1900"/>
    <n v="0"/>
    <n v="0"/>
    <m/>
    <m/>
    <m/>
    <m/>
    <m/>
    <m/>
  </r>
  <r>
    <x v="57"/>
    <d v="2024-03-25T00:00:00"/>
    <x v="0"/>
    <s v="Week9"/>
    <x v="1"/>
    <s v="DRY2400010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1900"/>
    <m/>
    <n v="1900"/>
    <n v="0"/>
    <n v="0"/>
    <m/>
    <m/>
    <m/>
    <m/>
    <m/>
    <m/>
  </r>
  <r>
    <x v="57"/>
    <d v="2024-03-06T00:00:00"/>
    <x v="0"/>
    <s v="Week9"/>
    <x v="1"/>
    <s v="DRY230072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99"/>
    <n v="499"/>
    <m/>
    <n v="0"/>
    <n v="0"/>
    <m/>
    <m/>
    <m/>
    <m/>
    <m/>
    <m/>
  </r>
  <r>
    <x v="57"/>
    <d v="2024-03-06T00:00:00"/>
    <x v="0"/>
    <s v="Week9"/>
    <x v="1"/>
    <s v="DRY230072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57"/>
    <d v="2024-03-06T00:00:00"/>
    <x v="0"/>
    <s v="Week9"/>
    <x v="1"/>
    <s v="DRY240001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57"/>
    <d v="2024-03-07T00:00:00"/>
    <x v="0"/>
    <s v="Week9"/>
    <x v="1"/>
    <s v="DRY240001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57"/>
    <d v="2024-03-08T00:00:00"/>
    <x v="0"/>
    <s v="Week9"/>
    <x v="1"/>
    <s v="DRY240000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61"/>
    <n v="161"/>
    <m/>
    <n v="0"/>
    <n v="0"/>
    <m/>
    <m/>
    <m/>
    <m/>
    <m/>
    <m/>
  </r>
  <r>
    <x v="57"/>
    <d v="2024-03-04T00:00:00"/>
    <x v="0"/>
    <s v="Week9"/>
    <x v="1"/>
    <s v="DRY2300784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1650"/>
    <n v="1650"/>
    <m/>
    <n v="0"/>
    <n v="0"/>
    <n v="0"/>
    <n v="1"/>
    <n v="0"/>
    <m/>
    <m/>
    <m/>
  </r>
  <r>
    <x v="58"/>
    <d v="2024-03-04T00:00:00"/>
    <x v="0"/>
    <s v="Week9"/>
    <x v="1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6221"/>
    <n v="6221"/>
    <m/>
    <n v="0"/>
    <n v="0"/>
    <m/>
    <m/>
    <m/>
    <m/>
    <m/>
    <m/>
  </r>
  <r>
    <x v="58"/>
    <d v="2024-03-12T00:00:00"/>
    <x v="0"/>
    <s v="Week9"/>
    <x v="1"/>
    <s v="DRY2300684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54"/>
    <n v="647"/>
    <n v="7"/>
    <n v="0"/>
    <n v="0"/>
    <n v="0"/>
    <n v="6"/>
    <n v="0"/>
    <m/>
    <m/>
    <m/>
  </r>
  <r>
    <x v="59"/>
    <d v="2024-03-28T00:00:00"/>
    <x v="0"/>
    <s v="Week9"/>
    <x v="1"/>
    <s v="DRY2400102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59"/>
    <d v="2024-03-20T00:00:00"/>
    <x v="0"/>
    <s v="Week9"/>
    <x v="1"/>
    <s v="DRY2400091"/>
    <s v="Spain"/>
    <s v="CPFNW"/>
    <s v="Mercadona"/>
    <s v="Wonton ND+V"/>
    <s v="Cooked Wonton"/>
    <s v="Cooked Wonton ND No Egg with Pumpkin _x000a_+ Vegetable  HC  3 pcs"/>
    <s v="082SJ5T12003P00001"/>
    <s v="309g*12"/>
    <n v="12"/>
    <n v="3"/>
    <n v="7.4999999999999997E-3"/>
    <x v="5"/>
    <s v="Salt"/>
    <s v="Regular"/>
    <n v="2520"/>
    <n v="2520"/>
    <m/>
    <n v="0"/>
    <n v="0"/>
    <m/>
    <m/>
    <m/>
    <s v="รวบการผลิตให้เป็นวันเดียวกันตามความต้องการของลูกค้า"/>
    <m/>
    <m/>
  </r>
  <r>
    <x v="59"/>
    <d v="2024-03-27T00:00:00"/>
    <x v="0"/>
    <s v="Week9"/>
    <x v="1"/>
    <s v="DRY2400092"/>
    <s v="Spain"/>
    <s v="CPFNW"/>
    <s v="Mercadona"/>
    <s v="Wonton ND+V"/>
    <s v="Cooked Wonton"/>
    <s v="Cooked Wonton ND No Egg with Pumpkin _x000a_+ Vegetable  HC  3 pcs"/>
    <s v="082SJ5T12003P00001"/>
    <s v="309g*12"/>
    <n v="12"/>
    <n v="3"/>
    <n v="7.4999999999999997E-3"/>
    <x v="5"/>
    <s v="Salt"/>
    <s v="Regular"/>
    <n v="2520"/>
    <n v="2520"/>
    <m/>
    <n v="0"/>
    <n v="0"/>
    <m/>
    <m/>
    <m/>
    <s v="รวบการผลิตให้เป็นวันเดียวกันตามความต้องการของลูกค้า"/>
    <m/>
    <m/>
  </r>
  <r>
    <x v="59"/>
    <d v="2024-03-12T00:00:00"/>
    <x v="0"/>
    <s v="Week9"/>
    <x v="1"/>
    <s v="DRY2300669"/>
    <s v="UK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+CO"/>
    <n v="924"/>
    <n v="866"/>
    <n v="61"/>
    <n v="3"/>
    <n v="0"/>
    <m/>
    <m/>
    <m/>
    <s v="TYEX+CO  2370 +2330 7/2 +4320 12/2 +4320 22/2"/>
    <m/>
    <m/>
  </r>
  <r>
    <x v="59"/>
    <d v="2024-03-05T00:00:00"/>
    <x v="0"/>
    <s v="Week9"/>
    <x v="1"/>
    <s v="DRY2400096"/>
    <s v="Denmark"/>
    <s v="CPFNW"/>
    <s v="CPF DENMARK"/>
    <s v="Wonton ND+V+TY"/>
    <s v="Cooked Wonton"/>
    <s v="Cooked Wonton ND No Egg with Pumpkin _x000a_+ Vegetable  HC  3 pcs tomyam"/>
    <s v="082SJKW08003P00001"/>
    <s v="309g*8"/>
    <n v="8"/>
    <n v="3"/>
    <n v="7.4999999999999997E-3"/>
    <x v="1"/>
    <s v="Salt"/>
    <s v="TYANS+CM"/>
    <n v="3500"/>
    <n v="3500"/>
    <m/>
    <n v="0"/>
    <n v="0"/>
    <m/>
    <m/>
    <m/>
    <s v="ต้มยำสูตรลดเผ็ดลง 10 %"/>
    <m/>
    <m/>
  </r>
  <r>
    <x v="59"/>
    <d v="2024-03-12T00:00:00"/>
    <x v="0"/>
    <s v="Week9"/>
    <x v="1"/>
    <s v="DRY2300684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853"/>
    <n v="853"/>
    <m/>
    <n v="0"/>
    <n v="0"/>
    <n v="0"/>
    <n v="6"/>
    <n v="0"/>
    <m/>
    <m/>
    <m/>
  </r>
  <r>
    <x v="60"/>
    <d v="2024-03-11T00:00:00"/>
    <x v="0"/>
    <s v="Week9"/>
    <x v="2"/>
    <s v="DRY2400008"/>
    <s v="USA"/>
    <s v="CPFNW"/>
    <s v="Bellisio Foods, Inc."/>
    <s v="C-WT in tray no egg"/>
    <s v="Cooked Wonton"/>
    <s v="COOKED WONTON 6 pcs."/>
    <s v="082S8BW08012P00001"/>
    <s v="117*2tray*8in"/>
    <n v="16"/>
    <n v="6"/>
    <n v="8.1300000000000001E-3"/>
    <x v="1"/>
    <s v="Salt"/>
    <s v=" Sesame 15g"/>
    <n v="650"/>
    <n v="650"/>
    <m/>
    <n v="0"/>
    <n v="0"/>
    <m/>
    <n v="1"/>
    <n v="10400"/>
    <s v="cap 3000 tray/hr."/>
    <m/>
    <m/>
  </r>
  <r>
    <x v="60"/>
    <d v="2024-03-11T00:00:00"/>
    <x v="0"/>
    <s v="Week9"/>
    <x v="2"/>
    <s v="DRY2400097"/>
    <s v="USA"/>
    <s v="CPFNW"/>
    <s v="Bellisio Foods, Inc."/>
    <s v="C-WT in tray no egg"/>
    <s v="Cooked Wonton"/>
    <s v="COOKED WONTON 6 pcs."/>
    <s v="082S8BW08012P00001"/>
    <s v="117*2tray*8in"/>
    <n v="16"/>
    <n v="6"/>
    <n v="8.1300000000000001E-3"/>
    <x v="1"/>
    <s v="Salt"/>
    <s v=" Sesame 15g"/>
    <n v="600"/>
    <n v="119"/>
    <n v="481"/>
    <n v="0"/>
    <n v="0"/>
    <m/>
    <n v="1"/>
    <n v="9600"/>
    <s v="cap 3000 tray/hr."/>
    <m/>
    <m/>
  </r>
  <r>
    <x v="60"/>
    <d v="2024-03-19T00:00:00"/>
    <x v="0"/>
    <s v="Week9"/>
    <x v="2"/>
    <s v="DRY2400009"/>
    <s v="USA"/>
    <s v="CPFNW"/>
    <s v="Bellisio Foods, Inc."/>
    <s v="C-WT in tray no egg"/>
    <s v="Cooked Wonton"/>
    <s v="COOKED WONTON 6 pcs."/>
    <s v="082S8BW08012P00001"/>
    <s v="117*2tray*8in"/>
    <n v="16"/>
    <n v="6"/>
    <n v="8.1300000000000001E-3"/>
    <x v="1"/>
    <s v="Salt"/>
    <s v=" Sesame 15g"/>
    <n v="650"/>
    <m/>
    <n v="650"/>
    <n v="0"/>
    <n v="0"/>
    <m/>
    <n v="1"/>
    <n v="10400"/>
    <s v="cap 3000 tray/hr."/>
    <m/>
    <m/>
  </r>
  <r>
    <x v="60"/>
    <d v="2024-03-19T00:00:00"/>
    <x v="0"/>
    <s v="Week9"/>
    <x v="2"/>
    <s v="DRY2400098"/>
    <s v="USA"/>
    <s v="CPFNW"/>
    <s v="Bellisio Foods, Inc."/>
    <s v="C-WT in tray no egg"/>
    <s v="Cooked Wonton"/>
    <s v="COOKED WONTON 6 pcs."/>
    <s v="082S8BW08012P00001"/>
    <s v="117*2tray*8in"/>
    <n v="16"/>
    <n v="6"/>
    <n v="8.1300000000000001E-3"/>
    <x v="1"/>
    <s v="Salt"/>
    <s v=" Sesame 15g"/>
    <n v="600"/>
    <m/>
    <n v="600"/>
    <n v="0"/>
    <n v="0"/>
    <m/>
    <n v="1"/>
    <n v="9600"/>
    <s v="cap 3000 tray/hr."/>
    <m/>
    <m/>
  </r>
  <r>
    <x v="60"/>
    <d v="2024-03-19T00:00:00"/>
    <x v="0"/>
    <s v="Week9"/>
    <x v="2"/>
    <s v="DRY2400099"/>
    <s v="USA"/>
    <s v="CPFNW"/>
    <s v="Bellisio Foods, Inc."/>
    <s v="C-WT in tray no egg"/>
    <s v="Cooked Wonton"/>
    <s v="COOKED WONTON 6 pcs."/>
    <s v="082S8BW08012P00001"/>
    <s v="117*2tray*8in"/>
    <n v="16"/>
    <n v="6"/>
    <n v="8.1300000000000001E-3"/>
    <x v="1"/>
    <s v="Salt"/>
    <s v=" Sesame 15g"/>
    <n v="600"/>
    <m/>
    <n v="600"/>
    <n v="0"/>
    <n v="0"/>
    <m/>
    <n v="1"/>
    <n v="9600"/>
    <s v="cap 3000 tray/hr."/>
    <m/>
    <m/>
  </r>
  <r>
    <x v="60"/>
    <d v="2024-03-25T00:00:00"/>
    <x v="0"/>
    <s v="Week9"/>
    <x v="2"/>
    <s v="DRY2400010"/>
    <s v="USA"/>
    <s v="CPFNW"/>
    <s v="Bellisio Foods, Inc."/>
    <s v="C-WT in tray no egg"/>
    <s v="Cooked Wonton"/>
    <s v="COOKED WONTON 6 pcs."/>
    <s v="082S8BW08012P00001"/>
    <s v="117*2tray*8in"/>
    <n v="16"/>
    <n v="6"/>
    <n v="8.1300000000000001E-3"/>
    <x v="1"/>
    <s v="Salt"/>
    <s v=" Sesame 15g"/>
    <n v="650"/>
    <m/>
    <n v="650"/>
    <n v="0"/>
    <n v="0"/>
    <m/>
    <n v="1"/>
    <n v="10400"/>
    <s v="cap 3000 tray/hr."/>
    <m/>
    <m/>
  </r>
  <r>
    <x v="60"/>
    <d v="2024-04-02T00:00:00"/>
    <x v="0"/>
    <s v="Week9"/>
    <x v="2"/>
    <s v="DRY2400100"/>
    <s v="USA"/>
    <s v="CPFNW"/>
    <s v="Bellisio Foods, Inc."/>
    <s v="C-WT in tray no egg"/>
    <s v="Cooked Wonton"/>
    <s v="COOKED WONTON 6 pcs."/>
    <s v="082S8BW08012P00001"/>
    <s v="117*2tray*8in"/>
    <n v="16"/>
    <n v="6"/>
    <n v="8.1300000000000001E-3"/>
    <x v="1"/>
    <s v="Salt"/>
    <s v=" Sesame 15g"/>
    <n v="650"/>
    <m/>
    <n v="650"/>
    <n v="0"/>
    <n v="0"/>
    <m/>
    <n v="1"/>
    <n v="10400"/>
    <s v="cap 3000 tray/hr."/>
    <m/>
    <m/>
  </r>
  <r>
    <x v="60"/>
    <d v="2024-04-03T00:00:00"/>
    <x v="0"/>
    <s v="Week9"/>
    <x v="2"/>
    <s v="DRY2400156"/>
    <s v="New Zealand"/>
    <s v="CPFNW"/>
    <s v="Lim Brothers"/>
    <s v="C-Minced WT in tray no egg"/>
    <s v="Cooked Wonton"/>
    <s v="Cooked Minced Wonton in Tray 6 pcs + Sesame Sauce"/>
    <s v="082SKN716006P00001"/>
    <s v="117*2tray*8in"/>
    <n v="16"/>
    <n v="6"/>
    <n v="6.0000000000000001E-3"/>
    <x v="4"/>
    <s v="Salt"/>
    <s v=" Sesame 15g"/>
    <n v="378"/>
    <m/>
    <n v="434.375"/>
    <n v="56.375"/>
    <n v="0"/>
    <m/>
    <n v="1"/>
    <n v="6048"/>
    <s v="cap 3000 tray/hr."/>
    <m/>
    <m/>
  </r>
  <r>
    <x v="60"/>
    <d v="2024-03-14T00:00:00"/>
    <x v="0"/>
    <s v="Week9"/>
    <x v="2"/>
    <s v="DRY2300684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549"/>
    <n v="324"/>
    <n v="225"/>
    <n v="0"/>
    <n v="0"/>
    <n v="0"/>
    <n v="6"/>
    <n v="0"/>
    <m/>
    <m/>
    <m/>
  </r>
  <r>
    <x v="60"/>
    <d v="2024-03-09T00:00:00"/>
    <x v="0"/>
    <s v="Week9"/>
    <x v="2"/>
    <s v="DRY2400007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250"/>
    <n v="84"/>
    <n v="166"/>
    <n v="0"/>
    <n v="0"/>
    <n v="0"/>
    <n v="6"/>
    <n v="0"/>
    <m/>
    <m/>
    <m/>
  </r>
  <r>
    <x v="61"/>
    <d v="2024-03-19T00:00:00"/>
    <x v="0"/>
    <s v="Week9"/>
    <x v="2"/>
    <s v="DRY2300785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m/>
    <m/>
    <m/>
    <s v="ใช้ package ที่เป็น หมึกพิมพ์ใหม่"/>
    <m/>
    <m/>
  </r>
  <r>
    <x v="61"/>
    <d v="2024-03-26T00:00:00"/>
    <x v="0"/>
    <s v="Week9"/>
    <x v="2"/>
    <s v="DRY2300786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m/>
    <m/>
    <m/>
    <s v="ใช้ package ที่เป็น หมึกพิมพ์ใหม่"/>
    <m/>
    <m/>
  </r>
  <r>
    <x v="61"/>
    <d v="2024-03-12T00:00:00"/>
    <x v="0"/>
    <s v="Week9"/>
    <x v="2"/>
    <s v="DRY2400097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1400"/>
    <m/>
    <n v="1400"/>
    <n v="0"/>
    <n v="0"/>
    <m/>
    <m/>
    <m/>
    <m/>
    <m/>
    <m/>
  </r>
  <r>
    <x v="61"/>
    <d v="2024-03-19T00:00:00"/>
    <x v="0"/>
    <s v="Week9"/>
    <x v="2"/>
    <s v="DRY2400009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1900"/>
    <m/>
    <n v="1900"/>
    <n v="0"/>
    <n v="0"/>
    <m/>
    <m/>
    <m/>
    <m/>
    <m/>
    <m/>
  </r>
  <r>
    <x v="61"/>
    <d v="2024-03-19T00:00:00"/>
    <x v="0"/>
    <s v="Week9"/>
    <x v="2"/>
    <s v="DRY2400098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1400"/>
    <m/>
    <n v="1400"/>
    <n v="0"/>
    <n v="0"/>
    <m/>
    <m/>
    <m/>
    <m/>
    <m/>
    <m/>
  </r>
  <r>
    <x v="61"/>
    <d v="2024-03-19T00:00:00"/>
    <x v="0"/>
    <s v="Week9"/>
    <x v="2"/>
    <s v="DRY2400099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1400"/>
    <m/>
    <n v="1400"/>
    <n v="0"/>
    <n v="0"/>
    <m/>
    <m/>
    <m/>
    <m/>
    <m/>
    <m/>
  </r>
  <r>
    <x v="61"/>
    <d v="2024-03-25T00:00:00"/>
    <x v="0"/>
    <s v="Week9"/>
    <x v="2"/>
    <s v="DRY2400010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1022"/>
    <m/>
    <n v="1022"/>
    <n v="0"/>
    <n v="0"/>
    <m/>
    <m/>
    <m/>
    <m/>
    <m/>
    <m/>
  </r>
  <r>
    <x v="61"/>
    <d v="2024-03-09T00:00:00"/>
    <x v="0"/>
    <s v="Week9"/>
    <x v="2"/>
    <s v="DRY2400007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550"/>
    <n v="550"/>
    <m/>
    <n v="0"/>
    <n v="0"/>
    <n v="0"/>
    <n v="6"/>
    <n v="0"/>
    <m/>
    <m/>
    <m/>
  </r>
  <r>
    <x v="62"/>
    <m/>
    <x v="0"/>
    <s v="Week9"/>
    <x v="2"/>
    <m/>
    <m/>
    <m/>
    <m/>
    <m/>
    <m/>
    <m/>
    <m/>
    <m/>
    <m/>
    <m/>
    <m/>
    <x v="0"/>
    <m/>
    <m/>
    <m/>
    <m/>
    <m/>
    <m/>
    <m/>
    <m/>
    <m/>
    <m/>
    <m/>
    <m/>
    <m/>
  </r>
  <r>
    <x v="63"/>
    <d v="2024-03-07T00:00:00"/>
    <x v="0"/>
    <s v="Week10"/>
    <x v="2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6411"/>
    <n v="6411"/>
    <m/>
    <n v="0"/>
    <n v="0"/>
    <m/>
    <m/>
    <m/>
    <s v="NEWPACKAGE"/>
    <m/>
    <m/>
  </r>
  <r>
    <x v="63"/>
    <d v="2024-03-14T00:00:00"/>
    <x v="0"/>
    <s v="Week10"/>
    <x v="2"/>
    <s v="DRY2300685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409"/>
    <n v="409"/>
    <m/>
    <n v="0"/>
    <n v="0"/>
    <n v="0"/>
    <n v="2"/>
    <n v="0"/>
    <m/>
    <m/>
    <m/>
  </r>
  <r>
    <x v="64"/>
    <d v="2024-03-08T00:00:00"/>
    <x v="0"/>
    <s v="Week10"/>
    <x v="2"/>
    <s v="DRY240000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79"/>
    <n v="279"/>
    <m/>
    <n v="0"/>
    <n v="0"/>
    <m/>
    <m/>
    <m/>
    <m/>
    <m/>
    <m/>
  </r>
  <r>
    <x v="64"/>
    <d v="2024-03-08T00:00:00"/>
    <x v="0"/>
    <s v="Week10"/>
    <x v="2"/>
    <s v="DRY240001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64"/>
    <d v="2024-03-08T00:00:00"/>
    <x v="0"/>
    <s v="Week10"/>
    <x v="2"/>
    <s v="DRY240001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64"/>
    <d v="2024-03-08T00:00:00"/>
    <x v="0"/>
    <s v="Week10"/>
    <x v="2"/>
    <s v="DRY240001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64"/>
    <d v="2024-03-08T00:00:00"/>
    <x v="0"/>
    <s v="Week10"/>
    <x v="2"/>
    <s v="DRY240001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64"/>
    <d v="2024-03-13T00:00:00"/>
    <x v="0"/>
    <s v="Week10"/>
    <x v="2"/>
    <s v="DRY240001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03"/>
    <n v="603"/>
    <m/>
    <n v="0"/>
    <n v="0"/>
    <m/>
    <m/>
    <m/>
    <m/>
    <m/>
    <m/>
  </r>
  <r>
    <x v="64"/>
    <d v="2024-03-14T00:00:00"/>
    <x v="0"/>
    <s v="Week10"/>
    <x v="2"/>
    <s v="DRY2300685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432"/>
    <n v="432"/>
    <m/>
    <n v="0"/>
    <n v="0"/>
    <n v="0"/>
    <n v="2"/>
    <n v="0"/>
    <m/>
    <m/>
    <m/>
  </r>
  <r>
    <x v="65"/>
    <d v="2024-04-02T00:00:00"/>
    <x v="0"/>
    <s v="Week10"/>
    <x v="2"/>
    <s v="DRY2400100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1900"/>
    <m/>
    <n v="1900"/>
    <n v="0"/>
    <n v="0"/>
    <m/>
    <m/>
    <m/>
    <m/>
    <m/>
    <m/>
  </r>
  <r>
    <x v="65"/>
    <d v="2024-04-08T00:00:00"/>
    <x v="0"/>
    <s v="Week10"/>
    <x v="2"/>
    <s v="DRY2400157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2400"/>
    <m/>
    <n v="2400"/>
    <n v="0"/>
    <n v="0"/>
    <m/>
    <m/>
    <m/>
    <m/>
    <m/>
    <m/>
  </r>
  <r>
    <x v="65"/>
    <d v="2024-03-13T00:00:00"/>
    <x v="0"/>
    <s v="Week10"/>
    <x v="2"/>
    <s v="DRY240001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89"/>
    <n v="189"/>
    <m/>
    <n v="0"/>
    <n v="0"/>
    <m/>
    <m/>
    <m/>
    <m/>
    <m/>
    <m/>
  </r>
  <r>
    <x v="65"/>
    <d v="2024-03-13T00:00:00"/>
    <x v="0"/>
    <s v="Week10"/>
    <x v="2"/>
    <s v="DRY240001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65"/>
    <d v="2024-03-14T00:00:00"/>
    <x v="0"/>
    <s v="Week10"/>
    <x v="2"/>
    <s v="DRY240001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65"/>
    <d v="2024-03-14T00:00:00"/>
    <x v="0"/>
    <s v="Week10"/>
    <x v="2"/>
    <s v="DRY240002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65"/>
    <d v="2024-03-14T00:00:00"/>
    <x v="0"/>
    <s v="Week10"/>
    <x v="2"/>
    <s v="DRY240002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45"/>
    <n v="245"/>
    <m/>
    <n v="0"/>
    <n v="0"/>
    <m/>
    <m/>
    <m/>
    <m/>
    <m/>
    <m/>
  </r>
  <r>
    <x v="65"/>
    <d v="2024-03-14T00:00:00"/>
    <x v="0"/>
    <s v="Week10"/>
    <x v="2"/>
    <s v="DRY2300685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469"/>
    <n v="469"/>
    <m/>
    <n v="0"/>
    <n v="0"/>
    <n v="0"/>
    <n v="2"/>
    <n v="0"/>
    <m/>
    <m/>
    <m/>
  </r>
  <r>
    <x v="66"/>
    <d v="2024-03-20T00:00:00"/>
    <x v="0"/>
    <s v="Week10"/>
    <x v="2"/>
    <s v="DRY2400179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m/>
    <m/>
    <m/>
    <s v="NEWPACKAGE"/>
    <m/>
    <m/>
  </r>
  <r>
    <x v="66"/>
    <d v="2024-03-14T00:00:00"/>
    <x v="0"/>
    <s v="Week10"/>
    <x v="2"/>
    <s v="DRY240002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47"/>
    <n v="547"/>
    <m/>
    <n v="0"/>
    <n v="0"/>
    <m/>
    <m/>
    <m/>
    <m/>
    <m/>
    <m/>
  </r>
  <r>
    <x v="66"/>
    <d v="2024-03-14T00:00:00"/>
    <x v="0"/>
    <s v="Week10"/>
    <x v="2"/>
    <s v="DRY240002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66"/>
    <d v="2024-03-14T00:00:00"/>
    <x v="0"/>
    <s v="Week10"/>
    <x v="2"/>
    <s v="DRY240002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66"/>
    <d v="2024-03-14T00:00:00"/>
    <x v="0"/>
    <s v="Week10"/>
    <x v="2"/>
    <s v="DRY240002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49"/>
    <n v="649"/>
    <m/>
    <n v="0"/>
    <n v="0"/>
    <m/>
    <m/>
    <m/>
    <m/>
    <m/>
    <m/>
  </r>
  <r>
    <x v="66"/>
    <d v="2024-03-14T00:00:00"/>
    <x v="0"/>
    <s v="Week10"/>
    <x v="2"/>
    <s v="DRY2300685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314"/>
    <n v="314"/>
    <m/>
    <n v="0"/>
    <n v="0"/>
    <n v="0"/>
    <n v="2"/>
    <n v="0"/>
    <m/>
    <m/>
    <m/>
  </r>
  <r>
    <x v="66"/>
    <d v="2024-03-12T00:00:00"/>
    <x v="0"/>
    <s v="Week10"/>
    <x v="2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177"/>
    <n v="177"/>
    <m/>
    <n v="0"/>
    <n v="0"/>
    <n v="0"/>
    <m/>
    <n v="0"/>
    <m/>
    <m/>
    <m/>
  </r>
  <r>
    <x v="67"/>
    <d v="2024-03-14T00:00:00"/>
    <x v="0"/>
    <s v="Week10"/>
    <x v="2"/>
    <s v="DRY240002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43"/>
    <n v="143"/>
    <m/>
    <n v="0"/>
    <n v="0"/>
    <m/>
    <m/>
    <m/>
    <m/>
    <m/>
    <m/>
  </r>
  <r>
    <x v="67"/>
    <d v="2024-03-14T00:00:00"/>
    <x v="0"/>
    <s v="Week10"/>
    <x v="2"/>
    <s v="DRY240002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n v="112050"/>
    <m/>
    <m/>
  </r>
  <r>
    <x v="67"/>
    <d v="2024-03-14T00:00:00"/>
    <x v="0"/>
    <s v="Week10"/>
    <x v="2"/>
    <s v="DRY240002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n v="112050"/>
    <m/>
    <m/>
  </r>
  <r>
    <x v="67"/>
    <d v="2024-03-15T00:00:00"/>
    <x v="0"/>
    <s v="Week10"/>
    <x v="2"/>
    <s v="DRY240002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67"/>
    <d v="2024-03-15T00:00:00"/>
    <x v="0"/>
    <s v="Week10"/>
    <x v="2"/>
    <s v="DRY240002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67"/>
    <d v="2024-03-18T00:00:00"/>
    <x v="0"/>
    <s v="Week10"/>
    <x v="2"/>
    <s v="DRY240002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32"/>
    <n v="732"/>
    <m/>
    <n v="0"/>
    <n v="0"/>
    <m/>
    <m/>
    <m/>
    <m/>
    <m/>
    <m/>
  </r>
  <r>
    <x v="67"/>
    <d v="2024-03-12T00:00:00"/>
    <x v="0"/>
    <s v="Week10"/>
    <x v="2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272"/>
    <n v="272"/>
    <m/>
    <n v="0"/>
    <n v="0"/>
    <n v="0"/>
    <m/>
    <n v="0"/>
    <m/>
    <m/>
    <m/>
  </r>
  <r>
    <x v="67"/>
    <m/>
    <x v="0"/>
    <s v="Week10"/>
    <x v="2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421"/>
    <n v="103"/>
    <n v="318"/>
    <n v="0"/>
    <n v="0"/>
    <n v="0"/>
    <m/>
    <n v="0"/>
    <m/>
    <m/>
    <m/>
  </r>
  <r>
    <x v="67"/>
    <d v="2024-03-26T00:00:00"/>
    <x v="0"/>
    <s v="Week10"/>
    <x v="2"/>
    <s v="DRY2400114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138"/>
    <n v="138"/>
    <m/>
    <n v="0"/>
    <n v="0"/>
    <n v="0"/>
    <n v="2"/>
    <n v="0"/>
    <s v="ใช้ package new"/>
    <m/>
    <m/>
  </r>
  <r>
    <x v="68"/>
    <d v="2024-03-18T00:00:00"/>
    <x v="0"/>
    <s v="Week10"/>
    <x v="2"/>
    <s v="DRY240003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0"/>
    <n v="60"/>
    <m/>
    <n v="0"/>
    <n v="0"/>
    <m/>
    <m/>
    <m/>
    <m/>
    <m/>
    <m/>
  </r>
  <r>
    <x v="68"/>
    <d v="2024-03-18T00:00:00"/>
    <x v="0"/>
    <s v="Week10"/>
    <x v="2"/>
    <s v="DRY240003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68"/>
    <d v="2024-03-18T00:00:00"/>
    <x v="0"/>
    <s v="Week10"/>
    <x v="2"/>
    <s v="DRY240003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68"/>
    <d v="2024-03-18T00:00:00"/>
    <x v="0"/>
    <s v="Week10"/>
    <x v="2"/>
    <s v="DRY240003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68"/>
    <d v="2024-03-18T00:00:00"/>
    <x v="0"/>
    <s v="Week10"/>
    <x v="2"/>
    <s v="DRY240003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68"/>
    <d v="2024-03-18T00:00:00"/>
    <x v="0"/>
    <s v="Week10"/>
    <x v="2"/>
    <s v="DRY240003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81"/>
    <n v="81"/>
    <m/>
    <n v="0"/>
    <n v="0"/>
    <m/>
    <m/>
    <m/>
    <m/>
    <m/>
    <m/>
  </r>
  <r>
    <x v="68"/>
    <d v="2024-03-26T00:00:00"/>
    <x v="0"/>
    <s v="Week10"/>
    <x v="2"/>
    <s v="DRY2400114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428"/>
    <n v="428"/>
    <m/>
    <n v="0"/>
    <n v="0"/>
    <n v="0"/>
    <n v="2"/>
    <n v="0"/>
    <s v="ใช้ package new"/>
    <m/>
    <m/>
  </r>
  <r>
    <x v="69"/>
    <d v="2024-03-18T00:00:00"/>
    <x v="0"/>
    <s v="Week10"/>
    <x v="2"/>
    <s v="DRY240003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11"/>
    <n v="711"/>
    <m/>
    <n v="0"/>
    <n v="0"/>
    <m/>
    <m/>
    <m/>
    <m/>
    <m/>
    <m/>
  </r>
  <r>
    <x v="69"/>
    <d v="2024-03-19T00:00:00"/>
    <x v="0"/>
    <s v="Week10"/>
    <x v="2"/>
    <s v="DRY240003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69"/>
    <d v="2024-03-19T00:00:00"/>
    <x v="0"/>
    <s v="Week10"/>
    <x v="2"/>
    <s v="DRY240003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69"/>
    <d v="2024-03-19T00:00:00"/>
    <x v="0"/>
    <s v="Week10"/>
    <x v="2"/>
    <s v="DRY240003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69"/>
    <d v="2024-03-19T00:00:00"/>
    <x v="0"/>
    <s v="Week10"/>
    <x v="2"/>
    <s v="DRY240003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69"/>
    <d v="2024-03-19T00:00:00"/>
    <x v="0"/>
    <s v="Week10"/>
    <x v="2"/>
    <s v="DRY240003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55"/>
    <n v="355"/>
    <m/>
    <n v="0"/>
    <n v="0"/>
    <m/>
    <m/>
    <m/>
    <m/>
    <m/>
    <m/>
  </r>
  <r>
    <x v="70"/>
    <d v="2024-03-18T00:00:00"/>
    <x v="0"/>
    <s v="Week11"/>
    <x v="2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5567"/>
    <n v="5567"/>
    <m/>
    <n v="0"/>
    <n v="0"/>
    <m/>
    <m/>
    <m/>
    <s v="NEWPACKAGE"/>
    <m/>
    <m/>
  </r>
  <r>
    <x v="70"/>
    <d v="2024-03-26T00:00:00"/>
    <x v="0"/>
    <s v="Week11"/>
    <x v="2"/>
    <s v="DRY2400114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474"/>
    <n v="474"/>
    <m/>
    <n v="0"/>
    <n v="0"/>
    <n v="0"/>
    <n v="2"/>
    <n v="0"/>
    <s v="ใช้ package new"/>
    <m/>
    <m/>
  </r>
  <r>
    <x v="71"/>
    <d v="2024-03-19T00:00:00"/>
    <x v="0"/>
    <s v="Week11"/>
    <x v="2"/>
    <s v="DRY240003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37"/>
    <n v="437"/>
    <m/>
    <n v="0"/>
    <n v="0"/>
    <m/>
    <m/>
    <m/>
    <m/>
    <m/>
    <m/>
  </r>
  <r>
    <x v="71"/>
    <d v="2024-03-19T00:00:00"/>
    <x v="0"/>
    <s v="Week11"/>
    <x v="2"/>
    <s v="DRY240004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71"/>
    <d v="2024-03-19T00:00:00"/>
    <x v="0"/>
    <s v="Week11"/>
    <x v="2"/>
    <s v="DRY240004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71"/>
    <d v="2024-03-19T00:00:00"/>
    <x v="0"/>
    <s v="Week11"/>
    <x v="2"/>
    <s v="DRY240004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71"/>
    <d v="2024-03-19T00:00:00"/>
    <x v="0"/>
    <s v="Week11"/>
    <x v="2"/>
    <s v="DRY240004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71"/>
    <d v="2024-03-19T00:00:00"/>
    <x v="0"/>
    <s v="Week11"/>
    <x v="2"/>
    <s v="DRY240004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43"/>
    <n v="343"/>
    <m/>
    <n v="0"/>
    <n v="0"/>
    <m/>
    <m/>
    <m/>
    <m/>
    <m/>
    <m/>
  </r>
  <r>
    <x v="71"/>
    <d v="2024-03-26T00:00:00"/>
    <x v="0"/>
    <s v="Week11"/>
    <x v="2"/>
    <s v="DRY2400114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452"/>
    <n v="452"/>
    <m/>
    <n v="0"/>
    <n v="0"/>
    <n v="0"/>
    <n v="2"/>
    <n v="0"/>
    <s v="ใช้ package new"/>
    <m/>
    <m/>
  </r>
  <r>
    <x v="72"/>
    <m/>
    <x v="0"/>
    <s v="Week11"/>
    <x v="2"/>
    <s v="DRY2400224"/>
    <s v="Korea"/>
    <s v="CPFNW"/>
    <s v="Consumer Package Commerce"/>
    <s v="Wonton"/>
    <s v="Cooked Wonton"/>
    <s v="Wonton Soup  (Enriched wonton sheet)"/>
    <s v="082S83U36005P00001"/>
    <s v="145g*6c*6in"/>
    <n v="36"/>
    <n v="5"/>
    <n v="7.4999999999999997E-3"/>
    <x v="5"/>
    <s v="Salt"/>
    <s v="Y3"/>
    <n v="1288"/>
    <n v="1257"/>
    <n v="31"/>
    <n v="0"/>
    <n v="0"/>
    <m/>
    <m/>
    <m/>
    <s v="NEWPACKAGE"/>
    <m/>
    <m/>
  </r>
  <r>
    <x v="72"/>
    <d v="2024-04-01T00:00:00"/>
    <x v="0"/>
    <s v="Week11"/>
    <x v="2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1752"/>
    <n v="1752"/>
    <m/>
    <n v="0"/>
    <n v="0"/>
    <m/>
    <m/>
    <m/>
    <s v="NEWPACKAGE"/>
    <m/>
    <m/>
  </r>
  <r>
    <x v="72"/>
    <d v="2024-03-26T00:00:00"/>
    <x v="0"/>
    <s v="Week11"/>
    <x v="2"/>
    <s v="DRY2400010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378"/>
    <m/>
    <n v="378"/>
    <n v="0"/>
    <n v="0"/>
    <m/>
    <m/>
    <m/>
    <m/>
    <m/>
    <m/>
  </r>
  <r>
    <x v="72"/>
    <d v="2024-04-02T00:00:00"/>
    <x v="0"/>
    <s v="Week11"/>
    <x v="2"/>
    <s v="DRY2400100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1400"/>
    <m/>
    <n v="1400"/>
    <n v="0"/>
    <n v="0"/>
    <m/>
    <m/>
    <m/>
    <m/>
    <m/>
    <m/>
  </r>
  <r>
    <x v="72"/>
    <d v="2024-03-27T00:00:00"/>
    <x v="0"/>
    <s v="Week11"/>
    <x v="2"/>
    <s v="DRY2400121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600"/>
    <m/>
    <n v="600"/>
    <n v="0"/>
    <n v="0"/>
    <m/>
    <m/>
    <m/>
    <m/>
    <m/>
    <m/>
  </r>
  <r>
    <x v="72"/>
    <d v="2024-04-18T00:00:00"/>
    <x v="0"/>
    <s v="Week11"/>
    <x v="2"/>
    <s v="DRY2400122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350"/>
    <m/>
    <n v="350"/>
    <n v="0"/>
    <n v="0"/>
    <m/>
    <m/>
    <m/>
    <m/>
    <m/>
    <m/>
  </r>
  <r>
    <x v="72"/>
    <d v="2024-03-19T00:00:00"/>
    <x v="0"/>
    <s v="Week11"/>
    <x v="2"/>
    <s v="KL2400008"/>
    <s v="China"/>
    <s v="China"/>
    <s v="Charoen Pokphand Import&amp;Export Trading (Shanghai) Co., Ltd"/>
    <s v="Wonton+TY"/>
    <s v="Cooked Wonton"/>
    <s v="Wonton Soup  (Enriched wonton sheet)"/>
    <s v="082S85J36005P00001"/>
    <s v="147g*6c*6in"/>
    <n v="36"/>
    <n v="5"/>
    <n v="7.4999999999999997E-3"/>
    <x v="1"/>
    <s v="Salt"/>
    <s v="TYEX+CO"/>
    <n v="145"/>
    <n v="145"/>
    <m/>
    <n v="0"/>
    <n v="0"/>
    <m/>
    <m/>
    <m/>
    <m/>
    <m/>
    <m/>
  </r>
  <r>
    <x v="72"/>
    <d v="2024-03-21T00:00:00"/>
    <x v="0"/>
    <s v="Week11"/>
    <x v="2"/>
    <s v="KL2400010"/>
    <s v="China"/>
    <s v="China"/>
    <s v="Charoen Pokphand Import&amp;Export Trading (Shanghai) Co., Ltd"/>
    <s v="Wonton+TY"/>
    <s v="Cooked Wonton"/>
    <s v="Wonton Soup  (Enriched wonton sheet)"/>
    <s v="082S85J36005P00001"/>
    <s v="147g*6c*6in"/>
    <n v="36"/>
    <n v="5"/>
    <n v="7.4999999999999997E-3"/>
    <x v="1"/>
    <s v="Salt"/>
    <s v="TYEX+CO"/>
    <n v="143"/>
    <n v="143"/>
    <m/>
    <n v="0"/>
    <n v="0"/>
    <m/>
    <m/>
    <m/>
    <m/>
    <m/>
    <m/>
  </r>
  <r>
    <x v="72"/>
    <d v="2024-04-25T00:00:00"/>
    <x v="0"/>
    <s v="Week11"/>
    <x v="2"/>
    <s v="DRY2300473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+CO"/>
    <n v="924"/>
    <n v="924"/>
    <m/>
    <n v="0"/>
    <n v="0"/>
    <m/>
    <m/>
    <m/>
    <m/>
    <m/>
    <m/>
  </r>
  <r>
    <x v="72"/>
    <d v="2024-03-26T00:00:00"/>
    <x v="0"/>
    <s v="Week11"/>
    <x v="2"/>
    <s v="DRY2400114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132"/>
    <n v="132"/>
    <m/>
    <n v="0"/>
    <n v="0"/>
    <n v="0"/>
    <n v="2"/>
    <n v="0"/>
    <s v="ใช้ package new"/>
    <m/>
    <m/>
  </r>
  <r>
    <x v="72"/>
    <d v="2024-04-02T00:00:00"/>
    <x v="0"/>
    <s v="Week11"/>
    <x v="2"/>
    <s v="DRY2400189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345"/>
    <n v="288"/>
    <n v="57"/>
    <n v="0"/>
    <n v="0"/>
    <n v="0"/>
    <n v="2"/>
    <n v="0"/>
    <m/>
    <m/>
    <m/>
  </r>
  <r>
    <x v="73"/>
    <d v="2024-03-19T00:00:00"/>
    <x v="0"/>
    <s v="Week11"/>
    <x v="2"/>
    <s v="DRY240004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49"/>
    <n v="449"/>
    <m/>
    <n v="0"/>
    <n v="0"/>
    <m/>
    <m/>
    <m/>
    <m/>
    <m/>
    <m/>
  </r>
  <r>
    <x v="73"/>
    <d v="2024-03-19T00:00:00"/>
    <x v="0"/>
    <s v="Week11"/>
    <x v="2"/>
    <s v="DRY240004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73"/>
    <d v="2024-03-19T00:00:00"/>
    <x v="0"/>
    <s v="Week11"/>
    <x v="2"/>
    <s v="DRY240004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73"/>
    <d v="2024-03-22T00:00:00"/>
    <x v="0"/>
    <s v="Week11"/>
    <x v="2"/>
    <s v="DRY240004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73"/>
    <d v="2024-03-22T00:00:00"/>
    <x v="0"/>
    <s v="Week11"/>
    <x v="2"/>
    <s v="DRY240004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62"/>
    <n v="662"/>
    <m/>
    <n v="0"/>
    <n v="0"/>
    <m/>
    <m/>
    <m/>
    <m/>
    <m/>
    <m/>
  </r>
  <r>
    <x v="73"/>
    <d v="2024-04-02T00:00:00"/>
    <x v="0"/>
    <s v="Week11"/>
    <x v="2"/>
    <s v="DRY2400189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536"/>
    <n v="536"/>
    <m/>
    <n v="0"/>
    <n v="0"/>
    <n v="0"/>
    <n v="2"/>
    <n v="0"/>
    <m/>
    <m/>
    <m/>
  </r>
  <r>
    <x v="74"/>
    <d v="2024-03-22T00:00:00"/>
    <x v="0"/>
    <s v="Week11"/>
    <x v="2"/>
    <s v="DRY240004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30"/>
    <n v="130"/>
    <m/>
    <n v="0"/>
    <n v="0"/>
    <m/>
    <m/>
    <m/>
    <m/>
    <m/>
    <m/>
  </r>
  <r>
    <x v="74"/>
    <d v="2024-03-22T00:00:00"/>
    <x v="0"/>
    <s v="Week11"/>
    <x v="2"/>
    <s v="DRY240004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74"/>
    <d v="2024-03-22T00:00:00"/>
    <x v="0"/>
    <s v="Week11"/>
    <x v="2"/>
    <s v="DRY240005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74"/>
    <d v="2024-03-22T00:00:00"/>
    <x v="0"/>
    <s v="Week11"/>
    <x v="2"/>
    <s v="DRY240005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74"/>
    <d v="2024-03-25T00:00:00"/>
    <x v="0"/>
    <s v="Week11"/>
    <x v="2"/>
    <s v="DRY240005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74"/>
    <d v="2024-03-25T00:00:00"/>
    <x v="0"/>
    <s v="Week11"/>
    <x v="2"/>
    <s v="DRY240005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96"/>
    <n v="596"/>
    <m/>
    <n v="0"/>
    <n v="0"/>
    <m/>
    <m/>
    <m/>
    <m/>
    <m/>
    <m/>
  </r>
  <r>
    <x v="74"/>
    <d v="2024-04-02T00:00:00"/>
    <x v="0"/>
    <s v="Week11"/>
    <x v="2"/>
    <s v="DRY2400189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453"/>
    <n v="453"/>
    <m/>
    <n v="0"/>
    <n v="0"/>
    <n v="0"/>
    <n v="2"/>
    <n v="0"/>
    <m/>
    <m/>
    <m/>
  </r>
  <r>
    <x v="75"/>
    <d v="2024-03-25T00:00:00"/>
    <x v="0"/>
    <s v="Week11"/>
    <x v="2"/>
    <s v="DRY240005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96"/>
    <n v="196"/>
    <m/>
    <n v="0"/>
    <n v="0"/>
    <m/>
    <m/>
    <m/>
    <m/>
    <m/>
    <m/>
  </r>
  <r>
    <x v="75"/>
    <d v="2024-03-25T00:00:00"/>
    <x v="0"/>
    <s v="Week11"/>
    <x v="2"/>
    <s v="DRY240005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75"/>
    <d v="2024-03-25T00:00:00"/>
    <x v="0"/>
    <s v="Week11"/>
    <x v="2"/>
    <s v="DRY240005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75"/>
    <d v="2024-03-25T00:00:00"/>
    <x v="0"/>
    <s v="Week11"/>
    <x v="2"/>
    <s v="DRY240005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75"/>
    <d v="2024-03-25T00:00:00"/>
    <x v="0"/>
    <s v="Week11"/>
    <x v="2"/>
    <s v="DRY240005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08"/>
    <n v="508"/>
    <m/>
    <n v="0"/>
    <n v="0"/>
    <m/>
    <m/>
    <m/>
    <m/>
    <m/>
    <m/>
  </r>
  <r>
    <x v="75"/>
    <d v="2024-03-26T00:00:00"/>
    <x v="0"/>
    <s v="Week11"/>
    <x v="2"/>
    <s v="DRY2400120"/>
    <s v="Denmark"/>
    <s v="CPFNW"/>
    <s v="CPF DENMARK"/>
    <s v="Wonton ND+V+TY"/>
    <s v="Cooked Wonton"/>
    <s v="Cooked Wonton ND No Egg with Pumpkin _x000a_+ Vegetable  HC  3 pcs tomyam"/>
    <s v="082SJKW08003P00001"/>
    <s v="309g*8"/>
    <n v="8"/>
    <n v="3"/>
    <n v="7.4999999999999997E-3"/>
    <x v="1"/>
    <s v="Salt"/>
    <s v="TYANS+CM"/>
    <n v="3500"/>
    <m/>
    <n v="3589.25"/>
    <n v="89.25"/>
    <n v="0"/>
    <m/>
    <m/>
    <m/>
    <s v="ต้มยำสูตรลดเผ็ดลง 10 %"/>
    <m/>
    <m/>
  </r>
  <r>
    <x v="75"/>
    <d v="2024-04-02T00:00:00"/>
    <x v="0"/>
    <s v="Week11"/>
    <x v="2"/>
    <s v="DRY2400189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290"/>
    <n v="290"/>
    <m/>
    <n v="0"/>
    <n v="0"/>
    <n v="0"/>
    <n v="2"/>
    <n v="0"/>
    <m/>
    <m/>
    <m/>
  </r>
  <r>
    <x v="75"/>
    <d v="2024-04-02T00:00:00"/>
    <x v="0"/>
    <s v="Week11"/>
    <x v="2"/>
    <s v="DRY2400192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288"/>
    <n v="256"/>
    <n v="32"/>
    <n v="0"/>
    <n v="0"/>
    <n v="0"/>
    <n v="6"/>
    <n v="0"/>
    <m/>
    <m/>
    <m/>
  </r>
  <r>
    <x v="76"/>
    <d v="2024-03-27T00:00:00"/>
    <x v="0"/>
    <s v="Week11"/>
    <x v="2"/>
    <s v="DRY2400121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1000"/>
    <n v="1000"/>
    <m/>
    <n v="0"/>
    <n v="0"/>
    <m/>
    <m/>
    <m/>
    <m/>
    <m/>
    <m/>
  </r>
  <r>
    <x v="76"/>
    <d v="2024-04-18T00:00:00"/>
    <x v="0"/>
    <s v="Week11"/>
    <x v="2"/>
    <s v="DRY2400122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800"/>
    <n v="800"/>
    <m/>
    <n v="0"/>
    <n v="0"/>
    <m/>
    <m/>
    <m/>
    <m/>
    <m/>
    <m/>
  </r>
  <r>
    <x v="76"/>
    <d v="2024-03-25T00:00:00"/>
    <x v="0"/>
    <s v="Week11"/>
    <x v="2"/>
    <s v="DRY240005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84"/>
    <n v="284"/>
    <m/>
    <n v="0"/>
    <n v="0"/>
    <m/>
    <m/>
    <m/>
    <m/>
    <m/>
    <m/>
  </r>
  <r>
    <x v="76"/>
    <d v="2024-03-26T00:00:00"/>
    <x v="0"/>
    <s v="Week11"/>
    <x v="2"/>
    <s v="DRY240005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76"/>
    <d v="2024-03-26T00:00:00"/>
    <x v="0"/>
    <s v="Week11"/>
    <x v="2"/>
    <s v="DRY240005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76"/>
    <d v="2024-03-26T00:00:00"/>
    <x v="0"/>
    <s v="Week11"/>
    <x v="2"/>
    <s v="DRY240006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03"/>
    <n v="303"/>
    <m/>
    <n v="0"/>
    <n v="0"/>
    <m/>
    <m/>
    <m/>
    <m/>
    <m/>
    <m/>
  </r>
  <r>
    <x v="77"/>
    <d v="2024-04-01T00:00:00"/>
    <x v="0"/>
    <s v="Week12"/>
    <x v="2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5061"/>
    <n v="5061"/>
    <m/>
    <n v="0"/>
    <n v="0"/>
    <m/>
    <m/>
    <m/>
    <s v="NEWPACKAGE"/>
    <m/>
    <m/>
  </r>
  <r>
    <x v="77"/>
    <d v="2024-04-02T00:00:00"/>
    <x v="0"/>
    <s v="Week12"/>
    <x v="2"/>
    <s v="DRY2400192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510"/>
    <n v="510"/>
    <m/>
    <n v="0"/>
    <n v="0"/>
    <n v="0"/>
    <n v="6"/>
    <n v="0"/>
    <m/>
    <m/>
    <m/>
  </r>
  <r>
    <x v="78"/>
    <d v="2024-04-03T00:00:00"/>
    <x v="0"/>
    <s v="Week12"/>
    <x v="2"/>
    <s v="DRY2400106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m/>
    <m/>
    <m/>
    <s v="NEWPACKAGE"/>
    <m/>
    <m/>
  </r>
  <r>
    <x v="78"/>
    <d v="2024-03-26T00:00:00"/>
    <x v="0"/>
    <s v="Week12"/>
    <x v="2"/>
    <s v="DRY240006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89"/>
    <n v="489"/>
    <m/>
    <n v="0"/>
    <n v="0"/>
    <m/>
    <m/>
    <m/>
    <m/>
    <m/>
    <m/>
  </r>
  <r>
    <x v="78"/>
    <d v="2024-03-26T00:00:00"/>
    <x v="0"/>
    <s v="Week12"/>
    <x v="2"/>
    <s v="DRY240006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78"/>
    <d v="2024-03-27T00:00:00"/>
    <x v="0"/>
    <s v="Week12"/>
    <x v="2"/>
    <s v="DRY240006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78"/>
    <d v="2024-03-27T00:00:00"/>
    <x v="0"/>
    <s v="Week12"/>
    <x v="2"/>
    <s v="DRY240006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45"/>
    <n v="245"/>
    <m/>
    <n v="0"/>
    <n v="0"/>
    <m/>
    <m/>
    <m/>
    <m/>
    <m/>
    <m/>
  </r>
  <r>
    <x v="78"/>
    <d v="2024-04-02T00:00:00"/>
    <x v="0"/>
    <s v="Week12"/>
    <x v="2"/>
    <s v="DRY2400192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508"/>
    <n v="508"/>
    <m/>
    <n v="0"/>
    <n v="0"/>
    <n v="0"/>
    <n v="6"/>
    <n v="0"/>
    <m/>
    <m/>
    <m/>
  </r>
  <r>
    <x v="79"/>
    <d v="2024-04-01T00:00:00"/>
    <x v="0"/>
    <s v="Week12"/>
    <x v="2"/>
    <s v="ขายภายใน"/>
    <s v="MTFS"/>
    <s v="CPFGS"/>
    <s v="ซีพีเอฟ เทรดดิ้ง"/>
    <s v="E+Wonton"/>
    <s v="Cooked Wonton"/>
    <s v="Cooked Wonton  with egg V-Food"/>
    <s v="082S83Q12005P05000"/>
    <s v="145g*12"/>
    <n v="12"/>
    <n v="5"/>
    <n v="8.0000000000000002E-3"/>
    <x v="1"/>
    <s v="STPP"/>
    <s v="Regular"/>
    <n v="12"/>
    <n v="12"/>
    <m/>
    <n v="0"/>
    <n v="0"/>
    <m/>
    <m/>
    <m/>
    <m/>
    <m/>
    <m/>
  </r>
  <r>
    <x v="79"/>
    <m/>
    <x v="0"/>
    <s v="Week12"/>
    <x v="2"/>
    <s v="ขายภายใน"/>
    <s v="MTFS"/>
    <s v="CPFGS"/>
    <s v="ซีพีเอฟ เทรดดิ้ง"/>
    <s v="E+Wonton"/>
    <s v="Cooked Wonton"/>
    <s v="Cooked Wonton  with egg V-Food"/>
    <s v="082S83Q12005P05001"/>
    <s v="145g*12"/>
    <n v="12"/>
    <n v="5"/>
    <n v="8.0000000000000002E-3"/>
    <x v="1"/>
    <s v="STPP"/>
    <s v="Regular"/>
    <n v="1953"/>
    <n v="1953"/>
    <m/>
    <n v="0"/>
    <n v="0"/>
    <m/>
    <m/>
    <m/>
    <m/>
    <m/>
    <m/>
  </r>
  <r>
    <x v="79"/>
    <d v="2024-04-01T00:00:00"/>
    <x v="0"/>
    <s v="Week12"/>
    <x v="2"/>
    <s v="ขายภายใน"/>
    <s v="MTFS"/>
    <s v="CPFGS"/>
    <s v="ซีพีเอฟ เทรดดิ้ง"/>
    <s v="E+Wonton TY"/>
    <s v="Cooked Wonton"/>
    <s v="Cooked Wonton Tomyum with egg.V-Food TY"/>
    <s v="082S83Q12005P04001"/>
    <s v="115g*12"/>
    <n v="12"/>
    <n v="5"/>
    <n v="8.0000000000000002E-3"/>
    <x v="1"/>
    <s v="STPP"/>
    <s v="TYTB3C 30G"/>
    <n v="403"/>
    <n v="403"/>
    <m/>
    <n v="0"/>
    <n v="0"/>
    <m/>
    <n v="1"/>
    <n v="0"/>
    <m/>
    <m/>
    <m/>
  </r>
  <r>
    <x v="79"/>
    <d v="2024-03-21T00:00:00"/>
    <x v="0"/>
    <s v="Week12"/>
    <x v="2"/>
    <s v="ขายภายใน"/>
    <s v="MTFS"/>
    <s v="CPFGS"/>
    <s v="ซีพีเอฟ เทรดดิ้ง"/>
    <s v="E+Wonton+หมาล่า"/>
    <s v="Cooked Wonton"/>
    <s v="เกี๊ยวกุ้งซุปหมาล่าแพ็คสุดคุ้ม (ตรา ซีพี)"/>
    <s v="082S83Q18005P06001"/>
    <s v="143g*18"/>
    <n v="18"/>
    <n v="5"/>
    <n v="6.1999999999999998E-3"/>
    <x v="2"/>
    <s v="STPP"/>
    <s v="หมาล่า"/>
    <n v="647"/>
    <n v="647"/>
    <m/>
    <n v="0"/>
    <n v="0"/>
    <m/>
    <m/>
    <m/>
    <m/>
    <m/>
    <m/>
  </r>
  <r>
    <x v="79"/>
    <d v="2024-03-27T00:00:00"/>
    <x v="0"/>
    <s v="Week12"/>
    <x v="2"/>
    <s v="ขายภายใน"/>
    <s v=".7-11"/>
    <s v="CPFGS"/>
    <s v="ซีพีเอฟ เทรดดิ้ง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808"/>
    <n v="808"/>
    <m/>
    <n v="0"/>
    <n v="0"/>
    <m/>
    <m/>
    <m/>
    <m/>
    <m/>
    <m/>
  </r>
  <r>
    <x v="79"/>
    <m/>
    <x v="0"/>
    <s v="Week12"/>
    <x v="2"/>
    <s v="ขายภายใน"/>
    <s v=".7-11"/>
    <s v="CPFGS"/>
    <s v="ซีพีเอฟ เทรดดิ้ง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3621"/>
    <n v="1089"/>
    <n v="2532"/>
    <n v="0"/>
    <n v="0"/>
    <m/>
    <m/>
    <m/>
    <m/>
    <m/>
    <m/>
  </r>
  <r>
    <x v="79"/>
    <d v="2024-04-02T00:00:00"/>
    <x v="0"/>
    <s v="Week12"/>
    <x v="2"/>
    <s v="DRY2400192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504"/>
    <n v="504"/>
    <m/>
    <n v="0"/>
    <n v="0"/>
    <n v="0"/>
    <n v="6"/>
    <n v="0"/>
    <m/>
    <m/>
    <m/>
  </r>
  <r>
    <x v="80"/>
    <m/>
    <x v="0"/>
    <s v="Week12"/>
    <x v="2"/>
    <s v="ขายภายใน"/>
    <s v="MTFS"/>
    <s v="CPFGS"/>
    <s v="ซีพีเอฟ เทรดดิ้ง"/>
    <s v="E+Wonton NDE"/>
    <s v="Cooked Wonton"/>
    <s v="Cooked Wonton ND with egg V-Food"/>
    <s v="082SJ3Q12003P07001"/>
    <s v="226g*12"/>
    <n v="12"/>
    <n v="3"/>
    <n v="8.0000000000000002E-3"/>
    <x v="1"/>
    <s v="STPP"/>
    <s v="Regular"/>
    <n v="774"/>
    <m/>
    <n v="774"/>
    <n v="0"/>
    <n v="0"/>
    <m/>
    <m/>
    <m/>
    <m/>
    <m/>
    <m/>
  </r>
  <r>
    <x v="80"/>
    <d v="2024-04-01T00:00:00"/>
    <x v="0"/>
    <s v="Week12"/>
    <x v="2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4408"/>
    <n v="3152"/>
    <n v="1256.2916666666667"/>
    <n v="0.29166666666696983"/>
    <n v="0"/>
    <m/>
    <m/>
    <m/>
    <m/>
    <m/>
    <m/>
  </r>
  <r>
    <x v="80"/>
    <m/>
    <x v="0"/>
    <s v="Week12"/>
    <x v="2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1723"/>
    <n v="1682"/>
    <n v="41.333333333333336"/>
    <n v="0.33333333333325754"/>
    <n v="0"/>
    <m/>
    <n v="1"/>
    <n v="0"/>
    <m/>
    <m/>
    <m/>
  </r>
  <r>
    <x v="80"/>
    <d v="2024-04-02T00:00:00"/>
    <x v="0"/>
    <s v="Week12"/>
    <x v="2"/>
    <s v="DRY2400192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246"/>
    <n v="246"/>
    <m/>
    <n v="0"/>
    <n v="0"/>
    <n v="0"/>
    <n v="6"/>
    <n v="0"/>
    <m/>
    <m/>
    <m/>
  </r>
  <r>
    <x v="80"/>
    <d v="2024-04-09T00:00:00"/>
    <x v="0"/>
    <s v="Week12"/>
    <x v="2"/>
    <s v="DRY2400113"/>
    <s v="Belgium"/>
    <s v="CPFNW"/>
    <s v="CPF EUROPE S.A."/>
    <s v="R-Wonton no egg"/>
    <s v="Raw Wonton"/>
    <s v="Raw Wonton 50 pcs"/>
    <s v="082I93I10050P02001"/>
    <s v="630g*10inner"/>
    <n v="10"/>
    <n v="50"/>
    <n v="8.1300000000000001E-3"/>
    <x v="1"/>
    <s v="Salt"/>
    <s v="ซุปซอง 5g."/>
    <n v="240"/>
    <n v="230"/>
    <n v="10"/>
    <n v="0"/>
    <n v="0"/>
    <n v="0"/>
    <n v="6"/>
    <n v="0"/>
    <m/>
    <m/>
    <m/>
  </r>
  <r>
    <x v="81"/>
    <d v="2024-03-27T00:00:00"/>
    <x v="0"/>
    <s v="Week12"/>
    <x v="2"/>
    <s v="DRY240006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47"/>
    <n v="547"/>
    <m/>
    <n v="0"/>
    <n v="0"/>
    <m/>
    <m/>
    <m/>
    <m/>
    <m/>
    <m/>
  </r>
  <r>
    <x v="81"/>
    <d v="2024-03-27T00:00:00"/>
    <x v="0"/>
    <s v="Week12"/>
    <x v="2"/>
    <s v="DRY240006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81"/>
    <d v="2024-03-27T00:00:00"/>
    <x v="0"/>
    <s v="Week12"/>
    <x v="2"/>
    <s v="DRY240006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81"/>
    <d v="2024-03-27T00:00:00"/>
    <x v="0"/>
    <s v="Week12"/>
    <x v="2"/>
    <s v="DRY240006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67"/>
    <n v="767"/>
    <m/>
    <n v="0"/>
    <n v="0"/>
    <m/>
    <m/>
    <m/>
    <m/>
    <m/>
    <m/>
  </r>
  <r>
    <x v="81"/>
    <d v="2024-04-09T00:00:00"/>
    <x v="0"/>
    <s v="Week12"/>
    <x v="2"/>
    <s v="DRY2400113"/>
    <s v="Belgium"/>
    <s v="CPFNW"/>
    <s v="CPF EUROPE S.A."/>
    <s v="R-Wonton no egg"/>
    <s v="Raw Wonton"/>
    <s v="Raw Wonton 50 pcs"/>
    <s v="082I93I10050P02001"/>
    <s v="630g*10inner"/>
    <n v="10"/>
    <n v="50"/>
    <n v="8.1300000000000001E-3"/>
    <x v="1"/>
    <s v="Salt"/>
    <s v="ซุปซอง 5g."/>
    <n v="260"/>
    <n v="221"/>
    <n v="39"/>
    <n v="0"/>
    <n v="0"/>
    <n v="0"/>
    <n v="6"/>
    <n v="0"/>
    <m/>
    <m/>
    <m/>
  </r>
  <r>
    <x v="81"/>
    <d v="2024-04-05T00:00:00"/>
    <x v="0"/>
    <s v="Week12"/>
    <x v="2"/>
    <s v="KL2400001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286"/>
    <n v="238"/>
    <n v="48"/>
    <n v="0"/>
    <n v="0"/>
    <n v="0"/>
    <n v="6"/>
    <n v="0"/>
    <m/>
    <m/>
    <m/>
  </r>
  <r>
    <x v="82"/>
    <d v="2024-03-26T00:00:00"/>
    <x v="0"/>
    <s v="Week12"/>
    <x v="2"/>
    <s v="DRY240006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5"/>
    <n v="25"/>
    <m/>
    <n v="0"/>
    <n v="0"/>
    <m/>
    <m/>
    <m/>
    <m/>
    <m/>
    <m/>
  </r>
  <r>
    <x v="82"/>
    <d v="2024-03-26T00:00:00"/>
    <x v="0"/>
    <s v="Week12"/>
    <x v="2"/>
    <s v="DRY240006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82"/>
    <d v="2024-03-27T00:00:00"/>
    <x v="0"/>
    <s v="Week12"/>
    <x v="2"/>
    <s v="DRY240006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82"/>
    <d v="2024-03-27T00:00:00"/>
    <x v="0"/>
    <s v="Week12"/>
    <x v="2"/>
    <s v="DRY240006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82"/>
    <d v="2024-03-27T00:00:00"/>
    <x v="0"/>
    <s v="Week12"/>
    <x v="2"/>
    <s v="DRY240007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82"/>
    <d v="2024-03-28T00:00:00"/>
    <x v="0"/>
    <s v="Week12"/>
    <x v="2"/>
    <s v="DRY240007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55"/>
    <n v="655"/>
    <m/>
    <n v="0"/>
    <n v="0"/>
    <m/>
    <m/>
    <m/>
    <m/>
    <m/>
    <m/>
  </r>
  <r>
    <x v="82"/>
    <d v="2024-04-05T00:00:00"/>
    <x v="0"/>
    <s v="Week12"/>
    <x v="2"/>
    <s v="KL2400001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539"/>
    <n v="539"/>
    <m/>
    <n v="0"/>
    <n v="0"/>
    <n v="0"/>
    <n v="6"/>
    <n v="0"/>
    <m/>
    <m/>
    <m/>
  </r>
  <r>
    <x v="83"/>
    <d v="2024-04-12T00:00:00"/>
    <x v="0"/>
    <s v="Week12"/>
    <x v="2"/>
    <s v="DRY2400180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1773"/>
    <m/>
    <n v="1773.25"/>
    <n v="0.25"/>
    <n v="0"/>
    <m/>
    <m/>
    <m/>
    <s v="NEWPACKAGE"/>
    <m/>
    <m/>
  </r>
  <r>
    <x v="83"/>
    <d v="2024-04-04T00:00:00"/>
    <x v="0"/>
    <s v="Week12"/>
    <x v="2"/>
    <s v="DRY2400103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63"/>
    <n v="29"/>
    <n v="0"/>
    <n v="0"/>
    <m/>
    <m/>
    <m/>
    <m/>
    <m/>
    <m/>
  </r>
  <r>
    <x v="83"/>
    <d v="2024-04-18T00:00:00"/>
    <x v="0"/>
    <s v="Week12"/>
    <x v="2"/>
    <s v="DRY2400101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83"/>
    <d v="2024-04-05T00:00:00"/>
    <x v="0"/>
    <s v="Week12"/>
    <x v="2"/>
    <s v="DRY2400156"/>
    <s v="New Zealand"/>
    <s v="CPFNW"/>
    <s v="Lim Brothers"/>
    <s v="Wonton ND+V"/>
    <s v="Cooked Wonton"/>
    <s v="Cooked Wonton ND No Egg with Pumpkin_x000a_+ Yu Choy "/>
    <s v="082SJN708004P00001"/>
    <s v="305g*8"/>
    <n v="8"/>
    <n v="4"/>
    <n v="7.4999999999999997E-3"/>
    <x v="5"/>
    <s v="Salt"/>
    <s v="Regular"/>
    <n v="810"/>
    <m/>
    <n v="810"/>
    <n v="0"/>
    <n v="0"/>
    <m/>
    <m/>
    <m/>
    <s v="NEWPACKAGE"/>
    <m/>
    <m/>
  </r>
  <r>
    <x v="83"/>
    <d v="2024-04-10T00:00:00"/>
    <x v="0"/>
    <s v="Week12"/>
    <x v="2"/>
    <s v="DRY2400217"/>
    <s v="AUS"/>
    <s v="CPFNW"/>
    <s v="CPF Australia Pty Ltd."/>
    <s v="Wonton ND+V"/>
    <s v="Cooked Wonton"/>
    <s v="Cooked Wonton ND No Egg with Pumpkin_x000a_+ Yu Choy "/>
    <s v="082SJ9U08004P00001"/>
    <s v="305g*8"/>
    <n v="8"/>
    <n v="4"/>
    <n v="7.4999999999999997E-3"/>
    <x v="5"/>
    <s v="Salt"/>
    <s v="Regular"/>
    <n v="1000"/>
    <m/>
    <n v="1003.75"/>
    <n v="3.75"/>
    <n v="0"/>
    <m/>
    <m/>
    <m/>
    <m/>
    <m/>
    <m/>
  </r>
  <r>
    <x v="83"/>
    <d v="2024-04-09T00:00:00"/>
    <x v="0"/>
    <s v="Week12"/>
    <x v="2"/>
    <s v="DRY2400113"/>
    <s v="Belgium"/>
    <s v="CPFNW"/>
    <s v="CPF EUROPE S.A."/>
    <s v="Wonton ND+V"/>
    <s v="Cooked Wonton"/>
    <s v="Cooked Wonton ND No Egg with Pumpkin _x000a_+ Vegetable  HC  3 pcs"/>
    <s v="082SJ3I08003P00001"/>
    <s v="309g*8"/>
    <n v="8"/>
    <n v="3"/>
    <n v="7.4999999999999997E-3"/>
    <x v="5"/>
    <s v="Salt"/>
    <s v="Regular"/>
    <n v="800"/>
    <m/>
    <n v="816.25"/>
    <n v="16.25"/>
    <n v="0"/>
    <m/>
    <m/>
    <m/>
    <m/>
    <m/>
    <m/>
  </r>
  <r>
    <x v="83"/>
    <d v="2024-04-02T00:00:00"/>
    <x v="0"/>
    <s v="Week12"/>
    <x v="2"/>
    <s v="DRY2400115"/>
    <s v="Germany"/>
    <s v="CPFNW"/>
    <s v=" CPF Distribution (under Paulsen Food)"/>
    <s v="Wonton ND+V"/>
    <s v="Cooked Wonton"/>
    <s v="Cooked Wonton ND No Egg with Pumpkin _x000a_+ Vegetable  HC  3 pcs"/>
    <s v="082SJ3N12003P01001"/>
    <s v="309g*12"/>
    <n v="12"/>
    <n v="3"/>
    <n v="7.4999999999999997E-3"/>
    <x v="5"/>
    <s v="Salt"/>
    <s v="Regular"/>
    <n v="2040"/>
    <m/>
    <n v="2040"/>
    <n v="0"/>
    <n v="0"/>
    <m/>
    <m/>
    <m/>
    <s v="Newpackage330x330x234 mm.=2040+238"/>
    <m/>
    <m/>
  </r>
  <r>
    <x v="83"/>
    <d v="2024-04-02T00:00:00"/>
    <x v="0"/>
    <s v="Week12"/>
    <x v="2"/>
    <s v="DRY2400118"/>
    <s v="Germany"/>
    <s v="CPFNW"/>
    <s v=" CPF Distribution (under Paulsen Food)"/>
    <s v="Minced ND+V+TK"/>
    <s v="Cooked Wonton"/>
    <s v="Cooked Minced  ND No Egg with Pumpkin_x000a_+ Yu Choy Tomkha"/>
    <s v="082SR3N12003P01001"/>
    <s v="302g*12"/>
    <n v="12"/>
    <n v="3"/>
    <n v="6.0000000000000001E-3"/>
    <x v="4"/>
    <s v="Salt"/>
    <s v="Tomkha+CM"/>
    <n v="2040"/>
    <m/>
    <n v="2040"/>
    <n v="0"/>
    <n v="0"/>
    <m/>
    <m/>
    <m/>
    <s v="Newpackage330x330x234 mm.=2040+238"/>
    <m/>
    <m/>
  </r>
  <r>
    <x v="83"/>
    <d v="2024-04-05T00:00:00"/>
    <x v="0"/>
    <s v="Week12"/>
    <x v="2"/>
    <s v="DRY2400156"/>
    <s v="New Zealand"/>
    <s v="CPFNW"/>
    <s v="Lim Brothers"/>
    <s v="Minced ND+V+TK"/>
    <s v="Cooked Wonton"/>
    <s v="Cooked Minced  ND No Egg with Pumpkin_x000a_+ Yu Choy Tomkha"/>
    <s v="082SRN708003P01001"/>
    <s v="302g*8"/>
    <n v="8"/>
    <n v="3"/>
    <n v="6.0000000000000001E-3"/>
    <x v="4"/>
    <s v="Salt"/>
    <s v="Tomkha+CM"/>
    <n v="162"/>
    <m/>
    <n v="206.5"/>
    <n v="44.5"/>
    <n v="0"/>
    <m/>
    <m/>
    <m/>
    <s v="NEWPACKAGE"/>
    <m/>
    <m/>
  </r>
  <r>
    <x v="83"/>
    <d v="2024-05-27T00:00:00"/>
    <x v="0"/>
    <s v="Week12"/>
    <x v="2"/>
    <s v="DRY2400304"/>
    <s v="BRUNEI"/>
    <s v="CPFNW"/>
    <s v="Ben Foods"/>
    <s v="Minced ND+V+TK"/>
    <s v="Cooked Wonton"/>
    <s v="Cooked Minced  ND No Egg with Pumpkin_x000a_+ Yu Choy Tomkha"/>
    <s v="082SRB508003P01001"/>
    <s v="302g*8"/>
    <n v="8"/>
    <n v="3"/>
    <n v="6.0000000000000001E-3"/>
    <x v="4"/>
    <s v="Salt"/>
    <s v="Tomkha+CM"/>
    <n v="150"/>
    <n v="120"/>
    <n v="62.25"/>
    <n v="32.25"/>
    <n v="0"/>
    <m/>
    <m/>
    <m/>
    <s v="NEWPACKAGE"/>
    <m/>
    <m/>
  </r>
  <r>
    <x v="84"/>
    <d v="2024-03-29T00:00:00"/>
    <x v="0"/>
    <s v="Week13"/>
    <x v="2"/>
    <s v="DRY2400184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153"/>
    <n v="135"/>
    <n v="0"/>
    <n v="0"/>
    <m/>
    <m/>
    <m/>
    <s v="NEWPACKAGE"/>
    <m/>
    <m/>
  </r>
  <r>
    <x v="84"/>
    <d v="2024-03-29T00:00:00"/>
    <x v="0"/>
    <s v="Week13"/>
    <x v="2"/>
    <s v="DRY2400186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s v="NEWPACKAGE"/>
    <m/>
    <m/>
  </r>
  <r>
    <x v="84"/>
    <d v="2024-03-29T00:00:00"/>
    <x v="0"/>
    <s v="Week13"/>
    <x v="2"/>
    <s v="DRY2400185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692"/>
    <n v="692"/>
    <m/>
    <n v="0"/>
    <n v="0"/>
    <m/>
    <m/>
    <m/>
    <s v="NEWPACKAGE"/>
    <m/>
    <m/>
  </r>
  <r>
    <x v="84"/>
    <d v="2024-04-09T00:00:00"/>
    <x v="0"/>
    <s v="Week13"/>
    <x v="2"/>
    <s v="DRY2400113"/>
    <s v="Belgium"/>
    <s v="CPFNW"/>
    <s v="CPF EUROPE S.A."/>
    <s v="Wonton +V"/>
    <s v="Cooked Wonton"/>
    <s v="Cooked Wonton  No Egg _x000a_+ Vegetable  HC  4 pcs"/>
    <s v="082S83I08004P00001"/>
    <s v="145g*8"/>
    <n v="8"/>
    <n v="4"/>
    <n v="7.4999999999999997E-3"/>
    <x v="5"/>
    <s v="Salt"/>
    <s v="Regular"/>
    <n v="2000"/>
    <m/>
    <n v="2211"/>
    <n v="211"/>
    <n v="0"/>
    <m/>
    <m/>
    <m/>
    <m/>
    <m/>
    <m/>
  </r>
  <r>
    <x v="84"/>
    <d v="2024-04-05T00:00:00"/>
    <x v="0"/>
    <s v="Week13"/>
    <x v="2"/>
    <s v="KL2400001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538"/>
    <n v="538"/>
    <m/>
    <n v="0"/>
    <n v="0"/>
    <n v="0"/>
    <n v="6"/>
    <n v="0"/>
    <m/>
    <m/>
    <m/>
  </r>
  <r>
    <x v="85"/>
    <d v="2024-03-29T00:00:00"/>
    <x v="0"/>
    <s v="Week13"/>
    <x v="2"/>
    <s v="DRY2400185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596"/>
    <n v="596"/>
    <m/>
    <n v="0"/>
    <n v="0"/>
    <m/>
    <m/>
    <m/>
    <s v="NEWPACKAGE"/>
    <m/>
    <m/>
  </r>
  <r>
    <x v="85"/>
    <d v="2024-04-10T00:00:00"/>
    <x v="0"/>
    <s v="Week13"/>
    <x v="2"/>
    <s v="DRY2400227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s v="NEWPACKAGE"/>
    <m/>
    <m/>
  </r>
  <r>
    <x v="85"/>
    <d v="2024-04-10T00:00:00"/>
    <x v="0"/>
    <s v="Week13"/>
    <x v="2"/>
    <s v="DRY2400310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s v="NEWPACKAGE"/>
    <m/>
    <m/>
  </r>
  <r>
    <x v="85"/>
    <d v="2024-04-10T00:00:00"/>
    <x v="0"/>
    <s v="Week13"/>
    <x v="2"/>
    <s v="DRY2400311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023"/>
    <n v="280.52777777777777"/>
    <n v="15.527777777777828"/>
    <n v="0"/>
    <m/>
    <m/>
    <m/>
    <s v="NEWPACKAGE"/>
    <m/>
    <m/>
  </r>
  <r>
    <x v="85"/>
    <d v="2024-04-05T00:00:00"/>
    <x v="0"/>
    <s v="Week13"/>
    <x v="2"/>
    <s v="KL2400001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45"/>
    <n v="45"/>
    <m/>
    <n v="0"/>
    <n v="0"/>
    <n v="0"/>
    <n v="6"/>
    <n v="0"/>
    <m/>
    <m/>
    <m/>
  </r>
  <r>
    <x v="85"/>
    <d v="2024-04-01T00:00:00"/>
    <x v="0"/>
    <s v="Week13"/>
    <x v="2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153"/>
    <n v="153"/>
    <m/>
    <n v="0"/>
    <n v="0"/>
    <n v="0"/>
    <m/>
    <n v="0"/>
    <m/>
    <m/>
    <m/>
  </r>
  <r>
    <x v="85"/>
    <d v="2024-04-01T00:00:00"/>
    <x v="0"/>
    <s v="Week13"/>
    <x v="2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37"/>
    <n v="37"/>
    <m/>
    <n v="0"/>
    <n v="0"/>
    <n v="0"/>
    <m/>
    <n v="0"/>
    <m/>
    <m/>
    <m/>
  </r>
  <r>
    <x v="85"/>
    <d v="2024-04-10T00:00:00"/>
    <x v="0"/>
    <s v="Week13"/>
    <x v="2"/>
    <s v="DRY2400200"/>
    <s v="SG"/>
    <s v="CPFNW"/>
    <s v="CPI SINGAPORE"/>
    <s v="R-Wonton egg past"/>
    <s v="Raw Wonton"/>
    <s v="Raw Wonton 8 pcs"/>
    <s v="082I93B20008P00001"/>
    <s v="194g*20in"/>
    <n v="20"/>
    <n v="8"/>
    <n v="1.4999999999999999E-2"/>
    <x v="6"/>
    <s v="STPP"/>
    <s v="ซุปซอง 5g."/>
    <n v="500"/>
    <n v="500"/>
    <m/>
    <n v="0"/>
    <n v="0"/>
    <n v="0"/>
    <n v="2"/>
    <n v="0"/>
    <s v="ห่อแบบดิบ"/>
    <m/>
    <m/>
  </r>
  <r>
    <x v="86"/>
    <d v="2024-04-05T00:00:00"/>
    <x v="0"/>
    <s v="Week13"/>
    <x v="2"/>
    <s v="DRY2400156"/>
    <s v="New Zealand"/>
    <s v="CPFNW"/>
    <s v="Lim Brothers"/>
    <s v="Minced ND+Kee Mao"/>
    <s v="Cooked Wonton"/>
    <s v="Cooked Minced Wonton Thai Spicy Noodles (Kee Mao Noodles)"/>
    <s v="082SRN708003P02001"/>
    <s v="219g*8"/>
    <n v="8"/>
    <n v="3"/>
    <n v="6.0000000000000001E-3"/>
    <x v="4"/>
    <s v="Salt"/>
    <s v="Kee Mao 50G."/>
    <n v="162"/>
    <m/>
    <n v="175.25"/>
    <n v="13.25"/>
    <n v="0"/>
    <m/>
    <m/>
    <m/>
    <s v="NEWPACKAGE"/>
    <m/>
    <m/>
  </r>
  <r>
    <x v="86"/>
    <d v="2024-04-10T00:00:00"/>
    <x v="0"/>
    <s v="Week13"/>
    <x v="2"/>
    <s v="DRY2400108"/>
    <s v="Netherlands"/>
    <s v="CPFNW"/>
    <s v="Westbridge Foods Limited (One UK)"/>
    <s v="Wonton"/>
    <s v="Cooked Wonton"/>
    <s v="Wonton Soup No Egg  "/>
    <s v="082S8WE36005P00001"/>
    <s v="148g*6c*6in"/>
    <n v="36"/>
    <n v="5"/>
    <n v="7.4999999999999997E-3"/>
    <x v="5"/>
    <s v="Salt"/>
    <s v="Regular"/>
    <n v="1288"/>
    <n v="1288"/>
    <m/>
    <n v="0"/>
    <n v="0"/>
    <m/>
    <m/>
    <m/>
    <s v="ใช้ package ที่เป็น หมึกพิมพ์ใหม่"/>
    <m/>
    <m/>
  </r>
  <r>
    <x v="86"/>
    <d v="2024-04-17T00:00:00"/>
    <x v="0"/>
    <s v="Week13"/>
    <x v="2"/>
    <s v="DRY2400109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m/>
    <m/>
    <m/>
    <s v="ใช้ package ที่เป็น หมึกพิมพ์ใหม่"/>
    <m/>
    <m/>
  </r>
  <r>
    <x v="86"/>
    <d v="2024-04-18T00:00:00"/>
    <x v="0"/>
    <s v="Week13"/>
    <x v="2"/>
    <s v="DRY2400215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320"/>
    <n v="999.44444444444446"/>
    <n v="31.444444444444343"/>
    <n v="0"/>
    <m/>
    <m/>
    <m/>
    <m/>
    <m/>
    <m/>
  </r>
  <r>
    <x v="86"/>
    <d v="2024-04-10T00:00:00"/>
    <x v="0"/>
    <s v="Week13"/>
    <x v="2"/>
    <s v="DRY2400201"/>
    <s v="SG"/>
    <s v="CPFNW"/>
    <s v="CPI SINGAPORE"/>
    <s v="R-Minced egg past"/>
    <s v="Raw Wonton"/>
    <s v="Raw Minced Wonton 8 pcs"/>
    <s v="082ID3B18008P00001"/>
    <s v="90g*18in"/>
    <n v="18"/>
    <n v="8"/>
    <n v="5.0000000000000001E-3"/>
    <x v="4"/>
    <s v="STPP"/>
    <s v="ซุปซอง 5g."/>
    <n v="300"/>
    <n v="300"/>
    <m/>
    <n v="0"/>
    <n v="0"/>
    <n v="0"/>
    <n v="2"/>
    <n v="0"/>
    <m/>
    <m/>
    <m/>
  </r>
  <r>
    <x v="86"/>
    <d v="2024-05-02T00:00:00"/>
    <x v="0"/>
    <s v="Week13"/>
    <x v="2"/>
    <s v="DRY2400294"/>
    <s v="HK"/>
    <s v="CPFNW"/>
    <s v="CPM Hongkong"/>
    <s v="R-Minced egg past"/>
    <s v="Raw Wonton"/>
    <s v="Raw Minced Wonton 8 pcs"/>
    <s v="082ID3G18008P00001"/>
    <s v="90g*18in"/>
    <n v="18"/>
    <n v="8"/>
    <n v="6.0000000000000001E-3"/>
    <x v="4"/>
    <s v="STPP"/>
    <s v="ซุปซอง 5g."/>
    <n v="200"/>
    <n v="200"/>
    <n v="31"/>
    <n v="31"/>
    <n v="0"/>
    <n v="0"/>
    <n v="2"/>
    <n v="0"/>
    <m/>
    <m/>
    <m/>
  </r>
  <r>
    <x v="86"/>
    <d v="2024-04-24T00:00:00"/>
    <x v="0"/>
    <s v="Week13"/>
    <x v="2"/>
    <s v="DRY2400188"/>
    <s v="Malay"/>
    <s v="CPFNW"/>
    <s v="CPM Malaysia"/>
    <s v="R-Wonton egg past"/>
    <s v="Raw Wonton"/>
    <s v="Raw Wonton 12 pcs"/>
    <s v="082I95I20012P02001"/>
    <s v="154g*20inner"/>
    <n v="20"/>
    <n v="12"/>
    <n v="6.8100000000000001E-3"/>
    <x v="3"/>
    <s v="STPP"/>
    <s v="ซุปซอง 5g."/>
    <n v="350"/>
    <m/>
    <n v="350"/>
    <n v="0"/>
    <n v="0"/>
    <n v="0"/>
    <n v="2"/>
    <n v="0"/>
    <s v="NEWPACKAGE"/>
    <m/>
    <m/>
  </r>
  <r>
    <x v="86"/>
    <d v="2024-04-10T00:00:00"/>
    <x v="0"/>
    <s v="Week13"/>
    <x v="2"/>
    <s v="DRY2400198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212"/>
    <n v="212"/>
    <m/>
    <n v="0"/>
    <n v="0"/>
    <n v="0"/>
    <n v="2"/>
    <n v="0"/>
    <s v="ห่อแบบสุก"/>
    <m/>
    <m/>
  </r>
  <r>
    <x v="87"/>
    <d v="2024-03-30T00:00:00"/>
    <x v="0"/>
    <s v="Week13"/>
    <x v="2"/>
    <s v="ชดเชยของกัก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93"/>
    <n v="493"/>
    <m/>
    <n v="0"/>
    <n v="0"/>
    <m/>
    <m/>
    <m/>
    <m/>
    <m/>
    <m/>
  </r>
  <r>
    <x v="87"/>
    <d v="2024-03-30T00:00:00"/>
    <x v="0"/>
    <s v="Week13"/>
    <x v="2"/>
    <s v="ชดเชยของกัก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87"/>
    <d v="2024-04-01T00:00:00"/>
    <x v="0"/>
    <s v="Week13"/>
    <x v="2"/>
    <s v="ชดเชยของกัก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87"/>
    <d v="2024-04-01T00:00:00"/>
    <x v="0"/>
    <s v="Week13"/>
    <x v="2"/>
    <s v="ชดเชยของกัก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87"/>
    <d v="2024-04-01T00:00:00"/>
    <x v="0"/>
    <s v="Week13"/>
    <x v="2"/>
    <s v="ชดเชยของกัก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87"/>
    <d v="2024-04-01T00:00:00"/>
    <x v="0"/>
    <s v="Week13"/>
    <x v="2"/>
    <s v="ชดเชยของกัก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44"/>
    <n v="444"/>
    <m/>
    <n v="0"/>
    <n v="0"/>
    <m/>
    <m/>
    <m/>
    <m/>
    <m/>
    <m/>
  </r>
  <r>
    <x v="87"/>
    <d v="2024-04-10T00:00:00"/>
    <x v="0"/>
    <s v="Week13"/>
    <x v="2"/>
    <s v="DRY2400198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988"/>
    <n v="988"/>
    <m/>
    <n v="0"/>
    <n v="0"/>
    <n v="0"/>
    <n v="2"/>
    <n v="0"/>
    <s v="ห่อแบบสุก"/>
    <m/>
    <m/>
  </r>
  <r>
    <x v="88"/>
    <d v="2024-04-01T00:00:00"/>
    <x v="0"/>
    <s v="Week13"/>
    <x v="2"/>
    <s v="ชดเชยของกัก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48"/>
    <n v="348"/>
    <m/>
    <n v="0"/>
    <n v="0"/>
    <m/>
    <m/>
    <m/>
    <m/>
    <m/>
    <m/>
  </r>
  <r>
    <x v="88"/>
    <d v="2024-04-01T00:00:00"/>
    <x v="0"/>
    <s v="Week13"/>
    <x v="2"/>
    <s v="ชดเชยของกัก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56"/>
    <n v="656"/>
    <m/>
    <n v="0"/>
    <n v="0"/>
    <m/>
    <m/>
    <m/>
    <m/>
    <m/>
    <m/>
  </r>
  <r>
    <x v="88"/>
    <d v="2024-04-01T00:00:00"/>
    <x v="0"/>
    <s v="Week13"/>
    <x v="2"/>
    <s v="DRY240007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36"/>
    <n v="136"/>
    <m/>
    <n v="0"/>
    <n v="0"/>
    <m/>
    <m/>
    <m/>
    <m/>
    <m/>
    <m/>
  </r>
  <r>
    <x v="88"/>
    <d v="2024-04-04T00:00:00"/>
    <x v="0"/>
    <s v="Week13"/>
    <x v="2"/>
    <s v="DRY240007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88"/>
    <d v="2024-04-04T00:00:00"/>
    <x v="0"/>
    <s v="Week13"/>
    <x v="2"/>
    <s v="DRY240007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88"/>
    <d v="2024-04-04T00:00:00"/>
    <x v="0"/>
    <s v="Week13"/>
    <x v="2"/>
    <s v="DRY240007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88"/>
    <d v="2024-04-04T00:00:00"/>
    <x v="0"/>
    <s v="Week13"/>
    <x v="2"/>
    <s v="DRY240007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96"/>
    <n v="296"/>
    <m/>
    <n v="0"/>
    <n v="0"/>
    <m/>
    <m/>
    <m/>
    <m/>
    <m/>
    <m/>
  </r>
  <r>
    <x v="88"/>
    <d v="2024-04-26T00:00:00"/>
    <x v="0"/>
    <s v="Week13"/>
    <x v="2"/>
    <s v="DRY2400303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400"/>
    <n v="387"/>
    <n v="13"/>
    <n v="0"/>
    <n v="0"/>
    <n v="0"/>
    <n v="6"/>
    <n v="0"/>
    <m/>
    <m/>
    <m/>
  </r>
  <r>
    <x v="88"/>
    <d v="2024-04-19T00:00:00"/>
    <x v="0"/>
    <s v="Week13"/>
    <x v="2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199"/>
    <n v="110"/>
    <n v="89"/>
    <n v="0"/>
    <n v="0"/>
    <n v="0"/>
    <m/>
    <n v="0"/>
    <m/>
    <m/>
    <m/>
  </r>
  <r>
    <x v="89"/>
    <d v="2024-04-04T00:00:00"/>
    <x v="0"/>
    <s v="Week13"/>
    <x v="2"/>
    <s v="DRY240007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96"/>
    <n v="496"/>
    <m/>
    <n v="0"/>
    <n v="0"/>
    <m/>
    <m/>
    <m/>
    <m/>
    <m/>
    <m/>
  </r>
  <r>
    <x v="89"/>
    <d v="2024-04-04T00:00:00"/>
    <x v="0"/>
    <s v="Week13"/>
    <x v="2"/>
    <s v="DRY240007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89"/>
    <d v="2024-04-04T00:00:00"/>
    <x v="0"/>
    <s v="Week13"/>
    <x v="2"/>
    <s v="DRY240007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89"/>
    <d v="2024-04-04T00:00:00"/>
    <x v="0"/>
    <s v="Week13"/>
    <x v="2"/>
    <s v="DRY240007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92"/>
    <n v="392"/>
    <m/>
    <n v="0"/>
    <n v="0"/>
    <m/>
    <m/>
    <m/>
    <m/>
    <m/>
    <m/>
  </r>
  <r>
    <x v="89"/>
    <d v="2024-04-09T00:00:00"/>
    <x v="0"/>
    <s v="Week13"/>
    <x v="2"/>
    <s v="DRY2400228"/>
    <s v="UK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+CO"/>
    <n v="924"/>
    <n v="888"/>
    <n v="36"/>
    <n v="0"/>
    <n v="0"/>
    <m/>
    <m/>
    <m/>
    <s v="SGS ตรวจพิเศษเพิ่ม 40%"/>
    <m/>
    <m/>
  </r>
  <r>
    <x v="89"/>
    <d v="2024-04-09T00:00:00"/>
    <x v="0"/>
    <s v="Week13"/>
    <x v="2"/>
    <s v="DRY2400229"/>
    <s v="UK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+CO"/>
    <n v="924"/>
    <n v="924"/>
    <m/>
    <n v="0"/>
    <n v="0"/>
    <m/>
    <m/>
    <m/>
    <s v="SGS ตรวจพิเศษเพิ่ม 40%"/>
    <m/>
    <m/>
  </r>
  <r>
    <x v="89"/>
    <d v="2024-05-02T00:00:00"/>
    <x v="0"/>
    <s v="Week13"/>
    <x v="2"/>
    <s v="DRY2400294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1600"/>
    <n v="1381"/>
    <n v="231"/>
    <n v="12"/>
    <n v="0"/>
    <n v="0"/>
    <n v="1"/>
    <n v="0"/>
    <m/>
    <m/>
    <m/>
  </r>
  <r>
    <x v="90"/>
    <m/>
    <x v="0"/>
    <s v="Week13"/>
    <x v="2"/>
    <m/>
    <m/>
    <m/>
    <m/>
    <m/>
    <m/>
    <m/>
    <m/>
    <m/>
    <m/>
    <m/>
    <m/>
    <x v="0"/>
    <m/>
    <m/>
    <m/>
    <m/>
    <m/>
    <m/>
    <m/>
    <m/>
    <m/>
    <m/>
    <m/>
    <m/>
    <m/>
  </r>
  <r>
    <x v="91"/>
    <d v="2024-04-04T00:00:00"/>
    <x v="0"/>
    <s v="Week14"/>
    <x v="3"/>
    <s v="ขายภายใน"/>
    <s v=".7-11"/>
    <s v="CPFGS"/>
    <s v="ซีพีเอฟ เทรดดิ้ง"/>
    <s v="Wonton ND+V+TY"/>
    <s v="Cooked Wonton"/>
    <s v="Cooked Wonton ND+ Vegetable  SS  3 pcs"/>
    <s v="082SJ1A12003P02001"/>
    <s v="211g*12"/>
    <n v="12"/>
    <n v="3"/>
    <n v="6.1999999999999998E-3"/>
    <x v="2"/>
    <s v="STPP"/>
    <s v="TYNSF"/>
    <n v="9952"/>
    <n v="9952"/>
    <m/>
    <n v="0"/>
    <n v="0"/>
    <m/>
    <m/>
    <m/>
    <m/>
    <m/>
    <m/>
  </r>
  <r>
    <x v="92"/>
    <d v="2024-04-04T00:00:00"/>
    <x v="0"/>
    <s v="Week14"/>
    <x v="3"/>
    <s v="DRY240007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00"/>
    <n v="400"/>
    <m/>
    <n v="0"/>
    <n v="0"/>
    <m/>
    <m/>
    <m/>
    <m/>
    <m/>
    <m/>
  </r>
  <r>
    <x v="92"/>
    <d v="2024-04-04T00:00:00"/>
    <x v="0"/>
    <s v="Week14"/>
    <x v="3"/>
    <s v="DRY240007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92"/>
    <d v="2024-04-05T00:00:00"/>
    <x v="0"/>
    <s v="Week14"/>
    <x v="3"/>
    <s v="DRY240008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92"/>
    <d v="2024-04-05T00:00:00"/>
    <x v="0"/>
    <s v="Week14"/>
    <x v="3"/>
    <s v="DRY240008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92"/>
    <d v="2024-04-05T00:00:00"/>
    <x v="0"/>
    <s v="Week14"/>
    <x v="3"/>
    <s v="DRY240008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92"/>
    <d v="2024-04-06T00:00:00"/>
    <x v="0"/>
    <s v="Week14"/>
    <x v="3"/>
    <s v="DRY240008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64"/>
    <n v="564"/>
    <m/>
    <n v="0"/>
    <n v="0"/>
    <m/>
    <m/>
    <m/>
    <m/>
    <m/>
    <m/>
  </r>
  <r>
    <x v="93"/>
    <d v="2024-04-12T00:00:00"/>
    <x v="0"/>
    <s v="Week14"/>
    <x v="3"/>
    <s v="DRY2400180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827"/>
    <m/>
    <n v="827"/>
    <n v="0"/>
    <n v="0"/>
    <m/>
    <m/>
    <m/>
    <m/>
    <m/>
    <m/>
  </r>
  <r>
    <x v="93"/>
    <d v="2024-04-24T00:00:00"/>
    <x v="0"/>
    <s v="Week14"/>
    <x v="3"/>
    <s v="DRY2400364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m/>
    <m/>
    <m/>
    <m/>
    <m/>
    <m/>
  </r>
  <r>
    <x v="93"/>
    <d v="2024-04-26T00:00:00"/>
    <x v="0"/>
    <s v="Week14"/>
    <x v="3"/>
    <s v="DRY2400303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1200"/>
    <m/>
    <n v="1200"/>
    <n v="0"/>
    <n v="0"/>
    <m/>
    <m/>
    <m/>
    <m/>
    <m/>
    <m/>
  </r>
  <r>
    <x v="93"/>
    <d v="2024-04-10T00:00:00"/>
    <x v="0"/>
    <s v="Week14"/>
    <x v="3"/>
    <s v="DRY2400199"/>
    <s v="SG"/>
    <s v="CPFNW"/>
    <s v="CPI SINGAPORE"/>
    <s v="Wonton"/>
    <s v="Cooked Wonton"/>
    <s v="Cooked Wonton No Egg"/>
    <s v="082S83B24005P07001"/>
    <s v="145g*24"/>
    <n v="24"/>
    <n v="5"/>
    <n v="8.0000000000000002E-3"/>
    <x v="1"/>
    <s v="STPP"/>
    <s v="Regular"/>
    <n v="250"/>
    <n v="250"/>
    <m/>
    <n v="0"/>
    <n v="0"/>
    <m/>
    <m/>
    <m/>
    <m/>
    <m/>
    <m/>
  </r>
  <r>
    <x v="93"/>
    <d v="2024-04-24T00:00:00"/>
    <x v="0"/>
    <s v="Week14"/>
    <x v="3"/>
    <s v="DRY2400188"/>
    <s v="Malay"/>
    <s v="CPFNW"/>
    <s v="CPM Malaysia"/>
    <s v="Wonton"/>
    <s v="Cooked Wonton"/>
    <s v="Cooked Wonton No Egg  "/>
    <s v="082S85I24005P01001"/>
    <s v="145g*24"/>
    <n v="24"/>
    <n v="5"/>
    <n v="8.0000000000000002E-3"/>
    <x v="1"/>
    <s v="STPP"/>
    <s v="Regular"/>
    <n v="900"/>
    <n v="900"/>
    <n v="3.625"/>
    <n v="3.625"/>
    <n v="0"/>
    <m/>
    <m/>
    <m/>
    <m/>
    <m/>
    <m/>
  </r>
  <r>
    <x v="93"/>
    <d v="2024-04-09T00:00:00"/>
    <x v="0"/>
    <s v="Week14"/>
    <x v="3"/>
    <s v="DRY2400225"/>
    <s v="Korea"/>
    <s v="CPFNW"/>
    <s v="Consumer Package Commerce"/>
    <s v="Wonton+TY"/>
    <s v="Cooked Wonton"/>
    <s v="Wonton Soup  (Enriched wonton sheet) tom yum"/>
    <s v="082S83U36005P01001"/>
    <s v="147g*6c*6in"/>
    <n v="36"/>
    <n v="5"/>
    <n v="7.4999999999999997E-3"/>
    <x v="1"/>
    <s v="Salt"/>
    <s v="TYEX+CO"/>
    <n v="1288"/>
    <n v="1288"/>
    <m/>
    <n v="0"/>
    <n v="0"/>
    <m/>
    <m/>
    <m/>
    <m/>
    <m/>
    <m/>
  </r>
  <r>
    <x v="94"/>
    <d v="2024-04-06T00:00:00"/>
    <x v="0"/>
    <s v="Week14"/>
    <x v="3"/>
    <s v="DRY240008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28"/>
    <n v="228"/>
    <m/>
    <n v="0"/>
    <n v="0"/>
    <m/>
    <m/>
    <m/>
    <m/>
    <m/>
    <m/>
  </r>
  <r>
    <x v="94"/>
    <d v="2024-04-06T00:00:00"/>
    <x v="0"/>
    <s v="Week14"/>
    <x v="3"/>
    <s v="DRY240008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94"/>
    <d v="2024-04-06T00:00:00"/>
    <x v="0"/>
    <s v="Week14"/>
    <x v="3"/>
    <s v="DRY240008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94"/>
    <d v="2024-04-10T00:00:00"/>
    <x v="0"/>
    <s v="Week14"/>
    <x v="3"/>
    <s v="DRY240008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0"/>
    <n v="40"/>
    <m/>
    <n v="0"/>
    <n v="0"/>
    <m/>
    <m/>
    <m/>
    <m/>
    <m/>
    <m/>
  </r>
  <r>
    <x v="94"/>
    <d v="2024-04-17T00:00:00"/>
    <x v="0"/>
    <s v="Week14"/>
    <x v="3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3067"/>
    <n v="3067"/>
    <m/>
    <n v="0"/>
    <n v="0"/>
    <m/>
    <m/>
    <m/>
    <m/>
    <m/>
    <m/>
  </r>
  <r>
    <x v="95"/>
    <d v="2024-04-23T00:00:00"/>
    <x v="0"/>
    <s v="Week14"/>
    <x v="3"/>
    <s v="DRY2400258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2400"/>
    <m/>
    <n v="2400"/>
    <n v="0"/>
    <n v="0"/>
    <m/>
    <m/>
    <m/>
    <m/>
    <m/>
    <m/>
  </r>
  <r>
    <x v="95"/>
    <d v="2024-04-26T00:00:00"/>
    <x v="0"/>
    <s v="Week14"/>
    <x v="3"/>
    <s v="DRY2400303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1200"/>
    <m/>
    <n v="1200"/>
    <n v="0"/>
    <n v="0"/>
    <m/>
    <m/>
    <m/>
    <m/>
    <m/>
    <m/>
  </r>
  <r>
    <x v="95"/>
    <d v="2024-04-24T00:00:00"/>
    <x v="0"/>
    <s v="Week14"/>
    <x v="3"/>
    <s v="DRY2400188"/>
    <s v="Malay"/>
    <s v="CPFNW"/>
    <s v="CPM Malaysia"/>
    <s v="Wonton TY"/>
    <s v="Cooked Wonton"/>
    <s v="Cooked Wonton No Egg  TY"/>
    <s v="082S85I24005P02001"/>
    <s v="115g*24"/>
    <n v="24"/>
    <n v="5"/>
    <n v="8.0000000000000002E-3"/>
    <x v="1"/>
    <s v="STPP"/>
    <s v="TYTB3C 30G"/>
    <n v="850"/>
    <n v="850"/>
    <n v="10.625"/>
    <n v="10.625"/>
    <n v="0"/>
    <m/>
    <n v="1"/>
    <n v="0"/>
    <m/>
    <m/>
    <m/>
  </r>
  <r>
    <x v="95"/>
    <d v="2024-04-17T00:00:00"/>
    <x v="0"/>
    <s v="Week14"/>
    <x v="3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4247"/>
    <n v="4247"/>
    <m/>
    <n v="0"/>
    <n v="0"/>
    <m/>
    <m/>
    <m/>
    <m/>
    <m/>
    <m/>
  </r>
  <r>
    <x v="96"/>
    <d v="2024-04-25T00:00:00"/>
    <x v="0"/>
    <s v="Week14"/>
    <x v="3"/>
    <s v="DRY2400216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68"/>
    <n v="20"/>
    <n v="0"/>
    <n v="0"/>
    <m/>
    <m/>
    <m/>
    <m/>
    <m/>
    <m/>
  </r>
  <r>
    <x v="96"/>
    <d v="2024-04-22T00:00:00"/>
    <x v="0"/>
    <s v="Week14"/>
    <x v="3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3430"/>
    <n v="3430"/>
    <m/>
    <n v="0"/>
    <n v="0"/>
    <m/>
    <m/>
    <m/>
    <s v="NEWPACKAGE"/>
    <m/>
    <m/>
  </r>
  <r>
    <x v="97"/>
    <m/>
    <x v="0"/>
    <s v="Week14"/>
    <x v="3"/>
    <m/>
    <m/>
    <m/>
    <m/>
    <m/>
    <m/>
    <m/>
    <m/>
    <m/>
    <m/>
    <m/>
    <m/>
    <x v="0"/>
    <m/>
    <m/>
    <m/>
    <m/>
    <m/>
    <m/>
    <m/>
    <m/>
    <m/>
    <m/>
    <m/>
    <m/>
    <m/>
  </r>
  <r>
    <x v="98"/>
    <d v="2024-04-10T00:00:00"/>
    <x v="0"/>
    <s v="Week15"/>
    <x v="3"/>
    <s v="DRY240008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52"/>
    <n v="752"/>
    <m/>
    <n v="0"/>
    <n v="0"/>
    <m/>
    <m/>
    <m/>
    <m/>
    <m/>
    <m/>
  </r>
  <r>
    <x v="98"/>
    <d v="2024-04-10T00:00:00"/>
    <x v="0"/>
    <s v="Week15"/>
    <x v="3"/>
    <s v="DRY240008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98"/>
    <d v="2024-04-12T00:00:00"/>
    <x v="0"/>
    <s v="Week15"/>
    <x v="3"/>
    <s v="DRY240008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98"/>
    <d v="2024-04-17T00:00:00"/>
    <x v="0"/>
    <s v="Week15"/>
    <x v="3"/>
    <s v="DRY240012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98"/>
    <d v="2024-04-17T00:00:00"/>
    <x v="0"/>
    <s v="Week15"/>
    <x v="3"/>
    <s v="DRY240012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98"/>
    <d v="2024-04-17T00:00:00"/>
    <x v="0"/>
    <s v="Week15"/>
    <x v="3"/>
    <s v="DRY240012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38"/>
    <n v="338"/>
    <m/>
    <n v="0"/>
    <n v="0"/>
    <m/>
    <m/>
    <m/>
    <m/>
    <m/>
    <m/>
  </r>
  <r>
    <x v="99"/>
    <d v="2024-04-17T00:00:00"/>
    <x v="0"/>
    <s v="Week15"/>
    <x v="3"/>
    <s v="ขายภายใน"/>
    <s v="MTFS"/>
    <s v="CPFGS"/>
    <s v="ซีพีเอฟ เทรดดิ้ง"/>
    <s v="E+Wonton"/>
    <s v="Cooked Wonton"/>
    <s v="Cooked Wonton  with egg V-Food"/>
    <s v="082S83Q12005P05001"/>
    <s v="145g*12"/>
    <n v="12"/>
    <n v="5"/>
    <n v="8.0000000000000002E-3"/>
    <x v="1"/>
    <s v="STPP"/>
    <s v="Regular"/>
    <n v="2722"/>
    <n v="2722"/>
    <m/>
    <n v="0"/>
    <n v="0"/>
    <m/>
    <m/>
    <m/>
    <m/>
    <m/>
    <m/>
  </r>
  <r>
    <x v="99"/>
    <d v="2024-04-11T00:00:00"/>
    <x v="0"/>
    <s v="Week15"/>
    <x v="3"/>
    <s v="ขายภายใน"/>
    <s v="MTFS"/>
    <s v="CPFGS"/>
    <s v="ซีพีเอฟ เทรดดิ้ง"/>
    <s v="E+Wonton+หมาล่า"/>
    <s v="Cooked Wonton"/>
    <s v="เกี๊ยวกุ้งจักรพรรดิซุปหมาล่า (ตรา ซีพี)_MT"/>
    <s v="082S83Q18005P06001"/>
    <s v="143g*18"/>
    <n v="18"/>
    <n v="5"/>
    <n v="6.1999999999999998E-3"/>
    <x v="2"/>
    <s v="STPP"/>
    <s v="หมาล่า"/>
    <n v="1959"/>
    <n v="1959"/>
    <m/>
    <n v="0"/>
    <n v="0"/>
    <m/>
    <m/>
    <m/>
    <m/>
    <m/>
    <m/>
  </r>
  <r>
    <x v="99"/>
    <d v="2024-05-06T00:00:00"/>
    <x v="0"/>
    <s v="Week15"/>
    <x v="3"/>
    <s v="ขายภายใน"/>
    <s v="MTFS"/>
    <s v="CPFGS"/>
    <s v="ซีพีเอฟ เทรดดิ้ง"/>
    <s v="E+Wonton+หมาล่า"/>
    <s v="Cooked Wonton"/>
    <s v="เกี๊ยวกุ้งจักรพรรดิซุปหมาล่า (ตรา ซีพี)_MT"/>
    <s v="082S83Q12005P06001"/>
    <s v="143g*12"/>
    <n v="12"/>
    <n v="5"/>
    <n v="6.1999999999999998E-3"/>
    <x v="2"/>
    <s v="STPP"/>
    <s v="หมาล่า"/>
    <n v="437"/>
    <n v="437"/>
    <m/>
    <n v="0"/>
    <n v="0"/>
    <m/>
    <m/>
    <m/>
    <m/>
    <m/>
    <m/>
  </r>
  <r>
    <x v="99"/>
    <d v="2024-04-12T00:00:00"/>
    <x v="0"/>
    <s v="Week15"/>
    <x v="3"/>
    <s v="ขายภายใน"/>
    <s v=".7-11"/>
    <s v="CPFGS"/>
    <s v="ซีพีเอฟ เทรดดิ้ง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3098"/>
    <n v="3098"/>
    <m/>
    <n v="0"/>
    <n v="0"/>
    <m/>
    <m/>
    <m/>
    <m/>
    <m/>
    <m/>
  </r>
  <r>
    <x v="100"/>
    <d v="2024-04-17T00:00:00"/>
    <x v="0"/>
    <s v="Week15"/>
    <x v="3"/>
    <s v="ขายภายใน"/>
    <s v="MTFS"/>
    <s v="CPFGS"/>
    <s v="ซีพีเอฟ เทรดดิ้ง"/>
    <s v="E+Wonton NDE"/>
    <s v="Cooked Wonton"/>
    <s v="Cooked Wonton ND with egg V-Food"/>
    <s v="082SJ3Q12003P07001"/>
    <s v="226g*12"/>
    <n v="12"/>
    <n v="3"/>
    <n v="8.0000000000000002E-3"/>
    <x v="1"/>
    <s v="STPP"/>
    <s v="Regular"/>
    <n v="385"/>
    <n v="385"/>
    <m/>
    <n v="0"/>
    <n v="0"/>
    <m/>
    <m/>
    <m/>
    <m/>
    <m/>
    <m/>
  </r>
  <r>
    <x v="100"/>
    <d v="2024-04-17T00:00:00"/>
    <x v="0"/>
    <s v="Week15"/>
    <x v="3"/>
    <s v="ขายภายใน"/>
    <s v="MTFS"/>
    <s v="CPFGS"/>
    <s v="ซีพีเอฟ เทรดดิ้ง"/>
    <s v="E+Wonton"/>
    <s v="Cooked Wonton"/>
    <s v="Cooked Wonton  with egg V-Food"/>
    <s v="082S83Q12005P05001"/>
    <s v="145g*12"/>
    <n v="12"/>
    <n v="5"/>
    <n v="8.0000000000000002E-3"/>
    <x v="1"/>
    <s v="STPP"/>
    <s v="Regular"/>
    <n v="1914"/>
    <n v="1914"/>
    <m/>
    <n v="0"/>
    <n v="0"/>
    <m/>
    <m/>
    <m/>
    <m/>
    <m/>
    <m/>
  </r>
  <r>
    <x v="100"/>
    <d v="2024-04-17T00:00:00"/>
    <x v="0"/>
    <s v="Week15"/>
    <x v="3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789"/>
    <n v="789"/>
    <m/>
    <n v="0"/>
    <n v="0"/>
    <m/>
    <n v="1"/>
    <n v="0"/>
    <m/>
    <m/>
    <m/>
  </r>
  <r>
    <x v="100"/>
    <d v="2024-04-17T00:00:00"/>
    <x v="0"/>
    <s v="Week15"/>
    <x v="3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4355"/>
    <n v="4355"/>
    <m/>
    <n v="0"/>
    <n v="0"/>
    <m/>
    <m/>
    <m/>
    <m/>
    <m/>
    <m/>
  </r>
  <r>
    <x v="100"/>
    <d v="2024-04-17T00:00:00"/>
    <x v="0"/>
    <s v="Week15"/>
    <x v="3"/>
    <s v="ขายภายใน"/>
    <s v="MTFS"/>
    <s v="CPFGS"/>
    <s v="ซีพีเอฟ เทรดดิ้ง"/>
    <s v="E+Wonton TY"/>
    <s v="Cooked Wonton"/>
    <s v="Cooked Wonton Tomyum with egg.V-Food TY"/>
    <s v="082S83Q12005P04001"/>
    <s v="115g*12"/>
    <n v="12"/>
    <n v="5"/>
    <n v="8.0000000000000002E-3"/>
    <x v="1"/>
    <s v="STPP"/>
    <s v="TYTB3C 30G"/>
    <n v="759"/>
    <n v="759"/>
    <m/>
    <n v="0"/>
    <n v="0"/>
    <m/>
    <n v="1"/>
    <n v="0"/>
    <m/>
    <m/>
    <m/>
  </r>
  <r>
    <x v="101"/>
    <d v="2024-04-17T00:00:00"/>
    <x v="0"/>
    <s v="Week15"/>
    <x v="3"/>
    <s v="DRY2400122"/>
    <s v="USA"/>
    <s v="CPFNW"/>
    <s v="Bellisio Foods, Inc."/>
    <s v="Minced ND+V"/>
    <s v="Cooked Wonton"/>
    <s v="Cooked Wonton ND No Egg with Pumpkin_x000a_+ Yu Choy Low sodium"/>
    <s v="082SRBW24005P01001"/>
    <s v="308g*4c*6in"/>
    <n v="24"/>
    <n v="5"/>
    <n v="6.0000000000000001E-3"/>
    <x v="4"/>
    <s v="Salt"/>
    <s v="Y3"/>
    <n v="200"/>
    <n v="187"/>
    <n v="13"/>
    <n v="0"/>
    <n v="0"/>
    <m/>
    <m/>
    <m/>
    <s v="ขอใช้ผักแบบไม่ล้าง"/>
    <m/>
    <m/>
  </r>
  <r>
    <x v="101"/>
    <d v="2024-04-17T00:00:00"/>
    <x v="0"/>
    <s v="Week15"/>
    <x v="3"/>
    <s v="DRY240012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54"/>
    <n v="454"/>
    <m/>
    <n v="0"/>
    <n v="0"/>
    <m/>
    <m/>
    <m/>
    <m/>
    <m/>
    <m/>
  </r>
  <r>
    <x v="101"/>
    <d v="2024-04-17T00:00:00"/>
    <x v="0"/>
    <s v="Week15"/>
    <x v="3"/>
    <s v="DRY240012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78"/>
    <n v="678"/>
    <m/>
    <n v="0"/>
    <n v="0"/>
    <m/>
    <m/>
    <m/>
    <m/>
    <m/>
    <m/>
  </r>
  <r>
    <x v="101"/>
    <d v="2024-04-25T00:00:00"/>
    <x v="0"/>
    <s v="Week15"/>
    <x v="3"/>
    <s v="DRY2400295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79"/>
    <n v="13"/>
    <n v="0"/>
    <n v="0"/>
    <m/>
    <m/>
    <m/>
    <m/>
    <m/>
    <m/>
  </r>
  <r>
    <x v="101"/>
    <d v="2024-04-17T00:00:00"/>
    <x v="0"/>
    <s v="Week15"/>
    <x v="3"/>
    <s v="ขายภายใน"/>
    <s v=".7-11"/>
    <s v="CPFGS"/>
    <s v="ซีพีเอฟ เทรดดิ้ง"/>
    <s v="Wonton ND+V+TY"/>
    <s v="Cooked Wonton"/>
    <s v="Cooked Wonton ND+ Vegetable  SS  3 pcs"/>
    <s v="082SJ1A12003P02001"/>
    <s v="211g*12"/>
    <n v="12"/>
    <n v="3"/>
    <n v="6.1999999999999998E-3"/>
    <x v="2"/>
    <s v="STPP"/>
    <s v="TYNSF"/>
    <n v="48"/>
    <n v="48"/>
    <m/>
    <n v="0"/>
    <n v="0"/>
    <m/>
    <m/>
    <m/>
    <m/>
    <m/>
    <m/>
  </r>
  <r>
    <x v="101"/>
    <d v="2024-04-17T00:00:00"/>
    <x v="0"/>
    <s v="Week15"/>
    <x v="3"/>
    <s v="ขายภายใน"/>
    <s v=".7-11"/>
    <s v="CPFGS"/>
    <s v="ซีพีเอฟ เทรดดิ้ง"/>
    <s v="Wonton ND+V+TY"/>
    <s v="Cooked Wonton"/>
    <s v="Cooked Wonton ND+ Vegetable  SS  3 pcs"/>
    <s v="082SJ1A12003P02001"/>
    <s v="211g*12"/>
    <n v="12"/>
    <n v="3"/>
    <n v="6.1999999999999998E-3"/>
    <x v="2"/>
    <s v="STPP"/>
    <s v="TYNSF"/>
    <n v="6000"/>
    <n v="5964"/>
    <n v="36"/>
    <n v="0"/>
    <n v="0"/>
    <m/>
    <m/>
    <m/>
    <m/>
    <m/>
    <m/>
  </r>
  <r>
    <x v="102"/>
    <d v="2024-04-17T00:00:00"/>
    <x v="0"/>
    <s v="Week15"/>
    <x v="3"/>
    <s v="DRY240012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14"/>
    <n v="114"/>
    <m/>
    <n v="0"/>
    <n v="0"/>
    <m/>
    <m/>
    <m/>
    <m/>
    <m/>
    <m/>
  </r>
  <r>
    <x v="102"/>
    <d v="2024-04-17T00:00:00"/>
    <x v="0"/>
    <s v="Week15"/>
    <x v="3"/>
    <s v="DRY240012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02"/>
    <d v="2024-04-18T00:00:00"/>
    <x v="0"/>
    <s v="Week15"/>
    <x v="3"/>
    <s v="DRY240012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02"/>
    <d v="2024-04-18T00:00:00"/>
    <x v="0"/>
    <s v="Week15"/>
    <x v="3"/>
    <s v="DRY240012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02"/>
    <d v="2024-04-18T00:00:00"/>
    <x v="0"/>
    <s v="Week15"/>
    <x v="3"/>
    <s v="DRY240013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02"/>
    <d v="2024-04-22T00:00:00"/>
    <x v="0"/>
    <s v="Week15"/>
    <x v="3"/>
    <s v="DRY240013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96"/>
    <n v="696"/>
    <m/>
    <n v="0"/>
    <n v="0"/>
    <m/>
    <m/>
    <m/>
    <m/>
    <m/>
    <m/>
  </r>
  <r>
    <x v="103"/>
    <m/>
    <x v="0"/>
    <s v="Week15"/>
    <x v="3"/>
    <m/>
    <m/>
    <m/>
    <m/>
    <m/>
    <m/>
    <m/>
    <m/>
    <m/>
    <m/>
    <m/>
    <m/>
    <x v="0"/>
    <m/>
    <m/>
    <m/>
    <m/>
    <m/>
    <m/>
    <m/>
    <m/>
    <m/>
    <m/>
    <m/>
    <m/>
    <m/>
  </r>
  <r>
    <x v="104"/>
    <m/>
    <x v="0"/>
    <s v="Week15"/>
    <x v="3"/>
    <m/>
    <m/>
    <m/>
    <m/>
    <m/>
    <m/>
    <m/>
    <m/>
    <m/>
    <m/>
    <m/>
    <m/>
    <x v="0"/>
    <m/>
    <m/>
    <m/>
    <m/>
    <m/>
    <m/>
    <m/>
    <m/>
    <m/>
    <m/>
    <m/>
    <m/>
    <m/>
  </r>
  <r>
    <x v="105"/>
    <m/>
    <x v="0"/>
    <s v="Week16"/>
    <x v="3"/>
    <m/>
    <m/>
    <m/>
    <m/>
    <m/>
    <m/>
    <m/>
    <m/>
    <m/>
    <m/>
    <m/>
    <m/>
    <x v="0"/>
    <m/>
    <m/>
    <m/>
    <m/>
    <m/>
    <m/>
    <m/>
    <m/>
    <m/>
    <m/>
    <m/>
    <m/>
    <m/>
  </r>
  <r>
    <x v="106"/>
    <m/>
    <x v="0"/>
    <s v="Week16"/>
    <x v="3"/>
    <m/>
    <m/>
    <m/>
    <m/>
    <m/>
    <m/>
    <m/>
    <m/>
    <m/>
    <m/>
    <m/>
    <m/>
    <x v="0"/>
    <m/>
    <m/>
    <m/>
    <m/>
    <m/>
    <m/>
    <m/>
    <m/>
    <m/>
    <m/>
    <m/>
    <m/>
    <m/>
  </r>
  <r>
    <x v="107"/>
    <d v="2024-04-22T00:00:00"/>
    <x v="0"/>
    <s v="Week16"/>
    <x v="3"/>
    <s v="DRY240013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96"/>
    <n v="96"/>
    <m/>
    <n v="0"/>
    <n v="0"/>
    <m/>
    <m/>
    <m/>
    <m/>
    <m/>
    <m/>
  </r>
  <r>
    <x v="107"/>
    <d v="2024-04-22T00:00:00"/>
    <x v="0"/>
    <s v="Week16"/>
    <x v="3"/>
    <s v="DRY240013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07"/>
    <d v="2024-04-22T00:00:00"/>
    <x v="0"/>
    <s v="Week16"/>
    <x v="3"/>
    <s v="DRY240013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07"/>
    <d v="2024-04-22T00:00:00"/>
    <x v="0"/>
    <s v="Week16"/>
    <x v="3"/>
    <s v="DRY240013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07"/>
    <d v="2024-04-22T00:00:00"/>
    <x v="0"/>
    <s v="Week16"/>
    <x v="3"/>
    <s v="DRY240013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07"/>
    <d v="2024-04-22T00:00:00"/>
    <x v="0"/>
    <s v="Week16"/>
    <x v="3"/>
    <s v="DRY240013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65"/>
    <n v="365"/>
    <m/>
    <n v="0"/>
    <n v="0"/>
    <m/>
    <m/>
    <m/>
    <m/>
    <m/>
    <m/>
  </r>
  <r>
    <x v="108"/>
    <d v="2024-04-22T00:00:00"/>
    <x v="0"/>
    <s v="Week16"/>
    <x v="3"/>
    <s v="DRY240013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27"/>
    <n v="427"/>
    <m/>
    <n v="0"/>
    <n v="0"/>
    <m/>
    <m/>
    <m/>
    <m/>
    <m/>
    <m/>
  </r>
  <r>
    <x v="108"/>
    <d v="2024-04-22T00:00:00"/>
    <x v="0"/>
    <s v="Week16"/>
    <x v="3"/>
    <s v="DRY240013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08"/>
    <d v="2024-04-22T00:00:00"/>
    <x v="0"/>
    <s v="Week16"/>
    <x v="3"/>
    <s v="DRY240013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08"/>
    <d v="2024-04-22T00:00:00"/>
    <x v="0"/>
    <s v="Week16"/>
    <x v="3"/>
    <s v="DRY240013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62"/>
    <n v="162"/>
    <m/>
    <n v="0"/>
    <n v="0"/>
    <m/>
    <m/>
    <m/>
    <m/>
    <m/>
    <m/>
  </r>
  <r>
    <x v="108"/>
    <d v="2024-04-22T00:00:00"/>
    <x v="0"/>
    <s v="Week16"/>
    <x v="3"/>
    <s v="DRY240013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30"/>
    <n v="630"/>
    <m/>
    <n v="0"/>
    <n v="0"/>
    <m/>
    <m/>
    <m/>
    <m/>
    <m/>
    <m/>
  </r>
  <r>
    <x v="109"/>
    <d v="2024-04-24T00:00:00"/>
    <x v="0"/>
    <s v="Week16"/>
    <x v="3"/>
    <s v="DRY240014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38"/>
    <n v="638"/>
    <m/>
    <n v="0"/>
    <n v="0"/>
    <m/>
    <m/>
    <m/>
    <m/>
    <m/>
    <m/>
  </r>
  <r>
    <x v="109"/>
    <d v="2024-05-01T00:00:00"/>
    <x v="0"/>
    <s v="Week16"/>
    <x v="3"/>
    <s v="ขายภายใน"/>
    <s v="MTFS"/>
    <s v="CPFGS"/>
    <s v="ซีพีเอฟ เทรดดิ้ง"/>
    <s v="E+Wonton TY"/>
    <s v="Cooked Wonton"/>
    <s v="Cooked Wonton Tomyum with egg.V-Food TY"/>
    <s v="082S83Q12005P04001"/>
    <s v="115g*12"/>
    <n v="12"/>
    <n v="5"/>
    <n v="8.0000000000000002E-3"/>
    <x v="1"/>
    <s v="STPP"/>
    <s v="TYTB3C 30G"/>
    <n v="865"/>
    <n v="865"/>
    <m/>
    <n v="0"/>
    <n v="0"/>
    <m/>
    <n v="1"/>
    <n v="0"/>
    <m/>
    <m/>
    <m/>
  </r>
  <r>
    <x v="109"/>
    <d v="2024-05-01T00:00:00"/>
    <x v="0"/>
    <s v="Week16"/>
    <x v="3"/>
    <s v="ขายภายใน"/>
    <s v="MTFS"/>
    <s v="CPFGS"/>
    <s v="ซีพีเอฟ เทรดดิ้ง"/>
    <s v="E+Wonton"/>
    <s v="Cooked Wonton"/>
    <s v="Cooked Wonton  with egg V-Food"/>
    <s v="082S83Q12005P05000"/>
    <s v="145g*12"/>
    <n v="12"/>
    <n v="5"/>
    <n v="8.0000000000000002E-3"/>
    <x v="1"/>
    <s v="STPP"/>
    <s v="Regular"/>
    <n v="12"/>
    <n v="12"/>
    <m/>
    <n v="0"/>
    <n v="0"/>
    <m/>
    <m/>
    <m/>
    <m/>
    <m/>
    <m/>
  </r>
  <r>
    <x v="109"/>
    <d v="2024-05-01T00:00:00"/>
    <x v="0"/>
    <s v="Week16"/>
    <x v="3"/>
    <s v="ขายภายใน"/>
    <s v="MTFS"/>
    <s v="CPFGS"/>
    <s v="ซีพีเอฟ เทรดดิ้ง"/>
    <s v="E+Wonton"/>
    <s v="Cooked Wonton"/>
    <s v="Cooked Wonton  with egg V-Food"/>
    <s v="082S83Q12005P05001"/>
    <s v="145g*12"/>
    <n v="12"/>
    <n v="5"/>
    <n v="8.0000000000000002E-3"/>
    <x v="1"/>
    <s v="STPP"/>
    <s v="Regular"/>
    <n v="2122"/>
    <n v="2122"/>
    <m/>
    <n v="0"/>
    <n v="0"/>
    <m/>
    <m/>
    <m/>
    <m/>
    <m/>
    <m/>
  </r>
  <r>
    <x v="109"/>
    <d v="2024-05-01T00:00:00"/>
    <x v="0"/>
    <s v="Week16"/>
    <x v="3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2413"/>
    <n v="2413"/>
    <m/>
    <n v="0"/>
    <n v="0"/>
    <m/>
    <m/>
    <m/>
    <m/>
    <m/>
    <m/>
  </r>
  <r>
    <x v="109"/>
    <d v="2024-05-01T00:00:00"/>
    <x v="0"/>
    <s v="Week16"/>
    <x v="3"/>
    <s v="ขายภายใน"/>
    <s v="MTFS"/>
    <s v="CPFGS"/>
    <s v="ซีพีเอฟ เทรดดิ้ง"/>
    <s v="E+Wonton NDE"/>
    <s v="Cooked Wonton"/>
    <s v="Cooked Wonton ND with egg V-Food"/>
    <s v="082SJ3Q12003P07001"/>
    <s v="226g*12"/>
    <n v="12"/>
    <n v="3"/>
    <n v="8.0000000000000002E-3"/>
    <x v="1"/>
    <s v="STPP"/>
    <s v="Regular"/>
    <n v="634"/>
    <n v="634"/>
    <m/>
    <n v="0"/>
    <n v="0"/>
    <m/>
    <m/>
    <m/>
    <m/>
    <m/>
    <m/>
  </r>
  <r>
    <x v="110"/>
    <d v="2024-05-01T00:00:00"/>
    <x v="0"/>
    <s v="Week16"/>
    <x v="3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5610"/>
    <n v="5512"/>
    <n v="98.25"/>
    <n v="0.25"/>
    <n v="0"/>
    <m/>
    <m/>
    <m/>
    <m/>
    <m/>
    <m/>
  </r>
  <r>
    <x v="110"/>
    <d v="2024-05-01T00:00:00"/>
    <x v="0"/>
    <s v="Week16"/>
    <x v="3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923"/>
    <n v="923"/>
    <m/>
    <n v="0"/>
    <n v="0"/>
    <m/>
    <n v="1"/>
    <n v="0"/>
    <m/>
    <m/>
    <m/>
  </r>
  <r>
    <x v="111"/>
    <m/>
    <x v="0"/>
    <s v="Week16"/>
    <x v="3"/>
    <m/>
    <m/>
    <m/>
    <m/>
    <m/>
    <m/>
    <m/>
    <m/>
    <m/>
    <m/>
    <m/>
    <m/>
    <x v="0"/>
    <m/>
    <m/>
    <m/>
    <m/>
    <m/>
    <m/>
    <m/>
    <m/>
    <m/>
    <m/>
    <m/>
    <m/>
    <m/>
  </r>
  <r>
    <x v="112"/>
    <d v="2024-04-24T00:00:00"/>
    <x v="0"/>
    <s v="Week17"/>
    <x v="3"/>
    <s v="DRY240014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54"/>
    <n v="154"/>
    <m/>
    <n v="0"/>
    <n v="0"/>
    <m/>
    <m/>
    <m/>
    <m/>
    <m/>
    <m/>
  </r>
  <r>
    <x v="112"/>
    <d v="2024-04-24T00:00:00"/>
    <x v="0"/>
    <s v="Week17"/>
    <x v="3"/>
    <s v="DRY240014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12"/>
    <d v="2024-04-24T00:00:00"/>
    <x v="0"/>
    <s v="Week17"/>
    <x v="3"/>
    <s v="DRY240014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12"/>
    <d v="2024-04-24T00:00:00"/>
    <x v="0"/>
    <s v="Week17"/>
    <x v="3"/>
    <s v="DRY240014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12"/>
    <d v="2024-04-25T00:00:00"/>
    <x v="0"/>
    <s v="Week17"/>
    <x v="3"/>
    <s v="DRY240014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12"/>
    <d v="2024-04-25T00:00:00"/>
    <x v="0"/>
    <s v="Week17"/>
    <x v="3"/>
    <s v="DRY240014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12"/>
    <d v="2024-04-29T00:00:00"/>
    <x v="0"/>
    <s v="Week17"/>
    <x v="3"/>
    <s v="DRY240014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6"/>
    <n v="26"/>
    <m/>
    <n v="0"/>
    <n v="0"/>
    <m/>
    <m/>
    <m/>
    <m/>
    <m/>
    <m/>
  </r>
  <r>
    <x v="112"/>
    <d v="2024-04-29T00:00:00"/>
    <x v="0"/>
    <s v="Week17"/>
    <x v="3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275"/>
    <n v="275"/>
    <m/>
    <n v="0"/>
    <n v="0"/>
    <n v="0"/>
    <m/>
    <n v="0"/>
    <m/>
    <m/>
    <m/>
  </r>
  <r>
    <x v="112"/>
    <d v="2024-05-01T00:00:00"/>
    <x v="0"/>
    <s v="Week17"/>
    <x v="3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82"/>
    <n v="82"/>
    <m/>
    <n v="0"/>
    <n v="0"/>
    <n v="0"/>
    <m/>
    <n v="0"/>
    <m/>
    <m/>
    <m/>
  </r>
  <r>
    <x v="112"/>
    <d v="2024-05-02T00:00:00"/>
    <x v="0"/>
    <s v="Week17"/>
    <x v="3"/>
    <s v="DRY2400193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368"/>
    <n v="351"/>
    <n v="17"/>
    <n v="0"/>
    <n v="0"/>
    <n v="0"/>
    <n v="6"/>
    <n v="0"/>
    <m/>
    <m/>
    <m/>
  </r>
  <r>
    <x v="113"/>
    <d v="2024-04-29T00:00:00"/>
    <x v="0"/>
    <s v="Week17"/>
    <x v="3"/>
    <s v="DRY2400107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m/>
    <m/>
    <m/>
    <m/>
    <m/>
    <m/>
  </r>
  <r>
    <x v="113"/>
    <d v="2024-05-27T00:00:00"/>
    <x v="0"/>
    <s v="Week17"/>
    <x v="3"/>
    <s v="DRY2400304"/>
    <s v="BRUNEI"/>
    <s v="CPFNW"/>
    <s v="Ben Foods"/>
    <s v="Wonton"/>
    <s v="Cooked Wonton"/>
    <s v="Cooked Wonton No Egg"/>
    <s v="082S8C324005P01001"/>
    <s v="145g*24"/>
    <n v="24"/>
    <n v="5"/>
    <n v="8.0000000000000002E-3"/>
    <x v="1"/>
    <s v="STPP"/>
    <s v="Regular"/>
    <n v="150"/>
    <n v="150"/>
    <m/>
    <n v="0"/>
    <n v="0"/>
    <m/>
    <m/>
    <m/>
    <m/>
    <m/>
    <m/>
  </r>
  <r>
    <x v="113"/>
    <d v="2024-05-02T00:00:00"/>
    <x v="0"/>
    <s v="Week17"/>
    <x v="3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2031"/>
    <n v="2031"/>
    <m/>
    <n v="0"/>
    <n v="0"/>
    <m/>
    <m/>
    <m/>
    <s v="NEWPACKAGE"/>
    <m/>
    <m/>
  </r>
  <r>
    <x v="113"/>
    <d v="2024-04-27T00:00:00"/>
    <x v="0"/>
    <s v="Week17"/>
    <x v="3"/>
    <s v="KL2400015"/>
    <s v="China"/>
    <s v="China"/>
    <s v="Charoen Pokphand Import&amp;Export Trading (Shanghai) Co., Ltd"/>
    <s v="Wonton+TY"/>
    <s v="Cooked Wonton"/>
    <s v="Wonton Soup  (Enriched wonton sheet)"/>
    <s v="082S85J36005P00001"/>
    <s v="147g*6c*6in"/>
    <n v="36"/>
    <n v="5"/>
    <n v="7.4999999999999997E-3"/>
    <x v="1"/>
    <s v="Salt"/>
    <s v="TYEX+CO"/>
    <n v="145"/>
    <n v="145"/>
    <m/>
    <n v="0"/>
    <n v="0"/>
    <m/>
    <m/>
    <m/>
    <s v="ผลิตสวม code เป็น 22/04/24 เพื่อไป Air"/>
    <m/>
    <m/>
  </r>
  <r>
    <x v="113"/>
    <d v="2024-04-27T00:00:00"/>
    <x v="0"/>
    <s v="Week17"/>
    <x v="3"/>
    <s v="KL2400014"/>
    <s v="China"/>
    <s v="China"/>
    <s v="Charoen Pokphand Import&amp;Export Trading (Shanghai) Co., Ltd"/>
    <s v="Wonton+TY"/>
    <s v="Cooked Wonton"/>
    <s v="Wonton Soup  (Enriched wonton sheet)"/>
    <s v="082S85J36005P00001"/>
    <s v="147g*6c*6in"/>
    <n v="36"/>
    <n v="5"/>
    <n v="7.4999999999999997E-3"/>
    <x v="1"/>
    <s v="Salt"/>
    <s v="TYEX+CO"/>
    <n v="390"/>
    <n v="390"/>
    <m/>
    <n v="0"/>
    <n v="0"/>
    <m/>
    <m/>
    <m/>
    <m/>
    <m/>
    <m/>
  </r>
  <r>
    <x v="113"/>
    <d v="2024-05-02T00:00:00"/>
    <x v="0"/>
    <s v="Week17"/>
    <x v="3"/>
    <s v="DRY2400193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510"/>
    <n v="510"/>
    <m/>
    <n v="0"/>
    <n v="0"/>
    <n v="0"/>
    <n v="6"/>
    <n v="0"/>
    <m/>
    <m/>
    <m/>
  </r>
  <r>
    <x v="114"/>
    <d v="2024-05-08T00:00:00"/>
    <x v="0"/>
    <s v="Week17"/>
    <x v="3"/>
    <s v="DRY2400110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m/>
    <m/>
    <m/>
    <s v="ใช้ package ที่เป็น หมึกพิมพ์ใหม่"/>
    <m/>
    <m/>
  </r>
  <r>
    <x v="114"/>
    <d v="2024-05-08T00:00:00"/>
    <x v="0"/>
    <s v="Week17"/>
    <x v="3"/>
    <s v="DRY2400111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m/>
    <m/>
    <m/>
    <s v="ใช้ package ที่เป็น หมึกพิมพ์ใหม่"/>
    <m/>
    <m/>
  </r>
  <r>
    <x v="114"/>
    <d v="2024-05-02T00:00:00"/>
    <x v="0"/>
    <s v="Week17"/>
    <x v="3"/>
    <s v="DRY2400187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s v="NEWPACKAGE"/>
    <m/>
    <m/>
  </r>
  <r>
    <x v="114"/>
    <d v="2024-05-08T00:00:00"/>
    <x v="0"/>
    <s v="Week17"/>
    <x v="3"/>
    <s v="DRY2400226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222"/>
    <n v="222"/>
    <m/>
    <n v="0"/>
    <n v="0"/>
    <m/>
    <m/>
    <m/>
    <s v="NEWPACKAGE"/>
    <m/>
    <m/>
  </r>
  <r>
    <x v="114"/>
    <d v="2024-05-08T00:00:00"/>
    <x v="0"/>
    <s v="Week17"/>
    <x v="3"/>
    <s v="DRY2400203"/>
    <s v="SG"/>
    <s v="CPFNW"/>
    <s v="CPI SINGAPORE"/>
    <s v="Wonton"/>
    <s v="Cooked Wonton"/>
    <s v="Cooked Wonton No Egg"/>
    <s v="082S83B24005P07001"/>
    <s v="145g*24"/>
    <n v="24"/>
    <n v="5"/>
    <n v="8.0000000000000002E-3"/>
    <x v="1"/>
    <s v="STPP"/>
    <s v="Regular"/>
    <n v="250"/>
    <n v="250"/>
    <m/>
    <n v="0"/>
    <n v="0"/>
    <m/>
    <m/>
    <m/>
    <m/>
    <m/>
    <m/>
  </r>
  <r>
    <x v="114"/>
    <d v="2024-05-02T00:00:00"/>
    <x v="0"/>
    <s v="Week17"/>
    <x v="3"/>
    <s v="DRY2400193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513"/>
    <n v="513"/>
    <m/>
    <n v="0"/>
    <n v="0"/>
    <n v="0"/>
    <n v="6"/>
    <n v="0"/>
    <m/>
    <m/>
    <m/>
  </r>
  <r>
    <x v="115"/>
    <d v="2024-05-27T00:00:00"/>
    <x v="0"/>
    <s v="Week17"/>
    <x v="3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2236"/>
    <n v="2236"/>
    <m/>
    <n v="0"/>
    <n v="0"/>
    <m/>
    <m/>
    <m/>
    <m/>
    <m/>
    <m/>
  </r>
  <r>
    <x v="115"/>
    <d v="2024-04-29T00:00:00"/>
    <x v="0"/>
    <s v="Week17"/>
    <x v="3"/>
    <s v="ขายภายใน"/>
    <s v=".7-11"/>
    <s v="CPFGS"/>
    <s v="ซีพีเอฟ เทรดดิ้ง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289"/>
    <n v="289"/>
    <m/>
    <n v="0"/>
    <n v="0"/>
    <m/>
    <m/>
    <m/>
    <m/>
    <m/>
    <m/>
  </r>
  <r>
    <x v="115"/>
    <d v="2024-05-01T00:00:00"/>
    <x v="0"/>
    <s v="Week17"/>
    <x v="3"/>
    <s v="ขายภายใน"/>
    <s v=".7-11"/>
    <s v="CPFGS"/>
    <s v="ซีพีเอฟ เทรดดิ้ง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2979"/>
    <n v="2979"/>
    <m/>
    <n v="0"/>
    <n v="0"/>
    <m/>
    <m/>
    <m/>
    <m/>
    <m/>
    <m/>
  </r>
  <r>
    <x v="115"/>
    <d v="2024-04-29T00:00:00"/>
    <x v="0"/>
    <s v="Week17"/>
    <x v="3"/>
    <s v="ขายภายใน"/>
    <s v="MTFS"/>
    <s v="CPFGS"/>
    <s v="ซีพีเอฟ เทรดดิ้ง"/>
    <s v="E+Wonton+หมาล่า"/>
    <s v="Cooked Wonton"/>
    <s v="เกี๊ยวกุ้งจักรพรรดิซุปหมาล่า (ตรา ซีพี)_MT"/>
    <s v="082S83Q12005P06001"/>
    <s v="143g*12"/>
    <n v="12"/>
    <n v="5"/>
    <n v="6.1999999999999998E-3"/>
    <x v="2"/>
    <s v="STPP"/>
    <s v="หมาล่า"/>
    <n v="228"/>
    <n v="228"/>
    <m/>
    <n v="0"/>
    <n v="0"/>
    <m/>
    <m/>
    <m/>
    <m/>
    <m/>
    <m/>
  </r>
  <r>
    <x v="115"/>
    <d v="2024-05-02T00:00:00"/>
    <x v="0"/>
    <s v="Week17"/>
    <x v="3"/>
    <s v="DRY2400193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466"/>
    <n v="466"/>
    <m/>
    <n v="0"/>
    <n v="0"/>
    <n v="0"/>
    <n v="6"/>
    <n v="0"/>
    <m/>
    <m/>
    <m/>
  </r>
  <r>
    <x v="116"/>
    <d v="2024-04-29T00:00:00"/>
    <x v="0"/>
    <s v="Week17"/>
    <x v="3"/>
    <s v="DRY240014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66"/>
    <n v="766"/>
    <m/>
    <n v="0"/>
    <n v="0"/>
    <m/>
    <m/>
    <m/>
    <m/>
    <m/>
    <m/>
  </r>
  <r>
    <x v="116"/>
    <d v="2024-04-29T00:00:00"/>
    <x v="0"/>
    <s v="Week17"/>
    <x v="3"/>
    <s v="DRY240014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16"/>
    <d v="2024-04-29T00:00:00"/>
    <x v="0"/>
    <s v="Week17"/>
    <x v="3"/>
    <s v="DRY240014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16"/>
    <d v="2024-04-29T00:00:00"/>
    <x v="0"/>
    <s v="Week17"/>
    <x v="3"/>
    <s v="DRY240014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16"/>
    <d v="2024-04-29T00:00:00"/>
    <x v="0"/>
    <s v="Week17"/>
    <x v="3"/>
    <s v="DRY240015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63"/>
    <n v="663"/>
    <m/>
    <n v="0"/>
    <n v="0"/>
    <m/>
    <m/>
    <m/>
    <m/>
    <m/>
    <m/>
  </r>
  <r>
    <x v="116"/>
    <d v="2024-05-02T00:00:00"/>
    <x v="0"/>
    <s v="Week17"/>
    <x v="3"/>
    <s v="DRY2400193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199"/>
    <n v="199"/>
    <m/>
    <n v="0"/>
    <n v="0"/>
    <n v="0"/>
    <n v="6"/>
    <n v="0"/>
    <m/>
    <m/>
    <m/>
  </r>
  <r>
    <x v="116"/>
    <d v="2024-05-02T00:00:00"/>
    <x v="0"/>
    <s v="Week17"/>
    <x v="3"/>
    <s v="DRY2400202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330"/>
    <n v="330"/>
    <m/>
    <n v="0"/>
    <n v="0"/>
    <n v="0"/>
    <n v="2"/>
    <n v="0"/>
    <s v="ห่อแบบสุก"/>
    <m/>
    <m/>
  </r>
  <r>
    <x v="116"/>
    <d v="2024-05-08T00:00:00"/>
    <x v="0"/>
    <s v="Week17"/>
    <x v="3"/>
    <s v="DRY2400207"/>
    <s v="SG"/>
    <s v="CPFNW"/>
    <s v="CPI SINGAPORE"/>
    <s v="R-Minced egg past"/>
    <s v="Raw Wonton"/>
    <s v="Raw Minced Wonton 8 pcs"/>
    <s v="082ID3B18008P00001"/>
    <s v="90g*18in"/>
    <n v="18"/>
    <n v="8"/>
    <n v="5.0000000000000001E-3"/>
    <x v="4"/>
    <s v="STPP"/>
    <s v="ซุปซอง 5g."/>
    <n v="300"/>
    <n v="300"/>
    <m/>
    <n v="0"/>
    <n v="0"/>
    <n v="0"/>
    <n v="2"/>
    <n v="0"/>
    <m/>
    <m/>
    <m/>
  </r>
  <r>
    <x v="117"/>
    <d v="2024-04-29T00:00:00"/>
    <x v="0"/>
    <s v="Week17"/>
    <x v="3"/>
    <s v="DRY240015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29"/>
    <n v="129"/>
    <m/>
    <n v="0"/>
    <n v="0"/>
    <m/>
    <m/>
    <m/>
    <m/>
    <m/>
    <m/>
  </r>
  <r>
    <x v="117"/>
    <d v="2024-04-29T00:00:00"/>
    <x v="0"/>
    <s v="Week17"/>
    <x v="3"/>
    <s v="DRY240015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17"/>
    <d v="2024-05-03T00:00:00"/>
    <x v="0"/>
    <s v="Week17"/>
    <x v="3"/>
    <s v="DRY240015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17"/>
    <d v="2024-05-03T00:00:00"/>
    <x v="0"/>
    <s v="Week17"/>
    <x v="3"/>
    <s v="DRY240015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17"/>
    <d v="2024-05-03T00:00:00"/>
    <x v="0"/>
    <s v="Week17"/>
    <x v="3"/>
    <s v="DRY240015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7"/>
    <n v="17"/>
    <m/>
    <n v="0"/>
    <n v="0"/>
    <m/>
    <m/>
    <m/>
    <m/>
    <m/>
    <m/>
  </r>
  <r>
    <x v="117"/>
    <d v="2024-05-07T00:00:00"/>
    <x v="0"/>
    <s v="Week17"/>
    <x v="3"/>
    <s v="DRY2400230"/>
    <s v="UK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+CO"/>
    <n v="924"/>
    <n v="924"/>
    <m/>
    <n v="0"/>
    <n v="0"/>
    <m/>
    <m/>
    <m/>
    <m/>
    <m/>
    <m/>
  </r>
  <r>
    <x v="117"/>
    <d v="2024-05-07T00:00:00"/>
    <x v="0"/>
    <s v="Week17"/>
    <x v="3"/>
    <s v="DRY2400231"/>
    <s v="UK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+CO"/>
    <n v="924"/>
    <n v="924"/>
    <m/>
    <n v="0"/>
    <n v="0"/>
    <m/>
    <m/>
    <m/>
    <m/>
    <m/>
    <m/>
  </r>
  <r>
    <x v="117"/>
    <d v="2024-05-07T00:00:00"/>
    <x v="0"/>
    <s v="Week17"/>
    <x v="3"/>
    <s v="DRY2400232"/>
    <s v="UK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+CO"/>
    <n v="924"/>
    <n v="924"/>
    <m/>
    <n v="0"/>
    <n v="0"/>
    <m/>
    <m/>
    <m/>
    <m/>
    <m/>
    <m/>
  </r>
  <r>
    <x v="117"/>
    <d v="2024-05-02T00:00:00"/>
    <x v="0"/>
    <s v="Week17"/>
    <x v="3"/>
    <s v="DRY2400202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870"/>
    <n v="870"/>
    <m/>
    <n v="0"/>
    <n v="0"/>
    <n v="0"/>
    <n v="2"/>
    <n v="0"/>
    <s v="ห่อแบบสุก"/>
    <m/>
    <m/>
  </r>
  <r>
    <x v="118"/>
    <m/>
    <x v="0"/>
    <s v="Week17"/>
    <x v="3"/>
    <m/>
    <m/>
    <m/>
    <m/>
    <m/>
    <m/>
    <m/>
    <m/>
    <m/>
    <m/>
    <m/>
    <m/>
    <x v="0"/>
    <m/>
    <m/>
    <m/>
    <m/>
    <m/>
    <m/>
    <m/>
    <m/>
    <m/>
    <m/>
    <m/>
    <m/>
    <m/>
  </r>
  <r>
    <x v="119"/>
    <d v="2024-05-03T00:00:00"/>
    <x v="0"/>
    <s v="Week18"/>
    <x v="3"/>
    <s v="DRY240015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75"/>
    <n v="775"/>
    <m/>
    <n v="0"/>
    <n v="0"/>
    <m/>
    <m/>
    <m/>
    <m/>
    <m/>
    <m/>
  </r>
  <r>
    <x v="119"/>
    <d v="2024-05-03T00:00:00"/>
    <x v="0"/>
    <s v="Week18"/>
    <x v="3"/>
    <s v="DRY240015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19"/>
    <d v="2024-05-03T00:00:00"/>
    <x v="0"/>
    <s v="Week18"/>
    <x v="3"/>
    <s v="DRY240015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19"/>
    <d v="2024-05-06T00:00:00"/>
    <x v="0"/>
    <s v="Week18"/>
    <x v="3"/>
    <s v="DRY240015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19"/>
    <d v="2024-05-06T00:00:00"/>
    <x v="0"/>
    <s v="Week18"/>
    <x v="3"/>
    <s v="DRY240016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23"/>
    <n v="198"/>
    <n v="225"/>
    <n v="0"/>
    <n v="0"/>
    <m/>
    <m/>
    <m/>
    <m/>
    <m/>
    <m/>
  </r>
  <r>
    <x v="119"/>
    <d v="2024-06-04T00:00:00"/>
    <x v="0"/>
    <s v="Week18"/>
    <x v="3"/>
    <s v="DRY2400194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558"/>
    <n v="558"/>
    <m/>
    <n v="0"/>
    <n v="0"/>
    <n v="0"/>
    <n v="6"/>
    <n v="0"/>
    <m/>
    <m/>
    <m/>
  </r>
  <r>
    <x v="120"/>
    <d v="2024-05-22T00:00:00"/>
    <x v="0"/>
    <s v="Week18"/>
    <x v="3"/>
    <s v="DRY2400112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004"/>
    <n v="284"/>
    <n v="0"/>
    <n v="0"/>
    <m/>
    <m/>
    <m/>
    <s v="ใช้ package ที่เป็น หมึกพิมพ์ใหม่"/>
    <m/>
    <m/>
  </r>
  <r>
    <x v="120"/>
    <d v="2024-05-13T00:00:00"/>
    <x v="0"/>
    <s v="Week18"/>
    <x v="3"/>
    <s v="DRY2400296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120"/>
    <d v="2024-05-06T00:00:00"/>
    <x v="0"/>
    <s v="Week18"/>
    <x v="3"/>
    <s v="DRY240016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69"/>
    <n v="369"/>
    <m/>
    <n v="0"/>
    <n v="0"/>
    <m/>
    <m/>
    <m/>
    <m/>
    <m/>
    <m/>
  </r>
  <r>
    <x v="120"/>
    <d v="2024-05-06T00:00:00"/>
    <x v="0"/>
    <s v="Week18"/>
    <x v="3"/>
    <s v="DRY240016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20"/>
    <d v="2024-05-06T00:00:00"/>
    <x v="0"/>
    <s v="Week18"/>
    <x v="3"/>
    <s v="DRY240016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11"/>
    <n v="511"/>
    <m/>
    <n v="0"/>
    <n v="0"/>
    <m/>
    <m/>
    <m/>
    <m/>
    <m/>
    <m/>
  </r>
  <r>
    <x v="120"/>
    <d v="2024-06-04T00:00:00"/>
    <x v="0"/>
    <s v="Week18"/>
    <x v="3"/>
    <s v="DRY2400194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580"/>
    <n v="580"/>
    <m/>
    <n v="0"/>
    <n v="0"/>
    <n v="0"/>
    <n v="6"/>
    <n v="0"/>
    <m/>
    <m/>
    <m/>
  </r>
  <r>
    <x v="121"/>
    <m/>
    <x v="0"/>
    <s v="Week18"/>
    <x v="4"/>
    <m/>
    <m/>
    <m/>
    <m/>
    <m/>
    <m/>
    <m/>
    <m/>
    <m/>
    <m/>
    <m/>
    <m/>
    <x v="0"/>
    <m/>
    <m/>
    <m/>
    <m/>
    <m/>
    <m/>
    <m/>
    <m/>
    <m/>
    <m/>
    <m/>
    <m/>
    <m/>
  </r>
  <r>
    <x v="122"/>
    <d v="2024-05-20T00:00:00"/>
    <x v="0"/>
    <s v="Week18"/>
    <x v="4"/>
    <s v="DRY2400259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1400"/>
    <m/>
    <n v="1400"/>
    <n v="0"/>
    <n v="0"/>
    <m/>
    <m/>
    <m/>
    <m/>
    <m/>
    <m/>
  </r>
  <r>
    <x v="122"/>
    <d v="2024-05-06T00:00:00"/>
    <x v="0"/>
    <s v="Week18"/>
    <x v="4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2214"/>
    <n v="2214"/>
    <m/>
    <n v="0"/>
    <n v="0"/>
    <m/>
    <m/>
    <m/>
    <s v="NEWPACKAGE"/>
    <m/>
    <m/>
  </r>
  <r>
    <x v="122"/>
    <d v="2024-05-08T00:00:00"/>
    <x v="0"/>
    <s v="Week18"/>
    <x v="4"/>
    <s v="DRY2400226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066"/>
    <n v="1066"/>
    <m/>
    <n v="0"/>
    <n v="0"/>
    <m/>
    <m/>
    <m/>
    <s v="NEWPACKAGE"/>
    <m/>
    <m/>
  </r>
  <r>
    <x v="122"/>
    <d v="2024-05-06T00:00:00"/>
    <x v="0"/>
    <s v="Week18"/>
    <x v="4"/>
    <s v="DRY240016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81"/>
    <n v="281"/>
    <m/>
    <n v="0"/>
    <n v="0"/>
    <m/>
    <m/>
    <m/>
    <m/>
    <m/>
    <m/>
  </r>
  <r>
    <x v="122"/>
    <d v="2024-05-07T00:00:00"/>
    <x v="0"/>
    <s v="Week18"/>
    <x v="4"/>
    <s v="DRY240016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22"/>
    <d v="2024-05-11T00:00:00"/>
    <x v="0"/>
    <s v="Week18"/>
    <x v="4"/>
    <s v="DRY240016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55"/>
    <n v="155"/>
    <m/>
    <n v="0"/>
    <n v="0"/>
    <m/>
    <m/>
    <m/>
    <m/>
    <m/>
    <m/>
  </r>
  <r>
    <x v="122"/>
    <d v="2024-06-04T00:00:00"/>
    <x v="0"/>
    <s v="Week18"/>
    <x v="4"/>
    <s v="DRY2400194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540"/>
    <n v="540"/>
    <m/>
    <n v="0"/>
    <n v="0"/>
    <n v="0"/>
    <n v="6"/>
    <n v="0"/>
    <m/>
    <m/>
    <m/>
  </r>
  <r>
    <x v="123"/>
    <d v="2024-05-16T00:00:00"/>
    <x v="0"/>
    <s v="Week18"/>
    <x v="4"/>
    <s v="DRY2400307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m/>
    <m/>
    <m/>
    <s v="NEWPACKAGE"/>
    <m/>
    <m/>
  </r>
  <r>
    <x v="123"/>
    <d v="2024-05-13T00:00:00"/>
    <x v="0"/>
    <s v="Week18"/>
    <x v="4"/>
    <s v="DRY2400300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2400"/>
    <m/>
    <n v="2400"/>
    <n v="0"/>
    <n v="0"/>
    <m/>
    <m/>
    <m/>
    <m/>
    <m/>
    <m/>
  </r>
  <r>
    <x v="123"/>
    <d v="2024-05-06T00:00:00"/>
    <x v="0"/>
    <s v="Week18"/>
    <x v="4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1103"/>
    <n v="1103"/>
    <m/>
    <n v="0"/>
    <n v="0"/>
    <m/>
    <m/>
    <m/>
    <s v="NEWPACKAGE"/>
    <m/>
    <m/>
  </r>
  <r>
    <x v="123"/>
    <d v="2024-05-08T00:00:00"/>
    <x v="0"/>
    <s v="Week18"/>
    <x v="4"/>
    <s v="DRY2400204"/>
    <s v="SG"/>
    <s v="CPFNW"/>
    <s v="CPI SINGAPORE"/>
    <s v="Wonton +TY"/>
    <s v="Cooked Wonton"/>
    <s v="Cooked Wonton No Egg"/>
    <s v="082S83B24005P06001"/>
    <s v="115g*24"/>
    <n v="24"/>
    <n v="5"/>
    <n v="8.0000000000000002E-3"/>
    <x v="1"/>
    <s v="STPP"/>
    <s v="TYTB3C 30G"/>
    <n v="500"/>
    <n v="500"/>
    <m/>
    <n v="0"/>
    <n v="0"/>
    <m/>
    <n v="1"/>
    <n v="0"/>
    <m/>
    <m/>
    <m/>
  </r>
  <r>
    <x v="123"/>
    <d v="2024-05-20T00:00:00"/>
    <x v="0"/>
    <s v="Week18"/>
    <x v="4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2068"/>
    <n v="2068"/>
    <m/>
    <n v="0"/>
    <n v="0"/>
    <m/>
    <m/>
    <m/>
    <m/>
    <m/>
    <m/>
  </r>
  <r>
    <x v="123"/>
    <d v="2024-05-13T00:00:00"/>
    <x v="0"/>
    <s v="Week18"/>
    <x v="4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929"/>
    <n v="929"/>
    <m/>
    <n v="0"/>
    <n v="0"/>
    <m/>
    <m/>
    <m/>
    <m/>
    <m/>
    <m/>
  </r>
  <r>
    <x v="123"/>
    <d v="2024-06-04T00:00:00"/>
    <x v="0"/>
    <s v="Week18"/>
    <x v="4"/>
    <s v="DRY2400194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378"/>
    <n v="378"/>
    <n v="12"/>
    <n v="12"/>
    <n v="0"/>
    <n v="0"/>
    <n v="6"/>
    <n v="0"/>
    <m/>
    <m/>
    <m/>
  </r>
  <r>
    <x v="124"/>
    <d v="2024-05-08T00:00:00"/>
    <x v="0"/>
    <s v="Week18"/>
    <x v="4"/>
    <s v="DRY2400205"/>
    <s v="SG"/>
    <s v="CPFNW"/>
    <s v="CPI SINGAPORE"/>
    <s v="Wonton ND+V"/>
    <s v="Cooked Wonton"/>
    <s v="Cooked Wonton ND No Egg with Pumpkin _x000a_+ Vegetable  HC  3 pcs"/>
    <s v="082SJ3B24003P02001"/>
    <s v="219g*24"/>
    <n v="24"/>
    <n v="3"/>
    <n v="7.4999999999999997E-3"/>
    <x v="5"/>
    <s v="STPP"/>
    <s v="ซุปซอง 10g."/>
    <n v="500"/>
    <n v="500"/>
    <m/>
    <n v="0"/>
    <n v="0"/>
    <m/>
    <m/>
    <m/>
    <m/>
    <m/>
    <m/>
  </r>
  <r>
    <x v="124"/>
    <d v="2024-05-16T00:00:00"/>
    <x v="0"/>
    <s v="Week18"/>
    <x v="4"/>
    <s v="DRY2400297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124"/>
    <d v="2024-05-14T00:00:00"/>
    <x v="0"/>
    <s v="Week18"/>
    <x v="4"/>
    <s v="DRY2400233"/>
    <s v="UK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+CO"/>
    <n v="924"/>
    <n v="924"/>
    <m/>
    <n v="0"/>
    <n v="0"/>
    <m/>
    <m/>
    <m/>
    <m/>
    <m/>
    <m/>
  </r>
  <r>
    <x v="124"/>
    <d v="2024-05-14T00:00:00"/>
    <x v="0"/>
    <s v="Week18"/>
    <x v="4"/>
    <s v="DRY2400234"/>
    <s v="UK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+CO"/>
    <n v="924"/>
    <n v="924"/>
    <m/>
    <n v="0"/>
    <n v="0"/>
    <m/>
    <m/>
    <m/>
    <s v="NEWPACKAGE"/>
    <m/>
    <m/>
  </r>
  <r>
    <x v="124"/>
    <d v="2024-05-14T00:00:00"/>
    <x v="0"/>
    <s v="Week18"/>
    <x v="4"/>
    <s v="DRY2400235"/>
    <s v="UK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+CO"/>
    <n v="924"/>
    <n v="924"/>
    <m/>
    <n v="0"/>
    <n v="0"/>
    <m/>
    <m/>
    <m/>
    <s v="NEWPACKAGE"/>
    <m/>
    <m/>
  </r>
  <r>
    <x v="124"/>
    <d v="2024-05-14T00:00:00"/>
    <x v="0"/>
    <s v="Week18"/>
    <x v="4"/>
    <s v="DRY2400236"/>
    <s v="UK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+CO"/>
    <n v="924"/>
    <n v="924"/>
    <m/>
    <n v="0"/>
    <n v="0"/>
    <m/>
    <m/>
    <m/>
    <s v="NEWPACKAGE"/>
    <m/>
    <m/>
  </r>
  <r>
    <x v="124"/>
    <d v="2024-05-22T00:00:00"/>
    <x v="0"/>
    <s v="Week18"/>
    <x v="4"/>
    <s v="DRY2400237"/>
    <s v="Netherlands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+CO"/>
    <n v="409"/>
    <n v="409"/>
    <m/>
    <n v="0"/>
    <n v="0"/>
    <m/>
    <m/>
    <m/>
    <s v="NEWPACKAGE"/>
    <m/>
    <m/>
  </r>
  <r>
    <x v="124"/>
    <d v="2024-05-08T00:00:00"/>
    <x v="0"/>
    <s v="Week18"/>
    <x v="4"/>
    <s v="DRY2400206"/>
    <s v="SG"/>
    <s v="CPFNW"/>
    <s v="CPI SINGAPORE"/>
    <s v="R-Wonton egg past"/>
    <s v="Raw Wonton"/>
    <s v="Raw Wonton 8 pcs"/>
    <s v="082I93B20008P00001"/>
    <s v="194g*20in"/>
    <n v="20"/>
    <n v="8"/>
    <n v="1.4999999999999999E-2"/>
    <x v="6"/>
    <s v="STPP"/>
    <s v="ซุปซอง 5g."/>
    <n v="500"/>
    <n v="500"/>
    <m/>
    <n v="0"/>
    <n v="0"/>
    <n v="0"/>
    <n v="2"/>
    <n v="0"/>
    <s v="ห่อแบบดิบ"/>
    <m/>
    <m/>
  </r>
  <r>
    <x v="124"/>
    <d v="2024-05-08T00:00:00"/>
    <x v="0"/>
    <s v="Week18"/>
    <x v="4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543"/>
    <n v="543"/>
    <m/>
    <n v="0"/>
    <n v="0"/>
    <n v="0"/>
    <m/>
    <n v="0"/>
    <m/>
    <m/>
    <m/>
  </r>
  <r>
    <x v="125"/>
    <m/>
    <x v="0"/>
    <s v="Week18"/>
    <x v="4"/>
    <m/>
    <m/>
    <m/>
    <m/>
    <m/>
    <m/>
    <m/>
    <m/>
    <m/>
    <m/>
    <m/>
    <m/>
    <x v="0"/>
    <m/>
    <m/>
    <m/>
    <m/>
    <m/>
    <m/>
    <m/>
    <m/>
    <m/>
    <m/>
    <m/>
    <m/>
    <m/>
  </r>
  <r>
    <x v="126"/>
    <d v="2024-05-11T00:00:00"/>
    <x v="0"/>
    <s v="Week19"/>
    <x v="4"/>
    <s v="DRY240016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37"/>
    <n v="637"/>
    <m/>
    <n v="0"/>
    <n v="0"/>
    <m/>
    <m/>
    <m/>
    <m/>
    <m/>
    <m/>
  </r>
  <r>
    <x v="126"/>
    <d v="2024-05-11T00:00:00"/>
    <x v="0"/>
    <s v="Week19"/>
    <x v="4"/>
    <s v="DRY240016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26"/>
    <d v="2024-05-11T00:00:00"/>
    <x v="0"/>
    <s v="Week19"/>
    <x v="4"/>
    <s v="DRY240016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26"/>
    <d v="2024-05-11T00:00:00"/>
    <x v="0"/>
    <s v="Week19"/>
    <x v="4"/>
    <s v="DRY240016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26"/>
    <d v="2024-05-11T00:00:00"/>
    <x v="0"/>
    <s v="Week19"/>
    <x v="4"/>
    <s v="DRY240016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26"/>
    <d v="2024-05-11T00:00:00"/>
    <x v="0"/>
    <s v="Week19"/>
    <x v="4"/>
    <s v="DRY240016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39"/>
    <n v="439"/>
    <m/>
    <n v="0"/>
    <n v="0"/>
    <m/>
    <m/>
    <m/>
    <m/>
    <m/>
    <m/>
  </r>
  <r>
    <x v="127"/>
    <d v="2024-05-11T00:00:00"/>
    <x v="0"/>
    <s v="Week19"/>
    <x v="4"/>
    <s v="DRY240016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53"/>
    <n v="353"/>
    <m/>
    <n v="0"/>
    <n v="0"/>
    <m/>
    <m/>
    <m/>
    <m/>
    <m/>
    <m/>
  </r>
  <r>
    <x v="127"/>
    <d v="2024-05-13T00:00:00"/>
    <x v="0"/>
    <s v="Week19"/>
    <x v="4"/>
    <s v="DRY240017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27"/>
    <d v="2024-05-13T00:00:00"/>
    <x v="0"/>
    <s v="Week19"/>
    <x v="4"/>
    <s v="DRY240017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27"/>
    <d v="2024-05-13T00:00:00"/>
    <x v="0"/>
    <s v="Week19"/>
    <x v="4"/>
    <s v="DRY240017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14"/>
    <n v="114"/>
    <m/>
    <n v="0"/>
    <n v="0"/>
    <m/>
    <m/>
    <m/>
    <m/>
    <m/>
    <m/>
  </r>
  <r>
    <x v="127"/>
    <d v="2024-05-10T00:00:00"/>
    <x v="0"/>
    <s v="Week19"/>
    <x v="4"/>
    <s v="ขายภายใน"/>
    <s v=".7-11"/>
    <s v="CPFGS"/>
    <s v="ซีพีเอฟ เทรดดิ้ง"/>
    <s v="Wonton ND+V+TY"/>
    <s v="Cooked Wonton"/>
    <s v="Cooked Wonton ND+ Vegetable  SS  3 pcs"/>
    <s v="082SJ1A12003P02001"/>
    <s v="211g*12"/>
    <n v="12"/>
    <n v="3"/>
    <n v="6.1999999999999998E-3"/>
    <x v="2"/>
    <s v="STPP"/>
    <s v="TYNSF"/>
    <n v="6000"/>
    <n v="6000"/>
    <m/>
    <n v="0"/>
    <n v="0"/>
    <m/>
    <m/>
    <m/>
    <m/>
    <m/>
    <m/>
  </r>
  <r>
    <x v="128"/>
    <d v="2024-05-13T00:00:00"/>
    <x v="0"/>
    <s v="Week19"/>
    <x v="4"/>
    <s v="DRY240017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78"/>
    <n v="678"/>
    <m/>
    <n v="0"/>
    <n v="0"/>
    <m/>
    <m/>
    <m/>
    <m/>
    <m/>
    <m/>
  </r>
  <r>
    <x v="128"/>
    <d v="2024-05-13T00:00:00"/>
    <x v="0"/>
    <s v="Week19"/>
    <x v="4"/>
    <s v="DRY240017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28"/>
    <d v="2024-05-20T00:00:00"/>
    <x v="0"/>
    <s v="Week19"/>
    <x v="4"/>
    <s v="DRY240017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28"/>
    <d v="2024-05-20T00:00:00"/>
    <x v="0"/>
    <s v="Week19"/>
    <x v="4"/>
    <s v="DRY240017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28"/>
    <d v="2024-05-20T00:00:00"/>
    <x v="0"/>
    <s v="Week19"/>
    <x v="4"/>
    <s v="DRY240017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28"/>
    <d v="2024-05-20T00:00:00"/>
    <x v="0"/>
    <s v="Week19"/>
    <x v="4"/>
    <s v="DRY240017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7"/>
    <n v="77"/>
    <m/>
    <n v="0"/>
    <n v="0"/>
    <m/>
    <m/>
    <m/>
    <m/>
    <m/>
    <m/>
  </r>
  <r>
    <x v="129"/>
    <d v="2024-05-20T00:00:00"/>
    <x v="0"/>
    <s v="Week19"/>
    <x v="4"/>
    <s v="DRY240017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15"/>
    <n v="715"/>
    <m/>
    <n v="0"/>
    <n v="0"/>
    <m/>
    <m/>
    <m/>
    <m/>
    <m/>
    <m/>
  </r>
  <r>
    <x v="129"/>
    <d v="2024-05-20T00:00:00"/>
    <x v="0"/>
    <s v="Week19"/>
    <x v="4"/>
    <s v="DRY240017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29"/>
    <d v="2024-05-21T00:00:00"/>
    <x v="0"/>
    <s v="Week19"/>
    <x v="4"/>
    <s v="DRY240023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29"/>
    <d v="2024-05-21T00:00:00"/>
    <x v="0"/>
    <s v="Week19"/>
    <x v="4"/>
    <s v="DRY240023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29"/>
    <d v="2024-05-21T00:00:00"/>
    <x v="0"/>
    <s v="Week19"/>
    <x v="4"/>
    <s v="DRY240024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60"/>
    <n v="760"/>
    <m/>
    <n v="0"/>
    <n v="0"/>
    <m/>
    <m/>
    <m/>
    <m/>
    <m/>
    <m/>
  </r>
  <r>
    <x v="130"/>
    <d v="2024-05-25T00:00:00"/>
    <x v="0"/>
    <s v="Week19"/>
    <x v="4"/>
    <s v="DRY2400351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1400"/>
    <m/>
    <n v="1400"/>
    <n v="0"/>
    <n v="0"/>
    <m/>
    <m/>
    <m/>
    <m/>
    <m/>
    <m/>
  </r>
  <r>
    <x v="130"/>
    <d v="2024-05-25T00:00:00"/>
    <x v="0"/>
    <s v="Week19"/>
    <x v="4"/>
    <s v="DRY2400352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1400"/>
    <m/>
    <n v="1400"/>
    <n v="0"/>
    <n v="0"/>
    <m/>
    <m/>
    <m/>
    <m/>
    <m/>
    <m/>
  </r>
  <r>
    <x v="130"/>
    <d v="2024-05-13T00:00:00"/>
    <x v="0"/>
    <s v="Week19"/>
    <x v="4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5129"/>
    <n v="5129"/>
    <m/>
    <n v="0"/>
    <n v="0"/>
    <m/>
    <m/>
    <m/>
    <s v="NEWPACKAGE"/>
    <m/>
    <m/>
  </r>
  <r>
    <x v="131"/>
    <d v="2024-05-21T00:00:00"/>
    <x v="0"/>
    <s v="Week19"/>
    <x v="4"/>
    <s v="DRY240024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2"/>
    <n v="32"/>
    <m/>
    <n v="0"/>
    <n v="0"/>
    <m/>
    <m/>
    <m/>
    <m/>
    <m/>
    <m/>
  </r>
  <r>
    <x v="131"/>
    <d v="2024-05-21T00:00:00"/>
    <x v="0"/>
    <s v="Week19"/>
    <x v="4"/>
    <s v="DRY240024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31"/>
    <d v="2024-05-24T00:00:00"/>
    <x v="0"/>
    <s v="Week19"/>
    <x v="4"/>
    <s v="DRY240024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45"/>
    <n v="345"/>
    <m/>
    <n v="0"/>
    <n v="0"/>
    <m/>
    <m/>
    <m/>
    <m/>
    <m/>
    <m/>
  </r>
  <r>
    <x v="131"/>
    <d v="2024-05-20T00:00:00"/>
    <x v="0"/>
    <s v="Week19"/>
    <x v="4"/>
    <s v="DRY2400089"/>
    <s v="New Zealand"/>
    <s v="CPFNW"/>
    <s v="Lim Brothers"/>
    <s v="Wonton ND+V"/>
    <s v="Cooked Wonton"/>
    <s v="Cooked Wonton ND No Egg with Pumpkin_x000a_+ Yu Choy "/>
    <s v="082SJN7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131"/>
    <d v="2024-05-23T00:00:00"/>
    <x v="0"/>
    <s v="Week19"/>
    <x v="4"/>
    <s v="DRY2400298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131"/>
    <d v="2024-05-22T00:00:00"/>
    <x v="0"/>
    <s v="Week19"/>
    <x v="4"/>
    <s v="DRY2400237"/>
    <s v="UK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+CO"/>
    <n v="515"/>
    <n v="515"/>
    <m/>
    <n v="0"/>
    <n v="0"/>
    <m/>
    <m/>
    <m/>
    <s v="NEWPACKAGE"/>
    <m/>
    <m/>
  </r>
  <r>
    <x v="131"/>
    <d v="2024-05-23T00:00:00"/>
    <x v="0"/>
    <s v="Week19"/>
    <x v="4"/>
    <s v="DRY2300474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+CO"/>
    <n v="924"/>
    <n v="924"/>
    <m/>
    <n v="0"/>
    <n v="0"/>
    <m/>
    <m/>
    <m/>
    <m/>
    <m/>
    <m/>
  </r>
  <r>
    <x v="131"/>
    <d v="2024-06-01T00:00:00"/>
    <x v="0"/>
    <s v="Week19"/>
    <x v="4"/>
    <s v="DRY2400090"/>
    <s v="New Zealand"/>
    <s v="CPFNW"/>
    <s v="Lim Brothers"/>
    <s v="Wonton ND+V+TY"/>
    <s v="Cooked Wonton"/>
    <s v="Cooked Wonton ND No Egg with Pumpkin _x000a_+ Vegetable 5 pcs tomyam"/>
    <s v="082SJN724005P00001"/>
    <s v="307g*4c*6in"/>
    <n v="24"/>
    <n v="5"/>
    <n v="7.4999999999999997E-3"/>
    <x v="1"/>
    <s v="Salt"/>
    <s v="TYEX+CO"/>
    <n v="390"/>
    <n v="390"/>
    <m/>
    <n v="0"/>
    <n v="0"/>
    <m/>
    <m/>
    <m/>
    <m/>
    <m/>
    <m/>
  </r>
  <r>
    <x v="132"/>
    <m/>
    <x v="0"/>
    <s v="Week19"/>
    <x v="4"/>
    <m/>
    <m/>
    <m/>
    <m/>
    <m/>
    <m/>
    <m/>
    <m/>
    <m/>
    <m/>
    <m/>
    <m/>
    <x v="0"/>
    <m/>
    <m/>
    <m/>
    <m/>
    <m/>
    <m/>
    <m/>
    <m/>
    <m/>
    <m/>
    <m/>
    <m/>
    <m/>
  </r>
  <r>
    <x v="133"/>
    <d v="2024-05-20T00:00:00"/>
    <x v="0"/>
    <s v="Week20"/>
    <x v="4"/>
    <s v="DRY2400259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1900"/>
    <m/>
    <n v="1900"/>
    <n v="0"/>
    <n v="0"/>
    <m/>
    <m/>
    <m/>
    <m/>
    <m/>
    <m/>
  </r>
  <r>
    <x v="133"/>
    <d v="2024-05-25T00:00:00"/>
    <x v="0"/>
    <s v="Week20"/>
    <x v="4"/>
    <s v="DRY2400351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1900"/>
    <m/>
    <n v="1900"/>
    <n v="0"/>
    <n v="0"/>
    <m/>
    <m/>
    <m/>
    <m/>
    <m/>
    <m/>
  </r>
  <r>
    <x v="133"/>
    <d v="2024-05-25T00:00:00"/>
    <x v="0"/>
    <s v="Week20"/>
    <x v="4"/>
    <s v="DRY2400352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1900"/>
    <m/>
    <n v="1900"/>
    <n v="0"/>
    <n v="0"/>
    <m/>
    <m/>
    <m/>
    <m/>
    <m/>
    <m/>
  </r>
  <r>
    <x v="133"/>
    <d v="2024-05-20T00:00:00"/>
    <x v="0"/>
    <s v="Week20"/>
    <x v="4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3534"/>
    <n v="3534"/>
    <m/>
    <n v="0"/>
    <n v="0"/>
    <m/>
    <m/>
    <m/>
    <s v="NEWPACKAGE"/>
    <m/>
    <m/>
  </r>
  <r>
    <x v="134"/>
    <d v="2024-05-20T00:00:00"/>
    <x v="0"/>
    <s v="Week20"/>
    <x v="4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206"/>
    <n v="206"/>
    <m/>
    <n v="0"/>
    <n v="0"/>
    <m/>
    <m/>
    <m/>
    <s v="NEWPACKAGE"/>
    <m/>
    <m/>
  </r>
  <r>
    <x v="134"/>
    <d v="2024-05-29T00:00:00"/>
    <x v="0"/>
    <s v="Week20"/>
    <x v="4"/>
    <s v="DRY2400181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n v="24"/>
    <n v="2576"/>
    <n v="0"/>
    <n v="0"/>
    <m/>
    <m/>
    <m/>
    <s v="NEWPACKAGE"/>
    <m/>
    <m/>
  </r>
  <r>
    <x v="134"/>
    <d v="2024-06-13T00:00:00"/>
    <x v="0"/>
    <s v="Week20"/>
    <x v="4"/>
    <s v="DRY2400353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1200"/>
    <m/>
    <n v="1200"/>
    <n v="0"/>
    <n v="0"/>
    <m/>
    <m/>
    <m/>
    <m/>
    <m/>
    <m/>
  </r>
  <r>
    <x v="134"/>
    <d v="2024-06-17T00:00:00"/>
    <x v="0"/>
    <s v="Week20"/>
    <x v="4"/>
    <s v="DRY2400301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831.75"/>
    <m/>
    <n v="831.75"/>
    <n v="0"/>
    <n v="0"/>
    <m/>
    <m/>
    <m/>
    <m/>
    <m/>
    <m/>
  </r>
  <r>
    <x v="134"/>
    <d v="2024-05-29T00:00:00"/>
    <x v="0"/>
    <s v="Week20"/>
    <x v="4"/>
    <s v="DRY2400367"/>
    <s v="UK"/>
    <s v="CPFNW"/>
    <s v="Food Fellas"/>
    <s v="Wonton ND"/>
    <s v="Cooked Wonton"/>
    <s v="Cooked Wonton ND No Egg with _x000a_HC  5 pcs"/>
    <s v="082SJ5L08005P03001"/>
    <s v="258g*8"/>
    <n v="8"/>
    <n v="5"/>
    <n v="7.4999999999999997E-3"/>
    <x v="5"/>
    <s v="Salt"/>
    <s v="Regular"/>
    <n v="1900"/>
    <m/>
    <n v="2049.625"/>
    <n v="149.625"/>
    <n v="0"/>
    <m/>
    <m/>
    <m/>
    <m/>
    <m/>
    <m/>
  </r>
  <r>
    <x v="134"/>
    <d v="2024-05-29T00:00:00"/>
    <x v="0"/>
    <s v="Week20"/>
    <x v="4"/>
    <s v="DRY2400367"/>
    <s v="UK"/>
    <s v="CPFNW"/>
    <s v="Food Fellas"/>
    <s v="Wonton"/>
    <s v="Cooked Wonton"/>
    <s v="Cooked Wonton  No Egg_x000a_HC  5 pcs"/>
    <s v="082S85L08005P03001"/>
    <s v="145g*8"/>
    <n v="8"/>
    <n v="5"/>
    <n v="7.4999999999999997E-3"/>
    <x v="5"/>
    <s v="Salt"/>
    <s v="Regular"/>
    <n v="1400"/>
    <m/>
    <n v="1592.875"/>
    <n v="192.875"/>
    <n v="0"/>
    <m/>
    <m/>
    <m/>
    <m/>
    <m/>
    <m/>
  </r>
  <r>
    <x v="134"/>
    <d v="2024-06-06T00:00:00"/>
    <x v="0"/>
    <s v="Week20"/>
    <x v="4"/>
    <s v="DRY2400362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147"/>
    <n v="141"/>
    <n v="0"/>
    <n v="0"/>
    <m/>
    <m/>
    <m/>
    <m/>
    <m/>
    <m/>
  </r>
  <r>
    <x v="134"/>
    <d v="2024-06-05T00:00:00"/>
    <x v="0"/>
    <s v="Week20"/>
    <x v="4"/>
    <s v="DRY2400209"/>
    <s v="SG"/>
    <s v="CPFNW"/>
    <s v="CPI SINGAPORE"/>
    <s v="Wonton"/>
    <s v="Cooked Wonton"/>
    <s v="Cooked Wonton No Egg"/>
    <s v="082S83B24005P07001"/>
    <s v="145g*24"/>
    <n v="24"/>
    <n v="5"/>
    <n v="8.0000000000000002E-3"/>
    <x v="1"/>
    <s v="STPP"/>
    <s v="Regular"/>
    <n v="500"/>
    <n v="500"/>
    <m/>
    <n v="0"/>
    <n v="0"/>
    <m/>
    <m/>
    <m/>
    <m/>
    <m/>
    <m/>
  </r>
  <r>
    <x v="134"/>
    <d v="2024-06-05T00:00:00"/>
    <x v="0"/>
    <s v="Week20"/>
    <x v="4"/>
    <s v="DRY2400397"/>
    <s v="SG"/>
    <s v="CPFNW"/>
    <s v="CPI SINGAPORE"/>
    <s v="Wonton"/>
    <s v="Cooked Wonton"/>
    <s v="Cooked Wonton No Egg"/>
    <s v="082S83B24005P07001"/>
    <s v="145g*24"/>
    <n v="24"/>
    <n v="5"/>
    <n v="8.0000000000000002E-3"/>
    <x v="1"/>
    <s v="STPP"/>
    <s v="Regular"/>
    <n v="200"/>
    <n v="200"/>
    <m/>
    <n v="0"/>
    <n v="0"/>
    <m/>
    <m/>
    <m/>
    <m/>
    <m/>
    <m/>
  </r>
  <r>
    <x v="134"/>
    <d v="2024-06-05T00:00:00"/>
    <x v="0"/>
    <s v="Week20"/>
    <x v="4"/>
    <s v="DRY2400210"/>
    <s v="SG"/>
    <s v="CPFNW"/>
    <s v="CPI SINGAPORE"/>
    <s v="Wonton +TY"/>
    <s v="Cooked Wonton"/>
    <s v="Cooked Wonton No Egg"/>
    <s v="082S83B24005P06001"/>
    <s v="115g*24"/>
    <n v="24"/>
    <n v="5"/>
    <n v="8.0000000000000002E-3"/>
    <x v="1"/>
    <s v="STPP"/>
    <s v="TYTB3C 30G"/>
    <n v="250"/>
    <n v="250"/>
    <m/>
    <n v="0"/>
    <n v="0"/>
    <m/>
    <n v="1"/>
    <n v="0"/>
    <m/>
    <m/>
    <m/>
  </r>
  <r>
    <x v="134"/>
    <d v="2024-06-05T00:00:00"/>
    <x v="0"/>
    <s v="Week20"/>
    <x v="4"/>
    <s v="DRY2400398"/>
    <s v="SG"/>
    <s v="CPFNW"/>
    <s v="CPI SINGAPORE"/>
    <s v="Wonton +TY"/>
    <s v="Cooked Wonton"/>
    <s v="Cooked Wonton No Egg"/>
    <s v="082S83B24005P06001"/>
    <s v="115g*24"/>
    <n v="24"/>
    <n v="5"/>
    <n v="8.0000000000000002E-3"/>
    <x v="1"/>
    <s v="STPP"/>
    <s v="TYTB3C 30G"/>
    <n v="200"/>
    <n v="200"/>
    <m/>
    <n v="0"/>
    <n v="0"/>
    <m/>
    <n v="1"/>
    <n v="0"/>
    <m/>
    <m/>
    <m/>
  </r>
  <r>
    <x v="135"/>
    <d v="2024-05-24T00:00:00"/>
    <x v="0"/>
    <s v="Week20"/>
    <x v="4"/>
    <s v="DRY240024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47"/>
    <n v="447"/>
    <m/>
    <n v="0"/>
    <n v="0"/>
    <m/>
    <m/>
    <m/>
    <m/>
    <m/>
    <m/>
  </r>
  <r>
    <x v="135"/>
    <d v="2024-05-24T00:00:00"/>
    <x v="0"/>
    <s v="Week20"/>
    <x v="4"/>
    <s v="DRY240024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35"/>
    <d v="2024-05-24T00:00:00"/>
    <x v="0"/>
    <s v="Week20"/>
    <x v="4"/>
    <s v="DRY240024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35"/>
    <d v="2024-05-24T00:00:00"/>
    <x v="0"/>
    <s v="Week20"/>
    <x v="4"/>
    <s v="DRY240024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35"/>
    <d v="2024-05-24T00:00:00"/>
    <x v="0"/>
    <s v="Week20"/>
    <x v="4"/>
    <s v="DRY240024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35"/>
    <d v="2024-05-24T00:00:00"/>
    <x v="0"/>
    <s v="Week20"/>
    <x v="4"/>
    <s v="DRY240024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65"/>
    <n v="565"/>
    <m/>
    <n v="0"/>
    <n v="0"/>
    <m/>
    <m/>
    <m/>
    <m/>
    <m/>
    <m/>
  </r>
  <r>
    <x v="136"/>
    <d v="2024-06-13T00:00:00"/>
    <x v="0"/>
    <s v="Week20"/>
    <x v="4"/>
    <s v="DRY2400308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m/>
    <m/>
    <m/>
    <s v="NEWPACKAGE"/>
    <m/>
    <m/>
  </r>
  <r>
    <x v="136"/>
    <d v="2024-06-17T00:00:00"/>
    <x v="0"/>
    <s v="Week20"/>
    <x v="4"/>
    <s v="DRY2400301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1068.25"/>
    <m/>
    <n v="1068.25"/>
    <n v="0"/>
    <n v="0"/>
    <m/>
    <m/>
    <m/>
    <m/>
    <m/>
    <m/>
  </r>
  <r>
    <x v="136"/>
    <d v="2024-06-17T00:00:00"/>
    <x v="0"/>
    <s v="Week20"/>
    <x v="4"/>
    <s v="DRY2400302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816.5"/>
    <m/>
    <n v="816.5"/>
    <n v="0"/>
    <n v="0"/>
    <m/>
    <m/>
    <m/>
    <m/>
    <m/>
    <m/>
  </r>
  <r>
    <x v="136"/>
    <d v="2024-06-04T00:00:00"/>
    <x v="0"/>
    <s v="Week20"/>
    <x v="4"/>
    <s v="DRY2400116"/>
    <s v="Germany"/>
    <s v="CPFNW"/>
    <s v=" CPF Distribution (under Paulsen Food)"/>
    <s v="Wonton ND+V"/>
    <s v="Cooked Wonton"/>
    <s v="Cooked Wonton ND No Egg with Pumpkin _x000a_+ Vegetable  HC  3 pcs"/>
    <s v="082SJ3N12003P01001"/>
    <s v="309g*12"/>
    <n v="12"/>
    <n v="3"/>
    <n v="7.4999999999999997E-3"/>
    <x v="5"/>
    <s v="Salt"/>
    <s v="Regular"/>
    <n v="2040"/>
    <m/>
    <n v="2040"/>
    <n v="0"/>
    <n v="0"/>
    <m/>
    <m/>
    <m/>
    <s v="Newpackage330x330x234 mm.=2040+238"/>
    <m/>
    <m/>
  </r>
  <r>
    <x v="136"/>
    <d v="2024-05-24T00:00:00"/>
    <x v="0"/>
    <s v="Week20"/>
    <x v="4"/>
    <s v="ขายภายใน"/>
    <s v=".7-11"/>
    <s v="CPFGS"/>
    <s v="ซีพีเอฟ เทรดดิ้ง"/>
    <s v="Wonton ND+V+TY"/>
    <s v="Cooked Wonton"/>
    <s v="Cooked Wonton ND+ Vegetable  SS  3 pcs"/>
    <s v="082SJ1A12003P02001"/>
    <s v="211g*12"/>
    <n v="12"/>
    <n v="3"/>
    <n v="6.1999999999999998E-3"/>
    <x v="2"/>
    <s v="STPP"/>
    <s v="TYNSF"/>
    <n v="2572"/>
    <n v="2572"/>
    <m/>
    <n v="0"/>
    <n v="0"/>
    <m/>
    <m/>
    <m/>
    <m/>
    <m/>
    <m/>
  </r>
  <r>
    <x v="137"/>
    <d v="2024-05-24T00:00:00"/>
    <x v="0"/>
    <s v="Week20"/>
    <x v="4"/>
    <s v="ขายภายใน"/>
    <s v=".7-11"/>
    <s v="CPFGS"/>
    <s v="ซีพีเอฟ เทรดดิ้ง"/>
    <s v="Wonton ND+V+TY"/>
    <s v="Cooked Wonton"/>
    <s v="Cooked Wonton ND+ Vegetable  SS  3 pcs"/>
    <s v="082SJ1A12003P02001"/>
    <s v="211g*12"/>
    <n v="12"/>
    <n v="3"/>
    <n v="6.1999999999999998E-3"/>
    <x v="2"/>
    <s v="STPP"/>
    <s v="TYNSF"/>
    <n v="3366"/>
    <n v="3366"/>
    <m/>
    <n v="0"/>
    <n v="0"/>
    <m/>
    <m/>
    <m/>
    <m/>
    <m/>
    <m/>
  </r>
  <r>
    <x v="137"/>
    <d v="2024-05-24T00:00:00"/>
    <x v="0"/>
    <s v="Week20"/>
    <x v="4"/>
    <s v="DRY240024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27"/>
    <n v="227"/>
    <m/>
    <n v="0"/>
    <n v="0"/>
    <m/>
    <m/>
    <m/>
    <m/>
    <m/>
    <m/>
  </r>
  <r>
    <x v="137"/>
    <d v="2024-05-25T00:00:00"/>
    <x v="0"/>
    <s v="Week20"/>
    <x v="4"/>
    <s v="DRY240024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37"/>
    <d v="2024-05-25T00:00:00"/>
    <x v="0"/>
    <s v="Week20"/>
    <x v="4"/>
    <s v="DRY240024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37"/>
    <d v="2024-05-27T00:00:00"/>
    <x v="0"/>
    <s v="Week20"/>
    <x v="4"/>
    <s v="DRY240025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37"/>
    <d v="2024-05-27T00:00:00"/>
    <x v="0"/>
    <s v="Week20"/>
    <x v="4"/>
    <s v="DRY240025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95"/>
    <n v="395"/>
    <m/>
    <n v="0"/>
    <n v="0"/>
    <m/>
    <m/>
    <m/>
    <m/>
    <m/>
    <m/>
  </r>
  <r>
    <x v="138"/>
    <d v="2024-05-27T00:00:00"/>
    <x v="0"/>
    <s v="Week20"/>
    <x v="4"/>
    <s v="DRY240025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97"/>
    <n v="397"/>
    <m/>
    <n v="0"/>
    <n v="0"/>
    <m/>
    <m/>
    <m/>
    <m/>
    <m/>
    <m/>
  </r>
  <r>
    <x v="138"/>
    <d v="2024-05-27T00:00:00"/>
    <x v="0"/>
    <s v="Week20"/>
    <x v="4"/>
    <s v="DRY240025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38"/>
    <d v="2024-05-27T00:00:00"/>
    <x v="0"/>
    <s v="Week20"/>
    <x v="4"/>
    <s v="DRY240025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38"/>
    <d v="2024-05-27T00:00:00"/>
    <x v="0"/>
    <s v="Week20"/>
    <x v="4"/>
    <s v="DRY240025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38"/>
    <d v="2024-05-28T00:00:00"/>
    <x v="0"/>
    <s v="Week20"/>
    <x v="4"/>
    <s v="DRY240025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38"/>
    <d v="2024-05-28T00:00:00"/>
    <x v="0"/>
    <s v="Week20"/>
    <x v="4"/>
    <s v="DRY240025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94"/>
    <n v="594"/>
    <m/>
    <n v="0"/>
    <n v="0"/>
    <m/>
    <m/>
    <m/>
    <m/>
    <m/>
    <m/>
  </r>
  <r>
    <x v="139"/>
    <m/>
    <x v="0"/>
    <s v="Week20"/>
    <x v="4"/>
    <m/>
    <m/>
    <m/>
    <m/>
    <m/>
    <m/>
    <m/>
    <m/>
    <m/>
    <m/>
    <m/>
    <m/>
    <x v="0"/>
    <m/>
    <m/>
    <m/>
    <m/>
    <m/>
    <m/>
    <m/>
    <m/>
    <m/>
    <m/>
    <m/>
    <m/>
    <m/>
  </r>
  <r>
    <x v="140"/>
    <d v="2024-06-05T00:00:00"/>
    <x v="0"/>
    <s v="Week21"/>
    <x v="4"/>
    <s v="DRY2400195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m/>
    <m/>
    <m/>
    <s v="ใช้ package ที่เป็น หมึกพิมพ์ใหม่"/>
    <m/>
    <m/>
  </r>
  <r>
    <x v="140"/>
    <d v="2024-05-25T00:00:00"/>
    <x v="0"/>
    <s v="Week21"/>
    <x v="4"/>
    <s v="DRY2400352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15"/>
    <m/>
    <n v="15"/>
    <n v="0"/>
    <n v="0"/>
    <m/>
    <m/>
    <m/>
    <m/>
    <m/>
    <m/>
  </r>
  <r>
    <x v="140"/>
    <d v="2024-06-13T00:00:00"/>
    <x v="0"/>
    <s v="Week21"/>
    <x v="4"/>
    <s v="DRY2400353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1200"/>
    <m/>
    <n v="1200"/>
    <n v="0"/>
    <n v="0"/>
    <m/>
    <m/>
    <m/>
    <m/>
    <m/>
    <m/>
  </r>
  <r>
    <x v="140"/>
    <d v="2024-06-17T00:00:00"/>
    <x v="0"/>
    <s v="Week21"/>
    <x v="4"/>
    <s v="DRY2400301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1400"/>
    <m/>
    <n v="1400"/>
    <n v="0"/>
    <n v="0"/>
    <m/>
    <m/>
    <m/>
    <m/>
    <m/>
    <m/>
  </r>
  <r>
    <x v="140"/>
    <d v="2024-05-27T00:00:00"/>
    <x v="0"/>
    <s v="Week21"/>
    <x v="4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3228"/>
    <n v="3228"/>
    <m/>
    <n v="0"/>
    <n v="0"/>
    <m/>
    <m/>
    <m/>
    <s v="NEWPACKAGE"/>
    <m/>
    <m/>
  </r>
  <r>
    <x v="140"/>
    <d v="2024-06-01T00:00:00"/>
    <x v="0"/>
    <s v="Week21"/>
    <x v="4"/>
    <s v="KL2400009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529"/>
    <n v="529"/>
    <m/>
    <n v="0"/>
    <n v="0"/>
    <n v="0"/>
    <n v="6"/>
    <n v="0"/>
    <m/>
    <m/>
    <m/>
  </r>
  <r>
    <x v="141"/>
    <d v="2024-06-06T00:00:00"/>
    <x v="0"/>
    <s v="Week21"/>
    <x v="4"/>
    <s v="DRY2400312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s v="NEWPACKAGE"/>
    <m/>
    <m/>
  </r>
  <r>
    <x v="141"/>
    <d v="2024-06-06T00:00:00"/>
    <x v="0"/>
    <s v="Week21"/>
    <x v="4"/>
    <s v="DRY2400323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s v="NEWPACKAGE"/>
    <m/>
    <m/>
  </r>
  <r>
    <x v="141"/>
    <d v="2024-06-13T00:00:00"/>
    <x v="0"/>
    <s v="Week21"/>
    <x v="4"/>
    <s v="DRY2400313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34"/>
    <n v="1234"/>
    <m/>
    <n v="0"/>
    <n v="0"/>
    <m/>
    <m/>
    <m/>
    <s v="NEWPACKAGE"/>
    <m/>
    <m/>
  </r>
  <r>
    <x v="141"/>
    <d v="2024-06-01T00:00:00"/>
    <x v="0"/>
    <s v="Week21"/>
    <x v="4"/>
    <s v="KL2400009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536"/>
    <n v="536"/>
    <m/>
    <n v="0"/>
    <n v="0"/>
    <n v="0"/>
    <n v="6"/>
    <n v="0"/>
    <m/>
    <m/>
    <m/>
  </r>
  <r>
    <x v="142"/>
    <d v="2024-06-04T00:00:00"/>
    <x v="0"/>
    <s v="Week21"/>
    <x v="4"/>
    <s v="DRY240025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98"/>
    <n v="198"/>
    <m/>
    <n v="0"/>
    <n v="0"/>
    <m/>
    <m/>
    <m/>
    <m/>
    <m/>
    <m/>
  </r>
  <r>
    <x v="142"/>
    <d v="2024-06-04T00:00:00"/>
    <x v="0"/>
    <s v="Week21"/>
    <x v="4"/>
    <s v="DRY240025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44"/>
    <n v="644"/>
    <m/>
    <n v="0"/>
    <n v="0"/>
    <m/>
    <m/>
    <m/>
    <m/>
    <m/>
    <m/>
  </r>
  <r>
    <x v="142"/>
    <d v="2024-06-05T00:00:00"/>
    <x v="0"/>
    <s v="Week21"/>
    <x v="4"/>
    <s v="DRY2400354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25"/>
    <n v="67"/>
    <n v="0"/>
    <n v="0"/>
    <m/>
    <m/>
    <m/>
    <s v="1457 ถ้วย New Zealand"/>
    <m/>
    <m/>
  </r>
  <r>
    <x v="142"/>
    <d v="2024-06-05T00:00:00"/>
    <x v="0"/>
    <s v="Week21"/>
    <x v="4"/>
    <s v="DRY2400355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142"/>
    <d v="2024-06-05T00:00:00"/>
    <x v="0"/>
    <s v="Week21"/>
    <x v="4"/>
    <s v="DRY2400365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30"/>
    <n v="730"/>
    <m/>
    <n v="0"/>
    <n v="0"/>
    <m/>
    <m/>
    <m/>
    <m/>
    <m/>
    <m/>
  </r>
  <r>
    <x v="142"/>
    <d v="2024-06-01T00:00:00"/>
    <x v="0"/>
    <s v="Week21"/>
    <x v="4"/>
    <s v="KL2400009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343"/>
    <n v="343"/>
    <m/>
    <n v="0"/>
    <n v="0"/>
    <n v="0"/>
    <n v="6"/>
    <n v="0"/>
    <m/>
    <m/>
    <m/>
  </r>
  <r>
    <x v="142"/>
    <d v="2024-06-05T00:00:00"/>
    <x v="0"/>
    <s v="Week21"/>
    <x v="4"/>
    <s v="DRY2400214"/>
    <s v="SG"/>
    <s v="CPFNW"/>
    <s v="CPI SINGAPORE"/>
    <s v="R-Minced egg past"/>
    <s v="Raw Wonton"/>
    <s v="Raw Minced Wonton 8 pcs"/>
    <s v="082ID3B18008P00001"/>
    <s v="90g*18in"/>
    <n v="18"/>
    <n v="8"/>
    <n v="5.0000000000000001E-3"/>
    <x v="4"/>
    <s v="STPP"/>
    <s v="ซุปซอง 5g."/>
    <n v="300"/>
    <n v="298"/>
    <n v="2"/>
    <n v="0"/>
    <n v="0"/>
    <n v="0"/>
    <n v="2"/>
    <n v="0"/>
    <m/>
    <m/>
    <m/>
  </r>
  <r>
    <x v="142"/>
    <d v="2024-06-05T00:00:00"/>
    <x v="0"/>
    <s v="Week21"/>
    <x v="4"/>
    <s v="DRY2400208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293"/>
    <n v="207"/>
    <n v="86"/>
    <n v="0"/>
    <n v="0"/>
    <n v="0"/>
    <n v="2"/>
    <n v="0"/>
    <s v="ห่อแบบสุก"/>
    <m/>
    <m/>
  </r>
  <r>
    <x v="143"/>
    <m/>
    <x v="0"/>
    <s v="Week21"/>
    <x v="4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435"/>
    <n v="332"/>
    <n v="103"/>
    <n v="0"/>
    <n v="0"/>
    <m/>
    <n v="1"/>
    <n v="0"/>
    <m/>
    <m/>
    <m/>
  </r>
  <r>
    <x v="143"/>
    <m/>
    <x v="0"/>
    <s v="Week21"/>
    <x v="4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900"/>
    <n v="312"/>
    <n v="588"/>
    <n v="0"/>
    <n v="0"/>
    <m/>
    <n v="1"/>
    <n v="0"/>
    <m/>
    <m/>
    <m/>
  </r>
  <r>
    <x v="143"/>
    <d v="2024-06-27T00:00:00"/>
    <x v="0"/>
    <s v="Week21"/>
    <x v="4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321"/>
    <m/>
    <n v="321"/>
    <n v="0"/>
    <n v="0"/>
    <m/>
    <n v="1"/>
    <n v="0"/>
    <m/>
    <m/>
    <m/>
  </r>
  <r>
    <x v="143"/>
    <d v="2024-06-01T00:00:00"/>
    <x v="0"/>
    <s v="Week21"/>
    <x v="4"/>
    <s v="ขายภายใน"/>
    <s v="5 Stars"/>
    <s v="5 Stars"/>
    <s v="CPFB"/>
    <s v="EP+Wonton"/>
    <s v="Cooked Wonton"/>
    <s v="Cooked Wonton with egg "/>
    <s v="082S81N16020P00001"/>
    <s v="20 pcs*16"/>
    <n v="64"/>
    <n v="5"/>
    <n v="7.0000000000000001E-3"/>
    <x v="3"/>
    <s v="STPP"/>
    <m/>
    <n v="100"/>
    <n v="100"/>
    <m/>
    <n v="0"/>
    <n v="0"/>
    <m/>
    <m/>
    <m/>
    <m/>
    <m/>
    <m/>
  </r>
  <r>
    <x v="143"/>
    <d v="2024-05-27T00:00:00"/>
    <x v="0"/>
    <s v="Week21"/>
    <x v="4"/>
    <s v="ขายภายใน"/>
    <s v="MTFS"/>
    <s v="CPFGS"/>
    <s v="ซีพีเอฟ เทรดดิ้ง"/>
    <s v="E+Wonton+หมาล่า"/>
    <s v="Cooked Wonton"/>
    <s v="เกี๊ยวกุ้งจักรพรรดิซุปหมาล่า (ตรา ซีพี)_MT"/>
    <s v="082S83Q12005P06001"/>
    <s v="143g*12"/>
    <n v="12"/>
    <n v="5"/>
    <n v="6.1999999999999998E-3"/>
    <x v="2"/>
    <s v="STPP"/>
    <s v="หมาล่า"/>
    <n v="1826"/>
    <n v="1826"/>
    <m/>
    <n v="0"/>
    <n v="0"/>
    <m/>
    <m/>
    <m/>
    <m/>
    <m/>
    <m/>
  </r>
  <r>
    <x v="143"/>
    <m/>
    <x v="0"/>
    <s v="Week21"/>
    <x v="4"/>
    <s v="ขายภายใน"/>
    <s v=".7-11"/>
    <s v="CPFGS"/>
    <s v="ซีพีเอฟ เทรดดิ้ง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3750"/>
    <n v="3750"/>
    <m/>
    <n v="0"/>
    <n v="0"/>
    <m/>
    <m/>
    <m/>
    <m/>
    <m/>
    <m/>
  </r>
  <r>
    <x v="143"/>
    <d v="2024-06-05T00:00:00"/>
    <x v="0"/>
    <s v="Week21"/>
    <x v="4"/>
    <s v="DRY2400213"/>
    <s v="SG"/>
    <s v="CPFNW"/>
    <s v="CPI SINGAPORE"/>
    <s v="R-Wonton  (Fried Sheet)"/>
    <s v="Raw Wonton"/>
    <s v="Raw Wonton 50 pcs (Fried Sheet)"/>
    <s v="082I93B10050P04001"/>
    <s v="600g*10inner"/>
    <n v="10"/>
    <n v="50"/>
    <n v="6.8100000000000001E-3"/>
    <x v="3"/>
    <s v="STPP"/>
    <m/>
    <n v="200"/>
    <n v="200"/>
    <m/>
    <n v="0"/>
    <n v="0"/>
    <n v="0"/>
    <m/>
    <n v="0"/>
    <m/>
    <m/>
    <m/>
  </r>
  <r>
    <x v="143"/>
    <d v="2024-06-05T00:00:00"/>
    <x v="0"/>
    <s v="Week21"/>
    <x v="4"/>
    <s v="DRY2400208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680"/>
    <n v="680"/>
    <m/>
    <n v="0"/>
    <n v="0"/>
    <n v="0"/>
    <n v="2"/>
    <n v="0"/>
    <s v="ห่อแบบสุก"/>
    <m/>
    <m/>
  </r>
  <r>
    <x v="144"/>
    <m/>
    <x v="0"/>
    <s v="Week21"/>
    <x v="4"/>
    <s v="ขายภายใน"/>
    <s v="MTFS"/>
    <s v="CPFGS"/>
    <s v="ซีพีเอฟ เทรดดิ้ง"/>
    <s v="E+Wonton NDE"/>
    <s v="Cooked Wonton"/>
    <s v="Cooked Wonton ND with egg V-Food"/>
    <s v="082SJ3Q12003P07001"/>
    <s v="226g*12"/>
    <n v="12"/>
    <n v="3"/>
    <n v="8.0000000000000002E-3"/>
    <x v="1"/>
    <s v="STPP"/>
    <s v="Regular"/>
    <n v="142"/>
    <n v="142"/>
    <m/>
    <n v="0"/>
    <n v="0"/>
    <m/>
    <m/>
    <m/>
    <m/>
    <m/>
    <m/>
  </r>
  <r>
    <x v="144"/>
    <m/>
    <x v="0"/>
    <s v="Week21"/>
    <x v="4"/>
    <s v="ขายภายใน"/>
    <s v="MTFS"/>
    <s v="CPFGS"/>
    <s v="ซีพีเอฟ เทรดดิ้ง"/>
    <s v="E+Wonton"/>
    <s v="Cooked Wonton"/>
    <s v="Cooked Wonton  with egg V-Food"/>
    <s v="082S83Q12005P05000"/>
    <s v="145g*12"/>
    <n v="12"/>
    <n v="5"/>
    <n v="8.0000000000000002E-3"/>
    <x v="1"/>
    <s v="STPP"/>
    <s v="Regular"/>
    <n v="12"/>
    <n v="12"/>
    <m/>
    <n v="0"/>
    <n v="0"/>
    <m/>
    <m/>
    <m/>
    <m/>
    <m/>
    <m/>
  </r>
  <r>
    <x v="144"/>
    <m/>
    <x v="0"/>
    <s v="Week21"/>
    <x v="4"/>
    <s v="ขายภายใน"/>
    <s v="MTFS"/>
    <s v="CPFGS"/>
    <s v="ซีพีเอฟ เทรดดิ้ง"/>
    <s v="E+Wonton"/>
    <s v="Cooked Wonton"/>
    <s v="Cooked Wonton  with egg V-Food"/>
    <s v="082S83Q12005P05001"/>
    <s v="145g*12"/>
    <n v="12"/>
    <n v="5"/>
    <n v="8.0000000000000002E-3"/>
    <x v="1"/>
    <s v="STPP"/>
    <s v="Regular"/>
    <n v="834"/>
    <n v="834"/>
    <m/>
    <n v="0"/>
    <n v="0"/>
    <m/>
    <m/>
    <m/>
    <m/>
    <m/>
    <m/>
  </r>
  <r>
    <x v="144"/>
    <m/>
    <x v="0"/>
    <s v="Week21"/>
    <x v="4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5914"/>
    <n v="5914"/>
    <m/>
    <n v="0"/>
    <n v="0"/>
    <m/>
    <m/>
    <m/>
    <m/>
    <m/>
    <m/>
  </r>
  <r>
    <x v="144"/>
    <d v="2024-06-05T00:00:00"/>
    <x v="0"/>
    <s v="Week21"/>
    <x v="4"/>
    <s v="DRY2400208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227"/>
    <n v="227"/>
    <m/>
    <n v="0"/>
    <n v="0"/>
    <n v="0"/>
    <n v="2"/>
    <n v="0"/>
    <s v="ห่อแบบสุก"/>
    <m/>
    <m/>
  </r>
  <r>
    <x v="144"/>
    <d v="2024-06-05T00:00:00"/>
    <x v="0"/>
    <s v="Week21"/>
    <x v="4"/>
    <s v="DRY2400431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851"/>
    <n v="851"/>
    <m/>
    <n v="0"/>
    <n v="0"/>
    <n v="0"/>
    <n v="2"/>
    <n v="0"/>
    <s v="ห่อแบบสุก"/>
    <m/>
    <m/>
  </r>
  <r>
    <x v="145"/>
    <d v="2024-06-10T00:00:00"/>
    <x v="0"/>
    <s v="Week21"/>
    <x v="4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3019"/>
    <n v="3019"/>
    <m/>
    <n v="0"/>
    <n v="0"/>
    <m/>
    <m/>
    <m/>
    <s v="NEWPACKAGE"/>
    <m/>
    <m/>
  </r>
  <r>
    <x v="145"/>
    <d v="2024-06-26T00:00:00"/>
    <x v="0"/>
    <s v="Week21"/>
    <x v="4"/>
    <s v="DRY2400393"/>
    <s v="AUS"/>
    <s v="CPFNW"/>
    <s v="CPF Australia Pty Ltd."/>
    <s v="Minced ND+V+TY"/>
    <s v="Cooked Wonton"/>
    <s v="Cooked Minced  ND No Egg with Pumpkin_x000a_+ Yu Choy Tomyum"/>
    <s v="082SR9U08003P00001"/>
    <s v="302g*8"/>
    <n v="8"/>
    <n v="3"/>
    <n v="8.0000000000000002E-3"/>
    <x v="4"/>
    <s v="Salt"/>
    <s v="TYEX+CO"/>
    <n v="500"/>
    <m/>
    <n v="507.625"/>
    <n v="7.625"/>
    <n v="0"/>
    <m/>
    <m/>
    <m/>
    <s v="คุณจั๊กให้สั่ง มาตามขั้นต่ำ ที่เหลือจะเปิดออเดอร์มาเคลียร์"/>
    <m/>
    <m/>
  </r>
  <r>
    <x v="145"/>
    <d v="2024-06-05T00:00:00"/>
    <x v="0"/>
    <s v="Week21"/>
    <x v="4"/>
    <s v="DRY2400305"/>
    <s v="Denmark"/>
    <s v="CPFNW"/>
    <s v=" CPF Distribution (under Paulsen Food)"/>
    <s v="Minced ND+V+TY"/>
    <s v="Cooked Wonton"/>
    <s v="Cooked Minced  ND No Egg with Pumpkin_x000a_+ Yu Choy Tomyum"/>
    <s v="082SRRE12003P00001"/>
    <s v="302g*12"/>
    <n v="12"/>
    <n v="3"/>
    <n v="6.0000000000000001E-3"/>
    <x v="4"/>
    <s v="Salt"/>
    <s v="TYEX+CO"/>
    <n v="2520"/>
    <n v="2520"/>
    <m/>
    <n v="0"/>
    <n v="0"/>
    <m/>
    <m/>
    <m/>
    <s v="rema"/>
    <m/>
    <m/>
  </r>
  <r>
    <x v="145"/>
    <d v="2024-06-05T00:00:00"/>
    <x v="0"/>
    <s v="Week21"/>
    <x v="4"/>
    <s v="DRY2400306"/>
    <s v="Denmark"/>
    <s v="CPFNW"/>
    <s v=" CPF Distribution (under Paulsen Food)"/>
    <s v="Minced ND+V+TY"/>
    <s v="Cooked Wonton"/>
    <s v="Cooked Minced  ND No Egg with Pumpkin_x000a_+ Yu Choy Tomyum"/>
    <s v="082SRRE12003P00001"/>
    <s v="302g*12"/>
    <n v="12"/>
    <n v="3"/>
    <n v="6.0000000000000001E-3"/>
    <x v="4"/>
    <s v="Salt"/>
    <s v="TYEX+CO"/>
    <n v="2520"/>
    <n v="665"/>
    <n v="1871"/>
    <n v="16"/>
    <n v="0"/>
    <m/>
    <m/>
    <m/>
    <s v="rema"/>
    <m/>
    <m/>
  </r>
  <r>
    <x v="145"/>
    <d v="2024-06-20T00:00:00"/>
    <x v="0"/>
    <s v="Week21"/>
    <x v="4"/>
    <s v="DRY2400390"/>
    <s v="Denmark"/>
    <s v="CPFNW"/>
    <s v="CPF DENMARK"/>
    <s v="Wonton ND+V+TY"/>
    <s v="Cooked Wonton"/>
    <s v="Cooked Wonton ND No Egg with Pumpkin _x000a_+ Vegetable  HC  3 pcs tomyam"/>
    <s v="082SJKW08003P00001"/>
    <s v="309g*8"/>
    <n v="8"/>
    <n v="3"/>
    <n v="7.4999999999999997E-3"/>
    <x v="1"/>
    <s v="Salt"/>
    <s v="TYANS+CM"/>
    <n v="3500"/>
    <m/>
    <n v="3723.125"/>
    <n v="223.125"/>
    <n v="0"/>
    <m/>
    <m/>
    <m/>
    <s v="ต้มยำสูตรลดเผ็ดลง 10 %"/>
    <m/>
    <m/>
  </r>
  <r>
    <x v="145"/>
    <d v="2024-06-05T00:00:00"/>
    <x v="0"/>
    <s v="Week21"/>
    <x v="4"/>
    <s v="DRY2400431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349"/>
    <n v="349"/>
    <m/>
    <n v="0"/>
    <n v="0"/>
    <n v="0"/>
    <n v="2"/>
    <n v="0"/>
    <s v="ห่อแบบสุก"/>
    <m/>
    <m/>
  </r>
  <r>
    <x v="145"/>
    <d v="2024-06-05T00:00:00"/>
    <x v="0"/>
    <s v="Week21"/>
    <x v="4"/>
    <s v="DRY2400212"/>
    <s v="SG"/>
    <s v="CPFNW"/>
    <s v="CPI SINGAPORE"/>
    <s v="R-Wonton egg past"/>
    <s v="Raw Wonton"/>
    <s v="Raw Wonton 8 pcs"/>
    <s v="082I93B20008P00001"/>
    <s v="194g*20in"/>
    <n v="20"/>
    <n v="8"/>
    <n v="1.4999999999999999E-2"/>
    <x v="6"/>
    <s v="STPP"/>
    <s v="ซุปซอง 5g."/>
    <n v="460"/>
    <n v="460"/>
    <m/>
    <n v="0"/>
    <n v="0"/>
    <n v="0"/>
    <n v="2"/>
    <n v="0"/>
    <s v="ห่อแบบดิบ"/>
    <m/>
    <m/>
  </r>
  <r>
    <x v="146"/>
    <m/>
    <x v="0"/>
    <s v="Week21"/>
    <x v="4"/>
    <m/>
    <m/>
    <m/>
    <m/>
    <m/>
    <m/>
    <m/>
    <m/>
    <m/>
    <m/>
    <m/>
    <m/>
    <x v="0"/>
    <m/>
    <m/>
    <m/>
    <m/>
    <m/>
    <m/>
    <m/>
    <m/>
    <m/>
    <m/>
    <m/>
    <m/>
    <m/>
  </r>
  <r>
    <x v="147"/>
    <d v="2024-06-04T00:00:00"/>
    <x v="0"/>
    <s v="Week22"/>
    <x v="4"/>
    <s v="DRY240025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48"/>
    <n v="148"/>
    <m/>
    <n v="0"/>
    <n v="0"/>
    <m/>
    <m/>
    <m/>
    <m/>
    <m/>
    <m/>
  </r>
  <r>
    <x v="147"/>
    <d v="2024-06-04T00:00:00"/>
    <x v="0"/>
    <s v="Week22"/>
    <x v="4"/>
    <s v="DRY240026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47"/>
    <d v="2024-06-04T00:00:00"/>
    <x v="0"/>
    <s v="Week22"/>
    <x v="4"/>
    <s v="DRY240026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47"/>
    <d v="2024-06-04T00:00:00"/>
    <x v="0"/>
    <s v="Week22"/>
    <x v="4"/>
    <s v="DRY240026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47"/>
    <d v="2024-06-04T00:00:00"/>
    <x v="0"/>
    <s v="Week22"/>
    <x v="4"/>
    <s v="DRY240026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47"/>
    <d v="2024-06-04T00:00:00"/>
    <x v="0"/>
    <s v="Week22"/>
    <x v="4"/>
    <s v="DRY240026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89"/>
    <n v="638"/>
    <n v="151.33333333333334"/>
    <n v="0.33333333333337123"/>
    <n v="0"/>
    <m/>
    <m/>
    <m/>
    <m/>
    <m/>
    <m/>
  </r>
  <r>
    <x v="147"/>
    <d v="2024-06-05T00:00:00"/>
    <x v="0"/>
    <s v="Week22"/>
    <x v="4"/>
    <s v="DRY2400212"/>
    <s v="SG"/>
    <s v="CPFNW"/>
    <s v="CPI SINGAPORE"/>
    <s v="R-Wonton egg past"/>
    <s v="Raw Wonton"/>
    <s v="Raw Wonton 8 pcs"/>
    <s v="082I93B20008P00001"/>
    <s v="194g*20in"/>
    <n v="20"/>
    <n v="8"/>
    <n v="1.4999999999999999E-2"/>
    <x v="6"/>
    <s v="STPP"/>
    <s v="ซุปซอง 5g."/>
    <n v="40"/>
    <n v="40"/>
    <n v="32"/>
    <n v="32"/>
    <n v="0"/>
    <n v="0"/>
    <n v="2"/>
    <n v="0"/>
    <s v="ห่อแบบดิบ"/>
    <m/>
    <m/>
  </r>
  <r>
    <x v="147"/>
    <d v="2024-06-08T00:00:00"/>
    <x v="0"/>
    <s v="Week22"/>
    <x v="4"/>
    <s v="DRY2400299"/>
    <s v="SG"/>
    <s v="CPFNW"/>
    <s v="CPI SINGAPORE"/>
    <s v="R-Wonton egg past"/>
    <s v="Raw Wonton"/>
    <s v="Raw Wonton 12 pcs with sesame"/>
    <s v="082I93B20012P02001"/>
    <s v="204g*20in"/>
    <n v="20"/>
    <n v="12"/>
    <n v="6.8100000000000001E-3"/>
    <x v="3"/>
    <s v="STPP"/>
    <s v=" sesame 30g"/>
    <n v="826"/>
    <n v="826"/>
    <m/>
    <n v="0"/>
    <n v="0"/>
    <n v="0"/>
    <n v="2"/>
    <n v="0"/>
    <s v="ห่อแบบดิบ"/>
    <m/>
    <m/>
  </r>
  <r>
    <x v="148"/>
    <d v="2024-06-04T00:00:00"/>
    <x v="0"/>
    <s v="Week22"/>
    <x v="4"/>
    <s v="DRY240026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"/>
    <n v="3"/>
    <m/>
    <n v="0"/>
    <n v="0"/>
    <m/>
    <m/>
    <m/>
    <m/>
    <m/>
    <m/>
  </r>
  <r>
    <x v="148"/>
    <d v="2024-06-04T00:00:00"/>
    <x v="0"/>
    <s v="Week22"/>
    <x v="4"/>
    <s v="DRY240026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48"/>
    <d v="2024-06-05T00:00:00"/>
    <x v="0"/>
    <s v="Week22"/>
    <x v="4"/>
    <s v="DRY240026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48"/>
    <d v="2024-06-05T00:00:00"/>
    <x v="0"/>
    <s v="Week22"/>
    <x v="4"/>
    <s v="DRY240026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48"/>
    <d v="2024-06-05T00:00:00"/>
    <x v="0"/>
    <s v="Week22"/>
    <x v="4"/>
    <s v="DRY240026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48"/>
    <d v="2024-06-07T00:00:00"/>
    <x v="0"/>
    <s v="Week22"/>
    <x v="4"/>
    <s v="DRY240026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455"/>
    <n v="337"/>
    <n v="0"/>
    <n v="0"/>
    <m/>
    <m/>
    <m/>
    <m/>
    <m/>
    <m/>
  </r>
  <r>
    <x v="148"/>
    <d v="2024-06-07T00:00:00"/>
    <x v="0"/>
    <s v="Week22"/>
    <x v="4"/>
    <s v="DRY240027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04.69444444444446"/>
    <m/>
    <n v="204.69444444444446"/>
    <n v="0"/>
    <n v="0"/>
    <m/>
    <m/>
    <m/>
    <m/>
    <m/>
    <m/>
  </r>
  <r>
    <x v="148"/>
    <d v="2024-06-08T00:00:00"/>
    <x v="0"/>
    <s v="Week22"/>
    <x v="4"/>
    <s v="DRY2400299"/>
    <s v="SG"/>
    <s v="CPFNW"/>
    <s v="CPI SINGAPORE"/>
    <s v="R-Wonton egg past"/>
    <s v="Raw Wonton"/>
    <s v="Raw Wonton 12 pcs with sesame"/>
    <s v="082I93B20012P02001"/>
    <s v="204g*20in"/>
    <n v="20"/>
    <n v="12"/>
    <n v="6.8100000000000001E-3"/>
    <x v="3"/>
    <s v="STPP"/>
    <s v=" sesame 30g"/>
    <n v="374"/>
    <n v="374"/>
    <n v="7"/>
    <n v="7"/>
    <n v="0"/>
    <n v="0"/>
    <n v="2"/>
    <n v="0"/>
    <s v="ห่อแบบดิบ"/>
    <m/>
    <m/>
  </r>
  <r>
    <x v="148"/>
    <d v="2024-06-25T00:00:00"/>
    <x v="0"/>
    <s v="Week22"/>
    <x v="4"/>
    <s v="DRY2400370"/>
    <s v="Malay"/>
    <s v="CPFNW"/>
    <s v="CPM Malaysia"/>
    <s v="R-Wonton egg past"/>
    <s v="Raw Wonton"/>
    <s v="Raw Wonton 12 pcs"/>
    <s v="082I95I20012P02001"/>
    <s v="154g*20inner"/>
    <n v="20"/>
    <n v="12"/>
    <n v="6.8100000000000001E-3"/>
    <x v="3"/>
    <s v="STPP"/>
    <s v="ซุปซอง 5g."/>
    <n v="350"/>
    <n v="350"/>
    <m/>
    <n v="0"/>
    <n v="0"/>
    <n v="0"/>
    <n v="2"/>
    <n v="0"/>
    <s v="NEWPACKAGE"/>
    <m/>
    <m/>
  </r>
  <r>
    <x v="148"/>
    <d v="2024-06-11T00:00:00"/>
    <x v="0"/>
    <s v="Week22"/>
    <x v="4"/>
    <s v="DRY2400368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00"/>
    <n v="100"/>
    <m/>
    <n v="0"/>
    <n v="0"/>
    <n v="0"/>
    <n v="6"/>
    <n v="0"/>
    <m/>
    <m/>
    <m/>
  </r>
  <r>
    <x v="149"/>
    <d v="2024-06-11T00:00:00"/>
    <x v="0"/>
    <s v="Week22"/>
    <x v="4"/>
    <s v="DRY2400368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700"/>
    <n v="639"/>
    <n v="61"/>
    <n v="0"/>
    <n v="0"/>
    <m/>
    <m/>
    <m/>
    <m/>
    <m/>
    <m/>
  </r>
  <r>
    <x v="149"/>
    <d v="2024-06-11T00:00:00"/>
    <x v="0"/>
    <s v="Week22"/>
    <x v="4"/>
    <s v="DRY2400369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800"/>
    <n v="749"/>
    <n v="51"/>
    <n v="0"/>
    <n v="0"/>
    <m/>
    <m/>
    <m/>
    <m/>
    <m/>
    <m/>
  </r>
  <r>
    <x v="149"/>
    <d v="2024-06-17T00:00:00"/>
    <x v="0"/>
    <s v="Week22"/>
    <x v="4"/>
    <s v="DRY2400302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1083.5"/>
    <m/>
    <n v="1083.5"/>
    <n v="0"/>
    <n v="0"/>
    <m/>
    <m/>
    <m/>
    <m/>
    <m/>
    <m/>
  </r>
  <r>
    <x v="149"/>
    <d v="2024-06-05T00:00:00"/>
    <x v="0"/>
    <s v="Week22"/>
    <x v="4"/>
    <s v="DRY2400211"/>
    <s v="SG"/>
    <s v="CPFNW"/>
    <s v="CPI SINGAPORE"/>
    <s v="Wonton ND+V"/>
    <s v="Cooked Wonton"/>
    <s v="Cooked Wonton ND No Egg with Pumpkin _x000a_+ Vegetable  HC  3 pcs"/>
    <s v="082SJ3B24003P02001"/>
    <s v="219g*24"/>
    <n v="24"/>
    <n v="3"/>
    <n v="7.4999999999999997E-3"/>
    <x v="5"/>
    <s v="STPP"/>
    <s v="ซุปซอง 10g."/>
    <n v="250"/>
    <n v="250"/>
    <m/>
    <n v="0"/>
    <n v="0"/>
    <m/>
    <m/>
    <m/>
    <m/>
    <m/>
    <m/>
  </r>
  <r>
    <x v="149"/>
    <d v="2024-06-05T00:00:00"/>
    <x v="0"/>
    <s v="Week22"/>
    <x v="4"/>
    <s v="DRY2400399"/>
    <s v="SG"/>
    <s v="CPFNW"/>
    <s v="CPI SINGAPORE"/>
    <s v="Wonton ND+V"/>
    <s v="Cooked Wonton"/>
    <s v="Cooked Wonton ND No Egg with Pumpkin _x000a_+ Vegetable  HC  3 pcs"/>
    <s v="082SJ3B24003P02001"/>
    <s v="219g*24"/>
    <n v="24"/>
    <n v="3"/>
    <n v="7.4999999999999997E-3"/>
    <x v="5"/>
    <s v="STPP"/>
    <s v="ซุปซอง 10g."/>
    <n v="200"/>
    <n v="200"/>
    <m/>
    <n v="0"/>
    <n v="0"/>
    <m/>
    <m/>
    <m/>
    <m/>
    <m/>
    <m/>
  </r>
  <r>
    <x v="149"/>
    <d v="2024-06-24T00:00:00"/>
    <x v="0"/>
    <s v="Week22"/>
    <x v="4"/>
    <s v="DRY2400421"/>
    <s v="Belgium"/>
    <s v="CPFNW"/>
    <s v="CPF EUROPE S.A."/>
    <s v="Wonton ND+V"/>
    <s v="Cooked Wonton"/>
    <s v="Cooked Wonton ND No Egg with Pumpkin _x000a_+ Vegetable  HC  3 pcs"/>
    <s v="082SJ3I08003P00001"/>
    <s v="309g*8"/>
    <n v="8"/>
    <n v="3"/>
    <n v="7.4999999999999997E-3"/>
    <x v="5"/>
    <s v="Salt"/>
    <s v="Regular"/>
    <n v="800"/>
    <m/>
    <n v="823.75"/>
    <n v="23.75"/>
    <n v="0"/>
    <m/>
    <m/>
    <m/>
    <m/>
    <m/>
    <m/>
  </r>
  <r>
    <x v="149"/>
    <d v="2024-06-05T00:00:00"/>
    <x v="0"/>
    <s v="Week22"/>
    <x v="4"/>
    <s v="DRY2400365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62"/>
    <m/>
    <n v="62"/>
    <n v="0"/>
    <n v="0"/>
    <m/>
    <m/>
    <m/>
    <m/>
    <m/>
    <m/>
  </r>
  <r>
    <x v="149"/>
    <d v="2024-06-12T00:00:00"/>
    <x v="0"/>
    <s v="Week22"/>
    <x v="4"/>
    <s v="DRY2400356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149"/>
    <d v="2024-06-12T00:00:00"/>
    <x v="0"/>
    <s v="Week22"/>
    <x v="4"/>
    <s v="DRY2400366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630"/>
    <n v="171.77777777777777"/>
    <n v="9.7777777777778283"/>
    <n v="0"/>
    <m/>
    <m/>
    <m/>
    <m/>
    <m/>
    <m/>
  </r>
  <r>
    <x v="149"/>
    <d v="2024-06-28T00:00:00"/>
    <x v="0"/>
    <s v="Week22"/>
    <x v="4"/>
    <s v="DRY2400393"/>
    <s v="AUS"/>
    <s v="CPFNW"/>
    <s v="CPF Australia Pty Ltd."/>
    <s v="Wonton ND+V"/>
    <s v="Cooked Wonton"/>
    <s v="Cooked Wonton ND No Egg with Pumpkin_x000a_+ Yu Choy "/>
    <s v="082SJ9U08004P00001"/>
    <s v="305g*8"/>
    <n v="8"/>
    <n v="4"/>
    <n v="7.4999999999999997E-3"/>
    <x v="5"/>
    <s v="Salt"/>
    <s v="Regular"/>
    <n v="600"/>
    <m/>
    <n v="600"/>
    <n v="0"/>
    <n v="0"/>
    <m/>
    <m/>
    <m/>
    <m/>
    <m/>
    <m/>
  </r>
  <r>
    <x v="149"/>
    <d v="2024-07-10T00:00:00"/>
    <x v="0"/>
    <s v="Week22"/>
    <x v="4"/>
    <s v="DRY2400394"/>
    <s v="AUS"/>
    <s v="CPFNW"/>
    <s v="CPF Australia Pty Ltd."/>
    <s v="Wonton ND+V"/>
    <s v="Cooked Wonton"/>
    <s v="Cooked Wonton ND No Egg with Pumpkin_x000a_+ Yu Choy "/>
    <s v="082SJ9U08004P00001"/>
    <s v="305g*8"/>
    <n v="8"/>
    <n v="4"/>
    <n v="7.4999999999999997E-3"/>
    <x v="5"/>
    <s v="Salt"/>
    <s v="Regular"/>
    <n v="600"/>
    <m/>
    <n v="600"/>
    <n v="0"/>
    <n v="0"/>
    <m/>
    <m/>
    <m/>
    <m/>
    <m/>
    <m/>
  </r>
  <r>
    <x v="149"/>
    <d v="2024-07-01T00:00:00"/>
    <x v="0"/>
    <s v="Week22"/>
    <x v="4"/>
    <s v="DRY2400423"/>
    <s v="New Zealand"/>
    <s v="CPFNW"/>
    <s v="Lim Brothers"/>
    <s v="Wonton ND+V"/>
    <s v="Cooked Wonton"/>
    <s v="Cooked Wonton ND No Egg with Pumpkin_x000a_+ Yu Choy "/>
    <s v="082SJN708004P00001"/>
    <s v="305g*8"/>
    <n v="8"/>
    <n v="4"/>
    <n v="7.4999999999999997E-3"/>
    <x v="5"/>
    <s v="Salt"/>
    <s v="Regular"/>
    <n v="1674"/>
    <m/>
    <n v="1772.25"/>
    <n v="98.25"/>
    <n v="0"/>
    <m/>
    <m/>
    <m/>
    <s v="NEWPACKAGE"/>
    <m/>
    <m/>
  </r>
  <r>
    <x v="149"/>
    <d v="2024-06-11T00:00:00"/>
    <x v="0"/>
    <s v="Week22"/>
    <x v="4"/>
    <s v="DRY2400369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00"/>
    <n v="100"/>
    <m/>
    <n v="0"/>
    <n v="0"/>
    <n v="0"/>
    <n v="6"/>
    <n v="0"/>
    <m/>
    <m/>
    <m/>
  </r>
  <r>
    <x v="149"/>
    <d v="2024-06-11T00:00:00"/>
    <x v="0"/>
    <s v="Week22"/>
    <x v="4"/>
    <s v="DRY2400353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400"/>
    <n v="400"/>
    <m/>
    <n v="0"/>
    <n v="0"/>
    <n v="0"/>
    <n v="6"/>
    <n v="0"/>
    <m/>
    <m/>
    <m/>
  </r>
  <r>
    <x v="150"/>
    <d v="2024-06-11T00:00:00"/>
    <x v="0"/>
    <s v="Week22"/>
    <x v="4"/>
    <s v="DRY2400368"/>
    <s v="USA"/>
    <s v="CPFNW"/>
    <s v="Bellisio Foods, Inc."/>
    <s v="Minced WT"/>
    <s v="Cooked Wonton"/>
    <s v="Cooked Minced Wonton Soup No Egg"/>
    <s v="082SKBW36005P00001"/>
    <s v="145g*6c*6"/>
    <n v="36"/>
    <n v="5"/>
    <n v="6.0000000000000001E-3"/>
    <x v="4"/>
    <s v="Salt"/>
    <s v="Regular"/>
    <n v="450"/>
    <n v="450"/>
    <m/>
    <n v="0"/>
    <n v="0"/>
    <m/>
    <m/>
    <m/>
    <m/>
    <m/>
    <m/>
  </r>
  <r>
    <x v="150"/>
    <d v="2024-06-11T00:00:00"/>
    <x v="0"/>
    <s v="Week22"/>
    <x v="4"/>
    <s v="DRY2400369"/>
    <s v="USA"/>
    <s v="CPFNW"/>
    <s v="Bellisio Foods, Inc."/>
    <s v="Minced WT"/>
    <s v="Cooked Wonton"/>
    <s v="Cooked Minced Wonton Soup No Egg"/>
    <s v="082SKBW36005P00001"/>
    <s v="145g*6c*6"/>
    <n v="36"/>
    <n v="5"/>
    <n v="6.0000000000000001E-3"/>
    <x v="4"/>
    <s v="Salt"/>
    <s v="Regular"/>
    <n v="300"/>
    <n v="229"/>
    <n v="71"/>
    <n v="0"/>
    <n v="0"/>
    <m/>
    <m/>
    <m/>
    <m/>
    <m/>
    <m/>
  </r>
  <r>
    <x v="150"/>
    <d v="2024-06-17T00:00:00"/>
    <x v="0"/>
    <s v="Week22"/>
    <x v="4"/>
    <s v="DRY2400302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1400"/>
    <m/>
    <n v="1400"/>
    <n v="0"/>
    <n v="0"/>
    <m/>
    <m/>
    <m/>
    <m/>
    <m/>
    <m/>
  </r>
  <r>
    <x v="150"/>
    <d v="2024-06-25T00:00:00"/>
    <x v="0"/>
    <s v="Week22"/>
    <x v="4"/>
    <s v="DRY2400370"/>
    <s v="Malay"/>
    <s v="CPFNW"/>
    <s v="CPM Malaysia"/>
    <s v="Wonton"/>
    <s v="Cooked Wonton"/>
    <s v="Cooked Wonton No Egg  "/>
    <s v="082S85I24005P01001"/>
    <s v="145g*24"/>
    <n v="24"/>
    <n v="5"/>
    <n v="8.0000000000000002E-3"/>
    <x v="1"/>
    <s v="STPP"/>
    <s v="Regular"/>
    <n v="900"/>
    <n v="900"/>
    <m/>
    <n v="0"/>
    <n v="0"/>
    <m/>
    <m/>
    <m/>
    <n v="30000"/>
    <m/>
    <m/>
  </r>
  <r>
    <x v="150"/>
    <d v="2024-06-25T00:00:00"/>
    <x v="0"/>
    <s v="Week22"/>
    <x v="4"/>
    <s v="DRY2400370"/>
    <s v="Malay"/>
    <s v="CPFNW"/>
    <s v="CPM Malaysia"/>
    <s v="Wonton+TY"/>
    <s v="Cooked Wonton"/>
    <s v="Cooked Wonton No Egg  TY"/>
    <s v="082S85I24005P02001"/>
    <s v="115g*24"/>
    <n v="24"/>
    <n v="5"/>
    <n v="8.0000000000000002E-3"/>
    <x v="1"/>
    <s v="STPP"/>
    <s v="TYTB3C 30G"/>
    <n v="850"/>
    <n v="850"/>
    <m/>
    <n v="0"/>
    <n v="0"/>
    <m/>
    <n v="1"/>
    <n v="0"/>
    <m/>
    <m/>
    <m/>
  </r>
  <r>
    <x v="150"/>
    <m/>
    <x v="0"/>
    <s v="Week22"/>
    <x v="4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2649"/>
    <n v="2649"/>
    <m/>
    <n v="0"/>
    <n v="0"/>
    <m/>
    <m/>
    <m/>
    <m/>
    <m/>
    <m/>
  </r>
  <r>
    <x v="150"/>
    <d v="2024-06-24T00:00:00"/>
    <x v="0"/>
    <s v="Week22"/>
    <x v="4"/>
    <s v="DRY2400421"/>
    <s v="Belgium"/>
    <s v="CPFNW"/>
    <s v="CPF EUROPE S.A."/>
    <s v="R-Wonton no egg"/>
    <s v="Raw Wonton"/>
    <s v="Raw Wonton 50 pcs"/>
    <s v="082I93I10050P02001"/>
    <s v="630g*10inner"/>
    <n v="10"/>
    <n v="50"/>
    <n v="8.1300000000000001E-3"/>
    <x v="1"/>
    <s v="Salt"/>
    <s v="ซุปซอง 5g."/>
    <n v="300"/>
    <n v="300"/>
    <m/>
    <n v="0"/>
    <n v="0"/>
    <n v="0"/>
    <n v="6"/>
    <n v="0"/>
    <m/>
    <m/>
    <m/>
  </r>
  <r>
    <x v="150"/>
    <d v="2024-06-13T00:00:00"/>
    <x v="0"/>
    <s v="Week22"/>
    <x v="4"/>
    <s v="KL2400011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288"/>
    <n v="288"/>
    <m/>
    <n v="0"/>
    <n v="0"/>
    <n v="0"/>
    <n v="6"/>
    <n v="0"/>
    <m/>
    <m/>
    <m/>
  </r>
  <r>
    <x v="151"/>
    <d v="2024-06-06T00:00:00"/>
    <x v="0"/>
    <s v="Week22"/>
    <x v="4"/>
    <s v="DRY2400439"/>
    <s v="Japan"/>
    <s v="CPFNW"/>
    <s v="CPF JAPAN"/>
    <s v="Wonton+TY"/>
    <s v="Cooked Wonton"/>
    <s v="Wonton Soup 5pcs"/>
    <s v="082S85736005P01001"/>
    <s v="147g*6c*6in"/>
    <n v="36"/>
    <n v="5"/>
    <n v="7.4999999999999997E-3"/>
    <x v="1"/>
    <s v="Salt"/>
    <s v="TYEX+CO"/>
    <n v="10"/>
    <n v="10"/>
    <m/>
    <n v="0"/>
    <n v="0"/>
    <m/>
    <m/>
    <m/>
    <s v="NEWPACKAGE"/>
    <m/>
    <m/>
  </r>
  <r>
    <x v="151"/>
    <d v="2024-06-06T00:00:00"/>
    <x v="0"/>
    <s v="Week22"/>
    <x v="4"/>
    <s v="DRY2400472"/>
    <s v="CAN "/>
    <s v="CPFNW "/>
    <s v="CP Foods Canada,Inc (CPFC)"/>
    <s v="Wonton+TY"/>
    <s v="Cooked Wonton"/>
    <s v="Wonton Soup  (Enriched wonton sheet)"/>
    <s v="082S85336005P02001"/>
    <s v="147g*6c*6in"/>
    <n v="36"/>
    <n v="5"/>
    <n v="7.4999999999999997E-3"/>
    <x v="1"/>
    <s v="Salt"/>
    <s v="TYEX+CO"/>
    <n v="1288"/>
    <n v="1288"/>
    <m/>
    <n v="0"/>
    <n v="0"/>
    <m/>
    <m/>
    <m/>
    <m/>
    <m/>
    <m/>
  </r>
  <r>
    <x v="151"/>
    <d v="2024-06-06T00:00:00"/>
    <x v="0"/>
    <s v="Week22"/>
    <x v="4"/>
    <s v="DRY2400473"/>
    <s v="CAN "/>
    <s v="CPFNW "/>
    <s v="CP Foods Canada,Inc (CPFC)"/>
    <s v="Wonton+TY"/>
    <s v="Cooked Wonton"/>
    <s v="Wonton Soup  (Enriched wonton sheet)"/>
    <s v="082S85336005P02001"/>
    <s v="147g*6c*6in"/>
    <n v="36"/>
    <n v="5"/>
    <n v="7.4999999999999997E-3"/>
    <x v="1"/>
    <s v="Salt"/>
    <s v="TYEX+CO"/>
    <n v="1288"/>
    <n v="1288"/>
    <m/>
    <n v="0"/>
    <n v="0"/>
    <m/>
    <m/>
    <m/>
    <m/>
    <m/>
    <m/>
  </r>
  <r>
    <x v="151"/>
    <d v="2024-06-06T00:00:00"/>
    <x v="0"/>
    <s v="Week22"/>
    <x v="4"/>
    <s v="DRY2400474"/>
    <s v="CAN "/>
    <s v="CPFNW "/>
    <s v="CP Foods Canada,Inc (CPFC)"/>
    <s v="Wonton+TY"/>
    <s v="Cooked Wonton"/>
    <s v="Wonton Soup  (Enriched wonton sheet)"/>
    <s v="082S85336005P02001"/>
    <s v="147g*6c*6in"/>
    <n v="36"/>
    <n v="5"/>
    <n v="7.4999999999999997E-3"/>
    <x v="1"/>
    <s v="Salt"/>
    <s v="TYEX+CO"/>
    <n v="1288"/>
    <n v="1288"/>
    <m/>
    <n v="0"/>
    <n v="0"/>
    <m/>
    <m/>
    <m/>
    <m/>
    <m/>
    <m/>
  </r>
  <r>
    <x v="151"/>
    <d v="2024-06-13T00:00:00"/>
    <x v="0"/>
    <s v="Week22"/>
    <x v="4"/>
    <s v="KL2400011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587"/>
    <n v="587"/>
    <m/>
    <n v="0"/>
    <n v="0"/>
    <n v="0"/>
    <n v="6"/>
    <n v="0"/>
    <m/>
    <m/>
    <m/>
  </r>
  <r>
    <x v="152"/>
    <d v="2024-06-07T00:00:00"/>
    <x v="0"/>
    <s v="Week22"/>
    <x v="5"/>
    <s v="DRY240027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88"/>
    <n v="588"/>
    <m/>
    <n v="0"/>
    <n v="0"/>
    <m/>
    <m/>
    <m/>
    <m/>
    <m/>
    <m/>
  </r>
  <r>
    <x v="152"/>
    <d v="2024-06-07T00:00:00"/>
    <x v="0"/>
    <s v="Week22"/>
    <x v="5"/>
    <s v="DRY240027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52"/>
    <d v="2024-06-07T00:00:00"/>
    <x v="0"/>
    <s v="Week22"/>
    <x v="5"/>
    <s v="DRY240027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52"/>
    <d v="2024-06-07T00:00:00"/>
    <x v="0"/>
    <s v="Week22"/>
    <x v="5"/>
    <s v="DRY240027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52"/>
    <d v="2024-06-07T00:00:00"/>
    <x v="0"/>
    <s v="Week22"/>
    <x v="5"/>
    <s v="DRY240027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52"/>
    <d v="2024-06-07T00:00:00"/>
    <x v="0"/>
    <s v="Week22"/>
    <x v="5"/>
    <s v="DRY240027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02"/>
    <n v="402"/>
    <m/>
    <n v="0"/>
    <n v="0"/>
    <m/>
    <m/>
    <m/>
    <m/>
    <m/>
    <m/>
  </r>
  <r>
    <x v="152"/>
    <d v="2024-06-13T00:00:00"/>
    <x v="0"/>
    <s v="Week22"/>
    <x v="5"/>
    <s v="KL2400011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533"/>
    <n v="533"/>
    <m/>
    <n v="0"/>
    <n v="0"/>
    <n v="0"/>
    <n v="6"/>
    <n v="0"/>
    <m/>
    <m/>
    <m/>
  </r>
  <r>
    <x v="153"/>
    <m/>
    <x v="0"/>
    <s v="Week22"/>
    <x v="5"/>
    <m/>
    <m/>
    <m/>
    <m/>
    <m/>
    <m/>
    <m/>
    <m/>
    <m/>
    <m/>
    <m/>
    <m/>
    <x v="0"/>
    <m/>
    <m/>
    <m/>
    <m/>
    <m/>
    <m/>
    <m/>
    <m/>
    <m/>
    <m/>
    <m/>
    <m/>
    <m/>
  </r>
  <r>
    <x v="154"/>
    <m/>
    <x v="0"/>
    <s v="Week23"/>
    <x v="5"/>
    <m/>
    <m/>
    <m/>
    <m/>
    <m/>
    <m/>
    <m/>
    <m/>
    <m/>
    <m/>
    <m/>
    <m/>
    <x v="0"/>
    <m/>
    <m/>
    <m/>
    <m/>
    <m/>
    <m/>
    <m/>
    <m/>
    <m/>
    <m/>
    <m/>
    <m/>
    <m/>
  </r>
  <r>
    <x v="155"/>
    <d v="2024-06-19T00:00:00"/>
    <x v="0"/>
    <s v="Week23"/>
    <x v="5"/>
    <s v="DRY2400182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m/>
    <m/>
    <m/>
    <s v="NEWPACKAGE"/>
    <m/>
    <m/>
  </r>
  <r>
    <x v="155"/>
    <d v="2024-06-07T00:00:00"/>
    <x v="0"/>
    <s v="Week23"/>
    <x v="5"/>
    <s v="DRY240027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90"/>
    <n v="390"/>
    <m/>
    <n v="0"/>
    <n v="0"/>
    <m/>
    <m/>
    <m/>
    <m/>
    <m/>
    <m/>
  </r>
  <r>
    <x v="155"/>
    <d v="2024-06-07T00:00:00"/>
    <x v="0"/>
    <s v="Week23"/>
    <x v="5"/>
    <s v="DRY240027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55"/>
    <d v="2024-06-10T00:00:00"/>
    <x v="0"/>
    <s v="Week23"/>
    <x v="5"/>
    <s v="DRY240027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55"/>
    <d v="2024-06-10T00:00:00"/>
    <x v="0"/>
    <s v="Week23"/>
    <x v="5"/>
    <s v="DRY240027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55"/>
    <d v="2024-06-10T00:00:00"/>
    <x v="0"/>
    <s v="Week23"/>
    <x v="5"/>
    <s v="DRY240027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53"/>
    <n v="253"/>
    <m/>
    <n v="0"/>
    <n v="0"/>
    <m/>
    <m/>
    <m/>
    <m/>
    <m/>
    <m/>
  </r>
  <r>
    <x v="156"/>
    <d v="2024-06-10T00:00:00"/>
    <x v="0"/>
    <s v="Week23"/>
    <x v="5"/>
    <s v="DRY240027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39"/>
    <n v="539"/>
    <m/>
    <n v="0"/>
    <n v="0"/>
    <m/>
    <m/>
    <m/>
    <m/>
    <m/>
    <m/>
  </r>
  <r>
    <x v="156"/>
    <d v="2024-06-10T00:00:00"/>
    <x v="0"/>
    <s v="Week23"/>
    <x v="5"/>
    <s v="DRY240028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56"/>
    <d v="2024-06-10T00:00:00"/>
    <x v="0"/>
    <s v="Week23"/>
    <x v="5"/>
    <s v="DRY240028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56"/>
    <d v="2024-06-11T00:00:00"/>
    <x v="0"/>
    <s v="Week23"/>
    <x v="5"/>
    <s v="DRY240028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56"/>
    <d v="2024-06-11T00:00:00"/>
    <x v="0"/>
    <s v="Week23"/>
    <x v="5"/>
    <s v="DRY240028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76"/>
    <n v="476"/>
    <m/>
    <n v="0"/>
    <n v="0"/>
    <m/>
    <m/>
    <m/>
    <m/>
    <m/>
    <m/>
  </r>
  <r>
    <x v="157"/>
    <d v="2024-06-25T00:00:00"/>
    <x v="0"/>
    <s v="Week23"/>
    <x v="5"/>
    <s v="DRY2400196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m/>
    <m/>
    <m/>
    <s v="ใช้ package ที่เป็น หมึกพิมพ์ใหม่"/>
    <m/>
    <m/>
  </r>
  <r>
    <x v="157"/>
    <d v="2024-06-13T00:00:00"/>
    <x v="0"/>
    <s v="Week23"/>
    <x v="5"/>
    <s v="DRY2400313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54"/>
    <n v="54"/>
    <m/>
    <n v="0"/>
    <n v="0"/>
    <m/>
    <m/>
    <m/>
    <s v="NEWPACKAGE"/>
    <m/>
    <m/>
  </r>
  <r>
    <x v="157"/>
    <d v="2024-06-13T00:00:00"/>
    <x v="0"/>
    <s v="Week23"/>
    <x v="5"/>
    <s v="DRY2400325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s v="NEWPACKAGE"/>
    <m/>
    <m/>
  </r>
  <r>
    <x v="157"/>
    <d v="2024-06-20T00:00:00"/>
    <x v="0"/>
    <s v="Week23"/>
    <x v="5"/>
    <s v="DRY2400326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897"/>
    <n v="897"/>
    <m/>
    <n v="0"/>
    <n v="0"/>
    <m/>
    <m/>
    <m/>
    <s v="NEWPACKAGE"/>
    <m/>
    <m/>
  </r>
  <r>
    <x v="157"/>
    <d v="2024-06-15T00:00:00"/>
    <x v="0"/>
    <s v="Week23"/>
    <x v="5"/>
    <s v="KL2400016"/>
    <s v="China"/>
    <s v="China"/>
    <s v="Charoen Pokphand Import&amp;Export Trading (Shanghai) Co., Ltd"/>
    <s v="Wonton+TY"/>
    <s v="Cooked Wonton"/>
    <s v="Wonton Soup  (Enriched wonton sheet)"/>
    <s v="082S85J36005P00001"/>
    <s v="147g*6c*6in"/>
    <n v="36"/>
    <n v="5"/>
    <n v="7.4999999999999997E-3"/>
    <x v="1"/>
    <s v="Salt"/>
    <s v="TYEX+CO"/>
    <n v="390"/>
    <n v="390"/>
    <m/>
    <n v="0"/>
    <n v="0"/>
    <m/>
    <m/>
    <m/>
    <m/>
    <m/>
    <m/>
  </r>
  <r>
    <x v="158"/>
    <d v="2024-06-10T00:00:00"/>
    <x v="0"/>
    <s v="Week23"/>
    <x v="5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2808"/>
    <n v="2808"/>
    <m/>
    <n v="0"/>
    <n v="0"/>
    <m/>
    <m/>
    <m/>
    <s v="NEWPACKAGE"/>
    <m/>
    <m/>
  </r>
  <r>
    <x v="158"/>
    <m/>
    <x v="0"/>
    <s v="Week23"/>
    <x v="5"/>
    <s v="ขายภายใน"/>
    <s v=".7-11"/>
    <s v="CPFGS"/>
    <s v="ซีพีเอฟ เทรดดิ้ง"/>
    <s v="Wonton ND+V+TY"/>
    <s v="Cooked Wonton"/>
    <s v="Cooked Wonton ND+ Vegetable  SS  3 pcs"/>
    <s v="082SJ1A12003P02001"/>
    <s v="211g*12"/>
    <n v="12"/>
    <n v="3"/>
    <n v="6.1999999999999998E-3"/>
    <x v="2"/>
    <s v="STPP"/>
    <s v="TYNSF"/>
    <n v="6596"/>
    <n v="6596"/>
    <m/>
    <n v="0"/>
    <n v="0"/>
    <m/>
    <m/>
    <m/>
    <s v="ขั่นต่ำ 58,000 ถ้วย"/>
    <m/>
    <m/>
  </r>
  <r>
    <x v="158"/>
    <d v="2024-07-23T00:00:00"/>
    <x v="0"/>
    <s v="Week23"/>
    <x v="5"/>
    <s v="DRY2400190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523"/>
    <n v="523"/>
    <m/>
    <n v="0"/>
    <n v="0"/>
    <n v="0"/>
    <n v="2"/>
    <n v="0"/>
    <m/>
    <m/>
    <m/>
  </r>
  <r>
    <x v="159"/>
    <d v="2024-06-11T00:00:00"/>
    <x v="0"/>
    <s v="Week23"/>
    <x v="5"/>
    <s v="DRY240028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16"/>
    <n v="316"/>
    <m/>
    <n v="0"/>
    <n v="0"/>
    <m/>
    <m/>
    <m/>
    <m/>
    <m/>
    <m/>
  </r>
  <r>
    <x v="159"/>
    <d v="2024-06-14T00:00:00"/>
    <x v="0"/>
    <s v="Week23"/>
    <x v="5"/>
    <s v="DRY240028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39"/>
    <n v="739"/>
    <m/>
    <n v="0"/>
    <n v="0"/>
    <m/>
    <m/>
    <m/>
    <m/>
    <m/>
    <m/>
  </r>
  <r>
    <x v="159"/>
    <d v="2024-06-19T00:00:00"/>
    <x v="0"/>
    <s v="Week23"/>
    <x v="5"/>
    <s v="DRY2400358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159"/>
    <d v="2024-06-19T00:00:00"/>
    <x v="0"/>
    <s v="Week23"/>
    <x v="5"/>
    <s v="DRY2400490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632"/>
    <n v="160"/>
    <n v="0"/>
    <n v="0"/>
    <m/>
    <m/>
    <m/>
    <m/>
    <m/>
    <m/>
  </r>
  <r>
    <x v="159"/>
    <d v="2024-06-26T00:00:00"/>
    <x v="0"/>
    <s v="Week23"/>
    <x v="5"/>
    <s v="DRY2400391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592"/>
    <n v="200"/>
    <n v="0"/>
    <n v="0"/>
    <m/>
    <m/>
    <m/>
    <m/>
    <m/>
    <m/>
  </r>
  <r>
    <x v="159"/>
    <d v="2024-06-20T00:00:00"/>
    <x v="0"/>
    <s v="Week23"/>
    <x v="5"/>
    <s v="DRY2400093"/>
    <s v="Spain"/>
    <s v="CPFNW"/>
    <s v="Mercadona"/>
    <s v="Wonton ND+V"/>
    <s v="Cooked Wonton"/>
    <s v="Cooked Wonton ND No Egg with Pumpkin _x000a_+ Vegetable  HC  3 pcs"/>
    <s v="082SJ5T12003P00001"/>
    <s v="309g*12"/>
    <n v="12"/>
    <n v="3"/>
    <n v="7.4999999999999997E-3"/>
    <x v="5"/>
    <s v="Salt"/>
    <s v="Regular"/>
    <n v="2520"/>
    <n v="2509"/>
    <n v="11"/>
    <n v="0"/>
    <n v="0"/>
    <m/>
    <m/>
    <m/>
    <s v="รวบการผลิตให้เป็นวันเดียวกันตามความต้องการของลูกค้า"/>
    <m/>
    <m/>
  </r>
  <r>
    <x v="159"/>
    <d v="2024-07-23T00:00:00"/>
    <x v="0"/>
    <s v="Week23"/>
    <x v="5"/>
    <s v="DRY2400190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552"/>
    <n v="552"/>
    <m/>
    <n v="0"/>
    <n v="0"/>
    <n v="0"/>
    <n v="2"/>
    <n v="0"/>
    <m/>
    <m/>
    <m/>
  </r>
  <r>
    <x v="160"/>
    <m/>
    <x v="0"/>
    <s v="Week23"/>
    <x v="5"/>
    <m/>
    <m/>
    <m/>
    <m/>
    <m/>
    <m/>
    <m/>
    <m/>
    <m/>
    <m/>
    <m/>
    <m/>
    <x v="0"/>
    <m/>
    <m/>
    <m/>
    <m/>
    <m/>
    <m/>
    <m/>
    <m/>
    <m/>
    <m/>
    <m/>
    <m/>
    <m/>
  </r>
  <r>
    <x v="161"/>
    <d v="2024-07-10T00:00:00"/>
    <x v="0"/>
    <s v="Week24"/>
    <x v="5"/>
    <s v="DRY2400183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m/>
    <m/>
    <m/>
    <s v="NEWPACKAGE"/>
    <m/>
    <m/>
  </r>
  <r>
    <x v="161"/>
    <d v="2024-06-14T00:00:00"/>
    <x v="0"/>
    <s v="Week24"/>
    <x v="5"/>
    <s v="DRY240028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3"/>
    <n v="53"/>
    <m/>
    <n v="0"/>
    <n v="0"/>
    <m/>
    <m/>
    <m/>
    <m/>
    <m/>
    <m/>
  </r>
  <r>
    <x v="161"/>
    <d v="2024-06-14T00:00:00"/>
    <x v="0"/>
    <s v="Week24"/>
    <x v="5"/>
    <s v="DRY240028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61"/>
    <d v="2024-06-14T00:00:00"/>
    <x v="0"/>
    <s v="Week24"/>
    <x v="5"/>
    <s v="DRY240028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61"/>
    <d v="2024-06-14T00:00:00"/>
    <x v="0"/>
    <s v="Week24"/>
    <x v="5"/>
    <s v="DRY240028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61"/>
    <d v="2024-06-15T00:00:00"/>
    <x v="0"/>
    <s v="Week24"/>
    <x v="5"/>
    <s v="DRY240028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40"/>
    <n v="740"/>
    <m/>
    <n v="0"/>
    <n v="0"/>
    <m/>
    <m/>
    <m/>
    <m/>
    <m/>
    <m/>
  </r>
  <r>
    <x v="161"/>
    <d v="2024-07-23T00:00:00"/>
    <x v="0"/>
    <s v="Week24"/>
    <x v="5"/>
    <s v="DRY2400190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468"/>
    <n v="468"/>
    <m/>
    <n v="0"/>
    <n v="0"/>
    <n v="0"/>
    <n v="2"/>
    <n v="0"/>
    <m/>
    <m/>
    <m/>
  </r>
  <r>
    <x v="162"/>
    <d v="2024-06-15T00:00:00"/>
    <x v="0"/>
    <s v="Week24"/>
    <x v="5"/>
    <s v="DRY240028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2"/>
    <n v="52"/>
    <m/>
    <n v="0"/>
    <n v="0"/>
    <m/>
    <m/>
    <m/>
    <m/>
    <m/>
    <m/>
  </r>
  <r>
    <x v="162"/>
    <d v="2024-06-15T00:00:00"/>
    <x v="0"/>
    <s v="Week24"/>
    <x v="5"/>
    <s v="DRY240028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62"/>
    <d v="2024-06-17T00:00:00"/>
    <x v="0"/>
    <s v="Week24"/>
    <x v="5"/>
    <s v="DRY240029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62"/>
    <d v="2024-06-17T00:00:00"/>
    <x v="0"/>
    <s v="Week24"/>
    <x v="5"/>
    <s v="DRY240029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62"/>
    <d v="2024-06-17T00:00:00"/>
    <x v="0"/>
    <s v="Week24"/>
    <x v="5"/>
    <s v="DRY240029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62"/>
    <d v="2024-06-17T00:00:00"/>
    <x v="0"/>
    <s v="Week24"/>
    <x v="5"/>
    <s v="DRY240029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62"/>
    <d v="2024-06-17T00:00:00"/>
    <x v="0"/>
    <s v="Week24"/>
    <x v="5"/>
    <s v="DRY240033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9"/>
    <n v="69"/>
    <m/>
    <n v="0"/>
    <n v="0"/>
    <m/>
    <m/>
    <m/>
    <m/>
    <m/>
    <m/>
  </r>
  <r>
    <x v="162"/>
    <d v="2024-07-23T00:00:00"/>
    <x v="0"/>
    <s v="Week24"/>
    <x v="5"/>
    <s v="DRY2400190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81"/>
    <n v="81"/>
    <m/>
    <n v="0"/>
    <n v="0"/>
    <n v="0"/>
    <n v="2"/>
    <n v="0"/>
    <m/>
    <m/>
    <m/>
  </r>
  <r>
    <x v="162"/>
    <d v="2024-06-17T00:00:00"/>
    <x v="0"/>
    <s v="Week24"/>
    <x v="5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347"/>
    <n v="347"/>
    <m/>
    <n v="0"/>
    <n v="0"/>
    <n v="0"/>
    <m/>
    <n v="0"/>
    <m/>
    <m/>
    <m/>
  </r>
  <r>
    <x v="162"/>
    <d v="2024-06-17T00:00:00"/>
    <x v="0"/>
    <s v="Week24"/>
    <x v="5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208"/>
    <n v="208"/>
    <m/>
    <n v="0"/>
    <n v="0"/>
    <n v="0"/>
    <m/>
    <n v="0"/>
    <m/>
    <m/>
    <m/>
  </r>
  <r>
    <x v="162"/>
    <d v="2024-07-01T00:00:00"/>
    <x v="0"/>
    <s v="Week24"/>
    <x v="5"/>
    <s v="DRY2400424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287"/>
    <n v="274"/>
    <n v="13"/>
    <n v="0"/>
    <n v="0"/>
    <n v="0"/>
    <n v="1"/>
    <n v="0"/>
    <m/>
    <m/>
    <m/>
  </r>
  <r>
    <x v="162"/>
    <d v="2024-07-01T00:00:00"/>
    <x v="0"/>
    <s v="Week24"/>
    <x v="5"/>
    <s v="DRY2400424"/>
    <s v="HK"/>
    <s v="CPFNW"/>
    <s v="CPM Hongkong"/>
    <s v="R-Minced egg past"/>
    <s v="Raw Wonton"/>
    <s v="Raw Minced Wonton 8 pcs"/>
    <s v="082ID3G18008P00001"/>
    <s v="90g*18in"/>
    <n v="18"/>
    <n v="8"/>
    <n v="6.0000000000000001E-3"/>
    <x v="4"/>
    <s v="STPP"/>
    <s v="ซุปซอง 5g."/>
    <n v="250"/>
    <n v="240"/>
    <n v="24"/>
    <n v="14"/>
    <n v="0"/>
    <n v="0"/>
    <n v="2"/>
    <n v="0"/>
    <m/>
    <m/>
    <m/>
  </r>
  <r>
    <x v="163"/>
    <d v="2024-06-17T00:00:00"/>
    <x v="0"/>
    <s v="Week24"/>
    <x v="5"/>
    <s v="DRY240033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23"/>
    <n v="723"/>
    <m/>
    <n v="0"/>
    <n v="0"/>
    <m/>
    <m/>
    <m/>
    <m/>
    <m/>
    <m/>
  </r>
  <r>
    <x v="163"/>
    <d v="2024-06-18T00:00:00"/>
    <x v="0"/>
    <s v="Week24"/>
    <x v="5"/>
    <s v="DRY240033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63"/>
    <d v="2024-06-22T00:00:00"/>
    <x v="0"/>
    <s v="Week24"/>
    <x v="5"/>
    <s v="DRY240033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63"/>
    <d v="2024-06-22T00:00:00"/>
    <x v="0"/>
    <s v="Week24"/>
    <x v="5"/>
    <s v="DRY240033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63"/>
    <d v="2024-06-22T00:00:00"/>
    <x v="0"/>
    <s v="Week24"/>
    <x v="5"/>
    <s v="DRY240033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63"/>
    <d v="2024-06-22T00:00:00"/>
    <x v="0"/>
    <s v="Week24"/>
    <x v="5"/>
    <s v="DRY240033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81"/>
    <n v="281"/>
    <m/>
    <n v="0"/>
    <n v="0"/>
    <m/>
    <m/>
    <m/>
    <m/>
    <m/>
    <m/>
  </r>
  <r>
    <x v="163"/>
    <d v="2024-07-01T00:00:00"/>
    <x v="0"/>
    <s v="Week24"/>
    <x v="5"/>
    <s v="DRY2400424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1363"/>
    <n v="893"/>
    <n v="954"/>
    <n v="484"/>
    <n v="0"/>
    <n v="0"/>
    <n v="1"/>
    <n v="0"/>
    <m/>
    <m/>
    <m/>
  </r>
  <r>
    <x v="164"/>
    <d v="2024-06-17T00:00:00"/>
    <x v="0"/>
    <s v="Week24"/>
    <x v="5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878"/>
    <n v="878"/>
    <m/>
    <n v="0"/>
    <n v="0"/>
    <m/>
    <m/>
    <m/>
    <s v="NEWPACKAGE"/>
    <m/>
    <m/>
  </r>
  <r>
    <x v="164"/>
    <d v="2024-06-24T00:00:00"/>
    <x v="0"/>
    <s v="Week24"/>
    <x v="5"/>
    <s v="DRY2400421"/>
    <s v="Belgium"/>
    <s v="CPFNW"/>
    <s v="CPF EUROPE S.A."/>
    <s v="Wonton +V"/>
    <s v="Cooked Wonton"/>
    <s v="Cooked Wonton  No Egg _x000a_+ Vegetable  HC  4 pcs"/>
    <s v="082S83I08004P00001"/>
    <s v="145g*8"/>
    <n v="8"/>
    <n v="4"/>
    <n v="7.4999999999999997E-3"/>
    <x v="5"/>
    <s v="Salt"/>
    <s v="Regular"/>
    <n v="2700"/>
    <m/>
    <n v="2703.375"/>
    <n v="3.375"/>
    <n v="0"/>
    <m/>
    <m/>
    <m/>
    <m/>
    <m/>
    <m/>
  </r>
  <r>
    <x v="164"/>
    <d v="2024-07-03T00:00:00"/>
    <x v="0"/>
    <s v="Week24"/>
    <x v="5"/>
    <s v="DRY2400359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164"/>
    <d v="2024-07-03T00:00:00"/>
    <x v="0"/>
    <s v="Week24"/>
    <x v="5"/>
    <s v="DRY2400360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649"/>
    <n v="143"/>
    <n v="0"/>
    <n v="0"/>
    <m/>
    <m/>
    <m/>
    <m/>
    <m/>
    <m/>
  </r>
  <r>
    <x v="164"/>
    <d v="2024-07-03T00:00:00"/>
    <x v="0"/>
    <s v="Week24"/>
    <x v="5"/>
    <s v="DRY2400357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+CO"/>
    <n v="924"/>
    <n v="924"/>
    <m/>
    <n v="0"/>
    <n v="0"/>
    <m/>
    <m/>
    <m/>
    <s v="351 ถ้วยUK /1030 New Zealand"/>
    <m/>
    <m/>
  </r>
  <r>
    <x v="164"/>
    <d v="2024-07-24T00:00:00"/>
    <x v="0"/>
    <s v="Week24"/>
    <x v="5"/>
    <s v="DRY2400396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+CO"/>
    <n v="924"/>
    <n v="910"/>
    <n v="14"/>
    <n v="0"/>
    <n v="0"/>
    <m/>
    <m/>
    <m/>
    <m/>
    <m/>
    <m/>
  </r>
  <r>
    <x v="164"/>
    <d v="2024-07-01T00:00:00"/>
    <x v="0"/>
    <s v="Week24"/>
    <x v="5"/>
    <s v="DRY2400423"/>
    <s v="New Zealand"/>
    <s v="CPFNW"/>
    <s v="Lim Brothers"/>
    <s v="Minced ND+V+TY"/>
    <s v="Cooked Wonton"/>
    <s v="Cooked Minced  ND No Egg with Pumpkin_x000a_+ Yu Choy Tomyum"/>
    <s v="082SRN708003P00001"/>
    <s v="302g*8"/>
    <n v="8"/>
    <n v="3"/>
    <n v="6.0000000000000001E-3"/>
    <x v="4"/>
    <s v="Salt"/>
    <s v="TYA+CO"/>
    <n v="594"/>
    <m/>
    <n v="594"/>
    <n v="0"/>
    <n v="0"/>
    <m/>
    <m/>
    <m/>
    <s v="670 kg.exp 10/7 / ทำได้ 13,000 ครั้งเดียว แต่ถ้าทำ 2 รอบจะเป็น 4,752 / 6,000"/>
    <m/>
    <m/>
  </r>
  <r>
    <x v="164"/>
    <d v="2024-07-13T00:00:00"/>
    <x v="0"/>
    <s v="Week24"/>
    <x v="5"/>
    <s v="DRY2400434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1088"/>
    <n v="1088"/>
    <m/>
    <n v="0"/>
    <n v="0"/>
    <n v="0"/>
    <n v="2"/>
    <n v="0"/>
    <s v="ห่อแบบสุก"/>
    <m/>
    <m/>
  </r>
  <r>
    <x v="165"/>
    <d v="2024-06-20T00:00:00"/>
    <x v="0"/>
    <s v="Week24"/>
    <x v="5"/>
    <s v="DRY2400326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391"/>
    <n v="391"/>
    <m/>
    <n v="0"/>
    <n v="0"/>
    <m/>
    <m/>
    <m/>
    <s v="NEWPACKAGE"/>
    <m/>
    <m/>
  </r>
  <r>
    <x v="165"/>
    <d v="2024-06-27T00:00:00"/>
    <x v="0"/>
    <s v="Week24"/>
    <x v="5"/>
    <s v="DRY2400314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75"/>
    <n v="13"/>
    <n v="0"/>
    <n v="0"/>
    <m/>
    <m/>
    <m/>
    <s v="NEWPACKAGE"/>
    <m/>
    <m/>
  </r>
  <r>
    <x v="165"/>
    <d v="2024-06-17T00:00:00"/>
    <x v="0"/>
    <s v="Week24"/>
    <x v="5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3133"/>
    <n v="3133"/>
    <m/>
    <n v="0"/>
    <n v="0"/>
    <m/>
    <m/>
    <m/>
    <s v="NEWPACKAGE"/>
    <m/>
    <m/>
  </r>
  <r>
    <x v="165"/>
    <d v="2024-07-13T00:00:00"/>
    <x v="0"/>
    <s v="Week24"/>
    <x v="5"/>
    <s v="DRY2400434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912"/>
    <n v="912"/>
    <m/>
    <n v="0"/>
    <n v="0"/>
    <n v="0"/>
    <n v="2"/>
    <n v="0"/>
    <s v="ห่อแบบสุก"/>
    <m/>
    <m/>
  </r>
  <r>
    <x v="166"/>
    <d v="2024-06-18T00:00:00"/>
    <x v="0"/>
    <s v="Week24"/>
    <x v="5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2140"/>
    <n v="2140"/>
    <m/>
    <n v="0"/>
    <n v="0"/>
    <m/>
    <m/>
    <m/>
    <s v="NEWPACKAGE"/>
    <m/>
    <m/>
  </r>
  <r>
    <x v="166"/>
    <d v="2024-06-26T00:00:00"/>
    <x v="0"/>
    <s v="Week24"/>
    <x v="5"/>
    <s v="DRY2400393"/>
    <s v="AUS"/>
    <s v="CPFNW"/>
    <s v="CPF Australia Pty Ltd."/>
    <s v="Minced ND+Kee Mao"/>
    <s v="Cooked Wonton"/>
    <s v="Cooked Minced Wonton Thai Spicy Noodles (Kee Mao Noodles)"/>
    <s v="082SR9U08003P02001"/>
    <s v="219g*8"/>
    <n v="8"/>
    <n v="3"/>
    <n v="8.0000000000000002E-3"/>
    <x v="4"/>
    <s v="Salt"/>
    <s v="Kee Mao 50G."/>
    <n v="300"/>
    <m/>
    <n v="300"/>
    <n v="0"/>
    <n v="0"/>
    <m/>
    <m/>
    <m/>
    <s v="รอ rd สรุป"/>
    <m/>
    <m/>
  </r>
  <r>
    <x v="166"/>
    <d v="2024-07-10T00:00:00"/>
    <x v="0"/>
    <s v="Week24"/>
    <x v="5"/>
    <s v="DRY2400394"/>
    <s v="AUS"/>
    <s v="CPFNW"/>
    <s v="CPF Australia Pty Ltd."/>
    <s v="Minced ND+Kee Mao"/>
    <s v="Cooked Wonton"/>
    <s v="Cooked Minced Wonton Thai Spicy Noodles (Kee Mao Noodles)"/>
    <s v="082SR9U08003P02001"/>
    <s v="219g*8"/>
    <n v="8"/>
    <n v="3"/>
    <n v="8.0000000000000002E-3"/>
    <x v="4"/>
    <s v="Salt"/>
    <s v="Kee Mao 50G."/>
    <n v="200"/>
    <m/>
    <n v="207.125"/>
    <n v="7.125"/>
    <n v="0"/>
    <m/>
    <m/>
    <m/>
    <s v="รอ rd สรุป"/>
    <m/>
    <m/>
  </r>
  <r>
    <x v="166"/>
    <d v="2024-07-01T00:00:00"/>
    <x v="0"/>
    <s v="Week24"/>
    <x v="5"/>
    <s v="DRY2400423"/>
    <s v="New Zealand"/>
    <s v="CPFNW"/>
    <s v="Lim Brothers"/>
    <s v="Minced ND+Kee Mao"/>
    <s v="Cooked Wonton"/>
    <s v="Cooked Minced Wonton Thai Spicy Noodles (Kee Mao Noodles)"/>
    <s v="082SRN708003P02001"/>
    <s v="219g*8"/>
    <n v="8"/>
    <n v="3"/>
    <n v="6.0000000000000001E-3"/>
    <x v="4"/>
    <s v="Salt"/>
    <s v="Kee Mao 50G."/>
    <n v="108"/>
    <m/>
    <n v="108"/>
    <n v="0"/>
    <n v="0"/>
    <m/>
    <m/>
    <m/>
    <s v="NEWPACKAGE"/>
    <m/>
    <m/>
  </r>
  <r>
    <x v="166"/>
    <d v="2024-06-26T00:00:00"/>
    <x v="0"/>
    <s v="Week24"/>
    <x v="5"/>
    <s v="DRY2400119"/>
    <s v="Germany"/>
    <s v="CPFNW"/>
    <s v=" CPF Distribution (under Paulsen Food)"/>
    <s v="Minced ND+V+TK"/>
    <s v="Cooked Wonton"/>
    <s v="Cooked Minced  ND No Egg with Pumpkin_x000a_+ Yu Choy Tomkha"/>
    <s v="082SR3N12003P01001"/>
    <s v="302g*12"/>
    <n v="12"/>
    <n v="3"/>
    <n v="6.0000000000000001E-3"/>
    <x v="4"/>
    <s v="Salt"/>
    <s v="Tomkha+CM"/>
    <n v="2040"/>
    <m/>
    <n v="2040"/>
    <n v="0"/>
    <n v="0"/>
    <m/>
    <m/>
    <m/>
    <s v="Newpackage330x330x234 mm.=2040+238"/>
    <m/>
    <m/>
  </r>
  <r>
    <x v="166"/>
    <d v="2024-06-26T00:00:00"/>
    <x v="0"/>
    <s v="Week24"/>
    <x v="5"/>
    <s v="DRY2400425"/>
    <s v="Denmark"/>
    <s v="CPFNW"/>
    <s v="CPF DENMARK"/>
    <s v="Minced ND+V+TK"/>
    <s v="Cooked Wonton"/>
    <s v="Cooked Minced  ND No Egg with Pumpkin_x000a_+ Yu Choy Tomyum"/>
    <s v="082SJKW08003P01001"/>
    <s v="302g*8"/>
    <n v="8"/>
    <n v="3"/>
    <n v="6.0000000000000001E-3"/>
    <x v="4"/>
    <s v="Salt"/>
    <s v="Tomkha+CM"/>
    <n v="3500"/>
    <m/>
    <n v="3500"/>
    <n v="0"/>
    <n v="0"/>
    <m/>
    <m/>
    <m/>
    <s v="Newpackage330x330x234 mm.=2040+238"/>
    <m/>
    <m/>
  </r>
  <r>
    <x v="166"/>
    <d v="2024-07-08T00:00:00"/>
    <x v="0"/>
    <s v="Week24"/>
    <x v="5"/>
    <s v="DRY2400426"/>
    <s v="Denmark"/>
    <s v="CPFNW"/>
    <s v="CPF DENMARK"/>
    <s v="Minced ND+V+TK"/>
    <s v="Cooked Wonton"/>
    <s v="Cooked Minced  ND No Egg with Pumpkin_x000a_+ Yu Choy Tomyum"/>
    <s v="082SJKW08003P01001"/>
    <s v="302g*8"/>
    <n v="8"/>
    <n v="3"/>
    <n v="6.0000000000000001E-3"/>
    <x v="4"/>
    <s v="Salt"/>
    <s v="Tomkha+CM"/>
    <n v="3283"/>
    <m/>
    <n v="3283"/>
    <n v="0"/>
    <n v="0"/>
    <m/>
    <m/>
    <m/>
    <s v="Newpackage330x330x234 mm.=2040+238"/>
    <m/>
    <m/>
  </r>
  <r>
    <x v="166"/>
    <d v="2024-07-01T00:00:00"/>
    <x v="0"/>
    <s v="Week24"/>
    <x v="5"/>
    <s v="DRY2400423"/>
    <s v="New Zealand"/>
    <s v="CPFNW"/>
    <s v="Lim Brothers"/>
    <s v="Minced ND+V+TK"/>
    <s v="Cooked Wonton"/>
    <s v="Cooked Minced  ND No Egg with Pumpkin_x000a_+ Yu Choy Tomkha"/>
    <s v="082SRN708003P01001"/>
    <s v="302g*8"/>
    <n v="8"/>
    <n v="3"/>
    <n v="6.0000000000000001E-3"/>
    <x v="4"/>
    <s v="Salt"/>
    <s v="Tomkha+CM"/>
    <n v="810"/>
    <m/>
    <n v="810"/>
    <n v="0"/>
    <n v="0"/>
    <m/>
    <m/>
    <m/>
    <s v="สำรอง บรูไน"/>
    <m/>
    <m/>
  </r>
  <r>
    <x v="166"/>
    <d v="2024-07-15T00:00:00"/>
    <x v="0"/>
    <s v="Week24"/>
    <x v="5"/>
    <s v="DRY2400394"/>
    <s v="AUS"/>
    <s v="CPFNW"/>
    <s v="CPF Australia Pty Ltd."/>
    <s v="Minced ND+V+TK"/>
    <s v="Cooked Wonton"/>
    <s v="Cooked Minced  ND No Egg with Pumpkin_x000a_+ Yu Choy Tomkha"/>
    <s v="082SR9U08003P01001"/>
    <s v="302g*8"/>
    <n v="8"/>
    <n v="3"/>
    <n v="6.0000000000000001E-3"/>
    <x v="4"/>
    <s v="Salt"/>
    <s v="Tomkha+CM"/>
    <n v="350"/>
    <m/>
    <n v="350"/>
    <n v="0"/>
    <n v="0"/>
    <m/>
    <m/>
    <m/>
    <m/>
    <m/>
    <m/>
  </r>
  <r>
    <x v="166"/>
    <d v="2024-07-03T00:00:00"/>
    <x v="0"/>
    <s v="Week24"/>
    <x v="5"/>
    <s v="DRY2400496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551"/>
    <n v="551"/>
    <m/>
    <n v="0"/>
    <n v="0"/>
    <n v="0"/>
    <n v="6"/>
    <n v="0"/>
    <m/>
    <m/>
    <m/>
  </r>
  <r>
    <x v="167"/>
    <m/>
    <x v="0"/>
    <s v="Week24"/>
    <x v="5"/>
    <m/>
    <m/>
    <m/>
    <m/>
    <m/>
    <m/>
    <m/>
    <m/>
    <m/>
    <m/>
    <m/>
    <m/>
    <x v="0"/>
    <m/>
    <m/>
    <m/>
    <m/>
    <m/>
    <m/>
    <m/>
    <m/>
    <m/>
    <m/>
    <m/>
    <m/>
    <m/>
  </r>
  <r>
    <x v="168"/>
    <d v="2024-07-01T00:00:00"/>
    <x v="0"/>
    <s v="Week25"/>
    <x v="5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3613"/>
    <n v="3613"/>
    <m/>
    <n v="0"/>
    <n v="0"/>
    <m/>
    <m/>
    <m/>
    <s v="NEWPACKAGE"/>
    <m/>
    <m/>
  </r>
  <r>
    <x v="168"/>
    <d v="2024-06-22T00:00:00"/>
    <x v="0"/>
    <s v="Week25"/>
    <x v="5"/>
    <s v="DRY240033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11"/>
    <n v="511"/>
    <m/>
    <n v="0"/>
    <n v="0"/>
    <m/>
    <m/>
    <m/>
    <m/>
    <m/>
    <m/>
  </r>
  <r>
    <x v="168"/>
    <d v="2024-06-22T00:00:00"/>
    <x v="0"/>
    <s v="Week25"/>
    <x v="5"/>
    <s v="DRY240034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68"/>
    <d v="2024-06-24T00:00:00"/>
    <x v="0"/>
    <s v="Week25"/>
    <x v="5"/>
    <s v="DRY240034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27"/>
    <n v="327"/>
    <m/>
    <n v="0"/>
    <n v="0"/>
    <m/>
    <m/>
    <m/>
    <m/>
    <m/>
    <m/>
  </r>
  <r>
    <x v="168"/>
    <d v="2024-07-03T00:00:00"/>
    <x v="0"/>
    <s v="Week25"/>
    <x v="5"/>
    <s v="DRY2400496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532"/>
    <n v="532"/>
    <m/>
    <n v="0"/>
    <n v="0"/>
    <n v="0"/>
    <n v="6"/>
    <n v="0"/>
    <m/>
    <m/>
    <m/>
  </r>
  <r>
    <x v="169"/>
    <d v="2024-06-24T00:00:00"/>
    <x v="0"/>
    <s v="Week25"/>
    <x v="5"/>
    <s v="DRY240034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65"/>
    <n v="465"/>
    <m/>
    <n v="0"/>
    <n v="0"/>
    <m/>
    <m/>
    <m/>
    <m/>
    <m/>
    <m/>
  </r>
  <r>
    <x v="169"/>
    <d v="2024-06-24T00:00:00"/>
    <x v="0"/>
    <s v="Week25"/>
    <x v="5"/>
    <s v="DRY240034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69"/>
    <d v="2024-06-24T00:00:00"/>
    <x v="0"/>
    <s v="Week25"/>
    <x v="5"/>
    <s v="DRY240034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69"/>
    <d v="2024-06-24T00:00:00"/>
    <x v="0"/>
    <s v="Week25"/>
    <x v="5"/>
    <s v="DRY240034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69"/>
    <d v="2024-06-24T00:00:00"/>
    <x v="0"/>
    <s v="Week25"/>
    <x v="5"/>
    <s v="DRY240034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69"/>
    <d v="2024-06-24T00:00:00"/>
    <x v="0"/>
    <s v="Week25"/>
    <x v="5"/>
    <s v="DRY240034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90"/>
    <n v="390"/>
    <m/>
    <n v="0"/>
    <n v="0"/>
    <m/>
    <m/>
    <m/>
    <m/>
    <m/>
    <m/>
  </r>
  <r>
    <x v="169"/>
    <d v="2024-07-03T00:00:00"/>
    <x v="0"/>
    <s v="Week25"/>
    <x v="5"/>
    <s v="DRY2400496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537"/>
    <n v="537"/>
    <m/>
    <n v="0"/>
    <n v="0"/>
    <n v="0"/>
    <n v="6"/>
    <n v="0"/>
    <m/>
    <m/>
    <m/>
  </r>
  <r>
    <x v="170"/>
    <d v="2024-06-24T00:00:00"/>
    <x v="0"/>
    <s v="Week25"/>
    <x v="5"/>
    <s v="DRY240034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02"/>
    <n v="402"/>
    <m/>
    <n v="0"/>
    <n v="0"/>
    <m/>
    <m/>
    <m/>
    <m/>
    <m/>
    <m/>
  </r>
  <r>
    <x v="170"/>
    <d v="2024-06-25T00:00:00"/>
    <x v="0"/>
    <s v="Week25"/>
    <x v="5"/>
    <s v="DRY240034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70"/>
    <d v="2024-07-01T00:00:00"/>
    <x v="0"/>
    <s v="Week25"/>
    <x v="5"/>
    <s v="DRY240034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70"/>
    <d v="2024-07-01T00:00:00"/>
    <x v="0"/>
    <s v="Week25"/>
    <x v="5"/>
    <s v="DRY240034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70"/>
    <d v="2024-07-01T00:00:00"/>
    <x v="0"/>
    <s v="Week25"/>
    <x v="5"/>
    <s v="DRY240035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70"/>
    <d v="2024-07-01T00:00:00"/>
    <x v="0"/>
    <s v="Week25"/>
    <x v="5"/>
    <s v="DRY240037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58"/>
    <n v="658"/>
    <m/>
    <n v="0"/>
    <n v="0"/>
    <m/>
    <m/>
    <m/>
    <m/>
    <m/>
    <m/>
  </r>
  <r>
    <x v="170"/>
    <d v="2024-07-03T00:00:00"/>
    <x v="0"/>
    <s v="Week25"/>
    <x v="5"/>
    <s v="DRY2400496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436"/>
    <n v="436"/>
    <m/>
    <n v="0"/>
    <n v="0"/>
    <n v="0"/>
    <n v="6"/>
    <n v="0"/>
    <m/>
    <m/>
    <m/>
  </r>
  <r>
    <x v="171"/>
    <d v="2024-06-27T00:00:00"/>
    <x v="0"/>
    <s v="Week25"/>
    <x v="5"/>
    <s v="06-2024"/>
    <s v="MTFS"/>
    <s v="CPFGS"/>
    <s v="ซีพีเอฟ เทรดดิ้ง"/>
    <s v="E+Wonton NDE"/>
    <s v="Cooked Wonton"/>
    <s v="Cooked Wonton ND with egg V-Food"/>
    <s v="082SJ3Q12003P07001"/>
    <s v="226g*12"/>
    <n v="12"/>
    <n v="3"/>
    <n v="8.0000000000000002E-3"/>
    <x v="1"/>
    <s v="STPP"/>
    <s v="Regular"/>
    <n v="121"/>
    <n v="121"/>
    <m/>
    <n v="0"/>
    <n v="0"/>
    <m/>
    <m/>
    <m/>
    <m/>
    <m/>
    <m/>
  </r>
  <r>
    <x v="171"/>
    <m/>
    <x v="0"/>
    <s v="Week25"/>
    <x v="5"/>
    <s v="07-2024"/>
    <s v="MTFS"/>
    <s v="CPFGS"/>
    <s v="ซีพีเอฟ เทรดดิ้ง"/>
    <s v="E+Wonton NDE"/>
    <s v="Cooked Wonton"/>
    <s v="Cooked Wonton ND with egg V-Food"/>
    <s v="082SJ3Q12003P07001"/>
    <s v="226g*12"/>
    <n v="12"/>
    <n v="3"/>
    <n v="8.0000000000000002E-3"/>
    <x v="1"/>
    <s v="STPP"/>
    <s v="Regular"/>
    <n v="491"/>
    <n v="491"/>
    <m/>
    <n v="0"/>
    <n v="0"/>
    <m/>
    <m/>
    <m/>
    <m/>
    <m/>
    <m/>
  </r>
  <r>
    <x v="171"/>
    <m/>
    <x v="0"/>
    <s v="Week25"/>
    <x v="5"/>
    <s v="07-2024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258"/>
    <n v="258"/>
    <m/>
    <n v="0"/>
    <n v="0"/>
    <m/>
    <m/>
    <m/>
    <m/>
    <m/>
    <m/>
  </r>
  <r>
    <x v="171"/>
    <d v="2024-06-27T00:00:00"/>
    <x v="0"/>
    <s v="Week25"/>
    <x v="5"/>
    <s v="06-2024"/>
    <s v="MTFS"/>
    <s v="CPFGS"/>
    <s v="ซีพีเอฟ เทรดดิ้ง"/>
    <s v="E+Wonton TY"/>
    <s v="Cooked Wonton"/>
    <s v="Cooked Wonton Tomyum with egg.V-Food TY"/>
    <s v="082S83Q12005P04001"/>
    <s v="115g*12"/>
    <n v="12"/>
    <n v="5"/>
    <n v="8.0000000000000002E-3"/>
    <x v="1"/>
    <s v="STPP"/>
    <s v="TYTB3C 30G"/>
    <n v="650"/>
    <n v="650"/>
    <m/>
    <n v="0"/>
    <n v="0"/>
    <m/>
    <n v="1"/>
    <n v="0"/>
    <m/>
    <m/>
    <m/>
  </r>
  <r>
    <x v="171"/>
    <m/>
    <x v="0"/>
    <s v="Week25"/>
    <x v="5"/>
    <s v="07-2024"/>
    <s v="MTFS"/>
    <s v="CPFGS"/>
    <s v="ซีพีเอฟ เทรดดิ้ง"/>
    <s v="E+Wonton TY"/>
    <s v="Cooked Wonton"/>
    <s v="Cooked Wonton Tomyum with egg.V-Food TY"/>
    <s v="082S83Q12005P04001"/>
    <s v="115g*12"/>
    <n v="12"/>
    <n v="5"/>
    <n v="8.0000000000000002E-3"/>
    <x v="1"/>
    <s v="STPP"/>
    <s v="TYTB3C 30G"/>
    <n v="808"/>
    <n v="808"/>
    <m/>
    <n v="0"/>
    <n v="0"/>
    <m/>
    <n v="1"/>
    <n v="0"/>
    <m/>
    <m/>
    <m/>
  </r>
  <r>
    <x v="171"/>
    <s v="07-2024"/>
    <x v="0"/>
    <s v="Week25"/>
    <x v="5"/>
    <s v="ขายภายใน"/>
    <s v=".7-11"/>
    <s v="CPFGS"/>
    <s v="ซีพีเอฟ เทรดดิ้ง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4918"/>
    <n v="4917"/>
    <n v="1.5"/>
    <n v="0.5"/>
    <n v="0"/>
    <m/>
    <m/>
    <m/>
    <m/>
    <m/>
    <m/>
  </r>
  <r>
    <x v="171"/>
    <d v="2024-07-05T00:00:00"/>
    <x v="0"/>
    <s v="Week25"/>
    <x v="5"/>
    <s v="KL2400012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605"/>
    <n v="574"/>
    <n v="31"/>
    <n v="0"/>
    <n v="0"/>
    <n v="0"/>
    <n v="6"/>
    <n v="0"/>
    <m/>
    <m/>
    <m/>
  </r>
  <r>
    <x v="172"/>
    <m/>
    <x v="0"/>
    <s v="Week25"/>
    <x v="5"/>
    <s v="07-2024"/>
    <s v="MTFS"/>
    <s v="CPFGS"/>
    <s v="ซีพีเอฟ เทรดดิ้ง"/>
    <s v="E+Wonton"/>
    <s v="Cooked Wonton"/>
    <s v="Cooked Wonton  with egg V-Food"/>
    <s v="082S83Q12005P05000"/>
    <s v="145g*12"/>
    <n v="12"/>
    <n v="5"/>
    <n v="8.0000000000000002E-3"/>
    <x v="1"/>
    <s v="STPP"/>
    <s v="Regular"/>
    <n v="12"/>
    <n v="12"/>
    <m/>
    <n v="0"/>
    <n v="0"/>
    <m/>
    <m/>
    <m/>
    <m/>
    <m/>
    <m/>
  </r>
  <r>
    <x v="172"/>
    <d v="2024-06-27T00:00:00"/>
    <x v="0"/>
    <s v="Week25"/>
    <x v="5"/>
    <s v="06-2024"/>
    <s v="MTFS"/>
    <s v="CPFGS"/>
    <s v="ซีพีเอฟ เทรดดิ้ง"/>
    <s v="E+Wonton"/>
    <s v="Cooked Wonton"/>
    <s v="Cooked Wonton  with egg V-Food"/>
    <s v="082S83Q12005P05001"/>
    <s v="145g*12"/>
    <n v="12"/>
    <n v="5"/>
    <n v="8.0000000000000002E-3"/>
    <x v="1"/>
    <s v="STPP"/>
    <s v="Regular"/>
    <n v="1320"/>
    <n v="1320"/>
    <m/>
    <n v="0"/>
    <n v="0"/>
    <m/>
    <m/>
    <m/>
    <m/>
    <m/>
    <m/>
  </r>
  <r>
    <x v="172"/>
    <m/>
    <x v="0"/>
    <s v="Week25"/>
    <x v="5"/>
    <s v="07-2024"/>
    <s v="MTFS"/>
    <s v="CPFGS"/>
    <s v="ซีพีเอฟ เทรดดิ้ง"/>
    <s v="E+Wonton"/>
    <s v="Cooked Wonton"/>
    <s v="Cooked Wonton  with egg V-Food"/>
    <s v="082S83Q12005P05001"/>
    <s v="145g*12"/>
    <n v="12"/>
    <n v="5"/>
    <n v="8.0000000000000002E-3"/>
    <x v="1"/>
    <s v="STPP"/>
    <s v="Regular"/>
    <n v="3095"/>
    <n v="3095"/>
    <m/>
    <n v="0"/>
    <n v="0"/>
    <m/>
    <m/>
    <m/>
    <m/>
    <m/>
    <m/>
  </r>
  <r>
    <x v="172"/>
    <m/>
    <x v="0"/>
    <s v="Week25"/>
    <x v="5"/>
    <s v="07-2024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1095"/>
    <n v="989"/>
    <n v="106.33333333333333"/>
    <n v="0.33333333333325754"/>
    <n v="0"/>
    <m/>
    <n v="1"/>
    <n v="0"/>
    <m/>
    <m/>
    <m/>
  </r>
  <r>
    <x v="172"/>
    <s v="07-2024"/>
    <x v="0"/>
    <s v="Week25"/>
    <x v="5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3410"/>
    <n v="3410"/>
    <m/>
    <n v="0"/>
    <n v="0"/>
    <m/>
    <m/>
    <m/>
    <m/>
    <m/>
    <m/>
  </r>
  <r>
    <x v="172"/>
    <d v="2024-07-05T00:00:00"/>
    <x v="0"/>
    <s v="Week25"/>
    <x v="5"/>
    <s v="KL2400012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582"/>
    <n v="582"/>
    <m/>
    <n v="0"/>
    <n v="0"/>
    <n v="0"/>
    <n v="6"/>
    <n v="0"/>
    <m/>
    <m/>
    <m/>
  </r>
  <r>
    <x v="173"/>
    <d v="2024-07-01T00:00:00"/>
    <x v="0"/>
    <s v="Week25"/>
    <x v="5"/>
    <s v="DRY240037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34"/>
    <n v="134"/>
    <m/>
    <n v="0"/>
    <n v="0"/>
    <m/>
    <m/>
    <m/>
    <m/>
    <m/>
    <m/>
  </r>
  <r>
    <x v="173"/>
    <d v="2024-07-01T00:00:00"/>
    <x v="0"/>
    <s v="Week25"/>
    <x v="5"/>
    <s v="DRY240037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73"/>
    <d v="2024-07-01T00:00:00"/>
    <x v="0"/>
    <s v="Week25"/>
    <x v="5"/>
    <s v="DRY240037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73"/>
    <d v="2024-07-01T00:00:00"/>
    <x v="0"/>
    <s v="Week25"/>
    <x v="5"/>
    <s v="DRY240037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73"/>
    <d v="2024-07-01T00:00:00"/>
    <x v="0"/>
    <s v="Week25"/>
    <x v="5"/>
    <s v="DRY240037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73"/>
    <d v="2024-07-05T00:00:00"/>
    <x v="0"/>
    <s v="Week25"/>
    <x v="5"/>
    <s v="DRY240037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650"/>
    <n v="142"/>
    <n v="0"/>
    <n v="0"/>
    <m/>
    <m/>
    <m/>
    <m/>
    <m/>
    <m/>
  </r>
  <r>
    <x v="173"/>
    <d v="2024-07-05T00:00:00"/>
    <x v="0"/>
    <s v="Week25"/>
    <x v="5"/>
    <s v="DRY240037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19"/>
    <m/>
    <n v="219.33333333333334"/>
    <n v="0.33333333333334281"/>
    <n v="0"/>
    <m/>
    <m/>
    <m/>
    <m/>
    <m/>
    <m/>
  </r>
  <r>
    <x v="173"/>
    <d v="2024-07-05T00:00:00"/>
    <x v="0"/>
    <s v="Week25"/>
    <x v="5"/>
    <s v="KL2400012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221"/>
    <n v="221"/>
    <m/>
    <n v="0"/>
    <n v="0"/>
    <n v="0"/>
    <n v="6"/>
    <n v="0"/>
    <m/>
    <m/>
    <m/>
  </r>
  <r>
    <x v="173"/>
    <d v="2024-07-05T00:00:00"/>
    <x v="0"/>
    <s v="Week25"/>
    <x v="5"/>
    <s v="KL2400013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367"/>
    <n v="367"/>
    <m/>
    <n v="0"/>
    <n v="0"/>
    <n v="0"/>
    <n v="6"/>
    <n v="0"/>
    <m/>
    <m/>
    <m/>
  </r>
  <r>
    <x v="174"/>
    <m/>
    <x v="0"/>
    <s v="Week25"/>
    <x v="5"/>
    <m/>
    <m/>
    <m/>
    <m/>
    <m/>
    <m/>
    <m/>
    <m/>
    <m/>
    <m/>
    <m/>
    <m/>
    <x v="0"/>
    <m/>
    <m/>
    <m/>
    <m/>
    <m/>
    <m/>
    <m/>
    <m/>
    <m/>
    <m/>
    <m/>
    <m/>
    <m/>
  </r>
  <r>
    <x v="175"/>
    <s v="07-2024"/>
    <x v="0"/>
    <s v="Week26"/>
    <x v="5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3777"/>
    <n v="3777"/>
    <m/>
    <n v="0"/>
    <n v="0"/>
    <m/>
    <m/>
    <m/>
    <m/>
    <m/>
    <m/>
  </r>
  <r>
    <x v="175"/>
    <d v="2024-07-22T00:00:00"/>
    <x v="0"/>
    <s v="Week26"/>
    <x v="5"/>
    <s v="DRY2400389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1400"/>
    <m/>
    <n v="1400"/>
    <n v="0"/>
    <n v="0"/>
    <m/>
    <m/>
    <m/>
    <m/>
    <m/>
    <m/>
  </r>
  <r>
    <x v="175"/>
    <d v="2024-07-23T00:00:00"/>
    <x v="0"/>
    <s v="Week26"/>
    <x v="5"/>
    <s v="DRY2400503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400"/>
    <m/>
    <n v="400"/>
    <n v="0"/>
    <n v="0"/>
    <m/>
    <m/>
    <m/>
    <m/>
    <m/>
    <m/>
  </r>
  <r>
    <x v="175"/>
    <d v="2024-07-30T00:00:00"/>
    <x v="0"/>
    <s v="Week26"/>
    <x v="5"/>
    <s v="DRY2400504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500"/>
    <m/>
    <n v="500"/>
    <n v="0"/>
    <n v="0"/>
    <m/>
    <m/>
    <m/>
    <m/>
    <m/>
    <m/>
  </r>
  <r>
    <x v="175"/>
    <d v="2024-08-20T00:00:00"/>
    <x v="0"/>
    <s v="Week26"/>
    <x v="5"/>
    <s v="DRY2400505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350"/>
    <m/>
    <n v="350"/>
    <n v="0"/>
    <n v="0"/>
    <m/>
    <m/>
    <m/>
    <m/>
    <m/>
    <m/>
  </r>
  <r>
    <x v="175"/>
    <d v="2024-08-27T00:00:00"/>
    <x v="0"/>
    <s v="Week26"/>
    <x v="5"/>
    <s v="DRY2400470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3000"/>
    <m/>
    <n v="3000"/>
    <n v="0"/>
    <n v="0"/>
    <m/>
    <m/>
    <m/>
    <m/>
    <m/>
    <m/>
  </r>
  <r>
    <x v="175"/>
    <d v="2024-09-30T00:00:00"/>
    <x v="0"/>
    <s v="Week26"/>
    <x v="5"/>
    <s v="DRY2400471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1200"/>
    <m/>
    <n v="1200"/>
    <n v="0"/>
    <n v="0"/>
    <m/>
    <m/>
    <m/>
    <m/>
    <m/>
    <m/>
  </r>
  <r>
    <x v="176"/>
    <d v="2024-06-27T00:00:00"/>
    <x v="0"/>
    <s v="Week26"/>
    <x v="5"/>
    <s v="DRY2400314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542"/>
    <n v="446"/>
    <n v="96"/>
    <n v="0"/>
    <n v="0"/>
    <m/>
    <m/>
    <m/>
    <m/>
    <m/>
    <m/>
  </r>
  <r>
    <x v="176"/>
    <d v="2024-07-11T00:00:00"/>
    <x v="0"/>
    <s v="Week26"/>
    <x v="5"/>
    <s v="DRY2400316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435"/>
    <n v="853"/>
    <n v="0"/>
    <n v="0"/>
    <m/>
    <m/>
    <m/>
    <m/>
    <m/>
    <m/>
  </r>
  <r>
    <x v="176"/>
    <d v="2024-07-18T00:00:00"/>
    <x v="0"/>
    <s v="Week26"/>
    <x v="5"/>
    <s v="DRY2400318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020"/>
    <n v="314"/>
    <n v="707.83333333333337"/>
    <n v="1.8333333333333712"/>
    <n v="0"/>
    <m/>
    <m/>
    <m/>
    <m/>
    <m/>
    <m/>
  </r>
  <r>
    <x v="176"/>
    <d v="2024-07-11T00:00:00"/>
    <x v="0"/>
    <s v="Week26"/>
    <x v="5"/>
    <s v="DRY2400392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11"/>
    <n v="77"/>
    <n v="0"/>
    <n v="0"/>
    <m/>
    <m/>
    <m/>
    <m/>
    <m/>
    <m/>
  </r>
  <r>
    <x v="177"/>
    <d v="2024-07-02T00:00:00"/>
    <x v="0"/>
    <s v="Week26"/>
    <x v="5"/>
    <s v="DRY2400512"/>
    <s v="Korea"/>
    <s v="CPFNW"/>
    <s v="Consumer Package Commerce"/>
    <s v="Wonton+TY"/>
    <s v="Cooked Wonton"/>
    <s v="Wonton Soup  (Enriched wonton sheet) tom yum"/>
    <s v="082S83U36005P01001"/>
    <s v="147g*6c*6in"/>
    <n v="36"/>
    <n v="5"/>
    <n v="7.4999999999999997E-3"/>
    <x v="1"/>
    <s v="Salt"/>
    <s v="TYEX+CO"/>
    <n v="1288"/>
    <n v="638"/>
    <n v="672.52777777777783"/>
    <n v="22.527777777777828"/>
    <n v="0"/>
    <m/>
    <m/>
    <m/>
    <m/>
    <m/>
    <m/>
  </r>
  <r>
    <x v="177"/>
    <d v="2024-07-04T00:00:00"/>
    <x v="0"/>
    <s v="Week26"/>
    <x v="5"/>
    <s v="DRY2400440"/>
    <s v="Japan"/>
    <s v="CPFNW"/>
    <s v="CPF JAPAN"/>
    <s v="Wonton+TY"/>
    <s v="Cooked Wonton"/>
    <s v="Cooked Wonton No Egg 5 pcs"/>
    <s v="082S85736005P01001"/>
    <s v="147g*6c*6in"/>
    <n v="36"/>
    <n v="5"/>
    <n v="7.4999999999999997E-3"/>
    <x v="1"/>
    <s v="Salt"/>
    <s v="TYEX+CO"/>
    <n v="1288"/>
    <n v="1288"/>
    <m/>
    <n v="0"/>
    <n v="0"/>
    <m/>
    <m/>
    <m/>
    <m/>
    <m/>
    <m/>
  </r>
  <r>
    <x v="177"/>
    <d v="2024-07-04T00:00:00"/>
    <x v="0"/>
    <s v="Week26"/>
    <x v="5"/>
    <s v="DRY2400441"/>
    <s v="Japan"/>
    <s v="CPFNW"/>
    <s v="CPF JAPAN"/>
    <s v="Wonton+TY"/>
    <s v="Cooked Wonton"/>
    <s v="Cooked Wonton No Egg 5 pcs"/>
    <s v="082S85736005P01001"/>
    <s v="147g*6c*6in"/>
    <n v="36"/>
    <n v="5"/>
    <n v="7.4999999999999997E-3"/>
    <x v="1"/>
    <s v="Salt"/>
    <s v="TYEX+CO"/>
    <n v="1288"/>
    <n v="676"/>
    <n v="612"/>
    <n v="0"/>
    <n v="0"/>
    <m/>
    <m/>
    <m/>
    <m/>
    <m/>
    <m/>
  </r>
  <r>
    <x v="178"/>
    <d v="2024-07-11T00:00:00"/>
    <x v="0"/>
    <s v="Week26"/>
    <x v="5"/>
    <s v="DRY2400483"/>
    <s v="CAN "/>
    <s v="CPFNW "/>
    <s v="CP Foods Canada,Inc (CPFC)"/>
    <s v="Wonton+TY"/>
    <s v="Cooked Wonton"/>
    <s v="Wonton Soup  (Enriched wonton sheet)"/>
    <s v="082S85336005P02001"/>
    <s v="147g*6c*6in"/>
    <n v="36"/>
    <n v="5"/>
    <n v="7.4999999999999997E-3"/>
    <x v="1"/>
    <s v="Salt"/>
    <s v="TYEX+CO"/>
    <n v="1288"/>
    <n v="1288"/>
    <m/>
    <n v="0"/>
    <n v="0"/>
    <m/>
    <m/>
    <m/>
    <m/>
    <m/>
    <m/>
  </r>
  <r>
    <x v="178"/>
    <d v="2024-07-11T00:00:00"/>
    <x v="0"/>
    <s v="Week26"/>
    <x v="5"/>
    <s v="DRY2400484"/>
    <s v="CAN "/>
    <s v="CPFNW "/>
    <s v="CP Foods Canada,Inc (CPFC)"/>
    <s v="Wonton+TY"/>
    <s v="Cooked Wonton"/>
    <s v="Wonton Soup  (Enriched wonton sheet)"/>
    <s v="082S85336005P02001"/>
    <s v="147g*6c*6in"/>
    <n v="36"/>
    <n v="5"/>
    <n v="7.4999999999999997E-3"/>
    <x v="1"/>
    <s v="Salt"/>
    <s v="TYEX+CO"/>
    <n v="1288"/>
    <n v="1098"/>
    <n v="190"/>
    <n v="0"/>
    <n v="0"/>
    <m/>
    <m/>
    <m/>
    <m/>
    <m/>
    <m/>
  </r>
  <r>
    <x v="178"/>
    <d v="2024-07-25T00:00:00"/>
    <x v="0"/>
    <s v="Week26"/>
    <x v="5"/>
    <s v="DRY2400485"/>
    <s v="CAN "/>
    <s v="CPFNW "/>
    <s v="CP Foods Canada,Inc (CPFC)"/>
    <s v="Wonton+TY"/>
    <s v="Cooked Wonton"/>
    <s v="Wonton Soup  (Enriched wonton sheet)"/>
    <s v="082S85336005P02001"/>
    <s v="147g*6c*6in"/>
    <n v="36"/>
    <n v="5"/>
    <n v="7.4999999999999997E-3"/>
    <x v="1"/>
    <s v="Salt"/>
    <s v="TYEX+CO"/>
    <n v="1288"/>
    <m/>
    <n v="1288"/>
    <n v="0"/>
    <n v="0"/>
    <m/>
    <m/>
    <m/>
    <m/>
    <m/>
    <m/>
  </r>
  <r>
    <x v="179"/>
    <d v="2024-07-24T00:00:00"/>
    <x v="0"/>
    <s v="Week26"/>
    <x v="5"/>
    <s v="DRY2400489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m/>
    <m/>
    <m/>
    <m/>
    <m/>
    <m/>
  </r>
  <r>
    <x v="179"/>
    <d v="2024-08-08T00:00:00"/>
    <x v="0"/>
    <s v="Week26"/>
    <x v="5"/>
    <s v="DRY2400309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m/>
    <m/>
    <m/>
    <m/>
    <m/>
    <m/>
  </r>
  <r>
    <x v="179"/>
    <d v="2024-07-15T00:00:00"/>
    <x v="0"/>
    <s v="Week26"/>
    <x v="5"/>
    <s v="DRY2400361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666"/>
    <n v="130"/>
    <n v="4"/>
    <n v="0"/>
    <m/>
    <m/>
    <m/>
    <m/>
    <m/>
    <m/>
  </r>
  <r>
    <x v="179"/>
    <d v="2024-07-15T00:00:00"/>
    <x v="0"/>
    <s v="Week26"/>
    <x v="5"/>
    <s v="DRY2400395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179"/>
    <d v="2024-07-24T00:00:00"/>
    <x v="0"/>
    <s v="Week26"/>
    <x v="5"/>
    <s v="DRY2400475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71"/>
    <n v="21"/>
    <n v="0"/>
    <n v="0"/>
    <m/>
    <m/>
    <m/>
    <m/>
    <m/>
    <m/>
  </r>
  <r>
    <x v="179"/>
    <d v="2024-07-23T00:00:00"/>
    <x v="0"/>
    <s v="Week26"/>
    <x v="5"/>
    <s v="DRY2400117"/>
    <s v="Germany"/>
    <s v="CPFNW"/>
    <s v=" CPF Distribution (under Paulsen Food)"/>
    <s v="Wonton ND+V"/>
    <s v="Cooked Wonton"/>
    <s v="Cooked Wonton ND No Egg with Pumpkin _x000a_+ Vegetable  HC  3 pcs"/>
    <s v="082SJ3N12003P01001"/>
    <s v="309g*12"/>
    <n v="12"/>
    <n v="3"/>
    <n v="7.4999999999999997E-3"/>
    <x v="5"/>
    <s v="Salt"/>
    <s v="Regular"/>
    <n v="2040"/>
    <m/>
    <n v="2040"/>
    <n v="0"/>
    <n v="0"/>
    <m/>
    <m/>
    <m/>
    <s v="Newpackage  เปลี่ยน AW   330x330x234 mm.=2040+238"/>
    <m/>
    <m/>
  </r>
  <r>
    <x v="180"/>
    <s v="07-2024"/>
    <x v="0"/>
    <s v="Week26"/>
    <x v="5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5692"/>
    <n v="5692"/>
    <m/>
    <n v="0"/>
    <n v="0"/>
    <m/>
    <m/>
    <m/>
    <m/>
    <m/>
    <m/>
  </r>
  <r>
    <x v="180"/>
    <m/>
    <x v="0"/>
    <s v="Week26"/>
    <x v="5"/>
    <s v="07-2024"/>
    <s v="MTFS"/>
    <s v="CPFGS"/>
    <s v="ซีพีเอฟ เทรดดิ้ง"/>
    <s v="E+Wonton+หมาล่า"/>
    <s v="Cooked Wonton"/>
    <s v="เกี๊ยวกุ้งจักรพรรดิซุปหมาล่า (ตรา ซีพี)_MT"/>
    <s v="082S83Q12005P06001"/>
    <s v="143g*12"/>
    <n v="12"/>
    <n v="5"/>
    <n v="6.1999999999999998E-3"/>
    <x v="2"/>
    <s v="STPP"/>
    <s v="หมาล่า"/>
    <n v="1256"/>
    <n v="1256"/>
    <m/>
    <n v="0"/>
    <n v="0"/>
    <m/>
    <m/>
    <m/>
    <m/>
    <m/>
    <m/>
  </r>
  <r>
    <x v="180"/>
    <d v="2024-08-08T00:00:00"/>
    <x v="0"/>
    <s v="Week26"/>
    <x v="5"/>
    <s v="DRY2400422"/>
    <s v="USA"/>
    <s v="CPFNW"/>
    <s v="Bellisio Foods, Inc."/>
    <s v="C-WT in tray no egg"/>
    <s v="Cooked Wonton"/>
    <s v="COOKED WONTON 6 pcs."/>
    <s v="082S8BW08012P00001"/>
    <s v="117*2tray*8in"/>
    <n v="16"/>
    <n v="6"/>
    <n v="8.1300000000000001E-3"/>
    <x v="1"/>
    <s v="Salt"/>
    <s v=" Sesame 15g"/>
    <n v="16"/>
    <n v="16"/>
    <m/>
    <n v="0"/>
    <n v="0"/>
    <m/>
    <n v="1"/>
    <n v="256"/>
    <s v="pk เข้า 22/05/24"/>
    <m/>
    <m/>
  </r>
  <r>
    <x v="180"/>
    <d v="2024-07-01T00:00:00"/>
    <x v="0"/>
    <s v="Week26"/>
    <x v="5"/>
    <s v="DRY2400423"/>
    <s v="New Zealand"/>
    <s v="CPFNW"/>
    <s v="Lim Brothers"/>
    <s v="C-Minced WT in tray no egg"/>
    <s v="Cooked Wonton"/>
    <s v="Cooked Minced Wonton in Tray 6 pcs + Sesame Sauce"/>
    <s v="082SKN716006P00001"/>
    <s v="117*2tray*8in"/>
    <n v="16"/>
    <n v="6"/>
    <n v="6.0000000000000001E-3"/>
    <x v="4"/>
    <s v="Salt"/>
    <s v=" Sesame 15g"/>
    <n v="56"/>
    <m/>
    <n v="56.375"/>
    <n v="0.375"/>
    <n v="0"/>
    <m/>
    <n v="1"/>
    <n v="896"/>
    <s v="cap 3000 tray/hr. อื่น 8,300 ถ้วย"/>
    <m/>
    <m/>
  </r>
  <r>
    <x v="181"/>
    <m/>
    <x v="0"/>
    <s v="Week26"/>
    <x v="5"/>
    <m/>
    <m/>
    <m/>
    <m/>
    <m/>
    <m/>
    <m/>
    <m/>
    <m/>
    <m/>
    <m/>
    <m/>
    <x v="0"/>
    <m/>
    <m/>
    <m/>
    <m/>
    <m/>
    <m/>
    <m/>
    <m/>
    <m/>
    <m/>
    <m/>
    <m/>
    <m/>
  </r>
  <r>
    <x v="182"/>
    <d v="2024-07-05T00:00:00"/>
    <x v="0"/>
    <s v="Week27"/>
    <x v="6"/>
    <s v="DRY240037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73"/>
    <n v="573"/>
    <m/>
    <n v="0"/>
    <n v="0"/>
    <m/>
    <m/>
    <m/>
    <m/>
    <m/>
    <m/>
  </r>
  <r>
    <x v="182"/>
    <d v="2024-07-08T00:00:00"/>
    <x v="0"/>
    <s v="Week27"/>
    <x v="6"/>
    <s v="DRY240037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82"/>
    <d v="2024-07-08T00:00:00"/>
    <x v="0"/>
    <s v="Week27"/>
    <x v="6"/>
    <s v="DRY240037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82"/>
    <d v="2024-07-08T00:00:00"/>
    <x v="0"/>
    <s v="Week27"/>
    <x v="6"/>
    <s v="DRY240038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224"/>
    <n v="568"/>
    <n v="0"/>
    <n v="0"/>
    <m/>
    <m/>
    <m/>
    <m/>
    <m/>
    <m/>
  </r>
  <r>
    <x v="182"/>
    <d v="2024-07-09T00:00:00"/>
    <x v="0"/>
    <s v="Week27"/>
    <x v="6"/>
    <s v="DRY240038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n v="792"/>
    <n v="0"/>
    <n v="0"/>
    <m/>
    <m/>
    <m/>
    <m/>
    <m/>
    <m/>
  </r>
  <r>
    <x v="182"/>
    <d v="2024-07-09T00:00:00"/>
    <x v="0"/>
    <s v="Week27"/>
    <x v="6"/>
    <s v="DRY240038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04"/>
    <m/>
    <n v="204.36111111111111"/>
    <n v="0.36111111111111427"/>
    <n v="0"/>
    <m/>
    <m/>
    <m/>
    <m/>
    <m/>
    <m/>
  </r>
  <r>
    <x v="182"/>
    <d v="2024-07-05T00:00:00"/>
    <x v="0"/>
    <s v="Week27"/>
    <x v="6"/>
    <s v="KL2400013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516"/>
    <n v="516"/>
    <m/>
    <n v="0"/>
    <n v="0"/>
    <n v="0"/>
    <n v="6"/>
    <n v="0"/>
    <m/>
    <m/>
    <m/>
  </r>
  <r>
    <x v="183"/>
    <d v="2024-07-15T00:00:00"/>
    <x v="0"/>
    <s v="Week27"/>
    <x v="6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4324"/>
    <n v="4324"/>
    <m/>
    <n v="0"/>
    <n v="0"/>
    <m/>
    <m/>
    <m/>
    <m/>
    <m/>
    <m/>
  </r>
  <r>
    <x v="183"/>
    <d v="2024-07-16T00:00:00"/>
    <x v="0"/>
    <s v="Week27"/>
    <x v="6"/>
    <s v="DRY2400486"/>
    <s v="Malay"/>
    <s v="CPFNW"/>
    <s v="CPM Malaysia"/>
    <s v="Wonton"/>
    <s v="Cooked Wonton"/>
    <s v="Cooked Wonton No Egg  "/>
    <s v="082S85I24005P01001"/>
    <s v="145g*24"/>
    <n v="24"/>
    <n v="5"/>
    <n v="8.0000000000000002E-3"/>
    <x v="1"/>
    <s v="STPP"/>
    <s v="Regular"/>
    <n v="900"/>
    <n v="900"/>
    <m/>
    <n v="0"/>
    <n v="0"/>
    <m/>
    <m/>
    <m/>
    <m/>
    <m/>
    <m/>
  </r>
  <r>
    <x v="183"/>
    <d v="2024-07-16T00:00:00"/>
    <x v="0"/>
    <s v="Week27"/>
    <x v="6"/>
    <s v="DRY2400486"/>
    <s v="Malay"/>
    <s v="CPFNW"/>
    <s v="CPM Malaysia"/>
    <s v="Wonton+TY"/>
    <s v="Cooked Wonton"/>
    <s v="Cooked Wonton No Egg  TY"/>
    <s v="082S85I24005P02001"/>
    <s v="115g*24"/>
    <n v="24"/>
    <n v="5"/>
    <n v="8.0000000000000002E-3"/>
    <x v="1"/>
    <s v="STPP"/>
    <s v="TYTB3C 30G"/>
    <n v="850"/>
    <n v="850"/>
    <m/>
    <n v="0"/>
    <n v="0"/>
    <m/>
    <n v="1"/>
    <n v="0"/>
    <m/>
    <m/>
    <m/>
  </r>
  <r>
    <x v="183"/>
    <d v="2024-07-05T00:00:00"/>
    <x v="0"/>
    <s v="Week27"/>
    <x v="6"/>
    <s v="KL2400013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525"/>
    <n v="525"/>
    <m/>
    <n v="0"/>
    <n v="0"/>
    <n v="0"/>
    <n v="6"/>
    <n v="0"/>
    <m/>
    <m/>
    <m/>
  </r>
  <r>
    <x v="184"/>
    <d v="2024-07-09T00:00:00"/>
    <x v="0"/>
    <s v="Week27"/>
    <x v="6"/>
    <s v="DRY240038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88"/>
    <n v="588"/>
    <m/>
    <n v="0"/>
    <n v="0"/>
    <m/>
    <m/>
    <m/>
    <m/>
    <m/>
    <m/>
  </r>
  <r>
    <x v="184"/>
    <d v="2024-07-09T00:00:00"/>
    <x v="0"/>
    <s v="Week27"/>
    <x v="6"/>
    <s v="DRY240038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84"/>
    <d v="2024-07-09T00:00:00"/>
    <x v="0"/>
    <s v="Week27"/>
    <x v="6"/>
    <s v="DRY240038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84"/>
    <d v="2024-07-12T00:00:00"/>
    <x v="0"/>
    <s v="Week27"/>
    <x v="6"/>
    <s v="DRY240038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84"/>
    <d v="2024-07-12T00:00:00"/>
    <x v="0"/>
    <s v="Week27"/>
    <x v="6"/>
    <s v="DRY240038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84"/>
    <d v="2024-07-12T00:00:00"/>
    <x v="0"/>
    <s v="Week27"/>
    <x v="6"/>
    <s v="DRY240038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62"/>
    <n v="162"/>
    <m/>
    <n v="0"/>
    <n v="0"/>
    <m/>
    <m/>
    <m/>
    <m/>
    <m/>
    <m/>
  </r>
  <r>
    <x v="184"/>
    <d v="2024-07-16T00:00:00"/>
    <x v="0"/>
    <s v="Week27"/>
    <x v="6"/>
    <s v="DRY2400486"/>
    <s v="Malay"/>
    <s v="CPFNW"/>
    <s v="CPM Malaysia"/>
    <s v="R-Wonton egg past"/>
    <s v="Raw Wonton"/>
    <s v="Raw Wonton 12 pcs"/>
    <s v="082I95I20012P02001"/>
    <s v="154g*20inner"/>
    <n v="20"/>
    <n v="12"/>
    <n v="6.8100000000000001E-3"/>
    <x v="3"/>
    <s v="STPP"/>
    <s v="ซุปซอง 5g."/>
    <n v="400"/>
    <n v="400"/>
    <m/>
    <n v="0"/>
    <n v="0"/>
    <n v="0"/>
    <n v="2"/>
    <n v="0"/>
    <m/>
    <m/>
    <m/>
  </r>
  <r>
    <x v="184"/>
    <d v="2024-08-07T00:00:00"/>
    <x v="0"/>
    <s v="Week27"/>
    <x v="6"/>
    <s v="DRY2400435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653"/>
    <n v="653"/>
    <m/>
    <n v="0"/>
    <n v="0"/>
    <n v="0"/>
    <n v="2"/>
    <n v="0"/>
    <s v="ห่อแบบสุก"/>
    <m/>
    <m/>
  </r>
  <r>
    <x v="185"/>
    <d v="2024-07-12T00:00:00"/>
    <x v="0"/>
    <s v="Week27"/>
    <x v="6"/>
    <s v="DRY240038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30"/>
    <n v="630"/>
    <m/>
    <n v="0"/>
    <n v="0"/>
    <m/>
    <m/>
    <m/>
    <m/>
    <m/>
    <m/>
  </r>
  <r>
    <x v="185"/>
    <d v="2024-07-12T00:00:00"/>
    <x v="0"/>
    <s v="Week27"/>
    <x v="6"/>
    <s v="DRY240038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85"/>
    <d v="2024-07-15T00:00:00"/>
    <x v="0"/>
    <s v="Week27"/>
    <x v="6"/>
    <s v="DRY240040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85"/>
    <d v="2024-07-15T00:00:00"/>
    <x v="0"/>
    <s v="Week27"/>
    <x v="6"/>
    <s v="DRY240040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85"/>
    <d v="2024-07-15T00:00:00"/>
    <x v="0"/>
    <s v="Week27"/>
    <x v="6"/>
    <s v="DRY240040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85"/>
    <d v="2024-07-15T00:00:00"/>
    <x v="0"/>
    <s v="Week27"/>
    <x v="6"/>
    <s v="DRY240040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01"/>
    <n v="101"/>
    <m/>
    <n v="0"/>
    <n v="0"/>
    <m/>
    <m/>
    <m/>
    <m/>
    <m/>
    <m/>
  </r>
  <r>
    <x v="185"/>
    <d v="2024-08-07T00:00:00"/>
    <x v="0"/>
    <s v="Week27"/>
    <x v="6"/>
    <s v="DRY2400435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947"/>
    <n v="947"/>
    <m/>
    <n v="0"/>
    <n v="0"/>
    <n v="0"/>
    <n v="2"/>
    <n v="0"/>
    <s v="ห่อแบบสุก"/>
    <m/>
    <m/>
  </r>
  <r>
    <x v="186"/>
    <d v="2024-07-15T00:00:00"/>
    <x v="0"/>
    <s v="Week27"/>
    <x v="6"/>
    <s v="DRY240040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91"/>
    <n v="691"/>
    <m/>
    <n v="0"/>
    <n v="0"/>
    <m/>
    <m/>
    <m/>
    <m/>
    <m/>
    <m/>
  </r>
  <r>
    <x v="186"/>
    <d v="2024-07-22T00:00:00"/>
    <x v="0"/>
    <s v="Week27"/>
    <x v="6"/>
    <s v="DRY240040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86"/>
    <d v="2024-07-22T00:00:00"/>
    <x v="0"/>
    <s v="Week27"/>
    <x v="6"/>
    <s v="DRY240040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51"/>
    <n v="551"/>
    <m/>
    <n v="0"/>
    <n v="0"/>
    <m/>
    <m/>
    <m/>
    <m/>
    <m/>
    <m/>
  </r>
  <r>
    <x v="186"/>
    <d v="2024-07-08T00:00:00"/>
    <x v="0"/>
    <s v="Week27"/>
    <x v="6"/>
    <s v="DRY2400426"/>
    <s v="Denmark"/>
    <s v="CPFNW"/>
    <s v="CPF DENMARK"/>
    <s v="Minced ND+V+TK"/>
    <s v="Cooked Wonton"/>
    <s v="Cooked Minced  ND No Egg with Pumpkin_x000a_+ Yu Choy Tomyum"/>
    <s v="082SJKW08003P01001"/>
    <s v="302g*8"/>
    <n v="8"/>
    <n v="3"/>
    <n v="6.0000000000000001E-3"/>
    <x v="4"/>
    <s v="Salt"/>
    <s v="Tomkha+CM"/>
    <n v="217"/>
    <m/>
    <n v="217"/>
    <n v="0"/>
    <n v="0"/>
    <m/>
    <m/>
    <m/>
    <s v="Newpackage330x330x234 mm.=2040+238"/>
    <m/>
    <m/>
  </r>
  <r>
    <x v="186"/>
    <d v="2024-07-08T00:00:00"/>
    <x v="0"/>
    <s v="Week27"/>
    <x v="6"/>
    <s v="07-2024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399"/>
    <n v="399"/>
    <m/>
    <n v="0"/>
    <n v="0"/>
    <n v="0"/>
    <m/>
    <n v="0"/>
    <m/>
    <m/>
    <m/>
  </r>
  <r>
    <x v="186"/>
    <d v="2024-07-23T00:00:00"/>
    <x v="0"/>
    <s v="Week27"/>
    <x v="6"/>
    <s v="DRY2400503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00"/>
    <n v="100"/>
    <m/>
    <n v="0"/>
    <n v="0"/>
    <n v="0"/>
    <n v="6"/>
    <n v="0"/>
    <m/>
    <m/>
    <m/>
  </r>
  <r>
    <x v="186"/>
    <d v="2024-07-27T00:00:00"/>
    <x v="0"/>
    <s v="Week27"/>
    <x v="6"/>
    <s v="DRY2400501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00"/>
    <n v="100"/>
    <m/>
    <n v="0"/>
    <n v="0"/>
    <n v="0"/>
    <n v="6"/>
    <n v="0"/>
    <m/>
    <m/>
    <m/>
  </r>
  <r>
    <x v="186"/>
    <d v="2024-08-08T00:00:00"/>
    <x v="0"/>
    <s v="Week27"/>
    <x v="6"/>
    <s v="DRY2400502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00"/>
    <n v="100"/>
    <m/>
    <n v="0"/>
    <n v="0"/>
    <n v="0"/>
    <n v="6"/>
    <n v="0"/>
    <m/>
    <m/>
    <m/>
  </r>
  <r>
    <x v="186"/>
    <d v="2024-08-15T00:00:00"/>
    <x v="0"/>
    <s v="Week27"/>
    <x v="6"/>
    <s v="DRY2400548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400"/>
    <n v="400"/>
    <m/>
    <n v="0"/>
    <n v="0"/>
    <n v="0"/>
    <n v="6"/>
    <n v="0"/>
    <m/>
    <m/>
    <m/>
  </r>
  <r>
    <x v="187"/>
    <d v="2024-07-24T00:00:00"/>
    <x v="0"/>
    <s v="Week27"/>
    <x v="6"/>
    <s v="DRY2400197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23"/>
    <n v="65"/>
    <n v="0"/>
    <n v="0"/>
    <m/>
    <m/>
    <m/>
    <s v="ใช้ package ที่เป็น หมึกพิมพ์ใหม่"/>
    <m/>
    <m/>
  </r>
  <r>
    <x v="187"/>
    <d v="2024-07-27T00:00:00"/>
    <x v="0"/>
    <s v="Week27"/>
    <x v="6"/>
    <s v="DRY2400501"/>
    <s v="USA"/>
    <s v="CPFNW"/>
    <s v="Bellisio Foods, Inc."/>
    <s v="Minced WT"/>
    <s v="Cooked Wonton"/>
    <s v="Cooked Minced Wonton Soup No Egg"/>
    <s v="082SKBW36005P00001"/>
    <s v="145g*6c*6"/>
    <n v="36"/>
    <n v="5"/>
    <n v="6.0000000000000001E-3"/>
    <x v="4"/>
    <s v="Salt"/>
    <s v="Regular"/>
    <n v="450"/>
    <n v="450"/>
    <m/>
    <n v="0"/>
    <n v="0"/>
    <m/>
    <m/>
    <m/>
    <m/>
    <m/>
    <m/>
  </r>
  <r>
    <x v="187"/>
    <d v="2024-08-15T00:00:00"/>
    <x v="0"/>
    <s v="Week27"/>
    <x v="6"/>
    <s v="DRY2400502"/>
    <s v="USA"/>
    <s v="CPFNW"/>
    <s v="Bellisio Foods, Inc."/>
    <s v="Minced WT"/>
    <s v="Cooked Wonton"/>
    <s v="Cooked Minced Wonton Soup No Egg"/>
    <s v="082SKBW36005P00001"/>
    <s v="145g*6c*6"/>
    <n v="36"/>
    <n v="5"/>
    <n v="6.0000000000000001E-3"/>
    <x v="4"/>
    <s v="Salt"/>
    <s v="Regular"/>
    <n v="300"/>
    <n v="300"/>
    <m/>
    <n v="0"/>
    <n v="0"/>
    <m/>
    <m/>
    <m/>
    <m/>
    <m/>
    <m/>
  </r>
  <r>
    <x v="187"/>
    <d v="2024-07-22T00:00:00"/>
    <x v="0"/>
    <s v="Week27"/>
    <x v="6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2574"/>
    <n v="2574"/>
    <m/>
    <n v="0"/>
    <n v="0"/>
    <m/>
    <m/>
    <m/>
    <m/>
    <m/>
    <m/>
  </r>
  <r>
    <x v="187"/>
    <d v="2024-08-21T00:00:00"/>
    <x v="0"/>
    <s v="Week27"/>
    <x v="6"/>
    <s v="DRY2400592"/>
    <s v="New Zealand"/>
    <s v="CPFNW"/>
    <s v="Lim Brothers"/>
    <s v="Minced ND+V+TY"/>
    <s v="Cooked Wonton"/>
    <s v="Cooked Minced  ND No Egg with Pumpkin_x000a_+ Yu Choy Tomyum"/>
    <s v="082SRN708003P00001"/>
    <s v="302g*8"/>
    <n v="8"/>
    <n v="3"/>
    <n v="6.0000000000000001E-3"/>
    <x v="4"/>
    <s v="Salt"/>
    <s v="TYA+CO"/>
    <n v="162"/>
    <m/>
    <n v="162"/>
    <n v="0"/>
    <n v="0"/>
    <m/>
    <m/>
    <m/>
    <m/>
    <m/>
    <m/>
  </r>
  <r>
    <x v="187"/>
    <d v="2024-09-12T00:00:00"/>
    <x v="0"/>
    <s v="Week27"/>
    <x v="6"/>
    <s v="DRY2400593"/>
    <s v="New Zealand"/>
    <s v="CPFNW"/>
    <s v="Lim Brothers"/>
    <s v="Minced ND+V+TY"/>
    <s v="Cooked Wonton"/>
    <s v="Cooked Minced  ND No Egg with Pumpkin_x000a_+ Yu Choy Tomyum"/>
    <s v="082SRN708003P00001"/>
    <s v="302g*8"/>
    <n v="8"/>
    <n v="3"/>
    <n v="6.0000000000000001E-3"/>
    <x v="4"/>
    <s v="Salt"/>
    <s v="TYA+CO"/>
    <n v="270"/>
    <m/>
    <n v="270"/>
    <n v="0"/>
    <n v="0"/>
    <m/>
    <m/>
    <m/>
    <m/>
    <m/>
    <m/>
  </r>
  <r>
    <x v="187"/>
    <m/>
    <x v="0"/>
    <s v="Week27"/>
    <x v="6"/>
    <s v="DRY2400672"/>
    <s v="New Zealand"/>
    <s v="CPFNW"/>
    <s v="Lim Brothers"/>
    <s v="Minced ND+V+TY"/>
    <s v="Cooked Wonton"/>
    <s v="Cooked Minced  ND No Egg with Pumpkin_x000a_+ Yu Choy Tomyum"/>
    <s v="082SRN708003P00001"/>
    <s v="302g*8"/>
    <n v="8"/>
    <n v="3"/>
    <n v="6.0000000000000001E-3"/>
    <x v="4"/>
    <s v="Salt"/>
    <s v="TYA+CO"/>
    <n v="375"/>
    <m/>
    <n v="482.875"/>
    <n v="107.875"/>
    <n v="0"/>
    <m/>
    <m/>
    <m/>
    <s v="ผลิตสินค้าไว้ก่อน  เพราะ ซอส จะหมดอายุ 10/07/24  และให้สั่ง package ไว้เลย / แต่ชุดนี้ทาง CPFNW ขอสวมวันผลิตประมาณเดือน 10/2024"/>
    <m/>
    <m/>
  </r>
  <r>
    <x v="188"/>
    <m/>
    <x v="0"/>
    <s v="Week27"/>
    <x v="6"/>
    <m/>
    <m/>
    <m/>
    <m/>
    <m/>
    <m/>
    <m/>
    <m/>
    <m/>
    <m/>
    <m/>
    <m/>
    <x v="0"/>
    <m/>
    <m/>
    <m/>
    <m/>
    <m/>
    <m/>
    <m/>
    <m/>
    <m/>
    <m/>
    <m/>
    <m/>
    <m/>
  </r>
  <r>
    <x v="189"/>
    <s v="07-2024"/>
    <x v="0"/>
    <s v="Week28"/>
    <x v="6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4507"/>
    <n v="4507"/>
    <m/>
    <n v="0"/>
    <n v="0"/>
    <m/>
    <m/>
    <m/>
    <m/>
    <m/>
    <m/>
  </r>
  <r>
    <x v="189"/>
    <d v="2024-07-23T00:00:00"/>
    <x v="0"/>
    <s v="Week28"/>
    <x v="6"/>
    <s v="DRY2400503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750"/>
    <n v="750"/>
    <m/>
    <n v="0"/>
    <n v="0"/>
    <m/>
    <m/>
    <m/>
    <m/>
    <m/>
    <m/>
  </r>
  <r>
    <x v="189"/>
    <d v="2024-07-27T00:00:00"/>
    <x v="0"/>
    <s v="Week28"/>
    <x v="6"/>
    <s v="DRY2400501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700"/>
    <n v="700"/>
    <m/>
    <n v="0"/>
    <n v="0"/>
    <m/>
    <m/>
    <m/>
    <m/>
    <m/>
    <m/>
  </r>
  <r>
    <x v="189"/>
    <d v="2024-07-30T00:00:00"/>
    <x v="0"/>
    <s v="Week28"/>
    <x v="6"/>
    <s v="DRY2400504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106"/>
    <n v="106"/>
    <m/>
    <n v="0"/>
    <n v="0"/>
    <m/>
    <m/>
    <m/>
    <m/>
    <m/>
    <m/>
  </r>
  <r>
    <x v="190"/>
    <d v="2024-07-30T00:00:00"/>
    <x v="0"/>
    <s v="Week28"/>
    <x v="6"/>
    <s v="DRY2400504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594"/>
    <n v="594"/>
    <m/>
    <n v="0"/>
    <n v="0"/>
    <m/>
    <m/>
    <m/>
    <m/>
    <m/>
    <m/>
  </r>
  <r>
    <x v="190"/>
    <d v="2024-08-15T00:00:00"/>
    <x v="0"/>
    <s v="Week28"/>
    <x v="6"/>
    <s v="DRY2400502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800"/>
    <n v="800"/>
    <m/>
    <n v="0"/>
    <n v="0"/>
    <m/>
    <m/>
    <m/>
    <m/>
    <m/>
    <m/>
  </r>
  <r>
    <x v="190"/>
    <d v="2024-10-07T00:00:00"/>
    <x v="0"/>
    <s v="Week28"/>
    <x v="6"/>
    <s v="DRY2400470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1237"/>
    <m/>
    <n v="1237"/>
    <n v="0"/>
    <n v="0"/>
    <m/>
    <m/>
    <m/>
    <m/>
    <m/>
    <m/>
  </r>
  <r>
    <x v="190"/>
    <d v="2024-07-25T00:00:00"/>
    <x v="0"/>
    <s v="Week28"/>
    <x v="6"/>
    <s v="DRY2400552"/>
    <s v="BRUNEI"/>
    <s v="CPFNW"/>
    <s v="Ben Foods"/>
    <s v="Wonton"/>
    <s v="Cooked Wonton"/>
    <s v="Cooked Wonton No Egg"/>
    <s v="082S8C324005P01001"/>
    <s v="145g*24"/>
    <n v="24"/>
    <n v="5"/>
    <n v="8.0000000000000002E-3"/>
    <x v="1"/>
    <s v="STPP"/>
    <s v="Regular"/>
    <n v="200"/>
    <n v="200"/>
    <m/>
    <n v="0"/>
    <n v="0"/>
    <m/>
    <m/>
    <m/>
    <m/>
    <m/>
    <m/>
  </r>
  <r>
    <x v="190"/>
    <d v="2024-07-25T00:00:00"/>
    <x v="0"/>
    <s v="Week28"/>
    <x v="6"/>
    <s v="DRY2400552"/>
    <s v="BRUNEI"/>
    <s v="CPFNW"/>
    <s v="Ben Foods"/>
    <s v="Wonton+TY"/>
    <s v="Cooked Wonton"/>
    <s v="Cooked Wonton No Egg"/>
    <s v="082S8C324005P00001"/>
    <s v="115g*24"/>
    <n v="24"/>
    <n v="5"/>
    <n v="8.0000000000000002E-3"/>
    <x v="1"/>
    <s v="STPP"/>
    <s v="TYTB3C 30G"/>
    <n v="405"/>
    <n v="405"/>
    <m/>
    <n v="0"/>
    <n v="0"/>
    <m/>
    <n v="1"/>
    <n v="0"/>
    <m/>
    <m/>
    <m/>
  </r>
  <r>
    <x v="190"/>
    <s v="08-2024"/>
    <x v="0"/>
    <s v="Week28"/>
    <x v="6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2168"/>
    <n v="2168"/>
    <m/>
    <n v="0"/>
    <n v="0"/>
    <m/>
    <m/>
    <m/>
    <m/>
    <m/>
    <m/>
  </r>
  <r>
    <x v="191"/>
    <d v="2024-08-08T00:00:00"/>
    <x v="0"/>
    <s v="Week28"/>
    <x v="6"/>
    <s v="DRY2400442"/>
    <s v="Japan"/>
    <s v="CPFNW"/>
    <s v="CPF JAPAN"/>
    <s v="Wonton+TY"/>
    <s v="Cooked Wonton"/>
    <s v="Wonton Soup 5pcs"/>
    <s v="082S85736005P01001"/>
    <s v="147g*6c*6in"/>
    <n v="36"/>
    <n v="5"/>
    <n v="7.4999999999999997E-3"/>
    <x v="1"/>
    <s v="Salt"/>
    <s v="TYEX+CO"/>
    <n v="1288"/>
    <n v="1239"/>
    <n v="49"/>
    <n v="0"/>
    <n v="0"/>
    <m/>
    <m/>
    <m/>
    <m/>
    <m/>
    <m/>
  </r>
  <r>
    <x v="191"/>
    <d v="2024-08-14T00:00:00"/>
    <x v="0"/>
    <s v="Week28"/>
    <x v="6"/>
    <s v="DRY2400443"/>
    <s v="Japan"/>
    <s v="CPFNW"/>
    <s v="CPF JAPAN"/>
    <s v="Wonton+TY"/>
    <s v="Cooked Wonton"/>
    <s v="Wonton Soup 5pcs"/>
    <s v="082S85736005P01001"/>
    <s v="147g*6c*6in"/>
    <n v="36"/>
    <n v="5"/>
    <n v="7.4999999999999997E-3"/>
    <x v="1"/>
    <s v="Salt"/>
    <s v="TYEX+CO"/>
    <n v="1288"/>
    <n v="1288"/>
    <m/>
    <n v="0"/>
    <n v="0"/>
    <m/>
    <m/>
    <m/>
    <m/>
    <m/>
    <m/>
  </r>
  <r>
    <x v="191"/>
    <d v="2024-08-14T00:00:00"/>
    <x v="0"/>
    <s v="Week28"/>
    <x v="6"/>
    <s v="DRY2400444"/>
    <s v="Japan"/>
    <s v="CPFNW"/>
    <s v="CPF JAPAN"/>
    <s v="Wonton+TY"/>
    <s v="Cooked Wonton"/>
    <s v="Wonton Soup 5pcs"/>
    <s v="082S85736005P01001"/>
    <s v="147g*6c*6in"/>
    <n v="36"/>
    <n v="5"/>
    <n v="7.4999999999999997E-3"/>
    <x v="1"/>
    <s v="Salt"/>
    <s v="TYEX+CO"/>
    <n v="1205"/>
    <n v="1205"/>
    <m/>
    <n v="0"/>
    <n v="0"/>
    <m/>
    <m/>
    <m/>
    <m/>
    <m/>
    <m/>
  </r>
  <r>
    <x v="192"/>
    <d v="2024-07-22T00:00:00"/>
    <x v="0"/>
    <s v="Week28"/>
    <x v="6"/>
    <s v="DRY240040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41"/>
    <n v="241"/>
    <m/>
    <n v="0"/>
    <n v="0"/>
    <m/>
    <m/>
    <m/>
    <m/>
    <m/>
    <m/>
  </r>
  <r>
    <x v="192"/>
    <d v="2024-07-22T00:00:00"/>
    <x v="0"/>
    <s v="Week28"/>
    <x v="6"/>
    <s v="DRY240040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92"/>
    <d v="2024-07-22T00:00:00"/>
    <x v="0"/>
    <s v="Week28"/>
    <x v="6"/>
    <s v="DRY240038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50"/>
    <n v="550"/>
    <m/>
    <n v="0"/>
    <n v="0"/>
    <m/>
    <m/>
    <m/>
    <m/>
    <m/>
    <m/>
  </r>
  <r>
    <x v="192"/>
    <d v="2024-07-22T00:00:00"/>
    <x v="0"/>
    <s v="Week28"/>
    <x v="6"/>
    <s v="DRY240040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92"/>
    <d v="2024-07-22T00:00:00"/>
    <x v="0"/>
    <s v="Week28"/>
    <x v="6"/>
    <s v="DRY240040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92"/>
    <d v="2024-07-22T00:00:00"/>
    <x v="0"/>
    <s v="Week28"/>
    <x v="6"/>
    <s v="DRY240040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68"/>
    <n v="768"/>
    <m/>
    <n v="0"/>
    <n v="0"/>
    <m/>
    <m/>
    <m/>
    <m/>
    <m/>
    <m/>
  </r>
  <r>
    <x v="193"/>
    <d v="2024-07-22T00:00:00"/>
    <x v="0"/>
    <s v="Week28"/>
    <x v="6"/>
    <s v="DRY240040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4"/>
    <n v="24"/>
    <m/>
    <n v="0"/>
    <n v="0"/>
    <m/>
    <m/>
    <m/>
    <m/>
    <m/>
    <m/>
  </r>
  <r>
    <x v="193"/>
    <d v="2024-07-22T00:00:00"/>
    <x v="0"/>
    <s v="Week28"/>
    <x v="6"/>
    <s v="DRY240041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93"/>
    <d v="2024-07-27T00:00:00"/>
    <x v="0"/>
    <s v="Week28"/>
    <x v="6"/>
    <s v="DRY240041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93"/>
    <d v="2024-07-27T00:00:00"/>
    <x v="0"/>
    <s v="Week28"/>
    <x v="6"/>
    <s v="DRY240041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93"/>
    <d v="2024-07-27T00:00:00"/>
    <x v="0"/>
    <s v="Week28"/>
    <x v="6"/>
    <s v="DRY240041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93"/>
    <d v="2024-07-27T00:00:00"/>
    <x v="0"/>
    <s v="Week28"/>
    <x v="6"/>
    <s v="DRY240041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94"/>
    <d v="2024-07-27T00:00:00"/>
    <x v="0"/>
    <s v="Week28"/>
    <x v="6"/>
    <s v="DRY240041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8"/>
    <n v="68"/>
    <m/>
    <n v="0"/>
    <n v="0"/>
    <m/>
    <m/>
    <m/>
    <m/>
    <m/>
    <m/>
  </r>
  <r>
    <x v="194"/>
    <d v="2024-07-27T00:00:00"/>
    <x v="0"/>
    <s v="Week28"/>
    <x v="6"/>
    <s v="DRY240041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24"/>
    <n v="724"/>
    <m/>
    <n v="0"/>
    <n v="0"/>
    <m/>
    <m/>
    <m/>
    <m/>
    <m/>
    <m/>
  </r>
  <r>
    <x v="194"/>
    <d v="2024-07-30T00:00:00"/>
    <x v="0"/>
    <s v="Week28"/>
    <x v="6"/>
    <s v="DRY240041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94"/>
    <d v="2024-07-30T00:00:00"/>
    <x v="0"/>
    <s v="Week28"/>
    <x v="6"/>
    <s v="DRY240041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20"/>
    <n v="120"/>
    <m/>
    <n v="0"/>
    <n v="0"/>
    <m/>
    <m/>
    <m/>
    <m/>
    <m/>
    <m/>
  </r>
  <r>
    <x v="194"/>
    <s v="07-2024"/>
    <x v="0"/>
    <s v="Week28"/>
    <x v="6"/>
    <s v="ขายภายใน"/>
    <s v=".7-11"/>
    <s v="CPFGS"/>
    <s v="ซีพีเอฟ เทรดดิ้ง"/>
    <s v="Wonton ND+V+TY"/>
    <s v="Cooked Wonton"/>
    <s v="Cooked Wonton ND+ Vegetable  SS  3 pcs"/>
    <s v="082SJ1A12003P02001"/>
    <s v="211g*12"/>
    <n v="12"/>
    <n v="3"/>
    <n v="6.1999999999999998E-3"/>
    <x v="2"/>
    <s v="STPP"/>
    <s v="TYNSF"/>
    <n v="7034"/>
    <n v="7034"/>
    <m/>
    <n v="0"/>
    <n v="0"/>
    <m/>
    <m/>
    <m/>
    <s v="ขั่นต่ำ 58,000 ถ้วย"/>
    <m/>
    <m/>
  </r>
  <r>
    <x v="195"/>
    <m/>
    <x v="0"/>
    <s v="Week28"/>
    <x v="6"/>
    <m/>
    <m/>
    <m/>
    <m/>
    <m/>
    <m/>
    <m/>
    <m/>
    <m/>
    <m/>
    <m/>
    <m/>
    <x v="0"/>
    <m/>
    <m/>
    <m/>
    <m/>
    <m/>
    <m/>
    <m/>
    <m/>
    <m/>
    <m/>
    <m/>
    <m/>
    <m/>
  </r>
  <r>
    <x v="196"/>
    <d v="2024-07-20T00:00:00"/>
    <x v="0"/>
    <s v="Week29"/>
    <x v="6"/>
    <s v="DRY2400318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268"/>
    <n v="268"/>
    <m/>
    <n v="0"/>
    <n v="0"/>
    <m/>
    <m/>
    <m/>
    <m/>
    <m/>
    <m/>
  </r>
  <r>
    <x v="196"/>
    <d v="2024-07-25T00:00:00"/>
    <x v="0"/>
    <s v="Week29"/>
    <x v="6"/>
    <s v="DRY2400319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m/>
    <m/>
    <m/>
  </r>
  <r>
    <x v="196"/>
    <d v="2024-08-01T00:00:00"/>
    <x v="0"/>
    <s v="Week29"/>
    <x v="6"/>
    <s v="DRY2400320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m/>
    <m/>
    <m/>
  </r>
  <r>
    <x v="196"/>
    <d v="2024-08-01T00:00:00"/>
    <x v="0"/>
    <s v="Week29"/>
    <x v="6"/>
    <s v="DRY2400330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m/>
    <m/>
    <m/>
  </r>
  <r>
    <x v="196"/>
    <d v="2024-08-08T00:00:00"/>
    <x v="0"/>
    <s v="Week29"/>
    <x v="6"/>
    <s v="DRY2400321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34"/>
    <n v="34"/>
    <m/>
    <n v="0"/>
    <n v="0"/>
    <m/>
    <m/>
    <m/>
    <m/>
    <m/>
    <m/>
  </r>
  <r>
    <x v="197"/>
    <d v="2024-08-08T00:00:00"/>
    <x v="0"/>
    <s v="Week29"/>
    <x v="6"/>
    <s v="DRY2400491"/>
    <s v="CAN "/>
    <s v="CPFNW "/>
    <s v="CP Foods Canada,Inc (CPFC)"/>
    <s v="Wonton+TY"/>
    <s v="Cooked Wonton"/>
    <s v="Wonton Soup  (Enriched wonton sheet)"/>
    <s v="082S85336005P02001"/>
    <s v="147g*6c*6in"/>
    <n v="36"/>
    <n v="5"/>
    <n v="7.4999999999999997E-3"/>
    <x v="1"/>
    <s v="Salt"/>
    <s v="TYEX+CO"/>
    <n v="1288"/>
    <n v="1191"/>
    <n v="97.222222222222229"/>
    <n v="0.22222222222217169"/>
    <n v="0"/>
    <m/>
    <m/>
    <m/>
    <m/>
    <m/>
    <m/>
  </r>
  <r>
    <x v="197"/>
    <d v="2024-08-15T00:00:00"/>
    <x v="0"/>
    <s v="Week29"/>
    <x v="6"/>
    <s v="DRY2400476"/>
    <s v="CAN "/>
    <s v="CPFNW "/>
    <s v="CP Foods Canada,Inc (CPFC)"/>
    <s v="Wonton+TY"/>
    <s v="Cooked Wonton"/>
    <s v="Wonton Soup  (Enriched wonton sheet)"/>
    <s v="082S85336005P02001"/>
    <s v="147g*6c*6in"/>
    <n v="36"/>
    <n v="5"/>
    <n v="7.4999999999999997E-3"/>
    <x v="1"/>
    <s v="Salt"/>
    <s v="TYEX+CO"/>
    <n v="1288"/>
    <n v="1288"/>
    <m/>
    <n v="0"/>
    <n v="0"/>
    <m/>
    <m/>
    <m/>
    <m/>
    <m/>
    <m/>
  </r>
  <r>
    <x v="197"/>
    <d v="2024-08-22T00:00:00"/>
    <x v="0"/>
    <s v="Week29"/>
    <x v="6"/>
    <s v="DRY2400492"/>
    <s v="CAN "/>
    <s v="CPFNW "/>
    <s v="CP Foods Canada,Inc (CPFC)"/>
    <s v="Wonton+TY"/>
    <s v="Cooked Wonton"/>
    <s v="Wonton Soup  (Enriched wonton sheet)"/>
    <s v="082S85336005P02001"/>
    <s v="147g*6c*6in"/>
    <n v="36"/>
    <n v="5"/>
    <n v="7.4999999999999997E-3"/>
    <x v="1"/>
    <s v="Salt"/>
    <s v="TYEX+CO"/>
    <n v="1288"/>
    <n v="1288"/>
    <m/>
    <n v="0"/>
    <n v="0"/>
    <m/>
    <m/>
    <m/>
    <m/>
    <m/>
    <m/>
  </r>
  <r>
    <x v="197"/>
    <d v="2024-08-22T00:00:00"/>
    <x v="0"/>
    <s v="Week29"/>
    <x v="6"/>
    <s v="DRY2400493"/>
    <s v="CAN "/>
    <s v="CPFNW "/>
    <s v="CP Foods Canada,Inc (CPFC)"/>
    <s v="Wonton+TY"/>
    <s v="Cooked Wonton"/>
    <s v="Wonton Soup  (Enriched wonton sheet)"/>
    <s v="082S85336005P02001"/>
    <s v="147g*6c*6in"/>
    <n v="36"/>
    <n v="5"/>
    <n v="7.4999999999999997E-3"/>
    <x v="1"/>
    <s v="Salt"/>
    <s v="TYEX+CO"/>
    <n v="69"/>
    <n v="69"/>
    <m/>
    <n v="0"/>
    <n v="0"/>
    <m/>
    <m/>
    <m/>
    <m/>
    <m/>
    <m/>
  </r>
  <r>
    <x v="197"/>
    <d v="2024-08-14T00:00:00"/>
    <x v="0"/>
    <s v="Week29"/>
    <x v="6"/>
    <s v="DRY2400444"/>
    <s v="Japan"/>
    <s v="CPFNW"/>
    <s v="CPF JAPAN"/>
    <s v="Wonton+TY"/>
    <s v="Cooked Wonton"/>
    <s v="Wonton Soup 5pcs"/>
    <s v="082S85736005P01001"/>
    <s v="147g*6c*6in"/>
    <n v="36"/>
    <n v="5"/>
    <n v="7.4999999999999997E-3"/>
    <x v="1"/>
    <s v="Salt"/>
    <s v="TYEX+CO"/>
    <n v="83"/>
    <n v="71"/>
    <n v="12"/>
    <n v="0"/>
    <n v="0"/>
    <m/>
    <m/>
    <m/>
    <m/>
    <m/>
    <m/>
  </r>
  <r>
    <x v="198"/>
    <s v="08-2024"/>
    <x v="0"/>
    <s v="Week29"/>
    <x v="6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3238"/>
    <n v="3237"/>
    <n v="1"/>
    <n v="0"/>
    <n v="0"/>
    <m/>
    <m/>
    <m/>
    <m/>
    <m/>
    <m/>
  </r>
  <r>
    <x v="198"/>
    <d v="2024-07-31T00:00:00"/>
    <x v="0"/>
    <s v="Week29"/>
    <x v="6"/>
    <s v="DRY2400582"/>
    <s v="New Zealand"/>
    <s v="CPFNW"/>
    <s v="Lim Brothers"/>
    <s v="Wonton ND+V"/>
    <s v="Cooked Wonton"/>
    <s v="Cooked Wonton ND No Egg with Pumpkin_x000a_+ Yu Choy "/>
    <s v="082SJN736005P00001"/>
    <s v="308g*6c*6in"/>
    <n v="36"/>
    <n v="5"/>
    <n v="7.4999999999999997E-3"/>
    <x v="5"/>
    <s v="Salt"/>
    <s v="Regular"/>
    <n v="320"/>
    <n v="320"/>
    <m/>
    <n v="0"/>
    <n v="0"/>
    <m/>
    <m/>
    <m/>
    <m/>
    <m/>
    <m/>
  </r>
  <r>
    <x v="198"/>
    <d v="2024-07-31T00:00:00"/>
    <x v="0"/>
    <s v="Week29"/>
    <x v="6"/>
    <s v="DRY2400487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609"/>
    <n v="183"/>
    <n v="0"/>
    <n v="0"/>
    <m/>
    <m/>
    <m/>
    <m/>
    <m/>
    <m/>
  </r>
  <r>
    <x v="198"/>
    <d v="2024-08-15T00:00:00"/>
    <x v="0"/>
    <s v="Week29"/>
    <x v="6"/>
    <s v="DRY2400516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199"/>
    <d v="2024-07-23T00:00:00"/>
    <x v="0"/>
    <s v="Week29"/>
    <x v="6"/>
    <s v="DRY2400503"/>
    <s v="USA"/>
    <s v="CPFNW"/>
    <s v="Bellisio Foods, Inc."/>
    <s v="Minced ND+V"/>
    <s v="Cooked Wonton"/>
    <s v="Cooked Wonton ND No Egg with Pumpkin_x000a_+ Yu Choy Low sodium"/>
    <s v="082SRBW24005P01001"/>
    <s v="308g*4c*6in"/>
    <n v="24"/>
    <n v="5"/>
    <n v="6.0000000000000001E-3"/>
    <x v="4"/>
    <s v="Salt"/>
    <s v="Y3"/>
    <n v="200"/>
    <n v="200"/>
    <m/>
    <n v="0"/>
    <n v="0"/>
    <m/>
    <m/>
    <m/>
    <s v="ขอใช้ผักแบบไม่ล้าง"/>
    <m/>
    <m/>
  </r>
  <r>
    <x v="199"/>
    <d v="2024-07-30T00:00:00"/>
    <x v="0"/>
    <s v="Week29"/>
    <x v="6"/>
    <s v="DRY2400504"/>
    <s v="USA"/>
    <s v="CPFNW"/>
    <s v="Bellisio Foods, Inc."/>
    <s v="Minced ND+V"/>
    <s v="Cooked Wonton"/>
    <s v="Cooked Wonton ND No Egg with Pumpkin_x000a_+ Yu Choy Low sodium"/>
    <s v="082SRBW24005P01001"/>
    <s v="308g*4c*6in"/>
    <n v="24"/>
    <n v="5"/>
    <n v="6.0000000000000001E-3"/>
    <x v="4"/>
    <s v="Salt"/>
    <s v="Y3"/>
    <n v="200"/>
    <n v="200"/>
    <m/>
    <n v="0"/>
    <n v="0"/>
    <m/>
    <m/>
    <m/>
    <s v="ขอใช้ผักแบบไม่ล้าง"/>
    <m/>
    <m/>
  </r>
  <r>
    <x v="199"/>
    <d v="2024-08-20T00:00:00"/>
    <x v="0"/>
    <s v="Week29"/>
    <x v="6"/>
    <s v="DRY2400505"/>
    <s v="USA"/>
    <s v="CPFNW"/>
    <s v="Bellisio Foods, Inc."/>
    <s v="Minced ND+V"/>
    <s v="Cooked Wonton"/>
    <s v="Cooked Wonton ND No Egg with Pumpkin_x000a_+ Yu Choy Low sodium"/>
    <s v="082SRBW24005P01001"/>
    <s v="308g*4c*6in"/>
    <n v="24"/>
    <n v="5"/>
    <n v="6.0000000000000001E-3"/>
    <x v="4"/>
    <s v="Salt"/>
    <s v="Y3"/>
    <n v="200"/>
    <n v="200"/>
    <m/>
    <n v="0"/>
    <n v="0"/>
    <m/>
    <m/>
    <m/>
    <s v="ขอใช้ผักแบบไม่ล้าง"/>
    <m/>
    <m/>
  </r>
  <r>
    <x v="199"/>
    <d v="2024-07-30T00:00:00"/>
    <x v="0"/>
    <s v="Week29"/>
    <x v="6"/>
    <s v="DRY240041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72"/>
    <n v="672"/>
    <m/>
    <n v="0"/>
    <n v="0"/>
    <m/>
    <m/>
    <m/>
    <m/>
    <m/>
    <m/>
  </r>
  <r>
    <x v="199"/>
    <d v="2024-07-30T00:00:00"/>
    <x v="0"/>
    <s v="Week29"/>
    <x v="6"/>
    <s v="DRY240041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99"/>
    <d v="2024-08-05T00:00:00"/>
    <x v="0"/>
    <s v="Week29"/>
    <x v="6"/>
    <s v="DRY240041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199"/>
    <d v="2024-08-05T00:00:00"/>
    <x v="0"/>
    <s v="Week29"/>
    <x v="6"/>
    <s v="DRY240042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89"/>
    <n v="289"/>
    <m/>
    <n v="0"/>
    <n v="0"/>
    <m/>
    <m/>
    <m/>
    <m/>
    <m/>
    <m/>
  </r>
  <r>
    <x v="199"/>
    <d v="2024-08-01T00:00:00"/>
    <x v="0"/>
    <s v="Week29"/>
    <x v="6"/>
    <s v="DRY2400218"/>
    <s v="Spain"/>
    <s v="CPFNW"/>
    <s v="Mercadona"/>
    <s v="Wonton ND+V"/>
    <s v="Cooked Wonton"/>
    <s v="Cooked Wonton ND No Egg with Pumpkin _x000a_+ Vegetable  HC  3 pcs"/>
    <s v="082SJ5T12003P00001"/>
    <s v="309g*12"/>
    <n v="12"/>
    <n v="3"/>
    <n v="7.4999999999999997E-3"/>
    <x v="5"/>
    <s v="Salt"/>
    <s v="Regular"/>
    <n v="2520"/>
    <n v="2520"/>
    <m/>
    <n v="0"/>
    <n v="0"/>
    <m/>
    <m/>
    <m/>
    <s v="รวบการผลิตให้เป็นวันเดียวกันตามความต้องการของลูกค้า"/>
    <m/>
    <m/>
  </r>
  <r>
    <x v="200"/>
    <d v="2024-08-06T00:00:00"/>
    <x v="0"/>
    <s v="Week29"/>
    <x v="6"/>
    <s v="DRY2400497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1263"/>
    <n v="1263"/>
    <m/>
    <n v="0"/>
    <n v="0"/>
    <n v="0"/>
    <n v="6"/>
    <n v="0"/>
    <m/>
    <m/>
    <m/>
  </r>
  <r>
    <x v="201"/>
    <d v="2024-08-06T00:00:00"/>
    <x v="0"/>
    <s v="Week29"/>
    <x v="6"/>
    <s v="DRY2400497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463"/>
    <n v="463"/>
    <m/>
    <n v="0"/>
    <n v="0"/>
    <n v="0"/>
    <n v="6"/>
    <n v="0"/>
    <m/>
    <m/>
    <m/>
  </r>
  <r>
    <x v="201"/>
    <d v="2024-07-27T00:00:00"/>
    <x v="0"/>
    <s v="Week29"/>
    <x v="6"/>
    <s v="KL2400020"/>
    <s v="China"/>
    <s v="China"/>
    <s v="Charoen Pokphand Import&amp;Export Trading (Shanghai) Co., Ltd"/>
    <s v="R-Wonton no egg"/>
    <s v="Raw Wonton"/>
    <s v="Raw Wonton 50 pcs"/>
    <s v="082I95J08050P03001"/>
    <s v="630g*8in"/>
    <n v="8"/>
    <n v="50"/>
    <n v="6.8100000000000001E-3"/>
    <x v="3"/>
    <s v="STPP"/>
    <s v="ซุปซอง 5g."/>
    <n v="924"/>
    <n v="924"/>
    <m/>
    <n v="0"/>
    <n v="0"/>
    <n v="0"/>
    <n v="6"/>
    <n v="0"/>
    <s v="NEWPACKAGE INNER / CARTON OLD STK"/>
    <m/>
    <m/>
  </r>
  <r>
    <x v="202"/>
    <m/>
    <x v="0"/>
    <s v="Week29"/>
    <x v="6"/>
    <m/>
    <m/>
    <m/>
    <m/>
    <m/>
    <m/>
    <m/>
    <m/>
    <m/>
    <m/>
    <m/>
    <m/>
    <x v="0"/>
    <m/>
    <m/>
    <m/>
    <m/>
    <m/>
    <m/>
    <m/>
    <m/>
    <m/>
    <m/>
    <m/>
    <m/>
    <m/>
  </r>
  <r>
    <x v="203"/>
    <s v="08-2024"/>
    <x v="0"/>
    <s v="Week30"/>
    <x v="6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4121"/>
    <n v="4121"/>
    <m/>
    <n v="0"/>
    <n v="0"/>
    <m/>
    <m/>
    <m/>
    <m/>
    <m/>
    <m/>
  </r>
  <r>
    <x v="203"/>
    <d v="2024-08-07T00:00:00"/>
    <x v="0"/>
    <s v="Week30"/>
    <x v="6"/>
    <s v="DRY2400508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88"/>
    <m/>
    <n v="0"/>
    <n v="0"/>
    <m/>
    <m/>
    <m/>
    <m/>
    <m/>
    <m/>
  </r>
  <r>
    <x v="203"/>
    <d v="2024-08-01T00:00:00"/>
    <x v="0"/>
    <s v="Week30"/>
    <x v="6"/>
    <s v="08-2024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175"/>
    <n v="175"/>
    <m/>
    <n v="0"/>
    <n v="0"/>
    <n v="0"/>
    <m/>
    <n v="0"/>
    <m/>
    <m/>
    <m/>
  </r>
  <r>
    <x v="203"/>
    <d v="2024-08-06T00:00:00"/>
    <x v="0"/>
    <s v="Week30"/>
    <x v="6"/>
    <s v="DRY2400497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330"/>
    <n v="330"/>
    <m/>
    <n v="0"/>
    <n v="0"/>
    <n v="0"/>
    <n v="6"/>
    <n v="0"/>
    <m/>
    <m/>
    <m/>
  </r>
  <r>
    <x v="204"/>
    <d v="2024-09-10T00:00:00"/>
    <x v="0"/>
    <s v="Week30"/>
    <x v="6"/>
    <s v="DRY2400332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m/>
    <m/>
    <m/>
    <s v="ใช้ package ที่เป็น หมึกพิมพ์ใหม่"/>
    <m/>
    <m/>
  </r>
  <r>
    <x v="204"/>
    <d v="2024-09-24T00:00:00"/>
    <x v="0"/>
    <s v="Week30"/>
    <x v="6"/>
    <s v="DRY2400333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m/>
    <m/>
    <m/>
    <s v="ใช้ package ที่เป็น หมึกพิมพ์ใหม่"/>
    <m/>
    <m/>
  </r>
  <r>
    <x v="204"/>
    <s v="08-2024"/>
    <x v="0"/>
    <s v="Week30"/>
    <x v="6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1513"/>
    <n v="1513"/>
    <m/>
    <n v="0"/>
    <n v="0"/>
    <m/>
    <m/>
    <m/>
    <m/>
    <m/>
    <m/>
  </r>
  <r>
    <x v="204"/>
    <d v="2024-08-08T00:00:00"/>
    <x v="0"/>
    <s v="Week30"/>
    <x v="6"/>
    <s v="DRY2400488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1650"/>
    <n v="657"/>
    <n v="993"/>
    <n v="0"/>
    <n v="0"/>
    <n v="0"/>
    <n v="1"/>
    <n v="0"/>
    <m/>
    <m/>
    <m/>
  </r>
  <r>
    <x v="205"/>
    <s v="08-2024"/>
    <x v="0"/>
    <s v="Week30"/>
    <x v="6"/>
    <s v="ขายภายใน"/>
    <s v=".7-11"/>
    <s v="CPFGS"/>
    <s v="ซีพีเอฟ เทรดดิ้ง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5699"/>
    <n v="5699"/>
    <m/>
    <n v="0"/>
    <n v="0"/>
    <m/>
    <m/>
    <m/>
    <m/>
    <m/>
    <m/>
  </r>
  <r>
    <x v="205"/>
    <d v="2024-08-07T00:00:00"/>
    <x v="0"/>
    <s v="Week30"/>
    <x v="6"/>
    <s v="DRY2400514"/>
    <s v="SG"/>
    <s v="CPFNW"/>
    <s v="CPI SINGAPORE"/>
    <s v="R-Minced egg past"/>
    <s v="Raw Wonton"/>
    <s v="Raw Minced Wonton 8 pcs"/>
    <s v="082ID3B18008P00001"/>
    <s v="90g*18in"/>
    <n v="18"/>
    <n v="8"/>
    <n v="6.0000000000000001E-3"/>
    <x v="4"/>
    <s v="STPP"/>
    <s v="ซุปซอง 5g."/>
    <n v="600"/>
    <n v="600"/>
    <m/>
    <n v="0"/>
    <n v="0"/>
    <n v="0"/>
    <n v="2"/>
    <n v="0"/>
    <m/>
    <m/>
    <m/>
  </r>
  <r>
    <x v="205"/>
    <d v="2024-08-08T00:00:00"/>
    <x v="0"/>
    <s v="Week30"/>
    <x v="6"/>
    <s v="DRY2400488"/>
    <s v="HK"/>
    <s v="CPFNW"/>
    <s v="CPM Hongkong"/>
    <s v="R-Minced egg past"/>
    <s v="Raw Wonton"/>
    <s v="Raw Minced Wonton 8 pcs"/>
    <s v="082ID3G18008P00001"/>
    <s v="90g*18in"/>
    <n v="18"/>
    <n v="8"/>
    <n v="6.0000000000000001E-3"/>
    <x v="4"/>
    <s v="STPP"/>
    <s v="ซุปซอง 5g."/>
    <n v="250"/>
    <n v="250"/>
    <m/>
    <n v="0"/>
    <n v="0"/>
    <n v="0"/>
    <n v="2"/>
    <n v="0"/>
    <m/>
    <m/>
    <m/>
  </r>
  <r>
    <x v="205"/>
    <d v="2024-08-27T00:00:00"/>
    <x v="0"/>
    <s v="Week30"/>
    <x v="6"/>
    <s v="DRY2400632"/>
    <s v="Malay"/>
    <s v="CPFNW"/>
    <s v="CPM Malaysia"/>
    <s v="R-Wonton egg past"/>
    <s v="Raw Wonton"/>
    <s v="Raw Wonton 12 pcs"/>
    <s v="082I95I20012P02001"/>
    <s v="154g*20inner"/>
    <n v="20"/>
    <n v="12"/>
    <n v="6.8100000000000001E-3"/>
    <x v="3"/>
    <s v="STPP"/>
    <s v="ซุปซอง 5g."/>
    <n v="400"/>
    <n v="400"/>
    <m/>
    <n v="0"/>
    <n v="0"/>
    <n v="0"/>
    <n v="2"/>
    <n v="0"/>
    <m/>
    <m/>
    <m/>
  </r>
  <r>
    <x v="206"/>
    <s v="07-2024"/>
    <x v="0"/>
    <s v="Week30"/>
    <x v="6"/>
    <s v="ขายภายใน"/>
    <s v="MTFS"/>
    <s v="CPFGS"/>
    <s v="ซีพีเอฟ เทรดดิ้ง"/>
    <s v="E+Wonton NDE"/>
    <s v="Cooked Wonton"/>
    <s v="Cooked Wonton ND with egg V-Food"/>
    <s v="082SJ3Q12003P07001"/>
    <s v="226g*12"/>
    <n v="12"/>
    <n v="3"/>
    <n v="8.0000000000000002E-3"/>
    <x v="1"/>
    <s v="STPP"/>
    <s v="Regular"/>
    <n v="216"/>
    <n v="216"/>
    <m/>
    <n v="0"/>
    <n v="0"/>
    <m/>
    <m/>
    <m/>
    <m/>
    <m/>
    <m/>
  </r>
  <r>
    <x v="206"/>
    <s v="08-2024"/>
    <x v="0"/>
    <s v="Week30"/>
    <x v="6"/>
    <s v="ขายภายใน"/>
    <s v="MTFS"/>
    <s v="CPFGS"/>
    <s v="ซีพีเอฟ เทรดดิ้ง"/>
    <s v="E+Wonton NDE"/>
    <s v="Cooked Wonton"/>
    <s v="Cooked Wonton ND with egg V-Food"/>
    <s v="082SJ3Q12003P07001"/>
    <s v="226g*12"/>
    <n v="12"/>
    <n v="3"/>
    <n v="8.0000000000000002E-3"/>
    <x v="1"/>
    <s v="STPP"/>
    <s v="Regular"/>
    <n v="452"/>
    <n v="452"/>
    <m/>
    <n v="0"/>
    <n v="0"/>
    <m/>
    <m/>
    <m/>
    <m/>
    <m/>
    <m/>
  </r>
  <r>
    <x v="206"/>
    <s v="08-2024"/>
    <x v="0"/>
    <s v="Week30"/>
    <x v="6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4879"/>
    <n v="4879"/>
    <m/>
    <n v="0"/>
    <n v="0"/>
    <m/>
    <m/>
    <m/>
    <m/>
    <m/>
    <m/>
  </r>
  <r>
    <x v="206"/>
    <s v="07-2024"/>
    <x v="0"/>
    <s v="Week30"/>
    <x v="6"/>
    <s v="ขายภายใน"/>
    <s v="MTFS"/>
    <s v="CPFGS"/>
    <s v="ซีพีเอฟ เทรดดิ้ง"/>
    <s v="E+Wonton+หมาล่า"/>
    <s v="Cooked Wonton"/>
    <s v="เกี๊ยวกุ้งจักรพรรดิซุปหมาล่า (ตรา ซีพี)_MT"/>
    <s v="082S83Q12005P06001"/>
    <s v="143g*12"/>
    <n v="12"/>
    <n v="5"/>
    <n v="6.1999999999999998E-3"/>
    <x v="2"/>
    <s v="STPP"/>
    <s v="หมาล่า"/>
    <n v="138"/>
    <n v="138"/>
    <m/>
    <n v="0"/>
    <n v="0"/>
    <m/>
    <m/>
    <m/>
    <m/>
    <m/>
    <m/>
  </r>
  <r>
    <x v="206"/>
    <s v="08-2024"/>
    <x v="0"/>
    <s v="Week30"/>
    <x v="6"/>
    <s v="ขายภายใน"/>
    <s v="MTFS"/>
    <s v="CPFGS"/>
    <s v="ซีพีเอฟ เทรดดิ้ง"/>
    <s v="E+Wonton+หมาล่า"/>
    <s v="Cooked Wonton"/>
    <s v="เกี๊ยวกุ้งจักรพรรดิซุปหมาล่า (ตรา ซีพี)_MT"/>
    <s v="082S83Q12005P06001"/>
    <s v="143g*12"/>
    <n v="12"/>
    <n v="5"/>
    <n v="6.1999999999999998E-3"/>
    <x v="2"/>
    <s v="STPP"/>
    <s v="หมาล่า"/>
    <n v="271"/>
    <n v="271"/>
    <m/>
    <n v="0"/>
    <n v="0"/>
    <m/>
    <m/>
    <m/>
    <m/>
    <m/>
    <m/>
  </r>
  <r>
    <x v="206"/>
    <s v="08-2024"/>
    <x v="0"/>
    <s v="Week30"/>
    <x v="6"/>
    <s v="ขายภายใน"/>
    <s v="MTFS"/>
    <s v="CPFGS"/>
    <s v="ซีพีเอฟ เทรดดิ้ง"/>
    <s v="E+Wonton+หมาล่า"/>
    <s v="Cooked Wonton"/>
    <s v="เกี๊ยวกุ้งจักรพรรดิซุปหมาล่า (ตรา ซีพี)_MT"/>
    <s v="082S83Q18005P06001"/>
    <s v="143g*18"/>
    <n v="18"/>
    <n v="5"/>
    <n v="6.1999999999999998E-3"/>
    <x v="2"/>
    <s v="STPP"/>
    <s v="หมาล่า"/>
    <n v="126"/>
    <n v="126"/>
    <m/>
    <n v="0"/>
    <n v="0"/>
    <m/>
    <m/>
    <m/>
    <m/>
    <m/>
    <m/>
  </r>
  <r>
    <x v="206"/>
    <s v="08-2024"/>
    <x v="0"/>
    <s v="Week30"/>
    <x v="6"/>
    <s v="ขายภายใน"/>
    <s v=".7-11"/>
    <s v="CPFGS"/>
    <s v="ซีพีเอฟ เทรดดิ้ง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543"/>
    <n v="543"/>
    <m/>
    <n v="0"/>
    <n v="0"/>
    <m/>
    <m/>
    <m/>
    <m/>
    <m/>
    <m/>
  </r>
  <r>
    <x v="207"/>
    <s v="07-2024"/>
    <x v="0"/>
    <s v="Week30"/>
    <x v="6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301"/>
    <n v="301"/>
    <m/>
    <n v="0"/>
    <n v="0"/>
    <m/>
    <m/>
    <m/>
    <m/>
    <m/>
    <m/>
  </r>
  <r>
    <x v="207"/>
    <s v="08-2024"/>
    <x v="0"/>
    <s v="Week30"/>
    <x v="6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311"/>
    <n v="311"/>
    <m/>
    <n v="0"/>
    <n v="0"/>
    <m/>
    <m/>
    <m/>
    <m/>
    <m/>
    <m/>
  </r>
  <r>
    <x v="207"/>
    <s v="08-2024"/>
    <x v="0"/>
    <s v="Week30"/>
    <x v="6"/>
    <s v="ขายภายใน"/>
    <s v="MTFS"/>
    <s v="CPFGS"/>
    <s v="ซีพีเอฟ เทรดดิ้ง"/>
    <s v="E+Wonton"/>
    <s v="Cooked Wonton"/>
    <s v="Cooked Wonton  with egg V-Food"/>
    <s v="082S83Q12005P05000"/>
    <s v="145g*12"/>
    <n v="12"/>
    <n v="5"/>
    <n v="8.0000000000000002E-3"/>
    <x v="1"/>
    <s v="STPP"/>
    <s v="Regular"/>
    <n v="12"/>
    <n v="12"/>
    <m/>
    <n v="0"/>
    <n v="0"/>
    <m/>
    <m/>
    <m/>
    <m/>
    <m/>
    <m/>
  </r>
  <r>
    <x v="207"/>
    <s v="07-2024"/>
    <x v="0"/>
    <s v="Week30"/>
    <x v="6"/>
    <s v="ขายภายใน"/>
    <s v="MTFS"/>
    <s v="CPFGS"/>
    <s v="ซีพีเอฟ เทรดดิ้ง"/>
    <s v="E+Wonton"/>
    <s v="Cooked Wonton"/>
    <s v="Cooked Wonton  with egg V-Food"/>
    <s v="082S83Q12005P05001"/>
    <s v="145g*12"/>
    <n v="12"/>
    <n v="5"/>
    <n v="8.0000000000000002E-3"/>
    <x v="1"/>
    <s v="STPP"/>
    <s v="Regular"/>
    <n v="1325"/>
    <n v="1325"/>
    <m/>
    <n v="0"/>
    <n v="0"/>
    <m/>
    <m/>
    <m/>
    <m/>
    <m/>
    <m/>
  </r>
  <r>
    <x v="207"/>
    <s v="08-2024"/>
    <x v="0"/>
    <s v="Week30"/>
    <x v="6"/>
    <s v="ขายภายใน"/>
    <s v="MTFS"/>
    <s v="CPFGS"/>
    <s v="ซีพีเอฟ เทรดดิ้ง"/>
    <s v="E+Wonton"/>
    <s v="Cooked Wonton"/>
    <s v="Cooked Wonton  with egg V-Food"/>
    <s v="082S83Q12005P05001"/>
    <s v="145g*12"/>
    <n v="12"/>
    <n v="5"/>
    <n v="8.0000000000000002E-3"/>
    <x v="1"/>
    <s v="STPP"/>
    <s v="Regular"/>
    <n v="2876"/>
    <n v="2876"/>
    <m/>
    <n v="0"/>
    <n v="0"/>
    <m/>
    <m/>
    <m/>
    <m/>
    <m/>
    <m/>
  </r>
  <r>
    <x v="207"/>
    <s v="08-2024"/>
    <x v="0"/>
    <s v="Week30"/>
    <x v="6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2546"/>
    <n v="2546"/>
    <m/>
    <n v="0"/>
    <n v="0"/>
    <m/>
    <m/>
    <m/>
    <m/>
    <m/>
    <m/>
  </r>
  <r>
    <x v="207"/>
    <s v="08-2024"/>
    <x v="0"/>
    <s v="Week30"/>
    <x v="6"/>
    <s v="ขายภายใน"/>
    <s v="MTFS"/>
    <s v="CPFGS"/>
    <s v="ซีพีเอฟ เทรดดิ้ง"/>
    <s v="E+Wonton TY"/>
    <s v="Cooked Wonton"/>
    <s v="Cooked Wonton Tomyum with egg.V-Food TY"/>
    <s v="082S83Q12005P04001"/>
    <s v="115g*12"/>
    <n v="12"/>
    <n v="5"/>
    <n v="8.0000000000000002E-3"/>
    <x v="1"/>
    <s v="STPP"/>
    <s v="TYTB3C 30G"/>
    <n v="429"/>
    <n v="429"/>
    <m/>
    <n v="0"/>
    <n v="0"/>
    <m/>
    <n v="1"/>
    <n v="0"/>
    <m/>
    <m/>
    <m/>
  </r>
  <r>
    <x v="207"/>
    <s v="07-2024"/>
    <x v="0"/>
    <s v="Week30"/>
    <x v="6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581"/>
    <n v="581"/>
    <m/>
    <n v="0"/>
    <n v="0"/>
    <m/>
    <n v="1"/>
    <n v="0"/>
    <m/>
    <m/>
    <m/>
  </r>
  <r>
    <x v="207"/>
    <s v="08-2024"/>
    <x v="0"/>
    <s v="Week30"/>
    <x v="6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519"/>
    <n v="515"/>
    <n v="4"/>
    <n v="0"/>
    <n v="0"/>
    <m/>
    <n v="1"/>
    <n v="0"/>
    <m/>
    <m/>
    <m/>
  </r>
  <r>
    <x v="208"/>
    <d v="2024-08-15T00:00:00"/>
    <x v="0"/>
    <s v="Week30"/>
    <x v="6"/>
    <s v="DRY2400517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208"/>
    <d v="2024-08-22T00:00:00"/>
    <x v="0"/>
    <s v="Week30"/>
    <x v="6"/>
    <s v="DRY2400518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208"/>
    <d v="2024-08-29T00:00:00"/>
    <x v="0"/>
    <s v="Week30"/>
    <x v="6"/>
    <s v="DRY2400550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385"/>
    <n v="385"/>
    <m/>
    <n v="0"/>
    <n v="0"/>
    <m/>
    <m/>
    <m/>
    <m/>
    <m/>
    <m/>
  </r>
  <r>
    <x v="208"/>
    <d v="2024-08-26T00:00:00"/>
    <x v="0"/>
    <s v="Week30"/>
    <x v="6"/>
    <s v="DRY2400219"/>
    <s v="Spain"/>
    <s v="CPFNW"/>
    <s v="Mercadona"/>
    <s v="Wonton ND+V"/>
    <s v="Cooked Wonton"/>
    <s v="Cooked Wonton ND No Egg with Pumpkin _x000a_+ Vegetable  HC  3 pcs"/>
    <s v="082SJ5T12003P00001"/>
    <s v="309g*12"/>
    <n v="12"/>
    <n v="3"/>
    <n v="7.4999999999999997E-3"/>
    <x v="5"/>
    <s v="Salt"/>
    <s v="Regular"/>
    <n v="2520"/>
    <n v="2520"/>
    <m/>
    <n v="0"/>
    <n v="0"/>
    <m/>
    <m/>
    <m/>
    <s v="รวบการผลิตให้เป็นวันเดียวกันตามความต้องการของลูกค้า"/>
    <m/>
    <m/>
  </r>
  <r>
    <x v="208"/>
    <d v="2024-08-13T00:00:00"/>
    <x v="0"/>
    <s v="Week30"/>
    <x v="6"/>
    <s v="DRY2400575"/>
    <s v="Denmark"/>
    <s v="CPFNW"/>
    <s v="CPF DENMARK"/>
    <s v="Wonton ND+V+TY"/>
    <s v="Cooked Wonton"/>
    <s v="Cooked Wonton ND No Egg with Pumpkin _x000a_+ Vegetable  HC  3 pcs tomyam"/>
    <s v="082SJKW08003P00001"/>
    <s v="309g*8"/>
    <n v="8"/>
    <n v="3"/>
    <n v="7.4999999999999997E-3"/>
    <x v="1"/>
    <s v="Salt"/>
    <s v="TYANS+CM"/>
    <n v="3500"/>
    <m/>
    <n v="3509.25"/>
    <n v="9.25"/>
    <n v="0"/>
    <m/>
    <m/>
    <m/>
    <s v="ต้มยำสูตรลดเผ็ดลง 10 %"/>
    <m/>
    <m/>
  </r>
  <r>
    <x v="209"/>
    <m/>
    <x v="0"/>
    <s v="Week30"/>
    <x v="6"/>
    <m/>
    <m/>
    <m/>
    <m/>
    <m/>
    <m/>
    <m/>
    <m/>
    <m/>
    <m/>
    <m/>
    <m/>
    <x v="0"/>
    <m/>
    <m/>
    <m/>
    <m/>
    <m/>
    <m/>
    <m/>
    <m/>
    <m/>
    <m/>
    <m/>
    <m/>
    <m/>
  </r>
  <r>
    <x v="210"/>
    <m/>
    <x v="0"/>
    <s v="Week31"/>
    <x v="6"/>
    <m/>
    <m/>
    <m/>
    <m/>
    <m/>
    <m/>
    <m/>
    <m/>
    <m/>
    <m/>
    <m/>
    <m/>
    <x v="0"/>
    <m/>
    <m/>
    <m/>
    <m/>
    <m/>
    <m/>
    <m/>
    <m/>
    <m/>
    <m/>
    <m/>
    <m/>
    <m/>
  </r>
  <r>
    <x v="211"/>
    <d v="2024-08-13T00:00:00"/>
    <x v="0"/>
    <s v="Week31"/>
    <x v="6"/>
    <s v="DRY2400633"/>
    <s v="Korea"/>
    <s v="CPFNW"/>
    <s v="Consumer Package Commerce"/>
    <s v="Wonton"/>
    <s v="Cooked Wonton"/>
    <s v="Wonton Soup  (Enriched wonton sheet)"/>
    <s v="082S83U36005P00001"/>
    <s v="145g*6c*6in"/>
    <n v="36"/>
    <n v="5"/>
    <n v="7.4999999999999997E-3"/>
    <x v="5"/>
    <s v="Salt"/>
    <s v="Y3"/>
    <n v="1288"/>
    <n v="1288"/>
    <m/>
    <n v="0"/>
    <n v="0"/>
    <m/>
    <m/>
    <m/>
    <s v="NEWPACKAGE"/>
    <m/>
    <m/>
  </r>
  <r>
    <x v="211"/>
    <d v="2024-08-13T00:00:00"/>
    <x v="0"/>
    <s v="Week31"/>
    <x v="6"/>
    <s v="DRY2400647"/>
    <s v="Korea"/>
    <s v="CPFNW"/>
    <s v="Consumer Package Commerce"/>
    <s v="Wonton"/>
    <s v="Cooked Wonton"/>
    <s v="Wonton Soup  (Enriched wonton sheet)"/>
    <s v="082S83U36005P00001"/>
    <s v="145g*6c*6in"/>
    <n v="36"/>
    <n v="5"/>
    <n v="7.4999999999999997E-3"/>
    <x v="5"/>
    <s v="Salt"/>
    <s v="Y3"/>
    <n v="644"/>
    <n v="594"/>
    <n v="74.777777777777771"/>
    <n v="24.777777777777828"/>
    <n v="0"/>
    <m/>
    <m/>
    <m/>
    <s v="NEWPACKAGE"/>
    <m/>
    <m/>
  </r>
  <r>
    <x v="211"/>
    <d v="2024-08-08T00:00:00"/>
    <x v="0"/>
    <s v="Week31"/>
    <x v="6"/>
    <s v="DRY2400321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54"/>
    <n v="1254"/>
    <m/>
    <n v="0"/>
    <n v="0"/>
    <m/>
    <m/>
    <m/>
    <m/>
    <m/>
    <m/>
  </r>
  <r>
    <x v="211"/>
    <d v="2024-08-22T00:00:00"/>
    <x v="0"/>
    <s v="Week31"/>
    <x v="6"/>
    <s v="DRY2400331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755"/>
    <n v="755"/>
    <m/>
    <n v="0"/>
    <n v="0"/>
    <m/>
    <m/>
    <m/>
    <m/>
    <m/>
    <m/>
  </r>
  <r>
    <x v="212"/>
    <d v="2024-08-14T00:00:00"/>
    <x v="0"/>
    <s v="Week31"/>
    <x v="6"/>
    <s v="DRY2400509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88"/>
    <m/>
    <n v="0"/>
    <n v="0"/>
    <m/>
    <m/>
    <m/>
    <m/>
    <m/>
    <m/>
  </r>
  <r>
    <x v="212"/>
    <d v="2024-08-21T00:00:00"/>
    <x v="0"/>
    <s v="Week31"/>
    <x v="6"/>
    <s v="DRY2400510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88"/>
    <m/>
    <n v="0"/>
    <n v="0"/>
    <m/>
    <m/>
    <m/>
    <m/>
    <m/>
    <m/>
  </r>
  <r>
    <x v="212"/>
    <d v="2024-08-21T00:00:00"/>
    <x v="0"/>
    <s v="Week31"/>
    <x v="6"/>
    <s v="DRY2400511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88"/>
    <m/>
    <n v="0"/>
    <n v="0"/>
    <m/>
    <m/>
    <m/>
    <m/>
    <m/>
    <m/>
  </r>
  <r>
    <x v="212"/>
    <d v="2024-08-07T00:00:00"/>
    <x v="0"/>
    <s v="Week31"/>
    <x v="6"/>
    <s v="DRY2400513"/>
    <s v="SG"/>
    <s v="CPFNW"/>
    <s v="CPI SINGAPORE"/>
    <s v="Wonton +TY"/>
    <s v="Cooked Wonton"/>
    <s v="Cooked Wonton No Egg"/>
    <s v="082S83B24005P06001"/>
    <s v="115g*24"/>
    <n v="24"/>
    <n v="5"/>
    <n v="8.0000000000000002E-3"/>
    <x v="1"/>
    <s v="STPP"/>
    <s v="TYTB3C 30G"/>
    <n v="500"/>
    <n v="446"/>
    <n v="54"/>
    <n v="0"/>
    <n v="0"/>
    <m/>
    <n v="1"/>
    <n v="0"/>
    <m/>
    <m/>
    <m/>
  </r>
  <r>
    <x v="213"/>
    <d v="2024-08-21T00:00:00"/>
    <x v="0"/>
    <s v="Week31"/>
    <x v="7"/>
    <s v="DRY2400592"/>
    <s v="New Zealand"/>
    <s v="CPFNW"/>
    <s v="Lim Brothers"/>
    <s v="Minced ND+Kee Mao"/>
    <s v="Cooked Wonton"/>
    <s v="Cooked Minced Wonton Thai Spicy Noodles (Kee Mao Noodles)"/>
    <s v="082SRN708003P02001"/>
    <s v="219g*8"/>
    <n v="8"/>
    <n v="3"/>
    <n v="6.0000000000000001E-3"/>
    <x v="4"/>
    <s v="Salt"/>
    <s v="Kee Mao 50G."/>
    <n v="54"/>
    <m/>
    <n v="54"/>
    <n v="0"/>
    <n v="0"/>
    <m/>
    <m/>
    <m/>
    <s v="NEWPACKAGE"/>
    <m/>
    <m/>
  </r>
  <r>
    <x v="213"/>
    <d v="2024-08-29T00:00:00"/>
    <x v="0"/>
    <s v="Week31"/>
    <x v="7"/>
    <s v="DRY2400593"/>
    <s v="New Zealand"/>
    <s v="CPFNW"/>
    <s v="Lim Brothers"/>
    <s v="Minced ND+Kee Mao"/>
    <s v="Cooked Wonton"/>
    <s v="Cooked Minced Wonton Thai Spicy Noodles (Kee Mao Noodles)"/>
    <s v="082SRN708003P02001"/>
    <s v="219g*8"/>
    <n v="8"/>
    <n v="3"/>
    <n v="6.0000000000000001E-3"/>
    <x v="4"/>
    <s v="Salt"/>
    <s v="Kee Mao 50G."/>
    <n v="108"/>
    <m/>
    <n v="190.5"/>
    <n v="82.5"/>
    <n v="0"/>
    <m/>
    <m/>
    <m/>
    <s v="NEWPACKAGE"/>
    <m/>
    <m/>
  </r>
  <r>
    <x v="213"/>
    <d v="2024-08-28T00:00:00"/>
    <x v="0"/>
    <s v="Week31"/>
    <x v="7"/>
    <s v="DRY2400606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m/>
    <m/>
    <m/>
    <m/>
    <m/>
    <m/>
  </r>
  <r>
    <x v="213"/>
    <d v="2024-08-20T00:00:00"/>
    <x v="0"/>
    <s v="Week31"/>
    <x v="7"/>
    <s v="DRY2400551"/>
    <s v="UK"/>
    <s v="CPFNW"/>
    <s v="Food Fellas"/>
    <s v="Wonton ND"/>
    <s v="Cooked Wonton"/>
    <s v="Cooked Wonton ND No Egg with _x000a_HC  5 pcs"/>
    <s v="082SJ5L08005P03001"/>
    <s v="258g*8"/>
    <n v="8"/>
    <n v="5"/>
    <n v="7.4999999999999997E-3"/>
    <x v="5"/>
    <s v="Salt"/>
    <s v="Regular"/>
    <n v="2000"/>
    <m/>
    <n v="2002.25"/>
    <n v="2.25"/>
    <n v="0"/>
    <m/>
    <m/>
    <m/>
    <m/>
    <m/>
    <m/>
  </r>
  <r>
    <x v="213"/>
    <d v="2024-09-06T00:00:00"/>
    <x v="0"/>
    <s v="Week31"/>
    <x v="7"/>
    <s v="DRY2300369"/>
    <s v="UK"/>
    <s v="CPFNW"/>
    <s v="Food Fellas"/>
    <s v="Wonton ND"/>
    <s v="Cooked Wonton"/>
    <s v="Cooked Wonton ND No Egg with _x000a_HC  5 pcs"/>
    <s v="082SJT212005P00001"/>
    <s v="258g*12"/>
    <n v="12"/>
    <n v="5"/>
    <n v="7.4999999999999997E-3"/>
    <x v="5"/>
    <s v="Salt"/>
    <s v="Regular"/>
    <n v="250"/>
    <n v="250"/>
    <m/>
    <n v="0"/>
    <n v="0"/>
    <m/>
    <m/>
    <m/>
    <m/>
    <m/>
    <m/>
  </r>
  <r>
    <x v="213"/>
    <d v="2024-08-20T00:00:00"/>
    <x v="0"/>
    <s v="Week31"/>
    <x v="7"/>
    <s v="DRY2400551"/>
    <s v="UK"/>
    <s v="CPFNW"/>
    <s v="Food Fellas"/>
    <s v="Wonton"/>
    <s v="Cooked Wonton"/>
    <s v="Cooked Wonton  No Egg_x000a_HC  5 pcs"/>
    <s v="082S85L08005P03001"/>
    <s v="145g*8"/>
    <n v="8"/>
    <n v="5"/>
    <n v="7.4999999999999997E-3"/>
    <x v="5"/>
    <s v="Salt"/>
    <s v="Regular"/>
    <n v="1600"/>
    <m/>
    <n v="1637.375"/>
    <n v="37.375"/>
    <n v="0"/>
    <m/>
    <m/>
    <m/>
    <m/>
    <m/>
    <m/>
  </r>
  <r>
    <x v="213"/>
    <d v="2024-09-06T00:00:00"/>
    <x v="0"/>
    <s v="Week31"/>
    <x v="7"/>
    <s v="DRY2300369"/>
    <s v="UK"/>
    <s v="CPFNW"/>
    <s v="Food Fellas"/>
    <s v="Wonton"/>
    <s v="Cooked Wonton"/>
    <s v="Cooked Wonton  No Egg_x000a_HC  5 pcs"/>
    <s v="082S8T212005P00001"/>
    <s v="145g*12"/>
    <n v="12"/>
    <n v="5"/>
    <n v="7.4999999999999997E-3"/>
    <x v="5"/>
    <s v="Salt"/>
    <s v="Regular"/>
    <n v="250"/>
    <n v="250"/>
    <n v="7.916666666666667"/>
    <n v="7.9166666666666856"/>
    <n v="0"/>
    <m/>
    <m/>
    <m/>
    <m/>
    <m/>
    <m/>
  </r>
  <r>
    <x v="213"/>
    <s v="09-2024"/>
    <x v="0"/>
    <s v="Week31"/>
    <x v="7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2890"/>
    <n v="2890"/>
    <m/>
    <n v="0"/>
    <n v="0"/>
    <m/>
    <m/>
    <m/>
    <m/>
    <m/>
    <m/>
  </r>
  <r>
    <x v="214"/>
    <d v="2024-08-05T00:00:00"/>
    <x v="0"/>
    <s v="Week31"/>
    <x v="7"/>
    <s v="DRY240042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03"/>
    <n v="503"/>
    <m/>
    <n v="0"/>
    <n v="0"/>
    <m/>
    <m/>
    <m/>
    <m/>
    <m/>
    <m/>
  </r>
  <r>
    <x v="214"/>
    <d v="2024-08-05T00:00:00"/>
    <x v="0"/>
    <s v="Week31"/>
    <x v="7"/>
    <s v="DRY240044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14"/>
    <d v="2024-08-06T00:00:00"/>
    <x v="0"/>
    <s v="Week31"/>
    <x v="7"/>
    <s v="DRY240044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14"/>
    <d v="2024-08-06T00:00:00"/>
    <x v="0"/>
    <s v="Week31"/>
    <x v="7"/>
    <s v="DRY240044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14"/>
    <d v="2024-08-07T00:00:00"/>
    <x v="0"/>
    <s v="Week31"/>
    <x v="7"/>
    <s v="DRY240044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95"/>
    <n v="195"/>
    <m/>
    <n v="0"/>
    <n v="0"/>
    <m/>
    <m/>
    <m/>
    <m/>
    <m/>
    <m/>
  </r>
  <r>
    <x v="215"/>
    <d v="2024-08-07T00:00:00"/>
    <x v="0"/>
    <s v="Week31"/>
    <x v="7"/>
    <s v="DRY240044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97"/>
    <n v="597"/>
    <m/>
    <n v="0"/>
    <n v="0"/>
    <m/>
    <m/>
    <m/>
    <m/>
    <m/>
    <m/>
  </r>
  <r>
    <x v="215"/>
    <d v="2024-08-07T00:00:00"/>
    <x v="0"/>
    <s v="Week31"/>
    <x v="7"/>
    <s v="DRY240045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15"/>
    <d v="2024-08-07T00:00:00"/>
    <x v="0"/>
    <s v="Week31"/>
    <x v="7"/>
    <s v="DRY240045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15"/>
    <d v="2024-08-13T00:00:00"/>
    <x v="0"/>
    <s v="Week31"/>
    <x v="7"/>
    <s v="DRY240045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15"/>
    <d v="2024-08-13T00:00:00"/>
    <x v="0"/>
    <s v="Week31"/>
    <x v="7"/>
    <s v="DRY240045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73"/>
    <n v="373"/>
    <m/>
    <n v="0"/>
    <n v="0"/>
    <m/>
    <m/>
    <m/>
    <m/>
    <m/>
    <m/>
  </r>
  <r>
    <x v="215"/>
    <d v="2024-08-15T00:00:00"/>
    <x v="0"/>
    <s v="Week31"/>
    <x v="7"/>
    <s v="DRY2400549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+CO"/>
    <n v="924"/>
    <n v="834"/>
    <n v="90.291666666666671"/>
    <n v="0.29166666666662877"/>
    <n v="0"/>
    <m/>
    <m/>
    <m/>
    <m/>
    <m/>
    <m/>
  </r>
  <r>
    <x v="216"/>
    <m/>
    <x v="0"/>
    <s v="Week31"/>
    <x v="7"/>
    <m/>
    <m/>
    <m/>
    <m/>
    <m/>
    <m/>
    <m/>
    <m/>
    <m/>
    <m/>
    <m/>
    <m/>
    <x v="0"/>
    <m/>
    <m/>
    <m/>
    <m/>
    <m/>
    <m/>
    <m/>
    <m/>
    <m/>
    <m/>
    <m/>
    <m/>
    <m/>
  </r>
  <r>
    <x v="217"/>
    <d v="2024-09-05T00:00:00"/>
    <x v="0"/>
    <s v="Week32"/>
    <x v="7"/>
    <s v="DRY2400445"/>
    <s v="Japan"/>
    <s v="CPFNW"/>
    <s v="CPF JAPAN"/>
    <s v="Wonton+TY"/>
    <s v="Cooked Wonton"/>
    <s v="Wonton Soup 5pcs"/>
    <s v="082S85736005P01001"/>
    <s v="147g*6c*6in"/>
    <n v="36"/>
    <n v="5"/>
    <n v="7.4999999999999997E-3"/>
    <x v="1"/>
    <s v="Salt"/>
    <s v="TYEX+CO"/>
    <n v="1288"/>
    <n v="1277"/>
    <n v="81.333333333333329"/>
    <n v="70.333333333333258"/>
    <n v="0"/>
    <m/>
    <m/>
    <m/>
    <m/>
    <m/>
    <m/>
  </r>
  <r>
    <x v="217"/>
    <d v="2024-08-13T00:00:00"/>
    <x v="0"/>
    <s v="Week32"/>
    <x v="7"/>
    <s v="DRY2400647"/>
    <s v="Korea"/>
    <s v="CPFNW"/>
    <s v="Consumer Package Commerce"/>
    <s v="Wonton+TY"/>
    <s v="Cooked Wonton"/>
    <s v="Wonton Soup  (Enriched wonton sheet) tom yum"/>
    <s v="082S83U36005P01001"/>
    <s v="147g*6c*6in"/>
    <n v="36"/>
    <n v="5"/>
    <n v="7.4999999999999997E-3"/>
    <x v="1"/>
    <s v="Salt"/>
    <s v="TYEX+CO"/>
    <n v="644"/>
    <n v="639"/>
    <n v="5"/>
    <n v="0"/>
    <n v="0"/>
    <m/>
    <m/>
    <m/>
    <m/>
    <m/>
    <m/>
  </r>
  <r>
    <x v="217"/>
    <d v="2024-08-22T00:00:00"/>
    <x v="0"/>
    <s v="Week32"/>
    <x v="7"/>
    <s v="DRY2400493"/>
    <s v="CAN "/>
    <s v="CPFNW "/>
    <s v="CP Foods Canada,Inc (CPFC)"/>
    <s v="Wonton+TY"/>
    <s v="Cooked Wonton"/>
    <s v="Wonton Soup  (Enriched wonton sheet)"/>
    <s v="082S85336005P02001"/>
    <s v="147g*6c*6in"/>
    <n v="36"/>
    <n v="5"/>
    <n v="7.4999999999999997E-3"/>
    <x v="1"/>
    <s v="Salt"/>
    <s v="TYEX+CO"/>
    <n v="1219"/>
    <n v="1219"/>
    <m/>
    <n v="0"/>
    <n v="0"/>
    <m/>
    <m/>
    <m/>
    <m/>
    <m/>
    <m/>
  </r>
  <r>
    <x v="217"/>
    <d v="2024-09-12T00:00:00"/>
    <x v="0"/>
    <s v="Week32"/>
    <x v="7"/>
    <s v="DRY2400494"/>
    <s v="CAN "/>
    <s v="CPFNW "/>
    <s v="CP Foods Canada,Inc (CPFC)"/>
    <s v="Wonton+TY"/>
    <s v="Cooked Wonton"/>
    <s v="Wonton Soup  (Enriched wonton sheet)"/>
    <s v="082S85336005P02001"/>
    <s v="147g*6c*6in"/>
    <n v="36"/>
    <n v="5"/>
    <n v="7.4999999999999997E-3"/>
    <x v="1"/>
    <s v="Salt"/>
    <s v="TYEX+CO"/>
    <n v="690"/>
    <n v="651"/>
    <n v="39"/>
    <n v="0"/>
    <n v="0"/>
    <m/>
    <m/>
    <m/>
    <m/>
    <m/>
    <m/>
  </r>
  <r>
    <x v="218"/>
    <d v="2024-08-21T00:00:00"/>
    <x v="0"/>
    <s v="Week32"/>
    <x v="7"/>
    <s v="DRY2400592"/>
    <s v="New Zealand"/>
    <s v="CPFNW"/>
    <s v="Lim Brothers"/>
    <s v="C-Minced WT in tray no egg"/>
    <s v="Cooked Wonton"/>
    <s v="Cooked Minced Wonton in Tray 6 pcs + Sesame Sauce"/>
    <s v="082SKN716006P00001"/>
    <s v="117*2tray*8in"/>
    <n v="16"/>
    <n v="6"/>
    <n v="6.0000000000000001E-3"/>
    <x v="4"/>
    <s v="Salt"/>
    <s v=" Sesame 15g"/>
    <n v="432"/>
    <n v="432"/>
    <m/>
    <n v="0"/>
    <n v="0"/>
    <m/>
    <n v="1"/>
    <n v="6912"/>
    <s v="cap 3000 tray/hr. อื่น 8,300 ถ้วย"/>
    <m/>
    <m/>
  </r>
  <r>
    <x v="218"/>
    <d v="2024-08-22T00:00:00"/>
    <x v="0"/>
    <s v="Week32"/>
    <x v="7"/>
    <s v="DRY2400331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526"/>
    <n v="526"/>
    <m/>
    <n v="0"/>
    <n v="0"/>
    <m/>
    <m/>
    <m/>
    <m/>
    <m/>
    <m/>
  </r>
  <r>
    <x v="218"/>
    <s v="09-2024"/>
    <x v="0"/>
    <s v="Week32"/>
    <x v="7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4852"/>
    <n v="4852"/>
    <m/>
    <n v="0"/>
    <n v="0"/>
    <m/>
    <m/>
    <m/>
    <m/>
    <m/>
    <m/>
  </r>
  <r>
    <x v="219"/>
    <d v="2024-08-29T00:00:00"/>
    <x v="0"/>
    <s v="Week32"/>
    <x v="7"/>
    <s v="DRY2400593"/>
    <s v="New Zealand"/>
    <s v="CPFNW"/>
    <s v="Lim Brothers"/>
    <s v="C-Minced WT in tray no egg"/>
    <s v="Cooked Wonton"/>
    <s v="Cooked Minced Wonton in Tray 6 pcs + Sesame Sauce"/>
    <s v="082SKN716006P00001"/>
    <s v="117*2tray*8in"/>
    <n v="16"/>
    <n v="6"/>
    <n v="6.0000000000000001E-3"/>
    <x v="4"/>
    <s v="Salt"/>
    <s v=" Sesame 15g"/>
    <n v="288"/>
    <n v="288"/>
    <m/>
    <n v="0"/>
    <n v="0"/>
    <m/>
    <n v="1"/>
    <n v="4608"/>
    <s v="cap 3000 tray/hr. อื่น 8,300 ถ้วย"/>
    <m/>
    <m/>
  </r>
  <r>
    <x v="219"/>
    <d v="2024-08-27T00:00:00"/>
    <x v="0"/>
    <s v="Week32"/>
    <x v="7"/>
    <s v="DRY2400632"/>
    <s v="Malay"/>
    <s v="CPFNW"/>
    <s v="CPM Malaysia"/>
    <s v="Wonton+TY"/>
    <s v="Cooked Wonton"/>
    <s v="Cooked Wonton No Egg  TY"/>
    <s v="082S85I24005P02001"/>
    <s v="115g*24"/>
    <n v="24"/>
    <n v="5"/>
    <n v="8.0000000000000002E-3"/>
    <x v="1"/>
    <s v="STPP"/>
    <s v="TYTB3C 30G"/>
    <n v="850"/>
    <n v="327"/>
    <n v="523.125"/>
    <n v="0.125"/>
    <n v="0"/>
    <m/>
    <n v="1"/>
    <n v="0"/>
    <m/>
    <m/>
    <m/>
  </r>
  <r>
    <x v="219"/>
    <d v="2024-08-27T00:00:00"/>
    <x v="0"/>
    <s v="Week32"/>
    <x v="7"/>
    <s v="DRY2400632"/>
    <s v="Malay"/>
    <s v="CPFNW"/>
    <s v="CPM Malaysia"/>
    <s v="Wonton"/>
    <s v="Cooked Wonton"/>
    <s v="Cooked Wonton No Egg  "/>
    <s v="082S85I24005P01001"/>
    <s v="145g*24"/>
    <n v="24"/>
    <n v="5"/>
    <n v="8.0000000000000002E-3"/>
    <x v="1"/>
    <s v="STPP"/>
    <s v="Regular"/>
    <n v="900"/>
    <m/>
    <n v="900.125"/>
    <n v="0.125"/>
    <n v="0"/>
    <m/>
    <m/>
    <m/>
    <m/>
    <m/>
    <m/>
  </r>
  <r>
    <x v="219"/>
    <s v="08-2024"/>
    <x v="0"/>
    <s v="Week32"/>
    <x v="7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3685"/>
    <n v="3685"/>
    <m/>
    <n v="0"/>
    <n v="0"/>
    <m/>
    <m/>
    <m/>
    <m/>
    <m/>
    <m/>
  </r>
  <r>
    <x v="219"/>
    <s v="08.2024"/>
    <x v="0"/>
    <s v="Week32"/>
    <x v="7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356"/>
    <n v="356"/>
    <m/>
    <n v="0"/>
    <n v="0"/>
    <m/>
    <m/>
    <m/>
    <m/>
    <m/>
    <m/>
  </r>
  <r>
    <x v="220"/>
    <d v="2024-09-06T00:00:00"/>
    <x v="0"/>
    <s v="Week32"/>
    <x v="7"/>
    <s v="DRY2300369"/>
    <s v="UK"/>
    <s v="CPFNW"/>
    <s v="Food Fellas"/>
    <s v="C-WT in tray no egg"/>
    <s v="Cooked Wonton"/>
    <s v="Cooked Wonton in Tray 20 pcs with soup powder"/>
    <s v="082S8T216020P00001"/>
    <s v="360g.*16Pack"/>
    <n v="16"/>
    <n v="20"/>
    <n v="8.1300000000000001E-3"/>
    <x v="1"/>
    <m/>
    <s v="ซุปซอง 5g."/>
    <n v="350"/>
    <n v="350"/>
    <n v="2.875"/>
    <n v="2.875"/>
    <n v="0"/>
    <m/>
    <n v="4"/>
    <n v="22400"/>
    <s v="cap 3000 tray/hr."/>
    <m/>
    <m/>
  </r>
  <r>
    <x v="220"/>
    <d v="2024-11-29T00:00:00"/>
    <x v="0"/>
    <s v="Week32"/>
    <x v="7"/>
    <s v="DRY2400422"/>
    <s v="USA"/>
    <s v="CPFNW"/>
    <s v="Bellisio Foods, Inc."/>
    <s v="C-WT in tray no egg"/>
    <s v="Cooked Wonton"/>
    <s v="COOKED WONTON 6 pcs."/>
    <s v="082S8BW08012P00001"/>
    <s v="117*2tray*8in"/>
    <n v="16"/>
    <n v="6"/>
    <n v="8.1300000000000001E-3"/>
    <x v="1"/>
    <s v="Salt"/>
    <s v=" Sesame 15g"/>
    <n v="4"/>
    <n v="4"/>
    <m/>
    <n v="0"/>
    <n v="0"/>
    <m/>
    <n v="1"/>
    <n v="64"/>
    <s v="pk เข้า 22/05/24"/>
    <m/>
    <m/>
  </r>
  <r>
    <x v="220"/>
    <d v="2024-08-22T00:00:00"/>
    <x v="0"/>
    <s v="Week32"/>
    <x v="7"/>
    <s v="DRY2400331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7"/>
    <n v="7"/>
    <m/>
    <n v="0"/>
    <n v="0"/>
    <m/>
    <m/>
    <m/>
    <m/>
    <m/>
    <m/>
  </r>
  <r>
    <x v="220"/>
    <d v="2024-08-29T00:00:00"/>
    <x v="0"/>
    <s v="Week32"/>
    <x v="7"/>
    <s v="DRY2400612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m/>
    <m/>
    <m/>
  </r>
  <r>
    <x v="220"/>
    <d v="2024-09-05T00:00:00"/>
    <x v="0"/>
    <s v="Week32"/>
    <x v="7"/>
    <s v="DRY2400613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m/>
    <m/>
    <m/>
  </r>
  <r>
    <x v="220"/>
    <d v="2024-09-19T00:00:00"/>
    <x v="0"/>
    <s v="Week32"/>
    <x v="7"/>
    <s v="DRY2400614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064"/>
    <n v="605"/>
    <n v="465.19444444444446"/>
    <n v="6.1944444444443434"/>
    <n v="0"/>
    <m/>
    <m/>
    <m/>
    <m/>
    <m/>
    <m/>
  </r>
  <r>
    <x v="221"/>
    <d v="2024-08-13T00:00:00"/>
    <x v="0"/>
    <s v="Week32"/>
    <x v="7"/>
    <s v="DRY240045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19"/>
    <n v="419"/>
    <m/>
    <n v="0"/>
    <n v="0"/>
    <m/>
    <m/>
    <m/>
    <m/>
    <m/>
    <m/>
  </r>
  <r>
    <x v="221"/>
    <d v="2024-08-15T00:00:00"/>
    <x v="0"/>
    <s v="Week32"/>
    <x v="7"/>
    <s v="DRY240045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21"/>
    <d v="2024-08-16T00:00:00"/>
    <x v="0"/>
    <s v="Week32"/>
    <x v="7"/>
    <s v="DRY240045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94"/>
    <n v="494"/>
    <m/>
    <n v="0"/>
    <n v="0"/>
    <m/>
    <m/>
    <m/>
    <m/>
    <m/>
    <m/>
  </r>
  <r>
    <x v="222"/>
    <d v="2024-09-18T00:00:00"/>
    <x v="0"/>
    <s v="Week32"/>
    <x v="7"/>
    <s v="DRY2400666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762"/>
    <m/>
    <n v="762.44444444444446"/>
    <n v="0.44444444444445708"/>
    <n v="0"/>
    <m/>
    <m/>
    <m/>
    <m/>
    <m/>
    <m/>
  </r>
  <r>
    <x v="222"/>
    <d v="2024-08-20T00:00:00"/>
    <x v="0"/>
    <s v="Week32"/>
    <x v="7"/>
    <s v="KL2400017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m/>
    <m/>
  </r>
  <r>
    <x v="223"/>
    <m/>
    <x v="0"/>
    <s v="Week32"/>
    <x v="7"/>
    <m/>
    <m/>
    <m/>
    <m/>
    <m/>
    <m/>
    <m/>
    <m/>
    <m/>
    <m/>
    <m/>
    <m/>
    <x v="0"/>
    <m/>
    <m/>
    <m/>
    <m/>
    <m/>
    <m/>
    <m/>
    <m/>
    <m/>
    <m/>
    <m/>
    <m/>
    <m/>
  </r>
  <r>
    <x v="224"/>
    <m/>
    <x v="0"/>
    <s v="Week33"/>
    <x v="7"/>
    <m/>
    <m/>
    <m/>
    <m/>
    <m/>
    <m/>
    <m/>
    <m/>
    <m/>
    <m/>
    <m/>
    <m/>
    <x v="0"/>
    <m/>
    <m/>
    <m/>
    <m/>
    <m/>
    <m/>
    <m/>
    <m/>
    <m/>
    <m/>
    <m/>
    <m/>
    <m/>
  </r>
  <r>
    <x v="225"/>
    <d v="2024-08-16T00:00:00"/>
    <x v="0"/>
    <s v="Week33"/>
    <x v="7"/>
    <s v="DRY240045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98"/>
    <n v="298"/>
    <m/>
    <n v="0"/>
    <n v="0"/>
    <m/>
    <m/>
    <m/>
    <m/>
    <m/>
    <m/>
  </r>
  <r>
    <x v="225"/>
    <d v="2024-08-16T00:00:00"/>
    <x v="0"/>
    <s v="Week33"/>
    <x v="7"/>
    <s v="DRY240045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25"/>
    <d v="2024-08-16T00:00:00"/>
    <x v="0"/>
    <s v="Week33"/>
    <x v="7"/>
    <s v="DRY240045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25"/>
    <d v="2024-08-16T00:00:00"/>
    <x v="0"/>
    <s v="Week33"/>
    <x v="7"/>
    <s v="DRY240045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25"/>
    <d v="2024-08-17T00:00:00"/>
    <x v="0"/>
    <s v="Week33"/>
    <x v="7"/>
    <s v="DRY240045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25"/>
    <d v="2024-08-17T00:00:00"/>
    <x v="0"/>
    <s v="Week33"/>
    <x v="7"/>
    <s v="DRY240046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95"/>
    <n v="395"/>
    <m/>
    <n v="0"/>
    <n v="0"/>
    <m/>
    <m/>
    <m/>
    <m/>
    <m/>
    <m/>
  </r>
  <r>
    <x v="226"/>
    <d v="2024-08-17T00:00:00"/>
    <x v="0"/>
    <s v="Week33"/>
    <x v="7"/>
    <s v="DRY240046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97"/>
    <n v="397"/>
    <m/>
    <n v="0"/>
    <n v="0"/>
    <m/>
    <m/>
    <m/>
    <m/>
    <m/>
    <m/>
  </r>
  <r>
    <x v="226"/>
    <d v="2024-08-17T00:00:00"/>
    <x v="0"/>
    <s v="Week33"/>
    <x v="7"/>
    <s v="DRY240046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26"/>
    <d v="2024-08-17T00:00:00"/>
    <x v="0"/>
    <s v="Week33"/>
    <x v="7"/>
    <s v="DRY240046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26"/>
    <d v="2024-08-24T00:00:00"/>
    <x v="0"/>
    <s v="Week33"/>
    <x v="7"/>
    <s v="DRY240046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26"/>
    <d v="2024-08-24T00:00:00"/>
    <x v="0"/>
    <s v="Week33"/>
    <x v="7"/>
    <s v="DRY240046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26"/>
    <d v="2024-08-24T00:00:00"/>
    <x v="0"/>
    <s v="Week33"/>
    <x v="7"/>
    <s v="DRY240046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14"/>
    <n v="314"/>
    <m/>
    <n v="0"/>
    <n v="0"/>
    <m/>
    <m/>
    <m/>
    <m/>
    <m/>
    <m/>
  </r>
  <r>
    <x v="227"/>
    <d v="2024-08-24T00:00:00"/>
    <x v="0"/>
    <s v="Week33"/>
    <x v="7"/>
    <s v="DRY240046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78"/>
    <n v="478"/>
    <m/>
    <n v="0"/>
    <n v="0"/>
    <m/>
    <m/>
    <m/>
    <m/>
    <m/>
    <m/>
  </r>
  <r>
    <x v="227"/>
    <d v="2024-08-24T00:00:00"/>
    <x v="0"/>
    <s v="Week33"/>
    <x v="7"/>
    <s v="DRY240046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27"/>
    <d v="2024-08-24T00:00:00"/>
    <x v="0"/>
    <s v="Week33"/>
    <x v="7"/>
    <s v="DRY240046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27"/>
    <d v="2024-08-24T00:00:00"/>
    <x v="0"/>
    <s v="Week33"/>
    <x v="7"/>
    <s v="DRY240046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27"/>
    <d v="2024-08-24T00:00:00"/>
    <x v="0"/>
    <s v="Week33"/>
    <x v="7"/>
    <s v="DRY240046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41"/>
    <n v="381"/>
    <n v="160"/>
    <n v="0"/>
    <n v="0"/>
    <m/>
    <m/>
    <m/>
    <m/>
    <m/>
    <m/>
  </r>
  <r>
    <x v="227"/>
    <d v="2024-09-03T00:00:00"/>
    <x v="0"/>
    <s v="Week33"/>
    <x v="7"/>
    <s v="DRY2400499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456"/>
    <n v="456"/>
    <m/>
    <n v="0"/>
    <n v="0"/>
    <n v="0"/>
    <n v="6"/>
    <n v="0"/>
    <m/>
    <m/>
    <m/>
  </r>
  <r>
    <x v="228"/>
    <d v="2024-08-24T00:00:00"/>
    <x v="0"/>
    <s v="Week33"/>
    <x v="7"/>
    <s v="DRY240046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51"/>
    <n v="251"/>
    <m/>
    <n v="0"/>
    <n v="0"/>
    <m/>
    <m/>
    <m/>
    <m/>
    <m/>
    <m/>
  </r>
  <r>
    <x v="228"/>
    <d v="2024-08-26T00:00:00"/>
    <x v="0"/>
    <s v="Week33"/>
    <x v="7"/>
    <s v="DRY240051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28"/>
    <d v="2024-08-26T00:00:00"/>
    <x v="0"/>
    <s v="Week33"/>
    <x v="7"/>
    <s v="DRY240052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28"/>
    <d v="2024-08-31T00:00:00"/>
    <x v="0"/>
    <s v="Week33"/>
    <x v="7"/>
    <s v="DRY240052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09"/>
    <n v="149"/>
    <n v="160"/>
    <n v="0"/>
    <n v="0"/>
    <m/>
    <m/>
    <m/>
    <m/>
    <m/>
    <m/>
  </r>
  <r>
    <x v="228"/>
    <d v="2024-08-29T00:00:00"/>
    <x v="0"/>
    <s v="Week33"/>
    <x v="7"/>
    <s v="DRY2400550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407"/>
    <n v="407"/>
    <m/>
    <n v="0"/>
    <n v="0"/>
    <m/>
    <m/>
    <m/>
    <m/>
    <m/>
    <m/>
  </r>
  <r>
    <x v="228"/>
    <d v="2024-09-03T00:00:00"/>
    <x v="0"/>
    <s v="Week33"/>
    <x v="7"/>
    <s v="DRY2400481"/>
    <s v="Germany"/>
    <s v="CPFNW"/>
    <s v=" CPF Distribution (under Paulsen Food)"/>
    <s v="Wonton ND+V"/>
    <s v="Cooked Wonton"/>
    <s v="Cooked Wonton ND No Egg with Pumpkin _x000a_+ Vegetable  HC  3 pcs"/>
    <s v="082SJ3N12003P01001"/>
    <s v="309g*12"/>
    <n v="12"/>
    <n v="3"/>
    <n v="7.4999999999999997E-3"/>
    <x v="5"/>
    <s v="Salt"/>
    <s v="Regular"/>
    <n v="2040"/>
    <m/>
    <n v="2204.9166666666665"/>
    <n v="164.91666666666652"/>
    <n v="0"/>
    <m/>
    <m/>
    <m/>
    <s v="Newpackage  เปลี่ยน AW   330x330x234 mm.=2040+238"/>
    <m/>
    <m/>
  </r>
  <r>
    <x v="228"/>
    <d v="2024-09-03T00:00:00"/>
    <x v="0"/>
    <s v="Week33"/>
    <x v="7"/>
    <s v="DRY2400499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430"/>
    <n v="430"/>
    <m/>
    <n v="0"/>
    <n v="0"/>
    <n v="0"/>
    <n v="6"/>
    <n v="0"/>
    <m/>
    <m/>
    <m/>
  </r>
  <r>
    <x v="229"/>
    <d v="2024-08-21T00:00:00"/>
    <x v="0"/>
    <s v="Week33"/>
    <x v="7"/>
    <s v="DRY2400592"/>
    <s v="New Zealand"/>
    <s v="CPFNW"/>
    <s v="Lim Brothers"/>
    <s v="Wonton ND+V"/>
    <s v="Cooked Wonton"/>
    <s v="Cooked Wonton ND No Egg with Pumpkin_x000a_+ Yu Choy "/>
    <s v="082SJN708004P00001"/>
    <s v="305g*8"/>
    <n v="8"/>
    <n v="4"/>
    <n v="7.4999999999999997E-3"/>
    <x v="5"/>
    <s v="Salt"/>
    <s v="Regular"/>
    <n v="610"/>
    <m/>
    <n v="610"/>
    <n v="0"/>
    <n v="0"/>
    <m/>
    <m/>
    <m/>
    <s v="NEWPACKAGE"/>
    <m/>
    <m/>
  </r>
  <r>
    <x v="229"/>
    <d v="2024-08-29T00:00:00"/>
    <x v="0"/>
    <s v="Week33"/>
    <x v="7"/>
    <s v="DRY2400593"/>
    <s v="New Zealand"/>
    <s v="CPFNW"/>
    <s v="Lim Brothers"/>
    <s v="Wonton ND+V"/>
    <s v="Cooked Wonton"/>
    <s v="Cooked Wonton ND No Egg with Pumpkin_x000a_+ Yu Choy "/>
    <s v="082SJN708004P00001"/>
    <s v="305g*8"/>
    <n v="8"/>
    <n v="4"/>
    <n v="7.4999999999999997E-3"/>
    <x v="5"/>
    <s v="Salt"/>
    <s v="Regular"/>
    <n v="510"/>
    <m/>
    <n v="510"/>
    <n v="0"/>
    <n v="0"/>
    <m/>
    <m/>
    <m/>
    <s v="NEWPACKAGE"/>
    <m/>
    <m/>
  </r>
  <r>
    <x v="229"/>
    <d v="2024-09-02T00:00:00"/>
    <x v="0"/>
    <s v="Week33"/>
    <x v="7"/>
    <s v="DRY2400577"/>
    <s v="Denmark"/>
    <s v="CPFNW"/>
    <s v="CPF DENMARK"/>
    <s v="Minced ND+V+TK"/>
    <s v="Cooked Wonton"/>
    <s v="Cooked Minced  ND No Egg with Pumpkin_x000a_+ Yu Choy Tomyum"/>
    <s v="082SJKW08003P01001"/>
    <s v="302g*8"/>
    <n v="8"/>
    <n v="3"/>
    <n v="6.0000000000000001E-3"/>
    <x v="4"/>
    <s v="Salt"/>
    <s v="Tomkha+CM"/>
    <n v="3500"/>
    <m/>
    <n v="3500"/>
    <n v="0"/>
    <n v="0"/>
    <m/>
    <m/>
    <m/>
    <s v="Newpackage330x330x234 mm.=2040+238"/>
    <m/>
    <m/>
  </r>
  <r>
    <x v="229"/>
    <d v="2024-09-10T00:00:00"/>
    <x v="0"/>
    <s v="Week33"/>
    <x v="7"/>
    <s v="DRY2400554"/>
    <s v="Germany"/>
    <s v="CPFNW"/>
    <s v=" CPF Distribution (under Paulsen Food)"/>
    <s v="Minced ND+V+TK"/>
    <s v="Cooked Wonton"/>
    <s v="Cooked Minced  ND No Egg with Pumpkin_x000a_+ Yu Choy Tomkha"/>
    <s v="082SR3N12003P01001"/>
    <s v="302g*12"/>
    <n v="12"/>
    <n v="3"/>
    <n v="6.0000000000000001E-3"/>
    <x v="4"/>
    <s v="Salt"/>
    <s v="Tomkha+CM"/>
    <n v="2040"/>
    <m/>
    <n v="2040"/>
    <n v="0"/>
    <n v="0"/>
    <m/>
    <m/>
    <m/>
    <s v="Newpackage330x330x234 mm.=2040+238"/>
    <m/>
    <m/>
  </r>
  <r>
    <x v="229"/>
    <d v="2024-08-21T00:00:00"/>
    <x v="0"/>
    <s v="Week33"/>
    <x v="7"/>
    <s v="DRY2400592"/>
    <s v="New Zealand"/>
    <s v="CPFNW"/>
    <s v="Lim Brothers"/>
    <s v="Minced ND+V+TK"/>
    <s v="Cooked Wonton"/>
    <s v="Cooked Minced  ND No Egg with Pumpkin_x000a_+ Yu Choy Tomkha"/>
    <s v="082SRN708003P01001"/>
    <s v="302g*8"/>
    <n v="8"/>
    <n v="3"/>
    <n v="6.0000000000000001E-3"/>
    <x v="4"/>
    <s v="Salt"/>
    <s v="Tomkha+CM"/>
    <n v="216"/>
    <m/>
    <n v="216"/>
    <n v="0"/>
    <n v="0"/>
    <m/>
    <m/>
    <m/>
    <s v="สำรอง บรูไน"/>
    <m/>
    <m/>
  </r>
  <r>
    <x v="229"/>
    <d v="2024-08-29T00:00:00"/>
    <x v="0"/>
    <s v="Week33"/>
    <x v="7"/>
    <s v="DRY2400593"/>
    <s v="New Zealand"/>
    <s v="CPFNW"/>
    <s v="Lim Brothers"/>
    <s v="Minced ND+V+TK"/>
    <s v="Cooked Wonton"/>
    <s v="Cooked Minced  ND No Egg with Pumpkin_x000a_+ Yu Choy Tomkha"/>
    <s v="082SRN708003P01001"/>
    <s v="302g*8"/>
    <n v="8"/>
    <n v="3"/>
    <n v="6.0000000000000001E-3"/>
    <x v="4"/>
    <s v="Salt"/>
    <s v="Tomkha+CM"/>
    <n v="270"/>
    <m/>
    <n v="270"/>
    <n v="0"/>
    <n v="0"/>
    <m/>
    <m/>
    <m/>
    <s v="สำรอง บรูไน"/>
    <m/>
    <m/>
  </r>
  <r>
    <x v="229"/>
    <d v="2024-09-03T00:00:00"/>
    <x v="0"/>
    <s v="Week33"/>
    <x v="7"/>
    <s v="DRY2400499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865"/>
    <n v="865"/>
    <m/>
    <n v="0"/>
    <n v="0"/>
    <n v="0"/>
    <n v="6"/>
    <n v="0"/>
    <m/>
    <m/>
    <m/>
  </r>
  <r>
    <x v="230"/>
    <m/>
    <x v="0"/>
    <s v="Week33"/>
    <x v="7"/>
    <m/>
    <m/>
    <m/>
    <m/>
    <m/>
    <m/>
    <m/>
    <m/>
    <m/>
    <m/>
    <m/>
    <m/>
    <x v="0"/>
    <m/>
    <m/>
    <m/>
    <m/>
    <m/>
    <m/>
    <m/>
    <m/>
    <m/>
    <m/>
    <m/>
    <m/>
    <m/>
  </r>
  <r>
    <x v="231"/>
    <d v="2024-09-18T00:00:00"/>
    <x v="0"/>
    <s v="Week34"/>
    <x v="7"/>
    <s v="DRY2400666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526"/>
    <n v="526"/>
    <m/>
    <n v="0"/>
    <n v="0"/>
    <m/>
    <m/>
    <m/>
    <m/>
    <m/>
    <m/>
  </r>
  <r>
    <x v="231"/>
    <d v="2024-09-04T00:00:00"/>
    <x v="0"/>
    <s v="Week34"/>
    <x v="7"/>
    <s v="DRY2400515"/>
    <s v="SG"/>
    <s v="CPFNW"/>
    <s v="CPI SINGAPORE"/>
    <s v="Wonton"/>
    <s v="Cooked Wonton"/>
    <s v="Cooked Wonton No Egg"/>
    <s v="082S83B24005P07001"/>
    <s v="145g*24"/>
    <n v="24"/>
    <n v="5"/>
    <n v="8.0000000000000002E-3"/>
    <x v="1"/>
    <s v="STPP"/>
    <s v="Regular"/>
    <n v="500"/>
    <n v="500"/>
    <m/>
    <n v="0"/>
    <n v="0"/>
    <m/>
    <m/>
    <m/>
    <m/>
    <m/>
    <m/>
  </r>
  <r>
    <x v="231"/>
    <s v="09-2024"/>
    <x v="0"/>
    <s v="Week34"/>
    <x v="7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4463"/>
    <n v="4463"/>
    <m/>
    <n v="0"/>
    <n v="0"/>
    <m/>
    <m/>
    <m/>
    <s v="NEWPACKAGE"/>
    <m/>
    <m/>
  </r>
  <r>
    <x v="231"/>
    <d v="2024-09-03T00:00:00"/>
    <x v="0"/>
    <s v="Week34"/>
    <x v="7"/>
    <s v="DRY2400499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305"/>
    <n v="305"/>
    <m/>
    <n v="0"/>
    <n v="0"/>
    <n v="0"/>
    <n v="6"/>
    <n v="0"/>
    <m/>
    <m/>
    <m/>
  </r>
  <r>
    <x v="231"/>
    <m/>
    <x v="0"/>
    <s v="Week34"/>
    <x v="7"/>
    <s v="RD"/>
    <s v="ขายภายใน"/>
    <s v="CPFGS"/>
    <s v="ซีพีเอฟ เทรดดิ้ง"/>
    <s v="R-Wonton egg past"/>
    <s v="Raw Wonton"/>
    <s v="Raw Wonton 50 pcs OISHI"/>
    <s v="082S01508600G01000"/>
    <s v="600g.*8 packs"/>
    <n v="8"/>
    <n v="50"/>
    <n v="8.1300000000000001E-3"/>
    <x v="1"/>
    <s v="STPP"/>
    <m/>
    <n v="67.5"/>
    <n v="67.5"/>
    <m/>
    <n v="0"/>
    <n v="0"/>
    <n v="0"/>
    <m/>
    <n v="0"/>
    <m/>
    <m/>
    <m/>
  </r>
  <r>
    <x v="232"/>
    <d v="2024-08-26T00:00:00"/>
    <x v="0"/>
    <s v="Week34"/>
    <x v="7"/>
    <s v="DRY2400555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1288"/>
    <n v="1288"/>
    <m/>
    <n v="0"/>
    <n v="0"/>
    <m/>
    <m/>
    <m/>
    <s v="OLD Package"/>
    <m/>
    <m/>
  </r>
  <r>
    <x v="232"/>
    <d v="2024-08-27T00:00:00"/>
    <x v="0"/>
    <s v="Week34"/>
    <x v="7"/>
    <s v="DRY2400559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1288"/>
    <n v="1288"/>
    <m/>
    <n v="0"/>
    <n v="0"/>
    <m/>
    <m/>
    <m/>
    <m/>
    <m/>
    <m/>
  </r>
  <r>
    <x v="232"/>
    <d v="2024-09-02T00:00:00"/>
    <x v="0"/>
    <s v="Week34"/>
    <x v="7"/>
    <s v="DRY2400556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95"/>
    <n v="77"/>
    <n v="18"/>
    <n v="0"/>
    <n v="0"/>
    <m/>
    <m/>
    <m/>
    <m/>
    <m/>
    <m/>
  </r>
  <r>
    <x v="232"/>
    <d v="2024-09-05T00:00:00"/>
    <x v="0"/>
    <s v="Week34"/>
    <x v="7"/>
    <s v="DRY2400588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+CO"/>
    <n v="924"/>
    <n v="896"/>
    <n v="28"/>
    <n v="0"/>
    <n v="0"/>
    <m/>
    <m/>
    <m/>
    <m/>
    <m/>
    <m/>
  </r>
  <r>
    <x v="232"/>
    <d v="2024-09-19T00:00:00"/>
    <x v="0"/>
    <s v="Week34"/>
    <x v="7"/>
    <s v="DRY2400652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+CO"/>
    <n v="924"/>
    <n v="743"/>
    <n v="181"/>
    <n v="0"/>
    <n v="0"/>
    <m/>
    <m/>
    <m/>
    <m/>
    <m/>
    <m/>
  </r>
  <r>
    <x v="232"/>
    <d v="2024-09-04T00:00:00"/>
    <x v="0"/>
    <s v="Week34"/>
    <x v="7"/>
    <s v="DRY2400436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1000"/>
    <n v="628"/>
    <n v="372"/>
    <n v="0"/>
    <n v="0"/>
    <n v="0"/>
    <n v="2"/>
    <n v="0"/>
    <s v="ห่อแบบสุก"/>
    <m/>
    <m/>
  </r>
  <r>
    <x v="233"/>
    <s v="10-2024"/>
    <x v="0"/>
    <s v="Week34"/>
    <x v="7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1817"/>
    <n v="1817"/>
    <m/>
    <n v="0"/>
    <n v="0"/>
    <m/>
    <m/>
    <m/>
    <s v="NEWPACKAGE"/>
    <m/>
    <m/>
  </r>
  <r>
    <x v="233"/>
    <s v="09.2024"/>
    <x v="0"/>
    <s v="Week34"/>
    <x v="7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3368"/>
    <n v="3368"/>
    <m/>
    <n v="0"/>
    <n v="0"/>
    <m/>
    <m/>
    <m/>
    <m/>
    <m/>
    <m/>
  </r>
  <r>
    <x v="233"/>
    <d v="2024-08-23T00:00:00"/>
    <x v="0"/>
    <s v="Week34"/>
    <x v="7"/>
    <s v="ขายภายใน"/>
    <s v="ขายภายใน"/>
    <s v="CPFGS"/>
    <s v="ซีพีเอฟ เทรดดิ้ง"/>
    <s v="R-Wonton egg past"/>
    <s v="Raw Wonton"/>
    <s v="Raw Wonton 50 pcs OISHI"/>
    <s v="082S01508600G01001"/>
    <s v="600g.*8 packs"/>
    <n v="8"/>
    <n v="50"/>
    <n v="8.1300000000000001E-3"/>
    <x v="1"/>
    <s v="STPP"/>
    <m/>
    <n v="500"/>
    <n v="500"/>
    <m/>
    <n v="0"/>
    <n v="0"/>
    <n v="0"/>
    <m/>
    <n v="0"/>
    <s v="โหลดไม่รอผลเชื้อ  มีบันทึกจากฝ่ายขาย"/>
    <m/>
    <m/>
  </r>
  <r>
    <x v="233"/>
    <s v="09-2024"/>
    <x v="0"/>
    <s v="Week34"/>
    <x v="7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236"/>
    <n v="236"/>
    <m/>
    <n v="0"/>
    <n v="0"/>
    <n v="0"/>
    <m/>
    <n v="0"/>
    <m/>
    <m/>
    <m/>
  </r>
  <r>
    <x v="234"/>
    <s v="09.2024"/>
    <x v="0"/>
    <s v="Week34"/>
    <x v="7"/>
    <s v="ขายภายใน"/>
    <s v="MTFS"/>
    <s v="CPFGS"/>
    <s v="ซีพีเอฟ เทรดดิ้ง"/>
    <s v="E+Wonton NDE"/>
    <s v="Cooked Wonton"/>
    <s v="Cooked Wonton ND with egg V-Food"/>
    <s v="082SJ3Q12003P07001"/>
    <s v="226g*12"/>
    <n v="12"/>
    <n v="3"/>
    <n v="8.0000000000000002E-3"/>
    <x v="1"/>
    <s v="STPP"/>
    <s v="Regular"/>
    <n v="452"/>
    <n v="452"/>
    <m/>
    <n v="0"/>
    <n v="0"/>
    <m/>
    <m/>
    <m/>
    <m/>
    <m/>
    <m/>
  </r>
  <r>
    <x v="234"/>
    <s v="09.2024"/>
    <x v="0"/>
    <s v="Week34"/>
    <x v="7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207"/>
    <n v="207"/>
    <m/>
    <n v="0"/>
    <n v="0"/>
    <m/>
    <m/>
    <m/>
    <m/>
    <m/>
    <m/>
  </r>
  <r>
    <x v="234"/>
    <s v="10.2024"/>
    <x v="0"/>
    <s v="Week34"/>
    <x v="7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22"/>
    <n v="22"/>
    <m/>
    <n v="0"/>
    <n v="0"/>
    <m/>
    <m/>
    <m/>
    <m/>
    <m/>
    <m/>
  </r>
  <r>
    <x v="234"/>
    <s v="09.2024"/>
    <x v="0"/>
    <s v="Week34"/>
    <x v="7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311"/>
    <n v="311"/>
    <m/>
    <n v="0"/>
    <n v="0"/>
    <m/>
    <m/>
    <m/>
    <m/>
    <m/>
    <m/>
  </r>
  <r>
    <x v="234"/>
    <s v="10.2024"/>
    <x v="0"/>
    <s v="Week34"/>
    <x v="7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20"/>
    <n v="20"/>
    <m/>
    <n v="0"/>
    <n v="0"/>
    <m/>
    <m/>
    <m/>
    <m/>
    <m/>
    <m/>
  </r>
  <r>
    <x v="234"/>
    <s v="09.2024"/>
    <x v="0"/>
    <s v="Week34"/>
    <x v="7"/>
    <s v="ขายภายใน"/>
    <s v="MTFS"/>
    <s v="CPFGS"/>
    <s v="ซีพีเอฟ เทรดดิ้ง"/>
    <s v="E+Wonton"/>
    <s v="Cooked Wonton"/>
    <s v="Cooked Wonton  with egg V-Food"/>
    <s v="082S83Q12005P05000"/>
    <s v="145g*12"/>
    <n v="12"/>
    <n v="5"/>
    <n v="8.0000000000000002E-3"/>
    <x v="1"/>
    <s v="STPP"/>
    <s v="Regular"/>
    <n v="12"/>
    <n v="12"/>
    <m/>
    <n v="0"/>
    <n v="0"/>
    <m/>
    <m/>
    <m/>
    <m/>
    <m/>
    <m/>
  </r>
  <r>
    <x v="234"/>
    <s v="09.2024"/>
    <x v="0"/>
    <s v="Week34"/>
    <x v="7"/>
    <s v="ขายภายใน"/>
    <s v="MTFS"/>
    <s v="CPFGS"/>
    <s v="ซีพีเอฟ เทรดดิ้ง"/>
    <s v="E+Wonton"/>
    <s v="Cooked Wonton"/>
    <s v="Cooked Wonton  with egg V-Food"/>
    <s v="082S83Q12005P05001"/>
    <s v="145g*12"/>
    <n v="12"/>
    <n v="5"/>
    <n v="8.0000000000000002E-3"/>
    <x v="1"/>
    <s v="STPP"/>
    <s v="Regular"/>
    <n v="2872"/>
    <n v="2872"/>
    <m/>
    <n v="0"/>
    <n v="0"/>
    <m/>
    <m/>
    <m/>
    <m/>
    <m/>
    <m/>
  </r>
  <r>
    <x v="234"/>
    <s v="09.2024"/>
    <x v="0"/>
    <s v="Week34"/>
    <x v="7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4115"/>
    <n v="4115"/>
    <m/>
    <n v="0"/>
    <n v="0"/>
    <m/>
    <m/>
    <m/>
    <m/>
    <m/>
    <m/>
  </r>
  <r>
    <x v="234"/>
    <s v="10.2024"/>
    <x v="0"/>
    <s v="Week34"/>
    <x v="7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115"/>
    <n v="115"/>
    <m/>
    <n v="0"/>
    <n v="0"/>
    <m/>
    <m/>
    <m/>
    <m/>
    <m/>
    <m/>
  </r>
  <r>
    <x v="234"/>
    <d v="2024-09-04T00:00:00"/>
    <x v="0"/>
    <s v="Week34"/>
    <x v="7"/>
    <s v="DRY2400438"/>
    <s v="SG"/>
    <s v="CPFNW"/>
    <s v="CPI SINGAPORE"/>
    <s v="R-Minced egg past"/>
    <s v="Raw Wonton"/>
    <s v="Raw Minced Wonton 8 pcs"/>
    <s v="082ID3B18008P00001"/>
    <s v="90g*18in"/>
    <n v="18"/>
    <n v="8"/>
    <n v="6.0000000000000001E-3"/>
    <x v="4"/>
    <s v="STPP"/>
    <s v="ซุปซอง 5g."/>
    <n v="550"/>
    <n v="550"/>
    <m/>
    <n v="0"/>
    <n v="0"/>
    <n v="0"/>
    <n v="2"/>
    <n v="0"/>
    <m/>
    <m/>
    <m/>
  </r>
  <r>
    <x v="234"/>
    <d v="2024-09-24T00:00:00"/>
    <x v="0"/>
    <s v="Week34"/>
    <x v="7"/>
    <s v="DRY2400668"/>
    <s v="Malay"/>
    <s v="CPFNW"/>
    <s v="CPM Malaysia"/>
    <s v="R-Wonton egg past"/>
    <s v="Raw Wonton"/>
    <s v="Raw Wonton 12 pcs"/>
    <s v="082I95I20012P02001"/>
    <s v="154g*20inner"/>
    <n v="20"/>
    <n v="12"/>
    <n v="6.8100000000000001E-3"/>
    <x v="3"/>
    <s v="STPP"/>
    <s v="ซุปซอง 5g."/>
    <n v="400"/>
    <n v="400"/>
    <m/>
    <n v="0"/>
    <n v="0"/>
    <n v="0"/>
    <n v="2"/>
    <n v="0"/>
    <m/>
    <m/>
    <m/>
  </r>
  <r>
    <x v="234"/>
    <d v="2024-09-17T00:00:00"/>
    <x v="0"/>
    <s v="Week34"/>
    <x v="7"/>
    <s v="DRY2400191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130"/>
    <n v="130"/>
    <m/>
    <n v="0"/>
    <n v="0"/>
    <n v="0"/>
    <n v="2"/>
    <n v="0"/>
    <m/>
    <m/>
    <m/>
  </r>
  <r>
    <x v="235"/>
    <d v="2024-08-28T00:00:00"/>
    <x v="0"/>
    <s v="Week34"/>
    <x v="7"/>
    <s v="71-24"/>
    <s v="ขายภายใน"/>
    <s v="CPFGS"/>
    <s v="บริษัท อินสยาม ฟู้ด แอนด์ เบฟเวอเรจ จำกัด"/>
    <s v="E+Wonton"/>
    <s v="Cooked Wonton"/>
    <s v="Cooked Wonton Multipack  with Egg  270g"/>
    <s v="082S811AA005P00001"/>
    <s v="90g*100B"/>
    <n v="100"/>
    <n v="5"/>
    <n v="8.0000000000000002E-3"/>
    <x v="1"/>
    <s v="STPP"/>
    <s v="ซุปซอง 5g."/>
    <n v="10"/>
    <n v="10"/>
    <m/>
    <n v="0"/>
    <n v="0"/>
    <m/>
    <n v="1"/>
    <n v="0"/>
    <m/>
    <m/>
    <m/>
  </r>
  <r>
    <x v="235"/>
    <d v="2024-08-29T00:00:00"/>
    <x v="0"/>
    <s v="Week34"/>
    <x v="7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678"/>
    <n v="678"/>
    <m/>
    <n v="0"/>
    <n v="0"/>
    <m/>
    <n v="1"/>
    <n v="0"/>
    <m/>
    <m/>
    <m/>
  </r>
  <r>
    <x v="235"/>
    <s v="09.2024"/>
    <x v="0"/>
    <s v="Week34"/>
    <x v="7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365"/>
    <n v="365"/>
    <m/>
    <n v="0"/>
    <n v="0"/>
    <m/>
    <n v="1"/>
    <n v="0"/>
    <m/>
    <m/>
    <m/>
  </r>
  <r>
    <x v="235"/>
    <s v="09.2024"/>
    <x v="0"/>
    <s v="Week34"/>
    <x v="7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259"/>
    <n v="259"/>
    <m/>
    <n v="0"/>
    <n v="0"/>
    <m/>
    <n v="1"/>
    <n v="0"/>
    <m/>
    <m/>
    <m/>
  </r>
  <r>
    <x v="235"/>
    <s v="09.2024"/>
    <x v="0"/>
    <s v="Week34"/>
    <x v="7"/>
    <s v="ขายภายใน"/>
    <s v="MTFS"/>
    <s v="CPFGS"/>
    <s v="ซีพีเอฟ เทรดดิ้ง"/>
    <s v="E+Wonton TY"/>
    <s v="Cooked Wonton"/>
    <s v="Cooked Wonton Tomyum with egg.V-Food TY"/>
    <s v="082S83Q12005P04001"/>
    <s v="115g*12"/>
    <n v="12"/>
    <n v="5"/>
    <n v="8.0000000000000002E-3"/>
    <x v="1"/>
    <s v="STPP"/>
    <s v="TYTB3C 30G"/>
    <n v="569"/>
    <n v="569"/>
    <m/>
    <n v="0"/>
    <n v="0"/>
    <m/>
    <n v="1"/>
    <n v="0"/>
    <m/>
    <m/>
    <m/>
  </r>
  <r>
    <x v="235"/>
    <s v="09.2024"/>
    <x v="0"/>
    <s v="Week34"/>
    <x v="7"/>
    <s v="ขายภายใน"/>
    <s v="MTFS"/>
    <s v="CPFGS"/>
    <s v="ซีพีเอฟ เทรดดิ้ง"/>
    <s v="E+Wonton TY"/>
    <s v="Cooked Wonton"/>
    <s v="Cooked Wonton Tomyum with egg.V-Food TY"/>
    <s v="082S83Q12005P04001"/>
    <s v="115g*12"/>
    <n v="12"/>
    <n v="5"/>
    <n v="8.0000000000000002E-3"/>
    <x v="1"/>
    <s v="STPP"/>
    <s v="TYTB3C 30G"/>
    <n v="421"/>
    <n v="420"/>
    <n v="1"/>
    <n v="0"/>
    <n v="0"/>
    <m/>
    <n v="1"/>
    <n v="0"/>
    <m/>
    <m/>
    <m/>
  </r>
  <r>
    <x v="235"/>
    <s v="09.2024"/>
    <x v="0"/>
    <s v="Week34"/>
    <x v="7"/>
    <s v="ขายภายใน"/>
    <s v="MTFS"/>
    <s v="CPFGS"/>
    <s v="ซีพีเอฟ เทรดดิ้ง"/>
    <s v="E+Wonton+หมาล่า"/>
    <s v="Cooked Wonton"/>
    <s v="เกี๊ยวกุ้งจักรพรรดิซุปหมาล่า (ตรา ซีพี)_MT"/>
    <s v="082S83Q12005P06001"/>
    <s v="143g*12"/>
    <n v="12"/>
    <n v="5"/>
    <n v="6.1999999999999998E-3"/>
    <x v="2"/>
    <s v="STPP"/>
    <s v="หมาล่า"/>
    <n v="663"/>
    <n v="663"/>
    <m/>
    <n v="0"/>
    <n v="0"/>
    <m/>
    <m/>
    <m/>
    <m/>
    <m/>
    <m/>
  </r>
  <r>
    <x v="235"/>
    <s v="09.2024"/>
    <x v="0"/>
    <s v="Week34"/>
    <x v="7"/>
    <s v="ขายภายใน"/>
    <s v="MTFS"/>
    <s v="CPFGS"/>
    <s v="ซีพีเอฟ เทรดดิ้ง"/>
    <s v="E+Wonton+หมาล่า"/>
    <s v="Cooked Wonton"/>
    <s v="เกี๊ยวกุ้งจักรพรรดิซุปหมาล่า (ตรา ซีพี)_MT"/>
    <s v="082S83Q12005P06001"/>
    <s v="143g*12"/>
    <n v="12"/>
    <n v="5"/>
    <n v="6.1999999999999998E-3"/>
    <x v="2"/>
    <s v="STPP"/>
    <s v="หมาล่า"/>
    <n v="377"/>
    <n v="377"/>
    <m/>
    <n v="0"/>
    <n v="0"/>
    <m/>
    <m/>
    <m/>
    <m/>
    <m/>
    <m/>
  </r>
  <r>
    <x v="235"/>
    <s v="08-2024"/>
    <x v="0"/>
    <s v="Week34"/>
    <x v="7"/>
    <s v="ขายภายใน"/>
    <s v=".7-11"/>
    <s v="CPFGS"/>
    <s v="ซีพีเอฟ เทรดดิ้ง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8"/>
    <n v="8"/>
    <m/>
    <n v="0"/>
    <n v="0"/>
    <m/>
    <m/>
    <m/>
    <m/>
    <m/>
    <m/>
  </r>
  <r>
    <x v="235"/>
    <s v="09.2024"/>
    <x v="0"/>
    <s v="Week34"/>
    <x v="7"/>
    <s v="ขายภายใน"/>
    <s v=".7-11"/>
    <s v="CPFGS"/>
    <s v="ซีพีเอฟ เทรดดิ้ง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4200"/>
    <n v="4200"/>
    <m/>
    <n v="0"/>
    <n v="0"/>
    <m/>
    <m/>
    <m/>
    <m/>
    <m/>
    <m/>
  </r>
  <r>
    <x v="235"/>
    <d v="2024-09-17T00:00:00"/>
    <x v="0"/>
    <s v="Week34"/>
    <x v="7"/>
    <s v="DRY2400191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528"/>
    <n v="528"/>
    <m/>
    <n v="0"/>
    <n v="0"/>
    <n v="0"/>
    <n v="2"/>
    <n v="0"/>
    <m/>
    <m/>
    <m/>
  </r>
  <r>
    <x v="236"/>
    <d v="2024-09-04T00:00:00"/>
    <x v="0"/>
    <s v="Week34"/>
    <x v="7"/>
    <s v="DRY2400436"/>
    <s v="SG"/>
    <s v="CPFNW"/>
    <s v="CPI SINGAPORE"/>
    <s v="Wonton ND+V"/>
    <s v="Cooked Wonton"/>
    <s v="Cooked Wonton ND No Egg with Pumpkin _x000a_+ Vegetable  HC  3 pcs"/>
    <s v="082SJ3B24003P02001"/>
    <s v="219g*24"/>
    <n v="24"/>
    <n v="3"/>
    <n v="7.4999999999999997E-3"/>
    <x v="5"/>
    <s v="STPP"/>
    <s v="ซุปซอง 10g."/>
    <n v="250"/>
    <n v="250"/>
    <m/>
    <n v="0"/>
    <n v="0"/>
    <m/>
    <m/>
    <m/>
    <m/>
    <m/>
    <m/>
  </r>
  <r>
    <x v="236"/>
    <d v="2024-08-29T00:00:00"/>
    <x v="0"/>
    <s v="Week34"/>
    <x v="7"/>
    <s v="DRY2400583"/>
    <s v="New Zealand"/>
    <s v="CPFNW"/>
    <s v="Lim Brothers"/>
    <s v="Wonton ND+V"/>
    <s v="Cooked Wonton"/>
    <s v="Cooked Wonton ND No Egg with Pumpkin_x000a_+ Yu Choy "/>
    <s v="082SJN736005P00001"/>
    <s v="308g*6c*6in"/>
    <n v="36"/>
    <n v="5"/>
    <n v="7.4999999999999997E-3"/>
    <x v="5"/>
    <s v="Salt"/>
    <s v="Regular"/>
    <n v="320"/>
    <n v="320"/>
    <m/>
    <n v="0"/>
    <n v="0"/>
    <m/>
    <m/>
    <m/>
    <m/>
    <m/>
    <m/>
  </r>
  <r>
    <x v="236"/>
    <d v="2024-09-05T00:00:00"/>
    <x v="0"/>
    <s v="Week34"/>
    <x v="7"/>
    <s v="DRY2400591"/>
    <s v="New Zealand"/>
    <s v="CPFNW"/>
    <s v="Lim Brothers"/>
    <s v="Wonton ND+V"/>
    <s v="Cooked Wonton"/>
    <s v="Cooked Wonton ND No Egg with Pumpkin_x000a_+ Yu Choy "/>
    <s v="082SJN736005P00001"/>
    <s v="308g*6c*6in"/>
    <n v="36"/>
    <n v="5"/>
    <n v="7.4999999999999997E-3"/>
    <x v="5"/>
    <s v="Salt"/>
    <s v="Regular"/>
    <n v="320"/>
    <n v="248"/>
    <n v="72"/>
    <n v="0"/>
    <n v="0"/>
    <m/>
    <m/>
    <m/>
    <m/>
    <m/>
    <m/>
  </r>
  <r>
    <x v="236"/>
    <d v="2024-09-12T00:00:00"/>
    <x v="0"/>
    <s v="Week34"/>
    <x v="7"/>
    <s v="DRY2400589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79"/>
    <n v="13.416666666666666"/>
    <n v="0.41666666666662877"/>
    <n v="0"/>
    <m/>
    <m/>
    <m/>
    <m/>
    <m/>
    <m/>
  </r>
  <r>
    <x v="236"/>
    <d v="2024-09-19T00:00:00"/>
    <x v="0"/>
    <s v="Week34"/>
    <x v="7"/>
    <s v="DRY2400590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622"/>
    <n v="170"/>
    <n v="0"/>
    <n v="0"/>
    <m/>
    <m/>
    <m/>
    <m/>
    <m/>
    <m/>
  </r>
  <r>
    <x v="236"/>
    <d v="2024-09-12T00:00:00"/>
    <x v="0"/>
    <s v="Week34"/>
    <x v="7"/>
    <s v="DRY2400220"/>
    <s v="Spain"/>
    <s v="CPFNW"/>
    <s v="Mercadona"/>
    <s v="Wonton ND+V"/>
    <s v="Cooked Wonton"/>
    <s v="Cooked Wonton ND No Egg with Pumpkin _x000a_+ Vegetable  HC  3 pcs"/>
    <s v="082SJ5T12003P00001"/>
    <s v="309g*12"/>
    <n v="12"/>
    <n v="3"/>
    <n v="7.4999999999999997E-3"/>
    <x v="5"/>
    <s v="Salt"/>
    <s v="Regular"/>
    <n v="2520"/>
    <n v="2520"/>
    <m/>
    <n v="0"/>
    <n v="0"/>
    <m/>
    <m/>
    <m/>
    <s v="รวบการผลิตให้เป็นวันเดียวกันตามความต้องการของลูกค้า"/>
    <m/>
    <m/>
  </r>
  <r>
    <x v="236"/>
    <d v="2024-09-17T00:00:00"/>
    <x v="0"/>
    <s v="Week34"/>
    <x v="7"/>
    <s v="DRY2400576"/>
    <s v="Denmark"/>
    <s v="CPFNW"/>
    <s v="CPF DENMARK"/>
    <s v="Wonton ND+V+TY"/>
    <s v="Cooked Wonton"/>
    <s v="Cooked Wonton ND No Egg with Pumpkin _x000a_+ Vegetable  HC  3 pcs tomyam"/>
    <s v="082SJKW08003P00001"/>
    <s v="309g*8"/>
    <n v="8"/>
    <n v="3"/>
    <n v="7.4999999999999997E-3"/>
    <x v="1"/>
    <s v="Salt"/>
    <s v="TYANS+CM"/>
    <n v="3500"/>
    <m/>
    <n v="3500"/>
    <n v="0"/>
    <n v="0"/>
    <m/>
    <m/>
    <m/>
    <s v="ต้มยำสูตรลดเผ็ดลง 10 %"/>
    <m/>
    <m/>
  </r>
  <r>
    <x v="236"/>
    <d v="2024-09-17T00:00:00"/>
    <x v="0"/>
    <s v="Week34"/>
    <x v="7"/>
    <s v="DRY2400191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513"/>
    <n v="401"/>
    <n v="112"/>
    <n v="0"/>
    <n v="0"/>
    <n v="0"/>
    <n v="2"/>
    <n v="0"/>
    <m/>
    <m/>
    <m/>
  </r>
  <r>
    <x v="237"/>
    <m/>
    <x v="0"/>
    <s v="Week34"/>
    <x v="7"/>
    <m/>
    <m/>
    <m/>
    <m/>
    <m/>
    <m/>
    <m/>
    <m/>
    <m/>
    <m/>
    <m/>
    <m/>
    <x v="0"/>
    <m/>
    <m/>
    <m/>
    <m/>
    <m/>
    <m/>
    <m/>
    <m/>
    <m/>
    <m/>
    <m/>
    <m/>
    <m/>
  </r>
  <r>
    <x v="238"/>
    <d v="2024-08-31T00:00:00"/>
    <x v="0"/>
    <s v="Week35"/>
    <x v="7"/>
    <s v="DRY240052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83"/>
    <n v="483"/>
    <m/>
    <n v="0"/>
    <n v="0"/>
    <m/>
    <m/>
    <m/>
    <m/>
    <m/>
    <m/>
  </r>
  <r>
    <x v="238"/>
    <d v="2024-08-31T00:00:00"/>
    <x v="0"/>
    <s v="Week35"/>
    <x v="7"/>
    <s v="DRY240052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632"/>
    <n v="160"/>
    <n v="0"/>
    <n v="0"/>
    <m/>
    <m/>
    <m/>
    <m/>
    <m/>
    <m/>
  </r>
  <r>
    <x v="238"/>
    <d v="2024-08-31T00:00:00"/>
    <x v="0"/>
    <s v="Week35"/>
    <x v="7"/>
    <s v="DRY240052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38"/>
    <d v="2024-08-31T00:00:00"/>
    <x v="0"/>
    <s v="Week35"/>
    <x v="7"/>
    <s v="DRY240052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632"/>
    <n v="160"/>
    <n v="0"/>
    <n v="0"/>
    <m/>
    <m/>
    <m/>
    <m/>
    <m/>
    <m/>
  </r>
  <r>
    <x v="238"/>
    <d v="2024-08-31T00:00:00"/>
    <x v="0"/>
    <s v="Week35"/>
    <x v="7"/>
    <s v="DRY240052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38"/>
    <d v="2024-09-02T00:00:00"/>
    <x v="0"/>
    <s v="Week35"/>
    <x v="7"/>
    <s v="DRY240052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186"/>
    <n v="606"/>
    <n v="0"/>
    <n v="0"/>
    <m/>
    <m/>
    <m/>
    <m/>
    <m/>
    <m/>
  </r>
  <r>
    <x v="238"/>
    <d v="2024-09-02T00:00:00"/>
    <x v="0"/>
    <s v="Week35"/>
    <x v="7"/>
    <s v="DRY240052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8"/>
    <m/>
    <n v="58"/>
    <n v="0"/>
    <n v="0"/>
    <m/>
    <m/>
    <m/>
    <m/>
    <m/>
    <m/>
  </r>
  <r>
    <x v="238"/>
    <d v="2024-09-17T00:00:00"/>
    <x v="0"/>
    <s v="Week35"/>
    <x v="7"/>
    <s v="DRY2400191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453"/>
    <n v="453"/>
    <n v="24"/>
    <n v="24"/>
    <n v="0"/>
    <n v="0"/>
    <n v="2"/>
    <n v="0"/>
    <m/>
    <m/>
    <m/>
  </r>
  <r>
    <x v="239"/>
    <d v="2024-09-02T00:00:00"/>
    <x v="0"/>
    <s v="Week35"/>
    <x v="7"/>
    <s v="DRY240052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34"/>
    <n v="734"/>
    <m/>
    <n v="0"/>
    <n v="0"/>
    <m/>
    <m/>
    <m/>
    <m/>
    <m/>
    <m/>
  </r>
  <r>
    <x v="239"/>
    <d v="2024-09-06T00:00:00"/>
    <x v="0"/>
    <s v="Week35"/>
    <x v="7"/>
    <s v="DRY240052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632"/>
    <n v="160"/>
    <n v="0"/>
    <n v="0"/>
    <m/>
    <m/>
    <m/>
    <m/>
    <m/>
    <m/>
  </r>
  <r>
    <x v="239"/>
    <d v="2024-09-06T00:00:00"/>
    <x v="0"/>
    <s v="Week35"/>
    <x v="7"/>
    <s v="DRY240052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39"/>
    <d v="2024-09-06T00:00:00"/>
    <x v="0"/>
    <s v="Week35"/>
    <x v="7"/>
    <s v="DRY240053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632"/>
    <n v="160"/>
    <n v="0"/>
    <n v="0"/>
    <m/>
    <m/>
    <m/>
    <m/>
    <m/>
    <m/>
  </r>
  <r>
    <x v="239"/>
    <d v="2024-09-06T00:00:00"/>
    <x v="0"/>
    <s v="Week35"/>
    <x v="7"/>
    <s v="DRY240053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39"/>
    <d v="2024-09-07T00:00:00"/>
    <x v="0"/>
    <s v="Week35"/>
    <x v="7"/>
    <s v="DRY240053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16"/>
    <n v="456"/>
    <n v="160"/>
    <n v="0"/>
    <n v="0"/>
    <m/>
    <m/>
    <m/>
    <m/>
    <m/>
    <m/>
  </r>
  <r>
    <x v="239"/>
    <d v="2024-09-23T00:00:00"/>
    <x v="0"/>
    <s v="Week35"/>
    <x v="7"/>
    <s v="DRY2400665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533"/>
    <n v="533"/>
    <m/>
    <n v="0"/>
    <n v="0"/>
    <n v="0"/>
    <n v="2"/>
    <n v="0"/>
    <s v="ใช้ package new"/>
    <m/>
    <m/>
  </r>
  <r>
    <x v="240"/>
    <d v="2024-08-31T00:00:00"/>
    <x v="0"/>
    <s v="Week35"/>
    <x v="7"/>
    <s v="DRY2400494"/>
    <s v="CAN "/>
    <s v="CPFNW "/>
    <s v="CP Foods Canada,Inc (CPFC)"/>
    <s v="Wonton+TY"/>
    <s v="Cooked Wonton"/>
    <s v="Wonton Soup  (Enriched wonton sheet)"/>
    <s v="082S85336005P02001"/>
    <s v="147g*6c*6in"/>
    <n v="36"/>
    <n v="5"/>
    <n v="7.4999999999999997E-3"/>
    <x v="1"/>
    <s v="Salt"/>
    <s v="TYEX+CO"/>
    <n v="598"/>
    <n v="598"/>
    <m/>
    <n v="0"/>
    <n v="0"/>
    <m/>
    <m/>
    <m/>
    <m/>
    <m/>
    <m/>
  </r>
  <r>
    <x v="240"/>
    <d v="2024-09-12T00:00:00"/>
    <x v="0"/>
    <s v="Week35"/>
    <x v="7"/>
    <s v="DRY2400495"/>
    <s v="CAN "/>
    <s v="CPFNW "/>
    <s v="CP Foods Canada,Inc (CPFC)"/>
    <s v="Wonton+TY"/>
    <s v="Cooked Wonton"/>
    <s v="Wonton Soup  (Enriched wonton sheet)"/>
    <s v="082S85336005P02001"/>
    <s v="147g*6c*6in"/>
    <n v="36"/>
    <n v="5"/>
    <n v="7.4999999999999997E-3"/>
    <x v="1"/>
    <s v="Salt"/>
    <s v="TYEX+CO"/>
    <n v="1288"/>
    <n v="1288"/>
    <m/>
    <n v="0"/>
    <n v="0"/>
    <m/>
    <m/>
    <m/>
    <m/>
    <m/>
    <m/>
  </r>
  <r>
    <x v="240"/>
    <d v="2024-09-12T00:00:00"/>
    <x v="0"/>
    <s v="Week35"/>
    <x v="7"/>
    <s v="DRY2400478"/>
    <s v="CAN "/>
    <s v="CPFNW "/>
    <s v="CP Foods Canada,Inc (CPFC)"/>
    <s v="Wonton+TY"/>
    <s v="Cooked Wonton"/>
    <s v="Wonton Soup  (Enriched wonton sheet)"/>
    <s v="082S85336005P02001"/>
    <s v="147g*6c*6in"/>
    <n v="36"/>
    <n v="5"/>
    <n v="7.4999999999999997E-3"/>
    <x v="1"/>
    <s v="Salt"/>
    <s v="TYEX+CO"/>
    <n v="1288"/>
    <n v="1288"/>
    <m/>
    <n v="0"/>
    <n v="0"/>
    <m/>
    <m/>
    <m/>
    <m/>
    <m/>
    <m/>
  </r>
  <r>
    <x v="240"/>
    <d v="2024-09-02T00:00:00"/>
    <x v="0"/>
    <s v="Week35"/>
    <x v="7"/>
    <s v="DRY2400556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815"/>
    <n v="815"/>
    <m/>
    <n v="0"/>
    <n v="0"/>
    <m/>
    <m/>
    <m/>
    <m/>
    <m/>
    <m/>
  </r>
  <r>
    <x v="240"/>
    <d v="2024-09-23T00:00:00"/>
    <x v="0"/>
    <s v="Week35"/>
    <x v="7"/>
    <s v="DRY2400665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524"/>
    <n v="524"/>
    <m/>
    <n v="0"/>
    <n v="0"/>
    <n v="0"/>
    <n v="2"/>
    <n v="0"/>
    <s v="ใช้ package new"/>
    <m/>
    <m/>
  </r>
  <r>
    <x v="241"/>
    <d v="2024-09-02T00:00:00"/>
    <x v="0"/>
    <s v="Week35"/>
    <x v="7"/>
    <s v="DRY2400556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378"/>
    <n v="378"/>
    <m/>
    <n v="0"/>
    <n v="0"/>
    <m/>
    <m/>
    <m/>
    <m/>
    <m/>
    <m/>
  </r>
  <r>
    <x v="241"/>
    <d v="2024-09-03T00:00:00"/>
    <x v="0"/>
    <s v="Week35"/>
    <x v="7"/>
    <s v="DRY2400557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1288"/>
    <n v="1288"/>
    <m/>
    <n v="0"/>
    <n v="0"/>
    <m/>
    <m/>
    <m/>
    <m/>
    <m/>
    <m/>
  </r>
  <r>
    <x v="241"/>
    <d v="2024-09-09T00:00:00"/>
    <x v="0"/>
    <s v="Week35"/>
    <x v="7"/>
    <s v="DRY2400561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1288"/>
    <n v="1288"/>
    <m/>
    <n v="0"/>
    <n v="0"/>
    <m/>
    <m/>
    <m/>
    <m/>
    <m/>
    <m/>
  </r>
  <r>
    <x v="241"/>
    <d v="2024-09-09T00:00:00"/>
    <x v="0"/>
    <s v="Week35"/>
    <x v="7"/>
    <s v="DRY2400565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1019"/>
    <n v="1019"/>
    <m/>
    <n v="0"/>
    <n v="0"/>
    <m/>
    <m/>
    <m/>
    <m/>
    <m/>
    <m/>
  </r>
  <r>
    <x v="241"/>
    <d v="2024-09-23T00:00:00"/>
    <x v="0"/>
    <s v="Week35"/>
    <x v="7"/>
    <s v="DRY2400665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567"/>
    <n v="565"/>
    <n v="2"/>
    <n v="0"/>
    <n v="0"/>
    <n v="0"/>
    <n v="2"/>
    <n v="0"/>
    <s v="ใช้ package new"/>
    <m/>
    <m/>
  </r>
  <r>
    <x v="242"/>
    <d v="2024-09-07T00:00:00"/>
    <x v="0"/>
    <s v="Week35"/>
    <x v="7"/>
    <s v="DRY240053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76"/>
    <n v="176"/>
    <m/>
    <n v="0"/>
    <n v="0"/>
    <m/>
    <m/>
    <m/>
    <m/>
    <m/>
    <m/>
  </r>
  <r>
    <x v="242"/>
    <d v="2024-09-09T00:00:00"/>
    <x v="0"/>
    <s v="Week35"/>
    <x v="7"/>
    <s v="DRY240053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632"/>
    <n v="160"/>
    <n v="0"/>
    <n v="0"/>
    <m/>
    <m/>
    <m/>
    <m/>
    <m/>
    <m/>
  </r>
  <r>
    <x v="242"/>
    <d v="2024-09-09T00:00:00"/>
    <x v="0"/>
    <s v="Week35"/>
    <x v="7"/>
    <s v="DRY240053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42"/>
    <d v="2024-09-12T00:00:00"/>
    <x v="0"/>
    <s v="Week35"/>
    <x v="7"/>
    <s v="DRY240053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632"/>
    <n v="160"/>
    <n v="0"/>
    <n v="0"/>
    <m/>
    <m/>
    <m/>
    <m/>
    <m/>
    <m/>
  </r>
  <r>
    <x v="242"/>
    <d v="2024-09-12T00:00:00"/>
    <x v="0"/>
    <s v="Week35"/>
    <x v="7"/>
    <s v="DRY240053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42"/>
    <d v="2024-09-16T00:00:00"/>
    <x v="0"/>
    <s v="Week35"/>
    <x v="7"/>
    <s v="DRY240053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632"/>
    <n v="160"/>
    <n v="0"/>
    <n v="0"/>
    <m/>
    <m/>
    <m/>
    <m/>
    <m/>
    <m/>
  </r>
  <r>
    <x v="242"/>
    <d v="2024-09-20T00:00:00"/>
    <x v="0"/>
    <s v="Week35"/>
    <x v="7"/>
    <s v="DRY240053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33"/>
    <n v="233"/>
    <m/>
    <n v="0"/>
    <n v="0"/>
    <m/>
    <m/>
    <m/>
    <m/>
    <m/>
    <m/>
  </r>
  <r>
    <x v="242"/>
    <d v="2024-09-30T00:00:00"/>
    <x v="0"/>
    <s v="Week35"/>
    <x v="7"/>
    <s v="DRY2400648"/>
    <s v="HK"/>
    <s v="CPFNW"/>
    <s v="CPM Hongkong"/>
    <s v="R-Minced egg past"/>
    <s v="Raw Wonton"/>
    <s v="Raw Minced Wonton 8 pcs"/>
    <s v="082ID3G18008P00001"/>
    <s v="90g*18in"/>
    <n v="18"/>
    <n v="8"/>
    <n v="6.0000000000000001E-3"/>
    <x v="4"/>
    <s v="STPP"/>
    <s v="ซุปซอง 5g."/>
    <n v="300"/>
    <n v="300"/>
    <m/>
    <n v="0"/>
    <n v="0"/>
    <n v="0"/>
    <n v="2"/>
    <n v="0"/>
    <m/>
    <m/>
    <m/>
  </r>
  <r>
    <x v="242"/>
    <d v="2024-09-30T00:00:00"/>
    <x v="0"/>
    <s v="Week35"/>
    <x v="7"/>
    <s v="DRY2400648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1126"/>
    <n v="967"/>
    <n v="159"/>
    <n v="0"/>
    <n v="0"/>
    <n v="0"/>
    <n v="1"/>
    <n v="0"/>
    <m/>
    <m/>
    <m/>
  </r>
  <r>
    <x v="243"/>
    <d v="2024-09-20T00:00:00"/>
    <x v="0"/>
    <s v="Week35"/>
    <x v="7"/>
    <s v="DRY240053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59"/>
    <n v="559"/>
    <m/>
    <n v="0"/>
    <n v="0"/>
    <m/>
    <m/>
    <m/>
    <m/>
    <m/>
    <m/>
  </r>
  <r>
    <x v="243"/>
    <d v="2024-09-21T00:00:00"/>
    <x v="0"/>
    <s v="Week35"/>
    <x v="7"/>
    <s v="DRY240053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43"/>
    <d v="2024-09-21T00:00:00"/>
    <x v="0"/>
    <s v="Week35"/>
    <x v="7"/>
    <s v="DRY240054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43"/>
    <d v="2024-09-23T00:00:00"/>
    <x v="0"/>
    <s v="Week35"/>
    <x v="7"/>
    <s v="DRY240054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43"/>
    <d v="2024-09-23T00:00:00"/>
    <x v="0"/>
    <s v="Week35"/>
    <x v="7"/>
    <s v="DRY240054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16"/>
    <n v="396"/>
    <n v="320"/>
    <n v="0"/>
    <n v="0"/>
    <m/>
    <m/>
    <m/>
    <m/>
    <m/>
    <m/>
  </r>
  <r>
    <x v="243"/>
    <d v="2024-09-12T00:00:00"/>
    <x v="0"/>
    <s v="Week35"/>
    <x v="7"/>
    <s v="DRY2400584"/>
    <s v="New Zealand"/>
    <s v="CPFNW"/>
    <s v="Lim Brothers"/>
    <s v="Wonton ND+V"/>
    <s v="Cooked Wonton"/>
    <s v="Cooked Wonton ND No Egg with Pumpkin_x000a_+ Yu Choy "/>
    <s v="082SJN736005P00001"/>
    <s v="308g*6c*6in"/>
    <n v="36"/>
    <n v="5"/>
    <n v="7.4999999999999997E-3"/>
    <x v="5"/>
    <s v="Salt"/>
    <s v="Regular"/>
    <n v="320"/>
    <n v="311"/>
    <n v="9"/>
    <n v="0"/>
    <n v="0"/>
    <m/>
    <m/>
    <m/>
    <m/>
    <m/>
    <m/>
  </r>
  <r>
    <x v="243"/>
    <d v="2024-09-19T00:00:00"/>
    <x v="0"/>
    <s v="Week35"/>
    <x v="7"/>
    <s v="DRY2400585"/>
    <s v="New Zealand"/>
    <s v="CPFNW"/>
    <s v="Lim Brothers"/>
    <s v="Wonton ND+V"/>
    <s v="Cooked Wonton"/>
    <s v="Cooked Wonton ND No Egg with Pumpkin_x000a_+ Yu Choy "/>
    <s v="082SJN736005P00001"/>
    <s v="308g*6c*6in"/>
    <n v="36"/>
    <n v="5"/>
    <n v="7.4999999999999997E-3"/>
    <x v="5"/>
    <s v="Salt"/>
    <s v="Regular"/>
    <n v="320"/>
    <n v="320"/>
    <m/>
    <n v="0"/>
    <n v="0"/>
    <m/>
    <m/>
    <m/>
    <m/>
    <m/>
    <m/>
  </r>
  <r>
    <x v="243"/>
    <d v="2024-09-07T00:00:00"/>
    <x v="0"/>
    <s v="Week35"/>
    <x v="7"/>
    <s v="KL2400027"/>
    <s v="China"/>
    <s v="China"/>
    <s v="Charoen Pokphand Import&amp;Export Trading (Shanghai) Co., Ltd"/>
    <s v="R-Wonton no egg"/>
    <s v="Raw Wonton"/>
    <s v="Raw Wonton 50 pcs"/>
    <s v="082I95J08050P03001"/>
    <s v="630g*8in"/>
    <n v="8"/>
    <n v="50"/>
    <n v="6.8100000000000001E-3"/>
    <x v="3"/>
    <s v="STPP"/>
    <s v="ซุปซอง 5g."/>
    <n v="350"/>
    <n v="350"/>
    <m/>
    <n v="0"/>
    <n v="0"/>
    <n v="0"/>
    <n v="6"/>
    <n v="0"/>
    <m/>
    <m/>
    <m/>
  </r>
  <r>
    <x v="243"/>
    <d v="2024-09-30T00:00:00"/>
    <x v="0"/>
    <s v="Week35"/>
    <x v="7"/>
    <s v="DRY2400648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474"/>
    <n v="474"/>
    <m/>
    <n v="0"/>
    <n v="0"/>
    <n v="0"/>
    <n v="1"/>
    <n v="0"/>
    <m/>
    <m/>
    <m/>
  </r>
  <r>
    <x v="244"/>
    <m/>
    <x v="0"/>
    <s v="Week35"/>
    <x v="8"/>
    <m/>
    <m/>
    <m/>
    <m/>
    <m/>
    <m/>
    <m/>
    <m/>
    <m/>
    <m/>
    <m/>
    <m/>
    <x v="0"/>
    <m/>
    <m/>
    <m/>
    <m/>
    <m/>
    <m/>
    <m/>
    <m/>
    <m/>
    <m/>
    <m/>
    <m/>
    <m/>
  </r>
  <r>
    <x v="245"/>
    <d v="2024-09-17T00:00:00"/>
    <x v="0"/>
    <s v="Week36"/>
    <x v="8"/>
    <s v="KL2400018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m/>
    <m/>
  </r>
  <r>
    <x v="246"/>
    <d v="2024-09-17T00:00:00"/>
    <x v="0"/>
    <s v="Week36"/>
    <x v="8"/>
    <s v="KL2400019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862"/>
    <n v="546"/>
    <n v="0"/>
    <n v="0"/>
    <n v="0"/>
    <n v="6"/>
    <n v="0"/>
    <m/>
    <m/>
    <m/>
  </r>
  <r>
    <x v="247"/>
    <d v="2024-09-19T00:00:00"/>
    <x v="0"/>
    <s v="Week36"/>
    <x v="8"/>
    <s v="DRY2400614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224"/>
    <n v="224"/>
    <m/>
    <n v="0"/>
    <n v="0"/>
    <m/>
    <m/>
    <m/>
    <m/>
    <m/>
    <m/>
  </r>
  <r>
    <x v="247"/>
    <d v="2024-09-19T00:00:00"/>
    <x v="0"/>
    <s v="Week36"/>
    <x v="8"/>
    <s v="DRY2400615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m/>
    <m/>
    <m/>
  </r>
  <r>
    <x v="247"/>
    <d v="2024-09-26T00:00:00"/>
    <x v="0"/>
    <s v="Week36"/>
    <x v="8"/>
    <s v="DRY2400616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m/>
    <m/>
    <m/>
  </r>
  <r>
    <x v="247"/>
    <d v="2024-10-10T00:00:00"/>
    <x v="0"/>
    <s v="Week36"/>
    <x v="8"/>
    <s v="DRY2400617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202"/>
    <n v="202"/>
    <m/>
    <n v="0"/>
    <n v="0"/>
    <m/>
    <m/>
    <m/>
    <m/>
    <m/>
    <m/>
  </r>
  <r>
    <x v="247"/>
    <d v="2024-09-07T00:00:00"/>
    <x v="0"/>
    <s v="Week36"/>
    <x v="8"/>
    <s v="KL2400026"/>
    <s v="China"/>
    <s v="China"/>
    <s v="Charoen Pokphand Import&amp;Export Trading (Shanghai) Co., Ltd"/>
    <s v="Wonton+TY"/>
    <s v="Cooked Wonton"/>
    <s v="Wonton Soup  (Enriched wonton sheet)"/>
    <s v="082S85J36005P00001"/>
    <s v="147g*6c*6in"/>
    <n v="36"/>
    <n v="5"/>
    <n v="7.4999999999999997E-3"/>
    <x v="1"/>
    <s v="Salt"/>
    <s v="TYEX+CO"/>
    <n v="1080"/>
    <n v="1080"/>
    <m/>
    <n v="0"/>
    <n v="0"/>
    <m/>
    <m/>
    <m/>
    <m/>
    <m/>
    <m/>
  </r>
  <r>
    <x v="248"/>
    <d v="2024-09-09T00:00:00"/>
    <x v="0"/>
    <s v="Week36"/>
    <x v="8"/>
    <s v="DRY2400565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269"/>
    <n v="269"/>
    <m/>
    <n v="0"/>
    <n v="0"/>
    <m/>
    <m/>
    <m/>
    <m/>
    <m/>
    <m/>
  </r>
  <r>
    <x v="248"/>
    <d v="2024-09-20T00:00:00"/>
    <x v="0"/>
    <s v="Week36"/>
    <x v="8"/>
    <s v="DRY2400560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1288"/>
    <n v="1288"/>
    <m/>
    <n v="0"/>
    <n v="0"/>
    <m/>
    <m/>
    <m/>
    <m/>
    <m/>
    <m/>
  </r>
  <r>
    <x v="248"/>
    <d v="2024-09-20T00:00:00"/>
    <x v="0"/>
    <s v="Week36"/>
    <x v="8"/>
    <s v="DRY2400564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1288"/>
    <n v="1288"/>
    <m/>
    <n v="0"/>
    <n v="0"/>
    <m/>
    <m/>
    <m/>
    <m/>
    <m/>
    <m/>
  </r>
  <r>
    <x v="248"/>
    <d v="2024-09-20T00:00:00"/>
    <x v="0"/>
    <s v="Week36"/>
    <x v="8"/>
    <s v="DRY2400562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1052"/>
    <n v="1052"/>
    <m/>
    <n v="0"/>
    <n v="0"/>
    <m/>
    <m/>
    <m/>
    <m/>
    <m/>
    <m/>
  </r>
  <r>
    <x v="249"/>
    <d v="2024-09-13T00:00:00"/>
    <x v="0"/>
    <s v="Week36"/>
    <x v="8"/>
    <s v="DRY2400634"/>
    <s v="SG"/>
    <s v="CPFNW"/>
    <s v="CPI SINGAPORE"/>
    <s v="Wonton ND+Kee Mao"/>
    <s v="Cooked Wonton"/>
    <s v="Cooked Wonton Thai Spicy Pumpkin Noodles (Drunken Noodles)"/>
    <s v="082SJ3B24003P04001"/>
    <s v="250g*24"/>
    <n v="24"/>
    <n v="3"/>
    <n v="8.0000000000000002E-3"/>
    <x v="1"/>
    <s v="Salt"/>
    <s v="Kee Mao"/>
    <n v="420"/>
    <n v="420"/>
    <m/>
    <n v="0"/>
    <n v="0"/>
    <m/>
    <m/>
    <m/>
    <m/>
    <m/>
    <m/>
  </r>
  <r>
    <x v="249"/>
    <s v="10-2024"/>
    <x v="0"/>
    <s v="Week36"/>
    <x v="8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3024"/>
    <n v="3024"/>
    <m/>
    <n v="0"/>
    <n v="0"/>
    <m/>
    <m/>
    <m/>
    <s v="NEWPACKAGE"/>
    <m/>
    <m/>
  </r>
  <r>
    <x v="249"/>
    <d v="2024-09-24T00:00:00"/>
    <x v="0"/>
    <s v="Week36"/>
    <x v="8"/>
    <s v="DRY2400668"/>
    <s v="Malay"/>
    <s v="CPFNW"/>
    <s v="CPM Malaysia"/>
    <s v="Wonton"/>
    <s v="Cooked Wonton"/>
    <s v="Cooked Wonton No Egg  "/>
    <s v="082S85I24005P01001"/>
    <s v="145g*24"/>
    <n v="24"/>
    <n v="5"/>
    <n v="8.0000000000000002E-3"/>
    <x v="1"/>
    <s v="STPP"/>
    <s v="Regular"/>
    <n v="900"/>
    <n v="900"/>
    <m/>
    <n v="0"/>
    <n v="0"/>
    <m/>
    <m/>
    <m/>
    <m/>
    <m/>
    <m/>
  </r>
  <r>
    <x v="249"/>
    <d v="2024-09-25T00:00:00"/>
    <x v="0"/>
    <s v="Week36"/>
    <x v="8"/>
    <s v="DRY2400683"/>
    <s v="BRUNEI"/>
    <s v="CPFNW"/>
    <s v="Ben Foods"/>
    <s v="Wonton"/>
    <s v="Cooked Wonton"/>
    <s v="Cooked Wonton No Egg"/>
    <s v="082S8C324005P01001"/>
    <s v="145g*24"/>
    <n v="24"/>
    <n v="5"/>
    <n v="8.0000000000000002E-3"/>
    <x v="1"/>
    <s v="STPP"/>
    <s v="Regular"/>
    <n v="200"/>
    <n v="200"/>
    <n v="1.4166666666666667"/>
    <n v="1.4166666666666572"/>
    <n v="0"/>
    <m/>
    <m/>
    <m/>
    <m/>
    <m/>
    <m/>
  </r>
  <r>
    <x v="249"/>
    <d v="2024-09-24T00:00:00"/>
    <x v="0"/>
    <s v="Week36"/>
    <x v="8"/>
    <s v="DRY2400668"/>
    <s v="Malay"/>
    <s v="CPFNW"/>
    <s v="CPM Malaysia"/>
    <s v="Wonton+TY"/>
    <s v="Cooked Wonton"/>
    <s v="Cooked Wonton No Egg  TY"/>
    <s v="082S85I24005P02001"/>
    <s v="115g*24"/>
    <n v="24"/>
    <n v="5"/>
    <n v="8.0000000000000002E-3"/>
    <x v="1"/>
    <s v="STPP"/>
    <s v="TYTB3C 30G"/>
    <n v="850"/>
    <n v="850"/>
    <m/>
    <n v="0"/>
    <n v="0"/>
    <m/>
    <n v="1"/>
    <n v="0"/>
    <m/>
    <m/>
    <m/>
  </r>
  <r>
    <x v="249"/>
    <d v="2024-09-25T00:00:00"/>
    <x v="0"/>
    <s v="Week36"/>
    <x v="8"/>
    <s v="DRY2400683"/>
    <s v="BRUNEI"/>
    <s v="CPFNW"/>
    <s v="Ben Foods"/>
    <s v="Wonton+TY"/>
    <s v="Cooked Wonton"/>
    <s v="Cooked Wonton No Egg"/>
    <s v="082S8C324005P00001"/>
    <s v="115g*24"/>
    <n v="24"/>
    <n v="5"/>
    <n v="8.0000000000000002E-3"/>
    <x v="1"/>
    <s v="STPP"/>
    <s v="TYTB3C 30G"/>
    <n v="405"/>
    <n v="405"/>
    <n v="1.4166666666666667"/>
    <n v="1.4166666666666856"/>
    <n v="0"/>
    <m/>
    <n v="1"/>
    <n v="0"/>
    <m/>
    <m/>
    <m/>
  </r>
  <r>
    <x v="250"/>
    <d v="2024-09-23T00:00:00"/>
    <x v="0"/>
    <s v="Week36"/>
    <x v="8"/>
    <s v="DRY240054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6"/>
    <n v="76"/>
    <m/>
    <n v="0"/>
    <n v="0"/>
    <m/>
    <m/>
    <m/>
    <m/>
    <m/>
    <m/>
  </r>
  <r>
    <x v="250"/>
    <d v="2024-09-28T00:00:00"/>
    <x v="0"/>
    <s v="Week36"/>
    <x v="8"/>
    <s v="DRY240054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50"/>
    <d v="2024-09-28T00:00:00"/>
    <x v="0"/>
    <s v="Week36"/>
    <x v="8"/>
    <s v="DRY240054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50"/>
    <d v="2024-01-30T00:00:00"/>
    <x v="0"/>
    <s v="Week36"/>
    <x v="8"/>
    <s v="DRY240054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50"/>
    <d v="2024-10-07T00:00:00"/>
    <x v="0"/>
    <s v="Week36"/>
    <x v="8"/>
    <s v="DRY240054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50"/>
    <d v="2024-10-07T00:00:00"/>
    <x v="0"/>
    <s v="Week36"/>
    <x v="8"/>
    <s v="DRY240059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50"/>
    <d v="2024-10-11T00:00:00"/>
    <x v="0"/>
    <s v="Week36"/>
    <x v="8"/>
    <s v="DRY240054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2"/>
    <n v="62"/>
    <m/>
    <n v="0"/>
    <n v="0"/>
    <m/>
    <m/>
    <m/>
    <m/>
    <m/>
    <m/>
  </r>
  <r>
    <x v="251"/>
    <m/>
    <x v="0"/>
    <s v="Week36"/>
    <x v="8"/>
    <m/>
    <m/>
    <m/>
    <m/>
    <m/>
    <m/>
    <m/>
    <m/>
    <m/>
    <m/>
    <m/>
    <m/>
    <x v="0"/>
    <m/>
    <m/>
    <m/>
    <m/>
    <m/>
    <m/>
    <m/>
    <m/>
    <m/>
    <m/>
    <m/>
    <m/>
    <m/>
  </r>
  <r>
    <x v="252"/>
    <d v="2024-10-01T00:00:00"/>
    <x v="0"/>
    <s v="Week37"/>
    <x v="8"/>
    <s v="DRY2400690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1436"/>
    <n v="1436"/>
    <m/>
    <n v="0"/>
    <n v="0"/>
    <n v="0"/>
    <n v="6"/>
    <n v="0"/>
    <m/>
    <m/>
    <m/>
  </r>
  <r>
    <x v="253"/>
    <d v="2024-10-01T00:00:00"/>
    <x v="0"/>
    <s v="Week37"/>
    <x v="8"/>
    <s v="DRY2400690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20"/>
    <n v="620"/>
    <m/>
    <n v="0"/>
    <n v="0"/>
    <n v="0"/>
    <n v="6"/>
    <n v="0"/>
    <m/>
    <m/>
    <m/>
  </r>
  <r>
    <x v="253"/>
    <d v="2024-10-02T00:00:00"/>
    <x v="0"/>
    <s v="Week37"/>
    <x v="8"/>
    <s v="DRY2400674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1000"/>
    <n v="566"/>
    <n v="437.85"/>
    <n v="3.8500000000000227"/>
    <n v="0"/>
    <n v="0"/>
    <n v="2"/>
    <n v="0"/>
    <s v="ห่อแบบสุก"/>
    <m/>
    <m/>
  </r>
  <r>
    <x v="254"/>
    <d v="2024-09-12T00:00:00"/>
    <x v="0"/>
    <s v="Week37"/>
    <x v="8"/>
    <s v="78-24"/>
    <s v="ขายภายใน"/>
    <s v="CPFGS"/>
    <s v="บริษัท อินสยาม ฟู้ด แอนด์ เบฟเวอเรจ จำกัด"/>
    <s v="E+Wonton"/>
    <s v="Cooked Wonton"/>
    <s v="Cooked Wonton Multipack  with Egg  270g"/>
    <s v="082S811AA005P00001"/>
    <s v="90g*100B"/>
    <n v="100"/>
    <n v="5"/>
    <n v="8.0000000000000002E-3"/>
    <x v="1"/>
    <s v="STPP"/>
    <s v="ซุปซอง 5g."/>
    <n v="27"/>
    <n v="27"/>
    <m/>
    <n v="0"/>
    <n v="0"/>
    <m/>
    <n v="1"/>
    <n v="0"/>
    <m/>
    <m/>
    <m/>
  </r>
  <r>
    <x v="254"/>
    <d v="2024-09-20T00:00:00"/>
    <x v="0"/>
    <s v="Week37"/>
    <x v="8"/>
    <s v="DRY2400562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236"/>
    <n v="236"/>
    <m/>
    <n v="0"/>
    <n v="0"/>
    <m/>
    <m/>
    <m/>
    <m/>
    <m/>
    <m/>
  </r>
  <r>
    <x v="254"/>
    <d v="2024-09-21T00:00:00"/>
    <x v="0"/>
    <s v="Week37"/>
    <x v="8"/>
    <s v="DRY2400569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1288"/>
    <n v="1288"/>
    <m/>
    <n v="0"/>
    <n v="0"/>
    <m/>
    <m/>
    <m/>
    <m/>
    <m/>
    <m/>
  </r>
  <r>
    <x v="254"/>
    <d v="2024-09-27T00:00:00"/>
    <x v="0"/>
    <s v="Week37"/>
    <x v="8"/>
    <s v="DRY2400563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1288"/>
    <n v="1288"/>
    <m/>
    <n v="0"/>
    <n v="0"/>
    <m/>
    <m/>
    <m/>
    <m/>
    <m/>
    <m/>
  </r>
  <r>
    <x v="254"/>
    <d v="2024-09-27T00:00:00"/>
    <x v="0"/>
    <s v="Week37"/>
    <x v="8"/>
    <s v="DRY2400629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1167"/>
    <n v="1167"/>
    <m/>
    <n v="0"/>
    <n v="0"/>
    <m/>
    <m/>
    <m/>
    <m/>
    <m/>
    <m/>
  </r>
  <r>
    <x v="254"/>
    <d v="2024-10-10T00:00:00"/>
    <x v="0"/>
    <s v="Week37"/>
    <x v="8"/>
    <s v="DRY2400650"/>
    <s v="Belgium"/>
    <s v="CPFNW"/>
    <s v="CPF EUROPE S.A."/>
    <s v="Wonton +V"/>
    <s v="Cooked Wonton"/>
    <s v="Cooked Wonton  No Egg _x000a_+ Vegetable  HC  4 pcs"/>
    <s v="082S83I08004P00001"/>
    <s v="145g*8"/>
    <n v="8"/>
    <n v="4"/>
    <n v="7.4999999999999997E-3"/>
    <x v="5"/>
    <s v="Salt"/>
    <s v="Regular"/>
    <n v="2100"/>
    <m/>
    <n v="2136.25"/>
    <n v="36.25"/>
    <n v="0"/>
    <m/>
    <m/>
    <m/>
    <m/>
    <m/>
    <m/>
  </r>
  <r>
    <x v="255"/>
    <d v="2024-09-26T00:00:00"/>
    <x v="0"/>
    <s v="Week37"/>
    <x v="8"/>
    <s v="DRY2400636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255"/>
    <d v="2024-10-10T00:00:00"/>
    <x v="0"/>
    <s v="Week37"/>
    <x v="8"/>
    <s v="DRY2400221"/>
    <s v="Spain"/>
    <s v="CPFNW"/>
    <s v="Mercadona"/>
    <s v="Wonton ND+V"/>
    <s v="Cooked Wonton"/>
    <s v="Cooked Wonton ND No Egg with Pumpkin _x000a_+ Vegetable  HC  3 pcs"/>
    <s v="082SJ5T12003P00001"/>
    <s v="309g*12"/>
    <n v="12"/>
    <n v="3"/>
    <n v="7.4999999999999997E-3"/>
    <x v="5"/>
    <s v="Salt"/>
    <s v="Regular"/>
    <n v="2520"/>
    <n v="2520"/>
    <m/>
    <n v="0"/>
    <n v="0"/>
    <m/>
    <m/>
    <m/>
    <s v="รวบการผลิตให้เป็นวันเดียวกันตามความต้องการของลูกค้า"/>
    <m/>
    <m/>
  </r>
  <r>
    <x v="255"/>
    <d v="2024-09-24T00:00:00"/>
    <x v="0"/>
    <s v="Week37"/>
    <x v="8"/>
    <s v="DRY2400669"/>
    <s v="Denmark"/>
    <s v="CPFNW"/>
    <s v="CPF DENMARK"/>
    <s v="Minced ND+V+TK"/>
    <s v="Cooked Wonton"/>
    <s v="Cooked Minced  ND No Egg with Pumpkin_x000a_+ Yu Choy Tomyum"/>
    <s v="082SJKW08003P01001"/>
    <s v="302g*8"/>
    <n v="8"/>
    <n v="3"/>
    <n v="6.0000000000000001E-3"/>
    <x v="4"/>
    <s v="Salt"/>
    <s v="Tomkha+CM"/>
    <n v="3500"/>
    <m/>
    <n v="3500"/>
    <n v="0"/>
    <n v="0"/>
    <m/>
    <m/>
    <m/>
    <s v="Newpackage330x330x234 mm.=2040+238"/>
    <m/>
    <m/>
  </r>
  <r>
    <x v="255"/>
    <d v="2024-10-01T00:00:00"/>
    <x v="0"/>
    <s v="Week37"/>
    <x v="8"/>
    <s v="DRY2400671"/>
    <s v="Germany"/>
    <s v="CPFNW"/>
    <s v=" CPF Distribution (under Paulsen Food)"/>
    <s v="Minced ND+V+TK"/>
    <s v="Cooked Wonton"/>
    <s v="Cooked Minced  ND No Egg with Pumpkin_x000a_+ Yu Choy Tomkha"/>
    <s v="082SR3N12003P01001"/>
    <s v="302g*12"/>
    <n v="12"/>
    <n v="3"/>
    <n v="6.0000000000000001E-3"/>
    <x v="4"/>
    <s v="Salt"/>
    <s v="Tomkha+CM"/>
    <n v="2040"/>
    <m/>
    <n v="2040"/>
    <n v="0"/>
    <n v="0"/>
    <m/>
    <m/>
    <m/>
    <s v="Newpackage330x330x234 mm.=2040+238"/>
    <m/>
    <m/>
  </r>
  <r>
    <x v="255"/>
    <d v="2024-09-23T00:00:00"/>
    <x v="0"/>
    <s v="Week37"/>
    <x v="8"/>
    <s v="DRY2400672"/>
    <s v="New Zealand"/>
    <s v="CPFNW"/>
    <s v="Lim Brothers"/>
    <s v="Minced ND+V+TK"/>
    <s v="Cooked Wonton"/>
    <s v="Cooked Minced  ND No Egg with Pumpkin_x000a_+ Yu Choy Tomkha"/>
    <s v="082SRN708003P01001"/>
    <s v="302g*8"/>
    <n v="8"/>
    <n v="3"/>
    <n v="6.0000000000000001E-3"/>
    <x v="4"/>
    <s v="Salt"/>
    <s v="Tomkha+CM"/>
    <n v="325"/>
    <m/>
    <n v="325"/>
    <n v="0"/>
    <n v="0"/>
    <m/>
    <m/>
    <m/>
    <s v="สำรอง บรูไน"/>
    <m/>
    <m/>
  </r>
  <r>
    <x v="256"/>
    <d v="2024-09-23T00:00:00"/>
    <x v="0"/>
    <s v="Week37"/>
    <x v="8"/>
    <s v="DRY2400672"/>
    <s v="New Zealand"/>
    <s v="CPFNW"/>
    <s v="Lim Brothers"/>
    <s v="Wonton ND+V"/>
    <s v="Cooked Wonton"/>
    <s v="Cooked Wonton ND No Egg with Pumpkin_x000a_+ Yu Choy "/>
    <s v="082SJN708004P00001"/>
    <s v="305g*8"/>
    <n v="8"/>
    <n v="4"/>
    <n v="7.4999999999999997E-3"/>
    <x v="5"/>
    <s v="Salt"/>
    <s v="Regular"/>
    <n v="756"/>
    <m/>
    <n v="756"/>
    <n v="0"/>
    <n v="0"/>
    <m/>
    <m/>
    <m/>
    <s v="NEWPACKAGE"/>
    <m/>
    <m/>
  </r>
  <r>
    <x v="256"/>
    <d v="2024-10-10T00:00:00"/>
    <x v="0"/>
    <s v="Week37"/>
    <x v="8"/>
    <s v="DRY2400650"/>
    <s v="Belgium"/>
    <s v="CPFNW"/>
    <s v="CPF EUROPE S.A."/>
    <s v="Wonton ND+V"/>
    <s v="Cooked Wonton"/>
    <s v="Cooked Wonton ND No Egg with Pumpkin _x000a_+ Vegetable  HC  3 pcs"/>
    <s v="082SJ3I08003P00001"/>
    <s v="309g*8"/>
    <n v="8"/>
    <n v="3"/>
    <n v="7.4999999999999997E-3"/>
    <x v="5"/>
    <s v="Salt"/>
    <s v="Regular"/>
    <n v="800"/>
    <m/>
    <n v="840.375"/>
    <n v="40.375"/>
    <n v="0"/>
    <m/>
    <m/>
    <m/>
    <m/>
    <m/>
    <m/>
  </r>
  <r>
    <x v="256"/>
    <d v="2024-09-26T00:00:00"/>
    <x v="0"/>
    <s v="Week37"/>
    <x v="8"/>
    <s v="DRY2400653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256"/>
    <d v="2024-10-03T00:00:00"/>
    <x v="0"/>
    <s v="Week37"/>
    <x v="8"/>
    <s v="DRY2400654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256"/>
    <d v="2024-10-03T00:00:00"/>
    <x v="0"/>
    <s v="Week37"/>
    <x v="8"/>
    <s v="DRY2400655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256"/>
    <d v="2024-10-10T00:00:00"/>
    <x v="0"/>
    <s v="Week37"/>
    <x v="8"/>
    <s v="DRY2400656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256"/>
    <d v="2024-10-10T00:00:00"/>
    <x v="0"/>
    <s v="Week37"/>
    <x v="8"/>
    <s v="DRY2400657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224"/>
    <n v="224"/>
    <m/>
    <n v="0"/>
    <n v="0"/>
    <m/>
    <m/>
    <m/>
    <m/>
    <m/>
    <m/>
  </r>
  <r>
    <x v="257"/>
    <d v="2024-10-10T00:00:00"/>
    <x v="0"/>
    <s v="Week37"/>
    <x v="8"/>
    <s v="DRY2400222"/>
    <s v="Spain"/>
    <s v="CPFNW"/>
    <s v="Mercadona"/>
    <s v="Wonton ND+V"/>
    <s v="Cooked Wonton"/>
    <s v="Cooked Wonton ND No Egg with Pumpkin _x000a_+ Vegetable  HC  3 pcs"/>
    <s v="082SJ5T12003P00001"/>
    <s v="309g*12"/>
    <n v="12"/>
    <n v="3"/>
    <n v="7.4999999999999997E-3"/>
    <x v="5"/>
    <s v="Salt"/>
    <s v="Regular"/>
    <n v="2520"/>
    <n v="2520"/>
    <m/>
    <n v="0"/>
    <n v="0"/>
    <m/>
    <m/>
    <m/>
    <s v="รวบการผลิตให้เป็นวันเดียวกันตามความต้องการของลูกค้า"/>
    <m/>
    <m/>
  </r>
  <r>
    <x v="257"/>
    <d v="2024-10-10T00:00:00"/>
    <x v="0"/>
    <s v="Week37"/>
    <x v="8"/>
    <s v="DRY2400657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568"/>
    <n v="568"/>
    <m/>
    <n v="0"/>
    <n v="0"/>
    <m/>
    <m/>
    <m/>
    <m/>
    <m/>
    <m/>
  </r>
  <r>
    <x v="257"/>
    <d v="2024-10-16T00:00:00"/>
    <x v="0"/>
    <s v="Week37"/>
    <x v="8"/>
    <s v="DRY2400658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257"/>
    <d v="2024-10-16T00:00:00"/>
    <x v="0"/>
    <s v="Week37"/>
    <x v="8"/>
    <s v="DRY2400659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257"/>
    <d v="2024-10-24T00:00:00"/>
    <x v="0"/>
    <s v="Week37"/>
    <x v="8"/>
    <s v="DRY2400660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13"/>
    <n v="713"/>
    <m/>
    <n v="0"/>
    <n v="0"/>
    <m/>
    <m/>
    <m/>
    <m/>
    <m/>
    <m/>
  </r>
  <r>
    <x v="258"/>
    <m/>
    <x v="0"/>
    <s v="Week37"/>
    <x v="8"/>
    <m/>
    <m/>
    <m/>
    <m/>
    <m/>
    <m/>
    <m/>
    <m/>
    <m/>
    <m/>
    <m/>
    <m/>
    <x v="0"/>
    <m/>
    <m/>
    <m/>
    <m/>
    <m/>
    <m/>
    <m/>
    <m/>
    <m/>
    <m/>
    <m/>
    <m/>
    <m/>
  </r>
  <r>
    <x v="259"/>
    <d v="2024-09-20T00:00:00"/>
    <x v="0"/>
    <s v="Week38"/>
    <x v="8"/>
    <s v="ขายภายใน"/>
    <s v="5 Stars"/>
    <s v="5 Stars"/>
    <s v="CPFB"/>
    <s v="EP+Wonton"/>
    <s v="Cooked Wonton"/>
    <s v="Cooked Wonton with egg "/>
    <s v="082S81N16020P00001"/>
    <s v="20 pcs*16"/>
    <n v="64"/>
    <n v="5"/>
    <n v="7.0000000000000001E-3"/>
    <x v="3"/>
    <s v="STPP"/>
    <m/>
    <n v="100"/>
    <n v="100"/>
    <n v="11.0625"/>
    <n v="11.0625"/>
    <n v="0"/>
    <m/>
    <m/>
    <m/>
    <m/>
    <m/>
    <m/>
  </r>
  <r>
    <x v="259"/>
    <d v="2024-10-15T00:00:00"/>
    <x v="0"/>
    <s v="Week38"/>
    <x v="8"/>
    <s v="DRY2400427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m/>
    <m/>
    <m/>
    <s v="ใช้ package ที่เป็น หมึกพิมพ์ใหม่"/>
    <m/>
    <m/>
  </r>
  <r>
    <x v="259"/>
    <d v="2024-10-10T00:00:00"/>
    <x v="0"/>
    <s v="Week38"/>
    <x v="8"/>
    <s v="DRY2400617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086"/>
    <n v="1086"/>
    <m/>
    <n v="0"/>
    <n v="0"/>
    <m/>
    <m/>
    <m/>
    <m/>
    <m/>
    <m/>
  </r>
  <r>
    <x v="259"/>
    <d v="2024-10-10T00:00:00"/>
    <x v="0"/>
    <s v="Week38"/>
    <x v="8"/>
    <s v="DRY2400618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60"/>
    <n v="60"/>
    <m/>
    <n v="0"/>
    <n v="0"/>
    <m/>
    <m/>
    <m/>
    <m/>
    <m/>
    <m/>
  </r>
  <r>
    <x v="259"/>
    <d v="2024-10-30T00:00:00"/>
    <x v="0"/>
    <s v="Week38"/>
    <x v="8"/>
    <s v="DRY2400629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121"/>
    <n v="121"/>
    <m/>
    <n v="0"/>
    <n v="0"/>
    <m/>
    <m/>
    <m/>
    <m/>
    <m/>
    <m/>
  </r>
  <r>
    <x v="259"/>
    <d v="2024-09-30T00:00:00"/>
    <x v="0"/>
    <s v="Week38"/>
    <x v="8"/>
    <s v="DRY2400630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1148"/>
    <n v="1148"/>
    <m/>
    <n v="0"/>
    <n v="0"/>
    <m/>
    <m/>
    <m/>
    <m/>
    <m/>
    <m/>
  </r>
  <r>
    <x v="260"/>
    <d v="2024-10-24T00:00:00"/>
    <x v="0"/>
    <s v="Week38"/>
    <x v="8"/>
    <s v="DRY2400660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"/>
    <n v="79"/>
    <m/>
    <n v="0"/>
    <n v="0"/>
    <m/>
    <m/>
    <m/>
    <m/>
    <m/>
    <m/>
  </r>
  <r>
    <x v="260"/>
    <d v="2024-10-24T00:00:00"/>
    <x v="0"/>
    <s v="Week38"/>
    <x v="8"/>
    <s v="DRY2400661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48"/>
    <n v="44"/>
    <n v="0"/>
    <n v="0"/>
    <m/>
    <m/>
    <m/>
    <m/>
    <m/>
    <m/>
  </r>
  <r>
    <x v="260"/>
    <d v="2024-09-30T00:00:00"/>
    <x v="0"/>
    <s v="Week38"/>
    <x v="8"/>
    <s v="DRY2400630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140"/>
    <n v="140"/>
    <m/>
    <n v="0"/>
    <n v="0"/>
    <m/>
    <m/>
    <m/>
    <m/>
    <m/>
    <m/>
  </r>
  <r>
    <x v="260"/>
    <d v="2024-10-05T00:00:00"/>
    <x v="0"/>
    <s v="Week38"/>
    <x v="8"/>
    <s v="DRY2400568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1288"/>
    <n v="1288"/>
    <m/>
    <n v="0"/>
    <n v="0"/>
    <m/>
    <m/>
    <m/>
    <m/>
    <m/>
    <m/>
  </r>
  <r>
    <x v="260"/>
    <d v="2024-10-05T00:00:00"/>
    <x v="0"/>
    <s v="Week38"/>
    <x v="8"/>
    <s v="DRY2400558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1288"/>
    <n v="1288"/>
    <m/>
    <n v="0"/>
    <n v="0"/>
    <m/>
    <m/>
    <m/>
    <m/>
    <m/>
    <m/>
  </r>
  <r>
    <x v="260"/>
    <d v="2024-10-07T00:00:00"/>
    <x v="0"/>
    <s v="Week38"/>
    <x v="8"/>
    <s v="DRY2400631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104"/>
    <n v="104"/>
    <m/>
    <n v="0"/>
    <n v="0"/>
    <m/>
    <m/>
    <m/>
    <m/>
    <m/>
    <m/>
  </r>
  <r>
    <x v="261"/>
    <d v="2024-09-26T00:00:00"/>
    <x v="0"/>
    <s v="Week38"/>
    <x v="8"/>
    <s v="KL2400028"/>
    <s v="China"/>
    <s v="China"/>
    <s v="Charoen Pokphand Import&amp;Export Trading (Shanghai) Co., Ltd"/>
    <s v="R-Wonton no egg"/>
    <s v="Raw Wonton"/>
    <s v="Raw Wonton 50 pcs"/>
    <s v="082I95J08050P03001"/>
    <s v="630g*8in"/>
    <n v="8"/>
    <n v="50"/>
    <n v="6.8100000000000001E-3"/>
    <x v="3"/>
    <s v="STPP"/>
    <s v="ซุปซอง 5g."/>
    <n v="400"/>
    <n v="400"/>
    <m/>
    <n v="0"/>
    <n v="0"/>
    <n v="0"/>
    <n v="6"/>
    <n v="0"/>
    <m/>
    <m/>
    <m/>
  </r>
  <r>
    <x v="261"/>
    <d v="2024-09-26T00:00:00"/>
    <x v="0"/>
    <s v="Week38"/>
    <x v="8"/>
    <s v="KL2400028"/>
    <s v="China"/>
    <s v="China"/>
    <s v="Charoen Pokphand Import&amp;Export Trading (Shanghai) Co., Ltd"/>
    <s v="R-Wonton no egg"/>
    <s v="Raw Wonton"/>
    <s v="Raw Wonton 12 pcs"/>
    <s v="082I95J20012P04001"/>
    <s v="144g*20in"/>
    <n v="20"/>
    <n v="12"/>
    <n v="6.8100000000000001E-3"/>
    <x v="3"/>
    <s v="STPP"/>
    <s v="ซุปซอง 5g."/>
    <n v="780"/>
    <n v="280"/>
    <n v="500"/>
    <n v="0"/>
    <n v="0"/>
    <n v="0"/>
    <n v="2"/>
    <n v="0"/>
    <m/>
    <m/>
    <m/>
  </r>
  <r>
    <x v="261"/>
    <d v="2024-10-10T00:00:00"/>
    <x v="0"/>
    <s v="Week38"/>
    <x v="8"/>
    <s v="DRY2400650"/>
    <s v="Belgium"/>
    <s v="CPFNW"/>
    <s v="CPF EUROPE S.A."/>
    <s v="R-Wonton no egg"/>
    <s v="Raw Wonton"/>
    <s v="Raw Wonton 50 pcs"/>
    <s v="082I93I10050P02001"/>
    <s v="630g*10inner"/>
    <n v="10"/>
    <n v="50"/>
    <n v="8.1300000000000001E-3"/>
    <x v="1"/>
    <s v="Salt"/>
    <s v="ซุปซอง 5g."/>
    <n v="300"/>
    <n v="300"/>
    <m/>
    <n v="0"/>
    <n v="0"/>
    <n v="0"/>
    <n v="6"/>
    <n v="0"/>
    <m/>
    <m/>
    <m/>
  </r>
  <r>
    <x v="261"/>
    <s v="09-2024"/>
    <x v="0"/>
    <s v="Week38"/>
    <x v="8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363"/>
    <n v="363"/>
    <m/>
    <n v="0"/>
    <n v="0"/>
    <n v="0"/>
    <m/>
    <n v="0"/>
    <m/>
    <m/>
    <m/>
  </r>
  <r>
    <x v="262"/>
    <d v="2024-10-07T00:00:00"/>
    <x v="0"/>
    <s v="Week38"/>
    <x v="8"/>
    <s v="DRY2400631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1184"/>
    <n v="1184"/>
    <m/>
    <n v="0"/>
    <n v="0"/>
    <m/>
    <m/>
    <m/>
    <m/>
    <m/>
    <m/>
  </r>
  <r>
    <x v="262"/>
    <d v="2024-10-08T00:00:00"/>
    <x v="0"/>
    <s v="Week38"/>
    <x v="8"/>
    <s v="DRY2400571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1288"/>
    <n v="1288"/>
    <m/>
    <n v="0"/>
    <n v="0"/>
    <m/>
    <m/>
    <m/>
    <m/>
    <m/>
    <m/>
  </r>
  <r>
    <x v="262"/>
    <d v="2024-10-03T00:00:00"/>
    <x v="0"/>
    <s v="Week38"/>
    <x v="8"/>
    <s v="DRY2400479"/>
    <s v="CAN "/>
    <s v="CPFNW "/>
    <s v="CP Foods Canada,Inc (CPFC)"/>
    <s v="Wonton+TY"/>
    <s v="Cooked Wonton"/>
    <s v="Wonton Soup  (Enriched wonton sheet)"/>
    <s v="082S85336005P02001"/>
    <s v="147g*6c*6in"/>
    <n v="36"/>
    <n v="5"/>
    <n v="7.4999999999999997E-3"/>
    <x v="1"/>
    <s v="Salt"/>
    <s v="TYEX+CO"/>
    <n v="1288"/>
    <n v="1288"/>
    <m/>
    <n v="0"/>
    <n v="0"/>
    <m/>
    <m/>
    <m/>
    <m/>
    <m/>
    <m/>
  </r>
  <r>
    <x v="262"/>
    <d v="2024-11-06T00:00:00"/>
    <x v="0"/>
    <s v="Week38"/>
    <x v="8"/>
    <s v="DRY2400477"/>
    <s v="CAN "/>
    <s v="CPFNW "/>
    <s v="CP Foods Canada,Inc (CPFC)"/>
    <s v="Wonton+TY"/>
    <s v="Cooked Wonton"/>
    <s v="Wonton Soup  (Enriched wonton sheet)"/>
    <s v="082S85336005P02001"/>
    <s v="147g*6c*6in"/>
    <n v="36"/>
    <n v="5"/>
    <n v="7.4999999999999997E-3"/>
    <x v="1"/>
    <s v="Salt"/>
    <s v="TYEX+CO"/>
    <n v="39"/>
    <n v="39"/>
    <m/>
    <n v="0"/>
    <n v="0"/>
    <m/>
    <m/>
    <m/>
    <m/>
    <m/>
    <m/>
  </r>
  <r>
    <x v="262"/>
    <d v="2024-10-10T00:00:00"/>
    <x v="0"/>
    <s v="Week38"/>
    <x v="8"/>
    <s v="DRY2400650"/>
    <s v="Belgium"/>
    <s v="CPFNW"/>
    <s v="CPF EUROPE S.A."/>
    <s v="Wonton+TY"/>
    <s v="Cooked Wonton"/>
    <s v="Cooked Wonton  No Egg _x000a_+ 4 pcs"/>
    <s v="082S83I08004P01001"/>
    <s v="129g*8"/>
    <n v="8"/>
    <n v="4"/>
    <n v="8.1300000000000001E-3"/>
    <x v="1"/>
    <s v="Salt"/>
    <s v="TYEX+CO"/>
    <n v="600"/>
    <m/>
    <n v="607.625"/>
    <n v="7.625"/>
    <n v="0"/>
    <m/>
    <m/>
    <m/>
    <m/>
    <m/>
    <m/>
  </r>
  <r>
    <x v="263"/>
    <d v="2024-10-11T00:00:00"/>
    <x v="0"/>
    <s v="Week38"/>
    <x v="8"/>
    <s v="DRY240054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08"/>
    <n v="508"/>
    <m/>
    <n v="0"/>
    <n v="0"/>
    <m/>
    <m/>
    <m/>
    <m/>
    <m/>
    <m/>
  </r>
  <r>
    <x v="263"/>
    <d v="2024-10-11T00:00:00"/>
    <x v="0"/>
    <s v="Week38"/>
    <x v="8"/>
    <s v="DRY240059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63"/>
    <d v="2024-10-11T00:00:00"/>
    <x v="0"/>
    <s v="Week38"/>
    <x v="8"/>
    <s v="DRY240059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63"/>
    <d v="2024-10-11T00:00:00"/>
    <x v="0"/>
    <s v="Week38"/>
    <x v="8"/>
    <s v="DRY240059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63"/>
    <d v="2024-10-11T00:00:00"/>
    <x v="0"/>
    <s v="Week38"/>
    <x v="8"/>
    <s v="DRY240060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61"/>
    <n v="161"/>
    <m/>
    <n v="0"/>
    <n v="0"/>
    <m/>
    <m/>
    <m/>
    <m/>
    <m/>
    <m/>
  </r>
  <r>
    <x v="263"/>
    <d v="2024-10-08T00:00:00"/>
    <x v="0"/>
    <s v="Week38"/>
    <x v="8"/>
    <s v="DRY2400688"/>
    <s v="Denmark"/>
    <s v="CPFNW"/>
    <s v="CPF DENMARK"/>
    <s v="Wonton ND+V+TY"/>
    <s v="Cooked Wonton"/>
    <s v="Cooked Wonton ND No Egg with Pumpkin _x000a_+ Vegetable  HC  3 pcs tomyam"/>
    <s v="082SJKW08003P00001"/>
    <s v="309g*8"/>
    <n v="8"/>
    <n v="3"/>
    <n v="7.4999999999999997E-3"/>
    <x v="1"/>
    <s v="Salt"/>
    <s v="TYANS+CM"/>
    <n v="3500"/>
    <m/>
    <n v="3500"/>
    <n v="0"/>
    <n v="0"/>
    <m/>
    <m/>
    <m/>
    <s v="ต้มยำสูตรลดเผ็ดลง 10 %"/>
    <m/>
    <m/>
  </r>
  <r>
    <x v="264"/>
    <d v="2024-10-01T00:00:00"/>
    <x v="0"/>
    <s v="Week38"/>
    <x v="8"/>
    <s v="DRY2400649"/>
    <s v="UK"/>
    <s v="CPFNW"/>
    <s v="Westbridge Foods Limited (One UK)"/>
    <s v="Minced ND"/>
    <s v="Cooked Wonton"/>
    <s v="Cooked Minced Wonton Noodle No Egg"/>
    <s v="082SRWE24005P00001"/>
    <s v="258g*4c*6in"/>
    <n v="24"/>
    <n v="5"/>
    <n v="6.0000000000000001E-3"/>
    <x v="4"/>
    <s v="Salt"/>
    <s v="Regular"/>
    <n v="4"/>
    <m/>
    <n v="4"/>
    <n v="0"/>
    <n v="0"/>
    <m/>
    <m/>
    <m/>
    <m/>
    <m/>
    <m/>
  </r>
  <r>
    <x v="264"/>
    <d v="2024-10-01T00:00:00"/>
    <x v="0"/>
    <s v="Week38"/>
    <x v="8"/>
    <s v="DRY2400649"/>
    <s v="UK"/>
    <s v="CPFNW"/>
    <s v="Westbridge Foods Limited (One UK)"/>
    <s v="Minced ND"/>
    <s v="Cooked Wonton"/>
    <s v="Cooked Minced Wonton Noodle No Egg"/>
    <s v="082SRWE24005P00001"/>
    <s v="258g*4c*6in"/>
    <n v="24"/>
    <n v="5"/>
    <n v="6.0000000000000001E-3"/>
    <x v="4"/>
    <s v="Salt"/>
    <s v="Regular"/>
    <n v="1176"/>
    <n v="1174"/>
    <n v="34.375"/>
    <n v="32.375"/>
    <n v="0"/>
    <m/>
    <m/>
    <m/>
    <m/>
    <m/>
    <m/>
  </r>
  <r>
    <x v="264"/>
    <d v="2024-10-03T00:00:00"/>
    <x v="0"/>
    <s v="Week38"/>
    <x v="8"/>
    <s v="DRY2400586"/>
    <s v="New Zealand"/>
    <s v="CPFNW"/>
    <s v="Lim Brothers"/>
    <s v="Wonton ND+V"/>
    <s v="Cooked Wonton"/>
    <s v="Cooked Wonton ND No Egg with Pumpkin_x000a_+ Yu Choy "/>
    <s v="082SJN736005P00001"/>
    <s v="308g*6c*6in"/>
    <n v="36"/>
    <n v="5"/>
    <n v="7.4999999999999997E-3"/>
    <x v="5"/>
    <s v="Salt"/>
    <s v="Regular"/>
    <n v="320"/>
    <n v="320"/>
    <m/>
    <n v="0"/>
    <n v="0"/>
    <m/>
    <m/>
    <m/>
    <m/>
    <m/>
    <m/>
  </r>
  <r>
    <x v="264"/>
    <d v="2024-11-21T00:00:00"/>
    <x v="0"/>
    <s v="Week38"/>
    <x v="8"/>
    <s v="DRY2400699"/>
    <s v="New Zealand"/>
    <s v="CPFNW"/>
    <s v="Lim Brothers"/>
    <s v="Wonton ND+V"/>
    <s v="Cooked Wonton"/>
    <s v="Cooked Wonton ND No Egg with Pumpkin_x000a_+ Yu Choy "/>
    <s v="082SJN736005P00001"/>
    <s v="308g*6c*6in"/>
    <n v="36"/>
    <n v="5"/>
    <n v="7.4999999999999997E-3"/>
    <x v="5"/>
    <s v="Salt"/>
    <s v="Regular"/>
    <n v="320"/>
    <n v="291"/>
    <n v="29"/>
    <n v="0"/>
    <n v="0"/>
    <m/>
    <m/>
    <m/>
    <s v="การตลาดรับทราบเรื่อง 2 วันหมดอายุในตู้เดียวกัน"/>
    <m/>
    <m/>
  </r>
  <r>
    <x v="264"/>
    <d v="2024-10-10T00:00:00"/>
    <x v="0"/>
    <s v="Week38"/>
    <x v="8"/>
    <s v="DRY2400673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+CO"/>
    <n v="924"/>
    <n v="924"/>
    <m/>
    <n v="0"/>
    <n v="0"/>
    <m/>
    <m/>
    <m/>
    <m/>
    <m/>
    <m/>
  </r>
  <r>
    <x v="264"/>
    <d v="2024-10-01T00:00:00"/>
    <x v="0"/>
    <s v="Week38"/>
    <x v="8"/>
    <s v="DRY2400687"/>
    <s v="Denmark"/>
    <s v="CPFNW"/>
    <s v="CPF DENMARK"/>
    <s v="Minced ND+V+TY"/>
    <s v="Cooked Wonton"/>
    <s v="Cooked Minced  ND No Egg with Pumpkin_x000a_+ Yu Choy Tomyum"/>
    <s v="082SRRE12003P00001"/>
    <s v="302g*12"/>
    <n v="12"/>
    <n v="3"/>
    <n v="6.0000000000000001E-3"/>
    <x v="4"/>
    <s v="Salt"/>
    <s v="TYEX+CO"/>
    <n v="2520"/>
    <n v="2520"/>
    <m/>
    <n v="0"/>
    <n v="0"/>
    <m/>
    <m/>
    <m/>
    <s v="rema"/>
    <m/>
    <m/>
  </r>
  <r>
    <x v="264"/>
    <d v="2024-10-08T00:00:00"/>
    <x v="0"/>
    <s v="Week38"/>
    <x v="8"/>
    <s v="DRY2400480"/>
    <s v="Germany"/>
    <s v="CPFNW"/>
    <s v=" CPF Distribution (under Paulsen Food)"/>
    <s v="Minced ND+V+TY"/>
    <s v="Cooked Wonton"/>
    <s v="Cooked Minced  ND No Egg with Pumpkin_x000a_+ Yu Choy Tomyum"/>
    <s v="082SR3N12003P00001"/>
    <s v="302g*12"/>
    <n v="12"/>
    <n v="3"/>
    <n v="6.0000000000000001E-3"/>
    <x v="4"/>
    <s v="Salt"/>
    <s v="TYEX+CO"/>
    <n v="2040"/>
    <m/>
    <n v="2079.0833333333335"/>
    <n v="39.083333333333485"/>
    <n v="0"/>
    <m/>
    <m/>
    <m/>
    <m/>
    <m/>
    <m/>
  </r>
  <r>
    <x v="265"/>
    <m/>
    <x v="0"/>
    <s v="Week38"/>
    <x v="8"/>
    <m/>
    <m/>
    <m/>
    <m/>
    <m/>
    <m/>
    <m/>
    <m/>
    <m/>
    <m/>
    <m/>
    <m/>
    <x v="0"/>
    <m/>
    <m/>
    <m/>
    <m/>
    <m/>
    <m/>
    <m/>
    <m/>
    <m/>
    <m/>
    <m/>
    <m/>
    <m/>
  </r>
  <r>
    <x v="266"/>
    <s v="10-2024"/>
    <x v="0"/>
    <s v="Week39"/>
    <x v="8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211"/>
    <n v="211"/>
    <m/>
    <n v="0"/>
    <n v="0"/>
    <n v="0"/>
    <m/>
    <n v="0"/>
    <m/>
    <m/>
    <m/>
  </r>
  <r>
    <x v="266"/>
    <s v="10-2024"/>
    <x v="0"/>
    <s v="Week39"/>
    <x v="8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308"/>
    <n v="308"/>
    <m/>
    <n v="0"/>
    <n v="0"/>
    <n v="0"/>
    <m/>
    <n v="0"/>
    <m/>
    <m/>
    <m/>
  </r>
  <r>
    <x v="266"/>
    <d v="2024-10-02T00:00:00"/>
    <x v="0"/>
    <s v="Week39"/>
    <x v="8"/>
    <s v="DRY2400674"/>
    <s v="SG"/>
    <s v="CPFNW"/>
    <s v="CPI SINGAPORE"/>
    <s v="R-Minced egg past"/>
    <s v="Raw Wonton"/>
    <s v="Raw Minced Wonton 8 pcs"/>
    <s v="082ID3B18008P00001"/>
    <s v="90g*18in"/>
    <n v="18"/>
    <n v="8"/>
    <n v="6.0000000000000001E-3"/>
    <x v="4"/>
    <s v="STPP"/>
    <s v="ซุปซอง 5g."/>
    <n v="600"/>
    <n v="600"/>
    <m/>
    <n v="0"/>
    <n v="0"/>
    <n v="0"/>
    <n v="2"/>
    <n v="0"/>
    <m/>
    <m/>
    <m/>
  </r>
  <r>
    <x v="266"/>
    <d v="2024-10-29T00:00:00"/>
    <x v="0"/>
    <s v="Week39"/>
    <x v="8"/>
    <s v="DRY2400693"/>
    <s v="Malay"/>
    <s v="CPFNW"/>
    <s v="CPM Malaysia"/>
    <s v="R-Wonton egg past"/>
    <s v="Raw Wonton"/>
    <s v="Raw Wonton 12 pcs"/>
    <s v="082I95I20012P02001"/>
    <s v="154g*20inner"/>
    <n v="20"/>
    <n v="12"/>
    <n v="6.8100000000000001E-3"/>
    <x v="3"/>
    <s v="STPP"/>
    <s v="ซุปซอง 5g."/>
    <n v="350"/>
    <n v="350"/>
    <m/>
    <n v="0"/>
    <n v="0"/>
    <n v="0"/>
    <n v="2"/>
    <n v="0"/>
    <m/>
    <m/>
    <m/>
  </r>
  <r>
    <x v="266"/>
    <d v="2024-10-28T00:00:00"/>
    <x v="0"/>
    <s v="Week39"/>
    <x v="8"/>
    <s v="DRY2400685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1350"/>
    <n v="373"/>
    <n v="977"/>
    <n v="0"/>
    <n v="0"/>
    <n v="0"/>
    <n v="1"/>
    <n v="0"/>
    <m/>
    <m/>
    <m/>
  </r>
  <r>
    <x v="266"/>
    <d v="2024-10-28T00:00:00"/>
    <x v="0"/>
    <s v="Week39"/>
    <x v="8"/>
    <s v="DRY2400685"/>
    <s v="HK"/>
    <s v="CPFNW"/>
    <s v="CPM Hongkong"/>
    <s v="R-Minced egg past"/>
    <s v="Raw Wonton"/>
    <s v="Raw Minced Wonton 8 pcs"/>
    <s v="082ID3G18008P00001"/>
    <s v="90g*18in"/>
    <n v="18"/>
    <n v="8"/>
    <n v="6.0000000000000001E-3"/>
    <x v="4"/>
    <s v="STPP"/>
    <s v="ซุปซอง 5g."/>
    <n v="550"/>
    <n v="550"/>
    <m/>
    <n v="0"/>
    <n v="0"/>
    <n v="0"/>
    <n v="2"/>
    <n v="0"/>
    <m/>
    <m/>
    <m/>
  </r>
  <r>
    <x v="266"/>
    <s v="10.2024"/>
    <x v="0"/>
    <s v="Week39"/>
    <x v="8"/>
    <s v="ขายภายใน"/>
    <s v=".7-11"/>
    <s v="CPFGS"/>
    <s v="ซีพีเอฟ เทรดดิ้ง"/>
    <s v="Wonton"/>
    <s v="Cooked Wonton"/>
    <s v="เกี๊ยวกุ้งทรัฟเฟิลซุปน้ำดำ CP 143g 7E"/>
    <s v="082S81A24005P0C001"/>
    <s v="143g*24"/>
    <n v="24"/>
    <n v="5"/>
    <n v="6.1999999999999998E-3"/>
    <x v="2"/>
    <s v="STPP"/>
    <s v="น้ำดำ"/>
    <m/>
    <m/>
    <m/>
    <n v="0"/>
    <n v="0"/>
    <m/>
    <m/>
    <m/>
    <m/>
    <m/>
    <m/>
  </r>
  <r>
    <x v="267"/>
    <s v="10.2024"/>
    <x v="0"/>
    <s v="Week39"/>
    <x v="8"/>
    <s v="ขายภายใน"/>
    <s v="MTFS"/>
    <s v="CPFGS"/>
    <s v="ซีพีเอฟ เทรดดิ้ง"/>
    <s v="E+Wonton"/>
    <s v="Cooked Wonton"/>
    <s v="Cooked Wonton  with egg V-Food"/>
    <s v="082S83Q12005P05000"/>
    <s v="145g*12"/>
    <n v="12"/>
    <n v="5"/>
    <n v="8.0000000000000002E-3"/>
    <x v="1"/>
    <s v="STPP"/>
    <s v="Regular"/>
    <n v="12"/>
    <n v="12"/>
    <m/>
    <n v="0"/>
    <n v="0"/>
    <m/>
    <m/>
    <m/>
    <m/>
    <m/>
    <m/>
  </r>
  <r>
    <x v="267"/>
    <s v="10.2024"/>
    <x v="0"/>
    <s v="Week39"/>
    <x v="8"/>
    <s v="ขายภายใน"/>
    <s v="MTFS"/>
    <s v="CPFGS"/>
    <s v="ซีพีเอฟ เทรดดิ้ง"/>
    <s v="E+Wonton"/>
    <s v="Cooked Wonton"/>
    <s v="Cooked Wonton  with egg V-Food"/>
    <s v="082S83Q12005P05001"/>
    <s v="145g*12"/>
    <n v="12"/>
    <n v="5"/>
    <n v="8.0000000000000002E-3"/>
    <x v="1"/>
    <s v="STPP"/>
    <s v="Regular"/>
    <n v="4378"/>
    <n v="4378"/>
    <m/>
    <n v="0"/>
    <n v="0"/>
    <m/>
    <m/>
    <m/>
    <m/>
    <m/>
    <m/>
  </r>
  <r>
    <x v="267"/>
    <s v="10.2024"/>
    <x v="0"/>
    <s v="Week39"/>
    <x v="8"/>
    <s v="ขายภายใน"/>
    <s v="MTFS"/>
    <s v="CPFGS"/>
    <s v="ซีพีเอฟ เทรดดิ้ง"/>
    <s v="E+Wonton+หมาล่า"/>
    <s v="Cooked Wonton"/>
    <s v="เกี๊ยวกุ้งจักรพรรดิซุปหมาล่า (ตรา ซีพี)_MT"/>
    <s v="082S83Q12005P06001"/>
    <s v="143g*12"/>
    <n v="12"/>
    <n v="5"/>
    <n v="6.1999999999999998E-3"/>
    <x v="2"/>
    <s v="STPP"/>
    <s v="หมาล่า"/>
    <n v="783"/>
    <n v="783"/>
    <m/>
    <n v="0"/>
    <n v="0"/>
    <m/>
    <m/>
    <m/>
    <m/>
    <m/>
    <m/>
  </r>
  <r>
    <x v="267"/>
    <s v="10.2024"/>
    <x v="0"/>
    <s v="Week39"/>
    <x v="8"/>
    <s v="ขายภายใน"/>
    <s v="MTFS"/>
    <s v="CPFGS"/>
    <s v="ซีพีเอฟ เทรดดิ้ง"/>
    <s v="E+Wonton+หมาล่า"/>
    <s v="Cooked Wonton"/>
    <s v="เกี๊ยวกุ้งจักรพรรดิซุปหมาล่า (ตรา ซีพี)_MT"/>
    <s v="082S83Q12005P06001"/>
    <s v="143g*12"/>
    <n v="12"/>
    <n v="5"/>
    <n v="6.1999999999999998E-3"/>
    <x v="2"/>
    <s v="STPP"/>
    <s v="หมาล่า"/>
    <n v="447"/>
    <n v="447"/>
    <m/>
    <n v="0"/>
    <n v="0"/>
    <m/>
    <m/>
    <m/>
    <m/>
    <m/>
    <m/>
  </r>
  <r>
    <x v="267"/>
    <s v="10.2024"/>
    <x v="0"/>
    <s v="Week39"/>
    <x v="8"/>
    <s v="ขายภายใน"/>
    <s v="MTFS"/>
    <s v="CPFGS"/>
    <s v="ซีพีเอฟ เทรดดิ้ง"/>
    <s v="E+Wonton TY"/>
    <s v="Cooked Wonton"/>
    <s v="Cooked Wonton Tomyum with egg.V-Food TY"/>
    <s v="082S83Q12005P04001"/>
    <s v="115g*12"/>
    <n v="12"/>
    <n v="5"/>
    <n v="8.0000000000000002E-3"/>
    <x v="1"/>
    <s v="STPP"/>
    <s v="TYTB3C 30G"/>
    <n v="767"/>
    <n v="767"/>
    <m/>
    <n v="0"/>
    <n v="0"/>
    <m/>
    <n v="1"/>
    <n v="0"/>
    <m/>
    <m/>
    <m/>
  </r>
  <r>
    <x v="267"/>
    <s v="10.2024"/>
    <x v="0"/>
    <s v="Week39"/>
    <x v="8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972"/>
    <n v="971"/>
    <n v="1"/>
    <n v="0"/>
    <n v="0"/>
    <m/>
    <n v="1"/>
    <n v="0"/>
    <m/>
    <m/>
    <m/>
  </r>
  <r>
    <x v="267"/>
    <s v="10.2024"/>
    <x v="0"/>
    <s v="Week39"/>
    <x v="8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1719"/>
    <n v="1719"/>
    <m/>
    <n v="0"/>
    <n v="0"/>
    <m/>
    <m/>
    <m/>
    <m/>
    <m/>
    <m/>
  </r>
  <r>
    <x v="268"/>
    <s v="10.2024"/>
    <x v="0"/>
    <s v="Week39"/>
    <x v="8"/>
    <s v="ขายภายใน"/>
    <s v="MTFS"/>
    <s v="CPFGS"/>
    <s v="ซีพีเอฟ เทรดดิ้ง"/>
    <s v="E+Wonton NDE"/>
    <s v="Cooked Wonton"/>
    <s v="Cooked Wonton ND with egg V-Food"/>
    <s v="082SJ3Q12003P07001"/>
    <s v="226g*12"/>
    <n v="12"/>
    <n v="3"/>
    <n v="8.0000000000000002E-3"/>
    <x v="1"/>
    <s v="STPP"/>
    <s v="Regular"/>
    <n v="791"/>
    <n v="791"/>
    <m/>
    <n v="0"/>
    <n v="0"/>
    <m/>
    <m/>
    <m/>
    <m/>
    <m/>
    <m/>
  </r>
  <r>
    <x v="268"/>
    <s v="10.2024"/>
    <x v="0"/>
    <s v="Week39"/>
    <x v="8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5666"/>
    <n v="5666"/>
    <m/>
    <n v="0"/>
    <n v="0"/>
    <m/>
    <m/>
    <m/>
    <m/>
    <m/>
    <m/>
  </r>
  <r>
    <x v="268"/>
    <s v="11.2024"/>
    <x v="0"/>
    <s v="Week39"/>
    <x v="8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102"/>
    <n v="102"/>
    <m/>
    <n v="0"/>
    <n v="0"/>
    <m/>
    <m/>
    <m/>
    <m/>
    <m/>
    <m/>
  </r>
  <r>
    <x v="268"/>
    <s v="10.2024"/>
    <x v="0"/>
    <s v="Week39"/>
    <x v="8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357"/>
    <m/>
    <n v="357"/>
    <n v="0"/>
    <n v="0"/>
    <m/>
    <n v="1"/>
    <n v="0"/>
    <s v="pk เข้า 4/10"/>
    <m/>
    <m/>
  </r>
  <r>
    <x v="269"/>
    <d v="2024-10-16T00:00:00"/>
    <x v="0"/>
    <s v="Week39"/>
    <x v="8"/>
    <s v="DRY2400667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70"/>
    <n v="18"/>
    <n v="0"/>
    <n v="0"/>
    <m/>
    <m/>
    <m/>
    <m/>
    <m/>
    <m/>
  </r>
  <r>
    <x v="269"/>
    <d v="2024-10-11T00:00:00"/>
    <x v="0"/>
    <s v="Week39"/>
    <x v="8"/>
    <s v="DRY2400566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1288"/>
    <n v="1288"/>
    <m/>
    <n v="0"/>
    <n v="0"/>
    <m/>
    <m/>
    <m/>
    <m/>
    <m/>
    <m/>
  </r>
  <r>
    <x v="269"/>
    <d v="2024-10-18T00:00:00"/>
    <x v="0"/>
    <s v="Week39"/>
    <x v="8"/>
    <s v="DRY2400567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1288"/>
    <n v="1288"/>
    <m/>
    <n v="0"/>
    <n v="0"/>
    <m/>
    <m/>
    <m/>
    <m/>
    <m/>
    <m/>
  </r>
  <r>
    <x v="269"/>
    <d v="2024-10-18T00:00:00"/>
    <x v="0"/>
    <s v="Week39"/>
    <x v="8"/>
    <s v="DRY2400570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43"/>
    <n v="43"/>
    <m/>
    <n v="0"/>
    <n v="0"/>
    <m/>
    <m/>
    <m/>
    <m/>
    <m/>
    <m/>
  </r>
  <r>
    <x v="270"/>
    <d v="2024-10-31T00:00:00"/>
    <x v="0"/>
    <s v="Week39"/>
    <x v="8"/>
    <s v="DRY2400608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m/>
    <m/>
    <m/>
    <m/>
    <m/>
    <m/>
  </r>
  <r>
    <x v="270"/>
    <d v="2024-10-07T00:00:00"/>
    <x v="0"/>
    <s v="Week39"/>
    <x v="8"/>
    <s v="DRY2400470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163"/>
    <m/>
    <n v="163"/>
    <n v="0"/>
    <n v="0"/>
    <m/>
    <m/>
    <m/>
    <m/>
    <m/>
    <m/>
  </r>
  <r>
    <x v="270"/>
    <d v="2024-11-04T00:00:00"/>
    <x v="0"/>
    <s v="Week39"/>
    <x v="8"/>
    <s v="DRY2400471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1332"/>
    <m/>
    <n v="1809.25"/>
    <n v="477.25"/>
    <n v="0"/>
    <m/>
    <m/>
    <m/>
    <m/>
    <m/>
    <m/>
  </r>
  <r>
    <x v="270"/>
    <d v="2024-10-29T00:00:00"/>
    <x v="0"/>
    <s v="Week39"/>
    <x v="8"/>
    <s v="DRY2400693"/>
    <s v="Malay"/>
    <s v="CPFNW"/>
    <s v="CPM Malaysia"/>
    <s v="Wonton+TY"/>
    <s v="Cooked Wonton"/>
    <s v="Cooked Wonton No Egg  TY"/>
    <s v="082S85I24005P02001"/>
    <s v="115g*24"/>
    <n v="24"/>
    <n v="5"/>
    <n v="8.0000000000000002E-3"/>
    <x v="1"/>
    <s v="STPP"/>
    <s v="TYTB3C 30G"/>
    <n v="900"/>
    <n v="900"/>
    <m/>
    <n v="0"/>
    <n v="0"/>
    <m/>
    <n v="1"/>
    <n v="0"/>
    <m/>
    <m/>
    <m/>
  </r>
  <r>
    <x v="270"/>
    <d v="2024-10-29T00:00:00"/>
    <x v="0"/>
    <s v="Week39"/>
    <x v="8"/>
    <s v="DRY2400693"/>
    <s v="Malay"/>
    <s v="CPFNW"/>
    <s v="CPM Malaysia"/>
    <s v="Wonton"/>
    <s v="Cooked Wonton"/>
    <s v="Cooked Wonton No Egg  "/>
    <s v="082S85I24005P01001"/>
    <s v="145g*24"/>
    <n v="24"/>
    <n v="5"/>
    <n v="8.0000000000000002E-3"/>
    <x v="1"/>
    <s v="STPP"/>
    <s v="Regular"/>
    <n v="900"/>
    <n v="900"/>
    <m/>
    <n v="0"/>
    <n v="0"/>
    <m/>
    <m/>
    <m/>
    <m/>
    <m/>
    <m/>
  </r>
  <r>
    <x v="270"/>
    <s v="10-2024"/>
    <x v="0"/>
    <s v="Week39"/>
    <x v="8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2243"/>
    <n v="2243"/>
    <m/>
    <n v="0"/>
    <n v="0"/>
    <m/>
    <m/>
    <m/>
    <s v="NEWPACKAGE"/>
    <m/>
    <m/>
  </r>
  <r>
    <x v="271"/>
    <d v="2024-10-31T00:00:00"/>
    <x v="0"/>
    <s v="Week39"/>
    <x v="8"/>
    <s v="DRY2400662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24"/>
    <n v="68.333333333333329"/>
    <n v="0.33333333333337123"/>
    <n v="0"/>
    <m/>
    <m/>
    <m/>
    <m/>
    <m/>
    <m/>
  </r>
  <r>
    <x v="271"/>
    <d v="2024-10-31T00:00:00"/>
    <x v="0"/>
    <s v="Week39"/>
    <x v="8"/>
    <s v="DRY2400663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271"/>
    <d v="2024-10-31T00:00:00"/>
    <x v="0"/>
    <s v="Week39"/>
    <x v="8"/>
    <s v="DRY2400664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271"/>
    <d v="2024-11-07T00:00:00"/>
    <x v="0"/>
    <s v="Week39"/>
    <x v="8"/>
    <s v="DRY2400694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205"/>
    <n v="205"/>
    <m/>
    <n v="0"/>
    <n v="0"/>
    <m/>
    <m/>
    <m/>
    <m/>
    <m/>
    <m/>
  </r>
  <r>
    <x v="271"/>
    <d v="2024-10-22T00:00:00"/>
    <x v="0"/>
    <s v="Week39"/>
    <x v="8"/>
    <s v="DRY2400670"/>
    <s v="Denmark"/>
    <s v="CPFNW"/>
    <s v="CPF DENMARK"/>
    <s v="Minced ND+V+TK"/>
    <s v="Cooked Wonton"/>
    <s v="Cooked Minced  ND No Egg with Pumpkin_x000a_+ Yu Choy Tomyum"/>
    <s v="082SJKW08003P01001"/>
    <s v="302g*8"/>
    <n v="8"/>
    <n v="3"/>
    <n v="6.0000000000000001E-3"/>
    <x v="4"/>
    <s v="Salt"/>
    <s v="Tomkha+CM"/>
    <n v="3500"/>
    <m/>
    <n v="3500"/>
    <n v="0"/>
    <n v="0"/>
    <m/>
    <m/>
    <m/>
    <m/>
    <m/>
    <m/>
  </r>
  <r>
    <x v="272"/>
    <m/>
    <x v="0"/>
    <s v="Week39"/>
    <x v="8"/>
    <m/>
    <m/>
    <m/>
    <m/>
    <m/>
    <m/>
    <m/>
    <m/>
    <m/>
    <m/>
    <m/>
    <m/>
    <x v="0"/>
    <m/>
    <m/>
    <m/>
    <m/>
    <m/>
    <m/>
    <m/>
    <m/>
    <m/>
    <m/>
    <m/>
    <m/>
    <m/>
  </r>
  <r>
    <x v="273"/>
    <d v="2024-10-16T00:00:00"/>
    <x v="0"/>
    <s v="Week40"/>
    <x v="8"/>
    <s v="KL2400022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m/>
    <m/>
  </r>
  <r>
    <x v="274"/>
    <s v="10-2024"/>
    <x v="0"/>
    <s v="Week40"/>
    <x v="9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785"/>
    <n v="785"/>
    <m/>
    <n v="0"/>
    <n v="0"/>
    <m/>
    <m/>
    <m/>
    <s v="NEWPACKAGE"/>
    <m/>
    <m/>
  </r>
  <r>
    <x v="274"/>
    <s v="10.2024"/>
    <x v="0"/>
    <s v="Week40"/>
    <x v="9"/>
    <s v="ขายภายใน"/>
    <s v=".7-11"/>
    <s v="CPFGS"/>
    <s v="ซีพีเอฟ เทรดดิ้ง"/>
    <s v="Wonton"/>
    <s v="Cooked Wonton"/>
    <s v="เกี๊ยวกุ้งทรัฟเฟิลซุปน้ำดำ CP 143g 7E"/>
    <s v="082S81A24005P0C001"/>
    <s v="143g*24"/>
    <n v="24"/>
    <n v="5"/>
    <n v="6.1999999999999998E-3"/>
    <x v="2"/>
    <s v="STPP"/>
    <s v="น้ำดำ"/>
    <n v="4649"/>
    <n v="4476"/>
    <n v="173"/>
    <n v="0"/>
    <n v="0"/>
    <m/>
    <m/>
    <m/>
    <m/>
    <m/>
    <m/>
  </r>
  <r>
    <x v="274"/>
    <s v="10.2024"/>
    <x v="0"/>
    <s v="Week40"/>
    <x v="9"/>
    <s v="ขายภายใน"/>
    <s v="MTFS"/>
    <s v="CPFGS"/>
    <s v="ซีพีเอฟ เทรดดิ้ง"/>
    <s v="Wonton"/>
    <s v="Cooked Wonton"/>
    <s v="เกี๊ยวกุ้งทรัฟเฟิลซุปน้ำดำ CP 143g"/>
    <s v="082S83Q12005P07001"/>
    <s v="143g*12"/>
    <n v="12"/>
    <n v="5"/>
    <n v="6.1999999999999998E-3"/>
    <x v="2"/>
    <s v="STPP"/>
    <s v="น้ำดำ"/>
    <n v="1673"/>
    <n v="1673"/>
    <m/>
    <n v="0"/>
    <n v="0"/>
    <m/>
    <m/>
    <m/>
    <m/>
    <m/>
    <m/>
  </r>
  <r>
    <x v="275"/>
    <d v="2024-10-11T00:00:00"/>
    <x v="0"/>
    <s v="Week40"/>
    <x v="9"/>
    <s v="DRY240060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31"/>
    <n v="471"/>
    <n v="160"/>
    <n v="0"/>
    <n v="0"/>
    <m/>
    <m/>
    <m/>
    <m/>
    <m/>
    <m/>
  </r>
  <r>
    <x v="275"/>
    <d v="2024-10-18T00:00:00"/>
    <x v="0"/>
    <s v="Week40"/>
    <x v="9"/>
    <s v="DRY240060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75"/>
    <d v="2024-10-18T00:00:00"/>
    <x v="0"/>
    <s v="Week40"/>
    <x v="9"/>
    <s v="DRY240060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632"/>
    <n v="160"/>
    <n v="0"/>
    <n v="0"/>
    <m/>
    <m/>
    <m/>
    <m/>
    <m/>
    <m/>
  </r>
  <r>
    <x v="275"/>
    <d v="2024-10-18T00:00:00"/>
    <x v="0"/>
    <s v="Week40"/>
    <x v="9"/>
    <s v="DRY240060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75"/>
    <d v="2024-10-25T00:00:00"/>
    <x v="0"/>
    <s v="Week40"/>
    <x v="9"/>
    <s v="DRY240060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632"/>
    <n v="160"/>
    <n v="0"/>
    <n v="0"/>
    <m/>
    <m/>
    <m/>
    <m/>
    <m/>
    <m/>
  </r>
  <r>
    <x v="275"/>
    <d v="2024-10-25T00:00:00"/>
    <x v="0"/>
    <s v="Week40"/>
    <x v="9"/>
    <s v="DRY240060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632"/>
    <n v="160"/>
    <n v="0"/>
    <n v="0"/>
    <m/>
    <m/>
    <m/>
    <m/>
    <m/>
    <m/>
  </r>
  <r>
    <x v="275"/>
    <d v="2024-11-01T00:00:00"/>
    <x v="0"/>
    <s v="Week40"/>
    <x v="9"/>
    <s v="DRY240063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5"/>
    <n v="65"/>
    <m/>
    <n v="0"/>
    <n v="0"/>
    <m/>
    <m/>
    <m/>
    <m/>
    <m/>
    <m/>
  </r>
  <r>
    <x v="276"/>
    <d v="2024-10-10T00:00:00"/>
    <x v="0"/>
    <s v="Week40"/>
    <x v="9"/>
    <s v="DRY2400618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28"/>
    <n v="1228"/>
    <m/>
    <n v="0"/>
    <n v="0"/>
    <m/>
    <m/>
    <m/>
    <m/>
    <m/>
    <m/>
  </r>
  <r>
    <x v="276"/>
    <d v="2024-10-24T00:00:00"/>
    <x v="0"/>
    <s v="Week40"/>
    <x v="9"/>
    <s v="DRY2400619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62"/>
    <n v="62"/>
    <m/>
    <n v="0"/>
    <n v="0"/>
    <m/>
    <m/>
    <m/>
    <m/>
    <m/>
    <m/>
  </r>
  <r>
    <x v="276"/>
    <d v="2024-10-18T00:00:00"/>
    <x v="0"/>
    <s v="Week40"/>
    <x v="9"/>
    <s v="DRY2400570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1245"/>
    <n v="1245"/>
    <m/>
    <n v="0"/>
    <n v="0"/>
    <m/>
    <m/>
    <m/>
    <m/>
    <m/>
    <m/>
  </r>
  <r>
    <x v="276"/>
    <d v="2024-10-25T00:00:00"/>
    <x v="0"/>
    <s v="Week40"/>
    <x v="9"/>
    <s v="DRY2400572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1288"/>
    <n v="1288"/>
    <m/>
    <n v="0"/>
    <n v="0"/>
    <m/>
    <m/>
    <m/>
    <m/>
    <m/>
    <m/>
  </r>
  <r>
    <x v="276"/>
    <d v="2024-10-25T00:00:00"/>
    <x v="0"/>
    <s v="Week40"/>
    <x v="9"/>
    <s v="DRY2400573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90"/>
    <n v="90"/>
    <m/>
    <n v="0"/>
    <n v="0"/>
    <m/>
    <m/>
    <m/>
    <m/>
    <m/>
    <m/>
  </r>
  <r>
    <x v="277"/>
    <d v="2024-10-25T00:00:00"/>
    <x v="0"/>
    <s v="Week40"/>
    <x v="9"/>
    <s v="DRY2400573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1198"/>
    <n v="1198"/>
    <m/>
    <n v="0"/>
    <n v="0"/>
    <m/>
    <m/>
    <m/>
    <m/>
    <m/>
    <m/>
  </r>
  <r>
    <x v="277"/>
    <d v="2024-11-01T00:00:00"/>
    <x v="0"/>
    <s v="Week40"/>
    <x v="9"/>
    <s v="DRY2400574"/>
    <s v="USA"/>
    <s v="CPFNW"/>
    <s v="Bellisio Foods, Inc."/>
    <s v="Wonton+TY"/>
    <s v="Cooked Wonton"/>
    <s v="Wonton Soup  (Enriched wonton sheet)"/>
    <s v="082S8BW36005P01001"/>
    <s v="147g*6c*6in"/>
    <n v="36"/>
    <n v="5"/>
    <n v="7.4999999999999997E-3"/>
    <x v="1"/>
    <s v="Salt"/>
    <s v="TYEX+CO"/>
    <n v="1288"/>
    <n v="964"/>
    <n v="391.44444444444446"/>
    <n v="67.444444444444343"/>
    <n v="0"/>
    <m/>
    <m/>
    <m/>
    <m/>
    <m/>
    <m/>
  </r>
  <r>
    <x v="277"/>
    <d v="2024-10-31T00:00:00"/>
    <x v="0"/>
    <s v="Week40"/>
    <x v="9"/>
    <s v="DRY2400477"/>
    <s v="CAN "/>
    <s v="CPFNW "/>
    <s v="CP Foods Canada,Inc (CPFC)"/>
    <s v="Wonton+TY"/>
    <s v="Cooked Wonton"/>
    <s v="Wonton Soup  (Enriched wonton sheet)"/>
    <s v="082S85336005P02001"/>
    <s v="147g*6c*6in"/>
    <n v="36"/>
    <n v="5"/>
    <n v="7.4999999999999997E-3"/>
    <x v="1"/>
    <s v="Salt"/>
    <s v="TYEX+CO"/>
    <n v="1249"/>
    <n v="1048"/>
    <n v="201"/>
    <n v="0"/>
    <n v="0"/>
    <m/>
    <m/>
    <m/>
    <m/>
    <m/>
    <m/>
  </r>
  <r>
    <x v="278"/>
    <d v="2024-11-07T00:00:00"/>
    <x v="0"/>
    <s v="Week40"/>
    <x v="9"/>
    <s v="DRY2400694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587"/>
    <n v="587"/>
    <m/>
    <n v="0"/>
    <n v="0"/>
    <m/>
    <m/>
    <m/>
    <m/>
    <m/>
    <m/>
  </r>
  <r>
    <x v="278"/>
    <d v="2024-11-07T00:00:00"/>
    <x v="0"/>
    <s v="Week40"/>
    <x v="9"/>
    <s v="DRY2400695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278"/>
    <d v="2024-11-14T00:00:00"/>
    <x v="0"/>
    <s v="Week40"/>
    <x v="9"/>
    <s v="DRY2400696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278"/>
    <d v="2024-11-14T00:00:00"/>
    <x v="0"/>
    <s v="Week40"/>
    <x v="9"/>
    <s v="DRY2400697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616"/>
    <n v="176"/>
    <n v="0"/>
    <n v="0"/>
    <m/>
    <m/>
    <m/>
    <m/>
    <m/>
    <m/>
  </r>
  <r>
    <x v="278"/>
    <d v="2024-10-31T00:00:00"/>
    <x v="0"/>
    <s v="Week40"/>
    <x v="9"/>
    <s v="DRY2400726"/>
    <s v="New Zealand"/>
    <s v="CPFNW"/>
    <s v="Lim Brothers"/>
    <s v="Wonton ND+V"/>
    <s v="Cooked Wonton"/>
    <s v="Cooked Wonton ND No Egg with Pumpkin_x000a_+ Yu Choy "/>
    <s v="082SJN708004P00001"/>
    <s v="305g*8"/>
    <n v="8"/>
    <n v="4"/>
    <n v="7.4999999999999997E-3"/>
    <x v="5"/>
    <s v="Salt"/>
    <s v="Regular"/>
    <n v="300"/>
    <m/>
    <n v="300.625"/>
    <n v="0.625"/>
    <n v="0"/>
    <m/>
    <m/>
    <m/>
    <s v="NEWPACKAGE"/>
    <m/>
    <m/>
  </r>
  <r>
    <x v="278"/>
    <d v="2024-11-06T00:00:00"/>
    <x v="0"/>
    <s v="Week40"/>
    <x v="9"/>
    <s v="DRY2400675"/>
    <s v="SG"/>
    <s v="CPFNW"/>
    <s v="CPI SINGAPORE"/>
    <s v="Wonton ND+V"/>
    <s v="Cooked Wonton"/>
    <s v="Cooked Wonton ND No Egg with Pumpkin _x000a_+ Vegetable  HC  3 pcs"/>
    <s v="082SJ3B24003P02001"/>
    <s v="219g*24"/>
    <n v="24"/>
    <n v="3"/>
    <n v="7.4999999999999997E-3"/>
    <x v="5"/>
    <s v="STPP"/>
    <s v="ซุปซอง 10g."/>
    <n v="500"/>
    <n v="500"/>
    <m/>
    <n v="0"/>
    <n v="0"/>
    <m/>
    <m/>
    <m/>
    <m/>
    <m/>
    <m/>
  </r>
  <r>
    <x v="278"/>
    <d v="2024-10-18T00:00:00"/>
    <x v="0"/>
    <s v="Week40"/>
    <x v="9"/>
    <s v="DRY2400698"/>
    <s v="New Zealand"/>
    <s v="CPFNW"/>
    <s v="Lim Brothers"/>
    <s v="Wonton ND+V+TY"/>
    <s v="Cooked Wonton"/>
    <s v="Cooked Wonton ND No Egg with Pumpkin _x000a_+ Vegetable 5 pcs tomyam"/>
    <s v="082SJN724005P00001"/>
    <s v="307g*4c*6in"/>
    <n v="24"/>
    <n v="5"/>
    <n v="7.4999999999999997E-3"/>
    <x v="1"/>
    <s v="Salt"/>
    <s v="TYEX+CO"/>
    <n v="390"/>
    <n v="384"/>
    <n v="27.5"/>
    <n v="21.5"/>
    <n v="0"/>
    <m/>
    <m/>
    <m/>
    <m/>
    <m/>
    <m/>
  </r>
  <r>
    <x v="279"/>
    <m/>
    <x v="0"/>
    <s v="Week40"/>
    <x v="9"/>
    <m/>
    <m/>
    <m/>
    <m/>
    <m/>
    <m/>
    <m/>
    <m/>
    <m/>
    <m/>
    <m/>
    <m/>
    <x v="0"/>
    <m/>
    <m/>
    <m/>
    <m/>
    <m/>
    <m/>
    <m/>
    <m/>
    <m/>
    <m/>
    <m/>
    <m/>
    <m/>
  </r>
  <r>
    <x v="280"/>
    <d v="2024-10-21T00:00:00"/>
    <x v="0"/>
    <s v="Week41"/>
    <x v="9"/>
    <s v="KL2400021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m/>
    <m/>
  </r>
  <r>
    <x v="281"/>
    <d v="2024-11-04T00:00:00"/>
    <x v="0"/>
    <s v="Week41"/>
    <x v="9"/>
    <s v="DRY2400691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1349"/>
    <n v="1349"/>
    <m/>
    <n v="0"/>
    <n v="0"/>
    <n v="0"/>
    <n v="6"/>
    <n v="0"/>
    <m/>
    <m/>
    <m/>
  </r>
  <r>
    <x v="282"/>
    <s v="10.2024"/>
    <x v="0"/>
    <s v="Week41"/>
    <x v="9"/>
    <s v="ขายภายใน"/>
    <s v="MTFS"/>
    <s v="CPFGS"/>
    <s v="ซีพีเอฟ เทรดดิ้ง"/>
    <s v="E+Wonton NDE"/>
    <s v="Cooked Wonton"/>
    <s v="Cooked Wonton ND with egg V-Food"/>
    <s v="082SJ3Q12003P07001"/>
    <s v="226g*12"/>
    <n v="12"/>
    <n v="3"/>
    <n v="8.0000000000000002E-3"/>
    <x v="1"/>
    <s v="STPP"/>
    <s v="Regular"/>
    <n v="418"/>
    <n v="418"/>
    <m/>
    <n v="0"/>
    <n v="0"/>
    <m/>
    <m/>
    <m/>
    <m/>
    <m/>
    <m/>
  </r>
  <r>
    <x v="282"/>
    <s v="11.2024"/>
    <x v="0"/>
    <s v="Week41"/>
    <x v="9"/>
    <s v="ขายภายใน"/>
    <s v="MTFS"/>
    <s v="CPFGS"/>
    <s v="ซีพีเอฟ เทรดดิ้ง"/>
    <s v="E+Wonton NDE"/>
    <s v="Cooked Wonton"/>
    <s v="Cooked Wonton ND with egg V-Food"/>
    <s v="082SJ3Q12003P07001"/>
    <s v="226g*12"/>
    <n v="12"/>
    <n v="3"/>
    <n v="8.0000000000000002E-3"/>
    <x v="1"/>
    <s v="STPP"/>
    <s v="Regular"/>
    <n v="498"/>
    <n v="498"/>
    <m/>
    <n v="0"/>
    <n v="0"/>
    <m/>
    <m/>
    <m/>
    <m/>
    <m/>
    <m/>
  </r>
  <r>
    <x v="282"/>
    <s v="11.2024"/>
    <x v="0"/>
    <s v="Week41"/>
    <x v="9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24"/>
    <n v="24"/>
    <m/>
    <n v="0"/>
    <n v="0"/>
    <m/>
    <m/>
    <m/>
    <m/>
    <m/>
    <m/>
  </r>
  <r>
    <x v="282"/>
    <s v="11.2024"/>
    <x v="0"/>
    <s v="Week41"/>
    <x v="9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203"/>
    <n v="203"/>
    <m/>
    <n v="0"/>
    <n v="0"/>
    <m/>
    <m/>
    <m/>
    <m/>
    <m/>
    <m/>
  </r>
  <r>
    <x v="282"/>
    <s v="11.2024"/>
    <x v="0"/>
    <s v="Week41"/>
    <x v="9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260"/>
    <n v="260"/>
    <m/>
    <n v="0"/>
    <n v="0"/>
    <m/>
    <m/>
    <m/>
    <m/>
    <m/>
    <m/>
  </r>
  <r>
    <x v="282"/>
    <d v="2024-11-01T00:00:00"/>
    <x v="0"/>
    <s v="Week41"/>
    <x v="9"/>
    <s v="LA001/2567"/>
    <s v="Laos"/>
    <s v="Laos"/>
    <s v="บริษัท ปิก้าเทรดดิ้ง จำกัด"/>
    <s v="E+Wonton+หมาล่า"/>
    <s v="Cooked Wonton"/>
    <s v="เกี๊ยวกุ้งจักรพรรดิ ซุปหม่าล่า 12x143g."/>
    <s v="082S8L212005P01001"/>
    <s v="143g*12"/>
    <n v="12"/>
    <n v="5"/>
    <n v="6.1999999999999998E-3"/>
    <x v="2"/>
    <s v="STPP"/>
    <s v="หมาล่า"/>
    <n v="70"/>
    <m/>
    <n v="70"/>
    <n v="0"/>
    <n v="0"/>
    <m/>
    <m/>
    <m/>
    <m/>
    <m/>
    <m/>
  </r>
  <r>
    <x v="282"/>
    <d v="2024-10-25T00:00:00"/>
    <x v="0"/>
    <s v="Week41"/>
    <x v="9"/>
    <s v="CB002/2567"/>
    <s v="Cambodia"/>
    <s v="Cambodia"/>
    <s v="หจก.คิงฟู้ดส์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40"/>
    <n v="40"/>
    <m/>
    <n v="0"/>
    <n v="0"/>
    <m/>
    <m/>
    <m/>
    <m/>
    <m/>
    <m/>
  </r>
  <r>
    <x v="282"/>
    <s v="10.2024"/>
    <x v="0"/>
    <s v="Week41"/>
    <x v="9"/>
    <s v="ขายภายใน"/>
    <s v="MTFS"/>
    <s v="CPFGS"/>
    <s v="ซีพีเอฟ เทรดดิ้ง"/>
    <s v="E+Wonton+หมาล่า"/>
    <s v="Cooked Wonton"/>
    <s v="เกี๊ยวกุ้งจักรพรรดิซุปหมาล่า (ตรา ซีพี)_MT"/>
    <s v="082S83Q12005P06001"/>
    <s v="143g*12"/>
    <n v="12"/>
    <n v="5"/>
    <n v="6.1999999999999998E-3"/>
    <x v="2"/>
    <s v="STPP"/>
    <s v="หมาล่า"/>
    <n v="114"/>
    <n v="114"/>
    <m/>
    <n v="0"/>
    <n v="0"/>
    <m/>
    <m/>
    <m/>
    <m/>
    <m/>
    <m/>
  </r>
  <r>
    <x v="282"/>
    <s v="11.2024"/>
    <x v="0"/>
    <s v="Week41"/>
    <x v="9"/>
    <s v="ขายภายใน"/>
    <s v="MTFS"/>
    <s v="CPFGS"/>
    <s v="ซีพีเอฟ เทรดดิ้ง"/>
    <s v="E+Wonton+หมาล่า"/>
    <s v="Cooked Wonton"/>
    <s v="เกี๊ยวกุ้งจักรพรรดิซุปหมาล่า (ตรา ซีพี)_MT"/>
    <s v="082S83Q12005P06001"/>
    <s v="143g*12"/>
    <n v="12"/>
    <n v="5"/>
    <n v="6.1999999999999998E-3"/>
    <x v="2"/>
    <s v="STPP"/>
    <s v="หมาล่า"/>
    <n v="633"/>
    <n v="633"/>
    <m/>
    <n v="0"/>
    <n v="0"/>
    <m/>
    <m/>
    <m/>
    <m/>
    <m/>
    <m/>
  </r>
  <r>
    <x v="282"/>
    <s v="11.2024"/>
    <x v="0"/>
    <s v="Week41"/>
    <x v="9"/>
    <s v="ขายภายใน"/>
    <s v=".7-11"/>
    <s v="CPFGS"/>
    <s v="ซีพีเอฟ เทรดดิ้ง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4975"/>
    <n v="4922"/>
    <n v="53"/>
    <n v="0"/>
    <n v="0"/>
    <m/>
    <m/>
    <m/>
    <m/>
    <m/>
    <m/>
  </r>
  <r>
    <x v="283"/>
    <s v="11.2024"/>
    <x v="0"/>
    <s v="Week41"/>
    <x v="9"/>
    <s v="ขายภายใน"/>
    <s v="MTFS"/>
    <s v="CPFGS"/>
    <s v="ซีพีเอฟ เทรดดิ้ง"/>
    <s v="E+Wonton"/>
    <s v="Cooked Wonton"/>
    <s v="Cooked Wonton  with egg V-Food"/>
    <s v="082S83Q12005P05000"/>
    <s v="145g*12"/>
    <n v="12"/>
    <n v="5"/>
    <n v="8.0000000000000002E-3"/>
    <x v="1"/>
    <s v="STPP"/>
    <s v="Regular"/>
    <n v="12"/>
    <n v="12"/>
    <m/>
    <n v="0"/>
    <n v="0"/>
    <m/>
    <m/>
    <m/>
    <m/>
    <m/>
    <m/>
  </r>
  <r>
    <x v="283"/>
    <d v="2024-11-01T00:00:00"/>
    <x v="0"/>
    <s v="Week41"/>
    <x v="9"/>
    <s v="LA001/2567"/>
    <s v="Laos"/>
    <s v="Laos"/>
    <s v="บริษัท ปิก้าเทรดดิ้ง จำกัด"/>
    <s v="E+Wonton"/>
    <s v="Cooked Wonton"/>
    <s v="เกี๊ยวกุ้งจักรพรรดิ 12x145g."/>
    <s v="082S8L212005P00001"/>
    <s v="145g*12"/>
    <n v="12"/>
    <n v="5"/>
    <n v="8.0000000000000002E-3"/>
    <x v="1"/>
    <s v="STPP"/>
    <s v="Regular"/>
    <n v="70"/>
    <m/>
    <n v="83.5"/>
    <n v="13.5"/>
    <n v="0"/>
    <m/>
    <m/>
    <m/>
    <m/>
    <m/>
    <m/>
  </r>
  <r>
    <x v="283"/>
    <s v="11.2024"/>
    <x v="0"/>
    <s v="Week41"/>
    <x v="9"/>
    <s v="ขายภายใน"/>
    <s v="MTFS"/>
    <s v="CPFGS"/>
    <s v="ซีพีเอฟ เทรดดิ้ง"/>
    <s v="E+Wonton"/>
    <s v="Cooked Wonton"/>
    <s v="Cooked Wonton  with egg V-Food"/>
    <s v="082S83Q12005P05001"/>
    <s v="145g*12"/>
    <n v="12"/>
    <n v="5"/>
    <n v="8.0000000000000002E-3"/>
    <x v="1"/>
    <s v="STPP"/>
    <s v="Regular"/>
    <n v="3432"/>
    <n v="3432"/>
    <m/>
    <n v="0"/>
    <n v="0"/>
    <m/>
    <m/>
    <m/>
    <m/>
    <m/>
    <m/>
  </r>
  <r>
    <x v="283"/>
    <s v="11.2024"/>
    <x v="0"/>
    <s v="Week41"/>
    <x v="9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1148"/>
    <m/>
    <n v="1150"/>
    <n v="2"/>
    <n v="0"/>
    <m/>
    <n v="1"/>
    <n v="0"/>
    <m/>
    <m/>
    <m/>
  </r>
  <r>
    <x v="283"/>
    <s v="11.2024"/>
    <x v="0"/>
    <s v="Week41"/>
    <x v="9"/>
    <s v="ขายภายใน"/>
    <s v="MTFS"/>
    <s v="CPFGS"/>
    <s v="ซีพีเอฟ เทรดดิ้ง"/>
    <s v="E+Wonton TY"/>
    <s v="Cooked Wonton"/>
    <s v="Cooked Wonton Tomyum with egg.V-Food TY"/>
    <s v="082S83Q12005P04001"/>
    <s v="115g*12"/>
    <n v="12"/>
    <n v="5"/>
    <n v="8.0000000000000002E-3"/>
    <x v="1"/>
    <s v="STPP"/>
    <s v="TYTB3C 30G"/>
    <n v="783"/>
    <n v="783"/>
    <m/>
    <n v="0"/>
    <n v="0"/>
    <m/>
    <n v="1"/>
    <n v="0"/>
    <m/>
    <m/>
    <m/>
  </r>
  <r>
    <x v="283"/>
    <d v="2024-10-25T00:00:00"/>
    <x v="0"/>
    <s v="Week41"/>
    <x v="9"/>
    <s v="CB002/2567"/>
    <s v="Cambodia"/>
    <s v="Cambodia"/>
    <s v="หจก.คิงฟู้ดส์"/>
    <s v="E+Wonton"/>
    <s v="Cooked Wonton"/>
    <s v="Cooked Wonton With Egg .7-11"/>
    <s v="082S81A24005P04001"/>
    <s v="145g*24"/>
    <n v="24"/>
    <n v="5"/>
    <n v="8.0000000000000002E-3"/>
    <x v="1"/>
    <s v="STPP"/>
    <s v="Regular"/>
    <n v="30"/>
    <n v="30"/>
    <m/>
    <n v="0"/>
    <n v="0"/>
    <m/>
    <m/>
    <m/>
    <m/>
    <m/>
    <m/>
  </r>
  <r>
    <x v="283"/>
    <s v="11.2024"/>
    <x v="0"/>
    <s v="Week41"/>
    <x v="9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3722"/>
    <n v="3722"/>
    <m/>
    <n v="0"/>
    <n v="0"/>
    <m/>
    <m/>
    <m/>
    <m/>
    <m/>
    <m/>
  </r>
  <r>
    <x v="284"/>
    <s v="11.2024"/>
    <x v="0"/>
    <s v="Week41"/>
    <x v="9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6033"/>
    <n v="5812"/>
    <n v="221"/>
    <n v="0"/>
    <n v="0"/>
    <m/>
    <m/>
    <m/>
    <m/>
    <m/>
    <m/>
  </r>
  <r>
    <x v="285"/>
    <d v="2024-11-05T00:00:00"/>
    <x v="0"/>
    <s v="Week41"/>
    <x v="9"/>
    <s v="DRY2400428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m/>
    <m/>
    <m/>
    <s v="ใช้ package ที่เป็น หมึกพิมพ์ใหม่"/>
    <m/>
    <m/>
  </r>
  <r>
    <x v="285"/>
    <d v="2024-10-24T00:00:00"/>
    <x v="0"/>
    <s v="Week41"/>
    <x v="9"/>
    <s v="DRY2400619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26"/>
    <n v="1226"/>
    <m/>
    <n v="0"/>
    <n v="0"/>
    <m/>
    <m/>
    <m/>
    <m/>
    <m/>
    <m/>
  </r>
  <r>
    <x v="285"/>
    <d v="2024-10-31T00:00:00"/>
    <x v="0"/>
    <s v="Week41"/>
    <x v="9"/>
    <s v="DRY2400620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m/>
    <m/>
    <m/>
  </r>
  <r>
    <x v="285"/>
    <d v="2024-10-30T00:00:00"/>
    <x v="0"/>
    <s v="Week41"/>
    <x v="9"/>
    <s v="DRY2400621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84"/>
    <n v="84"/>
    <m/>
    <n v="0"/>
    <n v="0"/>
    <m/>
    <m/>
    <m/>
    <m/>
    <m/>
    <m/>
  </r>
  <r>
    <x v="286"/>
    <m/>
    <x v="0"/>
    <s v="Week41"/>
    <x v="9"/>
    <m/>
    <m/>
    <m/>
    <m/>
    <m/>
    <m/>
    <m/>
    <m/>
    <m/>
    <m/>
    <m/>
    <m/>
    <x v="0"/>
    <m/>
    <m/>
    <m/>
    <m/>
    <m/>
    <m/>
    <m/>
    <m/>
    <m/>
    <m/>
    <m/>
    <m/>
    <m/>
  </r>
  <r>
    <x v="287"/>
    <m/>
    <x v="0"/>
    <s v="Week42"/>
    <x v="9"/>
    <m/>
    <m/>
    <m/>
    <m/>
    <m/>
    <m/>
    <m/>
    <m/>
    <m/>
    <m/>
    <m/>
    <m/>
    <x v="0"/>
    <m/>
    <m/>
    <m/>
    <m/>
    <m/>
    <m/>
    <m/>
    <m/>
    <m/>
    <m/>
    <m/>
    <m/>
    <m/>
  </r>
  <r>
    <x v="288"/>
    <d v="2024-10-31T00:00:00"/>
    <x v="0"/>
    <s v="Week42"/>
    <x v="9"/>
    <s v="DRY2400726"/>
    <s v="New Zealand"/>
    <s v="CPFNW"/>
    <s v="Lim Brothers"/>
    <s v="C-Minced WT in tray no egg"/>
    <s v="Cooked Wonton"/>
    <s v="Cooked Minced Wonton in Tray 6 pcs + Sesame Sauce"/>
    <s v="082SKN716006P00001"/>
    <s v="117*2tray*8in"/>
    <n v="16"/>
    <n v="6"/>
    <n v="6.0000000000000001E-3"/>
    <x v="4"/>
    <s v="Salt"/>
    <s v=" Sesame 15g"/>
    <n v="288"/>
    <n v="288"/>
    <n v="7.25"/>
    <n v="7.25"/>
    <n v="0"/>
    <m/>
    <n v="1"/>
    <n v="4608"/>
    <s v="cap 3000 tray/hr. อื่น 8,300 ถ้วย"/>
    <m/>
    <m/>
  </r>
  <r>
    <x v="288"/>
    <d v="2024-11-01T00:00:00"/>
    <x v="0"/>
    <s v="Week42"/>
    <x v="9"/>
    <s v="DRY240063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27"/>
    <n v="727"/>
    <m/>
    <n v="0"/>
    <n v="0"/>
    <m/>
    <m/>
    <m/>
    <m/>
    <m/>
    <m/>
  </r>
  <r>
    <x v="288"/>
    <d v="2024-11-01T00:00:00"/>
    <x v="0"/>
    <s v="Week42"/>
    <x v="9"/>
    <s v="DRY240063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92"/>
    <n v="592"/>
    <m/>
    <n v="0"/>
    <n v="0"/>
    <m/>
    <m/>
    <m/>
    <m/>
    <m/>
    <m/>
  </r>
  <r>
    <x v="288"/>
    <d v="2024-11-01T00:00:00"/>
    <x v="0"/>
    <s v="Week42"/>
    <x v="9"/>
    <s v="DRY240063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51"/>
    <n v="151"/>
    <m/>
    <n v="0"/>
    <n v="0"/>
    <m/>
    <m/>
    <m/>
    <m/>
    <m/>
    <m/>
  </r>
  <r>
    <x v="288"/>
    <d v="2024-11-11T00:00:00"/>
    <x v="0"/>
    <s v="Week42"/>
    <x v="9"/>
    <s v="DRY2400651"/>
    <s v="Belgium"/>
    <s v="CPFNW"/>
    <s v="CPF EUROPE S.A."/>
    <s v="Wonton ND+V"/>
    <s v="Cooked Wonton"/>
    <s v="Cooked Wonton ND No Egg with Pumpkin _x000a_+ Vegetable  HC  3 pcs"/>
    <s v="082SJ3I08003P00001"/>
    <s v="309g*8"/>
    <n v="8"/>
    <n v="3"/>
    <n v="7.4999999999999997E-3"/>
    <x v="5"/>
    <s v="Salt"/>
    <s v="Regular"/>
    <n v="600"/>
    <m/>
    <n v="626.375"/>
    <n v="26.375"/>
    <n v="0"/>
    <m/>
    <m/>
    <m/>
    <m/>
    <m/>
    <m/>
  </r>
  <r>
    <x v="288"/>
    <d v="2024-10-25T00:00:00"/>
    <x v="0"/>
    <s v="Week42"/>
    <x v="9"/>
    <s v="DRY2400223"/>
    <s v="Spain"/>
    <s v="CPFNW"/>
    <s v="Mercadona"/>
    <s v="Wonton ND+V"/>
    <s v="Cooked Wonton"/>
    <s v="Cooked Wonton ND No Egg with Pumpkin _x000a_+ Vegetable  HC  3 pcs"/>
    <s v="082SJ5T12003P00001"/>
    <s v="309g*12"/>
    <n v="12"/>
    <n v="3"/>
    <n v="7.4999999999999997E-3"/>
    <x v="5"/>
    <s v="Salt"/>
    <s v="Regular"/>
    <n v="2520"/>
    <n v="2520"/>
    <m/>
    <n v="0"/>
    <n v="0"/>
    <m/>
    <m/>
    <m/>
    <s v="รวบการผลิตให้เป็นวันเดียวกันตามความต้องการของลูกค้า"/>
    <m/>
    <m/>
  </r>
  <r>
    <x v="288"/>
    <d v="2024-10-31T00:00:00"/>
    <x v="0"/>
    <s v="Week42"/>
    <x v="9"/>
    <s v="DRY2400726"/>
    <s v="New Zealand"/>
    <s v="CPFNW"/>
    <s v="Lim Brothers"/>
    <s v="Minced ND+V+TK"/>
    <s v="Cooked Wonton"/>
    <s v="Cooked Minced  ND No Egg with Pumpkin_x000a_+ Yu Choy Tomkha"/>
    <s v="082SRN708003P01001"/>
    <s v="302g*8"/>
    <n v="8"/>
    <n v="3"/>
    <n v="6.0000000000000001E-3"/>
    <x v="4"/>
    <s v="Salt"/>
    <s v="Tomkha+CM"/>
    <n v="648"/>
    <m/>
    <n v="650.375"/>
    <n v="2.375"/>
    <n v="0"/>
    <m/>
    <m/>
    <m/>
    <s v="สำรอง บรูไน"/>
    <m/>
    <m/>
  </r>
  <r>
    <x v="288"/>
    <d v="2024-11-12T00:00:00"/>
    <x v="0"/>
    <s v="Week42"/>
    <x v="9"/>
    <s v="DRY2400729"/>
    <s v="Denmark"/>
    <s v="CPFNW"/>
    <s v="CPF DENMARK"/>
    <s v="Minced ND+V+TK"/>
    <s v="Cooked Wonton"/>
    <s v="Cooked Minced  ND No Egg with Pumpkin_x000a_+ Yu Choy Tomyum"/>
    <s v="082SJKW08003P01001"/>
    <s v="302g*8"/>
    <n v="8"/>
    <n v="3"/>
    <n v="6.0000000000000001E-3"/>
    <x v="4"/>
    <s v="Salt"/>
    <s v="Tomkha+CM"/>
    <n v="3500"/>
    <m/>
    <n v="3505"/>
    <n v="5"/>
    <n v="0"/>
    <m/>
    <m/>
    <m/>
    <s v="Newpackage330x330x234 mm.=2040+238"/>
    <m/>
    <m/>
  </r>
  <r>
    <x v="288"/>
    <d v="2024-11-25T00:00:00"/>
    <x v="0"/>
    <s v="Week42"/>
    <x v="9"/>
    <s v="DRY2400733"/>
    <s v="BRUNEI"/>
    <s v="CPFNW"/>
    <s v="Ben Foods"/>
    <s v="Minced ND+V+TK"/>
    <s v="Cooked Wonton"/>
    <s v="Cooked Minced  ND No Egg with Pumpkin_x000a_+ Yu Choy Tomkha"/>
    <s v="082SRB508003P01001"/>
    <s v="302g*8"/>
    <n v="8"/>
    <n v="3"/>
    <n v="6.0000000000000001E-3"/>
    <x v="4"/>
    <s v="Salt"/>
    <s v="Tomkha+CM"/>
    <n v="180"/>
    <m/>
    <n v="197.25"/>
    <n v="17.25"/>
    <n v="0"/>
    <m/>
    <m/>
    <m/>
    <s v="NEWPACKAGE"/>
    <m/>
    <m/>
  </r>
  <r>
    <x v="289"/>
    <s v="10-2024"/>
    <x v="0"/>
    <s v="Week42"/>
    <x v="9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3485"/>
    <n v="3485"/>
    <m/>
    <n v="0"/>
    <n v="0"/>
    <m/>
    <m/>
    <m/>
    <s v="NEWPACKAGE"/>
    <m/>
    <m/>
  </r>
  <r>
    <x v="289"/>
    <s v="11-2024"/>
    <x v="0"/>
    <s v="Week42"/>
    <x v="9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52"/>
    <n v="52"/>
    <m/>
    <n v="0"/>
    <n v="0"/>
    <m/>
    <m/>
    <m/>
    <s v="NEWPACKAGE"/>
    <m/>
    <m/>
  </r>
  <r>
    <x v="289"/>
    <d v="2024-11-06T00:00:00"/>
    <x v="0"/>
    <s v="Week42"/>
    <x v="9"/>
    <s v="DRY2400675"/>
    <s v="SG"/>
    <s v="CPFNW"/>
    <s v="CPI SINGAPORE"/>
    <s v="Wonton"/>
    <s v="Cooked Wonton"/>
    <s v="Cooked Wonton No Egg"/>
    <s v="082S83B24005P07001"/>
    <s v="145g*24"/>
    <n v="24"/>
    <n v="5"/>
    <n v="8.0000000000000002E-3"/>
    <x v="1"/>
    <s v="STPP"/>
    <s v="Regular"/>
    <n v="500"/>
    <n v="500"/>
    <m/>
    <n v="0"/>
    <n v="0"/>
    <m/>
    <m/>
    <m/>
    <m/>
    <m/>
    <m/>
  </r>
  <r>
    <x v="289"/>
    <d v="2024-11-11T00:00:00"/>
    <x v="0"/>
    <s v="Week42"/>
    <x v="9"/>
    <s v="DRY2400651"/>
    <s v="Belgium"/>
    <s v="CPFNW"/>
    <s v="CPF EUROPE S.A."/>
    <s v="Wonton +V"/>
    <s v="Cooked Wonton"/>
    <s v="Cooked Wonton  No Egg _x000a_+ Vegetable  HC  4 pcs"/>
    <s v="082S83I08004P00001"/>
    <s v="145g*8"/>
    <n v="8"/>
    <n v="4"/>
    <n v="7.4999999999999997E-3"/>
    <x v="5"/>
    <s v="Salt"/>
    <s v="Regular"/>
    <n v="2300"/>
    <m/>
    <n v="2300"/>
    <n v="0"/>
    <n v="0"/>
    <m/>
    <m/>
    <m/>
    <m/>
    <m/>
    <m/>
  </r>
  <r>
    <x v="289"/>
    <d v="2024-10-31T00:00:00"/>
    <x v="0"/>
    <s v="Week42"/>
    <x v="9"/>
    <s v="DRY2400726"/>
    <s v="New Zealand"/>
    <s v="CPFNW"/>
    <s v="Lim Brothers"/>
    <s v="Minced ND+V+TY"/>
    <s v="Cooked Wonton"/>
    <s v="Cooked Minced  ND No Egg with Pumpkin_x000a_+ Yu Choy Tomyum"/>
    <s v="082SRN708003P00001"/>
    <s v="302g*8"/>
    <n v="8"/>
    <n v="3"/>
    <n v="6.0000000000000001E-3"/>
    <x v="4"/>
    <s v="Salt"/>
    <s v="TYA+CO"/>
    <n v="97"/>
    <m/>
    <n v="97"/>
    <n v="0"/>
    <n v="0"/>
    <m/>
    <m/>
    <m/>
    <s v="ผลิตสินค้าไว้ก่อน  เพราะ ซอส จะหมดอายุ 10/07/24  และให้สั่ง package ไว้เลย / แต่ชุดนี้ทาง CPFNW ขอสวมวันผลิตประมาณเดือน 10/2024  รัดสีเชือกแยก"/>
    <m/>
    <m/>
  </r>
  <r>
    <x v="289"/>
    <d v="2024-10-31T00:00:00"/>
    <x v="0"/>
    <s v="Week42"/>
    <x v="9"/>
    <s v="DRY2400726"/>
    <s v="New Zealand"/>
    <s v="CPFNW"/>
    <s v="Lim Brothers"/>
    <s v="Minced ND+V+TY"/>
    <s v="Cooked Wonton"/>
    <s v="Cooked Minced  ND No Egg with Pumpkin_x000a_+ Yu Choy Tomyum"/>
    <s v="082SRN708003P00001"/>
    <s v="302g*8"/>
    <n v="8"/>
    <n v="3"/>
    <n v="6.0000000000000001E-3"/>
    <x v="4"/>
    <s v="Salt"/>
    <s v="TYEX+CO"/>
    <n v="119"/>
    <m/>
    <n v="123.625"/>
    <n v="4.625"/>
    <n v="0"/>
    <m/>
    <m/>
    <m/>
    <s v="รัดสีเชือกแยก"/>
    <m/>
    <m/>
  </r>
  <r>
    <x v="289"/>
    <d v="2024-11-25T00:00:00"/>
    <x v="0"/>
    <s v="Week42"/>
    <x v="9"/>
    <s v="DRY2400733"/>
    <s v="BRUNEI"/>
    <s v="CPFNW"/>
    <s v="Ben Foods"/>
    <s v="Minced ND+V+TY"/>
    <s v="Cooked Wonton"/>
    <s v="Cooked Minced  ND No Egg with Pumpkin_x000a_+ Yu Choy Tomyum"/>
    <s v="082SRB508003P00001"/>
    <s v="302g*8"/>
    <n v="8"/>
    <n v="3"/>
    <n v="6.0000000000000001E-3"/>
    <x v="4"/>
    <s v="Salt"/>
    <s v="TYEX+CO"/>
    <n v="280"/>
    <m/>
    <n v="305.625"/>
    <n v="25.625"/>
    <n v="0"/>
    <m/>
    <m/>
    <m/>
    <m/>
    <m/>
    <m/>
  </r>
  <r>
    <x v="289"/>
    <d v="2024-10-29T00:00:00"/>
    <x v="0"/>
    <s v="Week42"/>
    <x v="9"/>
    <s v="DRY2400730"/>
    <s v="Denmark"/>
    <s v="CPFNW"/>
    <s v="CPF DENMARK"/>
    <s v="Minced ND+V+TY"/>
    <s v="Cooked Wonton"/>
    <s v="Cooked Minced  ND No Egg with Pumpkin_x000a_+ Yu Choy Tomyum"/>
    <s v="082SRRE12003P00001"/>
    <s v="302g*12"/>
    <n v="12"/>
    <n v="3"/>
    <n v="6.0000000000000001E-3"/>
    <x v="4"/>
    <s v="Salt"/>
    <s v="TYEX+CO"/>
    <n v="2520"/>
    <n v="2504"/>
    <n v="16"/>
    <n v="0"/>
    <n v="0"/>
    <m/>
    <m/>
    <m/>
    <s v="rema"/>
    <m/>
    <m/>
  </r>
  <r>
    <x v="290"/>
    <m/>
    <x v="0"/>
    <s v="Week42"/>
    <x v="9"/>
    <m/>
    <m/>
    <m/>
    <m/>
    <m/>
    <m/>
    <m/>
    <m/>
    <m/>
    <m/>
    <m/>
    <m/>
    <x v="0"/>
    <m/>
    <m/>
    <m/>
    <m/>
    <m/>
    <m/>
    <m/>
    <m/>
    <m/>
    <m/>
    <m/>
    <m/>
    <m/>
  </r>
  <r>
    <x v="291"/>
    <d v="2024-11-01T00:00:00"/>
    <x v="0"/>
    <s v="Week42"/>
    <x v="9"/>
    <s v="DRY240063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41"/>
    <n v="481"/>
    <n v="160"/>
    <n v="0"/>
    <n v="0"/>
    <m/>
    <m/>
    <m/>
    <m/>
    <m/>
    <m/>
  </r>
  <r>
    <x v="291"/>
    <d v="2024-11-01T00:00:00"/>
    <x v="0"/>
    <s v="Week42"/>
    <x v="9"/>
    <s v="DRY240064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632"/>
    <n v="160"/>
    <n v="0"/>
    <n v="0"/>
    <m/>
    <m/>
    <m/>
    <m/>
    <m/>
    <m/>
  </r>
  <r>
    <x v="291"/>
    <d v="2024-11-01T00:00:00"/>
    <x v="0"/>
    <s v="Week42"/>
    <x v="9"/>
    <s v="DRY240064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91"/>
    <d v="2024-11-01T00:00:00"/>
    <x v="0"/>
    <s v="Week42"/>
    <x v="9"/>
    <s v="DRY240064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632"/>
    <n v="160"/>
    <n v="0"/>
    <n v="0"/>
    <m/>
    <m/>
    <m/>
    <m/>
    <m/>
    <m/>
  </r>
  <r>
    <x v="291"/>
    <d v="2024-11-04T00:00:00"/>
    <x v="0"/>
    <s v="Week42"/>
    <x v="9"/>
    <s v="DRY240064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91"/>
    <d v="2024-11-04T00:00:00"/>
    <x v="0"/>
    <s v="Week42"/>
    <x v="9"/>
    <s v="DRY240064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84"/>
    <n v="635"/>
    <n v="149"/>
    <n v="0"/>
    <n v="0"/>
    <m/>
    <m/>
    <m/>
    <m/>
    <m/>
    <m/>
  </r>
  <r>
    <x v="292"/>
    <d v="2024-11-06T00:00:00"/>
    <x v="0"/>
    <s v="Week42"/>
    <x v="9"/>
    <s v="DRY2400635"/>
    <s v="SG"/>
    <s v="CPFNW"/>
    <s v="CPI SINGAPORE"/>
    <s v="Wonton ND+Kee Mao"/>
    <s v="Cooked Wonton"/>
    <s v="Cooked Wonton Thai Spicy Pumpkin Noodles (Drunken Noodles)"/>
    <s v="082SJ3B24003P04001"/>
    <s v="250g*24"/>
    <n v="24"/>
    <n v="3"/>
    <n v="8.0000000000000002E-3"/>
    <x v="1"/>
    <s v="Salt"/>
    <s v="Kee Mao"/>
    <n v="420"/>
    <n v="420"/>
    <m/>
    <n v="0"/>
    <n v="0"/>
    <m/>
    <m/>
    <m/>
    <m/>
    <m/>
    <m/>
  </r>
  <r>
    <x v="292"/>
    <d v="2024-11-04T00:00:00"/>
    <x v="0"/>
    <s v="Week42"/>
    <x v="9"/>
    <s v="DRY2400471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1500"/>
    <m/>
    <n v="1500"/>
    <n v="0"/>
    <n v="0"/>
    <m/>
    <m/>
    <m/>
    <m/>
    <m/>
    <m/>
  </r>
  <r>
    <x v="292"/>
    <d v="2024-11-19T00:00:00"/>
    <x v="0"/>
    <s v="Week42"/>
    <x v="9"/>
    <s v="DRY2400756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400"/>
    <m/>
    <n v="400"/>
    <n v="0"/>
    <n v="0"/>
    <m/>
    <m/>
    <m/>
    <m/>
    <m/>
    <m/>
  </r>
  <r>
    <x v="292"/>
    <s v="11-2024"/>
    <x v="0"/>
    <s v="Week42"/>
    <x v="9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2911"/>
    <n v="2911"/>
    <m/>
    <n v="0"/>
    <n v="0"/>
    <m/>
    <m/>
    <m/>
    <s v="NEWPACKAGE"/>
    <m/>
    <m/>
  </r>
  <r>
    <x v="292"/>
    <s v="11.2024"/>
    <x v="0"/>
    <s v="Week42"/>
    <x v="9"/>
    <s v="ขายภายใน"/>
    <s v=".7-11"/>
    <s v="CPFGS"/>
    <s v="ซีพีเอฟ เทรดดิ้ง"/>
    <s v="Wonton"/>
    <s v="Cooked Wonton"/>
    <s v="เกี๊ยวกุ้งทรัฟเฟิลซุปน้ำดำ CP 143g 7E"/>
    <s v="082S81A24005P0C001"/>
    <s v="143g*24"/>
    <n v="24"/>
    <n v="5"/>
    <n v="6.1999999999999998E-3"/>
    <x v="2"/>
    <s v="STPP"/>
    <s v="น้ำดำ"/>
    <n v="2079"/>
    <n v="2079"/>
    <m/>
    <n v="0"/>
    <n v="0"/>
    <m/>
    <m/>
    <m/>
    <s v="ขาดซุปน้ำดำ  8900 ถ้วย"/>
    <m/>
    <m/>
  </r>
  <r>
    <x v="293"/>
    <m/>
    <x v="0"/>
    <s v="Week42"/>
    <x v="9"/>
    <m/>
    <m/>
    <m/>
    <m/>
    <m/>
    <m/>
    <m/>
    <m/>
    <m/>
    <m/>
    <m/>
    <m/>
    <x v="0"/>
    <m/>
    <m/>
    <m/>
    <m/>
    <m/>
    <m/>
    <m/>
    <m/>
    <m/>
    <m/>
    <m/>
    <m/>
    <m/>
  </r>
  <r>
    <x v="294"/>
    <s v="11-2024"/>
    <x v="0"/>
    <s v="Week43"/>
    <x v="9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184"/>
    <n v="184"/>
    <m/>
    <n v="0"/>
    <n v="0"/>
    <n v="0"/>
    <m/>
    <n v="0"/>
    <m/>
    <m/>
    <m/>
  </r>
  <r>
    <x v="294"/>
    <s v="11-2024"/>
    <x v="0"/>
    <s v="Week43"/>
    <x v="9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81"/>
    <n v="81"/>
    <m/>
    <n v="0"/>
    <n v="0"/>
    <n v="0"/>
    <m/>
    <n v="0"/>
    <m/>
    <m/>
    <m/>
  </r>
  <r>
    <x v="294"/>
    <s v="11-2024"/>
    <x v="0"/>
    <s v="Week43"/>
    <x v="9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82"/>
    <n v="82"/>
    <m/>
    <n v="0"/>
    <n v="0"/>
    <n v="0"/>
    <m/>
    <n v="0"/>
    <m/>
    <m/>
    <m/>
  </r>
  <r>
    <x v="294"/>
    <d v="2024-11-11T00:00:00"/>
    <x v="0"/>
    <s v="Week43"/>
    <x v="9"/>
    <s v="DRY2400651"/>
    <s v="Belgium"/>
    <s v="CPFNW"/>
    <s v="CPF EUROPE S.A."/>
    <s v="R-Wonton no egg"/>
    <s v="Raw Wonton"/>
    <s v="Raw Wonton 50 pcs"/>
    <s v="082I93I10050P02001"/>
    <s v="630g*10inner"/>
    <n v="10"/>
    <n v="50"/>
    <n v="8.1300000000000001E-3"/>
    <x v="1"/>
    <s v="Salt"/>
    <s v="ซุปซอง 5g."/>
    <n v="400"/>
    <n v="400"/>
    <m/>
    <n v="0"/>
    <n v="0"/>
    <n v="0"/>
    <n v="6"/>
    <n v="0"/>
    <m/>
    <m/>
    <m/>
  </r>
  <r>
    <x v="294"/>
    <d v="2024-11-04T00:00:00"/>
    <x v="0"/>
    <s v="Week43"/>
    <x v="9"/>
    <s v="DRY2400691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707"/>
    <n v="707"/>
    <m/>
    <n v="0"/>
    <n v="0"/>
    <n v="0"/>
    <n v="6"/>
    <n v="0"/>
    <m/>
    <m/>
    <m/>
  </r>
  <r>
    <x v="295"/>
    <d v="2024-11-06T00:00:00"/>
    <x v="0"/>
    <s v="Week43"/>
    <x v="9"/>
    <s v="DRY2400675"/>
    <s v="SG"/>
    <s v="CPFNW"/>
    <s v="CPI SINGAPORE"/>
    <s v="R-Minced egg past"/>
    <s v="Raw Wonton"/>
    <s v="Raw Minced Wonton 8 pcs"/>
    <s v="082ID3B18008P00001"/>
    <s v="90g*18in"/>
    <n v="18"/>
    <n v="8"/>
    <n v="6.0000000000000001E-3"/>
    <x v="4"/>
    <s v="STPP"/>
    <s v="ซุปซอง 5g."/>
    <n v="800"/>
    <n v="800"/>
    <m/>
    <n v="0"/>
    <n v="0"/>
    <n v="0"/>
    <n v="2"/>
    <n v="0"/>
    <m/>
    <m/>
    <m/>
  </r>
  <r>
    <x v="295"/>
    <d v="2024-11-06T00:00:00"/>
    <x v="0"/>
    <s v="Week43"/>
    <x v="9"/>
    <s v="DRY2400675"/>
    <s v="SG"/>
    <s v="CPFNW"/>
    <s v="CPI SINGAPORE"/>
    <s v="R-Wonton egg past"/>
    <s v="Raw Wonton"/>
    <s v="Raw Wonton 8 pcs"/>
    <s v="082I93B20008P00001"/>
    <s v="194g*20in"/>
    <n v="20"/>
    <n v="8"/>
    <n v="1.4999999999999999E-2"/>
    <x v="6"/>
    <s v="STPP"/>
    <s v="ซุปซอง 5g."/>
    <n v="1000"/>
    <n v="1000"/>
    <m/>
    <n v="0"/>
    <n v="0"/>
    <n v="0"/>
    <n v="2"/>
    <n v="0"/>
    <s v="ห่อแบบดิบ"/>
    <m/>
    <m/>
  </r>
  <r>
    <x v="295"/>
    <d v="2024-11-06T00:00:00"/>
    <x v="0"/>
    <s v="Week43"/>
    <x v="9"/>
    <s v="DRY2400675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1200"/>
    <m/>
    <n v="1200"/>
    <n v="0"/>
    <n v="0"/>
    <n v="0"/>
    <n v="2"/>
    <n v="0"/>
    <s v="ห่อแบบสุก"/>
    <m/>
    <m/>
  </r>
  <r>
    <x v="296"/>
    <m/>
    <x v="0"/>
    <s v="Week43"/>
    <x v="9"/>
    <m/>
    <m/>
    <m/>
    <m/>
    <m/>
    <m/>
    <m/>
    <m/>
    <m/>
    <m/>
    <m/>
    <m/>
    <x v="0"/>
    <m/>
    <m/>
    <m/>
    <m/>
    <m/>
    <m/>
    <m/>
    <m/>
    <m/>
    <m/>
    <m/>
    <m/>
    <m/>
  </r>
  <r>
    <x v="297"/>
    <s v="11-2024"/>
    <x v="0"/>
    <s v="Week43"/>
    <x v="9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4712"/>
    <n v="4712"/>
    <m/>
    <n v="0"/>
    <n v="0"/>
    <m/>
    <m/>
    <m/>
    <s v="NEWPACKAGE"/>
    <m/>
    <m/>
  </r>
  <r>
    <x v="297"/>
    <d v="2024-11-20T00:00:00"/>
    <x v="0"/>
    <s v="Week43"/>
    <x v="9"/>
    <s v="DRY2400611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579"/>
    <m/>
    <n v="2579"/>
    <n v="0"/>
    <n v="0"/>
    <m/>
    <m/>
    <m/>
    <m/>
    <m/>
    <m/>
  </r>
  <r>
    <x v="298"/>
    <d v="2024-10-30T00:00:00"/>
    <x v="0"/>
    <s v="Week43"/>
    <x v="9"/>
    <s v="DRY2400621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04"/>
    <n v="1204"/>
    <m/>
    <n v="0"/>
    <n v="0"/>
    <m/>
    <m/>
    <m/>
    <m/>
    <m/>
    <m/>
  </r>
  <r>
    <x v="298"/>
    <d v="2024-11-14T00:00:00"/>
    <x v="0"/>
    <s v="Week43"/>
    <x v="9"/>
    <s v="DRY2400622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m/>
    <m/>
    <m/>
  </r>
  <r>
    <x v="298"/>
    <d v="2024-11-14T00:00:00"/>
    <x v="0"/>
    <s v="Week43"/>
    <x v="9"/>
    <s v="DRY2400624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m/>
    <m/>
    <m/>
  </r>
  <r>
    <x v="298"/>
    <d v="2024-11-21T00:00:00"/>
    <x v="0"/>
    <s v="Week43"/>
    <x v="9"/>
    <s v="DRY2400623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9"/>
    <n v="19"/>
    <m/>
    <n v="0"/>
    <n v="0"/>
    <m/>
    <m/>
    <m/>
    <m/>
    <m/>
    <m/>
  </r>
  <r>
    <x v="298"/>
    <s v="11-2024"/>
    <x v="0"/>
    <s v="Week43"/>
    <x v="9"/>
    <s v="ขายภายใน"/>
    <s v=".7-11"/>
    <s v="CPFGS"/>
    <s v="ซีพีเอฟ เทรดดิ้ง"/>
    <s v="Wonton ND+V+TY"/>
    <s v="Cooked Wonton"/>
    <s v="Cooked Wonton ND+ Vegetable  SS  3 pcs"/>
    <s v="082SJ1A12003P02001"/>
    <s v="211g*12"/>
    <n v="12"/>
    <n v="3"/>
    <n v="6.1999999999999998E-3"/>
    <x v="2"/>
    <s v="STPP"/>
    <s v="TYNSF"/>
    <n v="686"/>
    <n v="667"/>
    <n v="31.083333333333332"/>
    <n v="12.083333333333371"/>
    <n v="0"/>
    <m/>
    <m/>
    <m/>
    <s v="ขั่นต่ำ 58,000 ถ้วย"/>
    <m/>
    <m/>
  </r>
  <r>
    <x v="299"/>
    <d v="2024-11-04T00:00:00"/>
    <x v="0"/>
    <s v="Week43"/>
    <x v="9"/>
    <s v="DRY240064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8"/>
    <n v="8"/>
    <m/>
    <n v="0"/>
    <n v="0"/>
    <m/>
    <m/>
    <m/>
    <m/>
    <m/>
    <m/>
  </r>
  <r>
    <x v="299"/>
    <d v="2024-11-04T00:00:00"/>
    <x v="0"/>
    <s v="Week43"/>
    <x v="9"/>
    <s v="DRY240064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632"/>
    <n v="160"/>
    <n v="0"/>
    <n v="0"/>
    <m/>
    <m/>
    <m/>
    <m/>
    <m/>
    <m/>
  </r>
  <r>
    <x v="299"/>
    <d v="2024-11-06T00:00:00"/>
    <x v="0"/>
    <s v="Week43"/>
    <x v="9"/>
    <s v="DRY240070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632"/>
    <n v="160"/>
    <n v="0"/>
    <n v="0"/>
    <m/>
    <m/>
    <m/>
    <m/>
    <m/>
    <m/>
  </r>
  <r>
    <x v="299"/>
    <d v="2024-11-06T00:00:00"/>
    <x v="0"/>
    <s v="Week43"/>
    <x v="9"/>
    <s v="DRY240070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99"/>
    <d v="2024-11-13T00:00:00"/>
    <x v="0"/>
    <s v="Week43"/>
    <x v="9"/>
    <s v="DRY240070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632"/>
    <n v="160"/>
    <n v="0"/>
    <n v="0"/>
    <m/>
    <m/>
    <m/>
    <m/>
    <m/>
    <m/>
  </r>
  <r>
    <x v="299"/>
    <d v="2024-11-13T00:00:00"/>
    <x v="0"/>
    <s v="Week43"/>
    <x v="9"/>
    <s v="DRY240070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299"/>
    <d v="2024-11-13T00:00:00"/>
    <x v="0"/>
    <s v="Week43"/>
    <x v="9"/>
    <s v="DRY240070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632"/>
    <n v="160"/>
    <n v="0"/>
    <n v="0"/>
    <m/>
    <m/>
    <m/>
    <m/>
    <m/>
    <m/>
  </r>
  <r>
    <x v="299"/>
    <d v="2024-11-13T00:00:00"/>
    <x v="0"/>
    <s v="Week43"/>
    <x v="9"/>
    <s v="DRY240070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08"/>
    <n v="108"/>
    <m/>
    <n v="0"/>
    <n v="0"/>
    <m/>
    <m/>
    <m/>
    <m/>
    <m/>
    <m/>
  </r>
  <r>
    <x v="300"/>
    <m/>
    <x v="0"/>
    <s v="Week43"/>
    <x v="9"/>
    <m/>
    <m/>
    <m/>
    <m/>
    <m/>
    <m/>
    <m/>
    <m/>
    <m/>
    <m/>
    <m/>
    <m/>
    <x v="0"/>
    <m/>
    <m/>
    <m/>
    <m/>
    <m/>
    <m/>
    <m/>
    <m/>
    <m/>
    <m/>
    <m/>
    <m/>
    <m/>
  </r>
  <r>
    <x v="301"/>
    <d v="2024-11-21T00:00:00"/>
    <x v="0"/>
    <s v="Week44"/>
    <x v="9"/>
    <s v="DRY2400623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69"/>
    <n v="1031"/>
    <n v="238"/>
    <n v="0"/>
    <n v="0"/>
    <m/>
    <m/>
    <m/>
    <m/>
    <m/>
    <m/>
  </r>
  <r>
    <x v="301"/>
    <d v="2024-11-07T00:00:00"/>
    <x v="0"/>
    <s v="Week44"/>
    <x v="9"/>
    <s v="DRY2400701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88"/>
    <m/>
    <n v="0"/>
    <n v="0"/>
    <m/>
    <m/>
    <m/>
    <m/>
    <m/>
    <m/>
  </r>
  <r>
    <x v="301"/>
    <d v="2024-11-14T00:00:00"/>
    <x v="0"/>
    <s v="Week44"/>
    <x v="9"/>
    <s v="DRY2400702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42"/>
    <n v="1242"/>
    <m/>
    <n v="0"/>
    <n v="0"/>
    <m/>
    <m/>
    <m/>
    <m/>
    <m/>
    <m/>
  </r>
  <r>
    <x v="302"/>
    <d v="2024-11-12T00:00:00"/>
    <x v="0"/>
    <s v="Week44"/>
    <x v="9"/>
    <s v="DRY2400429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m/>
    <m/>
    <m/>
    <s v="ใช้ package ที่เป็น หมึกพิมพ์ใหม่"/>
    <m/>
    <m/>
  </r>
  <r>
    <x v="302"/>
    <d v="2024-11-12T00:00:00"/>
    <x v="0"/>
    <s v="Week44"/>
    <x v="9"/>
    <s v="DRY2400430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m/>
    <m/>
    <m/>
    <s v="ใช้ package ที่เป็น หมึกพิมพ์ใหม่"/>
    <m/>
    <m/>
  </r>
  <r>
    <x v="302"/>
    <d v="2024-11-19T00:00:00"/>
    <x v="0"/>
    <s v="Week44"/>
    <x v="9"/>
    <s v="DRY2400734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m/>
    <m/>
    <m/>
    <s v="ใช้ package ที่เป็น หมึกพิมพ์ใหม่"/>
    <m/>
    <m/>
  </r>
  <r>
    <x v="303"/>
    <d v="2024-11-19T00:00:00"/>
    <x v="0"/>
    <s v="Week44"/>
    <x v="9"/>
    <s v="DRY2400727"/>
    <s v="Malay"/>
    <s v="CPFNW"/>
    <s v="CPM Malaysia"/>
    <s v="Wonton"/>
    <s v="Cooked Wonton"/>
    <s v="Cooked Wonton No Egg  "/>
    <s v="082S85I24005P01001"/>
    <s v="145g*24"/>
    <n v="24"/>
    <n v="5"/>
    <n v="8.0000000000000002E-3"/>
    <x v="1"/>
    <s v="STPP"/>
    <s v="Regular"/>
    <n v="1000"/>
    <n v="1000"/>
    <m/>
    <n v="0"/>
    <n v="0"/>
    <m/>
    <m/>
    <m/>
    <m/>
    <m/>
    <m/>
  </r>
  <r>
    <x v="303"/>
    <d v="2024-11-19T00:00:00"/>
    <x v="0"/>
    <s v="Week44"/>
    <x v="9"/>
    <s v="DRY2400727"/>
    <s v="Malay"/>
    <s v="CPFNW"/>
    <s v="CPM Malaysia"/>
    <s v="Wonton+TY"/>
    <s v="Cooked Wonton"/>
    <s v="Cooked Wonton No Egg  TY"/>
    <s v="082S85I24005P02001"/>
    <s v="115g*24"/>
    <n v="24"/>
    <n v="5"/>
    <n v="8.0000000000000002E-3"/>
    <x v="1"/>
    <s v="STPP"/>
    <s v="TYTB3C 30G"/>
    <n v="1150"/>
    <n v="1150"/>
    <m/>
    <n v="0"/>
    <n v="0"/>
    <m/>
    <n v="1"/>
    <n v="0"/>
    <m/>
    <m/>
    <m/>
  </r>
  <r>
    <x v="303"/>
    <s v="11-2024"/>
    <x v="0"/>
    <s v="Week44"/>
    <x v="9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2362"/>
    <n v="2362"/>
    <m/>
    <n v="0"/>
    <n v="0"/>
    <m/>
    <m/>
    <m/>
    <s v="NEWPACKAGE"/>
    <m/>
    <m/>
  </r>
  <r>
    <x v="303"/>
    <s v="11-2024"/>
    <x v="0"/>
    <s v="Week44"/>
    <x v="9"/>
    <s v="ขายภายใน"/>
    <s v="MTFS"/>
    <s v="CPFGS"/>
    <s v="ซีพีเอฟ เทรดดิ้ง"/>
    <s v="Wonton"/>
    <s v="Cooked Wonton"/>
    <s v="เกี๊ยวกุ้งทรัฟเฟิลซุปน้ำดำ CP 143g"/>
    <s v="082S83Q18005P07001"/>
    <s v="143g*18"/>
    <n v="18"/>
    <n v="5"/>
    <n v="6.1999999999999998E-3"/>
    <x v="2"/>
    <s v="STPP"/>
    <s v="น้ำดำ"/>
    <n v="556"/>
    <n v="494"/>
    <n v="68.055555555555557"/>
    <n v="6.0555555555555429"/>
    <n v="0"/>
    <m/>
    <m/>
    <m/>
    <s v="ขาดซอส  5300  ถ้วย"/>
    <m/>
    <m/>
  </r>
  <r>
    <x v="303"/>
    <s v="11.2024"/>
    <x v="0"/>
    <s v="Week44"/>
    <x v="9"/>
    <s v="ขายภายใน"/>
    <s v=".7-11"/>
    <s v="CPFGS"/>
    <s v="ซีพีเอฟ เทรดดิ้ง"/>
    <s v="Wonton"/>
    <s v="Cooked Wonton"/>
    <s v="เกี๊ยวกุ้งทรัฟเฟิลซุปน้ำดำ CP 143g 7E"/>
    <s v="082S81A24005P0C001"/>
    <s v="143g*24"/>
    <n v="24"/>
    <n v="5"/>
    <n v="6.1999999999999998E-3"/>
    <x v="2"/>
    <s v="STPP"/>
    <s v="น้ำดำ"/>
    <n v="42"/>
    <n v="42"/>
    <m/>
    <n v="0"/>
    <n v="0"/>
    <m/>
    <m/>
    <m/>
    <s v="ขาดซุปน้ำดำ  8900 ถ้วย"/>
    <m/>
    <m/>
  </r>
  <r>
    <x v="303"/>
    <s v="11-2024"/>
    <x v="0"/>
    <s v="Week44"/>
    <x v="9"/>
    <s v="ขายภายใน"/>
    <s v=".7-11"/>
    <s v="CPFGS"/>
    <s v="ซีพีเอฟ เทรดดิ้ง"/>
    <s v="Wonton"/>
    <s v="Cooked Wonton"/>
    <s v="เกี๊ยวกุ้งทรัฟเฟิลซุปน้ำดำ CP 143g 7E"/>
    <s v="082S81A24005P0C001"/>
    <s v="143g*24"/>
    <n v="24"/>
    <n v="5"/>
    <n v="6.1999999999999998E-3"/>
    <x v="2"/>
    <s v="STPP"/>
    <s v="น้ำดำ"/>
    <n v="935"/>
    <n v="935"/>
    <m/>
    <n v="0"/>
    <n v="0"/>
    <m/>
    <m/>
    <m/>
    <m/>
    <m/>
    <m/>
  </r>
  <r>
    <x v="304"/>
    <d v="2024-11-10T00:00:00"/>
    <x v="0"/>
    <s v="Week44"/>
    <x v="9"/>
    <s v="KL2400023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162"/>
    <n v="246"/>
    <n v="0"/>
    <n v="0"/>
    <n v="0"/>
    <n v="6"/>
    <n v="0"/>
    <m/>
    <m/>
    <m/>
  </r>
  <r>
    <x v="304"/>
    <d v="2024-11-19T00:00:00"/>
    <x v="0"/>
    <s v="Week44"/>
    <x v="9"/>
    <s v="DRY2400756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00"/>
    <n v="100"/>
    <m/>
    <n v="0"/>
    <n v="0"/>
    <n v="0"/>
    <n v="6"/>
    <n v="0"/>
    <m/>
    <m/>
    <m/>
  </r>
  <r>
    <x v="305"/>
    <d v="2024-11-13T00:00:00"/>
    <x v="0"/>
    <s v="Week44"/>
    <x v="10"/>
    <s v="KL2400025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m/>
    <m/>
  </r>
  <r>
    <x v="305"/>
    <d v="2024-12-04T00:00:00"/>
    <x v="0"/>
    <s v="Week44"/>
    <x v="10"/>
    <s v="DRY2400757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00"/>
    <n v="100"/>
    <m/>
    <n v="0"/>
    <n v="0"/>
    <n v="0"/>
    <n v="6"/>
    <n v="0"/>
    <m/>
    <m/>
    <m/>
  </r>
  <r>
    <x v="306"/>
    <d v="2024-11-15T00:00:00"/>
    <x v="0"/>
    <s v="Week44"/>
    <x v="10"/>
    <s v="KL2400024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m/>
    <m/>
  </r>
  <r>
    <x v="306"/>
    <d v="2024-12-04T00:00:00"/>
    <x v="0"/>
    <s v="Week44"/>
    <x v="10"/>
    <s v="DRY2400758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00"/>
    <n v="7"/>
    <n v="93"/>
    <n v="0"/>
    <n v="0"/>
    <n v="0"/>
    <n v="6"/>
    <n v="0"/>
    <m/>
    <m/>
    <m/>
  </r>
  <r>
    <x v="307"/>
    <m/>
    <x v="0"/>
    <s v="Week44"/>
    <x v="10"/>
    <m/>
    <m/>
    <m/>
    <m/>
    <m/>
    <m/>
    <m/>
    <m/>
    <m/>
    <m/>
    <m/>
    <m/>
    <x v="0"/>
    <m/>
    <m/>
    <m/>
    <m/>
    <m/>
    <m/>
    <m/>
    <m/>
    <m/>
    <m/>
    <m/>
    <m/>
    <m/>
  </r>
  <r>
    <x v="308"/>
    <d v="2024-12-03T00:00:00"/>
    <x v="0"/>
    <s v="Week45"/>
    <x v="10"/>
    <s v="DRY2400678"/>
    <s v="SG"/>
    <s v="CPFNW"/>
    <s v="CPI Singapore"/>
    <s v="Wonton ND+V"/>
    <s v="Cooked Wonton"/>
    <s v="Cooked Wonton ND No Egg with Pumpkin _x000a_+ Vegetable  HC  3 pcs"/>
    <s v="082SJ3B24003P02001"/>
    <s v="219g*24"/>
    <n v="24"/>
    <n v="3"/>
    <n v="7.4999999999999997E-3"/>
    <x v="5"/>
    <s v="STPP"/>
    <s v="ซุปซอง 10g."/>
    <n v="500"/>
    <n v="500"/>
    <m/>
    <n v="0"/>
    <n v="0"/>
    <m/>
    <m/>
    <m/>
    <m/>
    <m/>
    <m/>
  </r>
  <r>
    <x v="308"/>
    <d v="2024-11-13T00:00:00"/>
    <x v="0"/>
    <s v="Week45"/>
    <x v="10"/>
    <s v="DRY240070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84"/>
    <n v="524"/>
    <n v="160"/>
    <n v="0"/>
    <n v="0"/>
    <m/>
    <m/>
    <m/>
    <m/>
    <m/>
    <m/>
  </r>
  <r>
    <x v="308"/>
    <d v="2024-11-13T00:00:00"/>
    <x v="0"/>
    <s v="Week45"/>
    <x v="10"/>
    <s v="DRY240071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08"/>
    <d v="2024-11-18T00:00:00"/>
    <x v="0"/>
    <s v="Week45"/>
    <x v="10"/>
    <s v="DRY240071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632"/>
    <n v="160"/>
    <n v="0"/>
    <n v="0"/>
    <m/>
    <m/>
    <m/>
    <m/>
    <m/>
    <m/>
  </r>
  <r>
    <x v="308"/>
    <d v="2024-11-20T00:00:00"/>
    <x v="0"/>
    <s v="Week45"/>
    <x v="10"/>
    <s v="DRY240071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11"/>
    <n v="411"/>
    <m/>
    <n v="0"/>
    <n v="0"/>
    <m/>
    <m/>
    <m/>
    <m/>
    <m/>
    <m/>
  </r>
  <r>
    <x v="308"/>
    <d v="2024-11-26T00:00:00"/>
    <x v="0"/>
    <s v="Week45"/>
    <x v="10"/>
    <s v="DRY2400689"/>
    <s v="Denmark"/>
    <s v="CPFNW"/>
    <s v="CPF DENMARK"/>
    <s v="Wonton ND+V+TY"/>
    <s v="Cooked Wonton"/>
    <s v="Cooked Wonton ND No Egg with Pumpkin _x000a_+ Vegetable  HC  3 pcs tomyam"/>
    <s v="082SJKW08003P00001"/>
    <s v="309g*8"/>
    <n v="8"/>
    <n v="3"/>
    <n v="7.4999999999999997E-3"/>
    <x v="1"/>
    <s v="Salt"/>
    <s v="TYANSSG+CM"/>
    <n v="3500"/>
    <m/>
    <n v="3500"/>
    <n v="0"/>
    <n v="0"/>
    <m/>
    <n v="3.85E-2"/>
    <n v="0"/>
    <s v="ต้มยำสูตรลดเผ็ดลง 10 %"/>
    <m/>
    <m/>
  </r>
  <r>
    <x v="309"/>
    <d v="2024-11-20T00:00:00"/>
    <x v="0"/>
    <s v="Week45"/>
    <x v="10"/>
    <s v="DRY240071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81"/>
    <n v="381"/>
    <m/>
    <n v="0"/>
    <n v="0"/>
    <m/>
    <m/>
    <m/>
    <m/>
    <m/>
    <m/>
  </r>
  <r>
    <x v="309"/>
    <d v="2024-11-20T00:00:00"/>
    <x v="0"/>
    <s v="Week45"/>
    <x v="10"/>
    <s v="DRY240071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632"/>
    <n v="160"/>
    <n v="0"/>
    <n v="0"/>
    <m/>
    <m/>
    <m/>
    <m/>
    <m/>
    <m/>
  </r>
  <r>
    <x v="309"/>
    <d v="2024-11-20T00:00:00"/>
    <x v="0"/>
    <s v="Week45"/>
    <x v="10"/>
    <s v="DRY240071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09"/>
    <d v="2024-11-20T00:00:00"/>
    <x v="0"/>
    <s v="Week45"/>
    <x v="10"/>
    <s v="DRY240071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534"/>
    <n v="258"/>
    <n v="0"/>
    <n v="0"/>
    <m/>
    <m/>
    <m/>
    <m/>
    <m/>
    <m/>
  </r>
  <r>
    <x v="309"/>
    <d v="2024-11-25T00:00:00"/>
    <x v="0"/>
    <s v="Week45"/>
    <x v="10"/>
    <s v="DRY240071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48"/>
    <m/>
    <n v="348"/>
    <n v="0"/>
    <n v="0"/>
    <m/>
    <m/>
    <m/>
    <m/>
    <m/>
    <m/>
  </r>
  <r>
    <x v="309"/>
    <d v="2024-11-19T00:00:00"/>
    <x v="0"/>
    <s v="Week45"/>
    <x v="10"/>
    <s v="DRY2400756"/>
    <s v="USA"/>
    <s v="CPFNW"/>
    <s v="Bellisio Foods, Inc."/>
    <s v="Minced ND+V"/>
    <s v="Cooked Wonton"/>
    <s v="Cooked Wonton ND No Egg with Pumpkin_x000a_+ Yu Choy Low sodium"/>
    <s v="082SRBW24005P01001"/>
    <s v="308g*4c*6in"/>
    <n v="24"/>
    <n v="5"/>
    <n v="6.0000000000000001E-3"/>
    <x v="4"/>
    <s v="Salt"/>
    <s v="Y3"/>
    <n v="200"/>
    <m/>
    <n v="200"/>
    <n v="0"/>
    <n v="0"/>
    <m/>
    <m/>
    <m/>
    <s v="ขอใช้ผักแบบไม่ล้าง"/>
    <m/>
    <m/>
  </r>
  <r>
    <x v="309"/>
    <d v="2024-11-28T00:00:00"/>
    <x v="0"/>
    <s v="Week45"/>
    <x v="10"/>
    <s v="DRY2400731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+CO"/>
    <n v="924"/>
    <m/>
    <n v="932.66666666666663"/>
    <n v="8.6666666666666288"/>
    <n v="0"/>
    <m/>
    <m/>
    <m/>
    <m/>
    <m/>
    <m/>
  </r>
  <r>
    <x v="310"/>
    <d v="2024-11-14T00:00:00"/>
    <x v="0"/>
    <s v="Week45"/>
    <x v="10"/>
    <s v="DRY2400628"/>
    <s v="SG"/>
    <s v="CPFNW"/>
    <s v="CPI SINGAPORE"/>
    <s v="R-Wonton egg past"/>
    <s v="Raw Wonton"/>
    <s v="Raw Wonton 12 pcs with sesame"/>
    <s v="082I93B20012P02001"/>
    <s v="204g*20in"/>
    <n v="20"/>
    <n v="12"/>
    <n v="6.8100000000000001E-3"/>
    <x v="3"/>
    <s v="STPP"/>
    <s v=" sesame 30g"/>
    <n v="1200"/>
    <n v="1197"/>
    <n v="3"/>
    <n v="0"/>
    <n v="0"/>
    <n v="0"/>
    <n v="2"/>
    <n v="0"/>
    <s v="ห่อแบบดิบ"/>
    <m/>
    <m/>
  </r>
  <r>
    <x v="310"/>
    <d v="2024-11-27T00:00:00"/>
    <x v="0"/>
    <s v="Week45"/>
    <x v="10"/>
    <s v="DRY2400676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1021"/>
    <n v="438"/>
    <n v="583.1"/>
    <n v="0.10000000000002274"/>
    <n v="0"/>
    <n v="0"/>
    <n v="2"/>
    <n v="0"/>
    <s v="ห่อแบบสุก"/>
    <m/>
    <m/>
  </r>
  <r>
    <x v="311"/>
    <d v="2024-11-27T00:00:00"/>
    <x v="0"/>
    <s v="Week45"/>
    <x v="10"/>
    <s v="DRY2400676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1501"/>
    <n v="1214"/>
    <n v="287"/>
    <n v="0"/>
    <n v="0"/>
    <n v="0"/>
    <n v="2"/>
    <n v="0"/>
    <s v="ห่อแบบสุก"/>
    <m/>
    <m/>
  </r>
  <r>
    <x v="311"/>
    <d v="2024-12-04T00:00:00"/>
    <x v="0"/>
    <s v="Week45"/>
    <x v="10"/>
    <s v="KL2400031"/>
    <s v="China"/>
    <s v="China"/>
    <s v="Charoen Pokphand Import&amp;Export Trading (Shanghai) Co., Ltd"/>
    <s v="R-Wonton no egg"/>
    <s v="Raw Wonton"/>
    <s v="Raw Wonton 50 pcs"/>
    <s v="082I95J08050P03001"/>
    <s v="630g*8in"/>
    <n v="8"/>
    <n v="50"/>
    <n v="6.8100000000000001E-3"/>
    <x v="3"/>
    <s v="STPP"/>
    <s v="ซุปซอง 5g."/>
    <n v="400"/>
    <n v="399"/>
    <n v="1"/>
    <n v="0"/>
    <n v="0"/>
    <n v="0"/>
    <n v="6"/>
    <n v="0"/>
    <m/>
    <m/>
    <m/>
  </r>
  <r>
    <x v="311"/>
    <s v="11-2024"/>
    <x v="0"/>
    <s v="Week45"/>
    <x v="10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429"/>
    <n v="429"/>
    <m/>
    <n v="0"/>
    <n v="0"/>
    <n v="0"/>
    <m/>
    <n v="0"/>
    <m/>
    <m/>
    <m/>
  </r>
  <r>
    <x v="311"/>
    <s v="11-2024"/>
    <x v="0"/>
    <s v="Week45"/>
    <x v="10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201"/>
    <n v="201"/>
    <m/>
    <n v="0"/>
    <n v="0"/>
    <n v="0"/>
    <m/>
    <n v="0"/>
    <m/>
    <m/>
    <m/>
  </r>
  <r>
    <x v="312"/>
    <d v="2024-11-11T00:00:00"/>
    <x v="0"/>
    <s v="Week45"/>
    <x v="10"/>
    <s v="KL2400033"/>
    <s v="China"/>
    <s v="China"/>
    <s v="Charoen Pokphand Import&amp;Export Trading (Shanghai) Co., Ltd"/>
    <s v="R-Wonton no egg"/>
    <s v="Raw Wonton"/>
    <s v="Raw Wonton 12 pcs"/>
    <s v="082I95J20012P04001"/>
    <s v="144g*20in"/>
    <n v="20"/>
    <n v="12"/>
    <n v="6.8100000000000001E-3"/>
    <x v="3"/>
    <s v="STPP"/>
    <s v="ซุปซอง 5g."/>
    <n v="1386"/>
    <n v="1386"/>
    <m/>
    <n v="0"/>
    <n v="0"/>
    <n v="0"/>
    <n v="2"/>
    <n v="0"/>
    <m/>
    <m/>
    <m/>
  </r>
  <r>
    <x v="312"/>
    <d v="2024-12-04T00:00:00"/>
    <x v="0"/>
    <s v="Week45"/>
    <x v="10"/>
    <s v="KL2400031"/>
    <s v="China"/>
    <s v="China"/>
    <s v="Charoen Pokphand Import&amp;Export Trading (Shanghai) Co., Ltd"/>
    <s v="R-Wonton no egg"/>
    <s v="Raw Wonton"/>
    <s v="Raw Wonton 12 pcs"/>
    <s v="082I95J20012P04001"/>
    <s v="144g*20in"/>
    <n v="20"/>
    <n v="12"/>
    <n v="6.8100000000000001E-3"/>
    <x v="3"/>
    <s v="STPP"/>
    <s v="ซุปซอง 5g."/>
    <n v="780"/>
    <n v="176"/>
    <n v="604"/>
    <n v="0"/>
    <n v="0"/>
    <n v="0"/>
    <n v="2"/>
    <n v="0"/>
    <m/>
    <m/>
    <m/>
  </r>
  <r>
    <x v="312"/>
    <s v="11-2024"/>
    <x v="0"/>
    <s v="Week45"/>
    <x v="10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451"/>
    <n v="451"/>
    <m/>
    <n v="0"/>
    <n v="0"/>
    <n v="0"/>
    <m/>
    <n v="0"/>
    <m/>
    <m/>
    <m/>
  </r>
  <r>
    <x v="313"/>
    <d v="2024-11-26T00:00:00"/>
    <x v="0"/>
    <s v="Week45"/>
    <x v="10"/>
    <s v="DRY2400754"/>
    <s v="Netherlands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79"/>
    <n v="9.1388888888888893"/>
    <n v="0.13888888888891415"/>
    <n v="0"/>
    <m/>
    <m/>
    <m/>
    <s v="ใช้ package ที่เป็น หมึกพิมพ์ใหม่"/>
    <m/>
    <m/>
  </r>
  <r>
    <x v="313"/>
    <d v="2024-11-25T00:00:00"/>
    <x v="0"/>
    <s v="Week45"/>
    <x v="10"/>
    <s v="DRY240071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44"/>
    <n v="284"/>
    <n v="160"/>
    <n v="0"/>
    <n v="0"/>
    <m/>
    <m/>
    <m/>
    <m/>
    <m/>
    <m/>
  </r>
  <r>
    <x v="313"/>
    <d v="2024-11-27T00:00:00"/>
    <x v="0"/>
    <s v="Week45"/>
    <x v="10"/>
    <s v="DRY240071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13"/>
    <d v="2024-12-02T00:00:00"/>
    <x v="0"/>
    <s v="Week45"/>
    <x v="10"/>
    <s v="DRY240071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632"/>
    <n v="160"/>
    <n v="0"/>
    <n v="0"/>
    <m/>
    <m/>
    <m/>
    <m/>
    <m/>
    <m/>
  </r>
  <r>
    <x v="313"/>
    <d v="2024-12-02T00:00:00"/>
    <x v="0"/>
    <s v="Week45"/>
    <x v="10"/>
    <s v="DRY240071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13"/>
    <d v="2024-12-02T00:00:00"/>
    <x v="0"/>
    <s v="Week45"/>
    <x v="10"/>
    <s v="DRY240072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68"/>
    <n v="305"/>
    <n v="163"/>
    <n v="0"/>
    <n v="0"/>
    <m/>
    <m/>
    <m/>
    <m/>
    <m/>
    <m/>
  </r>
  <r>
    <x v="314"/>
    <m/>
    <x v="0"/>
    <s v="Week45"/>
    <x v="10"/>
    <m/>
    <m/>
    <m/>
    <m/>
    <m/>
    <m/>
    <m/>
    <m/>
    <m/>
    <m/>
    <m/>
    <m/>
    <x v="0"/>
    <m/>
    <m/>
    <m/>
    <m/>
    <m/>
    <m/>
    <m/>
    <m/>
    <m/>
    <m/>
    <m/>
    <m/>
    <m/>
  </r>
  <r>
    <x v="315"/>
    <d v="2024-11-26T00:00:00"/>
    <x v="0"/>
    <s v="Week46"/>
    <x v="10"/>
    <s v="DRY2400740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m/>
    <m/>
    <m/>
    <s v="ใช้ package ที่เป็น หมึกพิมพ์ใหม่"/>
    <m/>
    <m/>
  </r>
  <r>
    <x v="315"/>
    <d v="2024-11-26T00:00:00"/>
    <x v="0"/>
    <s v="Week46"/>
    <x v="10"/>
    <s v="DRY2400741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m/>
    <m/>
    <m/>
    <s v="ใช้ package ที่เป็น หมึกพิมพ์ใหม่"/>
    <m/>
    <m/>
  </r>
  <r>
    <x v="315"/>
    <d v="2024-11-28T00:00:00"/>
    <x v="0"/>
    <s v="Week46"/>
    <x v="10"/>
    <s v="DRY2400703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78"/>
    <n v="1288"/>
    <n v="12.777777777777779"/>
    <n v="22.777777777777828"/>
    <n v="0"/>
    <m/>
    <m/>
    <m/>
    <m/>
    <m/>
    <m/>
  </r>
  <r>
    <x v="316"/>
    <s v="11-2024"/>
    <x v="0"/>
    <s v="Week46"/>
    <x v="10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3713"/>
    <n v="3650"/>
    <n v="63"/>
    <n v="0"/>
    <n v="0"/>
    <m/>
    <m/>
    <m/>
    <m/>
    <m/>
    <m/>
  </r>
  <r>
    <x v="316"/>
    <d v="2024-11-19T00:00:00"/>
    <x v="0"/>
    <s v="Week46"/>
    <x v="10"/>
    <s v="DRY2400756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750"/>
    <n v="750"/>
    <m/>
    <n v="0"/>
    <n v="0"/>
    <m/>
    <m/>
    <m/>
    <s v="สำรองจาก  082SRBW08005P00000"/>
    <m/>
    <m/>
  </r>
  <r>
    <x v="316"/>
    <d v="2024-12-04T00:00:00"/>
    <x v="0"/>
    <s v="Week46"/>
    <x v="10"/>
    <s v="DRY2400757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700"/>
    <n v="700"/>
    <m/>
    <n v="0"/>
    <n v="0"/>
    <m/>
    <m/>
    <m/>
    <m/>
    <m/>
    <m/>
  </r>
  <r>
    <x v="316"/>
    <s v="12-2024"/>
    <x v="0"/>
    <s v="Week46"/>
    <x v="10"/>
    <s v="ขายภายใน"/>
    <s v="MTFS"/>
    <s v="CPFGS"/>
    <s v="ซีพีเอฟ เทรดดิ้ง"/>
    <s v="E+Wonton NDE"/>
    <s v="Cooked Wonton"/>
    <s v="Cooked Wonton ND with egg V-Food"/>
    <s v="082SJ3Q12003P07001"/>
    <s v="226g*12"/>
    <n v="12"/>
    <n v="3"/>
    <n v="8.0000000000000002E-3"/>
    <x v="1"/>
    <s v="STPP"/>
    <s v="Regular"/>
    <n v="267"/>
    <n v="267"/>
    <m/>
    <n v="0"/>
    <n v="0"/>
    <m/>
    <m/>
    <m/>
    <m/>
    <m/>
    <m/>
  </r>
  <r>
    <x v="316"/>
    <s v="12-2024"/>
    <x v="0"/>
    <s v="Week46"/>
    <x v="10"/>
    <s v="ขายภายใน"/>
    <s v="MTFS"/>
    <s v="CPFGS"/>
    <s v="ซีพีเอฟ เทรดดิ้ง"/>
    <s v="E+Wonton NDE"/>
    <s v="Cooked Wonton"/>
    <s v="Cooked Wonton ND with egg V-Food"/>
    <s v="082SJ3Q12003P07001"/>
    <s v="226g*12"/>
    <n v="12"/>
    <n v="3"/>
    <n v="8.0000000000000002E-3"/>
    <x v="1"/>
    <s v="STPP"/>
    <s v="Regular"/>
    <n v="148"/>
    <n v="156"/>
    <m/>
    <n v="8"/>
    <n v="0"/>
    <m/>
    <m/>
    <m/>
    <m/>
    <m/>
    <m/>
  </r>
  <r>
    <x v="316"/>
    <s v="12-2024"/>
    <x v="0"/>
    <s v="Week46"/>
    <x v="10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167"/>
    <n v="167"/>
    <m/>
    <n v="0"/>
    <n v="0"/>
    <m/>
    <m/>
    <m/>
    <m/>
    <m/>
    <m/>
  </r>
  <r>
    <x v="316"/>
    <s v="12-2024"/>
    <x v="0"/>
    <s v="Week46"/>
    <x v="10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145"/>
    <n v="165"/>
    <m/>
    <n v="20"/>
    <n v="0"/>
    <m/>
    <m/>
    <m/>
    <m/>
    <m/>
    <m/>
  </r>
  <r>
    <x v="316"/>
    <s v="11.2024"/>
    <x v="0"/>
    <s v="Week46"/>
    <x v="10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26"/>
    <n v="26"/>
    <m/>
    <n v="0"/>
    <n v="0"/>
    <m/>
    <m/>
    <m/>
    <m/>
    <m/>
    <m/>
  </r>
  <r>
    <x v="316"/>
    <s v="12-2024"/>
    <x v="0"/>
    <s v="Week46"/>
    <x v="10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73"/>
    <n v="73"/>
    <m/>
    <n v="0"/>
    <n v="0"/>
    <m/>
    <m/>
    <m/>
    <m/>
    <m/>
    <m/>
  </r>
  <r>
    <x v="316"/>
    <s v="12-2024"/>
    <x v="0"/>
    <s v="Week46"/>
    <x v="10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345"/>
    <n v="354"/>
    <m/>
    <n v="9"/>
    <n v="0"/>
    <m/>
    <m/>
    <m/>
    <m/>
    <m/>
    <m/>
  </r>
  <r>
    <x v="317"/>
    <s v="11-2024"/>
    <x v="0"/>
    <s v="Week46"/>
    <x v="10"/>
    <s v="ขายภายใน"/>
    <s v="MTFS"/>
    <s v="CPFGS"/>
    <s v="ซีพีเอฟ เทรดดิ้ง"/>
    <s v="Wonton"/>
    <s v="Cooked Wonton"/>
    <s v="เกี๊ยวกุ้งทรัฟเฟิลซุปน้ำดำ CP 143g"/>
    <s v="082S83Q18005P07001"/>
    <s v="143g*18"/>
    <n v="18"/>
    <n v="5"/>
    <n v="6.1999999999999998E-3"/>
    <x v="2"/>
    <s v="STPP"/>
    <s v="น้ำดำ"/>
    <n v="556"/>
    <n v="556"/>
    <m/>
    <n v="0"/>
    <n v="0"/>
    <m/>
    <m/>
    <m/>
    <m/>
    <m/>
    <m/>
  </r>
  <r>
    <x v="317"/>
    <s v="11-2024"/>
    <x v="0"/>
    <s v="Week46"/>
    <x v="10"/>
    <s v="ขายภายใน"/>
    <s v="MTFS"/>
    <s v="CPFGS"/>
    <s v="ซีพีเอฟ เทรดดิ้ง"/>
    <s v="Wonton"/>
    <s v="Cooked Wonton"/>
    <s v="เกี๊ยวกุ้งทรัฟเฟิลซุปน้ำดำ CP 143g"/>
    <s v="082S83Q12005P07001"/>
    <s v="143g*12"/>
    <n v="12"/>
    <n v="5"/>
    <n v="6.1999999999999998E-3"/>
    <x v="2"/>
    <s v="STPP"/>
    <s v="น้ำดำ"/>
    <n v="1959"/>
    <n v="1959"/>
    <m/>
    <n v="0"/>
    <n v="0"/>
    <m/>
    <m/>
    <m/>
    <m/>
    <m/>
    <m/>
  </r>
  <r>
    <x v="317"/>
    <s v="11-2024"/>
    <x v="0"/>
    <s v="Week46"/>
    <x v="10"/>
    <s v="ขายภายใน"/>
    <s v=".7-11"/>
    <s v="CPFGS"/>
    <s v="ซีพีเอฟ เทรดดิ้ง"/>
    <s v="Wonton"/>
    <s v="Cooked Wonton"/>
    <s v="เกี๊ยวกุ้งทรัฟเฟิลซุปน้ำดำ CP 143g 7E"/>
    <s v="082S81A24005P0C001"/>
    <s v="143g*24"/>
    <n v="24"/>
    <n v="5"/>
    <n v="6.1999999999999998E-3"/>
    <x v="2"/>
    <s v="STPP"/>
    <s v="น้ำดำ"/>
    <n v="1808"/>
    <n v="1808"/>
    <m/>
    <n v="0"/>
    <n v="0"/>
    <m/>
    <m/>
    <m/>
    <m/>
    <m/>
    <m/>
  </r>
  <r>
    <x v="317"/>
    <s v="11-2024"/>
    <x v="0"/>
    <s v="Week46"/>
    <x v="10"/>
    <s v="ขายภายใน"/>
    <s v=".7-11"/>
    <s v="CPFGS"/>
    <s v="ซีพีเอฟ เทรดดิ้ง"/>
    <s v="Wonton"/>
    <s v="Cooked Wonton"/>
    <s v="เกี๊ยวกุ้งทรัฟเฟิลซุปน้ำดำ CP 143g 7E"/>
    <s v="082S81A24005P0C001"/>
    <s v="143g*24"/>
    <n v="24"/>
    <n v="5"/>
    <n v="6.1999999999999998E-3"/>
    <x v="2"/>
    <s v="STPP"/>
    <s v="น้ำดำ"/>
    <n v="2674"/>
    <n v="2674"/>
    <m/>
    <n v="0"/>
    <n v="0"/>
    <m/>
    <m/>
    <m/>
    <m/>
    <m/>
    <m/>
  </r>
  <r>
    <x v="318"/>
    <d v="2024-11-19T00:00:00"/>
    <x v="0"/>
    <s v="Week46"/>
    <x v="10"/>
    <s v="136-24"/>
    <s v="ขายภายใน"/>
    <s v="CPFGS"/>
    <s v="บริษัท อินสยาม ฟู้ด แอนด์ เบฟเวอเรจ จำกัด"/>
    <s v="E+Wonton"/>
    <s v="Cooked Wonton"/>
    <s v="Cooked Wonton Multipack  with Egg  270g"/>
    <s v="082S811AA005P00001"/>
    <s v="90g*100B"/>
    <n v="100"/>
    <n v="5"/>
    <n v="8.0000000000000002E-3"/>
    <x v="1"/>
    <s v="STPP"/>
    <s v="ซุปซอง 5g."/>
    <n v="32"/>
    <n v="32"/>
    <m/>
    <n v="0"/>
    <n v="0"/>
    <m/>
    <n v="1"/>
    <n v="0"/>
    <m/>
    <m/>
    <m/>
  </r>
  <r>
    <x v="318"/>
    <s v="11.2024"/>
    <x v="0"/>
    <s v="Week46"/>
    <x v="10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384"/>
    <n v="384"/>
    <m/>
    <n v="0"/>
    <n v="0"/>
    <m/>
    <n v="1"/>
    <n v="0"/>
    <m/>
    <m/>
    <m/>
  </r>
  <r>
    <x v="318"/>
    <s v="12-2024"/>
    <x v="0"/>
    <s v="Week46"/>
    <x v="10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350"/>
    <n v="350"/>
    <m/>
    <n v="0"/>
    <n v="0"/>
    <m/>
    <n v="1"/>
    <n v="0"/>
    <m/>
    <m/>
    <m/>
  </r>
  <r>
    <x v="318"/>
    <s v="12-2024"/>
    <x v="0"/>
    <s v="Week46"/>
    <x v="10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1226"/>
    <n v="1226"/>
    <m/>
    <n v="0"/>
    <n v="0"/>
    <m/>
    <n v="1"/>
    <n v="0"/>
    <m/>
    <m/>
    <m/>
  </r>
  <r>
    <x v="318"/>
    <s v="11.2024"/>
    <x v="0"/>
    <s v="Week46"/>
    <x v="10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2643"/>
    <n v="2643"/>
    <m/>
    <n v="0"/>
    <n v="0"/>
    <m/>
    <m/>
    <m/>
    <m/>
    <m/>
    <m/>
  </r>
  <r>
    <x v="318"/>
    <s v="12-2024"/>
    <x v="0"/>
    <s v="Week46"/>
    <x v="10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866"/>
    <n v="866"/>
    <m/>
    <n v="0"/>
    <n v="0"/>
    <m/>
    <m/>
    <m/>
    <m/>
    <m/>
    <m/>
  </r>
  <r>
    <x v="318"/>
    <s v="11.2024"/>
    <x v="0"/>
    <s v="Week46"/>
    <x v="10"/>
    <s v="ขายภายใน"/>
    <s v="MTFS"/>
    <s v="CPFGS"/>
    <s v="ซีพีเอฟ เทรดดิ้ง"/>
    <s v="E+Wonton"/>
    <s v="Cooked Wonton"/>
    <s v="Cooked Wonton  with egg V-Food"/>
    <s v="082S83Q12005P05000"/>
    <s v="145g*12"/>
    <n v="12"/>
    <n v="5"/>
    <n v="8.0000000000000002E-3"/>
    <x v="1"/>
    <s v="STPP"/>
    <s v="Regular"/>
    <n v="12"/>
    <n v="12"/>
    <m/>
    <n v="0"/>
    <n v="0"/>
    <m/>
    <m/>
    <m/>
    <m/>
    <m/>
    <m/>
  </r>
  <r>
    <x v="318"/>
    <d v="2024-11-25T00:00:00"/>
    <x v="0"/>
    <s v="Week46"/>
    <x v="10"/>
    <s v="LA001/2567"/>
    <s v="Laos"/>
    <s v="Laos"/>
    <s v="บริษัท ปิก้าเทรดดิ้ง จำกัด"/>
    <s v="E+Wonton"/>
    <s v="Cooked Wonton"/>
    <s v="เกี๊ยวกุ้งจักรพรรดิ 12x145g."/>
    <s v="082S8L212005P00001"/>
    <s v="145g*12"/>
    <n v="12"/>
    <n v="5"/>
    <n v="8.0000000000000002E-3"/>
    <x v="1"/>
    <s v="STPP"/>
    <s v="Regular"/>
    <n v="80"/>
    <n v="80"/>
    <m/>
    <n v="0"/>
    <n v="0"/>
    <m/>
    <m/>
    <m/>
    <m/>
    <m/>
    <m/>
  </r>
  <r>
    <x v="318"/>
    <d v="2024-11-25T00:00:00"/>
    <x v="0"/>
    <s v="Week46"/>
    <x v="10"/>
    <s v="LA001/2567"/>
    <s v="Laos"/>
    <s v="Laos"/>
    <s v="บริษัท ปิก้าเทรดดิ้ง จำกัด"/>
    <s v="E+Wonton+หมาล่า"/>
    <s v="Cooked Wonton"/>
    <s v="เกี๊ยวกุ้งจักรพรรดิ ซุปหม่าล่า 12x143g."/>
    <s v="082S8L212005P01001"/>
    <s v="143g*12"/>
    <n v="12"/>
    <n v="5"/>
    <n v="6.1999999999999998E-3"/>
    <x v="2"/>
    <s v="STPP"/>
    <s v="หมาล่า"/>
    <n v="80"/>
    <n v="80"/>
    <m/>
    <n v="0"/>
    <n v="0"/>
    <m/>
    <m/>
    <m/>
    <m/>
    <m/>
    <m/>
  </r>
  <r>
    <x v="318"/>
    <s v="11.2024"/>
    <x v="0"/>
    <s v="Week46"/>
    <x v="10"/>
    <s v="ขายภายใน"/>
    <s v="MTFS"/>
    <s v="CPFGS"/>
    <s v="ซีพีเอฟ เทรดดิ้ง"/>
    <s v="E+Wonton+หมาล่า"/>
    <s v="Cooked Wonton"/>
    <s v="เกี๊ยวกุ้งจักรพรรดิซุปหมาล่า (ตรา ซีพี)_MT"/>
    <s v="082S83Q18005P06001"/>
    <s v="143g*18"/>
    <n v="18"/>
    <n v="5"/>
    <n v="6.1999999999999998E-3"/>
    <x v="2"/>
    <s v="STPP"/>
    <s v="หมาล่า"/>
    <n v="150"/>
    <n v="150"/>
    <m/>
    <n v="0"/>
    <n v="0"/>
    <m/>
    <m/>
    <m/>
    <m/>
    <m/>
    <m/>
  </r>
  <r>
    <x v="318"/>
    <s v="12-2024"/>
    <x v="0"/>
    <s v="Week46"/>
    <x v="10"/>
    <s v="ขายภายใน"/>
    <s v="MTFS"/>
    <s v="CPFGS"/>
    <s v="ซีพีเอฟ เทรดดิ้ง"/>
    <s v="E+Wonton+หมาล่า"/>
    <s v="Cooked Wonton"/>
    <s v="เกี๊ยวกุ้งจักรพรรดิซุปหมาล่า (ตรา ซีพี)_MT"/>
    <s v="082S83Q18005P06001"/>
    <s v="143g*18"/>
    <n v="18"/>
    <n v="5"/>
    <n v="6.1999999999999998E-3"/>
    <x v="2"/>
    <s v="STPP"/>
    <s v="หมาล่า"/>
    <n v="150"/>
    <n v="150"/>
    <m/>
    <n v="0"/>
    <n v="0"/>
    <m/>
    <m/>
    <m/>
    <m/>
    <m/>
    <m/>
  </r>
  <r>
    <x v="318"/>
    <s v="11.2024"/>
    <x v="0"/>
    <s v="Week46"/>
    <x v="10"/>
    <s v="ขายภายใน"/>
    <s v=".7-11"/>
    <s v="CPFGS"/>
    <s v="ซีพีเอฟ เทรดดิ้ง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53"/>
    <n v="53"/>
    <m/>
    <n v="0"/>
    <n v="0"/>
    <m/>
    <m/>
    <m/>
    <m/>
    <m/>
    <m/>
  </r>
  <r>
    <x v="318"/>
    <s v="12-2024"/>
    <x v="0"/>
    <s v="Week46"/>
    <x v="10"/>
    <s v="ขายภายใน"/>
    <s v=".7-11"/>
    <s v="CPFGS"/>
    <s v="ซีพีเอฟ เทรดดิ้ง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1314"/>
    <n v="1303"/>
    <n v="11"/>
    <n v="0"/>
    <n v="0"/>
    <m/>
    <m/>
    <m/>
    <m/>
    <m/>
    <m/>
  </r>
  <r>
    <x v="319"/>
    <d v="2024-11-27T00:00:00"/>
    <x v="0"/>
    <s v="Week46"/>
    <x v="10"/>
    <s v="DRY2400676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478"/>
    <n v="478"/>
    <m/>
    <n v="0"/>
    <n v="0"/>
    <n v="0"/>
    <n v="2"/>
    <n v="0"/>
    <s v="ห่อแบบสุก"/>
    <m/>
    <m/>
  </r>
  <r>
    <x v="319"/>
    <d v="2024-12-02T00:00:00"/>
    <x v="0"/>
    <s v="Week46"/>
    <x v="10"/>
    <s v="DRY2400692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1083"/>
    <n v="1083"/>
    <m/>
    <n v="0"/>
    <n v="0"/>
    <n v="0"/>
    <n v="6"/>
    <n v="0"/>
    <m/>
    <m/>
    <m/>
  </r>
  <r>
    <x v="320"/>
    <d v="2024-12-02T00:00:00"/>
    <x v="0"/>
    <s v="Week46"/>
    <x v="10"/>
    <s v="DRY2400692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973"/>
    <n v="973"/>
    <m/>
    <n v="0"/>
    <n v="0"/>
    <n v="0"/>
    <n v="6"/>
    <n v="0"/>
    <m/>
    <m/>
    <m/>
  </r>
  <r>
    <x v="320"/>
    <d v="2024-12-03T00:00:00"/>
    <x v="0"/>
    <s v="Week46"/>
    <x v="10"/>
    <s v="DRY2400678"/>
    <s v="SG"/>
    <s v="CPFNW"/>
    <s v="CPI SINGAPORE"/>
    <s v="R-Minced egg past"/>
    <s v="Raw Wonton"/>
    <s v="Raw Minced Wonton 8 pcs"/>
    <s v="082ID3B18008P00001"/>
    <s v="90g*18in"/>
    <n v="18"/>
    <n v="8"/>
    <n v="6.0000000000000001E-3"/>
    <x v="4"/>
    <s v="STPP"/>
    <s v="ซุปซอง 5g."/>
    <n v="800"/>
    <n v="800"/>
    <m/>
    <n v="0"/>
    <n v="0"/>
    <n v="0"/>
    <n v="2"/>
    <n v="0"/>
    <m/>
    <m/>
    <m/>
  </r>
  <r>
    <x v="321"/>
    <m/>
    <x v="0"/>
    <s v="Week46"/>
    <x v="10"/>
    <m/>
    <m/>
    <m/>
    <m/>
    <m/>
    <m/>
    <m/>
    <m/>
    <m/>
    <m/>
    <m/>
    <m/>
    <x v="0"/>
    <m/>
    <m/>
    <m/>
    <m/>
    <m/>
    <m/>
    <m/>
    <m/>
    <m/>
    <m/>
    <m/>
    <m/>
    <m/>
  </r>
  <r>
    <x v="322"/>
    <d v="2024-11-20T00:00:00"/>
    <x v="0"/>
    <s v="Week47"/>
    <x v="10"/>
    <s v="DRY2400611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1"/>
    <n v="21"/>
    <m/>
    <n v="0"/>
    <n v="0"/>
    <m/>
    <m/>
    <m/>
    <m/>
    <m/>
    <m/>
  </r>
  <r>
    <x v="322"/>
    <d v="2024-12-19T00:00:00"/>
    <x v="0"/>
    <s v="Week47"/>
    <x v="10"/>
    <s v="DRY2400738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m/>
    <m/>
    <m/>
    <m/>
    <m/>
    <m/>
  </r>
  <r>
    <x v="322"/>
    <d v="2024-12-04T00:00:00"/>
    <x v="0"/>
    <s v="Week47"/>
    <x v="10"/>
    <s v="DRY2400758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800"/>
    <n v="729"/>
    <n v="71"/>
    <n v="0"/>
    <n v="0"/>
    <m/>
    <m/>
    <m/>
    <m/>
    <m/>
    <m/>
  </r>
  <r>
    <x v="322"/>
    <d v="2024-11-21T00:00:00"/>
    <x v="0"/>
    <s v="Week47"/>
    <x v="10"/>
    <s v="DRY2400699"/>
    <s v="New Zealand"/>
    <s v="CPFNW"/>
    <s v="Lim Brothers"/>
    <s v="Wonton ND+V"/>
    <s v="Cooked Wonton"/>
    <s v="Cooked Wonton ND No Egg with Pumpkin_x000a_+ Yu Choy "/>
    <s v="082SJN736005P00001"/>
    <s v="308g*6c*6in"/>
    <n v="36"/>
    <n v="5"/>
    <n v="7.4999999999999997E-3"/>
    <x v="5"/>
    <s v="Salt"/>
    <s v="Regular"/>
    <n v="472"/>
    <n v="472"/>
    <m/>
    <n v="0"/>
    <n v="0"/>
    <m/>
    <m/>
    <m/>
    <s v="การตลาดรับทราบเรื่อง 2 วันหมดอายุในตู้เดียวกัน"/>
    <m/>
    <m/>
  </r>
  <r>
    <x v="322"/>
    <d v="2024-12-12T00:00:00"/>
    <x v="0"/>
    <s v="Week47"/>
    <x v="10"/>
    <s v="DRY2400587"/>
    <s v="New Zealand"/>
    <s v="CPFNW"/>
    <s v="Lim Brothers"/>
    <s v="Wonton ND+V"/>
    <s v="Cooked Wonton"/>
    <s v="Cooked Wonton ND No Egg with Pumpkin_x000a_+ Yu Choy "/>
    <s v="082SJN736005P00001"/>
    <s v="308g*6c*6in"/>
    <n v="36"/>
    <n v="5"/>
    <n v="7.4999999999999997E-3"/>
    <x v="5"/>
    <s v="Salt"/>
    <s v="Regular"/>
    <n v="320"/>
    <n v="162"/>
    <n v="165.05555555555554"/>
    <n v="7.0555555555555429"/>
    <n v="0"/>
    <m/>
    <m/>
    <m/>
    <m/>
    <m/>
    <m/>
  </r>
  <r>
    <x v="322"/>
    <d v="2024-12-12T00:00:00"/>
    <x v="0"/>
    <s v="Week47"/>
    <x v="10"/>
    <s v="DRY2400735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01"/>
    <n v="91.805555555555557"/>
    <n v="0.80555555555554292"/>
    <n v="0"/>
    <m/>
    <m/>
    <m/>
    <m/>
    <m/>
    <m/>
  </r>
  <r>
    <x v="322"/>
    <d v="2024-12-14T00:00:00"/>
    <x v="0"/>
    <s v="Week47"/>
    <x v="10"/>
    <s v="DRY2400791"/>
    <s v="Germany"/>
    <s v="CPFNW"/>
    <s v=" CPF Distribution (under Paulsen Food)"/>
    <s v="Minced ND+V+TY"/>
    <s v="Cooked Wonton"/>
    <s v="Cooked Minced  ND No Egg with Pumpkin_x000a_+ Yu Choy Tomyum"/>
    <s v="082SR3N12003P00001"/>
    <s v="302g*12"/>
    <n v="12"/>
    <n v="3"/>
    <n v="6.0000000000000001E-3"/>
    <x v="4"/>
    <s v="Salt"/>
    <s v="TYEX+CO"/>
    <n v="2278"/>
    <m/>
    <n v="2298.0833333333335"/>
    <n v="20.083333333333485"/>
    <n v="0"/>
    <m/>
    <m/>
    <m/>
    <m/>
    <m/>
    <m/>
  </r>
  <r>
    <x v="323"/>
    <d v="2024-12-03T00:00:00"/>
    <x v="0"/>
    <s v="Week47"/>
    <x v="10"/>
    <s v="DRY2400678"/>
    <s v="SG"/>
    <s v="CPFNW"/>
    <s v="CPI SINGAPORE"/>
    <s v="R-Wonton egg past"/>
    <s v="Raw Wonton"/>
    <s v="Raw Wonton 8 pcs"/>
    <s v="082I93B20008P00001"/>
    <s v="194g*20in"/>
    <n v="20"/>
    <n v="8"/>
    <n v="1.4999999999999999E-2"/>
    <x v="6"/>
    <s v="STPP"/>
    <s v="ซุปซอง 5g."/>
    <n v="708"/>
    <n v="692"/>
    <n v="16"/>
    <n v="0"/>
    <n v="0"/>
    <n v="0"/>
    <n v="2"/>
    <n v="0"/>
    <s v="ห่อแบบดิบ"/>
    <m/>
    <m/>
  </r>
  <r>
    <x v="323"/>
    <d v="2024-12-13T00:00:00"/>
    <x v="0"/>
    <s v="Week47"/>
    <x v="10"/>
    <s v="DRY2400686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1500"/>
    <n v="528"/>
    <n v="980"/>
    <n v="8"/>
    <n v="0"/>
    <n v="0"/>
    <n v="1"/>
    <n v="0"/>
    <m/>
    <m/>
    <m/>
  </r>
  <r>
    <x v="323"/>
    <d v="2024-12-13T00:00:00"/>
    <x v="0"/>
    <s v="Week47"/>
    <x v="10"/>
    <s v="DRY2400686"/>
    <s v="HK"/>
    <s v="CPFNW"/>
    <s v="CPM Hongkong"/>
    <s v="R-Minced egg past"/>
    <s v="Raw Wonton"/>
    <s v="Raw Minced Wonton 8 pcs"/>
    <s v="082ID3G18008P00001"/>
    <s v="90g*18in"/>
    <n v="18"/>
    <n v="8"/>
    <n v="6.0000000000000001E-3"/>
    <x v="4"/>
    <s v="STPP"/>
    <s v="ซุปซอง 5g."/>
    <n v="300"/>
    <n v="300"/>
    <m/>
    <n v="0"/>
    <n v="0"/>
    <n v="0"/>
    <n v="2"/>
    <n v="0"/>
    <m/>
    <m/>
    <m/>
  </r>
  <r>
    <x v="323"/>
    <d v="2024-12-03T00:00:00"/>
    <x v="0"/>
    <s v="Week47"/>
    <x v="10"/>
    <s v="DRY2400677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688"/>
    <n v="250"/>
    <n v="438"/>
    <n v="0"/>
    <n v="0"/>
    <n v="0"/>
    <n v="2"/>
    <n v="0"/>
    <s v="ห่อแบบสุก"/>
    <m/>
    <m/>
  </r>
  <r>
    <x v="324"/>
    <d v="2024-12-03T00:00:00"/>
    <x v="0"/>
    <s v="Week47"/>
    <x v="10"/>
    <s v="DRY2400677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2312"/>
    <n v="1599"/>
    <n v="713"/>
    <n v="0"/>
    <n v="0"/>
    <n v="0"/>
    <n v="2"/>
    <n v="0"/>
    <s v="ห่อแบบสุก"/>
    <m/>
    <m/>
  </r>
  <r>
    <x v="324"/>
    <d v="2024-12-03T00:00:00"/>
    <x v="0"/>
    <s v="Week47"/>
    <x v="10"/>
    <s v="DRY2400678"/>
    <s v="SG"/>
    <s v="CPFNW"/>
    <s v="CPI SINGAPORE"/>
    <s v="R-Wonton egg past"/>
    <s v="Raw Wonton"/>
    <s v="Raw Wonton 8 pcs"/>
    <s v="082I93B20008P00001"/>
    <s v="194g*20in"/>
    <n v="20"/>
    <n v="8"/>
    <n v="1.4999999999999999E-2"/>
    <x v="6"/>
    <s v="STPP"/>
    <s v="ซุปซอง 5g."/>
    <n v="292"/>
    <n v="292"/>
    <m/>
    <n v="0"/>
    <n v="0"/>
    <n v="0"/>
    <n v="2"/>
    <n v="0"/>
    <s v="ห่อแบบดิบ"/>
    <m/>
    <m/>
  </r>
  <r>
    <x v="325"/>
    <d v="2024-12-07T00:00:00"/>
    <x v="0"/>
    <s v="Week47"/>
    <x v="10"/>
    <s v="DRY2400742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m/>
    <m/>
    <m/>
    <s v="ใช้ package ที่เป็น หมึกพิมพ์ใหม่"/>
    <m/>
    <m/>
  </r>
  <r>
    <x v="325"/>
    <d v="2024-12-04T00:00:00"/>
    <x v="0"/>
    <s v="Week47"/>
    <x v="10"/>
    <s v="DRY2400757"/>
    <s v="USA"/>
    <s v="CPFNW"/>
    <s v="Bellisio Foods, Inc."/>
    <s v="Minced WT"/>
    <s v="Cooked Wonton"/>
    <s v="Cooked Minced Wonton Soup No Egg"/>
    <s v="082SKBW36005P00001"/>
    <s v="145g*6c*6"/>
    <n v="36"/>
    <n v="5"/>
    <n v="6.0000000000000001E-3"/>
    <x v="4"/>
    <s v="Salt"/>
    <s v="Regular"/>
    <n v="450"/>
    <n v="450"/>
    <m/>
    <n v="0"/>
    <n v="0"/>
    <m/>
    <m/>
    <m/>
    <m/>
    <m/>
    <m/>
  </r>
  <r>
    <x v="325"/>
    <d v="2024-12-04T00:00:00"/>
    <x v="0"/>
    <s v="Week47"/>
    <x v="10"/>
    <s v="DRY2400758"/>
    <s v="USA"/>
    <s v="CPFNW"/>
    <s v="Bellisio Foods, Inc."/>
    <s v="Minced WT"/>
    <s v="Cooked Wonton"/>
    <s v="Cooked Minced Wonton Soup No Egg"/>
    <s v="082SKBW36005P00001"/>
    <s v="145g*6c*6"/>
    <n v="36"/>
    <n v="5"/>
    <n v="6.0000000000000001E-3"/>
    <x v="4"/>
    <s v="Salt"/>
    <s v="Regular"/>
    <n v="300"/>
    <n v="300"/>
    <m/>
    <n v="0"/>
    <n v="0"/>
    <m/>
    <m/>
    <m/>
    <m/>
    <m/>
    <m/>
  </r>
  <r>
    <x v="325"/>
    <d v="2025-01-21T00:00:00"/>
    <x v="0"/>
    <s v="Week47"/>
    <x v="10"/>
    <s v="DRY2400774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400"/>
    <m/>
    <n v="420.5"/>
    <n v="20.5"/>
    <n v="0"/>
    <m/>
    <m/>
    <m/>
    <m/>
    <m/>
    <m/>
  </r>
  <r>
    <x v="325"/>
    <d v="2024-11-25T00:00:00"/>
    <x v="0"/>
    <s v="Week47"/>
    <x v="10"/>
    <s v="DRY2400733"/>
    <s v="BRUNEI"/>
    <s v="CPFNW"/>
    <s v="Ben Foods"/>
    <s v="Wonton"/>
    <s v="Cooked Wonton"/>
    <s v="Cooked Wonton No Egg"/>
    <s v="082S8C324005P01001"/>
    <s v="145g*24"/>
    <n v="24"/>
    <n v="5"/>
    <n v="8.0000000000000002E-3"/>
    <x v="1"/>
    <s v="STPP"/>
    <s v="Regular"/>
    <n v="100"/>
    <n v="100"/>
    <m/>
    <n v="0"/>
    <n v="0"/>
    <m/>
    <m/>
    <m/>
    <m/>
    <m/>
    <m/>
  </r>
  <r>
    <x v="325"/>
    <d v="2024-11-25T00:00:00"/>
    <x v="0"/>
    <s v="Week47"/>
    <x v="10"/>
    <s v="DRY2400733"/>
    <s v="BRUNEI"/>
    <s v="CPFNW"/>
    <s v="Ben Foods"/>
    <s v="Wonton+TY"/>
    <s v="Cooked Wonton"/>
    <s v="Cooked Wonton No Egg"/>
    <s v="082S8C324005P00001"/>
    <s v="115g*24"/>
    <n v="24"/>
    <n v="5"/>
    <n v="8.0000000000000002E-3"/>
    <x v="1"/>
    <s v="STPP"/>
    <s v="TYTB3C 30G"/>
    <n v="150"/>
    <n v="149"/>
    <n v="1"/>
    <n v="0"/>
    <n v="0"/>
    <m/>
    <n v="1"/>
    <n v="0"/>
    <m/>
    <m/>
    <m/>
  </r>
  <r>
    <x v="325"/>
    <d v="2024-12-03T00:00:00"/>
    <x v="0"/>
    <s v="Week47"/>
    <x v="10"/>
    <s v="DRY2400678"/>
    <s v="SG"/>
    <s v="CPFNW"/>
    <s v="CPI SINGAPORE"/>
    <s v="Wonton"/>
    <s v="Cooked Wonton"/>
    <s v="Cooked Wonton No Egg"/>
    <s v="082S83B24005P07001"/>
    <s v="145g*24"/>
    <n v="24"/>
    <n v="5"/>
    <n v="8.0000000000000002E-3"/>
    <x v="1"/>
    <s v="STPP"/>
    <s v="Regular"/>
    <n v="500"/>
    <n v="500"/>
    <m/>
    <n v="0"/>
    <n v="0"/>
    <m/>
    <m/>
    <m/>
    <m/>
    <m/>
    <m/>
  </r>
  <r>
    <x v="325"/>
    <d v="2024-12-24T00:00:00"/>
    <x v="0"/>
    <s v="Week47"/>
    <x v="10"/>
    <s v="DRY2400728"/>
    <s v="Malay"/>
    <s v="CPFNW"/>
    <s v="CPM Malaysia"/>
    <s v="Wonton"/>
    <s v="Cooked Wonton"/>
    <s v="Cooked Wonton No Egg  "/>
    <s v="082S85I24005P01001"/>
    <s v="145g*24"/>
    <n v="24"/>
    <n v="5"/>
    <n v="8.0000000000000002E-3"/>
    <x v="1"/>
    <s v="STPP"/>
    <s v="Regular"/>
    <n v="1150"/>
    <n v="1150"/>
    <n v="39.083333333333336"/>
    <n v="39.083333333333258"/>
    <n v="0"/>
    <m/>
    <m/>
    <m/>
    <m/>
    <m/>
    <m/>
  </r>
  <r>
    <x v="325"/>
    <d v="2024-12-24T00:00:00"/>
    <x v="0"/>
    <s v="Week47"/>
    <x v="10"/>
    <s v="DRY2400728"/>
    <s v="Malay"/>
    <s v="CPFNW"/>
    <s v="CPM Malaysia"/>
    <s v="Wonton+TY"/>
    <s v="Cooked Wonton"/>
    <s v="Cooked Wonton No Egg  TY"/>
    <s v="082S85I24005P02001"/>
    <s v="115g*24"/>
    <n v="24"/>
    <n v="5"/>
    <n v="8.0000000000000002E-3"/>
    <x v="1"/>
    <s v="STPP"/>
    <s v="TYTB3C 30G"/>
    <n v="1000"/>
    <n v="1000"/>
    <n v="17.708333333333332"/>
    <n v="17.708333333333371"/>
    <n v="0"/>
    <m/>
    <n v="1"/>
    <n v="0"/>
    <m/>
    <m/>
    <m/>
  </r>
  <r>
    <x v="326"/>
    <d v="2024-12-03T00:00:00"/>
    <x v="0"/>
    <s v="Week47"/>
    <x v="10"/>
    <s v="DRY2400678"/>
    <s v="SG"/>
    <s v="CPFNW"/>
    <s v="CPI SINGAPORE"/>
    <s v="Wonton +TY"/>
    <s v="Cooked Wonton"/>
    <s v="Cooked Wonton No Egg"/>
    <s v="082S83B24005P06001"/>
    <s v="115g*24"/>
    <n v="24"/>
    <n v="5"/>
    <n v="8.0000000000000002E-3"/>
    <x v="1"/>
    <s v="STPP"/>
    <s v="TYTB3C 30G"/>
    <n v="500"/>
    <n v="500"/>
    <n v="29.5"/>
    <n v="29.5"/>
    <n v="0"/>
    <m/>
    <n v="1"/>
    <n v="0"/>
    <m/>
    <m/>
    <m/>
  </r>
  <r>
    <x v="326"/>
    <d v="2024-12-04T00:00:00"/>
    <x v="0"/>
    <s v="Week47"/>
    <x v="10"/>
    <s v="DRY2400625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m/>
    <m/>
    <m/>
  </r>
  <r>
    <x v="326"/>
    <d v="2024-12-04T00:00:00"/>
    <x v="0"/>
    <s v="Week47"/>
    <x v="10"/>
    <s v="DRY2400626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78"/>
    <n v="10"/>
    <n v="0"/>
    <n v="0"/>
    <m/>
    <m/>
    <m/>
    <s v="รอเปลี่ยนNEWPACKAGE"/>
    <m/>
    <m/>
  </r>
  <r>
    <x v="326"/>
    <d v="2024-12-03T00:00:00"/>
    <x v="0"/>
    <s v="Week47"/>
    <x v="10"/>
    <s v="DRY2400755"/>
    <s v="Denmark"/>
    <s v="CPFNW"/>
    <s v="CPF DENMARK"/>
    <s v="Minced ND+V+TK"/>
    <s v="Cooked Wonton"/>
    <s v="Cooked Minced  ND No Egg with Pumpkin_x000a_+ Yu Choy Tomyum"/>
    <s v="082SJKW08003P01001"/>
    <s v="302g*8"/>
    <n v="8"/>
    <n v="3"/>
    <n v="6.0000000000000001E-3"/>
    <x v="4"/>
    <s v="Salt"/>
    <s v="Tomkha+CM"/>
    <n v="3500"/>
    <m/>
    <n v="3500"/>
    <n v="0"/>
    <n v="0"/>
    <m/>
    <m/>
    <m/>
    <s v="Newpackage330x330x234 mm.=2040+238"/>
    <m/>
    <m/>
  </r>
  <r>
    <x v="327"/>
    <d v="2024-12-12T00:00:00"/>
    <x v="0"/>
    <s v="Week47"/>
    <x v="10"/>
    <s v="DRY2400736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327"/>
    <d v="2024-12-19T00:00:00"/>
    <x v="0"/>
    <s v="Week47"/>
    <x v="10"/>
    <s v="DRY2400737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327"/>
    <d v="2024-12-09T00:00:00"/>
    <x v="0"/>
    <s v="Week47"/>
    <x v="10"/>
    <s v="DRY2400578"/>
    <s v="Spain"/>
    <s v="CPFNW"/>
    <s v="Mercadona"/>
    <s v="Wonton ND+V"/>
    <s v="Cooked Wonton"/>
    <s v="Cooked Wonton ND No Egg with Pumpkin _x000a_+ Vegetable  HC  3 pcs"/>
    <s v="082SJ5T12003P00001"/>
    <s v="309g*12"/>
    <n v="12"/>
    <n v="3"/>
    <n v="7.4999999999999997E-3"/>
    <x v="5"/>
    <s v="Salt"/>
    <s v="Regular"/>
    <n v="2520"/>
    <n v="2516"/>
    <n v="4"/>
    <n v="0"/>
    <n v="0"/>
    <m/>
    <m/>
    <m/>
    <s v="รวบการผลิตให้เป็นวันเดียวกันตามความต้องการของลูกค้า"/>
    <m/>
    <m/>
  </r>
  <r>
    <x v="327"/>
    <d v="2024-12-19T00:00:00"/>
    <x v="0"/>
    <s v="Week47"/>
    <x v="10"/>
    <s v="DRY2400579"/>
    <s v="Spain"/>
    <s v="CPFNW"/>
    <s v="Mercadona"/>
    <s v="Wonton ND+V"/>
    <s v="Cooked Wonton"/>
    <s v="Cooked Wonton ND No Egg with Pumpkin _x000a_+ Vegetable  HC  3 pcs"/>
    <s v="082SJ5T12003P00001"/>
    <s v="309g*12"/>
    <n v="12"/>
    <n v="3"/>
    <n v="7.4999999999999997E-3"/>
    <x v="5"/>
    <s v="Salt"/>
    <s v="Regular"/>
    <n v="2520"/>
    <n v="2520"/>
    <m/>
    <n v="0"/>
    <n v="0"/>
    <m/>
    <m/>
    <m/>
    <s v="รวบการผลิตให้เป็นวันเดียวกันตามความต้องการของลูกค้า"/>
    <m/>
    <m/>
  </r>
  <r>
    <x v="327"/>
    <d v="2024-12-09T00:00:00"/>
    <x v="0"/>
    <s v="Week47"/>
    <x v="10"/>
    <s v="DRY2400773"/>
    <s v="Germany"/>
    <s v="CPFNW"/>
    <s v=" CPF Distribution (under Paulsen Food)"/>
    <s v="Wonton ND+V"/>
    <s v="Cooked Wonton"/>
    <s v="Cooked Wonton ND No Egg with Pumpkin _x000a_+ Vegetable  HC  3 pcs"/>
    <s v="082SJ3N12003P01001"/>
    <s v="309g*12"/>
    <n v="12"/>
    <n v="3"/>
    <n v="7.4999999999999997E-3"/>
    <x v="5"/>
    <s v="Salt"/>
    <s v="Regular"/>
    <n v="2278"/>
    <m/>
    <n v="2327"/>
    <n v="49"/>
    <n v="0"/>
    <m/>
    <m/>
    <m/>
    <s v="Newpackage  เปลี่ยน AW   330x330x234 mm.=2040+238"/>
    <m/>
    <m/>
  </r>
  <r>
    <x v="328"/>
    <m/>
    <x v="0"/>
    <s v="Week47"/>
    <x v="10"/>
    <m/>
    <m/>
    <m/>
    <m/>
    <m/>
    <m/>
    <m/>
    <m/>
    <m/>
    <m/>
    <m/>
    <m/>
    <x v="0"/>
    <m/>
    <m/>
    <m/>
    <m/>
    <m/>
    <m/>
    <m/>
    <m/>
    <m/>
    <m/>
    <m/>
    <m/>
    <m/>
  </r>
  <r>
    <x v="329"/>
    <d v="2024-12-02T00:00:00"/>
    <x v="0"/>
    <s v="Week48"/>
    <x v="10"/>
    <s v="DRY240072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24"/>
    <n v="324"/>
    <m/>
    <n v="0"/>
    <n v="0"/>
    <m/>
    <m/>
    <m/>
    <m/>
    <m/>
    <m/>
  </r>
  <r>
    <x v="329"/>
    <d v="2024-12-02T00:00:00"/>
    <x v="0"/>
    <s v="Week48"/>
    <x v="10"/>
    <s v="DRY240072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29"/>
    <d v="2024-12-02T00:00:00"/>
    <x v="0"/>
    <s v="Week48"/>
    <x v="10"/>
    <s v="DRY240072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29"/>
    <d v="2024-12-04T00:00:00"/>
    <x v="0"/>
    <s v="Week48"/>
    <x v="10"/>
    <s v="DRY240072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29"/>
    <d v="2024-12-04T00:00:00"/>
    <x v="0"/>
    <s v="Week48"/>
    <x v="10"/>
    <s v="DRY240072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29"/>
    <d v="2024-12-04T00:00:00"/>
    <x v="0"/>
    <s v="Week48"/>
    <x v="10"/>
    <s v="DRY240072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38"/>
    <n v="538"/>
    <m/>
    <n v="0"/>
    <n v="0"/>
    <m/>
    <m/>
    <m/>
    <m/>
    <m/>
    <m/>
  </r>
  <r>
    <x v="330"/>
    <d v="2024-12-04T00:00:00"/>
    <x v="0"/>
    <s v="Week48"/>
    <x v="10"/>
    <s v="DRY240072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54"/>
    <n v="254"/>
    <m/>
    <n v="0"/>
    <n v="0"/>
    <m/>
    <m/>
    <m/>
    <m/>
    <m/>
    <m/>
  </r>
  <r>
    <x v="330"/>
    <d v="2024-12-04T00:00:00"/>
    <x v="0"/>
    <s v="Week48"/>
    <x v="10"/>
    <s v="DRY240076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30"/>
    <d v="2024-12-04T00:00:00"/>
    <x v="0"/>
    <s v="Week48"/>
    <x v="10"/>
    <s v="DRY240076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30"/>
    <d v="2024-12-11T00:00:00"/>
    <x v="0"/>
    <s v="Week48"/>
    <x v="10"/>
    <s v="DRY240076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30"/>
    <d v="2024-12-11T00:00:00"/>
    <x v="0"/>
    <s v="Week48"/>
    <x v="10"/>
    <s v="DRY240076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30"/>
    <d v="2024-12-16T00:00:00"/>
    <x v="0"/>
    <s v="Week48"/>
    <x v="10"/>
    <s v="DRY240077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18"/>
    <n v="618"/>
    <m/>
    <n v="0"/>
    <n v="0"/>
    <m/>
    <m/>
    <m/>
    <m/>
    <m/>
    <m/>
  </r>
  <r>
    <x v="331"/>
    <d v="2024-12-04T00:00:00"/>
    <x v="0"/>
    <s v="Week48"/>
    <x v="10"/>
    <s v="KL2400034"/>
    <s v="China"/>
    <s v="China"/>
    <s v="Charoen Pokphand Import&amp;Export Trading (Shanghai) Co., Ltd"/>
    <s v="R-Wonton no egg"/>
    <s v="Raw Wonton"/>
    <s v="Raw Wonton 12 pcs"/>
    <s v="082I95J20012P04001"/>
    <s v="144g*20in"/>
    <n v="20"/>
    <n v="12"/>
    <n v="6.8100000000000001E-3"/>
    <x v="3"/>
    <s v="STPP"/>
    <s v="ซุปซอง 5g."/>
    <n v="1110"/>
    <n v="1110"/>
    <m/>
    <n v="0"/>
    <n v="0"/>
    <n v="0"/>
    <n v="2"/>
    <n v="0"/>
    <m/>
    <m/>
    <m/>
  </r>
  <r>
    <x v="331"/>
    <d v="2024-12-04T00:00:00"/>
    <x v="0"/>
    <s v="Week48"/>
    <x v="10"/>
    <s v="KL2400034"/>
    <s v="China"/>
    <s v="China"/>
    <s v="Charoen Pokphand Import&amp;Export Trading (Shanghai) Co., Ltd"/>
    <s v="R-Wonton no egg"/>
    <s v="Raw Wonton"/>
    <s v="Raw Wonton 50 pcs"/>
    <s v="082I95J08050P03001"/>
    <s v="630g*8in"/>
    <n v="8"/>
    <n v="50"/>
    <n v="6.8100000000000001E-3"/>
    <x v="3"/>
    <s v="STPP"/>
    <s v="ซุปซอง 5g."/>
    <n v="600"/>
    <n v="600"/>
    <m/>
    <n v="0"/>
    <n v="0"/>
    <n v="0"/>
    <n v="6"/>
    <n v="0"/>
    <m/>
    <m/>
    <m/>
  </r>
  <r>
    <x v="331"/>
    <s v="11-2024"/>
    <x v="0"/>
    <s v="Week48"/>
    <x v="10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6"/>
    <n v="6"/>
    <m/>
    <n v="0"/>
    <n v="0"/>
    <n v="0"/>
    <m/>
    <n v="0"/>
    <m/>
    <m/>
    <m/>
  </r>
  <r>
    <x v="331"/>
    <s v="12-2024"/>
    <x v="0"/>
    <s v="Week48"/>
    <x v="10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123"/>
    <n v="123"/>
    <m/>
    <n v="0"/>
    <n v="0"/>
    <n v="0"/>
    <m/>
    <n v="0"/>
    <m/>
    <m/>
    <m/>
  </r>
  <r>
    <x v="331"/>
    <s v="12-2024"/>
    <x v="0"/>
    <s v="Week48"/>
    <x v="10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109"/>
    <n v="109"/>
    <m/>
    <n v="0"/>
    <n v="0"/>
    <n v="0"/>
    <m/>
    <n v="0"/>
    <m/>
    <m/>
    <m/>
  </r>
  <r>
    <x v="332"/>
    <s v="12-2024"/>
    <x v="0"/>
    <s v="Week48"/>
    <x v="10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5384"/>
    <n v="5384"/>
    <m/>
    <n v="0"/>
    <n v="0"/>
    <m/>
    <m/>
    <m/>
    <m/>
    <m/>
    <m/>
  </r>
  <r>
    <x v="332"/>
    <s v="01-2024"/>
    <x v="0"/>
    <s v="Week48"/>
    <x v="10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81"/>
    <n v="81"/>
    <n v="29.25"/>
    <n v="29.25"/>
    <n v="0"/>
    <m/>
    <m/>
    <m/>
    <m/>
    <m/>
    <m/>
  </r>
  <r>
    <x v="332"/>
    <s v="12-2024"/>
    <x v="0"/>
    <s v="Week48"/>
    <x v="10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967"/>
    <n v="967"/>
    <m/>
    <n v="0"/>
    <n v="0"/>
    <m/>
    <n v="1"/>
    <n v="0"/>
    <m/>
    <m/>
    <m/>
  </r>
  <r>
    <x v="333"/>
    <d v="2024-12-16T00:00:00"/>
    <x v="0"/>
    <s v="Week48"/>
    <x v="10"/>
    <s v="DRY240077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74"/>
    <n v="174"/>
    <m/>
    <n v="0"/>
    <n v="0"/>
    <m/>
    <m/>
    <m/>
    <m/>
    <m/>
    <m/>
  </r>
  <r>
    <x v="333"/>
    <d v="2024-12-16T00:00:00"/>
    <x v="0"/>
    <s v="Week48"/>
    <x v="10"/>
    <s v="DRY240077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33"/>
    <d v="2024-12-16T00:00:00"/>
    <x v="0"/>
    <s v="Week48"/>
    <x v="10"/>
    <s v="DRY240077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33"/>
    <d v="2024-12-16T00:00:00"/>
    <x v="0"/>
    <s v="Week48"/>
    <x v="10"/>
    <s v="DRY240077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33"/>
    <d v="2024-12-18T00:00:00"/>
    <x v="0"/>
    <s v="Week48"/>
    <x v="10"/>
    <s v="DRY240078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33"/>
    <d v="2025-01-03T00:00:00"/>
    <x v="0"/>
    <s v="Week48"/>
    <x v="10"/>
    <s v="DRY240076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08"/>
    <n v="408"/>
    <m/>
    <n v="0"/>
    <n v="0"/>
    <m/>
    <m/>
    <m/>
    <m/>
    <m/>
    <m/>
  </r>
  <r>
    <x v="334"/>
    <d v="2025-01-03T00:00:00"/>
    <x v="0"/>
    <s v="Week48"/>
    <x v="10"/>
    <s v="DRY240076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84"/>
    <n v="384"/>
    <m/>
    <n v="0"/>
    <n v="0"/>
    <m/>
    <m/>
    <m/>
    <m/>
    <m/>
    <m/>
  </r>
  <r>
    <x v="334"/>
    <d v="2025-01-08T00:00:00"/>
    <x v="0"/>
    <s v="Week48"/>
    <x v="10"/>
    <s v="DRY240076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34"/>
    <d v="2025-01-08T00:00:00"/>
    <x v="0"/>
    <s v="Week48"/>
    <x v="10"/>
    <s v="DRY240078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34"/>
    <d v="2025-01-08T00:00:00"/>
    <x v="0"/>
    <s v="Week48"/>
    <x v="10"/>
    <s v="DRY240078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34"/>
    <d v="2025-02-01T00:00:00"/>
    <x v="0"/>
    <s v="Week48"/>
    <x v="10"/>
    <s v="DRY240078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13"/>
    <n v="113"/>
    <m/>
    <n v="0"/>
    <n v="0"/>
    <m/>
    <m/>
    <m/>
    <m/>
    <m/>
    <m/>
  </r>
  <r>
    <x v="334"/>
    <d v="2025-01-07T00:00:00"/>
    <x v="0"/>
    <s v="Week48"/>
    <x v="10"/>
    <s v="DRY2400759"/>
    <s v="Denmark"/>
    <s v="CPFNW"/>
    <s v="CPF DENMARK"/>
    <s v="Wonton ND+V+TY"/>
    <s v="Cooked Wonton"/>
    <s v="Cooked Wonton ND No Egg with Pumpkin _x000a_+ Vegetable  HC  3 pcs tomyam"/>
    <s v="082SJKW08003P00001"/>
    <s v="309g*8"/>
    <n v="8"/>
    <n v="3"/>
    <n v="7.4999999999999997E-3"/>
    <x v="1"/>
    <s v="Salt"/>
    <s v="TYANSSG+CM"/>
    <n v="3500"/>
    <m/>
    <n v="3500"/>
    <n v="0"/>
    <n v="0"/>
    <m/>
    <n v="3.85E-2"/>
    <n v="0"/>
    <s v="ต้มยำสูตรลดเผ็ดลง 10 %"/>
    <m/>
    <m/>
  </r>
  <r>
    <x v="335"/>
    <m/>
    <x v="0"/>
    <s v="Week48"/>
    <x v="11"/>
    <m/>
    <m/>
    <m/>
    <m/>
    <m/>
    <m/>
    <m/>
    <m/>
    <m/>
    <m/>
    <m/>
    <m/>
    <x v="0"/>
    <m/>
    <m/>
    <m/>
    <m/>
    <m/>
    <m/>
    <m/>
    <m/>
    <m/>
    <m/>
    <m/>
    <m/>
    <m/>
  </r>
  <r>
    <x v="336"/>
    <d v="2024-12-14T00:00:00"/>
    <x v="0"/>
    <s v="Week49"/>
    <x v="11"/>
    <s v="KL2400029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m/>
    <m/>
  </r>
  <r>
    <x v="336"/>
    <d v="2024-12-09T00:00:00"/>
    <x v="0"/>
    <s v="Week49"/>
    <x v="11"/>
    <s v="KL2400039"/>
    <s v="China"/>
    <s v="China"/>
    <s v="Charoen Pokphand Import&amp;Export Trading (Shanghai) Co., Ltd"/>
    <s v="R-Wonton no egg"/>
    <s v="Raw Wonton"/>
    <s v="Raw Wonton 20 pcs"/>
    <s v="082I95J16020P00001"/>
    <s v="255g*16in"/>
    <n v="16"/>
    <n v="20"/>
    <n v="6.8100000000000001E-3"/>
    <x v="3"/>
    <s v="STPP"/>
    <s v="ซุปซอง 5g."/>
    <n v="301"/>
    <n v="301"/>
    <m/>
    <n v="0"/>
    <n v="0"/>
    <n v="0"/>
    <n v="3"/>
    <n v="0"/>
    <m/>
    <m/>
    <m/>
  </r>
  <r>
    <x v="337"/>
    <d v="2024-12-14T00:00:00"/>
    <x v="0"/>
    <s v="Week49"/>
    <x v="11"/>
    <s v="KL2400035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m/>
    <m/>
  </r>
  <r>
    <x v="337"/>
    <d v="2024-12-09T00:00:00"/>
    <x v="0"/>
    <s v="Week49"/>
    <x v="11"/>
    <s v="KL2400039"/>
    <s v="China"/>
    <s v="China"/>
    <s v="Charoen Pokphand Import&amp;Export Trading (Shanghai) Co., Ltd"/>
    <s v="R-Wonton no egg"/>
    <s v="Raw Wonton"/>
    <s v="Raw Wonton 20 pcs"/>
    <s v="082I95J16020P00001"/>
    <s v="255g*16in"/>
    <n v="16"/>
    <n v="20"/>
    <n v="6.8100000000000001E-3"/>
    <x v="3"/>
    <s v="STPP"/>
    <s v="ซุปซอง 5g."/>
    <n v="312"/>
    <n v="312"/>
    <m/>
    <n v="0"/>
    <n v="0"/>
    <n v="0"/>
    <n v="3"/>
    <n v="0"/>
    <m/>
    <m/>
    <m/>
  </r>
  <r>
    <x v="338"/>
    <d v="2024-12-19T00:00:00"/>
    <x v="0"/>
    <s v="Week49"/>
    <x v="11"/>
    <s v="KL2400036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m/>
    <m/>
  </r>
  <r>
    <x v="338"/>
    <d v="2024-12-09T00:00:00"/>
    <x v="0"/>
    <s v="Week49"/>
    <x v="11"/>
    <s v="KL2400039"/>
    <s v="China"/>
    <s v="China"/>
    <s v="Charoen Pokphand Import&amp;Export Trading (Shanghai) Co., Ltd"/>
    <s v="R-Wonton no egg"/>
    <s v="Raw Wonton"/>
    <s v="Raw Wonton 20 pcs"/>
    <s v="082I95J16020P00001"/>
    <s v="255g*16in"/>
    <n v="16"/>
    <n v="20"/>
    <n v="6.8100000000000001E-3"/>
    <x v="3"/>
    <s v="STPP"/>
    <s v="ซุปซอง 5g."/>
    <n v="297"/>
    <n v="297"/>
    <m/>
    <n v="0"/>
    <n v="0"/>
    <n v="0"/>
    <n v="3"/>
    <n v="0"/>
    <m/>
    <m/>
    <m/>
  </r>
  <r>
    <x v="339"/>
    <m/>
    <x v="0"/>
    <s v="Week49"/>
    <x v="11"/>
    <m/>
    <m/>
    <m/>
    <m/>
    <m/>
    <m/>
    <m/>
    <m/>
    <m/>
    <m/>
    <m/>
    <m/>
    <x v="0"/>
    <m/>
    <m/>
    <m/>
    <m/>
    <m/>
    <m/>
    <m/>
    <m/>
    <m/>
    <m/>
    <m/>
    <m/>
    <m/>
  </r>
  <r>
    <x v="340"/>
    <s v="12-2024"/>
    <x v="0"/>
    <s v="Week49"/>
    <x v="11"/>
    <s v="ขายภายใน"/>
    <s v=".7-11"/>
    <s v="CPFGS"/>
    <s v="ถ้วยขาวพิมพ์ STKตุษจีน"/>
    <s v="Wonton"/>
    <s v="Cooked Wonton"/>
    <s v="Cooked Wonton No Egg .7-11"/>
    <s v="082S81A24005P06001"/>
    <s v="130g*24"/>
    <n v="24"/>
    <n v="5"/>
    <n v="6.1999999999999998E-3"/>
    <x v="2"/>
    <s v="STPP"/>
    <s v="Regular"/>
    <n v="3707"/>
    <n v="3707"/>
    <m/>
    <n v="0"/>
    <n v="0"/>
    <m/>
    <m/>
    <m/>
    <s v="STKตุษจีน"/>
    <m/>
    <m/>
  </r>
  <r>
    <x v="341"/>
    <d v="2025-01-07T00:00:00"/>
    <x v="0"/>
    <s v="Week49"/>
    <x v="11"/>
    <s v="DRY2400743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m/>
    <m/>
    <m/>
    <s v="ใช้ package ที่เป็น หมึกพิมพ์ใหม่"/>
    <m/>
    <m/>
  </r>
  <r>
    <x v="341"/>
    <s v="12-2024"/>
    <x v="0"/>
    <s v="Week49"/>
    <x v="11"/>
    <s v="ขายภายใน"/>
    <s v=".7-11"/>
    <s v="CPFGS"/>
    <s v="ถ้วยขาวพิมพ์ STKตุษจีน"/>
    <s v="Wonton"/>
    <s v="Cooked Wonton"/>
    <s v="Cooked Wonton No Egg .7-11"/>
    <s v="082S81A24005P06001"/>
    <s v="130g*24"/>
    <n v="24"/>
    <n v="5"/>
    <n v="6.1999999999999998E-3"/>
    <x v="2"/>
    <s v="STPP"/>
    <s v="Regular"/>
    <n v="4684"/>
    <n v="4684"/>
    <m/>
    <n v="0"/>
    <n v="0"/>
    <m/>
    <m/>
    <m/>
    <s v="STKตุษจีน"/>
    <m/>
    <m/>
  </r>
  <r>
    <x v="342"/>
    <m/>
    <x v="0"/>
    <s v="Week49"/>
    <x v="11"/>
    <m/>
    <m/>
    <m/>
    <m/>
    <m/>
    <m/>
    <m/>
    <m/>
    <m/>
    <m/>
    <m/>
    <m/>
    <x v="0"/>
    <m/>
    <m/>
    <m/>
    <m/>
    <m/>
    <m/>
    <m/>
    <m/>
    <m/>
    <m/>
    <m/>
    <m/>
    <m/>
  </r>
  <r>
    <x v="343"/>
    <d v="2025-01-08T00:00:00"/>
    <x v="0"/>
    <s v="Week50"/>
    <x v="11"/>
    <s v="DRY2400675"/>
    <s v="SG"/>
    <s v="CPFNW"/>
    <s v="CPI SINGAPORE"/>
    <s v="Wonton ND+Kee Mao"/>
    <s v="Cooked Wonton"/>
    <s v="Cooked Wonton Thai Spicy Pumpkin Noodles (Drunken Noodles)"/>
    <s v="082SJ3B24003P04001"/>
    <s v="250g*24"/>
    <n v="24"/>
    <n v="3"/>
    <n v="8.0000000000000002E-3"/>
    <x v="1"/>
    <s v="Salt"/>
    <s v="Kee Mao"/>
    <n v="420"/>
    <n v="420"/>
    <n v="3.8333333333333335"/>
    <n v="3.8333333333333144"/>
    <n v="0"/>
    <m/>
    <m/>
    <m/>
    <m/>
    <m/>
    <m/>
  </r>
  <r>
    <x v="343"/>
    <d v="2024-12-19T00:00:00"/>
    <x v="0"/>
    <s v="Week50"/>
    <x v="11"/>
    <s v="DRY2400627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s v="รอเปลี่ยนNEWPACKAGE"/>
    <m/>
    <m/>
  </r>
  <r>
    <x v="343"/>
    <d v="2024-12-26T00:00:00"/>
    <x v="0"/>
    <s v="Week50"/>
    <x v="11"/>
    <s v="DRY2400769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s v="รอเปลี่ยนNEWPACKAGE"/>
    <m/>
    <m/>
  </r>
  <r>
    <x v="343"/>
    <d v="2024-12-26T00:00:00"/>
    <x v="0"/>
    <s v="Week50"/>
    <x v="11"/>
    <s v="DRY2400770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s v="รอเปลี่ยนNEWPACKAGE"/>
    <m/>
    <m/>
  </r>
  <r>
    <x v="344"/>
    <d v="2025-01-07T00:00:00"/>
    <x v="0"/>
    <s v="Week50"/>
    <x v="11"/>
    <s v="DRY2400744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164"/>
    <n v="124"/>
    <n v="0"/>
    <n v="0"/>
    <m/>
    <m/>
    <m/>
    <s v="ใช้ package ที่เป็น หมึกพิมพ์ใหม่"/>
    <m/>
    <m/>
  </r>
  <r>
    <x v="344"/>
    <d v="2025-02-01T00:00:00"/>
    <x v="0"/>
    <s v="Week50"/>
    <x v="11"/>
    <s v="DRY240078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79"/>
    <n v="679"/>
    <m/>
    <n v="0"/>
    <n v="0"/>
    <m/>
    <m/>
    <m/>
    <m/>
    <m/>
    <m/>
  </r>
  <r>
    <x v="344"/>
    <d v="2025-02-01T00:00:00"/>
    <x v="0"/>
    <s v="Week50"/>
    <x v="11"/>
    <s v="DRY240078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44"/>
    <d v="2025-02-04T00:00:00"/>
    <x v="0"/>
    <s v="Week50"/>
    <x v="11"/>
    <s v="DRY240078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m/>
    <m/>
    <m/>
    <m/>
    <m/>
    <m/>
  </r>
  <r>
    <x v="344"/>
    <d v="2025-02-04T00:00:00"/>
    <x v="0"/>
    <s v="Week50"/>
    <x v="11"/>
    <s v="DRY240078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24"/>
    <n v="524"/>
    <m/>
    <n v="0"/>
    <n v="0"/>
    <m/>
    <m/>
    <m/>
    <m/>
    <m/>
    <m/>
  </r>
  <r>
    <x v="345"/>
    <s v="12-2024"/>
    <x v="0"/>
    <s v="Week50"/>
    <x v="11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3750"/>
    <n v="3750"/>
    <m/>
    <n v="0"/>
    <n v="0"/>
    <m/>
    <m/>
    <m/>
    <m/>
    <m/>
    <m/>
  </r>
  <r>
    <x v="345"/>
    <s v="01-2025"/>
    <x v="0"/>
    <s v="Week50"/>
    <x v="11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1736"/>
    <n v="1736"/>
    <m/>
    <n v="0"/>
    <n v="0"/>
    <m/>
    <m/>
    <m/>
    <m/>
    <m/>
    <m/>
  </r>
  <r>
    <x v="345"/>
    <d v="2025-01-08T00:00:00"/>
    <x v="0"/>
    <s v="Week50"/>
    <x v="11"/>
    <s v="DRY2400681"/>
    <s v="SG"/>
    <s v="CPFNW"/>
    <s v="CPI SINGAPORE"/>
    <s v="Wonton"/>
    <s v="Cooked Wonton"/>
    <s v="Cooked Wonton No Egg"/>
    <s v="082S83B24005P07001"/>
    <s v="145g*24"/>
    <n v="24"/>
    <n v="5"/>
    <n v="8.0000000000000002E-3"/>
    <x v="1"/>
    <s v="STPP"/>
    <s v="Regular"/>
    <n v="500"/>
    <n v="500"/>
    <n v="26.166666666666668"/>
    <n v="26.166666666666629"/>
    <n v="0"/>
    <m/>
    <m/>
    <m/>
    <m/>
    <m/>
    <m/>
  </r>
  <r>
    <x v="346"/>
    <d v="2025-01-03T00:00:00"/>
    <x v="0"/>
    <s v="Week50"/>
    <x v="11"/>
    <s v="DRY2400739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m/>
    <m/>
    <m/>
    <s v="รอเปลี่ยนNEWPACKAGE"/>
    <m/>
    <m/>
  </r>
  <r>
    <x v="346"/>
    <d v="2025-01-28T00:00:00"/>
    <x v="0"/>
    <s v="Week50"/>
    <x v="11"/>
    <s v="DRY2400810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45.6666666666665"/>
    <n v="45.666666666666515"/>
    <n v="0"/>
    <m/>
    <m/>
    <m/>
    <s v="รอเปลี่ยนNEWPACKAGE"/>
    <m/>
    <m/>
  </r>
  <r>
    <x v="346"/>
    <d v="2025-01-08T00:00:00"/>
    <x v="0"/>
    <s v="Week50"/>
    <x v="11"/>
    <s v="DRY2400681"/>
    <s v="SG"/>
    <s v="CPFNW"/>
    <s v="CPI Singapore"/>
    <s v="Wonton ND+V"/>
    <s v="Cooked Wonton"/>
    <s v="Cooked Wonton ND No Egg with Pumpkin _x000a_+ Vegetable  HC  3 pcs"/>
    <s v="082SJ3B24003P02001"/>
    <s v="219g*24"/>
    <n v="24"/>
    <n v="3"/>
    <n v="7.4999999999999997E-3"/>
    <x v="5"/>
    <s v="STPP"/>
    <s v="ซุปซอง 10g."/>
    <n v="500"/>
    <n v="500"/>
    <n v="7.541666666666667"/>
    <n v="7.5416666666666856"/>
    <n v="0"/>
    <m/>
    <m/>
    <m/>
    <m/>
    <m/>
    <m/>
  </r>
  <r>
    <x v="347"/>
    <d v="2024-12-26T00:00:00"/>
    <x v="0"/>
    <s v="Week50"/>
    <x v="11"/>
    <s v="DRY2400771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1282"/>
    <n v="1086"/>
    <n v="196"/>
    <n v="0"/>
    <n v="0"/>
    <n v="0"/>
    <n v="2"/>
    <n v="0"/>
    <s v="ใช้ package new"/>
    <m/>
    <m/>
  </r>
  <r>
    <x v="348"/>
    <d v="2024-12-26T00:00:00"/>
    <x v="0"/>
    <s v="Week50"/>
    <x v="11"/>
    <s v="DRY2400771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342"/>
    <n v="244"/>
    <n v="98"/>
    <n v="0"/>
    <n v="0"/>
    <n v="0"/>
    <n v="2"/>
    <n v="0"/>
    <s v="ใช้ package new"/>
    <m/>
    <m/>
  </r>
  <r>
    <x v="348"/>
    <d v="2025-01-04T00:00:00"/>
    <x v="0"/>
    <s v="Week50"/>
    <x v="11"/>
    <s v="DRY2400680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1803"/>
    <n v="1278"/>
    <n v="525"/>
    <n v="0"/>
    <n v="0"/>
    <n v="0"/>
    <n v="2"/>
    <n v="0"/>
    <s v="ห่อแบบสุก"/>
    <m/>
    <m/>
  </r>
  <r>
    <x v="349"/>
    <m/>
    <x v="0"/>
    <s v="Week50"/>
    <x v="11"/>
    <m/>
    <m/>
    <m/>
    <m/>
    <m/>
    <m/>
    <m/>
    <m/>
    <m/>
    <m/>
    <m/>
    <m/>
    <x v="0"/>
    <m/>
    <m/>
    <m/>
    <m/>
    <m/>
    <m/>
    <m/>
    <m/>
    <m/>
    <m/>
    <m/>
    <m/>
    <m/>
  </r>
  <r>
    <x v="350"/>
    <d v="2025-01-21T00:00:00"/>
    <x v="0"/>
    <s v="Week51"/>
    <x v="11"/>
    <s v="DRY2400774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750"/>
    <n v="750"/>
    <n v="15.291666666666666"/>
    <n v="15.291666666666629"/>
    <n v="0"/>
    <m/>
    <m/>
    <m/>
    <m/>
    <m/>
    <m/>
  </r>
  <r>
    <x v="350"/>
    <d v="2024-12-28T00:00:00"/>
    <x v="0"/>
    <s v="Week51"/>
    <x v="11"/>
    <s v="DRY2400432"/>
    <s v="Korea"/>
    <s v="CPFNW"/>
    <s v="Emart"/>
    <s v="Wonton ND"/>
    <s v="Cooked Wonton"/>
    <s v="Cooked Wonton ND No Egg with Pumpkin_x000a_"/>
    <s v="082SJEJ36004P00001"/>
    <s v="239g*6c*6in"/>
    <n v="36"/>
    <n v="4"/>
    <n v="7.4999999999999997E-3"/>
    <x v="1"/>
    <s v="Salt"/>
    <s v="Regular"/>
    <n v="874"/>
    <n v="874"/>
    <n v="26.805555555555557"/>
    <n v="26.805555555555543"/>
    <n v="0"/>
    <m/>
    <m/>
    <m/>
    <s v="R/M ต้องตรวจผลก่อนการนำมาผลิต"/>
    <m/>
    <m/>
  </r>
  <r>
    <x v="350"/>
    <d v="2024-12-23T00:00:00"/>
    <x v="0"/>
    <s v="Week51"/>
    <x v="11"/>
    <s v="DRY2400802"/>
    <s v="UK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+CO"/>
    <n v="924"/>
    <n v="924"/>
    <m/>
    <n v="0"/>
    <n v="0"/>
    <m/>
    <m/>
    <m/>
    <m/>
    <m/>
    <m/>
  </r>
  <r>
    <x v="350"/>
    <d v="2024-12-23T00:00:00"/>
    <x v="0"/>
    <s v="Week51"/>
    <x v="11"/>
    <s v="DRY2400803"/>
    <s v="UK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+CO"/>
    <n v="924"/>
    <n v="924"/>
    <m/>
    <n v="0"/>
    <n v="0"/>
    <m/>
    <m/>
    <m/>
    <m/>
    <m/>
    <m/>
  </r>
  <r>
    <x v="350"/>
    <d v="2024-12-23T00:00:00"/>
    <x v="0"/>
    <s v="Week51"/>
    <x v="11"/>
    <s v="DRY2400808"/>
    <s v="Netherlands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+CO"/>
    <n v="924"/>
    <n v="384"/>
    <n v="540"/>
    <n v="0"/>
    <n v="0"/>
    <m/>
    <m/>
    <m/>
    <s v="NEWPACKAGE"/>
    <m/>
    <m/>
  </r>
  <r>
    <x v="351"/>
    <d v="2024-12-25T00:00:00"/>
    <x v="0"/>
    <s v="Week51"/>
    <x v="11"/>
    <s v="KL2400042"/>
    <s v="China"/>
    <s v="China"/>
    <s v="Charoen Pokphand Import&amp;Export Trading (Shanghai) Co., Ltd"/>
    <s v="Wonton+TY"/>
    <s v="Cooked Wonton"/>
    <s v="Wonton Soup  (Enriched wonton sheet)"/>
    <s v="082S85J36005P00001"/>
    <s v="147g*6c*6in"/>
    <n v="36"/>
    <n v="5"/>
    <n v="7.4999999999999997E-3"/>
    <x v="1"/>
    <s v="Salt"/>
    <s v="TYEX+CO"/>
    <n v="60"/>
    <m/>
    <n v="60"/>
    <n v="0"/>
    <n v="0"/>
    <m/>
    <m/>
    <m/>
    <m/>
    <m/>
    <m/>
  </r>
  <r>
    <x v="351"/>
    <d v="2025-01-03T00:00:00"/>
    <x v="0"/>
    <s v="Week51"/>
    <x v="11"/>
    <s v="DRY2400794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s v="รอเปลี่ยนNEWPACKAGE"/>
    <m/>
    <m/>
  </r>
  <r>
    <x v="351"/>
    <d v="2025-01-03T00:00:00"/>
    <x v="0"/>
    <s v="Week51"/>
    <x v="11"/>
    <s v="DRY2400795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27"/>
    <n v="27"/>
    <m/>
    <n v="0"/>
    <n v="0"/>
    <m/>
    <m/>
    <m/>
    <s v="รอเปลี่ยนNEWPACKAGE"/>
    <m/>
    <m/>
  </r>
  <r>
    <x v="351"/>
    <d v="2025-01-14T00:00:00"/>
    <x v="0"/>
    <s v="Week51"/>
    <x v="11"/>
    <s v="DRY2400580"/>
    <s v="Spain"/>
    <s v="CPFNW"/>
    <s v="Mercadona"/>
    <s v="Wonton ND+V"/>
    <s v="Cooked Wonton"/>
    <s v="Cooked Wonton ND No Egg with Pumpkin _x000a_+ Vegetable  HC  3 pcs"/>
    <s v="082SJ5T12003P00001"/>
    <s v="309g*12"/>
    <n v="12"/>
    <n v="3"/>
    <n v="7.4999999999999997E-3"/>
    <x v="5"/>
    <s v="Salt"/>
    <s v="Regular"/>
    <n v="2520"/>
    <n v="2520"/>
    <m/>
    <n v="0"/>
    <n v="0"/>
    <m/>
    <m/>
    <m/>
    <s v="รวบการผลิตให้เป็นวันเดียวกันตามความต้องการของลูกค้า"/>
    <m/>
    <m/>
  </r>
  <r>
    <x v="351"/>
    <d v="2025-01-07T00:00:00"/>
    <x v="0"/>
    <s v="Week51"/>
    <x v="11"/>
    <s v="DRY2400760"/>
    <s v="Denmark"/>
    <s v="CPFNW"/>
    <s v="CPF DENMARK"/>
    <s v="Minced ND+V+TK"/>
    <s v="Cooked Wonton"/>
    <s v="Cooked Minced  ND No Egg with Pumpkin_x000a_+ Yu Choy Tomyum"/>
    <s v="082SJKW08003P01001"/>
    <s v="302g*8"/>
    <n v="8"/>
    <n v="3"/>
    <n v="6.0000000000000001E-3"/>
    <x v="4"/>
    <s v="Salt"/>
    <s v="Tomkha+CM"/>
    <n v="3500"/>
    <m/>
    <n v="3565.125"/>
    <n v="65.125"/>
    <n v="0"/>
    <m/>
    <m/>
    <m/>
    <s v="Newpackage330x330x234 mm.=2040+238"/>
    <m/>
    <m/>
  </r>
  <r>
    <x v="352"/>
    <s v="12-2024"/>
    <x v="0"/>
    <s v="Week51"/>
    <x v="11"/>
    <s v="ขายภายใน"/>
    <s v="MTFS"/>
    <s v="CPFGS"/>
    <s v="ซีพีเอฟ เทรดดิ้ง"/>
    <s v="E+Wonton NDE"/>
    <s v="Cooked Wonton"/>
    <s v="Cooked Wonton ND with egg V-Food"/>
    <s v="082SJ3Q12003P07001"/>
    <s v="226g*12"/>
    <n v="12"/>
    <n v="3"/>
    <n v="8.0000000000000002E-3"/>
    <x v="1"/>
    <s v="STPP"/>
    <s v="Regular"/>
    <n v="342"/>
    <n v="342"/>
    <m/>
    <n v="0"/>
    <n v="0"/>
    <m/>
    <m/>
    <m/>
    <m/>
    <m/>
    <m/>
  </r>
  <r>
    <x v="352"/>
    <s v="01-2025"/>
    <x v="0"/>
    <s v="Week51"/>
    <x v="11"/>
    <s v="ขายภายใน"/>
    <s v="MTFS"/>
    <s v="CPFGS"/>
    <s v="ซีพีเอฟ เทรดดิ้ง"/>
    <s v="E+Wonton NDE"/>
    <s v="Cooked Wonton"/>
    <s v="Cooked Wonton ND with egg V-Food"/>
    <s v="082SJ3Q12003P07001"/>
    <s v="226g*12"/>
    <n v="12"/>
    <n v="3"/>
    <n v="8.0000000000000002E-3"/>
    <x v="1"/>
    <s v="STPP"/>
    <s v="Regular"/>
    <n v="125"/>
    <n v="125"/>
    <m/>
    <n v="0"/>
    <n v="0"/>
    <m/>
    <m/>
    <m/>
    <m/>
    <m/>
    <m/>
  </r>
  <r>
    <x v="352"/>
    <s v="12-2024"/>
    <x v="0"/>
    <s v="Week51"/>
    <x v="11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318"/>
    <n v="318"/>
    <m/>
    <n v="0"/>
    <n v="0"/>
    <m/>
    <m/>
    <m/>
    <m/>
    <m/>
    <m/>
  </r>
  <r>
    <x v="352"/>
    <s v="01-2025"/>
    <x v="0"/>
    <s v="Week51"/>
    <x v="11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145"/>
    <n v="145"/>
    <m/>
    <n v="0"/>
    <n v="0"/>
    <m/>
    <m/>
    <m/>
    <m/>
    <m/>
    <m/>
  </r>
  <r>
    <x v="352"/>
    <s v="12-2024"/>
    <x v="0"/>
    <s v="Week51"/>
    <x v="11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262"/>
    <n v="262"/>
    <m/>
    <n v="0"/>
    <n v="0"/>
    <m/>
    <m/>
    <m/>
    <m/>
    <m/>
    <m/>
  </r>
  <r>
    <x v="352"/>
    <s v="01-2025"/>
    <x v="0"/>
    <s v="Week51"/>
    <x v="11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219"/>
    <n v="219"/>
    <m/>
    <n v="0"/>
    <n v="0"/>
    <m/>
    <m/>
    <m/>
    <m/>
    <m/>
    <m/>
  </r>
  <r>
    <x v="352"/>
    <s v="12-2024"/>
    <x v="0"/>
    <s v="Week51"/>
    <x v="11"/>
    <s v="LA005/2567"/>
    <s v="Laos"/>
    <s v="Laos"/>
    <s v="บริษัท ปิก้าเทรดดิ้ง จำกัด"/>
    <s v="E+Wonton"/>
    <s v="Cooked Wonton"/>
    <s v="เกี๊ยวกุ้งจักรพรรดิ 12x145g."/>
    <s v="082S8L212005P00001"/>
    <s v="145g*12"/>
    <n v="12"/>
    <n v="5"/>
    <n v="8.0000000000000002E-3"/>
    <x v="1"/>
    <s v="STPP"/>
    <s v="Regular"/>
    <n v="200"/>
    <m/>
    <n v="200"/>
    <n v="0"/>
    <n v="0"/>
    <m/>
    <m/>
    <m/>
    <m/>
    <m/>
    <m/>
  </r>
  <r>
    <x v="352"/>
    <s v="01-2025"/>
    <x v="0"/>
    <s v="Week51"/>
    <x v="11"/>
    <s v="ขายภายใน"/>
    <s v="MTFS"/>
    <s v="CPFGS"/>
    <s v="ซีพีเอฟ เทรดดิ้ง"/>
    <s v="E+Wonton"/>
    <s v="Cooked Wonton"/>
    <s v="Cooked Wonton  with egg V-Food"/>
    <s v="082S83Q12005P05000"/>
    <s v="145g*12"/>
    <n v="12"/>
    <n v="5"/>
    <n v="8.0000000000000002E-3"/>
    <x v="1"/>
    <s v="STPP"/>
    <s v="Regular"/>
    <n v="12"/>
    <n v="12"/>
    <m/>
    <n v="0"/>
    <n v="0"/>
    <m/>
    <m/>
    <m/>
    <m/>
    <m/>
    <m/>
  </r>
  <r>
    <x v="352"/>
    <s v="01-2025"/>
    <x v="0"/>
    <s v="Week51"/>
    <x v="11"/>
    <s v="ขายภายใน"/>
    <s v="MTFS"/>
    <s v="CPFGS"/>
    <s v="ซีพีเอฟ เทรดดิ้ง"/>
    <s v="E+Wonton"/>
    <s v="Cooked Wonton"/>
    <s v="Cooked Wonton  with egg V-Food"/>
    <s v="082S83Q12005P05001"/>
    <s v="145g*12"/>
    <n v="12"/>
    <n v="5"/>
    <n v="8.0000000000000002E-3"/>
    <x v="1"/>
    <s v="STPP"/>
    <s v="Regular"/>
    <n v="2227"/>
    <n v="2227"/>
    <m/>
    <n v="0"/>
    <n v="0"/>
    <m/>
    <m/>
    <m/>
    <m/>
    <m/>
    <m/>
  </r>
  <r>
    <x v="352"/>
    <s v="12-2024"/>
    <x v="0"/>
    <s v="Week51"/>
    <x v="11"/>
    <s v="ขายภายใน"/>
    <s v="MTFS"/>
    <s v="CPFGS"/>
    <s v="ซีพีเอฟ เทรดดิ้ง"/>
    <s v="E+Wonton TY"/>
    <s v="Cooked Wonton"/>
    <s v="Cooked Wonton Tomyum with egg.V-Food TY"/>
    <s v="082S83Q12005P04001"/>
    <s v="115g*12"/>
    <n v="12"/>
    <n v="5"/>
    <n v="8.0000000000000002E-3"/>
    <x v="1"/>
    <s v="STPP"/>
    <s v="TYTB3C 30G"/>
    <n v="274"/>
    <n v="274"/>
    <m/>
    <n v="0"/>
    <n v="0"/>
    <m/>
    <n v="1"/>
    <n v="0"/>
    <s v="เหลือซอส 33,000 ซอง"/>
    <m/>
    <m/>
  </r>
  <r>
    <x v="352"/>
    <s v="01-2025"/>
    <x v="0"/>
    <s v="Week51"/>
    <x v="11"/>
    <s v="ขายภายใน"/>
    <s v="MTFS"/>
    <s v="CPFGS"/>
    <s v="ซีพีเอฟ เทรดดิ้ง"/>
    <s v="E+Wonton TY"/>
    <s v="Cooked Wonton"/>
    <s v="Cooked Wonton Tomyum with egg.V-Food TY"/>
    <s v="082S83Q12005P04001"/>
    <s v="115g*12"/>
    <n v="12"/>
    <n v="5"/>
    <n v="8.0000000000000002E-3"/>
    <x v="1"/>
    <s v="STPP"/>
    <s v="TYTB3C 30G"/>
    <n v="342"/>
    <n v="342"/>
    <m/>
    <n v="0"/>
    <n v="0"/>
    <m/>
    <n v="1"/>
    <n v="0"/>
    <s v="เหลือซอส 33,000 ซอง"/>
    <m/>
    <m/>
  </r>
  <r>
    <x v="352"/>
    <d v="2024-12-25T00:00:00"/>
    <x v="0"/>
    <s v="Week51"/>
    <x v="11"/>
    <m/>
    <s v="Cambodia"/>
    <s v="Cambodia"/>
    <s v="หจก.คิงฟู้ดส์"/>
    <s v="E+Wonton"/>
    <s v="Cooked Wonton"/>
    <s v="Cooked Wonton With Egg .7-11"/>
    <s v="082S81A24005P04001"/>
    <s v="145g*24"/>
    <n v="24"/>
    <n v="5"/>
    <n v="8.0000000000000002E-3"/>
    <x v="1"/>
    <s v="STPP"/>
    <s v="Regular"/>
    <n v="100"/>
    <n v="100"/>
    <m/>
    <n v="0"/>
    <n v="0"/>
    <m/>
    <m/>
    <m/>
    <m/>
    <m/>
    <m/>
  </r>
  <r>
    <x v="352"/>
    <s v="01-2025"/>
    <x v="0"/>
    <s v="Week51"/>
    <x v="11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3213"/>
    <n v="3213"/>
    <m/>
    <n v="0"/>
    <n v="0"/>
    <m/>
    <m/>
    <m/>
    <m/>
    <m/>
    <m/>
  </r>
  <r>
    <x v="352"/>
    <s v="12-2024"/>
    <x v="0"/>
    <s v="Week51"/>
    <x v="11"/>
    <s v="LA005/2567"/>
    <s v="Laos"/>
    <s v="Laos"/>
    <s v="บริษัท ปิก้าเทรดดิ้ง จำกัด"/>
    <s v="E+Wonton+หมาล่า"/>
    <s v="Cooked Wonton"/>
    <s v="เกี๊ยวกุ้งจักรพรรดิ ซุปหม่าล่า 12x143g."/>
    <s v="082S8L212005P01001"/>
    <s v="143g*12"/>
    <n v="12"/>
    <n v="5"/>
    <n v="6.1999999999999998E-3"/>
    <x v="2"/>
    <s v="STPP"/>
    <s v="หมาล่า"/>
    <n v="200"/>
    <m/>
    <n v="200"/>
    <n v="0"/>
    <n v="0"/>
    <m/>
    <m/>
    <m/>
    <m/>
    <m/>
    <m/>
  </r>
  <r>
    <x v="352"/>
    <d v="2024-12-25T00:00:00"/>
    <x v="0"/>
    <s v="Week51"/>
    <x v="11"/>
    <m/>
    <s v="Cambodia"/>
    <s v="Cambodia"/>
    <s v="หจก.คิงฟู้ดส์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100"/>
    <n v="100"/>
    <m/>
    <n v="0"/>
    <n v="0"/>
    <m/>
    <m/>
    <m/>
    <m/>
    <m/>
    <m/>
  </r>
  <r>
    <x v="353"/>
    <s v="01-2025"/>
    <x v="0"/>
    <s v="Week51"/>
    <x v="11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3043"/>
    <n v="3043"/>
    <m/>
    <n v="0"/>
    <n v="0"/>
    <m/>
    <m/>
    <m/>
    <s v="PK ก่าเสามารถผลิตได้อีก 14,690 กล่อง"/>
    <m/>
    <m/>
  </r>
  <r>
    <x v="353"/>
    <s v="01-2025"/>
    <x v="0"/>
    <s v="Week51"/>
    <x v="11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1706"/>
    <n v="1706"/>
    <m/>
    <n v="0"/>
    <n v="0"/>
    <m/>
    <m/>
    <m/>
    <m/>
    <m/>
    <m/>
  </r>
  <r>
    <x v="353"/>
    <s v="12-2024"/>
    <x v="0"/>
    <s v="Week51"/>
    <x v="11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1000"/>
    <n v="1000"/>
    <m/>
    <n v="0"/>
    <n v="0"/>
    <m/>
    <n v="1"/>
    <n v="0"/>
    <m/>
    <m/>
    <m/>
  </r>
  <r>
    <x v="353"/>
    <s v="01-2025"/>
    <x v="0"/>
    <s v="Week51"/>
    <x v="11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600"/>
    <n v="600"/>
    <m/>
    <n v="0"/>
    <n v="0"/>
    <m/>
    <n v="1"/>
    <n v="0"/>
    <m/>
    <m/>
    <m/>
  </r>
  <r>
    <x v="354"/>
    <s v="12-2024"/>
    <x v="0"/>
    <s v="Week51"/>
    <x v="11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425"/>
    <n v="425"/>
    <m/>
    <n v="0"/>
    <n v="0"/>
    <n v="0"/>
    <m/>
    <n v="0"/>
    <m/>
    <m/>
    <m/>
  </r>
  <r>
    <x v="354"/>
    <d v="2025-01-08T00:00:00"/>
    <x v="0"/>
    <s v="Week51"/>
    <x v="11"/>
    <s v="DRY2400681"/>
    <s v="SG"/>
    <s v="CPFNW"/>
    <s v="CPI SINGAPORE"/>
    <s v="R-Wonton egg past"/>
    <s v="Raw Wonton"/>
    <s v="Raw Wonton 8 pcs"/>
    <s v="082I93B20008P00001"/>
    <s v="194g*20in"/>
    <n v="20"/>
    <n v="8"/>
    <n v="1.4999999999999999E-2"/>
    <x v="6"/>
    <s v="STPP"/>
    <s v="ซุปซอง 5g."/>
    <n v="1000"/>
    <n v="1000"/>
    <n v="27"/>
    <n v="27"/>
    <n v="0"/>
    <n v="0"/>
    <n v="2"/>
    <n v="0"/>
    <s v="ห่อแบบดิบ"/>
    <m/>
    <m/>
  </r>
  <r>
    <x v="354"/>
    <d v="2024-12-24T00:00:00"/>
    <x v="0"/>
    <s v="Week51"/>
    <x v="11"/>
    <s v="DRY2400761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1400"/>
    <n v="815"/>
    <n v="585"/>
    <n v="0"/>
    <n v="0"/>
    <n v="0"/>
    <n v="1"/>
    <n v="0"/>
    <m/>
    <m/>
    <m/>
  </r>
  <r>
    <x v="354"/>
    <d v="2024-12-24T00:00:00"/>
    <x v="0"/>
    <s v="Week51"/>
    <x v="11"/>
    <s v="DRY2400761"/>
    <s v="HK"/>
    <s v="CPFNW"/>
    <s v="CPM Hongkong"/>
    <s v="R-Minced egg past"/>
    <s v="Raw Wonton"/>
    <s v="Raw Minced Wonton 8 pcs"/>
    <s v="082ID3G18008P00001"/>
    <s v="90g*18in"/>
    <n v="18"/>
    <n v="8"/>
    <n v="6.0000000000000001E-3"/>
    <x v="4"/>
    <s v="STPP"/>
    <s v="ซุปซอง 5g."/>
    <n v="500"/>
    <n v="500"/>
    <m/>
    <n v="0"/>
    <n v="0"/>
    <n v="0"/>
    <n v="2"/>
    <n v="0"/>
    <m/>
    <m/>
    <m/>
  </r>
  <r>
    <x v="355"/>
    <d v="2025-01-08T00:00:00"/>
    <x v="0"/>
    <s v="Week51"/>
    <x v="11"/>
    <s v="DRY2400681"/>
    <s v="SG"/>
    <s v="CPFNW"/>
    <s v="CPI SINGAPORE"/>
    <s v="R-Minced egg past"/>
    <s v="Raw Wonton"/>
    <s v="Raw Minced Wonton 8 pcs"/>
    <s v="082ID3B18008P00001"/>
    <s v="90g*18in"/>
    <n v="18"/>
    <n v="8"/>
    <n v="5.0000000000000001E-3"/>
    <x v="4"/>
    <s v="STPP"/>
    <s v="ซุปซอง 5g."/>
    <n v="600"/>
    <n v="600"/>
    <n v="21"/>
    <n v="21"/>
    <n v="0"/>
    <n v="0"/>
    <n v="2"/>
    <n v="0"/>
    <m/>
    <m/>
    <m/>
  </r>
  <r>
    <x v="355"/>
    <d v="2025-01-04T00:00:00"/>
    <x v="0"/>
    <s v="Week51"/>
    <x v="11"/>
    <s v="DRY2400680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1197"/>
    <n v="1197"/>
    <m/>
    <n v="0"/>
    <n v="0"/>
    <n v="0"/>
    <n v="2"/>
    <n v="0"/>
    <s v="ห่อแบบสุก"/>
    <m/>
    <m/>
  </r>
  <r>
    <x v="355"/>
    <d v="2025-01-08T00:00:00"/>
    <x v="0"/>
    <s v="Week51"/>
    <x v="11"/>
    <s v="DRY2400681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1000"/>
    <n v="384"/>
    <n v="616"/>
    <n v="0"/>
    <n v="0"/>
    <n v="0"/>
    <n v="2"/>
    <n v="0"/>
    <s v="ห่อแบบสุก"/>
    <m/>
    <m/>
  </r>
  <r>
    <x v="356"/>
    <m/>
    <x v="0"/>
    <s v="Week51"/>
    <x v="11"/>
    <m/>
    <m/>
    <m/>
    <m/>
    <m/>
    <m/>
    <m/>
    <m/>
    <m/>
    <m/>
    <m/>
    <m/>
    <x v="0"/>
    <m/>
    <m/>
    <m/>
    <m/>
    <m/>
    <m/>
    <m/>
    <m/>
    <m/>
    <m/>
    <m/>
    <m/>
    <m/>
  </r>
  <r>
    <x v="357"/>
    <d v="2025-01-14T00:00:00"/>
    <x v="0"/>
    <s v="Week52"/>
    <x v="11"/>
    <s v="DRY2400745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m/>
    <m/>
    <m/>
    <s v="ใช้ package ที่เป็น หมึกพิมพ์ใหม่"/>
    <m/>
    <m/>
  </r>
  <r>
    <x v="357"/>
    <d v="2025-01-14T00:00:00"/>
    <x v="0"/>
    <s v="Week52"/>
    <x v="11"/>
    <s v="DRY2400815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88"/>
    <m/>
    <n v="0"/>
    <n v="0"/>
    <m/>
    <m/>
    <m/>
    <m/>
    <m/>
    <m/>
  </r>
  <r>
    <x v="357"/>
    <s v="01-2025"/>
    <x v="0"/>
    <s v="Week52"/>
    <x v="11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655"/>
    <n v="655"/>
    <m/>
    <n v="0"/>
    <n v="0"/>
    <m/>
    <m/>
    <m/>
    <m/>
    <m/>
    <m/>
  </r>
  <r>
    <x v="357"/>
    <s v="11-2024"/>
    <x v="0"/>
    <s v="Week52"/>
    <x v="11"/>
    <s v="ขายภายใน"/>
    <s v=".7-11"/>
    <s v="CPFGS"/>
    <s v="ซีพีเอฟ เทรดดิ้ง"/>
    <s v="Wonton"/>
    <s v="Cooked Wonton"/>
    <s v="เกี๊ยวกุ้งทรัฟเฟิลซุปน้ำดำ CP 143g 7E"/>
    <s v="082S81A24005P0C001"/>
    <s v="143g*24"/>
    <n v="24"/>
    <n v="5"/>
    <n v="6.1999999999999998E-3"/>
    <x v="2"/>
    <s v="STPP"/>
    <s v="น้ำดำ"/>
    <n v="328"/>
    <n v="328"/>
    <m/>
    <n v="0"/>
    <n v="0"/>
    <m/>
    <m/>
    <m/>
    <m/>
    <m/>
    <m/>
  </r>
  <r>
    <x v="357"/>
    <s v="12-2024"/>
    <x v="0"/>
    <s v="Week52"/>
    <x v="11"/>
    <s v="ขายภายใน"/>
    <s v=".7-11"/>
    <s v="CPFGS"/>
    <s v="ซีพีเอฟ เทรดดิ้ง"/>
    <s v="Wonton"/>
    <s v="Cooked Wonton"/>
    <s v="เกี๊ยวกุ้งทรัฟเฟิลซุปน้ำดำ CP 143g 7E"/>
    <s v="082S81A24005P0C001"/>
    <s v="143g*24"/>
    <n v="24"/>
    <n v="5"/>
    <n v="6.1999999999999998E-3"/>
    <x v="2"/>
    <s v="STPP"/>
    <s v="น้ำดำ"/>
    <n v="655"/>
    <n v="647"/>
    <n v="8"/>
    <n v="0"/>
    <n v="0"/>
    <m/>
    <m/>
    <m/>
    <s v="ขั้นต่ำน้ำซุป 1080 กก / ทำได้ 30,000 ถ้วย"/>
    <m/>
    <m/>
  </r>
  <r>
    <x v="358"/>
    <d v="2025-01-09T00:00:00"/>
    <x v="0"/>
    <s v="Week52"/>
    <x v="11"/>
    <s v="DRY2400762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m/>
    <m/>
    <m/>
    <m/>
    <m/>
    <m/>
  </r>
  <r>
    <x v="358"/>
    <d v="2025-01-16T00:00:00"/>
    <x v="0"/>
    <s v="Week52"/>
    <x v="11"/>
    <s v="DRY2400799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561"/>
    <n v="231"/>
    <n v="0"/>
    <n v="0"/>
    <m/>
    <m/>
    <m/>
    <m/>
    <m/>
    <m/>
  </r>
  <r>
    <x v="358"/>
    <d v="2025-01-13T00:00:00"/>
    <x v="0"/>
    <s v="Week52"/>
    <x v="11"/>
    <s v="DRY2400804"/>
    <s v="UK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SG+CO"/>
    <n v="924"/>
    <n v="924"/>
    <m/>
    <n v="0"/>
    <n v="0"/>
    <m/>
    <m/>
    <m/>
    <m/>
    <m/>
    <m/>
  </r>
  <r>
    <x v="358"/>
    <d v="2025-01-20T00:00:00"/>
    <x v="0"/>
    <s v="Week52"/>
    <x v="11"/>
    <s v="DRY2400805"/>
    <s v="UK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SG+CO"/>
    <n v="552"/>
    <n v="552"/>
    <m/>
    <n v="0"/>
    <n v="0"/>
    <m/>
    <m/>
    <m/>
    <m/>
    <m/>
    <m/>
  </r>
  <r>
    <x v="359"/>
    <d v="2025-01-20T00:00:00"/>
    <x v="0"/>
    <s v="Week52"/>
    <x v="11"/>
    <s v="DRY2400805"/>
    <s v="UK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SG+CO"/>
    <n v="372"/>
    <n v="372"/>
    <m/>
    <n v="0"/>
    <n v="0"/>
    <m/>
    <m/>
    <m/>
    <m/>
    <m/>
    <m/>
  </r>
  <r>
    <x v="359"/>
    <d v="2025-01-20T00:00:00"/>
    <x v="0"/>
    <s v="Week52"/>
    <x v="11"/>
    <s v="DRY2400806"/>
    <s v="UK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SG+CO"/>
    <n v="924"/>
    <n v="738"/>
    <n v="186"/>
    <n v="0"/>
    <n v="0"/>
    <m/>
    <m/>
    <m/>
    <s v="NEWPACKAGE"/>
    <m/>
    <m/>
  </r>
  <r>
    <x v="359"/>
    <d v="2025-01-03T00:00:00"/>
    <x v="0"/>
    <s v="Week52"/>
    <x v="11"/>
    <s v="DRY2400795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60"/>
    <n v="1260"/>
    <m/>
    <n v="0"/>
    <n v="0"/>
    <m/>
    <m/>
    <m/>
    <s v="รอเปลี่ยนNEWPACKAGE"/>
    <m/>
    <m/>
  </r>
  <r>
    <x v="359"/>
    <d v="2025-01-10T00:00:00"/>
    <x v="0"/>
    <s v="Week52"/>
    <x v="11"/>
    <s v="DRY2400816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m/>
    <m/>
    <m/>
    <s v="รอเปลี่ยนNEWPACKAGE"/>
    <m/>
    <m/>
  </r>
  <r>
    <x v="359"/>
    <d v="2025-01-10T00:00:00"/>
    <x v="0"/>
    <s v="Week52"/>
    <x v="11"/>
    <s v="DRY2400817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25"/>
    <n v="63"/>
    <n v="0"/>
    <n v="0"/>
    <m/>
    <m/>
    <m/>
    <s v="รอเปลี่ยนNEWPACKAGE"/>
    <m/>
    <m/>
  </r>
  <r>
    <x v="360"/>
    <m/>
    <x v="0"/>
    <s v="Week52"/>
    <x v="11"/>
    <m/>
    <m/>
    <m/>
    <m/>
    <m/>
    <m/>
    <m/>
    <m/>
    <m/>
    <m/>
    <m/>
    <m/>
    <x v="0"/>
    <m/>
    <m/>
    <m/>
    <m/>
    <m/>
    <m/>
    <m/>
    <m/>
    <m/>
    <m/>
    <m/>
    <m/>
    <m/>
  </r>
  <r>
    <x v="361"/>
    <m/>
    <x v="0"/>
    <s v="Week52"/>
    <x v="11"/>
    <m/>
    <m/>
    <m/>
    <m/>
    <m/>
    <m/>
    <m/>
    <m/>
    <m/>
    <m/>
    <m/>
    <m/>
    <x v="0"/>
    <m/>
    <m/>
    <m/>
    <m/>
    <m/>
    <m/>
    <m/>
    <m/>
    <m/>
    <m/>
    <m/>
    <m/>
    <m/>
  </r>
  <r>
    <x v="362"/>
    <m/>
    <x v="0"/>
    <s v="Week52"/>
    <x v="11"/>
    <m/>
    <m/>
    <m/>
    <m/>
    <m/>
    <m/>
    <m/>
    <m/>
    <m/>
    <m/>
    <m/>
    <m/>
    <x v="0"/>
    <m/>
    <m/>
    <m/>
    <m/>
    <m/>
    <m/>
    <m/>
    <m/>
    <m/>
    <m/>
    <m/>
    <m/>
    <m/>
  </r>
  <r>
    <x v="363"/>
    <m/>
    <x v="0"/>
    <s v="Week52"/>
    <x v="11"/>
    <m/>
    <m/>
    <m/>
    <m/>
    <m/>
    <m/>
    <m/>
    <m/>
    <m/>
    <m/>
    <m/>
    <m/>
    <x v="0"/>
    <m/>
    <m/>
    <m/>
    <m/>
    <m/>
    <m/>
    <m/>
    <m/>
    <m/>
    <m/>
    <m/>
    <m/>
    <m/>
  </r>
  <r>
    <x v="364"/>
    <m/>
    <x v="0"/>
    <s v="Week53"/>
    <x v="11"/>
    <m/>
    <m/>
    <m/>
    <m/>
    <m/>
    <m/>
    <m/>
    <m/>
    <m/>
    <m/>
    <m/>
    <m/>
    <x v="0"/>
    <m/>
    <m/>
    <m/>
    <m/>
    <m/>
    <m/>
    <m/>
    <m/>
    <m/>
    <m/>
    <m/>
    <m/>
    <m/>
  </r>
  <r>
    <x v="365"/>
    <m/>
    <x v="0"/>
    <s v="Week53"/>
    <x v="11"/>
    <m/>
    <m/>
    <m/>
    <m/>
    <m/>
    <m/>
    <m/>
    <m/>
    <m/>
    <m/>
    <m/>
    <m/>
    <x v="0"/>
    <m/>
    <m/>
    <m/>
    <m/>
    <m/>
    <m/>
    <m/>
    <m/>
    <m/>
    <m/>
    <m/>
    <m/>
    <m/>
  </r>
  <r>
    <x v="366"/>
    <m/>
    <x v="1"/>
    <e v="#N/A"/>
    <x v="0"/>
    <m/>
    <m/>
    <m/>
    <m/>
    <m/>
    <m/>
    <m/>
    <m/>
    <m/>
    <m/>
    <m/>
    <m/>
    <x v="0"/>
    <m/>
    <m/>
    <m/>
    <m/>
    <m/>
    <m/>
    <m/>
    <m/>
    <m/>
    <m/>
    <m/>
    <m/>
    <m/>
  </r>
  <r>
    <x v="367"/>
    <m/>
    <x v="1"/>
    <e v="#N/A"/>
    <x v="0"/>
    <m/>
    <m/>
    <m/>
    <m/>
    <m/>
    <m/>
    <m/>
    <m/>
    <m/>
    <m/>
    <m/>
    <m/>
    <x v="0"/>
    <m/>
    <m/>
    <m/>
    <m/>
    <m/>
    <m/>
    <m/>
    <m/>
    <m/>
    <m/>
    <m/>
    <m/>
    <m/>
  </r>
  <r>
    <x v="368"/>
    <m/>
    <x v="1"/>
    <e v="#N/A"/>
    <x v="0"/>
    <m/>
    <m/>
    <m/>
    <m/>
    <m/>
    <m/>
    <m/>
    <m/>
    <m/>
    <m/>
    <m/>
    <m/>
    <x v="0"/>
    <m/>
    <m/>
    <m/>
    <m/>
    <m/>
    <m/>
    <m/>
    <m/>
    <m/>
    <m/>
    <m/>
    <m/>
    <m/>
  </r>
  <r>
    <x v="369"/>
    <m/>
    <x v="1"/>
    <e v="#N/A"/>
    <x v="0"/>
    <m/>
    <m/>
    <m/>
    <m/>
    <m/>
    <m/>
    <m/>
    <m/>
    <m/>
    <m/>
    <m/>
    <m/>
    <x v="0"/>
    <m/>
    <m/>
    <m/>
    <m/>
    <m/>
    <m/>
    <m/>
    <m/>
    <m/>
    <m/>
    <m/>
    <m/>
    <m/>
  </r>
  <r>
    <x v="370"/>
    <m/>
    <x v="1"/>
    <e v="#N/A"/>
    <x v="0"/>
    <m/>
    <m/>
    <m/>
    <m/>
    <m/>
    <m/>
    <m/>
    <m/>
    <m/>
    <m/>
    <m/>
    <m/>
    <x v="0"/>
    <m/>
    <m/>
    <m/>
    <m/>
    <m/>
    <m/>
    <m/>
    <m/>
    <m/>
    <m/>
    <m/>
    <m/>
    <m/>
  </r>
  <r>
    <x v="371"/>
    <d v="2025-01-21T00:00:00"/>
    <x v="1"/>
    <e v="#N/A"/>
    <x v="0"/>
    <s v="DRY2400774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00"/>
    <n v="100"/>
    <n v="14"/>
    <n v="14"/>
    <n v="0"/>
    <n v="0"/>
    <n v="6"/>
    <n v="0"/>
    <m/>
    <m/>
    <m/>
  </r>
  <r>
    <x v="371"/>
    <d v="2025-01-13T00:00:00"/>
    <x v="1"/>
    <e v="#N/A"/>
    <x v="0"/>
    <s v="KL2400038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m/>
    <m/>
  </r>
  <r>
    <x v="372"/>
    <d v="2025-01-21T00:00:00"/>
    <x v="1"/>
    <e v="#N/A"/>
    <x v="0"/>
    <s v="DRY2400811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1398"/>
    <n v="1398"/>
    <m/>
    <n v="0"/>
    <n v="0"/>
    <n v="0"/>
    <n v="6"/>
    <n v="0"/>
    <m/>
    <m/>
    <m/>
  </r>
  <r>
    <x v="373"/>
    <d v="2025-01-16T00:00:00"/>
    <x v="1"/>
    <e v="#N/A"/>
    <x v="0"/>
    <s v="KL2400041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m/>
    <m/>
  </r>
  <r>
    <x v="373"/>
    <s v="01-2024"/>
    <x v="1"/>
    <e v="#N/A"/>
    <x v="0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242"/>
    <n v="242"/>
    <m/>
    <n v="0"/>
    <n v="0"/>
    <n v="0"/>
    <m/>
    <n v="0"/>
    <m/>
    <m/>
    <m/>
  </r>
  <r>
    <x v="374"/>
    <d v="2025-01-21T00:00:00"/>
    <x v="1"/>
    <e v="#N/A"/>
    <x v="0"/>
    <s v="DRY2400811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58"/>
    <n v="658"/>
    <m/>
    <n v="0"/>
    <n v="0"/>
    <n v="0"/>
    <n v="6"/>
    <n v="0"/>
    <m/>
    <m/>
    <m/>
  </r>
  <r>
    <x v="374"/>
    <d v="2025-02-10T00:00:00"/>
    <x v="1"/>
    <e v="#N/A"/>
    <x v="0"/>
    <s v="DRY2400814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575"/>
    <n v="533"/>
    <n v="42"/>
    <n v="0"/>
    <n v="0"/>
    <n v="0"/>
    <n v="2"/>
    <n v="0"/>
    <m/>
    <m/>
    <m/>
  </r>
  <r>
    <x v="375"/>
    <d v="2025-01-20T00:00:00"/>
    <x v="1"/>
    <e v="#N/A"/>
    <x v="0"/>
    <s v="DRY2400818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n v="0"/>
    <n v="9.7000000000000003E-3"/>
    <n v="0"/>
    <s v="รอเปลี่ยนNEWPACKAGE"/>
    <m/>
    <m/>
  </r>
  <r>
    <x v="375"/>
    <d v="2025-01-20T00:00:00"/>
    <x v="1"/>
    <e v="#N/A"/>
    <x v="0"/>
    <s v="DRY2400819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114"/>
    <n v="174"/>
    <n v="0"/>
    <n v="0"/>
    <n v="0"/>
    <n v="9.7000000000000003E-3"/>
    <n v="0"/>
    <s v="รอเปลี่ยนNEWPACKAGE"/>
    <m/>
    <m/>
  </r>
  <r>
    <x v="375"/>
    <d v="2025-01-21T00:00:00"/>
    <x v="1"/>
    <e v="#N/A"/>
    <x v="0"/>
    <s v="DRY2400774"/>
    <s v="USA"/>
    <s v="CPFNW"/>
    <s v="Bellisio Foods, Inc."/>
    <s v="Minced ND+V"/>
    <s v="Cooked Wonton"/>
    <s v="Cooked Wonton ND No Egg with Pumpkin_x000a_+ Yu Choy Low sodium"/>
    <s v="082SRBW24005P01001"/>
    <s v="308g*4c*6in"/>
    <n v="24"/>
    <n v="5"/>
    <n v="6.0000000000000001E-3"/>
    <x v="4"/>
    <s v="Salt"/>
    <s v="Y3"/>
    <n v="200"/>
    <n v="200"/>
    <m/>
    <n v="0"/>
    <n v="0"/>
    <n v="0"/>
    <n v="9.7000000000000003E-3"/>
    <n v="0"/>
    <m/>
    <m/>
    <m/>
  </r>
  <r>
    <x v="375"/>
    <d v="2025-02-04T00:00:00"/>
    <x v="1"/>
    <e v="#N/A"/>
    <x v="0"/>
    <s v="DRY240078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68"/>
    <n v="268"/>
    <m/>
    <n v="0"/>
    <n v="0"/>
    <n v="0"/>
    <n v="9.7000000000000003E-3"/>
    <n v="0"/>
    <m/>
    <m/>
    <m/>
  </r>
  <r>
    <x v="375"/>
    <d v="2025-02-05T00:00:00"/>
    <x v="1"/>
    <e v="#N/A"/>
    <x v="0"/>
    <s v="DRY240079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29"/>
    <n v="129"/>
    <m/>
    <n v="0"/>
    <n v="0"/>
    <n v="0"/>
    <n v="9.7000000000000003E-3"/>
    <n v="0"/>
    <m/>
    <m/>
    <m/>
  </r>
  <r>
    <x v="375"/>
    <d v="2025-02-03T00:00:00"/>
    <x v="1"/>
    <e v="#N/A"/>
    <x v="0"/>
    <s v="DRY2400581"/>
    <s v="Spain"/>
    <s v="CPFNW"/>
    <s v="Mercadona"/>
    <s v="Wonton ND+V"/>
    <s v="Cooked Wonton"/>
    <s v="Cooked Wonton ND No Egg with Pumpkin _x000a_+ Vegetable  HC  3 pcs"/>
    <s v="082SJ5T12003P00001"/>
    <s v="309g*12"/>
    <n v="12"/>
    <n v="3"/>
    <n v="7.4999999999999997E-3"/>
    <x v="5"/>
    <s v="Salt"/>
    <s v="Regular"/>
    <n v="2520"/>
    <n v="2520"/>
    <m/>
    <n v="0"/>
    <n v="0"/>
    <n v="0"/>
    <n v="7.4999999999999997E-3"/>
    <n v="0"/>
    <s v="รวบการผลิตให้เป็นวันเดียวกันตามความต้องการของลูกค้า"/>
    <m/>
    <m/>
  </r>
  <r>
    <x v="376"/>
    <s v="01-2025"/>
    <x v="1"/>
    <e v="#N/A"/>
    <x v="0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3316"/>
    <n v="3316"/>
    <m/>
    <n v="0"/>
    <n v="0"/>
    <n v="0"/>
    <n v="7.4999999999999997E-3"/>
    <n v="0"/>
    <m/>
    <m/>
    <m/>
  </r>
  <r>
    <x v="376"/>
    <s v="02-2025"/>
    <x v="1"/>
    <e v="#N/A"/>
    <x v="0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333"/>
    <n v="333"/>
    <m/>
    <n v="0"/>
    <n v="0"/>
    <n v="0"/>
    <n v="7.4999999999999997E-3"/>
    <n v="0"/>
    <s v="PK ก่าเสามารถผลิตได้อีก 7436 กล่องในยอด FO 02/2025"/>
    <m/>
    <m/>
  </r>
  <r>
    <x v="376"/>
    <d v="2025-01-30T00:00:00"/>
    <x v="1"/>
    <e v="#N/A"/>
    <x v="0"/>
    <s v="DRY2400800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m/>
    <m/>
  </r>
  <r>
    <x v="376"/>
    <d v="2025-01-21T00:00:00"/>
    <x v="1"/>
    <e v="#N/A"/>
    <x v="0"/>
    <s v="DRY2400792"/>
    <s v="Germany"/>
    <s v="CPFNW"/>
    <s v=" CPF Distribution (under Paulsen Food)"/>
    <s v="Minced ND+V+TK"/>
    <s v="Cooked Wonton"/>
    <s v="Cooked Minced  ND No Egg with Pumpkin_x000a_+ Yu Choy Tomkha"/>
    <s v="082SR3N12003P01001"/>
    <s v="302g*12"/>
    <n v="12"/>
    <n v="3"/>
    <n v="6.0000000000000001E-3"/>
    <x v="4"/>
    <s v="Salt"/>
    <s v="Tomkha+CM"/>
    <n v="2278"/>
    <m/>
    <n v="2278"/>
    <n v="0"/>
    <n v="0"/>
    <n v="0"/>
    <n v="5.8823E-2"/>
    <n v="0"/>
    <s v="Newpackage330x330x234 mm.=2040+238"/>
    <m/>
    <m/>
  </r>
  <r>
    <x v="376"/>
    <d v="2025-02-13T00:00:00"/>
    <x v="1"/>
    <e v="#N/A"/>
    <x v="0"/>
    <s v="DRY2400822"/>
    <s v="New Zealand"/>
    <s v="CPFNW"/>
    <s v="Lim Brothers"/>
    <s v="Minced ND+V+TK"/>
    <s v="Cooked Wonton"/>
    <s v="Cooked Minced  ND No Egg with Pumpkin_x000a_+ Yu Choy Tomkha"/>
    <s v="082SRN708003P01001"/>
    <s v="302g*8"/>
    <n v="8"/>
    <n v="3"/>
    <n v="6.0000000000000001E-3"/>
    <x v="4"/>
    <s v="Salt"/>
    <s v="Tomkha+CM"/>
    <n v="378"/>
    <m/>
    <n v="378"/>
    <n v="0"/>
    <n v="0"/>
    <n v="0"/>
    <n v="5.8823E-2"/>
    <n v="0"/>
    <m/>
    <m/>
    <m/>
  </r>
  <r>
    <x v="376"/>
    <d v="2025-02-27T00:00:00"/>
    <x v="1"/>
    <e v="#N/A"/>
    <x v="0"/>
    <s v="DRY2400823"/>
    <s v="New Zealand"/>
    <s v="CPFNW"/>
    <s v="Lim Brothers"/>
    <s v="Minced ND+V+TK"/>
    <s v="Cooked Wonton"/>
    <s v="Cooked Minced  ND No Egg with Pumpkin_x000a_+ Yu Choy Tomkha"/>
    <s v="082SRN708003P01001"/>
    <s v="302g*8"/>
    <n v="8"/>
    <n v="3"/>
    <n v="6.0000000000000001E-3"/>
    <x v="4"/>
    <s v="Salt"/>
    <s v="Tomkha+CM"/>
    <n v="270"/>
    <m/>
    <n v="270"/>
    <n v="0"/>
    <n v="0"/>
    <n v="0"/>
    <n v="5.8823E-2"/>
    <n v="0"/>
    <m/>
    <m/>
    <m/>
  </r>
  <r>
    <x v="377"/>
    <m/>
    <x v="1"/>
    <e v="#N/A"/>
    <x v="0"/>
    <m/>
    <m/>
    <m/>
    <m/>
    <m/>
    <m/>
    <m/>
    <m/>
    <m/>
    <m/>
    <m/>
    <m/>
    <x v="0"/>
    <m/>
    <m/>
    <m/>
    <m/>
    <m/>
    <m/>
    <m/>
    <n v="0"/>
    <m/>
    <n v="0"/>
    <m/>
    <m/>
    <m/>
  </r>
  <r>
    <x v="378"/>
    <d v="2025-01-18T00:00:00"/>
    <x v="1"/>
    <e v="#N/A"/>
    <x v="0"/>
    <s v="KL2400037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m/>
    <m/>
  </r>
  <r>
    <x v="379"/>
    <d v="2025-01-20T00:00:00"/>
    <x v="1"/>
    <e v="#N/A"/>
    <x v="0"/>
    <s v="KL2400040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m/>
    <m/>
  </r>
  <r>
    <x v="380"/>
    <d v="2025-02-10T00:00:00"/>
    <x v="1"/>
    <e v="#N/A"/>
    <x v="0"/>
    <s v="DRY2400814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1049"/>
    <n v="746"/>
    <n v="327"/>
    <n v="24"/>
    <n v="0"/>
    <n v="0"/>
    <n v="2"/>
    <n v="0"/>
    <m/>
    <m/>
    <m/>
  </r>
  <r>
    <x v="381"/>
    <s v="01-2025"/>
    <x v="1"/>
    <e v="#N/A"/>
    <x v="0"/>
    <s v="ขายภายใน"/>
    <s v="MTFS"/>
    <s v="CPFGS"/>
    <s v="ซีพีเอฟ เทรดดิ้ง"/>
    <s v="E+Wonton NDE"/>
    <s v="Cooked Wonton"/>
    <s v="Cooked Wonton ND with egg V-Food"/>
    <s v="082SJ3Q12003P07001"/>
    <s v="226g*12"/>
    <n v="12"/>
    <n v="3"/>
    <n v="8.0000000000000002E-3"/>
    <x v="1"/>
    <s v="STPP"/>
    <s v="Regular"/>
    <n v="125"/>
    <n v="125"/>
    <m/>
    <n v="0"/>
    <n v="0"/>
    <n v="0"/>
    <n v="7.4999999999999997E-3"/>
    <n v="0"/>
    <m/>
    <m/>
    <m/>
  </r>
  <r>
    <x v="381"/>
    <s v="02-2025"/>
    <x v="1"/>
    <e v="#N/A"/>
    <x v="0"/>
    <s v="ขายภายใน"/>
    <s v="MTFS"/>
    <s v="CPFGS"/>
    <s v="ซีพีเอฟ เทรดดิ้ง"/>
    <s v="E+Wonton NDE"/>
    <s v="Cooked Wonton"/>
    <s v="Cooked Wonton ND with egg V-Food"/>
    <s v="082SJ3Q12003P07001"/>
    <s v="226g*12"/>
    <n v="12"/>
    <n v="3"/>
    <n v="8.0000000000000002E-3"/>
    <x v="1"/>
    <s v="STPP"/>
    <s v="Regular"/>
    <n v="334"/>
    <n v="334"/>
    <m/>
    <n v="0"/>
    <n v="0"/>
    <n v="0"/>
    <n v="7.4999999999999997E-3"/>
    <n v="0"/>
    <m/>
    <m/>
    <m/>
  </r>
  <r>
    <x v="381"/>
    <s v="01-2025"/>
    <x v="1"/>
    <e v="#N/A"/>
    <x v="0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110"/>
    <n v="110"/>
    <m/>
    <n v="0"/>
    <n v="0"/>
    <n v="0"/>
    <n v="7.4999999999999997E-3"/>
    <n v="0"/>
    <m/>
    <m/>
    <m/>
  </r>
  <r>
    <x v="381"/>
    <s v="02-2025"/>
    <x v="1"/>
    <e v="#N/A"/>
    <x v="0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162"/>
    <n v="162"/>
    <m/>
    <n v="0"/>
    <n v="0"/>
    <n v="0"/>
    <n v="7.4999999999999997E-3"/>
    <n v="0"/>
    <m/>
    <m/>
    <m/>
  </r>
  <r>
    <x v="381"/>
    <s v="02-2025"/>
    <x v="1"/>
    <e v="#N/A"/>
    <x v="0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111"/>
    <n v="111"/>
    <m/>
    <n v="0"/>
    <n v="0"/>
    <n v="0"/>
    <n v="7.4999999999999997E-3"/>
    <n v="0"/>
    <m/>
    <m/>
    <m/>
  </r>
  <r>
    <x v="381"/>
    <s v="02-2025"/>
    <x v="1"/>
    <e v="#N/A"/>
    <x v="0"/>
    <s v="ขายภายใน"/>
    <s v="MTFS"/>
    <s v="CPFGS"/>
    <s v="ซีพีเอฟ เทรดดิ้ง"/>
    <s v="E+Wonton"/>
    <s v="Cooked Wonton"/>
    <s v="Cooked Wonton  with egg V-Food"/>
    <s v="082S83Q12005P05000"/>
    <s v="145g*12"/>
    <n v="12"/>
    <n v="5"/>
    <n v="8.0000000000000002E-3"/>
    <x v="1"/>
    <s v="STPP"/>
    <s v="Regular"/>
    <n v="12"/>
    <n v="12"/>
    <m/>
    <n v="0"/>
    <n v="0"/>
    <n v="0"/>
    <n v="7.4999999999999997E-3"/>
    <n v="0"/>
    <m/>
    <m/>
    <m/>
  </r>
  <r>
    <x v="381"/>
    <s v="01-2025"/>
    <x v="1"/>
    <e v="#N/A"/>
    <x v="0"/>
    <s v="ขายภายใน"/>
    <s v="MTFS"/>
    <s v="CPFGS"/>
    <s v="ซีพีเอฟ เทรดดิ้ง"/>
    <s v="E+Wonton"/>
    <s v="Cooked Wonton"/>
    <s v="Cooked Wonton  with egg V-Food"/>
    <s v="082S83Q12005P05001"/>
    <s v="145g*12"/>
    <n v="12"/>
    <n v="5"/>
    <n v="8.0000000000000002E-3"/>
    <x v="1"/>
    <s v="STPP"/>
    <s v="Regular"/>
    <n v="1773"/>
    <n v="1773"/>
    <m/>
    <n v="0"/>
    <n v="0"/>
    <n v="0"/>
    <n v="7.4999999999999997E-3"/>
    <n v="0"/>
    <m/>
    <m/>
    <m/>
  </r>
  <r>
    <x v="381"/>
    <s v="02-2025"/>
    <x v="1"/>
    <e v="#N/A"/>
    <x v="0"/>
    <s v="ขายภายใน"/>
    <s v="MTFS"/>
    <s v="CPFGS"/>
    <s v="ซีพีเอฟ เทรดดิ้ง"/>
    <s v="E+Wonton"/>
    <s v="Cooked Wonton"/>
    <s v="Cooked Wonton  with egg V-Food"/>
    <s v="082S83Q12005P05001"/>
    <s v="145g*12"/>
    <n v="12"/>
    <n v="5"/>
    <n v="8.0000000000000002E-3"/>
    <x v="1"/>
    <s v="STPP"/>
    <s v="Regular"/>
    <n v="2252"/>
    <n v="2252"/>
    <m/>
    <n v="0"/>
    <n v="0"/>
    <n v="0"/>
    <n v="7.4999999999999997E-3"/>
    <n v="0"/>
    <m/>
    <m/>
    <m/>
  </r>
  <r>
    <x v="381"/>
    <s v="02-2025"/>
    <x v="1"/>
    <e v="#N/A"/>
    <x v="0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2616"/>
    <n v="2616"/>
    <m/>
    <n v="0"/>
    <n v="0"/>
    <n v="0"/>
    <n v="7.4999999999999997E-3"/>
    <n v="0"/>
    <m/>
    <m/>
    <m/>
  </r>
  <r>
    <x v="382"/>
    <s v="01-2025"/>
    <x v="1"/>
    <e v="#N/A"/>
    <x v="0"/>
    <s v="ขายภายใน"/>
    <s v="MTFS"/>
    <s v="CPFGS"/>
    <s v="ซีพีเอฟ เทรดดิ้ง"/>
    <s v="E+Wonton TY"/>
    <s v="Cooked Wonton"/>
    <s v="Cooked Wonton Tomyum with egg.V-Food TY"/>
    <s v="082S83Q12005P04001"/>
    <s v="115g*12"/>
    <n v="12"/>
    <n v="5"/>
    <n v="8.0000000000000002E-3"/>
    <x v="1"/>
    <s v="STPP"/>
    <s v="TYTB3C 30G"/>
    <n v="258"/>
    <n v="258"/>
    <m/>
    <n v="0"/>
    <n v="0"/>
    <n v="0"/>
    <n v="1"/>
    <n v="0"/>
    <s v="เหลือซอส 33,000 ซอง"/>
    <m/>
    <m/>
  </r>
  <r>
    <x v="382"/>
    <s v="02-2025"/>
    <x v="1"/>
    <e v="#N/A"/>
    <x v="0"/>
    <s v="ขายภายใน"/>
    <s v="MTFS"/>
    <s v="CPFGS"/>
    <s v="ซีพีเอฟ เทรดดิ้ง"/>
    <s v="E+Wonton TY"/>
    <s v="Cooked Wonton"/>
    <s v="Cooked Wonton Tomyum with egg.V-Food TY"/>
    <s v="082S83Q12005P04001"/>
    <s v="115g*12"/>
    <n v="12"/>
    <n v="5"/>
    <n v="8.0000000000000002E-3"/>
    <x v="1"/>
    <s v="STPP"/>
    <s v="TYTB3C 30G"/>
    <n v="412"/>
    <n v="412"/>
    <m/>
    <n v="0"/>
    <n v="0"/>
    <n v="0"/>
    <n v="1"/>
    <n v="0"/>
    <s v="เหลือซอส 33,000 ซอง"/>
    <m/>
    <m/>
  </r>
  <r>
    <x v="382"/>
    <d v="2025-01-23T00:00:00"/>
    <x v="1"/>
    <e v="#N/A"/>
    <x v="0"/>
    <s v="001-25"/>
    <s v="ขายภายใน"/>
    <s v="CPFGS"/>
    <s v="บริษัท อินสยาม ฟู้ด แอนด์ เบฟเวอเรจ จำกัด"/>
    <s v="E+Wonton"/>
    <s v="Cooked Wonton"/>
    <s v="Cooked Wonton Multipack  with Egg  270g"/>
    <s v="082S811AA005P00001"/>
    <s v="90g*100B"/>
    <n v="100"/>
    <n v="5"/>
    <n v="8.0000000000000002E-3"/>
    <x v="1"/>
    <s v="STPP"/>
    <s v="ซุปซอง 5g."/>
    <n v="32"/>
    <n v="32"/>
    <m/>
    <n v="0"/>
    <n v="0"/>
    <n v="0"/>
    <n v="1"/>
    <n v="0"/>
    <m/>
    <m/>
    <m/>
  </r>
  <r>
    <x v="382"/>
    <s v="01-2025"/>
    <x v="1"/>
    <e v="#N/A"/>
    <x v="0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400"/>
    <n v="400"/>
    <m/>
    <n v="0"/>
    <n v="0"/>
    <n v="0"/>
    <n v="1"/>
    <n v="0"/>
    <m/>
    <m/>
    <m/>
  </r>
  <r>
    <x v="382"/>
    <s v="02-2025"/>
    <x v="1"/>
    <e v="#N/A"/>
    <x v="0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1035"/>
    <n v="1035"/>
    <m/>
    <n v="0"/>
    <n v="0"/>
    <n v="0"/>
    <n v="1"/>
    <n v="0"/>
    <m/>
    <m/>
    <m/>
  </r>
  <r>
    <x v="382"/>
    <s v="02-2025"/>
    <x v="1"/>
    <e v="#N/A"/>
    <x v="0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4884"/>
    <n v="4884"/>
    <m/>
    <n v="0"/>
    <n v="0"/>
    <n v="0"/>
    <n v="7.4999999999999997E-3"/>
    <n v="0"/>
    <m/>
    <m/>
    <m/>
  </r>
  <r>
    <x v="382"/>
    <s v="01-2025"/>
    <x v="1"/>
    <e v="#N/A"/>
    <x v="0"/>
    <s v="ขายภายใน"/>
    <s v="MTFS"/>
    <s v="CPFGS"/>
    <s v="ซีพีเอฟ เทรดดิ้ง"/>
    <s v="E+Wonton+หมาล่า"/>
    <s v="Cooked Wonton"/>
    <s v="เกี๊ยวกุ้งจักรพรรดิซุปหมาล่า (ตรา ซีพี)_MT"/>
    <s v="082S83Q12005P06001"/>
    <s v="143g*12"/>
    <n v="12"/>
    <n v="5"/>
    <n v="6.1999999999999998E-3"/>
    <x v="2"/>
    <s v="STPP"/>
    <s v="หมาล่า"/>
    <n v="443"/>
    <n v="443"/>
    <m/>
    <n v="0"/>
    <n v="0"/>
    <n v="0"/>
    <n v="1.2999999999999999E-2"/>
    <n v="0"/>
    <m/>
    <m/>
    <m/>
  </r>
  <r>
    <x v="382"/>
    <s v="02-2025"/>
    <x v="1"/>
    <e v="#N/A"/>
    <x v="0"/>
    <s v="ขายภายใน"/>
    <s v="MTFS"/>
    <s v="CPFGS"/>
    <s v="ซีพีเอฟ เทรดดิ้ง"/>
    <s v="E+Wonton+หมาล่า"/>
    <s v="Cooked Wonton"/>
    <s v="เกี๊ยวกุ้งจักรพรรดิซุปหมาล่า (ตรา ซีพี)_MT"/>
    <s v="082S83Q12005P06001"/>
    <s v="143g*12"/>
    <n v="12"/>
    <n v="5"/>
    <n v="6.1999999999999998E-3"/>
    <x v="2"/>
    <s v="STPP"/>
    <s v="หมาล่า"/>
    <n v="272"/>
    <n v="272"/>
    <m/>
    <n v="0"/>
    <n v="0"/>
    <n v="0"/>
    <n v="1.2999999999999999E-2"/>
    <n v="0"/>
    <m/>
    <m/>
    <m/>
  </r>
  <r>
    <x v="383"/>
    <d v="2025-02-06T00:00:00"/>
    <x v="1"/>
    <e v="#N/A"/>
    <x v="0"/>
    <s v="DRY2400824"/>
    <s v="AUS"/>
    <s v="CPFNW"/>
    <s v="CPF Australia Pty Ltd."/>
    <s v="C-Minced WT in tray no egg"/>
    <s v="Cooked Wonton"/>
    <s v="Cooked Minced Wonton in Tray 6 pcs + Sesame Sauce"/>
    <s v="082SK9U16006P00001"/>
    <s v="117*2tray*8in"/>
    <n v="16"/>
    <n v="6"/>
    <n v="6.0000000000000001E-3"/>
    <x v="4"/>
    <s v="Salt"/>
    <s v=" Sesame 15g"/>
    <n v="120"/>
    <n v="120"/>
    <m/>
    <n v="0"/>
    <n v="0"/>
    <n v="0"/>
    <n v="1"/>
    <n v="0"/>
    <s v="cap 3000 tray/hr. อื่น 8,300 ถ้วย"/>
    <m/>
    <m/>
  </r>
  <r>
    <x v="383"/>
    <d v="2025-02-13T00:00:00"/>
    <x v="1"/>
    <e v="#N/A"/>
    <x v="0"/>
    <s v="DRY2400822"/>
    <s v="New Zealand"/>
    <s v="CPFNW"/>
    <s v="Lim Brothers"/>
    <s v="C-Minced WT in tray no egg"/>
    <s v="Cooked Wonton"/>
    <s v="Cooked Minced Wonton in Tray 6 pcs + Sesame Sauce"/>
    <s v="082SKN716006P00001"/>
    <s v="117*2tray*8in"/>
    <n v="16"/>
    <n v="6"/>
    <n v="6.0000000000000001E-3"/>
    <x v="4"/>
    <s v="Salt"/>
    <s v=" Sesame 15g"/>
    <n v="216"/>
    <n v="214"/>
    <n v="2"/>
    <n v="0"/>
    <n v="0"/>
    <n v="0"/>
    <n v="1"/>
    <n v="0"/>
    <s v="cap 3000 tray/hr. อื่น 8,300 ถ้วย"/>
    <m/>
    <m/>
  </r>
  <r>
    <x v="383"/>
    <d v="2025-02-27T00:00:00"/>
    <x v="1"/>
    <e v="#N/A"/>
    <x v="0"/>
    <s v="DRY2400823"/>
    <s v="New Zealand"/>
    <s v="CPFNW"/>
    <s v="Lim Brothers"/>
    <s v="C-Minced WT in tray no egg"/>
    <s v="Cooked Wonton"/>
    <s v="Cooked Minced Wonton in Tray 6 pcs + Sesame Sauce"/>
    <s v="082SKN716006P00001"/>
    <s v="117*2tray*8in"/>
    <n v="16"/>
    <n v="6"/>
    <n v="6.0000000000000001E-3"/>
    <x v="4"/>
    <s v="Salt"/>
    <s v=" Sesame 15g"/>
    <n v="144"/>
    <n v="144"/>
    <n v="5.125"/>
    <n v="5.125"/>
    <n v="0"/>
    <n v="0"/>
    <n v="1"/>
    <n v="0"/>
    <s v="cap 3000 tray/hr. อื่น 8,300 ถ้วย"/>
    <m/>
    <m/>
  </r>
  <r>
    <x v="383"/>
    <d v="2025-02-13T00:00:00"/>
    <x v="1"/>
    <e v="#N/A"/>
    <x v="0"/>
    <s v="DRY2400822"/>
    <s v="New Zealand"/>
    <s v="CPFNW"/>
    <s v="Lim Brothers"/>
    <s v="Minced ND+Kee Mao"/>
    <s v="Cooked Wonton"/>
    <s v="Cooked Minced Wonton Thai Spicy Noodles (Kee Mao Noodles)"/>
    <s v="082SRN708003P02001"/>
    <s v="219g*8"/>
    <n v="8"/>
    <n v="3"/>
    <n v="6.0000000000000001E-3"/>
    <x v="4"/>
    <s v="Salt"/>
    <s v="Kee Mao 50G."/>
    <n v="270"/>
    <m/>
    <n v="270"/>
    <n v="0"/>
    <n v="0"/>
    <n v="0"/>
    <n v="1"/>
    <n v="0"/>
    <s v="NEWPACKAGE"/>
    <m/>
    <m/>
  </r>
  <r>
    <x v="383"/>
    <d v="2025-02-27T00:00:00"/>
    <x v="1"/>
    <e v="#N/A"/>
    <x v="0"/>
    <s v="DRY2400823"/>
    <s v="New Zealand"/>
    <s v="CPFNW"/>
    <s v="Lim Brothers"/>
    <s v="Minced ND+Kee Mao"/>
    <s v="Cooked Wonton"/>
    <s v="Cooked Minced Wonton Thai Spicy Noodles (Kee Mao Noodles)"/>
    <s v="082SRN708003P02001"/>
    <s v="219g*8"/>
    <n v="8"/>
    <n v="3"/>
    <n v="6.0000000000000001E-3"/>
    <x v="4"/>
    <s v="Salt"/>
    <s v="Kee Mao 50G."/>
    <n v="54"/>
    <m/>
    <n v="55"/>
    <n v="1"/>
    <n v="0"/>
    <n v="0"/>
    <n v="1"/>
    <n v="0"/>
    <s v="NEWPACKAGE"/>
    <m/>
    <m/>
  </r>
  <r>
    <x v="383"/>
    <d v="2025-02-20T00:00:00"/>
    <x v="1"/>
    <e v="#N/A"/>
    <x v="0"/>
    <s v="DRY2400801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m/>
    <m/>
  </r>
  <r>
    <x v="383"/>
    <d v="2025-02-06T00:00:00"/>
    <x v="1"/>
    <e v="#N/A"/>
    <x v="0"/>
    <s v="DRY2400824"/>
    <s v="AUS"/>
    <s v="CPFNW"/>
    <s v="CPF Australia Pty Ltd."/>
    <s v="Wonton ND+V"/>
    <s v="Cooked Wonton"/>
    <s v="Cooked Wonton ND No Egg with Pumpkin_x000a_+ Yu Choy "/>
    <s v="082SJ9U08004P00001"/>
    <s v="305g*8"/>
    <n v="8"/>
    <n v="4"/>
    <n v="7.4999999999999997E-3"/>
    <x v="5"/>
    <s v="Salt"/>
    <s v="Regular"/>
    <n v="450"/>
    <m/>
    <n v="450"/>
    <n v="0"/>
    <n v="0"/>
    <n v="0"/>
    <n v="7.4999999999999997E-3"/>
    <n v="0"/>
    <m/>
    <m/>
    <m/>
  </r>
  <r>
    <x v="383"/>
    <d v="2025-02-13T00:00:00"/>
    <x v="1"/>
    <e v="#N/A"/>
    <x v="0"/>
    <s v="DRY2400822"/>
    <s v="New Zealand"/>
    <s v="CPFNW"/>
    <s v="Lim Brothers"/>
    <s v="Wonton ND+V"/>
    <s v="Cooked Wonton"/>
    <s v="Cooked Wonton ND No Egg with Pumpkin_x000a_+ Yu Choy "/>
    <s v="082SJN708004P00001"/>
    <s v="305g*8"/>
    <n v="8"/>
    <n v="4"/>
    <n v="7.4999999999999997E-3"/>
    <x v="5"/>
    <s v="Salt"/>
    <s v="Regular"/>
    <n v="440"/>
    <m/>
    <n v="440"/>
    <n v="0"/>
    <n v="0"/>
    <n v="0"/>
    <n v="7.4999999999999997E-3"/>
    <n v="0"/>
    <m/>
    <m/>
    <m/>
  </r>
  <r>
    <x v="383"/>
    <d v="2025-02-27T00:00:00"/>
    <x v="1"/>
    <e v="#N/A"/>
    <x v="0"/>
    <s v="DRY2400823"/>
    <s v="New Zealand"/>
    <s v="CPFNW"/>
    <s v="Lim Brothers"/>
    <s v="Wonton ND+V"/>
    <s v="Cooked Wonton"/>
    <s v="Cooked Wonton ND No Egg with Pumpkin_x000a_+ Yu Choy "/>
    <s v="082SJN708004P00001"/>
    <s v="305g*8"/>
    <n v="8"/>
    <n v="4"/>
    <n v="7.4999999999999997E-3"/>
    <x v="5"/>
    <s v="Salt"/>
    <s v="Regular"/>
    <n v="760"/>
    <m/>
    <n v="853"/>
    <n v="93"/>
    <n v="0"/>
    <n v="0"/>
    <n v="7.4999999999999997E-3"/>
    <n v="0"/>
    <m/>
    <m/>
    <m/>
  </r>
  <r>
    <x v="383"/>
    <d v="2025-01-27T00:00:00"/>
    <x v="1"/>
    <e v="#N/A"/>
    <x v="0"/>
    <s v="DRY2400809"/>
    <s v="Netherlands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SG+CO"/>
    <n v="924"/>
    <n v="924"/>
    <m/>
    <n v="0"/>
    <n v="0"/>
    <n v="0"/>
    <n v="3.8699999999999998E-2"/>
    <n v="0"/>
    <m/>
    <m/>
    <m/>
  </r>
  <r>
    <x v="383"/>
    <d v="2025-02-11T00:00:00"/>
    <x v="1"/>
    <e v="#N/A"/>
    <x v="0"/>
    <s v="DRY2400807"/>
    <s v="UK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SG+CO"/>
    <n v="924"/>
    <n v="924"/>
    <m/>
    <n v="0"/>
    <n v="0"/>
    <n v="0"/>
    <n v="3.8699999999999998E-2"/>
    <n v="0"/>
    <m/>
    <m/>
    <m/>
  </r>
  <r>
    <x v="383"/>
    <d v="2025-02-06T00:00:00"/>
    <x v="1"/>
    <e v="#N/A"/>
    <x v="0"/>
    <s v="DRY2400824"/>
    <s v="AUS"/>
    <s v="CPFNW"/>
    <s v="CPF Australia Pty Ltd."/>
    <s v="Minced ND+V+TY"/>
    <s v="Cooked Wonton"/>
    <s v="Cooked Minced  ND No Egg with Pumpkin_x000a_+ Yu Choy Tomyum"/>
    <s v="082SR9U08003P00001"/>
    <s v="302g*8"/>
    <n v="8"/>
    <n v="3"/>
    <n v="8.0000000000000002E-3"/>
    <x v="4"/>
    <s v="Salt"/>
    <s v="TYEXSG+CO"/>
    <n v="400"/>
    <m/>
    <n v="420"/>
    <n v="20"/>
    <n v="0"/>
    <n v="0"/>
    <n v="3.8699999999999998E-2"/>
    <n v="0"/>
    <m/>
    <m/>
    <m/>
  </r>
  <r>
    <x v="383"/>
    <d v="2025-02-13T00:00:00"/>
    <x v="1"/>
    <e v="#N/A"/>
    <x v="0"/>
    <s v="DRY2400822"/>
    <s v="New Zealand"/>
    <s v="CPFNW"/>
    <s v="Lim Brothers"/>
    <s v="Minced ND+V+TY"/>
    <s v="Cooked Wonton"/>
    <s v="Cooked Minced  ND No Egg with Pumpkin_x000a_+ Yu Choy Tomyum"/>
    <s v="082SRN708003P00001"/>
    <s v="302g*8"/>
    <n v="8"/>
    <n v="3"/>
    <n v="6.0000000000000001E-3"/>
    <x v="4"/>
    <s v="Salt"/>
    <s v="TYEXSG+CO"/>
    <n v="162"/>
    <m/>
    <n v="162"/>
    <n v="0"/>
    <n v="0"/>
    <n v="0"/>
    <n v="3.8699999999999998E-2"/>
    <n v="0"/>
    <m/>
    <m/>
    <m/>
  </r>
  <r>
    <x v="383"/>
    <d v="2025-02-27T00:00:00"/>
    <x v="1"/>
    <e v="#N/A"/>
    <x v="0"/>
    <s v="DRY2400823"/>
    <s v="New Zealand"/>
    <s v="CPFNW"/>
    <s v="Lim Brothers"/>
    <s v="Minced ND+V+TY"/>
    <s v="Cooked Wonton"/>
    <s v="Cooked Minced  ND No Egg with Pumpkin_x000a_+ Yu Choy Tomyum"/>
    <s v="082SRN708003P00001"/>
    <s v="302g*8"/>
    <n v="8"/>
    <n v="3"/>
    <n v="6.0000000000000001E-3"/>
    <x v="4"/>
    <s v="Salt"/>
    <s v="TYEXSG+CO"/>
    <n v="216"/>
    <m/>
    <n v="352.25"/>
    <n v="136.25"/>
    <n v="0"/>
    <n v="0"/>
    <n v="3.8699999999999998E-2"/>
    <n v="0"/>
    <m/>
    <m/>
    <m/>
  </r>
  <r>
    <x v="384"/>
    <m/>
    <x v="1"/>
    <e v="#N/A"/>
    <x v="0"/>
    <m/>
    <m/>
    <m/>
    <m/>
    <m/>
    <m/>
    <m/>
    <m/>
    <m/>
    <m/>
    <m/>
    <m/>
    <x v="0"/>
    <m/>
    <m/>
    <m/>
    <m/>
    <m/>
    <m/>
    <m/>
    <n v="0"/>
    <m/>
    <n v="0"/>
    <m/>
    <m/>
    <m/>
  </r>
  <r>
    <x v="385"/>
    <d v="2025-01-23T00:00:00"/>
    <x v="1"/>
    <e v="#N/A"/>
    <x v="0"/>
    <s v="KL2500002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m/>
    <m/>
  </r>
  <r>
    <x v="385"/>
    <s v="02-2025"/>
    <x v="1"/>
    <e v="#N/A"/>
    <x v="0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237"/>
    <n v="237"/>
    <m/>
    <n v="0"/>
    <n v="0"/>
    <n v="0"/>
    <m/>
    <n v="0"/>
    <m/>
    <m/>
    <m/>
  </r>
  <r>
    <x v="386"/>
    <d v="2025-01-28T00:00:00"/>
    <x v="1"/>
    <e v="#N/A"/>
    <x v="0"/>
    <s v="KL2500001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141"/>
    <n v="267"/>
    <n v="0"/>
    <n v="0"/>
    <n v="0"/>
    <n v="6"/>
    <n v="0"/>
    <m/>
    <m/>
    <m/>
  </r>
  <r>
    <x v="387"/>
    <d v="2025-02-12T00:00:00"/>
    <x v="1"/>
    <e v="#N/A"/>
    <x v="0"/>
    <s v="DRY2400829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n v="0"/>
    <n v="9.7000000000000003E-3"/>
    <n v="0"/>
    <s v="รอเปลี่ยนNEWPACKAGE"/>
    <m/>
    <m/>
  </r>
  <r>
    <x v="387"/>
    <d v="2025-02-12T00:00:00"/>
    <x v="1"/>
    <e v="#N/A"/>
    <x v="0"/>
    <s v="DRY2400832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n v="0"/>
    <n v="9.7000000000000003E-3"/>
    <n v="0"/>
    <s v="รอเปลี่ยนNEWPACKAGE"/>
    <m/>
    <m/>
  </r>
  <r>
    <x v="387"/>
    <d v="2025-02-19T00:00:00"/>
    <x v="1"/>
    <e v="#N/A"/>
    <x v="0"/>
    <s v="DRY2400830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n v="0"/>
    <n v="9.7000000000000003E-3"/>
    <n v="0"/>
    <s v="รอเปลี่ยนNEWPACKAGE"/>
    <m/>
    <m/>
  </r>
  <r>
    <x v="388"/>
    <d v="2025-01-30T00:00:00"/>
    <x v="1"/>
    <e v="#N/A"/>
    <x v="0"/>
    <s v="DRY2400825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88"/>
    <m/>
    <n v="0"/>
    <n v="0"/>
    <n v="0"/>
    <n v="7.4999999999999997E-3"/>
    <n v="0"/>
    <m/>
    <m/>
    <m/>
  </r>
  <r>
    <x v="388"/>
    <d v="2025-01-30T00:00:00"/>
    <x v="1"/>
    <e v="#N/A"/>
    <x v="0"/>
    <s v="DRY2400826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88"/>
    <m/>
    <n v="0"/>
    <n v="0"/>
    <n v="0"/>
    <n v="7.4999999999999997E-3"/>
    <n v="0"/>
    <m/>
    <m/>
    <m/>
  </r>
  <r>
    <x v="388"/>
    <d v="2025-02-06T00:00:00"/>
    <x v="1"/>
    <e v="#N/A"/>
    <x v="0"/>
    <s v="DRY2400827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88"/>
    <m/>
    <n v="0"/>
    <n v="0"/>
    <n v="0"/>
    <n v="7.4999999999999997E-3"/>
    <n v="0"/>
    <m/>
    <m/>
    <m/>
  </r>
  <r>
    <x v="389"/>
    <d v="2025-02-18T00:00:00"/>
    <x v="1"/>
    <e v="#N/A"/>
    <x v="0"/>
    <s v="DRY2400746"/>
    <s v="Netherlands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ใช้ package ที่เป็น หมึกพิมพ์ใหม่"/>
    <m/>
    <m/>
  </r>
  <r>
    <x v="389"/>
    <d v="2025-02-24T00:00:00"/>
    <x v="1"/>
    <e v="#N/A"/>
    <x v="0"/>
    <s v="DRY2400747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ใช้ package ที่เป็น หมึกพิมพ์ใหม่"/>
    <m/>
    <m/>
  </r>
  <r>
    <x v="389"/>
    <d v="2025-02-24T00:00:00"/>
    <x v="1"/>
    <e v="#N/A"/>
    <x v="0"/>
    <s v="DRY2400748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ใช้ package ที่เป็น หมึกพิมพ์ใหม่"/>
    <m/>
    <m/>
  </r>
  <r>
    <x v="389"/>
    <d v="2025-02-06T00:00:00"/>
    <x v="1"/>
    <e v="#N/A"/>
    <x v="0"/>
    <s v="DRY2400824"/>
    <s v="AUS"/>
    <s v="CPFNW"/>
    <s v="CPF Australia Pty Ltd."/>
    <s v="Minced ND+หมาล่า"/>
    <s v="Cooked Minced  ND No Egg หมาล่า"/>
    <s v="Cooked Minced  ND No Egg"/>
    <s v="082SR9U08003P03001"/>
    <s v="300g*8"/>
    <n v="8"/>
    <n v="3"/>
    <n v="6.0000000000000001E-3"/>
    <x v="4"/>
    <s v="Salt"/>
    <s v="หมาล่า"/>
    <n v="300"/>
    <m/>
    <n v="376.125"/>
    <n v="76.125"/>
    <n v="0"/>
    <n v="0"/>
    <n v="2.4E-2"/>
    <n v="0"/>
    <s v="คุณจั๊กให้สั่ง มาตามขั้นต่ำ ที่เหลือจะเปิดออเดอร์มาเคลียร์"/>
    <m/>
    <m/>
  </r>
  <r>
    <x v="390"/>
    <s v="02-2025"/>
    <x v="1"/>
    <e v="#N/A"/>
    <x v="0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4897"/>
    <n v="4897"/>
    <m/>
    <n v="0"/>
    <n v="0"/>
    <n v="0"/>
    <n v="7.4999999999999997E-3"/>
    <n v="0"/>
    <s v="PK ก่าเสามารถผลิตได้อีก 7436 กล่องในยอด FO 02/2025"/>
    <m/>
    <m/>
  </r>
  <r>
    <x v="390"/>
    <d v="2025-02-18T00:00:00"/>
    <x v="1"/>
    <e v="#N/A"/>
    <x v="0"/>
    <s v="DRY2400793"/>
    <s v="Denmark"/>
    <s v="CPFNW"/>
    <s v="CPF DENMARK"/>
    <s v="Wonton ND+V+TY"/>
    <s v="Cooked Wonton"/>
    <s v="Cooked Wonton ND No Egg with Pumpkin _x000a_+ Vegetable  HC  3 pcs tomyam"/>
    <s v="082SJKW08003P00001"/>
    <s v="309g*8"/>
    <n v="8"/>
    <n v="3"/>
    <n v="7.4999999999999997E-3"/>
    <x v="1"/>
    <s v="Salt"/>
    <s v="TYANSSG+CM"/>
    <n v="3500"/>
    <m/>
    <n v="3500"/>
    <n v="0"/>
    <n v="0"/>
    <n v="0"/>
    <n v="3.85E-2"/>
    <n v="0"/>
    <s v="ต้มยำสูตรลดเผ็ดลง 10 %"/>
    <m/>
    <m/>
  </r>
  <r>
    <x v="391"/>
    <m/>
    <x v="1"/>
    <e v="#N/A"/>
    <x v="0"/>
    <m/>
    <m/>
    <m/>
    <m/>
    <m/>
    <m/>
    <m/>
    <m/>
    <m/>
    <m/>
    <m/>
    <m/>
    <x v="0"/>
    <m/>
    <m/>
    <m/>
    <m/>
    <m/>
    <m/>
    <m/>
    <n v="0"/>
    <m/>
    <n v="0"/>
    <m/>
    <m/>
    <m/>
  </r>
  <r>
    <x v="392"/>
    <d v="2025-02-19T00:00:00"/>
    <x v="1"/>
    <e v="#N/A"/>
    <x v="0"/>
    <s v="DRY2400834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n v="0"/>
    <n v="7.4999999999999997E-3"/>
    <n v="0"/>
    <s v="รอเปลี่ยนNEWPACKAGE"/>
    <m/>
    <m/>
  </r>
  <r>
    <x v="392"/>
    <s v="02-2025"/>
    <x v="1"/>
    <e v="#N/A"/>
    <x v="0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2270"/>
    <n v="2270"/>
    <m/>
    <n v="0"/>
    <n v="0"/>
    <n v="0"/>
    <n v="7.4999999999999997E-3"/>
    <n v="0"/>
    <m/>
    <m/>
    <m/>
  </r>
  <r>
    <x v="392"/>
    <s v="03-2025"/>
    <x v="1"/>
    <e v="#N/A"/>
    <x v="0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778"/>
    <n v="778"/>
    <m/>
    <n v="0"/>
    <n v="0"/>
    <n v="0"/>
    <n v="7.4999999999999997E-3"/>
    <n v="0"/>
    <m/>
    <m/>
    <m/>
  </r>
  <r>
    <x v="392"/>
    <d v="2025-02-03T00:00:00"/>
    <x v="1"/>
    <e v="#N/A"/>
    <x v="0"/>
    <s v="KL2400043"/>
    <s v="China"/>
    <s v="China"/>
    <s v="Charoen Pokphand Import&amp;Export Trading (Shanghai) Co., Ltd"/>
    <s v="Wonton+TY"/>
    <s v="Cooked Wonton"/>
    <s v="Wonton Soup  (Enriched wonton sheet)"/>
    <s v="082S85J36005P00001"/>
    <s v="147g*6c*6in"/>
    <n v="36"/>
    <n v="5"/>
    <n v="7.4999999999999997E-3"/>
    <x v="1"/>
    <s v="Salt"/>
    <s v="TYEXSG+CO"/>
    <n v="798"/>
    <n v="798"/>
    <n v="35.694444444444443"/>
    <n v="35.694444444444457"/>
    <n v="0"/>
    <n v="0"/>
    <n v="2.2419999999999999E-2"/>
    <n v="0"/>
    <m/>
    <m/>
    <m/>
  </r>
  <r>
    <x v="393"/>
    <d v="2025-02-03T00:00:00"/>
    <x v="1"/>
    <e v="#N/A"/>
    <x v="0"/>
    <s v="KL2400044"/>
    <s v="China"/>
    <s v="China"/>
    <s v="Charoen Pokphand Import&amp;Export Trading (Shanghai) Co., Ltd"/>
    <s v="Wonton ND+V"/>
    <s v="Cooked Wonton"/>
    <s v="Cooked Wonton ND No Egg with Pumpkin _x000a_+ Vegetable 5 pcs tomyam"/>
    <s v="082SJ5J36005P00001"/>
    <s v="308g*6c*6in"/>
    <n v="36"/>
    <n v="5"/>
    <n v="7.4999999999999997E-3"/>
    <x v="5"/>
    <s v="Salt"/>
    <s v="Y3"/>
    <n v="300"/>
    <n v="102"/>
    <n v="202.02777777777777"/>
    <n v="4.0277777777777715"/>
    <n v="0"/>
    <n v="0"/>
    <n v="9.7000000000000003E-3"/>
    <n v="0"/>
    <s v="INNERใหม่ / กล่องใหม่"/>
    <m/>
    <m/>
  </r>
  <r>
    <x v="393"/>
    <d v="2025-02-13T00:00:00"/>
    <x v="1"/>
    <e v="#N/A"/>
    <x v="0"/>
    <s v="DRY240079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63"/>
    <n v="663"/>
    <m/>
    <n v="0"/>
    <n v="0"/>
    <n v="0"/>
    <n v="9.7000000000000003E-3"/>
    <n v="0"/>
    <m/>
    <m/>
    <m/>
  </r>
  <r>
    <x v="393"/>
    <d v="2025-02-13T00:00:00"/>
    <x v="1"/>
    <e v="#N/A"/>
    <x v="0"/>
    <s v="DRY240077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m/>
    <m/>
  </r>
  <r>
    <x v="393"/>
    <d v="2025-02-13T00:00:00"/>
    <x v="1"/>
    <e v="#N/A"/>
    <x v="0"/>
    <s v="DRY250001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60"/>
    <n v="460"/>
    <m/>
    <n v="0"/>
    <n v="0"/>
    <n v="0"/>
    <n v="9.7000000000000003E-3"/>
    <n v="0"/>
    <m/>
    <m/>
    <m/>
  </r>
  <r>
    <x v="393"/>
    <d v="2025-02-14T00:00:00"/>
    <x v="1"/>
    <e v="#N/A"/>
    <x v="0"/>
    <s v="DRY240078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m/>
    <m/>
  </r>
  <r>
    <x v="393"/>
    <d v="2025-02-14T00:00:00"/>
    <x v="1"/>
    <e v="#N/A"/>
    <x v="0"/>
    <s v="DRY240078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67"/>
    <n v="767"/>
    <m/>
    <n v="0"/>
    <n v="0"/>
    <n v="0"/>
    <n v="9.7000000000000003E-3"/>
    <n v="0"/>
    <m/>
    <m/>
    <m/>
  </r>
  <r>
    <x v="394"/>
    <m/>
    <x v="1"/>
    <e v="#N/A"/>
    <x v="0"/>
    <m/>
    <m/>
    <m/>
    <m/>
    <m/>
    <m/>
    <m/>
    <m/>
    <m/>
    <m/>
    <m/>
    <m/>
    <x v="0"/>
    <m/>
    <m/>
    <m/>
    <m/>
    <m/>
    <m/>
    <m/>
    <n v="0"/>
    <m/>
    <n v="0"/>
    <m/>
    <m/>
    <m/>
  </r>
  <r>
    <x v="395"/>
    <d v="2025-02-05T00:00:00"/>
    <x v="1"/>
    <e v="#N/A"/>
    <x v="0"/>
    <s v="DRY2400821"/>
    <s v="SG"/>
    <s v="CPFNW"/>
    <s v="CPI SINGAPORE"/>
    <s v="R-Wonton egg past"/>
    <s v="Raw Wonton"/>
    <s v="Raw Wonton 12 pcs with sesame"/>
    <s v="082I93B20012P02001"/>
    <s v="204g*20in"/>
    <n v="20"/>
    <n v="12"/>
    <n v="6.8100000000000001E-3"/>
    <x v="3"/>
    <s v="STPP"/>
    <s v=" sesame 30g"/>
    <n v="1200"/>
    <n v="756"/>
    <n v="444"/>
    <n v="0"/>
    <n v="0"/>
    <n v="0"/>
    <n v="2"/>
    <n v="0"/>
    <s v="ห่อแบบดิบ"/>
    <m/>
    <m/>
  </r>
  <r>
    <x v="395"/>
    <d v="2025-03-05T00:00:00"/>
    <x v="1"/>
    <e v="#N/A"/>
    <x v="0"/>
    <s v="DRY2500011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n v="0"/>
    <n v="7.4999999999999997E-3"/>
    <n v="0"/>
    <s v="รอเปลี่ยนNEWPACKAGE"/>
    <m/>
    <m/>
  </r>
  <r>
    <x v="395"/>
    <d v="2025-02-11T00:00:00"/>
    <x v="1"/>
    <e v="#N/A"/>
    <x v="0"/>
    <s v="DRY2500014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1400"/>
    <m/>
    <n v="1400"/>
    <n v="0"/>
    <n v="0"/>
    <n v="0"/>
    <n v="7.4999999999999997E-3"/>
    <n v="0"/>
    <m/>
    <m/>
    <m/>
  </r>
  <r>
    <x v="395"/>
    <d v="2025-02-25T00:00:00"/>
    <x v="1"/>
    <e v="#N/A"/>
    <x v="0"/>
    <s v="DRY2500015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1400"/>
    <m/>
    <n v="1400"/>
    <n v="0"/>
    <n v="0"/>
    <n v="0"/>
    <n v="7.4999999999999997E-3"/>
    <n v="0"/>
    <m/>
    <m/>
    <m/>
  </r>
  <r>
    <x v="396"/>
    <d v="2025-02-14T00:00:00"/>
    <x v="1"/>
    <e v="#N/A"/>
    <x v="0"/>
    <s v="DRY240078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5"/>
    <n v="25"/>
    <m/>
    <n v="0"/>
    <n v="0"/>
    <n v="0"/>
    <n v="9.7000000000000003E-3"/>
    <n v="0"/>
    <m/>
    <m/>
    <m/>
  </r>
  <r>
    <x v="396"/>
    <d v="2025-02-14T00:00:00"/>
    <x v="1"/>
    <e v="#N/A"/>
    <x v="0"/>
    <s v="DRY240078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m/>
    <m/>
  </r>
  <r>
    <x v="396"/>
    <d v="2025-02-14T00:00:00"/>
    <x v="1"/>
    <e v="#N/A"/>
    <x v="0"/>
    <s v="DRY240083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m/>
    <m/>
  </r>
  <r>
    <x v="396"/>
    <d v="2025-02-20T00:00:00"/>
    <x v="1"/>
    <e v="#N/A"/>
    <x v="0"/>
    <s v="DRY240083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m/>
    <m/>
  </r>
  <r>
    <x v="396"/>
    <d v="2025-02-20T00:00:00"/>
    <x v="1"/>
    <e v="#N/A"/>
    <x v="0"/>
    <s v="DRY240083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m/>
    <m/>
  </r>
  <r>
    <x v="396"/>
    <d v="2025-02-21T00:00:00"/>
    <x v="1"/>
    <e v="#N/A"/>
    <x v="0"/>
    <s v="DRY240083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m/>
    <m/>
  </r>
  <r>
    <x v="397"/>
    <d v="2025-02-28T00:00:00"/>
    <x v="1"/>
    <e v="#N/A"/>
    <x v="1"/>
    <s v="DRY240083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7"/>
    <n v="37"/>
    <m/>
    <n v="0"/>
    <n v="0"/>
    <n v="0"/>
    <n v="9.7000000000000003E-3"/>
    <n v="0"/>
    <m/>
    <n v="0"/>
    <n v="0"/>
  </r>
  <r>
    <x v="397"/>
    <d v="2025-02-28T00:00:00"/>
    <x v="1"/>
    <e v="#N/A"/>
    <x v="1"/>
    <s v="DRY240083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55"/>
    <n v="755"/>
    <m/>
    <n v="0"/>
    <n v="0"/>
    <n v="0"/>
    <n v="9.7000000000000003E-3"/>
    <n v="0"/>
    <m/>
    <n v="0"/>
    <n v="0"/>
  </r>
  <r>
    <x v="397"/>
    <d v="2025-02-28T00:00:00"/>
    <x v="1"/>
    <e v="#N/A"/>
    <x v="1"/>
    <s v="DRY240084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397"/>
    <d v="2025-02-28T00:00:00"/>
    <x v="1"/>
    <e v="#N/A"/>
    <x v="1"/>
    <s v="DRY240084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397"/>
    <d v="2025-03-04T00:00:00"/>
    <x v="1"/>
    <e v="#N/A"/>
    <x v="1"/>
    <s v="DRY240084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216"/>
    <n v="576"/>
    <n v="0"/>
    <n v="0"/>
    <n v="0"/>
    <n v="9.7000000000000003E-3"/>
    <n v="0"/>
    <m/>
    <n v="0"/>
    <n v="0"/>
  </r>
  <r>
    <x v="397"/>
    <d v="2025-03-04T00:00:00"/>
    <x v="1"/>
    <e v="#N/A"/>
    <x v="1"/>
    <s v="DRY240084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21"/>
    <m/>
    <n v="321"/>
    <n v="0"/>
    <n v="0"/>
    <n v="0"/>
    <n v="9.7000000000000003E-3"/>
    <n v="0"/>
    <m/>
    <n v="0"/>
    <n v="0"/>
  </r>
  <r>
    <x v="398"/>
    <m/>
    <x v="1"/>
    <e v="#N/A"/>
    <x v="1"/>
    <m/>
    <m/>
    <m/>
    <m/>
    <m/>
    <m/>
    <m/>
    <m/>
    <m/>
    <m/>
    <m/>
    <m/>
    <x v="0"/>
    <m/>
    <m/>
    <m/>
    <m/>
    <m/>
    <m/>
    <m/>
    <n v="0"/>
    <m/>
    <n v="0"/>
    <m/>
    <n v="0"/>
    <n v="0"/>
  </r>
  <r>
    <x v="399"/>
    <d v="2025-02-08T00:00:00"/>
    <x v="1"/>
    <e v="#N/A"/>
    <x v="1"/>
    <s v="KL2500003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n v="0"/>
    <n v="0"/>
  </r>
  <r>
    <x v="399"/>
    <s v="02-2025"/>
    <x v="1"/>
    <e v="#N/A"/>
    <x v="1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378"/>
    <n v="378"/>
    <m/>
    <n v="0"/>
    <n v="0"/>
    <n v="0"/>
    <m/>
    <n v="0"/>
    <m/>
    <n v="0"/>
    <n v="0"/>
  </r>
  <r>
    <x v="400"/>
    <d v="2025-03-04T00:00:00"/>
    <x v="1"/>
    <e v="#N/A"/>
    <x v="1"/>
    <s v="DRY240084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71"/>
    <n v="471"/>
    <m/>
    <n v="0"/>
    <n v="0"/>
    <n v="0"/>
    <n v="9.7000000000000003E-3"/>
    <n v="0"/>
    <m/>
    <n v="0"/>
    <n v="0"/>
  </r>
  <r>
    <x v="400"/>
    <d v="2025-03-04T00:00:00"/>
    <x v="1"/>
    <e v="#N/A"/>
    <x v="1"/>
    <s v="DRY240084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400"/>
    <d v="2025-03-04T00:00:00"/>
    <x v="1"/>
    <e v="#N/A"/>
    <x v="1"/>
    <s v="DRY240084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400"/>
    <d v="2025-03-04T00:00:00"/>
    <x v="1"/>
    <e v="#N/A"/>
    <x v="1"/>
    <s v="DRY240084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400"/>
    <d v="2025-03-05T00:00:00"/>
    <x v="1"/>
    <e v="#N/A"/>
    <x v="1"/>
    <s v="DRY240084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359"/>
    <n v="433"/>
    <n v="0"/>
    <n v="0"/>
    <n v="0"/>
    <n v="9.7000000000000003E-3"/>
    <n v="0"/>
    <m/>
    <n v="0"/>
    <n v="0"/>
  </r>
  <r>
    <x v="400"/>
    <d v="2025-03-11T00:00:00"/>
    <x v="1"/>
    <e v="#N/A"/>
    <x v="1"/>
    <s v="DRY240084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93"/>
    <m/>
    <n v="293"/>
    <n v="0"/>
    <n v="0"/>
    <n v="0"/>
    <n v="9.7000000000000003E-3"/>
    <n v="0"/>
    <m/>
    <n v="0"/>
    <n v="0"/>
  </r>
  <r>
    <x v="401"/>
    <d v="2025-03-19T00:00:00"/>
    <x v="1"/>
    <e v="#N/A"/>
    <x v="1"/>
    <s v="DRY2500012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558"/>
    <m/>
    <n v="2558"/>
    <n v="0"/>
    <n v="0"/>
    <n v="0"/>
    <n v="7.4999999999999997E-3"/>
    <n v="0"/>
    <s v="รอเปลี่ยนNEWPACKAGE"/>
    <n v="0"/>
    <n v="0"/>
  </r>
  <r>
    <x v="401"/>
    <s v="02-2025"/>
    <x v="1"/>
    <e v="#N/A"/>
    <x v="1"/>
    <s v="ขายภายใน"/>
    <s v=".7-11"/>
    <s v="CPFGS"/>
    <s v="ซีพีเอฟ เทรดดิ้ง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4000"/>
    <n v="4000"/>
    <m/>
    <n v="0"/>
    <n v="0"/>
    <n v="0"/>
    <n v="1.2999999999999999E-2"/>
    <n v="0"/>
    <m/>
    <n v="0"/>
    <n v="0"/>
  </r>
  <r>
    <x v="401"/>
    <s v="02-2025"/>
    <x v="1"/>
    <e v="#N/A"/>
    <x v="1"/>
    <s v="ขายภายใน"/>
    <s v="MTFS"/>
    <s v="CPFGS"/>
    <s v="ซีพีเอฟ เทรดดิ้ง"/>
    <s v="E+Wonton+หมาล่า"/>
    <s v="Cooked Wonton"/>
    <s v="เกี๊ยวกุ้งจักรพรรดิซุปหมาล่า (ตรา ซีพี)_MT"/>
    <s v="082S83Q12005P06001"/>
    <s v="143g*12"/>
    <n v="12"/>
    <n v="5"/>
    <n v="6.1999999999999998E-3"/>
    <x v="2"/>
    <s v="STPP"/>
    <s v="หมาล่า"/>
    <n v="158"/>
    <n v="158"/>
    <m/>
    <n v="0"/>
    <n v="0"/>
    <n v="0"/>
    <n v="1.2999999999999999E-2"/>
    <n v="0"/>
    <m/>
    <n v="0"/>
    <n v="0"/>
  </r>
  <r>
    <x v="402"/>
    <s v="02-2025"/>
    <x v="1"/>
    <e v="#N/A"/>
    <x v="1"/>
    <s v="ขายภายใน"/>
    <s v="MTFS"/>
    <s v="CPFGS"/>
    <s v="ซีพีเอฟ เทรดดิ้ง"/>
    <s v="E+Wonton NDE"/>
    <s v="Cooked Wonton"/>
    <s v="Cooked Wonton ND with egg V-Food"/>
    <s v="082SJ3Q12003P07001"/>
    <s v="226g*12"/>
    <n v="12"/>
    <n v="3"/>
    <n v="8.0000000000000002E-3"/>
    <x v="1"/>
    <s v="STPP"/>
    <s v="Regular"/>
    <n v="616"/>
    <n v="616"/>
    <m/>
    <n v="0"/>
    <n v="0"/>
    <n v="0"/>
    <n v="7.4999999999999997E-3"/>
    <n v="0"/>
    <m/>
    <n v="0"/>
    <n v="0"/>
  </r>
  <r>
    <x v="402"/>
    <s v="02-2025"/>
    <x v="1"/>
    <e v="#N/A"/>
    <x v="1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3750"/>
    <n v="3750"/>
    <m/>
    <n v="0"/>
    <n v="0"/>
    <n v="0"/>
    <n v="7.4999999999999997E-3"/>
    <n v="0"/>
    <m/>
    <n v="0"/>
    <n v="0"/>
  </r>
  <r>
    <x v="402"/>
    <s v="02-2025"/>
    <x v="1"/>
    <e v="#N/A"/>
    <x v="1"/>
    <s v="ขายภายใน"/>
    <s v="MTFS"/>
    <s v="CPFGS"/>
    <s v="ซีพีเอฟ เทรดดิ้ง"/>
    <s v="E+Wonton"/>
    <s v="Cooked Wonton"/>
    <s v="Cooked Wonton  with egg V-Food"/>
    <s v="082S83Q12005P05001"/>
    <s v="145g*12"/>
    <n v="12"/>
    <n v="5"/>
    <n v="8.0000000000000002E-3"/>
    <x v="1"/>
    <s v="STPP"/>
    <s v="Regular"/>
    <n v="1111"/>
    <n v="1111"/>
    <m/>
    <n v="0"/>
    <n v="0"/>
    <n v="0"/>
    <n v="7.4999999999999997E-3"/>
    <n v="0"/>
    <m/>
    <n v="0"/>
    <n v="0"/>
  </r>
  <r>
    <x v="403"/>
    <d v="2025-03-11T00:00:00"/>
    <x v="1"/>
    <e v="#N/A"/>
    <x v="1"/>
    <s v="DRY240084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99"/>
    <n v="499"/>
    <m/>
    <n v="0"/>
    <n v="0"/>
    <n v="0"/>
    <n v="9.7000000000000003E-3"/>
    <n v="0"/>
    <m/>
    <n v="0"/>
    <n v="0"/>
  </r>
  <r>
    <x v="403"/>
    <d v="2025-02-28T00:00:00"/>
    <x v="1"/>
    <e v="#N/A"/>
    <x v="1"/>
    <s v="DRY250001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60"/>
    <n v="460"/>
    <m/>
    <n v="0"/>
    <n v="0"/>
    <n v="0"/>
    <n v="9.7000000000000003E-3"/>
    <n v="0"/>
    <m/>
    <n v="0"/>
    <n v="0"/>
  </r>
  <r>
    <x v="403"/>
    <d v="2025-03-25T00:00:00"/>
    <x v="1"/>
    <e v="#N/A"/>
    <x v="1"/>
    <s v="DRY240084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55"/>
    <n v="155"/>
    <m/>
    <n v="0"/>
    <n v="0"/>
    <n v="0"/>
    <n v="9.7000000000000003E-3"/>
    <n v="0"/>
    <m/>
    <n v="0"/>
    <n v="0"/>
  </r>
  <r>
    <x v="403"/>
    <d v="2025-02-27T00:00:00"/>
    <x v="1"/>
    <e v="#N/A"/>
    <x v="1"/>
    <s v="DRY2500008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403"/>
    <d v="2025-03-06T00:00:00"/>
    <x v="1"/>
    <e v="#N/A"/>
    <x v="1"/>
    <s v="DRY2500009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403"/>
    <d v="2025-03-06T00:00:00"/>
    <x v="1"/>
    <e v="#N/A"/>
    <x v="1"/>
    <s v="DRY2500010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404"/>
    <d v="2025-02-28T00:00:00"/>
    <x v="1"/>
    <e v="#N/A"/>
    <x v="1"/>
    <s v="DRY2400772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278"/>
    <n v="278"/>
    <m/>
    <n v="0"/>
    <n v="0"/>
    <n v="0"/>
    <n v="2"/>
    <n v="0"/>
    <s v="ใช้ package new"/>
    <n v="0"/>
    <n v="0"/>
  </r>
  <r>
    <x v="404"/>
    <d v="2025-02-28T00:00:00"/>
    <x v="1"/>
    <e v="#N/A"/>
    <x v="1"/>
    <s v="DRY2400796"/>
    <s v="HK"/>
    <s v="CPFNW"/>
    <s v="CPM Hongkong"/>
    <s v="R-Minced egg past"/>
    <s v="Raw Wonton"/>
    <s v="Raw Minced Wonton 8 pcs"/>
    <s v="082ID3G18008P00001"/>
    <s v="90g*18in"/>
    <n v="18"/>
    <n v="8"/>
    <n v="6.0000000000000001E-3"/>
    <x v="4"/>
    <s v="STPP"/>
    <s v="ซุปซอง 5g."/>
    <n v="300"/>
    <n v="300"/>
    <m/>
    <n v="0"/>
    <n v="0"/>
    <n v="0"/>
    <n v="2"/>
    <n v="0"/>
    <m/>
    <n v="0"/>
    <n v="0"/>
  </r>
  <r>
    <x v="404"/>
    <d v="2025-02-17T00:00:00"/>
    <x v="1"/>
    <e v="#N/A"/>
    <x v="1"/>
    <s v="DRY2400812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922"/>
    <n v="896"/>
    <n v="26"/>
    <n v="0"/>
    <n v="0"/>
    <n v="0"/>
    <n v="6"/>
    <n v="0"/>
    <m/>
    <n v="0"/>
    <n v="0"/>
  </r>
  <r>
    <x v="405"/>
    <m/>
    <x v="1"/>
    <e v="#N/A"/>
    <x v="1"/>
    <m/>
    <m/>
    <m/>
    <m/>
    <m/>
    <m/>
    <m/>
    <m/>
    <m/>
    <m/>
    <m/>
    <m/>
    <x v="0"/>
    <m/>
    <m/>
    <m/>
    <m/>
    <m/>
    <m/>
    <m/>
    <n v="0"/>
    <m/>
    <n v="0"/>
    <m/>
    <m/>
    <m/>
  </r>
  <r>
    <x v="406"/>
    <d v="2025-02-17T00:00:00"/>
    <x v="1"/>
    <e v="#N/A"/>
    <x v="1"/>
    <s v="DRY2400812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226"/>
    <n v="226"/>
    <m/>
    <n v="0"/>
    <n v="0"/>
    <n v="0"/>
    <n v="6"/>
    <n v="0"/>
    <m/>
    <n v="0"/>
    <n v="0"/>
  </r>
  <r>
    <x v="406"/>
    <d v="2025-02-28T00:00:00"/>
    <x v="1"/>
    <e v="#N/A"/>
    <x v="1"/>
    <s v="DRY2400772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1100"/>
    <n v="1100"/>
    <m/>
    <n v="0"/>
    <n v="0"/>
    <n v="0"/>
    <n v="2"/>
    <n v="0"/>
    <s v="ใช้ package new"/>
    <n v="0"/>
    <n v="0"/>
  </r>
  <r>
    <x v="407"/>
    <d v="2025-03-05T00:00:00"/>
    <x v="1"/>
    <e v="#N/A"/>
    <x v="1"/>
    <s v="DRY2400831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n v="0"/>
    <n v="9.7000000000000003E-3"/>
    <n v="0"/>
    <s v="รอเปลี่ยนNEWPACKAGE"/>
    <n v="0"/>
    <n v="0"/>
  </r>
  <r>
    <x v="407"/>
    <d v="2025-03-05T00:00:00"/>
    <x v="1"/>
    <e v="#N/A"/>
    <x v="1"/>
    <s v="DRY2400833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281"/>
    <n v="281"/>
    <m/>
    <n v="0"/>
    <n v="0"/>
    <n v="0"/>
    <n v="9.7000000000000003E-3"/>
    <n v="0"/>
    <s v="รอเปลี่ยนNEWPACKAGE"/>
    <n v="0"/>
    <n v="0"/>
  </r>
  <r>
    <x v="407"/>
    <s v="03-2025"/>
    <x v="1"/>
    <e v="#N/A"/>
    <x v="1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3885"/>
    <n v="3885"/>
    <m/>
    <n v="0"/>
    <n v="0"/>
    <n v="0"/>
    <n v="7.4999999999999997E-3"/>
    <n v="0"/>
    <m/>
    <n v="0"/>
    <n v="0"/>
  </r>
  <r>
    <x v="408"/>
    <m/>
    <x v="1"/>
    <e v="#N/A"/>
    <x v="1"/>
    <m/>
    <m/>
    <m/>
    <m/>
    <m/>
    <m/>
    <m/>
    <m/>
    <m/>
    <m/>
    <m/>
    <m/>
    <x v="0"/>
    <m/>
    <m/>
    <m/>
    <m/>
    <m/>
    <m/>
    <m/>
    <n v="0"/>
    <m/>
    <n v="0"/>
    <m/>
    <m/>
    <m/>
  </r>
  <r>
    <x v="409"/>
    <d v="2025-02-17T00:00:00"/>
    <x v="1"/>
    <e v="#N/A"/>
    <x v="1"/>
    <s v="DRY2400812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908"/>
    <n v="908"/>
    <m/>
    <n v="0"/>
    <n v="0"/>
    <n v="0"/>
    <n v="6"/>
    <n v="0"/>
    <m/>
    <n v="0"/>
    <n v="0"/>
  </r>
  <r>
    <x v="409"/>
    <d v="2025-02-28T00:00:00"/>
    <x v="1"/>
    <e v="#N/A"/>
    <x v="1"/>
    <s v="DRY2400772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246"/>
    <n v="242"/>
    <n v="15"/>
    <n v="11"/>
    <n v="0"/>
    <n v="0"/>
    <n v="2"/>
    <n v="0"/>
    <s v="ใช้ package new"/>
    <n v="0"/>
    <n v="0"/>
  </r>
  <r>
    <x v="410"/>
    <d v="2025-03-03T00:00:00"/>
    <x v="1"/>
    <e v="#N/A"/>
    <x v="1"/>
    <s v="DRY2500044"/>
    <s v="Netherlands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ใช้ package ที่เป็น หมึกพิมพ์ใหม่"/>
    <n v="0"/>
    <n v="0"/>
  </r>
  <r>
    <x v="410"/>
    <s v="03-2025"/>
    <x v="1"/>
    <e v="#N/A"/>
    <x v="1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2157"/>
    <n v="2157"/>
    <m/>
    <n v="0"/>
    <n v="0"/>
    <n v="0"/>
    <n v="7.4999999999999997E-3"/>
    <n v="0"/>
    <m/>
    <n v="0"/>
    <n v="0"/>
  </r>
  <r>
    <x v="410"/>
    <s v="03-2025"/>
    <x v="1"/>
    <e v="#N/A"/>
    <x v="1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417"/>
    <n v="417"/>
    <m/>
    <n v="0"/>
    <n v="0"/>
    <n v="0"/>
    <n v="7.4999999999999997E-3"/>
    <n v="0"/>
    <m/>
    <n v="0"/>
    <n v="0"/>
  </r>
  <r>
    <x v="410"/>
    <d v="2025-03-05T00:00:00"/>
    <x v="1"/>
    <e v="#N/A"/>
    <x v="1"/>
    <s v="DRY2400833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007"/>
    <n v="1007"/>
    <m/>
    <n v="0"/>
    <n v="0"/>
    <n v="0"/>
    <n v="9.7000000000000003E-3"/>
    <n v="0"/>
    <s v="รอเปลี่ยนNEWPACKAGE"/>
    <n v="0"/>
    <n v="0"/>
  </r>
  <r>
    <x v="411"/>
    <d v="2025-03-07T00:00:00"/>
    <x v="1"/>
    <e v="#N/A"/>
    <x v="1"/>
    <s v="DRY2500042"/>
    <s v="USA"/>
    <s v="CPFNW"/>
    <s v="Bellisio Foods, Inc."/>
    <s v="Minced ND+V"/>
    <s v="Cooked Wonton"/>
    <s v="Cooked Wonton ND No Egg with Pumpkin_x000a_+ Yu Choy Low sodium"/>
    <s v="082SRBW24005P01001"/>
    <s v="308g*4c*6in"/>
    <n v="24"/>
    <n v="5"/>
    <n v="6.0000000000000001E-3"/>
    <x v="4"/>
    <s v="Salt"/>
    <s v="Y3"/>
    <n v="200"/>
    <n v="200"/>
    <m/>
    <n v="0"/>
    <n v="0"/>
    <n v="0"/>
    <n v="9.7000000000000003E-3"/>
    <n v="0"/>
    <m/>
    <n v="0"/>
    <n v="0"/>
  </r>
  <r>
    <x v="411"/>
    <d v="2025-03-19T00:00:00"/>
    <x v="1"/>
    <e v="#N/A"/>
    <x v="1"/>
    <s v="DRY2500066"/>
    <s v="USA"/>
    <s v="CPFNW"/>
    <s v="Bellisio Foods, Inc."/>
    <s v="Minced ND+V"/>
    <s v="Cooked Wonton"/>
    <s v="Cooked Wonton ND No Egg with Pumpkin_x000a_+ Yu Choy Low sodium"/>
    <s v="082SRBW24005P01001"/>
    <s v="308g*4c*6in"/>
    <n v="24"/>
    <n v="5"/>
    <n v="6.0000000000000001E-3"/>
    <x v="4"/>
    <s v="Salt"/>
    <s v="Y3"/>
    <n v="200"/>
    <n v="135"/>
    <n v="65"/>
    <n v="0"/>
    <n v="0"/>
    <n v="0"/>
    <n v="9.7000000000000003E-3"/>
    <n v="0"/>
    <s v="สำรอง"/>
    <n v="0"/>
    <n v="0"/>
  </r>
  <r>
    <x v="411"/>
    <d v="2025-04-19T00:00:00"/>
    <x v="1"/>
    <e v="#N/A"/>
    <x v="1"/>
    <s v="DRY2500043"/>
    <s v="USA"/>
    <s v="CPFNW"/>
    <s v="Bellisio Foods, Inc."/>
    <s v="Minced ND+V"/>
    <s v="Cooked Wonton"/>
    <s v="Cooked Wonton ND No Egg with Pumpkin_x000a_+ Yu Choy Low sodium"/>
    <s v="082SRBW24005P01001"/>
    <s v="308g*4c*6in"/>
    <n v="24"/>
    <n v="5"/>
    <n v="6.0000000000000001E-3"/>
    <x v="4"/>
    <s v="Salt"/>
    <s v="Y3"/>
    <n v="100"/>
    <m/>
    <n v="109.04166666666667"/>
    <n v="9.0416666666666714"/>
    <n v="0"/>
    <n v="0"/>
    <n v="9.7000000000000003E-3"/>
    <n v="0"/>
    <m/>
    <n v="0"/>
    <n v="0"/>
  </r>
  <r>
    <x v="411"/>
    <d v="2025-03-25T00:00:00"/>
    <x v="1"/>
    <e v="#N/A"/>
    <x v="1"/>
    <s v="DRY240085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411"/>
    <d v="2025-04-01T00:00:00"/>
    <x v="1"/>
    <e v="#N/A"/>
    <x v="1"/>
    <s v="DRY240085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14"/>
    <n v="78"/>
    <n v="0"/>
    <n v="0"/>
    <n v="0"/>
    <n v="9.7000000000000003E-3"/>
    <n v="0"/>
    <m/>
    <n v="0"/>
    <n v="0"/>
  </r>
  <r>
    <x v="411"/>
    <d v="2025-03-03T00:00:00"/>
    <x v="1"/>
    <e v="#N/A"/>
    <x v="1"/>
    <s v="DRY2500001"/>
    <s v="UK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SG+CO"/>
    <n v="924"/>
    <n v="924"/>
    <m/>
    <n v="0"/>
    <n v="0"/>
    <n v="0"/>
    <n v="3.8699999999999998E-2"/>
    <n v="0"/>
    <m/>
    <n v="0"/>
    <n v="0"/>
  </r>
  <r>
    <x v="411"/>
    <d v="2025-03-17T00:00:00"/>
    <x v="1"/>
    <e v="#N/A"/>
    <x v="1"/>
    <s v="DRY2500002"/>
    <s v="UK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SG+CO"/>
    <n v="924"/>
    <n v="903"/>
    <n v="21"/>
    <n v="0"/>
    <n v="0"/>
    <n v="0"/>
    <n v="3.8699999999999998E-2"/>
    <n v="0"/>
    <m/>
    <n v="0"/>
    <n v="0"/>
  </r>
  <r>
    <x v="411"/>
    <d v="2025-03-17T00:00:00"/>
    <x v="1"/>
    <e v="#N/A"/>
    <x v="1"/>
    <s v="DRY2500007"/>
    <s v="Germany"/>
    <s v="CPFNW"/>
    <s v=" CPF Distribution (under Paulsen Food)"/>
    <s v="Minced ND+V+TY"/>
    <s v="Cooked Wonton"/>
    <s v="Cooked Minced  ND No Egg with Pumpkin_x000a_+ Yu Choy Tomyum"/>
    <s v="082SR3N12003P00001"/>
    <s v="302g*12"/>
    <n v="12"/>
    <n v="3"/>
    <n v="6.0000000000000001E-3"/>
    <x v="4"/>
    <s v="Salt"/>
    <s v="TYEXSG+CO"/>
    <n v="2278"/>
    <m/>
    <n v="2449.6666666666665"/>
    <n v="171.66666666666652"/>
    <n v="0"/>
    <n v="0"/>
    <n v="3.8699999999999998E-2"/>
    <n v="0"/>
    <m/>
    <n v="0"/>
    <n v="0"/>
  </r>
  <r>
    <x v="412"/>
    <m/>
    <x v="1"/>
    <e v="#N/A"/>
    <x v="1"/>
    <m/>
    <m/>
    <m/>
    <m/>
    <m/>
    <m/>
    <m/>
    <m/>
    <m/>
    <m/>
    <m/>
    <m/>
    <x v="0"/>
    <m/>
    <m/>
    <m/>
    <m/>
    <m/>
    <m/>
    <m/>
    <n v="0"/>
    <m/>
    <n v="0"/>
    <m/>
    <m/>
    <m/>
  </r>
  <r>
    <x v="413"/>
    <d v="2025-02-28T00:00:00"/>
    <x v="1"/>
    <e v="#N/A"/>
    <x v="1"/>
    <s v="DRY2400796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1600"/>
    <n v="1082"/>
    <n v="518"/>
    <n v="0"/>
    <n v="0"/>
    <n v="0"/>
    <n v="1"/>
    <n v="0"/>
    <m/>
    <n v="0"/>
    <n v="0"/>
  </r>
  <r>
    <x v="413"/>
    <d v="2025-03-05T00:00:00"/>
    <x v="1"/>
    <e v="#N/A"/>
    <x v="1"/>
    <s v="DRY2400840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900"/>
    <m/>
    <n v="900"/>
    <n v="0"/>
    <n v="0"/>
    <n v="0"/>
    <n v="7.4999999999999997E-3"/>
    <n v="0"/>
    <m/>
    <n v="0"/>
    <n v="0"/>
  </r>
  <r>
    <x v="413"/>
    <d v="2025-03-05T00:00:00"/>
    <x v="1"/>
    <e v="#N/A"/>
    <x v="1"/>
    <s v="DRY2500041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800"/>
    <m/>
    <n v="800"/>
    <n v="0"/>
    <n v="0"/>
    <n v="0"/>
    <n v="7.4999999999999997E-3"/>
    <n v="0"/>
    <m/>
    <n v="0"/>
    <n v="0"/>
  </r>
  <r>
    <x v="413"/>
    <d v="2025-03-07T00:00:00"/>
    <x v="1"/>
    <e v="#N/A"/>
    <x v="1"/>
    <s v="DRY2500042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800"/>
    <m/>
    <n v="800"/>
    <n v="0"/>
    <n v="0"/>
    <n v="0"/>
    <n v="7.4999999999999997E-3"/>
    <n v="0"/>
    <m/>
    <n v="0"/>
    <n v="0"/>
  </r>
  <r>
    <x v="413"/>
    <d v="2025-03-19T00:00:00"/>
    <x v="1"/>
    <e v="#N/A"/>
    <x v="1"/>
    <s v="DRY2500066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700"/>
    <m/>
    <n v="700"/>
    <n v="0"/>
    <n v="0"/>
    <n v="0"/>
    <n v="7.4999999999999997E-3"/>
    <n v="0"/>
    <m/>
    <n v="0"/>
    <n v="0"/>
  </r>
  <r>
    <x v="414"/>
    <d v="2025-03-10T00:00:00"/>
    <x v="1"/>
    <e v="#N/A"/>
    <x v="1"/>
    <s v="DRY2500039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421"/>
    <n v="324"/>
    <n v="97"/>
    <n v="0"/>
    <n v="0"/>
    <n v="0"/>
    <n v="2"/>
    <n v="0"/>
    <m/>
    <n v="0"/>
    <n v="0"/>
  </r>
  <r>
    <x v="414"/>
    <d v="2025-03-18T00:00:00"/>
    <x v="1"/>
    <e v="#N/A"/>
    <x v="1"/>
    <s v="DRY2500016"/>
    <s v="Malay"/>
    <s v="CPFNW"/>
    <s v="CPM Malaysia"/>
    <s v="R-Wonton egg past"/>
    <s v="Raw Wonton"/>
    <s v="Raw Wonton 12 pcs"/>
    <s v="082I95I20012P02001"/>
    <s v="154g*20inner"/>
    <n v="20"/>
    <n v="12"/>
    <n v="6.8100000000000001E-3"/>
    <x v="3"/>
    <s v="STPP"/>
    <s v="ซุปซอง 5g."/>
    <n v="500"/>
    <n v="500"/>
    <m/>
    <n v="0"/>
    <n v="0"/>
    <n v="0"/>
    <n v="2"/>
    <n v="0"/>
    <m/>
    <n v="0"/>
    <n v="0"/>
  </r>
  <r>
    <x v="414"/>
    <d v="2025-03-13T00:00:00"/>
    <x v="1"/>
    <e v="#N/A"/>
    <x v="1"/>
    <s v="DRY2400828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m/>
    <n v="1288"/>
    <n v="0"/>
    <n v="0"/>
    <n v="0"/>
    <n v="7.4999999999999997E-3"/>
    <n v="0"/>
    <m/>
    <n v="0"/>
    <n v="0"/>
  </r>
  <r>
    <x v="414"/>
    <d v="2025-03-18T00:00:00"/>
    <x v="1"/>
    <e v="#N/A"/>
    <x v="1"/>
    <s v="DRY2500016"/>
    <s v="Malay"/>
    <s v="CPFNW"/>
    <s v="CPM Malaysia"/>
    <s v="Wonton"/>
    <s v="Cooked Wonton"/>
    <s v="Cooked Wonton No Egg  "/>
    <s v="082S85I24005P01001"/>
    <s v="145g*24"/>
    <n v="24"/>
    <n v="5"/>
    <n v="8.0000000000000002E-3"/>
    <x v="1"/>
    <s v="STPP"/>
    <s v="Regular"/>
    <n v="500"/>
    <n v="500"/>
    <n v="2.625"/>
    <n v="2.625"/>
    <n v="0"/>
    <n v="0"/>
    <n v="7.4999999999999997E-3"/>
    <n v="0"/>
    <m/>
    <n v="0"/>
    <n v="0"/>
  </r>
  <r>
    <x v="414"/>
    <d v="2025-03-05T00:00:00"/>
    <x v="1"/>
    <e v="#N/A"/>
    <x v="1"/>
    <s v="DRY2500041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512"/>
    <m/>
    <n v="512"/>
    <n v="0"/>
    <n v="0"/>
    <n v="0"/>
    <n v="7.4999999999999997E-3"/>
    <n v="0"/>
    <m/>
    <n v="0"/>
    <n v="0"/>
  </r>
  <r>
    <x v="414"/>
    <d v="2025-03-07T00:00:00"/>
    <x v="1"/>
    <e v="#N/A"/>
    <x v="1"/>
    <s v="DRY2500042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500"/>
    <m/>
    <n v="500"/>
    <n v="0"/>
    <n v="0"/>
    <n v="0"/>
    <n v="7.4999999999999997E-3"/>
    <n v="0"/>
    <m/>
    <n v="0"/>
    <n v="0"/>
  </r>
  <r>
    <x v="414"/>
    <d v="2025-03-19T00:00:00"/>
    <x v="1"/>
    <e v="#N/A"/>
    <x v="1"/>
    <s v="DRY2500066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300"/>
    <m/>
    <n v="300"/>
    <n v="0"/>
    <n v="0"/>
    <n v="0"/>
    <n v="7.4999999999999997E-3"/>
    <n v="0"/>
    <m/>
    <n v="0"/>
    <n v="0"/>
  </r>
  <r>
    <x v="415"/>
    <s v="03-2025"/>
    <x v="1"/>
    <e v="#N/A"/>
    <x v="1"/>
    <s v="ขายภายใน"/>
    <s v="MTFS"/>
    <s v="CPFGS"/>
    <s v="ซีพีเอฟ เทรดดิ้ง"/>
    <s v="E+Wonton NDE"/>
    <s v="Cooked Wonton"/>
    <s v="Cooked Wonton ND with egg V-Food"/>
    <s v="082SJ3Q12003P07001"/>
    <s v="226g*12"/>
    <n v="12"/>
    <n v="3"/>
    <n v="8.0000000000000002E-3"/>
    <x v="1"/>
    <s v="STPP"/>
    <s v="Regular"/>
    <n v="600"/>
    <n v="600"/>
    <m/>
    <n v="0"/>
    <n v="0"/>
    <n v="0"/>
    <n v="7.4999999999999997E-3"/>
    <n v="0"/>
    <m/>
    <n v="0"/>
    <n v="0"/>
  </r>
  <r>
    <x v="415"/>
    <s v="03-2025"/>
    <x v="1"/>
    <e v="#N/A"/>
    <x v="1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250"/>
    <n v="250"/>
    <m/>
    <n v="0"/>
    <n v="0"/>
    <n v="0"/>
    <n v="7.4999999999999997E-3"/>
    <n v="0"/>
    <m/>
    <n v="0"/>
    <n v="0"/>
  </r>
  <r>
    <x v="415"/>
    <s v="03-2025"/>
    <x v="1"/>
    <e v="#N/A"/>
    <x v="1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511"/>
    <n v="511"/>
    <m/>
    <n v="0"/>
    <n v="0"/>
    <n v="0"/>
    <n v="7.4999999999999997E-3"/>
    <n v="0"/>
    <m/>
    <n v="0"/>
    <n v="0"/>
  </r>
  <r>
    <x v="415"/>
    <s v="03-2025"/>
    <x v="1"/>
    <e v="#N/A"/>
    <x v="1"/>
    <s v="ขายภายใน"/>
    <s v="MTFS"/>
    <s v="CPFGS"/>
    <s v="ซีพีเอฟ เทรดดิ้ง"/>
    <s v="E+Wonton TY"/>
    <s v="Cooked Wonton"/>
    <s v="Cooked Wonton Tomyum with egg.V-Food TY"/>
    <s v="082S83Q12005P04001"/>
    <s v="115g*12"/>
    <n v="12"/>
    <n v="5"/>
    <n v="8.0000000000000002E-3"/>
    <x v="1"/>
    <s v="STPP"/>
    <s v="TYTB3C 30G"/>
    <n v="300"/>
    <n v="300"/>
    <m/>
    <n v="0"/>
    <n v="0"/>
    <n v="0"/>
    <n v="1"/>
    <n v="0"/>
    <s v="เหลือซอส 33,000 ซอง"/>
    <n v="0"/>
    <n v="0"/>
  </r>
  <r>
    <x v="415"/>
    <s v="03-2025"/>
    <x v="1"/>
    <e v="#N/A"/>
    <x v="1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1100"/>
    <n v="1100"/>
    <m/>
    <n v="0"/>
    <n v="0"/>
    <n v="0"/>
    <n v="1"/>
    <n v="0"/>
    <m/>
    <n v="0"/>
    <n v="0"/>
  </r>
  <r>
    <x v="415"/>
    <s v="02-2025"/>
    <x v="1"/>
    <e v="#N/A"/>
    <x v="1"/>
    <s v="ขายภายใน"/>
    <s v=".7-11"/>
    <s v="CPFGS"/>
    <s v="ซีพีเอฟ เทรดดิ้ง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800"/>
    <n v="800"/>
    <m/>
    <n v="0"/>
    <n v="0"/>
    <n v="0"/>
    <n v="1.2999999999999999E-2"/>
    <n v="0"/>
    <m/>
    <n v="0"/>
    <n v="0"/>
  </r>
  <r>
    <x v="415"/>
    <s v="03-2025"/>
    <x v="1"/>
    <e v="#N/A"/>
    <x v="1"/>
    <s v="ขายภายใน"/>
    <s v=".7-11"/>
    <s v="CPFGS"/>
    <s v="ซีพีเอฟ เทรดดิ้ง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3200"/>
    <n v="3200"/>
    <m/>
    <n v="0"/>
    <n v="0"/>
    <n v="0"/>
    <n v="1.2999999999999999E-2"/>
    <n v="0"/>
    <m/>
    <n v="0"/>
    <n v="0"/>
  </r>
  <r>
    <x v="415"/>
    <s v="02-2025"/>
    <x v="1"/>
    <e v="#N/A"/>
    <x v="1"/>
    <s v="ขายภายใน"/>
    <s v="MTFS"/>
    <s v="CPFGS"/>
    <s v="ซีพีเอฟ เทรดดิ้ง"/>
    <s v="E+Wonton+หมาล่า"/>
    <s v="Cooked Wonton"/>
    <s v="เกี๊ยวกุ้งจักรพรรดิซุปหมาล่า (ตรา ซีพี)_MT"/>
    <s v="082S83Q12005P06001"/>
    <s v="143g*12"/>
    <n v="12"/>
    <n v="5"/>
    <n v="6.1999999999999998E-3"/>
    <x v="2"/>
    <s v="STPP"/>
    <s v="หมาล่า"/>
    <n v="700"/>
    <n v="700"/>
    <m/>
    <n v="0"/>
    <n v="0"/>
    <n v="0"/>
    <n v="1.2999999999999999E-2"/>
    <n v="0"/>
    <m/>
    <n v="0"/>
    <n v="0"/>
  </r>
  <r>
    <x v="415"/>
    <s v="03-2025"/>
    <x v="1"/>
    <e v="#N/A"/>
    <x v="1"/>
    <s v="ขายภายใน"/>
    <s v="MTFS"/>
    <s v="CPFGS"/>
    <s v="ซีพีเอฟ เทรดดิ้ง"/>
    <s v="E+Wonton+หมาล่า"/>
    <s v="Cooked Wonton"/>
    <s v="เกี๊ยวกุ้งจักรพรรดิซุปหมาล่า (ตรา ซีพี)_MT"/>
    <s v="082S83Q12005P06001"/>
    <s v="143g*12"/>
    <n v="12"/>
    <n v="5"/>
    <n v="6.1999999999999998E-3"/>
    <x v="2"/>
    <s v="STPP"/>
    <s v="หมาล่า"/>
    <n v="750"/>
    <n v="750"/>
    <m/>
    <n v="0"/>
    <n v="0"/>
    <n v="0"/>
    <n v="1.2999999999999999E-2"/>
    <n v="0"/>
    <m/>
    <n v="0"/>
    <n v="0"/>
  </r>
  <r>
    <x v="416"/>
    <s v="03-2025"/>
    <x v="1"/>
    <e v="#N/A"/>
    <x v="1"/>
    <s v="ขายภายใน"/>
    <s v="MTFS"/>
    <s v="CPFGS"/>
    <s v="ซีพีเอฟ เทรดดิ้ง"/>
    <s v="E+Wonton"/>
    <s v="Cooked Wonton"/>
    <s v="Cooked Wonton  with egg V-Food"/>
    <s v="082S83Q12005P05000"/>
    <s v="145g*12"/>
    <n v="12"/>
    <n v="5"/>
    <n v="8.0000000000000002E-3"/>
    <x v="1"/>
    <s v="STPP"/>
    <s v="Regular"/>
    <n v="12"/>
    <n v="12"/>
    <m/>
    <n v="0"/>
    <n v="0"/>
    <n v="0"/>
    <n v="7.4999999999999997E-3"/>
    <n v="0"/>
    <m/>
    <n v="0"/>
    <n v="0"/>
  </r>
  <r>
    <x v="416"/>
    <s v="03-2025"/>
    <x v="1"/>
    <e v="#N/A"/>
    <x v="1"/>
    <s v="ขายภายใน"/>
    <s v="MTFS"/>
    <s v="CPFGS"/>
    <s v="ซีพีเอฟ เทรดดิ้ง"/>
    <s v="E+Wonton"/>
    <s v="Cooked Wonton"/>
    <s v="Cooked Wonton  with egg V-Food"/>
    <s v="082S83Q12005P05001"/>
    <s v="145g*12"/>
    <n v="12"/>
    <n v="5"/>
    <n v="8.0000000000000002E-3"/>
    <x v="1"/>
    <s v="STPP"/>
    <s v="Regular"/>
    <n v="3500"/>
    <n v="3500"/>
    <m/>
    <n v="0"/>
    <n v="0"/>
    <n v="0"/>
    <n v="7.4999999999999997E-3"/>
    <n v="0"/>
    <m/>
    <n v="0"/>
    <n v="0"/>
  </r>
  <r>
    <x v="416"/>
    <s v="03-2025"/>
    <x v="1"/>
    <e v="#N/A"/>
    <x v="1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4256"/>
    <n v="4256"/>
    <m/>
    <n v="0"/>
    <n v="0"/>
    <n v="0"/>
    <n v="7.4999999999999997E-3"/>
    <n v="0"/>
    <m/>
    <n v="0"/>
    <n v="0"/>
  </r>
  <r>
    <x v="417"/>
    <s v="03-2025"/>
    <x v="1"/>
    <e v="#N/A"/>
    <x v="1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5744"/>
    <n v="5744"/>
    <m/>
    <n v="0"/>
    <n v="0"/>
    <n v="0"/>
    <n v="7.4999999999999997E-3"/>
    <n v="0"/>
    <m/>
    <n v="0"/>
    <n v="0"/>
  </r>
  <r>
    <x v="417"/>
    <s v="04-2025"/>
    <x v="1"/>
    <e v="#N/A"/>
    <x v="1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104"/>
    <n v="104"/>
    <m/>
    <n v="0"/>
    <n v="0"/>
    <n v="0"/>
    <n v="7.4999999999999997E-3"/>
    <n v="0"/>
    <m/>
    <n v="0"/>
    <n v="0"/>
  </r>
  <r>
    <x v="418"/>
    <s v="03-2025"/>
    <x v="1"/>
    <e v="#N/A"/>
    <x v="1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3763"/>
    <n v="3763"/>
    <m/>
    <n v="0"/>
    <n v="0"/>
    <n v="0"/>
    <n v="7.4999999999999997E-3"/>
    <n v="0"/>
    <m/>
    <n v="0"/>
    <n v="0"/>
  </r>
  <r>
    <x v="418"/>
    <s v="03-2025"/>
    <x v="1"/>
    <e v="#N/A"/>
    <x v="1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1058"/>
    <n v="1058"/>
    <m/>
    <n v="0"/>
    <n v="0"/>
    <n v="0"/>
    <n v="7.4999999999999997E-3"/>
    <n v="0"/>
    <m/>
    <n v="0"/>
    <n v="0"/>
  </r>
  <r>
    <x v="418"/>
    <d v="2025-03-20T00:00:00"/>
    <x v="1"/>
    <e v="#N/A"/>
    <x v="1"/>
    <s v="DRY2500018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419"/>
    <m/>
    <x v="1"/>
    <e v="#N/A"/>
    <x v="1"/>
    <m/>
    <m/>
    <m/>
    <m/>
    <m/>
    <m/>
    <m/>
    <m/>
    <m/>
    <m/>
    <m/>
    <m/>
    <x v="0"/>
    <m/>
    <m/>
    <m/>
    <m/>
    <m/>
    <m/>
    <m/>
    <n v="0"/>
    <m/>
    <n v="0"/>
    <m/>
    <m/>
    <m/>
  </r>
  <r>
    <x v="420"/>
    <d v="2025-03-01T00:00:00"/>
    <x v="1"/>
    <e v="#N/A"/>
    <x v="1"/>
    <s v="KL2500004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n v="0"/>
    <n v="0"/>
  </r>
  <r>
    <x v="420"/>
    <s v="03-2025"/>
    <x v="1"/>
    <e v="#N/A"/>
    <x v="1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500"/>
    <n v="500"/>
    <m/>
    <n v="0"/>
    <n v="0"/>
    <n v="0"/>
    <m/>
    <n v="0"/>
    <m/>
    <n v="0"/>
    <n v="0"/>
  </r>
  <r>
    <x v="421"/>
    <d v="2025-03-03T00:00:00"/>
    <x v="1"/>
    <e v="#N/A"/>
    <x v="1"/>
    <s v="KL2500006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n v="0"/>
    <n v="0"/>
  </r>
  <r>
    <x v="421"/>
    <d v="2025-03-05T00:00:00"/>
    <x v="1"/>
    <e v="#N/A"/>
    <x v="1"/>
    <s v="DRY2500041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200"/>
    <n v="200"/>
    <m/>
    <n v="0"/>
    <n v="0"/>
    <n v="0"/>
    <n v="6"/>
    <n v="0"/>
    <m/>
    <n v="0"/>
    <n v="0"/>
  </r>
  <r>
    <x v="422"/>
    <d v="2025-03-06T00:00:00"/>
    <x v="1"/>
    <e v="#N/A"/>
    <x v="1"/>
    <s v="KL2500005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n v="0"/>
    <n v="0"/>
  </r>
  <r>
    <x v="422"/>
    <d v="2025-03-19T00:00:00"/>
    <x v="1"/>
    <e v="#N/A"/>
    <x v="1"/>
    <s v="DRY2500066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00"/>
    <n v="100"/>
    <m/>
    <n v="0"/>
    <n v="0"/>
    <n v="0"/>
    <n v="6"/>
    <n v="0"/>
    <m/>
    <n v="0"/>
    <n v="0"/>
  </r>
  <r>
    <x v="423"/>
    <s v="03-2025"/>
    <x v="1"/>
    <e v="#N/A"/>
    <x v="1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453"/>
    <n v="436"/>
    <n v="17"/>
    <n v="0"/>
    <n v="0"/>
    <n v="0"/>
    <m/>
    <n v="0"/>
    <m/>
    <n v="0"/>
    <n v="0"/>
  </r>
  <r>
    <x v="423"/>
    <d v="2025-03-10T00:00:00"/>
    <x v="1"/>
    <e v="#N/A"/>
    <x v="1"/>
    <s v="DRY2500046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1000"/>
    <n v="476"/>
    <n v="524"/>
    <n v="0"/>
    <n v="0"/>
    <n v="0"/>
    <n v="2"/>
    <n v="0"/>
    <s v="ห่อแบบสุก"/>
    <n v="0"/>
    <n v="0"/>
  </r>
  <r>
    <x v="423"/>
    <d v="2025-03-10T00:00:00"/>
    <x v="1"/>
    <e v="#N/A"/>
    <x v="1"/>
    <s v="DRY2500046"/>
    <s v="SG"/>
    <s v="CPFNW"/>
    <s v="CPI SINGAPORE"/>
    <s v="R-Wonton egg past"/>
    <s v="Raw Wonton"/>
    <s v="Raw Wonton 8 pcs"/>
    <s v="082I93B20008P00001"/>
    <s v="194g*20in"/>
    <n v="20"/>
    <n v="8"/>
    <n v="1.4999999999999999E-2"/>
    <x v="6"/>
    <s v="STPP"/>
    <s v="ซุปซอง 5g."/>
    <n v="993"/>
    <n v="993"/>
    <m/>
    <n v="0"/>
    <n v="0"/>
    <n v="0"/>
    <n v="2"/>
    <n v="0"/>
    <s v="ห่อแบบดิบ"/>
    <n v="0"/>
    <n v="0"/>
  </r>
  <r>
    <x v="424"/>
    <d v="2025-04-12T00:00:00"/>
    <x v="1"/>
    <e v="#N/A"/>
    <x v="1"/>
    <s v="DRY240085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51"/>
    <n v="41.611111111111114"/>
    <n v="0.61111111111108585"/>
    <n v="0"/>
    <n v="0"/>
    <n v="9.7000000000000003E-3"/>
    <n v="0"/>
    <m/>
    <n v="0"/>
    <n v="0"/>
  </r>
  <r>
    <x v="424"/>
    <d v="2025-04-12T00:00:00"/>
    <x v="1"/>
    <e v="#N/A"/>
    <x v="1"/>
    <s v="DRY240085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424"/>
    <d v="2025-04-12T00:00:00"/>
    <x v="1"/>
    <e v="#N/A"/>
    <x v="1"/>
    <s v="DRY240085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424"/>
    <d v="2025-04-19T00:00:00"/>
    <x v="1"/>
    <e v="#N/A"/>
    <x v="1"/>
    <s v="DRY250001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424"/>
    <d v="2025-04-22T00:00:00"/>
    <x v="1"/>
    <e v="#N/A"/>
    <x v="1"/>
    <s v="DRY250001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425"/>
    <d v="2025-03-10T00:00:00"/>
    <x v="1"/>
    <e v="#N/A"/>
    <x v="2"/>
    <s v="DRY2500046"/>
    <s v="SG"/>
    <s v="CPFNW"/>
    <s v="CPI SINGAPORE"/>
    <s v="Wonton +TY"/>
    <s v="Cooked Wonton"/>
    <s v="Cooked Wonton No Egg"/>
    <s v="082S83B24005P06001"/>
    <s v="115g*24"/>
    <n v="24"/>
    <n v="5"/>
    <n v="8.0000000000000002E-3"/>
    <x v="1"/>
    <s v="STPP"/>
    <s v="TYTB3C 30G"/>
    <n v="500"/>
    <n v="500"/>
    <m/>
    <n v="0"/>
    <n v="0"/>
    <n v="0"/>
    <n v="1"/>
    <n v="0"/>
    <m/>
    <n v="0"/>
    <n v="0"/>
  </r>
  <r>
    <x v="425"/>
    <s v="03-2025"/>
    <x v="1"/>
    <e v="#N/A"/>
    <x v="2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6"/>
    <n v="6"/>
    <m/>
    <n v="0"/>
    <n v="0"/>
    <n v="0"/>
    <n v="7.4999999999999997E-3"/>
    <n v="0"/>
    <m/>
    <n v="0"/>
    <n v="0"/>
  </r>
  <r>
    <x v="426"/>
    <m/>
    <x v="1"/>
    <e v="#N/A"/>
    <x v="2"/>
    <m/>
    <m/>
    <m/>
    <m/>
    <m/>
    <m/>
    <m/>
    <m/>
    <m/>
    <m/>
    <m/>
    <m/>
    <x v="0"/>
    <m/>
    <m/>
    <m/>
    <m/>
    <m/>
    <m/>
    <m/>
    <n v="0"/>
    <m/>
    <n v="0"/>
    <m/>
    <m/>
    <m/>
  </r>
  <r>
    <x v="427"/>
    <d v="2025-03-19T00:00:00"/>
    <x v="1"/>
    <e v="#N/A"/>
    <x v="2"/>
    <s v="DRY2500071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3304.625"/>
    <m/>
    <n v="3304.625"/>
    <n v="0"/>
    <n v="0"/>
    <n v="0"/>
    <n v="7.4999999999999997E-3"/>
    <n v="0"/>
    <m/>
    <n v="0"/>
    <n v="0"/>
  </r>
  <r>
    <x v="427"/>
    <d v="2025-04-02T00:00:00"/>
    <x v="1"/>
    <e v="#N/A"/>
    <x v="2"/>
    <s v="DRY2500063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800"/>
    <n v="800"/>
    <m/>
    <n v="0"/>
    <n v="0"/>
    <n v="0"/>
    <n v="7.4999999999999997E-3"/>
    <n v="0"/>
    <m/>
    <n v="0"/>
    <n v="0"/>
  </r>
  <r>
    <x v="427"/>
    <d v="2025-04-02T00:00:00"/>
    <x v="1"/>
    <e v="#N/A"/>
    <x v="2"/>
    <s v="DRY2500064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155"/>
    <n v="155"/>
    <m/>
    <n v="0"/>
    <n v="0"/>
    <n v="0"/>
    <n v="7.4999999999999997E-3"/>
    <n v="0"/>
    <m/>
    <n v="0"/>
    <n v="0"/>
  </r>
  <r>
    <x v="427"/>
    <s v="03-2025"/>
    <x v="1"/>
    <e v="#N/A"/>
    <x v="2"/>
    <s v="ขายภายใน"/>
    <s v="MTFS"/>
    <s v="CPFGS"/>
    <s v="ซีพีเอฟ เทรดดิ้ง"/>
    <s v="Wonton ND"/>
    <s v="Cooked Wonton"/>
    <s v="บะหมี่เกี๊ยวกุ้งซุปสุกี้ CPxMK 227g ND Pumpkin"/>
    <s v="082SJ3Q12003P09001"/>
    <s v="227g*12"/>
    <n v="12"/>
    <n v="3"/>
    <n v="8.0000000000000002E-3"/>
    <x v="2"/>
    <s v="STPP"/>
    <s v="MK"/>
    <n v="3328"/>
    <n v="3328"/>
    <m/>
    <n v="0"/>
    <n v="0"/>
    <n v="0"/>
    <n v="0.05"/>
    <n v="0"/>
    <m/>
    <n v="0"/>
    <n v="0"/>
  </r>
  <r>
    <x v="428"/>
    <s v="03-2025"/>
    <x v="1"/>
    <e v="#N/A"/>
    <x v="2"/>
    <s v="ขายภายใน"/>
    <s v="MTFS"/>
    <s v="CPFGS"/>
    <s v="ซีพีเอฟ เทรดดิ้ง"/>
    <s v="Wonton ND"/>
    <s v="Cooked Wonton"/>
    <s v="บะหมี่เกี๊ยวกุ้งซุปสุกี้ CPxMK 227g ND Pumpkin"/>
    <s v="082SJ3Q12003P09001"/>
    <s v="227g*12"/>
    <n v="12"/>
    <n v="3"/>
    <n v="8.0000000000000002E-3"/>
    <x v="2"/>
    <s v="STPP"/>
    <s v="MK"/>
    <n v="6472"/>
    <n v="6472"/>
    <m/>
    <n v="0"/>
    <n v="0"/>
    <n v="0"/>
    <n v="0.05"/>
    <n v="0"/>
    <m/>
    <n v="0"/>
    <n v="0"/>
  </r>
  <r>
    <x v="429"/>
    <d v="2025-03-10T00:00:00"/>
    <x v="1"/>
    <e v="#N/A"/>
    <x v="2"/>
    <s v="DRY2500046"/>
    <s v="SG"/>
    <s v="CPFNW"/>
    <s v="CPI SINGAPORE"/>
    <s v="R-Wonton egg past"/>
    <s v="Raw Wonton"/>
    <s v="Raw Wonton 8 pcs"/>
    <s v="082I93B20008P00001"/>
    <s v="194g*20in"/>
    <n v="20"/>
    <n v="8"/>
    <n v="1.4999999999999999E-2"/>
    <x v="6"/>
    <s v="STPP"/>
    <s v="ซุปซอง 5g."/>
    <n v="7"/>
    <n v="7"/>
    <m/>
    <n v="0"/>
    <n v="0"/>
    <n v="0"/>
    <n v="2"/>
    <n v="0"/>
    <s v="ห่อแบบดิบ"/>
    <n v="0"/>
    <n v="0"/>
  </r>
  <r>
    <x v="429"/>
    <d v="2025-03-24T00:00:00"/>
    <x v="1"/>
    <e v="#N/A"/>
    <x v="2"/>
    <s v="DRY2400813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1434"/>
    <n v="1434"/>
    <m/>
    <n v="0"/>
    <n v="0"/>
    <n v="0"/>
    <n v="6"/>
    <n v="0"/>
    <m/>
    <n v="0"/>
    <n v="0"/>
  </r>
  <r>
    <x v="430"/>
    <d v="2025-03-10T00:00:00"/>
    <x v="1"/>
    <e v="#N/A"/>
    <x v="2"/>
    <s v="DRY2500039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1203"/>
    <n v="1039"/>
    <n v="164"/>
    <n v="0"/>
    <n v="0"/>
    <n v="0"/>
    <n v="2"/>
    <n v="0"/>
    <m/>
    <n v="0"/>
    <n v="0"/>
  </r>
  <r>
    <x v="431"/>
    <s v="03-2025"/>
    <x v="1"/>
    <e v="#N/A"/>
    <x v="2"/>
    <s v="ขายภายใน"/>
    <s v="MTFS"/>
    <s v="CPFGS"/>
    <s v="ซีพีเอฟ เทรดดิ้ง"/>
    <s v="Wonton ND"/>
    <s v="Cooked Wonton"/>
    <s v="บะหมี่เกี๊ยวกุ้งซุปสุกี้ CPxMK 227g ND Pumpkin"/>
    <s v="082SJ3Q12003P09001"/>
    <s v="227g*12"/>
    <n v="12"/>
    <n v="3"/>
    <n v="8.0000000000000002E-3"/>
    <x v="2"/>
    <s v="STPP"/>
    <s v="MK"/>
    <n v="11831"/>
    <n v="11831"/>
    <m/>
    <n v="0"/>
    <n v="0"/>
    <n v="0"/>
    <n v="0.05"/>
    <n v="0"/>
    <m/>
    <n v="0"/>
    <n v="0"/>
  </r>
  <r>
    <x v="432"/>
    <d v="2025-04-02T00:00:00"/>
    <x v="1"/>
    <e v="#N/A"/>
    <x v="2"/>
    <s v="DRY2400797"/>
    <s v="HK"/>
    <s v="CPFNW"/>
    <s v="CPM Hongkong"/>
    <s v="R-Minced egg past"/>
    <s v="Raw Wonton"/>
    <s v="Raw Minced Wonton 8 pcs"/>
    <s v="082ID3G18008P00001"/>
    <s v="90g*18in"/>
    <n v="18"/>
    <n v="8"/>
    <n v="6.0000000000000001E-3"/>
    <x v="4"/>
    <s v="STPP"/>
    <s v="ซุปซอง 5g."/>
    <n v="250"/>
    <n v="250"/>
    <m/>
    <n v="0"/>
    <n v="0"/>
    <n v="0"/>
    <n v="2"/>
    <n v="0"/>
    <m/>
    <n v="0"/>
    <n v="0"/>
  </r>
  <r>
    <x v="432"/>
    <d v="2025-04-02T00:00:00"/>
    <x v="1"/>
    <e v="#N/A"/>
    <x v="2"/>
    <s v="DRY2400797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1650"/>
    <n v="1178"/>
    <n v="472"/>
    <n v="0"/>
    <n v="0"/>
    <n v="0"/>
    <n v="1"/>
    <n v="0"/>
    <m/>
    <n v="0"/>
    <n v="0"/>
  </r>
  <r>
    <x v="432"/>
    <d v="2025-04-07T00:00:00"/>
    <x v="1"/>
    <e v="#N/A"/>
    <x v="2"/>
    <s v="DRY2400749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รอเปลี่ยนNEWPACKAGE/ถ้าว,ฝา สีขาว"/>
    <n v="0"/>
    <n v="0"/>
  </r>
  <r>
    <x v="432"/>
    <d v="2025-03-18T00:00:00"/>
    <x v="1"/>
    <e v="#N/A"/>
    <x v="2"/>
    <s v="DRY2500016"/>
    <s v="Malay"/>
    <s v="CPFNW"/>
    <s v="CPM Malaysia"/>
    <s v="Wonton+TY"/>
    <s v="Cooked Wonton"/>
    <s v="Cooked Wonton No Egg  TY"/>
    <s v="082S85I24005P02001"/>
    <s v="115g*24"/>
    <n v="24"/>
    <n v="5"/>
    <n v="8.0000000000000002E-3"/>
    <x v="1"/>
    <s v="STPP"/>
    <s v="TYTB3C 30G"/>
    <n v="1150"/>
    <n v="1150"/>
    <n v="18.958333333333332"/>
    <n v="18.958333333333258"/>
    <n v="0"/>
    <n v="0"/>
    <n v="1"/>
    <n v="0"/>
    <m/>
    <n v="0"/>
    <n v="0"/>
  </r>
  <r>
    <x v="433"/>
    <m/>
    <x v="1"/>
    <e v="#N/A"/>
    <x v="2"/>
    <m/>
    <m/>
    <m/>
    <m/>
    <m/>
    <m/>
    <m/>
    <m/>
    <m/>
    <m/>
    <m/>
    <m/>
    <x v="0"/>
    <m/>
    <m/>
    <m/>
    <m/>
    <m/>
    <m/>
    <m/>
    <n v="0"/>
    <m/>
    <n v="0"/>
    <m/>
    <m/>
    <m/>
  </r>
  <r>
    <x v="434"/>
    <d v="2025-04-02T00:00:00"/>
    <x v="1"/>
    <e v="#N/A"/>
    <x v="2"/>
    <s v="DRY2500063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00"/>
    <n v="100"/>
    <m/>
    <n v="0"/>
    <n v="0"/>
    <n v="0"/>
    <n v="6"/>
    <n v="0"/>
    <m/>
    <n v="0"/>
    <n v="0"/>
  </r>
  <r>
    <x v="434"/>
    <d v="2025-04-02T00:00:00"/>
    <x v="1"/>
    <e v="#N/A"/>
    <x v="2"/>
    <s v="DRY2500064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00"/>
    <n v="25"/>
    <n v="75"/>
    <n v="0"/>
    <n v="0"/>
    <n v="0"/>
    <n v="6"/>
    <n v="0"/>
    <m/>
    <n v="0"/>
    <n v="0"/>
  </r>
  <r>
    <x v="434"/>
    <d v="2025-04-19T00:00:00"/>
    <x v="1"/>
    <e v="#N/A"/>
    <x v="2"/>
    <s v="DRY2500043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00"/>
    <m/>
    <n v="202"/>
    <n v="102"/>
    <n v="0"/>
    <n v="0"/>
    <n v="6"/>
    <n v="0"/>
    <m/>
    <n v="0"/>
    <n v="0"/>
  </r>
  <r>
    <x v="434"/>
    <s v="03-2025"/>
    <x v="1"/>
    <e v="#N/A"/>
    <x v="2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47"/>
    <n v="47"/>
    <m/>
    <n v="0"/>
    <n v="0"/>
    <n v="0"/>
    <m/>
    <n v="0"/>
    <m/>
    <n v="0"/>
    <n v="0"/>
  </r>
  <r>
    <x v="434"/>
    <s v="04-2025"/>
    <x v="1"/>
    <e v="#N/A"/>
    <x v="2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360"/>
    <n v="360"/>
    <m/>
    <n v="0"/>
    <n v="0"/>
    <n v="0"/>
    <m/>
    <n v="0"/>
    <m/>
    <n v="0"/>
    <n v="0"/>
  </r>
  <r>
    <x v="434"/>
    <d v="2025-03-24T00:00:00"/>
    <x v="1"/>
    <e v="#N/A"/>
    <x v="2"/>
    <s v="DRY2400813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22"/>
    <n v="533"/>
    <n v="91"/>
    <n v="2"/>
    <n v="0"/>
    <n v="0"/>
    <n v="6"/>
    <n v="0"/>
    <m/>
    <n v="0"/>
    <n v="0"/>
  </r>
  <r>
    <x v="435"/>
    <d v="2025-03-18T00:00:00"/>
    <x v="1"/>
    <e v="#N/A"/>
    <x v="2"/>
    <s v="DRY2400833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307"/>
    <n v="307"/>
    <m/>
    <n v="0"/>
    <n v="0"/>
    <n v="0"/>
    <n v="9.7000000000000003E-3"/>
    <n v="0"/>
    <s v="รอเปลี่ยนNEWPACKAGE"/>
    <n v="0"/>
    <n v="0"/>
  </r>
  <r>
    <x v="435"/>
    <d v="2025-03-18T00:00:00"/>
    <x v="1"/>
    <e v="#N/A"/>
    <x v="2"/>
    <s v="DRY2500052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n v="0"/>
    <n v="9.7000000000000003E-3"/>
    <n v="0"/>
    <s v="รอเปลี่ยนNEWPACKAGE"/>
    <n v="0"/>
    <n v="0"/>
  </r>
  <r>
    <x v="435"/>
    <d v="2025-03-18T00:00:00"/>
    <x v="1"/>
    <e v="#N/A"/>
    <x v="2"/>
    <s v="DRY2500053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288"/>
    <m/>
    <n v="0"/>
    <n v="0"/>
    <n v="0"/>
    <n v="9.7000000000000003E-3"/>
    <n v="0"/>
    <s v="รอเปลี่ยนNEWPACKAGE"/>
    <n v="0"/>
    <n v="0"/>
  </r>
  <r>
    <x v="435"/>
    <d v="2025-04-02T00:00:00"/>
    <x v="1"/>
    <e v="#N/A"/>
    <x v="2"/>
    <s v="DRY2500050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352"/>
    <n v="352"/>
    <m/>
    <n v="0"/>
    <n v="0"/>
    <n v="0"/>
    <n v="9.7000000000000003E-3"/>
    <n v="0"/>
    <s v="รอเปลี่ยนNEWPACKAGE"/>
    <n v="0"/>
    <n v="0"/>
  </r>
  <r>
    <x v="435"/>
    <d v="2025-03-19T00:00:00"/>
    <x v="1"/>
    <e v="#N/A"/>
    <x v="2"/>
    <s v="DRY2500071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195.375"/>
    <m/>
    <n v="197.625"/>
    <n v="2.25"/>
    <n v="0"/>
    <n v="0"/>
    <n v="7.4999999999999997E-3"/>
    <n v="0"/>
    <m/>
    <n v="0"/>
    <n v="0"/>
  </r>
  <r>
    <x v="436"/>
    <d v="2025-03-20T00:00:00"/>
    <x v="1"/>
    <e v="#N/A"/>
    <x v="2"/>
    <s v="DRY2500017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SG+CO"/>
    <n v="924"/>
    <n v="924"/>
    <m/>
    <n v="0"/>
    <n v="0"/>
    <n v="0"/>
    <n v="3.8699999999999998E-2"/>
    <n v="0"/>
    <m/>
    <n v="0"/>
    <n v="0"/>
  </r>
  <r>
    <x v="436"/>
    <s v="04-2025"/>
    <x v="1"/>
    <e v="#N/A"/>
    <x v="2"/>
    <s v="ขายภายใน"/>
    <s v="MTFS"/>
    <s v="CPFGS"/>
    <s v="ซีพีเอฟ เทรดดิ้ง"/>
    <s v="E+Wonton TY"/>
    <s v="Cooked Wonton"/>
    <s v="Cooked Wonton Tomyum with egg.V-Food TY"/>
    <s v="082S83Q12005P04001"/>
    <s v="115g*12"/>
    <n v="12"/>
    <n v="5"/>
    <n v="8.0000000000000002E-3"/>
    <x v="1"/>
    <s v="STPP"/>
    <s v="TYTB3C 30G"/>
    <n v="400"/>
    <n v="400"/>
    <m/>
    <n v="0"/>
    <n v="0"/>
    <n v="0"/>
    <n v="1"/>
    <n v="0"/>
    <s v="เหลือซอส 33,000 ซอง"/>
    <n v="0"/>
    <n v="0"/>
  </r>
  <r>
    <x v="436"/>
    <s v="03-2025"/>
    <x v="1"/>
    <e v="#N/A"/>
    <x v="2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750"/>
    <n v="750"/>
    <m/>
    <n v="0"/>
    <n v="0"/>
    <n v="0"/>
    <n v="1"/>
    <n v="0"/>
    <m/>
    <n v="0"/>
    <n v="0"/>
  </r>
  <r>
    <x v="436"/>
    <s v="04-2025"/>
    <x v="1"/>
    <e v="#N/A"/>
    <x v="2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500"/>
    <n v="500"/>
    <m/>
    <n v="0"/>
    <n v="0"/>
    <n v="0"/>
    <n v="1"/>
    <n v="0"/>
    <m/>
    <n v="0"/>
    <n v="0"/>
  </r>
  <r>
    <x v="436"/>
    <s v="04-2025"/>
    <x v="1"/>
    <e v="#N/A"/>
    <x v="2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933"/>
    <n v="148"/>
    <n v="785.16666666666663"/>
    <n v="0.16666666666662877"/>
    <n v="0"/>
    <n v="0"/>
    <n v="1"/>
    <n v="0"/>
    <m/>
    <n v="0"/>
    <n v="0"/>
  </r>
  <r>
    <x v="436"/>
    <s v="04-2025"/>
    <x v="1"/>
    <e v="#N/A"/>
    <x v="2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300"/>
    <n v="300"/>
    <m/>
    <n v="0"/>
    <n v="0"/>
    <n v="0"/>
    <n v="7.4999999999999997E-3"/>
    <n v="0"/>
    <m/>
    <n v="0"/>
    <n v="0"/>
  </r>
  <r>
    <x v="436"/>
    <s v="04-2025"/>
    <x v="1"/>
    <e v="#N/A"/>
    <x v="2"/>
    <s v="ขายภายใน"/>
    <s v="MTFS"/>
    <s v="CPFGS"/>
    <s v="ซีพีเอฟ เทรดดิ้ง"/>
    <s v="E+Wonton"/>
    <s v="Cooked Wonton"/>
    <s v="Cooked Wonton  with egg V-Food"/>
    <s v="082S83Q12005P05000"/>
    <s v="145g*12"/>
    <n v="12"/>
    <n v="5"/>
    <n v="8.0000000000000002E-3"/>
    <x v="1"/>
    <s v="STPP"/>
    <s v="Regular"/>
    <n v="12"/>
    <n v="12"/>
    <m/>
    <n v="0"/>
    <n v="0"/>
    <n v="0"/>
    <n v="7.4999999999999997E-3"/>
    <n v="0"/>
    <m/>
    <n v="0"/>
    <n v="0"/>
  </r>
  <r>
    <x v="436"/>
    <s v="04-2025"/>
    <x v="1"/>
    <e v="#N/A"/>
    <x v="2"/>
    <s v="ขายภายใน"/>
    <s v="MTFS"/>
    <s v="CPFGS"/>
    <s v="ซีพีเอฟ เทรดดิ้ง"/>
    <s v="E+Wonton"/>
    <s v="Cooked Wonton"/>
    <s v="Cooked Wonton  with egg V-Food"/>
    <s v="082S83Q12005P05001"/>
    <s v="145g*12"/>
    <n v="12"/>
    <n v="5"/>
    <n v="8.0000000000000002E-3"/>
    <x v="1"/>
    <s v="STPP"/>
    <s v="Regular"/>
    <n v="1000"/>
    <n v="1000"/>
    <m/>
    <n v="0"/>
    <n v="0"/>
    <n v="0"/>
    <n v="7.4999999999999997E-3"/>
    <n v="0"/>
    <m/>
    <n v="0"/>
    <n v="0"/>
  </r>
  <r>
    <x v="436"/>
    <d v="2025-03-21T00:00:00"/>
    <x v="1"/>
    <e v="#N/A"/>
    <x v="2"/>
    <s v="CB003/2568"/>
    <s v="Cambodia"/>
    <s v="Cambodia"/>
    <s v="หจก.คิงฟู้ดส์"/>
    <s v="E+Wonton"/>
    <s v="Cooked Wonton"/>
    <s v="Cooked Wonton With Egg .7-11"/>
    <s v="082S81A24005P04001"/>
    <s v="145g*24"/>
    <n v="24"/>
    <n v="5"/>
    <n v="8.0000000000000002E-3"/>
    <x v="1"/>
    <s v="STPP"/>
    <s v="Regular"/>
    <n v="100"/>
    <n v="100"/>
    <m/>
    <n v="0"/>
    <n v="0"/>
    <n v="0"/>
    <n v="7.4999999999999997E-3"/>
    <n v="0"/>
    <m/>
    <m/>
    <m/>
  </r>
  <r>
    <x v="436"/>
    <s v="04-2025"/>
    <x v="1"/>
    <e v="#N/A"/>
    <x v="2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1495"/>
    <n v="1495"/>
    <m/>
    <n v="0"/>
    <n v="0"/>
    <n v="0"/>
    <n v="7.4999999999999997E-3"/>
    <n v="0"/>
    <m/>
    <n v="0"/>
    <n v="0"/>
  </r>
  <r>
    <x v="437"/>
    <s v="04-2025"/>
    <x v="1"/>
    <e v="#N/A"/>
    <x v="2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400"/>
    <n v="400"/>
    <m/>
    <n v="0"/>
    <n v="0"/>
    <n v="0"/>
    <n v="7.4999999999999997E-3"/>
    <n v="0"/>
    <m/>
    <n v="0"/>
    <n v="0"/>
  </r>
  <r>
    <x v="437"/>
    <s v="04-2025"/>
    <x v="1"/>
    <e v="#N/A"/>
    <x v="2"/>
    <s v="ขายภายใน"/>
    <s v="MTFS"/>
    <s v="CPFGS"/>
    <s v="ซีพีเอฟ เทรดดิ้ง"/>
    <s v="E+Wonton NDE"/>
    <s v="Cooked Wonton"/>
    <s v="Cooked Wonton ND with egg V-Food"/>
    <s v="082SJ3Q12003P07001"/>
    <s v="226g*12"/>
    <n v="12"/>
    <n v="3"/>
    <n v="8.0000000000000002E-3"/>
    <x v="1"/>
    <s v="STPP"/>
    <s v="Regular"/>
    <n v="950"/>
    <n v="950"/>
    <m/>
    <n v="0"/>
    <n v="0"/>
    <n v="0"/>
    <n v="7.4999999999999997E-3"/>
    <n v="0"/>
    <m/>
    <n v="0"/>
    <n v="0"/>
  </r>
  <r>
    <x v="437"/>
    <s v="04-2025"/>
    <x v="1"/>
    <e v="#N/A"/>
    <x v="2"/>
    <s v="ขายภายใน"/>
    <s v="MTFS"/>
    <s v="CPFGS"/>
    <s v="ซีพีเอฟ เทรดดิ้ง"/>
    <s v="E+Wonton+หมาล่า"/>
    <s v="Cooked Wonton"/>
    <s v="เกี๊ยวกุ้งจักรพรรดิซุปหมาล่า (ตรา ซีพี)_MT"/>
    <s v="082S83Q12005P06001"/>
    <s v="143g*12"/>
    <n v="12"/>
    <n v="5"/>
    <n v="6.1999999999999998E-3"/>
    <x v="2"/>
    <s v="STPP"/>
    <s v="หมาล่า"/>
    <n v="700"/>
    <n v="700"/>
    <m/>
    <n v="0"/>
    <n v="0"/>
    <n v="0"/>
    <n v="1.2999999999999999E-2"/>
    <n v="0"/>
    <m/>
    <n v="0"/>
    <n v="0"/>
  </r>
  <r>
    <x v="437"/>
    <d v="2025-03-21T00:00:00"/>
    <x v="1"/>
    <e v="#N/A"/>
    <x v="2"/>
    <s v="CB003/2568"/>
    <s v="Cambodia"/>
    <s v="Cambodia"/>
    <s v="หจก.คิงฟู้ดส์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100"/>
    <n v="100"/>
    <m/>
    <n v="0"/>
    <n v="0"/>
    <n v="0"/>
    <n v="1.2999999999999999E-2"/>
    <n v="0"/>
    <m/>
    <m/>
    <m/>
  </r>
  <r>
    <x v="437"/>
    <s v="04-2025"/>
    <x v="1"/>
    <e v="#N/A"/>
    <x v="2"/>
    <s v="ขายภายใน"/>
    <s v=".7-11"/>
    <s v="CPFGS"/>
    <s v="ซีพีเอฟ เทรดดิ้ง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4700"/>
    <n v="4700"/>
    <m/>
    <n v="0"/>
    <n v="0"/>
    <n v="0"/>
    <n v="1.2999999999999999E-2"/>
    <n v="0"/>
    <m/>
    <n v="0"/>
    <n v="0"/>
  </r>
  <r>
    <x v="438"/>
    <d v="2025-04-01T00:00:00"/>
    <x v="1"/>
    <e v="#N/A"/>
    <x v="2"/>
    <s v="DRY2400433"/>
    <s v="Korea"/>
    <s v="CPFNW"/>
    <s v="Emart"/>
    <s v="Wonton ND"/>
    <s v="Cooked Wonton"/>
    <s v="Cooked Wonton ND No Egg with Pumpkin_x000a_"/>
    <s v="082SJEJ36004P00001"/>
    <s v="239g*6c*6in"/>
    <n v="36"/>
    <n v="4"/>
    <n v="7.4999999999999997E-3"/>
    <x v="1"/>
    <s v="Salt"/>
    <s v="Regular"/>
    <n v="874"/>
    <n v="795"/>
    <n v="79"/>
    <n v="0"/>
    <n v="0"/>
    <n v="0"/>
    <n v="7.4999999999999997E-3"/>
    <n v="0"/>
    <m/>
    <n v="0"/>
    <n v="0"/>
  </r>
  <r>
    <x v="438"/>
    <d v="2025-03-17T00:00:00"/>
    <x v="1"/>
    <e v="#N/A"/>
    <x v="2"/>
    <s v="DRY2500012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42"/>
    <m/>
    <n v="42"/>
    <n v="0"/>
    <n v="0"/>
    <n v="0"/>
    <n v="7.4999999999999997E-3"/>
    <n v="0"/>
    <s v="รอเปลี่ยนNEWPACKAGE"/>
    <n v="0"/>
    <n v="0"/>
  </r>
  <r>
    <x v="438"/>
    <d v="2025-04-03T00:00:00"/>
    <x v="1"/>
    <e v="#N/A"/>
    <x v="2"/>
    <s v="DRY2500048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n v="0"/>
    <n v="7.4999999999999997E-3"/>
    <n v="0"/>
    <s v="รอเปลี่ยนNEWPACKAGE"/>
    <n v="0"/>
    <n v="0"/>
  </r>
  <r>
    <x v="438"/>
    <d v="2025-04-02T00:00:00"/>
    <x v="1"/>
    <e v="#N/A"/>
    <x v="2"/>
    <s v="DRY2500064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545"/>
    <n v="545"/>
    <m/>
    <n v="0"/>
    <n v="0"/>
    <n v="0"/>
    <n v="7.4999999999999997E-3"/>
    <n v="0"/>
    <m/>
    <n v="0"/>
    <n v="0"/>
  </r>
  <r>
    <x v="438"/>
    <s v="04-2025"/>
    <x v="1"/>
    <e v="#N/A"/>
    <x v="2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2520"/>
    <n v="2520"/>
    <m/>
    <n v="0"/>
    <n v="0"/>
    <n v="0"/>
    <n v="7.4999999999999997E-3"/>
    <n v="0"/>
    <m/>
    <n v="0"/>
    <n v="0"/>
  </r>
  <r>
    <x v="439"/>
    <s v="03-2025"/>
    <x v="1"/>
    <e v="#N/A"/>
    <x v="2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2946"/>
    <n v="2946"/>
    <m/>
    <n v="0"/>
    <n v="0"/>
    <n v="0"/>
    <n v="7.4999999999999997E-3"/>
    <n v="0"/>
    <m/>
    <n v="0"/>
    <n v="0"/>
  </r>
  <r>
    <x v="439"/>
    <s v="04-2025"/>
    <x v="1"/>
    <e v="#N/A"/>
    <x v="2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793"/>
    <n v="793"/>
    <m/>
    <n v="0"/>
    <n v="0"/>
    <n v="0"/>
    <n v="7.4999999999999997E-3"/>
    <n v="0"/>
    <m/>
    <n v="0"/>
    <n v="0"/>
  </r>
  <r>
    <x v="439"/>
    <d v="2025-04-02T00:00:00"/>
    <x v="1"/>
    <e v="#N/A"/>
    <x v="2"/>
    <s v="DRY2500063"/>
    <s v="USA"/>
    <s v="CPFNW"/>
    <s v="Bellisio Foods, Inc."/>
    <s v="Minced WT"/>
    <s v="Cooked Wonton"/>
    <s v="Cooked Minced Wonton Soup No Egg"/>
    <s v="082SKBW36005P00001"/>
    <s v="145g*6c*6"/>
    <n v="36"/>
    <n v="5"/>
    <n v="6.0000000000000001E-3"/>
    <x v="4"/>
    <s v="Salt"/>
    <s v="Regular"/>
    <n v="300"/>
    <n v="300"/>
    <m/>
    <n v="0"/>
    <n v="0"/>
    <n v="0"/>
    <n v="7.4999999999999997E-3"/>
    <n v="0"/>
    <m/>
    <n v="0"/>
    <n v="0"/>
  </r>
  <r>
    <x v="439"/>
    <d v="2025-04-02T00:00:00"/>
    <x v="1"/>
    <e v="#N/A"/>
    <x v="2"/>
    <s v="DRY2500064"/>
    <s v="USA"/>
    <s v="CPFNW"/>
    <s v="Bellisio Foods, Inc."/>
    <s v="Minced WT"/>
    <s v="Cooked Wonton"/>
    <s v="Cooked Minced Wonton Soup No Egg"/>
    <s v="082SKBW36005P00001"/>
    <s v="145g*6c*6"/>
    <n v="36"/>
    <n v="5"/>
    <n v="6.0000000000000001E-3"/>
    <x v="4"/>
    <s v="Salt"/>
    <s v="Regular"/>
    <n v="450"/>
    <n v="305"/>
    <n v="145"/>
    <n v="0"/>
    <n v="0"/>
    <n v="0"/>
    <n v="7.4999999999999997E-3"/>
    <n v="0"/>
    <m/>
    <n v="0"/>
    <n v="0"/>
  </r>
  <r>
    <x v="439"/>
    <d v="2025-04-03T00:00:00"/>
    <x v="1"/>
    <e v="#N/A"/>
    <x v="2"/>
    <s v="DRY2500040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22"/>
    <n v="70.277777777777771"/>
    <n v="0.27777777777782831"/>
    <n v="0"/>
    <n v="0"/>
    <n v="7.4999999999999997E-3"/>
    <n v="0"/>
    <m/>
    <n v="0"/>
    <n v="0"/>
  </r>
  <r>
    <x v="440"/>
    <m/>
    <x v="1"/>
    <e v="#N/A"/>
    <x v="2"/>
    <m/>
    <m/>
    <m/>
    <m/>
    <m/>
    <m/>
    <m/>
    <m/>
    <m/>
    <m/>
    <m/>
    <m/>
    <x v="0"/>
    <m/>
    <m/>
    <m/>
    <m/>
    <m/>
    <m/>
    <m/>
    <n v="0"/>
    <m/>
    <n v="0"/>
    <m/>
    <m/>
    <m/>
  </r>
  <r>
    <x v="441"/>
    <d v="2025-03-25T00:00:00"/>
    <x v="1"/>
    <e v="#N/A"/>
    <x v="2"/>
    <s v="KL2500009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n v="0"/>
    <n v="0"/>
  </r>
  <r>
    <x v="441"/>
    <s v="04-2025"/>
    <x v="1"/>
    <e v="#N/A"/>
    <x v="2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211"/>
    <n v="211"/>
    <m/>
    <n v="0"/>
    <n v="0"/>
    <n v="0"/>
    <m/>
    <n v="0"/>
    <m/>
    <n v="0"/>
    <n v="0"/>
  </r>
  <r>
    <x v="442"/>
    <d v="2025-03-27T00:00:00"/>
    <x v="1"/>
    <e v="#N/A"/>
    <x v="2"/>
    <s v="KL2500007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n v="0"/>
    <n v="0"/>
  </r>
  <r>
    <x v="442"/>
    <s v="04-2025"/>
    <x v="1"/>
    <e v="#N/A"/>
    <x v="2"/>
    <s v="ขายภายใน"/>
    <s v="ขายภายใน"/>
    <s v="CPFGS"/>
    <s v="ซีพีเอฟ เทรดดิ้ง"/>
    <s v="R-Wonton egg past"/>
    <s v="Raw Wonton"/>
    <s v="Raw Wonton 50 pcs OISHI"/>
    <s v="082S01508600G01001"/>
    <s v="600g.*8 packs"/>
    <n v="8"/>
    <n v="50"/>
    <n v="8.1300000000000001E-3"/>
    <x v="1"/>
    <s v="STPP"/>
    <m/>
    <n v="200"/>
    <n v="200"/>
    <m/>
    <n v="0"/>
    <n v="0"/>
    <n v="0"/>
    <m/>
    <n v="0"/>
    <s v="โหลดไม่รอผลเชื้อ  มีบันทึกจากฝ่ายขาย"/>
    <m/>
    <m/>
  </r>
  <r>
    <x v="442"/>
    <s v="04-2025"/>
    <x v="1"/>
    <e v="#N/A"/>
    <x v="2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177"/>
    <n v="177"/>
    <m/>
    <n v="0"/>
    <n v="0"/>
    <n v="0"/>
    <m/>
    <n v="0"/>
    <m/>
    <n v="0"/>
    <n v="0"/>
  </r>
  <r>
    <x v="443"/>
    <d v="2025-03-27T00:00:00"/>
    <x v="1"/>
    <e v="#N/A"/>
    <x v="2"/>
    <s v="KL2500010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n v="0"/>
    <n v="0"/>
  </r>
  <r>
    <x v="444"/>
    <d v="2025-04-07T00:00:00"/>
    <x v="1"/>
    <e v="#N/A"/>
    <x v="2"/>
    <s v="DRY2400750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57"/>
    <n v="31"/>
    <n v="0"/>
    <n v="0"/>
    <n v="0"/>
    <n v="7.4999999999999997E-3"/>
    <n v="0"/>
    <s v="รอเปลี่ยนNEWPACKAGE/ถ้าว,ฝา สีขาว"/>
    <n v="0"/>
    <n v="0"/>
  </r>
  <r>
    <x v="444"/>
    <d v="2025-04-03T00:00:00"/>
    <x v="1"/>
    <e v="#N/A"/>
    <x v="2"/>
    <s v="DRY2500074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889"/>
    <n v="889"/>
    <m/>
    <n v="0"/>
    <n v="0"/>
    <n v="0"/>
    <n v="7.4999999999999997E-3"/>
    <n v="0"/>
    <m/>
    <n v="0"/>
    <n v="0"/>
  </r>
  <r>
    <x v="444"/>
    <d v="2025-03-31T00:00:00"/>
    <x v="1"/>
    <e v="#N/A"/>
    <x v="2"/>
    <s v="KL2500008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732"/>
    <n v="732"/>
    <m/>
    <n v="0"/>
    <n v="0"/>
    <n v="0"/>
    <n v="6"/>
    <n v="0"/>
    <m/>
    <n v="0"/>
    <n v="0"/>
  </r>
  <r>
    <x v="444"/>
    <s v="04-2025"/>
    <x v="1"/>
    <e v="#N/A"/>
    <x v="2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49"/>
    <n v="49"/>
    <m/>
    <n v="0"/>
    <n v="0"/>
    <n v="0"/>
    <m/>
    <n v="0"/>
    <m/>
    <n v="0"/>
    <n v="0"/>
  </r>
  <r>
    <x v="445"/>
    <d v="2025-04-03T00:00:00"/>
    <x v="1"/>
    <e v="#N/A"/>
    <x v="2"/>
    <s v="DRY2500074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399"/>
    <n v="399"/>
    <m/>
    <n v="0"/>
    <n v="0"/>
    <n v="0"/>
    <n v="7.4999999999999997E-3"/>
    <n v="0"/>
    <m/>
    <n v="0"/>
    <n v="0"/>
  </r>
  <r>
    <x v="445"/>
    <d v="2025-04-03T00:00:00"/>
    <x v="1"/>
    <e v="#N/A"/>
    <x v="2"/>
    <s v="DRY2500075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88"/>
    <m/>
    <n v="0"/>
    <n v="0"/>
    <n v="0"/>
    <n v="7.4999999999999997E-3"/>
    <n v="0"/>
    <m/>
    <n v="0"/>
    <n v="0"/>
  </r>
  <r>
    <x v="445"/>
    <d v="2025-04-03T00:00:00"/>
    <x v="1"/>
    <e v="#N/A"/>
    <x v="2"/>
    <s v="DRY2500049"/>
    <s v="New Zealand"/>
    <s v="CPFNW"/>
    <s v="Lim Brothers"/>
    <s v="Minced ND+V+TK"/>
    <s v="Cooked Wonton"/>
    <s v="Cooked Minced  ND No Egg with Pumpkin_x000a_+ Yu Choy Tomkha"/>
    <s v="082SRN708003P01001"/>
    <s v="302g*8"/>
    <n v="8"/>
    <n v="3"/>
    <n v="6.0000000000000001E-3"/>
    <x v="4"/>
    <s v="Salt"/>
    <s v="Tomkha+CM"/>
    <n v="864"/>
    <m/>
    <n v="899.25"/>
    <n v="35.25"/>
    <n v="0"/>
    <n v="0"/>
    <n v="5.8999999999999997E-2"/>
    <n v="0"/>
    <s v="309 ถ้วยสำรองของ Germany  082SR3N12003P01000"/>
    <n v="0"/>
    <n v="0"/>
  </r>
  <r>
    <x v="445"/>
    <d v="2025-03-31T00:00:00"/>
    <x v="1"/>
    <e v="#N/A"/>
    <x v="2"/>
    <s v="KL2500008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676"/>
    <n v="676"/>
    <m/>
    <n v="0"/>
    <n v="0"/>
    <n v="0"/>
    <n v="6"/>
    <n v="0"/>
    <m/>
    <n v="0"/>
    <n v="0"/>
  </r>
  <r>
    <x v="446"/>
    <d v="2025-04-03T00:00:00"/>
    <x v="1"/>
    <e v="#N/A"/>
    <x v="2"/>
    <s v="DRY2500049"/>
    <s v="New Zealand"/>
    <s v="CPFNW"/>
    <s v="Lim Brothers"/>
    <s v="C-Minced WT in tray no egg"/>
    <s v="Cooked Wonton"/>
    <s v="Cooked Minced Wonton in Tray 6 pcs + Sesame Sauce"/>
    <s v="082SKN716006P00001"/>
    <s v="117*2tray*8in"/>
    <n v="16"/>
    <n v="6"/>
    <n v="8.1300000000000001E-3"/>
    <x v="4"/>
    <s v="Salt"/>
    <s v=" Sesame 15g"/>
    <n v="372"/>
    <n v="372"/>
    <m/>
    <n v="0"/>
    <n v="0"/>
    <n v="0"/>
    <n v="1"/>
    <n v="0"/>
    <s v="cap 3000 tray/hr. อื่น 8,300 ถ้วย"/>
    <n v="0"/>
    <n v="0"/>
  </r>
  <r>
    <x v="446"/>
    <d v="2025-04-03T00:00:00"/>
    <x v="1"/>
    <e v="#N/A"/>
    <x v="2"/>
    <s v="DRY2500049"/>
    <s v="New Zealand"/>
    <s v="CPFNW"/>
    <s v="Lim Brothers"/>
    <s v="Minced ND+Kee Mao"/>
    <s v="Cooked Wonton"/>
    <s v="Cooked Minced Wonton Thai Spicy Noodles (Kee Mao Noodles)"/>
    <s v="082SRN708003P02001"/>
    <s v="219g*8"/>
    <n v="8"/>
    <n v="3"/>
    <n v="6.0000000000000001E-3"/>
    <x v="4"/>
    <s v="Salt"/>
    <s v="Kee Mao 50G."/>
    <n v="150"/>
    <m/>
    <n v="184.875"/>
    <n v="34.875"/>
    <n v="0"/>
    <n v="0"/>
    <n v="1"/>
    <n v="0"/>
    <s v="NEWPACKAGE"/>
    <n v="0"/>
    <n v="0"/>
  </r>
  <r>
    <x v="446"/>
    <d v="2025-04-03T00:00:00"/>
    <x v="1"/>
    <e v="#N/A"/>
    <x v="2"/>
    <s v="DRY2500049"/>
    <s v="New Zealand"/>
    <s v="CPFNW"/>
    <s v="Lim Brothers"/>
    <s v="Wonton ND+V"/>
    <s v="Cooked Wonton"/>
    <s v="Cooked Wonton ND No Egg with Pumpkin_x000a_+ Yu Choy "/>
    <s v="082SJN708004P00001"/>
    <s v="305g*8"/>
    <n v="8"/>
    <n v="4"/>
    <n v="7.4999999999999997E-3"/>
    <x v="5"/>
    <s v="Salt"/>
    <s v="Regular"/>
    <n v="1296"/>
    <m/>
    <n v="1328.75"/>
    <n v="32.75"/>
    <n v="0"/>
    <n v="0"/>
    <n v="7.4999999999999997E-3"/>
    <n v="0"/>
    <m/>
    <n v="0"/>
    <n v="0"/>
  </r>
  <r>
    <x v="446"/>
    <d v="2025-04-10T00:00:00"/>
    <x v="1"/>
    <e v="#N/A"/>
    <x v="2"/>
    <s v="DRY2500062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53"/>
    <n v="39.388888888888886"/>
    <n v="0.38888888888891415"/>
    <n v="0"/>
    <n v="0"/>
    <n v="7.4999999999999997E-3"/>
    <n v="0"/>
    <m/>
    <n v="0"/>
    <n v="0"/>
  </r>
  <r>
    <x v="446"/>
    <d v="2025-04-17T00:00:00"/>
    <x v="1"/>
    <e v="#N/A"/>
    <x v="2"/>
    <s v="DRY2500065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474"/>
    <n v="318"/>
    <n v="0"/>
    <n v="0"/>
    <n v="0"/>
    <n v="7.4999999999999997E-3"/>
    <n v="0"/>
    <m/>
    <n v="0"/>
    <n v="0"/>
  </r>
  <r>
    <x v="446"/>
    <d v="2025-04-08T00:00:00"/>
    <x v="1"/>
    <e v="#N/A"/>
    <x v="2"/>
    <s v="DRY2500003"/>
    <s v="UK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SG+CO"/>
    <n v="924"/>
    <n v="89"/>
    <n v="870.83333333333337"/>
    <n v="35.833333333333371"/>
    <n v="0"/>
    <n v="0"/>
    <n v="3.8699999999999998E-2"/>
    <n v="0"/>
    <s v="รอเปลี่ยนNEWPACKAGE/ถ้าว,ฝา สีขาว"/>
    <n v="0"/>
    <n v="0"/>
  </r>
  <r>
    <x v="446"/>
    <d v="2025-04-08T00:00:00"/>
    <x v="1"/>
    <e v="#N/A"/>
    <x v="2"/>
    <s v="DRY2500006"/>
    <s v="Netherlands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SG+CO"/>
    <n v="924"/>
    <m/>
    <n v="924"/>
    <n v="0"/>
    <n v="0"/>
    <n v="0"/>
    <n v="3.8699999999999998E-2"/>
    <n v="0"/>
    <s v="รอเปลี่ยนNEWPACKAGE/ถ้าว,ฝา สีขาว"/>
    <n v="0"/>
    <n v="0"/>
  </r>
  <r>
    <x v="446"/>
    <d v="2025-04-03T00:00:00"/>
    <x v="1"/>
    <e v="#N/A"/>
    <x v="2"/>
    <s v="DRY2500049"/>
    <s v="New Zealand"/>
    <s v="CPFNW"/>
    <s v="Lim Brothers"/>
    <s v="Minced ND+V+TY"/>
    <s v="Cooked Wonton"/>
    <s v="Cooked Minced  ND No Egg with Pumpkin_x000a_+ Yu Choy Tomyum"/>
    <s v="082SRN708003P00001"/>
    <s v="302g*8"/>
    <n v="8"/>
    <n v="3"/>
    <n v="6.0000000000000001E-3"/>
    <x v="4"/>
    <s v="Salt"/>
    <s v="TYEXSG+CO"/>
    <n v="756"/>
    <m/>
    <n v="983.75"/>
    <n v="227.75"/>
    <n v="0"/>
    <n v="0"/>
    <n v="3.8699999999999998E-2"/>
    <n v="0"/>
    <s v="2021 ถ้วยสำรองของ Germany  082SR3N12003P00000"/>
    <n v="0"/>
    <n v="0"/>
  </r>
  <r>
    <x v="447"/>
    <m/>
    <x v="1"/>
    <e v="#N/A"/>
    <x v="2"/>
    <m/>
    <m/>
    <m/>
    <m/>
    <m/>
    <m/>
    <m/>
    <m/>
    <m/>
    <m/>
    <m/>
    <m/>
    <x v="0"/>
    <m/>
    <m/>
    <m/>
    <m/>
    <m/>
    <m/>
    <m/>
    <n v="0"/>
    <m/>
    <n v="0"/>
    <m/>
    <m/>
    <m/>
  </r>
  <r>
    <x v="448"/>
    <d v="2025-04-07T00:00:00"/>
    <x v="1"/>
    <e v="#N/A"/>
    <x v="2"/>
    <s v="DRY2500055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588"/>
    <n v="581"/>
    <n v="7"/>
    <n v="0"/>
    <n v="0"/>
    <n v="0"/>
    <n v="2"/>
    <n v="0"/>
    <m/>
    <n v="0"/>
    <n v="0"/>
  </r>
  <r>
    <x v="448"/>
    <d v="2025-04-07T00:00:00"/>
    <x v="1"/>
    <e v="#N/A"/>
    <x v="2"/>
    <s v="DRY2500056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700"/>
    <n v="700"/>
    <m/>
    <n v="0"/>
    <n v="0"/>
    <n v="0"/>
    <n v="6"/>
    <n v="0"/>
    <m/>
    <n v="0"/>
    <n v="0"/>
  </r>
  <r>
    <x v="449"/>
    <d v="2025-04-07T00:00:00"/>
    <x v="1"/>
    <e v="#N/A"/>
    <x v="2"/>
    <s v="DRY2500055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553"/>
    <n v="553"/>
    <m/>
    <n v="0"/>
    <n v="0"/>
    <n v="0"/>
    <n v="2"/>
    <n v="0"/>
    <m/>
    <n v="0"/>
    <n v="0"/>
  </r>
  <r>
    <x v="449"/>
    <d v="2025-04-07T00:00:00"/>
    <x v="1"/>
    <e v="#N/A"/>
    <x v="2"/>
    <s v="DRY2500056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85"/>
    <n v="685"/>
    <m/>
    <n v="0"/>
    <n v="0"/>
    <n v="0"/>
    <n v="6"/>
    <n v="0"/>
    <m/>
    <n v="0"/>
    <n v="0"/>
  </r>
  <r>
    <x v="450"/>
    <d v="2025-04-07T00:00:00"/>
    <x v="1"/>
    <e v="#N/A"/>
    <x v="2"/>
    <s v="DRY2500082"/>
    <s v="Korea"/>
    <s v="CPFNW"/>
    <s v="Consumer Package Commerce"/>
    <s v="Wonton"/>
    <s v="Cooked Wonton"/>
    <s v="Wonton Soup  (Enriched wonton sheet)"/>
    <s v="082S83U36005P00001"/>
    <s v="145g*6c*6in"/>
    <n v="36"/>
    <n v="5"/>
    <n v="7.4999999999999997E-3"/>
    <x v="5"/>
    <s v="Salt"/>
    <s v="Y3"/>
    <n v="200"/>
    <n v="200"/>
    <m/>
    <n v="0"/>
    <n v="0"/>
    <n v="0"/>
    <n v="9.7000000000000003E-3"/>
    <n v="0"/>
    <s v="PACKAGE CAN / STK"/>
    <n v="0"/>
    <n v="0"/>
  </r>
  <r>
    <x v="450"/>
    <d v="2025-04-05T00:00:00"/>
    <x v="1"/>
    <e v="#N/A"/>
    <x v="2"/>
    <s v="DRY2500050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936"/>
    <n v="936"/>
    <m/>
    <n v="0"/>
    <n v="0"/>
    <n v="0"/>
    <n v="9.7000000000000003E-3"/>
    <n v="0"/>
    <m/>
    <n v="0"/>
    <n v="0"/>
  </r>
  <r>
    <x v="450"/>
    <d v="2025-04-05T00:00:00"/>
    <x v="1"/>
    <e v="#N/A"/>
    <x v="2"/>
    <s v="DRY2500051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837"/>
    <n v="837"/>
    <m/>
    <n v="0"/>
    <n v="0"/>
    <n v="0"/>
    <n v="9.7000000000000003E-3"/>
    <n v="0"/>
    <m/>
    <n v="0"/>
    <n v="0"/>
  </r>
  <r>
    <x v="450"/>
    <d v="2025-04-07T00:00:00"/>
    <x v="1"/>
    <e v="#N/A"/>
    <x v="2"/>
    <s v="DRY2400820"/>
    <s v="Taiwan"/>
    <s v="CPFNW"/>
    <s v="CP TAIWAN"/>
    <s v="Wonton+TY"/>
    <s v="Cooked Wonton"/>
    <s v="Wonton Soup  (Enriched wonton sheet)"/>
    <s v="082S83R36005P00001"/>
    <s v="147g*6c*6in"/>
    <n v="36"/>
    <n v="5"/>
    <n v="7.4999999999999997E-3"/>
    <x v="1"/>
    <s v="Salt"/>
    <s v="TYEXSG+CO"/>
    <n v="1288"/>
    <n v="1288"/>
    <m/>
    <n v="0"/>
    <n v="0"/>
    <n v="0"/>
    <n v="2.2419999999999999E-2"/>
    <n v="0"/>
    <s v="PACKAGE USA  / STK"/>
    <n v="0"/>
    <n v="0"/>
  </r>
  <r>
    <x v="450"/>
    <d v="2025-04-07T00:00:00"/>
    <x v="1"/>
    <e v="#N/A"/>
    <x v="2"/>
    <s v="DRY2500082"/>
    <s v="Korea"/>
    <s v="CPFNW"/>
    <s v="Consumer Package Commerce"/>
    <s v="Wonton+TY"/>
    <s v="Cooked Wonton"/>
    <s v="Wonton Soup  (Enriched wonton sheet) tom yum"/>
    <s v="082S83U36005P01001"/>
    <s v="147g*6c*6in"/>
    <n v="36"/>
    <n v="5"/>
    <n v="7.4999999999999997E-3"/>
    <x v="1"/>
    <s v="Salt"/>
    <s v="TYEXSG+CO"/>
    <n v="250"/>
    <n v="250"/>
    <n v="5.0277777777777777"/>
    <n v="5.0277777777777715"/>
    <n v="0"/>
    <n v="0"/>
    <n v="2.2419999999999999E-2"/>
    <n v="0"/>
    <s v="PACKAGE USA  / STK"/>
    <n v="0"/>
    <n v="0"/>
  </r>
  <r>
    <x v="450"/>
    <d v="2025-04-28T00:00:00"/>
    <x v="1"/>
    <e v="#N/A"/>
    <x v="2"/>
    <s v="DRY2500093"/>
    <s v="Belgium"/>
    <s v="CPFNW"/>
    <s v="CPF EUROPE S.A."/>
    <s v="Wonton+TY"/>
    <s v="Cooked Wonton"/>
    <s v="Cooked Wonton  No Egg _x000a_+ 4 pcs"/>
    <s v="082S83I08004P01001"/>
    <s v="129g*8"/>
    <n v="8"/>
    <n v="4"/>
    <n v="8.1300000000000001E-3"/>
    <x v="1"/>
    <s v="Salt"/>
    <s v="TYEXSG+CO"/>
    <n v="1360"/>
    <m/>
    <n v="1501.375"/>
    <n v="141.375"/>
    <n v="0"/>
    <n v="0"/>
    <n v="2.2419999999999999E-2"/>
    <n v="0"/>
    <m/>
    <n v="0"/>
    <n v="0"/>
  </r>
  <r>
    <x v="451"/>
    <d v="2025-04-07T00:00:00"/>
    <x v="1"/>
    <e v="#N/A"/>
    <x v="2"/>
    <s v="DRY2500055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483"/>
    <n v="483"/>
    <m/>
    <n v="0"/>
    <n v="0"/>
    <n v="0"/>
    <n v="2"/>
    <n v="0"/>
    <m/>
    <n v="0"/>
    <n v="0"/>
  </r>
  <r>
    <x v="451"/>
    <d v="2025-04-21T00:00:00"/>
    <x v="1"/>
    <e v="#N/A"/>
    <x v="2"/>
    <s v="DRY2500057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168"/>
    <n v="168"/>
    <m/>
    <n v="0"/>
    <n v="0"/>
    <n v="0"/>
    <n v="2"/>
    <n v="0"/>
    <m/>
    <n v="0"/>
    <n v="0"/>
  </r>
  <r>
    <x v="451"/>
    <d v="2025-04-07T00:00:00"/>
    <x v="1"/>
    <e v="#N/A"/>
    <x v="2"/>
    <s v="DRY2500056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71"/>
    <n v="671"/>
    <m/>
    <n v="0"/>
    <n v="0"/>
    <n v="0"/>
    <n v="6"/>
    <n v="0"/>
    <m/>
    <n v="0"/>
    <n v="0"/>
  </r>
  <r>
    <x v="452"/>
    <d v="2025-04-21T00:00:00"/>
    <x v="1"/>
    <e v="#N/A"/>
    <x v="2"/>
    <s v="DRY2500057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1287"/>
    <n v="1287"/>
    <m/>
    <n v="0"/>
    <n v="0"/>
    <n v="0"/>
    <n v="2"/>
    <n v="0"/>
    <m/>
    <n v="0"/>
    <n v="0"/>
  </r>
  <r>
    <x v="453"/>
    <d v="2025-04-05T00:00:00"/>
    <x v="1"/>
    <e v="#N/A"/>
    <x v="2"/>
    <s v="DRY2500051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451"/>
    <n v="451"/>
    <m/>
    <n v="0"/>
    <n v="0"/>
    <n v="0"/>
    <n v="9.7000000000000003E-3"/>
    <n v="0"/>
    <m/>
    <n v="0"/>
    <n v="0"/>
  </r>
  <r>
    <x v="453"/>
    <d v="2025-04-19T00:00:00"/>
    <x v="1"/>
    <e v="#N/A"/>
    <x v="2"/>
    <s v="DRY2500054"/>
    <s v="CAN "/>
    <s v="CPFNW "/>
    <s v="CP Foods Canada,Inc (CPFC)"/>
    <s v="Wonton"/>
    <s v="Cooked Wonton"/>
    <s v="Wonton Soup  (Enriched wonton sheet)"/>
    <s v="082S85336005P00001"/>
    <s v="145g*6c*6in"/>
    <n v="36"/>
    <n v="5"/>
    <n v="7.4999999999999997E-3"/>
    <x v="5"/>
    <s v="Salt"/>
    <s v="Y3"/>
    <n v="1288"/>
    <n v="1055"/>
    <n v="233.08333333333334"/>
    <n v="8.3333333333257542E-2"/>
    <n v="0"/>
    <n v="0"/>
    <n v="9.7000000000000003E-3"/>
    <n v="0"/>
    <m/>
    <n v="0"/>
    <n v="0"/>
  </r>
  <r>
    <x v="453"/>
    <d v="2025-04-08T00:00:00"/>
    <x v="1"/>
    <e v="#N/A"/>
    <x v="2"/>
    <s v="DRY2500090"/>
    <s v="UK"/>
    <s v="CPFNW"/>
    <s v="Westbridge Foods Limited (One UK)"/>
    <s v="Minced ND"/>
    <s v="Cooked Wonton"/>
    <s v="Cooked Minced Wonton Noodle No Egg"/>
    <s v="082SRWE24005P00001"/>
    <s v="258g*4c*6in"/>
    <n v="24"/>
    <n v="5"/>
    <n v="6.0000000000000001E-3"/>
    <x v="4"/>
    <s v="Salt"/>
    <s v="Regular"/>
    <n v="1176"/>
    <n v="779"/>
    <n v="490.54166666666669"/>
    <n v="93.541666666666742"/>
    <n v="0"/>
    <n v="0"/>
    <n v="7.4999999999999997E-3"/>
    <n v="0"/>
    <m/>
    <n v="0"/>
    <n v="0"/>
  </r>
  <r>
    <x v="453"/>
    <d v="2025-04-24T00:00:00"/>
    <x v="1"/>
    <e v="#N/A"/>
    <x v="2"/>
    <s v="DRY2500083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SG+CO"/>
    <n v="924"/>
    <n v="881"/>
    <n v="111.29166666666667"/>
    <n v="68.291666666666629"/>
    <n v="0"/>
    <n v="0"/>
    <n v="3.8699999999999998E-2"/>
    <n v="0"/>
    <m/>
    <n v="0"/>
    <n v="0"/>
  </r>
  <r>
    <x v="453"/>
    <d v="2025-04-08T00:00:00"/>
    <x v="1"/>
    <e v="#N/A"/>
    <x v="2"/>
    <s v="DRY2500101"/>
    <s v="Netherlands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SG+CO"/>
    <n v="924"/>
    <n v="127"/>
    <n v="825.875"/>
    <n v="28.875"/>
    <n v="0"/>
    <n v="0"/>
    <n v="3.8699999999999998E-2"/>
    <n v="0"/>
    <m/>
    <n v="0"/>
    <n v="0"/>
  </r>
  <r>
    <x v="454"/>
    <m/>
    <x v="1"/>
    <e v="#N/A"/>
    <x v="2"/>
    <m/>
    <m/>
    <m/>
    <m/>
    <m/>
    <m/>
    <m/>
    <m/>
    <m/>
    <m/>
    <m/>
    <m/>
    <x v="0"/>
    <m/>
    <m/>
    <m/>
    <m/>
    <m/>
    <m/>
    <m/>
    <n v="0"/>
    <m/>
    <n v="0"/>
    <m/>
    <m/>
    <m/>
  </r>
  <r>
    <x v="455"/>
    <s v="04-2025"/>
    <x v="1"/>
    <e v="#N/A"/>
    <x v="2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6678"/>
    <n v="6678"/>
    <m/>
    <n v="0"/>
    <n v="0"/>
    <n v="0"/>
    <n v="7.4999999999999997E-3"/>
    <n v="0"/>
    <m/>
    <n v="0"/>
    <n v="0"/>
  </r>
  <r>
    <x v="456"/>
    <d v="2025-04-10T00:00:00"/>
    <x v="1"/>
    <e v="#N/A"/>
    <x v="3"/>
    <s v="KL2500013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n v="0"/>
    <n v="0"/>
  </r>
  <r>
    <x v="456"/>
    <d v="2025-04-21T00:00:00"/>
    <x v="1"/>
    <e v="#N/A"/>
    <x v="3"/>
    <s v="DRY2500057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169"/>
    <n v="169"/>
    <m/>
    <n v="0"/>
    <n v="0"/>
    <n v="0"/>
    <n v="2"/>
    <n v="0"/>
    <m/>
    <n v="0"/>
    <n v="0"/>
  </r>
  <r>
    <x v="457"/>
    <d v="2025-04-10T00:00:00"/>
    <x v="1"/>
    <e v="#N/A"/>
    <x v="3"/>
    <s v="KL2500011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n v="0"/>
    <n v="0"/>
  </r>
  <r>
    <x v="457"/>
    <d v="2025-04-28T00:00:00"/>
    <x v="1"/>
    <e v="#N/A"/>
    <x v="3"/>
    <s v="DRY2500093"/>
    <s v="Belgium"/>
    <s v="CPFNW"/>
    <s v="CPF EUROPE S.A."/>
    <s v="R-Wonton no egg"/>
    <s v="Raw Wonton"/>
    <s v="Raw Wonton 50 pcs"/>
    <s v="082I93I10050P02001"/>
    <s v="630g*10inner"/>
    <n v="10"/>
    <n v="50"/>
    <n v="8.1300000000000001E-3"/>
    <x v="1"/>
    <s v="Salt"/>
    <s v="ซุปซอง 5g."/>
    <n v="179"/>
    <m/>
    <n v="179"/>
    <n v="0"/>
    <n v="0"/>
    <n v="0"/>
    <n v="6"/>
    <n v="0"/>
    <m/>
    <n v="0"/>
    <n v="0"/>
  </r>
  <r>
    <x v="458"/>
    <d v="2025-04-11T00:00:00"/>
    <x v="1"/>
    <e v="#N/A"/>
    <x v="3"/>
    <s v="KL2500014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222"/>
    <n v="1222"/>
    <m/>
    <n v="0"/>
    <n v="0"/>
    <n v="0"/>
    <n v="6"/>
    <n v="0"/>
    <m/>
    <n v="0"/>
    <n v="0"/>
  </r>
  <r>
    <x v="458"/>
    <d v="2025-04-28T00:00:00"/>
    <x v="1"/>
    <e v="#N/A"/>
    <x v="3"/>
    <s v="DRY2500093"/>
    <s v="Belgium"/>
    <s v="CPFNW"/>
    <s v="CPF EUROPE S.A."/>
    <s v="R-Wonton no egg"/>
    <s v="Raw Wonton"/>
    <s v="Raw Wonton 50 pcs"/>
    <s v="082I93I10050P02001"/>
    <s v="630g*10inner"/>
    <n v="10"/>
    <n v="50"/>
    <n v="8.1300000000000001E-3"/>
    <x v="1"/>
    <s v="Salt"/>
    <s v="ซุปซอง 5g."/>
    <n v="321"/>
    <m/>
    <n v="337"/>
    <n v="16"/>
    <n v="0"/>
    <n v="0"/>
    <n v="6"/>
    <n v="0"/>
    <m/>
    <n v="0"/>
    <n v="0"/>
  </r>
  <r>
    <x v="459"/>
    <d v="2025-04-23T00:00:00"/>
    <x v="1"/>
    <e v="#N/A"/>
    <x v="3"/>
    <s v="DRY2500070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n v="0"/>
    <n v="7.4999999999999997E-3"/>
    <n v="0"/>
    <s v="รอเปลี่ยนNEWPACKAGE"/>
    <n v="0"/>
    <n v="0"/>
  </r>
  <r>
    <x v="459"/>
    <s v="04-2025"/>
    <x v="1"/>
    <e v="#N/A"/>
    <x v="3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4638"/>
    <n v="4638"/>
    <m/>
    <n v="0"/>
    <n v="0"/>
    <n v="0"/>
    <n v="7.4999999999999997E-3"/>
    <n v="0"/>
    <m/>
    <n v="0"/>
    <n v="0"/>
  </r>
  <r>
    <x v="460"/>
    <s v="04-2025"/>
    <x v="1"/>
    <e v="#N/A"/>
    <x v="3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1125"/>
    <n v="1125"/>
    <m/>
    <n v="0"/>
    <n v="0"/>
    <n v="0"/>
    <n v="7.4999999999999997E-3"/>
    <n v="0"/>
    <m/>
    <n v="0"/>
    <n v="0"/>
  </r>
  <r>
    <x v="460"/>
    <d v="2025-04-24T00:00:00"/>
    <x v="1"/>
    <e v="#N/A"/>
    <x v="3"/>
    <s v="DRY2500047"/>
    <s v="SG"/>
    <s v="CPFNW"/>
    <s v="CPI SINGAPORE"/>
    <s v="Wonton +TY"/>
    <s v="Cooked Wonton"/>
    <s v="Cooked Wonton No Egg"/>
    <s v="082S83B24005P06001"/>
    <s v="115g*24"/>
    <n v="24"/>
    <n v="5"/>
    <n v="8.0000000000000002E-3"/>
    <x v="1"/>
    <s v="STPP"/>
    <s v="TYTB3C 30G"/>
    <n v="500"/>
    <n v="500"/>
    <n v="9.6666666666666661"/>
    <n v="9.6666666666666856"/>
    <n v="0"/>
    <n v="0"/>
    <n v="1"/>
    <n v="0"/>
    <m/>
    <n v="0"/>
    <n v="0"/>
  </r>
  <r>
    <x v="460"/>
    <d v="2025-04-19T00:00:00"/>
    <x v="1"/>
    <e v="#N/A"/>
    <x v="3"/>
    <s v="DRY2500043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400"/>
    <m/>
    <n v="474.5"/>
    <n v="74.5"/>
    <n v="0"/>
    <n v="0"/>
    <n v="7.4999999999999997E-3"/>
    <n v="0"/>
    <m/>
    <n v="0"/>
    <n v="0"/>
  </r>
  <r>
    <x v="460"/>
    <d v="2025-04-28T00:00:00"/>
    <x v="1"/>
    <e v="#N/A"/>
    <x v="3"/>
    <s v="DRY2500093"/>
    <s v="Belgium"/>
    <s v="CPFNW"/>
    <s v="CPF EUROPE S.A."/>
    <s v="Wonton +V"/>
    <s v="Cooked Wonton"/>
    <s v="Cooked Wonton  No Egg _x000a_+ Vegetable  HC  4 pcs"/>
    <s v="082S83I08004P00001"/>
    <s v="145g*8"/>
    <n v="8"/>
    <n v="4"/>
    <n v="7.4999999999999997E-3"/>
    <x v="5"/>
    <s v="Salt"/>
    <s v="Regular"/>
    <n v="1200"/>
    <m/>
    <n v="1508.5"/>
    <n v="308.5"/>
    <n v="0"/>
    <n v="0"/>
    <n v="7.4999999999999997E-3"/>
    <n v="0"/>
    <m/>
    <n v="0"/>
    <n v="0"/>
  </r>
  <r>
    <x v="460"/>
    <s v="03-2025"/>
    <x v="1"/>
    <e v="#N/A"/>
    <x v="3"/>
    <s v="ขายภายใน"/>
    <s v="MTFS"/>
    <s v="CPFGS"/>
    <s v="ซีพีเอฟ เทรดดิ้ง"/>
    <s v="Wonton ND"/>
    <s v="Cooked Wonton"/>
    <s v="บะหมี่เกี๊ยวกุ้งซุปสุกี้ CPxMK 227g ND Pumpkin"/>
    <s v="082SJ3Q12003P09001"/>
    <s v="227g*12"/>
    <n v="12"/>
    <n v="3"/>
    <n v="8.0000000000000002E-3"/>
    <x v="2"/>
    <s v="STPP"/>
    <s v="MK"/>
    <n v="779"/>
    <n v="477"/>
    <n v="302"/>
    <n v="0"/>
    <n v="0"/>
    <n v="0"/>
    <n v="0.05"/>
    <n v="0"/>
    <m/>
    <n v="0"/>
    <n v="0"/>
  </r>
  <r>
    <x v="460"/>
    <s v="04-2025"/>
    <x v="1"/>
    <e v="#N/A"/>
    <x v="3"/>
    <s v="ขายภายใน"/>
    <s v="MTFS"/>
    <s v="CPFGS"/>
    <s v="ซีพีเอฟ เทรดดิ้ง"/>
    <s v="Wonton ND"/>
    <s v="Cooked Wonton"/>
    <s v="บะหมี่เกี๊ยวกุ้งซุปสุกี้ CPxMK 227g ND Pumpkin"/>
    <s v="082SJ3Q12003P09001"/>
    <s v="227g*12"/>
    <n v="12"/>
    <n v="3"/>
    <n v="8.0000000000000002E-3"/>
    <x v="2"/>
    <s v="STPP"/>
    <s v="MK"/>
    <n v="6051"/>
    <n v="6051"/>
    <m/>
    <n v="0"/>
    <n v="0"/>
    <n v="0"/>
    <n v="0.05"/>
    <n v="0"/>
    <m/>
    <n v="0"/>
    <n v="0"/>
  </r>
  <r>
    <x v="461"/>
    <m/>
    <x v="1"/>
    <e v="#N/A"/>
    <x v="3"/>
    <m/>
    <m/>
    <m/>
    <m/>
    <m/>
    <m/>
    <m/>
    <m/>
    <m/>
    <m/>
    <m/>
    <m/>
    <x v="0"/>
    <m/>
    <m/>
    <m/>
    <m/>
    <m/>
    <m/>
    <m/>
    <n v="0"/>
    <m/>
    <n v="0"/>
    <m/>
    <m/>
    <m/>
  </r>
  <r>
    <x v="462"/>
    <d v="2025-04-11T00:00:00"/>
    <x v="1"/>
    <e v="#N/A"/>
    <x v="3"/>
    <s v="KL2500014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86"/>
    <n v="186"/>
    <m/>
    <n v="0"/>
    <n v="0"/>
    <n v="0"/>
    <n v="6"/>
    <n v="0"/>
    <m/>
    <n v="0"/>
    <n v="0"/>
  </r>
  <r>
    <x v="462"/>
    <d v="2025-04-11T00:00:00"/>
    <x v="1"/>
    <e v="#N/A"/>
    <x v="3"/>
    <s v="KL2500012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n v="0"/>
    <n v="0"/>
  </r>
  <r>
    <x v="463"/>
    <s v="04-2025"/>
    <x v="1"/>
    <e v="#N/A"/>
    <x v="3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1766"/>
    <n v="1766"/>
    <m/>
    <n v="0"/>
    <n v="0"/>
    <n v="0"/>
    <n v="7.4999999999999997E-3"/>
    <n v="0"/>
    <m/>
    <n v="0"/>
    <n v="0"/>
  </r>
  <r>
    <x v="463"/>
    <s v="05-2025"/>
    <x v="1"/>
    <e v="#N/A"/>
    <x v="3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4546"/>
    <n v="4546"/>
    <m/>
    <n v="0"/>
    <n v="0"/>
    <n v="0"/>
    <n v="7.4999999999999997E-3"/>
    <n v="0"/>
    <s v="คาดการณ์ pk เข้า 21/3"/>
    <n v="0"/>
    <n v="0"/>
  </r>
  <r>
    <x v="464"/>
    <s v="04-2025"/>
    <x v="1"/>
    <e v="#N/A"/>
    <x v="3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27"/>
    <n v="27"/>
    <m/>
    <n v="0"/>
    <n v="0"/>
    <n v="0"/>
    <n v="1"/>
    <n v="0"/>
    <m/>
    <n v="0"/>
    <n v="0"/>
  </r>
  <r>
    <x v="464"/>
    <s v="04-2025"/>
    <x v="1"/>
    <e v="#N/A"/>
    <x v="3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500"/>
    <n v="500"/>
    <m/>
    <n v="0"/>
    <n v="0"/>
    <n v="0"/>
    <n v="1"/>
    <n v="0"/>
    <m/>
    <n v="0"/>
    <n v="0"/>
  </r>
  <r>
    <x v="464"/>
    <s v="04-2025"/>
    <x v="1"/>
    <e v="#N/A"/>
    <x v="3"/>
    <s v="LA005/2568"/>
    <s v="Laos"/>
    <s v="Laos"/>
    <s v="บริษัท ปิก้าเทรดดิ้ง จำกัด"/>
    <s v="E+Wonton"/>
    <s v="Cooked Wonton"/>
    <s v="เกี๊ยวกุ้งจักรพรรดิ 12x145g."/>
    <s v="082S8L212005P00001"/>
    <s v="145g*12"/>
    <n v="12"/>
    <n v="5"/>
    <n v="8.0000000000000002E-3"/>
    <x v="1"/>
    <s v="STPP"/>
    <s v="Regular"/>
    <n v="100"/>
    <n v="100"/>
    <m/>
    <n v="0"/>
    <n v="0"/>
    <n v="0"/>
    <n v="7.4999999999999997E-3"/>
    <n v="0"/>
    <m/>
    <n v="0"/>
    <n v="0"/>
  </r>
  <r>
    <x v="464"/>
    <s v="04-2025"/>
    <x v="1"/>
    <e v="#N/A"/>
    <x v="3"/>
    <s v="ขายภายใน"/>
    <s v="MTFS"/>
    <s v="CPFGS"/>
    <s v="ซีพีเอฟ เทรดดิ้ง"/>
    <s v="E+Wonton"/>
    <s v="Cooked Wonton"/>
    <s v="Cooked Wonton  with egg V-Food"/>
    <s v="082S83Q12005P05001"/>
    <s v="145g*12"/>
    <n v="12"/>
    <n v="5"/>
    <n v="8.0000000000000002E-3"/>
    <x v="1"/>
    <s v="STPP"/>
    <s v="Regular"/>
    <n v="1500"/>
    <n v="1500"/>
    <m/>
    <n v="0"/>
    <n v="0"/>
    <n v="0"/>
    <n v="7.4999999999999997E-3"/>
    <n v="0"/>
    <m/>
    <n v="0"/>
    <n v="0"/>
  </r>
  <r>
    <x v="464"/>
    <s v="04-2025"/>
    <x v="1"/>
    <e v="#N/A"/>
    <x v="3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4374"/>
    <n v="4374"/>
    <m/>
    <n v="0"/>
    <n v="0"/>
    <n v="0"/>
    <n v="7.4999999999999997E-3"/>
    <n v="0"/>
    <m/>
    <n v="0"/>
    <n v="0"/>
  </r>
  <r>
    <x v="464"/>
    <s v="04-2025"/>
    <x v="1"/>
    <e v="#N/A"/>
    <x v="3"/>
    <s v="LA005/2568"/>
    <s v="Laos"/>
    <s v="Laos"/>
    <s v="บริษัท ปิก้าเทรดดิ้ง จำกัด"/>
    <s v="E+Wonton+หมาล่า"/>
    <s v="Cooked Wonton"/>
    <s v="เกี๊ยวกุ้งจักรพรรดิ ซุปหม่าล่า 12x143g."/>
    <s v="082S8L212005P01001"/>
    <s v="143g*12"/>
    <n v="12"/>
    <n v="5"/>
    <n v="6.1999999999999998E-3"/>
    <x v="2"/>
    <s v="STPP"/>
    <s v="หมาล่า"/>
    <n v="100"/>
    <n v="100"/>
    <m/>
    <n v="0"/>
    <n v="0"/>
    <n v="0"/>
    <n v="1.2999999999999999E-2"/>
    <n v="0"/>
    <m/>
    <n v="0"/>
    <n v="0"/>
  </r>
  <r>
    <x v="464"/>
    <s v="04-2025"/>
    <x v="1"/>
    <e v="#N/A"/>
    <x v="3"/>
    <s v="ขายภายใน"/>
    <s v="MTFS"/>
    <s v="CPFGS"/>
    <s v="ซีพีเอฟ เทรดดิ้ง"/>
    <s v="E+Wonton+หมาล่า"/>
    <s v="Cooked Wonton"/>
    <s v="เกี๊ยวกุ้งจักรพรรดิซุปหมาล่า (ตรา ซีพี)_MT"/>
    <s v="082S83Q12005P06001"/>
    <s v="143g*12"/>
    <n v="12"/>
    <n v="5"/>
    <n v="6.1999999999999998E-3"/>
    <x v="2"/>
    <s v="STPP"/>
    <s v="หมาล่า"/>
    <n v="900"/>
    <n v="900"/>
    <m/>
    <n v="0"/>
    <n v="0"/>
    <n v="0"/>
    <n v="1.2999999999999999E-2"/>
    <n v="0"/>
    <m/>
    <n v="0"/>
    <n v="0"/>
  </r>
  <r>
    <x v="465"/>
    <d v="2025-04-19T00:00:00"/>
    <x v="1"/>
    <e v="#N/A"/>
    <x v="3"/>
    <s v="KL2500023"/>
    <s v="China"/>
    <s v="China"/>
    <s v="Charoen Pokphand Import&amp;Export Trading (Shanghai) Co., Ltd"/>
    <s v="Wonton ND+V"/>
    <s v="Cooked Wonton"/>
    <s v="Cooked Wonton ND No Egg with Pumpkin _x000a_+ Vegetable 5 pcs tomyam"/>
    <s v="082SJ5J36005P00001"/>
    <s v="308g*6c*6in"/>
    <n v="36"/>
    <n v="5"/>
    <n v="7.4999999999999997E-3"/>
    <x v="5"/>
    <s v="Salt"/>
    <s v="Y3"/>
    <n v="320"/>
    <n v="210"/>
    <n v="122.52777777777777"/>
    <n v="12.527777777777771"/>
    <n v="0"/>
    <n v="0"/>
    <n v="9.7000000000000003E-3"/>
    <n v="0"/>
    <s v="INNERใหม่ / กล่องใหม่"/>
    <n v="0"/>
    <n v="0"/>
  </r>
  <r>
    <x v="465"/>
    <d v="2025-04-24T00:00:00"/>
    <x v="1"/>
    <e v="#N/A"/>
    <x v="3"/>
    <s v="DRY2500078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465"/>
    <d v="2025-05-08T00:00:00"/>
    <x v="1"/>
    <e v="#N/A"/>
    <x v="3"/>
    <s v="DRY2500080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465"/>
    <d v="2025-05-16T00:00:00"/>
    <x v="1"/>
    <e v="#N/A"/>
    <x v="3"/>
    <s v="DRY2500079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465"/>
    <d v="2025-05-22T00:00:00"/>
    <x v="1"/>
    <e v="#N/A"/>
    <x v="3"/>
    <s v="DRY2500095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676"/>
    <n v="116"/>
    <n v="0"/>
    <n v="0"/>
    <n v="0"/>
    <n v="7.4999999999999997E-3"/>
    <n v="0"/>
    <m/>
    <n v="0"/>
    <n v="0"/>
  </r>
  <r>
    <x v="465"/>
    <d v="2025-04-30T00:00:00"/>
    <x v="1"/>
    <e v="#N/A"/>
    <x v="3"/>
    <s v="DRY2500085"/>
    <s v="AUS"/>
    <s v="CPFNW"/>
    <s v="CPF Australia Pty Ltd."/>
    <s v="Wonton ND+V"/>
    <s v="Cooked Wonton"/>
    <s v="Cooked Wonton ND No Egg with Pumpkin_x000a_+ Yu Choy "/>
    <s v="082SJ9U08004P00001"/>
    <s v="305g*8"/>
    <n v="8"/>
    <n v="4"/>
    <n v="7.4999999999999997E-3"/>
    <x v="5"/>
    <s v="Salt"/>
    <s v="Regular"/>
    <n v="400"/>
    <m/>
    <n v="438.5"/>
    <n v="38.5"/>
    <n v="0"/>
    <n v="0"/>
    <n v="7.4999999999999997E-3"/>
    <n v="0"/>
    <m/>
    <n v="0"/>
    <n v="0"/>
  </r>
  <r>
    <x v="465"/>
    <d v="2025-05-15T00:00:00"/>
    <x v="1"/>
    <e v="#N/A"/>
    <x v="3"/>
    <s v="DRY2500068"/>
    <s v="New Zealand"/>
    <s v="CPFNW"/>
    <s v="Lim Brothers"/>
    <s v="Wonton ND+V"/>
    <s v="Cooked Wonton"/>
    <s v="Cooked Wonton ND No Egg with Pumpkin_x000a_+ Yu Choy "/>
    <s v="082SJN708004P00001"/>
    <s v="305g*8"/>
    <n v="8"/>
    <n v="4"/>
    <n v="7.4999999999999997E-3"/>
    <x v="5"/>
    <s v="Salt"/>
    <s v="Regular"/>
    <n v="710"/>
    <m/>
    <n v="710"/>
    <n v="0"/>
    <n v="0"/>
    <n v="0"/>
    <n v="7.4999999999999997E-3"/>
    <n v="0"/>
    <m/>
    <n v="0"/>
    <n v="0"/>
  </r>
  <r>
    <x v="465"/>
    <d v="2025-04-28T00:00:00"/>
    <x v="1"/>
    <e v="#N/A"/>
    <x v="3"/>
    <s v="DRY2500093"/>
    <s v="Belgium"/>
    <s v="CPFNW"/>
    <s v="CPF EUROPE S.A."/>
    <s v="Wonton ND+V"/>
    <s v="Cooked Wonton"/>
    <s v="Cooked Wonton ND No Egg with Pumpkin _x000a_+ Vegetable  HC  3 pcs"/>
    <s v="082SJ3I08003P00001"/>
    <s v="309g*8"/>
    <n v="8"/>
    <n v="3"/>
    <n v="7.4999999999999997E-3"/>
    <x v="5"/>
    <s v="Salt"/>
    <s v="Regular"/>
    <n v="720"/>
    <m/>
    <n v="871"/>
    <n v="151"/>
    <n v="0"/>
    <n v="0"/>
    <n v="7.4999999999999997E-3"/>
    <n v="0"/>
    <m/>
    <n v="0"/>
    <n v="0"/>
  </r>
  <r>
    <x v="465"/>
    <d v="2025-04-30T00:00:00"/>
    <x v="1"/>
    <e v="#N/A"/>
    <x v="3"/>
    <s v="DRY2500085"/>
    <s v="AUS"/>
    <s v="CPFNW"/>
    <s v="CPF Australia Pty Ltd."/>
    <s v="Minced ND+V+TK"/>
    <s v="Cooked Wonton"/>
    <s v="Cooked Minced  ND No Egg with Pumpkin_x000a_+ Yu Choy Tomkha"/>
    <s v="082SR9U08003P01001"/>
    <s v="302g*8"/>
    <n v="8"/>
    <n v="3"/>
    <n v="6.0000000000000001E-3"/>
    <x v="4"/>
    <s v="Salt"/>
    <s v="Tomkha+CM"/>
    <n v="240"/>
    <m/>
    <n v="261"/>
    <n v="21"/>
    <n v="0"/>
    <n v="0"/>
    <n v="5.8823E-2"/>
    <n v="0"/>
    <m/>
    <n v="0"/>
    <n v="0"/>
  </r>
  <r>
    <x v="465"/>
    <d v="2025-05-15T00:00:00"/>
    <x v="1"/>
    <e v="#N/A"/>
    <x v="3"/>
    <s v="DRY2500068"/>
    <s v="New Zealand"/>
    <s v="CPFNW"/>
    <s v="Lim Brothers"/>
    <s v="Minced ND+V+TK"/>
    <s v="Cooked Wonton"/>
    <s v="Cooked Minced  ND No Egg with Pumpkin_x000a_+ Yu Choy Tomkha"/>
    <s v="082SRN708003P01001"/>
    <s v="302g*8"/>
    <n v="8"/>
    <n v="3"/>
    <n v="6.0000000000000001E-3"/>
    <x v="4"/>
    <s v="Salt"/>
    <s v="Tomkha+CM"/>
    <n v="270"/>
    <m/>
    <n v="270"/>
    <n v="0"/>
    <n v="0"/>
    <n v="0"/>
    <n v="5.8823E-2"/>
    <n v="0"/>
    <m/>
    <n v="0"/>
    <n v="0"/>
  </r>
  <r>
    <x v="466"/>
    <d v="2025-04-30T00:00:00"/>
    <x v="1"/>
    <e v="#N/A"/>
    <x v="3"/>
    <s v="DRY2500085"/>
    <s v="AUS"/>
    <s v="CPFNW"/>
    <s v="CPF Australia Pty Ltd."/>
    <s v="C-Minced WT in tray no egg"/>
    <s v="Cooked Wonton"/>
    <s v="Cooked Minced Wonton in Tray 6 pcs + Sesame Sauce"/>
    <s v="082SK9U16006P00001"/>
    <s v="117*2tray*8in"/>
    <n v="16"/>
    <n v="6"/>
    <n v="6.0000000000000001E-3"/>
    <x v="4"/>
    <s v="Salt"/>
    <s v=" Sesame 15g"/>
    <n v="300"/>
    <n v="300"/>
    <m/>
    <n v="0"/>
    <n v="0"/>
    <n v="0"/>
    <n v="1"/>
    <n v="0"/>
    <s v="cap 3000 tray/hr. อื่น 8,300 ถ้วย"/>
    <n v="0"/>
    <n v="0"/>
  </r>
  <r>
    <x v="466"/>
    <d v="2025-05-15T00:00:00"/>
    <x v="1"/>
    <e v="#N/A"/>
    <x v="3"/>
    <s v="DRY2500068"/>
    <s v="New Zealand"/>
    <s v="CPFNW"/>
    <s v="Lim Brothers"/>
    <s v="C-Minced WT in tray no egg"/>
    <s v="Cooked Wonton"/>
    <s v="Cooked Minced Wonton in Tray 6 pcs + Sesame Sauce"/>
    <s v="082SKN716006P00001"/>
    <s v="117*2tray*8in"/>
    <n v="16"/>
    <n v="6"/>
    <n v="6.0000000000000001E-3"/>
    <x v="4"/>
    <s v="Salt"/>
    <s v=" Sesame 15g"/>
    <n v="144"/>
    <n v="144"/>
    <m/>
    <n v="0"/>
    <n v="0"/>
    <n v="0"/>
    <n v="1"/>
    <n v="0"/>
    <s v="cap 3000 tray/hr. อื่น 8,300 ถ้วย"/>
    <n v="0"/>
    <n v="0"/>
  </r>
  <r>
    <x v="466"/>
    <d v="2025-04-30T00:00:00"/>
    <x v="1"/>
    <e v="#N/A"/>
    <x v="3"/>
    <s v="DRY2500086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n v="0"/>
    <n v="7.4999999999999997E-3"/>
    <n v="0"/>
    <s v="รอเปลี่ยนNEWPACKAGE"/>
    <n v="0"/>
    <n v="0"/>
  </r>
  <r>
    <x v="466"/>
    <d v="2025-05-14T00:00:00"/>
    <x v="1"/>
    <e v="#N/A"/>
    <x v="3"/>
    <s v="DRY2500160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n v="0"/>
    <n v="7.4999999999999997E-3"/>
    <n v="0"/>
    <s v="รอเปลี่ยนNEWPACKAGE"/>
    <n v="0"/>
    <n v="0"/>
  </r>
  <r>
    <x v="466"/>
    <d v="2025-04-19T00:00:00"/>
    <x v="1"/>
    <e v="#N/A"/>
    <x v="3"/>
    <s v="DRY2500043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800"/>
    <n v="800"/>
    <n v="15.416666666666666"/>
    <n v="15.416666666666629"/>
    <n v="0"/>
    <n v="0"/>
    <n v="7.4999999999999997E-3"/>
    <n v="0"/>
    <m/>
    <n v="0"/>
    <n v="0"/>
  </r>
  <r>
    <x v="466"/>
    <d v="2025-04-22T00:00:00"/>
    <x v="1"/>
    <e v="#N/A"/>
    <x v="3"/>
    <s v="DRY2500067"/>
    <s v="SG"/>
    <s v="CPFNW"/>
    <s v="CPI SINGAPORE"/>
    <s v="Wonton ND+Kee Mao"/>
    <s v="Cooked Wonton"/>
    <s v="Cooked Wonton Thai Spicy Pumpkin Noodles (Drunken Noodles)"/>
    <s v="082SJ3B24003P04001"/>
    <s v="250g*24"/>
    <n v="24"/>
    <n v="3"/>
    <n v="8.0000000000000002E-3"/>
    <x v="1"/>
    <s v="Salt"/>
    <s v="Kee Mao"/>
    <n v="420"/>
    <n v="420"/>
    <n v="4.666666666666667"/>
    <n v="4.6666666666666856"/>
    <n v="0"/>
    <n v="0"/>
    <n v="6.5000000000000002E-2"/>
    <n v="0"/>
    <m/>
    <n v="0"/>
    <n v="0"/>
  </r>
  <r>
    <x v="466"/>
    <d v="2025-05-15T00:00:00"/>
    <x v="1"/>
    <e v="#N/A"/>
    <x v="3"/>
    <s v="DRY2500068"/>
    <s v="New Zealand"/>
    <s v="CPFNW"/>
    <s v="Lim Brothers"/>
    <s v="Minced ND+Kee Mao"/>
    <s v="Cooked Wonton"/>
    <s v="Cooked Minced Wonton Thai Spicy Noodles (Kee Mao Noodles)"/>
    <s v="082SRN708003P02001"/>
    <s v="219g*8"/>
    <n v="8"/>
    <n v="3"/>
    <n v="6.0000000000000001E-3"/>
    <x v="4"/>
    <s v="Salt"/>
    <s v="Kee Mao 50G."/>
    <n v="108"/>
    <m/>
    <n v="108"/>
    <n v="0"/>
    <n v="0"/>
    <n v="0"/>
    <n v="1"/>
    <n v="0"/>
    <s v="NEWPACKAGE"/>
    <n v="0"/>
    <n v="0"/>
  </r>
  <r>
    <x v="466"/>
    <d v="2025-06-12T00:00:00"/>
    <x v="1"/>
    <e v="#N/A"/>
    <x v="3"/>
    <s v="DRY2500069"/>
    <s v="New Zealand"/>
    <s v="CPFNW"/>
    <s v="Lim Brothers"/>
    <s v="Minced ND+Kee Mao"/>
    <s v="Cooked Wonton"/>
    <s v="Cooked Minced Wonton Thai Spicy Noodles (Kee Mao Noodles)"/>
    <s v="082SRN708003P02001"/>
    <s v="219g*8"/>
    <n v="8"/>
    <n v="3"/>
    <n v="6.0000000000000001E-3"/>
    <x v="4"/>
    <s v="Salt"/>
    <s v="Kee Mao 50G."/>
    <n v="140"/>
    <m/>
    <n v="160.25"/>
    <n v="20.25"/>
    <n v="0"/>
    <n v="0"/>
    <n v="1"/>
    <n v="0"/>
    <s v="NEWPACKAGE"/>
    <n v="0"/>
    <n v="0"/>
  </r>
  <r>
    <x v="466"/>
    <d v="2025-04-30T00:00:00"/>
    <x v="1"/>
    <e v="#N/A"/>
    <x v="3"/>
    <s v="DRY2500085"/>
    <s v="AUS"/>
    <s v="CPFNW"/>
    <s v="CPF Australia Pty Ltd."/>
    <s v="Minced ND+V+TY"/>
    <s v="Cooked Wonton"/>
    <s v="Cooked Minced  ND No Egg with Pumpkin_x000a_+ Yu Choy Tomyum"/>
    <s v="082SR9U08003P00001"/>
    <s v="302g*8"/>
    <n v="8"/>
    <n v="3"/>
    <n v="6.0000000000000001E-3"/>
    <x v="4"/>
    <s v="Salt"/>
    <s v="TYEXSG+CO"/>
    <n v="370"/>
    <m/>
    <n v="398"/>
    <n v="28"/>
    <n v="0"/>
    <n v="0"/>
    <n v="3.8699999999999998E-2"/>
    <n v="0"/>
    <m/>
    <n v="0"/>
    <n v="0"/>
  </r>
  <r>
    <x v="466"/>
    <d v="2025-05-15T00:00:00"/>
    <x v="1"/>
    <e v="#N/A"/>
    <x v="3"/>
    <s v="DRY2500068"/>
    <s v="New Zealand"/>
    <s v="CPFNW"/>
    <s v="Lim Brothers"/>
    <s v="Minced ND+V+TY"/>
    <s v="Cooked Wonton"/>
    <s v="Cooked Minced  ND No Egg with Pumpkin_x000a_+ Yu Choy Tomyum"/>
    <s v="082SRN708003P00001"/>
    <s v="302g*8"/>
    <n v="8"/>
    <n v="3"/>
    <n v="6.0000000000000001E-3"/>
    <x v="4"/>
    <s v="Salt"/>
    <s v="TYEXSG+CO"/>
    <n v="216"/>
    <m/>
    <n v="216"/>
    <n v="0"/>
    <n v="0"/>
    <n v="0"/>
    <n v="3.8699999999999998E-2"/>
    <n v="0"/>
    <m/>
    <n v="0"/>
    <n v="0"/>
  </r>
  <r>
    <x v="467"/>
    <s v="05-2025"/>
    <x v="1"/>
    <e v="#N/A"/>
    <x v="3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3716"/>
    <n v="3716"/>
    <m/>
    <n v="0"/>
    <n v="0"/>
    <n v="0"/>
    <n v="7.4999999999999997E-3"/>
    <n v="0"/>
    <s v="คาดการณ์ pk เข้า 21/3"/>
    <n v="0"/>
    <n v="0"/>
  </r>
  <r>
    <x v="467"/>
    <s v="04-2025"/>
    <x v="1"/>
    <e v="#N/A"/>
    <x v="3"/>
    <s v="ขายภายใน"/>
    <s v="MTFS"/>
    <s v="CPFGS"/>
    <s v="ซีพีเอฟ เทรดดิ้ง"/>
    <s v="Wonton ND"/>
    <s v="Cooked Wonton"/>
    <s v="บะหมี่เกี๊ยวกุ้งซุปสุกี้ CPxMK multi681g"/>
    <s v="082SJ3Q18003P02001"/>
    <s v="681g*6"/>
    <n v="18"/>
    <n v="3"/>
    <n v="8.0000000000000002E-3"/>
    <x v="2"/>
    <s v="STPP"/>
    <s v="MK"/>
    <n v="1667"/>
    <m/>
    <n v="1667"/>
    <n v="0"/>
    <n v="0"/>
    <n v="0"/>
    <n v="0.05"/>
    <n v="0"/>
    <m/>
    <n v="0"/>
    <n v="0"/>
  </r>
  <r>
    <x v="467"/>
    <s v="04-2025"/>
    <x v="1"/>
    <e v="#N/A"/>
    <x v="3"/>
    <s v="ขายภายใน"/>
    <s v="MTFS"/>
    <s v="CPFGS"/>
    <s v="ซีพีเอฟ เทรดดิ้ง"/>
    <s v="Wonton ND"/>
    <s v="Cooked Wonton"/>
    <s v="บะหมี่เกี๊ยวกุ้งซุปสุกี้ CPxMK 227g ND Pumpkin"/>
    <s v="082SJ3Q12003P09001"/>
    <s v="227g*12"/>
    <n v="12"/>
    <n v="3"/>
    <n v="8.0000000000000002E-3"/>
    <x v="2"/>
    <s v="STPP"/>
    <s v="MK"/>
    <n v="1303"/>
    <n v="1303"/>
    <m/>
    <n v="0"/>
    <n v="0"/>
    <n v="0"/>
    <n v="0.05"/>
    <n v="0"/>
    <m/>
    <n v="0"/>
    <n v="0"/>
  </r>
  <r>
    <x v="468"/>
    <m/>
    <x v="1"/>
    <e v="#N/A"/>
    <x v="3"/>
    <m/>
    <m/>
    <m/>
    <m/>
    <m/>
    <m/>
    <m/>
    <m/>
    <m/>
    <m/>
    <m/>
    <m/>
    <x v="0"/>
    <m/>
    <m/>
    <m/>
    <m/>
    <m/>
    <m/>
    <m/>
    <n v="0"/>
    <m/>
    <n v="0"/>
    <m/>
    <m/>
    <m/>
  </r>
  <r>
    <x v="469"/>
    <m/>
    <x v="1"/>
    <e v="#N/A"/>
    <x v="3"/>
    <m/>
    <m/>
    <m/>
    <m/>
    <m/>
    <m/>
    <m/>
    <m/>
    <m/>
    <m/>
    <m/>
    <m/>
    <x v="0"/>
    <m/>
    <m/>
    <m/>
    <m/>
    <m/>
    <m/>
    <m/>
    <n v="0"/>
    <m/>
    <n v="0"/>
    <m/>
    <m/>
    <m/>
  </r>
  <r>
    <x v="470"/>
    <m/>
    <x v="1"/>
    <e v="#N/A"/>
    <x v="3"/>
    <m/>
    <m/>
    <m/>
    <m/>
    <m/>
    <m/>
    <m/>
    <m/>
    <m/>
    <m/>
    <m/>
    <m/>
    <x v="0"/>
    <m/>
    <m/>
    <m/>
    <m/>
    <m/>
    <m/>
    <m/>
    <n v="0"/>
    <m/>
    <n v="0"/>
    <m/>
    <m/>
    <m/>
  </r>
  <r>
    <x v="471"/>
    <m/>
    <x v="1"/>
    <e v="#N/A"/>
    <x v="3"/>
    <m/>
    <m/>
    <m/>
    <m/>
    <m/>
    <m/>
    <m/>
    <m/>
    <m/>
    <m/>
    <m/>
    <m/>
    <x v="0"/>
    <m/>
    <m/>
    <m/>
    <m/>
    <m/>
    <m/>
    <m/>
    <n v="0"/>
    <m/>
    <n v="0"/>
    <m/>
    <m/>
    <m/>
  </r>
  <r>
    <x v="472"/>
    <d v="2025-04-24T00:00:00"/>
    <x v="1"/>
    <e v="#N/A"/>
    <x v="3"/>
    <s v="KL2500016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n v="0"/>
    <n v="0"/>
  </r>
  <r>
    <x v="472"/>
    <s v="04-2025"/>
    <x v="1"/>
    <e v="#N/A"/>
    <x v="3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336"/>
    <n v="336"/>
    <m/>
    <n v="0"/>
    <n v="0"/>
    <n v="0"/>
    <m/>
    <n v="0"/>
    <m/>
    <n v="0"/>
    <n v="0"/>
  </r>
  <r>
    <x v="473"/>
    <d v="2025-04-24T00:00:00"/>
    <x v="1"/>
    <e v="#N/A"/>
    <x v="3"/>
    <s v="KL2500017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n v="0"/>
    <n v="0"/>
  </r>
  <r>
    <x v="473"/>
    <d v="2025-04-24T00:00:00"/>
    <x v="1"/>
    <e v="#N/A"/>
    <x v="3"/>
    <s v="DRY2500047"/>
    <s v="SG"/>
    <s v="CPFNW"/>
    <s v="CPI SINGAPORE"/>
    <s v="R-Minced egg past"/>
    <s v="Raw Wonton"/>
    <s v="Raw Minced Wonton 8 pcs"/>
    <s v="082ID3B18008P00001"/>
    <s v="90g*18in"/>
    <n v="18"/>
    <n v="8"/>
    <n v="6.0000000000000001E-3"/>
    <x v="4"/>
    <s v="STPP"/>
    <s v="ซุปซอง 5g."/>
    <n v="600"/>
    <n v="600"/>
    <m/>
    <n v="0"/>
    <n v="0"/>
    <n v="0"/>
    <n v="2"/>
    <n v="0"/>
    <m/>
    <n v="0"/>
    <n v="0"/>
  </r>
  <r>
    <x v="474"/>
    <d v="2025-04-24T00:00:00"/>
    <x v="1"/>
    <e v="#N/A"/>
    <x v="3"/>
    <s v="DRY2500047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2000"/>
    <n v="1459"/>
    <n v="541"/>
    <n v="0"/>
    <n v="0"/>
    <n v="0"/>
    <n v="2"/>
    <n v="0"/>
    <s v="ห่อแบบสุก"/>
    <n v="0"/>
    <n v="0"/>
  </r>
  <r>
    <x v="474"/>
    <d v="2025-05-06T00:00:00"/>
    <x v="1"/>
    <e v="#N/A"/>
    <x v="3"/>
    <s v="DRY2400798"/>
    <s v="HK"/>
    <s v="CPFNW"/>
    <s v="CPM Hongkong"/>
    <s v="R-Minced egg past"/>
    <s v="Raw Wonton"/>
    <s v="Raw Minced Wonton 8 pcs"/>
    <s v="082ID3G18008P00001"/>
    <s v="90g*18in"/>
    <n v="18"/>
    <n v="8"/>
    <n v="6.0000000000000001E-3"/>
    <x v="4"/>
    <s v="STPP"/>
    <s v="ซุปซอง 5g."/>
    <n v="250"/>
    <n v="250"/>
    <m/>
    <n v="0"/>
    <n v="0"/>
    <n v="0"/>
    <n v="2"/>
    <n v="0"/>
    <m/>
    <n v="0"/>
    <n v="0"/>
  </r>
  <r>
    <x v="474"/>
    <d v="2025-05-06T00:00:00"/>
    <x v="1"/>
    <e v="#N/A"/>
    <x v="3"/>
    <s v="DRY2400798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689"/>
    <n v="182"/>
    <n v="507"/>
    <n v="0"/>
    <n v="0"/>
    <n v="0"/>
    <n v="1"/>
    <n v="0"/>
    <m/>
    <n v="0"/>
    <n v="0"/>
  </r>
  <r>
    <x v="475"/>
    <m/>
    <x v="1"/>
    <e v="#N/A"/>
    <x v="3"/>
    <m/>
    <m/>
    <m/>
    <m/>
    <m/>
    <m/>
    <m/>
    <m/>
    <m/>
    <m/>
    <m/>
    <m/>
    <x v="0"/>
    <m/>
    <m/>
    <m/>
    <m/>
    <m/>
    <m/>
    <m/>
    <n v="0"/>
    <m/>
    <n v="0"/>
    <m/>
    <m/>
    <m/>
  </r>
  <r>
    <x v="476"/>
    <d v="2025-05-02T00:00:00"/>
    <x v="1"/>
    <e v="#N/A"/>
    <x v="3"/>
    <s v="KL2500019"/>
    <s v="China"/>
    <s v="China"/>
    <s v="Charoen Pokphand Import&amp;Export Trading (Shanghai) Co., Ltd"/>
    <s v="R-Wonton no egg"/>
    <s v="Raw Wonton"/>
    <s v="Raw Wonton 50 pcs"/>
    <s v="082I95J08050P03001"/>
    <s v="630g*8in"/>
    <n v="8"/>
    <n v="50"/>
    <n v="6.8100000000000001E-3"/>
    <x v="3"/>
    <s v="STPP"/>
    <s v="ซุปซอง 5g."/>
    <n v="441"/>
    <n v="441"/>
    <m/>
    <n v="0"/>
    <n v="0"/>
    <n v="0"/>
    <n v="6"/>
    <n v="0"/>
    <m/>
    <n v="0"/>
    <n v="0"/>
  </r>
  <r>
    <x v="476"/>
    <d v="2025-05-06T00:00:00"/>
    <x v="1"/>
    <e v="#N/A"/>
    <x v="3"/>
    <s v="DRY2400798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961"/>
    <n v="678"/>
    <n v="311"/>
    <n v="28"/>
    <n v="0"/>
    <n v="0"/>
    <n v="1"/>
    <n v="0"/>
    <m/>
    <n v="0"/>
    <n v="0"/>
  </r>
  <r>
    <x v="476"/>
    <d v="2025-05-13T00:00:00"/>
    <x v="1"/>
    <e v="#N/A"/>
    <x v="3"/>
    <s v="DRY2500058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614"/>
    <n v="572"/>
    <n v="42"/>
    <n v="0"/>
    <n v="0"/>
    <n v="0"/>
    <n v="2"/>
    <n v="0"/>
    <m/>
    <n v="0"/>
    <n v="0"/>
  </r>
  <r>
    <x v="477"/>
    <d v="2025-05-02T00:00:00"/>
    <x v="1"/>
    <e v="#N/A"/>
    <x v="3"/>
    <s v="KL2500019"/>
    <s v="China"/>
    <s v="China"/>
    <s v="Charoen Pokphand Import&amp;Export Trading (Shanghai) Co., Ltd"/>
    <s v="R-Wonton no egg"/>
    <s v="Raw Wonton"/>
    <s v="Raw Wonton 50 pcs"/>
    <s v="082I95J08050P03001"/>
    <s v="630g*8in"/>
    <n v="8"/>
    <n v="50"/>
    <n v="6.8100000000000001E-3"/>
    <x v="3"/>
    <s v="STPP"/>
    <s v="ซุปซอง 5g."/>
    <n v="159"/>
    <n v="159"/>
    <m/>
    <n v="0"/>
    <n v="0"/>
    <n v="0"/>
    <n v="6"/>
    <n v="0"/>
    <m/>
    <n v="0"/>
    <n v="0"/>
  </r>
  <r>
    <x v="477"/>
    <d v="2025-05-02T00:00:00"/>
    <x v="1"/>
    <e v="#N/A"/>
    <x v="3"/>
    <s v="KL2500019"/>
    <s v="China"/>
    <s v="China"/>
    <s v="Charoen Pokphand Import&amp;Export Trading (Shanghai) Co., Ltd"/>
    <s v="R-Wonton no egg"/>
    <s v="Raw Wonton"/>
    <s v="Raw Wonton 12 pcs"/>
    <s v="082I95J20012P04001"/>
    <s v="144g*20in"/>
    <n v="20"/>
    <n v="12"/>
    <n v="6.8100000000000001E-3"/>
    <x v="3"/>
    <s v="STPP"/>
    <s v="ซุปซอง 5g."/>
    <n v="2200"/>
    <n v="2200"/>
    <m/>
    <n v="0"/>
    <n v="0"/>
    <n v="0"/>
    <n v="2"/>
    <n v="0"/>
    <m/>
    <n v="0"/>
    <n v="0"/>
  </r>
  <r>
    <x v="478"/>
    <s v="04-2025"/>
    <x v="1"/>
    <e v="#N/A"/>
    <x v="3"/>
    <s v="ขายภายใน"/>
    <s v="MTFS"/>
    <s v="CPFGS"/>
    <s v="ซีพีเอฟ เทรดดิ้ง"/>
    <s v="E+Wonton NDE"/>
    <s v="Cooked Wonton"/>
    <s v="Cooked Wonton ND with egg V-Food"/>
    <s v="082SJ3Q12003P07001"/>
    <s v="226g*12"/>
    <n v="12"/>
    <n v="3"/>
    <n v="8.0000000000000002E-3"/>
    <x v="1"/>
    <s v="STPP"/>
    <s v="Regular"/>
    <n v="150"/>
    <n v="150"/>
    <m/>
    <n v="0"/>
    <n v="0"/>
    <n v="0"/>
    <n v="7.4999999999999997E-3"/>
    <n v="0"/>
    <m/>
    <n v="0"/>
    <n v="0"/>
  </r>
  <r>
    <x v="478"/>
    <s v="05-2025"/>
    <x v="1"/>
    <e v="#N/A"/>
    <x v="3"/>
    <s v="ขายภายใน"/>
    <s v="MTFS"/>
    <s v="CPFGS"/>
    <s v="ซีพีเอฟ เทรดดิ้ง"/>
    <s v="E+Wonton NDE"/>
    <s v="Cooked Wonton"/>
    <s v="Cooked Wonton ND with egg V-Food"/>
    <s v="082SJ3Q12003P07001"/>
    <s v="226g*12"/>
    <n v="12"/>
    <n v="3"/>
    <n v="8.0000000000000002E-3"/>
    <x v="1"/>
    <s v="STPP"/>
    <s v="Regular"/>
    <n v="400"/>
    <n v="400"/>
    <m/>
    <n v="0"/>
    <n v="0"/>
    <n v="0"/>
    <n v="7.4999999999999997E-3"/>
    <n v="0"/>
    <m/>
    <n v="0"/>
    <n v="0"/>
  </r>
  <r>
    <x v="478"/>
    <s v="04-2025"/>
    <x v="1"/>
    <e v="#N/A"/>
    <x v="3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200"/>
    <n v="200"/>
    <m/>
    <n v="0"/>
    <n v="0"/>
    <n v="0"/>
    <n v="7.4999999999999997E-3"/>
    <n v="0"/>
    <m/>
    <n v="0"/>
    <n v="0"/>
  </r>
  <r>
    <x v="478"/>
    <s v="05-2025"/>
    <x v="1"/>
    <e v="#N/A"/>
    <x v="3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400"/>
    <n v="408"/>
    <m/>
    <n v="8"/>
    <n v="0"/>
    <n v="0"/>
    <n v="7.4999999999999997E-3"/>
    <n v="0"/>
    <m/>
    <n v="0"/>
    <n v="0"/>
  </r>
  <r>
    <x v="478"/>
    <s v="04-2025"/>
    <x v="1"/>
    <e v="#N/A"/>
    <x v="3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100"/>
    <n v="100"/>
    <m/>
    <n v="0"/>
    <n v="0"/>
    <n v="0"/>
    <n v="7.4999999999999997E-3"/>
    <n v="0"/>
    <m/>
    <n v="0"/>
    <n v="0"/>
  </r>
  <r>
    <x v="478"/>
    <s v="05-2025"/>
    <x v="1"/>
    <e v="#N/A"/>
    <x v="3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300"/>
    <n v="300"/>
    <m/>
    <n v="0"/>
    <n v="0"/>
    <n v="0"/>
    <n v="7.4999999999999997E-3"/>
    <n v="0"/>
    <m/>
    <n v="0"/>
    <n v="0"/>
  </r>
  <r>
    <x v="478"/>
    <s v="04-2025"/>
    <x v="1"/>
    <e v="#N/A"/>
    <x v="3"/>
    <s v="ขายภายใน"/>
    <s v="MTFS"/>
    <s v="CPFGS"/>
    <s v="ซีพีเอฟ เทรดดิ้ง"/>
    <s v="E+Wonton TY"/>
    <s v="Cooked Wonton"/>
    <s v="Cooked Wonton Tomyum with egg.V-Food TY"/>
    <s v="082S83Q12005P04001"/>
    <s v="115g*12"/>
    <n v="12"/>
    <n v="5"/>
    <n v="8.0000000000000002E-3"/>
    <x v="1"/>
    <s v="STPP"/>
    <s v="TYTB3C 30G"/>
    <n v="500"/>
    <n v="500"/>
    <m/>
    <n v="0"/>
    <n v="0"/>
    <n v="0"/>
    <n v="1"/>
    <n v="0"/>
    <m/>
    <n v="0"/>
    <n v="0"/>
  </r>
  <r>
    <x v="478"/>
    <s v="05-2025"/>
    <x v="1"/>
    <e v="#N/A"/>
    <x v="3"/>
    <s v="ขายภายใน"/>
    <s v="MTFS"/>
    <s v="CPFGS"/>
    <s v="ซีพีเอฟ เทรดดิ้ง"/>
    <s v="E+Wonton TY"/>
    <s v="Cooked Wonton"/>
    <s v="Cooked Wonton Tomyum with egg.V-Food TY"/>
    <s v="082S83Q12005P04001"/>
    <s v="115g*12"/>
    <n v="12"/>
    <n v="5"/>
    <n v="8.0000000000000002E-3"/>
    <x v="1"/>
    <s v="STPP"/>
    <s v="TYTB3C 30G"/>
    <n v="703"/>
    <n v="703"/>
    <m/>
    <n v="0"/>
    <n v="0"/>
    <n v="0"/>
    <n v="1"/>
    <n v="0"/>
    <m/>
    <n v="0"/>
    <n v="0"/>
  </r>
  <r>
    <x v="478"/>
    <s v="04-2025"/>
    <x v="1"/>
    <e v="#N/A"/>
    <x v="3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4016"/>
    <n v="4016"/>
    <m/>
    <n v="0"/>
    <n v="0"/>
    <n v="0"/>
    <n v="7.4999999999999997E-3"/>
    <n v="0"/>
    <m/>
    <n v="0"/>
    <n v="0"/>
  </r>
  <r>
    <x v="478"/>
    <s v="05-2025"/>
    <x v="1"/>
    <e v="#N/A"/>
    <x v="3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458"/>
    <n v="458"/>
    <m/>
    <n v="0"/>
    <n v="0"/>
    <n v="0"/>
    <n v="7.4999999999999997E-3"/>
    <n v="0"/>
    <m/>
    <n v="0"/>
    <n v="0"/>
  </r>
  <r>
    <x v="479"/>
    <s v="05-2025"/>
    <x v="1"/>
    <e v="#N/A"/>
    <x v="3"/>
    <s v="ขายภายใน"/>
    <s v="MTFS"/>
    <s v="CPFGS"/>
    <s v="ซีพีเอฟ เทรดดิ้ง"/>
    <s v="E+Wonton"/>
    <s v="Cooked Wonton"/>
    <s v="Cooked Wonton  with egg V-Food"/>
    <s v="082S83Q12005P05000"/>
    <s v="145g*12"/>
    <n v="12"/>
    <n v="5"/>
    <n v="8.0000000000000002E-3"/>
    <x v="1"/>
    <s v="STPP"/>
    <s v="Regular"/>
    <n v="12"/>
    <n v="12"/>
    <m/>
    <n v="0"/>
    <n v="0"/>
    <n v="0"/>
    <n v="7.4999999999999997E-3"/>
    <n v="0"/>
    <m/>
    <n v="0"/>
    <n v="0"/>
  </r>
  <r>
    <x v="479"/>
    <d v="2025-05-10T00:00:00"/>
    <x v="1"/>
    <e v="#N/A"/>
    <x v="3"/>
    <s v="LA006/2568"/>
    <s v="Laos"/>
    <s v="Laos"/>
    <s v="บริษัท ปิก้าเทรดดิ้ง จำกัด"/>
    <s v="E+Wonton"/>
    <s v="Cooked Wonton"/>
    <s v="เกี๊ยวกุ้งจักรพรรดิ 12x145g."/>
    <s v="082S8L212005P00001"/>
    <s v="145g*12"/>
    <n v="12"/>
    <n v="5"/>
    <n v="8.0000000000000002E-3"/>
    <x v="1"/>
    <s v="STPP"/>
    <s v="Regular"/>
    <n v="100"/>
    <n v="100"/>
    <m/>
    <n v="0"/>
    <n v="0"/>
    <n v="0"/>
    <n v="7.4999999999999997E-3"/>
    <n v="0"/>
    <m/>
    <n v="0"/>
    <n v="0"/>
  </r>
  <r>
    <x v="479"/>
    <s v="04-2025"/>
    <x v="1"/>
    <e v="#N/A"/>
    <x v="3"/>
    <s v="ขายภายใน"/>
    <s v="MTFS"/>
    <s v="CPFGS"/>
    <s v="ซีพีเอฟ เทรดดิ้ง"/>
    <s v="E+Wonton"/>
    <s v="Cooked Wonton"/>
    <s v="Cooked Wonton  with egg V-Food"/>
    <s v="082S83Q12005P05001"/>
    <s v="145g*12"/>
    <n v="12"/>
    <n v="5"/>
    <n v="8.0000000000000002E-3"/>
    <x v="1"/>
    <s v="STPP"/>
    <s v="Regular"/>
    <n v="2700"/>
    <n v="2700"/>
    <m/>
    <n v="0"/>
    <n v="0"/>
    <n v="0"/>
    <n v="7.4999999999999997E-3"/>
    <n v="0"/>
    <m/>
    <n v="0"/>
    <n v="0"/>
  </r>
  <r>
    <x v="479"/>
    <s v="05-2025"/>
    <x v="1"/>
    <e v="#N/A"/>
    <x v="3"/>
    <s v="ขายภายใน"/>
    <s v="MTFS"/>
    <s v="CPFGS"/>
    <s v="ซีพีเอฟ เทรดดิ้ง"/>
    <s v="E+Wonton"/>
    <s v="Cooked Wonton"/>
    <s v="Cooked Wonton  with egg V-Food"/>
    <s v="082S83Q12005P05001"/>
    <s v="145g*12"/>
    <n v="12"/>
    <n v="5"/>
    <n v="8.0000000000000002E-3"/>
    <x v="1"/>
    <s v="STPP"/>
    <s v="Regular"/>
    <n v="3509"/>
    <n v="3509"/>
    <m/>
    <n v="0"/>
    <n v="0"/>
    <n v="0"/>
    <n v="7.4999999999999997E-3"/>
    <n v="0"/>
    <m/>
    <n v="0"/>
    <n v="0"/>
  </r>
  <r>
    <x v="479"/>
    <d v="2025-05-10T00:00:00"/>
    <x v="1"/>
    <e v="#N/A"/>
    <x v="3"/>
    <s v="CB004/2568"/>
    <s v="Cambodia"/>
    <s v="Cambodia"/>
    <s v="หจก.คิงฟู้ดส์"/>
    <s v="E+Wonton"/>
    <s v="Cooked Wonton"/>
    <s v="Cooked Wonton With Egg .7-11"/>
    <s v="082S81A24005P04001"/>
    <s v="145g*24"/>
    <n v="24"/>
    <n v="5"/>
    <n v="8.0000000000000002E-3"/>
    <x v="1"/>
    <s v="STPP"/>
    <s v="Regular"/>
    <n v="50"/>
    <n v="50"/>
    <m/>
    <n v="0"/>
    <n v="0"/>
    <n v="0"/>
    <n v="7.4999999999999997E-3"/>
    <n v="0"/>
    <m/>
    <n v="0"/>
    <n v="0"/>
  </r>
  <r>
    <x v="479"/>
    <s v="05-2025"/>
    <x v="1"/>
    <e v="#N/A"/>
    <x v="3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204"/>
    <n v="204"/>
    <m/>
    <n v="0"/>
    <n v="0"/>
    <n v="0"/>
    <n v="7.4999999999999997E-3"/>
    <n v="0"/>
    <m/>
    <n v="0"/>
    <n v="0"/>
  </r>
  <r>
    <x v="479"/>
    <s v="04-2025"/>
    <x v="1"/>
    <e v="#N/A"/>
    <x v="3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907"/>
    <n v="907"/>
    <m/>
    <n v="0"/>
    <n v="0"/>
    <n v="0"/>
    <n v="1"/>
    <n v="0"/>
    <m/>
    <n v="0"/>
    <n v="0"/>
  </r>
  <r>
    <x v="479"/>
    <s v="05-2025"/>
    <x v="1"/>
    <e v="#N/A"/>
    <x v="3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1200"/>
    <n v="1200"/>
    <m/>
    <n v="0"/>
    <n v="0"/>
    <n v="0"/>
    <n v="1"/>
    <n v="0"/>
    <m/>
    <n v="0"/>
    <n v="0"/>
  </r>
  <r>
    <x v="479"/>
    <d v="2025-05-10T00:00:00"/>
    <x v="1"/>
    <e v="#N/A"/>
    <x v="3"/>
    <s v="CB004/2568"/>
    <s v="Cambodia"/>
    <s v="Cambodia"/>
    <s v="หจก.คิงฟู้ดส์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50"/>
    <n v="50"/>
    <m/>
    <n v="0"/>
    <n v="0"/>
    <n v="0"/>
    <n v="1.2999999999999999E-2"/>
    <n v="0"/>
    <m/>
    <n v="0"/>
    <n v="0"/>
  </r>
  <r>
    <x v="479"/>
    <d v="2025-06-10T00:00:00"/>
    <x v="1"/>
    <e v="#N/A"/>
    <x v="3"/>
    <s v="CB004/2568"/>
    <s v="Cambodia"/>
    <s v="Cambodia"/>
    <s v="หจก.คิงฟู้ดส์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50"/>
    <n v="50"/>
    <m/>
    <n v="0"/>
    <n v="0"/>
    <n v="0"/>
    <n v="1.2999999999999999E-2"/>
    <n v="0"/>
    <m/>
    <n v="0"/>
    <n v="0"/>
  </r>
  <r>
    <x v="479"/>
    <d v="2025-06-15T00:00:00"/>
    <x v="1"/>
    <e v="#N/A"/>
    <x v="3"/>
    <s v="CB006/2568"/>
    <s v="Cambodia"/>
    <s v="Cambodia"/>
    <s v="หจก.คิงฟู้ดส์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100"/>
    <n v="100"/>
    <m/>
    <n v="0"/>
    <n v="0"/>
    <n v="0"/>
    <n v="1.2999999999999999E-2"/>
    <n v="0"/>
    <m/>
    <n v="0"/>
    <n v="0"/>
  </r>
  <r>
    <x v="479"/>
    <s v="04-2025"/>
    <x v="1"/>
    <e v="#N/A"/>
    <x v="3"/>
    <s v="ขายภายใน"/>
    <s v=".7-11"/>
    <s v="CPFGS"/>
    <s v="ซีพีเอฟ เทรดดิ้ง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256"/>
    <n v="256"/>
    <m/>
    <n v="0"/>
    <n v="0"/>
    <n v="0"/>
    <n v="1.2999999999999999E-2"/>
    <n v="0"/>
    <m/>
    <n v="0"/>
    <n v="0"/>
  </r>
  <r>
    <x v="479"/>
    <d v="2025-05-10T00:00:00"/>
    <x v="1"/>
    <e v="#N/A"/>
    <x v="3"/>
    <s v="LA006/2568"/>
    <s v="Laos"/>
    <s v="Laos"/>
    <s v="บริษัท ปิก้าเทรดดิ้ง จำกัด"/>
    <s v="E+Wonton+หมาล่า"/>
    <s v="Cooked Wonton"/>
    <s v="เกี๊ยวกุ้งจักรพรรดิ ซุปหม่าล่า 12x143g."/>
    <s v="082S8L212005P01001"/>
    <s v="143g*12"/>
    <n v="12"/>
    <n v="5"/>
    <n v="6.1999999999999998E-3"/>
    <x v="2"/>
    <s v="STPP"/>
    <s v="หมาล่า"/>
    <n v="100"/>
    <n v="100"/>
    <m/>
    <n v="0"/>
    <n v="0"/>
    <n v="0"/>
    <n v="1.2999999999999999E-2"/>
    <n v="0"/>
    <m/>
    <n v="0"/>
    <n v="0"/>
  </r>
  <r>
    <x v="479"/>
    <s v="05-2025"/>
    <x v="1"/>
    <e v="#N/A"/>
    <x v="3"/>
    <s v="ขายภายใน"/>
    <s v="MTFS"/>
    <s v="CPFGS"/>
    <s v="ซีพีเอฟ เทรดดิ้ง"/>
    <s v="E+Wonton+หมาล่า"/>
    <s v="Cooked Wonton"/>
    <s v="เกี๊ยวกุ้งจักรพรรดิซุปหมาล่า (ตรา ซีพี)_MT"/>
    <s v="082S83Q12005P06001"/>
    <s v="143g*12"/>
    <n v="12"/>
    <n v="5"/>
    <n v="6.1999999999999998E-3"/>
    <x v="2"/>
    <s v="STPP"/>
    <s v="หมาล่า"/>
    <n v="905"/>
    <n v="905"/>
    <m/>
    <n v="0"/>
    <n v="0"/>
    <n v="0"/>
    <n v="1.2999999999999999E-2"/>
    <n v="0"/>
    <m/>
    <n v="0"/>
    <n v="0"/>
  </r>
  <r>
    <x v="480"/>
    <d v="2025-05-13T00:00:00"/>
    <x v="1"/>
    <e v="#N/A"/>
    <x v="3"/>
    <s v="DRY2400751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รอเปลี่ยนNEWPACKAGE/ถ้าว,ฝา สีขาว"/>
    <n v="0"/>
    <n v="0"/>
  </r>
  <r>
    <x v="480"/>
    <s v="05-2025"/>
    <x v="1"/>
    <e v="#N/A"/>
    <x v="3"/>
    <s v="ขายภายใน"/>
    <s v=".7-11"/>
    <s v="CPFGS"/>
    <s v="Seven  ถ้วยดำ"/>
    <s v="E+Wonton"/>
    <s v="Cooked Wonton"/>
    <s v="Cooked Wonton With Egg .7-11"/>
    <s v="082S81A24005P04001"/>
    <s v="145g*24"/>
    <n v="24"/>
    <n v="5"/>
    <n v="8.0000000000000002E-3"/>
    <x v="1"/>
    <s v="STPP"/>
    <s v="Regular"/>
    <n v="4316"/>
    <n v="4316"/>
    <m/>
    <n v="0"/>
    <n v="0"/>
    <n v="0"/>
    <n v="7.4999999999999997E-3"/>
    <n v="0"/>
    <m/>
    <n v="0"/>
    <n v="0"/>
  </r>
  <r>
    <x v="481"/>
    <s v="05-2025"/>
    <x v="1"/>
    <e v="#N/A"/>
    <x v="3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2710"/>
    <n v="2710"/>
    <m/>
    <n v="0"/>
    <n v="0"/>
    <n v="0"/>
    <n v="7.4999999999999997E-3"/>
    <n v="0"/>
    <s v="คาดการณ์ pk เข้า 21/3"/>
    <n v="0"/>
    <n v="0"/>
  </r>
  <r>
    <x v="481"/>
    <d v="2025-05-13T00:00:00"/>
    <x v="1"/>
    <e v="#N/A"/>
    <x v="3"/>
    <s v="DRY2500099"/>
    <s v="Korea"/>
    <s v="CPFNW"/>
    <s v="Emart"/>
    <s v="Wonton ND"/>
    <s v="Cooked Wonton"/>
    <s v="Cooked Wonton ND No Egg with Pumpkin_x000a_"/>
    <s v="082SJEJ36004P00001"/>
    <s v="239g*6c*6in"/>
    <n v="36"/>
    <n v="4"/>
    <n v="7.4999999999999997E-3"/>
    <x v="1"/>
    <s v="Salt"/>
    <s v="Regular"/>
    <n v="874"/>
    <n v="452"/>
    <n v="422"/>
    <n v="0"/>
    <n v="0"/>
    <n v="0"/>
    <n v="7.4999999999999997E-3"/>
    <n v="0"/>
    <m/>
    <n v="0"/>
    <n v="0"/>
  </r>
  <r>
    <x v="481"/>
    <d v="2025-05-08T00:00:00"/>
    <x v="1"/>
    <e v="#N/A"/>
    <x v="3"/>
    <s v="DRY2500084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SG+CO"/>
    <n v="924"/>
    <n v="903"/>
    <n v="21"/>
    <n v="0"/>
    <n v="0"/>
    <n v="0"/>
    <n v="3.8699999999999998E-2"/>
    <n v="0"/>
    <m/>
    <n v="0"/>
    <n v="0"/>
  </r>
  <r>
    <x v="481"/>
    <d v="2025-05-06T00:00:00"/>
    <x v="1"/>
    <e v="#N/A"/>
    <x v="3"/>
    <s v="DRY2500072"/>
    <s v="Denmark"/>
    <s v="CPFNW"/>
    <s v="CPF DENMARK"/>
    <s v="Minced ND+V+TY"/>
    <s v="Cooked Wonton"/>
    <s v="Cooked Minced  ND No Egg with Pumpkin_x000a_+ Yu Choy Tomyum"/>
    <s v="082SRRE12003P00001"/>
    <s v="302g*12"/>
    <n v="12"/>
    <n v="3"/>
    <n v="6.0000000000000001E-3"/>
    <x v="4"/>
    <s v="Salt"/>
    <s v="TYEXSG+CO"/>
    <n v="2520"/>
    <n v="2520"/>
    <m/>
    <n v="0"/>
    <n v="0"/>
    <n v="0"/>
    <n v="3.8699999999999998E-2"/>
    <n v="0"/>
    <s v="rema"/>
    <n v="0"/>
    <n v="0"/>
  </r>
  <r>
    <x v="482"/>
    <m/>
    <x v="1"/>
    <e v="#N/A"/>
    <x v="3"/>
    <m/>
    <m/>
    <m/>
    <m/>
    <m/>
    <m/>
    <m/>
    <m/>
    <m/>
    <m/>
    <m/>
    <m/>
    <x v="0"/>
    <m/>
    <m/>
    <m/>
    <m/>
    <m/>
    <m/>
    <m/>
    <n v="0"/>
    <m/>
    <n v="0"/>
    <m/>
    <m/>
    <m/>
  </r>
  <r>
    <x v="483"/>
    <s v="05-2025"/>
    <x v="1"/>
    <e v="#N/A"/>
    <x v="3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600"/>
    <n v="600"/>
    <m/>
    <n v="0"/>
    <n v="0"/>
    <n v="0"/>
    <m/>
    <n v="0"/>
    <m/>
    <n v="0"/>
    <n v="0"/>
  </r>
  <r>
    <x v="483"/>
    <d v="2025-05-13T00:00:00"/>
    <x v="1"/>
    <e v="#N/A"/>
    <x v="3"/>
    <s v="DRY2500058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1010"/>
    <n v="752"/>
    <n v="258"/>
    <n v="0"/>
    <n v="0"/>
    <n v="0"/>
    <n v="2"/>
    <n v="0"/>
    <m/>
    <n v="0"/>
    <n v="0"/>
  </r>
  <r>
    <x v="483"/>
    <s v="05-2025"/>
    <x v="1"/>
    <e v="#N/A"/>
    <x v="3"/>
    <s v="ขายภายใน"/>
    <s v="ขายภายใน"/>
    <s v="CPFGS"/>
    <s v="ซีพีเอฟ เทรดดิ้ง"/>
    <s v="R-Wonton egg past"/>
    <s v="Raw Wonton"/>
    <s v="Raw Wonton 50 pcs OISHI"/>
    <s v="082S01508600G01001"/>
    <s v="600g.*8 packs"/>
    <n v="8"/>
    <n v="50"/>
    <n v="8.1300000000000001E-3"/>
    <x v="1"/>
    <s v="STPP"/>
    <m/>
    <n v="100"/>
    <n v="100"/>
    <m/>
    <n v="0"/>
    <n v="0"/>
    <n v="0"/>
    <m/>
    <n v="0"/>
    <m/>
    <n v="0"/>
    <n v="0"/>
  </r>
  <r>
    <x v="484"/>
    <d v="2025-05-08T00:00:00"/>
    <x v="1"/>
    <e v="#N/A"/>
    <x v="3"/>
    <s v="DRY240078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172"/>
    <n v="172"/>
    <m/>
    <n v="0"/>
    <n v="0"/>
    <n v="0"/>
    <n v="9.7000000000000003E-3"/>
    <n v="0"/>
    <m/>
    <n v="0"/>
    <n v="0"/>
  </r>
  <r>
    <x v="484"/>
    <d v="2025-05-13T00:00:00"/>
    <x v="1"/>
    <e v="#N/A"/>
    <x v="3"/>
    <s v="DRY2400752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รอเปลี่ยนNEWPACKAGE/ถ้าว,ฝา สีขาว"/>
    <n v="0"/>
    <n v="0"/>
  </r>
  <r>
    <x v="484"/>
    <d v="2025-05-19T00:00:00"/>
    <x v="1"/>
    <e v="#N/A"/>
    <x v="3"/>
    <s v="DRY2500059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819"/>
    <n v="819"/>
    <m/>
    <n v="0"/>
    <n v="0"/>
    <n v="0"/>
    <n v="6"/>
    <n v="0"/>
    <m/>
    <n v="0"/>
    <n v="0"/>
  </r>
  <r>
    <x v="485"/>
    <d v="2025-05-08T00:00:00"/>
    <x v="1"/>
    <e v="#N/A"/>
    <x v="3"/>
    <s v="DRY240078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620"/>
    <n v="620"/>
    <m/>
    <n v="0"/>
    <n v="0"/>
    <n v="0"/>
    <n v="9.7000000000000003E-3"/>
    <n v="0"/>
    <m/>
    <n v="0"/>
    <n v="0"/>
  </r>
  <r>
    <x v="485"/>
    <d v="2025-05-08T00:00:00"/>
    <x v="1"/>
    <e v="#N/A"/>
    <x v="3"/>
    <s v="DRY240078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343"/>
    <n v="449"/>
    <n v="0"/>
    <n v="0"/>
    <n v="0"/>
    <n v="9.7000000000000003E-3"/>
    <n v="0"/>
    <m/>
    <n v="0"/>
    <n v="0"/>
  </r>
  <r>
    <x v="485"/>
    <d v="2025-05-08T00:00:00"/>
    <x v="1"/>
    <e v="#N/A"/>
    <x v="3"/>
    <s v="DRY240084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40.47222222222217"/>
    <m/>
    <n v="540.47222222222217"/>
    <n v="0"/>
    <n v="0"/>
    <n v="0"/>
    <n v="9.7000000000000003E-3"/>
    <n v="0"/>
    <m/>
    <n v="0"/>
    <n v="0"/>
  </r>
  <r>
    <x v="485"/>
    <s v="04-2025"/>
    <x v="1"/>
    <e v="#N/A"/>
    <x v="3"/>
    <s v="ขายภายใน"/>
    <s v="MTFS"/>
    <s v="CPFGS"/>
    <s v="ซีพีเอฟ เทรดดิ้ง"/>
    <s v="Wonton ND"/>
    <s v="Cooked Wonton"/>
    <s v="บะหมี่เกี๊ยวกุ้งซุปสุกี้ CPxMK 227g ND Pumpkin"/>
    <s v="082SJ3Q12003P09001"/>
    <s v="227g*12"/>
    <n v="12"/>
    <n v="3"/>
    <n v="8.0000000000000002E-3"/>
    <x v="2"/>
    <s v="STPP"/>
    <s v="MK"/>
    <n v="146"/>
    <n v="146"/>
    <m/>
    <n v="0"/>
    <n v="0"/>
    <n v="0"/>
    <n v="0.05"/>
    <n v="0"/>
    <m/>
    <n v="0"/>
    <n v="0"/>
  </r>
  <r>
    <x v="485"/>
    <s v="05-2025"/>
    <x v="1"/>
    <e v="#N/A"/>
    <x v="3"/>
    <s v="ขายภายใน"/>
    <s v="MTFS"/>
    <s v="CPFGS"/>
    <s v="ซีพีเอฟ เทรดดิ้ง"/>
    <s v="Wonton ND"/>
    <s v="Cooked Wonton"/>
    <s v="บะหมี่เกี๊ยวกุ้งซุปสุกี้ CPxMK 227g ND Pumpkin"/>
    <s v="082SJ3Q12003P09001"/>
    <s v="227g*12"/>
    <n v="12"/>
    <n v="3"/>
    <n v="8.0000000000000002E-3"/>
    <x v="2"/>
    <s v="STPP"/>
    <s v="MK"/>
    <n v="5323"/>
    <n v="5323"/>
    <m/>
    <n v="0"/>
    <n v="0"/>
    <n v="0"/>
    <n v="0.05"/>
    <n v="0"/>
    <m/>
    <n v="0"/>
    <n v="0"/>
  </r>
  <r>
    <x v="486"/>
    <m/>
    <x v="1"/>
    <e v="#N/A"/>
    <x v="4"/>
    <m/>
    <m/>
    <m/>
    <m/>
    <m/>
    <m/>
    <m/>
    <m/>
    <m/>
    <m/>
    <m/>
    <m/>
    <x v="0"/>
    <m/>
    <m/>
    <m/>
    <m/>
    <m/>
    <m/>
    <m/>
    <n v="0"/>
    <m/>
    <n v="0"/>
    <m/>
    <m/>
    <m/>
  </r>
  <r>
    <x v="487"/>
    <d v="2025-05-13T00:00:00"/>
    <x v="1"/>
    <e v="#N/A"/>
    <x v="4"/>
    <s v="DRY2500094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3500"/>
    <m/>
    <n v="3610.125"/>
    <n v="110.125"/>
    <n v="0"/>
    <n v="0"/>
    <n v="7.4999999999999997E-3"/>
    <n v="0"/>
    <m/>
    <n v="0"/>
    <n v="0"/>
  </r>
  <r>
    <x v="487"/>
    <d v="2025-05-08T00:00:00"/>
    <x v="1"/>
    <e v="#N/A"/>
    <x v="4"/>
    <s v="DRY240084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51.52777777777777"/>
    <n v="251.52777777777777"/>
    <m/>
    <n v="0"/>
    <n v="0"/>
    <n v="0"/>
    <n v="9.7000000000000003E-3"/>
    <n v="0"/>
    <m/>
    <n v="0"/>
    <n v="0"/>
  </r>
  <r>
    <x v="487"/>
    <d v="2025-05-08T00:00:00"/>
    <x v="1"/>
    <e v="#N/A"/>
    <x v="4"/>
    <s v="DRY240085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487"/>
    <d v="2025-05-08T00:00:00"/>
    <x v="1"/>
    <e v="#N/A"/>
    <x v="4"/>
    <s v="DRY240085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487"/>
    <d v="2025-05-14T00:00:00"/>
    <x v="1"/>
    <e v="#N/A"/>
    <x v="4"/>
    <s v="DRY250002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487"/>
    <d v="2025-05-15T00:00:00"/>
    <x v="1"/>
    <e v="#N/A"/>
    <x v="4"/>
    <s v="DRY250002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26"/>
    <n v="526"/>
    <m/>
    <n v="0"/>
    <n v="0"/>
    <n v="0"/>
    <n v="9.7000000000000003E-3"/>
    <n v="0"/>
    <m/>
    <n v="0"/>
    <n v="0"/>
  </r>
  <r>
    <x v="488"/>
    <d v="2025-05-15T00:00:00"/>
    <x v="1"/>
    <e v="#N/A"/>
    <x v="4"/>
    <s v="DRY250002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66"/>
    <n v="266"/>
    <m/>
    <n v="0"/>
    <n v="0"/>
    <n v="0"/>
    <n v="9.7000000000000003E-3"/>
    <n v="0"/>
    <m/>
    <n v="0"/>
    <n v="0"/>
  </r>
  <r>
    <x v="488"/>
    <d v="2025-05-15T00:00:00"/>
    <x v="1"/>
    <e v="#N/A"/>
    <x v="4"/>
    <s v="DRY250002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488"/>
    <d v="2025-05-15T00:00:00"/>
    <x v="1"/>
    <e v="#N/A"/>
    <x v="4"/>
    <s v="DRY250003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488"/>
    <d v="2025-05-15T00:00:00"/>
    <x v="1"/>
    <e v="#N/A"/>
    <x v="4"/>
    <s v="DRY250003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575"/>
    <n v="504"/>
    <n v="71"/>
    <n v="0"/>
    <n v="0"/>
    <n v="0"/>
    <n v="9.7000000000000003E-3"/>
    <n v="0"/>
    <m/>
    <n v="0"/>
    <n v="0"/>
  </r>
  <r>
    <x v="488"/>
    <d v="2025-05-16T00:00:00"/>
    <x v="1"/>
    <e v="#N/A"/>
    <x v="4"/>
    <s v="DRY2500097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SG+CO"/>
    <n v="907"/>
    <n v="907"/>
    <m/>
    <n v="0"/>
    <n v="0"/>
    <n v="0"/>
    <n v="3.8699999999999998E-2"/>
    <n v="0"/>
    <m/>
    <n v="0"/>
    <n v="0"/>
  </r>
  <r>
    <x v="488"/>
    <d v="2025-05-13T00:00:00"/>
    <x v="1"/>
    <e v="#N/A"/>
    <x v="4"/>
    <s v="DRY2500073"/>
    <s v="Denmark"/>
    <s v="CPFNW"/>
    <s v="CPF DENMARK"/>
    <s v="Minced ND+V+TY"/>
    <s v="Cooked Wonton"/>
    <s v="Cooked Minced  ND No Egg with Pumpkin_x000a_+ Yu Choy Tomyum"/>
    <s v="082SRRE12003P00001"/>
    <s v="302g*12"/>
    <n v="12"/>
    <n v="3"/>
    <n v="6.0000000000000001E-3"/>
    <x v="4"/>
    <s v="Salt"/>
    <s v="TYEXSG+CO"/>
    <n v="2520"/>
    <n v="2520"/>
    <m/>
    <n v="0"/>
    <n v="0"/>
    <n v="0"/>
    <n v="3.8699999999999998E-2"/>
    <n v="0"/>
    <s v="rema"/>
    <n v="0"/>
    <n v="0"/>
  </r>
  <r>
    <x v="489"/>
    <m/>
    <x v="1"/>
    <e v="#N/A"/>
    <x v="4"/>
    <m/>
    <m/>
    <m/>
    <m/>
    <m/>
    <m/>
    <m/>
    <m/>
    <m/>
    <m/>
    <m/>
    <m/>
    <x v="0"/>
    <m/>
    <m/>
    <m/>
    <m/>
    <m/>
    <m/>
    <m/>
    <n v="0"/>
    <m/>
    <n v="0"/>
    <m/>
    <m/>
    <m/>
  </r>
  <r>
    <x v="490"/>
    <d v="2025-05-13T00:00:00"/>
    <x v="1"/>
    <e v="#N/A"/>
    <x v="4"/>
    <s v="DRY2500170"/>
    <s v="USA"/>
    <s v="CPFNW"/>
    <s v="Bellisio Foods, Inc."/>
    <s v="Wonton"/>
    <s v="Cooked Wonton"/>
    <s v="Wonton Soup  (Enriched wonton sheet)"/>
    <s v="082S8BW36005P02001"/>
    <s v="145g*6c*6in"/>
    <n v="36"/>
    <n v="5"/>
    <n v="7.4999999999999997E-3"/>
    <x v="5"/>
    <s v="Salt"/>
    <s v="Y3"/>
    <n v="1288"/>
    <m/>
    <n v="1288"/>
    <n v="0"/>
    <n v="0"/>
    <n v="0"/>
    <n v="9.7000000000000003E-3"/>
    <n v="0"/>
    <m/>
    <n v="0"/>
    <n v="0"/>
  </r>
  <r>
    <x v="490"/>
    <d v="2025-05-13T00:00:00"/>
    <x v="1"/>
    <e v="#N/A"/>
    <x v="4"/>
    <s v="DRY2500171"/>
    <s v="USA"/>
    <s v="CPFNW"/>
    <s v="Bellisio Foods, Inc."/>
    <s v="Wonton"/>
    <s v="Cooked Wonton"/>
    <s v="Wonton Soup  (Enriched wonton sheet)"/>
    <s v="082S8BW36005P02001"/>
    <s v="145g*6c*6in"/>
    <n v="36"/>
    <n v="5"/>
    <n v="7.4999999999999997E-3"/>
    <x v="5"/>
    <s v="Salt"/>
    <s v="Y3"/>
    <n v="1288"/>
    <n v="450"/>
    <n v="838"/>
    <n v="0"/>
    <n v="0"/>
    <n v="0"/>
    <n v="9.7000000000000003E-3"/>
    <n v="0"/>
    <m/>
    <n v="0"/>
    <n v="0"/>
  </r>
  <r>
    <x v="490"/>
    <d v="2025-05-13T00:00:00"/>
    <x v="1"/>
    <e v="#N/A"/>
    <x v="4"/>
    <s v="DRY2500172"/>
    <s v="USA"/>
    <s v="CPFNW"/>
    <s v="Bellisio Foods, Inc."/>
    <s v="Wonton"/>
    <s v="Cooked Wonton"/>
    <s v="Wonton Soup  (Enriched wonton sheet)"/>
    <s v="082S8BW36005P02001"/>
    <s v="145g*6c*6in"/>
    <n v="36"/>
    <n v="5"/>
    <n v="7.4999999999999997E-3"/>
    <x v="5"/>
    <s v="Salt"/>
    <s v="Y3"/>
    <n v="1288"/>
    <n v="1288"/>
    <m/>
    <n v="0"/>
    <n v="0"/>
    <n v="0"/>
    <n v="9.7000000000000003E-3"/>
    <n v="0"/>
    <m/>
    <n v="0"/>
    <n v="0"/>
  </r>
  <r>
    <x v="490"/>
    <d v="2025-05-13T00:00:00"/>
    <x v="1"/>
    <e v="#N/A"/>
    <x v="4"/>
    <s v="DRY2500173"/>
    <s v="USA"/>
    <s v="CPFNW"/>
    <s v="Bellisio Foods, Inc."/>
    <s v="Wonton"/>
    <s v="Cooked Wonton"/>
    <s v="Wonton Soup  (Enriched wonton sheet)"/>
    <s v="082S8BW36005P02001"/>
    <s v="145g*6c*6in"/>
    <n v="36"/>
    <n v="5"/>
    <n v="7.4999999999999997E-3"/>
    <x v="5"/>
    <s v="Salt"/>
    <s v="Y3"/>
    <n v="52"/>
    <n v="52"/>
    <m/>
    <n v="0"/>
    <n v="0"/>
    <n v="0"/>
    <n v="9.7000000000000003E-3"/>
    <n v="0"/>
    <m/>
    <n v="0"/>
    <n v="0"/>
  </r>
  <r>
    <x v="491"/>
    <d v="2025-05-13T00:00:00"/>
    <x v="1"/>
    <e v="#N/A"/>
    <x v="4"/>
    <s v="DRY2500173"/>
    <s v="USA"/>
    <s v="CPFNW"/>
    <s v="Bellisio Foods, Inc."/>
    <s v="Wonton"/>
    <s v="Cooked Wonton"/>
    <s v="Wonton Soup  (Enriched wonton sheet)"/>
    <s v="082S8BW36005P02001"/>
    <s v="145g*6c*6in"/>
    <n v="36"/>
    <n v="5"/>
    <n v="7.4999999999999997E-3"/>
    <x v="5"/>
    <s v="Salt"/>
    <s v="Y3"/>
    <n v="1236"/>
    <n v="1236"/>
    <m/>
    <n v="0"/>
    <n v="0"/>
    <n v="0"/>
    <n v="9.7000000000000003E-3"/>
    <n v="0"/>
    <m/>
    <n v="0"/>
    <n v="0"/>
  </r>
  <r>
    <x v="491"/>
    <d v="2025-05-14T00:00:00"/>
    <x v="1"/>
    <e v="#N/A"/>
    <x v="4"/>
    <s v="DRY2500174"/>
    <s v="USA"/>
    <s v="CPFNW"/>
    <s v="Bellisio Foods, Inc."/>
    <s v="Wonton"/>
    <s v="Cooked Wonton"/>
    <s v="Wonton Soup  (Enriched wonton sheet)"/>
    <s v="082S8BW36005P02001"/>
    <s v="145g*6c*6in"/>
    <n v="36"/>
    <n v="5"/>
    <n v="7.4999999999999997E-3"/>
    <x v="5"/>
    <s v="Salt"/>
    <s v="Y3"/>
    <n v="1288"/>
    <n v="1288"/>
    <m/>
    <n v="0"/>
    <n v="0"/>
    <n v="0"/>
    <n v="9.7000000000000003E-3"/>
    <n v="0"/>
    <m/>
    <n v="0"/>
    <n v="0"/>
  </r>
  <r>
    <x v="491"/>
    <d v="2025-05-20T00:00:00"/>
    <x v="1"/>
    <e v="#N/A"/>
    <x v="4"/>
    <s v="DRY2500175"/>
    <s v="USA"/>
    <s v="CPFNW"/>
    <s v="Bellisio Foods, Inc."/>
    <s v="Wonton"/>
    <s v="Cooked Wonton"/>
    <s v="Wonton Soup  (Enriched wonton sheet)"/>
    <s v="082S8BW36005P02001"/>
    <s v="145g*6c*6in"/>
    <n v="36"/>
    <n v="5"/>
    <n v="7.4999999999999997E-3"/>
    <x v="5"/>
    <s v="Salt"/>
    <s v="Y3"/>
    <n v="1245"/>
    <n v="1245"/>
    <m/>
    <n v="0"/>
    <n v="0"/>
    <n v="0"/>
    <n v="9.7000000000000003E-3"/>
    <n v="0"/>
    <m/>
    <n v="0"/>
    <n v="0"/>
  </r>
  <r>
    <x v="491"/>
    <s v="05-2025"/>
    <x v="1"/>
    <e v="#N/A"/>
    <x v="4"/>
    <s v="ขายภายใน"/>
    <s v="MTFS"/>
    <s v="CPFGS"/>
    <s v="ซีพีเอฟ เทรดดิ้ง"/>
    <s v="Wonton ND"/>
    <s v="Cooked Wonton"/>
    <s v="บะหมี่เกี๊ยวกุ้งซุปสุกี้ CPxMK 227g ND Pumpkin"/>
    <s v="082SJ3Q12003P09001"/>
    <s v="227g*12"/>
    <n v="12"/>
    <n v="3"/>
    <n v="8.0000000000000002E-3"/>
    <x v="2"/>
    <s v="STPP"/>
    <s v="MK"/>
    <n v="677"/>
    <n v="677"/>
    <m/>
    <n v="0"/>
    <n v="0"/>
    <n v="0"/>
    <n v="0.05"/>
    <n v="0"/>
    <m/>
    <n v="0"/>
    <n v="0"/>
  </r>
  <r>
    <x v="491"/>
    <s v="05-2025"/>
    <x v="1"/>
    <e v="#N/A"/>
    <x v="4"/>
    <s v="ขายภายใน"/>
    <s v="MTFS"/>
    <s v="CPFGS"/>
    <s v="ซีพีเอฟ เทรดดิ้ง"/>
    <s v="Wonton ND"/>
    <s v="Cooked Wonton"/>
    <s v="บะหมี่เกี๊ยวกุ้งซุปสุกี้ CPxMK 227g ND Pumpkin"/>
    <s v="082SJ3Q12003P09001"/>
    <s v="227g*12"/>
    <n v="12"/>
    <n v="3"/>
    <n v="8.0000000000000002E-3"/>
    <x v="2"/>
    <s v="STPP"/>
    <s v="MK"/>
    <n v="16"/>
    <n v="16"/>
    <m/>
    <n v="0"/>
    <n v="0"/>
    <n v="0"/>
    <n v="0.05"/>
    <n v="0"/>
    <m/>
    <n v="0"/>
    <n v="0"/>
  </r>
  <r>
    <x v="491"/>
    <s v="05-2025"/>
    <x v="1"/>
    <e v="#N/A"/>
    <x v="4"/>
    <s v="ขายภายใน"/>
    <s v="MTFS"/>
    <s v="CPFGS"/>
    <s v="ซีพีเอฟ เทรดดิ้ง"/>
    <s v="Wonton ND"/>
    <s v="Cooked Wonton"/>
    <s v="บะหมี่เกี๊ยวกุ้งซุปสุกี้ CPxMK 227g ND Pumpkin"/>
    <s v="082SJ3Q12003P09001"/>
    <s v="227g*12"/>
    <n v="12"/>
    <n v="3"/>
    <n v="8.0000000000000002E-3"/>
    <x v="2"/>
    <s v="STPP"/>
    <s v="MK"/>
    <n v="63"/>
    <n v="63"/>
    <m/>
    <n v="0"/>
    <n v="0"/>
    <n v="0"/>
    <n v="0.05"/>
    <n v="0"/>
    <m/>
    <n v="0"/>
    <n v="0"/>
  </r>
  <r>
    <x v="492"/>
    <d v="2025-05-20T00:00:00"/>
    <x v="1"/>
    <e v="#N/A"/>
    <x v="4"/>
    <s v="DRY2500175"/>
    <s v="USA"/>
    <s v="CPFNW"/>
    <s v="Bellisio Foods, Inc."/>
    <s v="Wonton"/>
    <s v="Cooked Wonton"/>
    <s v="Wonton Soup  (Enriched wonton sheet)"/>
    <s v="082S8BW36005P02001"/>
    <s v="145g*6c*6in"/>
    <n v="36"/>
    <n v="5"/>
    <n v="7.4999999999999997E-3"/>
    <x v="5"/>
    <s v="Salt"/>
    <s v="Y3"/>
    <n v="43"/>
    <n v="43"/>
    <m/>
    <n v="0"/>
    <n v="0"/>
    <n v="0"/>
    <n v="9.7000000000000003E-3"/>
    <n v="0"/>
    <m/>
    <n v="0"/>
    <n v="0"/>
  </r>
  <r>
    <x v="492"/>
    <d v="2025-05-20T00:00:00"/>
    <x v="1"/>
    <e v="#N/A"/>
    <x v="4"/>
    <s v="DRY2500176"/>
    <s v="USA"/>
    <s v="CPFNW"/>
    <s v="Bellisio Foods, Inc."/>
    <s v="Wonton"/>
    <s v="Cooked Wonton"/>
    <s v="Wonton Soup  (Enriched wonton sheet)"/>
    <s v="082S8BW36005P02001"/>
    <s v="145g*6c*6in"/>
    <n v="36"/>
    <n v="5"/>
    <n v="7.4999999999999997E-3"/>
    <x v="5"/>
    <s v="Salt"/>
    <s v="Y3"/>
    <n v="1288"/>
    <n v="1288"/>
    <m/>
    <n v="0"/>
    <n v="0"/>
    <n v="0"/>
    <n v="9.7000000000000003E-3"/>
    <n v="0"/>
    <m/>
    <n v="0"/>
    <n v="0"/>
  </r>
  <r>
    <x v="492"/>
    <d v="2025-05-20T00:00:00"/>
    <x v="1"/>
    <e v="#N/A"/>
    <x v="4"/>
    <s v="DRY2500177"/>
    <s v="USA"/>
    <s v="CPFNW"/>
    <s v="Bellisio Foods, Inc."/>
    <s v="Wonton"/>
    <s v="Cooked Wonton"/>
    <s v="Wonton Soup  (Enriched wonton sheet)"/>
    <s v="082S8BW36005P02001"/>
    <s v="145g*6c*6in"/>
    <n v="36"/>
    <n v="5"/>
    <n v="7.4999999999999997E-3"/>
    <x v="5"/>
    <s v="Salt"/>
    <s v="Y3"/>
    <n v="1288"/>
    <n v="1288"/>
    <m/>
    <n v="0"/>
    <n v="0"/>
    <n v="0"/>
    <n v="9.7000000000000003E-3"/>
    <n v="0"/>
    <m/>
    <n v="0"/>
    <n v="0"/>
  </r>
  <r>
    <x v="492"/>
    <d v="2025-05-20T00:00:00"/>
    <x v="1"/>
    <e v="#N/A"/>
    <x v="4"/>
    <s v="DRY2500178"/>
    <s v="USA"/>
    <s v="CPFNW"/>
    <s v="Bellisio Foods, Inc."/>
    <s v="Wonton"/>
    <s v="Cooked Wonton"/>
    <s v="Wonton Soup  (Enriched wonton sheet)"/>
    <s v="082S8BW36005P02001"/>
    <s v="145g*6c*6in"/>
    <n v="36"/>
    <n v="5"/>
    <n v="7.4999999999999997E-3"/>
    <x v="5"/>
    <s v="Salt"/>
    <s v="Y3"/>
    <n v="1288"/>
    <n v="1288"/>
    <n v="11.388888888888889"/>
    <n v="11.388888888888914"/>
    <n v="0"/>
    <n v="0"/>
    <n v="9.7000000000000003E-3"/>
    <n v="0"/>
    <m/>
    <n v="0"/>
    <n v="0"/>
  </r>
  <r>
    <x v="493"/>
    <d v="2025-05-13T00:00:00"/>
    <x v="1"/>
    <e v="#N/A"/>
    <x v="4"/>
    <s v="DRY2500115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750"/>
    <n v="1750"/>
    <n v="5"/>
    <n v="5"/>
    <n v="0"/>
    <n v="0"/>
    <n v="6"/>
    <n v="0"/>
    <m/>
    <n v="0"/>
    <n v="0"/>
  </r>
  <r>
    <x v="494"/>
    <d v="2025-05-15T00:00:00"/>
    <x v="1"/>
    <e v="#N/A"/>
    <x v="4"/>
    <s v="DRY250003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217"/>
    <n v="217"/>
    <m/>
    <n v="0"/>
    <n v="0"/>
    <n v="0"/>
    <n v="9.7000000000000003E-3"/>
    <n v="0"/>
    <m/>
    <n v="0"/>
    <n v="0"/>
  </r>
  <r>
    <x v="494"/>
    <d v="2025-05-15T00:00:00"/>
    <x v="1"/>
    <e v="#N/A"/>
    <x v="4"/>
    <s v="DRY250003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494"/>
    <d v="2025-05-15T00:00:00"/>
    <x v="1"/>
    <e v="#N/A"/>
    <x v="4"/>
    <s v="DRY250003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494"/>
    <d v="2025-05-15T00:00:00"/>
    <x v="1"/>
    <e v="#N/A"/>
    <x v="4"/>
    <s v="DRY250009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494"/>
    <d v="2025-05-21T00:00:00"/>
    <x v="1"/>
    <e v="#N/A"/>
    <x v="4"/>
    <s v="DRY250009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335"/>
    <n v="335"/>
    <m/>
    <n v="0"/>
    <n v="0"/>
    <n v="0"/>
    <n v="9.7000000000000003E-3"/>
    <n v="0"/>
    <m/>
    <n v="0"/>
    <n v="0"/>
  </r>
  <r>
    <x v="495"/>
    <d v="2025-05-15T00:00:00"/>
    <x v="1"/>
    <e v="#N/A"/>
    <x v="4"/>
    <s v="DRY2500076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88"/>
    <m/>
    <n v="0"/>
    <n v="0"/>
    <n v="0"/>
    <n v="7.4999999999999997E-3"/>
    <n v="0"/>
    <m/>
    <n v="0"/>
    <n v="0"/>
  </r>
  <r>
    <x v="495"/>
    <s v="05-2025"/>
    <x v="1"/>
    <e v="#N/A"/>
    <x v="4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2375"/>
    <n v="2375"/>
    <m/>
    <n v="0"/>
    <n v="0"/>
    <n v="0"/>
    <n v="7.4999999999999997E-3"/>
    <n v="0"/>
    <s v="คาดการณ์ pk เข้า 21/3"/>
    <n v="0"/>
    <n v="0"/>
  </r>
  <r>
    <x v="495"/>
    <d v="2025-05-16T00:00:00"/>
    <x v="1"/>
    <e v="#N/A"/>
    <x v="4"/>
    <s v="DRY2500097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SG+CO"/>
    <n v="17"/>
    <n v="17"/>
    <m/>
    <n v="0"/>
    <n v="0"/>
    <n v="0"/>
    <n v="3.8699999999999998E-2"/>
    <n v="0"/>
    <m/>
    <n v="0"/>
    <n v="0"/>
  </r>
  <r>
    <x v="495"/>
    <d v="2025-05-29T00:00:00"/>
    <x v="1"/>
    <e v="#N/A"/>
    <x v="4"/>
    <s v="DRY2500098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SG+CO"/>
    <n v="924"/>
    <n v="924"/>
    <m/>
    <n v="0"/>
    <n v="0"/>
    <n v="0"/>
    <n v="3.8699999999999998E-2"/>
    <n v="0"/>
    <m/>
    <n v="0"/>
    <n v="0"/>
  </r>
  <r>
    <x v="495"/>
    <d v="2025-06-05T00:00:00"/>
    <x v="1"/>
    <e v="#N/A"/>
    <x v="4"/>
    <s v="DRY2500109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SG+CO"/>
    <n v="924"/>
    <n v="592"/>
    <n v="332"/>
    <n v="0"/>
    <n v="0"/>
    <n v="0"/>
    <n v="3.8699999999999998E-2"/>
    <n v="0"/>
    <m/>
    <n v="0"/>
    <n v="0"/>
  </r>
  <r>
    <x v="496"/>
    <m/>
    <x v="1"/>
    <e v="#N/A"/>
    <x v="4"/>
    <m/>
    <m/>
    <m/>
    <m/>
    <m/>
    <m/>
    <m/>
    <m/>
    <m/>
    <m/>
    <m/>
    <m/>
    <x v="0"/>
    <m/>
    <m/>
    <m/>
    <m/>
    <m/>
    <m/>
    <m/>
    <n v="0"/>
    <m/>
    <n v="0"/>
    <m/>
    <m/>
    <m/>
  </r>
  <r>
    <x v="497"/>
    <m/>
    <x v="1"/>
    <e v="#N/A"/>
    <x v="4"/>
    <m/>
    <m/>
    <m/>
    <m/>
    <m/>
    <m/>
    <m/>
    <m/>
    <m/>
    <m/>
    <m/>
    <m/>
    <x v="0"/>
    <m/>
    <m/>
    <m/>
    <m/>
    <m/>
    <m/>
    <m/>
    <n v="0"/>
    <m/>
    <n v="0"/>
    <m/>
    <m/>
    <m/>
  </r>
  <r>
    <x v="498"/>
    <d v="2025-05-19T00:00:00"/>
    <x v="1"/>
    <e v="#N/A"/>
    <x v="4"/>
    <s v="DRY2500059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28"/>
    <n v="628"/>
    <m/>
    <n v="0"/>
    <n v="0"/>
    <n v="0"/>
    <n v="6"/>
    <n v="0"/>
    <m/>
    <n v="0"/>
    <n v="0"/>
  </r>
  <r>
    <x v="498"/>
    <d v="2025-05-26T00:00:00"/>
    <x v="1"/>
    <e v="#N/A"/>
    <x v="4"/>
    <s v="ขายภายใน"/>
    <s v="5 Stars"/>
    <s v="5 Stars"/>
    <s v="CPFB"/>
    <s v="EP+Wonton"/>
    <s v="Cooked Wonton"/>
    <s v="Cooked Wonton with egg "/>
    <s v="082S81N16020P00001"/>
    <s v="20 pcs*16"/>
    <n v="64"/>
    <n v="5"/>
    <n v="7.0000000000000001E-3"/>
    <x v="3"/>
    <s v="STPP"/>
    <m/>
    <n v="100"/>
    <m/>
    <n v="100"/>
    <n v="0"/>
    <n v="0"/>
    <n v="0"/>
    <m/>
    <m/>
    <m/>
    <m/>
    <m/>
  </r>
  <r>
    <x v="498"/>
    <d v="2025-05-21T00:00:00"/>
    <x v="1"/>
    <e v="#N/A"/>
    <x v="4"/>
    <s v="DRY250009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457"/>
    <n v="457"/>
    <m/>
    <n v="0"/>
    <n v="0"/>
    <n v="0"/>
    <n v="9.7000000000000003E-3"/>
    <n v="0"/>
    <m/>
    <n v="0"/>
    <n v="0"/>
  </r>
  <r>
    <x v="498"/>
    <d v="2025-05-21T00:00:00"/>
    <x v="1"/>
    <e v="#N/A"/>
    <x v="4"/>
    <s v="DRY250017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498"/>
    <d v="2025-05-21T00:00:00"/>
    <x v="1"/>
    <e v="#N/A"/>
    <x v="4"/>
    <s v="DRY250018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14"/>
    <n v="714"/>
    <m/>
    <n v="0"/>
    <n v="0"/>
    <n v="0"/>
    <n v="9.7000000000000003E-3"/>
    <n v="0"/>
    <m/>
    <n v="0"/>
    <n v="0"/>
  </r>
  <r>
    <x v="499"/>
    <d v="2025-05-19T00:00:00"/>
    <x v="1"/>
    <e v="#N/A"/>
    <x v="4"/>
    <s v="DRY2500059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09"/>
    <n v="609"/>
    <m/>
    <n v="0"/>
    <n v="0"/>
    <n v="0"/>
    <n v="6"/>
    <n v="0"/>
    <m/>
    <n v="0"/>
    <n v="0"/>
  </r>
  <r>
    <x v="499"/>
    <d v="2025-05-19T00:00:00"/>
    <x v="1"/>
    <e v="#N/A"/>
    <x v="4"/>
    <s v="DRY2500110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724"/>
    <n v="724"/>
    <m/>
    <n v="0"/>
    <n v="0"/>
    <n v="0"/>
    <n v="2"/>
    <n v="0"/>
    <m/>
    <n v="0"/>
    <n v="0"/>
  </r>
  <r>
    <x v="500"/>
    <d v="2025-05-19T00:00:00"/>
    <x v="1"/>
    <e v="#N/A"/>
    <x v="4"/>
    <s v="DRY2500110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900"/>
    <n v="900"/>
    <m/>
    <n v="0"/>
    <n v="0"/>
    <n v="0"/>
    <n v="2"/>
    <n v="0"/>
    <m/>
    <n v="0"/>
    <n v="0"/>
  </r>
  <r>
    <x v="500"/>
    <d v="2025-06-10T00:00:00"/>
    <x v="1"/>
    <e v="#N/A"/>
    <x v="4"/>
    <s v="DRY2500102"/>
    <s v="Malay"/>
    <s v="CPFNW"/>
    <s v="CPM Malaysia"/>
    <s v="R-Wonton egg past"/>
    <s v="Raw Wonton"/>
    <s v="Raw Wonton 12 pcs"/>
    <s v="082I95I20012P02001"/>
    <s v="154g*20inner"/>
    <n v="20"/>
    <n v="12"/>
    <n v="6.8100000000000001E-3"/>
    <x v="3"/>
    <s v="STPP"/>
    <s v="ซุปซอง 5g."/>
    <n v="350"/>
    <n v="350"/>
    <m/>
    <n v="0"/>
    <n v="0"/>
    <n v="0"/>
    <n v="2"/>
    <n v="0"/>
    <m/>
    <n v="0"/>
    <n v="0"/>
  </r>
  <r>
    <x v="501"/>
    <d v="2025-05-21T00:00:00"/>
    <x v="1"/>
    <e v="#N/A"/>
    <x v="4"/>
    <s v="DRY250018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8"/>
    <n v="78"/>
    <m/>
    <n v="0"/>
    <n v="0"/>
    <n v="0"/>
    <n v="9.7000000000000003E-3"/>
    <n v="0"/>
    <m/>
    <n v="0"/>
    <n v="0"/>
  </r>
  <r>
    <x v="501"/>
    <d v="2025-05-21T00:00:00"/>
    <x v="1"/>
    <e v="#N/A"/>
    <x v="4"/>
    <s v="DRY250018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501"/>
    <d v="2025-05-21T00:00:00"/>
    <x v="1"/>
    <e v="#N/A"/>
    <x v="4"/>
    <s v="DRY250018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n v="797"/>
    <m/>
    <n v="5"/>
    <n v="0"/>
    <n v="0"/>
    <n v="9.7000000000000003E-3"/>
    <n v="0"/>
    <m/>
    <n v="0"/>
    <n v="0"/>
  </r>
  <r>
    <x v="501"/>
    <d v="2025-05-27T00:00:00"/>
    <x v="1"/>
    <e v="#N/A"/>
    <x v="4"/>
    <s v="DRY2400700"/>
    <s v="New Zealand"/>
    <s v="CPFNW"/>
    <s v="Lim Brothers"/>
    <s v="Wonton ND+V"/>
    <s v="Cooked Wonton"/>
    <s v="Cooked Wonton ND No Egg with Pumpkin_x000a_+ Yu Choy "/>
    <s v="082SJN736005P00001"/>
    <s v="308g*6c*6in"/>
    <n v="36"/>
    <n v="5"/>
    <n v="7.4999999999999997E-3"/>
    <x v="5"/>
    <s v="Salt"/>
    <s v="Regular"/>
    <n v="792"/>
    <n v="784"/>
    <n v="25.444444444444443"/>
    <n v="17.444444444444457"/>
    <n v="0"/>
    <n v="0"/>
    <n v="7.4999999999999997E-3"/>
    <n v="0"/>
    <m/>
    <n v="0"/>
    <n v="0"/>
  </r>
  <r>
    <x v="501"/>
    <d v="2025-05-29T00:00:00"/>
    <x v="1"/>
    <e v="#N/A"/>
    <x v="4"/>
    <s v="DRY2500096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501"/>
    <d v="2025-06-05T00:00:00"/>
    <x v="1"/>
    <e v="#N/A"/>
    <x v="4"/>
    <s v="DRY2500081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582"/>
    <n v="436"/>
    <n v="146.75"/>
    <n v="0.75"/>
    <n v="0"/>
    <n v="0"/>
    <n v="7.4999999999999997E-3"/>
    <n v="0"/>
    <m/>
    <n v="0"/>
    <n v="0"/>
  </r>
  <r>
    <x v="502"/>
    <s v="05-2025"/>
    <x v="1"/>
    <e v="#N/A"/>
    <x v="4"/>
    <s v="ขายภายใน"/>
    <s v=".7-11"/>
    <s v="CPFGS"/>
    <s v="ซีพีเอฟ เทรดดิ้ง"/>
    <s v="Wonton ND"/>
    <s v="Cooked Wonton"/>
    <s v="บะหมี่เกี๊ยวกุ้งซุปสุกี้ CPxMK 227g ND Pumpkin"/>
    <s v="082SJ3Q12003P09001"/>
    <s v="227g*12"/>
    <n v="12"/>
    <n v="3"/>
    <n v="8.0000000000000002E-3"/>
    <x v="2"/>
    <s v="STPP"/>
    <s v="MK"/>
    <n v="3543"/>
    <n v="3543"/>
    <m/>
    <n v="0"/>
    <n v="0"/>
    <n v="0"/>
    <n v="0.05"/>
    <n v="0"/>
    <m/>
    <n v="0"/>
    <n v="0"/>
  </r>
  <r>
    <x v="503"/>
    <m/>
    <x v="1"/>
    <e v="#N/A"/>
    <x v="4"/>
    <m/>
    <m/>
    <m/>
    <m/>
    <m/>
    <m/>
    <m/>
    <m/>
    <m/>
    <m/>
    <m/>
    <m/>
    <x v="0"/>
    <m/>
    <m/>
    <m/>
    <m/>
    <m/>
    <m/>
    <m/>
    <n v="0"/>
    <m/>
    <n v="0"/>
    <m/>
    <m/>
    <m/>
  </r>
  <r>
    <x v="504"/>
    <d v="2025-06-05T00:00:00"/>
    <x v="1"/>
    <e v="#N/A"/>
    <x v="4"/>
    <s v="DRY2500081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210"/>
    <n v="210"/>
    <m/>
    <n v="0"/>
    <n v="0"/>
    <n v="0"/>
    <n v="7.4999999999999997E-3"/>
    <n v="0"/>
    <m/>
    <n v="0"/>
    <n v="0"/>
  </r>
  <r>
    <x v="504"/>
    <d v="2025-05-30T00:00:00"/>
    <x v="1"/>
    <e v="#N/A"/>
    <x v="4"/>
    <s v="DRY2500161"/>
    <s v="Spain"/>
    <s v="CPFNW"/>
    <s v="Mercadona"/>
    <s v="Wonton ND+V"/>
    <s v="Cooked Wonton"/>
    <s v="Cooked Wonton ND No Egg with Pumpkin _x000a_+ Vegetable  HC  3 pcs"/>
    <s v="082SJ5T12003P01001"/>
    <s v="309g*12"/>
    <n v="12"/>
    <n v="3"/>
    <n v="7.4999999999999997E-3"/>
    <x v="3"/>
    <s v="Salt"/>
    <s v="Regular"/>
    <n v="2520"/>
    <n v="2520"/>
    <m/>
    <n v="0"/>
    <n v="0"/>
    <n v="0"/>
    <n v="7.4999999999999997E-3"/>
    <n v="0"/>
    <m/>
    <n v="0"/>
    <n v="0"/>
  </r>
  <r>
    <x v="504"/>
    <d v="2025-05-30T00:00:00"/>
    <x v="1"/>
    <e v="#N/A"/>
    <x v="4"/>
    <s v="DRY2500162"/>
    <s v="Spain"/>
    <s v="CPFNW"/>
    <s v="Mercadona"/>
    <s v="Wonton ND+V"/>
    <s v="Cooked Wonton"/>
    <s v="Cooked Wonton ND No Egg with Pumpkin _x000a_+ Vegetable  HC  3 pcs"/>
    <s v="082SJ5T12003P01001"/>
    <s v="309g*12"/>
    <n v="12"/>
    <n v="3"/>
    <n v="7.4999999999999997E-3"/>
    <x v="3"/>
    <s v="Salt"/>
    <s v="Regular"/>
    <n v="2520"/>
    <n v="2520"/>
    <m/>
    <n v="0"/>
    <n v="0"/>
    <n v="0"/>
    <n v="7.4999999999999997E-3"/>
    <n v="0"/>
    <m/>
    <n v="0"/>
    <n v="0"/>
  </r>
  <r>
    <x v="504"/>
    <s v="05-2025"/>
    <x v="1"/>
    <e v="#N/A"/>
    <x v="4"/>
    <s v="ขายภายใน"/>
    <s v=".7-11"/>
    <s v="CPFGS"/>
    <s v="ซีพีเอฟ เทรดดิ้ง"/>
    <s v="Wonton ND"/>
    <s v="Cooked Wonton"/>
    <s v="บะหมี่เกี๊ยวกุ้งซุปสุกี้ CPxMK 227g ND Pumpkin"/>
    <s v="082SJ3Q12003P09001"/>
    <s v="227g*12"/>
    <n v="12"/>
    <n v="3"/>
    <n v="8.0000000000000002E-3"/>
    <x v="2"/>
    <s v="STPP"/>
    <s v="MK"/>
    <n v="894"/>
    <n v="894"/>
    <m/>
    <n v="0"/>
    <n v="0"/>
    <n v="0"/>
    <n v="0.05"/>
    <n v="0"/>
    <m/>
    <n v="0"/>
    <n v="0"/>
  </r>
  <r>
    <x v="504"/>
    <s v="05-2025"/>
    <x v="1"/>
    <e v="#N/A"/>
    <x v="4"/>
    <s v="ขายภายใน"/>
    <s v="MTFS"/>
    <s v="CPFGS"/>
    <s v="ซีพีเอฟ เทรดดิ้ง"/>
    <s v="Wonton ND"/>
    <s v="Cooked Wonton"/>
    <s v="บะหมี่เกี๊ยวกุ้งซุปสุกี้ CPxMK 227g ND Pumpkin"/>
    <s v="082SJ3Q12003P0A001"/>
    <s v="227g*12"/>
    <n v="12"/>
    <n v="3"/>
    <n v="8.0000000000000002E-3"/>
    <x v="2"/>
    <s v="STPP"/>
    <s v="MK"/>
    <n v="1500"/>
    <n v="1500"/>
    <m/>
    <n v="0"/>
    <n v="0"/>
    <n v="0"/>
    <n v="0.05"/>
    <n v="0"/>
    <m/>
    <n v="0"/>
    <n v="0"/>
  </r>
  <r>
    <x v="505"/>
    <d v="2025-06-04T00:00:00"/>
    <x v="1"/>
    <e v="#N/A"/>
    <x v="4"/>
    <s v="DRY2500102"/>
    <s v="Malay"/>
    <s v="CPFNW"/>
    <s v="CPM Malaysia"/>
    <s v="Wonton+TY"/>
    <s v="Cooked Wonton"/>
    <s v="Cooked Wonton No Egg  TY"/>
    <s v="082S85I24005P02001"/>
    <s v="115g*24"/>
    <n v="24"/>
    <n v="5"/>
    <n v="8.0000000000000002E-3"/>
    <x v="1"/>
    <s v="STPP"/>
    <s v="TYTB3C 30G"/>
    <n v="800"/>
    <n v="800"/>
    <m/>
    <n v="0"/>
    <n v="0"/>
    <n v="0"/>
    <n v="1"/>
    <n v="0"/>
    <s v="232 SG"/>
    <n v="0"/>
    <n v="0"/>
  </r>
  <r>
    <x v="505"/>
    <d v="2025-06-04T00:00:00"/>
    <x v="1"/>
    <e v="#N/A"/>
    <x v="4"/>
    <s v="DRY2500102"/>
    <s v="Malay"/>
    <s v="CPFNW"/>
    <s v="CPM Malaysia"/>
    <s v="Wonton"/>
    <s v="Cooked Wonton"/>
    <s v="Cooked Wonton No Egg  "/>
    <s v="082S85I24005P01001"/>
    <s v="145g*24"/>
    <n v="24"/>
    <n v="5"/>
    <n v="8.0000000000000002E-3"/>
    <x v="1"/>
    <s v="STPP"/>
    <s v="Regular"/>
    <n v="1000"/>
    <n v="972"/>
    <n v="28"/>
    <n v="0"/>
    <n v="0"/>
    <n v="0"/>
    <n v="7.4999999999999997E-3"/>
    <n v="0"/>
    <s v="628 SG"/>
    <n v="0"/>
    <n v="0"/>
  </r>
  <r>
    <x v="505"/>
    <d v="2025-06-12T00:00:00"/>
    <x v="1"/>
    <e v="#N/A"/>
    <x v="4"/>
    <s v="DRY2500108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505"/>
    <d v="2025-06-23T00:00:00"/>
    <x v="1"/>
    <e v="#N/A"/>
    <x v="4"/>
    <s v="DRY2500104"/>
    <s v="Germany"/>
    <s v="CPFNW"/>
    <s v=" CPF Distribution (under Paulsen Food)"/>
    <s v="Wonton ND+V"/>
    <s v="Cooked Wonton"/>
    <s v="Cooked Wonton ND No Egg with Pumpkin _x000a_+ Vegetable  HC  3 pcs"/>
    <s v="082SJ3N12003P02001"/>
    <s v="309g*12"/>
    <n v="12"/>
    <n v="3"/>
    <n v="6.8100000000000001E-3"/>
    <x v="3"/>
    <s v="Salt"/>
    <s v="Regular"/>
    <n v="2278"/>
    <m/>
    <n v="2293.4166666666665"/>
    <n v="15.416666666666515"/>
    <n v="0"/>
    <n v="0"/>
    <n v="9.7000000000000003E-3"/>
    <n v="0"/>
    <m/>
    <n v="0"/>
    <n v="0"/>
  </r>
  <r>
    <x v="505"/>
    <d v="2025-06-12T00:00:00"/>
    <x v="1"/>
    <e v="#N/A"/>
    <x v="4"/>
    <s v="DRY2500129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SG+CO"/>
    <n v="924"/>
    <n v="804"/>
    <n v="120"/>
    <n v="0"/>
    <n v="0"/>
    <n v="0"/>
    <n v="3.8699999999999998E-2"/>
    <n v="0"/>
    <m/>
    <n v="0"/>
    <n v="0"/>
  </r>
  <r>
    <x v="505"/>
    <d v="2025-06-12T00:00:00"/>
    <x v="1"/>
    <e v="#N/A"/>
    <x v="4"/>
    <s v="DRY2500069"/>
    <s v="New Zealand"/>
    <s v="CPFNW"/>
    <s v="Lim Brothers"/>
    <s v="Minced ND+V+TY"/>
    <s v="Cooked Wonton"/>
    <s v="Cooked Minced  ND No Egg with Pumpkin_x000a_+ Yu Choy Tomyum"/>
    <s v="082SRN708003P00001"/>
    <s v="302g*8"/>
    <n v="8"/>
    <n v="3"/>
    <n v="6.0000000000000001E-3"/>
    <x v="4"/>
    <s v="Salt"/>
    <s v="TYEXSG+CO"/>
    <n v="216"/>
    <m/>
    <n v="216"/>
    <n v="0"/>
    <n v="0"/>
    <n v="0"/>
    <n v="3.8699999999999998E-2"/>
    <n v="0"/>
    <m/>
    <n v="0"/>
    <n v="0"/>
  </r>
  <r>
    <x v="505"/>
    <d v="2025-07-03T00:00:00"/>
    <x v="1"/>
    <e v="#N/A"/>
    <x v="4"/>
    <s v="DRY2500114"/>
    <s v="New Zealand"/>
    <s v="CPFNW"/>
    <s v="Lim Brothers"/>
    <s v="Minced ND+V+TY"/>
    <s v="Cooked Wonton"/>
    <s v="Cooked Minced  ND No Egg with Pumpkin_x000a_+ Yu Choy Tomyum"/>
    <s v="082SRN708003P00001"/>
    <s v="302g*8"/>
    <n v="8"/>
    <n v="3"/>
    <n v="6.0000000000000001E-3"/>
    <x v="4"/>
    <s v="Salt"/>
    <s v="TYEXSG+CO"/>
    <n v="216"/>
    <m/>
    <n v="216"/>
    <n v="0"/>
    <n v="0"/>
    <n v="0"/>
    <n v="3.8699999999999998E-2"/>
    <n v="0"/>
    <m/>
    <n v="0"/>
    <n v="0"/>
  </r>
  <r>
    <x v="505"/>
    <d v="2025-06-14T00:00:00"/>
    <x v="1"/>
    <e v="#N/A"/>
    <x v="4"/>
    <s v="DRY2500188"/>
    <s v="AUS"/>
    <s v="CPFNW"/>
    <s v="CPF Australia Pty Ltd."/>
    <s v="Minced ND+V+TY"/>
    <s v="Cooked Wonton"/>
    <s v="Cooked Minced  ND No Egg with Pumpkin_x000a_+ Yu Choy Tomyum"/>
    <s v="082SR9U08003P00001"/>
    <s v="302g*8"/>
    <n v="8"/>
    <n v="3"/>
    <n v="6.0000000000000001E-3"/>
    <x v="4"/>
    <s v="Salt"/>
    <s v="TYEXSG+CO"/>
    <n v="400"/>
    <m/>
    <n v="400"/>
    <n v="0"/>
    <n v="0"/>
    <n v="0"/>
    <n v="3.8699999999999998E-2"/>
    <n v="0"/>
    <m/>
    <n v="0"/>
    <n v="0"/>
  </r>
  <r>
    <x v="505"/>
    <d v="2025-07-24T00:00:00"/>
    <x v="1"/>
    <e v="#N/A"/>
    <x v="4"/>
    <s v="DRY2500189"/>
    <s v="AUS"/>
    <s v="CPFNW"/>
    <s v="CPF Australia Pty Ltd."/>
    <s v="Minced ND+V+TY"/>
    <s v="Cooked Wonton"/>
    <s v="Cooked Minced  ND No Egg with Pumpkin_x000a_+ Yu Choy Tomyum"/>
    <s v="082SR9U08003P00001"/>
    <s v="302g*8"/>
    <n v="8"/>
    <n v="3"/>
    <n v="6.0000000000000001E-3"/>
    <x v="4"/>
    <s v="Salt"/>
    <s v="TYEXSG+CO"/>
    <n v="200"/>
    <m/>
    <n v="200"/>
    <n v="0"/>
    <n v="0"/>
    <n v="0"/>
    <n v="3.8699999999999998E-2"/>
    <n v="0"/>
    <m/>
    <n v="0"/>
    <n v="0"/>
  </r>
  <r>
    <x v="505"/>
    <d v="2025-07-24T00:00:00"/>
    <x v="1"/>
    <e v="#N/A"/>
    <x v="4"/>
    <s v="DRY2500190"/>
    <s v="AUS"/>
    <s v="CPFNW"/>
    <s v="CPF Australia Pty Ltd."/>
    <s v="Minced ND+V+TY"/>
    <s v="Cooked Wonton"/>
    <s v="Cooked Minced  ND No Egg with Pumpkin_x000a_+ Yu Choy Tomyum"/>
    <s v="082SR9U08003P00001"/>
    <s v="302g*8"/>
    <n v="8"/>
    <n v="3"/>
    <n v="6.0000000000000001E-3"/>
    <x v="4"/>
    <s v="Salt"/>
    <s v="TYEXSG+CO"/>
    <n v="300"/>
    <m/>
    <n v="300"/>
    <n v="0"/>
    <n v="0"/>
    <n v="0"/>
    <n v="3.8699999999999998E-2"/>
    <n v="0"/>
    <m/>
    <n v="0"/>
    <n v="0"/>
  </r>
  <r>
    <x v="505"/>
    <d v="2025-07-24T00:00:00"/>
    <x v="1"/>
    <e v="#N/A"/>
    <x v="4"/>
    <s v="DRY2500191"/>
    <s v="AUS"/>
    <s v="CPFNW"/>
    <s v="CPF Australia Pty Ltd."/>
    <s v="Minced ND+V+TY"/>
    <s v="Cooked Wonton"/>
    <s v="Cooked Minced  ND No Egg with Pumpkin_x000a_+ Yu Choy Tomyum"/>
    <s v="082SR9U08003P00001"/>
    <s v="302g*8"/>
    <n v="8"/>
    <n v="3"/>
    <n v="6.0000000000000001E-3"/>
    <x v="4"/>
    <s v="Salt"/>
    <s v="TYEXSG+CO"/>
    <n v="250"/>
    <m/>
    <n v="250"/>
    <n v="0"/>
    <n v="0"/>
    <n v="0"/>
    <n v="3.8699999999999998E-2"/>
    <n v="0"/>
    <m/>
    <n v="0"/>
    <n v="0"/>
  </r>
  <r>
    <x v="505"/>
    <d v="2025-07-24T00:00:00"/>
    <x v="1"/>
    <e v="#N/A"/>
    <x v="4"/>
    <s v="DRY2500192"/>
    <s v="AUS"/>
    <s v="CPFNW"/>
    <s v="CPF Australia Pty Ltd."/>
    <s v="Minced ND+V+TY"/>
    <s v="Cooked Wonton"/>
    <s v="Cooked Minced  ND No Egg with Pumpkin_x000a_+ Yu Choy Tomyum"/>
    <s v="082SR9U08003P00001"/>
    <s v="302g*8"/>
    <n v="8"/>
    <n v="3"/>
    <n v="6.0000000000000001E-3"/>
    <x v="4"/>
    <s v="Salt"/>
    <s v="TYEXSG+CO"/>
    <n v="250"/>
    <m/>
    <n v="250"/>
    <n v="0"/>
    <n v="0"/>
    <n v="0"/>
    <n v="3.8699999999999998E-2"/>
    <n v="0"/>
    <m/>
    <n v="0"/>
    <n v="0"/>
  </r>
  <r>
    <x v="505"/>
    <d v="2025-08-21T00:00:00"/>
    <x v="1"/>
    <e v="#N/A"/>
    <x v="4"/>
    <s v="DRY2500214"/>
    <s v="AUS"/>
    <s v="CPFNW"/>
    <s v="CPF Australia Pty Ltd."/>
    <s v="Minced ND+V+TY"/>
    <s v="Cooked Wonton"/>
    <s v="Cooked Minced  ND No Egg with Pumpkin_x000a_+ Yu Choy Tomyum"/>
    <s v="082SR9U08003P00001"/>
    <s v="302g*8"/>
    <n v="8"/>
    <n v="3"/>
    <n v="6.0000000000000001E-3"/>
    <x v="4"/>
    <s v="Salt"/>
    <s v="TYEXSG+CO"/>
    <n v="56"/>
    <m/>
    <n v="120.5"/>
    <n v="64.5"/>
    <n v="0"/>
    <n v="0"/>
    <n v="3.8699999999999998E-2"/>
    <n v="0"/>
    <m/>
    <n v="0"/>
    <n v="0"/>
  </r>
  <r>
    <x v="506"/>
    <d v="2025-06-11T00:00:00"/>
    <x v="1"/>
    <e v="#N/A"/>
    <x v="4"/>
    <s v="DRY2500077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88"/>
    <m/>
    <n v="0"/>
    <n v="0"/>
    <n v="0"/>
    <n v="7.4999999999999997E-3"/>
    <n v="0"/>
    <m/>
    <n v="0"/>
    <n v="0"/>
  </r>
  <r>
    <x v="506"/>
    <s v="05-2025"/>
    <x v="1"/>
    <e v="#N/A"/>
    <x v="4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1106"/>
    <n v="1106"/>
    <m/>
    <n v="0"/>
    <n v="0"/>
    <n v="0"/>
    <n v="7.4999999999999997E-3"/>
    <n v="0"/>
    <s v="คาดการณ์ pk เข้า 21/3"/>
    <n v="0"/>
    <n v="0"/>
  </r>
  <r>
    <x v="506"/>
    <s v="06-2025"/>
    <x v="1"/>
    <e v="#N/A"/>
    <x v="4"/>
    <s v="ขายภายใน"/>
    <s v="MTFS"/>
    <s v="CPFGS"/>
    <s v="ซีพีเอฟ เทรดดิ้ง"/>
    <s v="Wonton ND"/>
    <s v="Cooked Wonton"/>
    <s v="บะหมี่เกี๊ยวกุ้งซุปสุกี้ CPxMK 227g  MT"/>
    <s v="082SJ3Q12003P0A001"/>
    <s v="227g*12"/>
    <n v="12"/>
    <n v="3"/>
    <n v="8.0000000000000002E-3"/>
    <x v="2"/>
    <s v="STPP"/>
    <s v="MK"/>
    <n v="1500"/>
    <n v="1500"/>
    <m/>
    <n v="0"/>
    <n v="0"/>
    <n v="0"/>
    <n v="0.05"/>
    <n v="0"/>
    <m/>
    <n v="0"/>
    <n v="0"/>
  </r>
  <r>
    <x v="506"/>
    <s v="06-2025"/>
    <x v="1"/>
    <e v="#N/A"/>
    <x v="4"/>
    <s v="ขายภายใน"/>
    <s v=".7-11"/>
    <s v="CPFGS"/>
    <s v="ซีพีเอฟ เทรดดิ้ง"/>
    <s v="Wonton ND"/>
    <s v="Cooked Wonton"/>
    <s v="บะหมี่เกี๊ยวกุ้งซุปสุกี้ CPxMK 227g 7-11"/>
    <s v="082SJ3Q12003P09001"/>
    <s v="227g*12"/>
    <n v="12"/>
    <n v="3"/>
    <n v="8.0000000000000002E-3"/>
    <x v="2"/>
    <s v="STPP"/>
    <s v="MK"/>
    <n v="4500"/>
    <n v="4500"/>
    <m/>
    <n v="0"/>
    <n v="0"/>
    <n v="0"/>
    <n v="0.05"/>
    <n v="0"/>
    <m/>
    <n v="0"/>
    <n v="0"/>
  </r>
  <r>
    <x v="507"/>
    <d v="2025-06-04T00:00:00"/>
    <x v="1"/>
    <e v="#N/A"/>
    <x v="4"/>
    <s v="DRY2500087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n v="194"/>
    <n v="2406"/>
    <n v="0"/>
    <n v="0"/>
    <n v="0"/>
    <n v="7.4999999999999997E-3"/>
    <n v="0"/>
    <m/>
    <n v="0"/>
    <n v="0"/>
  </r>
  <r>
    <x v="507"/>
    <d v="2025-06-04T00:00:00"/>
    <x v="1"/>
    <e v="#N/A"/>
    <x v="4"/>
    <s v="DRY2500088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n v="0"/>
    <n v="7.4999999999999997E-3"/>
    <n v="0"/>
    <m/>
    <n v="0"/>
    <n v="0"/>
  </r>
  <r>
    <x v="507"/>
    <s v="05-2025"/>
    <x v="1"/>
    <e v="#N/A"/>
    <x v="4"/>
    <s v="ขายภายใน"/>
    <s v=".7-11"/>
    <s v="CPFGS"/>
    <s v="ถ้วยขาวพิมพ์กดสีฟ้า"/>
    <s v="Wonton"/>
    <s v="Cooked Wonton"/>
    <s v="Cooked Wonton No Egg .7-11"/>
    <s v="082S81A24005P06001"/>
    <s v="130g*24"/>
    <n v="24"/>
    <n v="5"/>
    <n v="6.1999999999999998E-3"/>
    <x v="2"/>
    <s v="STPP"/>
    <s v="Regular"/>
    <n v="698"/>
    <n v="698"/>
    <m/>
    <n v="0"/>
    <n v="0"/>
    <n v="0"/>
    <n v="7.4999999999999997E-3"/>
    <n v="0"/>
    <s v="คาดการณ์ pk เข้า 21/3"/>
    <n v="0"/>
    <n v="0"/>
  </r>
  <r>
    <x v="507"/>
    <s v="06-2025"/>
    <x v="1"/>
    <e v="#N/A"/>
    <x v="4"/>
    <s v="ขายภายใน"/>
    <s v="MTFS"/>
    <s v="CPFGS"/>
    <s v="ซีพีเอฟ เทรดดิ้ง"/>
    <s v="E+Wonton"/>
    <s v="Cooked Wonton"/>
    <s v="Cooked Wonton  with egg V-Food"/>
    <s v="082S83Q12005P05000"/>
    <s v="145g*12"/>
    <n v="12"/>
    <n v="5"/>
    <n v="8.0000000000000002E-3"/>
    <x v="1"/>
    <s v="STPP"/>
    <s v="Regular"/>
    <n v="12"/>
    <n v="12"/>
    <m/>
    <n v="0"/>
    <n v="0"/>
    <n v="0"/>
    <n v="7.4999999999999997E-3"/>
    <n v="0"/>
    <m/>
    <n v="0"/>
    <n v="0"/>
  </r>
  <r>
    <x v="507"/>
    <d v="2025-06-15T00:00:00"/>
    <x v="1"/>
    <e v="#N/A"/>
    <x v="4"/>
    <s v="LA011/2568"/>
    <s v="Laos"/>
    <s v="Laos"/>
    <s v="บริษัท ปิก้าเทรดดิ้ง จำกัด"/>
    <s v="E+Wonton"/>
    <s v="Cooked Wonton"/>
    <s v="เกี๊ยวกุ้งจักรพรรดิ 12x145g."/>
    <s v="082S8L212005P00001"/>
    <s v="145g*12"/>
    <n v="12"/>
    <n v="5"/>
    <n v="8.0000000000000002E-3"/>
    <x v="1"/>
    <s v="STPP"/>
    <s v="Regular"/>
    <n v="100"/>
    <n v="100"/>
    <m/>
    <n v="0"/>
    <n v="0"/>
    <n v="0"/>
    <n v="7.4999999999999997E-3"/>
    <n v="0"/>
    <m/>
    <n v="0"/>
    <n v="0"/>
  </r>
  <r>
    <x v="507"/>
    <s v="06-2025"/>
    <x v="1"/>
    <e v="#N/A"/>
    <x v="4"/>
    <s v="ขายภายใน"/>
    <s v="MTFS"/>
    <s v="CPFGS"/>
    <s v="ซีพีเอฟ เทรดดิ้ง"/>
    <s v="E+Wonton"/>
    <s v="Cooked Wonton"/>
    <s v="Cooked Wonton  with egg V-Food"/>
    <s v="082S83Q12005P05001"/>
    <s v="145g*12"/>
    <n v="12"/>
    <n v="5"/>
    <n v="8.0000000000000002E-3"/>
    <x v="1"/>
    <s v="STPP"/>
    <s v="Regular"/>
    <n v="2000"/>
    <n v="2000"/>
    <m/>
    <n v="0"/>
    <n v="0"/>
    <n v="0"/>
    <n v="7.4999999999999997E-3"/>
    <n v="0"/>
    <m/>
    <n v="0"/>
    <n v="0"/>
  </r>
  <r>
    <x v="507"/>
    <s v="06-2025"/>
    <x v="1"/>
    <e v="#N/A"/>
    <x v="4"/>
    <s v="ขายภายใน"/>
    <s v="MTFS"/>
    <s v="CPFGS"/>
    <s v="ซีพีเอฟ เทรดดิ้ง"/>
    <s v="E+Wonton"/>
    <s v="Cooked Wonton"/>
    <s v="Cooked Wonton Multipack  with Egg  270g"/>
    <s v="082S83Q18005P05001"/>
    <s v="90g*3B*6B"/>
    <n v="18"/>
    <n v="5"/>
    <n v="8.0000000000000002E-3"/>
    <x v="1"/>
    <s v="STPP"/>
    <s v="ซุปซอง 5g."/>
    <n v="1200"/>
    <n v="1200"/>
    <m/>
    <n v="0"/>
    <n v="0"/>
    <n v="0"/>
    <n v="1"/>
    <n v="0"/>
    <m/>
    <n v="0"/>
    <n v="0"/>
  </r>
  <r>
    <x v="508"/>
    <s v="06-2025"/>
    <x v="1"/>
    <e v="#N/A"/>
    <x v="4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400"/>
    <n v="400"/>
    <m/>
    <n v="0"/>
    <n v="0"/>
    <n v="0"/>
    <n v="7.4999999999999997E-3"/>
    <n v="0"/>
    <m/>
    <n v="0"/>
    <n v="0"/>
  </r>
  <r>
    <x v="508"/>
    <d v="2025-06-10T00:00:00"/>
    <x v="1"/>
    <e v="#N/A"/>
    <x v="4"/>
    <s v="CB004/2568"/>
    <s v="Cambodia"/>
    <s v="Cambodia"/>
    <s v="หจก.คิงฟู้ดส์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50"/>
    <n v="50"/>
    <m/>
    <n v="0"/>
    <n v="0"/>
    <n v="0"/>
    <n v="7.4999999999999997E-3"/>
    <n v="0"/>
    <m/>
    <n v="0"/>
    <n v="0"/>
  </r>
  <r>
    <x v="508"/>
    <d v="2025-06-15T00:00:00"/>
    <x v="1"/>
    <e v="#N/A"/>
    <x v="4"/>
    <s v="CB006/2568"/>
    <s v="Cambodia"/>
    <s v="Cambodia"/>
    <s v="หจก.คิงฟู้ดส์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100"/>
    <n v="100"/>
    <m/>
    <n v="0"/>
    <n v="0"/>
    <n v="0"/>
    <n v="7.4999999999999997E-3"/>
    <n v="0"/>
    <m/>
    <n v="0"/>
    <n v="0"/>
  </r>
  <r>
    <x v="508"/>
    <s v="05-2025"/>
    <x v="1"/>
    <e v="#N/A"/>
    <x v="4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22"/>
    <n v="22"/>
    <m/>
    <n v="0"/>
    <n v="0"/>
    <n v="0"/>
    <n v="7.4999999999999997E-3"/>
    <n v="0"/>
    <m/>
    <n v="0"/>
    <n v="0"/>
  </r>
  <r>
    <x v="508"/>
    <s v="06-2025"/>
    <x v="1"/>
    <e v="#N/A"/>
    <x v="4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4973"/>
    <n v="4973"/>
    <m/>
    <n v="0"/>
    <n v="0"/>
    <n v="0"/>
    <n v="7.4999999999999997E-3"/>
    <n v="0"/>
    <m/>
    <n v="0"/>
    <n v="0"/>
  </r>
  <r>
    <x v="508"/>
    <s v="06-2025"/>
    <x v="1"/>
    <e v="#N/A"/>
    <x v="4"/>
    <s v="ขายภายใน"/>
    <s v="MTFS"/>
    <s v="CPFGS"/>
    <s v="ซีพีเอฟ เทรดดิ้ง"/>
    <s v="E+Wonton NDE"/>
    <s v="Cooked Wonton"/>
    <s v="Cooked Wonton ND with egg V-Food"/>
    <s v="082SJ3Q12003P07001"/>
    <s v="226g*12"/>
    <n v="12"/>
    <n v="3"/>
    <n v="8.0000000000000002E-3"/>
    <x v="1"/>
    <s v="STPP"/>
    <s v="Regular"/>
    <n v="400"/>
    <n v="400"/>
    <m/>
    <n v="0"/>
    <n v="0"/>
    <n v="0"/>
    <n v="7.4999999999999997E-3"/>
    <n v="0"/>
    <m/>
    <n v="0"/>
    <n v="0"/>
  </r>
  <r>
    <x v="509"/>
    <d v="2025-06-17T00:00:00"/>
    <x v="1"/>
    <e v="#N/A"/>
    <x v="4"/>
    <s v="DRY2400753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รอเปลี่ยนNEWPACKAGE/ถ้าว,ฝา สีขาว"/>
    <n v="0"/>
    <n v="0"/>
  </r>
  <r>
    <x v="509"/>
    <d v="2025-06-10T00:00:00"/>
    <x v="1"/>
    <e v="#N/A"/>
    <x v="4"/>
    <s v="DRY2500121"/>
    <s v="SG"/>
    <s v="CPFNW"/>
    <s v="CPI SINGAPORE"/>
    <s v="Minced ND+หมาล่า"/>
    <s v="Cooked Wonton"/>
    <s v="Cooked Minced  ND No Egg หมาล่า"/>
    <s v="082SR3B24003P00001"/>
    <s v="300g*24"/>
    <n v="24"/>
    <n v="3"/>
    <n v="6.0000000000000001E-3"/>
    <x v="4"/>
    <s v="Salt"/>
    <s v="หมาล่า"/>
    <n v="420"/>
    <n v="420"/>
    <m/>
    <n v="0"/>
    <n v="0"/>
    <n v="0"/>
    <n v="2.4E-2"/>
    <n v="0"/>
    <m/>
    <n v="0"/>
    <n v="0"/>
  </r>
  <r>
    <x v="509"/>
    <d v="2025-07-24T00:00:00"/>
    <x v="1"/>
    <e v="#N/A"/>
    <x v="4"/>
    <s v="DRY2500189"/>
    <s v="AUS"/>
    <s v="CPFNW"/>
    <s v="CPF Australia Pty Ltd."/>
    <s v="Minced ND+หมาล่า"/>
    <s v="Cooked Wonton"/>
    <s v="Cooked Minced  ND No Egg หมาล่า"/>
    <s v="082SR9U08003P03001"/>
    <s v="300g*8"/>
    <n v="8"/>
    <n v="3"/>
    <n v="6.0000000000000001E-3"/>
    <x v="4"/>
    <s v="Salt"/>
    <s v="หมาล่า"/>
    <n v="300"/>
    <m/>
    <n v="300"/>
    <n v="0"/>
    <n v="0"/>
    <n v="0"/>
    <n v="2.4E-2"/>
    <n v="0"/>
    <m/>
    <n v="0"/>
    <n v="0"/>
  </r>
  <r>
    <x v="509"/>
    <d v="2025-07-24T00:00:00"/>
    <x v="1"/>
    <e v="#N/A"/>
    <x v="4"/>
    <s v="DRY2500190"/>
    <s v="AUS"/>
    <s v="CPFNW"/>
    <s v="CPF Australia Pty Ltd."/>
    <s v="Minced ND+หมาล่า"/>
    <s v="Cooked Wonton"/>
    <s v="Cooked Minced  ND No Egg หมาล่า"/>
    <s v="082SR9U08003P03001"/>
    <s v="300g*8"/>
    <n v="8"/>
    <n v="3"/>
    <n v="6.0000000000000001E-3"/>
    <x v="4"/>
    <s v="Salt"/>
    <s v="หมาล่า"/>
    <n v="150"/>
    <m/>
    <n v="150"/>
    <n v="0"/>
    <n v="0"/>
    <n v="0"/>
    <n v="2.4E-2"/>
    <n v="0"/>
    <m/>
    <n v="0"/>
    <n v="0"/>
  </r>
  <r>
    <x v="509"/>
    <d v="2025-07-24T00:00:00"/>
    <x v="1"/>
    <e v="#N/A"/>
    <x v="4"/>
    <s v="DRY2500191"/>
    <s v="AUS"/>
    <s v="CPFNW"/>
    <s v="CPF Australia Pty Ltd."/>
    <s v="Minced ND+หมาล่า"/>
    <s v="Cooked Wonton"/>
    <s v="Cooked Minced  ND No Egg หมาล่า"/>
    <s v="082SR9U08003P03001"/>
    <s v="300g*8"/>
    <n v="8"/>
    <n v="3"/>
    <n v="6.0000000000000001E-3"/>
    <x v="4"/>
    <s v="Salt"/>
    <s v="หมาล่า"/>
    <n v="150"/>
    <m/>
    <n v="150"/>
    <n v="0"/>
    <n v="0"/>
    <n v="0"/>
    <n v="2.4E-2"/>
    <n v="0"/>
    <m/>
    <n v="0"/>
    <n v="0"/>
  </r>
  <r>
    <x v="509"/>
    <d v="2025-07-24T00:00:00"/>
    <x v="1"/>
    <e v="#N/A"/>
    <x v="4"/>
    <s v="DRY2500192"/>
    <s v="AUS"/>
    <s v="CPFNW"/>
    <s v="CPF Australia Pty Ltd."/>
    <s v="Minced ND+หมาล่า"/>
    <s v="Cooked Wonton"/>
    <s v="Cooked Minced  ND No Egg หมาล่า"/>
    <s v="082SR9U08003P03001"/>
    <s v="300g*8"/>
    <n v="8"/>
    <n v="3"/>
    <n v="6.0000000000000001E-3"/>
    <x v="4"/>
    <s v="Salt"/>
    <s v="หมาล่า"/>
    <n v="150"/>
    <m/>
    <n v="150"/>
    <n v="0"/>
    <n v="0"/>
    <n v="0"/>
    <n v="2.4E-2"/>
    <n v="0"/>
    <m/>
    <n v="0"/>
    <n v="0"/>
  </r>
  <r>
    <x v="509"/>
    <d v="2025-08-21T00:00:00"/>
    <x v="1"/>
    <e v="#N/A"/>
    <x v="4"/>
    <s v="DRY2500214"/>
    <s v="AUS"/>
    <s v="CPFNW"/>
    <s v="CPF Australia Pty Ltd."/>
    <s v="Minced ND+หมาล่า"/>
    <s v="Cooked Wonton"/>
    <s v="Cooked Minced  ND No Egg หมาล่า"/>
    <s v="082SR9U08003P03001"/>
    <s v="300g*8"/>
    <n v="8"/>
    <n v="3"/>
    <n v="6.0000000000000001E-3"/>
    <x v="4"/>
    <s v="Salt"/>
    <s v="หมาล่า"/>
    <n v="707"/>
    <m/>
    <n v="707"/>
    <n v="0"/>
    <n v="0"/>
    <n v="0"/>
    <n v="2.4E-2"/>
    <n v="0"/>
    <s v="67 ถ้วยจาก SG"/>
    <n v="0"/>
    <n v="0"/>
  </r>
  <r>
    <x v="509"/>
    <d v="2025-06-24T00:00:00"/>
    <x v="1"/>
    <e v="#N/A"/>
    <x v="4"/>
    <s v="DRY2500116"/>
    <s v="Malay"/>
    <s v="CPFNW"/>
    <s v="CPM Malaysia"/>
    <s v="E+Wonton+หมาล่า"/>
    <s v="Cooked Wonton"/>
    <s v="Cooked Wonton With Egg หมาล่า "/>
    <s v="082S85I24005P03001"/>
    <s v="143g*24"/>
    <n v="24"/>
    <n v="5"/>
    <n v="6.1999999999999998E-3"/>
    <x v="2"/>
    <s v="STPP"/>
    <s v="หมาล่า"/>
    <n v="2100"/>
    <n v="2100"/>
    <n v="4.166666666666667"/>
    <n v="4.1666666666665151"/>
    <n v="0"/>
    <n v="0"/>
    <n v="1.2999999999999999E-2"/>
    <n v="0"/>
    <m/>
    <n v="0"/>
    <n v="0"/>
  </r>
  <r>
    <x v="510"/>
    <m/>
    <x v="1"/>
    <e v="#N/A"/>
    <x v="4"/>
    <m/>
    <m/>
    <m/>
    <m/>
    <m/>
    <m/>
    <m/>
    <m/>
    <m/>
    <m/>
    <m/>
    <m/>
    <x v="0"/>
    <m/>
    <m/>
    <m/>
    <m/>
    <m/>
    <m/>
    <m/>
    <n v="0"/>
    <m/>
    <m/>
    <m/>
    <m/>
    <m/>
  </r>
  <r>
    <x v="511"/>
    <s v="06-2025"/>
    <x v="1"/>
    <e v="#N/A"/>
    <x v="4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400"/>
    <n v="400"/>
    <m/>
    <n v="0"/>
    <n v="0"/>
    <n v="0"/>
    <m/>
    <n v="0"/>
    <m/>
    <n v="0"/>
    <n v="0"/>
  </r>
  <r>
    <x v="511"/>
    <d v="2025-06-09T00:00:00"/>
    <x v="1"/>
    <e v="#N/A"/>
    <x v="4"/>
    <s v="DRY2500060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578"/>
    <n v="495"/>
    <n v="83"/>
    <n v="0"/>
    <n v="0"/>
    <n v="0"/>
    <n v="2"/>
    <n v="0"/>
    <m/>
    <n v="0"/>
    <n v="0"/>
  </r>
  <r>
    <x v="511"/>
    <d v="2025-06-09T00:00:00"/>
    <x v="1"/>
    <e v="#N/A"/>
    <x v="4"/>
    <s v="DRY2500061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98"/>
    <n v="698"/>
    <m/>
    <n v="0"/>
    <n v="0"/>
    <n v="0"/>
    <n v="6"/>
    <n v="0"/>
    <m/>
    <n v="0"/>
    <n v="0"/>
  </r>
  <r>
    <x v="512"/>
    <d v="2025-06-09T00:00:00"/>
    <x v="1"/>
    <e v="#N/A"/>
    <x v="4"/>
    <s v="DRY2500060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581"/>
    <n v="469"/>
    <n v="112"/>
    <n v="0"/>
    <n v="0"/>
    <n v="0"/>
    <n v="2"/>
    <n v="0"/>
    <m/>
    <n v="0"/>
    <n v="0"/>
  </r>
  <r>
    <x v="512"/>
    <d v="2025-06-09T00:00:00"/>
    <x v="1"/>
    <e v="#N/A"/>
    <x v="4"/>
    <s v="DRY2500061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720"/>
    <n v="720"/>
    <m/>
    <n v="0"/>
    <n v="0"/>
    <n v="0"/>
    <n v="6"/>
    <n v="0"/>
    <m/>
    <n v="0"/>
    <n v="0"/>
  </r>
  <r>
    <x v="513"/>
    <d v="2025-06-09T00:00:00"/>
    <x v="1"/>
    <e v="#N/A"/>
    <x v="4"/>
    <s v="DRY2500060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465"/>
    <n v="465"/>
    <m/>
    <n v="0"/>
    <n v="0"/>
    <n v="0"/>
    <n v="2"/>
    <n v="0"/>
    <m/>
    <n v="0"/>
    <n v="0"/>
  </r>
  <r>
    <x v="513"/>
    <d v="2025-06-09T00:00:00"/>
    <x v="1"/>
    <e v="#N/A"/>
    <x v="4"/>
    <s v="DRY2500061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38"/>
    <n v="638"/>
    <m/>
    <n v="0"/>
    <n v="0"/>
    <n v="0"/>
    <n v="6"/>
    <n v="0"/>
    <m/>
    <n v="0"/>
    <n v="0"/>
  </r>
  <r>
    <x v="513"/>
    <d v="2025-06-16T00:00:00"/>
    <x v="1"/>
    <e v="#N/A"/>
    <x v="4"/>
    <s v="DRY2500111"/>
    <s v="SG"/>
    <s v="CPFNW"/>
    <s v="CPI SINGAPORE"/>
    <s v="R-Wonton egg past"/>
    <s v="Raw Wonton"/>
    <s v="Raw Wonton 12 pcs with sesame"/>
    <s v="082I93B20012P02001"/>
    <s v="204g*20in"/>
    <n v="20"/>
    <n v="12"/>
    <n v="6.8100000000000001E-3"/>
    <x v="3"/>
    <s v="STPP"/>
    <s v=" sesame 30g"/>
    <n v="128"/>
    <m/>
    <n v="128"/>
    <n v="0"/>
    <n v="0"/>
    <n v="0"/>
    <n v="2"/>
    <n v="0"/>
    <s v="ห่อแบบดิบ"/>
    <m/>
    <m/>
  </r>
  <r>
    <x v="514"/>
    <s v="06-2025"/>
    <x v="1"/>
    <e v="#N/A"/>
    <x v="4"/>
    <s v="ขายภายใน"/>
    <s v="MTFS"/>
    <s v="CPFGS"/>
    <s v="ซีพีเอฟ เทรดดิ้ง"/>
    <s v="Wonton ND"/>
    <s v="Cooked Wonton"/>
    <s v="บะหมี่เกี๊ยวกุ้งซุปสุกี้ CPxMK 227g  MT"/>
    <s v="082SJ3Q12003P0A001"/>
    <s v="227g*12"/>
    <n v="12"/>
    <n v="3"/>
    <n v="8.0000000000000002E-3"/>
    <x v="2"/>
    <s v="STPP"/>
    <s v="MK"/>
    <n v="3000"/>
    <n v="3000"/>
    <m/>
    <n v="0"/>
    <n v="0"/>
    <n v="0"/>
    <n v="0.05"/>
    <n v="0"/>
    <s v="เปลี่ยนใช้ผักกวางตุ้งแบบแช่แข็ง"/>
    <n v="0"/>
    <n v="0"/>
  </r>
  <r>
    <x v="514"/>
    <s v="06-2025"/>
    <x v="1"/>
    <e v="#N/A"/>
    <x v="4"/>
    <s v="ขายภายใน"/>
    <s v=".7-11"/>
    <s v="CPFGS"/>
    <s v="ซีพีเอฟ เทรดดิ้ง"/>
    <s v="Wonton ND"/>
    <s v="Cooked Wonton"/>
    <s v="บะหมี่เกี๊ยวกุ้งซุปสุกี้ CPxMK 227g  7-11"/>
    <s v="082SJ3Q12003P09001"/>
    <s v="227g*12"/>
    <n v="12"/>
    <n v="3"/>
    <n v="8.0000000000000002E-3"/>
    <x v="2"/>
    <s v="STPP"/>
    <s v="MK"/>
    <n v="9000"/>
    <n v="8886"/>
    <n v="114"/>
    <n v="0"/>
    <n v="0"/>
    <n v="0"/>
    <n v="0.05"/>
    <n v="0"/>
    <s v="เปลี่ยนใช้ผักกวางตุ้งแบบแช่แข็ง"/>
    <n v="0"/>
    <n v="0"/>
  </r>
  <r>
    <x v="515"/>
    <d v="2025-06-10T00:00:00"/>
    <x v="1"/>
    <e v="#N/A"/>
    <x v="4"/>
    <s v="DRY2500186"/>
    <s v="UK"/>
    <s v="CPFNW"/>
    <s v="Westbridge Foods Limited (One UK)"/>
    <s v="Minced ND"/>
    <s v="Cooked Wonton"/>
    <s v="Cooked Minced Wonton Noodle No Egg"/>
    <s v="082SRWE24005P00001"/>
    <s v="258g*4c*6in"/>
    <n v="24"/>
    <n v="5"/>
    <n v="6.0000000000000001E-3"/>
    <x v="4"/>
    <s v="Salt"/>
    <s v="Regular"/>
    <n v="1176"/>
    <n v="1016"/>
    <n v="177.25"/>
    <n v="17.25"/>
    <n v="0"/>
    <n v="0"/>
    <n v="7.4999999999999997E-3"/>
    <n v="0"/>
    <s v="ห่อแบบพับ"/>
    <n v="0"/>
    <n v="0"/>
  </r>
  <r>
    <x v="515"/>
    <d v="2025-06-10T00:00:00"/>
    <x v="1"/>
    <e v="#N/A"/>
    <x v="4"/>
    <s v="DRY2500089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n v="0"/>
    <n v="7.4999999999999997E-3"/>
    <n v="0"/>
    <m/>
    <n v="0"/>
    <n v="0"/>
  </r>
  <r>
    <x v="515"/>
    <d v="2025-06-19T00:00:00"/>
    <x v="1"/>
    <e v="#N/A"/>
    <x v="4"/>
    <s v="DRY2500124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515"/>
    <d v="2025-06-19T00:00:00"/>
    <x v="1"/>
    <e v="#N/A"/>
    <x v="4"/>
    <s v="DRY2500125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114"/>
    <n v="98"/>
    <n v="16"/>
    <n v="0"/>
    <n v="0"/>
    <n v="0"/>
    <n v="7.4999999999999997E-3"/>
    <n v="0"/>
    <m/>
    <n v="0"/>
    <n v="0"/>
  </r>
  <r>
    <x v="515"/>
    <d v="2025-06-23T00:00:00"/>
    <x v="1"/>
    <e v="#N/A"/>
    <x v="4"/>
    <s v="DRY2500117"/>
    <s v="Denmark"/>
    <s v="CPFNW"/>
    <s v="CPF DENMARK"/>
    <s v="Wonton ND+V+TY"/>
    <s v="Cooked Wonton"/>
    <s v="Cooked Wonton ND No Egg with Pumpkin _x000a_+ Vegetable  HC  3 pcs tomyam"/>
    <s v="082SJKW08003P00001"/>
    <s v="309g*8"/>
    <n v="8"/>
    <n v="3"/>
    <n v="7.4999999999999997E-3"/>
    <x v="1"/>
    <s v="Salt"/>
    <s v="TYANSSG+CM"/>
    <n v="3500"/>
    <m/>
    <n v="3500"/>
    <n v="0"/>
    <n v="0"/>
    <n v="0"/>
    <n v="3.85E-2"/>
    <n v="0"/>
    <s v="ต้มยำสูตรลดเผ็ดลง 10 %"/>
    <n v="0"/>
    <n v="0"/>
  </r>
  <r>
    <x v="516"/>
    <d v="2025-06-12T00:00:00"/>
    <x v="1"/>
    <e v="#N/A"/>
    <x v="4"/>
    <s v="DRY2500069"/>
    <s v="New Zealand"/>
    <s v="CPFNW"/>
    <s v="Lim Brothers"/>
    <s v="C-Minced WT in tray no egg"/>
    <s v="Cooked Wonton"/>
    <s v="Cooked Minced Wonton in Tray 6 pcs + Sesame Sauce"/>
    <s v="082SKN716006P00001"/>
    <s v="117*2tray*8in"/>
    <n v="16"/>
    <n v="6"/>
    <n v="6.1999999999999998E-3"/>
    <x v="4"/>
    <s v="Salt"/>
    <s v=" Sesame 15g"/>
    <n v="144"/>
    <m/>
    <n v="144"/>
    <n v="0"/>
    <n v="0"/>
    <n v="0"/>
    <n v="1"/>
    <n v="0"/>
    <s v="cap 3000 tray/hr. อื่น 8,300 ถ้วย"/>
    <n v="0"/>
    <n v="0"/>
  </r>
  <r>
    <x v="516"/>
    <d v="2025-07-03T00:00:00"/>
    <x v="1"/>
    <e v="#N/A"/>
    <x v="4"/>
    <s v="DRY2500114"/>
    <s v="New Zealand"/>
    <s v="CPFNW"/>
    <s v="Lim Brothers"/>
    <s v="C-Minced WT in tray no egg"/>
    <s v="Cooked Wonton"/>
    <s v="Cooked Minced Wonton in Tray 6 pcs + Sesame Sauce"/>
    <s v="082SKN716006P00001"/>
    <s v="117*2tray*8in"/>
    <n v="16"/>
    <n v="6"/>
    <n v="6.1999999999999998E-3"/>
    <x v="4"/>
    <s v="Salt"/>
    <s v=" Sesame 15g"/>
    <n v="216"/>
    <m/>
    <n v="231.375"/>
    <n v="15.375"/>
    <n v="0"/>
    <n v="0"/>
    <n v="1"/>
    <n v="0"/>
    <s v="cap 3000 tray/hr. อื่น 8,300 ถ้วย"/>
    <n v="0"/>
    <n v="0"/>
  </r>
  <r>
    <x v="516"/>
    <d v="2025-06-14T00:00:00"/>
    <x v="1"/>
    <e v="#N/A"/>
    <x v="4"/>
    <s v="DRY2500188"/>
    <s v="AUS"/>
    <s v="CPFNW"/>
    <s v="CPF Australia Pty Ltd."/>
    <s v="Minced ND+Kee Mao"/>
    <s v="Cooked Wonton"/>
    <s v="Cooked Minced Wonton Thai Spicy Noodles (Kee Mao Noodles)"/>
    <s v="082SR9U08003P02001"/>
    <s v="219g*8"/>
    <n v="8"/>
    <n v="3"/>
    <n v="6.1999999999999998E-3"/>
    <x v="4"/>
    <s v="Salt"/>
    <s v="Kee Mao 50G."/>
    <n v="120"/>
    <m/>
    <n v="120"/>
    <n v="0"/>
    <n v="0"/>
    <n v="0"/>
    <n v="1"/>
    <n v="0"/>
    <m/>
    <n v="0"/>
    <n v="0"/>
  </r>
  <r>
    <x v="516"/>
    <d v="2025-07-24T00:00:00"/>
    <x v="1"/>
    <e v="#N/A"/>
    <x v="4"/>
    <s v="DRY2500190"/>
    <s v="AUS"/>
    <s v="CPFNW"/>
    <s v="CPF Australia Pty Ltd."/>
    <s v="Minced ND+Kee Mao"/>
    <s v="Cooked Wonton"/>
    <s v="Cooked Minced Wonton Thai Spicy Noodles (Kee Mao Noodles)"/>
    <s v="082SR9U08003P02001"/>
    <s v="219g*8"/>
    <n v="8"/>
    <n v="3"/>
    <n v="6.1999999999999998E-3"/>
    <x v="4"/>
    <s v="Salt"/>
    <s v="Kee Mao 50G."/>
    <n v="150"/>
    <m/>
    <n v="150"/>
    <n v="0"/>
    <n v="0"/>
    <n v="0"/>
    <n v="1"/>
    <n v="0"/>
    <m/>
    <n v="0"/>
    <n v="0"/>
  </r>
  <r>
    <x v="516"/>
    <d v="2025-07-24T00:00:00"/>
    <x v="1"/>
    <e v="#N/A"/>
    <x v="4"/>
    <s v="DRY2500191"/>
    <s v="AUS"/>
    <s v="CPFNW"/>
    <s v="CPF Australia Pty Ltd."/>
    <s v="Minced ND+Kee Mao"/>
    <s v="Cooked Wonton"/>
    <s v="Cooked Minced Wonton Thai Spicy Noodles (Kee Mao Noodles)"/>
    <s v="082SR9U08003P02001"/>
    <s v="219g*8"/>
    <n v="8"/>
    <n v="3"/>
    <n v="6.1999999999999998E-3"/>
    <x v="4"/>
    <s v="Salt"/>
    <s v="Kee Mao 50G."/>
    <n v="150"/>
    <m/>
    <n v="150"/>
    <n v="0"/>
    <n v="0"/>
    <n v="0"/>
    <n v="1"/>
    <n v="0"/>
    <m/>
    <n v="0"/>
    <n v="0"/>
  </r>
  <r>
    <x v="516"/>
    <d v="2025-07-24T00:00:00"/>
    <x v="1"/>
    <e v="#N/A"/>
    <x v="4"/>
    <s v="DRY2500192"/>
    <s v="AUS"/>
    <s v="CPFNW"/>
    <s v="CPF Australia Pty Ltd."/>
    <s v="Minced ND+Kee Mao"/>
    <s v="Cooked Wonton"/>
    <s v="Cooked Minced Wonton Thai Spicy Noodles (Kee Mao Noodles)"/>
    <s v="082SR9U08003P02001"/>
    <s v="219g*8"/>
    <n v="8"/>
    <n v="3"/>
    <n v="6.1999999999999998E-3"/>
    <x v="4"/>
    <s v="Salt"/>
    <s v="Kee Mao 50G."/>
    <n v="150"/>
    <m/>
    <n v="150"/>
    <n v="0"/>
    <n v="0"/>
    <n v="0"/>
    <n v="1"/>
    <n v="0"/>
    <m/>
    <n v="0"/>
    <n v="0"/>
  </r>
  <r>
    <x v="516"/>
    <d v="2025-08-21T00:00:00"/>
    <x v="1"/>
    <e v="#N/A"/>
    <x v="4"/>
    <s v="DRY2500214"/>
    <s v="AUS"/>
    <s v="CPFNW"/>
    <s v="CPF Australia Pty Ltd."/>
    <s v="Minced ND+Kee Mao"/>
    <s v="Cooked Wonton"/>
    <s v="Cooked Minced Wonton Thai Spicy Noodles (Kee Mao Noodles)"/>
    <s v="082SR9U08003P02001"/>
    <s v="219g*8"/>
    <n v="8"/>
    <n v="3"/>
    <n v="6.1999999999999998E-3"/>
    <x v="4"/>
    <s v="Salt"/>
    <s v="Kee Mao 50G."/>
    <n v="887"/>
    <m/>
    <n v="942.25"/>
    <n v="55.25"/>
    <n v="0"/>
    <n v="0"/>
    <n v="1"/>
    <n v="0"/>
    <m/>
    <n v="0"/>
    <n v="0"/>
  </r>
  <r>
    <x v="516"/>
    <d v="2025-06-12T00:00:00"/>
    <x v="1"/>
    <e v="#N/A"/>
    <x v="4"/>
    <s v="DRY2500069"/>
    <s v="New Zealand"/>
    <s v="CPFNW"/>
    <s v="Lim Brothers"/>
    <s v="Wonton ND+V"/>
    <s v="Cooked Wonton"/>
    <s v="Cooked Wonton ND No Egg with Pumpkin_x000a_+ Yu Choy "/>
    <s v="082SJN708004P00001"/>
    <s v="305g*8"/>
    <n v="8"/>
    <n v="4"/>
    <n v="7.4999999999999997E-3"/>
    <x v="5"/>
    <s v="Salt"/>
    <s v="Regular"/>
    <n v="570"/>
    <m/>
    <n v="570"/>
    <n v="0"/>
    <n v="0"/>
    <n v="0"/>
    <n v="7.4999999999999997E-3"/>
    <n v="0"/>
    <m/>
    <n v="0"/>
    <n v="0"/>
  </r>
  <r>
    <x v="516"/>
    <d v="2025-06-14T00:00:00"/>
    <x v="1"/>
    <e v="#N/A"/>
    <x v="4"/>
    <s v="DRY2500188"/>
    <s v="AUS"/>
    <s v="CPFNW"/>
    <s v="CPF Australia Pty Ltd."/>
    <s v="Wonton ND+V"/>
    <s v="Cooked Wonton"/>
    <s v="Cooked Wonton ND No Egg with Pumpkin_x000a_+ Yu Choy "/>
    <s v="082SJ9U08004P00001"/>
    <s v="305g*8"/>
    <n v="8"/>
    <n v="4"/>
    <n v="7.4999999999999997E-3"/>
    <x v="5"/>
    <s v="Salt"/>
    <s v="Regular"/>
    <n v="635"/>
    <m/>
    <n v="635"/>
    <n v="0"/>
    <n v="0"/>
    <n v="0"/>
    <n v="7.4999999999999997E-3"/>
    <n v="0"/>
    <m/>
    <n v="0"/>
    <n v="0"/>
  </r>
  <r>
    <x v="516"/>
    <d v="2025-07-24T00:00:00"/>
    <x v="1"/>
    <e v="#N/A"/>
    <x v="4"/>
    <s v="DRY2500189"/>
    <s v="AUS"/>
    <s v="CPFNW"/>
    <s v="CPF Australia Pty Ltd."/>
    <s v="Wonton ND+V"/>
    <s v="Cooked Wonton"/>
    <s v="Cooked Wonton ND No Egg with Pumpkin_x000a_+ Yu Choy "/>
    <s v="082SJ9U08004P00001"/>
    <s v="305g*8"/>
    <n v="8"/>
    <n v="4"/>
    <n v="7.4999999999999997E-3"/>
    <x v="5"/>
    <s v="Salt"/>
    <s v="Regular"/>
    <n v="450"/>
    <m/>
    <n v="450"/>
    <n v="0"/>
    <n v="0"/>
    <n v="0"/>
    <n v="7.4999999999999997E-3"/>
    <n v="0"/>
    <m/>
    <n v="0"/>
    <n v="0"/>
  </r>
  <r>
    <x v="516"/>
    <d v="2025-07-24T00:00:00"/>
    <x v="1"/>
    <e v="#N/A"/>
    <x v="4"/>
    <s v="DRY2500190"/>
    <s v="AUS"/>
    <s v="CPFNW"/>
    <s v="CPF Australia Pty Ltd."/>
    <s v="Wonton ND+V"/>
    <s v="Cooked Wonton"/>
    <s v="Cooked Wonton ND No Egg with Pumpkin_x000a_+ Yu Choy "/>
    <s v="082SJ9U08004P00001"/>
    <s v="305g*8"/>
    <n v="8"/>
    <n v="4"/>
    <n v="7.4999999999999997E-3"/>
    <x v="5"/>
    <s v="Salt"/>
    <s v="Regular"/>
    <n v="389.75"/>
    <m/>
    <n v="389.75"/>
    <n v="0"/>
    <n v="0"/>
    <n v="0"/>
    <n v="7.4999999999999997E-3"/>
    <n v="0"/>
    <m/>
    <n v="0"/>
    <n v="0"/>
  </r>
  <r>
    <x v="516"/>
    <d v="2025-06-12T00:00:00"/>
    <x v="1"/>
    <e v="#N/A"/>
    <x v="4"/>
    <s v="DRY2500069"/>
    <s v="New Zealand"/>
    <s v="CPFNW"/>
    <s v="Lim Brothers"/>
    <s v="Minced ND+V+TK"/>
    <s v="Cooked Wonton"/>
    <s v="Cooked Minced  ND No Egg with Pumpkin_x000a_+ Yu Choy Tomkha"/>
    <s v="082SRN708003P01001"/>
    <s v="302g*8"/>
    <n v="8"/>
    <n v="3"/>
    <n v="6.0000000000000001E-3"/>
    <x v="4"/>
    <s v="Salt"/>
    <s v="Tomkha+CM"/>
    <n v="378"/>
    <m/>
    <n v="378"/>
    <n v="0"/>
    <n v="0"/>
    <n v="0"/>
    <n v="5.8823E-2"/>
    <n v="0"/>
    <m/>
    <n v="0"/>
    <n v="0"/>
  </r>
  <r>
    <x v="516"/>
    <d v="2025-07-03T00:00:00"/>
    <x v="1"/>
    <e v="#N/A"/>
    <x v="4"/>
    <s v="DRY2500114"/>
    <s v="New Zealand"/>
    <s v="CPFNW"/>
    <s v="Lim Brothers"/>
    <s v="Minced ND+V+TK"/>
    <s v="Cooked Wonton"/>
    <s v="Cooked Minced  ND No Egg with Pumpkin_x000a_+ Yu Choy Tomkha"/>
    <s v="082SRN708003P01001"/>
    <s v="302g*8"/>
    <n v="8"/>
    <n v="3"/>
    <n v="6.0000000000000001E-3"/>
    <x v="4"/>
    <s v="Salt"/>
    <s v="Tomkha+CM"/>
    <n v="550"/>
    <m/>
    <n v="550"/>
    <n v="0"/>
    <n v="0"/>
    <n v="0"/>
    <n v="5.8823E-2"/>
    <n v="0"/>
    <m/>
    <n v="0"/>
    <n v="0"/>
  </r>
  <r>
    <x v="516"/>
    <d v="2025-06-14T00:00:00"/>
    <x v="1"/>
    <e v="#N/A"/>
    <x v="4"/>
    <s v="DRY2500188"/>
    <s v="AUS"/>
    <s v="CPFNW"/>
    <s v="CPF Australia Pty Ltd."/>
    <s v="Minced ND+V+TK"/>
    <s v="Cooked Wonton"/>
    <s v="Cooked Minced  ND No Egg with Pumpkin_x000a_+ Yu Choy Tomkha"/>
    <s v="082SR9U08003P01001"/>
    <s v="302g*8"/>
    <n v="8"/>
    <n v="3"/>
    <n v="6.0000000000000001E-3"/>
    <x v="4"/>
    <s v="Salt"/>
    <s v="Tomkha+CM"/>
    <n v="300"/>
    <m/>
    <n v="300"/>
    <n v="0"/>
    <n v="0"/>
    <n v="0"/>
    <n v="5.8823E-2"/>
    <n v="0"/>
    <m/>
    <n v="0"/>
    <n v="0"/>
  </r>
  <r>
    <x v="516"/>
    <d v="2025-07-24T00:00:00"/>
    <x v="1"/>
    <e v="#N/A"/>
    <x v="4"/>
    <s v="DRY2500190"/>
    <s v="AUS"/>
    <s v="CPFNW"/>
    <s v="CPF Australia Pty Ltd."/>
    <s v="Minced ND+V+TK"/>
    <s v="Cooked Wonton"/>
    <s v="Cooked Minced  ND No Egg with Pumpkin_x000a_+ Yu Choy Tomkha"/>
    <s v="082SR9U08003P01001"/>
    <s v="302g*8"/>
    <n v="8"/>
    <n v="3"/>
    <n v="6.0000000000000001E-3"/>
    <x v="4"/>
    <s v="Salt"/>
    <s v="Tomkha+CM"/>
    <n v="200"/>
    <m/>
    <n v="200"/>
    <n v="0"/>
    <n v="0"/>
    <n v="0"/>
    <n v="5.8823E-2"/>
    <n v="0"/>
    <m/>
    <n v="0"/>
    <n v="0"/>
  </r>
  <r>
    <x v="516"/>
    <d v="2025-07-24T00:00:00"/>
    <x v="1"/>
    <e v="#N/A"/>
    <x v="4"/>
    <s v="DRY2500191"/>
    <s v="AUS"/>
    <s v="CPFNW"/>
    <s v="CPF Australia Pty Ltd."/>
    <s v="Minced ND+V+TK"/>
    <s v="Cooked Wonton"/>
    <s v="Cooked Minced  ND No Egg with Pumpkin_x000a_+ Yu Choy Tomkha"/>
    <s v="082SR9U08003P01001"/>
    <s v="302g*8"/>
    <n v="8"/>
    <n v="3"/>
    <n v="6.0000000000000001E-3"/>
    <x v="4"/>
    <s v="Salt"/>
    <s v="Tomkha+CM"/>
    <n v="200"/>
    <m/>
    <n v="200"/>
    <n v="0"/>
    <n v="0"/>
    <n v="0"/>
    <n v="5.8823E-2"/>
    <n v="0"/>
    <m/>
    <n v="0"/>
    <n v="0"/>
  </r>
  <r>
    <x v="516"/>
    <d v="2025-07-24T00:00:00"/>
    <x v="1"/>
    <e v="#N/A"/>
    <x v="4"/>
    <s v="DRY2500192"/>
    <s v="AUS"/>
    <s v="CPFNW"/>
    <s v="CPF Australia Pty Ltd."/>
    <s v="Minced ND+V+TK"/>
    <s v="Cooked Wonton"/>
    <s v="Cooked Minced  ND No Egg with Pumpkin_x000a_+ Yu Choy Tomkha"/>
    <s v="082SR9U08003P01001"/>
    <s v="302g*8"/>
    <n v="8"/>
    <n v="3"/>
    <n v="6.0000000000000001E-3"/>
    <x v="4"/>
    <s v="Salt"/>
    <s v="Tomkha+CM"/>
    <n v="200"/>
    <m/>
    <n v="200"/>
    <n v="0"/>
    <n v="0"/>
    <n v="0"/>
    <n v="5.8823E-2"/>
    <n v="0"/>
    <m/>
    <n v="0"/>
    <n v="0"/>
  </r>
  <r>
    <x v="516"/>
    <d v="2025-08-21T00:00:00"/>
    <x v="1"/>
    <e v="#N/A"/>
    <x v="4"/>
    <s v="DRY2500214"/>
    <s v="AUS"/>
    <s v="CPFNW"/>
    <s v="CPF Australia Pty Ltd."/>
    <s v="Minced ND+V+TK"/>
    <s v="Cooked Wonton"/>
    <s v="Cooked Minced  ND No Egg with Pumpkin_x000a_+ Yu Choy Tomkha"/>
    <s v="082SR9U08003P01001"/>
    <s v="302g*8"/>
    <n v="8"/>
    <n v="3"/>
    <n v="6.0000000000000001E-3"/>
    <x v="4"/>
    <s v="Salt"/>
    <s v="Tomkha+CM"/>
    <n v="556"/>
    <m/>
    <n v="641"/>
    <n v="85"/>
    <n v="0"/>
    <n v="0"/>
    <n v="5.8823E-2"/>
    <n v="0"/>
    <m/>
    <n v="0"/>
    <n v="0"/>
  </r>
  <r>
    <x v="516"/>
    <d v="2025-06-23T00:00:00"/>
    <x v="1"/>
    <e v="#N/A"/>
    <x v="4"/>
    <s v="DRY2500106"/>
    <s v="Germany"/>
    <s v="CPFNW"/>
    <s v=" CPF Distribution (under Paulsen Food)"/>
    <s v="Minced ND+V+TK"/>
    <s v="Cooked Wonton"/>
    <s v="Cooked Minced  ND No Egg with Pumpkin_x000a_+ Yu Choy Tomkha"/>
    <s v="082SR3N12003P01001"/>
    <s v="302g*12"/>
    <n v="12"/>
    <n v="3"/>
    <n v="6.0000000000000001E-3"/>
    <x v="4"/>
    <s v="Salt"/>
    <s v="Tomkha+CM"/>
    <n v="2278"/>
    <m/>
    <n v="2438.25"/>
    <n v="160.25"/>
    <n v="0"/>
    <n v="0"/>
    <n v="5.8823E-2"/>
    <n v="0"/>
    <m/>
    <n v="0"/>
    <n v="0"/>
  </r>
  <r>
    <x v="517"/>
    <m/>
    <x v="1"/>
    <e v="#N/A"/>
    <x v="5"/>
    <m/>
    <m/>
    <m/>
    <m/>
    <m/>
    <m/>
    <m/>
    <m/>
    <m/>
    <m/>
    <m/>
    <m/>
    <x v="0"/>
    <m/>
    <m/>
    <m/>
    <m/>
    <m/>
    <m/>
    <m/>
    <n v="0"/>
    <m/>
    <m/>
    <m/>
    <m/>
    <m/>
  </r>
  <r>
    <x v="518"/>
    <d v="2025-06-14T00:00:00"/>
    <x v="1"/>
    <e v="#N/A"/>
    <x v="5"/>
    <s v="KL2500015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n v="0"/>
    <n v="0"/>
  </r>
  <r>
    <x v="518"/>
    <d v="2025-06-16T00:00:00"/>
    <x v="1"/>
    <e v="#N/A"/>
    <x v="5"/>
    <s v="DRY2500111"/>
    <s v="SG"/>
    <s v="CPFNW"/>
    <s v="CPI SINGAPORE"/>
    <s v="R-Wonton egg past"/>
    <s v="Raw Wonton"/>
    <s v="Raw Wonton 12 pcs with sesame"/>
    <s v="082I93B20012P02001"/>
    <s v="204g*20in"/>
    <n v="20"/>
    <n v="12"/>
    <n v="6.8100000000000001E-3"/>
    <x v="3"/>
    <s v="STPP"/>
    <s v=" sesame 30g"/>
    <n v="234"/>
    <m/>
    <n v="234"/>
    <n v="0"/>
    <n v="0"/>
    <n v="0"/>
    <n v="2"/>
    <n v="0"/>
    <s v="ห่อแบบดิบ"/>
    <m/>
    <m/>
  </r>
  <r>
    <x v="519"/>
    <m/>
    <x v="1"/>
    <e v="#N/A"/>
    <x v="5"/>
    <m/>
    <m/>
    <m/>
    <m/>
    <m/>
    <m/>
    <m/>
    <m/>
    <m/>
    <m/>
    <m/>
    <m/>
    <x v="0"/>
    <m/>
    <m/>
    <m/>
    <m/>
    <m/>
    <m/>
    <m/>
    <n v="0"/>
    <m/>
    <m/>
    <m/>
    <m/>
    <m/>
  </r>
  <r>
    <x v="520"/>
    <d v="2025-06-16T00:00:00"/>
    <x v="1"/>
    <e v="#N/A"/>
    <x v="5"/>
    <s v="KL2500018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781"/>
    <n v="770"/>
    <n v="11"/>
    <n v="0"/>
    <n v="0"/>
    <n v="0"/>
    <n v="6"/>
    <n v="0"/>
    <m/>
    <n v="0"/>
    <n v="0"/>
  </r>
  <r>
    <x v="520"/>
    <d v="2025-06-24T00:00:00"/>
    <x v="1"/>
    <e v="#N/A"/>
    <x v="5"/>
    <s v="DRY2500197"/>
    <s v="Belgium"/>
    <s v="CPFNW"/>
    <s v="CPF EUROPE S.A."/>
    <s v="Wonton +V"/>
    <s v="Cooked Wonton"/>
    <s v="Cooked Wonton  No Egg _x000a_+ Vegetable  HC  4 pcs"/>
    <s v="082S83I08004P00001"/>
    <s v="145g*8"/>
    <n v="8"/>
    <n v="4"/>
    <n v="7.4999999999999997E-3"/>
    <x v="5"/>
    <s v="Salt"/>
    <s v="Regular"/>
    <n v="1200"/>
    <m/>
    <n v="1200"/>
    <n v="0"/>
    <n v="0"/>
    <n v="0"/>
    <n v="7.4999999999999997E-3"/>
    <n v="0"/>
    <m/>
    <n v="0"/>
    <n v="0"/>
  </r>
  <r>
    <x v="520"/>
    <d v="2025-06-19T00:00:00"/>
    <x v="1"/>
    <e v="#N/A"/>
    <x v="5"/>
    <s v="DRY2500125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678"/>
    <n v="509"/>
    <n v="169"/>
    <n v="0"/>
    <n v="0"/>
    <n v="0"/>
    <n v="7.4999999999999997E-3"/>
    <n v="0"/>
    <m/>
    <n v="0"/>
    <n v="0"/>
  </r>
  <r>
    <x v="520"/>
    <d v="2025-07-03T00:00:00"/>
    <x v="1"/>
    <e v="#N/A"/>
    <x v="5"/>
    <s v="DRY2500114"/>
    <s v="New Zealand"/>
    <s v="CPFNW"/>
    <s v="Lim Brothers"/>
    <s v="Wonton ND+V"/>
    <s v="Cooked Wonton"/>
    <s v="Cooked Wonton ND No Egg with Pumpkin_x000a_+ Yu Choy "/>
    <s v="082SJN708004P00001"/>
    <s v="305g*8"/>
    <n v="8"/>
    <n v="4"/>
    <n v="7.4999999999999997E-3"/>
    <x v="5"/>
    <s v="Salt"/>
    <s v="Regular"/>
    <n v="485"/>
    <m/>
    <n v="485"/>
    <n v="0"/>
    <n v="0"/>
    <n v="0"/>
    <n v="7.4999999999999997E-3"/>
    <n v="0"/>
    <m/>
    <n v="0"/>
    <n v="0"/>
  </r>
  <r>
    <x v="520"/>
    <d v="2025-06-24T00:00:00"/>
    <x v="1"/>
    <e v="#N/A"/>
    <x v="5"/>
    <s v="DRY2500197"/>
    <s v="Belgium"/>
    <s v="CPFNW"/>
    <s v="CPF EUROPE S.A."/>
    <s v="Wonton ND+V"/>
    <s v="Cooked Wonton"/>
    <s v="Cooked Wonton ND No Egg with Pumpkin _x000a_+ Vegetable  HC  3 pcs"/>
    <s v="082SJ3I08003P00001"/>
    <s v="309g*8"/>
    <n v="8"/>
    <n v="3"/>
    <n v="7.4999999999999997E-3"/>
    <x v="5"/>
    <s v="Salt"/>
    <s v="Regular"/>
    <n v="720"/>
    <m/>
    <n v="720"/>
    <n v="0"/>
    <n v="0"/>
    <n v="0"/>
    <n v="7.4999999999999997E-3"/>
    <n v="0"/>
    <m/>
    <n v="0"/>
    <n v="0"/>
  </r>
  <r>
    <x v="520"/>
    <d v="2025-06-26T00:00:00"/>
    <x v="1"/>
    <e v="#N/A"/>
    <x v="5"/>
    <s v="DRY2500163"/>
    <s v="Spain"/>
    <s v="CPFNW"/>
    <s v="Mercadona"/>
    <s v="Wonton ND+V"/>
    <s v="Cooked Wonton"/>
    <s v="Cooked Wonton ND No Egg with Pumpkin _x000a_+ Vegetable  HC  3 pcs"/>
    <s v="082SJ5T12003P01001"/>
    <s v="309g*12"/>
    <n v="12"/>
    <n v="3"/>
    <n v="7.4999999999999997E-3"/>
    <x v="3"/>
    <s v="Salt"/>
    <s v="Regular"/>
    <n v="2451"/>
    <n v="2451"/>
    <m/>
    <n v="0"/>
    <n v="0"/>
    <n v="0"/>
    <n v="7.4999999999999997E-3"/>
    <n v="0"/>
    <m/>
    <n v="0"/>
    <n v="0"/>
  </r>
  <r>
    <x v="521"/>
    <d v="2025-06-16T00:00:00"/>
    <x v="1"/>
    <e v="#N/A"/>
    <x v="5"/>
    <s v="KL2500018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627"/>
    <n v="627"/>
    <m/>
    <n v="0"/>
    <n v="0"/>
    <n v="0"/>
    <n v="6"/>
    <n v="0"/>
    <m/>
    <n v="0"/>
    <n v="0"/>
  </r>
  <r>
    <x v="521"/>
    <s v="06-2025"/>
    <x v="1"/>
    <e v="#N/A"/>
    <x v="5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2197"/>
    <n v="2197"/>
    <m/>
    <n v="0"/>
    <n v="0"/>
    <n v="0"/>
    <n v="7.4999999999999997E-3"/>
    <n v="0"/>
    <s v="คาดการณ์ pk เข้า 30/5"/>
    <n v="0"/>
    <n v="0"/>
  </r>
  <r>
    <x v="522"/>
    <s v="06-2025"/>
    <x v="1"/>
    <e v="#N/A"/>
    <x v="5"/>
    <s v="ขายภายใน"/>
    <s v=".7-11"/>
    <s v="CPFGS"/>
    <s v="ซีพีเอฟ เทรดดิ้ง"/>
    <s v="Wonton ND"/>
    <s v="Cooked Wonton"/>
    <s v="บะหมี่เกี๊ยวกุ้งซุปสุกี้ CPxMK 227g ND Pumpkin"/>
    <s v="082SJ3Q12003P09001"/>
    <s v="227g*12"/>
    <n v="12"/>
    <n v="3"/>
    <n v="8.0000000000000002E-3"/>
    <x v="2"/>
    <s v="STPP"/>
    <s v="MK"/>
    <n v="12000"/>
    <n v="11836"/>
    <n v="164"/>
    <n v="0"/>
    <n v="0"/>
    <n v="0"/>
    <n v="0.05"/>
    <n v="0"/>
    <m/>
    <n v="0"/>
    <n v="0"/>
  </r>
  <r>
    <x v="523"/>
    <s v="06-2025"/>
    <x v="1"/>
    <e v="#N/A"/>
    <x v="5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6669"/>
    <n v="6669"/>
    <m/>
    <n v="0"/>
    <n v="0"/>
    <n v="0"/>
    <n v="7.4999999999999997E-3"/>
    <n v="0"/>
    <m/>
    <n v="0"/>
    <n v="0"/>
  </r>
  <r>
    <x v="524"/>
    <m/>
    <x v="1"/>
    <e v="#N/A"/>
    <x v="5"/>
    <m/>
    <m/>
    <m/>
    <m/>
    <m/>
    <m/>
    <m/>
    <m/>
    <m/>
    <m/>
    <m/>
    <m/>
    <x v="0"/>
    <m/>
    <m/>
    <m/>
    <m/>
    <m/>
    <m/>
    <m/>
    <n v="0"/>
    <m/>
    <m/>
    <m/>
    <m/>
    <m/>
  </r>
  <r>
    <x v="525"/>
    <d v="2025-06-16T00:00:00"/>
    <x v="1"/>
    <e v="#N/A"/>
    <x v="5"/>
    <s v="DRY2500111"/>
    <s v="SG"/>
    <s v="CPFNW"/>
    <s v="CPI SINGAPORE"/>
    <s v="R-Wonton egg past"/>
    <s v="Raw Wonton"/>
    <s v="Raw Wonton 12 pcs with sesame"/>
    <s v="082I93B20012P02001"/>
    <s v="204g*20in"/>
    <n v="20"/>
    <n v="12"/>
    <n v="6.8100000000000001E-3"/>
    <x v="3"/>
    <s v="STPP"/>
    <s v=" sesame 30g"/>
    <n v="838"/>
    <n v="837"/>
    <n v="10"/>
    <n v="9"/>
    <n v="0"/>
    <n v="0"/>
    <n v="2"/>
    <n v="0"/>
    <s v="ห่อแบบดิบ"/>
    <m/>
    <m/>
  </r>
  <r>
    <x v="525"/>
    <d v="2025-06-26T00:00:00"/>
    <x v="1"/>
    <e v="#N/A"/>
    <x v="5"/>
    <s v="DRY2500126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525"/>
    <d v="2025-06-26T00:00:00"/>
    <x v="1"/>
    <e v="#N/A"/>
    <x v="5"/>
    <s v="DRY2500127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525"/>
    <d v="2025-06-26T00:00:00"/>
    <x v="1"/>
    <e v="#N/A"/>
    <x v="5"/>
    <s v="DRY2500128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526"/>
    <d v="2025-06-24T00:00:00"/>
    <x v="1"/>
    <e v="#N/A"/>
    <x v="5"/>
    <s v="KL2500022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737"/>
    <n v="737"/>
    <m/>
    <n v="0"/>
    <n v="0"/>
    <n v="0"/>
    <n v="6"/>
    <n v="0"/>
    <m/>
    <n v="0"/>
    <n v="0"/>
  </r>
  <r>
    <x v="526"/>
    <s v="06-2025"/>
    <x v="1"/>
    <e v="#N/A"/>
    <x v="5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997"/>
    <n v="1997"/>
    <m/>
    <n v="0"/>
    <n v="0"/>
    <n v="0"/>
    <n v="7.4999999999999997E-3"/>
    <n v="0"/>
    <s v="คาดการณ์ pk เข้า 30/5"/>
    <n v="0"/>
    <n v="0"/>
  </r>
  <r>
    <x v="526"/>
    <d v="2025-06-23T00:00:00"/>
    <x v="1"/>
    <e v="#N/A"/>
    <x v="5"/>
    <s v="DRY2500118"/>
    <s v="Denmark"/>
    <s v="CPFNW"/>
    <s v="CPF DENMARK"/>
    <s v="Minced ND+V+TK"/>
    <s v="Cooked Wonton"/>
    <s v="Cooked Minced  ND No Egg with Pumpkin_x000a_+ Yu Choy Tomyum"/>
    <s v="082SJKW08003P01001"/>
    <s v="302g*8"/>
    <n v="8"/>
    <n v="3"/>
    <n v="6.0000000000000001E-3"/>
    <x v="4"/>
    <s v="Salt"/>
    <s v="Tomkha+CM"/>
    <n v="3500"/>
    <m/>
    <n v="3500"/>
    <n v="0"/>
    <n v="0"/>
    <n v="0"/>
    <n v="5.8823E-2"/>
    <n v="0"/>
    <m/>
    <n v="0"/>
    <n v="0"/>
  </r>
  <r>
    <x v="527"/>
    <d v="2025-06-24T00:00:00"/>
    <x v="1"/>
    <e v="#N/A"/>
    <x v="5"/>
    <s v="KL2500022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671"/>
    <n v="671"/>
    <m/>
    <n v="0"/>
    <n v="0"/>
    <n v="0"/>
    <n v="6"/>
    <n v="0"/>
    <m/>
    <n v="0"/>
    <n v="0"/>
  </r>
  <r>
    <x v="527"/>
    <d v="2025-06-24T00:00:00"/>
    <x v="1"/>
    <e v="#N/A"/>
    <x v="5"/>
    <s v="DRY2500206"/>
    <s v="UK"/>
    <s v="CPFNW"/>
    <s v="Westbridge Foods Limited (One UK)"/>
    <s v="Wonton+TY"/>
    <s v="Cooked Wonton"/>
    <s v="Cooked Wonton Soup Tomyum"/>
    <s v="082S8KW08005P00001"/>
    <s v="147g*8"/>
    <n v="8"/>
    <n v="5"/>
    <n v="7.4999999999999997E-3"/>
    <x v="1"/>
    <s v="Salt"/>
    <s v="TYEXSG+CO"/>
    <n v="2574"/>
    <n v="517"/>
    <n v="2070.125"/>
    <n v="13.125"/>
    <n v="0"/>
    <n v="0"/>
    <n v="7.4999999999999997E-3"/>
    <n v="0"/>
    <s v="NEWPACKAGE/ถ้าว,ฝา สีขาว  เอาstock ไตหวัน= 72ถ้วย กับเกาหลี=181 ถ้วย จีน 1285 ถ้วย มารีแพ็คด้วย"/>
    <n v="0"/>
    <n v="0"/>
  </r>
  <r>
    <x v="527"/>
    <d v="2025-06-26T00:00:00"/>
    <x v="1"/>
    <e v="#N/A"/>
    <x v="5"/>
    <s v="DRY2500130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SG+CO"/>
    <n v="924"/>
    <n v="924"/>
    <m/>
    <n v="0"/>
    <n v="0"/>
    <n v="0"/>
    <n v="3.8699999999999998E-2"/>
    <n v="0"/>
    <m/>
    <n v="0"/>
    <n v="0"/>
  </r>
  <r>
    <x v="527"/>
    <d v="2025-06-23T00:00:00"/>
    <x v="1"/>
    <e v="#N/A"/>
    <x v="5"/>
    <s v="DRY2500105"/>
    <s v="Germany"/>
    <s v="CPFNW"/>
    <s v=" CPF Distribution (under Paulsen Food)"/>
    <s v="Minced ND+V+TY"/>
    <s v="Cooked Wonton"/>
    <s v="Cooked Minced  ND No Egg with Pumpkin_x000a_+ Yu Choy Tomyum"/>
    <s v="082SR3N12003P00001"/>
    <s v="302g*12"/>
    <n v="12"/>
    <n v="3"/>
    <n v="6.0000000000000001E-3"/>
    <x v="4"/>
    <s v="Salt"/>
    <s v="TYEXSG+CO"/>
    <n v="2278"/>
    <m/>
    <n v="2278"/>
    <n v="0"/>
    <n v="0"/>
    <n v="0"/>
    <n v="3.8699999999999998E-2"/>
    <n v="0"/>
    <m/>
    <n v="0"/>
    <n v="0"/>
  </r>
  <r>
    <x v="527"/>
    <d v="2025-07-24T00:00:00"/>
    <x v="1"/>
    <e v="#N/A"/>
    <x v="5"/>
    <s v="DRY2500210"/>
    <s v="New Zealand"/>
    <s v="CPFNW"/>
    <s v="Lim Brothers"/>
    <s v="Minced ND+V+TY"/>
    <s v="Cooked Wonton"/>
    <s v="Cooked Minced  ND No Egg with Pumpkin_x000a_+ Yu Choy Tomyum"/>
    <s v="082SRN708003P00001"/>
    <s v="302g*8"/>
    <n v="8"/>
    <n v="3"/>
    <n v="6.0000000000000001E-3"/>
    <x v="4"/>
    <s v="Salt"/>
    <s v="TYEXSG+CO"/>
    <n v="190"/>
    <m/>
    <n v="398.5"/>
    <n v="208.5"/>
    <n v="0"/>
    <n v="0"/>
    <n v="3.8699999999999998E-2"/>
    <n v="0"/>
    <s v="2673 ถ้วย เอา Germany มา"/>
    <n v="0"/>
    <n v="0"/>
  </r>
  <r>
    <x v="528"/>
    <d v="2025-06-27T00:00:00"/>
    <x v="1"/>
    <e v="#N/A"/>
    <x v="5"/>
    <s v="KL2500020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760"/>
    <n v="760"/>
    <m/>
    <n v="0"/>
    <n v="0"/>
    <n v="0"/>
    <n v="6"/>
    <n v="0"/>
    <m/>
    <n v="0"/>
    <n v="0"/>
  </r>
  <r>
    <x v="528"/>
    <d v="2025-06-26T00:00:00"/>
    <x v="1"/>
    <e v="#N/A"/>
    <x v="5"/>
    <s v="DRY2500163"/>
    <s v="Spain"/>
    <s v="CPFNW"/>
    <s v="Mercadona"/>
    <s v="Wonton ND+V"/>
    <s v="Cooked Wonton"/>
    <s v="Cooked Wonton ND No Egg with Pumpkin _x000a_+ Vegetable  HC  3 pcs"/>
    <s v="082SJ5T12003P01001"/>
    <s v="309g*12"/>
    <n v="12"/>
    <n v="3"/>
    <n v="7.4999999999999997E-3"/>
    <x v="3"/>
    <s v="Salt"/>
    <s v="Regular"/>
    <n v="69"/>
    <n v="69"/>
    <m/>
    <n v="0"/>
    <n v="0"/>
    <n v="0"/>
    <n v="7.4999999999999997E-3"/>
    <n v="0"/>
    <m/>
    <n v="0"/>
    <n v="0"/>
  </r>
  <r>
    <x v="528"/>
    <d v="2025-07-03T00:00:00"/>
    <x v="1"/>
    <e v="#N/A"/>
    <x v="5"/>
    <s v="DRY2500183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528"/>
    <d v="2025-06-24T00:00:00"/>
    <x v="1"/>
    <e v="#N/A"/>
    <x v="5"/>
    <s v="DRY2500004"/>
    <s v="UK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SG+CO"/>
    <n v="924"/>
    <n v="924"/>
    <m/>
    <n v="0"/>
    <n v="0"/>
    <n v="0"/>
    <n v="3.8699999999999998E-2"/>
    <n v="0"/>
    <m/>
    <n v="0"/>
    <n v="0"/>
  </r>
  <r>
    <x v="528"/>
    <d v="2025-06-24T00:00:00"/>
    <x v="1"/>
    <e v="#N/A"/>
    <x v="5"/>
    <s v="DRY2500005"/>
    <s v="UK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SG+CO"/>
    <n v="924"/>
    <n v="924"/>
    <n v="6.541666666666667"/>
    <n v="6.5416666666666288"/>
    <n v="0"/>
    <n v="0"/>
    <n v="3.8699999999999998E-2"/>
    <n v="0"/>
    <m/>
    <n v="0"/>
    <n v="0"/>
  </r>
  <r>
    <x v="529"/>
    <d v="2025-06-27T00:00:00"/>
    <x v="1"/>
    <e v="#N/A"/>
    <x v="5"/>
    <s v="KL2500020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648"/>
    <n v="648"/>
    <m/>
    <n v="0"/>
    <n v="0"/>
    <n v="0"/>
    <n v="6"/>
    <n v="0"/>
    <m/>
    <n v="0"/>
    <n v="0"/>
  </r>
  <r>
    <x v="529"/>
    <d v="2025-06-23T00:00:00"/>
    <x v="1"/>
    <e v="#N/A"/>
    <x v="5"/>
    <s v="DRY2500133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529"/>
    <d v="2025-06-23T00:00:00"/>
    <x v="1"/>
    <e v="#N/A"/>
    <x v="5"/>
    <s v="DRY2500134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529"/>
    <d v="2025-06-23T00:00:00"/>
    <x v="1"/>
    <e v="#N/A"/>
    <x v="5"/>
    <s v="DRY2500135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562"/>
    <n v="562"/>
    <m/>
    <n v="0"/>
    <n v="0"/>
    <n v="0"/>
    <n v="9.7000000000000003E-3"/>
    <n v="0"/>
    <m/>
    <n v="0"/>
    <n v="0"/>
  </r>
  <r>
    <x v="530"/>
    <d v="2025-06-24T00:00:00"/>
    <x v="1"/>
    <e v="#N/A"/>
    <x v="5"/>
    <s v="DRY2500197"/>
    <s v="Belgium"/>
    <s v="CPFNW"/>
    <s v="CPF EUROPE S.A."/>
    <s v="R-Wonton no egg"/>
    <s v="Raw Wonton"/>
    <s v="Raw Wonton 50 pcs"/>
    <s v="082I93I10050P02001"/>
    <s v="630g*10inner"/>
    <n v="10"/>
    <n v="50"/>
    <n v="8.1300000000000001E-3"/>
    <x v="1"/>
    <s v="Salt"/>
    <s v="ซุปซอง 5g."/>
    <n v="500"/>
    <n v="500"/>
    <m/>
    <n v="0"/>
    <n v="0"/>
    <n v="0"/>
    <n v="6"/>
    <n v="0"/>
    <m/>
    <n v="0"/>
    <n v="0"/>
  </r>
  <r>
    <x v="530"/>
    <d v="2025-07-08T00:00:00"/>
    <x v="1"/>
    <e v="#N/A"/>
    <x v="5"/>
    <s v="DRY2500193"/>
    <s v="Malay"/>
    <s v="CPFNW"/>
    <s v="CPM Malaysia"/>
    <s v="R-Wonton egg past"/>
    <s v="Raw Wonton"/>
    <s v="Raw Wonton 12 pcs"/>
    <s v="082I95I20012P02001"/>
    <s v="154g*20inner"/>
    <n v="20"/>
    <n v="12"/>
    <n v="6.8100000000000001E-3"/>
    <x v="3"/>
    <s v="STPP"/>
    <s v="ซุปซอง 5g."/>
    <n v="350"/>
    <n v="68"/>
    <n v="289"/>
    <n v="7"/>
    <n v="0"/>
    <n v="0"/>
    <n v="2"/>
    <n v="0"/>
    <m/>
    <n v="0"/>
    <n v="0"/>
  </r>
  <r>
    <x v="530"/>
    <s v="06-2025"/>
    <x v="1"/>
    <e v="#N/A"/>
    <x v="5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868"/>
    <n v="868"/>
    <m/>
    <n v="0"/>
    <n v="0"/>
    <n v="0"/>
    <n v="7.4999999999999997E-3"/>
    <n v="0"/>
    <s v="คาดการณ์ pk เข้า 30/5"/>
    <n v="0"/>
    <n v="0"/>
  </r>
  <r>
    <x v="530"/>
    <s v="06-2025"/>
    <x v="1"/>
    <e v="#N/A"/>
    <x v="5"/>
    <s v="ขายภายใน"/>
    <s v=".7-11"/>
    <s v="CPFGS"/>
    <s v="ซีพีเอฟ เทรดดิ้ง"/>
    <s v="Wonton ND"/>
    <s v="Cooked Wonton"/>
    <s v="บะหมี่เกี๊ยวกุ้งซุปสุกี้ CPxMK 227g ND Pumpkin"/>
    <s v="082SJ3Q12003P09001"/>
    <s v="227g*12"/>
    <n v="12"/>
    <n v="3"/>
    <n v="8.0000000000000002E-3"/>
    <x v="2"/>
    <s v="STPP"/>
    <s v="MK"/>
    <n v="3000"/>
    <n v="3000"/>
    <m/>
    <n v="0"/>
    <n v="0"/>
    <n v="0"/>
    <n v="0.05"/>
    <n v="0"/>
    <m/>
    <n v="0"/>
    <n v="0"/>
  </r>
  <r>
    <x v="530"/>
    <s v="07-2025"/>
    <x v="1"/>
    <e v="#N/A"/>
    <x v="5"/>
    <s v="ขายภายใน"/>
    <s v=".7-11"/>
    <s v="CPFGS"/>
    <s v="ซีพีเอฟ เทรดดิ้ง"/>
    <s v="Wonton ND"/>
    <s v="Cooked Wonton"/>
    <s v="บะหมี่เกี๊ยวกุ้งซุปสุกี้ CPxMK 227g ND Pumpkin"/>
    <s v="082SJ3Q12003P09001"/>
    <s v="227g*12"/>
    <n v="12"/>
    <n v="3"/>
    <n v="8.0000000000000002E-3"/>
    <x v="2"/>
    <s v="STPP"/>
    <s v="MK"/>
    <n v="1621"/>
    <n v="1621"/>
    <m/>
    <n v="0"/>
    <n v="0"/>
    <n v="0"/>
    <n v="0.05"/>
    <n v="0"/>
    <m/>
    <n v="0"/>
    <n v="0"/>
  </r>
  <r>
    <x v="531"/>
    <m/>
    <x v="1"/>
    <e v="#N/A"/>
    <x v="5"/>
    <m/>
    <m/>
    <m/>
    <m/>
    <m/>
    <m/>
    <m/>
    <m/>
    <m/>
    <m/>
    <m/>
    <m/>
    <x v="0"/>
    <m/>
    <m/>
    <m/>
    <m/>
    <m/>
    <m/>
    <m/>
    <n v="0"/>
    <m/>
    <m/>
    <m/>
    <m/>
    <m/>
  </r>
  <r>
    <x v="532"/>
    <d v="2025-06-30T00:00:00"/>
    <x v="1"/>
    <e v="#N/A"/>
    <x v="5"/>
    <s v="KL2500021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828"/>
    <n v="828"/>
    <m/>
    <n v="0"/>
    <n v="0"/>
    <n v="0"/>
    <n v="6"/>
    <n v="0"/>
    <m/>
    <n v="0"/>
    <n v="0"/>
  </r>
  <r>
    <x v="532"/>
    <d v="2025-06-24T00:00:00"/>
    <x v="1"/>
    <e v="#N/A"/>
    <x v="5"/>
    <s v="DRY2500206"/>
    <s v="UK"/>
    <s v="CPFNW"/>
    <s v="Westbridge Foods Limited (One UK)"/>
    <s v="Minced ND+Kee Mao"/>
    <s v="Cooked Wonton"/>
    <s v="Cooked Minced Wonton Thai Spicy Noodles (Drunken Noodles)"/>
    <s v="082SRKW06003P00001"/>
    <s v="300g*6"/>
    <n v="6"/>
    <n v="3"/>
    <n v="6.1999999999999998E-3"/>
    <x v="4"/>
    <s v="Salt"/>
    <s v="Kee Mao"/>
    <n v="4000"/>
    <n v="4000"/>
    <m/>
    <n v="0"/>
    <n v="0"/>
    <n v="0"/>
    <n v="6.5000000000000002E-2"/>
    <n v="0"/>
    <s v="NEWPACKAGE"/>
    <n v="0"/>
    <n v="0"/>
  </r>
  <r>
    <x v="532"/>
    <d v="2025-07-24T00:00:00"/>
    <x v="1"/>
    <e v="#N/A"/>
    <x v="5"/>
    <s v="DRY2500210"/>
    <s v="New Zealand"/>
    <s v="CPFNW"/>
    <s v="Lim Brothers"/>
    <s v="Minced ND+Kee Mao"/>
    <s v="Cooked Wonton"/>
    <s v="Cooked Minced Wonton Thai Spicy Noodles (Kee Mao Noodles)"/>
    <s v="082SRN708003P02001"/>
    <s v="219g*8"/>
    <n v="8"/>
    <n v="3"/>
    <n v="6.0000000000000001E-3"/>
    <x v="4"/>
    <s v="Salt"/>
    <s v="Kee Mao 50G."/>
    <n v="375"/>
    <m/>
    <n v="375"/>
    <n v="0"/>
    <n v="0"/>
    <n v="0"/>
    <n v="1"/>
    <n v="0"/>
    <s v="NEWPACKAGE"/>
    <n v="0"/>
    <n v="0"/>
  </r>
  <r>
    <x v="533"/>
    <d v="2025-06-30T00:00:00"/>
    <x v="1"/>
    <e v="#N/A"/>
    <x v="5"/>
    <s v="KL2500021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580"/>
    <n v="580"/>
    <m/>
    <n v="0"/>
    <n v="0"/>
    <n v="0"/>
    <n v="6"/>
    <n v="0"/>
    <m/>
    <n v="0"/>
    <n v="0"/>
  </r>
  <r>
    <x v="533"/>
    <d v="2025-06-23T00:00:00"/>
    <x v="1"/>
    <e v="#N/A"/>
    <x v="5"/>
    <s v="DRY2500135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230"/>
    <n v="230"/>
    <m/>
    <n v="0"/>
    <n v="0"/>
    <n v="0"/>
    <n v="9.7000000000000003E-3"/>
    <n v="0"/>
    <m/>
    <n v="0"/>
    <n v="0"/>
  </r>
  <r>
    <x v="533"/>
    <d v="2025-06-23T00:00:00"/>
    <x v="1"/>
    <e v="#N/A"/>
    <x v="5"/>
    <s v="DRY2500153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533"/>
    <d v="2025-06-23T00:00:00"/>
    <x v="1"/>
    <e v="#N/A"/>
    <x v="5"/>
    <s v="DRY2500154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533"/>
    <d v="2025-06-30T00:00:00"/>
    <x v="1"/>
    <e v="#N/A"/>
    <x v="5"/>
    <s v="DRY2500136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24"/>
    <n v="24"/>
    <m/>
    <n v="0"/>
    <n v="0"/>
    <n v="0"/>
    <n v="9.7000000000000003E-3"/>
    <n v="0"/>
    <m/>
    <n v="0"/>
    <n v="0"/>
  </r>
  <r>
    <x v="533"/>
    <d v="2025-07-01T00:00:00"/>
    <x v="1"/>
    <e v="#N/A"/>
    <x v="5"/>
    <s v="DRY2500119"/>
    <s v="Denmark"/>
    <s v="CPFNW"/>
    <s v="CPF DENMARK"/>
    <s v="Wonton ND+V+TY"/>
    <s v="Cooked Wonton"/>
    <s v="Cooked Wonton ND No Egg with Pumpkin _x000a_+ Vegetable  HC  3 pcs tomyam"/>
    <s v="082SJKW08003P00001"/>
    <s v="309g*8"/>
    <n v="8"/>
    <n v="3"/>
    <n v="7.4999999999999997E-3"/>
    <x v="1"/>
    <s v="Salt"/>
    <s v="TYANSSG+CM"/>
    <n v="3500"/>
    <m/>
    <n v="3500"/>
    <n v="0"/>
    <n v="0"/>
    <n v="0"/>
    <n v="3.85E-2"/>
    <n v="0"/>
    <s v="ต้มยำสูตรลดเผ็ดลง 10 %"/>
    <n v="0"/>
    <n v="0"/>
  </r>
  <r>
    <x v="534"/>
    <s v="06-2025"/>
    <x v="1"/>
    <e v="#N/A"/>
    <x v="5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769"/>
    <n v="769"/>
    <m/>
    <n v="0"/>
    <n v="0"/>
    <n v="0"/>
    <n v="7.4999999999999997E-3"/>
    <n v="0"/>
    <s v="คาดการณ์ pk เข้า 30/5"/>
    <n v="0"/>
    <n v="0"/>
  </r>
  <r>
    <x v="534"/>
    <s v="07-2025"/>
    <x v="1"/>
    <e v="#N/A"/>
    <x v="5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2211"/>
    <n v="2211"/>
    <m/>
    <n v="0"/>
    <n v="0"/>
    <n v="0"/>
    <n v="7.4999999999999997E-3"/>
    <n v="0"/>
    <m/>
    <n v="0"/>
    <n v="0"/>
  </r>
  <r>
    <x v="534"/>
    <s v="07-2025"/>
    <x v="1"/>
    <e v="#N/A"/>
    <x v="5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450"/>
    <n v="450"/>
    <m/>
    <n v="0"/>
    <n v="0"/>
    <n v="0"/>
    <n v="7.4999999999999997E-3"/>
    <n v="0"/>
    <m/>
    <n v="0"/>
    <n v="0"/>
  </r>
  <r>
    <x v="534"/>
    <s v="07-2025"/>
    <x v="1"/>
    <e v="#N/A"/>
    <x v="5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0"/>
    <s v="145g*12"/>
    <n v="12"/>
    <n v="5"/>
    <n v="8.0000000000000002E-3"/>
    <x v="1"/>
    <s v="STPP"/>
    <s v="Regular"/>
    <n v="12"/>
    <n v="12"/>
    <m/>
    <n v="0"/>
    <n v="0"/>
    <n v="0"/>
    <n v="7.4999999999999997E-3"/>
    <n v="0"/>
    <m/>
    <n v="0"/>
    <n v="0"/>
  </r>
  <r>
    <x v="534"/>
    <s v="07-2025"/>
    <x v="1"/>
    <e v="#N/A"/>
    <x v="5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1"/>
    <s v="145g*12"/>
    <n v="12"/>
    <n v="5"/>
    <n v="8.0000000000000002E-3"/>
    <x v="1"/>
    <s v="STPP"/>
    <s v="Regular"/>
    <n v="2000"/>
    <n v="2000"/>
    <m/>
    <n v="0"/>
    <n v="0"/>
    <n v="0"/>
    <n v="7.4999999999999997E-3"/>
    <n v="0"/>
    <m/>
    <n v="0"/>
    <n v="0"/>
  </r>
  <r>
    <x v="534"/>
    <s v="06-2025"/>
    <x v="1"/>
    <e v="#N/A"/>
    <x v="5"/>
    <s v="ขายภายใน"/>
    <s v="MTFS"/>
    <s v="CPFGS"/>
    <s v="ซีพีเอฟ เทรดดิ้ง"/>
    <s v="E+Wonton TY"/>
    <s v="Cooked Wonton"/>
    <s v="เกี๊ยวกุ้งรสต้มยำ ตราซีพี 12x115 กรัม"/>
    <s v="082S83Q12005P04001"/>
    <s v="115g*12"/>
    <n v="12"/>
    <n v="5"/>
    <n v="8.0000000000000002E-3"/>
    <x v="1"/>
    <s v="STPP"/>
    <s v="TYTB3C 30G"/>
    <n v="700"/>
    <n v="700"/>
    <m/>
    <n v="0"/>
    <n v="0"/>
    <n v="0"/>
    <n v="1"/>
    <n v="0"/>
    <m/>
    <n v="0"/>
    <n v="0"/>
  </r>
  <r>
    <x v="534"/>
    <s v="07-2025"/>
    <x v="1"/>
    <e v="#N/A"/>
    <x v="5"/>
    <s v="ขายภายใน"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790"/>
    <n v="790"/>
    <m/>
    <n v="0"/>
    <n v="0"/>
    <n v="0"/>
    <n v="1"/>
    <n v="0"/>
    <m/>
    <n v="0"/>
    <n v="0"/>
  </r>
  <r>
    <x v="534"/>
    <s v="06-2025"/>
    <x v="1"/>
    <e v="#N/A"/>
    <x v="5"/>
    <s v="ขายภายใน"/>
    <s v="MTFS"/>
    <s v="CPFGS"/>
    <s v="ซีพีเอฟ เทรดดิ้ง"/>
    <s v="E+Wonton NDE"/>
    <s v="Cooked Wonton"/>
    <s v="บะหมี่เกี๊ยวกุ้ง ตราซีพี 12X226 กรัม"/>
    <s v="082SJ3Q12003P07001"/>
    <s v="226g*12"/>
    <n v="12"/>
    <n v="3"/>
    <n v="8.0000000000000002E-3"/>
    <x v="1"/>
    <s v="STPP"/>
    <s v="Regular"/>
    <n v="500"/>
    <n v="500"/>
    <m/>
    <n v="0"/>
    <n v="0"/>
    <n v="0"/>
    <n v="7.4999999999999997E-3"/>
    <n v="0"/>
    <m/>
    <n v="0"/>
    <n v="0"/>
  </r>
  <r>
    <x v="534"/>
    <s v="07-2025"/>
    <x v="1"/>
    <e v="#N/A"/>
    <x v="5"/>
    <s v="ขายภายใน"/>
    <s v="MTFS"/>
    <s v="CPFGS"/>
    <s v="ซีพีเอฟ เทรดดิ้ง"/>
    <s v="E+Wonton NDE"/>
    <s v="Cooked Wonton"/>
    <s v="บะหมี่เกี๊ยวกุ้ง ตราซีพี 12X226 กรัม"/>
    <s v="082SJ3Q12003P07001"/>
    <s v="226g*12"/>
    <n v="12"/>
    <n v="3"/>
    <n v="8.0000000000000002E-3"/>
    <x v="1"/>
    <s v="STPP"/>
    <s v="Regular"/>
    <n v="1200"/>
    <n v="1200"/>
    <m/>
    <n v="0"/>
    <n v="0"/>
    <n v="0"/>
    <n v="7.4999999999999997E-3"/>
    <n v="0"/>
    <m/>
    <n v="0"/>
    <n v="0"/>
  </r>
  <r>
    <x v="535"/>
    <s v="07-2025"/>
    <x v="1"/>
    <e v="#N/A"/>
    <x v="5"/>
    <s v="ขายภายใน"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1910"/>
    <n v="750"/>
    <n v="1160"/>
    <n v="0"/>
    <n v="0"/>
    <n v="0"/>
    <n v="1"/>
    <n v="0"/>
    <m/>
    <n v="0"/>
    <n v="0"/>
  </r>
  <r>
    <x v="535"/>
    <s v="06-2025"/>
    <x v="1"/>
    <e v="#N/A"/>
    <x v="5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2527"/>
    <n v="2527"/>
    <m/>
    <n v="0"/>
    <n v="0"/>
    <n v="0"/>
    <n v="7.4999999999999997E-3"/>
    <n v="0"/>
    <m/>
    <n v="0"/>
    <n v="0"/>
  </r>
  <r>
    <x v="535"/>
    <s v="07-2025"/>
    <x v="1"/>
    <e v="#N/A"/>
    <x v="5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1696"/>
    <n v="1696"/>
    <m/>
    <n v="0"/>
    <n v="0"/>
    <n v="0"/>
    <n v="7.4999999999999997E-3"/>
    <n v="0"/>
    <m/>
    <n v="0"/>
    <n v="0"/>
  </r>
  <r>
    <x v="536"/>
    <s v="06-2025"/>
    <x v="1"/>
    <e v="#N/A"/>
    <x v="5"/>
    <s v="ขายภายใน"/>
    <s v=".7-11"/>
    <s v="CPFGS"/>
    <s v="ซีพีเอฟ เทรดดิ้ง"/>
    <s v="E+Wonton+หมาล่า"/>
    <s v="Cooked Wonton"/>
    <s v="เกี๊ยวกุ้งจักรพรรดิซุปหมาล่า CP 143g 7E_LV"/>
    <s v="082S81A24005P0D001"/>
    <s v="143g*24"/>
    <n v="24"/>
    <n v="5"/>
    <n v="6.1999999999999998E-3"/>
    <x v="2"/>
    <s v="STPP"/>
    <s v="หมาล่า"/>
    <n v="3750"/>
    <n v="3750"/>
    <m/>
    <n v="0"/>
    <n v="0"/>
    <n v="0"/>
    <n v="1.2999999999999999E-2"/>
    <n v="0"/>
    <s v="เปลี่ยนแบบ Package SKU"/>
    <n v="0"/>
    <n v="0"/>
  </r>
  <r>
    <x v="536"/>
    <s v="07-2025"/>
    <x v="1"/>
    <e v="#N/A"/>
    <x v="5"/>
    <s v="ขายภายใน"/>
    <s v=".7-11"/>
    <s v="CPFGS"/>
    <s v="ซีพีเอฟ เทรดดิ้ง"/>
    <s v="E+Wonton+หมาล่า"/>
    <s v="Cooked Wonton"/>
    <s v="เกี๊ยวกุ้งจักรพรรดิซุปหมาล่า CP 143g 7E_LV"/>
    <s v="082S81A24005P0D001"/>
    <s v="143g*24"/>
    <n v="24"/>
    <n v="5"/>
    <n v="6.1999999999999998E-3"/>
    <x v="2"/>
    <s v="STPP"/>
    <s v="หมาล่า"/>
    <n v="2115"/>
    <n v="2115"/>
    <m/>
    <n v="0"/>
    <n v="0"/>
    <n v="0"/>
    <n v="1.2999999999999999E-2"/>
    <n v="0"/>
    <s v="เปลี่ยนแบบ Package SKU"/>
    <n v="0"/>
    <n v="0"/>
  </r>
  <r>
    <x v="537"/>
    <s v="07-2025"/>
    <x v="1"/>
    <e v="#N/A"/>
    <x v="5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280"/>
    <n v="1280"/>
    <m/>
    <n v="0"/>
    <n v="0"/>
    <n v="0"/>
    <n v="7.4999999999999997E-3"/>
    <n v="0"/>
    <m/>
    <n v="0"/>
    <n v="0"/>
  </r>
  <r>
    <x v="537"/>
    <d v="2025-06-30T00:00:00"/>
    <x v="1"/>
    <e v="#N/A"/>
    <x v="5"/>
    <s v="DRY2500136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68"/>
    <n v="768"/>
    <m/>
    <n v="0"/>
    <n v="0"/>
    <n v="0"/>
    <n v="9.7000000000000003E-3"/>
    <n v="0"/>
    <m/>
    <n v="0"/>
    <n v="0"/>
  </r>
  <r>
    <x v="537"/>
    <d v="2025-07-01T00:00:00"/>
    <x v="1"/>
    <e v="#N/A"/>
    <x v="5"/>
    <s v="DRY2500155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537"/>
    <d v="2025-07-07T00:00:00"/>
    <x v="1"/>
    <e v="#N/A"/>
    <x v="5"/>
    <s v="DRY2500137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537"/>
    <d v="2025-07-15T00:00:00"/>
    <x v="1"/>
    <e v="#N/A"/>
    <x v="5"/>
    <s v="DRY2500138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n v="740"/>
    <n v="52"/>
    <n v="0"/>
    <n v="0"/>
    <n v="0"/>
    <n v="9.7000000000000003E-3"/>
    <n v="0"/>
    <m/>
    <n v="0"/>
    <n v="0"/>
  </r>
  <r>
    <x v="538"/>
    <m/>
    <x v="1"/>
    <e v="#N/A"/>
    <x v="5"/>
    <m/>
    <m/>
    <m/>
    <m/>
    <m/>
    <m/>
    <m/>
    <m/>
    <m/>
    <m/>
    <m/>
    <m/>
    <x v="0"/>
    <m/>
    <m/>
    <m/>
    <m/>
    <m/>
    <m/>
    <m/>
    <n v="0"/>
    <m/>
    <m/>
    <m/>
    <m/>
    <m/>
  </r>
  <r>
    <x v="539"/>
    <d v="2025-07-10T00:00:00"/>
    <x v="1"/>
    <e v="#N/A"/>
    <x v="5"/>
    <s v="DRY2500131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601"/>
    <n v="191.22222222222223"/>
    <n v="0.22222222222217169"/>
    <n v="0"/>
    <n v="0"/>
    <n v="7.4999999999999997E-3"/>
    <n v="0"/>
    <m/>
    <n v="0"/>
    <n v="0"/>
  </r>
  <r>
    <x v="539"/>
    <d v="2025-07-10T00:00:00"/>
    <x v="1"/>
    <e v="#N/A"/>
    <x v="5"/>
    <s v="DRY2500184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539"/>
    <d v="2025-07-17T00:00:00"/>
    <x v="1"/>
    <e v="#N/A"/>
    <x v="5"/>
    <s v="DRY2500185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539"/>
    <d v="2025-07-24T00:00:00"/>
    <x v="1"/>
    <e v="#N/A"/>
    <x v="5"/>
    <s v="DRY2500210"/>
    <s v="New Zealand"/>
    <s v="CPFNW"/>
    <s v="Lim Brothers"/>
    <s v="Wonton ND+V"/>
    <s v="Cooked Wonton"/>
    <s v="Cooked Wonton ND No Egg with Pumpkin_x000a_+ Yu Choy "/>
    <s v="082SJN708004P00001"/>
    <s v="305g*8"/>
    <n v="8"/>
    <n v="4"/>
    <n v="7.4999999999999997E-3"/>
    <x v="5"/>
    <s v="Salt"/>
    <s v="Regular"/>
    <n v="390"/>
    <m/>
    <n v="530.25"/>
    <n v="140.25"/>
    <n v="0"/>
    <n v="0"/>
    <n v="7.4999999999999997E-3"/>
    <n v="0"/>
    <m/>
    <n v="0"/>
    <n v="0"/>
  </r>
  <r>
    <x v="539"/>
    <d v="2025-07-24T00:00:00"/>
    <x v="1"/>
    <e v="#N/A"/>
    <x v="5"/>
    <s v="DRY2500190"/>
    <s v="AUS"/>
    <s v="CPFNW"/>
    <s v="CPF Australia Pty Ltd."/>
    <s v="Wonton ND+V"/>
    <s v="Cooked Wonton"/>
    <s v="Cooked Wonton ND No Egg with Pumpkin_x000a_+ Yu Choy "/>
    <s v="082SJ9U08004P00001"/>
    <s v="305g*8"/>
    <n v="8"/>
    <n v="4"/>
    <n v="7.4999999999999997E-3"/>
    <x v="5"/>
    <s v="Salt"/>
    <s v="Regular"/>
    <n v="60.25"/>
    <m/>
    <n v="60.25"/>
    <n v="0"/>
    <n v="0"/>
    <n v="0"/>
    <n v="7.4999999999999997E-3"/>
    <n v="0"/>
    <m/>
    <n v="0"/>
    <n v="0"/>
  </r>
  <r>
    <x v="539"/>
    <d v="2025-07-24T00:00:00"/>
    <x v="1"/>
    <e v="#N/A"/>
    <x v="5"/>
    <s v="DRY2500191"/>
    <s v="AUS"/>
    <s v="CPFNW"/>
    <s v="CPF Australia Pty Ltd."/>
    <s v="Wonton ND+V"/>
    <s v="Cooked Wonton"/>
    <s v="Cooked Wonton ND No Egg with Pumpkin_x000a_+ Yu Choy "/>
    <s v="082SJ9U08004P00001"/>
    <s v="305g*8"/>
    <n v="8"/>
    <n v="4"/>
    <n v="7.4999999999999997E-3"/>
    <x v="5"/>
    <s v="Salt"/>
    <s v="Regular"/>
    <n v="500"/>
    <m/>
    <n v="500"/>
    <n v="0"/>
    <n v="0"/>
    <n v="0"/>
    <n v="7.4999999999999997E-3"/>
    <n v="0"/>
    <m/>
    <n v="0"/>
    <n v="0"/>
  </r>
  <r>
    <x v="539"/>
    <d v="2025-07-24T00:00:00"/>
    <x v="1"/>
    <e v="#N/A"/>
    <x v="5"/>
    <s v="DRY2500192"/>
    <s v="AUS"/>
    <s v="CPFNW"/>
    <s v="CPF Australia Pty Ltd."/>
    <s v="Wonton ND+V"/>
    <s v="Cooked Wonton"/>
    <s v="Cooked Wonton ND No Egg with Pumpkin_x000a_+ Yu Choy "/>
    <s v="082SJ9U08004P00001"/>
    <s v="305g*8"/>
    <n v="8"/>
    <n v="4"/>
    <n v="7.4999999999999997E-3"/>
    <x v="5"/>
    <s v="Salt"/>
    <s v="Regular"/>
    <n v="500"/>
    <m/>
    <n v="500"/>
    <n v="0"/>
    <n v="0"/>
    <n v="0"/>
    <n v="7.4999999999999997E-3"/>
    <n v="0"/>
    <m/>
    <n v="0"/>
    <n v="0"/>
  </r>
  <r>
    <x v="539"/>
    <d v="2025-08-21T00:00:00"/>
    <x v="1"/>
    <e v="#N/A"/>
    <x v="5"/>
    <s v="DRY2500214"/>
    <s v="AUS"/>
    <s v="CPFNW"/>
    <s v="CPF Australia Pty Ltd."/>
    <s v="Wonton ND+V"/>
    <s v="Cooked Wonton"/>
    <s v="Cooked Wonton ND No Egg with Pumpkin_x000a_+ Yu Choy "/>
    <s v="082SJ9U08004P00001"/>
    <s v="305g*8"/>
    <n v="8"/>
    <n v="4"/>
    <n v="7.4999999999999997E-3"/>
    <x v="5"/>
    <s v="Salt"/>
    <s v="Regular"/>
    <n v="200"/>
    <m/>
    <n v="361.625"/>
    <n v="161.625"/>
    <n v="0"/>
    <n v="0"/>
    <n v="7.4999999999999997E-3"/>
    <n v="0"/>
    <m/>
    <n v="0"/>
    <n v="0"/>
  </r>
  <r>
    <x v="539"/>
    <d v="2025-07-02T00:00:00"/>
    <x v="1"/>
    <e v="#N/A"/>
    <x v="5"/>
    <s v="DRY2500120"/>
    <s v="Denmark"/>
    <s v="CPFNW"/>
    <s v="CPF DENMARK"/>
    <s v="Minced ND+V+TK"/>
    <s v="Cooked Wonton"/>
    <s v="Cooked Minced  ND No Egg with Pumpkin_x000a_+ Yu Choy Tomyum"/>
    <s v="082SJKW08003P01001"/>
    <s v="302g*8"/>
    <n v="8"/>
    <n v="3"/>
    <n v="6.0000000000000001E-3"/>
    <x v="4"/>
    <s v="Salt"/>
    <s v="Tomkha+CM"/>
    <n v="3500"/>
    <m/>
    <n v="3500"/>
    <n v="0"/>
    <n v="0"/>
    <n v="0"/>
    <n v="5.8823E-2"/>
    <n v="0"/>
    <m/>
    <n v="0"/>
    <n v="0"/>
  </r>
  <r>
    <x v="539"/>
    <d v="2025-07-24T00:00:00"/>
    <x v="1"/>
    <e v="#N/A"/>
    <x v="5"/>
    <s v="DRY2500210"/>
    <s v="New Zealand"/>
    <s v="CPFNW"/>
    <s v="Lim Brothers"/>
    <s v="Minced ND+V+TK"/>
    <s v="Cooked Wonton"/>
    <s v="Cooked Minced  ND No Egg with Pumpkin_x000a_+ Yu Choy Tomkha"/>
    <s v="082SRN708003P01001"/>
    <s v="302g*8"/>
    <n v="8"/>
    <n v="3"/>
    <n v="6.0000000000000001E-3"/>
    <x v="4"/>
    <s v="Salt"/>
    <s v="Tomkha+CM"/>
    <n v="500"/>
    <m/>
    <n v="513.875"/>
    <n v="13.875"/>
    <n v="0"/>
    <n v="0"/>
    <n v="5.8823E-2"/>
    <n v="0"/>
    <m/>
    <n v="0"/>
    <n v="0"/>
  </r>
  <r>
    <x v="540"/>
    <d v="2025-07-08T00:00:00"/>
    <x v="1"/>
    <e v="#N/A"/>
    <x v="5"/>
    <s v="DRY2500193"/>
    <s v="Malay"/>
    <s v="CPFNW"/>
    <s v="CPM Malaysia"/>
    <s v="Wonton+TY"/>
    <s v="Cooked Wonton"/>
    <s v="Cooked Wonton No Egg  Tomyum"/>
    <s v="082S85I24005P02001"/>
    <s v="115g*24"/>
    <n v="24"/>
    <n v="5"/>
    <n v="8.0000000000000002E-3"/>
    <x v="1"/>
    <s v="STPP"/>
    <s v="TYTB3C 30G"/>
    <n v="900"/>
    <n v="900"/>
    <m/>
    <n v="0"/>
    <n v="0"/>
    <n v="0"/>
    <n v="1"/>
    <n v="0"/>
    <s v="232 SG"/>
    <n v="0"/>
    <n v="0"/>
  </r>
  <r>
    <x v="540"/>
    <d v="2025-07-08T00:00:00"/>
    <x v="1"/>
    <e v="#N/A"/>
    <x v="5"/>
    <s v="DRY2500193"/>
    <s v="Malay"/>
    <s v="CPFNW"/>
    <s v="CPM Malaysia"/>
    <s v="Wonton"/>
    <s v="Cooked Wonton"/>
    <s v="Cooked Wonton No Egg  "/>
    <s v="082S85I24005P01001"/>
    <s v="145g*24"/>
    <n v="24"/>
    <n v="5"/>
    <n v="8.0000000000000002E-3"/>
    <x v="1"/>
    <s v="STPP"/>
    <s v="Regular"/>
    <n v="900"/>
    <n v="900"/>
    <m/>
    <n v="0"/>
    <n v="0"/>
    <n v="0"/>
    <n v="7.4999999999999997E-3"/>
    <n v="0"/>
    <s v="628 SG"/>
    <n v="0"/>
    <n v="0"/>
  </r>
  <r>
    <x v="540"/>
    <d v="2025-07-04T00:00:00"/>
    <x v="1"/>
    <e v="#N/A"/>
    <x v="5"/>
    <s v="DRY2500123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88"/>
    <m/>
    <n v="0"/>
    <n v="0"/>
    <n v="0"/>
    <n v="7.4999999999999997E-3"/>
    <n v="0"/>
    <m/>
    <n v="0"/>
    <n v="0"/>
  </r>
  <r>
    <x v="540"/>
    <s v="07-2025"/>
    <x v="1"/>
    <e v="#N/A"/>
    <x v="5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2323"/>
    <n v="2323"/>
    <m/>
    <n v="0"/>
    <n v="0"/>
    <n v="0"/>
    <n v="7.4999999999999997E-3"/>
    <n v="0"/>
    <m/>
    <n v="0"/>
    <n v="0"/>
  </r>
  <r>
    <x v="541"/>
    <s v="07-2025"/>
    <x v="1"/>
    <e v="#N/A"/>
    <x v="5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817"/>
    <n v="1817"/>
    <m/>
    <n v="0"/>
    <n v="0"/>
    <n v="0"/>
    <n v="7.4999999999999997E-3"/>
    <n v="0"/>
    <m/>
    <n v="0"/>
    <n v="0"/>
  </r>
  <r>
    <x v="541"/>
    <s v="07-2025"/>
    <x v="1"/>
    <e v="#N/A"/>
    <x v="5"/>
    <s v="ขายภายใน"/>
    <s v="MTFS"/>
    <s v="CPFGS"/>
    <s v="ซีพีเอฟ เทรดดิ้ง"/>
    <s v="E+Wonton TY"/>
    <s v="Cooked Wonton"/>
    <s v="เกี๊ยวกุ้งรสต้มยำ ตราซีพี 12x115 กรัม"/>
    <s v="082S83Q12005P04001"/>
    <s v="115g*12"/>
    <n v="12"/>
    <n v="5"/>
    <n v="8.0000000000000002E-3"/>
    <x v="1"/>
    <s v="STPP"/>
    <s v="TYTB3C 30G"/>
    <n v="536"/>
    <n v="536"/>
    <m/>
    <n v="0"/>
    <n v="0"/>
    <n v="0"/>
    <n v="1"/>
    <n v="0"/>
    <m/>
    <n v="0"/>
    <n v="0"/>
  </r>
  <r>
    <x v="541"/>
    <s v="07-2025"/>
    <x v="1"/>
    <e v="#N/A"/>
    <x v="5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4110"/>
    <n v="3399"/>
    <n v="711.45833333333337"/>
    <n v="0.45833333333303017"/>
    <n v="0"/>
    <n v="0"/>
    <n v="7.4999999999999997E-3"/>
    <n v="0"/>
    <m/>
    <n v="0"/>
    <n v="0"/>
  </r>
  <r>
    <x v="542"/>
    <s v="07-2025"/>
    <x v="1"/>
    <e v="#N/A"/>
    <x v="5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4194"/>
    <n v="4194"/>
    <m/>
    <n v="0"/>
    <n v="0"/>
    <n v="0"/>
    <n v="7.4999999999999997E-3"/>
    <n v="0"/>
    <m/>
    <n v="0"/>
    <n v="0"/>
  </r>
  <r>
    <x v="542"/>
    <s v="08-2025"/>
    <x v="1"/>
    <e v="#N/A"/>
    <x v="5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128"/>
    <n v="128"/>
    <m/>
    <n v="0"/>
    <n v="0"/>
    <n v="0"/>
    <n v="7.4999999999999997E-3"/>
    <n v="0"/>
    <m/>
    <n v="0"/>
    <n v="0"/>
  </r>
  <r>
    <x v="542"/>
    <s v="07-2025"/>
    <x v="1"/>
    <e v="#N/A"/>
    <x v="5"/>
    <s v="ขายภายใน"/>
    <s v=".7-11"/>
    <s v="CPFGS"/>
    <s v="ซีพีเอฟ เทรดดิ้ง"/>
    <s v="E+Wonton+หมาล่า"/>
    <s v="Cooked Wonton"/>
    <s v="เกี๊ยวกุ้งจักรพรรดิซุปหมาล่า CP 143g 7E_LV"/>
    <s v="082S81A24005P0D001"/>
    <s v="143g*24"/>
    <n v="24"/>
    <n v="5"/>
    <n v="6.1999999999999998E-3"/>
    <x v="2"/>
    <s v="STPP"/>
    <s v="หมาล่า"/>
    <n v="1735"/>
    <n v="1735"/>
    <m/>
    <n v="0"/>
    <n v="0"/>
    <n v="0"/>
    <n v="1.2999999999999999E-2"/>
    <n v="0"/>
    <s v="เปลี่ยนแบบ Package SKU"/>
    <n v="0"/>
    <n v="0"/>
  </r>
  <r>
    <x v="543"/>
    <d v="2025-07-24T00:00:00"/>
    <x v="1"/>
    <e v="#N/A"/>
    <x v="5"/>
    <s v="DRY2500189"/>
    <s v="AUS"/>
    <s v="CPFNW"/>
    <s v="CPF Australia Pty Ltd."/>
    <s v="C-Minced WT in tray no egg"/>
    <s v="Cooked Wonton"/>
    <s v="Cooked Minced Wonton in Tray 6 pcs + Sesame Sauce"/>
    <s v="082SK9U16006P00001"/>
    <s v="117*2tray*8in"/>
    <n v="16"/>
    <n v="6"/>
    <n v="6.1999999999999998E-3"/>
    <x v="4"/>
    <s v="Salt"/>
    <s v=" Sesame 15g"/>
    <n v="600"/>
    <n v="600"/>
    <m/>
    <n v="0"/>
    <n v="0"/>
    <n v="0"/>
    <n v="1"/>
    <n v="0"/>
    <m/>
    <n v="0"/>
    <n v="0"/>
  </r>
  <r>
    <x v="543"/>
    <d v="2025-07-24T00:00:00"/>
    <x v="1"/>
    <e v="#N/A"/>
    <x v="5"/>
    <s v="DRY2500190"/>
    <s v="AUS"/>
    <s v="CPFNW"/>
    <s v="CPF Australia Pty Ltd."/>
    <s v="C-Minced WT in tray no egg"/>
    <s v="Cooked Wonton"/>
    <s v="Cooked Minced Wonton in Tray 6 pcs + Sesame Sauce"/>
    <s v="082SK9U16006P00001"/>
    <s v="117*2tray*8in"/>
    <n v="16"/>
    <n v="6"/>
    <n v="6.1999999999999998E-3"/>
    <x v="4"/>
    <s v="Salt"/>
    <s v=" Sesame 15g"/>
    <n v="250"/>
    <n v="250"/>
    <m/>
    <n v="0"/>
    <n v="0"/>
    <n v="0"/>
    <n v="1"/>
    <n v="0"/>
    <m/>
    <n v="0"/>
    <n v="0"/>
  </r>
  <r>
    <x v="543"/>
    <d v="2025-07-24T00:00:00"/>
    <x v="1"/>
    <e v="#N/A"/>
    <x v="5"/>
    <s v="DRY2500191"/>
    <s v="AUS"/>
    <s v="CPFNW"/>
    <s v="CPF Australia Pty Ltd."/>
    <s v="C-Minced WT in tray no egg"/>
    <s v="Cooked Wonton"/>
    <s v="Cooked Minced Wonton in Tray 6 pcs + Sesame Sauce"/>
    <s v="082SK9U16006P00001"/>
    <s v="117*2tray*8in"/>
    <n v="16"/>
    <n v="6"/>
    <n v="6.1999999999999998E-3"/>
    <x v="4"/>
    <s v="Salt"/>
    <s v=" Sesame 15g"/>
    <n v="250"/>
    <n v="250"/>
    <m/>
    <n v="0"/>
    <n v="0"/>
    <n v="0"/>
    <n v="1"/>
    <n v="0"/>
    <m/>
    <n v="0"/>
    <n v="0"/>
  </r>
  <r>
    <x v="543"/>
    <d v="2025-07-24T00:00:00"/>
    <x v="1"/>
    <e v="#N/A"/>
    <x v="5"/>
    <s v="DRY2500192"/>
    <s v="AUS"/>
    <s v="CPFNW"/>
    <s v="CPF Australia Pty Ltd."/>
    <s v="C-Minced WT in tray no egg"/>
    <s v="Cooked Wonton"/>
    <s v="Cooked Minced Wonton in Tray 6 pcs + Sesame Sauce"/>
    <s v="082SK9U16006P00001"/>
    <s v="117*2tray*8in"/>
    <n v="16"/>
    <n v="6"/>
    <n v="6.1999999999999998E-3"/>
    <x v="4"/>
    <s v="Salt"/>
    <s v=" Sesame 15g"/>
    <n v="250"/>
    <n v="250"/>
    <m/>
    <n v="0"/>
    <n v="0"/>
    <n v="0"/>
    <n v="1"/>
    <n v="0"/>
    <m/>
    <n v="0"/>
    <n v="0"/>
  </r>
  <r>
    <x v="543"/>
    <d v="2025-07-15T00:00:00"/>
    <x v="1"/>
    <e v="#N/A"/>
    <x v="5"/>
    <s v="DRY2500194"/>
    <s v="SG"/>
    <s v="CPFNW"/>
    <s v="CPI SINGAPORE"/>
    <s v="Wonton +TY"/>
    <s v="Cooked Wonton"/>
    <s v="Cooked Wonton No Egg Tomyum"/>
    <s v="082S83B24005P06001"/>
    <s v="115g*24"/>
    <n v="24"/>
    <n v="5"/>
    <n v="8.0000000000000002E-3"/>
    <x v="1"/>
    <s v="STPP"/>
    <s v="TYTB3C 30G"/>
    <n v="500"/>
    <n v="500"/>
    <m/>
    <n v="0"/>
    <n v="0"/>
    <n v="0"/>
    <n v="1"/>
    <n v="0"/>
    <m/>
    <n v="0"/>
    <n v="0"/>
  </r>
  <r>
    <x v="543"/>
    <d v="2025-07-15T00:00:00"/>
    <x v="1"/>
    <e v="#N/A"/>
    <x v="5"/>
    <s v="DRY2500194"/>
    <s v="SG"/>
    <s v="CPFNW"/>
    <s v="CPI SINGAPORE"/>
    <s v="Wonton"/>
    <s v="Cooked Wonton"/>
    <s v="Cooked Wonton No Egg"/>
    <s v="082S83B24005P07001"/>
    <s v="145g*24"/>
    <n v="24"/>
    <n v="5"/>
    <n v="8.0000000000000002E-3"/>
    <x v="1"/>
    <s v="STPP"/>
    <s v="Regular"/>
    <n v="500"/>
    <n v="500"/>
    <m/>
    <n v="0"/>
    <n v="0"/>
    <n v="0"/>
    <n v="2"/>
    <n v="0"/>
    <m/>
    <n v="0"/>
    <n v="0"/>
  </r>
  <r>
    <x v="543"/>
    <d v="2025-07-24T00:00:00"/>
    <x v="1"/>
    <e v="#N/A"/>
    <x v="5"/>
    <s v="DRY2500164"/>
    <s v="Spain"/>
    <s v="CPFNW"/>
    <s v="Mercadona"/>
    <s v="Wonton ND+V"/>
    <s v="Cooked Wonton"/>
    <s v="Cooked Wonton ND No Egg with Pumpkin _x000a_+ Vegetable  HC  3 pcs"/>
    <s v="082SJ5T12003P01001"/>
    <s v="309g*12"/>
    <n v="12"/>
    <n v="3"/>
    <n v="7.4999999999999997E-3"/>
    <x v="3"/>
    <s v="Salt"/>
    <s v="Regular"/>
    <n v="2520"/>
    <n v="2520"/>
    <m/>
    <n v="0"/>
    <n v="0"/>
    <n v="0"/>
    <n v="7.4999999999999997E-3"/>
    <n v="0"/>
    <m/>
    <n v="0"/>
    <n v="0"/>
  </r>
  <r>
    <x v="543"/>
    <d v="2025-07-15T00:00:00"/>
    <x v="1"/>
    <e v="#N/A"/>
    <x v="5"/>
    <s v="DRY2500194"/>
    <s v="SG"/>
    <s v="CPFNW"/>
    <s v="CPI Singapore"/>
    <s v="Wonton ND+V"/>
    <s v="Cooked Wonton"/>
    <s v="Cooked Wonton ND No Egg with Pumpkin _x000a_+ Vegetable  HC  3 pcs"/>
    <s v="082SJ3B24003P02001"/>
    <s v="219g*24"/>
    <n v="24"/>
    <n v="3"/>
    <n v="7.4999999999999997E-3"/>
    <x v="5"/>
    <s v="STPP"/>
    <s v="ซุปซอง 10g."/>
    <n v="500"/>
    <n v="500"/>
    <m/>
    <n v="0"/>
    <n v="0"/>
    <n v="0"/>
    <n v="1"/>
    <n v="0"/>
    <m/>
    <n v="0"/>
    <n v="0"/>
  </r>
  <r>
    <x v="543"/>
    <d v="2025-07-31T00:00:00"/>
    <x v="1"/>
    <e v="#N/A"/>
    <x v="5"/>
    <s v="DRY2500132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SG+CO"/>
    <n v="924"/>
    <n v="924"/>
    <m/>
    <n v="0"/>
    <n v="0"/>
    <n v="0"/>
    <n v="3.8699999999999998E-2"/>
    <n v="0"/>
    <m/>
    <n v="0"/>
    <n v="0"/>
  </r>
  <r>
    <x v="544"/>
    <s v="07-2025"/>
    <x v="1"/>
    <e v="#N/A"/>
    <x v="5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500"/>
    <n v="500"/>
    <m/>
    <n v="0"/>
    <n v="0"/>
    <n v="0"/>
    <m/>
    <n v="0"/>
    <m/>
    <n v="0"/>
    <n v="0"/>
  </r>
  <r>
    <x v="544"/>
    <d v="2025-07-15T00:00:00"/>
    <x v="1"/>
    <e v="#N/A"/>
    <x v="5"/>
    <s v="DRY2500194"/>
    <s v="SG"/>
    <s v="CPFNW"/>
    <s v="CPI SINGAPORE"/>
    <s v="R-Minced egg past"/>
    <s v="Raw Wonton"/>
    <s v="Raw Minced Wonton 8 pcs"/>
    <s v="082ID3B18008P00001"/>
    <s v="90g*18in"/>
    <n v="18"/>
    <n v="8"/>
    <n v="6.1999999999999998E-3"/>
    <x v="4"/>
    <s v="STPP"/>
    <s v="ซุปซอง 5g."/>
    <n v="600"/>
    <n v="600"/>
    <m/>
    <n v="0"/>
    <n v="0"/>
    <n v="0"/>
    <n v="2"/>
    <n v="0"/>
    <m/>
    <n v="0"/>
    <n v="0"/>
  </r>
  <r>
    <x v="544"/>
    <d v="2025-07-15T00:00:00"/>
    <x v="1"/>
    <e v="#N/A"/>
    <x v="5"/>
    <s v="DRY2500202"/>
    <s v="SG"/>
    <s v="CPFNW"/>
    <s v="CPI SINGAPORE"/>
    <s v="R-Wonton egg past"/>
    <s v="Raw Wonton"/>
    <s v="Raw Wonton 8 pcs (Tomyam 30g.)"/>
    <s v="082I93B18008P01001"/>
    <s v="126g*18in"/>
    <n v="18"/>
    <n v="8"/>
    <n v="6.8100000000000001E-3"/>
    <x v="3"/>
    <s v="STPP"/>
    <s v="TYTB3C 30G"/>
    <n v="500"/>
    <n v="500"/>
    <m/>
    <n v="0"/>
    <n v="0"/>
    <n v="0"/>
    <n v="1"/>
    <n v="0"/>
    <s v="สำรอง PK"/>
    <n v="0"/>
    <n v="0"/>
  </r>
  <r>
    <x v="544"/>
    <s v="07-2025"/>
    <x v="1"/>
    <e v="#N/A"/>
    <x v="5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2755"/>
    <n v="2755"/>
    <m/>
    <n v="0"/>
    <n v="0"/>
    <n v="0"/>
    <n v="7.4999999999999997E-3"/>
    <n v="0"/>
    <m/>
    <n v="0"/>
    <n v="0"/>
  </r>
  <r>
    <x v="544"/>
    <d v="2025-07-07T00:00:00"/>
    <x v="1"/>
    <e v="#N/A"/>
    <x v="5"/>
    <s v="DRY2500211"/>
    <s v="Denmark"/>
    <s v="CPFNW"/>
    <s v="CPF DENMARK"/>
    <s v="Minced ND+V+TY"/>
    <s v="Cooked Wonton"/>
    <s v="Cooked Minced  ND No Egg with Pumpkin_x000a_+ Yu Choy Tomyum"/>
    <s v="082SRRE12003P00001"/>
    <s v="302g*12"/>
    <n v="12"/>
    <n v="3"/>
    <n v="6.0000000000000001E-3"/>
    <x v="4"/>
    <s v="Salt"/>
    <s v="TYEXSG+CO"/>
    <n v="2520"/>
    <n v="2520"/>
    <m/>
    <n v="0"/>
    <n v="0"/>
    <n v="0"/>
    <n v="3.8699999999999998E-2"/>
    <n v="0"/>
    <s v="rema"/>
    <n v="0"/>
    <n v="0"/>
  </r>
  <r>
    <x v="545"/>
    <m/>
    <x v="1"/>
    <e v="#N/A"/>
    <x v="5"/>
    <m/>
    <m/>
    <m/>
    <m/>
    <m/>
    <m/>
    <m/>
    <m/>
    <m/>
    <m/>
    <m/>
    <m/>
    <x v="0"/>
    <m/>
    <m/>
    <m/>
    <m/>
    <m/>
    <m/>
    <m/>
    <n v="0"/>
    <m/>
    <m/>
    <m/>
    <m/>
    <m/>
  </r>
  <r>
    <x v="546"/>
    <d v="2025-07-15T00:00:00"/>
    <x v="1"/>
    <e v="#N/A"/>
    <x v="5"/>
    <s v="DRY2500194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1000"/>
    <n v="1000"/>
    <m/>
    <n v="0"/>
    <n v="0"/>
    <n v="0"/>
    <n v="2"/>
    <n v="0"/>
    <s v="ห่อแบบสุก"/>
    <n v="0"/>
    <n v="0"/>
  </r>
  <r>
    <x v="546"/>
    <s v="07-2025"/>
    <x v="1"/>
    <e v="#N/A"/>
    <x v="5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2114"/>
    <n v="2114"/>
    <m/>
    <n v="0"/>
    <n v="0"/>
    <n v="0"/>
    <n v="7.4999999999999997E-3"/>
    <n v="0"/>
    <m/>
    <n v="0"/>
    <n v="0"/>
  </r>
  <r>
    <x v="546"/>
    <d v="2025-07-31T00:00:00"/>
    <x v="1"/>
    <e v="#N/A"/>
    <x v="5"/>
    <s v="DRY2500207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547"/>
    <m/>
    <x v="1"/>
    <e v="#N/A"/>
    <x v="6"/>
    <m/>
    <m/>
    <m/>
    <m/>
    <m/>
    <m/>
    <m/>
    <m/>
    <m/>
    <m/>
    <m/>
    <m/>
    <x v="0"/>
    <m/>
    <m/>
    <m/>
    <m/>
    <m/>
    <m/>
    <m/>
    <n v="0"/>
    <m/>
    <m/>
    <m/>
    <m/>
    <m/>
  </r>
  <r>
    <x v="548"/>
    <m/>
    <x v="1"/>
    <e v="#N/A"/>
    <x v="6"/>
    <m/>
    <m/>
    <m/>
    <m/>
    <m/>
    <m/>
    <m/>
    <m/>
    <m/>
    <m/>
    <m/>
    <m/>
    <x v="0"/>
    <m/>
    <m/>
    <m/>
    <m/>
    <m/>
    <m/>
    <m/>
    <n v="0"/>
    <m/>
    <m/>
    <m/>
    <m/>
    <m/>
  </r>
  <r>
    <x v="549"/>
    <d v="2025-08-16T00:00:00"/>
    <x v="1"/>
    <e v="#N/A"/>
    <x v="7"/>
    <s v="DRY2500122"/>
    <s v="HK"/>
    <s v="CPFNW"/>
    <s v="CPM Hongkong"/>
    <s v="R-Minced egg past"/>
    <s v="Raw Wonton"/>
    <s v="Raw Minced Wonton 8 pcs"/>
    <s v="082ID3G18008P00001"/>
    <s v="90g*18in"/>
    <n v="18"/>
    <n v="8"/>
    <n v="6.0000000000000001E-3"/>
    <x v="4"/>
    <s v="STPP"/>
    <s v="ซุปซอง 5g."/>
    <n v="300"/>
    <n v="300"/>
    <m/>
    <n v="0"/>
    <n v="0"/>
    <n v="0"/>
    <n v="2"/>
    <n v="0"/>
    <m/>
    <n v="0"/>
    <n v="0"/>
  </r>
  <r>
    <x v="549"/>
    <d v="2025-08-16T00:00:00"/>
    <x v="1"/>
    <e v="#N/A"/>
    <x v="7"/>
    <s v="DRY2500122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1600"/>
    <n v="1098"/>
    <n v="502"/>
    <n v="0"/>
    <n v="0"/>
    <n v="0"/>
    <n v="1"/>
    <n v="0"/>
    <m/>
    <n v="0"/>
    <n v="0"/>
  </r>
  <r>
    <x v="549"/>
    <d v="2025-08-13T00:00:00"/>
    <x v="1"/>
    <e v="#N/A"/>
    <x v="7"/>
    <s v="DRY2500232"/>
    <s v="UK"/>
    <s v="CPFNW"/>
    <s v="Westbridge Foods Limited (One UK)"/>
    <s v="Wonton+TY"/>
    <s v="Cooked Wonton"/>
    <s v="Cooked Wonton Soup Tomyum"/>
    <s v="082S8KW08005P00001"/>
    <s v="147g*8"/>
    <n v="8"/>
    <n v="5"/>
    <n v="7.4999999999999997E-3"/>
    <x v="1"/>
    <s v="Salt"/>
    <s v="TYEXSG+CO"/>
    <n v="5148"/>
    <n v="1474"/>
    <n v="3707.875"/>
    <n v="33.875"/>
    <n v="0"/>
    <n v="0"/>
    <n v="7.4999999999999997E-3"/>
    <n v="0"/>
    <m/>
    <n v="0"/>
    <n v="0"/>
  </r>
  <r>
    <x v="549"/>
    <d v="2025-08-05T00:00:00"/>
    <x v="1"/>
    <e v="#N/A"/>
    <x v="7"/>
    <s v="KL2500026"/>
    <s v="China"/>
    <s v="China"/>
    <s v="Charoen Pokphand Import&amp;Export Trading (Shanghai) Co., Ltd"/>
    <s v="Minced ND+BC+TY"/>
    <s v="Cooked Wonton"/>
    <s v="Cooked Minced  ND No Egg with Pumpkin_x000a_+ Box Choy Tomyum"/>
    <s v="082SR5J16003PA0001"/>
    <s v="302g*2c*8in"/>
    <n v="16"/>
    <n v="3"/>
    <n v="6.0000000000000001E-3"/>
    <x v="4"/>
    <s v="Salt"/>
    <s v="TYEXSG+CO"/>
    <n v="370"/>
    <n v="370"/>
    <n v="13.3125"/>
    <n v="13.3125"/>
    <n v="0"/>
    <n v="0"/>
    <n v="3.8699999999999998E-2"/>
    <n v="0"/>
    <s v="เร่งผลเชื้อ"/>
    <n v="0"/>
    <n v="0"/>
  </r>
  <r>
    <x v="549"/>
    <d v="2025-08-13T00:00:00"/>
    <x v="1"/>
    <e v="#N/A"/>
    <x v="7"/>
    <s v="DRY2500215"/>
    <s v="Denmark"/>
    <s v="CPFNW"/>
    <s v="CPF DENMARK"/>
    <s v="Minced ND+V+TY"/>
    <s v="Cooked Wonton"/>
    <s v="Cooked Minced  ND No Egg with Pumpkin_x000a_+ Yu Choy Tomyum"/>
    <s v="082SRRE12003P00001"/>
    <s v="302g*12"/>
    <n v="12"/>
    <n v="3"/>
    <n v="6.0000000000000001E-3"/>
    <x v="4"/>
    <s v="Salt"/>
    <s v="TYEXSG+CO"/>
    <n v="2520"/>
    <n v="2520"/>
    <m/>
    <n v="0"/>
    <n v="0"/>
    <n v="0"/>
    <n v="3.8699999999999998E-2"/>
    <n v="0"/>
    <s v="rema"/>
    <n v="0"/>
    <n v="0"/>
  </r>
  <r>
    <x v="550"/>
    <d v="2025-08-11T00:00:00"/>
    <x v="1"/>
    <e v="#N/A"/>
    <x v="7"/>
    <s v="DRY2500219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954"/>
    <n v="334"/>
    <n v="0"/>
    <n v="0"/>
    <n v="0"/>
    <n v="7.4999999999999997E-3"/>
    <n v="0"/>
    <m/>
    <n v="0"/>
    <n v="0"/>
  </r>
  <r>
    <x v="550"/>
    <d v="2025-08-05T00:00:00"/>
    <x v="1"/>
    <e v="#N/A"/>
    <x v="7"/>
    <s v="KL2500026"/>
    <s v="China"/>
    <s v="China"/>
    <s v="Charoen Pokphand Import&amp;Export Trading (Shanghai) Co., Ltd"/>
    <s v="Wonton ND+BC"/>
    <s v="Cooked Wonton"/>
    <s v="Cooked Wonton ND No Egg with Pumpkin_x000a_+ Box Choy"/>
    <s v="082SJ5J16004PA0001"/>
    <s v="305g*2c*8in"/>
    <n v="16"/>
    <n v="4"/>
    <n v="6.8100000000000001E-3"/>
    <x v="3"/>
    <s v="Salt"/>
    <s v="Regular"/>
    <n v="300"/>
    <n v="300"/>
    <n v="9"/>
    <n v="9"/>
    <n v="0"/>
    <n v="0"/>
    <n v="7.4999999999999997E-3"/>
    <n v="0"/>
    <s v="เร่งผลเชื้อ"/>
    <n v="0"/>
    <n v="0"/>
  </r>
  <r>
    <x v="550"/>
    <d v="2025-08-14T00:00:00"/>
    <x v="1"/>
    <e v="#N/A"/>
    <x v="7"/>
    <s v="DRY2500208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550"/>
    <d v="2025-08-14T00:00:00"/>
    <x v="1"/>
    <e v="#N/A"/>
    <x v="7"/>
    <s v="DRY2500209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550"/>
    <d v="2025-08-13T00:00:00"/>
    <x v="1"/>
    <e v="#N/A"/>
    <x v="7"/>
    <s v="DRY2500216"/>
    <s v="Denmark"/>
    <s v="CPFNW"/>
    <s v="CPF DENMARK"/>
    <s v="Wonton ND+V+TY"/>
    <s v="Cooked Wonton"/>
    <s v="Cooked Wonton ND No Egg with Pumpkin _x000a_+ Vegetable  HC  3 pcs tomyam"/>
    <s v="082SJKW08003P00001"/>
    <s v="309g*8"/>
    <n v="8"/>
    <n v="3"/>
    <n v="7.4999999999999997E-3"/>
    <x v="1"/>
    <s v="Salt"/>
    <s v="TYANSSG+CM"/>
    <n v="3500"/>
    <m/>
    <n v="3509"/>
    <n v="9"/>
    <n v="0"/>
    <n v="0"/>
    <n v="3.85E-2"/>
    <n v="0"/>
    <s v="ต้มยำสูตรลดเผ็ดลง 10 %"/>
    <n v="0"/>
    <n v="0"/>
  </r>
  <r>
    <x v="551"/>
    <m/>
    <x v="1"/>
    <e v="#N/A"/>
    <x v="7"/>
    <m/>
    <m/>
    <m/>
    <m/>
    <m/>
    <m/>
    <m/>
    <m/>
    <m/>
    <m/>
    <m/>
    <m/>
    <x v="0"/>
    <m/>
    <m/>
    <m/>
    <m/>
    <m/>
    <m/>
    <m/>
    <n v="0"/>
    <m/>
    <m/>
    <m/>
    <m/>
    <m/>
  </r>
  <r>
    <x v="552"/>
    <d v="2025-08-19T00:00:00"/>
    <x v="1"/>
    <e v="#N/A"/>
    <x v="7"/>
    <s v="DRY2500228"/>
    <s v="Malay"/>
    <s v="CPFNW"/>
    <s v="CPM Malaysia"/>
    <s v="Wonton+TY"/>
    <s v="Cooked Wonton"/>
    <s v="Cooked Wonton No Egg  Tomyum"/>
    <s v="082S85I24005P02001"/>
    <s v="115g*24"/>
    <n v="24"/>
    <n v="5"/>
    <n v="8.0000000000000002E-3"/>
    <x v="1"/>
    <s v="STPP"/>
    <s v="TYTB3C 30G"/>
    <n v="1250"/>
    <n v="1250"/>
    <m/>
    <n v="0"/>
    <n v="0"/>
    <n v="0"/>
    <n v="1"/>
    <n v="0"/>
    <m/>
    <n v="0"/>
    <n v="0"/>
  </r>
  <r>
    <x v="552"/>
    <d v="2025-08-19T00:00:00"/>
    <x v="1"/>
    <e v="#N/A"/>
    <x v="7"/>
    <s v="DRY2500228"/>
    <s v="Malay"/>
    <s v="CPFNW"/>
    <s v="CPM Malaysia"/>
    <s v="Wonton"/>
    <s v="Cooked Wonton"/>
    <s v="Cooked Wonton No Egg  "/>
    <s v="082S85I24005P01001"/>
    <s v="145g*24"/>
    <n v="24"/>
    <n v="5"/>
    <n v="8.0000000000000002E-3"/>
    <x v="1"/>
    <s v="STPP"/>
    <s v="Regular"/>
    <n v="900"/>
    <n v="900"/>
    <m/>
    <n v="0"/>
    <n v="0"/>
    <n v="0"/>
    <n v="7.4999999999999997E-3"/>
    <n v="0"/>
    <m/>
    <n v="0"/>
    <n v="0"/>
  </r>
  <r>
    <x v="552"/>
    <d v="2025-08-19T00:00:00"/>
    <x v="1"/>
    <e v="#N/A"/>
    <x v="7"/>
    <s v="DRY2500236"/>
    <s v="UK"/>
    <s v="CPFNW"/>
    <s v="Westbridge Foods Limited"/>
    <s v="Minced ND+V+TY"/>
    <s v="Cooked Wonton"/>
    <s v="Cooked Minced Wonton Noodles Yu Choy Tomyum"/>
    <s v="082SRWE24005P01001"/>
    <s v="258g*4c*6in"/>
    <n v="24"/>
    <n v="5"/>
    <n v="6.0000000000000001E-3"/>
    <x v="4"/>
    <s v="Salt"/>
    <s v="TYEXSG+CO"/>
    <n v="1176"/>
    <n v="1176"/>
    <m/>
    <n v="0"/>
    <n v="0"/>
    <n v="0"/>
    <n v="3.8699999999999998E-2"/>
    <n v="0"/>
    <s v="Ireland"/>
    <n v="0"/>
    <n v="0"/>
  </r>
  <r>
    <x v="552"/>
    <d v="2025-08-19T00:00:00"/>
    <x v="1"/>
    <e v="#N/A"/>
    <x v="7"/>
    <s v="DRY2500234"/>
    <s v="Netherlands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SG+CO"/>
    <n v="645"/>
    <n v="256"/>
    <n v="389"/>
    <n v="0"/>
    <n v="0"/>
    <n v="0"/>
    <n v="3.8699999999999998E-2"/>
    <n v="0"/>
    <m/>
    <n v="0"/>
    <n v="0"/>
  </r>
  <r>
    <x v="552"/>
    <d v="2025-08-19T00:00:00"/>
    <x v="1"/>
    <e v="#N/A"/>
    <x v="7"/>
    <s v="DRY2500233"/>
    <s v="UK"/>
    <s v="CPFNW"/>
    <s v="Westbridge Foods Limited (One UK)"/>
    <s v="Minced ND+Kee Mao"/>
    <s v="Cooked Wonton"/>
    <s v="Cooked Minced Wonton Thai Spicy Noodles (Drunken Noodles)"/>
    <s v="082SRKW06003P00001"/>
    <s v="300g*6"/>
    <n v="6"/>
    <n v="3"/>
    <n v="6.1999999999999998E-3"/>
    <x v="4"/>
    <s v="Salt"/>
    <s v="Kee Mao"/>
    <n v="1319"/>
    <n v="1218"/>
    <n v="101.33333333333333"/>
    <n v="0.33333333333325754"/>
    <n v="0"/>
    <n v="0"/>
    <n v="6.5000000000000002E-2"/>
    <n v="0"/>
    <m/>
    <n v="0"/>
    <n v="0"/>
  </r>
  <r>
    <x v="553"/>
    <d v="2025-08-19T00:00:00"/>
    <x v="1"/>
    <e v="#N/A"/>
    <x v="7"/>
    <s v="DRY2500100"/>
    <s v="Korea"/>
    <s v="CPFNW"/>
    <s v="Emart"/>
    <s v="Wonton ND"/>
    <s v="Cooked Wonton"/>
    <s v="Cooked Wonton ND No Egg with Pumpkin_x000a_"/>
    <s v="082SJEJ36004P00001"/>
    <s v="239g*6c*6in"/>
    <n v="36"/>
    <n v="4"/>
    <n v="7.4999999999999997E-3"/>
    <x v="1"/>
    <s v="Salt"/>
    <s v="Regular"/>
    <n v="874"/>
    <n v="874"/>
    <n v="12.083333333333334"/>
    <n v="12.083333333333371"/>
    <n v="0"/>
    <n v="0"/>
    <n v="7.4999999999999997E-3"/>
    <n v="0"/>
    <m/>
    <n v="0"/>
    <n v="0"/>
  </r>
  <r>
    <x v="553"/>
    <d v="2025-08-14T00:00:00"/>
    <x v="1"/>
    <e v="#N/A"/>
    <x v="7"/>
    <s v="DRY2500220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88"/>
    <m/>
    <n v="0"/>
    <n v="0"/>
    <n v="0"/>
    <n v="7.4999999999999997E-3"/>
    <n v="0"/>
    <m/>
    <n v="0"/>
    <n v="0"/>
  </r>
  <r>
    <x v="553"/>
    <d v="2025-08-14T00:00:00"/>
    <x v="1"/>
    <e v="#N/A"/>
    <x v="7"/>
    <s v="DRY2500221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88"/>
    <m/>
    <n v="0"/>
    <n v="0"/>
    <n v="0"/>
    <n v="7.4999999999999997E-3"/>
    <n v="0"/>
    <m/>
    <n v="0"/>
    <n v="0"/>
  </r>
  <r>
    <x v="553"/>
    <d v="2025-08-19T00:00:00"/>
    <x v="1"/>
    <e v="#N/A"/>
    <x v="7"/>
    <s v="DRY2500233"/>
    <s v="UK"/>
    <s v="CPFNW"/>
    <s v="Westbridge Foods Limited (One UK)"/>
    <s v="Minced ND+Kee Mao"/>
    <s v="Cooked Wonton"/>
    <s v="Cooked Minced Wonton Thai Spicy Noodles (Drunken Noodles)"/>
    <s v="082SRKW06003P00001"/>
    <s v="300g*6"/>
    <n v="6"/>
    <n v="3"/>
    <n v="6.1999999999999998E-3"/>
    <x v="4"/>
    <s v="Salt"/>
    <s v="Kee Mao"/>
    <n v="1522"/>
    <n v="1522"/>
    <m/>
    <n v="0"/>
    <n v="0"/>
    <n v="0"/>
    <n v="6.5000000000000002E-2"/>
    <n v="0"/>
    <m/>
    <n v="0"/>
    <n v="0"/>
  </r>
  <r>
    <x v="554"/>
    <d v="2025-08-19T00:00:00"/>
    <x v="1"/>
    <e v="#N/A"/>
    <x v="7"/>
    <s v="DRY2500234"/>
    <s v="Netherlands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385"/>
    <n v="379"/>
    <n v="6"/>
    <n v="0"/>
    <n v="0"/>
    <n v="0"/>
    <n v="7.4999999999999997E-3"/>
    <n v="0"/>
    <s v="ถ้าว,ฝา สีขาว/Halal"/>
    <n v="0"/>
    <n v="0"/>
  </r>
  <r>
    <x v="554"/>
    <s v="08-2025"/>
    <x v="1"/>
    <e v="#N/A"/>
    <x v="7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2687"/>
    <n v="2687"/>
    <m/>
    <n v="0"/>
    <n v="0"/>
    <n v="0"/>
    <n v="7.4999999999999997E-3"/>
    <n v="0"/>
    <m/>
    <n v="0"/>
    <n v="0"/>
  </r>
  <r>
    <x v="554"/>
    <d v="2025-08-19T00:00:00"/>
    <x v="1"/>
    <e v="#N/A"/>
    <x v="7"/>
    <s v="DRY2500235"/>
    <s v="UK"/>
    <s v="CPFNW"/>
    <s v="Westbridge Foods Limited"/>
    <s v="Minced ND+V+TK"/>
    <s v="Cooked Wonton"/>
    <s v="Cooked Minced Wonton Noodles Yu Choy Tomkha"/>
    <s v="082SRWE24005P02001"/>
    <s v="258g*4c*6in"/>
    <n v="24"/>
    <n v="5"/>
    <n v="6.0000000000000001E-3"/>
    <x v="4"/>
    <s v="Salt"/>
    <s v="Tomkha1+CM"/>
    <n v="1176"/>
    <n v="1176"/>
    <m/>
    <n v="0"/>
    <n v="0"/>
    <n v="0"/>
    <n v="5.8823E-2"/>
    <n v="0"/>
    <s v="ถ้าว,ฝา สีขาว"/>
    <n v="0"/>
    <n v="0"/>
  </r>
  <r>
    <x v="554"/>
    <d v="2025-08-19T00:00:00"/>
    <x v="1"/>
    <e v="#N/A"/>
    <x v="7"/>
    <s v="DRY2500233"/>
    <s v="UK"/>
    <s v="CPFNW"/>
    <s v="Westbridge Foods Limited (One UK)"/>
    <s v="Minced ND+Kee Mao"/>
    <s v="Cooked Wonton"/>
    <s v="Cooked Minced Wonton Thai Spicy Noodles (Drunken Noodles)"/>
    <s v="082SRKW06003P00001"/>
    <s v="300g*6"/>
    <n v="6"/>
    <n v="3"/>
    <n v="6.1999999999999998E-3"/>
    <x v="4"/>
    <s v="Salt"/>
    <s v="Kee Mao"/>
    <n v="1232"/>
    <n v="1232"/>
    <m/>
    <n v="0"/>
    <n v="0"/>
    <n v="0"/>
    <n v="6.5000000000000002E-2"/>
    <n v="0"/>
    <m/>
    <n v="0"/>
    <n v="0"/>
  </r>
  <r>
    <x v="555"/>
    <d v="2025-08-21T00:00:00"/>
    <x v="1"/>
    <e v="#N/A"/>
    <x v="7"/>
    <s v="DRY2500227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555"/>
    <d v="2025-08-21T00:00:00"/>
    <x v="1"/>
    <e v="#N/A"/>
    <x v="7"/>
    <s v="DRY2500229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555"/>
    <d v="2025-08-18T00:00:00"/>
    <x v="1"/>
    <e v="#N/A"/>
    <x v="7"/>
    <s v="DRY2500165"/>
    <s v="Spain"/>
    <s v="CPFNW"/>
    <s v="Mercadona"/>
    <s v="Wonton ND+V"/>
    <s v="Cooked Wonton"/>
    <s v="Cooked Wonton ND No Egg with Pumpkin _x000a_+ Vegetable  HC  3 pcs"/>
    <s v="082SJ5T12003P01001"/>
    <s v="309g*12"/>
    <n v="12"/>
    <n v="3"/>
    <n v="7.4999999999999997E-3"/>
    <x v="3"/>
    <s v="Salt"/>
    <s v="Regular"/>
    <n v="2520"/>
    <n v="2520"/>
    <m/>
    <n v="0"/>
    <n v="0"/>
    <n v="0"/>
    <n v="7.4999999999999997E-3"/>
    <n v="0"/>
    <m/>
    <n v="0"/>
    <n v="0"/>
  </r>
  <r>
    <x v="555"/>
    <d v="2025-08-19T00:00:00"/>
    <x v="1"/>
    <e v="#N/A"/>
    <x v="7"/>
    <s v="DRY2500233"/>
    <s v="UK"/>
    <s v="CPFNW"/>
    <s v="Westbridge Foods Limited (One UK)"/>
    <s v="Minced ND+Kee Mao"/>
    <s v="Cooked Wonton"/>
    <s v="Cooked Minced Wonton Thai Spicy Noodles (Drunken Noodles)"/>
    <s v="082SRKW06003P00001"/>
    <s v="300g*6"/>
    <n v="6"/>
    <n v="3"/>
    <n v="6.1999999999999998E-3"/>
    <x v="4"/>
    <s v="Salt"/>
    <s v="Kee Mao"/>
    <n v="1467"/>
    <n v="1467"/>
    <m/>
    <n v="0"/>
    <n v="0"/>
    <n v="0"/>
    <n v="6.5000000000000002E-2"/>
    <n v="0"/>
    <m/>
    <n v="0"/>
    <n v="0"/>
  </r>
  <r>
    <x v="556"/>
    <s v="08-2025"/>
    <x v="1"/>
    <e v="#N/A"/>
    <x v="7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2502"/>
    <n v="2502"/>
    <m/>
    <n v="0"/>
    <n v="0"/>
    <n v="0"/>
    <n v="7.4999999999999997E-3"/>
    <n v="0"/>
    <m/>
    <n v="0"/>
    <n v="0"/>
  </r>
  <r>
    <x v="556"/>
    <d v="2025-08-18T00:00:00"/>
    <x v="1"/>
    <e v="#N/A"/>
    <x v="7"/>
    <s v="DRY2500195"/>
    <s v="SG"/>
    <s v="CPFNW"/>
    <s v="CPI SINGAPORE"/>
    <s v="Wonton"/>
    <s v="Cooked Wonton"/>
    <s v="Cooked Wonton No Egg"/>
    <s v="082S83B24005P07001"/>
    <s v="145g*24"/>
    <n v="24"/>
    <n v="5"/>
    <n v="8.0000000000000002E-3"/>
    <x v="1"/>
    <s v="STPP"/>
    <s v="Regular"/>
    <n v="250"/>
    <n v="250"/>
    <m/>
    <n v="0"/>
    <n v="0"/>
    <n v="0"/>
    <n v="2"/>
    <n v="0"/>
    <m/>
    <n v="0"/>
    <n v="0"/>
  </r>
  <r>
    <x v="556"/>
    <d v="2025-08-18T00:00:00"/>
    <x v="1"/>
    <e v="#N/A"/>
    <x v="7"/>
    <s v="DRY2500195"/>
    <s v="SG"/>
    <s v="CPFNW"/>
    <s v="CPI SINGAPORE"/>
    <s v="Wonton +TY"/>
    <s v="Cooked Wonton"/>
    <s v="Cooked Wonton No Egg"/>
    <s v="082S83B24005P06001"/>
    <s v="115g*24"/>
    <n v="24"/>
    <n v="5"/>
    <n v="8.0000000000000002E-3"/>
    <x v="1"/>
    <s v="STPP"/>
    <s v="TYTB3C 30G"/>
    <n v="250"/>
    <n v="250"/>
    <m/>
    <n v="0"/>
    <n v="0"/>
    <n v="0"/>
    <n v="1"/>
    <n v="0"/>
    <m/>
    <n v="0"/>
    <n v="0"/>
  </r>
  <r>
    <x v="556"/>
    <d v="2025-08-19T00:00:00"/>
    <x v="1"/>
    <e v="#N/A"/>
    <x v="7"/>
    <s v="DRY2500233"/>
    <s v="UK"/>
    <s v="CPFNW"/>
    <s v="Westbridge Foods Limited (One UK)"/>
    <s v="Minced ND+Kee Mao"/>
    <s v="Cooked Wonton"/>
    <s v="Cooked Minced Wonton Thai Spicy Noodles (Drunken Noodles)"/>
    <s v="082SRKW06003P00001"/>
    <s v="300g*6"/>
    <n v="6"/>
    <n v="3"/>
    <n v="6.1999999999999998E-3"/>
    <x v="4"/>
    <s v="Salt"/>
    <s v="Kee Mao"/>
    <n v="2460"/>
    <n v="2482"/>
    <n v="27.666666666666668"/>
    <n v="49.666666666666515"/>
    <n v="0"/>
    <n v="0"/>
    <n v="6.5000000000000002E-2"/>
    <n v="0"/>
    <m/>
    <n v="0"/>
    <n v="0"/>
  </r>
  <r>
    <x v="556"/>
    <s v="08-2025"/>
    <x v="1"/>
    <e v="#N/A"/>
    <x v="7"/>
    <s v="ขายภายใน"/>
    <s v="MTFS"/>
    <s v="CPFGS"/>
    <s v="ซีพีเอฟ เทรดดิ้ง"/>
    <s v="E+Wonton NDE"/>
    <s v="Cooked Wonton"/>
    <s v="บะหมี่เกี๊ยวกุ้ง ตราซีพี 12X226 กรัม"/>
    <s v="082SJ3Q12003P07001"/>
    <s v="226g*12"/>
    <n v="12"/>
    <n v="3"/>
    <n v="8.0000000000000002E-3"/>
    <x v="1"/>
    <s v="STPP"/>
    <s v="Regular"/>
    <n v="500"/>
    <n v="500"/>
    <m/>
    <n v="0"/>
    <n v="0"/>
    <n v="0"/>
    <n v="7.4999999999999997E-3"/>
    <n v="0"/>
    <m/>
    <n v="0"/>
    <n v="0"/>
  </r>
  <r>
    <x v="556"/>
    <s v="08-2025"/>
    <x v="1"/>
    <e v="#N/A"/>
    <x v="7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200"/>
    <n v="200"/>
    <m/>
    <n v="0"/>
    <n v="0"/>
    <n v="0"/>
    <n v="7.4999999999999997E-3"/>
    <n v="0"/>
    <m/>
    <n v="0"/>
    <n v="0"/>
  </r>
  <r>
    <x v="556"/>
    <s v="08-2025"/>
    <x v="1"/>
    <e v="#N/A"/>
    <x v="7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350"/>
    <n v="350"/>
    <m/>
    <n v="0"/>
    <n v="0"/>
    <n v="0"/>
    <n v="7.4999999999999997E-3"/>
    <n v="0"/>
    <m/>
    <n v="0"/>
    <n v="0"/>
  </r>
  <r>
    <x v="556"/>
    <s v="08-2025"/>
    <x v="1"/>
    <e v="#N/A"/>
    <x v="7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150"/>
    <n v="150"/>
    <m/>
    <n v="0"/>
    <n v="0"/>
    <n v="0"/>
    <n v="7.4999999999999997E-3"/>
    <n v="0"/>
    <m/>
    <n v="0"/>
    <n v="0"/>
  </r>
  <r>
    <x v="556"/>
    <s v="08-2025"/>
    <x v="1"/>
    <e v="#N/A"/>
    <x v="7"/>
    <s v="ขายภายใน"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1200"/>
    <n v="1200"/>
    <m/>
    <n v="0"/>
    <n v="0"/>
    <n v="0"/>
    <n v="1"/>
    <n v="0"/>
    <m/>
    <n v="0"/>
    <n v="0"/>
  </r>
  <r>
    <x v="557"/>
    <s v="08-2025"/>
    <x v="1"/>
    <e v="#N/A"/>
    <x v="7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6122"/>
    <n v="6122"/>
    <m/>
    <n v="0"/>
    <n v="0"/>
    <n v="0"/>
    <n v="7.4999999999999997E-3"/>
    <n v="0"/>
    <m/>
    <n v="0"/>
    <n v="0"/>
  </r>
  <r>
    <x v="558"/>
    <m/>
    <x v="1"/>
    <e v="#N/A"/>
    <x v="7"/>
    <m/>
    <m/>
    <m/>
    <m/>
    <m/>
    <m/>
    <m/>
    <m/>
    <m/>
    <m/>
    <m/>
    <m/>
    <x v="0"/>
    <m/>
    <m/>
    <m/>
    <m/>
    <m/>
    <m/>
    <m/>
    <n v="0"/>
    <m/>
    <m/>
    <m/>
    <m/>
    <m/>
  </r>
  <r>
    <x v="559"/>
    <d v="2025-08-18T00:00:00"/>
    <x v="1"/>
    <e v="#N/A"/>
    <x v="7"/>
    <s v="DRY2500195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1000"/>
    <n v="1000"/>
    <m/>
    <n v="0"/>
    <n v="0"/>
    <n v="0"/>
    <n v="2"/>
    <n v="0"/>
    <s v="ห่อแบบสุก"/>
    <n v="0"/>
    <n v="0"/>
  </r>
  <r>
    <x v="559"/>
    <d v="2025-08-21T00:00:00"/>
    <x v="1"/>
    <e v="#N/A"/>
    <x v="7"/>
    <s v="DRY2500214"/>
    <s v="AUS"/>
    <s v="CPFNW"/>
    <s v="CPF Australia Pty Ltd."/>
    <s v="C-Minced WT in tray no egg"/>
    <s v="Cooked Wonton"/>
    <s v="Cooked Minced Wonton in Tray 6 pcs + Sesame Sauce"/>
    <s v="082SK9U16006P00001"/>
    <s v="117*2tray*8in"/>
    <n v="16"/>
    <n v="6"/>
    <n v="6.1999999999999998E-3"/>
    <x v="4"/>
    <s v="Salt"/>
    <s v=" Sesame 15g"/>
    <n v="750"/>
    <m/>
    <n v="756.875"/>
    <n v="6.875"/>
    <n v="0"/>
    <n v="0"/>
    <n v="1"/>
    <n v="0"/>
    <s v="ซอส 15,159 ซอง"/>
    <n v="0"/>
    <n v="0"/>
  </r>
  <r>
    <x v="559"/>
    <d v="2025-09-11T00:00:00"/>
    <x v="1"/>
    <e v="#N/A"/>
    <x v="7"/>
    <s v="DRY2500251"/>
    <s v="New Zealand"/>
    <s v="CPFNW"/>
    <s v="Lim Brothers"/>
    <s v="C-Minced WT in tray no egg"/>
    <s v="Cooked Wonton"/>
    <s v="Cooked Minced Wonton in Tray 6 pcs + Sesame Sauce"/>
    <s v="082SKN716006P00001"/>
    <s v="117*2tray*8in"/>
    <n v="16"/>
    <n v="6"/>
    <n v="6.1999999999999998E-3"/>
    <x v="4"/>
    <s v="Salt"/>
    <s v=" Sesame 15g"/>
    <n v="500"/>
    <m/>
    <n v="535.625"/>
    <n v="35.625"/>
    <n v="0"/>
    <n v="0"/>
    <n v="1"/>
    <n v="0"/>
    <s v="cap 3000 tray/hr. อื่น 8,300 ถ้วย"/>
    <n v="0"/>
    <n v="0"/>
  </r>
  <r>
    <x v="559"/>
    <d v="2025-08-18T00:00:00"/>
    <x v="1"/>
    <e v="#N/A"/>
    <x v="7"/>
    <s v="DRY2500195"/>
    <s v="SG"/>
    <s v="CPFNW"/>
    <s v="CPI Singapore"/>
    <s v="Wonton ND+V"/>
    <s v="Cooked Wonton"/>
    <s v="Cooked Wonton ND No Egg with Pumpkin _x000a_+ Vegetable  HC  3 pcs"/>
    <s v="082SJ3B24003P02001"/>
    <s v="219g*24"/>
    <n v="24"/>
    <n v="3"/>
    <n v="7.4999999999999997E-3"/>
    <x v="5"/>
    <s v="STPP"/>
    <s v="ซุปซอง 10g."/>
    <n v="250"/>
    <n v="250"/>
    <m/>
    <n v="0"/>
    <n v="0"/>
    <n v="0"/>
    <n v="1"/>
    <n v="0"/>
    <m/>
    <n v="0"/>
    <n v="0"/>
  </r>
  <r>
    <x v="559"/>
    <d v="2025-08-20T00:00:00"/>
    <x v="1"/>
    <e v="#N/A"/>
    <x v="7"/>
    <s v="DRY2500113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n v="0"/>
    <n v="7.4999999999999997E-3"/>
    <n v="0"/>
    <m/>
    <n v="0"/>
    <n v="0"/>
  </r>
  <r>
    <x v="560"/>
    <m/>
    <x v="1"/>
    <e v="#N/A"/>
    <x v="7"/>
    <m/>
    <m/>
    <m/>
    <m/>
    <m/>
    <m/>
    <m/>
    <m/>
    <m/>
    <m/>
    <m/>
    <m/>
    <x v="0"/>
    <m/>
    <m/>
    <m/>
    <m/>
    <m/>
    <m/>
    <m/>
    <n v="0"/>
    <m/>
    <m/>
    <m/>
    <m/>
    <m/>
  </r>
  <r>
    <x v="561"/>
    <d v="2025-08-20T00:00:00"/>
    <x v="1"/>
    <e v="#N/A"/>
    <x v="7"/>
    <s v="DRY2500218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561"/>
    <n v="550"/>
    <n v="11"/>
    <n v="0"/>
    <n v="0"/>
    <n v="0"/>
    <n v="2"/>
    <n v="0"/>
    <m/>
    <n v="0"/>
    <n v="0"/>
  </r>
  <r>
    <x v="561"/>
    <s v="08-2025"/>
    <x v="1"/>
    <e v="#N/A"/>
    <x v="7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3790"/>
    <n v="3790"/>
    <m/>
    <n v="0"/>
    <n v="0"/>
    <n v="0"/>
    <n v="7.4999999999999997E-3"/>
    <n v="0"/>
    <m/>
    <n v="0"/>
    <n v="0"/>
  </r>
  <r>
    <x v="562"/>
    <d v="2025-08-20T00:00:00"/>
    <x v="1"/>
    <e v="#N/A"/>
    <x v="7"/>
    <s v="DRY2500218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560"/>
    <n v="560"/>
    <m/>
    <n v="0"/>
    <n v="0"/>
    <n v="0"/>
    <n v="2"/>
    <n v="0"/>
    <m/>
    <n v="0"/>
    <n v="0"/>
  </r>
  <r>
    <x v="562"/>
    <d v="2025-08-26T00:00:00"/>
    <x v="1"/>
    <e v="#N/A"/>
    <x v="7"/>
    <s v="DRY2500280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ถ้าว,ฝา สีขาว"/>
    <n v="0"/>
    <n v="0"/>
  </r>
  <r>
    <x v="562"/>
    <d v="2025-08-26T00:00:00"/>
    <x v="1"/>
    <e v="#N/A"/>
    <x v="7"/>
    <s v="DRY2500217"/>
    <s v="Denmark"/>
    <s v="CPFNW"/>
    <s v="CPF DENMARK"/>
    <s v="Minced ND+V+TK"/>
    <s v="Cooked Wonton"/>
    <s v="Cooked Minced  ND No Egg with Pumpkin_x000a_+ Yu Choy Tomyum"/>
    <s v="082SJKW08003P01001"/>
    <s v="302g*8"/>
    <n v="8"/>
    <n v="3"/>
    <n v="6.0000000000000001E-3"/>
    <x v="4"/>
    <s v="Salt"/>
    <s v="Tomkha+CM"/>
    <n v="3500"/>
    <m/>
    <n v="3591.75"/>
    <n v="91.75"/>
    <n v="0"/>
    <n v="0"/>
    <n v="5.8823E-2"/>
    <n v="0"/>
    <m/>
    <n v="0"/>
    <n v="0"/>
  </r>
  <r>
    <x v="562"/>
    <d v="2025-09-11T00:00:00"/>
    <x v="1"/>
    <e v="#N/A"/>
    <x v="7"/>
    <s v="DRY2500251"/>
    <s v="New Zealand"/>
    <s v="CPFNW"/>
    <s v="Lim Brothers"/>
    <s v="Minced ND+V+TK"/>
    <s v="Cooked Wonton"/>
    <s v="Cooked Minced  ND No Egg with Pumpkin_x000a_+ Yu Choy Tomkha"/>
    <s v="082SRN708003P01001"/>
    <s v="302g*8"/>
    <n v="8"/>
    <n v="3"/>
    <n v="6.0000000000000001E-3"/>
    <x v="4"/>
    <s v="Salt"/>
    <s v="Tomkha+CM"/>
    <n v="550"/>
    <m/>
    <n v="550"/>
    <n v="0"/>
    <n v="0"/>
    <n v="0"/>
    <n v="5.8823E-2"/>
    <n v="0"/>
    <m/>
    <n v="0"/>
    <n v="0"/>
  </r>
  <r>
    <x v="563"/>
    <d v="2025-08-20T00:00:00"/>
    <x v="1"/>
    <e v="#N/A"/>
    <x v="7"/>
    <s v="DRY2500218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503"/>
    <n v="503"/>
    <m/>
    <n v="0"/>
    <n v="0"/>
    <n v="0"/>
    <n v="2"/>
    <n v="0"/>
    <m/>
    <n v="0"/>
    <n v="0"/>
  </r>
  <r>
    <x v="563"/>
    <d v="2025-08-26T00:00:00"/>
    <x v="1"/>
    <e v="#N/A"/>
    <x v="7"/>
    <s v="DRY2500281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ถ้าว,ฝา สีขาว/Halal"/>
    <n v="0"/>
    <n v="0"/>
  </r>
  <r>
    <x v="563"/>
    <d v="2025-08-26T00:00:00"/>
    <x v="1"/>
    <e v="#N/A"/>
    <x v="7"/>
    <s v="DRY2500282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74"/>
    <n v="14"/>
    <n v="0"/>
    <n v="0"/>
    <n v="0"/>
    <n v="7.4999999999999997E-3"/>
    <n v="0"/>
    <s v="ถ้าว,ฝา สีขาว/Halal"/>
    <n v="0"/>
    <n v="0"/>
  </r>
  <r>
    <x v="564"/>
    <d v="2025-09-02T00:00:00"/>
    <x v="1"/>
    <e v="#N/A"/>
    <x v="7"/>
    <s v="DRY2500198"/>
    <s v="Belgium"/>
    <s v="CPFNW"/>
    <s v="CPF EUROPE S.A."/>
    <s v="R-Wonton no egg"/>
    <s v="Raw Wonton"/>
    <s v="Raw Wonton 50 pcs"/>
    <s v="082I93I10050P02001"/>
    <s v="630g*10inner"/>
    <n v="10"/>
    <n v="50"/>
    <n v="8.1300000000000001E-3"/>
    <x v="1"/>
    <s v="Salt"/>
    <s v="ซุปซอง 5g."/>
    <n v="525"/>
    <n v="525"/>
    <m/>
    <n v="0"/>
    <n v="0"/>
    <n v="0"/>
    <n v="6"/>
    <n v="0"/>
    <m/>
    <n v="0"/>
    <n v="0"/>
  </r>
  <r>
    <x v="564"/>
    <d v="2025-09-04T00:00:00"/>
    <x v="1"/>
    <e v="#N/A"/>
    <x v="7"/>
    <s v="DRY2500238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564"/>
    <d v="2025-09-04T00:00:00"/>
    <x v="1"/>
    <e v="#N/A"/>
    <x v="7"/>
    <s v="DRY2500239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564"/>
    <d v="2025-09-04T00:00:00"/>
    <x v="1"/>
    <e v="#N/A"/>
    <x v="7"/>
    <s v="DRY2500230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SG+CO"/>
    <n v="924"/>
    <n v="924"/>
    <m/>
    <n v="0"/>
    <n v="0"/>
    <n v="0"/>
    <n v="3.8699999999999998E-2"/>
    <n v="0"/>
    <m/>
    <n v="0"/>
    <n v="0"/>
  </r>
  <r>
    <x v="564"/>
    <d v="2025-09-11T00:00:00"/>
    <x v="1"/>
    <e v="#N/A"/>
    <x v="7"/>
    <s v="DRY2500251"/>
    <s v="New Zealand"/>
    <s v="CPFNW"/>
    <s v="Lim Brothers"/>
    <s v="Minced ND+V+TY"/>
    <s v="Cooked Wonton"/>
    <s v="Cooked Minced  ND No Egg with Pumpkin_x000a_+ Yu Choy Tomyum"/>
    <s v="082SRN708003P00001"/>
    <s v="302g*8"/>
    <n v="8"/>
    <n v="3"/>
    <n v="6.0000000000000001E-3"/>
    <x v="4"/>
    <s v="Salt"/>
    <s v="TYEXSG+CO"/>
    <n v="650"/>
    <m/>
    <n v="650"/>
    <n v="0"/>
    <n v="0"/>
    <n v="0"/>
    <n v="3.8699999999999998E-2"/>
    <n v="0"/>
    <s v="2673 ถ้วย เอา Germany มา"/>
    <n v="0"/>
    <n v="0"/>
  </r>
  <r>
    <x v="565"/>
    <m/>
    <x v="1"/>
    <e v="#N/A"/>
    <x v="7"/>
    <m/>
    <m/>
    <m/>
    <m/>
    <m/>
    <m/>
    <m/>
    <m/>
    <m/>
    <m/>
    <m/>
    <m/>
    <x v="0"/>
    <m/>
    <m/>
    <m/>
    <m/>
    <m/>
    <m/>
    <m/>
    <n v="0"/>
    <m/>
    <m/>
    <m/>
    <m/>
    <m/>
  </r>
  <r>
    <x v="566"/>
    <d v="2025-08-28T00:00:00"/>
    <x v="1"/>
    <e v="#N/A"/>
    <x v="7"/>
    <s v="DRY2500200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583"/>
    <n v="583"/>
    <m/>
    <n v="0"/>
    <n v="0"/>
    <n v="0"/>
    <n v="2"/>
    <n v="0"/>
    <m/>
    <n v="0"/>
    <n v="0"/>
  </r>
  <r>
    <x v="566"/>
    <s v="08-2025"/>
    <x v="1"/>
    <e v="#N/A"/>
    <x v="7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999"/>
    <n v="999"/>
    <m/>
    <n v="0"/>
    <n v="0"/>
    <n v="0"/>
    <n v="7.4999999999999997E-3"/>
    <n v="0"/>
    <m/>
    <n v="0"/>
    <n v="0"/>
  </r>
  <r>
    <x v="566"/>
    <d v="2025-09-02T00:00:00"/>
    <x v="1"/>
    <e v="#N/A"/>
    <x v="7"/>
    <s v="DRY2500261"/>
    <s v="UK"/>
    <s v="CPFNW"/>
    <s v="Food Fellas"/>
    <s v="Wonton"/>
    <s v="Cooked Wonton"/>
    <s v="Cooked Wonton  No Egg_x000a_HC  5 pcs"/>
    <s v="082S85L08005P03001"/>
    <s v="145g*8"/>
    <n v="8"/>
    <n v="5"/>
    <n v="7.4999999999999997E-3"/>
    <x v="5"/>
    <s v="Salt"/>
    <s v="Regular"/>
    <n v="1900"/>
    <m/>
    <n v="1900"/>
    <n v="0"/>
    <n v="0"/>
    <n v="0"/>
    <n v="7.4999999999999997E-3"/>
    <n v="0"/>
    <s v="ถ้าว,ฝา สีขาว"/>
    <m/>
    <m/>
  </r>
  <r>
    <x v="566"/>
    <d v="2025-09-02T00:00:00"/>
    <x v="1"/>
    <e v="#N/A"/>
    <x v="7"/>
    <s v="DRY2500198"/>
    <s v="Belgium"/>
    <s v="CPFNW"/>
    <s v="CPF EUROPE S.A."/>
    <s v="Wonton +V"/>
    <s v="Cooked Wonton"/>
    <s v="Cooked Wonton  No Egg _x000a_+ Vegetable  HC  4 pcs"/>
    <s v="082S83I08004P00001"/>
    <s v="145g*8"/>
    <n v="8"/>
    <n v="4"/>
    <n v="7.4999999999999997E-3"/>
    <x v="5"/>
    <s v="Salt"/>
    <s v="Regular"/>
    <n v="3000"/>
    <m/>
    <n v="3000"/>
    <n v="0"/>
    <n v="0"/>
    <n v="0"/>
    <n v="7.4999999999999997E-3"/>
    <n v="0"/>
    <m/>
    <n v="0"/>
    <n v="0"/>
  </r>
  <r>
    <x v="567"/>
    <d v="2025-08-28T00:00:00"/>
    <x v="1"/>
    <e v="#N/A"/>
    <x v="7"/>
    <s v="DRY2500200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588"/>
    <n v="588"/>
    <m/>
    <n v="0"/>
    <n v="0"/>
    <n v="0"/>
    <n v="2"/>
    <n v="0"/>
    <m/>
    <n v="0"/>
    <n v="0"/>
  </r>
  <r>
    <x v="567"/>
    <d v="2025-09-11T00:00:00"/>
    <x v="1"/>
    <e v="#N/A"/>
    <x v="7"/>
    <s v="DRY2500251"/>
    <s v="New Zealand"/>
    <s v="CPFNW"/>
    <s v="Lim Brothers"/>
    <s v="Minced ND+Kee Mao"/>
    <s v="Cooked Wonton"/>
    <s v="Cooked Minced Wonton Thai Spicy Noodles (Kee Mao Noodles)"/>
    <s v="082SRN708003P03001"/>
    <s v="242g*8"/>
    <n v="8"/>
    <n v="3"/>
    <n v="6.1999999999999998E-3"/>
    <x v="4"/>
    <s v="Salt"/>
    <s v="Kee Mao"/>
    <n v="350"/>
    <m/>
    <n v="370"/>
    <n v="20"/>
    <n v="0"/>
    <n v="0"/>
    <n v="1"/>
    <n v="0"/>
    <s v="NEWPACKAGE"/>
    <n v="0"/>
    <n v="0"/>
  </r>
  <r>
    <x v="567"/>
    <d v="2025-09-08T00:00:00"/>
    <x v="1"/>
    <e v="#N/A"/>
    <x v="7"/>
    <s v="DRY2500240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n v="0"/>
    <n v="7.4999999999999997E-3"/>
    <n v="0"/>
    <s v="new package (ลบโลโก้ Facebook)"/>
    <n v="0"/>
    <n v="0"/>
  </r>
  <r>
    <x v="567"/>
    <d v="2025-09-02T00:00:00"/>
    <x v="1"/>
    <e v="#N/A"/>
    <x v="7"/>
    <s v="DRY2500261"/>
    <s v="UK"/>
    <s v="CPFNW"/>
    <s v="Food Fellas"/>
    <s v="Wonton ND"/>
    <s v="Cooked Wonton"/>
    <s v="Cooked Wonton ND No Egg with _x000a_HC  5 pcs"/>
    <s v="082SJ5L08005P03001"/>
    <s v="258g*8"/>
    <n v="8"/>
    <n v="5"/>
    <n v="7.4999999999999997E-3"/>
    <x v="5"/>
    <s v="Salt"/>
    <s v="Regular"/>
    <n v="1700"/>
    <m/>
    <n v="1778.5"/>
    <n v="78.5"/>
    <n v="0"/>
    <n v="0"/>
    <n v="7.4999999999999997E-3"/>
    <n v="0"/>
    <s v="ถ้าว,ฝา สีขาว"/>
    <m/>
    <m/>
  </r>
  <r>
    <x v="567"/>
    <d v="2025-09-11T00:00:00"/>
    <x v="1"/>
    <e v="#N/A"/>
    <x v="7"/>
    <s v="DRY2500251"/>
    <s v="New Zealand"/>
    <s v="CPFNW"/>
    <s v="Lim Brothers"/>
    <s v="Wonton ND+V"/>
    <s v="Cooked Wonton"/>
    <s v="Cooked Wonton ND No Egg with Pumpkin_x000a_+ Yu Choy "/>
    <s v="082SJN708004P00001"/>
    <s v="305g*8"/>
    <n v="8"/>
    <n v="4"/>
    <n v="7.4999999999999997E-3"/>
    <x v="5"/>
    <s v="Salt"/>
    <s v="Regular"/>
    <n v="1450"/>
    <m/>
    <n v="1450"/>
    <n v="0"/>
    <n v="0"/>
    <n v="0"/>
    <n v="7.4999999999999997E-3"/>
    <n v="0"/>
    <m/>
    <n v="0"/>
    <n v="0"/>
  </r>
  <r>
    <x v="568"/>
    <d v="2025-08-28T00:00:00"/>
    <x v="1"/>
    <e v="#N/A"/>
    <x v="7"/>
    <s v="DRY2500201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715"/>
    <n v="715"/>
    <m/>
    <n v="0"/>
    <n v="0"/>
    <n v="0"/>
    <n v="6"/>
    <n v="0"/>
    <m/>
    <n v="0"/>
    <n v="0"/>
  </r>
  <r>
    <x v="568"/>
    <s v="09-2025"/>
    <x v="1"/>
    <e v="#N/A"/>
    <x v="7"/>
    <s v="ขายภายใน"/>
    <s v="MTFS"/>
    <s v="CPFGS"/>
    <s v="ซีพีเอฟ เทรดดิ้ง"/>
    <s v="E+Wonton NDE"/>
    <s v="Cooked Wonton"/>
    <s v="บะหมี่เกี๊ยวกุ้ง ตราซีพี 12X226 กรัม"/>
    <s v="082SJ3Q12003P07001"/>
    <s v="226g*12"/>
    <n v="12"/>
    <n v="3"/>
    <n v="8.0000000000000002E-3"/>
    <x v="1"/>
    <s v="STPP"/>
    <s v="Regular"/>
    <n v="500"/>
    <n v="500"/>
    <m/>
    <n v="0"/>
    <n v="0"/>
    <n v="0"/>
    <n v="7.4999999999999997E-3"/>
    <n v="0"/>
    <m/>
    <n v="0"/>
    <n v="0"/>
  </r>
  <r>
    <x v="568"/>
    <s v="09-2025"/>
    <x v="1"/>
    <e v="#N/A"/>
    <x v="7"/>
    <s v="ขายภายใน"/>
    <s v="MTFS"/>
    <s v="CPFGS"/>
    <s v="ซีพีเอฟ เทรดดิ้ง"/>
    <s v="E+Wonton NDE"/>
    <s v="Cooked Wonton"/>
    <s v="บะหมี่เกี๊ยวกุ้ง ตราซีพี 12X226 กรัม"/>
    <s v="082SJ3Q12003P07001"/>
    <s v="226g*12"/>
    <n v="12"/>
    <n v="3"/>
    <n v="8.0000000000000002E-3"/>
    <x v="1"/>
    <s v="STPP"/>
    <s v="Regular"/>
    <n v="200"/>
    <n v="200"/>
    <m/>
    <n v="0"/>
    <n v="0"/>
    <n v="0"/>
    <n v="7.4999999999999997E-3"/>
    <n v="0"/>
    <m/>
    <n v="0"/>
    <n v="0"/>
  </r>
  <r>
    <x v="568"/>
    <s v="09-2025"/>
    <x v="1"/>
    <e v="#N/A"/>
    <x v="7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350"/>
    <n v="350"/>
    <m/>
    <n v="0"/>
    <n v="0"/>
    <n v="0"/>
    <n v="7.4999999999999997E-3"/>
    <n v="0"/>
    <m/>
    <n v="0"/>
    <n v="0"/>
  </r>
  <r>
    <x v="568"/>
    <s v="09-2025"/>
    <x v="1"/>
    <e v="#N/A"/>
    <x v="7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50"/>
    <n v="50"/>
    <m/>
    <n v="0"/>
    <n v="0"/>
    <n v="0"/>
    <n v="7.4999999999999997E-3"/>
    <n v="0"/>
    <m/>
    <n v="0"/>
    <n v="0"/>
  </r>
  <r>
    <x v="568"/>
    <s v="09-2025"/>
    <x v="1"/>
    <e v="#N/A"/>
    <x v="7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400"/>
    <n v="400"/>
    <m/>
    <n v="0"/>
    <n v="0"/>
    <n v="0"/>
    <n v="7.4999999999999997E-3"/>
    <n v="0"/>
    <m/>
    <n v="0"/>
    <n v="0"/>
  </r>
  <r>
    <x v="568"/>
    <s v="09-2025"/>
    <x v="1"/>
    <e v="#N/A"/>
    <x v="7"/>
    <s v="ขายภายใน"/>
    <s v="MTFS"/>
    <s v="CPFGS"/>
    <s v="ซีพีเอฟ เทรดดิ้ง"/>
    <s v="E+Wonton"/>
    <s v="Cooked Wonton"/>
    <s v="Cooked Wonton  with egg V-Food"/>
    <s v="082S83Q12005P05000"/>
    <s v="145g*12"/>
    <n v="12"/>
    <n v="5"/>
    <n v="8.0000000000000002E-3"/>
    <x v="1"/>
    <s v="STPP"/>
    <s v="Regular"/>
    <n v="12"/>
    <n v="12"/>
    <m/>
    <n v="0"/>
    <n v="0"/>
    <n v="0"/>
    <n v="7.4999999999999997E-3"/>
    <n v="0"/>
    <m/>
    <n v="0"/>
    <n v="0"/>
  </r>
  <r>
    <x v="568"/>
    <s v="09-2025"/>
    <x v="1"/>
    <e v="#N/A"/>
    <x v="7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1"/>
    <s v="145g*12"/>
    <n v="12"/>
    <n v="5"/>
    <n v="8.0000000000000002E-3"/>
    <x v="1"/>
    <s v="STPP"/>
    <s v="Regular"/>
    <n v="1250"/>
    <n v="1250"/>
    <m/>
    <n v="0"/>
    <n v="0"/>
    <n v="0"/>
    <n v="7.4999999999999997E-3"/>
    <n v="0"/>
    <m/>
    <n v="0"/>
    <n v="0"/>
  </r>
  <r>
    <x v="568"/>
    <s v="09-2025"/>
    <x v="1"/>
    <e v="#N/A"/>
    <x v="7"/>
    <s v="ขายภายใน"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1200"/>
    <n v="1200"/>
    <m/>
    <n v="0"/>
    <n v="0"/>
    <n v="0"/>
    <n v="1"/>
    <n v="0"/>
    <m/>
    <n v="0"/>
    <n v="0"/>
  </r>
  <r>
    <x v="568"/>
    <s v="09-2025"/>
    <x v="1"/>
    <e v="#N/A"/>
    <x v="7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1037"/>
    <n v="1037"/>
    <m/>
    <n v="0"/>
    <n v="0"/>
    <n v="0"/>
    <n v="7.4999999999999997E-3"/>
    <n v="0"/>
    <m/>
    <n v="0"/>
    <n v="0"/>
  </r>
  <r>
    <x v="569"/>
    <d v="2025-08-28T00:00:00"/>
    <x v="1"/>
    <e v="#N/A"/>
    <x v="7"/>
    <s v="DRY2500200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453"/>
    <n v="453"/>
    <m/>
    <n v="0"/>
    <n v="0"/>
    <n v="0"/>
    <n v="2"/>
    <n v="0"/>
    <m/>
    <n v="0"/>
    <n v="0"/>
  </r>
  <r>
    <x v="569"/>
    <d v="2025-08-28T00:00:00"/>
    <x v="1"/>
    <e v="#N/A"/>
    <x v="7"/>
    <s v="DRY2500201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101"/>
    <n v="101"/>
    <m/>
    <n v="0"/>
    <n v="0"/>
    <n v="0"/>
    <n v="6"/>
    <n v="0"/>
    <m/>
    <n v="0"/>
    <n v="0"/>
  </r>
  <r>
    <x v="569"/>
    <s v="09-2025"/>
    <x v="1"/>
    <e v="#N/A"/>
    <x v="7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3507"/>
    <n v="3507"/>
    <m/>
    <n v="0"/>
    <n v="0"/>
    <n v="0"/>
    <n v="7.4999999999999997E-3"/>
    <n v="0"/>
    <m/>
    <n v="0"/>
    <n v="0"/>
  </r>
  <r>
    <x v="570"/>
    <s v="09-2025"/>
    <x v="1"/>
    <e v="#N/A"/>
    <x v="7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500"/>
    <n v="500"/>
    <m/>
    <n v="0"/>
    <n v="0"/>
    <n v="0"/>
    <m/>
    <n v="0"/>
    <m/>
    <n v="0"/>
    <n v="0"/>
  </r>
  <r>
    <x v="570"/>
    <s v="09-2025"/>
    <x v="1"/>
    <e v="#N/A"/>
    <x v="7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500"/>
    <n v="500"/>
    <m/>
    <n v="0"/>
    <n v="0"/>
    <n v="0"/>
    <m/>
    <n v="0"/>
    <m/>
    <n v="0"/>
    <n v="0"/>
  </r>
  <r>
    <x v="570"/>
    <s v="09-2025"/>
    <x v="1"/>
    <e v="#N/A"/>
    <x v="7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200"/>
    <n v="200"/>
    <m/>
    <n v="0"/>
    <n v="0"/>
    <n v="0"/>
    <m/>
    <n v="0"/>
    <m/>
    <n v="0"/>
    <n v="0"/>
  </r>
  <r>
    <x v="570"/>
    <s v="09-2025"/>
    <x v="1"/>
    <e v="#N/A"/>
    <x v="7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2956"/>
    <n v="2956"/>
    <m/>
    <n v="0"/>
    <n v="0"/>
    <n v="0"/>
    <n v="7.4999999999999997E-3"/>
    <n v="0"/>
    <m/>
    <n v="0"/>
    <n v="0"/>
  </r>
  <r>
    <x v="570"/>
    <s v="10-2025"/>
    <x v="1"/>
    <e v="#N/A"/>
    <x v="7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334"/>
    <n v="154"/>
    <n v="180"/>
    <n v="0"/>
    <n v="0"/>
    <n v="0"/>
    <n v="7.4999999999999997E-3"/>
    <n v="0"/>
    <m/>
    <n v="0"/>
    <n v="0"/>
  </r>
  <r>
    <x v="570"/>
    <s v="09-2025"/>
    <x v="1"/>
    <e v="#N/A"/>
    <x v="7"/>
    <s v="ขายภายใน"/>
    <s v="MTFS"/>
    <s v="CPFGS"/>
    <s v="ซีพีเอฟ เทรดดิ้ง"/>
    <s v="E+Wonton TY"/>
    <s v="Cooked Wonton"/>
    <s v="เกี๊ยวกุ้งรสต้มยำ ตราซีพี 12x115 กรัม"/>
    <s v="082S83Q12005P04001"/>
    <s v="115g*12"/>
    <n v="12"/>
    <n v="5"/>
    <n v="8.0000000000000002E-3"/>
    <x v="1"/>
    <s v="STPP"/>
    <s v="TYTB3C 30G"/>
    <n v="250"/>
    <n v="250"/>
    <m/>
    <n v="0"/>
    <n v="0"/>
    <n v="0"/>
    <n v="1"/>
    <n v="0"/>
    <m/>
    <n v="0"/>
    <n v="0"/>
  </r>
  <r>
    <x v="571"/>
    <d v="2025-08-28T00:00:00"/>
    <x v="1"/>
    <e v="#N/A"/>
    <x v="7"/>
    <s v="DRY2500201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731"/>
    <n v="731"/>
    <m/>
    <n v="0"/>
    <n v="0"/>
    <n v="0"/>
    <n v="6"/>
    <n v="0"/>
    <m/>
    <n v="0"/>
    <n v="0"/>
  </r>
  <r>
    <x v="571"/>
    <d v="2025-08-27T00:00:00"/>
    <x v="1"/>
    <e v="#N/A"/>
    <x v="7"/>
    <s v="DRY2500139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571"/>
    <d v="2025-08-27T00:00:00"/>
    <x v="1"/>
    <e v="#N/A"/>
    <x v="7"/>
    <s v="DRY2500140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571"/>
    <d v="2025-09-03T00:00:00"/>
    <x v="1"/>
    <e v="#N/A"/>
    <x v="7"/>
    <s v="DRY2500141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37"/>
    <n v="37"/>
    <m/>
    <n v="0"/>
    <n v="0"/>
    <n v="0"/>
    <n v="9.7000000000000003E-3"/>
    <n v="0"/>
    <m/>
    <n v="0"/>
    <n v="0"/>
  </r>
  <r>
    <x v="571"/>
    <d v="2025-09-01T00:00:00"/>
    <x v="1"/>
    <e v="#N/A"/>
    <x v="7"/>
    <s v="DRY2500250"/>
    <s v="SG"/>
    <s v="CPFNW"/>
    <s v="CPI SINGAPORE"/>
    <s v="Minced ND+หมาล่า"/>
    <s v="Cooked Wonton"/>
    <s v="Cooked Minced  ND No Egg หมาล่า"/>
    <s v="082SR3B24003P00001"/>
    <s v="300g*24"/>
    <n v="24"/>
    <n v="3"/>
    <n v="6.0000000000000001E-3"/>
    <x v="4"/>
    <s v="Salt"/>
    <s v="หมาล่า"/>
    <n v="420"/>
    <n v="420"/>
    <m/>
    <n v="0"/>
    <n v="0"/>
    <n v="0"/>
    <n v="2.4E-2"/>
    <n v="0"/>
    <m/>
    <n v="0"/>
    <n v="0"/>
  </r>
  <r>
    <x v="572"/>
    <m/>
    <x v="1"/>
    <e v="#N/A"/>
    <x v="7"/>
    <m/>
    <m/>
    <m/>
    <m/>
    <m/>
    <m/>
    <m/>
    <m/>
    <m/>
    <m/>
    <m/>
    <m/>
    <x v="0"/>
    <m/>
    <m/>
    <m/>
    <m/>
    <m/>
    <m/>
    <m/>
    <n v="0"/>
    <m/>
    <m/>
    <m/>
    <m/>
    <m/>
  </r>
  <r>
    <x v="573"/>
    <d v="2025-08-28T00:00:00"/>
    <x v="1"/>
    <e v="#N/A"/>
    <x v="7"/>
    <s v="DRY2500201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509"/>
    <n v="509"/>
    <m/>
    <n v="0"/>
    <n v="0"/>
    <n v="0"/>
    <n v="6"/>
    <n v="0"/>
    <m/>
    <n v="0"/>
    <n v="0"/>
  </r>
  <r>
    <x v="573"/>
    <s v="09-2025"/>
    <x v="1"/>
    <e v="#N/A"/>
    <x v="7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3749"/>
    <n v="3749"/>
    <m/>
    <n v="0"/>
    <n v="0"/>
    <n v="0"/>
    <n v="7.4999999999999997E-3"/>
    <n v="0"/>
    <m/>
    <n v="0"/>
    <n v="0"/>
  </r>
  <r>
    <x v="574"/>
    <d v="2025-09-02T00:00:00"/>
    <x v="1"/>
    <e v="#N/A"/>
    <x v="7"/>
    <s v="KL2500025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724"/>
    <n v="724"/>
    <m/>
    <n v="0"/>
    <n v="0"/>
    <n v="0"/>
    <n v="6"/>
    <n v="0"/>
    <m/>
    <n v="0"/>
    <n v="0"/>
  </r>
  <r>
    <x v="574"/>
    <d v="2025-09-03T00:00:00"/>
    <x v="1"/>
    <e v="#N/A"/>
    <x v="7"/>
    <s v="DRY2500141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55"/>
    <n v="755"/>
    <m/>
    <n v="0"/>
    <n v="0"/>
    <n v="0"/>
    <n v="9.7000000000000003E-3"/>
    <n v="0"/>
    <m/>
    <n v="0"/>
    <n v="0"/>
  </r>
  <r>
    <x v="574"/>
    <d v="2025-09-03T00:00:00"/>
    <x v="1"/>
    <e v="#N/A"/>
    <x v="7"/>
    <s v="DRY2500142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574"/>
    <d v="2025-09-03T00:00:00"/>
    <x v="1"/>
    <e v="#N/A"/>
    <x v="7"/>
    <s v="DRY2500143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574"/>
    <d v="2025-09-03T00:00:00"/>
    <x v="1"/>
    <e v="#N/A"/>
    <x v="7"/>
    <s v="DRY2500156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106"/>
    <n v="106"/>
    <m/>
    <n v="0"/>
    <n v="0"/>
    <n v="0"/>
    <n v="9.7000000000000003E-3"/>
    <n v="0"/>
    <m/>
    <n v="0"/>
    <n v="0"/>
  </r>
  <r>
    <x v="575"/>
    <d v="2025-09-02T00:00:00"/>
    <x v="1"/>
    <e v="#N/A"/>
    <x v="7"/>
    <s v="KL2500025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684"/>
    <n v="684"/>
    <m/>
    <n v="0"/>
    <n v="0"/>
    <n v="0"/>
    <n v="6"/>
    <n v="0"/>
    <m/>
    <n v="0"/>
    <n v="0"/>
  </r>
  <r>
    <x v="575"/>
    <d v="2025-09-03T00:00:00"/>
    <x v="1"/>
    <e v="#N/A"/>
    <x v="7"/>
    <s v="DRY2500156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686"/>
    <n v="686"/>
    <m/>
    <n v="0"/>
    <n v="0"/>
    <n v="0"/>
    <n v="9.7000000000000003E-3"/>
    <n v="0"/>
    <m/>
    <n v="0"/>
    <n v="0"/>
  </r>
  <r>
    <x v="575"/>
    <d v="2025-09-03T00:00:00"/>
    <x v="1"/>
    <e v="#N/A"/>
    <x v="7"/>
    <s v="DRY2500157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575"/>
    <d v="2025-09-03T00:00:00"/>
    <x v="1"/>
    <e v="#N/A"/>
    <x v="7"/>
    <s v="DRY2500158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575"/>
    <d v="2025-09-11T00:00:00"/>
    <x v="1"/>
    <e v="#N/A"/>
    <x v="7"/>
    <s v="DRY2500159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117"/>
    <n v="117"/>
    <m/>
    <n v="0"/>
    <n v="0"/>
    <n v="0"/>
    <n v="9.7000000000000003E-3"/>
    <n v="0"/>
    <m/>
    <n v="0"/>
    <n v="0"/>
  </r>
  <r>
    <x v="576"/>
    <d v="2025-09-02T00:00:00"/>
    <x v="1"/>
    <e v="#N/A"/>
    <x v="7"/>
    <s v="KL2500027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727"/>
    <n v="727"/>
    <m/>
    <n v="0"/>
    <n v="0"/>
    <n v="0"/>
    <n v="6"/>
    <n v="0"/>
    <m/>
    <n v="0"/>
    <n v="0"/>
  </r>
  <r>
    <x v="576"/>
    <d v="2025-09-09T00:00:00"/>
    <x v="1"/>
    <e v="#N/A"/>
    <x v="7"/>
    <s v="DRY2500045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37"/>
    <n v="51"/>
    <n v="0"/>
    <n v="0"/>
    <n v="0"/>
    <n v="7.4999999999999997E-3"/>
    <n v="0"/>
    <s v="ถ้าว,ฝา สีขาว/Halal"/>
    <n v="0"/>
    <n v="0"/>
  </r>
  <r>
    <x v="576"/>
    <d v="2025-09-29T00:00:00"/>
    <x v="1"/>
    <e v="#N/A"/>
    <x v="7"/>
    <s v="DRY2500252"/>
    <s v="Denmark"/>
    <s v="CPFNW"/>
    <s v="CPF DENMARK"/>
    <s v="Minced ND+V+TY"/>
    <s v="Cooked Wonton"/>
    <s v="Cooked Minced  ND No Egg with Pumpkin_x000a_+ Yu Choy Tomyum"/>
    <s v="082SRRE12003P00001"/>
    <s v="302g*12"/>
    <n v="12"/>
    <n v="3"/>
    <n v="6.0000000000000001E-3"/>
    <x v="4"/>
    <s v="Salt"/>
    <s v="TYEXSG+CO"/>
    <n v="2520"/>
    <n v="2520"/>
    <m/>
    <n v="0"/>
    <n v="0"/>
    <n v="0"/>
    <n v="3.8699999999999998E-2"/>
    <n v="0"/>
    <s v="rema"/>
    <n v="0"/>
    <n v="0"/>
  </r>
  <r>
    <x v="577"/>
    <d v="2025-09-02T00:00:00"/>
    <x v="1"/>
    <e v="#N/A"/>
    <x v="7"/>
    <s v="KL2500027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681"/>
    <n v="681"/>
    <m/>
    <n v="0"/>
    <n v="0"/>
    <n v="0"/>
    <n v="6"/>
    <n v="0"/>
    <m/>
    <n v="0"/>
    <n v="0"/>
  </r>
  <r>
    <x v="577"/>
    <d v="2025-09-09T00:00:00"/>
    <x v="1"/>
    <e v="#N/A"/>
    <x v="7"/>
    <s v="DRY2500196"/>
    <s v="SG"/>
    <s v="CPFNW"/>
    <s v="CPI SINGAPORE"/>
    <s v="Wonton +TY"/>
    <s v="Cooked Wonton"/>
    <s v="Cooked Wonton No Egg"/>
    <s v="082S83B24005P06001"/>
    <s v="115g*24"/>
    <n v="24"/>
    <n v="5"/>
    <n v="8.0000000000000002E-3"/>
    <x v="1"/>
    <s v="STPP"/>
    <s v="TYTB3C 30G"/>
    <n v="250"/>
    <n v="250"/>
    <m/>
    <n v="0"/>
    <n v="0"/>
    <n v="0"/>
    <n v="1"/>
    <n v="0"/>
    <m/>
    <n v="0"/>
    <n v="0"/>
  </r>
  <r>
    <x v="577"/>
    <d v="2025-09-09T00:00:00"/>
    <x v="1"/>
    <e v="#N/A"/>
    <x v="7"/>
    <s v="DRY2500187"/>
    <s v="UK"/>
    <s v="CPFNW"/>
    <s v="Westbridge Foods Limited (One UK)"/>
    <s v="Minced ND"/>
    <s v="Cooked Wonton"/>
    <s v="Cooked Minced Wonton Noodle No Egg"/>
    <s v="082SRWE24005P00001"/>
    <s v="258g*4c*6in"/>
    <n v="24"/>
    <n v="5"/>
    <n v="6.0000000000000001E-3"/>
    <x v="4"/>
    <s v="Salt"/>
    <s v="Regular"/>
    <n v="705"/>
    <n v="705"/>
    <n v="29"/>
    <n v="29"/>
    <n v="0"/>
    <n v="0"/>
    <n v="7.4999999999999997E-3"/>
    <n v="0"/>
    <s v="package new ถ้วยสีขาว"/>
    <n v="0"/>
    <n v="0"/>
  </r>
  <r>
    <x v="577"/>
    <d v="2025-09-09T00:00:00"/>
    <x v="1"/>
    <e v="#N/A"/>
    <x v="7"/>
    <s v="DRY2500196"/>
    <s v="SG"/>
    <s v="CPFNW"/>
    <s v="CPI Singapore"/>
    <s v="Wonton ND+V"/>
    <s v="Cooked Wonton"/>
    <s v="Cooked Wonton ND No Egg with Pumpkin _x000a_+ Vegetable  HC  3 pcs"/>
    <s v="082SJ3B24003P02001"/>
    <s v="219g*24"/>
    <n v="24"/>
    <n v="3"/>
    <n v="7.4999999999999997E-3"/>
    <x v="5"/>
    <s v="STPP"/>
    <s v="ซุปซอง 10g."/>
    <n v="500"/>
    <n v="500"/>
    <m/>
    <n v="0"/>
    <n v="0"/>
    <n v="0"/>
    <n v="1"/>
    <n v="0"/>
    <m/>
    <n v="0"/>
    <n v="0"/>
  </r>
  <r>
    <x v="577"/>
    <d v="2025-09-29T00:00:00"/>
    <x v="1"/>
    <e v="#N/A"/>
    <x v="7"/>
    <s v="DRY2500253"/>
    <s v="Denmark"/>
    <s v="CPFNW"/>
    <s v="CPF DENMARK"/>
    <s v="Wonton ND+V+TY"/>
    <s v="Cooked Wonton"/>
    <s v="Cooked Wonton ND No Egg with Pumpkin _x000a_+ Vegetable  HC  3 pcs tomyam"/>
    <s v="082SJKW08003P00001"/>
    <s v="309g*8"/>
    <n v="8"/>
    <n v="3"/>
    <n v="7.4999999999999997E-3"/>
    <x v="1"/>
    <s v="Salt"/>
    <s v="TYANSSG+CM"/>
    <n v="3500"/>
    <m/>
    <n v="3500"/>
    <n v="0"/>
    <n v="0"/>
    <n v="0"/>
    <n v="3.85E-2"/>
    <n v="0"/>
    <s v="ต้มยำสูตรลดเผ็ดลง 10 %"/>
    <n v="0"/>
    <n v="0"/>
  </r>
  <r>
    <x v="578"/>
    <d v="2025-09-06T00:00:00"/>
    <x v="1"/>
    <e v="#N/A"/>
    <x v="7"/>
    <s v="KL2500028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716"/>
    <n v="716"/>
    <m/>
    <n v="0"/>
    <n v="0"/>
    <n v="0"/>
    <n v="6"/>
    <n v="0"/>
    <m/>
    <n v="0"/>
    <n v="0"/>
  </r>
  <r>
    <x v="578"/>
    <s v="09-2025"/>
    <x v="1"/>
    <e v="#N/A"/>
    <x v="7"/>
    <s v="ขายภายใน"/>
    <s v="MTFS"/>
    <s v="CPFGS"/>
    <s v="ซีพีเอฟ เทรดดิ้ง"/>
    <s v="Wonton ND"/>
    <s v="Cooked Wonton"/>
    <s v="บะหมี่เกี๊ยวกุ้งซุปสุกี้ CPxMK 227g  MT"/>
    <s v="082SJ3Q12003P0A001"/>
    <s v="227g*12"/>
    <n v="12"/>
    <n v="3"/>
    <n v="8.0000000000000002E-3"/>
    <x v="2"/>
    <s v="STPP"/>
    <s v="MK"/>
    <n v="250"/>
    <n v="250"/>
    <m/>
    <n v="0"/>
    <n v="0"/>
    <n v="0"/>
    <n v="0.05"/>
    <n v="0"/>
    <s v="เปลี่ยนใช้ผักกวางตุ้งแบบแช่แข็ง"/>
    <n v="0"/>
    <n v="0"/>
  </r>
  <r>
    <x v="578"/>
    <s v="09-2025"/>
    <x v="1"/>
    <e v="#N/A"/>
    <x v="7"/>
    <s v="ขายภายใน"/>
    <s v=".7-11"/>
    <s v="CPFGS"/>
    <s v="ซีพีเอฟ เทรดดิ้ง"/>
    <s v="Wonton ND"/>
    <s v="Cooked Wonton"/>
    <s v="บะหมี่เกี๊ยวกุ้งซุปสุกี้ CPxMK 227g ND Pumpkin"/>
    <s v="082SJ3Q12003P09001"/>
    <s v="227g*12"/>
    <n v="12"/>
    <n v="3"/>
    <n v="8.0000000000000002E-3"/>
    <x v="2"/>
    <s v="STPP"/>
    <s v="MK"/>
    <n v="5450"/>
    <n v="5450"/>
    <m/>
    <n v="0"/>
    <n v="0"/>
    <n v="0"/>
    <n v="0.05"/>
    <n v="0"/>
    <m/>
    <n v="0"/>
    <n v="0"/>
  </r>
  <r>
    <x v="578"/>
    <s v="10-2025"/>
    <x v="1"/>
    <e v="#N/A"/>
    <x v="7"/>
    <s v="ขายภายใน"/>
    <s v=".7-11"/>
    <s v="CPFGS"/>
    <s v="ซีพีเอฟ เทรดดิ้ง"/>
    <s v="Wonton ND"/>
    <s v="Cooked Wonton"/>
    <s v="บะหมี่เกี๊ยวกุ้งซุปสุกี้ CPxMK 227g ND Pumpkin"/>
    <s v="082SJ3Q12003P09001"/>
    <s v="227g*12"/>
    <n v="12"/>
    <n v="3"/>
    <n v="8.0000000000000002E-3"/>
    <x v="2"/>
    <s v="STPP"/>
    <s v="MK"/>
    <n v="2770"/>
    <n v="2770"/>
    <m/>
    <n v="0"/>
    <n v="0"/>
    <n v="0"/>
    <n v="0.05"/>
    <n v="0"/>
    <m/>
    <n v="0"/>
    <n v="0"/>
  </r>
  <r>
    <x v="579"/>
    <m/>
    <x v="1"/>
    <e v="#N/A"/>
    <x v="7"/>
    <m/>
    <m/>
    <m/>
    <m/>
    <m/>
    <m/>
    <m/>
    <m/>
    <m/>
    <m/>
    <m/>
    <m/>
    <x v="0"/>
    <m/>
    <m/>
    <m/>
    <m/>
    <m/>
    <m/>
    <m/>
    <n v="0"/>
    <m/>
    <m/>
    <m/>
    <m/>
    <m/>
  </r>
  <r>
    <x v="580"/>
    <d v="2025-09-06T00:00:00"/>
    <x v="1"/>
    <e v="#N/A"/>
    <x v="8"/>
    <s v="KL2500028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692"/>
    <m/>
    <n v="692"/>
    <n v="0"/>
    <n v="0"/>
    <n v="0"/>
    <n v="6"/>
    <n v="0"/>
    <m/>
    <n v="0"/>
    <n v="0"/>
  </r>
  <r>
    <x v="580"/>
    <d v="2025-09-08T00:00:00"/>
    <x v="1"/>
    <e v="#N/A"/>
    <x v="8"/>
    <s v="DRY2500285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1400"/>
    <m/>
    <n v="1400"/>
    <n v="0"/>
    <n v="0"/>
    <n v="0"/>
    <n v="7.4999999999999997E-3"/>
    <n v="0"/>
    <m/>
    <n v="0"/>
    <n v="0"/>
  </r>
  <r>
    <x v="580"/>
    <d v="2025-09-12T00:00:00"/>
    <x v="1"/>
    <e v="#N/A"/>
    <x v="8"/>
    <s v="DRY2500286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1400"/>
    <m/>
    <n v="1400"/>
    <n v="0"/>
    <n v="0"/>
    <n v="0"/>
    <n v="7.4999999999999997E-3"/>
    <n v="0"/>
    <m/>
    <n v="0"/>
    <n v="0"/>
  </r>
  <r>
    <x v="580"/>
    <d v="2025-09-27T00:00:00"/>
    <x v="1"/>
    <e v="#N/A"/>
    <x v="8"/>
    <s v="DRY2500245"/>
    <s v="Malay"/>
    <s v="CPFNW"/>
    <s v="CPM Malaysia"/>
    <s v="Wonton"/>
    <s v="Cooked Wonton"/>
    <s v="Cooked Wonton No Egg  "/>
    <s v="082S85I24005P01001"/>
    <s v="145g*24"/>
    <n v="24"/>
    <n v="5"/>
    <n v="8.0000000000000002E-3"/>
    <x v="1"/>
    <s v="STPP"/>
    <s v="Regular"/>
    <n v="600"/>
    <n v="600"/>
    <m/>
    <n v="0"/>
    <n v="0"/>
    <n v="0"/>
    <n v="7.4999999999999997E-3"/>
    <n v="0"/>
    <m/>
    <n v="0"/>
    <n v="0"/>
  </r>
  <r>
    <x v="580"/>
    <s v="09-2025"/>
    <x v="1"/>
    <e v="#N/A"/>
    <x v="8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2044"/>
    <n v="2044"/>
    <m/>
    <n v="0"/>
    <n v="0"/>
    <n v="0"/>
    <n v="7.4999999999999997E-3"/>
    <n v="0"/>
    <m/>
    <n v="0"/>
    <n v="0"/>
  </r>
  <r>
    <x v="581"/>
    <s v="09-2025"/>
    <x v="1"/>
    <e v="#N/A"/>
    <x v="8"/>
    <s v="ขายภายใน"/>
    <s v="ขายภายใน"/>
    <s v="CPFGS"/>
    <s v="ซีพีเอฟ เทรดดิ้ง"/>
    <s v="R-Wonton egg past"/>
    <s v="Raw Wonton"/>
    <s v="Raw Wonton 50 pcs OISHI"/>
    <s v="082S01508600G01001"/>
    <s v="600g.*8 packs"/>
    <n v="8"/>
    <n v="50"/>
    <n v="8.1300000000000001E-3"/>
    <x v="1"/>
    <s v="STPP"/>
    <m/>
    <n v="200"/>
    <n v="200"/>
    <m/>
    <n v="0"/>
    <n v="0"/>
    <n v="0"/>
    <m/>
    <n v="0"/>
    <m/>
    <n v="0"/>
    <n v="0"/>
  </r>
  <r>
    <x v="581"/>
    <d v="2025-09-27T00:00:00"/>
    <x v="1"/>
    <e v="#N/A"/>
    <x v="8"/>
    <s v="DRY2500245"/>
    <s v="Malay"/>
    <s v="CPFNW"/>
    <s v="CPM Malaysia"/>
    <s v="R-Wonton egg past"/>
    <s v="Raw Wonton"/>
    <s v="Raw Wonton 12 pcs"/>
    <s v="082I95I20012P02001"/>
    <s v="154g*20inner"/>
    <n v="20"/>
    <n v="12"/>
    <n v="6.8100000000000001E-3"/>
    <x v="3"/>
    <s v="STPP"/>
    <s v="ซุปซอง 5g."/>
    <n v="350"/>
    <n v="36"/>
    <n v="314"/>
    <n v="0"/>
    <n v="0"/>
    <n v="0"/>
    <n v="2"/>
    <n v="0"/>
    <m/>
    <n v="0"/>
    <n v="0"/>
  </r>
  <r>
    <x v="581"/>
    <d v="2025-09-09T00:00:00"/>
    <x v="1"/>
    <e v="#N/A"/>
    <x v="8"/>
    <s v="DRY2500196"/>
    <s v="SG"/>
    <s v="CPFNW"/>
    <s v="CPI SINGAPORE"/>
    <s v="R-Minced egg past"/>
    <s v="Raw Wonton"/>
    <s v="Raw Minced Wonton 8 pcs"/>
    <s v="082ID3B18008P00001"/>
    <s v="90g*18in"/>
    <n v="18"/>
    <n v="8"/>
    <n v="6.1999999999999998E-3"/>
    <x v="4"/>
    <s v="STPP"/>
    <s v="ซุปซอง 5g."/>
    <n v="600"/>
    <n v="600"/>
    <m/>
    <n v="0"/>
    <n v="0"/>
    <n v="0"/>
    <n v="2"/>
    <n v="0"/>
    <m/>
    <n v="0"/>
    <n v="0"/>
  </r>
  <r>
    <x v="581"/>
    <d v="2025-09-27T00:00:00"/>
    <x v="1"/>
    <e v="#N/A"/>
    <x v="8"/>
    <s v="DRY2500245"/>
    <s v="Malay"/>
    <s v="CPFNW"/>
    <s v="CPM Malaysia"/>
    <s v="Wonton+TY"/>
    <s v="Cooked Wonton"/>
    <s v="Cooked Wonton No Egg  Tomyum"/>
    <s v="082S85I24005P02001"/>
    <s v="115g*24"/>
    <n v="24"/>
    <n v="5"/>
    <n v="8.0000000000000002E-3"/>
    <x v="1"/>
    <s v="STPP"/>
    <s v="TYTB3C 30G"/>
    <n v="1150"/>
    <n v="1150"/>
    <m/>
    <n v="0"/>
    <n v="0"/>
    <n v="0"/>
    <n v="1"/>
    <n v="0"/>
    <m/>
    <n v="0"/>
    <n v="0"/>
  </r>
  <r>
    <x v="581"/>
    <d v="2025-09-08T00:00:00"/>
    <x v="1"/>
    <e v="#N/A"/>
    <x v="8"/>
    <s v="DRY2500285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2400"/>
    <m/>
    <n v="2400"/>
    <n v="0"/>
    <n v="0"/>
    <n v="0"/>
    <n v="7.4999999999999997E-3"/>
    <n v="0"/>
    <m/>
    <n v="0"/>
    <n v="0"/>
  </r>
  <r>
    <x v="581"/>
    <d v="2025-09-12T00:00:00"/>
    <x v="1"/>
    <e v="#N/A"/>
    <x v="8"/>
    <s v="DRY2500286"/>
    <s v="USA"/>
    <s v="CPFNW"/>
    <s v="Bellisio Foods, Inc."/>
    <s v="Minced ND"/>
    <s v="Cooked Wonton"/>
    <s v="Cooked Minced Wonton Noodle No Egg"/>
    <s v="082SRBW08005P00001"/>
    <s v="258g*8"/>
    <n v="8"/>
    <n v="5"/>
    <n v="6.0000000000000001E-3"/>
    <x v="4"/>
    <s v="Salt"/>
    <s v="Regular"/>
    <n v="2400"/>
    <m/>
    <n v="2515.75"/>
    <n v="115.75"/>
    <n v="0"/>
    <n v="0"/>
    <n v="7.4999999999999997E-3"/>
    <n v="0"/>
    <m/>
    <n v="0"/>
    <n v="0"/>
  </r>
  <r>
    <x v="582"/>
    <d v="2025-09-09T00:00:00"/>
    <x v="1"/>
    <e v="#N/A"/>
    <x v="8"/>
    <s v="DRY2500196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1000"/>
    <n v="1000"/>
    <m/>
    <n v="0"/>
    <n v="0"/>
    <n v="0"/>
    <n v="2"/>
    <n v="0"/>
    <s v="ห่อแบบสุก"/>
    <n v="0"/>
    <n v="0"/>
  </r>
  <r>
    <x v="582"/>
    <d v="2025-09-09T00:00:00"/>
    <x v="1"/>
    <e v="#N/A"/>
    <x v="8"/>
    <s v="DRY2500267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230"/>
    <n v="230"/>
    <m/>
    <n v="0"/>
    <n v="0"/>
    <n v="0"/>
    <n v="2"/>
    <n v="0"/>
    <s v="ห่อแบบสุก"/>
    <n v="0"/>
    <n v="0"/>
  </r>
  <r>
    <x v="582"/>
    <s v="09-2025"/>
    <x v="1"/>
    <e v="#N/A"/>
    <x v="8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977"/>
    <n v="1977"/>
    <m/>
    <n v="0"/>
    <n v="0"/>
    <n v="0"/>
    <n v="7.4999999999999997E-3"/>
    <n v="0"/>
    <m/>
    <n v="0"/>
    <n v="0"/>
  </r>
  <r>
    <x v="582"/>
    <d v="2025-09-11T00:00:00"/>
    <x v="1"/>
    <e v="#N/A"/>
    <x v="8"/>
    <s v="DRY2500222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68"/>
    <n v="20.333333333333332"/>
    <n v="0.33333333333325754"/>
    <n v="0"/>
    <n v="0"/>
    <n v="7.4999999999999997E-3"/>
    <n v="0"/>
    <m/>
    <n v="0"/>
    <n v="0"/>
  </r>
  <r>
    <x v="583"/>
    <d v="2025-09-09T00:00:00"/>
    <x v="1"/>
    <e v="#N/A"/>
    <x v="8"/>
    <s v="DRY2500267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170"/>
    <n v="170"/>
    <m/>
    <n v="0"/>
    <n v="0"/>
    <n v="0"/>
    <n v="2"/>
    <n v="0"/>
    <s v="ห่อแบบสุก"/>
    <n v="0"/>
    <n v="0"/>
  </r>
  <r>
    <x v="583"/>
    <d v="2025-09-09T00:00:00"/>
    <x v="1"/>
    <e v="#N/A"/>
    <x v="8"/>
    <s v="DRY2500271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992"/>
    <n v="992"/>
    <m/>
    <n v="0"/>
    <n v="0"/>
    <n v="0"/>
    <n v="2"/>
    <n v="0"/>
    <s v="ห่อแบบสุก"/>
    <n v="0"/>
    <n v="0"/>
  </r>
  <r>
    <x v="583"/>
    <d v="2025-09-11T00:00:00"/>
    <x v="1"/>
    <e v="#N/A"/>
    <x v="8"/>
    <s v="DRY2500159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675"/>
    <n v="675"/>
    <m/>
    <n v="0"/>
    <n v="0"/>
    <n v="0"/>
    <n v="9.7000000000000003E-3"/>
    <n v="0"/>
    <m/>
    <n v="0"/>
    <n v="0"/>
  </r>
  <r>
    <x v="583"/>
    <m/>
    <x v="1"/>
    <e v="#N/A"/>
    <x v="8"/>
    <s v="DRY2500144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117"/>
    <n v="117"/>
    <m/>
    <n v="0"/>
    <n v="0"/>
    <n v="0"/>
    <n v="9.7000000000000003E-3"/>
    <n v="0"/>
    <m/>
    <n v="0"/>
    <n v="0"/>
  </r>
  <r>
    <x v="583"/>
    <d v="2025-10-02T00:00:00"/>
    <x v="1"/>
    <e v="#N/A"/>
    <x v="8"/>
    <s v="DRY2500299"/>
    <s v="New Zealand"/>
    <s v="CPFNW"/>
    <s v="Lim Brothers"/>
    <s v="Wonton ND+V"/>
    <s v="Cooked Wonton"/>
    <s v="Cooked Wonton ND No Egg with Pumpkin_x000a_+ Yu Choy "/>
    <s v="082SJN708004P00001"/>
    <s v="305g*8"/>
    <n v="8"/>
    <n v="4"/>
    <n v="7.4999999999999997E-3"/>
    <x v="5"/>
    <s v="Salt"/>
    <s v="Regular"/>
    <n v="646"/>
    <m/>
    <n v="685.375"/>
    <n v="39.375"/>
    <n v="0"/>
    <n v="0"/>
    <n v="7.4999999999999997E-3"/>
    <n v="0"/>
    <m/>
    <n v="0"/>
    <n v="0"/>
  </r>
  <r>
    <x v="583"/>
    <d v="2025-10-28T00:00:00"/>
    <x v="1"/>
    <e v="#N/A"/>
    <x v="8"/>
    <s v="DRY2500199"/>
    <s v="Belgium"/>
    <s v="CPFNW"/>
    <s v="CPF EUROPE S.A."/>
    <s v="Wonton ND+V"/>
    <s v="Cooked Wonton"/>
    <s v="Cooked Wonton ND No Egg with Pumpkin _x000a_+ Vegetable  HC  3 pcs"/>
    <s v="082SJ3I08003P00001"/>
    <s v="309g*8"/>
    <n v="8"/>
    <n v="3"/>
    <n v="7.4999999999999997E-3"/>
    <x v="5"/>
    <s v="Salt"/>
    <s v="Regular"/>
    <n v="600"/>
    <m/>
    <n v="618.75"/>
    <n v="18.75"/>
    <n v="0"/>
    <n v="0"/>
    <n v="7.4999999999999997E-3"/>
    <n v="0"/>
    <m/>
    <n v="0"/>
    <n v="0"/>
  </r>
  <r>
    <x v="583"/>
    <d v="2025-09-19T00:00:00"/>
    <x v="1"/>
    <e v="#N/A"/>
    <x v="8"/>
    <s v="DRY2500283"/>
    <s v="New Zealand"/>
    <s v="CPFNW"/>
    <s v="Lim Brothers"/>
    <s v="Wonton ND+V+TY"/>
    <s v="Cooked Wonton"/>
    <s v="Cooked Wonton ND No Egg with Pumpkin _x000a_+ Vegetable 5 pcs tomyam"/>
    <s v="082SJN724005P00001"/>
    <s v="307g*4c*6in"/>
    <n v="24"/>
    <n v="5"/>
    <n v="7.4999999999999997E-3"/>
    <x v="1"/>
    <s v="Salt"/>
    <s v="TYEXSG+CO"/>
    <n v="390"/>
    <n v="321"/>
    <n v="69"/>
    <n v="0"/>
    <n v="0"/>
    <n v="0"/>
    <n v="3.8699999999999998E-2"/>
    <n v="0"/>
    <s v="Stock Aus192 ถ้วย"/>
    <m/>
    <m/>
  </r>
  <r>
    <x v="583"/>
    <d v="2025-10-02T00:00:00"/>
    <x v="1"/>
    <e v="#N/A"/>
    <x v="8"/>
    <s v="DRY2500299"/>
    <s v="New Zealand"/>
    <s v="CPFNW"/>
    <s v="Lim Brothers"/>
    <s v="Minced ND+V+TY"/>
    <s v="Cooked Wonton"/>
    <s v="Cooked Minced  ND No Egg with Pumpkin_x000a_+ Yu Choy Tomyum"/>
    <s v="082SRN708003P00001"/>
    <s v="302g*8"/>
    <n v="8"/>
    <n v="3"/>
    <n v="6.0000000000000001E-3"/>
    <x v="4"/>
    <s v="Salt"/>
    <s v="TYEXSG+CO"/>
    <n v="324"/>
    <m/>
    <n v="324"/>
    <n v="0"/>
    <n v="0"/>
    <n v="0"/>
    <n v="3.8699999999999998E-2"/>
    <n v="0"/>
    <s v="104 ถ้วย เอา Germany มา"/>
    <n v="0"/>
    <n v="0"/>
  </r>
  <r>
    <x v="583"/>
    <d v="2025-09-30T00:00:00"/>
    <x v="1"/>
    <e v="#N/A"/>
    <x v="8"/>
    <s v="DRY2500237"/>
    <s v="UK"/>
    <s v="CPFNW"/>
    <s v="Westbridge Foods Limited"/>
    <s v="Minced ND+V+TY"/>
    <s v="Cooked Wonton"/>
    <s v="Cooked Minced Wonton Noodles Yu Choy Tomyum"/>
    <s v="082SRWE24005P01001"/>
    <s v="258g*4c*6in"/>
    <n v="24"/>
    <n v="5"/>
    <n v="6.0000000000000001E-3"/>
    <x v="4"/>
    <s v="Salt"/>
    <s v="TYEXSG+CO"/>
    <n v="588"/>
    <n v="582"/>
    <n v="8.5416666666666661"/>
    <n v="2.5416666666666288"/>
    <n v="0"/>
    <n v="0"/>
    <n v="3.8699999999999998E-2"/>
    <n v="0"/>
    <s v="Ireland"/>
    <n v="0"/>
    <n v="0"/>
  </r>
  <r>
    <x v="584"/>
    <d v="2025-09-09T00:00:00"/>
    <x v="1"/>
    <e v="#N/A"/>
    <x v="8"/>
    <s v="DRY2500271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308"/>
    <n v="308"/>
    <m/>
    <n v="0"/>
    <n v="0"/>
    <n v="0"/>
    <n v="2"/>
    <n v="0"/>
    <s v="ห่อแบบสุก"/>
    <n v="0"/>
    <n v="0"/>
  </r>
  <r>
    <x v="584"/>
    <d v="2025-09-09T00:00:00"/>
    <x v="1"/>
    <e v="#N/A"/>
    <x v="8"/>
    <s v="DRY2500267"/>
    <s v="SG"/>
    <s v="CPFNW"/>
    <s v="CPI SINGAPORE"/>
    <s v="R-Wonton egg past"/>
    <s v="Raw Wonton"/>
    <s v="Raw Wonton 12 pcs with sesame"/>
    <s v="082I93B20012P02001"/>
    <s v="204g*20in"/>
    <n v="20"/>
    <n v="12"/>
    <n v="6.8100000000000001E-3"/>
    <x v="3"/>
    <s v="STPP"/>
    <s v=" sesame 30g"/>
    <n v="800"/>
    <n v="793"/>
    <n v="7"/>
    <n v="0"/>
    <n v="0"/>
    <n v="0"/>
    <n v="2"/>
    <n v="0"/>
    <s v="ห่อแบบดิบ"/>
    <m/>
    <m/>
  </r>
  <r>
    <x v="584"/>
    <d v="2025-09-18T00:00:00"/>
    <x v="1"/>
    <e v="#N/A"/>
    <x v="8"/>
    <s v="DRY2500246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584"/>
    <d v="2025-09-18T00:00:00"/>
    <x v="1"/>
    <e v="#N/A"/>
    <x v="8"/>
    <s v="DRY2500247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584"/>
    <d v="2025-09-22T00:00:00"/>
    <x v="1"/>
    <e v="#N/A"/>
    <x v="8"/>
    <s v="DRY2500249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53"/>
    <n v="753"/>
    <m/>
    <n v="0"/>
    <n v="0"/>
    <n v="0"/>
    <n v="7.4999999999999997E-3"/>
    <n v="0"/>
    <m/>
    <n v="0"/>
    <n v="0"/>
  </r>
  <r>
    <x v="585"/>
    <d v="2025-09-20T00:00:00"/>
    <x v="1"/>
    <e v="#N/A"/>
    <x v="8"/>
    <s v="KL2500024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697"/>
    <n v="691"/>
    <n v="6"/>
    <n v="0"/>
    <n v="0"/>
    <n v="0"/>
    <n v="6"/>
    <n v="0"/>
    <m/>
    <n v="0"/>
    <n v="0"/>
  </r>
  <r>
    <x v="585"/>
    <d v="2025-09-22T00:00:00"/>
    <x v="1"/>
    <e v="#N/A"/>
    <x v="8"/>
    <s v="DRY2500305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n v="0"/>
    <n v="7.4999999999999997E-3"/>
    <n v="0"/>
    <s v="new package (ลบโลโก้ Facebook)"/>
    <n v="0"/>
    <n v="0"/>
  </r>
  <r>
    <x v="585"/>
    <s v="09-2025"/>
    <x v="1"/>
    <e v="#N/A"/>
    <x v="8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515"/>
    <n v="1515"/>
    <m/>
    <n v="0"/>
    <n v="0"/>
    <n v="0"/>
    <n v="7.4999999999999997E-3"/>
    <n v="0"/>
    <m/>
    <n v="0"/>
    <n v="0"/>
  </r>
  <r>
    <x v="585"/>
    <d v="2025-09-12T00:00:00"/>
    <x v="1"/>
    <e v="#N/A"/>
    <x v="8"/>
    <s v="LA021/2568"/>
    <s v="Laos"/>
    <s v="Laos"/>
    <s v="บริษัท ปิก้าเทรดดิ้ง จำกัด"/>
    <s v="E+Wonton"/>
    <s v="Cooked Wonton"/>
    <s v="เกี๊ยวกุ้งจักรพรรดิ 12x145g."/>
    <s v="082S8L212005P00001"/>
    <s v="145g*12"/>
    <n v="12"/>
    <n v="5"/>
    <n v="8.0000000000000002E-3"/>
    <x v="1"/>
    <s v="STPP"/>
    <s v="Regular"/>
    <n v="150"/>
    <n v="150"/>
    <m/>
    <n v="0"/>
    <n v="0"/>
    <n v="0"/>
    <n v="7.4999999999999997E-3"/>
    <n v="0"/>
    <s v="repack จาก กัมพูชา"/>
    <n v="0"/>
    <n v="0"/>
  </r>
  <r>
    <x v="585"/>
    <d v="2025-10-05T00:00:00"/>
    <x v="1"/>
    <e v="#N/A"/>
    <x v="8"/>
    <s v="LA021/2568"/>
    <s v="Laos"/>
    <s v="Laos"/>
    <s v="บริษัท ปิก้าเทรดดิ้ง จำกัด"/>
    <s v="E+Wonton"/>
    <s v="Cooked Wonton"/>
    <s v="เกี๊ยวกุ้งจักรพรรดิ 12x145g."/>
    <s v="082S8L212005P00001"/>
    <s v="145g*12"/>
    <n v="12"/>
    <n v="5"/>
    <n v="8.0000000000000002E-3"/>
    <x v="1"/>
    <s v="STPP"/>
    <s v="Regular"/>
    <n v="70"/>
    <n v="70"/>
    <m/>
    <n v="0"/>
    <n v="0"/>
    <n v="0"/>
    <n v="7.4999999999999997E-3"/>
    <n v="0"/>
    <s v="repack จาก กัมพูชา"/>
    <n v="0"/>
    <n v="0"/>
  </r>
  <r>
    <x v="586"/>
    <m/>
    <x v="1"/>
    <e v="#N/A"/>
    <x v="8"/>
    <m/>
    <m/>
    <m/>
    <m/>
    <m/>
    <m/>
    <m/>
    <m/>
    <m/>
    <m/>
    <m/>
    <m/>
    <x v="0"/>
    <m/>
    <m/>
    <m/>
    <m/>
    <m/>
    <m/>
    <m/>
    <n v="0"/>
    <m/>
    <m/>
    <m/>
    <m/>
    <m/>
  </r>
  <r>
    <x v="587"/>
    <d v="2025-10-01T00:00:00"/>
    <x v="1"/>
    <e v="#N/A"/>
    <x v="8"/>
    <s v="DRY2500241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n v="0"/>
    <n v="7.4999999999999997E-3"/>
    <n v="0"/>
    <s v="new package (ลบโลโก้ Facebook)"/>
    <n v="0"/>
    <n v="0"/>
  </r>
  <r>
    <x v="587"/>
    <s v="09-2025"/>
    <x v="1"/>
    <e v="#N/A"/>
    <x v="8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714"/>
    <n v="714"/>
    <m/>
    <n v="0"/>
    <n v="0"/>
    <n v="0"/>
    <n v="7.4999999999999997E-3"/>
    <n v="0"/>
    <m/>
    <n v="0"/>
    <n v="0"/>
  </r>
  <r>
    <x v="587"/>
    <s v="10-2025"/>
    <x v="1"/>
    <e v="#N/A"/>
    <x v="8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950"/>
    <n v="950"/>
    <m/>
    <n v="0"/>
    <n v="0"/>
    <n v="0"/>
    <n v="7.4999999999999997E-3"/>
    <n v="0"/>
    <m/>
    <n v="0"/>
    <n v="0"/>
  </r>
  <r>
    <x v="587"/>
    <d v="2025-09-18T00:00:00"/>
    <x v="1"/>
    <e v="#N/A"/>
    <x v="8"/>
    <s v="DRY2500223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56"/>
    <n v="1256"/>
    <m/>
    <n v="0"/>
    <n v="0"/>
    <n v="0"/>
    <n v="7.4999999999999997E-3"/>
    <n v="0"/>
    <m/>
    <n v="0"/>
    <n v="0"/>
  </r>
  <r>
    <x v="587"/>
    <d v="2025-10-28T00:00:00"/>
    <x v="1"/>
    <e v="#N/A"/>
    <x v="8"/>
    <s v="DRY2500199"/>
    <s v="Belgium"/>
    <s v="CPFNW"/>
    <s v="CPF EUROPE S.A."/>
    <s v="Wonton +V"/>
    <s v="Cooked Wonton"/>
    <s v="Cooked Wonton  No Egg _x000a_+ Vegetable  HC  4 pcs"/>
    <s v="082S83I08004P00001"/>
    <s v="145g*8"/>
    <n v="8"/>
    <n v="4"/>
    <n v="7.4999999999999997E-3"/>
    <x v="5"/>
    <s v="Salt"/>
    <s v="Regular"/>
    <n v="2400"/>
    <m/>
    <n v="2429.75"/>
    <n v="29.75"/>
    <n v="0"/>
    <n v="0"/>
    <n v="7.4999999999999997E-3"/>
    <n v="0"/>
    <m/>
    <n v="0"/>
    <n v="0"/>
  </r>
  <r>
    <x v="588"/>
    <d v="2025-09-23T00:00:00"/>
    <x v="1"/>
    <e v="#N/A"/>
    <x v="8"/>
    <s v="DRY2500256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ถ้าว,ฝา สีขาว/Halal"/>
    <n v="0"/>
    <n v="0"/>
  </r>
  <r>
    <x v="588"/>
    <d v="2025-09-30T00:00:00"/>
    <x v="1"/>
    <e v="#N/A"/>
    <x v="8"/>
    <s v="DRY2500212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64"/>
    <n v="720"/>
    <n v="544"/>
    <n v="0"/>
    <n v="0"/>
    <n v="0"/>
    <n v="7.4999999999999997E-3"/>
    <n v="0"/>
    <s v="ถ้าว,ฝา สีขาว/Halal"/>
    <n v="0"/>
    <n v="0"/>
  </r>
  <r>
    <x v="588"/>
    <d v="2025-10-01T00:00:00"/>
    <x v="1"/>
    <e v="#N/A"/>
    <x v="8"/>
    <s v="DRY2500308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5000"/>
    <m/>
    <n v="5000"/>
    <n v="0"/>
    <n v="0"/>
    <n v="0"/>
    <n v="7.4999999999999997E-3"/>
    <n v="0"/>
    <m/>
    <n v="0"/>
    <n v="0"/>
  </r>
  <r>
    <x v="589"/>
    <d v="2025-09-15T00:00:00"/>
    <x v="1"/>
    <e v="#N/A"/>
    <x v="8"/>
    <s v="DRY2500231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1650"/>
    <n v="1254"/>
    <n v="396"/>
    <n v="0"/>
    <n v="0"/>
    <n v="0"/>
    <n v="1"/>
    <n v="0"/>
    <m/>
    <n v="0"/>
    <n v="0"/>
  </r>
  <r>
    <x v="589"/>
    <d v="2025-09-15T00:00:00"/>
    <x v="1"/>
    <e v="#N/A"/>
    <x v="8"/>
    <s v="DRY2500231"/>
    <s v="HK"/>
    <s v="CPFNW"/>
    <s v="CPM Hongkong"/>
    <s v="R-Minced egg past"/>
    <s v="Raw Wonton"/>
    <s v="Raw Minced Wonton 8 pcs"/>
    <s v="082ID3G18008P00001"/>
    <s v="90g*18in"/>
    <n v="18"/>
    <n v="8"/>
    <n v="6.0000000000000001E-3"/>
    <x v="4"/>
    <s v="STPP"/>
    <s v="ซุปซอง 5g."/>
    <n v="250"/>
    <n v="250"/>
    <m/>
    <n v="0"/>
    <n v="0"/>
    <n v="0"/>
    <n v="2"/>
    <n v="0"/>
    <m/>
    <n v="0"/>
    <n v="0"/>
  </r>
  <r>
    <x v="589"/>
    <d v="2025-09-18T00:00:00"/>
    <x v="1"/>
    <e v="#N/A"/>
    <x v="8"/>
    <s v="DRY2500223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32"/>
    <n v="32"/>
    <m/>
    <n v="0"/>
    <n v="0"/>
    <n v="0"/>
    <n v="7.4999999999999997E-3"/>
    <n v="0"/>
    <m/>
    <n v="0"/>
    <n v="0"/>
  </r>
  <r>
    <x v="589"/>
    <d v="2025-09-25T00:00:00"/>
    <x v="1"/>
    <e v="#N/A"/>
    <x v="8"/>
    <s v="DRY2500224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88"/>
    <m/>
    <n v="0"/>
    <n v="0"/>
    <n v="0"/>
    <n v="7.4999999999999997E-3"/>
    <n v="0"/>
    <m/>
    <n v="0"/>
    <n v="0"/>
  </r>
  <r>
    <x v="589"/>
    <d v="2025-09-22T00:00:00"/>
    <x v="1"/>
    <e v="#N/A"/>
    <x v="8"/>
    <s v="DRY2500249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39"/>
    <n v="39"/>
    <m/>
    <n v="0"/>
    <n v="0"/>
    <n v="0"/>
    <n v="7.4999999999999997E-3"/>
    <n v="0"/>
    <m/>
    <n v="0"/>
    <n v="0"/>
  </r>
  <r>
    <x v="589"/>
    <d v="2025-09-22T00:00:00"/>
    <x v="1"/>
    <e v="#N/A"/>
    <x v="8"/>
    <s v="DRY2500262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589"/>
    <d v="2025-09-20T00:00:00"/>
    <x v="1"/>
    <e v="#N/A"/>
    <x v="8"/>
    <s v="KL2500033"/>
    <s v="China"/>
    <s v="China"/>
    <s v="Charoen Pokphand Import&amp;Export Trading (Shanghai) Co., Ltd"/>
    <s v="Wonton ND+V"/>
    <s v="Cooked Wonton"/>
    <s v="Cooked Wonton ND No Egg with Pumpkin _x000a_+ Vegetable 5 pcs tomyam"/>
    <s v="082SJ5J36005P00001"/>
    <s v="308g*6c*6in"/>
    <n v="36"/>
    <n v="5"/>
    <n v="7.4999999999999997E-3"/>
    <x v="5"/>
    <s v="Salt"/>
    <s v="Y3"/>
    <n v="320"/>
    <n v="296"/>
    <n v="24"/>
    <n v="0"/>
    <n v="0"/>
    <n v="0"/>
    <n v="9.7000000000000003E-3"/>
    <n v="0"/>
    <s v="INNERใหม่ / กล่องใหม่  รีแพ็คจาก usa กล่องจริง 5 กล่อง สำรอง 33 ถ้วย"/>
    <n v="0"/>
    <n v="0"/>
  </r>
  <r>
    <x v="590"/>
    <s v="10-2025"/>
    <x v="1"/>
    <e v="#N/A"/>
    <x v="8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700"/>
    <n v="700"/>
    <m/>
    <n v="0"/>
    <n v="0"/>
    <n v="0"/>
    <m/>
    <n v="0"/>
    <m/>
    <n v="0"/>
    <n v="0"/>
  </r>
  <r>
    <x v="590"/>
    <s v="10-2025"/>
    <x v="1"/>
    <e v="#N/A"/>
    <x v="8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500"/>
    <n v="500"/>
    <m/>
    <n v="0"/>
    <n v="0"/>
    <n v="0"/>
    <m/>
    <n v="0"/>
    <m/>
    <n v="0"/>
    <n v="0"/>
  </r>
  <r>
    <x v="590"/>
    <d v="2025-09-30T00:00:00"/>
    <x v="1"/>
    <e v="#N/A"/>
    <x v="8"/>
    <s v="DRY2500212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24"/>
    <n v="24"/>
    <m/>
    <n v="0"/>
    <n v="0"/>
    <n v="0"/>
    <n v="7.4999999999999997E-3"/>
    <n v="0"/>
    <s v="ถ้าว,ฝา สีขาว/Halal"/>
    <n v="0"/>
    <n v="0"/>
  </r>
  <r>
    <x v="590"/>
    <d v="2025-10-07T00:00:00"/>
    <x v="1"/>
    <e v="#N/A"/>
    <x v="8"/>
    <s v="DRY2500257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ถ้าว,ฝา สีขาว/Halal"/>
    <n v="0"/>
    <n v="0"/>
  </r>
  <r>
    <x v="590"/>
    <s v="10-2025"/>
    <x v="1"/>
    <e v="#N/A"/>
    <x v="8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852"/>
    <n v="1852"/>
    <m/>
    <n v="0"/>
    <n v="0"/>
    <n v="0"/>
    <n v="7.4999999999999997E-3"/>
    <n v="0"/>
    <m/>
    <n v="0"/>
    <n v="0"/>
  </r>
  <r>
    <x v="591"/>
    <d v="2025-09-20T00:00:00"/>
    <x v="1"/>
    <e v="#N/A"/>
    <x v="8"/>
    <s v="KL2500024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711"/>
    <n v="711"/>
    <m/>
    <n v="0"/>
    <n v="0"/>
    <n v="0"/>
    <n v="6"/>
    <n v="0"/>
    <m/>
    <n v="0"/>
    <n v="0"/>
  </r>
  <r>
    <x v="591"/>
    <s v="10-2025"/>
    <x v="1"/>
    <e v="#N/A"/>
    <x v="8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2259"/>
    <n v="2259"/>
    <m/>
    <n v="0"/>
    <n v="0"/>
    <n v="0"/>
    <n v="7.4999999999999997E-3"/>
    <n v="0"/>
    <m/>
    <n v="0"/>
    <n v="0"/>
  </r>
  <r>
    <x v="591"/>
    <d v="2025-09-22T00:00:00"/>
    <x v="1"/>
    <e v="#N/A"/>
    <x v="8"/>
    <s v="DRY2500263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592"/>
    <d v="2025-09-20T00:00:00"/>
    <x v="1"/>
    <e v="#N/A"/>
    <x v="8"/>
    <s v="KL2500029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750"/>
    <n v="750"/>
    <m/>
    <n v="0"/>
    <n v="0"/>
    <n v="0"/>
    <n v="6"/>
    <n v="0"/>
    <m/>
    <n v="0"/>
    <n v="0"/>
  </r>
  <r>
    <x v="592"/>
    <d v="2025-10-06T00:00:00"/>
    <x v="1"/>
    <e v="#N/A"/>
    <x v="8"/>
    <s v="DRY2500264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592"/>
    <d v="2025-10-06T00:00:00"/>
    <x v="1"/>
    <e v="#N/A"/>
    <x v="8"/>
    <s v="DRY2500265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592"/>
    <d v="2025-10-06T00:00:00"/>
    <x v="1"/>
    <e v="#N/A"/>
    <x v="8"/>
    <s v="DRY2500266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592"/>
    <d v="2025-09-15T00:00:00"/>
    <x v="1"/>
    <e v="#N/A"/>
    <x v="8"/>
    <s v="LA022/2568"/>
    <s v="Laos"/>
    <s v="Laos"/>
    <s v="บริษัท ปิก้าเทรดดิ้ง จำกัด"/>
    <s v="E+Wonton+หมาล่า"/>
    <s v="Cooked Wonton"/>
    <s v="เกี๊ยวกุ้งจักรพรรดิซุปหมาล่า (ตรา ซีพี)_7E"/>
    <s v="082S81A24005P0B001"/>
    <s v="143g*24"/>
    <n v="24"/>
    <n v="5"/>
    <n v="6.1999999999999998E-3"/>
    <x v="2"/>
    <s v="STPP"/>
    <s v="หมาล่า"/>
    <n v="120"/>
    <m/>
    <n v="120"/>
    <n v="0"/>
    <n v="0"/>
    <n v="0"/>
    <n v="1.2999999999999999E-2"/>
    <n v="0"/>
    <s v="repack จาก กัมพูชา ติด stk ก้นถ้วย (stk เข้า 12/9)"/>
    <n v="0"/>
    <n v="0"/>
  </r>
  <r>
    <x v="593"/>
    <m/>
    <x v="1"/>
    <e v="#N/A"/>
    <x v="8"/>
    <m/>
    <m/>
    <m/>
    <m/>
    <m/>
    <m/>
    <m/>
    <m/>
    <m/>
    <m/>
    <m/>
    <m/>
    <x v="0"/>
    <m/>
    <m/>
    <m/>
    <m/>
    <m/>
    <m/>
    <m/>
    <n v="0"/>
    <m/>
    <m/>
    <m/>
    <m/>
    <m/>
  </r>
  <r>
    <x v="594"/>
    <d v="2025-09-20T00:00:00"/>
    <x v="1"/>
    <e v="#N/A"/>
    <x v="8"/>
    <s v="KL2500029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658"/>
    <n v="428"/>
    <n v="230"/>
    <n v="0"/>
    <n v="0"/>
    <n v="0"/>
    <n v="6"/>
    <n v="0"/>
    <m/>
    <n v="0"/>
    <n v="0"/>
  </r>
  <r>
    <x v="595"/>
    <s v="10-2025"/>
    <x v="1"/>
    <e v="#N/A"/>
    <x v="8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954"/>
    <n v="954"/>
    <m/>
    <n v="0"/>
    <n v="0"/>
    <n v="0"/>
    <n v="7.4999999999999997E-3"/>
    <n v="0"/>
    <m/>
    <n v="0"/>
    <n v="0"/>
  </r>
  <r>
    <x v="595"/>
    <d v="2025-10-25T00:00:00"/>
    <x v="1"/>
    <e v="#N/A"/>
    <x v="8"/>
    <s v="DRY2500254"/>
    <s v="Korea"/>
    <s v="CPFNW"/>
    <s v="Emart"/>
    <s v="Minced ND+V+TK"/>
    <s v="Cooked Wonton"/>
    <s v="Cooked Minced  ND No Egg with Pumpkin_x000a_+ Yu Choy Tomkha"/>
    <s v="082SREJ36003P00001"/>
    <s v="302g*6c*6in"/>
    <n v="36"/>
    <n v="3"/>
    <n v="6.0000000000000001E-3"/>
    <x v="4"/>
    <s v="Salt"/>
    <s v="Tomkha1+CM"/>
    <n v="792"/>
    <n v="792"/>
    <m/>
    <n v="0"/>
    <n v="0"/>
    <n v="0"/>
    <n v="5.8823E-2"/>
    <n v="0"/>
    <m/>
    <n v="0"/>
    <n v="0"/>
  </r>
  <r>
    <x v="595"/>
    <d v="2025-09-30T00:00:00"/>
    <x v="1"/>
    <e v="#N/A"/>
    <x v="8"/>
    <s v="DRY2500237"/>
    <s v="UK"/>
    <s v="CPFNW"/>
    <s v="Westbridge Foods Limited"/>
    <s v="Minced ND+V+TK"/>
    <s v="Cooked Wonton"/>
    <s v="Cooked Minced Wonton Noodles Yu Choy Tomkha"/>
    <s v="082SRWE24005P02001"/>
    <s v="258g*4c*6in"/>
    <n v="24"/>
    <n v="5"/>
    <n v="6.0000000000000001E-3"/>
    <x v="4"/>
    <s v="Salt"/>
    <s v="Tomkha1+CM"/>
    <n v="588"/>
    <m/>
    <n v="614.79166666666663"/>
    <n v="26.791666666666629"/>
    <n v="0"/>
    <n v="0"/>
    <n v="5.8823E-2"/>
    <n v="0"/>
    <s v="ถ้าว,ฝา สีขาว"/>
    <n v="0"/>
    <n v="0"/>
  </r>
  <r>
    <x v="595"/>
    <d v="2025-10-02T00:00:00"/>
    <x v="1"/>
    <e v="#N/A"/>
    <x v="8"/>
    <s v="DRY2500299"/>
    <s v="New Zealand"/>
    <s v="CPFNW"/>
    <s v="Lim Brothers"/>
    <s v="Minced ND+V+TK"/>
    <s v="Cooked Wonton"/>
    <s v="Cooked Minced  ND No Egg with Pumpkin_x000a_+ Yu Choy Tomkha"/>
    <s v="082SRN708003P01001"/>
    <s v="302g*8"/>
    <n v="8"/>
    <n v="3"/>
    <n v="6.0000000000000001E-3"/>
    <x v="4"/>
    <s v="Salt"/>
    <s v="Tomkha+CM"/>
    <n v="486"/>
    <m/>
    <n v="486"/>
    <n v="0"/>
    <n v="0"/>
    <n v="0"/>
    <n v="5.8823E-2"/>
    <n v="0"/>
    <s v="stock Aus 678 cup /  Denmark 1678 cup"/>
    <n v="0"/>
    <n v="0"/>
  </r>
  <r>
    <x v="595"/>
    <d v="2025-11-01T00:00:00"/>
    <x v="1"/>
    <e v="#N/A"/>
    <x v="8"/>
    <s v="DRY2500309"/>
    <s v="New Zealand"/>
    <s v="CPFNW"/>
    <s v="Lim Brothers"/>
    <s v="Minced ND+V+TK"/>
    <s v="Cooked Wonton"/>
    <s v="Cooked Minced  ND No Egg with Pumpkin_x000a_+ Yu Choy Tomkha"/>
    <s v="082SRN708003P01001"/>
    <s v="302g*8"/>
    <n v="8"/>
    <n v="3"/>
    <n v="6.0000000000000001E-3"/>
    <x v="4"/>
    <s v="Salt"/>
    <s v="Tomkha+CM"/>
    <n v="865"/>
    <m/>
    <n v="865"/>
    <n v="0"/>
    <n v="0"/>
    <n v="0"/>
    <n v="5.8823E-2"/>
    <n v="0"/>
    <s v="stock Denmark 740 cup"/>
    <n v="0"/>
    <n v="0"/>
  </r>
  <r>
    <x v="596"/>
    <s v="10-2025"/>
    <x v="1"/>
    <e v="#N/A"/>
    <x v="8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3439"/>
    <n v="3439"/>
    <m/>
    <n v="0"/>
    <n v="0"/>
    <n v="0"/>
    <n v="7.4999999999999997E-3"/>
    <n v="0"/>
    <m/>
    <n v="0"/>
    <n v="0"/>
  </r>
  <r>
    <x v="597"/>
    <s v="10-2025"/>
    <x v="1"/>
    <e v="#N/A"/>
    <x v="8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150"/>
    <n v="150"/>
    <m/>
    <n v="0"/>
    <n v="0"/>
    <n v="0"/>
    <n v="7.4999999999999997E-3"/>
    <n v="0"/>
    <m/>
    <n v="0"/>
    <n v="0"/>
  </r>
  <r>
    <x v="597"/>
    <s v="10-2025"/>
    <x v="1"/>
    <e v="#N/A"/>
    <x v="8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800"/>
    <n v="800"/>
    <m/>
    <n v="0"/>
    <n v="0"/>
    <n v="0"/>
    <n v="7.4999999999999997E-3"/>
    <n v="0"/>
    <m/>
    <n v="0"/>
    <n v="0"/>
  </r>
  <r>
    <x v="597"/>
    <s v="10-2025"/>
    <x v="1"/>
    <e v="#N/A"/>
    <x v="8"/>
    <s v="ขายภายใน"/>
    <s v="MTFS"/>
    <s v="CPFGS"/>
    <s v="ซีพีเอฟ เทรดดิ้ง"/>
    <s v="E+Wonton"/>
    <s v="Cooked Wonton"/>
    <s v="Cooked Wonton  with egg V-Food"/>
    <s v="082S83Q12005P05000"/>
    <s v="145g*12"/>
    <n v="12"/>
    <n v="5"/>
    <n v="8.0000000000000002E-3"/>
    <x v="1"/>
    <s v="STPP"/>
    <s v="Regular"/>
    <n v="12"/>
    <n v="12"/>
    <m/>
    <n v="0"/>
    <n v="0"/>
    <n v="0"/>
    <n v="7.4999999999999997E-3"/>
    <n v="0"/>
    <m/>
    <n v="0"/>
    <n v="0"/>
  </r>
  <r>
    <x v="597"/>
    <d v="2025-10-05T00:00:00"/>
    <x v="1"/>
    <e v="#N/A"/>
    <x v="8"/>
    <s v="LA021/2568"/>
    <s v="Laos"/>
    <s v="Laos"/>
    <s v="บริษัท ปิก้าเทรดดิ้ง จำกัด"/>
    <s v="E+Wonton"/>
    <s v="Cooked Wonton"/>
    <s v="เกี๊ยวกุ้งจักรพรรดิ 12x145g."/>
    <s v="082S8L212005P00001"/>
    <s v="145g*12"/>
    <n v="12"/>
    <n v="5"/>
    <n v="8.0000000000000002E-3"/>
    <x v="1"/>
    <s v="STPP"/>
    <s v="Regular"/>
    <n v="80"/>
    <n v="80"/>
    <m/>
    <n v="0"/>
    <n v="0"/>
    <n v="0"/>
    <n v="7.4999999999999997E-3"/>
    <n v="0"/>
    <m/>
    <n v="0"/>
    <n v="0"/>
  </r>
  <r>
    <x v="597"/>
    <s v="10-2025"/>
    <x v="1"/>
    <e v="#N/A"/>
    <x v="8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1"/>
    <s v="145g*12"/>
    <n v="12"/>
    <n v="5"/>
    <n v="8.0000000000000002E-3"/>
    <x v="1"/>
    <s v="STPP"/>
    <s v="Regular"/>
    <n v="1250"/>
    <n v="1250"/>
    <m/>
    <n v="0"/>
    <n v="0"/>
    <n v="0"/>
    <n v="7.4999999999999997E-3"/>
    <n v="0"/>
    <m/>
    <n v="0"/>
    <n v="0"/>
  </r>
  <r>
    <x v="597"/>
    <s v="10-2025"/>
    <x v="1"/>
    <e v="#N/A"/>
    <x v="8"/>
    <s v="ขายภายใน"/>
    <s v="MTFS"/>
    <s v="CPFGS"/>
    <s v="ซีพีเอฟ เทรดดิ้ง"/>
    <s v="E+Wonton TY"/>
    <s v="Cooked Wonton"/>
    <s v="เกี๊ยวกุ้งรสต้มยำ ตราซีพี 12x115 กรัม"/>
    <s v="082S83Q12005P04001"/>
    <s v="115g*12"/>
    <n v="12"/>
    <n v="5"/>
    <n v="8.0000000000000002E-3"/>
    <x v="1"/>
    <s v="STPP"/>
    <s v="TYTB3C 30G"/>
    <n v="400"/>
    <n v="400"/>
    <m/>
    <n v="0"/>
    <n v="0"/>
    <n v="0"/>
    <n v="1"/>
    <n v="0"/>
    <m/>
    <n v="0"/>
    <n v="0"/>
  </r>
  <r>
    <x v="597"/>
    <s v="10-2025"/>
    <x v="1"/>
    <e v="#N/A"/>
    <x v="8"/>
    <s v="ขายภายใน"/>
    <s v="MTFS"/>
    <s v="CPFGS"/>
    <s v="ซีพีเอฟ เทรดดิ้ง"/>
    <s v="E+Wonton TY"/>
    <s v="Cooked Wonton"/>
    <s v="เกี๊ยวกุ้งรสต้มยำ ตราซีพี 12x115 กรัม"/>
    <s v="082S83Q12005P04001"/>
    <s v="115g*12"/>
    <n v="12"/>
    <n v="5"/>
    <n v="8.0000000000000002E-3"/>
    <x v="1"/>
    <s v="STPP"/>
    <s v="TYTB3C 30G"/>
    <n v="170"/>
    <n v="170"/>
    <n v="8.4583333333333339"/>
    <n v="8.4583333333333428"/>
    <n v="0"/>
    <n v="0"/>
    <n v="1"/>
    <n v="0"/>
    <m/>
    <n v="0"/>
    <n v="0"/>
  </r>
  <r>
    <x v="597"/>
    <s v="10-2025"/>
    <x v="1"/>
    <e v="#N/A"/>
    <x v="8"/>
    <s v="ขายภายใน"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1200"/>
    <n v="1200"/>
    <m/>
    <n v="0"/>
    <n v="0"/>
    <n v="0"/>
    <n v="1"/>
    <n v="0"/>
    <m/>
    <n v="0"/>
    <n v="0"/>
  </r>
  <r>
    <x v="597"/>
    <s v="10-2025"/>
    <x v="1"/>
    <e v="#N/A"/>
    <x v="8"/>
    <s v="ขายภายใน"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1200"/>
    <n v="1200"/>
    <m/>
    <n v="0"/>
    <n v="0"/>
    <n v="0"/>
    <n v="1"/>
    <n v="0"/>
    <m/>
    <n v="0"/>
    <n v="0"/>
  </r>
  <r>
    <x v="598"/>
    <s v="10-2025"/>
    <x v="1"/>
    <e v="#N/A"/>
    <x v="8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2927"/>
    <n v="2617"/>
    <n v="310"/>
    <n v="0"/>
    <n v="0"/>
    <n v="0"/>
    <n v="7.4999999999999997E-3"/>
    <n v="0"/>
    <m/>
    <n v="0"/>
    <n v="0"/>
  </r>
  <r>
    <x v="598"/>
    <s v="11-2025"/>
    <x v="1"/>
    <e v="#N/A"/>
    <x v="8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195"/>
    <m/>
    <n v="195"/>
    <n v="0"/>
    <n v="0"/>
    <n v="0"/>
    <n v="7.4999999999999997E-3"/>
    <n v="0"/>
    <m/>
    <n v="0"/>
    <n v="0"/>
  </r>
  <r>
    <x v="599"/>
    <s v="10-2025"/>
    <x v="1"/>
    <e v="#N/A"/>
    <x v="8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174"/>
    <n v="1174"/>
    <m/>
    <n v="0"/>
    <n v="0"/>
    <n v="0"/>
    <n v="7.4999999999999997E-3"/>
    <n v="0"/>
    <m/>
    <n v="0"/>
    <n v="0"/>
  </r>
  <r>
    <x v="599"/>
    <d v="2025-10-15T00:00:00"/>
    <x v="1"/>
    <e v="#N/A"/>
    <x v="8"/>
    <s v="DRY2500242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n v="0"/>
    <n v="7.4999999999999997E-3"/>
    <n v="0"/>
    <s v="new package (ลบโลโก้ Facebook)"/>
    <n v="0"/>
    <n v="0"/>
  </r>
  <r>
    <x v="599"/>
    <d v="2025-10-14T00:00:00"/>
    <x v="1"/>
    <e v="#N/A"/>
    <x v="8"/>
    <s v="DRY2500314"/>
    <s v="Denmark"/>
    <s v="CPFNW"/>
    <s v="CPF DENMARK"/>
    <s v="Minced ND+หมาล่า"/>
    <s v="Cooked Wonton"/>
    <s v="Cooked Minced  ND No Egg หมาล่า"/>
    <s v="082SRKW08003P01001"/>
    <s v="300g*8"/>
    <n v="8"/>
    <n v="3"/>
    <n v="6.1999999999999998E-3"/>
    <x v="4"/>
    <s v="Salt"/>
    <s v="หมาล่า"/>
    <n v="3500"/>
    <n v="3500"/>
    <m/>
    <n v="0"/>
    <n v="0"/>
    <n v="0"/>
    <n v="1.2999999999999999E-2"/>
    <n v="0"/>
    <m/>
    <n v="0"/>
    <n v="0"/>
  </r>
  <r>
    <x v="600"/>
    <m/>
    <x v="1"/>
    <e v="#N/A"/>
    <x v="8"/>
    <m/>
    <m/>
    <m/>
    <m/>
    <m/>
    <m/>
    <m/>
    <m/>
    <m/>
    <m/>
    <m/>
    <m/>
    <x v="0"/>
    <m/>
    <m/>
    <m/>
    <m/>
    <m/>
    <m/>
    <m/>
    <n v="0"/>
    <m/>
    <m/>
    <m/>
    <m/>
    <m/>
  </r>
  <r>
    <x v="601"/>
    <d v="2025-09-30T00:00:00"/>
    <x v="1"/>
    <e v="#N/A"/>
    <x v="8"/>
    <s v="DRY2500204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618"/>
    <n v="618"/>
    <m/>
    <n v="0"/>
    <n v="0"/>
    <n v="0"/>
    <n v="2"/>
    <n v="0"/>
    <m/>
    <n v="0"/>
    <n v="0"/>
  </r>
  <r>
    <x v="602"/>
    <d v="2025-10-14T00:00:00"/>
    <x v="1"/>
    <e v="#N/A"/>
    <x v="8"/>
    <s v="DRY2500268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602"/>
    <d v="2025-10-14T00:00:00"/>
    <x v="1"/>
    <e v="#N/A"/>
    <x v="8"/>
    <s v="DRY2500269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602"/>
    <d v="2025-10-14T00:00:00"/>
    <x v="1"/>
    <e v="#N/A"/>
    <x v="8"/>
    <s v="DRY2500270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603"/>
    <d v="2025-09-30T00:00:00"/>
    <x v="1"/>
    <e v="#N/A"/>
    <x v="8"/>
    <s v="DRY2500204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613"/>
    <n v="613"/>
    <m/>
    <n v="0"/>
    <n v="0"/>
    <n v="0"/>
    <n v="2"/>
    <n v="0"/>
    <m/>
    <n v="0"/>
    <n v="0"/>
  </r>
  <r>
    <x v="604"/>
    <d v="2025-09-30T00:00:00"/>
    <x v="1"/>
    <e v="#N/A"/>
    <x v="8"/>
    <s v="DRY2500204"/>
    <s v="Korea"/>
    <s v="CPFNW"/>
    <s v="Consumer Package Commerce"/>
    <s v="R-Wonton egg past"/>
    <s v="Raw Wonton"/>
    <s v="Raw Wonton 12 pcs"/>
    <s v="082I93U40012P01001"/>
    <s v="154g*40in"/>
    <n v="40"/>
    <n v="12"/>
    <n v="6.8100000000000001E-3"/>
    <x v="3"/>
    <s v="STPP"/>
    <s v="ซุปซอง 5g."/>
    <n v="393"/>
    <n v="393"/>
    <m/>
    <n v="0"/>
    <n v="0"/>
    <n v="0"/>
    <n v="2"/>
    <n v="0"/>
    <m/>
    <n v="0"/>
    <n v="0"/>
  </r>
  <r>
    <x v="604"/>
    <d v="2025-10-07T00:00:00"/>
    <x v="1"/>
    <e v="#N/A"/>
    <x v="8"/>
    <s v="DRY2500205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246"/>
    <n v="246"/>
    <m/>
    <n v="0"/>
    <n v="0"/>
    <n v="0"/>
    <n v="6"/>
    <n v="0"/>
    <m/>
    <n v="0"/>
    <n v="0"/>
  </r>
  <r>
    <x v="605"/>
    <d v="2025-10-07T00:00:00"/>
    <x v="1"/>
    <e v="#N/A"/>
    <x v="8"/>
    <s v="DRY2500205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728"/>
    <n v="728"/>
    <m/>
    <n v="0"/>
    <n v="0"/>
    <n v="0"/>
    <n v="6"/>
    <n v="0"/>
    <m/>
    <n v="0"/>
    <n v="0"/>
  </r>
  <r>
    <x v="606"/>
    <d v="2025-10-02T00:00:00"/>
    <x v="1"/>
    <e v="#N/A"/>
    <x v="8"/>
    <s v="DRY2500313"/>
    <s v="USA"/>
    <s v="CPFNW"/>
    <s v="Bellisio Foods, Inc."/>
    <s v="Minced WT"/>
    <s v="Cooked Wonton"/>
    <s v="Cooked Minced Wonton Soup No Egg"/>
    <s v="082SKBW36005P00001"/>
    <s v="145g*6c*6"/>
    <n v="36"/>
    <n v="5"/>
    <n v="6.0000000000000001E-3"/>
    <x v="4"/>
    <s v="Salt"/>
    <s v="Regular"/>
    <n v="300"/>
    <n v="300"/>
    <m/>
    <n v="0"/>
    <n v="0"/>
    <n v="0"/>
    <n v="7.4999999999999997E-3"/>
    <n v="0"/>
    <s v="STOCK USA Pack 8x148g."/>
    <n v="0"/>
    <n v="0"/>
  </r>
  <r>
    <x v="606"/>
    <d v="2025-10-03T00:00:00"/>
    <x v="1"/>
    <e v="#N/A"/>
    <x v="8"/>
    <s v="DRY2500314"/>
    <s v="USA"/>
    <s v="CPFNW"/>
    <s v="Bellisio Foods, Inc."/>
    <s v="Minced WT"/>
    <s v="Cooked Wonton"/>
    <s v="Cooked Minced Wonton Soup No Egg"/>
    <s v="082SKBW36005P00001"/>
    <s v="145g*6c*6"/>
    <n v="36"/>
    <n v="5"/>
    <n v="6.0000000000000001E-3"/>
    <x v="4"/>
    <s v="Salt"/>
    <s v="Regular"/>
    <n v="450"/>
    <n v="450"/>
    <m/>
    <n v="0"/>
    <n v="0"/>
    <n v="0"/>
    <n v="7.4999999999999997E-3"/>
    <n v="0"/>
    <m/>
    <n v="0"/>
    <n v="0"/>
  </r>
  <r>
    <x v="606"/>
    <d v="2025-10-02T00:00:00"/>
    <x v="1"/>
    <e v="#N/A"/>
    <x v="8"/>
    <s v="DRY2500313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800"/>
    <m/>
    <n v="800"/>
    <n v="0"/>
    <n v="0"/>
    <n v="0"/>
    <n v="7.4999999999999997E-3"/>
    <n v="0"/>
    <s v="STOCK USA Pack 8x258g."/>
    <n v="0"/>
    <n v="0"/>
  </r>
  <r>
    <x v="606"/>
    <d v="2025-10-03T00:00:00"/>
    <x v="1"/>
    <e v="#N/A"/>
    <x v="8"/>
    <s v="DRY2500314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700"/>
    <m/>
    <n v="709.875"/>
    <n v="9.875"/>
    <n v="0"/>
    <n v="0"/>
    <n v="7.4999999999999997E-3"/>
    <n v="0"/>
    <m/>
    <n v="0"/>
    <n v="0"/>
  </r>
  <r>
    <x v="606"/>
    <d v="2025-11-01T00:00:00"/>
    <x v="1"/>
    <e v="#N/A"/>
    <x v="8"/>
    <s v="DRY2500309"/>
    <s v="New Zealand"/>
    <s v="CPFNW"/>
    <s v="Lim Brothers"/>
    <s v="Wonton ND+V"/>
    <s v="Cooked Wonton"/>
    <s v="Cooked Wonton ND No Egg with Pumpkin_x000a_+ Yu Choy "/>
    <s v="082SJN708004P00001"/>
    <s v="305g*8"/>
    <n v="8"/>
    <n v="4"/>
    <n v="7.4999999999999997E-3"/>
    <x v="5"/>
    <s v="Salt"/>
    <s v="Regular"/>
    <n v="1450"/>
    <m/>
    <n v="1461.5"/>
    <n v="11.5"/>
    <n v="0"/>
    <n v="0"/>
    <n v="7.4999999999999997E-3"/>
    <n v="0"/>
    <m/>
    <n v="0"/>
    <n v="0"/>
  </r>
  <r>
    <x v="607"/>
    <m/>
    <x v="1"/>
    <e v="#N/A"/>
    <x v="8"/>
    <m/>
    <m/>
    <m/>
    <m/>
    <m/>
    <m/>
    <m/>
    <m/>
    <m/>
    <m/>
    <m/>
    <m/>
    <x v="0"/>
    <m/>
    <m/>
    <m/>
    <m/>
    <m/>
    <m/>
    <m/>
    <n v="0"/>
    <m/>
    <m/>
    <m/>
    <m/>
    <m/>
  </r>
  <r>
    <x v="608"/>
    <d v="2025-10-02T00:00:00"/>
    <x v="1"/>
    <e v="#N/A"/>
    <x v="8"/>
    <s v="DRY2500313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00"/>
    <n v="100"/>
    <m/>
    <n v="0"/>
    <n v="0"/>
    <n v="0"/>
    <n v="6"/>
    <n v="0"/>
    <m/>
    <n v="0"/>
    <n v="0"/>
  </r>
  <r>
    <x v="608"/>
    <d v="2025-10-03T00:00:00"/>
    <x v="1"/>
    <e v="#N/A"/>
    <x v="8"/>
    <s v="DRY2500314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00"/>
    <n v="100"/>
    <n v="3"/>
    <n v="3"/>
    <n v="0"/>
    <n v="0"/>
    <n v="6"/>
    <n v="0"/>
    <m/>
    <n v="0"/>
    <n v="0"/>
  </r>
  <r>
    <x v="608"/>
    <d v="2025-10-07T00:00:00"/>
    <x v="1"/>
    <e v="#N/A"/>
    <x v="8"/>
    <s v="DRY2500205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405"/>
    <n v="405"/>
    <m/>
    <n v="0"/>
    <n v="0"/>
    <n v="0"/>
    <n v="6"/>
    <n v="0"/>
    <m/>
    <n v="0"/>
    <n v="0"/>
  </r>
  <r>
    <x v="609"/>
    <d v="2025-10-07T00:00:00"/>
    <x v="1"/>
    <e v="#N/A"/>
    <x v="8"/>
    <s v="DRY2500205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77"/>
    <n v="677"/>
    <m/>
    <n v="0"/>
    <n v="0"/>
    <n v="0"/>
    <n v="6"/>
    <n v="0"/>
    <m/>
    <n v="0"/>
    <n v="0"/>
  </r>
  <r>
    <x v="609"/>
    <d v="2025-10-04T00:00:00"/>
    <x v="1"/>
    <e v="#N/A"/>
    <x v="8"/>
    <s v="DRY2500287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120"/>
    <n v="120"/>
    <m/>
    <n v="0"/>
    <n v="0"/>
    <n v="0"/>
    <n v="2"/>
    <n v="0"/>
    <s v="ห่อแบบสุก"/>
    <n v="0"/>
    <n v="0"/>
  </r>
  <r>
    <x v="610"/>
    <d v="2025-10-04T00:00:00"/>
    <x v="1"/>
    <e v="#N/A"/>
    <x v="9"/>
    <s v="DRY2500272"/>
    <s v="SG"/>
    <s v="CPFNW"/>
    <s v="CPI SINGAPORE"/>
    <s v="R-Wonton egg past"/>
    <s v="Raw Wonton"/>
    <s v="Raw Wonton 8 pcs"/>
    <s v="082I93B20008P00001"/>
    <s v="194g*20in"/>
    <n v="20"/>
    <n v="8"/>
    <n v="1.4999999999999999E-2"/>
    <x v="6"/>
    <s v="STPP"/>
    <s v="ซุปซอง 5g."/>
    <n v="250"/>
    <n v="250"/>
    <m/>
    <n v="0"/>
    <n v="0"/>
    <n v="0"/>
    <n v="2"/>
    <n v="0"/>
    <s v="ห่อแบบดิบ"/>
    <n v="0"/>
    <n v="0"/>
  </r>
  <r>
    <x v="610"/>
    <d v="2025-10-04T00:00:00"/>
    <x v="1"/>
    <e v="#N/A"/>
    <x v="9"/>
    <s v="DRY2500272"/>
    <s v="SG"/>
    <s v="CPFNW"/>
    <s v="CPI SINGAPORE"/>
    <s v="R-Minced egg past"/>
    <s v="Raw Wonton"/>
    <s v="Raw Minced Wonton 8 pcs"/>
    <s v="082ID3B18008P00001"/>
    <s v="90g*18in"/>
    <n v="18"/>
    <n v="8"/>
    <n v="6.1999999999999998E-3"/>
    <x v="4"/>
    <s v="STPP"/>
    <s v="ซุปซอง 5g."/>
    <n v="600"/>
    <n v="600"/>
    <m/>
    <n v="0"/>
    <n v="0"/>
    <n v="0"/>
    <n v="2"/>
    <n v="0"/>
    <m/>
    <n v="0"/>
    <n v="0"/>
  </r>
  <r>
    <x v="610"/>
    <d v="2025-10-04T00:00:00"/>
    <x v="1"/>
    <e v="#N/A"/>
    <x v="9"/>
    <s v="DRY2500287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330"/>
    <n v="330"/>
    <m/>
    <n v="0"/>
    <n v="0"/>
    <n v="0"/>
    <n v="2"/>
    <n v="0"/>
    <s v="ห่อแบบสุก"/>
    <n v="0"/>
    <n v="0"/>
  </r>
  <r>
    <x v="610"/>
    <d v="2025-10-20T00:00:00"/>
    <x v="1"/>
    <e v="#N/A"/>
    <x v="9"/>
    <s v="DRY2500273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274"/>
    <n v="33"/>
    <n v="241"/>
    <n v="0"/>
    <n v="0"/>
    <n v="0"/>
    <n v="2"/>
    <n v="0"/>
    <s v="ห่อแบบสุก"/>
    <n v="0"/>
    <n v="0"/>
  </r>
  <r>
    <x v="611"/>
    <d v="2025-10-09T00:00:00"/>
    <x v="1"/>
    <e v="#N/A"/>
    <x v="9"/>
    <s v="KL2500030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806"/>
    <n v="806"/>
    <m/>
    <n v="0"/>
    <n v="0"/>
    <n v="0"/>
    <n v="6"/>
    <n v="0"/>
    <m/>
    <n v="0"/>
    <n v="0"/>
  </r>
  <r>
    <x v="612"/>
    <d v="2025-10-09T00:00:00"/>
    <x v="1"/>
    <e v="#N/A"/>
    <x v="9"/>
    <s v="KL2500030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602"/>
    <n v="447"/>
    <n v="155"/>
    <n v="0"/>
    <n v="0"/>
    <n v="0"/>
    <n v="6"/>
    <n v="0"/>
    <m/>
    <n v="0"/>
    <n v="0"/>
  </r>
  <r>
    <x v="612"/>
    <d v="2025-10-11T00:00:00"/>
    <x v="1"/>
    <e v="#N/A"/>
    <x v="9"/>
    <s v="KL2500031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67"/>
    <m/>
    <n v="167"/>
    <n v="0"/>
    <n v="0"/>
    <n v="0"/>
    <n v="6"/>
    <n v="0"/>
    <m/>
    <n v="0"/>
    <n v="0"/>
  </r>
  <r>
    <x v="613"/>
    <d v="2025-10-20T00:00:00"/>
    <x v="1"/>
    <e v="#N/A"/>
    <x v="9"/>
    <s v="DRY2500277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613"/>
    <d v="2025-10-20T00:00:00"/>
    <x v="1"/>
    <e v="#N/A"/>
    <x v="9"/>
    <s v="DRY2500278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613"/>
    <d v="2025-10-20T00:00:00"/>
    <x v="1"/>
    <e v="#N/A"/>
    <x v="9"/>
    <s v="DRY2500279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686"/>
    <n v="106"/>
    <n v="0"/>
    <n v="0"/>
    <n v="0"/>
    <n v="7.4999999999999997E-3"/>
    <n v="0"/>
    <m/>
    <n v="0"/>
    <n v="0"/>
  </r>
  <r>
    <x v="614"/>
    <m/>
    <x v="1"/>
    <e v="#N/A"/>
    <x v="9"/>
    <m/>
    <m/>
    <m/>
    <m/>
    <m/>
    <m/>
    <m/>
    <m/>
    <m/>
    <m/>
    <m/>
    <m/>
    <x v="0"/>
    <m/>
    <m/>
    <m/>
    <m/>
    <m/>
    <m/>
    <m/>
    <n v="0"/>
    <m/>
    <m/>
    <m/>
    <m/>
    <m/>
  </r>
  <r>
    <x v="615"/>
    <d v="2025-10-11T00:00:00"/>
    <x v="1"/>
    <e v="#N/A"/>
    <x v="9"/>
    <s v="KL2500031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809"/>
    <n v="809"/>
    <m/>
    <n v="0"/>
    <n v="0"/>
    <n v="0"/>
    <n v="6"/>
    <n v="0"/>
    <m/>
    <n v="0"/>
    <n v="0"/>
  </r>
  <r>
    <x v="616"/>
    <d v="2025-10-11T00:00:00"/>
    <x v="1"/>
    <e v="#N/A"/>
    <x v="9"/>
    <s v="KL2500031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432"/>
    <n v="432"/>
    <m/>
    <n v="0"/>
    <n v="0"/>
    <n v="0"/>
    <n v="6"/>
    <n v="0"/>
    <m/>
    <n v="0"/>
    <n v="0"/>
  </r>
  <r>
    <x v="616"/>
    <d v="2025-10-17T00:00:00"/>
    <x v="1"/>
    <e v="#N/A"/>
    <x v="9"/>
    <s v="KL2500032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391"/>
    <n v="391"/>
    <m/>
    <n v="0"/>
    <n v="0"/>
    <n v="0"/>
    <n v="6"/>
    <n v="0"/>
    <m/>
    <n v="0"/>
    <n v="0"/>
  </r>
  <r>
    <x v="617"/>
    <m/>
    <x v="1"/>
    <e v="#N/A"/>
    <x v="9"/>
    <m/>
    <m/>
    <m/>
    <m/>
    <m/>
    <m/>
    <m/>
    <m/>
    <m/>
    <m/>
    <m/>
    <m/>
    <x v="0"/>
    <m/>
    <m/>
    <m/>
    <m/>
    <m/>
    <m/>
    <m/>
    <n v="0"/>
    <m/>
    <m/>
    <m/>
    <m/>
    <m/>
  </r>
  <r>
    <x v="618"/>
    <d v="2025-10-17T00:00:00"/>
    <x v="1"/>
    <e v="#N/A"/>
    <x v="9"/>
    <s v="KL2500032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814"/>
    <n v="814"/>
    <m/>
    <n v="0"/>
    <n v="0"/>
    <n v="0"/>
    <n v="6"/>
    <n v="0"/>
    <m/>
    <n v="0"/>
    <n v="0"/>
  </r>
  <r>
    <x v="619"/>
    <d v="2025-10-17T00:00:00"/>
    <x v="1"/>
    <e v="#N/A"/>
    <x v="9"/>
    <s v="KL2500032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203"/>
    <n v="203"/>
    <m/>
    <n v="0"/>
    <n v="0"/>
    <n v="0"/>
    <n v="6"/>
    <n v="0"/>
    <m/>
    <n v="0"/>
    <n v="0"/>
  </r>
  <r>
    <x v="619"/>
    <d v="2025-10-28T00:00:00"/>
    <x v="1"/>
    <e v="#N/A"/>
    <x v="9"/>
    <s v="DRY2500199"/>
    <s v="Belgium"/>
    <s v="CPFNW"/>
    <s v="CPF EUROPE S.A."/>
    <s v="R-Wonton no egg"/>
    <s v="Raw Wonton"/>
    <s v="Raw Wonton 50 pcs"/>
    <s v="082I93I10050P02001"/>
    <s v="630g*10inner"/>
    <n v="10"/>
    <n v="50"/>
    <n v="8.1300000000000001E-3"/>
    <x v="1"/>
    <s v="Salt"/>
    <s v="ซุปซอง 5g."/>
    <n v="500"/>
    <n v="500"/>
    <m/>
    <n v="0"/>
    <n v="0"/>
    <n v="0"/>
    <n v="6"/>
    <n v="0"/>
    <m/>
    <n v="0"/>
    <n v="0"/>
  </r>
  <r>
    <x v="620"/>
    <s v="10-2025"/>
    <x v="1"/>
    <e v="#N/A"/>
    <x v="9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977"/>
    <n v="1977"/>
    <m/>
    <n v="0"/>
    <n v="0"/>
    <n v="0"/>
    <n v="7.4999999999999997E-3"/>
    <n v="0"/>
    <m/>
    <n v="0"/>
    <n v="0"/>
  </r>
  <r>
    <x v="620"/>
    <d v="2025-10-16T00:00:00"/>
    <x v="1"/>
    <e v="#N/A"/>
    <x v="9"/>
    <s v="KL2500039"/>
    <s v="China"/>
    <s v="China"/>
    <s v="Charoen Pokphand Import&amp;Export Trading (Shanghai) Co., Ltd"/>
    <s v="Wonton+TY"/>
    <s v="Cooked Wonton"/>
    <s v="Wonton Soup  (Enriched wonton sheet)"/>
    <s v="082S85J36005P00001"/>
    <s v="147g*6c*6in"/>
    <n v="36"/>
    <n v="5"/>
    <n v="7.4999999999999997E-3"/>
    <x v="1"/>
    <s v="Salt"/>
    <s v="TYEXSG+CO"/>
    <n v="390"/>
    <n v="390"/>
    <n v="6.5"/>
    <n v="6.5"/>
    <n v="0"/>
    <n v="0"/>
    <n v="2.2419999999999999E-2"/>
    <n v="0"/>
    <s v="stock 1275 ถ้วย สินค้าผลิตเดือน 1/2025, korea 181 / taiwan 64"/>
    <n v="0"/>
    <n v="0"/>
  </r>
  <r>
    <x v="620"/>
    <d v="2025-11-20T00:00:00"/>
    <x v="1"/>
    <e v="#N/A"/>
    <x v="9"/>
    <s v="DRY2500248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SG+CO"/>
    <n v="924"/>
    <n v="890"/>
    <n v="82.625"/>
    <n v="48.625"/>
    <n v="0"/>
    <n v="0"/>
    <n v="3.8699999999999998E-2"/>
    <n v="0"/>
    <s v="1436 ถ้วย NZ"/>
    <n v="0"/>
    <n v="0"/>
  </r>
  <r>
    <x v="620"/>
    <d v="2025-11-01T00:00:00"/>
    <x v="1"/>
    <e v="#N/A"/>
    <x v="9"/>
    <s v="DRY2500309"/>
    <s v="New Zealand"/>
    <s v="CPFNW"/>
    <s v="Lim Brothers"/>
    <s v="Minced ND+V+TY"/>
    <s v="Cooked Wonton"/>
    <s v="Cooked Minced  ND No Egg with Pumpkin_x000a_+ Yu Choy Tomyum"/>
    <s v="082SRN708003P00001"/>
    <s v="302g*8"/>
    <n v="8"/>
    <n v="3"/>
    <n v="6.0000000000000001E-3"/>
    <x v="4"/>
    <s v="Salt"/>
    <s v="TYEXSG+CO"/>
    <n v="650"/>
    <m/>
    <n v="650"/>
    <n v="0"/>
    <n v="0"/>
    <n v="0"/>
    <n v="3.8699999999999998E-2"/>
    <n v="0"/>
    <s v="2058 ถ้วย เอา Germany มา"/>
    <n v="0"/>
    <n v="0"/>
  </r>
  <r>
    <x v="621"/>
    <m/>
    <x v="1"/>
    <e v="#N/A"/>
    <x v="9"/>
    <m/>
    <m/>
    <m/>
    <m/>
    <m/>
    <m/>
    <m/>
    <m/>
    <m/>
    <m/>
    <m/>
    <m/>
    <x v="0"/>
    <m/>
    <m/>
    <m/>
    <m/>
    <m/>
    <m/>
    <m/>
    <n v="0"/>
    <m/>
    <m/>
    <m/>
    <m/>
    <m/>
  </r>
  <r>
    <x v="622"/>
    <m/>
    <x v="1"/>
    <e v="#N/A"/>
    <x v="9"/>
    <m/>
    <m/>
    <m/>
    <m/>
    <m/>
    <m/>
    <m/>
    <m/>
    <m/>
    <m/>
    <m/>
    <m/>
    <x v="0"/>
    <m/>
    <m/>
    <m/>
    <m/>
    <m/>
    <m/>
    <m/>
    <n v="0"/>
    <m/>
    <m/>
    <m/>
    <m/>
    <m/>
  </r>
  <r>
    <x v="623"/>
    <s v="11-2025"/>
    <x v="1"/>
    <e v="#N/A"/>
    <x v="9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500"/>
    <n v="500"/>
    <m/>
    <n v="0"/>
    <n v="0"/>
    <n v="0"/>
    <m/>
    <n v="0"/>
    <m/>
    <n v="0"/>
    <n v="0"/>
  </r>
  <r>
    <x v="623"/>
    <s v="11-2025"/>
    <x v="1"/>
    <e v="#N/A"/>
    <x v="9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m/>
    <n v="309"/>
    <n v="309"/>
    <m/>
    <n v="0"/>
    <n v="0"/>
    <n v="0"/>
    <m/>
    <n v="0"/>
    <m/>
    <n v="0"/>
    <n v="0"/>
  </r>
  <r>
    <x v="623"/>
    <d v="2025-10-20T00:00:00"/>
    <x v="1"/>
    <e v="#N/A"/>
    <x v="9"/>
    <s v="DRY2500203"/>
    <s v="SG"/>
    <s v="CPFNW"/>
    <s v="CPI SINGAPORE"/>
    <s v="R-Wonton egg past"/>
    <s v="Raw Wonton"/>
    <s v="Raw Wonton 8 pcs (Tomyam 30g.)"/>
    <s v="082I93B18008P01001"/>
    <s v="126g*18in"/>
    <n v="18"/>
    <n v="8"/>
    <n v="6.8100000000000001E-3"/>
    <x v="3"/>
    <s v="STPP"/>
    <s v="TYTB3C 30G"/>
    <n v="500"/>
    <n v="498"/>
    <m/>
    <n v="-2"/>
    <n v="36"/>
    <n v="288"/>
    <n v="1"/>
    <n v="36"/>
    <m/>
    <n v="1.9612799999999997E-3"/>
    <n v="3.6319999999999994E-3"/>
  </r>
  <r>
    <x v="623"/>
    <d v="2025-10-20T00:00:00"/>
    <x v="1"/>
    <e v="#N/A"/>
    <x v="9"/>
    <s v="DRY2500273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926"/>
    <n v="634"/>
    <n v="292"/>
    <n v="0"/>
    <n v="0"/>
    <n v="0"/>
    <n v="2"/>
    <n v="0"/>
    <s v="ห่อแบบสุก"/>
    <n v="0"/>
    <n v="0"/>
  </r>
  <r>
    <x v="623"/>
    <d v="2025-11-04T00:00:00"/>
    <x v="1"/>
    <e v="#N/A"/>
    <x v="9"/>
    <s v="DRY2500303"/>
    <s v="Malay"/>
    <s v="CPFNW"/>
    <s v="CPM Malaysia"/>
    <s v="R-Wonton egg past"/>
    <s v="Raw Wonton"/>
    <s v="Raw Wonton 12 pcs"/>
    <s v="082I95I20012P02001"/>
    <s v="154g*20inner"/>
    <n v="20"/>
    <n v="12"/>
    <n v="6.8100000000000001E-3"/>
    <x v="3"/>
    <s v="STPP"/>
    <s v="ซุปซอง 5g."/>
    <n v="350"/>
    <n v="350"/>
    <m/>
    <n v="0"/>
    <n v="0"/>
    <n v="0"/>
    <n v="2"/>
    <n v="0"/>
    <m/>
    <n v="0"/>
    <n v="0"/>
  </r>
  <r>
    <x v="624"/>
    <s v="10-2025"/>
    <x v="1"/>
    <e v="#N/A"/>
    <x v="9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835"/>
    <n v="835"/>
    <m/>
    <n v="0"/>
    <n v="0"/>
    <n v="0"/>
    <n v="7.4999999999999997E-3"/>
    <n v="0"/>
    <m/>
    <n v="0"/>
    <n v="0"/>
  </r>
  <r>
    <x v="624"/>
    <s v="11-2025"/>
    <x v="1"/>
    <e v="#N/A"/>
    <x v="9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0000000000000001E-3"/>
    <x v="2"/>
    <s v="STPP"/>
    <s v="Regular"/>
    <n v="124"/>
    <n v="124"/>
    <m/>
    <n v="0"/>
    <n v="0"/>
    <n v="0"/>
    <n v="7.4999999999999997E-3"/>
    <n v="0"/>
    <m/>
    <n v="0"/>
    <n v="0"/>
  </r>
  <r>
    <x v="624"/>
    <d v="2025-11-04T00:00:00"/>
    <x v="1"/>
    <e v="#N/A"/>
    <x v="9"/>
    <s v="DRY2500303"/>
    <s v="Malay"/>
    <s v="CPFNW"/>
    <s v="CPM Malaysia"/>
    <s v="Wonton"/>
    <s v="Cooked Wonton"/>
    <s v="Cooked Wonton No Egg  "/>
    <s v="082S85I24005P01001"/>
    <s v="145g*24"/>
    <n v="24"/>
    <n v="5"/>
    <n v="8.0000000000000002E-3"/>
    <x v="1"/>
    <s v="STPP"/>
    <s v="Regular"/>
    <n v="925"/>
    <n v="925"/>
    <m/>
    <n v="0"/>
    <n v="0"/>
    <n v="0"/>
    <n v="7.4999999999999997E-3"/>
    <n v="0"/>
    <m/>
    <n v="0"/>
    <n v="0"/>
  </r>
  <r>
    <x v="624"/>
    <d v="2025-11-26T00:00:00"/>
    <x v="1"/>
    <e v="#N/A"/>
    <x v="9"/>
    <s v="DRY2500276"/>
    <s v="SG"/>
    <s v="CPFNW"/>
    <s v="CPI Singapore"/>
    <s v="Wonton ND+V"/>
    <s v="Cooked Wonton"/>
    <s v="Cooked Wonton ND No Egg with Pumpkin _x000a_+ Vegetable  HC  3 pcs"/>
    <s v="082SJ3B24003P02001"/>
    <s v="219g*24"/>
    <n v="24"/>
    <n v="3"/>
    <n v="7.4999999999999997E-3"/>
    <x v="5"/>
    <s v="STPP"/>
    <s v="ซุปซอง 10g."/>
    <n v="250"/>
    <n v="250"/>
    <m/>
    <n v="0"/>
    <n v="0"/>
    <n v="0"/>
    <n v="1"/>
    <n v="0"/>
    <m/>
    <n v="0"/>
    <n v="0"/>
  </r>
  <r>
    <x v="624"/>
    <d v="2025-11-05T00:00:00"/>
    <x v="1"/>
    <e v="#N/A"/>
    <x v="9"/>
    <s v="DRY2500310"/>
    <s v="HK"/>
    <s v="CPFNW"/>
    <s v="CPM Hongkong"/>
    <s v="Wonton ND+V"/>
    <s v="Cooked Wonton"/>
    <s v="Cooked Wonton ND No Egg with Pumpkin _x000a_+ Vegetable  HC  3 pcs"/>
    <s v="082SJ3G24003P02001"/>
    <s v="219g*24"/>
    <n v="24"/>
    <n v="3"/>
    <n v="7.4999999999999997E-3"/>
    <x v="5"/>
    <s v="STPP"/>
    <s v="ซุปซอง 10g."/>
    <n v="10"/>
    <m/>
    <n v="10.375"/>
    <n v="0.375"/>
    <n v="0"/>
    <n v="0"/>
    <n v="1"/>
    <n v="0"/>
    <m/>
    <n v="0"/>
    <n v="0"/>
  </r>
  <r>
    <x v="624"/>
    <d v="2025-11-04T00:00:00"/>
    <x v="1"/>
    <e v="#N/A"/>
    <x v="9"/>
    <s v="DRY2500316"/>
    <s v="Denmark"/>
    <s v="CPFNW"/>
    <s v="CPF DENMARK"/>
    <s v="Minced ND+V+TK"/>
    <s v="Cooked Wonton"/>
    <s v="Cooked Minced  ND No Egg with Pumpkin_x000a_+ Yu Choy Tomyum"/>
    <s v="082SJKW08003P01001"/>
    <s v="302g*8"/>
    <n v="8"/>
    <n v="3"/>
    <n v="6.0000000000000001E-3"/>
    <x v="4"/>
    <s v="Salt"/>
    <s v="Tomkha+CM"/>
    <n v="3500"/>
    <m/>
    <n v="3494"/>
    <n v="-6"/>
    <n v="48"/>
    <n v="144"/>
    <n v="5.8823E-2"/>
    <n v="2.8235039999999998"/>
    <m/>
    <n v="8.6400000000000008E-4"/>
    <n v="1.6000000000000001E-3"/>
  </r>
  <r>
    <x v="625"/>
    <d v="2025-10-21T00:00:00"/>
    <x v="1"/>
    <e v="#N/A"/>
    <x v="9"/>
    <s v="KL2500034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n v="0"/>
    <n v="0"/>
  </r>
  <r>
    <x v="626"/>
    <d v="2025-11-04T00:00:00"/>
    <x v="1"/>
    <e v="#N/A"/>
    <x v="9"/>
    <s v="DRY2500303"/>
    <s v="Malay"/>
    <s v="CPFNW"/>
    <s v="CPM Malaysia"/>
    <s v="Wonton+TY"/>
    <s v="Cooked Wonton"/>
    <s v="Cooked Wonton No Egg  Tomyum"/>
    <s v="082S85I24005P02001"/>
    <s v="115g*24"/>
    <n v="24"/>
    <n v="5"/>
    <n v="8.0000000000000002E-3"/>
    <x v="1"/>
    <s v="STPP"/>
    <s v="TYTB3C 30G"/>
    <n v="875"/>
    <n v="875"/>
    <m/>
    <n v="0"/>
    <n v="0"/>
    <n v="0"/>
    <n v="1"/>
    <n v="0"/>
    <m/>
    <n v="0"/>
    <n v="0"/>
  </r>
  <r>
    <x v="626"/>
    <d v="2025-11-26T00:00:00"/>
    <x v="1"/>
    <e v="#N/A"/>
    <x v="9"/>
    <s v="DRY2500276"/>
    <s v="SG"/>
    <s v="CPFNW"/>
    <s v="CPI SINGAPORE"/>
    <s v="Wonton +TY"/>
    <s v="Cooked Wonton"/>
    <s v="Cooked Wonton No Egg"/>
    <s v="082S83B24005P06001"/>
    <s v="115g*24"/>
    <n v="24"/>
    <n v="5"/>
    <n v="8.0000000000000002E-3"/>
    <x v="1"/>
    <s v="STPP"/>
    <s v="TYTB3C 30G"/>
    <n v="250"/>
    <n v="250"/>
    <m/>
    <n v="0"/>
    <n v="0"/>
    <n v="0"/>
    <n v="1"/>
    <n v="0"/>
    <m/>
    <n v="0"/>
    <n v="0"/>
  </r>
  <r>
    <x v="626"/>
    <d v="2025-11-05T00:00:00"/>
    <x v="1"/>
    <e v="#N/A"/>
    <x v="9"/>
    <s v="DRY2500310"/>
    <s v="HK"/>
    <s v="CPFNW"/>
    <s v="CPM Hongkong"/>
    <s v="Wonton +TY"/>
    <s v="Cooked Wonton"/>
    <s v="Cooked Wonton No Egg"/>
    <s v="082S83G24005P05001"/>
    <s v="115g*24"/>
    <n v="24"/>
    <n v="5"/>
    <n v="8.0000000000000002E-3"/>
    <x v="1"/>
    <s v="STPP"/>
    <s v="TYTB3C 30G"/>
    <n v="15"/>
    <m/>
    <n v="15"/>
    <n v="0"/>
    <n v="0"/>
    <n v="0"/>
    <n v="1"/>
    <n v="0"/>
    <m/>
    <n v="0"/>
    <n v="0"/>
  </r>
  <r>
    <x v="626"/>
    <s v="10-2025"/>
    <x v="1"/>
    <e v="#N/A"/>
    <x v="9"/>
    <s v="ขายภายใน"/>
    <s v=".7-11"/>
    <s v="CPFGS"/>
    <s v="ซีพีเอฟ เทรดดิ้ง"/>
    <s v="Wonton ND"/>
    <s v="Cooked Wonton"/>
    <s v="บะหมี่เกี๊ยวกุ้งซุปสุกี้ CPxMK 227g ND Pumpkin"/>
    <s v="082SJ3Q12003P09001"/>
    <s v="227g*12"/>
    <n v="12"/>
    <n v="3"/>
    <n v="8.0000000000000002E-3"/>
    <x v="2"/>
    <s v="STPP"/>
    <s v="MK"/>
    <n v="3030"/>
    <n v="3030"/>
    <n v="10"/>
    <n v="10"/>
    <n v="0"/>
    <n v="0"/>
    <n v="0.05"/>
    <n v="0"/>
    <m/>
    <n v="0"/>
    <n v="0"/>
  </r>
  <r>
    <x v="626"/>
    <s v="11-2025"/>
    <x v="1"/>
    <e v="#N/A"/>
    <x v="9"/>
    <s v="ขายภายใน"/>
    <s v="MTFS"/>
    <s v="CPFGS"/>
    <s v="ซีพีเอฟ เทรดดิ้ง"/>
    <s v="Wonton ND"/>
    <s v="Cooked Wonton"/>
    <s v="บะหมี่เกี๊ยวกุ้งซุปสุกี้ CPxMK 227g MT"/>
    <s v="082SJ3Q12003P0A001"/>
    <s v="227g*12"/>
    <n v="12"/>
    <n v="3"/>
    <n v="8.0000000000000002E-3"/>
    <x v="2"/>
    <s v="STPP"/>
    <s v="MK"/>
    <n v="500"/>
    <n v="500"/>
    <m/>
    <n v="0"/>
    <n v="0"/>
    <n v="0"/>
    <n v="0.05"/>
    <n v="0"/>
    <s v="เปลี่ยนใช้ผักกวางตุ้งแบบแช่แข็ง"/>
    <n v="0"/>
    <n v="0"/>
  </r>
  <r>
    <x v="627"/>
    <d v="2025-10-22T00:00:00"/>
    <x v="1"/>
    <e v="#N/A"/>
    <x v="9"/>
    <s v="ขายภายใน"/>
    <s v="MTFS"/>
    <s v="CPFGS"/>
    <s v="ซีพีเอฟ เทรดดิ้ง"/>
    <s v="E+Wonton NDE"/>
    <s v="Cooked Wonton"/>
    <s v="CPบะหมี่เกี๊ยวกุ้งจักรพรรดิ 678g  (Multi Pack)"/>
    <s v="082SJ3Q18003P03001"/>
    <s v="226g*3ถ้วย*6ถุง"/>
    <n v="18"/>
    <n v="3"/>
    <n v="8.0000000000000002E-3"/>
    <x v="1"/>
    <s v="STPP"/>
    <s v="Regular"/>
    <n v="2500"/>
    <n v="563"/>
    <n v="1936.8333333333333"/>
    <n v="-0.16666666666696983"/>
    <n v="3.000000000007276"/>
    <n v="9.0000000000218279"/>
    <n v="7.4999999999999997E-3"/>
    <n v="2.250000000005457E-2"/>
    <m/>
    <n v="7.2000000000174613E-5"/>
    <n v="1.3333333333365668E-4"/>
  </r>
  <r>
    <x v="627"/>
    <d v="2025-10-22T00:00:00"/>
    <x v="1"/>
    <e v="#N/A"/>
    <x v="9"/>
    <s v="ขายภายใน"/>
    <s v="MTFS"/>
    <s v="CPFGS"/>
    <s v="ซีพีเอฟ เทรดดิ้ง"/>
    <s v="E+Minced WT"/>
    <s v="Cooked Wonton"/>
    <s v="CPเกี๊ยวกุ้งสับ 405g (Multi Pack)"/>
    <s v="082SK3Q18005P00001"/>
    <s v="135g*3ถ้วย*6ถุง"/>
    <n v="18"/>
    <n v="5"/>
    <n v="6.0000000000000001E-3"/>
    <x v="4"/>
    <s v="STPP"/>
    <s v="Regular"/>
    <n v="2500"/>
    <m/>
    <n v="2546.2222222222222"/>
    <n v="46.222222222222172"/>
    <n v="0"/>
    <n v="0"/>
    <n v="7.4999999999999997E-3"/>
    <n v="0"/>
    <m/>
    <n v="0"/>
    <n v="0"/>
  </r>
  <r>
    <x v="628"/>
    <m/>
    <x v="1"/>
    <e v="#N/A"/>
    <x v="9"/>
    <m/>
    <m/>
    <m/>
    <m/>
    <m/>
    <m/>
    <m/>
    <m/>
    <m/>
    <m/>
    <m/>
    <m/>
    <x v="0"/>
    <m/>
    <m/>
    <m/>
    <m/>
    <m/>
    <m/>
    <m/>
    <n v="0"/>
    <m/>
    <m/>
    <m/>
    <m/>
    <m/>
  </r>
  <r>
    <x v="629"/>
    <d v="2025-10-27T00:00:00"/>
    <x v="1"/>
    <e v="#N/A"/>
    <x v="9"/>
    <s v="DRY2500243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n v="0"/>
    <n v="7.4999999999999997E-3"/>
    <n v="0"/>
    <s v="new package (ลบโลโก้ Facebook)"/>
    <n v="0"/>
    <n v="0"/>
  </r>
  <r>
    <x v="629"/>
    <d v="2025-11-03T00:00:00"/>
    <x v="1"/>
    <e v="#N/A"/>
    <x v="9"/>
    <s v="DRY2500300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420"/>
    <n v="372"/>
    <n v="0"/>
    <n v="0"/>
    <n v="0"/>
    <n v="7.4999999999999997E-3"/>
    <n v="0"/>
    <m/>
    <n v="0"/>
    <n v="0"/>
  </r>
  <r>
    <x v="629"/>
    <d v="2025-11-03T00:00:00"/>
    <x v="1"/>
    <e v="#N/A"/>
    <x v="9"/>
    <s v="DRY2500301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m/>
    <n v="794.11111111111109"/>
    <n v="2.1111111111110858"/>
    <n v="0"/>
    <n v="0"/>
    <n v="7.4999999999999997E-3"/>
    <n v="0"/>
    <m/>
    <n v="0"/>
    <n v="0"/>
  </r>
  <r>
    <x v="630"/>
    <d v="2025-10-25T00:00:00"/>
    <x v="1"/>
    <e v="#N/A"/>
    <x v="9"/>
    <s v="KL2500035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n v="0"/>
    <n v="0"/>
  </r>
  <r>
    <x v="630"/>
    <d v="2025-10-27T00:00:00"/>
    <x v="1"/>
    <e v="#N/A"/>
    <x v="9"/>
    <s v="KL2500036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75"/>
    <n v="75"/>
    <m/>
    <n v="0"/>
    <n v="0"/>
    <n v="0"/>
    <n v="6"/>
    <n v="0"/>
    <m/>
    <n v="0"/>
    <n v="0"/>
  </r>
  <r>
    <x v="631"/>
    <d v="2025-10-27T00:00:00"/>
    <x v="1"/>
    <e v="#N/A"/>
    <x v="9"/>
    <s v="KL2500036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333"/>
    <n v="1333"/>
    <m/>
    <n v="0"/>
    <n v="0"/>
    <n v="0"/>
    <n v="6"/>
    <n v="0"/>
    <m/>
    <n v="0"/>
    <n v="0"/>
  </r>
  <r>
    <x v="632"/>
    <s v="11-2025"/>
    <x v="1"/>
    <e v="#N/A"/>
    <x v="9"/>
    <s v="ขายภายใน"/>
    <s v="MTFS"/>
    <s v="CPFGS"/>
    <s v="ซีพีเอฟ เทรดดิ้ง"/>
    <s v="E+Wonton NDE"/>
    <s v="Cooked Wonton"/>
    <s v="บะหมี่เกี๊ยวกุ้ง ตราซีพี 12X226 กรัม"/>
    <s v="082SJ3Q12003P07001"/>
    <s v="226g*12"/>
    <n v="12"/>
    <n v="3"/>
    <n v="8.0000000000000002E-3"/>
    <x v="1"/>
    <s v="STPP"/>
    <s v="Regular"/>
    <n v="713"/>
    <n v="713"/>
    <m/>
    <n v="0"/>
    <n v="0"/>
    <n v="0"/>
    <n v="7.4999999999999997E-3"/>
    <n v="0"/>
    <m/>
    <n v="0"/>
    <n v="0"/>
  </r>
  <r>
    <x v="632"/>
    <s v="11-2025"/>
    <x v="1"/>
    <e v="#N/A"/>
    <x v="9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200"/>
    <n v="200"/>
    <m/>
    <n v="0"/>
    <n v="0"/>
    <n v="0"/>
    <n v="7.4999999999999997E-3"/>
    <n v="0"/>
    <m/>
    <n v="0"/>
    <n v="0"/>
  </r>
  <r>
    <x v="632"/>
    <s v="11-2025"/>
    <x v="1"/>
    <e v="#N/A"/>
    <x v="9"/>
    <s v="ขายภายใน"/>
    <s v="MTFS"/>
    <s v="CPFGS"/>
    <s v="ซีพีเอฟ เทรดดิ้ง"/>
    <s v="E+Wonton"/>
    <s v="Cooked Wonton"/>
    <s v="Cooked Wonton  with egg V-Food"/>
    <s v="082S83Q12005P05000"/>
    <s v="145g*12"/>
    <n v="12"/>
    <n v="5"/>
    <n v="8.0000000000000002E-3"/>
    <x v="1"/>
    <s v="STPP"/>
    <s v="Regular"/>
    <n v="12"/>
    <n v="12"/>
    <m/>
    <n v="0"/>
    <n v="0"/>
    <n v="0"/>
    <n v="7.4999999999999997E-3"/>
    <n v="0"/>
    <m/>
    <n v="0"/>
    <n v="0"/>
  </r>
  <r>
    <x v="632"/>
    <s v="11-2025"/>
    <x v="1"/>
    <e v="#N/A"/>
    <x v="9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1"/>
    <s v="145g*12"/>
    <n v="12"/>
    <n v="5"/>
    <n v="8.0000000000000002E-3"/>
    <x v="1"/>
    <s v="STPP"/>
    <s v="Regular"/>
    <n v="1250"/>
    <n v="1250"/>
    <m/>
    <n v="0"/>
    <n v="0"/>
    <n v="0"/>
    <n v="7.4999999999999997E-3"/>
    <n v="0"/>
    <m/>
    <n v="0"/>
    <n v="0"/>
  </r>
  <r>
    <x v="632"/>
    <s v="11-2025"/>
    <x v="1"/>
    <e v="#N/A"/>
    <x v="9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920"/>
    <n v="920"/>
    <m/>
    <n v="0"/>
    <n v="0"/>
    <n v="0"/>
    <n v="7.4999999999999997E-3"/>
    <n v="0"/>
    <m/>
    <n v="0"/>
    <n v="0"/>
  </r>
  <r>
    <x v="632"/>
    <s v="11-2025"/>
    <x v="1"/>
    <e v="#N/A"/>
    <x v="9"/>
    <s v="ขายภายใน"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1200"/>
    <n v="1200"/>
    <m/>
    <n v="0"/>
    <n v="0"/>
    <n v="0"/>
    <n v="1"/>
    <n v="0"/>
    <m/>
    <n v="0"/>
    <n v="0"/>
  </r>
  <r>
    <x v="632"/>
    <s v="11-2025"/>
    <x v="1"/>
    <e v="#N/A"/>
    <x v="9"/>
    <s v="ขายภายใน"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1200"/>
    <n v="1200"/>
    <m/>
    <n v="0"/>
    <n v="0"/>
    <n v="0"/>
    <n v="1"/>
    <n v="0"/>
    <m/>
    <n v="0"/>
    <n v="0"/>
  </r>
  <r>
    <x v="633"/>
    <d v="2025-11-04T00:00:00"/>
    <x v="1"/>
    <e v="#N/A"/>
    <x v="9"/>
    <s v="DRY2500339"/>
    <s v="Japan"/>
    <s v="CPFNW"/>
    <s v="CPF JAPAN"/>
    <s v="R-Minced"/>
    <s v="Raw Wonton"/>
    <s v="Raw Minced Wonton 50 pcs Warabeya"/>
    <s v="082ID5710050P01001"/>
    <s v="500g*10inner"/>
    <n v="10"/>
    <n v="50"/>
    <n v="6.0000000000000001E-3"/>
    <x v="4"/>
    <s v="Salt"/>
    <s v="-"/>
    <n v="20"/>
    <m/>
    <n v="20"/>
    <n v="0"/>
    <n v="0"/>
    <n v="0"/>
    <n v="6"/>
    <n v="0"/>
    <m/>
    <n v="0"/>
    <n v="0"/>
  </r>
  <r>
    <x v="633"/>
    <d v="2025-10-31T00:00:00"/>
    <x v="1"/>
    <e v="#N/A"/>
    <x v="9"/>
    <s v="DRY2500326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218"/>
    <n v="218"/>
    <m/>
    <n v="0"/>
    <n v="0"/>
    <n v="0"/>
    <n v="6"/>
    <n v="0"/>
    <m/>
    <n v="0"/>
    <n v="0"/>
  </r>
  <r>
    <x v="634"/>
    <d v="2025-10-31T00:00:00"/>
    <x v="1"/>
    <e v="#N/A"/>
    <x v="9"/>
    <s v="DRY2500326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134"/>
    <n v="134"/>
    <m/>
    <n v="0"/>
    <n v="0"/>
    <n v="0"/>
    <n v="6"/>
    <n v="0"/>
    <m/>
    <n v="0"/>
    <n v="0"/>
  </r>
  <r>
    <x v="634"/>
    <d v="2025-11-01T00:00:00"/>
    <x v="1"/>
    <e v="#N/A"/>
    <x v="9"/>
    <s v="DRY2500309"/>
    <s v="New Zealand"/>
    <s v="CPFNW"/>
    <s v="Lim Brothers"/>
    <s v="C-Minced WT in tray no egg"/>
    <s v="Cooked Wonton"/>
    <s v="Cooked Minced Wonton in Tray 6 pcs + Sesame Sauce"/>
    <s v="082SKN716006P00001"/>
    <s v="117*2tray*8in"/>
    <n v="16"/>
    <n v="6"/>
    <n v="6.0000000000000001E-3"/>
    <x v="4"/>
    <s v="Salt"/>
    <s v=" Sesame 15g"/>
    <n v="425"/>
    <m/>
    <n v="456.625"/>
    <n v="31.625"/>
    <n v="0"/>
    <n v="0"/>
    <n v="1"/>
    <n v="0"/>
    <s v="ซอสเข้า 22/10"/>
    <n v="0"/>
    <n v="0"/>
  </r>
  <r>
    <x v="634"/>
    <s v="11-2025"/>
    <x v="1"/>
    <e v="#N/A"/>
    <x v="9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0000000000000001E-3"/>
    <x v="2"/>
    <s v="STPP"/>
    <s v="Regular"/>
    <n v="1458"/>
    <n v="1458"/>
    <m/>
    <n v="0"/>
    <n v="0"/>
    <n v="0"/>
    <n v="7.4999999999999997E-3"/>
    <n v="0"/>
    <m/>
    <n v="0"/>
    <n v="0"/>
  </r>
  <r>
    <x v="634"/>
    <d v="2025-11-01T00:00:00"/>
    <x v="1"/>
    <e v="#N/A"/>
    <x v="9"/>
    <s v="DRY2500309"/>
    <s v="New Zealand"/>
    <s v="CPFNW"/>
    <s v="Lim Brothers"/>
    <s v="Minced ND+Kee Mao"/>
    <s v="Cooked Wonton"/>
    <s v="Cooked Minced Wonton Thai Spicy Noodles (Kee Mao Noodles)"/>
    <s v="082SRN708003P03001"/>
    <s v="242g*8"/>
    <n v="8"/>
    <n v="3"/>
    <n v="6.0000000000000001E-3"/>
    <x v="4"/>
    <s v="Salt"/>
    <s v="Kee Mao"/>
    <n v="440"/>
    <m/>
    <n v="440"/>
    <n v="0"/>
    <n v="0"/>
    <n v="0"/>
    <n v="1"/>
    <n v="0"/>
    <s v="NEWPACKAGE"/>
    <n v="0"/>
    <n v="0"/>
  </r>
  <r>
    <x v="634"/>
    <d v="2025-12-18T00:00:00"/>
    <x v="1"/>
    <e v="#N/A"/>
    <x v="9"/>
    <s v="DRY2500328"/>
    <s v="New Zealand"/>
    <s v="CPFNW"/>
    <s v="Lim Brothers"/>
    <s v="Minced ND+Kee Mao"/>
    <s v="Cooked Wonton"/>
    <s v="Cooked Minced Wonton Thai Spicy Noodles (Kee Mao Noodles)"/>
    <s v="082SRN708003P03001"/>
    <s v="242g*8"/>
    <n v="8"/>
    <n v="3"/>
    <n v="6.0000000000000001E-3"/>
    <x v="4"/>
    <s v="Salt"/>
    <s v="Kee Mao"/>
    <n v="54"/>
    <m/>
    <n v="62.25"/>
    <n v="8.25"/>
    <n v="0"/>
    <n v="0"/>
    <n v="1"/>
    <n v="0"/>
    <s v="NEWPACKAGE"/>
    <n v="0"/>
    <n v="0"/>
  </r>
  <r>
    <x v="634"/>
    <d v="2025-11-10T00:00:00"/>
    <x v="1"/>
    <e v="#N/A"/>
    <x v="9"/>
    <s v="DRY2500274"/>
    <s v="SG"/>
    <s v="CPFNW"/>
    <s v="CPI SINGAPORE"/>
    <s v="Minced ND+หมาล่า"/>
    <s v="Cooked Wonton"/>
    <s v="Cooked Minced  ND No Egg หมาล่า"/>
    <s v="082SR3B24003P00001"/>
    <s v="300g*24"/>
    <n v="24"/>
    <n v="3"/>
    <n v="6.0000000000000001E-3"/>
    <x v="4"/>
    <s v="Salt"/>
    <s v="หมาล่า"/>
    <n v="210"/>
    <n v="210"/>
    <m/>
    <n v="0"/>
    <n v="0"/>
    <n v="0"/>
    <n v="2.4E-2"/>
    <n v="0"/>
    <s v="stock 631 ถ้วยจาก denmark"/>
    <n v="0"/>
    <n v="0"/>
  </r>
  <r>
    <x v="634"/>
    <d v="2025-11-05T00:00:00"/>
    <x v="1"/>
    <e v="#N/A"/>
    <x v="9"/>
    <s v="DRY2500310"/>
    <s v="HK"/>
    <s v="CPFNW"/>
    <s v="CPM Hongkong"/>
    <s v="Minced ND+หมาล่า"/>
    <s v="Cooked Wonton"/>
    <s v="Cooked Minced  ND No Egg หมาล่า"/>
    <s v="082SR3G24003P04001"/>
    <s v="300g*24"/>
    <n v="24"/>
    <n v="3"/>
    <n v="6.0000000000000001E-3"/>
    <x v="4"/>
    <s v="Salt"/>
    <s v="หมาล่า"/>
    <n v="10"/>
    <m/>
    <n v="10"/>
    <n v="0"/>
    <n v="0"/>
    <n v="0"/>
    <n v="1.2999999999999999E-2"/>
    <n v="0"/>
    <s v="stock 631 ถ้วยจาก denmark"/>
    <n v="0"/>
    <n v="0"/>
  </r>
  <r>
    <x v="635"/>
    <m/>
    <x v="1"/>
    <e v="#N/A"/>
    <x v="9"/>
    <m/>
    <m/>
    <m/>
    <m/>
    <m/>
    <m/>
    <m/>
    <m/>
    <m/>
    <m/>
    <m/>
    <m/>
    <x v="0"/>
    <m/>
    <m/>
    <m/>
    <m/>
    <m/>
    <m/>
    <m/>
    <n v="0"/>
    <m/>
    <m/>
    <m/>
    <m/>
    <m/>
  </r>
  <r>
    <x v="636"/>
    <d v="2025-10-31T00:00:00"/>
    <x v="1"/>
    <e v="#N/A"/>
    <x v="9"/>
    <s v="KL2500042"/>
    <s v="China"/>
    <s v="China"/>
    <s v="Charoen Pokphand Import&amp;Export Trading (Shanghai) Co., Ltd"/>
    <s v="R-Wonton no egg"/>
    <s v="Raw Wonton"/>
    <s v="Raw Wonton 50 pcs"/>
    <s v="082I95J08050P03001"/>
    <s v="630g*8in"/>
    <n v="8"/>
    <n v="50"/>
    <n v="6.8100000000000001E-3"/>
    <x v="3"/>
    <s v="STPP"/>
    <s v="ซุปซอง 5g."/>
    <n v="924"/>
    <n v="924"/>
    <m/>
    <n v="0"/>
    <n v="0"/>
    <n v="0"/>
    <n v="6"/>
    <n v="0"/>
    <m/>
    <n v="0"/>
    <n v="0"/>
  </r>
  <r>
    <x v="636"/>
    <d v="2025-11-05T00:00:00"/>
    <x v="1"/>
    <e v="#N/A"/>
    <x v="9"/>
    <s v="DRY2500289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1322"/>
    <n v="775"/>
    <n v="547"/>
    <n v="0"/>
    <n v="0"/>
    <n v="0"/>
    <n v="1"/>
    <n v="0"/>
    <s v="new package"/>
    <n v="0"/>
    <n v="0"/>
  </r>
  <r>
    <x v="637"/>
    <d v="2025-11-05T00:00:00"/>
    <x v="1"/>
    <e v="#N/A"/>
    <x v="9"/>
    <s v="DRY2500289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328"/>
    <n v="328"/>
    <m/>
    <n v="0"/>
    <n v="0"/>
    <n v="0"/>
    <n v="1"/>
    <n v="0"/>
    <s v="new package"/>
    <n v="0"/>
    <n v="0"/>
  </r>
  <r>
    <x v="637"/>
    <s v="11-2025"/>
    <x v="1"/>
    <e v="#N/A"/>
    <x v="9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2346"/>
    <n v="2346"/>
    <m/>
    <n v="0"/>
    <n v="0"/>
    <n v="0"/>
    <n v="7.4999999999999997E-3"/>
    <n v="0"/>
    <m/>
    <n v="0"/>
    <n v="0"/>
  </r>
  <r>
    <x v="637"/>
    <s v="11-2025"/>
    <x v="1"/>
    <e v="#N/A"/>
    <x v="9"/>
    <s v="ขายภายใน"/>
    <s v="MTFS"/>
    <s v="CPFGS"/>
    <s v="ซีพีเอฟ เทรดดิ้ง"/>
    <s v="Wonton ND"/>
    <s v="Cooked Wonton"/>
    <s v="บะหมี่เกี๊ยวกุ้งซุปสุกี้ CPxMK 227g MT"/>
    <s v="082SJ3Q12003P0A001"/>
    <s v="227g*12"/>
    <n v="12"/>
    <n v="3"/>
    <n v="8.0000000000000002E-3"/>
    <x v="2"/>
    <s v="STPP"/>
    <s v="MK"/>
    <n v="2000"/>
    <n v="2000"/>
    <m/>
    <n v="0"/>
    <n v="0"/>
    <n v="0"/>
    <n v="0.05"/>
    <n v="0"/>
    <s v="เปลี่ยนใช้ผักกวางตุ้งแบบแช่แข็ง"/>
    <n v="0"/>
    <n v="0"/>
  </r>
  <r>
    <x v="638"/>
    <d v="2025-11-03T00:00:00"/>
    <x v="1"/>
    <e v="#N/A"/>
    <x v="9"/>
    <s v="KL2500037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n v="0"/>
    <n v="0"/>
  </r>
  <r>
    <x v="638"/>
    <d v="2025-11-05T00:00:00"/>
    <x v="1"/>
    <e v="#N/A"/>
    <x v="9"/>
    <s v="DRY2500289"/>
    <s v="HK"/>
    <s v="CPFNW"/>
    <s v="CPM Hongkong"/>
    <s v="R-Minced egg past"/>
    <s v="Raw Wonton"/>
    <s v="Raw Minced Wonton 8 pcs"/>
    <s v="082ID3G18008P00001"/>
    <s v="90g*18in"/>
    <n v="18"/>
    <n v="8"/>
    <n v="6.0000000000000001E-3"/>
    <x v="4"/>
    <s v="STPP"/>
    <s v="ซุปซอง 5g."/>
    <n v="250"/>
    <n v="250"/>
    <m/>
    <n v="0"/>
    <n v="0"/>
    <n v="0"/>
    <n v="2"/>
    <n v="0"/>
    <m/>
    <n v="0"/>
    <n v="0"/>
  </r>
  <r>
    <x v="639"/>
    <d v="2025-11-10T00:00:00"/>
    <x v="1"/>
    <e v="#N/A"/>
    <x v="9"/>
    <s v="DRY2500244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n v="0"/>
    <n v="7.4999999999999997E-3"/>
    <n v="0"/>
    <s v="new package (ลบโลโก้ Facebook)"/>
    <n v="0"/>
    <n v="0"/>
  </r>
  <r>
    <x v="639"/>
    <s v="11-2025"/>
    <x v="1"/>
    <e v="#N/A"/>
    <x v="9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1371"/>
    <n v="1371"/>
    <m/>
    <n v="0"/>
    <n v="0"/>
    <n v="0"/>
    <n v="7.4999999999999997E-3"/>
    <n v="0"/>
    <m/>
    <n v="0"/>
    <n v="0"/>
  </r>
  <r>
    <x v="639"/>
    <s v="11-2025"/>
    <x v="1"/>
    <e v="#N/A"/>
    <x v="9"/>
    <s v="ขายภายใน"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1200"/>
    <n v="1200"/>
    <m/>
    <n v="0"/>
    <n v="0"/>
    <n v="0"/>
    <n v="1"/>
    <n v="0"/>
    <m/>
    <n v="0"/>
    <n v="0"/>
  </r>
  <r>
    <x v="640"/>
    <d v="2025-11-07T00:00:00"/>
    <x v="1"/>
    <e v="#N/A"/>
    <x v="9"/>
    <s v="KL2500038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408"/>
    <n v="1408"/>
    <m/>
    <n v="0"/>
    <n v="0"/>
    <n v="0"/>
    <n v="6"/>
    <n v="0"/>
    <m/>
    <n v="0"/>
    <n v="0"/>
  </r>
  <r>
    <x v="640"/>
    <d v="2025-11-05T00:00:00"/>
    <x v="1"/>
    <e v="#N/A"/>
    <x v="9"/>
    <s v="DRY2500310"/>
    <s v="HK"/>
    <s v="CPFNW"/>
    <s v="CPM Hongkong"/>
    <s v="R-Wonton egg past"/>
    <s v="Raw Wonton"/>
    <s v="Raw Wonton 8 pcs"/>
    <s v="082I93G20008P01001"/>
    <s v="194g*20in"/>
    <n v="20"/>
    <n v="8"/>
    <n v="1.4999999999999999E-2"/>
    <x v="6"/>
    <s v="STPP"/>
    <s v="ซุปซอง 5g."/>
    <n v="10"/>
    <m/>
    <n v="10"/>
    <n v="0"/>
    <n v="0"/>
    <n v="0"/>
    <n v="2"/>
    <n v="0"/>
    <s v="ห่อแบบดิบ"/>
    <n v="0"/>
    <n v="0"/>
  </r>
  <r>
    <x v="640"/>
    <d v="2025-11-10T00:00:00"/>
    <x v="1"/>
    <e v="#N/A"/>
    <x v="9"/>
    <s v="DRY2500274"/>
    <s v="SG"/>
    <s v="CPFNW"/>
    <s v="CPI SINGAPORE"/>
    <s v="R-Wonton egg past"/>
    <s v="Raw Wonton"/>
    <s v="Raw Wonton 8 pcs"/>
    <s v="082I93B20008P00001"/>
    <s v="194g*20in"/>
    <n v="20"/>
    <n v="8"/>
    <n v="1.4999999999999999E-2"/>
    <x v="6"/>
    <s v="STPP"/>
    <s v="ซุปซอง 5g."/>
    <n v="250"/>
    <n v="173"/>
    <n v="77"/>
    <n v="0"/>
    <n v="0"/>
    <n v="0"/>
    <n v="2"/>
    <n v="0"/>
    <s v="ห่อแบบดิบ"/>
    <n v="0"/>
    <n v="0"/>
  </r>
  <r>
    <x v="640"/>
    <d v="2025-11-10T00:00:00"/>
    <x v="1"/>
    <e v="#N/A"/>
    <x v="9"/>
    <s v="DRY2500288"/>
    <s v="SG"/>
    <s v="CPFNW"/>
    <s v="CPI SINGAPORE"/>
    <s v="R-Wonton egg past"/>
    <s v="Raw Wonton"/>
    <s v="Raw Wonton 8 pcs"/>
    <s v="082I93B20008P00001"/>
    <s v="194g*20in"/>
    <n v="20"/>
    <n v="8"/>
    <n v="1.4999999999999999E-2"/>
    <x v="6"/>
    <s v="STPP"/>
    <s v="ซุปซอง 5g."/>
    <n v="150"/>
    <m/>
    <n v="150"/>
    <n v="0"/>
    <n v="0"/>
    <n v="0"/>
    <n v="2"/>
    <n v="0"/>
    <s v="ห่อแบบดิบ"/>
    <n v="0"/>
    <n v="0"/>
  </r>
  <r>
    <x v="641"/>
    <s v="11-2025"/>
    <x v="1"/>
    <e v="#N/A"/>
    <x v="10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913"/>
    <n v="1913"/>
    <m/>
    <n v="0"/>
    <n v="0"/>
    <n v="0"/>
    <n v="7.4999999999999997E-3"/>
    <n v="0"/>
    <m/>
    <n v="0"/>
    <n v="0"/>
  </r>
  <r>
    <x v="641"/>
    <d v="2025-11-13T00:00:00"/>
    <x v="1"/>
    <e v="#N/A"/>
    <x v="10"/>
    <s v="DRY2500225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42"/>
    <n v="1242"/>
    <m/>
    <n v="0"/>
    <n v="0"/>
    <n v="0"/>
    <n v="7.4999999999999997E-3"/>
    <n v="0"/>
    <m/>
    <n v="0"/>
    <n v="0"/>
  </r>
  <r>
    <x v="642"/>
    <m/>
    <x v="1"/>
    <e v="#N/A"/>
    <x v="10"/>
    <m/>
    <m/>
    <m/>
    <m/>
    <m/>
    <m/>
    <m/>
    <m/>
    <m/>
    <m/>
    <m/>
    <m/>
    <x v="0"/>
    <m/>
    <m/>
    <m/>
    <m/>
    <m/>
    <m/>
    <m/>
    <n v="0"/>
    <m/>
    <m/>
    <m/>
    <m/>
    <m/>
  </r>
  <r>
    <x v="643"/>
    <d v="2025-11-17T00:00:00"/>
    <x v="1"/>
    <e v="#N/A"/>
    <x v="10"/>
    <s v="DRY2500317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07"/>
    <n v="592"/>
    <n v="15"/>
    <n v="0"/>
    <n v="0"/>
    <n v="0"/>
    <n v="6"/>
    <n v="0"/>
    <n v="40000"/>
    <n v="0"/>
    <n v="0"/>
  </r>
  <r>
    <x v="643"/>
    <s v="11-2025"/>
    <x v="1"/>
    <e v="#N/A"/>
    <x v="10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3682"/>
    <n v="3682"/>
    <m/>
    <n v="0"/>
    <n v="0"/>
    <n v="0"/>
    <n v="7.4999999999999997E-3"/>
    <n v="0"/>
    <m/>
    <n v="0"/>
    <n v="0"/>
  </r>
  <r>
    <x v="644"/>
    <d v="2025-11-17T00:00:00"/>
    <x v="1"/>
    <e v="#N/A"/>
    <x v="10"/>
    <s v="DRY2500317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18"/>
    <n v="618"/>
    <m/>
    <n v="0"/>
    <n v="0"/>
    <n v="0"/>
    <n v="6"/>
    <n v="0"/>
    <n v="40000"/>
    <n v="0"/>
    <n v="0"/>
  </r>
  <r>
    <x v="644"/>
    <d v="2025-11-12T00:00:00"/>
    <x v="1"/>
    <e v="#N/A"/>
    <x v="10"/>
    <s v="DRY2500144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675"/>
    <n v="675"/>
    <m/>
    <n v="0"/>
    <n v="0"/>
    <n v="0"/>
    <n v="9.7000000000000003E-3"/>
    <n v="0"/>
    <m/>
    <n v="0"/>
    <n v="0"/>
  </r>
  <r>
    <x v="644"/>
    <d v="2025-11-12T00:00:00"/>
    <x v="1"/>
    <e v="#N/A"/>
    <x v="10"/>
    <s v="DRY2500145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644"/>
    <d v="2025-11-12T00:00:00"/>
    <x v="1"/>
    <e v="#N/A"/>
    <x v="10"/>
    <s v="DRY2500146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644"/>
    <d v="2025-11-28T00:00:00"/>
    <x v="1"/>
    <e v="#N/A"/>
    <x v="10"/>
    <s v="DRY2500147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36"/>
    <n v="36"/>
    <m/>
    <n v="0"/>
    <n v="0"/>
    <n v="0"/>
    <n v="9.7000000000000003E-3"/>
    <n v="0"/>
    <s v="รอผัก"/>
    <n v="0"/>
    <n v="0"/>
  </r>
  <r>
    <x v="645"/>
    <d v="2025-11-17T00:00:00"/>
    <x v="1"/>
    <e v="#N/A"/>
    <x v="10"/>
    <s v="DRY2500317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06"/>
    <n v="606"/>
    <m/>
    <n v="0"/>
    <n v="0"/>
    <n v="0"/>
    <n v="6"/>
    <n v="0"/>
    <n v="40000"/>
    <n v="0"/>
    <n v="0"/>
  </r>
  <r>
    <x v="645"/>
    <d v="2025-11-20T00:00:00"/>
    <x v="1"/>
    <e v="#N/A"/>
    <x v="10"/>
    <s v="DRY2500302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645"/>
    <d v="2025-11-27T00:00:00"/>
    <x v="1"/>
    <e v="#N/A"/>
    <x v="10"/>
    <s v="DRY2500311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645"/>
    <d v="2025-12-04T00:00:00"/>
    <x v="1"/>
    <e v="#N/A"/>
    <x v="10"/>
    <s v="DRY2500312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89"/>
    <n v="3"/>
    <n v="0"/>
    <n v="0"/>
    <n v="0"/>
    <n v="7.4999999999999997E-3"/>
    <n v="0"/>
    <m/>
    <n v="0"/>
    <n v="0"/>
  </r>
  <r>
    <x v="646"/>
    <d v="2025-11-17T00:00:00"/>
    <x v="1"/>
    <e v="#N/A"/>
    <x v="10"/>
    <s v="DRY2500317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225"/>
    <n v="225"/>
    <m/>
    <n v="0"/>
    <n v="0"/>
    <n v="0"/>
    <n v="6"/>
    <n v="0"/>
    <m/>
    <n v="0"/>
    <n v="0"/>
  </r>
  <r>
    <x v="646"/>
    <d v="2025-11-24T00:00:00"/>
    <x v="1"/>
    <e v="#N/A"/>
    <x v="10"/>
    <s v="DRY2500275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673"/>
    <n v="659"/>
    <n v="14"/>
    <n v="0"/>
    <n v="0"/>
    <n v="0"/>
    <n v="2"/>
    <n v="0"/>
    <s v="ห่อแบบสุก"/>
    <n v="0"/>
    <n v="0"/>
  </r>
  <r>
    <x v="646"/>
    <s v="11-2025"/>
    <x v="1"/>
    <e v="#N/A"/>
    <x v="10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3507"/>
    <n v="3507"/>
    <m/>
    <n v="0"/>
    <n v="0"/>
    <n v="0"/>
    <n v="7.4999999999999997E-3"/>
    <n v="0"/>
    <m/>
    <n v="0"/>
    <n v="0"/>
  </r>
  <r>
    <x v="647"/>
    <d v="2025-11-24T00:00:00"/>
    <x v="1"/>
    <e v="#N/A"/>
    <x v="10"/>
    <s v="DRY2500275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1127"/>
    <n v="954"/>
    <n v="173"/>
    <n v="0"/>
    <n v="0"/>
    <n v="0"/>
    <n v="2"/>
    <n v="0"/>
    <s v="ห่อแบบสุก"/>
    <n v="0"/>
    <n v="0"/>
  </r>
  <r>
    <x v="647"/>
    <s v="11-2025"/>
    <x v="1"/>
    <e v="#N/A"/>
    <x v="10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075"/>
    <n v="1075"/>
    <m/>
    <n v="0"/>
    <n v="0"/>
    <n v="0"/>
    <n v="7.4999999999999997E-3"/>
    <n v="0"/>
    <m/>
    <n v="0"/>
    <n v="0"/>
  </r>
  <r>
    <x v="647"/>
    <s v="11-2024"/>
    <x v="1"/>
    <e v="#N/A"/>
    <x v="10"/>
    <s v="ขายภายใน"/>
    <s v=".7-11"/>
    <s v="CPFGS"/>
    <s v="ซีพีเอฟ เทรดดิ้ง"/>
    <s v="Wonton ND+V+TY"/>
    <s v="Cooked Wonton"/>
    <s v="บะหมี่เกี๊ยวกุ้งซุปต้มยำชีส ตราซีพี 211 g x24pack 7-11"/>
    <s v="082SJ1A24003P01001"/>
    <s v="211g*24"/>
    <n v="24"/>
    <n v="3"/>
    <n v="6.1999999999999998E-3"/>
    <x v="2"/>
    <s v="STPP"/>
    <s v="TYNSF"/>
    <n v="2841"/>
    <m/>
    <n v="2841"/>
    <n v="0"/>
    <n v="0"/>
    <n v="0"/>
    <n v="1.6E-2"/>
    <n v="0"/>
    <s v="ซอสรอร้านแจ้ง ,  Package รอร้านตอบกลับ (ร้านยังไม่ได้แบบ)"/>
    <n v="0"/>
    <n v="0"/>
  </r>
  <r>
    <x v="648"/>
    <s v="11-2025"/>
    <x v="1"/>
    <e v="#N/A"/>
    <x v="10"/>
    <s v="ขายภายใน"/>
    <s v="MTFS"/>
    <s v="CPFGS"/>
    <s v="ซีพีเอฟ เทรดดิ้ง"/>
    <s v="Minced+ND+V+น้ำราดเป็ด"/>
    <s v="Cooked Wonton"/>
    <s v="บะหมี่เกี๊ยวกุ้งสไตล์ฮ่องกง ตราซีพี 235 กรัม"/>
    <s v="082SR3Q12003P01001"/>
    <s v="235g*12"/>
    <n v="12"/>
    <n v="3"/>
    <n v="6.1999999999999998E-3"/>
    <x v="4"/>
    <s v="STPP"/>
    <s v="น้ำราดเป็ด"/>
    <n v="2400"/>
    <n v="2400"/>
    <m/>
    <n v="0"/>
    <n v="0"/>
    <n v="0"/>
    <m/>
    <n v="0"/>
    <s v="ซอสเข้า 30/10 ,  Package รอร้านตอบกลับ (ร้านยังไม่ได้แบบ)"/>
    <n v="0"/>
    <n v="0"/>
  </r>
  <r>
    <x v="648"/>
    <s v="11-2025"/>
    <x v="1"/>
    <e v="#N/A"/>
    <x v="10"/>
    <s v="ขายภายใน"/>
    <s v="MTFS"/>
    <s v="CPFGS"/>
    <s v="ซีพีเอฟ เทรดดิ้ง"/>
    <s v="Minced+ND+Kee Mao แห้ง"/>
    <s v="Cooked Wonton"/>
    <s v="บะหมี่เกี๊ยวกุ้งขี้เมา ตราซีพี 235 กรัม"/>
    <s v="082SR3Q12003P02001"/>
    <s v="235g*12"/>
    <n v="12"/>
    <n v="3"/>
    <n v="6.1999999999999998E-3"/>
    <x v="4"/>
    <s v="STPP"/>
    <s v="Kee Mao"/>
    <n v="2400"/>
    <n v="2400"/>
    <m/>
    <n v="0"/>
    <n v="0"/>
    <n v="0"/>
    <m/>
    <n v="0"/>
    <s v="ซอสเข้า 28/10 , Package รอร้านตอบกลับ (ร้านยังไม่ได้แบบ)"/>
    <n v="0"/>
    <n v="0"/>
  </r>
  <r>
    <x v="648"/>
    <s v="11-2024"/>
    <x v="1"/>
    <e v="#N/A"/>
    <x v="10"/>
    <s v="ขายภายใน"/>
    <s v=".7-11"/>
    <s v="CPFGS"/>
    <s v="ซีพีเอฟ เทรดดิ้ง"/>
    <s v="Wonton ND+V+TY"/>
    <s v="Cooked Wonton"/>
    <s v="บะหมี่เกี๊ยวกุ้งซุปต้มยำชีส ตราซีพี 211 g x24pack 7-11"/>
    <s v="082SJ1A24003P01001"/>
    <s v="211g*24"/>
    <n v="24"/>
    <n v="3"/>
    <n v="6.1999999999999998E-3"/>
    <x v="2"/>
    <s v="STPP"/>
    <s v="TYNSF"/>
    <n v="3116"/>
    <n v="3116"/>
    <m/>
    <n v="0"/>
    <n v="0"/>
    <n v="0"/>
    <n v="1.6E-2"/>
    <n v="0"/>
    <s v="ซอสรอร้านแจ้ง ,  Package รอร้านตอบกลับ (ร้านยังไม่ได้แบบ)"/>
    <n v="0"/>
    <n v="0"/>
  </r>
  <r>
    <x v="649"/>
    <m/>
    <x v="1"/>
    <e v="#N/A"/>
    <x v="10"/>
    <m/>
    <m/>
    <m/>
    <m/>
    <m/>
    <m/>
    <m/>
    <m/>
    <m/>
    <m/>
    <m/>
    <m/>
    <x v="0"/>
    <m/>
    <m/>
    <m/>
    <m/>
    <m/>
    <m/>
    <m/>
    <n v="0"/>
    <m/>
    <m/>
    <m/>
    <m/>
    <m/>
  </r>
  <r>
    <x v="650"/>
    <d v="2025-12-09T00:00:00"/>
    <x v="1"/>
    <e v="#N/A"/>
    <x v="10"/>
    <s v="DRY2500259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574"/>
    <n v="413"/>
    <n v="161"/>
    <n v="0"/>
    <n v="0"/>
    <n v="0"/>
    <n v="2"/>
    <n v="0"/>
    <m/>
    <n v="0"/>
    <n v="0"/>
  </r>
  <r>
    <x v="650"/>
    <s v="11-2025"/>
    <x v="1"/>
    <e v="#N/A"/>
    <x v="10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084"/>
    <n v="1084"/>
    <m/>
    <n v="0"/>
    <n v="0"/>
    <n v="0"/>
    <n v="7.4999999999999997E-3"/>
    <n v="0"/>
    <m/>
    <n v="0"/>
    <n v="0"/>
  </r>
  <r>
    <x v="650"/>
    <d v="2025-11-18T00:00:00"/>
    <x v="1"/>
    <e v="#N/A"/>
    <x v="10"/>
    <s v="DRY2500340"/>
    <s v="Korea"/>
    <s v="CPFNW"/>
    <s v="Consumer Package Commerce"/>
    <s v="Minced ND"/>
    <s v="Cooked Wonton"/>
    <s v="Cooked Minced Wonton Noodle"/>
    <s v="082SR3U12004P00001"/>
    <s v="231g*12"/>
    <n v="12"/>
    <n v="4"/>
    <n v="6.0000000000000001E-3"/>
    <x v="4"/>
    <s v="Salt"/>
    <s v="Regular"/>
    <n v="37"/>
    <n v="37"/>
    <m/>
    <n v="0"/>
    <n v="0"/>
    <n v="0"/>
    <n v="7.4999999999999997E-3"/>
    <n v="0"/>
    <m/>
    <n v="0"/>
    <n v="0"/>
  </r>
  <r>
    <x v="650"/>
    <d v="2025-11-17T00:00:00"/>
    <x v="1"/>
    <e v="#N/A"/>
    <x v="10"/>
    <s v="DRY2500318"/>
    <s v="Korea"/>
    <s v="CPFNW"/>
    <s v="Consumer Package Commerce"/>
    <s v="Minced ND"/>
    <s v="Cooked Wonton"/>
    <s v="Cooked Minced Wonton Noodle"/>
    <s v="082SR3U12004P00001"/>
    <s v="231g*12"/>
    <n v="12"/>
    <n v="4"/>
    <n v="6.0000000000000001E-3"/>
    <x v="4"/>
    <s v="Salt"/>
    <s v="Regular"/>
    <n v="2500"/>
    <n v="2500"/>
    <n v="7.083333333333333"/>
    <n v="7.0833333333334849"/>
    <n v="0"/>
    <n v="0"/>
    <n v="7.4999999999999997E-3"/>
    <n v="0"/>
    <m/>
    <n v="0"/>
    <n v="0"/>
  </r>
  <r>
    <x v="650"/>
    <d v="2025-11-17T00:00:00"/>
    <x v="1"/>
    <e v="#N/A"/>
    <x v="10"/>
    <s v="DRY2500255"/>
    <s v="Korea"/>
    <s v="CPFNW"/>
    <s v="Emart"/>
    <s v="Minced ND+V+TK"/>
    <s v="Cooked Wonton"/>
    <s v="Cooked Minced  ND No Egg with Pumpkin_x000a_+ Yu Choy Tomkha"/>
    <s v="082SREJ36003P00001"/>
    <s v="302g*6c*6in"/>
    <n v="36"/>
    <n v="3"/>
    <n v="6.0000000000000001E-3"/>
    <x v="4"/>
    <s v="Salt"/>
    <s v="Tomkha1+CM"/>
    <n v="792"/>
    <n v="782"/>
    <n v="10"/>
    <n v="0"/>
    <n v="0"/>
    <n v="0"/>
    <n v="5.8823E-2"/>
    <n v="0"/>
    <m/>
    <n v="0"/>
    <n v="0"/>
  </r>
  <r>
    <x v="651"/>
    <d v="2025-12-09T00:00:00"/>
    <x v="1"/>
    <e v="#N/A"/>
    <x v="10"/>
    <s v="DRY2500259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569"/>
    <n v="543"/>
    <n v="26"/>
    <n v="0"/>
    <n v="0"/>
    <n v="0"/>
    <n v="2"/>
    <n v="0"/>
    <m/>
    <n v="0"/>
    <n v="0"/>
  </r>
  <r>
    <x v="651"/>
    <s v="11-2025"/>
    <x v="1"/>
    <e v="#N/A"/>
    <x v="10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2386"/>
    <n v="2386"/>
    <m/>
    <n v="0"/>
    <n v="0"/>
    <n v="0"/>
    <n v="7.4999999999999997E-3"/>
    <n v="0"/>
    <m/>
    <n v="0"/>
    <n v="0"/>
  </r>
  <r>
    <x v="651"/>
    <d v="2025-12-26T00:00:00"/>
    <x v="1"/>
    <e v="#N/A"/>
    <x v="10"/>
    <s v="DRY2500306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n v="0"/>
    <n v="7.4999999999999997E-3"/>
    <n v="0"/>
    <s v="new package (ลบโลโก้ Facebook)"/>
    <n v="0"/>
    <n v="0"/>
  </r>
  <r>
    <x v="652"/>
    <d v="2025-12-09T00:00:00"/>
    <x v="1"/>
    <e v="#N/A"/>
    <x v="10"/>
    <s v="DRY2500259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481"/>
    <n v="481"/>
    <m/>
    <n v="0"/>
    <n v="0"/>
    <n v="0"/>
    <n v="2"/>
    <n v="0"/>
    <m/>
    <n v="0"/>
    <n v="0"/>
  </r>
  <r>
    <x v="652"/>
    <d v="2025-11-24T00:00:00"/>
    <x v="1"/>
    <e v="#N/A"/>
    <x v="10"/>
    <s v="DRY2500213"/>
    <s v="Netherlands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x v="652"/>
    <s v="11-2025"/>
    <x v="1"/>
    <e v="#N/A"/>
    <x v="10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932"/>
    <n v="932"/>
    <m/>
    <n v="0"/>
    <n v="0"/>
    <n v="0"/>
    <n v="7.4999999999999997E-3"/>
    <n v="0"/>
    <m/>
    <n v="0"/>
    <n v="0"/>
  </r>
  <r>
    <x v="652"/>
    <s v="12-2025"/>
    <x v="1"/>
    <e v="#N/A"/>
    <x v="10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629"/>
    <n v="629"/>
    <m/>
    <n v="0"/>
    <n v="0"/>
    <n v="0"/>
    <n v="7.4999999999999997E-3"/>
    <n v="0"/>
    <m/>
    <n v="0"/>
    <n v="0"/>
  </r>
  <r>
    <x v="653"/>
    <d v="2025-11-24T00:00:00"/>
    <x v="1"/>
    <e v="#N/A"/>
    <x v="10"/>
    <s v="DRY2500343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130"/>
    <n v="130"/>
    <m/>
    <n v="0"/>
    <n v="0"/>
    <n v="0"/>
    <n v="6"/>
    <n v="0"/>
    <m/>
    <n v="0"/>
    <n v="0"/>
  </r>
  <r>
    <x v="653"/>
    <s v="12-2025"/>
    <x v="1"/>
    <e v="#N/A"/>
    <x v="10"/>
    <s v="ขายภายใน"/>
    <s v="MTFS"/>
    <s v="CPFGS"/>
    <s v="ซีพีเอฟ เทรดดิ้ง"/>
    <s v="E+Wonton"/>
    <s v="Cooked Wonton"/>
    <s v="Cooked Wonton  with egg V-Food"/>
    <s v="082S83Q12005P05000"/>
    <s v="145g*12"/>
    <n v="12"/>
    <n v="5"/>
    <n v="8.0000000000000002E-3"/>
    <x v="1"/>
    <s v="STPP"/>
    <s v="Regular"/>
    <n v="20"/>
    <n v="20.333333333333332"/>
    <m/>
    <n v="0.33333333333333215"/>
    <n v="0"/>
    <n v="0"/>
    <n v="7.4999999999999997E-3"/>
    <n v="0"/>
    <m/>
    <n v="0"/>
    <n v="0"/>
  </r>
  <r>
    <x v="653"/>
    <s v="11-2025"/>
    <x v="1"/>
    <e v="#N/A"/>
    <x v="10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1"/>
    <s v="145g*12"/>
    <n v="12"/>
    <n v="5"/>
    <n v="8.0000000000000002E-3"/>
    <x v="1"/>
    <s v="STPP"/>
    <s v="Regular"/>
    <n v="1250"/>
    <n v="1250"/>
    <m/>
    <n v="0"/>
    <n v="0"/>
    <n v="0"/>
    <n v="7.4999999999999997E-3"/>
    <n v="0"/>
    <m/>
    <n v="0"/>
    <n v="0"/>
  </r>
  <r>
    <x v="653"/>
    <s v="11-2025"/>
    <x v="1"/>
    <e v="#N/A"/>
    <x v="10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1"/>
    <s v="145g*12"/>
    <n v="12"/>
    <n v="5"/>
    <n v="8.0000000000000002E-3"/>
    <x v="1"/>
    <s v="STPP"/>
    <s v="Regular"/>
    <n v="1250"/>
    <n v="1250"/>
    <m/>
    <n v="0"/>
    <n v="0"/>
    <n v="0"/>
    <n v="7.4999999999999997E-3"/>
    <n v="0"/>
    <m/>
    <n v="0"/>
    <n v="0"/>
  </r>
  <r>
    <x v="653"/>
    <s v="11-2025"/>
    <x v="1"/>
    <e v="#N/A"/>
    <x v="10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1622"/>
    <n v="1622"/>
    <m/>
    <n v="0"/>
    <n v="0"/>
    <n v="0"/>
    <n v="7.4999999999999997E-3"/>
    <n v="0"/>
    <m/>
    <n v="0"/>
    <n v="0"/>
  </r>
  <r>
    <x v="653"/>
    <s v="11-2025"/>
    <x v="1"/>
    <e v="#N/A"/>
    <x v="10"/>
    <s v="ขายภายใน"/>
    <s v="MTFS"/>
    <s v="CPFGS"/>
    <s v="ซีพีเอฟ เทรดดิ้ง"/>
    <s v="E+Wonton TY"/>
    <s v="Cooked Wonton"/>
    <s v="เกี๊ยวกุ้งจักรพรรดิซุปต้มยำ LV CP 143g"/>
    <s v="082S83Q12005P09001"/>
    <s v="143g*12"/>
    <n v="12"/>
    <n v="5"/>
    <n v="8.0000000000000002E-3"/>
    <x v="2"/>
    <s v="STPP"/>
    <s v="TYNSF"/>
    <n v="1200"/>
    <n v="1193"/>
    <n v="7"/>
    <n v="0"/>
    <n v="0"/>
    <n v="0"/>
    <n v="8.9999999999999993E-3"/>
    <n v="0"/>
    <s v="ซอสรอร้านแจ้ง (และมีติดส่วนผสม 1 ตัว ยังไม่ทราบวันเข้า) ,  Package รอร้านตอบกลับ (ร้านยังไม่ได้แบบ)"/>
    <n v="0"/>
    <n v="0"/>
  </r>
  <r>
    <x v="654"/>
    <d v="2025-11-24T00:00:00"/>
    <x v="1"/>
    <e v="#N/A"/>
    <x v="10"/>
    <s v="DRY2500343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159"/>
    <n v="159"/>
    <m/>
    <n v="0"/>
    <n v="0"/>
    <n v="0"/>
    <n v="6"/>
    <n v="0"/>
    <m/>
    <n v="0"/>
    <n v="0"/>
  </r>
  <r>
    <x v="654"/>
    <s v="11-2025"/>
    <x v="1"/>
    <e v="#N/A"/>
    <x v="10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2371"/>
    <n v="2371"/>
    <m/>
    <n v="0"/>
    <n v="0"/>
    <n v="0"/>
    <n v="7.4999999999999997E-3"/>
    <n v="0"/>
    <m/>
    <n v="0"/>
    <n v="0"/>
  </r>
  <r>
    <x v="654"/>
    <s v="12-2025"/>
    <x v="1"/>
    <e v="#N/A"/>
    <x v="10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942"/>
    <n v="942"/>
    <m/>
    <n v="0"/>
    <n v="0"/>
    <n v="0"/>
    <n v="7.4999999999999997E-3"/>
    <n v="0"/>
    <m/>
    <n v="0"/>
    <n v="0"/>
  </r>
  <r>
    <x v="654"/>
    <d v="2025-11-24T00:00:00"/>
    <x v="1"/>
    <e v="#N/A"/>
    <x v="10"/>
    <s v="ขายภายใน"/>
    <s v="5 Stars"/>
    <s v="5 Stars"/>
    <s v="CPFRF"/>
    <s v="EP+Wonton"/>
    <s v="Cooked Wonton"/>
    <s v="Cooked Wonton with egg "/>
    <s v="082S81N16020P00001"/>
    <s v="20 pcs*16"/>
    <n v="64"/>
    <n v="5"/>
    <n v="7.0000000000000001E-3"/>
    <x v="3"/>
    <s v="STPP"/>
    <m/>
    <n v="100"/>
    <n v="100"/>
    <n v="3.5"/>
    <n v="3.5"/>
    <n v="0"/>
    <n v="0"/>
    <m/>
    <m/>
    <m/>
    <m/>
    <m/>
  </r>
  <r>
    <x v="655"/>
    <d v="2025-11-24T00:00:00"/>
    <x v="1"/>
    <e v="#N/A"/>
    <x v="10"/>
    <s v="DRY2500343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164"/>
    <n v="164"/>
    <m/>
    <n v="0"/>
    <n v="0"/>
    <n v="0"/>
    <n v="6"/>
    <n v="0"/>
    <m/>
    <n v="0"/>
    <n v="0"/>
  </r>
  <r>
    <x v="655"/>
    <s v="12-2025"/>
    <x v="1"/>
    <e v="#N/A"/>
    <x v="10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764"/>
    <n v="764"/>
    <m/>
    <n v="0"/>
    <n v="0"/>
    <n v="0"/>
    <n v="7.4999999999999997E-3"/>
    <n v="0"/>
    <m/>
    <n v="0"/>
    <n v="0"/>
  </r>
  <r>
    <x v="655"/>
    <s v="11-2025"/>
    <x v="1"/>
    <e v="#N/A"/>
    <x v="10"/>
    <s v="ขายภายใน"/>
    <s v="MTFS"/>
    <s v="CPFGS"/>
    <s v="ซีพีเอฟ เทรดดิ้ง"/>
    <s v="Minced+ND+Kee Mao แห้ง"/>
    <s v="Cooked Wonton"/>
    <s v="บะหมี่เกี๊ยวกุ้งขี้เมา ตราซีพี 235 กรัม"/>
    <s v="082SR3Q12003P02001"/>
    <s v="235g*12"/>
    <n v="12"/>
    <n v="3"/>
    <n v="6.1999999999999998E-3"/>
    <x v="4"/>
    <s v="STPP"/>
    <s v="Kee Mao"/>
    <n v="2500"/>
    <n v="2500"/>
    <m/>
    <n v="0"/>
    <n v="0"/>
    <n v="0"/>
    <m/>
    <n v="0"/>
    <m/>
    <n v="0"/>
    <n v="0"/>
  </r>
  <r>
    <x v="655"/>
    <s v="11-2025"/>
    <x v="1"/>
    <e v="#N/A"/>
    <x v="10"/>
    <s v="ขายภายใน"/>
    <s v="MTFS"/>
    <s v="CPFGS"/>
    <s v="ซีพีเอฟ เทรดดิ้ง"/>
    <s v="Minced+ND+V+น้ำราดเป็ด"/>
    <s v="Cooked Wonton"/>
    <s v="บะหมี่เกี๊ยวกุ้งสไตล์ฮ่องกง ตราซีพี 235 กรัม"/>
    <s v="082SR3Q12003P01001"/>
    <s v="235g*12"/>
    <n v="12"/>
    <n v="3"/>
    <n v="6.1999999999999998E-3"/>
    <x v="4"/>
    <s v="STPP"/>
    <s v="น้ำราดเป็ด"/>
    <n v="2500"/>
    <n v="2500"/>
    <m/>
    <n v="0"/>
    <n v="0"/>
    <n v="0"/>
    <m/>
    <n v="0"/>
    <m/>
    <n v="0"/>
    <n v="0"/>
  </r>
  <r>
    <x v="656"/>
    <m/>
    <x v="1"/>
    <e v="#N/A"/>
    <x v="10"/>
    <m/>
    <m/>
    <m/>
    <m/>
    <m/>
    <m/>
    <m/>
    <m/>
    <m/>
    <m/>
    <m/>
    <m/>
    <x v="0"/>
    <m/>
    <m/>
    <m/>
    <m/>
    <m/>
    <m/>
    <m/>
    <n v="0"/>
    <m/>
    <m/>
    <m/>
    <m/>
    <m/>
  </r>
  <r>
    <x v="657"/>
    <d v="2025-11-24T00:00:00"/>
    <x v="1"/>
    <e v="#N/A"/>
    <x v="10"/>
    <s v="DRY2500343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289"/>
    <n v="289"/>
    <m/>
    <n v="0"/>
    <n v="0"/>
    <n v="0"/>
    <n v="6"/>
    <n v="0"/>
    <m/>
    <n v="0"/>
    <n v="0"/>
  </r>
  <r>
    <x v="658"/>
    <d v="2025-11-24T00:00:00"/>
    <x v="1"/>
    <e v="#N/A"/>
    <x v="10"/>
    <s v="DRY2500343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298"/>
    <n v="298"/>
    <m/>
    <n v="0"/>
    <n v="0"/>
    <n v="0"/>
    <n v="6"/>
    <n v="0"/>
    <m/>
    <n v="0"/>
    <n v="0"/>
  </r>
  <r>
    <x v="659"/>
    <d v="2025-12-02T00:00:00"/>
    <x v="1"/>
    <e v="#N/A"/>
    <x v="10"/>
    <s v="DRY2500344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178"/>
    <n v="178"/>
    <m/>
    <n v="0"/>
    <n v="0"/>
    <n v="0"/>
    <n v="6"/>
    <n v="0"/>
    <m/>
    <n v="0"/>
    <n v="0"/>
  </r>
  <r>
    <x v="659"/>
    <s v="12-2025"/>
    <x v="1"/>
    <e v="#N/A"/>
    <x v="10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2558"/>
    <n v="2558"/>
    <m/>
    <n v="0"/>
    <n v="0"/>
    <n v="0"/>
    <n v="7.4999999999999997E-3"/>
    <n v="0"/>
    <m/>
    <n v="0"/>
    <n v="0"/>
  </r>
  <r>
    <x v="659"/>
    <s v="12-2025"/>
    <x v="1"/>
    <e v="#N/A"/>
    <x v="10"/>
    <s v="ขายภายใน"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1131"/>
    <n v="1131"/>
    <m/>
    <n v="0"/>
    <n v="0"/>
    <n v="0"/>
    <n v="1"/>
    <n v="0"/>
    <m/>
    <n v="0"/>
    <n v="0"/>
  </r>
  <r>
    <x v="660"/>
    <d v="2025-12-02T00:00:00"/>
    <x v="1"/>
    <e v="#N/A"/>
    <x v="10"/>
    <s v="DRY2500344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179"/>
    <n v="179"/>
    <m/>
    <n v="0"/>
    <n v="0"/>
    <n v="0"/>
    <n v="6"/>
    <n v="0"/>
    <m/>
    <n v="0"/>
    <n v="0"/>
  </r>
  <r>
    <x v="660"/>
    <s v="12-2025"/>
    <x v="1"/>
    <e v="#N/A"/>
    <x v="10"/>
    <s v="ขายภายใน"/>
    <s v="MTFS"/>
    <s v="CPFGS"/>
    <s v="ซีพีเอฟ เทรดดิ้ง"/>
    <s v="E+Minced NDE"/>
    <s v="Cooked Wonton"/>
    <s v="CPบะหมี่เกี๊ยวกุ้งสับ 573g (Multi Pack)"/>
    <s v="082SR3Q18003P00001"/>
    <s v="191g*3ถ้วย*6ถุง"/>
    <n v="18"/>
    <n v="3"/>
    <n v="6.0000000000000001E-3"/>
    <x v="4"/>
    <s v="STPP"/>
    <s v="Regular"/>
    <n v="2350"/>
    <m/>
    <n v="2350"/>
    <n v="0"/>
    <n v="0"/>
    <n v="0"/>
    <n v="7.4999999999999997E-3"/>
    <n v="0"/>
    <m/>
    <n v="0"/>
    <n v="0"/>
  </r>
  <r>
    <x v="660"/>
    <s v="11-2025"/>
    <x v="1"/>
    <e v="#N/A"/>
    <x v="10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200"/>
    <n v="200"/>
    <m/>
    <n v="0"/>
    <n v="0"/>
    <n v="0"/>
    <n v="7.4999999999999997E-3"/>
    <n v="0"/>
    <m/>
    <n v="0"/>
    <n v="0"/>
  </r>
  <r>
    <x v="660"/>
    <s v="11-2025"/>
    <x v="1"/>
    <e v="#N/A"/>
    <x v="10"/>
    <s v="ขายภายใน"/>
    <s v="MTFS"/>
    <s v="CPFGS"/>
    <s v="ซีพีเอฟ เทรดดิ้ง"/>
    <s v="E+Wonton NDE"/>
    <s v="Cooked Wonton"/>
    <s v="บะหมี่เกี๊ยวกุ้ง ตราซีพี 12X226 กรัม"/>
    <s v="082SJ3Q12003P07001"/>
    <s v="226g*12"/>
    <n v="12"/>
    <n v="3"/>
    <n v="8.0000000000000002E-3"/>
    <x v="1"/>
    <s v="STPP"/>
    <s v="Regular"/>
    <n v="800"/>
    <n v="800"/>
    <m/>
    <n v="0"/>
    <n v="0"/>
    <n v="0"/>
    <n v="7.4999999999999997E-3"/>
    <n v="0"/>
    <m/>
    <n v="0"/>
    <n v="0"/>
  </r>
  <r>
    <x v="660"/>
    <s v="12-2025"/>
    <x v="1"/>
    <e v="#N/A"/>
    <x v="10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1"/>
    <s v="145g*12"/>
    <n v="12"/>
    <n v="5"/>
    <n v="8.0000000000000002E-3"/>
    <x v="1"/>
    <s v="STPP"/>
    <s v="Regular"/>
    <n v="1250"/>
    <n v="1250"/>
    <m/>
    <n v="0"/>
    <n v="0"/>
    <n v="0"/>
    <n v="7.4999999999999997E-3"/>
    <n v="0"/>
    <m/>
    <n v="0"/>
    <n v="0"/>
  </r>
  <r>
    <x v="660"/>
    <s v="12-2025"/>
    <x v="1"/>
    <e v="#N/A"/>
    <x v="10"/>
    <s v="ขายภายใน"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1226"/>
    <n v="1226"/>
    <m/>
    <n v="0"/>
    <n v="0"/>
    <n v="0"/>
    <n v="1"/>
    <n v="0"/>
    <m/>
    <n v="0"/>
    <n v="0"/>
  </r>
  <r>
    <x v="661"/>
    <d v="2025-12-02T00:00:00"/>
    <x v="1"/>
    <e v="#N/A"/>
    <x v="10"/>
    <s v="DRY2500344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203"/>
    <n v="203"/>
    <m/>
    <n v="0"/>
    <n v="0"/>
    <n v="0"/>
    <n v="6"/>
    <n v="0"/>
    <m/>
    <n v="0"/>
    <n v="0"/>
  </r>
  <r>
    <x v="661"/>
    <d v="2025-12-16T00:00:00"/>
    <x v="1"/>
    <e v="#N/A"/>
    <x v="10"/>
    <s v="DRY2500334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400"/>
    <m/>
    <n v="400"/>
    <n v="0"/>
    <n v="0"/>
    <n v="0"/>
    <n v="7.4999999999999997E-3"/>
    <n v="0"/>
    <m/>
    <n v="0"/>
    <n v="0"/>
  </r>
  <r>
    <x v="661"/>
    <d v="2026-01-07T00:00:00"/>
    <x v="1"/>
    <e v="#N/A"/>
    <x v="10"/>
    <s v="DRY2500335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300"/>
    <m/>
    <n v="301.625"/>
    <n v="1.625"/>
    <n v="0"/>
    <n v="0"/>
    <n v="7.4999999999999997E-3"/>
    <n v="0"/>
    <m/>
    <n v="0"/>
    <n v="0"/>
  </r>
  <r>
    <x v="661"/>
    <s v="11-2024"/>
    <x v="1"/>
    <e v="#N/A"/>
    <x v="10"/>
    <s v="ขายภายใน"/>
    <s v=".7-11"/>
    <s v="CPFGS"/>
    <s v="ซีพีเอฟ เทรดดิ้ง"/>
    <s v="Wonton ND+V+TY"/>
    <s v="Cooked Wonton"/>
    <s v="บะหมี่เกี๊ยวกุ้งซุปต้มยำชีส ตราซีพี 211 g x24pack 7-11"/>
    <s v="082SJ1A24003P01001"/>
    <s v="211g*24"/>
    <n v="24"/>
    <n v="3"/>
    <n v="6.1999999999999998E-3"/>
    <x v="2"/>
    <s v="STPP"/>
    <s v="TYNSF"/>
    <n v="47"/>
    <n v="47"/>
    <m/>
    <n v="0"/>
    <n v="0"/>
    <n v="0"/>
    <n v="1.6E-2"/>
    <n v="0"/>
    <s v="ซอสรอร้านแจ้ง ,  Package รอร้านตอบกลับ (ร้านยังไม่ได้แบบ)"/>
    <n v="0"/>
    <n v="0"/>
  </r>
  <r>
    <x v="661"/>
    <s v="12-2025"/>
    <x v="1"/>
    <e v="#N/A"/>
    <x v="10"/>
    <s v="ขายภายใน"/>
    <s v=".7-11"/>
    <s v="CPFGS"/>
    <s v="ซีพีเอฟ เทรดดิ้ง"/>
    <s v="Wonton ND+V+TY"/>
    <s v="Cooked Wonton"/>
    <s v="บะหมี่เกี๊ยวกุ้งซุปต้มยำชีส ตราซีพี 211 g x24pack 7-11"/>
    <s v="082SJ1A24003P01001"/>
    <s v="211g*24"/>
    <n v="24"/>
    <n v="3"/>
    <n v="6.1999999999999998E-3"/>
    <x v="2"/>
    <s v="STPP"/>
    <s v="TYNSF"/>
    <n v="2760"/>
    <n v="2760"/>
    <n v="66.166666666666671"/>
    <n v="66.166666666666515"/>
    <n v="0"/>
    <n v="0"/>
    <n v="1.6E-2"/>
    <n v="0"/>
    <m/>
    <n v="0"/>
    <n v="0"/>
  </r>
  <r>
    <x v="662"/>
    <d v="2025-12-01T00:00:00"/>
    <x v="1"/>
    <e v="#N/A"/>
    <x v="10"/>
    <s v="DRY2500337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707"/>
    <n v="707"/>
    <m/>
    <n v="0"/>
    <n v="0"/>
    <n v="0"/>
    <n v="6"/>
    <n v="0"/>
    <m/>
    <n v="0"/>
    <n v="0"/>
  </r>
  <r>
    <x v="662"/>
    <s v="12-2025"/>
    <x v="1"/>
    <e v="#N/A"/>
    <x v="10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2594"/>
    <n v="2594"/>
    <m/>
    <n v="0"/>
    <n v="0"/>
    <n v="0"/>
    <n v="7.4999999999999997E-3"/>
    <n v="0"/>
    <m/>
    <n v="0"/>
    <n v="0"/>
  </r>
  <r>
    <x v="662"/>
    <s v="12-2025"/>
    <x v="1"/>
    <e v="#N/A"/>
    <x v="10"/>
    <s v="ขายภายใน"/>
    <s v="MTFS"/>
    <s v="CPFGS"/>
    <s v="ซีพีเอฟ เทรดดิ้ง"/>
    <s v="Wonton ND"/>
    <s v="Cooked Wonton"/>
    <s v="บะหมี่เกี๊ยวกุ้งซุปสุกี้ CPxMK 227g MT"/>
    <s v="082SJ3Q12003P0A001"/>
    <s v="227g*12"/>
    <n v="12"/>
    <n v="3"/>
    <n v="8.0000000000000002E-3"/>
    <x v="2"/>
    <s v="STPP"/>
    <s v="MK"/>
    <n v="2000"/>
    <n v="2000"/>
    <m/>
    <n v="0"/>
    <n v="0"/>
    <n v="0"/>
    <n v="0.05"/>
    <n v="0"/>
    <s v="เปลี่ยนใช้ผักกวางตุ้งแบบแช่แข็ง"/>
    <n v="0"/>
    <n v="0"/>
  </r>
  <r>
    <x v="663"/>
    <m/>
    <x v="1"/>
    <e v="#N/A"/>
    <x v="10"/>
    <m/>
    <m/>
    <m/>
    <m/>
    <m/>
    <m/>
    <m/>
    <m/>
    <m/>
    <m/>
    <m/>
    <m/>
    <x v="0"/>
    <m/>
    <m/>
    <m/>
    <m/>
    <m/>
    <m/>
    <m/>
    <n v="0"/>
    <m/>
    <m/>
    <m/>
    <m/>
    <m/>
  </r>
  <r>
    <x v="664"/>
    <d v="2025-12-01T00:00:00"/>
    <x v="1"/>
    <e v="#N/A"/>
    <x v="10"/>
    <s v="DRY2500337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89"/>
    <n v="689"/>
    <m/>
    <n v="0"/>
    <n v="0"/>
    <n v="0"/>
    <n v="6"/>
    <n v="0"/>
    <m/>
    <n v="0"/>
    <n v="0"/>
  </r>
  <r>
    <x v="664"/>
    <d v="2025-12-09T00:00:00"/>
    <x v="1"/>
    <e v="#N/A"/>
    <x v="10"/>
    <s v="DRY2500258"/>
    <s v="UK"/>
    <s v="CPFNW.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x v="664"/>
    <d v="2025-12-01T00:00:00"/>
    <x v="1"/>
    <e v="#N/A"/>
    <x v="10"/>
    <s v="DRY2500226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88"/>
    <m/>
    <n v="0"/>
    <n v="0"/>
    <n v="0"/>
    <n v="7.4999999999999997E-3"/>
    <n v="0"/>
    <m/>
    <n v="0"/>
    <n v="0"/>
  </r>
  <r>
    <x v="665"/>
    <d v="2025-12-01T00:00:00"/>
    <x v="1"/>
    <e v="#N/A"/>
    <x v="10"/>
    <s v="DRY2500337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60"/>
    <n v="660"/>
    <m/>
    <n v="0"/>
    <n v="0"/>
    <n v="0"/>
    <n v="6"/>
    <n v="0"/>
    <m/>
    <n v="0"/>
    <n v="0"/>
  </r>
  <r>
    <x v="665"/>
    <s v="12-2025"/>
    <x v="1"/>
    <e v="#N/A"/>
    <x v="10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2613"/>
    <n v="2613"/>
    <m/>
    <n v="0"/>
    <n v="0"/>
    <n v="0"/>
    <n v="7.4999999999999997E-3"/>
    <n v="0"/>
    <m/>
    <n v="0"/>
    <n v="0"/>
  </r>
  <r>
    <x v="665"/>
    <s v="12-2025"/>
    <x v="1"/>
    <e v="#N/A"/>
    <x v="10"/>
    <s v="ขายภายใน"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43"/>
    <n v="43"/>
    <m/>
    <n v="0"/>
    <n v="0"/>
    <n v="0"/>
    <n v="1"/>
    <n v="0"/>
    <m/>
    <n v="0"/>
    <n v="0"/>
  </r>
  <r>
    <x v="665"/>
    <s v="12-2025"/>
    <x v="1"/>
    <e v="#N/A"/>
    <x v="10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1"/>
    <s v="145g*12"/>
    <n v="12"/>
    <n v="5"/>
    <n v="8.0000000000000002E-3"/>
    <x v="1"/>
    <s v="STPP"/>
    <s v="Regular"/>
    <n v="1250"/>
    <n v="1250"/>
    <m/>
    <n v="0"/>
    <n v="0"/>
    <n v="0"/>
    <n v="7.4999999999999997E-3"/>
    <n v="0"/>
    <m/>
    <n v="0"/>
    <n v="0"/>
  </r>
  <r>
    <x v="665"/>
    <s v="12-2025"/>
    <x v="1"/>
    <e v="#N/A"/>
    <x v="10"/>
    <s v="ขายภายใน"/>
    <s v="MTFS"/>
    <s v="CPFGS"/>
    <s v="ซีพีเอฟ เทรดดิ้ง"/>
    <s v="E+Wonton TY"/>
    <s v="Cooked Wonton"/>
    <s v="เกี๊ยวกุ้งจักรพรรดิซุปต้มยำ LV CP 143g"/>
    <s v="082S83Q12005P09001"/>
    <s v="143g*12"/>
    <n v="12"/>
    <n v="5"/>
    <n v="8.0000000000000002E-3"/>
    <x v="2"/>
    <s v="STPP"/>
    <s v="TYNSF"/>
    <n v="800"/>
    <n v="800"/>
    <m/>
    <n v="0"/>
    <n v="0"/>
    <n v="0"/>
    <n v="8.9999999999999993E-3"/>
    <n v="0"/>
    <m/>
    <n v="0"/>
    <n v="0"/>
  </r>
  <r>
    <x v="665"/>
    <s v="12-2025"/>
    <x v="1"/>
    <e v="#N/A"/>
    <x v="10"/>
    <s v="ขายภายใน"/>
    <s v="MTFS"/>
    <s v="CPFGS"/>
    <s v="ซีพีเอฟ เทรดดิ้ง"/>
    <s v="E+Wonton TY"/>
    <s v="Cooked Wonton"/>
    <s v="เกี๊ยวกุ้งจักรพรรดิซุปต้มยำ LV CP 143g"/>
    <s v="082S83Q12005P09001"/>
    <s v="143g*12"/>
    <n v="12"/>
    <n v="5"/>
    <n v="8.0000000000000002E-3"/>
    <x v="2"/>
    <s v="STPP"/>
    <s v="TYNSF"/>
    <n v="200"/>
    <n v="200"/>
    <m/>
    <n v="0"/>
    <n v="0"/>
    <n v="0"/>
    <n v="8.9999999999999993E-3"/>
    <n v="0"/>
    <m/>
    <n v="0"/>
    <n v="0"/>
  </r>
  <r>
    <x v="666"/>
    <d v="2025-12-02T00:00:00"/>
    <x v="1"/>
    <e v="#N/A"/>
    <x v="10"/>
    <s v="DRY2500344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176"/>
    <n v="176"/>
    <m/>
    <n v="0"/>
    <n v="0"/>
    <n v="0"/>
    <n v="6"/>
    <n v="0"/>
    <m/>
    <n v="0"/>
    <n v="0"/>
  </r>
  <r>
    <x v="666"/>
    <s v="12-2025"/>
    <x v="1"/>
    <e v="#N/A"/>
    <x v="10"/>
    <s v="ขายภายใน"/>
    <s v="MTFS"/>
    <s v="CPFGS"/>
    <s v="ซีพีเอฟ เทรดดิ้ง"/>
    <s v="E+Wonton NDE"/>
    <s v="Cooked Wonton"/>
    <s v="บะหมี่เกี๊ยวกุ้ง ตราซีพี 12X226 กรัม"/>
    <s v="082SJ3Q12003P07001"/>
    <s v="226g*12"/>
    <n v="12"/>
    <n v="3"/>
    <n v="8.0000000000000002E-3"/>
    <x v="1"/>
    <s v="STPP"/>
    <s v="Regular"/>
    <n v="500"/>
    <n v="500"/>
    <m/>
    <n v="0"/>
    <n v="0"/>
    <n v="0"/>
    <n v="7.4999999999999997E-3"/>
    <n v="0"/>
    <m/>
    <n v="0"/>
    <n v="0"/>
  </r>
  <r>
    <x v="666"/>
    <s v="12-2025"/>
    <x v="1"/>
    <e v="#N/A"/>
    <x v="10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200"/>
    <n v="200"/>
    <m/>
    <n v="0"/>
    <n v="0"/>
    <n v="0"/>
    <n v="7.4999999999999997E-3"/>
    <n v="0"/>
    <m/>
    <n v="0"/>
    <n v="0"/>
  </r>
  <r>
    <x v="666"/>
    <s v="12-2025"/>
    <x v="1"/>
    <e v="#N/A"/>
    <x v="10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300"/>
    <n v="300"/>
    <m/>
    <n v="0"/>
    <n v="0"/>
    <n v="0"/>
    <n v="7.4999999999999997E-3"/>
    <n v="0"/>
    <m/>
    <n v="0"/>
    <n v="0"/>
  </r>
  <r>
    <x v="666"/>
    <s v="12-2025"/>
    <x v="1"/>
    <e v="#N/A"/>
    <x v="10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3413"/>
    <n v="3413"/>
    <m/>
    <n v="0"/>
    <n v="0"/>
    <n v="0"/>
    <n v="7.4999999999999997E-3"/>
    <n v="0"/>
    <m/>
    <n v="0"/>
    <n v="0"/>
  </r>
  <r>
    <x v="667"/>
    <d v="2025-12-02T00:00:00"/>
    <x v="1"/>
    <e v="#N/A"/>
    <x v="10"/>
    <s v="DRY2500344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175"/>
    <n v="175"/>
    <m/>
    <n v="0"/>
    <n v="0"/>
    <n v="0"/>
    <n v="6"/>
    <n v="0"/>
    <m/>
    <n v="0"/>
    <n v="0"/>
  </r>
  <r>
    <x v="667"/>
    <s v="12-2025"/>
    <x v="1"/>
    <e v="#N/A"/>
    <x v="10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3037"/>
    <n v="3037"/>
    <m/>
    <n v="0"/>
    <n v="0"/>
    <n v="0"/>
    <n v="7.4999999999999997E-3"/>
    <n v="0"/>
    <m/>
    <n v="0"/>
    <n v="0"/>
  </r>
  <r>
    <x v="667"/>
    <d v="2025-12-08T00:00:00"/>
    <x v="1"/>
    <e v="#N/A"/>
    <x v="10"/>
    <s v="ขายภายใน"/>
    <s v="MTFS"/>
    <s v="CPFGS"/>
    <s v="ซีพีเอฟ เทรดดิ้ง"/>
    <s v="E+Wonton"/>
    <s v="Cooked Wonton"/>
    <s v="ซีพี เกี๊ยวกุ้งจักรพรรดิ 270 ก. Sready"/>
    <s v="082S83Q18005P09001"/>
    <s v="270g*3B*6B"/>
    <n v="18"/>
    <n v="5"/>
    <n v="8.0000000000000002E-3"/>
    <x v="1"/>
    <s v="STPP"/>
    <s v="ซุปซอง 5g."/>
    <n v="1000"/>
    <m/>
    <n v="1000"/>
    <n v="0"/>
    <n v="0"/>
    <n v="0"/>
    <n v="1"/>
    <n v="0"/>
    <s v="กล่องใหม่"/>
    <n v="0"/>
    <n v="0"/>
  </r>
  <r>
    <x v="668"/>
    <d v="2025-12-16T00:00:00"/>
    <x v="1"/>
    <e v="#N/A"/>
    <x v="10"/>
    <s v="DRY2500334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00"/>
    <n v="100"/>
    <m/>
    <n v="0"/>
    <n v="0"/>
    <n v="0"/>
    <n v="6"/>
    <n v="0"/>
    <m/>
    <n v="0"/>
    <n v="0"/>
  </r>
  <r>
    <x v="668"/>
    <d v="2025-12-02T00:00:00"/>
    <x v="1"/>
    <e v="#N/A"/>
    <x v="10"/>
    <s v="DRY2500344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129"/>
    <n v="129"/>
    <m/>
    <n v="0"/>
    <n v="0"/>
    <n v="0"/>
    <n v="6"/>
    <n v="0"/>
    <m/>
    <n v="0"/>
    <n v="0"/>
  </r>
  <r>
    <x v="669"/>
    <d v="2025-12-13T00:00:00"/>
    <x v="1"/>
    <e v="#N/A"/>
    <x v="10"/>
    <s v="KL2500040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83"/>
    <n v="83"/>
    <m/>
    <n v="0"/>
    <n v="0"/>
    <n v="0"/>
    <n v="6"/>
    <n v="0"/>
    <m/>
    <n v="0"/>
    <n v="0"/>
  </r>
  <r>
    <x v="668"/>
    <s v="12-2025"/>
    <x v="1"/>
    <e v="#N/A"/>
    <x v="10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3313"/>
    <n v="3313"/>
    <m/>
    <n v="0"/>
    <n v="0"/>
    <n v="0"/>
    <n v="7.4999999999999997E-3"/>
    <n v="0"/>
    <m/>
    <n v="0"/>
    <n v="0"/>
  </r>
  <r>
    <x v="668"/>
    <d v="2025-12-11T00:00:00"/>
    <x v="1"/>
    <e v="#N/A"/>
    <x v="10"/>
    <s v="DRY2500347"/>
    <s v="SG"/>
    <s v="CPFNW"/>
    <s v="CPI SINGAPORE"/>
    <s v="Minced ND+หมาล่า"/>
    <s v="Cooked Wonton"/>
    <s v="Cooked Minced  ND No Egg หมาล่า"/>
    <s v="082SR3B24003P00001"/>
    <s v="300g*24"/>
    <n v="24"/>
    <n v="3"/>
    <n v="6.0000000000000001E-3"/>
    <x v="4"/>
    <s v="Salt"/>
    <s v="หมาล่า"/>
    <n v="210"/>
    <n v="217"/>
    <n v="1.875"/>
    <n v="8.875"/>
    <n v="0"/>
    <n v="0"/>
    <n v="2.4E-2"/>
    <n v="0"/>
    <s v="stock 631 ถ้วยจาก denmark"/>
    <n v="0"/>
    <n v="0"/>
  </r>
  <r>
    <x v="669"/>
    <d v="2025-12-08T00:00:00"/>
    <x v="1"/>
    <e v="#N/A"/>
    <x v="10"/>
    <s v="ขายภายใน"/>
    <s v="MTFS"/>
    <s v="CPFGS"/>
    <s v="ซีพีเอฟ เทรดดิ้ง"/>
    <s v="R-Wonton no egg"/>
    <s v="Raw Wonton"/>
    <s v="ซีพี เกี๊ยวกุ้งจักรพรรดิดิบ 220ก. Sready"/>
    <s v="082I93Q12020P02001"/>
    <s v="220g*12in"/>
    <n v="12"/>
    <n v="20"/>
    <n v="6.1999999999999998E-3"/>
    <x v="2"/>
    <s v="STPP"/>
    <m/>
    <n v="1000"/>
    <m/>
    <n v="1000"/>
    <n v="0"/>
    <n v="0"/>
    <n v="0"/>
    <m/>
    <n v="0"/>
    <s v="กล่องใหม่"/>
    <n v="0"/>
    <n v="0"/>
  </r>
  <r>
    <x v="669"/>
    <d v="2025-12-13T00:00:00"/>
    <x v="1"/>
    <e v="#N/A"/>
    <x v="10"/>
    <s v="KL2500040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819"/>
    <n v="819"/>
    <m/>
    <n v="0"/>
    <n v="0"/>
    <n v="0"/>
    <n v="6"/>
    <n v="0"/>
    <m/>
    <n v="0"/>
    <n v="0"/>
  </r>
  <r>
    <x v="670"/>
    <m/>
    <x v="1"/>
    <e v="#N/A"/>
    <x v="10"/>
    <m/>
    <m/>
    <m/>
    <m/>
    <m/>
    <m/>
    <m/>
    <m/>
    <m/>
    <m/>
    <m/>
    <m/>
    <x v="0"/>
    <m/>
    <m/>
    <m/>
    <m/>
    <m/>
    <m/>
    <m/>
    <n v="0"/>
    <m/>
    <m/>
    <m/>
    <m/>
    <m/>
  </r>
  <r>
    <x v="671"/>
    <d v="2025-12-13T00:00:00"/>
    <x v="1"/>
    <e v="#N/A"/>
    <x v="11"/>
    <s v="KL2500040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506"/>
    <n v="506"/>
    <m/>
    <n v="0"/>
    <n v="0"/>
    <n v="0"/>
    <n v="6"/>
    <n v="0"/>
    <m/>
    <n v="0"/>
    <n v="0"/>
  </r>
  <r>
    <x v="671"/>
    <d v="2025-12-15T00:00:00"/>
    <x v="1"/>
    <e v="#N/A"/>
    <x v="11"/>
    <s v="KL2500041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1146"/>
    <n v="1146"/>
    <m/>
    <n v="0"/>
    <n v="0"/>
    <n v="0"/>
    <n v="6"/>
    <n v="0"/>
    <m/>
    <n v="0"/>
    <n v="0"/>
  </r>
  <r>
    <x v="672"/>
    <d v="2025-12-15T00:00:00"/>
    <x v="1"/>
    <e v="#N/A"/>
    <x v="11"/>
    <s v="KL2500041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262"/>
    <n v="262"/>
    <m/>
    <n v="0"/>
    <n v="0"/>
    <n v="0"/>
    <n v="6"/>
    <n v="0"/>
    <m/>
    <n v="0"/>
    <n v="0"/>
  </r>
  <r>
    <x v="672"/>
    <s v="12-2025"/>
    <x v="1"/>
    <e v="#N/A"/>
    <x v="11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s v="-"/>
    <n v="800"/>
    <n v="682"/>
    <n v="165"/>
    <n v="47"/>
    <n v="0"/>
    <n v="0"/>
    <m/>
    <n v="0"/>
    <m/>
    <n v="0"/>
    <n v="0"/>
  </r>
  <r>
    <x v="672"/>
    <d v="2025-12-11T00:00:00"/>
    <x v="1"/>
    <e v="#N/A"/>
    <x v="11"/>
    <s v="DRY2500290"/>
    <s v="SG"/>
    <s v="CPFNW"/>
    <s v="CPI SINGAPORE"/>
    <s v="R-Wonton egg past"/>
    <s v="Raw Wonton"/>
    <s v="Raw Wonton 8 pcs"/>
    <s v="082I93B20008P00001"/>
    <s v="194g*20in"/>
    <n v="20"/>
    <n v="8"/>
    <n v="1.4999999999999999E-2"/>
    <x v="6"/>
    <s v="STPP"/>
    <s v="ซุปซอง 5g."/>
    <n v="1000"/>
    <n v="773"/>
    <n v="227"/>
    <n v="0"/>
    <n v="0"/>
    <n v="0"/>
    <n v="2"/>
    <n v="0"/>
    <s v="ห่อแบบดิบ"/>
    <n v="0"/>
    <n v="0"/>
  </r>
  <r>
    <x v="673"/>
    <d v="2025-12-11T00:00:00"/>
    <x v="1"/>
    <e v="#N/A"/>
    <x v="11"/>
    <s v="DRY2500276"/>
    <s v="SG"/>
    <s v="CPFNW"/>
    <s v="CPI SINGAPORE"/>
    <s v="R-Minced egg past"/>
    <s v="Raw Wonton"/>
    <s v="Raw Minced Wonton 8 pcs"/>
    <s v="082ID3B18008P00001"/>
    <s v="90g*18in"/>
    <n v="18"/>
    <n v="8"/>
    <n v="6.0000000000000001E-3"/>
    <x v="4"/>
    <s v="STPP"/>
    <s v="ซุปซอง 5g."/>
    <n v="600"/>
    <n v="600"/>
    <m/>
    <n v="0"/>
    <n v="0"/>
    <n v="0"/>
    <n v="2"/>
    <n v="0"/>
    <s v="new package"/>
    <n v="0"/>
    <n v="0"/>
  </r>
  <r>
    <x v="673"/>
    <d v="2025-12-23T00:00:00"/>
    <x v="1"/>
    <e v="#N/A"/>
    <x v="11"/>
    <s v="DRY2500304"/>
    <s v="Malay"/>
    <s v="CPFNW"/>
    <s v="CPM Malaysia"/>
    <s v="R-Wonton egg past"/>
    <s v="Raw Wonton"/>
    <s v="Raw Wonton 12 pcs"/>
    <s v="082I95I20012P02001"/>
    <s v="154g*20inner"/>
    <n v="20"/>
    <n v="12"/>
    <n v="6.8100000000000001E-3"/>
    <x v="3"/>
    <s v="STPP"/>
    <s v="ซุปซอง 5g."/>
    <n v="400"/>
    <n v="400"/>
    <m/>
    <n v="0"/>
    <n v="0"/>
    <n v="0"/>
    <n v="2"/>
    <n v="0"/>
    <m/>
    <n v="0"/>
    <n v="0"/>
  </r>
  <r>
    <x v="673"/>
    <s v="12-2025"/>
    <x v="1"/>
    <e v="#N/A"/>
    <x v="11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3635"/>
    <n v="3635"/>
    <m/>
    <n v="0"/>
    <n v="0"/>
    <n v="0"/>
    <n v="7.4999999999999997E-3"/>
    <n v="0"/>
    <m/>
    <n v="0"/>
    <n v="0"/>
  </r>
  <r>
    <x v="674"/>
    <d v="2025-12-22T00:00:00"/>
    <x v="1"/>
    <e v="#N/A"/>
    <x v="11"/>
    <s v="DRY2500292"/>
    <s v="SG"/>
    <s v="CPFNW"/>
    <s v="CPI SINGAPORE"/>
    <s v="R-Wonton egg past"/>
    <s v="Raw Wonton"/>
    <s v="Raw Wonton 12 pcs with sesame"/>
    <s v="082I93B20012P02001"/>
    <s v="204g*20in"/>
    <n v="20"/>
    <n v="12"/>
    <n v="6.8100000000000001E-3"/>
    <x v="3"/>
    <s v="STPP"/>
    <s v=" sesame 30g"/>
    <n v="255"/>
    <n v="255"/>
    <m/>
    <n v="0"/>
    <n v="0"/>
    <n v="0"/>
    <n v="2"/>
    <n v="0"/>
    <s v="ห่อแบบดิบ"/>
    <m/>
    <m/>
  </r>
  <r>
    <x v="674"/>
    <d v="2026-01-05T00:00:00"/>
    <x v="1"/>
    <e v="#N/A"/>
    <x v="11"/>
    <s v="DRY2500291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1022"/>
    <n v="619"/>
    <n v="403"/>
    <n v="0"/>
    <n v="0"/>
    <n v="0"/>
    <n v="2"/>
    <n v="0"/>
    <s v="ห่อแบบสุก"/>
    <n v="0"/>
    <n v="0"/>
  </r>
  <r>
    <x v="674"/>
    <d v="2025-12-18T00:00:00"/>
    <x v="1"/>
    <e v="#N/A"/>
    <x v="11"/>
    <s v="DRY2500327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674"/>
    <d v="2025-12-18T00:00:00"/>
    <x v="1"/>
    <e v="#N/A"/>
    <x v="11"/>
    <s v="DRY2500336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674"/>
    <d v="2025-12-18T00:00:00"/>
    <x v="1"/>
    <e v="#N/A"/>
    <x v="11"/>
    <s v="DRY2500357"/>
    <s v="AUS"/>
    <s v="CPFNW"/>
    <s v="CPF Australia Pty Ltd."/>
    <s v="Wonton ND+V"/>
    <s v="Cooked Wonton"/>
    <s v="Cooked Wonton ND No Egg with Pumpkin_x000a_+ Yu Choy "/>
    <s v="082SJ9U08004P00001"/>
    <s v="305g*8"/>
    <n v="8"/>
    <n v="4"/>
    <n v="7.4999999999999997E-3"/>
    <x v="5"/>
    <s v="Salt"/>
    <s v="Regular"/>
    <n v="950"/>
    <m/>
    <n v="962.375"/>
    <n v="12.375"/>
    <n v="0"/>
    <n v="0"/>
    <n v="7.4999999999999997E-3"/>
    <n v="0"/>
    <m/>
    <n v="0"/>
    <n v="0"/>
  </r>
  <r>
    <x v="674"/>
    <d v="2025-12-18T00:00:00"/>
    <x v="1"/>
    <e v="#N/A"/>
    <x v="11"/>
    <s v="DRY2500328"/>
    <s v="New Zealand"/>
    <s v="CPFNW"/>
    <s v="Lim Brothers"/>
    <s v="Wonton ND+V"/>
    <s v="Cooked Wonton"/>
    <s v="Cooked Wonton ND No Egg with Pumpkin_x000a_+ Yu Choy "/>
    <s v="082SJN708004P00001"/>
    <s v="305g*8"/>
    <n v="8"/>
    <n v="4"/>
    <n v="7.4999999999999997E-3"/>
    <x v="5"/>
    <s v="Salt"/>
    <s v="Regular"/>
    <n v="432"/>
    <n v="45"/>
    <n v="387"/>
    <n v="0"/>
    <n v="0"/>
    <n v="0"/>
    <n v="7.4999999999999997E-3"/>
    <n v="0"/>
    <m/>
    <n v="0"/>
    <n v="0"/>
  </r>
  <r>
    <x v="674"/>
    <d v="2025-12-25T00:00:00"/>
    <x v="1"/>
    <e v="#N/A"/>
    <x v="11"/>
    <s v="DRY2500368"/>
    <s v="New Zealand"/>
    <s v="CPFNW"/>
    <s v="Shore Mariner Limited"/>
    <s v="Wonton ND+V"/>
    <s v="Cooked Wonton"/>
    <s v="Cooked Wonton ND No Egg with Pumpkin_x000a_+ Yu Choy "/>
    <s v="082SJSF08004P00001"/>
    <s v="305g*8"/>
    <n v="8"/>
    <n v="4"/>
    <n v="7.4999999999999997E-3"/>
    <x v="5"/>
    <s v="Salt"/>
    <s v="Regular"/>
    <n v="260"/>
    <m/>
    <n v="291.375"/>
    <n v="31.375"/>
    <n v="0"/>
    <n v="0"/>
    <n v="7.4999999999999997E-3"/>
    <n v="0"/>
    <m/>
    <n v="0"/>
    <n v="0"/>
  </r>
  <r>
    <x v="674"/>
    <d v="2025-12-18T00:00:00"/>
    <x v="1"/>
    <e v="#N/A"/>
    <x v="11"/>
    <s v="DRY2500357"/>
    <s v="AUS"/>
    <s v="CPFNW"/>
    <s v="CPF Australia Pty Ltd."/>
    <s v="Minced ND+V+TY"/>
    <s v="Cooked Wonton"/>
    <s v="Cooked Minced  ND No Egg with Pumpkin_x000a_+ Yu Choy Tomyum"/>
    <s v="082SR9U08003P00001"/>
    <s v="302g*8"/>
    <n v="8"/>
    <n v="3"/>
    <n v="6.0000000000000001E-3"/>
    <x v="4"/>
    <s v="Salt"/>
    <s v="TYEXSG+CO"/>
    <n v="500"/>
    <m/>
    <n v="513"/>
    <n v="13"/>
    <n v="0"/>
    <n v="0"/>
    <n v="3.8699999999999998E-2"/>
    <n v="0"/>
    <m/>
    <n v="0"/>
    <n v="0"/>
  </r>
  <r>
    <x v="674"/>
    <d v="2025-12-18T00:00:00"/>
    <x v="1"/>
    <e v="#N/A"/>
    <x v="11"/>
    <s v="DRY2500328"/>
    <s v="New Zealand"/>
    <s v="CPFNW"/>
    <s v="Lim Brothers"/>
    <s v="Minced ND+V+TY"/>
    <s v="Cooked Wonton"/>
    <s v="Cooked Minced  ND No Egg with Pumpkin_x000a_+ Yu Choy Tomyum"/>
    <s v="082SRN708003P00001"/>
    <s v="302g*8"/>
    <n v="8"/>
    <n v="3"/>
    <n v="6.0000000000000001E-3"/>
    <x v="4"/>
    <s v="Salt"/>
    <s v="TYEXSG+CO"/>
    <n v="216"/>
    <m/>
    <n v="216"/>
    <n v="0"/>
    <n v="0"/>
    <n v="0"/>
    <n v="3.8699999999999998E-2"/>
    <n v="0"/>
    <m/>
    <n v="0"/>
    <n v="0"/>
  </r>
  <r>
    <x v="674"/>
    <d v="2025-12-25T00:00:00"/>
    <x v="1"/>
    <e v="#N/A"/>
    <x v="11"/>
    <s v="DRY2500368"/>
    <s v="New Zealand"/>
    <s v="CPFNW"/>
    <s v="Shore Mariner Limited"/>
    <s v="Minced ND+V+TY"/>
    <s v="Cooked Wonton"/>
    <s v="Cooked Minced  ND No Egg with Pumpkin_x000a_+ Yu Choy Tomyum"/>
    <s v="082SRSF08003P00001"/>
    <s v="302g*8"/>
    <n v="8"/>
    <n v="3"/>
    <n v="6.0000000000000001E-3"/>
    <x v="4"/>
    <s v="Salt"/>
    <s v="TYEXSG+CO"/>
    <n v="260"/>
    <m/>
    <n v="260"/>
    <n v="0"/>
    <n v="0"/>
    <n v="0"/>
    <n v="3.8699999999999998E-2"/>
    <n v="0"/>
    <m/>
    <n v="0"/>
    <n v="0"/>
  </r>
  <r>
    <x v="675"/>
    <m/>
    <x v="1"/>
    <e v="#N/A"/>
    <x v="11"/>
    <m/>
    <m/>
    <m/>
    <m/>
    <m/>
    <m/>
    <m/>
    <m/>
    <m/>
    <m/>
    <m/>
    <m/>
    <x v="0"/>
    <m/>
    <m/>
    <m/>
    <m/>
    <m/>
    <m/>
    <m/>
    <n v="0"/>
    <m/>
    <m/>
    <m/>
    <m/>
    <m/>
  </r>
  <r>
    <x v="676"/>
    <d v="2025-12-22T00:00:00"/>
    <x v="1"/>
    <e v="#N/A"/>
    <x v="11"/>
    <s v="DRY2500292"/>
    <s v="SG"/>
    <s v="CPFNW"/>
    <s v="CPI SINGAPORE"/>
    <s v="R-Wonton egg past"/>
    <s v="Raw Wonton"/>
    <s v="Raw Wonton 12 pcs with sesame"/>
    <s v="082I93B20012P02001"/>
    <s v="204g*20in"/>
    <n v="20"/>
    <n v="12"/>
    <n v="6.8100000000000001E-3"/>
    <x v="3"/>
    <s v="STPP"/>
    <s v=" sesame 30g"/>
    <n v="945"/>
    <n v="935"/>
    <n v="13"/>
    <n v="3"/>
    <n v="0"/>
    <n v="0"/>
    <n v="2"/>
    <n v="0"/>
    <s v="ห่อแบบดิบ"/>
    <m/>
    <m/>
  </r>
  <r>
    <x v="676"/>
    <d v="2026-01-06T00:00:00"/>
    <x v="1"/>
    <e v="#N/A"/>
    <x v="11"/>
    <s v="DRY2500331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1650"/>
    <m/>
    <n v="1650"/>
    <n v="0"/>
    <n v="0"/>
    <n v="0"/>
    <n v="1"/>
    <n v="0"/>
    <m/>
    <n v="0"/>
    <n v="0"/>
  </r>
  <r>
    <x v="676"/>
    <d v="2026-01-06T00:00:00"/>
    <x v="1"/>
    <e v="#N/A"/>
    <x v="11"/>
    <s v="DRY2500331"/>
    <s v="HK"/>
    <s v="CPFNW"/>
    <s v="CPM Hongkong"/>
    <s v="R-Minced egg past"/>
    <s v="Raw Wonton"/>
    <s v="Raw Minced Wonton 8 pcs"/>
    <s v="082ID3G18008P00001"/>
    <s v="90g*18in"/>
    <n v="18"/>
    <n v="8"/>
    <n v="6.0000000000000001E-3"/>
    <x v="4"/>
    <s v="STPP"/>
    <s v="ซุปซอง 5g."/>
    <n v="250"/>
    <n v="250"/>
    <m/>
    <n v="0"/>
    <n v="0"/>
    <n v="0"/>
    <n v="2"/>
    <n v="0"/>
    <s v="new package"/>
    <n v="0"/>
    <n v="0"/>
  </r>
  <r>
    <x v="677"/>
    <m/>
    <x v="1"/>
    <e v="#N/A"/>
    <x v="11"/>
    <m/>
    <m/>
    <m/>
    <m/>
    <m/>
    <m/>
    <m/>
    <m/>
    <m/>
    <m/>
    <m/>
    <m/>
    <x v="0"/>
    <m/>
    <m/>
    <m/>
    <m/>
    <m/>
    <m/>
    <m/>
    <n v="0"/>
    <m/>
    <m/>
    <m/>
    <m/>
    <m/>
  </r>
  <r>
    <x v="678"/>
    <d v="2025-12-22T00:00:00"/>
    <x v="1"/>
    <e v="#N/A"/>
    <x v="11"/>
    <s v="DRY2500345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171"/>
    <n v="167"/>
    <n v="4"/>
    <n v="0"/>
    <n v="0"/>
    <n v="0"/>
    <n v="6"/>
    <n v="0"/>
    <m/>
    <n v="0"/>
    <n v="0"/>
  </r>
  <r>
    <x v="678"/>
    <d v="2025-12-18T00:00:00"/>
    <x v="1"/>
    <e v="#N/A"/>
    <x v="11"/>
    <s v="DRY2500328"/>
    <s v="New Zealand"/>
    <s v="CPFNW"/>
    <s v="Lim Brothers"/>
    <s v="C-Minced WT in tray no egg"/>
    <s v="Cooked Wonton"/>
    <s v="Cooked Minced Wonton in Tray 6 pcs + Sesame Sauce"/>
    <s v="082SKN716006P00001"/>
    <s v="117*2tray*8in"/>
    <n v="16"/>
    <n v="6"/>
    <n v="6.0000000000000001E-3"/>
    <x v="4"/>
    <s v="Salt"/>
    <s v=" Sesame 15g"/>
    <n v="216"/>
    <m/>
    <n v="224"/>
    <n v="8"/>
    <n v="0"/>
    <n v="0"/>
    <n v="1"/>
    <n v="0"/>
    <s v="ซอสเข้า 22/10"/>
    <n v="0"/>
    <n v="0"/>
  </r>
  <r>
    <x v="678"/>
    <d v="2026-01-07T00:00:00"/>
    <x v="1"/>
    <e v="#N/A"/>
    <x v="11"/>
    <s v="DRY2500341"/>
    <s v="USA"/>
    <s v="CPFNW"/>
    <s v="Bellisio Foods, Inc."/>
    <s v="Minced WT"/>
    <s v="Cooked Wonton"/>
    <s v="Cooked Minced Wonton Soup No Egg"/>
    <s v="082SKBW36005P00001"/>
    <s v="145g*6c*6"/>
    <n v="36"/>
    <n v="5"/>
    <n v="6.0000000000000001E-3"/>
    <x v="4"/>
    <s v="Salt"/>
    <s v="Regular"/>
    <n v="300"/>
    <n v="300"/>
    <m/>
    <n v="0"/>
    <n v="0"/>
    <n v="0"/>
    <n v="7.4999999999999997E-3"/>
    <n v="0"/>
    <m/>
    <n v="0"/>
    <n v="0"/>
  </r>
  <r>
    <x v="678"/>
    <d v="2026-01-07T00:00:00"/>
    <x v="1"/>
    <e v="#N/A"/>
    <x v="11"/>
    <s v="DRY2500342"/>
    <s v="USA"/>
    <s v="CPFNW"/>
    <s v="Bellisio Foods, Inc."/>
    <s v="Minced WT"/>
    <s v="Cooked Wonton"/>
    <s v="Cooked Minced Wonton Soup No Egg"/>
    <s v="082SKBW36005P00001"/>
    <s v="145g*6c*6"/>
    <n v="36"/>
    <n v="5"/>
    <n v="6.0000000000000001E-3"/>
    <x v="4"/>
    <s v="Salt"/>
    <s v="Regular"/>
    <n v="450"/>
    <n v="450"/>
    <n v="22.888888888888889"/>
    <n v="22.888888888888914"/>
    <n v="0"/>
    <n v="0"/>
    <n v="7.4999999999999997E-3"/>
    <n v="0"/>
    <m/>
    <n v="0"/>
    <n v="0"/>
  </r>
  <r>
    <x v="678"/>
    <d v="2025-12-23T00:00:00"/>
    <x v="1"/>
    <e v="#N/A"/>
    <x v="11"/>
    <s v="DRY2500304"/>
    <s v="Malay"/>
    <s v="CPFNW"/>
    <s v="CPM Malaysia"/>
    <s v="Wonton"/>
    <s v="Cooked Wonton"/>
    <s v="Cooked Wonton No Egg  "/>
    <s v="082S85I24005P01001"/>
    <s v="145g*24"/>
    <n v="24"/>
    <n v="5"/>
    <n v="8.0000000000000002E-3"/>
    <x v="1"/>
    <s v="STPP"/>
    <s v="Regular"/>
    <n v="900"/>
    <n v="900"/>
    <m/>
    <n v="0"/>
    <n v="0"/>
    <n v="0"/>
    <n v="7.4999999999999997E-3"/>
    <n v="0"/>
    <m/>
    <n v="0"/>
    <n v="0"/>
  </r>
  <r>
    <x v="678"/>
    <d v="2025-12-23T00:00:00"/>
    <x v="1"/>
    <e v="#N/A"/>
    <x v="11"/>
    <s v="DRY2500304"/>
    <s v="Malay"/>
    <s v="CPFNW"/>
    <s v="CPM Malaysia"/>
    <s v="Wonton+TY"/>
    <s v="Cooked Wonton"/>
    <s v="Cooked Wonton No Egg  Tomyum"/>
    <s v="082S85I24005P02001"/>
    <s v="115g*24"/>
    <n v="24"/>
    <n v="5"/>
    <n v="8.0000000000000002E-3"/>
    <x v="1"/>
    <s v="STPP"/>
    <s v="TYTB3C 30G"/>
    <n v="850"/>
    <n v="850"/>
    <m/>
    <n v="0"/>
    <n v="0"/>
    <n v="0"/>
    <n v="1"/>
    <n v="0"/>
    <m/>
    <n v="0"/>
    <n v="0"/>
  </r>
  <r>
    <x v="679"/>
    <d v="2025-12-22T00:00:00"/>
    <x v="1"/>
    <e v="#N/A"/>
    <x v="11"/>
    <s v="DRY2500345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177"/>
    <n v="177"/>
    <m/>
    <n v="0"/>
    <n v="0"/>
    <n v="0"/>
    <n v="6"/>
    <n v="0"/>
    <m/>
    <n v="0"/>
    <n v="0"/>
  </r>
  <r>
    <x v="679"/>
    <d v="2025-12-16T00:00:00"/>
    <x v="1"/>
    <e v="#N/A"/>
    <x v="11"/>
    <s v="DRY2500334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800"/>
    <n v="800"/>
    <m/>
    <n v="0"/>
    <n v="0"/>
    <n v="0"/>
    <n v="7.4999999999999997E-3"/>
    <n v="0"/>
    <m/>
    <n v="0"/>
    <n v="0"/>
  </r>
  <r>
    <x v="679"/>
    <d v="2026-01-07T00:00:00"/>
    <x v="1"/>
    <e v="#N/A"/>
    <x v="11"/>
    <s v="DRY2500335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800"/>
    <n v="800"/>
    <m/>
    <n v="0"/>
    <n v="0"/>
    <n v="0"/>
    <n v="7.4999999999999997E-3"/>
    <n v="0"/>
    <m/>
    <n v="0"/>
    <n v="0"/>
  </r>
  <r>
    <x v="679"/>
    <s v="12-2025"/>
    <x v="1"/>
    <e v="#N/A"/>
    <x v="11"/>
    <s v="ขายภายใน"/>
    <s v="MTFS"/>
    <s v="CPFGS"/>
    <s v="ซีพีเอฟ เทรดดิ้ง"/>
    <s v="Wonton ND"/>
    <s v="Cooked Wonton"/>
    <s v="บะหมี่เกี๊ยวกุ้งซุปสุกี้ CPxMK 227g MT"/>
    <s v="082SJ3Q12003P0A001"/>
    <s v="227g*12"/>
    <n v="12"/>
    <n v="3"/>
    <n v="8.0000000000000002E-3"/>
    <x v="2"/>
    <s v="STPP"/>
    <s v="MK"/>
    <n v="3200"/>
    <n v="3200"/>
    <m/>
    <n v="0"/>
    <n v="0"/>
    <n v="0"/>
    <n v="0.05"/>
    <n v="0"/>
    <s v="เปลี่ยนใช้ผักกวางตุ้งแบบแช่แข็ง"/>
    <n v="0"/>
    <n v="0"/>
  </r>
  <r>
    <x v="679"/>
    <s v="01-2026"/>
    <x v="1"/>
    <e v="#N/A"/>
    <x v="11"/>
    <s v="ขายภายใน"/>
    <s v="MTFS"/>
    <s v="CPFGS"/>
    <s v="ซีพีเอฟ เทรดดิ้ง"/>
    <s v="Wonton ND"/>
    <s v="Cooked Wonton"/>
    <s v="บะหมี่เกี๊ยวกุ้งซุปสุกี้ CPxMK 227g MT"/>
    <s v="082SJ3Q12003P0A001"/>
    <s v="227g*12"/>
    <n v="12"/>
    <n v="3"/>
    <n v="8.0000000000000002E-3"/>
    <x v="2"/>
    <s v="STPP"/>
    <s v="MK"/>
    <n v="884"/>
    <n v="773"/>
    <n v="155.25"/>
    <n v="44.25"/>
    <n v="0"/>
    <n v="0"/>
    <n v="0.05"/>
    <n v="0"/>
    <s v="เปลี่ยนใช้ผักกวางตุ้งแบบแช่แข็ง"/>
    <n v="0"/>
    <n v="0"/>
  </r>
  <r>
    <x v="680"/>
    <d v="2025-12-22T00:00:00"/>
    <x v="1"/>
    <e v="#N/A"/>
    <x v="11"/>
    <s v="DRY2500345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173"/>
    <n v="173"/>
    <m/>
    <n v="0"/>
    <n v="0"/>
    <n v="0"/>
    <n v="6"/>
    <n v="0"/>
    <m/>
    <n v="0"/>
    <n v="0"/>
  </r>
  <r>
    <x v="680"/>
    <s v="12-2025"/>
    <x v="1"/>
    <e v="#N/A"/>
    <x v="11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996"/>
    <n v="1996"/>
    <m/>
    <n v="0"/>
    <n v="0"/>
    <n v="0"/>
    <n v="7.4999999999999997E-3"/>
    <n v="0"/>
    <m/>
    <n v="0"/>
    <n v="0"/>
  </r>
  <r>
    <x v="680"/>
    <d v="2025-12-26T00:00:00"/>
    <x v="1"/>
    <e v="#N/A"/>
    <x v="11"/>
    <s v="DRY2500307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9.9166666666665"/>
    <n v="9.9166666666665151"/>
    <n v="0"/>
    <n v="0"/>
    <n v="7.4999999999999997E-3"/>
    <n v="0"/>
    <s v="new package (ลบโลโก้ Facebook)"/>
    <n v="0"/>
    <n v="0"/>
  </r>
  <r>
    <x v="680"/>
    <d v="2026-01-12T00:00:00"/>
    <x v="1"/>
    <e v="#N/A"/>
    <x v="11"/>
    <s v="DRY2500351"/>
    <s v="SG"/>
    <s v="CPFNW"/>
    <s v="CPI SINGAPORE"/>
    <s v="Minced ND+หมาล่า"/>
    <s v="Cooked Wonton"/>
    <s v="Cooked Minced  ND No Egg หมาล่า"/>
    <s v="082SR3B24003P00001"/>
    <s v="300g*24"/>
    <n v="24"/>
    <n v="3"/>
    <n v="6.0000000000000001E-3"/>
    <x v="4"/>
    <s v="Salt"/>
    <s v="หมาล่า"/>
    <n v="210"/>
    <n v="210"/>
    <n v="1.75"/>
    <n v="1.75"/>
    <n v="0"/>
    <n v="0"/>
    <n v="2.4E-2"/>
    <n v="0"/>
    <m/>
    <n v="0"/>
    <n v="0"/>
  </r>
  <r>
    <x v="681"/>
    <d v="2025-12-22T00:00:00"/>
    <x v="1"/>
    <e v="#N/A"/>
    <x v="11"/>
    <s v="DRY2500345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181"/>
    <n v="181"/>
    <m/>
    <n v="0"/>
    <n v="0"/>
    <n v="0"/>
    <n v="6"/>
    <n v="0"/>
    <m/>
    <n v="0"/>
    <n v="0"/>
  </r>
  <r>
    <x v="681"/>
    <s v="12-2025"/>
    <x v="1"/>
    <e v="#N/A"/>
    <x v="11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706"/>
    <n v="706"/>
    <m/>
    <n v="0"/>
    <n v="0"/>
    <n v="0"/>
    <n v="7.4999999999999997E-3"/>
    <n v="0"/>
    <m/>
    <n v="0"/>
    <n v="0"/>
  </r>
  <r>
    <x v="681"/>
    <d v="2026-01-07T00:00:00"/>
    <x v="1"/>
    <e v="#N/A"/>
    <x v="11"/>
    <s v="DRY2500341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800"/>
    <n v="800"/>
    <m/>
    <n v="0"/>
    <n v="0"/>
    <n v="0"/>
    <n v="7.4999999999999997E-3"/>
    <n v="0"/>
    <m/>
    <n v="0"/>
    <n v="0"/>
  </r>
  <r>
    <x v="681"/>
    <d v="2026-01-07T00:00:00"/>
    <x v="1"/>
    <e v="#N/A"/>
    <x v="11"/>
    <s v="DRY2500342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700"/>
    <n v="700"/>
    <m/>
    <n v="0"/>
    <n v="0"/>
    <n v="0"/>
    <n v="7.4999999999999997E-3"/>
    <n v="0"/>
    <m/>
    <n v="0"/>
    <n v="0"/>
  </r>
  <r>
    <x v="681"/>
    <d v="2025-12-16T00:00:00"/>
    <x v="1"/>
    <e v="#N/A"/>
    <x v="11"/>
    <s v="DRY2500334"/>
    <s v="USA"/>
    <s v="CPFNW"/>
    <s v="Bellisio Foods, Inc."/>
    <s v="Minced ND+V"/>
    <s v="Cooked Wonton"/>
    <s v="Cooked Wonton ND No Egg with Pumpkin_x000a_+ Yu Choy Low sodium"/>
    <s v="082SRBW24005P01001"/>
    <s v="308g*4c*6in"/>
    <n v="24"/>
    <n v="5"/>
    <n v="6.0000000000000001E-3"/>
    <x v="4"/>
    <s v="Salt"/>
    <s v="Y3"/>
    <n v="150"/>
    <n v="150"/>
    <m/>
    <n v="0"/>
    <n v="0"/>
    <n v="0"/>
    <n v="9.7000000000000003E-3"/>
    <n v="0"/>
    <m/>
    <n v="0"/>
    <n v="0"/>
  </r>
  <r>
    <x v="681"/>
    <d v="2026-01-07T00:00:00"/>
    <x v="1"/>
    <e v="#N/A"/>
    <x v="11"/>
    <s v="DRY2500335"/>
    <s v="USA"/>
    <s v="CPFNW"/>
    <s v="Bellisio Foods, Inc."/>
    <s v="Minced ND+V"/>
    <s v="Cooked Wonton"/>
    <s v="Cooked Wonton ND No Egg with Pumpkin_x000a_+ Yu Choy Low sodium"/>
    <s v="082SRBW24005P01001"/>
    <s v="308g*4c*6in"/>
    <n v="24"/>
    <n v="5"/>
    <n v="6.0000000000000001E-3"/>
    <x v="4"/>
    <s v="Salt"/>
    <s v="Y3"/>
    <n v="170"/>
    <n v="170"/>
    <n v="11.944444444444445"/>
    <n v="11.944444444444457"/>
    <n v="0"/>
    <n v="0"/>
    <n v="9.7000000000000003E-3"/>
    <n v="0"/>
    <m/>
    <n v="0"/>
    <n v="0"/>
  </r>
  <r>
    <x v="681"/>
    <d v="2025-12-19T00:00:00"/>
    <x v="1"/>
    <e v="#N/A"/>
    <x v="11"/>
    <s v="DRY2500147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611"/>
    <n v="611"/>
    <m/>
    <n v="0"/>
    <n v="0"/>
    <n v="0"/>
    <n v="9.7000000000000003E-3"/>
    <n v="0"/>
    <m/>
    <n v="0"/>
    <n v="0"/>
  </r>
  <r>
    <x v="682"/>
    <d v="2025-12-22T00:00:00"/>
    <x v="1"/>
    <e v="#N/A"/>
    <x v="11"/>
    <s v="DRY2500345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183"/>
    <n v="183"/>
    <m/>
    <n v="0"/>
    <n v="0"/>
    <n v="0"/>
    <n v="6"/>
    <n v="0"/>
    <m/>
    <n v="0"/>
    <n v="0"/>
  </r>
  <r>
    <x v="682"/>
    <d v="2026-01-06T00:00:00"/>
    <x v="1"/>
    <e v="#N/A"/>
    <x v="11"/>
    <s v="DRY2500284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x v="682"/>
    <d v="2026-01-06T00:00:00"/>
    <x v="1"/>
    <e v="#N/A"/>
    <x v="11"/>
    <s v="DRY2500319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50"/>
    <n v="1250"/>
    <m/>
    <n v="0"/>
    <n v="0"/>
    <n v="0"/>
    <n v="7.4999999999999997E-3"/>
    <n v="0"/>
    <s v="ถ้าว,ฝา สีขาว/Halal/ New Design"/>
    <n v="0"/>
    <n v="0"/>
  </r>
  <r>
    <x v="683"/>
    <d v="2025-12-22T00:00:00"/>
    <x v="1"/>
    <e v="#N/A"/>
    <x v="11"/>
    <s v="DRY2500345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155"/>
    <n v="155"/>
    <m/>
    <n v="0"/>
    <n v="0"/>
    <n v="0"/>
    <n v="6"/>
    <n v="0"/>
    <m/>
    <n v="0"/>
    <n v="0"/>
  </r>
  <r>
    <x v="683"/>
    <d v="2026-01-12T00:00:00"/>
    <x v="1"/>
    <e v="#N/A"/>
    <x v="11"/>
    <s v="DRY2500351"/>
    <s v="SG"/>
    <s v="CPFNW"/>
    <s v="CPI Singapore"/>
    <s v="Wonton ND+V"/>
    <s v="Cooked Wonton"/>
    <s v="Cooked Wonton ND No Egg with Pumpkin _x000a_+ Vegetable  HC  3 pcs"/>
    <s v="082SJ3B24003P02001"/>
    <s v="219g*24"/>
    <n v="24"/>
    <n v="3"/>
    <n v="7.4999999999999997E-3"/>
    <x v="5"/>
    <s v="STPP"/>
    <s v="ซุปซอง 10g."/>
    <n v="500"/>
    <n v="500"/>
    <m/>
    <n v="0"/>
    <n v="0"/>
    <n v="0"/>
    <n v="1"/>
    <n v="0"/>
    <m/>
    <n v="0"/>
    <n v="0"/>
  </r>
  <r>
    <x v="683"/>
    <d v="2025-12-26T00:00:00"/>
    <x v="1"/>
    <e v="#N/A"/>
    <x v="11"/>
    <s v="DRY2500358"/>
    <s v="New Zealand"/>
    <s v="CPFNW"/>
    <s v="Lim Brothers"/>
    <s v="Wonton ND+V"/>
    <s v="Cooked Wonton"/>
    <s v="Cooked Wonton ND No Egg with Pumpkin_x000a_+ Yu Choy "/>
    <s v="082SJN736005P00001"/>
    <s v="308g*6c*6in"/>
    <n v="36"/>
    <n v="5"/>
    <n v="7.4999999999999997E-3"/>
    <x v="5"/>
    <s v="Salt"/>
    <s v="Regular"/>
    <n v="320"/>
    <n v="320"/>
    <n v="18.388888888888889"/>
    <n v="18.388888888888914"/>
    <n v="0"/>
    <n v="0"/>
    <n v="7.4999999999999997E-3"/>
    <n v="0"/>
    <m/>
    <n v="0"/>
    <n v="0"/>
  </r>
  <r>
    <x v="683"/>
    <d v="2025-01-08T00:00:00"/>
    <x v="1"/>
    <e v="#N/A"/>
    <x v="11"/>
    <s v="DRY2500338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683"/>
    <d v="2025-12-18T00:00:00"/>
    <x v="1"/>
    <e v="#N/A"/>
    <x v="11"/>
    <s v="DRY2500328"/>
    <s v="New Zealand"/>
    <s v="CPFNW"/>
    <s v="Lim Brothers"/>
    <s v="Minced ND+V+TK"/>
    <s v="Cooked Wonton"/>
    <s v="Cooked Minced  ND No Egg with Pumpkin_x000a_+ Yu Choy Tomkha"/>
    <s v="082SRN708003P01001"/>
    <s v="302g*8"/>
    <n v="8"/>
    <n v="3"/>
    <n v="6.0000000000000001E-3"/>
    <x v="4"/>
    <s v="Salt"/>
    <s v="Tomkha+CM"/>
    <n v="540"/>
    <m/>
    <n v="540"/>
    <n v="0"/>
    <n v="0"/>
    <n v="0"/>
    <n v="5.8823E-2"/>
    <n v="0"/>
    <m/>
    <n v="0"/>
    <n v="0"/>
  </r>
  <r>
    <x v="683"/>
    <d v="2025-12-25T00:00:00"/>
    <x v="1"/>
    <e v="#N/A"/>
    <x v="11"/>
    <s v="DRY2500368"/>
    <s v="New Zealand"/>
    <s v="CPFNW"/>
    <s v="Shore Mariner Limited"/>
    <s v="Minced ND+V+TK"/>
    <s v="Cooked Wonton"/>
    <s v="Cooked Minced  ND No Egg with Pumpkin_x000a_+ Yu Choy Tomkha"/>
    <s v="082SRSF08003P01001"/>
    <s v="302g*8"/>
    <n v="8"/>
    <n v="3"/>
    <n v="6.0000000000000001E-3"/>
    <x v="4"/>
    <s v="Salt"/>
    <s v="Tomkha+CM"/>
    <n v="260"/>
    <m/>
    <n v="303.375"/>
    <n v="43.375"/>
    <n v="0"/>
    <n v="0"/>
    <n v="5.8823E-2"/>
    <n v="0"/>
    <m/>
    <n v="0"/>
    <n v="0"/>
  </r>
  <r>
    <x v="683"/>
    <d v="2026-01-13T00:00:00"/>
    <x v="1"/>
    <e v="#N/A"/>
    <x v="11"/>
    <s v="DRY2500330"/>
    <s v="Denmark"/>
    <s v="CPFNW"/>
    <s v="CPF DENMARK"/>
    <s v="Minced ND+V+TK"/>
    <s v="Cooked Wonton"/>
    <s v="Cooked Minced  ND No Egg with Pumpkin_x000a_+ Yu Choy Tomyum"/>
    <s v="082SJKW08003P01001"/>
    <s v="302g*8"/>
    <n v="8"/>
    <n v="3"/>
    <n v="6.0000000000000001E-3"/>
    <x v="4"/>
    <s v="Salt"/>
    <s v="Tomkha+CM"/>
    <n v="3500"/>
    <m/>
    <n v="3500"/>
    <n v="0"/>
    <n v="0"/>
    <n v="0"/>
    <n v="5.8823E-2"/>
    <n v="0"/>
    <m/>
    <n v="0"/>
    <n v="0"/>
  </r>
  <r>
    <x v="684"/>
    <m/>
    <x v="1"/>
    <e v="#N/A"/>
    <x v="11"/>
    <m/>
    <m/>
    <m/>
    <m/>
    <m/>
    <m/>
    <m/>
    <m/>
    <m/>
    <m/>
    <m/>
    <m/>
    <x v="0"/>
    <m/>
    <m/>
    <m/>
    <m/>
    <m/>
    <m/>
    <m/>
    <n v="0"/>
    <m/>
    <m/>
    <m/>
    <m/>
    <m/>
  </r>
  <r>
    <x v="685"/>
    <d v="2025-12-24T00:00:00"/>
    <x v="1"/>
    <e v="#N/A"/>
    <x v="11"/>
    <s v="DRY2500260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606"/>
    <n v="594"/>
    <n v="12"/>
    <n v="0"/>
    <n v="0"/>
    <n v="0"/>
    <n v="2"/>
    <n v="0"/>
    <m/>
    <n v="0"/>
    <n v="0"/>
  </r>
  <r>
    <x v="685"/>
    <d v="2025-12-19T00:00:00"/>
    <x v="1"/>
    <e v="#N/A"/>
    <x v="11"/>
    <s v="DRY2500147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147"/>
    <n v="147"/>
    <m/>
    <n v="0"/>
    <n v="0"/>
    <n v="0"/>
    <n v="9.7000000000000003E-3"/>
    <n v="0"/>
    <s v="รอผัก"/>
    <n v="0"/>
    <n v="0"/>
  </r>
  <r>
    <x v="685"/>
    <d v="2025-12-19T00:00:00"/>
    <x v="1"/>
    <e v="#N/A"/>
    <x v="11"/>
    <s v="DRY2500148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s v="รอผัก"/>
    <n v="0"/>
    <n v="0"/>
  </r>
  <r>
    <x v="685"/>
    <d v="2025-12-19T00:00:00"/>
    <x v="1"/>
    <e v="#N/A"/>
    <x v="11"/>
    <s v="DRY2500149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s v="รอผัก"/>
    <n v="0"/>
    <n v="0"/>
  </r>
  <r>
    <x v="685"/>
    <d v="2025-12-19T00:00:00"/>
    <x v="1"/>
    <e v="#N/A"/>
    <x v="11"/>
    <s v="DRY2500150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n v="792"/>
    <m/>
    <n v="0"/>
    <n v="0"/>
    <n v="0"/>
    <n v="1"/>
    <n v="0"/>
    <m/>
    <n v="0"/>
    <n v="0"/>
  </r>
  <r>
    <x v="685"/>
    <d v="2026-01-06T00:00:00"/>
    <x v="1"/>
    <e v="#N/A"/>
    <x v="11"/>
    <s v="DRY2500151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30"/>
    <n v="30"/>
    <m/>
    <n v="0"/>
    <n v="0"/>
    <n v="0"/>
    <n v="9.7000000000000003E-3"/>
    <n v="0"/>
    <m/>
    <n v="0"/>
    <n v="0"/>
  </r>
  <r>
    <x v="686"/>
    <d v="2025-12-24T00:00:00"/>
    <x v="1"/>
    <e v="#N/A"/>
    <x v="11"/>
    <s v="DRY2500260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622"/>
    <n v="517"/>
    <n v="105"/>
    <n v="0"/>
    <n v="0"/>
    <n v="0"/>
    <n v="2"/>
    <n v="0"/>
    <m/>
    <n v="0"/>
    <n v="0"/>
  </r>
  <r>
    <x v="686"/>
    <d v="2026-01-06T00:00:00"/>
    <x v="1"/>
    <e v="#N/A"/>
    <x v="11"/>
    <s v="DRY2500350"/>
    <s v="SG"/>
    <s v="CPFNW"/>
    <s v="CPI SINGAPORE"/>
    <s v="Wonton"/>
    <s v="Cooked Wonton"/>
    <s v="Cooked Wonton No Egg"/>
    <s v="082S83B24005P07001"/>
    <s v="145g*24"/>
    <n v="24"/>
    <n v="5"/>
    <n v="8.0000000000000002E-3"/>
    <x v="1"/>
    <s v="STPP"/>
    <s v="Regular"/>
    <n v="500"/>
    <n v="500"/>
    <m/>
    <n v="0"/>
    <n v="0"/>
    <n v="0"/>
    <n v="1"/>
    <n v="0"/>
    <m/>
    <n v="0"/>
    <n v="0"/>
  </r>
  <r>
    <x v="686"/>
    <d v="2026-01-06T00:00:00"/>
    <x v="1"/>
    <e v="#N/A"/>
    <x v="11"/>
    <s v="DRY2500350"/>
    <s v="SG"/>
    <s v="CPFNW"/>
    <s v="CPI SINGAPORE"/>
    <s v="Wonton +TY"/>
    <s v="Cooked Wonton"/>
    <s v="Cooked Wonton No Egg"/>
    <s v="082S83B24005P06001"/>
    <s v="115g*24"/>
    <n v="24"/>
    <n v="5"/>
    <n v="8.0000000000000002E-3"/>
    <x v="1"/>
    <s v="STPP"/>
    <s v="TYTB3C 30G"/>
    <n v="500"/>
    <n v="500"/>
    <m/>
    <n v="0"/>
    <n v="0"/>
    <n v="0"/>
    <n v="1"/>
    <n v="0"/>
    <m/>
    <n v="0"/>
    <n v="0"/>
  </r>
  <r>
    <x v="686"/>
    <d v="2025-12-25T00:00:00"/>
    <x v="1"/>
    <e v="#N/A"/>
    <x v="11"/>
    <s v="DRY2500368"/>
    <s v="New Zealand"/>
    <s v="CPFNW"/>
    <s v="Shore Mariner Limited"/>
    <s v="Minced ND+Kee Mao"/>
    <s v="Cooked Wonton"/>
    <s v="Cooked Minced Wonton Thai Spicy Noodles (Kee Mao Noodles)"/>
    <s v="082SRSF08003P02001"/>
    <s v="242g*8"/>
    <n v="8"/>
    <n v="3"/>
    <n v="6.0000000000000001E-3"/>
    <x v="4"/>
    <s v="Salt"/>
    <s v="Kee Mao"/>
    <n v="260"/>
    <m/>
    <n v="303.625"/>
    <n v="43.625"/>
    <n v="0"/>
    <n v="0"/>
    <n v="1"/>
    <n v="0"/>
    <s v="NEWPACKAGE"/>
    <n v="0"/>
    <n v="0"/>
  </r>
  <r>
    <x v="686"/>
    <d v="2026-01-12T00:00:00"/>
    <x v="1"/>
    <e v="#N/A"/>
    <x v="11"/>
    <s v="DRY2500351"/>
    <s v="SG"/>
    <s v="CPFNW"/>
    <s v="CPI SINGAPORE"/>
    <s v="Wonton ND+Kee Mao"/>
    <s v="Cooked Wonton"/>
    <s v="Cooked Wonton Thai Spicy Pumpkin Noodles (Drunken Noodles)"/>
    <s v="082SJ3B24003P04001"/>
    <s v="250g*24"/>
    <n v="24"/>
    <n v="3"/>
    <n v="8.0000000000000002E-3"/>
    <x v="1"/>
    <s v="Salt"/>
    <s v="Kee Mao"/>
    <n v="420"/>
    <n v="420"/>
    <n v="6.583333333333333"/>
    <n v="6.5833333333333144"/>
    <n v="0"/>
    <n v="0"/>
    <n v="6.5000000000000002E-2"/>
    <n v="0"/>
    <m/>
    <n v="0"/>
    <n v="0"/>
  </r>
  <r>
    <x v="686"/>
    <s v="12-2025"/>
    <x v="1"/>
    <e v="#N/A"/>
    <x v="11"/>
    <s v="ขายภายใน"/>
    <s v="MTFS"/>
    <s v="CPFGS"/>
    <s v="ซีพีเอฟ เทรดดิ้ง"/>
    <s v="Minced+ND+Kee Mao แห้ง"/>
    <s v="Cooked Wonton"/>
    <s v="บะหมี่เกี๊ยวกุ้งขี้เมา ตราซีพี 235 กรัม"/>
    <s v="082SR3Q12003P02001"/>
    <s v="235g*12"/>
    <n v="12"/>
    <n v="3"/>
    <n v="6.1999999999999998E-3"/>
    <x v="4"/>
    <s v="STPP"/>
    <s v="Kee Mao"/>
    <n v="1000"/>
    <n v="1000"/>
    <m/>
    <n v="0"/>
    <n v="0"/>
    <n v="0"/>
    <m/>
    <n v="0"/>
    <m/>
    <n v="0"/>
    <n v="0"/>
  </r>
  <r>
    <x v="686"/>
    <s v="01-2026"/>
    <x v="1"/>
    <e v="#N/A"/>
    <x v="11"/>
    <s v="ขายภายใน"/>
    <s v="MTFS"/>
    <s v="CPFGS"/>
    <s v="ซีพีเอฟ เทรดดิ้ง"/>
    <s v="Minced+ND+Kee Mao แห้ง"/>
    <s v="Cooked Wonton"/>
    <s v="บะหมี่เกี๊ยวกุ้งขี้เมา ตราซีพี 235 กรัม"/>
    <s v="082SR3Q12003P02001"/>
    <s v="235g*12"/>
    <n v="12"/>
    <n v="3"/>
    <n v="6.1999999999999998E-3"/>
    <x v="4"/>
    <s v="STPP"/>
    <s v="Kee Mao"/>
    <n v="500"/>
    <n v="504"/>
    <m/>
    <n v="4"/>
    <n v="0"/>
    <n v="0"/>
    <m/>
    <n v="0"/>
    <m/>
    <n v="0"/>
    <n v="0"/>
  </r>
  <r>
    <x v="686"/>
    <s v="12-2025"/>
    <x v="1"/>
    <e v="#N/A"/>
    <x v="11"/>
    <s v="ขายภายใน"/>
    <s v="MTFS"/>
    <s v="CPFGS"/>
    <s v="ซีพีเอฟ เทรดดิ้ง"/>
    <s v="Minced+ND+V+น้ำราดเป็ด"/>
    <s v="Cooked Wonton"/>
    <s v="บะหมี่เกี๊ยวกุ้งสไตล์ฮ่องกง ตราซีพี 235 กรัม"/>
    <s v="082SR3Q12003P01001"/>
    <s v="235g*12"/>
    <n v="12"/>
    <n v="3"/>
    <n v="6.1999999999999998E-3"/>
    <x v="4"/>
    <s v="STPP"/>
    <s v="น้ำราดเป็ด"/>
    <n v="1000"/>
    <n v="1000"/>
    <m/>
    <n v="0"/>
    <n v="0"/>
    <n v="0"/>
    <m/>
    <n v="0"/>
    <m/>
    <n v="0"/>
    <n v="0"/>
  </r>
  <r>
    <x v="686"/>
    <s v="01-2026"/>
    <x v="1"/>
    <e v="#N/A"/>
    <x v="11"/>
    <s v="ขายภายใน"/>
    <s v="MTFS"/>
    <s v="CPFGS"/>
    <s v="ซีพีเอฟ เทรดดิ้ง"/>
    <s v="Minced+ND+V+น้ำราดเป็ด"/>
    <s v="Cooked Wonton"/>
    <s v="บะหมี่เกี๊ยวกุ้งสไตล์ฮ่องกง ตราซีพี 235 กรัม"/>
    <s v="082SR3Q12003P01001"/>
    <s v="235g*12"/>
    <n v="12"/>
    <n v="3"/>
    <n v="6.1999999999999998E-3"/>
    <x v="4"/>
    <s v="STPP"/>
    <s v="น้ำราดเป็ด"/>
    <n v="500"/>
    <n v="505"/>
    <m/>
    <n v="5"/>
    <n v="0"/>
    <n v="0"/>
    <m/>
    <n v="0"/>
    <m/>
    <n v="0"/>
    <n v="0"/>
  </r>
  <r>
    <x v="687"/>
    <d v="2026-01-05T00:00:00"/>
    <x v="1"/>
    <e v="#N/A"/>
    <x v="11"/>
    <s v="DRY2500291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1023"/>
    <n v="1023"/>
    <m/>
    <n v="0"/>
    <n v="0"/>
    <n v="0"/>
    <n v="2"/>
    <n v="0"/>
    <s v="ห่อแบบสุก"/>
    <n v="0"/>
    <n v="0"/>
  </r>
  <r>
    <x v="687"/>
    <s v="12-2025"/>
    <x v="1"/>
    <e v="#N/A"/>
    <x v="11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50"/>
    <n v="50"/>
    <m/>
    <n v="0"/>
    <n v="0"/>
    <n v="0"/>
    <n v="7.4999999999999997E-3"/>
    <n v="0"/>
    <m/>
    <n v="0"/>
    <n v="0"/>
  </r>
  <r>
    <x v="687"/>
    <s v="01-2026"/>
    <x v="1"/>
    <e v="#N/A"/>
    <x v="11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3723"/>
    <n v="3723"/>
    <m/>
    <n v="0"/>
    <n v="0"/>
    <n v="0"/>
    <n v="7.4999999999999997E-3"/>
    <n v="0"/>
    <m/>
    <n v="0"/>
    <n v="0"/>
  </r>
  <r>
    <x v="688"/>
    <d v="2025-12-24T00:00:00"/>
    <x v="1"/>
    <e v="#N/A"/>
    <x v="11"/>
    <s v="DRY2500260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396"/>
    <n v="396"/>
    <n v="6"/>
    <n v="6"/>
    <n v="0"/>
    <n v="0"/>
    <n v="2"/>
    <n v="0"/>
    <m/>
    <n v="0"/>
    <n v="0"/>
  </r>
  <r>
    <x v="688"/>
    <d v="2026-01-07T00:00:00"/>
    <x v="1"/>
    <e v="#N/A"/>
    <x v="11"/>
    <s v="DRY2500335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00"/>
    <n v="100"/>
    <m/>
    <n v="0"/>
    <n v="0"/>
    <n v="0"/>
    <n v="6"/>
    <n v="0"/>
    <m/>
    <n v="0"/>
    <n v="0"/>
  </r>
  <r>
    <x v="688"/>
    <d v="2026-01-07T00:00:00"/>
    <x v="1"/>
    <e v="#N/A"/>
    <x v="11"/>
    <s v="DRY2500341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00"/>
    <n v="100"/>
    <m/>
    <n v="0"/>
    <n v="0"/>
    <n v="0"/>
    <n v="6"/>
    <n v="0"/>
    <m/>
    <n v="0"/>
    <n v="0"/>
  </r>
  <r>
    <x v="688"/>
    <d v="2026-01-07T00:00:00"/>
    <x v="1"/>
    <e v="#N/A"/>
    <x v="11"/>
    <s v="DRY2500342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00"/>
    <n v="100"/>
    <n v="2"/>
    <n v="2"/>
    <n v="0"/>
    <n v="0"/>
    <n v="6"/>
    <n v="0"/>
    <m/>
    <n v="0"/>
    <n v="0"/>
  </r>
  <r>
    <x v="688"/>
    <s v="12-2025"/>
    <x v="1"/>
    <e v="#N/A"/>
    <x v="11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1"/>
    <s v="145g*12"/>
    <n v="12"/>
    <n v="5"/>
    <n v="8.0000000000000002E-3"/>
    <x v="1"/>
    <s v="STPP"/>
    <s v="Regular"/>
    <n v="1250"/>
    <n v="1250"/>
    <m/>
    <n v="0"/>
    <n v="0"/>
    <n v="0"/>
    <n v="7.4999999999999997E-3"/>
    <n v="0"/>
    <m/>
    <n v="0"/>
    <n v="0"/>
  </r>
  <r>
    <x v="688"/>
    <s v="01-2026"/>
    <x v="1"/>
    <e v="#N/A"/>
    <x v="11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1"/>
    <s v="145g*12"/>
    <n v="12"/>
    <n v="5"/>
    <n v="8.0000000000000002E-3"/>
    <x v="1"/>
    <s v="STPP"/>
    <s v="Regular"/>
    <n v="1498"/>
    <n v="1498"/>
    <m/>
    <n v="0"/>
    <n v="0"/>
    <n v="0"/>
    <n v="7.4999999999999997E-3"/>
    <n v="0"/>
    <m/>
    <n v="0"/>
    <n v="0"/>
  </r>
  <r>
    <x v="688"/>
    <s v="01-2026"/>
    <x v="1"/>
    <e v="#N/A"/>
    <x v="11"/>
    <s v="ขายภายใน"/>
    <s v="MTFS"/>
    <s v="CPFGS"/>
    <s v="ซีพีเอฟ เทรดดิ้ง"/>
    <s v="E+Wonton TY"/>
    <s v="Cooked Wonton"/>
    <s v="เกี๊ยวกุ้งจักรพรรดิซุปต้มยำ LV CP 143g"/>
    <s v="082S83Q12005P09001"/>
    <s v="143g*12"/>
    <n v="12"/>
    <n v="5"/>
    <n v="8.0000000000000002E-3"/>
    <x v="2"/>
    <s v="STPP"/>
    <s v="TYNSF"/>
    <n v="600"/>
    <n v="600"/>
    <m/>
    <n v="0"/>
    <n v="0"/>
    <n v="0"/>
    <n v="8.9999999999999993E-3"/>
    <n v="0"/>
    <s v="กล่อง เหลือ 240/Stk 21,000"/>
    <n v="0"/>
    <n v="0"/>
  </r>
  <r>
    <x v="688"/>
    <s v="12-2025"/>
    <x v="1"/>
    <e v="#N/A"/>
    <x v="11"/>
    <s v="ขายภายใน"/>
    <s v="MTFS"/>
    <s v="CPFGS"/>
    <s v="ซีพีเอฟ เทรดดิ้ง"/>
    <s v="E+Wonton TY"/>
    <s v="Cooked Wonton"/>
    <s v="CPเกี๊ยวกุ้งจักรพรรดิซุปต้มยำ 429g (Multi Pack)"/>
    <s v="082S83Q18005P08001"/>
    <s v="143g*3ถ้วย*6ถุง"/>
    <n v="18"/>
    <n v="5"/>
    <n v="8.0000000000000002E-3"/>
    <x v="2"/>
    <s v="STPP"/>
    <s v="TYNSF"/>
    <n v="2500"/>
    <m/>
    <n v="2500"/>
    <n v="0"/>
    <n v="0"/>
    <n v="0"/>
    <n v="8.9999999999999993E-3"/>
    <n v="0"/>
    <s v="ผ่าน 750 กล่อง"/>
    <n v="0"/>
    <n v="0"/>
  </r>
  <r>
    <x v="689"/>
    <d v="2025-12-25T00:00:00"/>
    <x v="1"/>
    <e v="#N/A"/>
    <x v="11"/>
    <s v="KL2500043"/>
    <s v="China"/>
    <s v="China"/>
    <s v="Charoen Pokphand Import&amp;Export Trading (Shanghai) Co., Ltd"/>
    <s v="R-Wonton no egg"/>
    <s v="Raw Wonton"/>
    <s v="Raw Wonton 12 pcs"/>
    <s v="082I95J20012P05001"/>
    <s v="154g*20in"/>
    <n v="20"/>
    <n v="12"/>
    <n v="6.8100000000000001E-3"/>
    <x v="3"/>
    <s v="Salt"/>
    <s v="ซุปซอง 5g."/>
    <n v="1386"/>
    <n v="1386"/>
    <n v="16"/>
    <n v="16"/>
    <n v="0"/>
    <n v="0"/>
    <n v="2"/>
    <n v="0"/>
    <m/>
    <n v="0"/>
    <n v="0"/>
  </r>
  <r>
    <x v="689"/>
    <s v="01-2026"/>
    <x v="1"/>
    <e v="#N/A"/>
    <x v="11"/>
    <s v="ขายภายใน"/>
    <s v="MTFS"/>
    <s v="CPFGS"/>
    <s v="ซีพีเอฟ เทรดดิ้ง"/>
    <s v="E+Wonton NDE"/>
    <s v="Cooked Wonton"/>
    <s v="บะหมี่เกี๊ยวกุ้ง ตราซีพี 12X226 กรัม"/>
    <s v="082SJ3Q12003P07001"/>
    <s v="226g*12"/>
    <n v="12"/>
    <n v="3"/>
    <n v="8.0000000000000002E-3"/>
    <x v="1"/>
    <s v="STPP"/>
    <s v="Regular"/>
    <n v="500"/>
    <n v="500"/>
    <m/>
    <n v="0"/>
    <n v="0"/>
    <n v="0"/>
    <n v="7.4999999999999997E-3"/>
    <n v="0"/>
    <m/>
    <n v="0"/>
    <n v="0"/>
  </r>
  <r>
    <x v="689"/>
    <s v="01-2026"/>
    <x v="1"/>
    <e v="#N/A"/>
    <x v="11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200"/>
    <n v="200"/>
    <m/>
    <n v="0"/>
    <n v="0"/>
    <n v="0"/>
    <n v="7.4999999999999997E-3"/>
    <n v="0"/>
    <s v="กล่องเหลือ 285/STK เหลืออย่างละ 260 ดวง"/>
    <n v="0"/>
    <n v="0"/>
  </r>
  <r>
    <x v="689"/>
    <s v="01-2026"/>
    <x v="1"/>
    <e v="#N/A"/>
    <x v="11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200"/>
    <n v="200"/>
    <m/>
    <n v="0"/>
    <n v="0"/>
    <n v="0"/>
    <n v="7.4999999999999997E-3"/>
    <n v="0"/>
    <s v="กล่องเหลือ 83/Stkติดฝา 156 ดวง/Stk ติดถ้วย 990"/>
    <n v="0"/>
    <n v="0"/>
  </r>
  <r>
    <x v="689"/>
    <s v="01-2026"/>
    <x v="1"/>
    <e v="#N/A"/>
    <x v="11"/>
    <s v="ขายภายใน"/>
    <s v="MTFS"/>
    <s v="CPFGS"/>
    <s v="ซีพีเอฟ เทรดดิ้ง"/>
    <s v="E+Wonton"/>
    <s v="Cooked Wonton"/>
    <s v="Cooked Wonton  with egg V-Food"/>
    <s v="082S83Q12005P05000"/>
    <s v="145g*12"/>
    <n v="12"/>
    <n v="5"/>
    <n v="8.0000000000000002E-3"/>
    <x v="1"/>
    <s v="STPP"/>
    <s v="Regular"/>
    <n v="12"/>
    <n v="12"/>
    <m/>
    <n v="0"/>
    <n v="0"/>
    <n v="0"/>
    <n v="7.4999999999999997E-3"/>
    <n v="0"/>
    <m/>
    <n v="0"/>
    <n v="0"/>
  </r>
  <r>
    <x v="689"/>
    <s v="01-2026"/>
    <x v="1"/>
    <e v="#N/A"/>
    <x v="11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1"/>
    <s v="145g*12"/>
    <n v="12"/>
    <n v="5"/>
    <n v="8.0000000000000002E-3"/>
    <x v="1"/>
    <s v="STPP"/>
    <s v="Regular"/>
    <n v="2220"/>
    <n v="2220"/>
    <m/>
    <n v="0"/>
    <n v="0"/>
    <n v="0"/>
    <n v="7.4999999999999997E-3"/>
    <n v="0"/>
    <m/>
    <n v="0"/>
    <n v="0"/>
  </r>
  <r>
    <x v="689"/>
    <s v="01-2026"/>
    <x v="1"/>
    <e v="#N/A"/>
    <x v="11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1136"/>
    <n v="1136"/>
    <m/>
    <n v="0"/>
    <n v="0"/>
    <n v="0"/>
    <n v="7.4999999999999997E-3"/>
    <n v="0"/>
    <m/>
    <n v="0"/>
    <n v="0"/>
  </r>
  <r>
    <x v="689"/>
    <s v="01-2026"/>
    <x v="1"/>
    <e v="#N/A"/>
    <x v="11"/>
    <s v="ขายภายใน"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1200"/>
    <m/>
    <n v="1278"/>
    <n v="78"/>
    <n v="0"/>
    <n v="0"/>
    <n v="1"/>
    <n v="0"/>
    <m/>
    <n v="0"/>
    <n v="0"/>
  </r>
  <r>
    <x v="690"/>
    <d v="2026-01-05T00:00:00"/>
    <x v="1"/>
    <e v="#N/A"/>
    <x v="11"/>
    <s v="DRY2500291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955"/>
    <n v="955"/>
    <m/>
    <n v="0"/>
    <n v="0"/>
    <n v="0"/>
    <n v="2"/>
    <n v="0"/>
    <s v="ห่อแบบสุก"/>
    <n v="0"/>
    <n v="0"/>
  </r>
  <r>
    <x v="690"/>
    <d v="2026-01-07T00:00:00"/>
    <x v="1"/>
    <e v="#N/A"/>
    <x v="11"/>
    <s v="DRY2500293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98"/>
    <n v="98"/>
    <m/>
    <n v="0"/>
    <n v="0"/>
    <n v="0"/>
    <n v="2"/>
    <n v="0"/>
    <s v="ห่อแบบสุก"/>
    <n v="0"/>
    <n v="0"/>
  </r>
  <r>
    <x v="690"/>
    <d v="2026-01-06T00:00:00"/>
    <x v="1"/>
    <e v="#N/A"/>
    <x v="11"/>
    <s v="DRY2500284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x v="690"/>
    <d v="2026-01-06T00:00:00"/>
    <x v="1"/>
    <e v="#N/A"/>
    <x v="11"/>
    <s v="DRY2500319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x v="691"/>
    <m/>
    <x v="1"/>
    <e v="#N/A"/>
    <x v="11"/>
    <m/>
    <m/>
    <m/>
    <m/>
    <m/>
    <m/>
    <m/>
    <m/>
    <m/>
    <m/>
    <m/>
    <m/>
    <x v="0"/>
    <m/>
    <m/>
    <m/>
    <m/>
    <m/>
    <m/>
    <m/>
    <n v="0"/>
    <m/>
    <m/>
    <m/>
    <m/>
    <m/>
  </r>
  <r>
    <x v="692"/>
    <d v="2026-01-07T00:00:00"/>
    <x v="1"/>
    <e v="#N/A"/>
    <x v="11"/>
    <s v="DRY2500293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2425"/>
    <n v="2031"/>
    <n v="394"/>
    <n v="0"/>
    <n v="0"/>
    <n v="0"/>
    <n v="2"/>
    <n v="0"/>
    <s v="ห่อแบบสุก"/>
    <n v="0"/>
    <n v="0"/>
  </r>
  <r>
    <x v="693"/>
    <d v="2026-01-07T00:00:00"/>
    <x v="1"/>
    <e v="#N/A"/>
    <x v="11"/>
    <s v="DRY2500293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477"/>
    <n v="371"/>
    <n v="106"/>
    <n v="0"/>
    <n v="0"/>
    <n v="0"/>
    <n v="2"/>
    <n v="0"/>
    <s v="ห่อแบบสุก"/>
    <n v="0"/>
    <n v="0"/>
  </r>
  <r>
    <x v="693"/>
    <d v="2026-01-06T00:00:00"/>
    <x v="1"/>
    <e v="#N/A"/>
    <x v="11"/>
    <s v="DRY2500349"/>
    <s v="SG"/>
    <s v="CPFNW"/>
    <s v="CPI SINGAPORE"/>
    <s v="R-Minced egg past"/>
    <s v="Raw Wonton"/>
    <s v="Raw Minced Wonton 8 pcs"/>
    <s v="082ID3B18008P00001"/>
    <s v="90g*18in"/>
    <n v="18"/>
    <n v="8"/>
    <n v="6.0000000000000001E-3"/>
    <x v="4"/>
    <s v="STPP"/>
    <s v="ซุปซอง 5g."/>
    <n v="400"/>
    <n v="400"/>
    <m/>
    <n v="0"/>
    <n v="0"/>
    <n v="0"/>
    <n v="2"/>
    <n v="0"/>
    <m/>
    <n v="0"/>
    <n v="0"/>
  </r>
  <r>
    <x v="693"/>
    <d v="2026-01-12T00:00:00"/>
    <x v="1"/>
    <e v="#N/A"/>
    <x v="11"/>
    <s v="DRY2500295"/>
    <s v="SG"/>
    <s v="CPFNW"/>
    <s v="CPI SINGAPORE"/>
    <s v="R-Minced egg past"/>
    <s v="Raw Wonton"/>
    <s v="Raw Minced Wonton 8 pcs"/>
    <s v="082ID3B18008P00001"/>
    <s v="90g*18in"/>
    <n v="18"/>
    <n v="8"/>
    <n v="6.0000000000000001E-3"/>
    <x v="4"/>
    <s v="STPP"/>
    <s v="ซุปซอง 5g."/>
    <n v="398"/>
    <n v="398"/>
    <m/>
    <n v="0"/>
    <n v="0"/>
    <n v="0"/>
    <n v="2"/>
    <n v="0"/>
    <m/>
    <n v="0"/>
    <n v="0"/>
  </r>
  <r>
    <x v="693"/>
    <d v="2026-01-06T00:00:00"/>
    <x v="1"/>
    <e v="#N/A"/>
    <x v="11"/>
    <s v="DRY2500284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x v="693"/>
    <d v="2026-01-06T00:00:00"/>
    <x v="1"/>
    <e v="#N/A"/>
    <x v="11"/>
    <s v="DRY2500319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x v="694"/>
    <d v="2026-01-12T00:00:00"/>
    <x v="1"/>
    <e v="#N/A"/>
    <x v="11"/>
    <s v="DRY2500295"/>
    <s v="SG"/>
    <s v="CPFNW"/>
    <s v="CPI SINGAPORE"/>
    <s v="R-Minced egg past"/>
    <s v="Raw Wonton"/>
    <s v="Raw Minced Wonton 8 pcs"/>
    <s v="082ID3B18008P00001"/>
    <s v="90g*18in"/>
    <n v="18"/>
    <n v="8"/>
    <n v="6.0000000000000001E-3"/>
    <x v="4"/>
    <s v="STPP"/>
    <s v="ซุปซอง 5g."/>
    <n v="202"/>
    <n v="202"/>
    <n v="44"/>
    <n v="44"/>
    <n v="0"/>
    <n v="0"/>
    <n v="2"/>
    <n v="0"/>
    <m/>
    <n v="0"/>
    <n v="0"/>
  </r>
  <r>
    <x v="694"/>
    <d v="2026-01-12T00:00:00"/>
    <x v="1"/>
    <e v="#N/A"/>
    <x v="11"/>
    <s v="DRY2500294"/>
    <s v="SG"/>
    <s v="CPFNW"/>
    <s v="CPI SINGAPORE"/>
    <s v="R-Wonton egg past"/>
    <s v="Raw Wonton"/>
    <s v="Raw Wonton 8 pcs"/>
    <s v="082I93B20008P00001"/>
    <s v="194g*20in"/>
    <n v="20"/>
    <n v="8"/>
    <n v="1.4999999999999999E-2"/>
    <x v="6"/>
    <s v="STPP"/>
    <s v="ซุปซอง 5g."/>
    <n v="1000"/>
    <n v="1000"/>
    <m/>
    <n v="0"/>
    <n v="0"/>
    <n v="0"/>
    <n v="2"/>
    <n v="0"/>
    <s v="ห่อแบบดิบ"/>
    <n v="0"/>
    <n v="0"/>
  </r>
  <r>
    <x v="694"/>
    <d v="2025-12-26T00:00:00"/>
    <x v="1"/>
    <e v="#N/A"/>
    <x v="11"/>
    <s v="DRY2500307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765"/>
    <m/>
    <n v="823"/>
    <n v="58"/>
    <n v="0"/>
    <n v="0"/>
    <n v="7.4999999999999997E-3"/>
    <n v="0"/>
    <s v="new package (ลบโลโก้ Facebook)"/>
    <n v="0"/>
    <n v="0"/>
  </r>
  <r>
    <x v="694"/>
    <d v="2025-12-26T00:00:00"/>
    <x v="1"/>
    <e v="#N/A"/>
    <x v="11"/>
    <s v="KL2500047"/>
    <s v="China"/>
    <s v="China"/>
    <s v="Charoen Pokphand Import&amp;Export Trading (Shanghai) Co., Ltd"/>
    <s v="Wonton+TY"/>
    <s v="Cooked Wonton"/>
    <s v="Wonton Soup  (Enriched wonton sheet)"/>
    <s v="082S85J36005P00001"/>
    <s v="147g*6c*6in"/>
    <n v="36"/>
    <n v="5"/>
    <n v="7.4999999999999997E-3"/>
    <x v="1"/>
    <s v="Salt"/>
    <s v="TYEXSG+CO"/>
    <n v="550"/>
    <n v="550"/>
    <n v="17.666666666666668"/>
    <n v="17.666666666666629"/>
    <n v="0"/>
    <n v="0"/>
    <n v="2.2419999999999999E-2"/>
    <n v="0"/>
    <m/>
    <m/>
    <m/>
  </r>
  <r>
    <x v="694"/>
    <d v="2026-01-13T00:00:00"/>
    <x v="1"/>
    <e v="#N/A"/>
    <x v="11"/>
    <s v="DRY2500329"/>
    <s v="Denmark"/>
    <s v="CPFNW"/>
    <s v="CPF DENMARK"/>
    <s v="Minced ND+V+TY"/>
    <s v="Cooked Wonton"/>
    <s v="Cooked Minced  ND No Egg with Pumpkin_x000a_+ Yu Choy Tomyum"/>
    <s v="082SRRE12003P00001"/>
    <s v="302g*12"/>
    <n v="12"/>
    <n v="3"/>
    <n v="6.0000000000000001E-3"/>
    <x v="4"/>
    <s v="Salt"/>
    <s v="TYEXSG+CO"/>
    <n v="2520"/>
    <n v="2520"/>
    <n v="25.583333333333332"/>
    <n v="25.583333333333485"/>
    <n v="0"/>
    <n v="0"/>
    <n v="3.8699999999999998E-2"/>
    <n v="0"/>
    <s v="rema"/>
    <n v="0"/>
    <n v="0"/>
  </r>
  <r>
    <x v="695"/>
    <d v="2026-01-16T00:00:00"/>
    <x v="1"/>
    <e v="#N/A"/>
    <x v="11"/>
    <s v="DRY2500296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1196"/>
    <n v="751"/>
    <n v="445"/>
    <n v="0"/>
    <n v="0"/>
    <n v="0"/>
    <n v="2"/>
    <n v="0"/>
    <s v="ห่อแบบสุก"/>
    <n v="0"/>
    <n v="0"/>
  </r>
  <r>
    <x v="695"/>
    <d v="2025-12-26T00:00:00"/>
    <x v="1"/>
    <e v="#N/A"/>
    <x v="11"/>
    <s v="KL2500046"/>
    <s v="China"/>
    <s v="China"/>
    <s v="Charoen Pokphand Import&amp;Export Trading (Shanghai) Co., Ltd"/>
    <s v="Wonton ND+V"/>
    <s v="Cooked Wonton"/>
    <s v="Cooked Wonton ND No Egg with Pumpkin _x000a_+ Vegetable 5 pcs tomyam"/>
    <s v="082SJ5J36005P00001"/>
    <s v="308g*6c*6in"/>
    <n v="36"/>
    <n v="5"/>
    <n v="7.4999999999999997E-3"/>
    <x v="5"/>
    <s v="Salt"/>
    <s v="Y3"/>
    <n v="450"/>
    <n v="450"/>
    <m/>
    <n v="0"/>
    <n v="0"/>
    <n v="0"/>
    <n v="9.7000000000000003E-3"/>
    <n v="0"/>
    <s v="INNERใหม่ / กล่องใหม่"/>
    <m/>
    <m/>
  </r>
  <r>
    <x v="695"/>
    <d v="2026-01-22T00:00:00"/>
    <x v="1"/>
    <e v="#N/A"/>
    <x v="11"/>
    <s v="DRY2500353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695"/>
    <d v="2026-01-29T00:00:00"/>
    <x v="1"/>
    <e v="#N/A"/>
    <x v="11"/>
    <s v="DRY2500355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62"/>
    <n v="30"/>
    <n v="0"/>
    <n v="0"/>
    <n v="0"/>
    <n v="7.4999999999999997E-3"/>
    <n v="0"/>
    <m/>
    <n v="0"/>
    <n v="0"/>
  </r>
  <r>
    <x v="695"/>
    <d v="2026-01-15T00:00:00"/>
    <x v="1"/>
    <e v="#N/A"/>
    <x v="11"/>
    <s v="DRY2500354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SG+CO"/>
    <n v="924"/>
    <n v="924"/>
    <n v="31.416666666666668"/>
    <n v="31.416666666666629"/>
    <n v="0"/>
    <n v="0"/>
    <n v="3.8699999999999998E-2"/>
    <n v="0"/>
    <s v="1436 ถ้วย NZ"/>
    <n v="0"/>
    <n v="0"/>
  </r>
  <r>
    <x v="696"/>
    <d v="2026-01-16T00:00:00"/>
    <x v="1"/>
    <e v="#N/A"/>
    <x v="11"/>
    <s v="DRY2500296"/>
    <s v="SG"/>
    <s v="CPFNW"/>
    <s v="CPI SINGAPORE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804"/>
    <n v="717"/>
    <n v="87"/>
    <n v="0"/>
    <n v="0"/>
    <n v="0"/>
    <n v="2"/>
    <n v="0"/>
    <s v="ห่อแบบสุก"/>
    <n v="0"/>
    <n v="0"/>
  </r>
  <r>
    <x v="696"/>
    <s v="01-2026"/>
    <x v="1"/>
    <e v="#N/A"/>
    <x v="11"/>
    <s v="ขายภายใน"/>
    <s v=".7-11"/>
    <s v="CPFGS"/>
    <s v="STK ตรุษจีน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3778"/>
    <n v="3778"/>
    <m/>
    <n v="0"/>
    <n v="0"/>
    <n v="0"/>
    <n v="7.4999999999999997E-3"/>
    <n v="0"/>
    <s v="104500 ถ้วย"/>
    <n v="0"/>
    <n v="0"/>
  </r>
  <r>
    <x v="697"/>
    <m/>
    <x v="1"/>
    <e v="#N/A"/>
    <x v="11"/>
    <m/>
    <m/>
    <m/>
    <m/>
    <m/>
    <m/>
    <s v="กิจกรรมปลูกป่า ความปลอดภัย"/>
    <m/>
    <m/>
    <m/>
    <m/>
    <m/>
    <x v="0"/>
    <m/>
    <m/>
    <m/>
    <m/>
    <m/>
    <m/>
    <m/>
    <n v="0"/>
    <m/>
    <m/>
    <m/>
    <m/>
    <m/>
  </r>
  <r>
    <x v="698"/>
    <m/>
    <x v="1"/>
    <e v="#N/A"/>
    <x v="11"/>
    <m/>
    <m/>
    <m/>
    <m/>
    <m/>
    <m/>
    <m/>
    <m/>
    <m/>
    <m/>
    <m/>
    <m/>
    <x v="0"/>
    <m/>
    <m/>
    <m/>
    <m/>
    <m/>
    <m/>
    <m/>
    <n v="0"/>
    <m/>
    <m/>
    <m/>
    <m/>
    <m/>
  </r>
  <r>
    <x v="699"/>
    <m/>
    <x v="1"/>
    <e v="#N/A"/>
    <x v="11"/>
    <m/>
    <m/>
    <m/>
    <m/>
    <m/>
    <m/>
    <m/>
    <m/>
    <m/>
    <m/>
    <m/>
    <m/>
    <x v="0"/>
    <m/>
    <m/>
    <m/>
    <m/>
    <m/>
    <m/>
    <m/>
    <n v="0"/>
    <m/>
    <m/>
    <m/>
    <m/>
    <m/>
  </r>
  <r>
    <x v="700"/>
    <m/>
    <x v="1"/>
    <e v="#N/A"/>
    <x v="11"/>
    <m/>
    <m/>
    <m/>
    <m/>
    <m/>
    <m/>
    <m/>
    <m/>
    <m/>
    <m/>
    <m/>
    <m/>
    <x v="0"/>
    <m/>
    <m/>
    <m/>
    <m/>
    <m/>
    <m/>
    <m/>
    <n v="0"/>
    <m/>
    <m/>
    <m/>
    <m/>
    <m/>
  </r>
  <r>
    <x v="701"/>
    <m/>
    <x v="1"/>
    <e v="#N/A"/>
    <x v="11"/>
    <m/>
    <m/>
    <m/>
    <m/>
    <m/>
    <m/>
    <m/>
    <m/>
    <m/>
    <m/>
    <m/>
    <m/>
    <x v="0"/>
    <m/>
    <m/>
    <m/>
    <m/>
    <m/>
    <m/>
    <m/>
    <n v="0"/>
    <m/>
    <m/>
    <m/>
    <m/>
    <m/>
  </r>
  <r>
    <x v="702"/>
    <m/>
    <x v="2"/>
    <e v="#N/A"/>
    <x v="0"/>
    <m/>
    <m/>
    <m/>
    <m/>
    <m/>
    <m/>
    <m/>
    <m/>
    <m/>
    <m/>
    <m/>
    <m/>
    <x v="0"/>
    <m/>
    <m/>
    <m/>
    <m/>
    <m/>
    <m/>
    <m/>
    <n v="0"/>
    <m/>
    <m/>
    <m/>
    <m/>
    <m/>
  </r>
  <r>
    <x v="703"/>
    <m/>
    <x v="2"/>
    <e v="#N/A"/>
    <x v="0"/>
    <m/>
    <m/>
    <m/>
    <m/>
    <m/>
    <m/>
    <m/>
    <m/>
    <m/>
    <m/>
    <m/>
    <m/>
    <x v="0"/>
    <m/>
    <m/>
    <m/>
    <m/>
    <m/>
    <m/>
    <m/>
    <n v="0"/>
    <m/>
    <m/>
    <m/>
    <m/>
    <m/>
  </r>
  <r>
    <x v="704"/>
    <m/>
    <x v="2"/>
    <e v="#N/A"/>
    <x v="0"/>
    <m/>
    <m/>
    <m/>
    <m/>
    <m/>
    <m/>
    <m/>
    <m/>
    <m/>
    <m/>
    <m/>
    <m/>
    <x v="0"/>
    <m/>
    <m/>
    <m/>
    <m/>
    <m/>
    <m/>
    <m/>
    <n v="0"/>
    <m/>
    <m/>
    <m/>
    <m/>
    <m/>
  </r>
  <r>
    <x v="705"/>
    <m/>
    <x v="2"/>
    <e v="#N/A"/>
    <x v="0"/>
    <m/>
    <m/>
    <m/>
    <m/>
    <m/>
    <m/>
    <m/>
    <m/>
    <m/>
    <m/>
    <m/>
    <m/>
    <x v="0"/>
    <m/>
    <m/>
    <m/>
    <m/>
    <m/>
    <m/>
    <m/>
    <n v="0"/>
    <m/>
    <m/>
    <m/>
    <m/>
    <m/>
  </r>
  <r>
    <x v="706"/>
    <d v="2026-01-15T00:00:00"/>
    <x v="2"/>
    <e v="#N/A"/>
    <x v="0"/>
    <s v="DRY2500346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349"/>
    <n v="339"/>
    <n v="10"/>
    <n v="0"/>
    <n v="0"/>
    <n v="0"/>
    <n v="6"/>
    <n v="0"/>
    <m/>
    <n v="0"/>
    <n v="0"/>
  </r>
  <r>
    <x v="707"/>
    <d v="2026-01-15T00:00:00"/>
    <x v="2"/>
    <e v="#N/A"/>
    <x v="0"/>
    <s v="DRY2500346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354"/>
    <n v="354"/>
    <m/>
    <n v="0"/>
    <n v="0"/>
    <n v="0"/>
    <n v="6"/>
    <n v="0"/>
    <m/>
    <n v="0"/>
    <n v="0"/>
  </r>
  <r>
    <x v="708"/>
    <d v="2026-01-15T00:00:00"/>
    <x v="2"/>
    <e v="#N/A"/>
    <x v="0"/>
    <s v="DRY2500346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337"/>
    <n v="337"/>
    <m/>
    <n v="0"/>
    <n v="0"/>
    <n v="0"/>
    <n v="6"/>
    <n v="0"/>
    <m/>
    <n v="0"/>
    <n v="0"/>
  </r>
  <r>
    <x v="708"/>
    <d v="2026-01-16T00:00:00"/>
    <x v="2"/>
    <e v="#N/A"/>
    <x v="0"/>
    <s v="DRY2500298"/>
    <s v="SG"/>
    <s v="CPFNW"/>
    <s v="CP FOODS SINGAPORE PTE. LTD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275"/>
    <n v="238"/>
    <n v="37"/>
    <n v="0"/>
    <n v="0"/>
    <n v="0"/>
    <n v="2"/>
    <n v="0"/>
    <s v="ห่อแบบสุก"/>
    <n v="0"/>
    <n v="0"/>
  </r>
  <r>
    <x v="709"/>
    <d v="2026-01-16T00:00:00"/>
    <x v="2"/>
    <e v="#N/A"/>
    <x v="0"/>
    <s v="DRY2500298"/>
    <s v="SG"/>
    <s v="CPFNW"/>
    <s v="CP FOODS SINGAPORE PTE. LTD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725"/>
    <n v="504"/>
    <n v="221"/>
    <n v="0"/>
    <n v="0"/>
    <n v="0"/>
    <n v="2"/>
    <n v="0"/>
    <s v="ห่อแบบสุก"/>
    <n v="0"/>
    <n v="0"/>
  </r>
  <r>
    <x v="709"/>
    <d v="2026-01-14T00:00:00"/>
    <x v="2"/>
    <e v="#N/A"/>
    <x v="0"/>
    <s v="DRY2500297"/>
    <s v="SG"/>
    <s v="CPFNW"/>
    <s v="CP FOODS SINGAPORE PTE. LTD"/>
    <s v="R-Wonton egg past"/>
    <s v="Raw Wonton"/>
    <s v="Raw Wonton 12 pcs with sesame"/>
    <s v="082I93B20012P02001"/>
    <s v="204g*20in"/>
    <n v="20"/>
    <n v="12"/>
    <n v="6.8100000000000001E-3"/>
    <x v="3"/>
    <s v="STPP"/>
    <s v=" sesame 30g"/>
    <n v="1200"/>
    <n v="425"/>
    <n v="778"/>
    <n v="3"/>
    <n v="0"/>
    <n v="0"/>
    <n v="2"/>
    <n v="0"/>
    <s v="ห่อแบบดิบ"/>
    <m/>
    <m/>
  </r>
  <r>
    <x v="709"/>
    <d v="2026-02-18T00:00:00"/>
    <x v="2"/>
    <e v="#N/A"/>
    <x v="0"/>
    <s v="DRY2500348"/>
    <s v="SG"/>
    <s v="CPFNW"/>
    <s v="CP FOODS SINGAPORE PTE. LTD"/>
    <s v="R-Wonton egg past"/>
    <s v="Raw Wonton"/>
    <s v="Raw Wonton 8 pcs (Tomyam 30g.)"/>
    <s v="082I93B18008P01001"/>
    <s v="126g*18in"/>
    <n v="18"/>
    <n v="8"/>
    <n v="6.8100000000000001E-3"/>
    <x v="3"/>
    <s v="STPP"/>
    <s v="TYTB3C 30G"/>
    <n v="500"/>
    <n v="500"/>
    <m/>
    <n v="0"/>
    <n v="0"/>
    <n v="0"/>
    <n v="1"/>
    <n v="0"/>
    <m/>
    <n v="0"/>
    <n v="0"/>
  </r>
  <r>
    <x v="710"/>
    <s v="01-2026"/>
    <x v="2"/>
    <e v="#N/A"/>
    <x v="0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s v="-"/>
    <n v="700"/>
    <n v="700"/>
    <m/>
    <n v="0"/>
    <n v="0"/>
    <n v="0"/>
    <m/>
    <n v="0"/>
    <m/>
    <n v="0"/>
    <n v="0"/>
  </r>
  <r>
    <x v="711"/>
    <d v="2026-01-14T00:00:00"/>
    <x v="2"/>
    <e v="#N/A"/>
    <x v="0"/>
    <s v="DRY2500350"/>
    <s v="SG"/>
    <s v="CPFNW"/>
    <s v="CP FOODS SINGAPORE PTE. LTD"/>
    <s v="Wonton +TY"/>
    <s v="Cooked Wonton"/>
    <s v="Cooked Wonton No Egg"/>
    <s v="082S83B24005P06001"/>
    <s v="115g*24"/>
    <n v="24"/>
    <n v="5"/>
    <n v="8.0000000000000002E-3"/>
    <x v="1"/>
    <s v="STPP"/>
    <s v="TYTB3C 30G"/>
    <n v="500"/>
    <m/>
    <n v="500"/>
    <n v="0"/>
    <n v="0"/>
    <n v="0"/>
    <n v="1"/>
    <n v="0"/>
    <m/>
    <n v="0"/>
    <n v="0"/>
  </r>
  <r>
    <x v="711"/>
    <d v="2026-01-13T00:00:00"/>
    <x v="2"/>
    <e v="#N/A"/>
    <x v="0"/>
    <s v="DRY2500284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830"/>
    <n v="458"/>
    <n v="0"/>
    <n v="0"/>
    <n v="0"/>
    <n v="7.4999999999999997E-3"/>
    <n v="0"/>
    <s v="ถ้าว,ฝา สีขาว/Halal/ New Design   สวมผลิต 05/01/26"/>
    <n v="0"/>
    <n v="0"/>
  </r>
  <r>
    <x v="711"/>
    <d v="2026-01-13T00:00:00"/>
    <x v="2"/>
    <e v="#N/A"/>
    <x v="0"/>
    <s v="DRY2500319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749"/>
    <m/>
    <n v="749"/>
    <n v="0"/>
    <n v="0"/>
    <n v="0"/>
    <n v="7.4999999999999997E-3"/>
    <n v="0"/>
    <s v="ถ้าว,ฝา สีขาว/Halal/ New Design   สวมผลิต 05/01/26"/>
    <n v="0"/>
    <n v="0"/>
  </r>
  <r>
    <x v="712"/>
    <d v="2026-01-13T00:00:00"/>
    <x v="2"/>
    <e v="#N/A"/>
    <x v="0"/>
    <s v="DRY2500319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539"/>
    <n v="500"/>
    <n v="39"/>
    <n v="0"/>
    <n v="0"/>
    <n v="0"/>
    <n v="7.4999999999999997E-3"/>
    <n v="0"/>
    <s v="ถ้าว,ฝา สีขาว/Halal/ New Design   สวมผลิต 05/01/26"/>
    <n v="0"/>
    <n v="0"/>
  </r>
  <r>
    <x v="712"/>
    <d v="2026-01-13T00:00:00"/>
    <x v="2"/>
    <e v="#N/A"/>
    <x v="0"/>
    <s v="DRY2500320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ถ้าว,ฝา สีขาว/Halal/ New Design   สวมผลิต 06/01/26"/>
    <n v="0"/>
    <n v="0"/>
  </r>
  <r>
    <x v="712"/>
    <d v="2026-01-13T00:00:00"/>
    <x v="2"/>
    <e v="#N/A"/>
    <x v="0"/>
    <s v="DRY2500321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297"/>
    <n v="297"/>
    <m/>
    <n v="0"/>
    <n v="0"/>
    <n v="0"/>
    <n v="7.4999999999999997E-3"/>
    <n v="0"/>
    <s v="ถ้าว,ฝา สีขาว/Halal/ New Design   สวมผลิต 06/01/26"/>
    <n v="0"/>
    <n v="0"/>
  </r>
  <r>
    <x v="713"/>
    <d v="2026-01-20T00:00:00"/>
    <x v="2"/>
    <e v="#N/A"/>
    <x v="0"/>
    <s v="KL2500044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791"/>
    <n v="791"/>
    <m/>
    <n v="0"/>
    <n v="0"/>
    <n v="0"/>
    <n v="6"/>
    <n v="0"/>
    <m/>
    <n v="0"/>
    <n v="0"/>
  </r>
  <r>
    <x v="713"/>
    <d v="2026-01-13T00:00:00"/>
    <x v="2"/>
    <e v="#N/A"/>
    <x v="0"/>
    <s v="DRY2500321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991"/>
    <n v="991"/>
    <m/>
    <n v="0"/>
    <n v="0"/>
    <n v="0"/>
    <n v="7.4999999999999997E-3"/>
    <n v="0"/>
    <s v="ถ้าว,ฝา สีขาว/Halal/ New Design   สวมผลิต 06/01/26"/>
    <n v="0"/>
    <n v="0"/>
  </r>
  <r>
    <x v="713"/>
    <d v="2026-01-13T00:00:00"/>
    <x v="2"/>
    <e v="#N/A"/>
    <x v="0"/>
    <s v="DRY2500284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87"/>
    <n v="87"/>
    <m/>
    <n v="0"/>
    <n v="0"/>
    <n v="0"/>
    <n v="7.4999999999999997E-3"/>
    <n v="0"/>
    <s v="ถ้าว,ฝา สีขาว/Halal/ New Design   สวมผลิต 05/01/26"/>
    <n v="0"/>
    <n v="0"/>
  </r>
  <r>
    <x v="713"/>
    <s v="01-2026"/>
    <x v="2"/>
    <e v="#N/A"/>
    <x v="0"/>
    <s v="ขายภายใน"/>
    <s v=".7-11"/>
    <s v="CPFGS"/>
    <s v="STK ตรุษจีน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988"/>
    <n v="877"/>
    <n v="111"/>
    <n v="0"/>
    <n v="0"/>
    <n v="0"/>
    <n v="7.4999999999999997E-3"/>
    <n v="0"/>
    <s v="104500 ถ้วย"/>
    <n v="0"/>
    <n v="0"/>
  </r>
  <r>
    <x v="714"/>
    <d v="2026-01-20T00:00:00"/>
    <x v="2"/>
    <e v="#N/A"/>
    <x v="0"/>
    <s v="KL2500044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617"/>
    <n v="617"/>
    <m/>
    <n v="0"/>
    <n v="0"/>
    <n v="0"/>
    <n v="6"/>
    <n v="0"/>
    <m/>
    <n v="0"/>
    <n v="0"/>
  </r>
  <r>
    <x v="713"/>
    <d v="2026-01-13T00:00:00"/>
    <x v="2"/>
    <e v="#N/A"/>
    <x v="0"/>
    <s v="DRY2500284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63"/>
    <n v="163"/>
    <m/>
    <n v="0"/>
    <n v="0"/>
    <n v="0"/>
    <n v="7.4999999999999997E-3"/>
    <n v="0"/>
    <s v="ถ้าว,ฝา สีขาว/Halal/ New Design   สวมผลิต 06/01/26"/>
    <n v="0"/>
    <n v="0"/>
  </r>
  <r>
    <x v="714"/>
    <d v="2026-01-22T00:00:00"/>
    <x v="2"/>
    <e v="#N/A"/>
    <x v="0"/>
    <s v="DRY2500369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85"/>
    <n v="41.861111111111114"/>
    <n v="38.861111111111086"/>
    <n v="0"/>
    <n v="0"/>
    <n v="7.4999999999999997E-3"/>
    <n v="0"/>
    <m/>
    <n v="0"/>
    <n v="0"/>
  </r>
  <r>
    <x v="714"/>
    <d v="2026-01-22T00:00:00"/>
    <x v="2"/>
    <e v="#N/A"/>
    <x v="0"/>
    <s v="DRY2500378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5000"/>
    <m/>
    <n v="5255"/>
    <n v="255"/>
    <n v="0"/>
    <n v="0"/>
    <n v="7.4999999999999997E-3"/>
    <n v="0"/>
    <s v="816 ถ้วยของ pack36"/>
    <n v="0"/>
    <n v="0"/>
  </r>
  <r>
    <x v="715"/>
    <d v="2026-01-23T00:00:00"/>
    <x v="2"/>
    <e v="#N/A"/>
    <x v="0"/>
    <s v="KL2500045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824"/>
    <n v="808"/>
    <n v="16"/>
    <n v="0"/>
    <n v="0"/>
    <n v="0"/>
    <n v="6"/>
    <n v="0"/>
    <m/>
    <n v="0"/>
    <n v="0"/>
  </r>
  <r>
    <x v="715"/>
    <d v="2026-01-19T00:00:00"/>
    <x v="2"/>
    <e v="#N/A"/>
    <x v="0"/>
    <s v="DRY2500307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765"/>
    <m/>
    <n v="813.33333333333337"/>
    <n v="48.333333333333371"/>
    <n v="0"/>
    <n v="0"/>
    <n v="7.4999999999999997E-3"/>
    <n v="0"/>
    <s v="new package (ลบโลโก้ Facebook)"/>
    <n v="0"/>
    <n v="0"/>
  </r>
  <r>
    <x v="715"/>
    <d v="2026-01-23T00:00:00"/>
    <x v="2"/>
    <e v="#N/A"/>
    <x v="0"/>
    <s v="DRY2500151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62"/>
    <n v="762"/>
    <m/>
    <n v="0"/>
    <n v="0"/>
    <n v="0"/>
    <n v="9.7000000000000003E-3"/>
    <n v="0"/>
    <s v="580 ถ้วย"/>
    <n v="0"/>
    <n v="0"/>
  </r>
  <r>
    <x v="715"/>
    <d v="2026-01-23T00:00:00"/>
    <x v="2"/>
    <e v="#N/A"/>
    <x v="0"/>
    <s v="DRY2500152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715"/>
    <d v="2026-01-21T00:00:00"/>
    <x v="2"/>
    <e v="#N/A"/>
    <x v="0"/>
    <s v="KL2600001"/>
    <s v="China"/>
    <s v="China"/>
    <s v="Charoen Pokphand Import&amp;Export Trading (Shanghai) Co., Ltd"/>
    <s v="Wonton ND+V"/>
    <s v="Cooked Wonton"/>
    <s v="Cooked Wonton ND No Egg with Pumpkin _x000a_+ Vegetable 5 pcs tomyam"/>
    <s v="082SJ5J36005P00001"/>
    <s v="308g*6c*6in"/>
    <n v="36"/>
    <n v="5"/>
    <n v="7.4999999999999997E-3"/>
    <x v="5"/>
    <s v="Salt"/>
    <s v="Y3"/>
    <n v="320"/>
    <m/>
    <n v="348.75"/>
    <n v="28.75"/>
    <n v="0"/>
    <n v="0"/>
    <n v="9.7000000000000003E-3"/>
    <n v="0"/>
    <s v="INNERใหม่ / กล่องใหม่"/>
    <m/>
    <m/>
  </r>
  <r>
    <x v="716"/>
    <d v="2026-01-23T00:00:00"/>
    <x v="2"/>
    <e v="#N/A"/>
    <x v="0"/>
    <s v="KL2500045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584"/>
    <n v="584"/>
    <m/>
    <n v="0"/>
    <n v="0"/>
    <n v="0"/>
    <n v="6"/>
    <n v="0"/>
    <m/>
    <n v="0"/>
    <n v="0"/>
  </r>
  <r>
    <x v="716"/>
    <s v="01-2026"/>
    <x v="2"/>
    <e v="#N/A"/>
    <x v="0"/>
    <s v="ขายภายใน"/>
    <s v=".7-11"/>
    <s v="CPFGS"/>
    <s v="STK ตรุษจีน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340"/>
    <n v="1340"/>
    <m/>
    <n v="0"/>
    <n v="0"/>
    <n v="0"/>
    <n v="7.4999999999999997E-3"/>
    <n v="0"/>
    <s v="104500 ถ้วย"/>
    <n v="0"/>
    <n v="0"/>
  </r>
  <r>
    <x v="716"/>
    <s v="01-2026"/>
    <x v="2"/>
    <e v="#N/A"/>
    <x v="0"/>
    <s v="ขายภายใน"/>
    <s v=".7-11"/>
    <s v="CPFGS"/>
    <s v="STK ตรุษจีน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035"/>
    <n v="1035"/>
    <m/>
    <n v="0"/>
    <n v="0"/>
    <n v="0"/>
    <n v="7.4999999999999997E-3"/>
    <n v="0"/>
    <m/>
    <n v="0"/>
    <n v="0"/>
  </r>
  <r>
    <x v="717"/>
    <s v="01-2026"/>
    <x v="2"/>
    <e v="#N/A"/>
    <x v="0"/>
    <s v="ขายภายใน"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1200"/>
    <m/>
    <n v="1271.6666666666667"/>
    <n v="71.666666666666742"/>
    <n v="0"/>
    <n v="0"/>
    <n v="1"/>
    <n v="0"/>
    <m/>
    <n v="0"/>
    <n v="0"/>
  </r>
  <r>
    <x v="717"/>
    <s v="01-2026"/>
    <x v="2"/>
    <e v="#N/A"/>
    <x v="0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1136"/>
    <n v="1136"/>
    <m/>
    <n v="0"/>
    <n v="0"/>
    <n v="0"/>
    <n v="7.4999999999999997E-3"/>
    <n v="0"/>
    <m/>
    <n v="0"/>
    <n v="0"/>
  </r>
  <r>
    <x v="717"/>
    <s v="01-2026"/>
    <x v="2"/>
    <e v="#N/A"/>
    <x v="0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704"/>
    <n v="704"/>
    <m/>
    <n v="0"/>
    <n v="0"/>
    <n v="0"/>
    <n v="7.4999999999999997E-3"/>
    <n v="0"/>
    <m/>
    <n v="0"/>
    <n v="0"/>
  </r>
  <r>
    <x v="717"/>
    <s v="12-2025"/>
    <x v="2"/>
    <e v="#N/A"/>
    <x v="0"/>
    <s v="ขายภายใน"/>
    <s v="MTFS"/>
    <s v="CPFGS"/>
    <s v="ซีพีเอฟ เทรดดิ้ง"/>
    <s v="E+Wonton TY"/>
    <s v="Cooked Wonton"/>
    <s v="CPเกี๊ยวกุ้งจักรพรรดิซุปต้มยำ 429g (Multi Pack)"/>
    <s v="082S83Q18005P08001"/>
    <s v="143g*3ถ้วย*6ถุง"/>
    <n v="18"/>
    <n v="5"/>
    <n v="8.0000000000000002E-3"/>
    <x v="2"/>
    <s v="STPP"/>
    <s v="TYNSF"/>
    <n v="1750"/>
    <m/>
    <n v="1750"/>
    <n v="0"/>
    <n v="0"/>
    <n v="0"/>
    <n v="8.9999999999999993E-3"/>
    <n v="0"/>
    <s v="ผ่าน 750 กล่อง"/>
    <n v="0"/>
    <n v="0"/>
  </r>
  <r>
    <x v="718"/>
    <d v="2026-01-20T00:00:00"/>
    <x v="2"/>
    <e v="#N/A"/>
    <x v="0"/>
    <s v="DRY2500322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ถ้าว,ฝา สีขาว/Halal/ New Design   สวมผลิต 12/01/26"/>
    <n v="0"/>
    <n v="0"/>
  </r>
  <r>
    <x v="718"/>
    <d v="2026-01-20T00:00:00"/>
    <x v="2"/>
    <e v="#N/A"/>
    <x v="0"/>
    <s v="DRY2500323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777"/>
    <n v="673.16666666666663"/>
    <n v="162.16666666666652"/>
    <n v="0"/>
    <n v="0"/>
    <n v="7.4999999999999997E-3"/>
    <n v="0"/>
    <s v="ถ้าว,ฝา สีขาว/Halal/ New Design   สวมผลิต 12/01/26"/>
    <n v="0"/>
    <n v="0"/>
  </r>
  <r>
    <x v="718"/>
    <s v="01-2026"/>
    <x v="2"/>
    <e v="#N/A"/>
    <x v="0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1"/>
    <s v="145g*12"/>
    <n v="12"/>
    <n v="5"/>
    <n v="8.0000000000000002E-3"/>
    <x v="1"/>
    <s v="STPP"/>
    <s v="Regular"/>
    <n v="2220"/>
    <n v="2220"/>
    <m/>
    <n v="0"/>
    <n v="0"/>
    <n v="0"/>
    <n v="7.4999999999999997E-3"/>
    <n v="0"/>
    <m/>
    <n v="0"/>
    <n v="0"/>
  </r>
  <r>
    <x v="718"/>
    <s v="01-2026"/>
    <x v="2"/>
    <e v="#N/A"/>
    <x v="0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1"/>
    <s v="145g*12"/>
    <n v="12"/>
    <n v="5"/>
    <n v="8.0000000000000002E-3"/>
    <x v="1"/>
    <s v="STPP"/>
    <s v="Regular"/>
    <n v="32"/>
    <n v="32"/>
    <m/>
    <n v="0"/>
    <n v="0"/>
    <n v="0"/>
    <n v="7.4999999999999997E-3"/>
    <n v="0"/>
    <m/>
    <n v="0"/>
    <n v="0"/>
  </r>
  <r>
    <x v="718"/>
    <s v="01-2026"/>
    <x v="2"/>
    <e v="#N/A"/>
    <x v="0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855"/>
    <n v="855"/>
    <m/>
    <n v="0"/>
    <n v="0"/>
    <n v="0"/>
    <n v="7.4999999999999997E-3"/>
    <n v="0"/>
    <m/>
    <n v="0"/>
    <n v="0"/>
  </r>
  <r>
    <x v="718"/>
    <s v="01-2026"/>
    <x v="2"/>
    <e v="#N/A"/>
    <x v="0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654"/>
    <n v="654"/>
    <m/>
    <n v="0"/>
    <n v="0"/>
    <n v="0"/>
    <n v="7.4999999999999997E-3"/>
    <n v="0"/>
    <s v="กล่อง 1000/Stk 23,900"/>
    <n v="0"/>
    <n v="0"/>
  </r>
  <r>
    <x v="718"/>
    <s v="01-2026"/>
    <x v="2"/>
    <e v="#N/A"/>
    <x v="0"/>
    <s v="ขายภายใน"/>
    <s v="MTFS"/>
    <s v="CPFGS"/>
    <s v="ซีพีเอฟ เทรดดิ้ง"/>
    <s v="E+Wonton NDE"/>
    <s v="Cooked Wonton"/>
    <s v="บะหมี่เกี๊ยวกุ้ง ตราซีพี 12X226 กรัม"/>
    <s v="082SJ3Q12003P07001"/>
    <s v="226g*12"/>
    <n v="12"/>
    <n v="3"/>
    <n v="8.0000000000000002E-3"/>
    <x v="1"/>
    <s v="STPP"/>
    <s v="Regular"/>
    <n v="500"/>
    <n v="500"/>
    <m/>
    <n v="0"/>
    <n v="0"/>
    <n v="0"/>
    <n v="7.4999999999999997E-3"/>
    <n v="0"/>
    <m/>
    <n v="0"/>
    <n v="0"/>
  </r>
  <r>
    <x v="719"/>
    <m/>
    <x v="2"/>
    <e v="#N/A"/>
    <x v="0"/>
    <m/>
    <m/>
    <m/>
    <m/>
    <m/>
    <m/>
    <m/>
    <m/>
    <m/>
    <m/>
    <m/>
    <m/>
    <x v="0"/>
    <m/>
    <m/>
    <m/>
    <m/>
    <m/>
    <m/>
    <m/>
    <n v="0"/>
    <m/>
    <m/>
    <m/>
    <m/>
    <m/>
  </r>
  <r>
    <x v="720"/>
    <s v="01-2026"/>
    <x v="2"/>
    <e v="#N/A"/>
    <x v="0"/>
    <s v="ขายภายใน"/>
    <s v=".7-11"/>
    <s v="CPFGS"/>
    <s v="STK ตรุษจีน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868"/>
    <n v="868"/>
    <m/>
    <n v="0"/>
    <n v="0"/>
    <n v="0"/>
    <n v="7.4999999999999997E-3"/>
    <n v="0"/>
    <m/>
    <n v="0"/>
    <n v="0"/>
  </r>
  <r>
    <x v="720"/>
    <d v="2026-01-29T00:00:00"/>
    <x v="2"/>
    <e v="#N/A"/>
    <x v="0"/>
    <s v="DRY2500353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m/>
    <n v="792.30555555555554"/>
    <n v="0.30555555555554292"/>
    <n v="0"/>
    <n v="0"/>
    <n v="7.4999999999999997E-3"/>
    <n v="0"/>
    <m/>
    <n v="0"/>
    <n v="0"/>
  </r>
  <r>
    <x v="720"/>
    <d v="2026-02-10T00:00:00"/>
    <x v="2"/>
    <e v="#N/A"/>
    <x v="0"/>
    <s v="DRY2500385"/>
    <s v="Germany"/>
    <s v="CPFNW"/>
    <s v=" CPF Distribution (under Paulsen Food)"/>
    <s v="Wonton ND+V"/>
    <s v="Cooked Wonton"/>
    <s v="Cooked Wonton ND No Egg with Pumpkin _x000a_+ Vegetable  HC  3 pcs"/>
    <s v="082SJ3N12003P02001"/>
    <s v="309g*12"/>
    <n v="12"/>
    <n v="3"/>
    <n v="6.8100000000000001E-3"/>
    <x v="3"/>
    <s v="Salt"/>
    <s v="Regular"/>
    <n v="2278"/>
    <m/>
    <n v="2374.3333333333335"/>
    <n v="96.333333333333485"/>
    <n v="0"/>
    <n v="0"/>
    <n v="9.7000000000000003E-3"/>
    <n v="0"/>
    <s v="NEWPACKAGE"/>
    <n v="0"/>
    <n v="0"/>
  </r>
  <r>
    <x v="720"/>
    <d v="2026-02-03T00:00:00"/>
    <x v="2"/>
    <e v="#N/A"/>
    <x v="0"/>
    <s v="DRY2500356"/>
    <s v="Denmark"/>
    <s v="CPFNW"/>
    <s v="CPF DENMARK"/>
    <s v="Minced ND+V+TK"/>
    <s v="Cooked Wonton"/>
    <s v="Cooked Minced  ND No Egg with Pumpkin_x000a_+ Yu Choy Tomyum"/>
    <s v="082SJKW08003P01001"/>
    <s v="302g*8"/>
    <n v="8"/>
    <n v="3"/>
    <n v="6.0000000000000001E-3"/>
    <x v="4"/>
    <s v="Salt"/>
    <s v="Tomkha+CM"/>
    <n v="3500"/>
    <m/>
    <n v="3509.5"/>
    <n v="9.5"/>
    <n v="0"/>
    <n v="0"/>
    <n v="5.8823E-2"/>
    <n v="0"/>
    <m/>
    <n v="0"/>
    <n v="0"/>
  </r>
  <r>
    <x v="720"/>
    <d v="2026-02-11T00:00:00"/>
    <x v="2"/>
    <e v="#N/A"/>
    <x v="0"/>
    <s v="DRY2500386"/>
    <s v="Germany"/>
    <s v="CPFNW"/>
    <s v=" CPF Distribution (under Paulsen Food)"/>
    <s v="Minced ND+V+TK"/>
    <s v="Cooked Wonton"/>
    <s v="Cooked Minced  ND No Egg with Pumpkin_x000a_+ Yu Choy Tomkha"/>
    <s v="082SR3N12003P01001"/>
    <s v="302g*12"/>
    <n v="12"/>
    <n v="3"/>
    <n v="6.0000000000000001E-3"/>
    <x v="4"/>
    <s v="Salt"/>
    <s v="Tomkha+CM"/>
    <n v="1139"/>
    <m/>
    <n v="1139"/>
    <n v="0"/>
    <n v="0"/>
    <n v="0"/>
    <n v="5.8823E-2"/>
    <n v="0"/>
    <s v="NEWPACKAGE"/>
    <n v="0"/>
    <n v="0"/>
  </r>
  <r>
    <x v="721"/>
    <d v="2026-01-29T00:00:00"/>
    <x v="2"/>
    <e v="#N/A"/>
    <x v="0"/>
    <s v="DRY2500370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88"/>
    <m/>
    <n v="0"/>
    <n v="0"/>
    <n v="0"/>
    <n v="7.4999999999999997E-3"/>
    <n v="0"/>
    <m/>
    <n v="0"/>
    <n v="0"/>
  </r>
  <r>
    <x v="721"/>
    <s v="01-2026"/>
    <x v="2"/>
    <e v="#N/A"/>
    <x v="0"/>
    <s v="ขายภายใน"/>
    <s v=".7-11"/>
    <s v="CPFGS"/>
    <s v="STK ตรุษจีน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444"/>
    <n v="1444"/>
    <m/>
    <n v="0"/>
    <n v="0"/>
    <n v="0"/>
    <n v="7.4999999999999997E-3"/>
    <n v="0"/>
    <m/>
    <n v="0"/>
    <n v="0"/>
  </r>
  <r>
    <x v="721"/>
    <d v="2026-01-27T00:00:00"/>
    <x v="2"/>
    <e v="#N/A"/>
    <x v="0"/>
    <s v="DRY2500329"/>
    <s v="Denmark"/>
    <s v="CPFNW"/>
    <s v="CPF DENMARK"/>
    <s v="Minced ND+V+TY"/>
    <s v="Cooked Wonton"/>
    <s v="Cooked Minced  ND No Egg with Pumpkin_x000a_+ Yu Choy Tomyum"/>
    <s v="082SRRE12003P00001"/>
    <s v="302g*12"/>
    <n v="12"/>
    <n v="3"/>
    <n v="6.0000000000000001E-3"/>
    <x v="4"/>
    <s v="Salt"/>
    <s v="TYEXSG+CO"/>
    <n v="2520"/>
    <n v="1979"/>
    <n v="556.16666666666663"/>
    <n v="15.166666666666515"/>
    <n v="0"/>
    <n v="0"/>
    <n v="3.8699999999999998E-2"/>
    <n v="0"/>
    <s v="rema  T683580303  ของรีแพ็ค"/>
    <n v="0"/>
    <n v="0"/>
  </r>
  <r>
    <x v="721"/>
    <d v="2026-01-29T00:00:00"/>
    <x v="2"/>
    <e v="#N/A"/>
    <x v="0"/>
    <s v="DRY2500354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SG+CO"/>
    <n v="133"/>
    <m/>
    <n v="133.54166666666666"/>
    <n v="0.54166666666665719"/>
    <n v="0"/>
    <n v="0"/>
    <n v="3.8699999999999998E-2"/>
    <n v="0"/>
    <s v="1436 ถ้วย NZ"/>
    <n v="0"/>
    <n v="0"/>
  </r>
  <r>
    <x v="722"/>
    <s v="01-2026"/>
    <x v="2"/>
    <e v="#N/A"/>
    <x v="0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742"/>
    <n v="742"/>
    <m/>
    <n v="0"/>
    <n v="0"/>
    <n v="0"/>
    <n v="7.4999999999999997E-3"/>
    <n v="0"/>
    <s v="กล่อง 1000/Stk 23,900"/>
    <n v="0"/>
    <n v="0"/>
  </r>
  <r>
    <x v="722"/>
    <s v="02-2026"/>
    <x v="2"/>
    <e v="#N/A"/>
    <x v="0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861"/>
    <n v="861"/>
    <m/>
    <n v="0"/>
    <n v="0"/>
    <n v="0"/>
    <n v="7.4999999999999997E-3"/>
    <n v="0"/>
    <s v="กล่อง 1000/Stk 23,900"/>
    <n v="0"/>
    <n v="0"/>
  </r>
  <r>
    <x v="722"/>
    <s v="01-2026"/>
    <x v="2"/>
    <e v="#N/A"/>
    <x v="0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"/>
    <s v="082SG1A24003P00001"/>
    <s v="250g*24"/>
    <n v="24"/>
    <n v="3"/>
    <n v="6.1999999999999998E-3"/>
    <x v="2"/>
    <s v="STPP"/>
    <s v="หมาล่า"/>
    <n v="1861"/>
    <n v="1861"/>
    <m/>
    <n v="0"/>
    <n v="0"/>
    <n v="0"/>
    <n v="1.83E-2"/>
    <n v="0"/>
    <m/>
    <n v="0"/>
    <n v="0"/>
  </r>
  <r>
    <x v="723"/>
    <s v="02-2026"/>
    <x v="2"/>
    <e v="#N/A"/>
    <x v="0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1706"/>
    <n v="1706"/>
    <m/>
    <n v="0"/>
    <n v="0"/>
    <n v="0"/>
    <n v="7.4999999999999997E-3"/>
    <n v="0"/>
    <s v="กล่อง 1000/Stk 23,900"/>
    <n v="0"/>
    <n v="0"/>
  </r>
  <r>
    <x v="723"/>
    <s v="01-2026"/>
    <x v="2"/>
    <e v="#N/A"/>
    <x v="0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"/>
    <s v="082SG1A24003P00001"/>
    <s v="250g*24"/>
    <n v="24"/>
    <n v="3"/>
    <n v="6.1999999999999998E-3"/>
    <x v="2"/>
    <s v="STPP"/>
    <s v="หมาล่า"/>
    <n v="2034"/>
    <n v="2034"/>
    <m/>
    <n v="0"/>
    <n v="0"/>
    <n v="0"/>
    <n v="1.83E-2"/>
    <n v="0"/>
    <m/>
    <n v="0"/>
    <n v="0"/>
  </r>
  <r>
    <x v="724"/>
    <s v="02-2026"/>
    <x v="2"/>
    <e v="#N/A"/>
    <x v="0"/>
    <s v="ขายภายใน"/>
    <s v="MTFS"/>
    <s v="CPFGS"/>
    <s v="ซีพีเอฟ เทรดดิ้ง"/>
    <s v="E+Wonton NDE"/>
    <s v="Cooked Wonton"/>
    <s v="บะหมี่เกี๊ยวกุ้ง ตราซีพี 12X226 กรัม"/>
    <s v="082SJ3Q12003P07001"/>
    <s v="226g*12"/>
    <n v="12"/>
    <n v="3"/>
    <n v="8.0000000000000002E-3"/>
    <x v="1"/>
    <s v="STPP"/>
    <s v="Regular"/>
    <n v="500"/>
    <n v="500"/>
    <m/>
    <n v="0"/>
    <n v="0"/>
    <n v="0"/>
    <n v="7.4999999999999997E-3"/>
    <n v="0"/>
    <m/>
    <n v="0"/>
    <n v="0"/>
  </r>
  <r>
    <x v="724"/>
    <s v="01-2026"/>
    <x v="2"/>
    <e v="#N/A"/>
    <x v="0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114"/>
    <n v="114"/>
    <m/>
    <n v="0"/>
    <n v="0"/>
    <n v="0"/>
    <n v="7.4999999999999997E-3"/>
    <n v="0"/>
    <s v="กล่องเหลือ 285/STK เหลืออย่างละ 260 ดวง"/>
    <n v="0"/>
    <n v="0"/>
  </r>
  <r>
    <x v="724"/>
    <s v="02-2026"/>
    <x v="2"/>
    <e v="#N/A"/>
    <x v="0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200"/>
    <n v="200"/>
    <m/>
    <n v="0"/>
    <n v="0"/>
    <n v="0"/>
    <n v="7.4999999999999997E-3"/>
    <n v="0"/>
    <s v="กล่องเหลือ 285/STK เหลืออย่างละ 260 ดวง"/>
    <n v="0"/>
    <n v="0"/>
  </r>
  <r>
    <x v="724"/>
    <s v="01-2026"/>
    <x v="2"/>
    <e v="#N/A"/>
    <x v="0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123"/>
    <n v="123"/>
    <m/>
    <n v="0"/>
    <n v="0"/>
    <n v="0"/>
    <n v="7.4999999999999997E-3"/>
    <n v="0"/>
    <s v="กล่องเหลือ 83/Stkติดฝา 156 ดวง/Stk ติดถ้วย 990"/>
    <n v="0"/>
    <n v="0"/>
  </r>
  <r>
    <x v="724"/>
    <s v="02-2026"/>
    <x v="2"/>
    <e v="#N/A"/>
    <x v="0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200"/>
    <n v="200"/>
    <m/>
    <n v="0"/>
    <n v="0"/>
    <n v="0"/>
    <n v="7.4999999999999997E-3"/>
    <n v="0"/>
    <s v="กล่องเหลือ 83/Stkติดฝา 156 ดวง/Stk ติดถ้วย 990"/>
    <n v="0"/>
    <n v="0"/>
  </r>
  <r>
    <x v="724"/>
    <s v="02-2026"/>
    <x v="2"/>
    <e v="#N/A"/>
    <x v="0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0"/>
    <s v="145g*12"/>
    <n v="12"/>
    <n v="5"/>
    <n v="8.0000000000000002E-3"/>
    <x v="1"/>
    <s v="STPP"/>
    <s v="Regular"/>
    <n v="12"/>
    <n v="12"/>
    <m/>
    <n v="0"/>
    <n v="0"/>
    <n v="0"/>
    <n v="7.4999999999999997E-3"/>
    <n v="0"/>
    <m/>
    <n v="0"/>
    <n v="0"/>
  </r>
  <r>
    <x v="724"/>
    <s v="02-2026"/>
    <x v="2"/>
    <e v="#N/A"/>
    <x v="0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1"/>
    <s v="145g*12"/>
    <n v="12"/>
    <n v="5"/>
    <n v="8.0000000000000002E-3"/>
    <x v="1"/>
    <s v="STPP"/>
    <s v="Regular"/>
    <n v="1250"/>
    <n v="1250"/>
    <m/>
    <n v="0"/>
    <n v="0"/>
    <n v="0"/>
    <n v="7.4999999999999997E-3"/>
    <n v="0"/>
    <m/>
    <n v="0"/>
    <n v="0"/>
  </r>
  <r>
    <x v="724"/>
    <d v="2026-02-15T00:00:00"/>
    <x v="2"/>
    <e v="#N/A"/>
    <x v="0"/>
    <s v="LA001/2569"/>
    <s v="Laos"/>
    <s v="Laos"/>
    <s v="บริษัท ปิก้าเทรดดิ้ง จำกัด"/>
    <s v="E+Wonton"/>
    <s v="Cooked Wonton"/>
    <s v="เกี๊ยวกุ้งจักรพรรดิ 12x145g."/>
    <s v="082S8L212005P00001"/>
    <s v="145g*12"/>
    <n v="12"/>
    <n v="5"/>
    <n v="8.0000000000000002E-3"/>
    <x v="1"/>
    <s v="STPP"/>
    <s v="Regular"/>
    <n v="100"/>
    <n v="100"/>
    <m/>
    <n v="0"/>
    <n v="0"/>
    <n v="0"/>
    <n v="7.4999999999999997E-3"/>
    <n v="0"/>
    <m/>
    <n v="0"/>
    <n v="0"/>
  </r>
  <r>
    <x v="724"/>
    <s v="01-2026"/>
    <x v="2"/>
    <e v="#N/A"/>
    <x v="0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"/>
    <s v="082SG1A24003P00001"/>
    <s v="250g*24"/>
    <n v="24"/>
    <n v="3"/>
    <n v="6.1999999999999998E-3"/>
    <x v="2"/>
    <s v="STPP"/>
    <s v="หมาล่า"/>
    <n v="1705"/>
    <n v="1705"/>
    <m/>
    <n v="0"/>
    <n v="0"/>
    <n v="0"/>
    <n v="1.83E-2"/>
    <n v="0"/>
    <m/>
    <n v="0"/>
    <n v="0"/>
  </r>
  <r>
    <x v="725"/>
    <d v="2026-02-11T00:00:00"/>
    <x v="2"/>
    <e v="#N/A"/>
    <x v="0"/>
    <s v="DRY2600002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430"/>
    <m/>
    <n v="430"/>
    <n v="0"/>
    <n v="0"/>
    <n v="0"/>
    <n v="2"/>
    <n v="0"/>
    <m/>
    <n v="0"/>
    <n v="0"/>
  </r>
  <r>
    <x v="725"/>
    <d v="2026-02-19T00:00:00"/>
    <x v="2"/>
    <e v="#N/A"/>
    <x v="0"/>
    <s v="DRY2500387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200"/>
    <m/>
    <n v="200"/>
    <n v="0"/>
    <n v="0"/>
    <n v="0"/>
    <n v="6"/>
    <n v="0"/>
    <m/>
    <n v="0"/>
    <n v="0"/>
  </r>
  <r>
    <x v="726"/>
    <m/>
    <x v="2"/>
    <e v="#N/A"/>
    <x v="0"/>
    <m/>
    <m/>
    <m/>
    <m/>
    <m/>
    <m/>
    <m/>
    <m/>
    <m/>
    <m/>
    <m/>
    <m/>
    <x v="0"/>
    <m/>
    <m/>
    <m/>
    <m/>
    <m/>
    <m/>
    <m/>
    <n v="0"/>
    <m/>
    <m/>
    <m/>
    <m/>
    <m/>
  </r>
  <r>
    <x v="727"/>
    <s v="01-2026"/>
    <x v="2"/>
    <e v="#N/A"/>
    <x v="0"/>
    <s v="ขายภายใน"/>
    <s v=".7-11"/>
    <s v="CPFGS"/>
    <s v="STK ตรุษจีน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211"/>
    <n v="1211"/>
    <m/>
    <n v="0"/>
    <n v="0"/>
    <n v="0"/>
    <n v="7.4999999999999997E-3"/>
    <n v="0"/>
    <m/>
    <n v="0"/>
    <n v="0"/>
  </r>
  <r>
    <x v="727"/>
    <d v="2026-02-05T00:00:00"/>
    <x v="2"/>
    <e v="#N/A"/>
    <x v="0"/>
    <s v="DRY2500355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12"/>
    <n v="80"/>
    <n v="0"/>
    <n v="0"/>
    <n v="0"/>
    <n v="7.4999999999999997E-3"/>
    <n v="0"/>
    <m/>
    <n v="0"/>
    <n v="0"/>
  </r>
  <r>
    <x v="727"/>
    <d v="2026-02-05T00:00:00"/>
    <x v="2"/>
    <e v="#N/A"/>
    <x v="0"/>
    <s v="DRY2500374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599"/>
    <n v="193"/>
    <n v="0"/>
    <n v="0"/>
    <n v="0"/>
    <n v="7.4999999999999997E-3"/>
    <n v="0"/>
    <m/>
    <n v="0"/>
    <n v="0"/>
  </r>
  <r>
    <x v="727"/>
    <d v="2026-01-30T00:00:00"/>
    <x v="2"/>
    <e v="#N/A"/>
    <x v="0"/>
    <s v="DRY2500354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SG+CO"/>
    <n v="791"/>
    <n v="791"/>
    <m/>
    <n v="0"/>
    <n v="0"/>
    <n v="0"/>
    <n v="3.8699999999999998E-2"/>
    <n v="0"/>
    <s v="สวมผลิต 20/01/26"/>
    <n v="0"/>
    <n v="0"/>
  </r>
  <r>
    <x v="727"/>
    <d v="2026-02-05T00:00:00"/>
    <x v="2"/>
    <e v="#N/A"/>
    <x v="0"/>
    <s v="DRY2500359"/>
    <s v="New Zealand"/>
    <s v="CPFNW"/>
    <s v="Lim Brothers Import&amp;Export Co.,Ltd."/>
    <s v="Wonton ND+V+TY"/>
    <s v="Cooked Wonton"/>
    <s v="Cooked Wonton ND No Egg with Pumpkin _x000a_+ Vegetable 5 pcs tomyam"/>
    <s v="082SJN724005P00001"/>
    <s v="307g*4c*6in"/>
    <n v="24"/>
    <n v="5"/>
    <n v="7.4999999999999997E-3"/>
    <x v="1"/>
    <s v="Salt"/>
    <s v="TYEXSG+CO"/>
    <n v="390"/>
    <n v="390"/>
    <m/>
    <n v="0"/>
    <n v="0"/>
    <n v="0"/>
    <n v="3.8699999999999998E-2"/>
    <n v="0"/>
    <s v="Stock Aus192 ถ้วย"/>
    <m/>
    <m/>
  </r>
  <r>
    <x v="727"/>
    <d v="2026-02-11T00:00:00"/>
    <x v="2"/>
    <e v="#N/A"/>
    <x v="0"/>
    <s v="DRY2500386"/>
    <s v="Germany"/>
    <s v="CPFNW"/>
    <s v=" CPF Distribution (under Paulsen Food)"/>
    <s v="Minced ND+V+TY"/>
    <s v="Cooked Wonton"/>
    <s v="Cooked Minced  ND No Egg with Pumpkin_x000a_+ Yu Choy Tomyum"/>
    <s v="082SR3N12003P00001"/>
    <s v="302g*12"/>
    <n v="12"/>
    <n v="3"/>
    <n v="6.0000000000000001E-3"/>
    <x v="4"/>
    <s v="Salt"/>
    <s v="TYEXSG+CO"/>
    <n v="1139"/>
    <m/>
    <n v="1195.5"/>
    <n v="56.5"/>
    <n v="0"/>
    <n v="0"/>
    <n v="3.8699999999999998E-2"/>
    <n v="0"/>
    <s v="NEWPACKAGE"/>
    <n v="0"/>
    <n v="0"/>
  </r>
  <r>
    <x v="728"/>
    <d v="2026-02-19T00:00:00"/>
    <x v="2"/>
    <e v="#N/A"/>
    <x v="0"/>
    <s v="DRY2500387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166"/>
    <m/>
    <n v="166"/>
    <n v="0"/>
    <n v="0"/>
    <n v="0"/>
    <n v="6"/>
    <n v="0"/>
    <m/>
    <n v="0"/>
    <n v="0"/>
  </r>
  <r>
    <x v="728"/>
    <d v="2026-02-05T00:00:00"/>
    <x v="2"/>
    <e v="#N/A"/>
    <x v="0"/>
    <s v="DRY2500371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88"/>
    <m/>
    <n v="0"/>
    <n v="0"/>
    <n v="0"/>
    <n v="7.4999999999999997E-3"/>
    <n v="0"/>
    <m/>
    <n v="0"/>
    <n v="0"/>
  </r>
  <r>
    <x v="728"/>
    <s v="01-2026"/>
    <x v="2"/>
    <e v="#N/A"/>
    <x v="0"/>
    <s v="ขายภายใน"/>
    <s v=".7-11"/>
    <s v="CPFGS"/>
    <s v="STK ตรุษจีน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420"/>
    <n v="1420"/>
    <m/>
    <n v="0"/>
    <n v="0"/>
    <n v="0"/>
    <n v="7.4999999999999997E-3"/>
    <n v="0"/>
    <s v="ทำให้หมด stk ตรุษจีน"/>
    <n v="0"/>
    <n v="0"/>
  </r>
  <r>
    <x v="729"/>
    <d v="2026-02-19T00:00:00"/>
    <x v="2"/>
    <e v="#N/A"/>
    <x v="0"/>
    <s v="DRY2500387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177"/>
    <n v="177"/>
    <m/>
    <n v="0"/>
    <n v="0"/>
    <n v="0"/>
    <n v="6"/>
    <n v="0"/>
    <m/>
    <n v="0"/>
    <n v="0"/>
  </r>
  <r>
    <x v="729"/>
    <s v="02-2026"/>
    <x v="2"/>
    <e v="#N/A"/>
    <x v="0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2477"/>
    <n v="2477"/>
    <m/>
    <n v="0"/>
    <n v="0"/>
    <n v="0"/>
    <n v="7.4999999999999997E-3"/>
    <n v="0"/>
    <s v="กล่อง 1000/Stk 23,900"/>
    <n v="0"/>
    <n v="0"/>
  </r>
  <r>
    <x v="729"/>
    <s v="02-2026"/>
    <x v="2"/>
    <e v="#N/A"/>
    <x v="0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"/>
    <s v="082SG1A24003P00001"/>
    <s v="250g*24"/>
    <n v="24"/>
    <n v="3"/>
    <n v="6.1999999999999998E-3"/>
    <x v="2"/>
    <s v="STPP"/>
    <s v="หมาล่า"/>
    <n v="1315"/>
    <n v="1315"/>
    <m/>
    <n v="0"/>
    <n v="0"/>
    <n v="0"/>
    <n v="1.83E-2"/>
    <n v="0"/>
    <m/>
    <n v="0"/>
    <n v="0"/>
  </r>
  <r>
    <x v="730"/>
    <d v="2026-02-19T00:00:00"/>
    <x v="2"/>
    <e v="#N/A"/>
    <x v="0"/>
    <s v="DRY2500387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181"/>
    <n v="181"/>
    <m/>
    <n v="0"/>
    <n v="0"/>
    <n v="0"/>
    <n v="6"/>
    <n v="0"/>
    <m/>
    <n v="0"/>
    <n v="0"/>
  </r>
  <r>
    <x v="730"/>
    <s v="02-2026"/>
    <x v="2"/>
    <e v="#N/A"/>
    <x v="0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2488"/>
    <n v="2488"/>
    <m/>
    <n v="0"/>
    <n v="0"/>
    <n v="0"/>
    <n v="7.4999999999999997E-3"/>
    <n v="0"/>
    <s v="กล่อง 1000/Stk 23,900"/>
    <n v="0"/>
    <n v="0"/>
  </r>
  <r>
    <x v="730"/>
    <s v="02-2026"/>
    <x v="2"/>
    <e v="#N/A"/>
    <x v="0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"/>
    <s v="082SG1A24003P00001"/>
    <s v="250g*24"/>
    <n v="24"/>
    <n v="3"/>
    <n v="6.1999999999999998E-3"/>
    <x v="2"/>
    <s v="STPP"/>
    <s v="หมาล่า"/>
    <n v="1419"/>
    <n v="1383"/>
    <n v="36"/>
    <n v="0"/>
    <n v="0"/>
    <n v="0"/>
    <n v="1.83E-2"/>
    <n v="0"/>
    <m/>
    <n v="0"/>
    <n v="0"/>
  </r>
  <r>
    <x v="731"/>
    <d v="2026-02-19T00:00:00"/>
    <x v="2"/>
    <e v="#N/A"/>
    <x v="0"/>
    <s v="DRY2500387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172"/>
    <n v="172"/>
    <m/>
    <n v="0"/>
    <n v="0"/>
    <n v="0"/>
    <n v="6"/>
    <n v="0"/>
    <m/>
    <n v="0"/>
    <n v="0"/>
  </r>
  <r>
    <x v="731"/>
    <d v="2026-02-04T00:00:00"/>
    <x v="2"/>
    <e v="#N/A"/>
    <x v="0"/>
    <s v="DRY2600001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1100"/>
    <n v="1029"/>
    <n v="120"/>
    <n v="49"/>
    <n v="0"/>
    <n v="0"/>
    <n v="7.4999999999999997E-3"/>
    <n v="0"/>
    <m/>
    <n v="0"/>
    <n v="0"/>
  </r>
  <r>
    <x v="731"/>
    <d v="2026-02-04T00:00:00"/>
    <x v="2"/>
    <e v="#N/A"/>
    <x v="0"/>
    <s v="DRY2600001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300"/>
    <m/>
    <n v="300"/>
    <n v="0"/>
    <n v="0"/>
    <n v="0"/>
    <n v="7.4999999999999997E-3"/>
    <n v="0"/>
    <m/>
    <n v="0"/>
    <n v="0"/>
  </r>
  <r>
    <x v="731"/>
    <s v="02-2026"/>
    <x v="2"/>
    <e v="#N/A"/>
    <x v="0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2280"/>
    <n v="2280"/>
    <m/>
    <n v="0"/>
    <n v="0"/>
    <n v="0"/>
    <n v="7.4999999999999997E-3"/>
    <n v="0"/>
    <m/>
    <n v="0"/>
    <n v="0"/>
  </r>
  <r>
    <x v="732"/>
    <s v="02-2026"/>
    <x v="2"/>
    <e v="#N/A"/>
    <x v="0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2119"/>
    <n v="2119"/>
    <m/>
    <n v="0"/>
    <n v="0"/>
    <n v="0"/>
    <n v="7.4999999999999997E-3"/>
    <n v="0"/>
    <m/>
    <n v="0"/>
    <n v="0"/>
  </r>
  <r>
    <x v="732"/>
    <d v="2026-02-12T00:00:00"/>
    <x v="2"/>
    <e v="#N/A"/>
    <x v="0"/>
    <s v="DRY2500375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12"/>
    <n v="80"/>
    <n v="0"/>
    <n v="0"/>
    <n v="0"/>
    <n v="7.4999999999999997E-3"/>
    <n v="0"/>
    <m/>
    <n v="0"/>
    <n v="0"/>
  </r>
  <r>
    <x v="732"/>
    <d v="2026-02-14T00:00:00"/>
    <x v="2"/>
    <e v="#N/A"/>
    <x v="0"/>
    <s v="DRY2500379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12"/>
    <n v="80"/>
    <n v="0"/>
    <n v="0"/>
    <n v="0"/>
    <n v="7.4999999999999997E-3"/>
    <n v="0"/>
    <m/>
    <n v="0"/>
    <n v="0"/>
  </r>
  <r>
    <x v="732"/>
    <d v="2026-02-16T00:00:00"/>
    <x v="2"/>
    <e v="#N/A"/>
    <x v="0"/>
    <s v="DRY2500376"/>
    <s v="Denmark"/>
    <s v="CPFNW"/>
    <s v="CPF DENMARK"/>
    <s v="Wonton ND+V+TY"/>
    <s v="Cooked Wonton"/>
    <s v="Cooked Wonton ND No Egg with Pumpkin _x000a_+ Vegetable  HC  3 pcs tomyam"/>
    <s v="082SJKW08003P00001"/>
    <s v="309g*8"/>
    <n v="8"/>
    <n v="3"/>
    <n v="7.4999999999999997E-3"/>
    <x v="1"/>
    <s v="Salt"/>
    <s v="TYANSSG+CM"/>
    <n v="3500"/>
    <m/>
    <n v="3568.5"/>
    <n v="68.5"/>
    <n v="0"/>
    <n v="0"/>
    <n v="3.85E-2"/>
    <n v="0"/>
    <s v="ต้มยำสูตรลดเผ็ดลง 10 %"/>
    <n v="0"/>
    <n v="0"/>
  </r>
  <r>
    <x v="733"/>
    <m/>
    <x v="2"/>
    <e v="#N/A"/>
    <x v="1"/>
    <m/>
    <m/>
    <m/>
    <m/>
    <m/>
    <m/>
    <m/>
    <m/>
    <m/>
    <m/>
    <m/>
    <m/>
    <x v="0"/>
    <m/>
    <m/>
    <m/>
    <m/>
    <m/>
    <m/>
    <m/>
    <n v="0"/>
    <m/>
    <m/>
    <m/>
    <m/>
    <m/>
  </r>
  <r>
    <x v="734"/>
    <d v="2026-02-19T00:00:00"/>
    <x v="2"/>
    <e v="#N/A"/>
    <x v="1"/>
    <s v="DRY2500387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144"/>
    <n v="144"/>
    <m/>
    <n v="0"/>
    <n v="0"/>
    <n v="0"/>
    <n v="6"/>
    <n v="0"/>
    <m/>
    <n v="0"/>
    <n v="0"/>
  </r>
  <r>
    <x v="734"/>
    <s v="02-2026"/>
    <x v="2"/>
    <e v="#N/A"/>
    <x v="1"/>
    <s v="ขายภายใน"/>
    <s v="ขายภายใน"/>
    <s v="CPFGS"/>
    <s v="ซีพีเอฟ เทรดดิ้ง"/>
    <s v="R-Wonton egg past"/>
    <s v="Raw Wonton"/>
    <s v="Raw Wonton 50 pcs OISHI"/>
    <s v="082S01508600G01001"/>
    <s v="600g.*8 packs"/>
    <n v="8"/>
    <n v="50"/>
    <n v="8.1300000000000001E-3"/>
    <x v="1"/>
    <s v="STPP"/>
    <m/>
    <n v="200"/>
    <n v="200"/>
    <m/>
    <n v="0"/>
    <n v="0"/>
    <n v="0"/>
    <m/>
    <n v="0"/>
    <m/>
    <n v="0"/>
    <n v="0"/>
  </r>
  <r>
    <x v="734"/>
    <d v="2026-02-12T00:00:00"/>
    <x v="2"/>
    <e v="#N/A"/>
    <x v="1"/>
    <s v="DRY2500364"/>
    <s v="Malay"/>
    <s v="CPFNW"/>
    <s v="CPM Malaysia"/>
    <s v="R-Wonton egg past"/>
    <s v="Raw Wonton"/>
    <s v="Raw Wonton 12 pcs"/>
    <s v="082I95I20012P02001"/>
    <s v="154g*20inner"/>
    <n v="20"/>
    <n v="12"/>
    <n v="6.8100000000000001E-3"/>
    <x v="3"/>
    <s v="STPP"/>
    <s v="ซุปซอง 5g."/>
    <n v="300"/>
    <n v="300"/>
    <m/>
    <n v="0"/>
    <n v="0"/>
    <n v="0"/>
    <n v="2"/>
    <n v="0"/>
    <m/>
    <n v="0"/>
    <n v="0"/>
  </r>
  <r>
    <x v="734"/>
    <d v="2026-02-11T00:00:00"/>
    <x v="2"/>
    <e v="#N/A"/>
    <x v="1"/>
    <s v="DRY2500365"/>
    <s v="SG"/>
    <s v="CPFNW"/>
    <s v="CP FOODS SINGAPORE PTE. LTD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800"/>
    <n v="800"/>
    <m/>
    <n v="0"/>
    <n v="0"/>
    <n v="0"/>
    <n v="2"/>
    <n v="0"/>
    <s v="ห่อแบบสุก"/>
    <n v="0"/>
    <n v="0"/>
  </r>
  <r>
    <x v="735"/>
    <d v="2026-02-11T00:00:00"/>
    <x v="2"/>
    <e v="#N/A"/>
    <x v="1"/>
    <s v="DRY2500366"/>
    <s v="SG"/>
    <s v="CPFNW"/>
    <s v="CP FOODS SINGAPORE PTE. LTD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1100"/>
    <n v="1100"/>
    <m/>
    <n v="0"/>
    <n v="0"/>
    <n v="0"/>
    <n v="2"/>
    <n v="0"/>
    <s v="ห่อแบบสุก"/>
    <n v="0"/>
    <n v="0"/>
  </r>
  <r>
    <x v="735"/>
    <d v="2026-02-11T00:00:00"/>
    <x v="2"/>
    <e v="#N/A"/>
    <x v="1"/>
    <s v="DRY2500324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x v="735"/>
    <d v="2026-02-12T00:00:00"/>
    <x v="2"/>
    <e v="#N/A"/>
    <x v="1"/>
    <s v="DRY2500364"/>
    <s v="Malay"/>
    <s v="CPFNW"/>
    <s v="CPM Malaysia"/>
    <s v="Wonton"/>
    <s v="Cooked Wonton"/>
    <s v="Cooked Wonton No Egg  "/>
    <s v="082S85I24005P01001"/>
    <s v="145g*24"/>
    <n v="24"/>
    <n v="5"/>
    <n v="8.0000000000000002E-3"/>
    <x v="1"/>
    <s v="STPP"/>
    <s v="Regular"/>
    <n v="1250"/>
    <n v="1250"/>
    <m/>
    <n v="0"/>
    <n v="0"/>
    <n v="0"/>
    <n v="7.4999999999999997E-3"/>
    <n v="0"/>
    <m/>
    <n v="0"/>
    <n v="0"/>
  </r>
  <r>
    <x v="735"/>
    <d v="2026-02-12T00:00:00"/>
    <x v="2"/>
    <e v="#N/A"/>
    <x v="1"/>
    <s v="DRY2500364"/>
    <s v="Malay"/>
    <s v="CPFNW"/>
    <s v="CPM Malaysia"/>
    <s v="Wonton+TY"/>
    <s v="Cooked Wonton"/>
    <s v="Cooked Wonton No Egg  Tomyum"/>
    <s v="082S85I24005P02001"/>
    <s v="115g*24"/>
    <n v="24"/>
    <n v="5"/>
    <n v="8.0000000000000002E-3"/>
    <x v="1"/>
    <s v="STPP"/>
    <s v="TYTB3C 30G"/>
    <n v="600"/>
    <n v="600"/>
    <m/>
    <n v="0"/>
    <n v="0"/>
    <n v="0"/>
    <n v="1"/>
    <n v="0"/>
    <m/>
    <n v="0"/>
    <n v="0"/>
  </r>
  <r>
    <x v="736"/>
    <d v="2026-02-25T00:00:00"/>
    <x v="2"/>
    <e v="#N/A"/>
    <x v="1"/>
    <s v="DRY2500360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1900"/>
    <n v="1269"/>
    <n v="631"/>
    <n v="0"/>
    <n v="0"/>
    <n v="0"/>
    <n v="1"/>
    <n v="0"/>
    <m/>
    <n v="0"/>
    <n v="0"/>
  </r>
  <r>
    <x v="736"/>
    <s v="02-2026"/>
    <x v="2"/>
    <e v="#N/A"/>
    <x v="1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2419"/>
    <n v="2419"/>
    <m/>
    <n v="0"/>
    <n v="0"/>
    <n v="0"/>
    <n v="7.4999999999999997E-3"/>
    <n v="0"/>
    <m/>
    <n v="0"/>
    <n v="0"/>
  </r>
  <r>
    <x v="736"/>
    <d v="2026-02-11T00:00:00"/>
    <x v="2"/>
    <e v="#N/A"/>
    <x v="1"/>
    <s v="DRY2500382"/>
    <s v="SG"/>
    <s v="CPFNW"/>
    <s v="CP FOODS SINGAPORE PTE. LTD"/>
    <s v="Wonton"/>
    <s v="Cooked Wonton"/>
    <s v="Cooked Wonton No Egg"/>
    <s v="082S83B24005P07001"/>
    <s v="145g*24"/>
    <n v="24"/>
    <n v="5"/>
    <n v="8.0000000000000002E-3"/>
    <x v="1"/>
    <s v="STPP"/>
    <s v="Regular"/>
    <n v="200"/>
    <n v="200"/>
    <m/>
    <n v="0"/>
    <n v="0"/>
    <n v="0"/>
    <n v="1"/>
    <n v="0"/>
    <m/>
    <n v="0"/>
    <n v="0"/>
  </r>
  <r>
    <x v="736"/>
    <d v="2026-02-11T00:00:00"/>
    <x v="2"/>
    <e v="#N/A"/>
    <x v="1"/>
    <s v="DRY2500382"/>
    <s v="SG"/>
    <s v="CPFNW"/>
    <s v="CP FOODS SINGAPORE PTE. LTD"/>
    <s v="Minced ND+หมาล่า"/>
    <s v="Cooked Wonton"/>
    <s v="Cooked Minced  ND No Egg หมาล่า"/>
    <s v="082SR3B24003P00001"/>
    <s v="300g*24"/>
    <n v="24"/>
    <n v="3"/>
    <n v="6.0000000000000001E-3"/>
    <x v="4"/>
    <s v="Salt"/>
    <s v="หมาล่า"/>
    <n v="210"/>
    <n v="210"/>
    <m/>
    <n v="0"/>
    <n v="0"/>
    <n v="0"/>
    <n v="2.4E-2"/>
    <n v="0"/>
    <m/>
    <n v="0"/>
    <n v="0"/>
  </r>
  <r>
    <x v="737"/>
    <d v="2026-02-18T00:00:00"/>
    <x v="2"/>
    <e v="#N/A"/>
    <x v="1"/>
    <s v="DRY2600002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606"/>
    <n v="508"/>
    <n v="98"/>
    <n v="0"/>
    <n v="0"/>
    <n v="0"/>
    <n v="2"/>
    <n v="0"/>
    <m/>
    <n v="0"/>
    <n v="0"/>
  </r>
  <r>
    <x v="737"/>
    <d v="2026-02-12T00:00:00"/>
    <x v="2"/>
    <e v="#N/A"/>
    <x v="1"/>
    <s v="DRY2500372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88"/>
    <m/>
    <n v="0"/>
    <n v="0"/>
    <n v="0"/>
    <n v="7.4999999999999997E-3"/>
    <n v="0"/>
    <m/>
    <n v="0"/>
    <n v="0"/>
  </r>
  <r>
    <x v="737"/>
    <d v="2026-02-26T00:00:00"/>
    <x v="2"/>
    <e v="#N/A"/>
    <x v="1"/>
    <s v="DRY2500373"/>
    <s v="Japan"/>
    <s v="CPFNW"/>
    <s v="CPF JAPAN"/>
    <s v="Wonton"/>
    <s v="Cooked Wonton"/>
    <s v="Cooked Wonton No Egg 5 pcs"/>
    <s v="082S85736005P00001"/>
    <s v="148g*6c*6in"/>
    <n v="36"/>
    <n v="5"/>
    <n v="8.0000000000000002E-3"/>
    <x v="1"/>
    <s v="Salt"/>
    <s v="Regular"/>
    <n v="1288"/>
    <n v="1288"/>
    <m/>
    <n v="0"/>
    <n v="0"/>
    <n v="0"/>
    <n v="7.4999999999999997E-3"/>
    <n v="0"/>
    <m/>
    <n v="0"/>
    <n v="0"/>
  </r>
  <r>
    <x v="737"/>
    <s v="02-2026"/>
    <x v="2"/>
    <e v="#N/A"/>
    <x v="1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667"/>
    <n v="667"/>
    <m/>
    <n v="0"/>
    <n v="0"/>
    <n v="0"/>
    <n v="7.4999999999999997E-3"/>
    <n v="0"/>
    <m/>
    <n v="0"/>
    <n v="0"/>
  </r>
  <r>
    <x v="738"/>
    <d v="2026-02-19T00:00:00"/>
    <x v="2"/>
    <e v="#N/A"/>
    <x v="1"/>
    <s v="DRY2600002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588"/>
    <n v="588"/>
    <n v="11"/>
    <n v="11"/>
    <n v="0"/>
    <n v="0"/>
    <n v="2"/>
    <n v="0"/>
    <m/>
    <n v="0"/>
    <n v="0"/>
  </r>
  <r>
    <x v="738"/>
    <s v="02-2026"/>
    <x v="2"/>
    <e v="#N/A"/>
    <x v="1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2077"/>
    <n v="2077"/>
    <m/>
    <n v="0"/>
    <n v="0"/>
    <n v="0"/>
    <n v="7.4999999999999997E-3"/>
    <n v="0"/>
    <m/>
    <n v="0"/>
    <n v="0"/>
  </r>
  <r>
    <x v="738"/>
    <d v="2026-02-24T00:00:00"/>
    <x v="2"/>
    <e v="#N/A"/>
    <x v="1"/>
    <s v="DRY2500377"/>
    <s v="UK"/>
    <s v="CPFNW"/>
    <s v="Food Fellas"/>
    <s v="Wonton +TY"/>
    <s v="Cooked Wonton"/>
    <s v="Cooked Wonton Tomyum"/>
    <s v="082S8T208005P00001"/>
    <s v="147g*8"/>
    <n v="8"/>
    <n v="5"/>
    <n v="6.8100000000000001E-3"/>
    <x v="1"/>
    <s v="Salt"/>
    <s v="TYEXSG+CO"/>
    <n v="500"/>
    <m/>
    <n v="573.375"/>
    <n v="73.375"/>
    <n v="0"/>
    <n v="0"/>
    <n v="7.4999999999999997E-3"/>
    <n v="0"/>
    <s v="ถ้าว,ฝา สีขาว"/>
    <n v="0"/>
    <n v="0"/>
  </r>
  <r>
    <x v="738"/>
    <d v="2026-02-24T00:00:00"/>
    <x v="2"/>
    <e v="#N/A"/>
    <x v="1"/>
    <s v="DRY2500377"/>
    <s v="UK"/>
    <s v="CPFNW"/>
    <s v="Food Fellas"/>
    <s v="Wonton ND+BC+TY"/>
    <s v="Cooked Wonton"/>
    <s v="Cooked Wonton Noodles Bok Choy Tomyum"/>
    <s v="082SJT208005P00001"/>
    <s v="307g*8"/>
    <n v="8"/>
    <n v="5"/>
    <n v="6.8100000000000001E-3"/>
    <x v="1"/>
    <s v="Salt"/>
    <s v="TYEXSG+CO"/>
    <n v="500"/>
    <m/>
    <n v="569.875"/>
    <n v="69.875"/>
    <n v="0"/>
    <n v="0"/>
    <n v="3.8699999999999998E-2"/>
    <n v="0"/>
    <s v="ถ้าว,ฝา สีขาว"/>
    <n v="0"/>
    <n v="0"/>
  </r>
  <r>
    <x v="738"/>
    <d v="2026-03-10T00:00:00"/>
    <x v="2"/>
    <e v="#N/A"/>
    <x v="1"/>
    <s v="DRY2500333"/>
    <s v="Netherlands"/>
    <s v="CPFNW"/>
    <s v="Westbridge Foods Limited"/>
    <s v="Wonton ND+V+TY"/>
    <s v="Cooked Wonton"/>
    <s v="Cooked Wonton ND No Egg with Pumpkin _x000a_+ Vegetable 5 pcs tomyam"/>
    <s v="082SJWE24005P00001"/>
    <s v="307g*4c*6in"/>
    <n v="24"/>
    <n v="5"/>
    <n v="7.4999999999999997E-3"/>
    <x v="1"/>
    <s v="Salt"/>
    <s v="TYEXSG+CO"/>
    <n v="924"/>
    <n v="924"/>
    <m/>
    <n v="0"/>
    <n v="0"/>
    <n v="0"/>
    <n v="3.8699999999999998E-2"/>
    <n v="0"/>
    <s v="ถ้าว,ฝา สีขาว/ New Design"/>
    <n v="0"/>
    <n v="0"/>
  </r>
  <r>
    <x v="739"/>
    <s v="02-2026"/>
    <x v="2"/>
    <e v="#N/A"/>
    <x v="1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5543"/>
    <n v="5543"/>
    <m/>
    <n v="0"/>
    <n v="0"/>
    <n v="0"/>
    <n v="7.4999999999999997E-3"/>
    <n v="0"/>
    <m/>
    <n v="0"/>
    <n v="0"/>
  </r>
  <r>
    <x v="739"/>
    <d v="2026-02-24T00:00:00"/>
    <x v="2"/>
    <e v="#N/A"/>
    <x v="1"/>
    <s v="DRY2500377"/>
    <s v="UK"/>
    <s v="CPFNW"/>
    <s v="Food Fellas"/>
    <s v="Wonton"/>
    <s v="Cooked Wonton"/>
    <s v="Cooked Wonton  No Egg_x000a_HC  5 pcs"/>
    <s v="082S85L08005P03001"/>
    <s v="145g*8"/>
    <n v="8"/>
    <n v="5"/>
    <n v="7.4999999999999997E-3"/>
    <x v="5"/>
    <s v="Salt"/>
    <s v="Regular"/>
    <n v="400"/>
    <m/>
    <n v="400"/>
    <n v="0"/>
    <n v="0"/>
    <n v="0"/>
    <n v="7.4999999999999997E-3"/>
    <n v="0"/>
    <s v="ถ้าว,ฝา สีขาว"/>
    <m/>
    <m/>
  </r>
  <r>
    <x v="739"/>
    <d v="2026-02-24T00:00:00"/>
    <x v="2"/>
    <e v="#N/A"/>
    <x v="1"/>
    <s v="DRY2500377"/>
    <s v="UK"/>
    <s v="CPFNW"/>
    <s v="Food Fellas"/>
    <s v="Wonton +LS"/>
    <s v="Cooked Wonton"/>
    <s v="Cooked Wonton Laksa"/>
    <s v="082S8T208005P01001"/>
    <s v="147g*8"/>
    <n v="8"/>
    <n v="5"/>
    <n v="6.8100000000000001E-3"/>
    <x v="1"/>
    <s v="Salt"/>
    <s v="Laksa"/>
    <n v="500"/>
    <m/>
    <n v="548.5"/>
    <n v="48.5"/>
    <n v="0"/>
    <n v="0"/>
    <n v="7.4999999999999997E-3"/>
    <n v="0"/>
    <s v="ถ้าว,ฝา สีขาว"/>
    <n v="0"/>
    <n v="0"/>
  </r>
  <r>
    <x v="739"/>
    <d v="2026-02-24T00:00:00"/>
    <x v="2"/>
    <e v="#N/A"/>
    <x v="1"/>
    <s v="DRY2500377"/>
    <s v="UK"/>
    <s v="CPFNW"/>
    <s v="Food Fellas"/>
    <s v="Minced ND+BC+LS"/>
    <s v="Cooked Wonton"/>
    <s v="Cooked Minced Wonton Noodles Bok Choy Laksa"/>
    <s v="082SRT208003P00001"/>
    <s v="315g*8"/>
    <n v="8"/>
    <n v="3"/>
    <n v="6.0000000000000001E-3"/>
    <x v="4"/>
    <s v="Salt"/>
    <s v="Laksa"/>
    <n v="500"/>
    <m/>
    <n v="581.625"/>
    <n v="81.625"/>
    <n v="0"/>
    <n v="0"/>
    <n v="3.8699999999999998E-2"/>
    <n v="0"/>
    <s v="ถ้าว,ฝา สีขาว"/>
    <n v="0"/>
    <n v="0"/>
  </r>
  <r>
    <x v="740"/>
    <m/>
    <x v="2"/>
    <e v="#N/A"/>
    <x v="1"/>
    <m/>
    <m/>
    <m/>
    <m/>
    <m/>
    <m/>
    <m/>
    <m/>
    <m/>
    <m/>
    <m/>
    <m/>
    <x v="0"/>
    <m/>
    <m/>
    <m/>
    <m/>
    <m/>
    <m/>
    <m/>
    <n v="0"/>
    <m/>
    <m/>
    <m/>
    <m/>
    <m/>
  </r>
  <r>
    <x v="741"/>
    <d v="2026-02-23T00:00:00"/>
    <x v="2"/>
    <e v="#N/A"/>
    <x v="1"/>
    <s v="KL2600006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753"/>
    <n v="729"/>
    <n v="24"/>
    <n v="0"/>
    <n v="0"/>
    <n v="0"/>
    <n v="6"/>
    <n v="0"/>
    <m/>
    <n v="0"/>
    <n v="0"/>
  </r>
  <r>
    <x v="741"/>
    <s v="02-2026"/>
    <x v="2"/>
    <e v="#N/A"/>
    <x v="1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850"/>
    <n v="850"/>
    <m/>
    <n v="0"/>
    <n v="0"/>
    <n v="0"/>
    <n v="7.4999999999999997E-3"/>
    <n v="0"/>
    <m/>
    <n v="0"/>
    <n v="0"/>
  </r>
  <r>
    <x v="741"/>
    <d v="2026-02-23T00:00:00"/>
    <x v="2"/>
    <e v="#N/A"/>
    <x v="1"/>
    <s v="DRY2500381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n v="0"/>
    <n v="7.4999999999999997E-3"/>
    <n v="0"/>
    <s v="new package (ลบโลโก้ Facebook)"/>
    <n v="0"/>
    <n v="0"/>
  </r>
  <r>
    <x v="741"/>
    <d v="2026-02-13T00:00:00"/>
    <x v="2"/>
    <e v="#N/A"/>
    <x v="1"/>
    <s v="KL2600005"/>
    <s v="China"/>
    <s v="China"/>
    <s v="Charoen Pokphand Import&amp;Export Trading (Shanghai) Co., Ltd"/>
    <s v="Wonton ND+V"/>
    <s v="Cooked Wonton"/>
    <s v="Cooked Wonton ND No Egg with Pumpkin _x000a_+ Vegetable 5 pcs tomyam"/>
    <s v="082SJ5J36005P00001"/>
    <s v="308g*6c*6in"/>
    <n v="36"/>
    <n v="5"/>
    <n v="7.4999999999999997E-3"/>
    <x v="5"/>
    <s v="Salt"/>
    <s v="Y3"/>
    <n v="200"/>
    <n v="200"/>
    <m/>
    <n v="0"/>
    <n v="0"/>
    <n v="0"/>
    <n v="9.7000000000000003E-3"/>
    <n v="0"/>
    <s v="INNERใหม่ / กล่องใหม่"/>
    <m/>
    <m/>
  </r>
  <r>
    <x v="741"/>
    <d v="2026-02-18T00:00:00"/>
    <x v="2"/>
    <e v="#N/A"/>
    <x v="1"/>
    <s v="KL2600004"/>
    <s v="China"/>
    <s v="China"/>
    <s v="Charoen Pokphand Import&amp;Export Trading (Shanghai) Co., Ltd"/>
    <s v="Wonton ND+V"/>
    <s v="Cooked Wonton"/>
    <s v="Cooked Wonton ND No Egg with Pumpkin _x000a_+ Vegetable 5 pcs tomyam"/>
    <s v="082SJ5J36005P00001"/>
    <s v="308g*6c*6in"/>
    <n v="36"/>
    <n v="5"/>
    <n v="7.4999999999999997E-3"/>
    <x v="5"/>
    <s v="Salt"/>
    <s v="Y3"/>
    <n v="792"/>
    <n v="8"/>
    <n v="802.11111111111109"/>
    <n v="18.111111111111086"/>
    <n v="0"/>
    <n v="0"/>
    <n v="9.7000000000000003E-3"/>
    <n v="0"/>
    <s v="INNERใหม่ / กล่องใหม่"/>
    <m/>
    <m/>
  </r>
  <r>
    <x v="742"/>
    <d v="2026-02-23T00:00:00"/>
    <x v="2"/>
    <e v="#N/A"/>
    <x v="1"/>
    <s v="KL2600006"/>
    <s v="China"/>
    <s v="China"/>
    <s v="Sam's (Shanghai) Investment Co., Ltd."/>
    <s v="R-Wonton no egg"/>
    <s v="Raw Wonton"/>
    <s v="Raw Wonton 60 pcs"/>
    <s v="082I9WN08060P00001"/>
    <s v="750g*8in"/>
    <n v="8"/>
    <n v="60"/>
    <n v="6.8100000000000001E-3"/>
    <x v="3"/>
    <s v="STPP"/>
    <s v="ซุปซอง 5g."/>
    <n v="655"/>
    <n v="655"/>
    <m/>
    <n v="0"/>
    <n v="0"/>
    <n v="0"/>
    <n v="6"/>
    <n v="0"/>
    <m/>
    <n v="0"/>
    <n v="0"/>
  </r>
  <r>
    <x v="742"/>
    <s v="02-2026"/>
    <x v="2"/>
    <e v="#N/A"/>
    <x v="1"/>
    <s v="ขายภายใน"/>
    <s v="MTFS"/>
    <s v="CPFGS"/>
    <s v="ซีพีเอฟ เทรดดิ้ง"/>
    <s v="Minced+ND+Kee Mao แห้ง"/>
    <s v="Cooked Wonton"/>
    <s v="บะหมี่เกี๊ยวกุ้งขี้เมา ตราซีพี 705g (Multi Pack)"/>
    <s v="082SR3Q18003P02001"/>
    <s v="235g*3ถ้วย*6ถุง"/>
    <n v="18"/>
    <n v="3"/>
    <n v="6.1999999999999998E-3"/>
    <x v="4"/>
    <s v="STPP"/>
    <s v="Kee Mao"/>
    <n v="2334"/>
    <m/>
    <n v="2350.6111111111113"/>
    <n v="16.611111111111313"/>
    <n v="0"/>
    <n v="0"/>
    <m/>
    <n v="0"/>
    <m/>
    <n v="0"/>
    <n v="0"/>
  </r>
  <r>
    <x v="742"/>
    <s v="02-2026"/>
    <x v="2"/>
    <e v="#N/A"/>
    <x v="1"/>
    <s v="ขายภายใน"/>
    <s v="MTFS"/>
    <s v="CPFGS"/>
    <s v="ซีพีเอฟ เทรดดิ้ง"/>
    <s v="Minced+ND+V+น้ำราดเป็ด"/>
    <s v="Cooked Wonton"/>
    <s v="บะหมี่เกี๊ยวกุ้งสไตล์ฮ่องกง ตราซีพี 705g (Multi Pack)"/>
    <s v="082SR3Q18003P01001"/>
    <s v="235g*3ถ้วย*6ถุง"/>
    <n v="18"/>
    <n v="3"/>
    <n v="6.1999999999999998E-3"/>
    <x v="4"/>
    <s v="STPP"/>
    <s v="น้ำราดเป็ด"/>
    <n v="2334"/>
    <m/>
    <n v="2338.8333333333335"/>
    <n v="4.8333333333334849"/>
    <n v="0"/>
    <n v="0"/>
    <m/>
    <n v="0"/>
    <m/>
    <n v="0"/>
    <n v="0"/>
  </r>
  <r>
    <x v="743"/>
    <d v="2026-02-23T00:00:00"/>
    <x v="2"/>
    <e v="#N/A"/>
    <x v="1"/>
    <s v="DRY2500388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184"/>
    <n v="184"/>
    <m/>
    <n v="0"/>
    <n v="0"/>
    <n v="0"/>
    <n v="6"/>
    <n v="0"/>
    <m/>
    <n v="0"/>
    <n v="0"/>
  </r>
  <r>
    <x v="743"/>
    <d v="2026-02-24T00:00:00"/>
    <x v="2"/>
    <e v="#N/A"/>
    <x v="1"/>
    <s v="DRY2500377"/>
    <s v="UK"/>
    <s v="CPFNW"/>
    <s v="Food Fellas"/>
    <s v="Wonton ND"/>
    <s v="Cooked Wonton"/>
    <s v="Cooked Wonton ND No Egg with _x000a_HC  5 pcs"/>
    <s v="082SJ5L08005P03001"/>
    <s v="258g*8"/>
    <n v="8"/>
    <n v="5"/>
    <n v="7.4999999999999997E-3"/>
    <x v="5"/>
    <s v="Salt"/>
    <s v="Regular"/>
    <n v="1000"/>
    <m/>
    <n v="1087.125"/>
    <n v="87.125"/>
    <n v="0"/>
    <n v="0"/>
    <n v="7.4999999999999997E-3"/>
    <n v="0"/>
    <s v="ถ้าว,ฝา สีขาว"/>
    <m/>
    <m/>
  </r>
  <r>
    <x v="743"/>
    <s v="03-2026"/>
    <x v="2"/>
    <e v="#N/A"/>
    <x v="1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200"/>
    <n v="200"/>
    <m/>
    <n v="0"/>
    <n v="0"/>
    <n v="0"/>
    <n v="7.4999999999999997E-3"/>
    <n v="0"/>
    <s v="กล่องเหลือ 285/STK เหลืออย่างละ 260 ดวง"/>
    <n v="0"/>
    <n v="0"/>
  </r>
  <r>
    <x v="743"/>
    <s v="03-2026"/>
    <x v="2"/>
    <e v="#N/A"/>
    <x v="1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50"/>
    <n v="50"/>
    <m/>
    <n v="0"/>
    <n v="0"/>
    <n v="0"/>
    <n v="7.4999999999999997E-3"/>
    <n v="0"/>
    <s v="กล่องเหลือ 285/STK เหลืออย่างละ 260 ดวง"/>
    <n v="0"/>
    <n v="0"/>
  </r>
  <r>
    <x v="743"/>
    <s v="03-2026"/>
    <x v="2"/>
    <e v="#N/A"/>
    <x v="1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200"/>
    <n v="200"/>
    <m/>
    <n v="0"/>
    <n v="0"/>
    <n v="0"/>
    <n v="7.4999999999999997E-3"/>
    <n v="0"/>
    <s v="กล่องเหลือ 83/Stkติดฝา 156 ดวง/Stk ติดถ้วย 990"/>
    <n v="0"/>
    <n v="0"/>
  </r>
  <r>
    <x v="743"/>
    <s v="03-2026"/>
    <x v="2"/>
    <e v="#N/A"/>
    <x v="1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200"/>
    <n v="200"/>
    <m/>
    <n v="0"/>
    <n v="0"/>
    <n v="0"/>
    <n v="7.4999999999999997E-3"/>
    <n v="0"/>
    <s v="กล่องเหลือ 83/Stkติดฝา 156 ดวง/Stk ติดถ้วย 990"/>
    <n v="0"/>
    <n v="0"/>
  </r>
  <r>
    <x v="743"/>
    <s v="03-2026"/>
    <x v="2"/>
    <e v="#N/A"/>
    <x v="1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200"/>
    <n v="200"/>
    <m/>
    <n v="0"/>
    <n v="0"/>
    <n v="0"/>
    <n v="7.4999999999999997E-3"/>
    <n v="0"/>
    <s v="กล่องเหลือ 83/Stkติดฝา 156 ดวง/Stk ติดถ้วย 990"/>
    <n v="0"/>
    <n v="0"/>
  </r>
  <r>
    <x v="743"/>
    <d v="2026-03-15T00:00:00"/>
    <x v="2"/>
    <e v="#N/A"/>
    <x v="1"/>
    <s v="LA001/2569"/>
    <s v="Laos"/>
    <s v="Laos"/>
    <s v="บริษัท ปิก้าเทรดดิ้ง จำกัด"/>
    <s v="E+Wonton"/>
    <s v="Cooked Wonton"/>
    <s v="เกี๊ยวกุ้งจักรพรรดิ 12x145g."/>
    <s v="082S8L212005P00001"/>
    <s v="145g*12"/>
    <n v="12"/>
    <n v="5"/>
    <n v="8.0000000000000002E-3"/>
    <x v="1"/>
    <s v="STPP"/>
    <s v="Regular"/>
    <n v="100"/>
    <n v="100"/>
    <m/>
    <n v="0"/>
    <n v="0"/>
    <n v="0"/>
    <n v="7.4999999999999997E-3"/>
    <n v="0"/>
    <m/>
    <n v="0"/>
    <n v="0"/>
  </r>
  <r>
    <x v="743"/>
    <d v="2026-03-15T00:00:00"/>
    <x v="2"/>
    <e v="#N/A"/>
    <x v="1"/>
    <s v="LA002/2569"/>
    <s v="Laos"/>
    <s v="Laos"/>
    <s v="บริษัท ปิก้าเทรดดิ้ง จำกัด"/>
    <s v="E+Wonton"/>
    <s v="Cooked Wonton"/>
    <s v="เกี๊ยวกุ้งจักรพรรดิ 12x145g."/>
    <s v="082S8L212005P00001"/>
    <s v="145g*12"/>
    <n v="12"/>
    <n v="5"/>
    <n v="8.0000000000000002E-3"/>
    <x v="1"/>
    <s v="STPP"/>
    <s v="Regular"/>
    <n v="100"/>
    <n v="100"/>
    <m/>
    <n v="0"/>
    <n v="0"/>
    <n v="0"/>
    <n v="7.4999999999999997E-3"/>
    <n v="0"/>
    <m/>
    <n v="0"/>
    <n v="0"/>
  </r>
  <r>
    <x v="743"/>
    <s v="03-2026"/>
    <x v="2"/>
    <e v="#N/A"/>
    <x v="1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0"/>
    <s v="145g*12"/>
    <n v="12"/>
    <n v="5"/>
    <n v="8.0000000000000002E-3"/>
    <x v="1"/>
    <s v="STPP"/>
    <s v="Regular"/>
    <n v="12"/>
    <n v="12"/>
    <m/>
    <n v="0"/>
    <n v="0"/>
    <n v="0"/>
    <n v="7.4999999999999997E-3"/>
    <n v="0"/>
    <m/>
    <n v="0"/>
    <n v="0"/>
  </r>
  <r>
    <x v="743"/>
    <s v="03-2026"/>
    <x v="2"/>
    <e v="#N/A"/>
    <x v="1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1"/>
    <s v="145g*12"/>
    <n v="12"/>
    <n v="5"/>
    <n v="8.0000000000000002E-3"/>
    <x v="1"/>
    <s v="STPP"/>
    <s v="Regular"/>
    <n v="2500"/>
    <n v="2500"/>
    <m/>
    <n v="0"/>
    <n v="0"/>
    <n v="0"/>
    <n v="7.4999999999999997E-3"/>
    <n v="0"/>
    <m/>
    <n v="0"/>
    <n v="0"/>
  </r>
  <r>
    <x v="743"/>
    <s v="02-2026"/>
    <x v="2"/>
    <e v="#N/A"/>
    <x v="1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967"/>
    <n v="967"/>
    <m/>
    <n v="0"/>
    <n v="0"/>
    <n v="0"/>
    <n v="7.4999999999999997E-3"/>
    <n v="0"/>
    <s v="กล่อง 1000/Stk 23,900"/>
    <n v="0"/>
    <n v="0"/>
  </r>
  <r>
    <x v="743"/>
    <s v="03-2026"/>
    <x v="2"/>
    <e v="#N/A"/>
    <x v="1"/>
    <s v="ขายภายใน"/>
    <s v="MTFS"/>
    <s v="CPFGS"/>
    <s v="ซีพีเอฟ เทรดดิ้ง"/>
    <s v="E+Wonton TY"/>
    <s v="Cooked Wonton"/>
    <s v="เกี๊ยวกุ้งจักรพรรดิซุปต้มยำ LV CP 143g"/>
    <s v="082S83Q12005P09001"/>
    <s v="143g*12"/>
    <n v="12"/>
    <n v="5"/>
    <n v="8.0000000000000002E-3"/>
    <x v="2"/>
    <s v="STPP"/>
    <s v="TYNSF"/>
    <n v="600"/>
    <n v="499"/>
    <n v="101"/>
    <n v="0"/>
    <n v="0"/>
    <n v="0"/>
    <n v="8.9999999999999993E-3"/>
    <n v="0"/>
    <s v="กล่อง เหลือ 240/Stk 21,000"/>
    <n v="0"/>
    <n v="0"/>
  </r>
  <r>
    <x v="744"/>
    <d v="2026-02-23T00:00:00"/>
    <x v="2"/>
    <e v="#N/A"/>
    <x v="1"/>
    <s v="DRY2500388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172"/>
    <n v="172"/>
    <m/>
    <n v="0"/>
    <n v="0"/>
    <n v="0"/>
    <n v="6"/>
    <n v="0"/>
    <m/>
    <n v="0"/>
    <n v="0"/>
  </r>
  <r>
    <x v="744"/>
    <s v="02-2026"/>
    <x v="2"/>
    <e v="#N/A"/>
    <x v="1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4005"/>
    <n v="4005"/>
    <m/>
    <n v="0"/>
    <n v="0"/>
    <n v="0"/>
    <n v="7.4999999999999997E-3"/>
    <n v="0"/>
    <s v="กล่อง 1000/Stk 23,900"/>
    <n v="0"/>
    <n v="0"/>
  </r>
  <r>
    <x v="744"/>
    <s v="03-2026"/>
    <x v="2"/>
    <e v="#N/A"/>
    <x v="1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52"/>
    <n v="52"/>
    <m/>
    <n v="0"/>
    <n v="0"/>
    <n v="0"/>
    <n v="7.4999999999999997E-3"/>
    <n v="0"/>
    <m/>
    <n v="0"/>
    <n v="0"/>
  </r>
  <r>
    <x v="745"/>
    <d v="2026-02-23T00:00:00"/>
    <x v="2"/>
    <e v="#N/A"/>
    <x v="1"/>
    <s v="DRY2500388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174"/>
    <n v="174"/>
    <m/>
    <n v="0"/>
    <n v="0"/>
    <n v="0"/>
    <n v="6"/>
    <n v="0"/>
    <m/>
    <n v="0"/>
    <n v="0"/>
  </r>
  <r>
    <x v="745"/>
    <s v="02-2026"/>
    <x v="2"/>
    <e v="#N/A"/>
    <x v="1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545"/>
    <n v="1545"/>
    <m/>
    <n v="0"/>
    <n v="0"/>
    <n v="0"/>
    <n v="7.4999999999999997E-3"/>
    <n v="0"/>
    <m/>
    <n v="0"/>
    <n v="0"/>
  </r>
  <r>
    <x v="745"/>
    <s v="03-2026"/>
    <x v="2"/>
    <e v="#N/A"/>
    <x v="1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56"/>
    <n v="56"/>
    <m/>
    <n v="0"/>
    <n v="0"/>
    <n v="0"/>
    <n v="7.4999999999999997E-3"/>
    <n v="0"/>
    <m/>
    <n v="0"/>
    <n v="0"/>
  </r>
  <r>
    <x v="745"/>
    <s v="03-2026"/>
    <x v="2"/>
    <e v="#N/A"/>
    <x v="1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2095"/>
    <n v="2095"/>
    <m/>
    <n v="0"/>
    <n v="0"/>
    <n v="0"/>
    <n v="7.4999999999999997E-3"/>
    <n v="0"/>
    <m/>
    <n v="0"/>
    <n v="0"/>
  </r>
  <r>
    <x v="746"/>
    <d v="2026-02-23T00:00:00"/>
    <x v="2"/>
    <e v="#N/A"/>
    <x v="1"/>
    <s v="DRY2500388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177"/>
    <n v="177"/>
    <m/>
    <n v="0"/>
    <n v="0"/>
    <n v="0"/>
    <n v="6"/>
    <n v="0"/>
    <m/>
    <n v="0"/>
    <n v="0"/>
  </r>
  <r>
    <x v="746"/>
    <s v="03-2026"/>
    <x v="2"/>
    <e v="#N/A"/>
    <x v="1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724"/>
    <n v="1724"/>
    <m/>
    <n v="0"/>
    <n v="0"/>
    <n v="0"/>
    <n v="7.4999999999999997E-3"/>
    <n v="0"/>
    <m/>
    <n v="0"/>
    <n v="0"/>
  </r>
  <r>
    <x v="746"/>
    <d v="2026-03-05T00:00:00"/>
    <x v="2"/>
    <e v="#N/A"/>
    <x v="1"/>
    <s v="DRY2500391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692"/>
    <n v="100"/>
    <n v="0"/>
    <n v="0"/>
    <n v="0"/>
    <n v="7.4999999999999997E-3"/>
    <n v="0"/>
    <s v="ถ้าว,ฝา สีขาว New Package   662 stock NZ"/>
    <n v="0"/>
    <n v="0"/>
  </r>
  <r>
    <x v="746"/>
    <d v="2026-03-12T00:00:00"/>
    <x v="2"/>
    <e v="#N/A"/>
    <x v="1"/>
    <s v="DRY2600025"/>
    <s v="AUS"/>
    <s v="CPFNW"/>
    <s v="CPF Australia Pty Ltd.(Woolworth)"/>
    <s v="Wonton ND+V"/>
    <s v="Cooked Wonton"/>
    <s v="Cooked Wonton ND No Egg with Pumpkin_x000a_+ Yu Choy "/>
    <s v="082SJ9U05004P00001"/>
    <s v="305g*5"/>
    <n v="5"/>
    <n v="4"/>
    <n v="7.4999999999999997E-3"/>
    <x v="5"/>
    <s v="Salt"/>
    <s v="Regular"/>
    <n v="5000"/>
    <m/>
    <n v="5000"/>
    <n v="0"/>
    <n v="0"/>
    <n v="0"/>
    <n v="7.4999999999999997E-3"/>
    <n v="0"/>
    <s v="ถ้าว,ฝา สีขาว"/>
    <n v="0"/>
    <n v="0"/>
  </r>
  <r>
    <x v="747"/>
    <m/>
    <x v="2"/>
    <e v="#N/A"/>
    <x v="1"/>
    <m/>
    <m/>
    <m/>
    <m/>
    <m/>
    <m/>
    <m/>
    <m/>
    <m/>
    <m/>
    <m/>
    <m/>
    <x v="0"/>
    <m/>
    <m/>
    <m/>
    <m/>
    <m/>
    <m/>
    <m/>
    <n v="0"/>
    <m/>
    <m/>
    <m/>
    <m/>
    <m/>
  </r>
  <r>
    <x v="748"/>
    <d v="2026-02-23T00:00:00"/>
    <x v="2"/>
    <e v="#N/A"/>
    <x v="1"/>
    <s v="DRY2500388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333"/>
    <n v="333"/>
    <m/>
    <n v="0"/>
    <n v="0"/>
    <n v="0"/>
    <n v="6"/>
    <n v="0"/>
    <m/>
    <n v="0"/>
    <n v="0"/>
  </r>
  <r>
    <x v="748"/>
    <d v="2026-03-02T00:00:00"/>
    <x v="2"/>
    <e v="#N/A"/>
    <x v="1"/>
    <s v="DRY2500389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30"/>
    <n v="30"/>
    <m/>
    <n v="0"/>
    <n v="0"/>
    <n v="0"/>
    <n v="6"/>
    <n v="0"/>
    <m/>
    <n v="0"/>
    <n v="0"/>
  </r>
  <r>
    <x v="749"/>
    <m/>
    <x v="2"/>
    <e v="#N/A"/>
    <x v="1"/>
    <m/>
    <m/>
    <m/>
    <m/>
    <m/>
    <m/>
    <m/>
    <m/>
    <m/>
    <m/>
    <m/>
    <m/>
    <x v="0"/>
    <m/>
    <m/>
    <m/>
    <m/>
    <m/>
    <m/>
    <m/>
    <n v="0"/>
    <m/>
    <m/>
    <m/>
    <m/>
    <m/>
  </r>
  <r>
    <x v="750"/>
    <d v="2026-03-02T00:00:00"/>
    <x v="2"/>
    <e v="#N/A"/>
    <x v="1"/>
    <s v="DRY2500389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210"/>
    <n v="210"/>
    <m/>
    <n v="0"/>
    <n v="0"/>
    <n v="0"/>
    <n v="6"/>
    <n v="0"/>
    <m/>
    <n v="0"/>
    <n v="0"/>
  </r>
  <r>
    <x v="750"/>
    <s v="03-2026"/>
    <x v="2"/>
    <e v="#N/A"/>
    <x v="1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954"/>
    <n v="954"/>
    <m/>
    <n v="0"/>
    <n v="0"/>
    <n v="0"/>
    <n v="7.4999999999999997E-3"/>
    <n v="0"/>
    <m/>
    <n v="0"/>
    <n v="0"/>
  </r>
  <r>
    <x v="750"/>
    <s v="03-2026"/>
    <x v="2"/>
    <e v="#N/A"/>
    <x v="1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"/>
    <s v="082SG1A24003P00001"/>
    <s v="250g*24"/>
    <n v="24"/>
    <n v="3"/>
    <n v="6.1999999999999998E-3"/>
    <x v="2"/>
    <s v="STPP"/>
    <s v="หมาล่า"/>
    <n v="2492"/>
    <n v="2492"/>
    <m/>
    <n v="0"/>
    <n v="0"/>
    <n v="0"/>
    <n v="1.83E-2"/>
    <n v="0"/>
    <m/>
    <n v="0"/>
    <n v="0"/>
  </r>
  <r>
    <x v="751"/>
    <d v="2026-03-02T00:00:00"/>
    <x v="2"/>
    <e v="#N/A"/>
    <x v="1"/>
    <s v="DRY2500389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217"/>
    <n v="217"/>
    <m/>
    <n v="0"/>
    <n v="0"/>
    <n v="0"/>
    <n v="6"/>
    <n v="0"/>
    <m/>
    <n v="0"/>
    <n v="0"/>
  </r>
  <r>
    <x v="751"/>
    <s v="03-2026"/>
    <x v="2"/>
    <e v="#N/A"/>
    <x v="1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913"/>
    <n v="913"/>
    <m/>
    <n v="0"/>
    <n v="0"/>
    <n v="0"/>
    <n v="7.4999999999999997E-3"/>
    <n v="0"/>
    <m/>
    <n v="0"/>
    <n v="0"/>
  </r>
  <r>
    <x v="751"/>
    <s v="03-2026"/>
    <x v="2"/>
    <e v="#N/A"/>
    <x v="1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"/>
    <s v="082SG1A24003P00001"/>
    <s v="250g*24"/>
    <n v="24"/>
    <n v="3"/>
    <n v="6.1999999999999998E-3"/>
    <x v="2"/>
    <s v="STPP"/>
    <s v="หมาล่า"/>
    <n v="2505"/>
    <n v="2505"/>
    <m/>
    <n v="0"/>
    <n v="0"/>
    <n v="0"/>
    <n v="1.83E-2"/>
    <n v="0"/>
    <m/>
    <n v="0"/>
    <n v="0"/>
  </r>
  <r>
    <x v="752"/>
    <d v="2026-03-02T00:00:00"/>
    <x v="2"/>
    <e v="#N/A"/>
    <x v="1"/>
    <s v="DRY2500389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212"/>
    <n v="212"/>
    <m/>
    <n v="0"/>
    <n v="0"/>
    <n v="0"/>
    <n v="6"/>
    <n v="0"/>
    <m/>
    <n v="0"/>
    <n v="0"/>
  </r>
  <r>
    <x v="752"/>
    <s v="03-2026"/>
    <x v="2"/>
    <e v="#N/A"/>
    <x v="1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1260"/>
    <n v="1260"/>
    <m/>
    <n v="0"/>
    <n v="0"/>
    <n v="0"/>
    <n v="1.7000000000000001E-2"/>
    <n v="0"/>
    <m/>
    <n v="0"/>
    <n v="0"/>
  </r>
  <r>
    <x v="752"/>
    <s v="03-2026"/>
    <x v="2"/>
    <e v="#N/A"/>
    <x v="1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2082"/>
    <n v="2082"/>
    <m/>
    <n v="0"/>
    <n v="0"/>
    <n v="0"/>
    <n v="7.4999999999999997E-3"/>
    <n v="0"/>
    <m/>
    <n v="0"/>
    <n v="0"/>
  </r>
  <r>
    <x v="753"/>
    <d v="2026-03-02T00:00:00"/>
    <x v="2"/>
    <e v="#N/A"/>
    <x v="1"/>
    <s v="DRY2500389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211"/>
    <n v="211"/>
    <m/>
    <n v="0"/>
    <n v="0"/>
    <n v="0"/>
    <n v="6"/>
    <n v="0"/>
    <m/>
    <n v="0"/>
    <n v="0"/>
  </r>
  <r>
    <x v="753"/>
    <s v="03-2026"/>
    <x v="2"/>
    <e v="#N/A"/>
    <x v="1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1334"/>
    <n v="1334"/>
    <m/>
    <n v="0"/>
    <n v="0"/>
    <n v="0"/>
    <n v="1.7000000000000001E-2"/>
    <n v="0"/>
    <m/>
    <n v="0"/>
    <n v="0"/>
  </r>
  <r>
    <x v="753"/>
    <s v="03-2026"/>
    <x v="2"/>
    <e v="#N/A"/>
    <x v="1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1312"/>
    <n v="1312"/>
    <m/>
    <n v="0"/>
    <n v="0"/>
    <n v="0"/>
    <n v="7.4999999999999997E-3"/>
    <n v="0"/>
    <m/>
    <n v="0"/>
    <n v="0"/>
  </r>
  <r>
    <x v="753"/>
    <s v="03-2026"/>
    <x v="2"/>
    <e v="#N/A"/>
    <x v="1"/>
    <s v="ขายภายใน"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875"/>
    <n v="758"/>
    <n v="117"/>
    <n v="0"/>
    <n v="0"/>
    <n v="0"/>
    <n v="1"/>
    <n v="0"/>
    <m/>
    <n v="0"/>
    <n v="0"/>
  </r>
  <r>
    <x v="754"/>
    <m/>
    <x v="2"/>
    <e v="#N/A"/>
    <x v="1"/>
    <m/>
    <m/>
    <m/>
    <m/>
    <m/>
    <m/>
    <m/>
    <m/>
    <m/>
    <m/>
    <m/>
    <m/>
    <x v="0"/>
    <m/>
    <m/>
    <m/>
    <m/>
    <m/>
    <m/>
    <m/>
    <n v="0"/>
    <m/>
    <m/>
    <m/>
    <m/>
    <m/>
  </r>
  <r>
    <x v="755"/>
    <d v="2026-03-02T00:00:00"/>
    <x v="2"/>
    <e v="#N/A"/>
    <x v="1"/>
    <s v="DRY2500389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160"/>
    <n v="160"/>
    <m/>
    <n v="0"/>
    <n v="0"/>
    <n v="0"/>
    <n v="6"/>
    <n v="0"/>
    <m/>
    <n v="0"/>
    <n v="0"/>
  </r>
  <r>
    <x v="755"/>
    <s v="03-2026"/>
    <x v="2"/>
    <e v="#N/A"/>
    <x v="1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1177"/>
    <n v="1177"/>
    <m/>
    <n v="0"/>
    <n v="0"/>
    <n v="0"/>
    <n v="1.7000000000000001E-2"/>
    <n v="0"/>
    <m/>
    <n v="0"/>
    <n v="0"/>
  </r>
  <r>
    <x v="755"/>
    <d v="2026-03-04T00:00:00"/>
    <x v="2"/>
    <e v="#N/A"/>
    <x v="1"/>
    <s v="DRY2500384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5000"/>
    <m/>
    <n v="5010"/>
    <n v="10"/>
    <n v="0"/>
    <n v="0"/>
    <n v="7.4999999999999997E-3"/>
    <n v="0"/>
    <m/>
    <n v="0"/>
    <n v="0"/>
  </r>
  <r>
    <x v="756"/>
    <d v="2026-03-10T00:00:00"/>
    <x v="2"/>
    <e v="#N/A"/>
    <x v="1"/>
    <s v="DRY2600022"/>
    <s v="SG"/>
    <s v="CPFNW"/>
    <s v="CP FOODS SINGAPORE PTE. LTD"/>
    <s v="R-Wonton egg past"/>
    <s v="Raw Wonton"/>
    <s v="Raw Wonton 8 pcs"/>
    <s v="082I93B20008P00001"/>
    <s v="194g*20in"/>
    <n v="20"/>
    <n v="8"/>
    <n v="1.4999999999999999E-2"/>
    <x v="6"/>
    <s v="STPP"/>
    <s v="ซุปซอง 5g."/>
    <n v="250"/>
    <n v="250"/>
    <m/>
    <n v="0"/>
    <n v="0"/>
    <n v="0"/>
    <n v="2"/>
    <n v="0"/>
    <s v="ห่อแบบดิบ"/>
    <n v="0"/>
    <n v="0"/>
  </r>
  <r>
    <x v="756"/>
    <d v="2026-03-10T00:00:00"/>
    <x v="2"/>
    <e v="#N/A"/>
    <x v="1"/>
    <s v="DRY2500352"/>
    <s v="SG"/>
    <s v="CPFNW"/>
    <s v="CP FOODS SINGAPORE PTE. LTD"/>
    <s v="R-Wonton egg past"/>
    <s v="Raw Wonton"/>
    <s v="Raw Wonton 8 pcs (Tomyam 30g.)"/>
    <s v="082I93B18008P01001"/>
    <s v="126g*18in"/>
    <n v="18"/>
    <n v="8"/>
    <n v="6.8100000000000001E-3"/>
    <x v="3"/>
    <s v="STPP"/>
    <s v="TYTB3C 30G"/>
    <n v="500"/>
    <n v="500"/>
    <m/>
    <n v="0"/>
    <n v="0"/>
    <n v="0"/>
    <n v="1"/>
    <n v="0"/>
    <m/>
    <n v="0"/>
    <n v="0"/>
  </r>
  <r>
    <x v="756"/>
    <d v="2026-03-10T00:00:00"/>
    <x v="2"/>
    <e v="#N/A"/>
    <x v="1"/>
    <s v="DRY2500367"/>
    <s v="SG"/>
    <s v="CPFNW"/>
    <s v="CP FOODS SINGAPORE PTE. LTD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899"/>
    <n v="255"/>
    <n v="644"/>
    <n v="0"/>
    <n v="0"/>
    <n v="0"/>
    <n v="2"/>
    <n v="0"/>
    <s v="ห่อแบบสุก"/>
    <n v="0"/>
    <n v="0"/>
  </r>
  <r>
    <x v="756"/>
    <s v="03-2026"/>
    <x v="2"/>
    <e v="#N/A"/>
    <x v="1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1302"/>
    <n v="1302"/>
    <m/>
    <n v="0"/>
    <n v="0"/>
    <n v="0"/>
    <n v="1.7000000000000001E-2"/>
    <n v="0"/>
    <m/>
    <n v="0"/>
    <n v="0"/>
  </r>
  <r>
    <x v="756"/>
    <d v="2026-03-12T00:00:00"/>
    <x v="2"/>
    <e v="#N/A"/>
    <x v="1"/>
    <s v="DRY2600026"/>
    <s v="AUS"/>
    <s v="CPFNW"/>
    <s v="CPF Australia Pty Ltd.(Woolworth)"/>
    <s v="Wonton ND+V"/>
    <s v="Cooked Wonton"/>
    <s v="Cooked Wonton ND No Egg with Pumpkin_x000a_+ Yu Choy "/>
    <s v="082SJ9U05004P00001"/>
    <s v="305g*5"/>
    <n v="5"/>
    <n v="4"/>
    <n v="7.4999999999999997E-3"/>
    <x v="5"/>
    <s v="Salt"/>
    <s v="Regular"/>
    <n v="5000"/>
    <m/>
    <n v="5000"/>
    <n v="0"/>
    <n v="0"/>
    <n v="0"/>
    <n v="7.4999999999999997E-3"/>
    <n v="0"/>
    <s v="ถ้าว,ฝา สีขาว"/>
    <n v="0"/>
    <n v="0"/>
  </r>
  <r>
    <x v="756"/>
    <d v="2026-03-19T00:00:00"/>
    <x v="2"/>
    <e v="#N/A"/>
    <x v="1"/>
    <s v="DRY2600027"/>
    <s v="AUS"/>
    <s v="CPFNW"/>
    <s v="CPF Australia Pty Ltd.(Woolworth)"/>
    <s v="Wonton ND+V"/>
    <s v="Cooked Wonton"/>
    <s v="Cooked Wonton ND No Egg with Pumpkin_x000a_+ Yu Choy "/>
    <s v="082SJ9U05004P00001"/>
    <s v="305g*5"/>
    <n v="5"/>
    <n v="4"/>
    <n v="7.4999999999999997E-3"/>
    <x v="5"/>
    <s v="Salt"/>
    <s v="Regular"/>
    <n v="5000"/>
    <m/>
    <n v="5000"/>
    <n v="0"/>
    <n v="0"/>
    <n v="0"/>
    <n v="7.4999999999999997E-3"/>
    <n v="0"/>
    <s v="ถ้าว,ฝา สีขาว"/>
    <n v="0"/>
    <n v="0"/>
  </r>
  <r>
    <x v="757"/>
    <d v="2026-03-06T00:00:00"/>
    <x v="2"/>
    <e v="#N/A"/>
    <x v="1"/>
    <s v="KL2600007"/>
    <s v="China"/>
    <s v="China"/>
    <s v="Sam's (Shanghai) Investment Co., Ltd."/>
    <s v="R-Wonton egg past"/>
    <s v="Raw Wonton"/>
    <s v="Raw Wonton 60 pcs"/>
    <s v="082I9SC08060P00001"/>
    <s v="770g*8in"/>
    <n v="8"/>
    <n v="60"/>
    <n v="6.8100000000000001E-3"/>
    <x v="3"/>
    <s v="Salt"/>
    <s v="ซุปซอง 5g."/>
    <n v="925"/>
    <m/>
    <n v="925"/>
    <n v="0"/>
    <n v="0"/>
    <n v="0"/>
    <n v="10"/>
    <n v="0"/>
    <m/>
    <n v="0"/>
    <n v="0"/>
  </r>
  <r>
    <x v="757"/>
    <s v="03-2026"/>
    <x v="2"/>
    <e v="#N/A"/>
    <x v="1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1141"/>
    <n v="1141"/>
    <m/>
    <n v="0"/>
    <n v="0"/>
    <n v="0"/>
    <n v="1.7000000000000001E-2"/>
    <n v="0"/>
    <m/>
    <n v="0"/>
    <n v="0"/>
  </r>
  <r>
    <x v="757"/>
    <d v="2026-03-12T00:00:00"/>
    <x v="2"/>
    <e v="#N/A"/>
    <x v="1"/>
    <s v="DRY2600028"/>
    <s v="AUS"/>
    <s v="CPFNW"/>
    <s v="CPF Australia Pty Ltd.(Woolworth)"/>
    <s v="Minced ND+V+TK"/>
    <s v="Cooked Wonton"/>
    <s v="Cooked Minced  ND No Egg with Pumpkin_x000a_+ Yu Choy Tomkha"/>
    <s v="082SR9U05003P01001"/>
    <s v="302g*5"/>
    <n v="5"/>
    <n v="3"/>
    <n v="6.0000000000000001E-3"/>
    <x v="4"/>
    <s v="Salt"/>
    <s v="Tomkha+CM"/>
    <n v="5000"/>
    <m/>
    <n v="5000"/>
    <n v="0"/>
    <n v="0"/>
    <n v="0"/>
    <n v="5.8823E-2"/>
    <n v="0"/>
    <s v="ถ้าว,ฝา สีขาว"/>
    <n v="0"/>
    <n v="0"/>
  </r>
  <r>
    <x v="757"/>
    <d v="2026-03-19T00:00:00"/>
    <x v="2"/>
    <e v="#N/A"/>
    <x v="1"/>
    <s v="DRY2600029"/>
    <s v="AUS"/>
    <s v="CPFNW"/>
    <s v="CPF Australia Pty Ltd.(Woolworth)"/>
    <s v="Minced ND+V+TK"/>
    <s v="Cooked Wonton"/>
    <s v="Cooked Minced  ND No Egg with Pumpkin_x000a_+ Yu Choy Tomkha"/>
    <s v="082SR9U05003P01001"/>
    <s v="302g*5"/>
    <n v="5"/>
    <n v="3"/>
    <n v="6.0000000000000001E-3"/>
    <x v="4"/>
    <s v="Salt"/>
    <s v="Tomkha+CM"/>
    <n v="5000"/>
    <n v="74"/>
    <n v="4934.3999999999996"/>
    <n v="8.3999999999996362"/>
    <n v="0"/>
    <n v="0"/>
    <n v="5.8823E-2"/>
    <n v="0"/>
    <s v="ถ้าว,ฝา สีขาว"/>
    <n v="0"/>
    <n v="0"/>
  </r>
  <r>
    <x v="758"/>
    <d v="2026-03-06T00:00:00"/>
    <x v="2"/>
    <e v="#N/A"/>
    <x v="1"/>
    <s v="KL2600007"/>
    <s v="China"/>
    <s v="China"/>
    <s v="Sam's (Shanghai) Investment Co., Ltd."/>
    <s v="R-Wonton egg past"/>
    <s v="Raw Wonton"/>
    <s v="Raw Wonton 60 pcs"/>
    <s v="082I9SC08060P00001"/>
    <s v="770g*8in"/>
    <n v="8"/>
    <n v="60"/>
    <n v="6.8100000000000001E-3"/>
    <x v="3"/>
    <s v="Salt"/>
    <s v="ซุปซอง 5g."/>
    <n v="483"/>
    <n v="483"/>
    <m/>
    <n v="0"/>
    <n v="0"/>
    <n v="0"/>
    <n v="10"/>
    <n v="0"/>
    <m/>
    <n v="0"/>
    <n v="0"/>
  </r>
  <r>
    <x v="758"/>
    <d v="2026-03-09T00:00:00"/>
    <x v="2"/>
    <e v="#N/A"/>
    <x v="1"/>
    <s v="KL2600006"/>
    <s v="China"/>
    <s v="China"/>
    <s v="Sam's (Shanghai) Investment Co., Ltd."/>
    <s v="R-Wonton egg past"/>
    <s v="Raw Wonton"/>
    <s v="Raw Wonton 60 pcs"/>
    <s v="082I9SC08060P00001"/>
    <s v="770g*8in"/>
    <n v="8"/>
    <n v="60"/>
    <n v="6.8100000000000001E-3"/>
    <x v="3"/>
    <s v="Salt"/>
    <s v="ซุปซอง 5g."/>
    <n v="576"/>
    <n v="576"/>
    <m/>
    <n v="0"/>
    <n v="0"/>
    <n v="0"/>
    <n v="10"/>
    <n v="0"/>
    <m/>
    <n v="0"/>
    <n v="0"/>
  </r>
  <r>
    <x v="758"/>
    <s v="03-2026"/>
    <x v="2"/>
    <e v="#N/A"/>
    <x v="1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1231"/>
    <n v="1231"/>
    <m/>
    <n v="0"/>
    <n v="0"/>
    <n v="0"/>
    <n v="1.7000000000000001E-2"/>
    <n v="0"/>
    <m/>
    <n v="0"/>
    <n v="0"/>
  </r>
  <r>
    <x v="759"/>
    <d v="2026-03-02T00:00:00"/>
    <x v="2"/>
    <e v="#N/A"/>
    <x v="1"/>
    <s v="DRY2500389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215"/>
    <n v="215"/>
    <m/>
    <n v="0"/>
    <n v="0"/>
    <n v="0"/>
    <n v="6"/>
    <n v="0"/>
    <s v="ชดเชยของกัก"/>
    <n v="0"/>
    <n v="0"/>
  </r>
  <r>
    <x v="759"/>
    <d v="2026-03-12T00:00:00"/>
    <x v="2"/>
    <e v="#N/A"/>
    <x v="1"/>
    <s v="DRY2500390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8"/>
    <n v="8"/>
    <m/>
    <n v="0"/>
    <n v="0"/>
    <n v="0"/>
    <n v="6"/>
    <n v="0"/>
    <m/>
    <n v="0"/>
    <n v="0"/>
  </r>
  <r>
    <x v="759"/>
    <s v="03-2026"/>
    <x v="2"/>
    <e v="#N/A"/>
    <x v="1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1021"/>
    <n v="1021"/>
    <m/>
    <n v="0"/>
    <n v="0"/>
    <n v="0"/>
    <n v="1.7000000000000001E-2"/>
    <n v="0"/>
    <m/>
    <n v="0"/>
    <n v="0"/>
  </r>
  <r>
    <x v="759"/>
    <d v="2026-03-12T00:00:00"/>
    <x v="2"/>
    <e v="#N/A"/>
    <x v="1"/>
    <s v="DRY2600030"/>
    <s v="AUS"/>
    <s v="CPFNW"/>
    <s v="CPF Australia Pty Ltd.(Woolworth)"/>
    <s v="Minced ND+Kee Mao"/>
    <s v="Cooked Wonton"/>
    <s v="Cooked Minced Wonton Thai Spicy Noodles (Kee Mao Noodles)"/>
    <s v="082SR9U05003P00001"/>
    <s v="283g*5"/>
    <n v="5"/>
    <n v="3"/>
    <n v="6.0000000000000001E-3"/>
    <x v="4"/>
    <s v="Salt"/>
    <s v="Kee Mao"/>
    <n v="5000"/>
    <m/>
    <n v="5000"/>
    <n v="0"/>
    <n v="0"/>
    <n v="0"/>
    <n v="1"/>
    <n v="0"/>
    <s v="ถ้าว,ฝา สีขาว"/>
    <n v="0"/>
    <n v="0"/>
  </r>
  <r>
    <x v="759"/>
    <d v="2026-03-19T00:00:00"/>
    <x v="2"/>
    <e v="#N/A"/>
    <x v="1"/>
    <s v="DRY2600031"/>
    <s v="AUS"/>
    <s v="CPFNW"/>
    <s v="CPF Australia Pty Ltd.(Woolworth)"/>
    <s v="Minced ND+Kee Mao"/>
    <s v="Cooked Wonton"/>
    <s v="Cooked Minced Wonton Thai Spicy Noodles (Kee Mao Noodles)"/>
    <s v="082SR9U05003P00001"/>
    <s v="283g*5"/>
    <n v="5"/>
    <n v="3"/>
    <n v="6.0000000000000001E-3"/>
    <x v="4"/>
    <s v="Salt"/>
    <s v="Kee Mao"/>
    <n v="5000"/>
    <m/>
    <n v="5000"/>
    <n v="0"/>
    <n v="0"/>
    <n v="0"/>
    <n v="1"/>
    <n v="0"/>
    <s v="ถ้าว,ฝา สีขาว"/>
    <n v="0"/>
    <n v="0"/>
  </r>
  <r>
    <x v="760"/>
    <d v="2026-03-09T00:00:00"/>
    <x v="2"/>
    <e v="#N/A"/>
    <x v="1"/>
    <s v="KL2600006"/>
    <s v="China"/>
    <s v="China"/>
    <s v="Sam's (Shanghai) Investment Co., Ltd."/>
    <s v="R-Wonton egg past"/>
    <s v="Raw Wonton"/>
    <s v="Raw Wonton 60 pcs"/>
    <s v="082I9SC08060P00001"/>
    <s v="770g*8in"/>
    <n v="8"/>
    <n v="60"/>
    <n v="6.8100000000000001E-3"/>
    <x v="3"/>
    <s v="Salt"/>
    <s v="ซุปซอง 5g."/>
    <n v="832"/>
    <n v="832"/>
    <n v="15"/>
    <n v="15"/>
    <n v="0"/>
    <n v="0"/>
    <n v="10"/>
    <n v="0"/>
    <m/>
    <n v="0"/>
    <n v="0"/>
  </r>
  <r>
    <x v="760"/>
    <s v="03-2026"/>
    <x v="2"/>
    <e v="#N/A"/>
    <x v="1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1351"/>
    <n v="1351"/>
    <m/>
    <n v="0"/>
    <n v="0"/>
    <n v="0"/>
    <n v="1.7000000000000001E-2"/>
    <n v="0"/>
    <m/>
    <n v="0"/>
    <n v="0"/>
  </r>
  <r>
    <x v="760"/>
    <d v="2026-03-10T00:00:00"/>
    <x v="2"/>
    <e v="#N/A"/>
    <x v="1"/>
    <s v="DRY2600021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x v="761"/>
    <m/>
    <x v="2"/>
    <e v="#N/A"/>
    <x v="2"/>
    <m/>
    <m/>
    <m/>
    <m/>
    <m/>
    <m/>
    <m/>
    <m/>
    <m/>
    <m/>
    <m/>
    <m/>
    <x v="0"/>
    <m/>
    <m/>
    <m/>
    <m/>
    <m/>
    <m/>
    <m/>
    <n v="0"/>
    <m/>
    <m/>
    <m/>
    <m/>
    <m/>
  </r>
  <r>
    <x v="762"/>
    <s v="03-2026"/>
    <x v="2"/>
    <e v="#N/A"/>
    <x v="2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s v="-"/>
    <n v="500"/>
    <n v="500"/>
    <m/>
    <n v="0"/>
    <n v="0"/>
    <n v="0"/>
    <m/>
    <n v="0"/>
    <m/>
    <n v="0"/>
    <n v="0"/>
  </r>
  <r>
    <x v="762"/>
    <s v="03-2026"/>
    <x v="2"/>
    <e v="#N/A"/>
    <x v="2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s v="-"/>
    <n v="256"/>
    <n v="256"/>
    <m/>
    <n v="0"/>
    <n v="0"/>
    <n v="0"/>
    <m/>
    <n v="0"/>
    <m/>
    <n v="0"/>
    <n v="0"/>
  </r>
  <r>
    <x v="762"/>
    <d v="2026-03-10T00:00:00"/>
    <x v="2"/>
    <e v="#N/A"/>
    <x v="2"/>
    <s v="DRY2500367"/>
    <s v="SG"/>
    <s v="CPFNW"/>
    <s v="CP FOODS SINGAPORE PTE. LTD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601"/>
    <n v="513"/>
    <n v="104"/>
    <n v="16"/>
    <n v="0"/>
    <n v="0"/>
    <n v="2"/>
    <n v="0"/>
    <s v="ห่อแบบสุก"/>
    <n v="0"/>
    <n v="0"/>
  </r>
  <r>
    <x v="762"/>
    <s v="03-2026"/>
    <x v="2"/>
    <e v="#N/A"/>
    <x v="2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1347"/>
    <n v="1347"/>
    <m/>
    <n v="0"/>
    <n v="0"/>
    <n v="0"/>
    <n v="1.7000000000000001E-2"/>
    <n v="0"/>
    <m/>
    <n v="0"/>
    <n v="0"/>
  </r>
  <r>
    <x v="762"/>
    <d v="2026-03-10T00:00:00"/>
    <x v="2"/>
    <e v="#N/A"/>
    <x v="2"/>
    <s v="DRY2500383"/>
    <s v="SG"/>
    <s v="CPFNW"/>
    <s v="CP FOODS SINGAPORE PTE. LTD"/>
    <s v="Wonton ND+V"/>
    <s v="Cooked Wonton"/>
    <s v="Cooked Wonton ND No Egg with Pumpkin _x000a_+ Vegetable  HC  3 pcs"/>
    <s v="082SJ3B24003P02001"/>
    <s v="219g*24"/>
    <n v="24"/>
    <n v="3"/>
    <n v="7.4999999999999997E-3"/>
    <x v="5"/>
    <s v="STPP"/>
    <s v="ซุปซอง 10g."/>
    <n v="250"/>
    <n v="250"/>
    <m/>
    <n v="0"/>
    <n v="0"/>
    <n v="0"/>
    <n v="1"/>
    <n v="0"/>
    <m/>
    <n v="0"/>
    <n v="0"/>
  </r>
  <r>
    <x v="762"/>
    <d v="2026-03-12T00:00:00"/>
    <x v="2"/>
    <e v="#N/A"/>
    <x v="2"/>
    <s v="DRY2600066"/>
    <s v="New Zealand"/>
    <s v="CPFNW"/>
    <s v="Lim Brothers Import&amp;Export Co.,Ltd."/>
    <s v="Wonton ND+V"/>
    <s v="Cooked Wonton"/>
    <s v="Cooked Wonton ND No Egg with Pumpkin_x000a_+ Yu Choy "/>
    <s v="082SJN708004P00001"/>
    <s v="305g*8"/>
    <n v="8"/>
    <n v="4"/>
    <n v="7.4999999999999997E-3"/>
    <x v="5"/>
    <s v="Salt"/>
    <s v="Regular"/>
    <n v="1456"/>
    <m/>
    <n v="1456"/>
    <n v="0"/>
    <n v="0"/>
    <n v="0"/>
    <n v="7.4999999999999997E-3"/>
    <n v="0"/>
    <m/>
    <n v="0"/>
    <n v="0"/>
  </r>
  <r>
    <x v="762"/>
    <d v="2026-03-12T00:00:00"/>
    <x v="2"/>
    <e v="#N/A"/>
    <x v="2"/>
    <s v="DRY2500380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SG+CO"/>
    <n v="924"/>
    <n v="924"/>
    <m/>
    <n v="0"/>
    <n v="0"/>
    <n v="0"/>
    <n v="3.8699999999999998E-2"/>
    <n v="0"/>
    <m/>
    <n v="0"/>
    <n v="0"/>
  </r>
  <r>
    <x v="762"/>
    <d v="2026-03-19T00:00:00"/>
    <x v="2"/>
    <e v="#N/A"/>
    <x v="2"/>
    <s v="DRY2600054"/>
    <s v="AUS"/>
    <s v="CPFNW"/>
    <s v="CPF Australia Pty Ltd."/>
    <s v="Minced ND+V+TY"/>
    <s v="Cooked Wonton"/>
    <s v="Cooked Minced  ND No Egg with Pumpkin_x000a_+ Yu Choy Tomyum"/>
    <s v="082SR9U08003P00001"/>
    <s v="302g*8"/>
    <n v="8"/>
    <n v="3"/>
    <n v="6.0000000000000001E-3"/>
    <x v="4"/>
    <s v="Salt"/>
    <s v="TYEXSG+CO"/>
    <n v="400"/>
    <m/>
    <n v="431.625"/>
    <n v="31.625"/>
    <n v="0"/>
    <n v="0"/>
    <n v="3.8699999999999998E-2"/>
    <n v="0"/>
    <s v="ใช้ Package เก่า  จำนวน 132 กล่อง  โดยจะปิด  Opp Tape  สีแดงไปค่ะ"/>
    <n v="0"/>
    <n v="0"/>
  </r>
  <r>
    <x v="763"/>
    <d v="2026-03-12T00:00:00"/>
    <x v="2"/>
    <e v="#N/A"/>
    <x v="2"/>
    <s v="DRY2500390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243"/>
    <n v="243"/>
    <m/>
    <n v="0"/>
    <n v="0"/>
    <n v="0"/>
    <n v="6"/>
    <n v="0"/>
    <m/>
    <n v="0"/>
    <n v="0"/>
  </r>
  <r>
    <x v="763"/>
    <s v="03-2026"/>
    <x v="2"/>
    <e v="#N/A"/>
    <x v="2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1329"/>
    <n v="1329"/>
    <m/>
    <n v="0"/>
    <n v="0"/>
    <n v="0"/>
    <n v="1.7000000000000001E-2"/>
    <n v="0"/>
    <m/>
    <n v="0"/>
    <n v="0"/>
  </r>
  <r>
    <x v="763"/>
    <d v="2026-03-10T00:00:00"/>
    <x v="2"/>
    <e v="#N/A"/>
    <x v="2"/>
    <s v="DRY2500383"/>
    <s v="SG"/>
    <s v="CPFNW"/>
    <s v="CP FOODS SINGAPORE PTE. LTD"/>
    <s v="Wonton"/>
    <s v="Cooked Wonton"/>
    <s v="Cooked Wonton No Egg"/>
    <s v="082S83B24005P07001"/>
    <s v="145g*24"/>
    <n v="24"/>
    <n v="5"/>
    <n v="8.0000000000000002E-3"/>
    <x v="1"/>
    <s v="STPP"/>
    <s v="Regular"/>
    <n v="250"/>
    <n v="250"/>
    <m/>
    <n v="0"/>
    <n v="0"/>
    <n v="0"/>
    <n v="1"/>
    <n v="0"/>
    <m/>
    <n v="0"/>
    <n v="0"/>
  </r>
  <r>
    <x v="763"/>
    <d v="2026-03-10T00:00:00"/>
    <x v="2"/>
    <e v="#N/A"/>
    <x v="2"/>
    <s v="DRY2500383"/>
    <s v="SG"/>
    <s v="CPFNW"/>
    <s v="CP FOODS SINGAPORE PTE. LTD"/>
    <s v="Wonton +TY"/>
    <s v="Cooked Wonton"/>
    <s v="Cooked Wonton No Egg"/>
    <s v="082S83B24005P06001"/>
    <s v="115g*24"/>
    <n v="24"/>
    <n v="5"/>
    <n v="8.0000000000000002E-3"/>
    <x v="1"/>
    <s v="STPP"/>
    <s v="TYTB3C 30G"/>
    <n v="250"/>
    <n v="250"/>
    <m/>
    <n v="0"/>
    <n v="0"/>
    <n v="0"/>
    <n v="1"/>
    <n v="0"/>
    <m/>
    <n v="0"/>
    <n v="0"/>
  </r>
  <r>
    <x v="763"/>
    <d v="2026-03-09T00:00:00"/>
    <x v="2"/>
    <e v="#N/A"/>
    <x v="2"/>
    <s v="DRY2600024"/>
    <s v="Korea"/>
    <s v="CPFNW"/>
    <s v="Consumer Package Commerce"/>
    <s v="Minced ND"/>
    <s v="Cooked Wonton"/>
    <s v="Cooked Minced Wonton Noodle"/>
    <s v="082SR3U12004P00001"/>
    <s v="231g*12"/>
    <n v="12"/>
    <n v="4"/>
    <n v="6.0000000000000001E-3"/>
    <x v="4"/>
    <s v="Salt"/>
    <s v="Regular"/>
    <n v="2500"/>
    <n v="2500"/>
    <m/>
    <n v="0"/>
    <n v="0"/>
    <n v="0"/>
    <n v="7.4999999999999997E-3"/>
    <n v="0"/>
    <m/>
    <n v="0"/>
    <n v="0"/>
  </r>
  <r>
    <x v="764"/>
    <d v="2026-03-12T00:00:00"/>
    <x v="2"/>
    <e v="#N/A"/>
    <x v="2"/>
    <s v="DRY2500390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243"/>
    <n v="243"/>
    <m/>
    <n v="0"/>
    <n v="0"/>
    <n v="0"/>
    <n v="6"/>
    <n v="0"/>
    <m/>
    <n v="0"/>
    <n v="0"/>
  </r>
  <r>
    <x v="764"/>
    <s v="03-2026"/>
    <x v="2"/>
    <e v="#N/A"/>
    <x v="2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1324"/>
    <n v="1324"/>
    <m/>
    <n v="0"/>
    <n v="0"/>
    <n v="0"/>
    <n v="1.7000000000000001E-2"/>
    <n v="0"/>
    <m/>
    <n v="0"/>
    <n v="0"/>
  </r>
  <r>
    <x v="764"/>
    <s v="03-2026"/>
    <x v="2"/>
    <e v="#N/A"/>
    <x v="2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2553"/>
    <n v="2553"/>
    <m/>
    <n v="0"/>
    <n v="0"/>
    <n v="0"/>
    <n v="7.4999999999999997E-3"/>
    <n v="0"/>
    <m/>
    <n v="0"/>
    <n v="0"/>
  </r>
  <r>
    <x v="765"/>
    <d v="2026-03-12T00:00:00"/>
    <x v="2"/>
    <e v="#N/A"/>
    <x v="2"/>
    <s v="DRY2500390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242"/>
    <n v="242"/>
    <m/>
    <n v="0"/>
    <n v="0"/>
    <n v="0"/>
    <n v="6"/>
    <n v="0"/>
    <m/>
    <n v="0"/>
    <n v="0"/>
  </r>
  <r>
    <x v="765"/>
    <s v="03-2026"/>
    <x v="2"/>
    <e v="#N/A"/>
    <x v="2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1319"/>
    <n v="1319"/>
    <m/>
    <n v="0"/>
    <n v="0"/>
    <n v="0"/>
    <n v="1.7000000000000001E-2"/>
    <n v="0"/>
    <m/>
    <n v="0"/>
    <n v="0"/>
  </r>
  <r>
    <x v="765"/>
    <s v="03-2026"/>
    <x v="2"/>
    <e v="#N/A"/>
    <x v="2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2428"/>
    <n v="2428"/>
    <m/>
    <n v="0"/>
    <n v="0"/>
    <n v="0"/>
    <n v="7.4999999999999997E-3"/>
    <n v="0"/>
    <m/>
    <n v="0"/>
    <n v="0"/>
  </r>
  <r>
    <x v="766"/>
    <d v="2026-03-12T00:00:00"/>
    <x v="2"/>
    <e v="#N/A"/>
    <x v="2"/>
    <s v="DRY2500390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243"/>
    <n v="243"/>
    <m/>
    <n v="0"/>
    <n v="0"/>
    <n v="0"/>
    <n v="6"/>
    <n v="0"/>
    <m/>
    <n v="0"/>
    <n v="0"/>
  </r>
  <r>
    <x v="766"/>
    <s v="03-2026"/>
    <x v="2"/>
    <e v="#N/A"/>
    <x v="2"/>
    <s v="ขายภายใน"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325"/>
    <n v="326"/>
    <m/>
    <n v="1"/>
    <n v="0"/>
    <n v="0"/>
    <n v="1"/>
    <n v="0"/>
    <m/>
    <n v="0"/>
    <n v="0"/>
  </r>
  <r>
    <x v="766"/>
    <s v="03-2026"/>
    <x v="2"/>
    <e v="#N/A"/>
    <x v="2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1321"/>
    <n v="1321"/>
    <m/>
    <n v="0"/>
    <n v="0"/>
    <n v="0"/>
    <n v="7.4999999999999997E-3"/>
    <n v="0"/>
    <m/>
    <n v="0"/>
    <n v="0"/>
  </r>
  <r>
    <x v="766"/>
    <s v="03-2026"/>
    <x v="2"/>
    <e v="#N/A"/>
    <x v="2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"/>
    <s v="082SG1A24003P00001"/>
    <s v="250g*24"/>
    <n v="24"/>
    <n v="3"/>
    <n v="6.1999999999999998E-3"/>
    <x v="2"/>
    <s v="STPP"/>
    <s v="หมาล่า"/>
    <n v="603"/>
    <n v="603"/>
    <m/>
    <n v="0"/>
    <n v="0"/>
    <n v="0"/>
    <n v="1.83E-2"/>
    <n v="0"/>
    <m/>
    <n v="0"/>
    <n v="0"/>
  </r>
  <r>
    <x v="766"/>
    <s v="03-2026"/>
    <x v="2"/>
    <e v="#N/A"/>
    <x v="2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"/>
    <s v="082SG1A24003P00001"/>
    <s v="250g*24"/>
    <n v="24"/>
    <n v="3"/>
    <n v="6.1999999999999998E-3"/>
    <x v="2"/>
    <s v="STPP"/>
    <s v="หมาล่า"/>
    <n v="2262"/>
    <n v="2262"/>
    <m/>
    <n v="0"/>
    <n v="0"/>
    <n v="0"/>
    <n v="1.83E-2"/>
    <n v="0"/>
    <m/>
    <n v="0"/>
    <n v="0"/>
  </r>
  <r>
    <x v="767"/>
    <d v="2026-03-12T00:00:00"/>
    <x v="2"/>
    <e v="#N/A"/>
    <x v="2"/>
    <s v="DRY2500390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61"/>
    <n v="61"/>
    <m/>
    <n v="0"/>
    <n v="0"/>
    <n v="0"/>
    <n v="6"/>
    <n v="0"/>
    <m/>
    <n v="0"/>
    <n v="0"/>
  </r>
  <r>
    <x v="767"/>
    <d v="2026-04-20T00:00:00"/>
    <x v="2"/>
    <e v="#N/A"/>
    <x v="2"/>
    <s v="DRY2500392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169"/>
    <n v="169"/>
    <m/>
    <n v="0"/>
    <n v="0"/>
    <n v="0"/>
    <n v="6"/>
    <n v="0"/>
    <m/>
    <n v="0"/>
    <n v="0"/>
  </r>
  <r>
    <x v="767"/>
    <d v="2026-03-19T00:00:00"/>
    <x v="2"/>
    <e v="#N/A"/>
    <x v="2"/>
    <s v="DRY2600054"/>
    <s v="AUS"/>
    <s v="CPFNW"/>
    <s v="CPF Australia Pty Ltd."/>
    <s v="Wonton ND+V"/>
    <s v="Cooked Wonton"/>
    <s v="Cooked Wonton ND No Egg with Pumpkin_x000a_+ Yu Choy "/>
    <s v="082SJ9U08004P00001"/>
    <s v="305g*8"/>
    <n v="8"/>
    <n v="4"/>
    <n v="7.4999999999999997E-3"/>
    <x v="5"/>
    <s v="Salt"/>
    <s v="Regular"/>
    <n v="1000"/>
    <m/>
    <n v="1082.75"/>
    <n v="82.75"/>
    <n v="0"/>
    <n v="0"/>
    <n v="7.4999999999999997E-3"/>
    <n v="0"/>
    <m/>
    <n v="0"/>
    <n v="0"/>
  </r>
  <r>
    <x v="767"/>
    <d v="2026-03-26T00:00:00"/>
    <x v="2"/>
    <e v="#N/A"/>
    <x v="2"/>
    <s v="DRY2600072"/>
    <s v="New Zealand"/>
    <s v="CPFNW"/>
    <s v="Lim Brothers Import&amp;Export Co.,Ltd."/>
    <s v="Wonton ND+V"/>
    <s v="Cooked Wonton"/>
    <s v="Cooked Wonton ND No Egg with Pumpkin_x000a_+ Yu Choy "/>
    <s v="082SJN708004P00001"/>
    <s v="305g*8"/>
    <n v="8"/>
    <n v="4"/>
    <n v="7.4999999999999997E-3"/>
    <x v="5"/>
    <s v="Salt"/>
    <s v="Regular"/>
    <n v="150"/>
    <n v="150"/>
    <m/>
    <n v="0"/>
    <n v="0"/>
    <n v="0"/>
    <n v="7.4999999999999997E-3"/>
    <n v="0"/>
    <m/>
    <n v="0"/>
    <n v="0"/>
  </r>
  <r>
    <x v="767"/>
    <d v="2026-03-19T00:00:00"/>
    <x v="2"/>
    <e v="#N/A"/>
    <x v="2"/>
    <s v="DRY2600003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767"/>
    <s v="03-2026"/>
    <x v="2"/>
    <e v="#N/A"/>
    <x v="2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1410"/>
    <n v="1410"/>
    <m/>
    <n v="0"/>
    <n v="0"/>
    <n v="0"/>
    <n v="1.7000000000000001E-2"/>
    <n v="0"/>
    <m/>
    <n v="0"/>
    <n v="0"/>
  </r>
  <r>
    <x v="767"/>
    <s v="03-2026"/>
    <x v="2"/>
    <e v="#N/A"/>
    <x v="2"/>
    <s v="ขายภายใน"/>
    <s v="MTFS"/>
    <s v="CPFGS"/>
    <s v="ซีพีเอฟ เทรดดิ้ง"/>
    <s v="Wonton ND"/>
    <s v="Cooked Wonton"/>
    <s v="บะหมี่เกี๊ยวกุ้งซุปสุกี้ CPxMK 227g MT"/>
    <s v="082SJ3Q12003P0A001"/>
    <s v="227g*12"/>
    <n v="12"/>
    <n v="3"/>
    <n v="8.0000000000000002E-3"/>
    <x v="2"/>
    <s v="STPP"/>
    <s v="MK"/>
    <n v="2500"/>
    <n v="2500"/>
    <m/>
    <n v="0"/>
    <n v="0"/>
    <n v="0"/>
    <n v="0.05"/>
    <n v="0"/>
    <s v="เปลี่ยนใช้ผักกวางตุ้งแบบแช่แข็ง"/>
    <n v="0"/>
    <n v="0"/>
  </r>
  <r>
    <x v="768"/>
    <m/>
    <x v="2"/>
    <e v="#N/A"/>
    <x v="2"/>
    <m/>
    <m/>
    <m/>
    <m/>
    <m/>
    <m/>
    <m/>
    <m/>
    <m/>
    <m/>
    <m/>
    <m/>
    <x v="0"/>
    <m/>
    <m/>
    <m/>
    <m/>
    <m/>
    <m/>
    <m/>
    <n v="0"/>
    <m/>
    <m/>
    <m/>
    <m/>
    <m/>
  </r>
  <r>
    <x v="769"/>
    <d v="2026-04-20T00:00:00"/>
    <x v="2"/>
    <e v="#N/A"/>
    <x v="2"/>
    <s v="DRY2500392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159"/>
    <n v="159"/>
    <m/>
    <n v="0"/>
    <n v="0"/>
    <n v="0"/>
    <n v="6"/>
    <n v="0"/>
    <m/>
    <n v="0"/>
    <n v="0"/>
  </r>
  <r>
    <x v="769"/>
    <d v="2026-03-16T00:00:00"/>
    <x v="2"/>
    <e v="#N/A"/>
    <x v="2"/>
    <s v="DRY2500363"/>
    <s v="USA"/>
    <s v="CPFNW"/>
    <s v="C.P. Food Products, INC. "/>
    <s v="R-Wonton no egg"/>
    <s v="Raw Wonton"/>
    <s v="Raw Shrimp Wonton 20 pcs. (Enrich No Egg)"/>
    <s v="082I9ZE10020P00001"/>
    <s v="260g*10in"/>
    <n v="10"/>
    <n v="20"/>
    <n v="6.8100000000000001E-3"/>
    <x v="3"/>
    <s v="Salt"/>
    <s v="ซุปซอง 5g."/>
    <n v="730"/>
    <n v="730"/>
    <m/>
    <n v="0"/>
    <n v="0"/>
    <n v="0"/>
    <n v="4"/>
    <n v="0"/>
    <m/>
    <n v="0"/>
    <n v="0"/>
  </r>
  <r>
    <x v="769"/>
    <d v="2026-03-17T00:00:00"/>
    <x v="2"/>
    <e v="#N/A"/>
    <x v="2"/>
    <s v="DRY2600009"/>
    <s v="Netherlands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x v="769"/>
    <s v="03-2026"/>
    <x v="2"/>
    <e v="#N/A"/>
    <x v="2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1314"/>
    <n v="1314"/>
    <m/>
    <n v="0"/>
    <n v="0"/>
    <n v="0"/>
    <n v="1.7000000000000001E-2"/>
    <n v="0"/>
    <m/>
    <n v="0"/>
    <n v="0"/>
  </r>
  <r>
    <x v="770"/>
    <d v="2026-04-20T00:00:00"/>
    <x v="2"/>
    <e v="#N/A"/>
    <x v="2"/>
    <s v="DRY2500392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272"/>
    <n v="272"/>
    <m/>
    <n v="0"/>
    <n v="0"/>
    <n v="0"/>
    <n v="6"/>
    <n v="0"/>
    <m/>
    <n v="0"/>
    <n v="0"/>
  </r>
  <r>
    <x v="770"/>
    <d v="2026-03-24T00:00:00"/>
    <x v="2"/>
    <e v="#N/A"/>
    <x v="2"/>
    <s v="DRY2500332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x v="770"/>
    <s v="03-2026"/>
    <x v="2"/>
    <e v="#N/A"/>
    <x v="2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1355"/>
    <n v="1355"/>
    <m/>
    <n v="0"/>
    <n v="0"/>
    <n v="0"/>
    <n v="1.7000000000000001E-2"/>
    <n v="0"/>
    <m/>
    <n v="0"/>
    <n v="0"/>
  </r>
  <r>
    <x v="771"/>
    <d v="2026-04-20T00:00:00"/>
    <x v="2"/>
    <e v="#N/A"/>
    <x v="2"/>
    <s v="DRY2500392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216"/>
    <n v="216"/>
    <m/>
    <n v="0"/>
    <n v="0"/>
    <n v="0"/>
    <n v="6"/>
    <n v="0"/>
    <m/>
    <n v="0"/>
    <n v="0"/>
  </r>
  <r>
    <x v="771"/>
    <s v="03-2026"/>
    <x v="2"/>
    <e v="#N/A"/>
    <x v="2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1271"/>
    <n v="1271"/>
    <m/>
    <n v="0"/>
    <n v="0"/>
    <n v="0"/>
    <n v="7.4999999999999997E-3"/>
    <n v="0"/>
    <m/>
    <n v="0"/>
    <n v="0"/>
  </r>
  <r>
    <x v="771"/>
    <s v="04-2026"/>
    <x v="2"/>
    <e v="#N/A"/>
    <x v="2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1038"/>
    <n v="1038"/>
    <m/>
    <n v="0"/>
    <n v="0"/>
    <n v="0"/>
    <n v="7.4999999999999997E-3"/>
    <n v="0"/>
    <m/>
    <n v="0"/>
    <n v="0"/>
  </r>
  <r>
    <x v="771"/>
    <s v="04-2026"/>
    <x v="2"/>
    <e v="#N/A"/>
    <x v="2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200"/>
    <n v="200"/>
    <m/>
    <n v="0"/>
    <n v="0"/>
    <n v="0"/>
    <n v="7.4999999999999997E-3"/>
    <n v="0"/>
    <m/>
    <n v="0"/>
    <n v="0"/>
  </r>
  <r>
    <x v="771"/>
    <s v="04-2026"/>
    <x v="2"/>
    <e v="#N/A"/>
    <x v="2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50"/>
    <n v="50"/>
    <m/>
    <n v="0"/>
    <n v="0"/>
    <n v="0"/>
    <n v="7.4999999999999997E-3"/>
    <n v="0"/>
    <m/>
    <n v="0"/>
    <n v="0"/>
  </r>
  <r>
    <x v="771"/>
    <s v="04-2026"/>
    <x v="2"/>
    <e v="#N/A"/>
    <x v="2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350"/>
    <n v="350"/>
    <m/>
    <n v="0"/>
    <n v="0"/>
    <n v="0"/>
    <n v="7.4999999999999997E-3"/>
    <n v="0"/>
    <m/>
    <n v="0"/>
    <n v="0"/>
  </r>
  <r>
    <x v="771"/>
    <s v="04-2026"/>
    <x v="2"/>
    <e v="#N/A"/>
    <x v="2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200"/>
    <n v="200"/>
    <m/>
    <n v="0"/>
    <n v="0"/>
    <n v="0"/>
    <n v="7.4999999999999997E-3"/>
    <n v="0"/>
    <m/>
    <n v="0"/>
    <n v="0"/>
  </r>
  <r>
    <x v="771"/>
    <s v="04-2026"/>
    <x v="2"/>
    <e v="#N/A"/>
    <x v="2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50"/>
    <n v="50"/>
    <m/>
    <n v="0"/>
    <n v="0"/>
    <n v="0"/>
    <n v="7.4999999999999997E-3"/>
    <n v="0"/>
    <m/>
    <n v="0"/>
    <n v="0"/>
  </r>
  <r>
    <x v="771"/>
    <s v="03-2026"/>
    <x v="2"/>
    <e v="#N/A"/>
    <x v="2"/>
    <s v="ขายภายใน"/>
    <s v="MTFS"/>
    <s v="CPFGS"/>
    <s v="ซีพีเอฟ เทรดดิ้ง"/>
    <s v="E+Wonton NDE"/>
    <s v="Cooked Wonton"/>
    <s v="บะหมี่เกี๊ยวกุ้ง ตราซีพี 12X226 กรัม"/>
    <s v="082SJ3Q12003P07001"/>
    <s v="226g*12"/>
    <n v="12"/>
    <n v="3"/>
    <n v="8.0000000000000002E-3"/>
    <x v="1"/>
    <s v="STPP"/>
    <s v="Regular"/>
    <n v="500"/>
    <n v="500"/>
    <m/>
    <n v="0"/>
    <n v="0"/>
    <n v="0"/>
    <n v="7.4999999999999997E-3"/>
    <n v="0"/>
    <m/>
    <n v="0"/>
    <n v="0"/>
  </r>
  <r>
    <x v="771"/>
    <s v="04-2026"/>
    <x v="2"/>
    <e v="#N/A"/>
    <x v="2"/>
    <s v="ขายภายใน"/>
    <s v="MTFS"/>
    <s v="CPFGS"/>
    <s v="ซีพีเอฟ เทรดดิ้ง"/>
    <s v="E+Wonton NDE"/>
    <s v="Cooked Wonton"/>
    <s v="บะหมี่เกี๊ยวกุ้ง ตราซีพี 12X226 กรัม"/>
    <s v="082SJ3Q12003P07001"/>
    <s v="226g*12"/>
    <n v="12"/>
    <n v="3"/>
    <n v="8.0000000000000002E-3"/>
    <x v="1"/>
    <s v="STPP"/>
    <s v="Regular"/>
    <n v="500"/>
    <n v="500"/>
    <m/>
    <n v="0"/>
    <n v="0"/>
    <n v="0"/>
    <n v="7.4999999999999997E-3"/>
    <n v="0"/>
    <m/>
    <n v="0"/>
    <n v="0"/>
  </r>
  <r>
    <x v="771"/>
    <s v="03-2026"/>
    <x v="2"/>
    <e v="#N/A"/>
    <x v="2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x v="2"/>
    <s v="STPP"/>
    <s v="หมาล่า"/>
    <n v="853"/>
    <n v="453"/>
    <n v="400"/>
    <n v="0"/>
    <n v="0"/>
    <n v="0"/>
    <n v="1.83E-2"/>
    <n v="0"/>
    <m/>
    <n v="0"/>
    <n v="0"/>
  </r>
  <r>
    <x v="772"/>
    <d v="2026-04-20T00:00:00"/>
    <x v="2"/>
    <e v="#N/A"/>
    <x v="2"/>
    <s v="DRY2500392"/>
    <s v="Japan"/>
    <s v="CPFNW"/>
    <s v="CPF JAPAN"/>
    <s v="R-Minced"/>
    <s v="Raw Wonton"/>
    <s v="Raw Minced Wonton 50 pcs Warabeya"/>
    <s v="082ID5710050P0000B"/>
    <s v="500g*10inner*2C/B"/>
    <n v="20"/>
    <n v="50"/>
    <n v="4.0000000000000001E-3"/>
    <x v="4"/>
    <s v="Salt"/>
    <s v="-"/>
    <n v="224"/>
    <n v="210"/>
    <n v="20"/>
    <n v="6"/>
    <n v="0"/>
    <n v="0"/>
    <n v="6"/>
    <n v="0"/>
    <m/>
    <n v="0"/>
    <n v="0"/>
  </r>
  <r>
    <x v="772"/>
    <s v="03-2026"/>
    <x v="2"/>
    <e v="#N/A"/>
    <x v="2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2955"/>
    <n v="2955"/>
    <m/>
    <n v="0"/>
    <n v="0"/>
    <n v="0"/>
    <n v="7.4999999999999997E-3"/>
    <n v="0"/>
    <m/>
    <n v="0"/>
    <n v="0"/>
  </r>
  <r>
    <x v="772"/>
    <s v="03-2026"/>
    <x v="2"/>
    <e v="#N/A"/>
    <x v="2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1344"/>
    <n v="1344"/>
    <m/>
    <n v="0"/>
    <n v="0"/>
    <n v="0"/>
    <n v="1.7000000000000001E-2"/>
    <n v="0"/>
    <m/>
    <n v="0"/>
    <n v="0"/>
  </r>
  <r>
    <x v="773"/>
    <d v="2026-03-24T00:00:00"/>
    <x v="2"/>
    <e v="#N/A"/>
    <x v="2"/>
    <s v="DRY2600007"/>
    <s v="Malay"/>
    <s v="CPFNW"/>
    <s v="CPM Malaysia"/>
    <s v="R-Wonton egg past"/>
    <s v="Raw Wonton"/>
    <s v="Raw Wonton 12 pcs"/>
    <s v="082I95I20012P02001"/>
    <s v="154g*20inner"/>
    <n v="20"/>
    <n v="12"/>
    <n v="6.8100000000000001E-3"/>
    <x v="3"/>
    <s v="STPP"/>
    <s v="ซุปซอง 5g."/>
    <n v="350"/>
    <n v="350"/>
    <m/>
    <n v="0"/>
    <n v="0"/>
    <n v="0"/>
    <n v="2"/>
    <n v="0"/>
    <m/>
    <n v="0"/>
    <n v="0"/>
  </r>
  <r>
    <x v="773"/>
    <d v="2026-03-23T00:00:00"/>
    <x v="2"/>
    <e v="#N/A"/>
    <x v="2"/>
    <s v="DRY2600056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427"/>
    <n v="427"/>
    <m/>
    <n v="0"/>
    <n v="0"/>
    <n v="0"/>
    <n v="6"/>
    <n v="0"/>
    <m/>
    <n v="0"/>
    <n v="0"/>
  </r>
  <r>
    <x v="773"/>
    <s v="03-2026"/>
    <x v="2"/>
    <e v="#N/A"/>
    <x v="2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2474"/>
    <n v="2474"/>
    <m/>
    <n v="0"/>
    <n v="0"/>
    <n v="0"/>
    <n v="7.4999999999999997E-3"/>
    <n v="0"/>
    <m/>
    <n v="0"/>
    <n v="0"/>
  </r>
  <r>
    <x v="773"/>
    <s v="03-2026"/>
    <x v="2"/>
    <e v="#N/A"/>
    <x v="2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1435"/>
    <n v="1435"/>
    <m/>
    <n v="0"/>
    <n v="0"/>
    <n v="0"/>
    <n v="1.7000000000000001E-2"/>
    <n v="0"/>
    <m/>
    <n v="0"/>
    <n v="0"/>
  </r>
  <r>
    <x v="774"/>
    <d v="2026-03-23T00:00:00"/>
    <x v="2"/>
    <e v="#N/A"/>
    <x v="2"/>
    <s v="DRY2600056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732"/>
    <n v="732"/>
    <m/>
    <n v="0"/>
    <n v="0"/>
    <n v="0"/>
    <n v="6"/>
    <n v="0"/>
    <m/>
    <n v="0"/>
    <n v="0"/>
  </r>
  <r>
    <x v="774"/>
    <d v="2026-03-24T00:00:00"/>
    <x v="2"/>
    <e v="#N/A"/>
    <x v="2"/>
    <s v="DRY2600007"/>
    <s v="Malay"/>
    <s v="CPFNW"/>
    <s v="CPM Malaysia"/>
    <s v="Wonton+TY"/>
    <s v="Cooked Wonton"/>
    <s v="Cooked Wonton No Egg  Tomyum"/>
    <s v="082S85I24005P02001"/>
    <s v="115g*24"/>
    <n v="24"/>
    <n v="5"/>
    <n v="8.0000000000000002E-3"/>
    <x v="1"/>
    <s v="STPP"/>
    <s v="TYTB3C 30G"/>
    <n v="800"/>
    <n v="800"/>
    <m/>
    <n v="0"/>
    <n v="0"/>
    <n v="0"/>
    <n v="1"/>
    <n v="0"/>
    <m/>
    <n v="0"/>
    <n v="0"/>
  </r>
  <r>
    <x v="774"/>
    <d v="2026-03-24T00:00:00"/>
    <x v="2"/>
    <e v="#N/A"/>
    <x v="2"/>
    <s v="DRY2600007"/>
    <s v="Malay"/>
    <s v="CPFNW"/>
    <s v="CPM Malaysia"/>
    <s v="Wonton"/>
    <s v="Cooked Wonton"/>
    <s v="Cooked Wonton No Egg  "/>
    <s v="082S85I24005P01001"/>
    <s v="145g*24"/>
    <n v="24"/>
    <n v="5"/>
    <n v="8.0000000000000002E-3"/>
    <x v="1"/>
    <s v="STPP"/>
    <s v="Regular"/>
    <n v="1000"/>
    <n v="1000"/>
    <m/>
    <n v="0"/>
    <n v="0"/>
    <n v="0"/>
    <n v="7.4999999999999997E-3"/>
    <n v="0"/>
    <m/>
    <n v="0"/>
    <n v="0"/>
  </r>
  <r>
    <x v="774"/>
    <s v="03-2026"/>
    <x v="2"/>
    <e v="#N/A"/>
    <x v="2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546"/>
    <n v="1546"/>
    <m/>
    <n v="0"/>
    <n v="0"/>
    <n v="0"/>
    <n v="7.4999999999999997E-3"/>
    <n v="0"/>
    <m/>
    <n v="0"/>
    <n v="0"/>
  </r>
  <r>
    <x v="774"/>
    <d v="2026-03-26T00:00:00"/>
    <x v="2"/>
    <e v="#N/A"/>
    <x v="2"/>
    <s v="DRY2600004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774"/>
    <d v="2026-03-25T00:00:00"/>
    <x v="2"/>
    <e v="#N/A"/>
    <x v="2"/>
    <s v="DRY2600042"/>
    <s v="SG"/>
    <s v="CPFNW"/>
    <s v="CP FOODS SINGAPORE PTE. LTD"/>
    <s v="Wonton ND+V"/>
    <s v="Cooked Wonton"/>
    <s v="Cooked Wonton ND No Egg with Pumpkin _x000a_+ Vegetable  HC  3 pcs"/>
    <s v="082SJ3B24003P02001"/>
    <s v="219g*24"/>
    <n v="24"/>
    <n v="3"/>
    <n v="7.4999999999999997E-3"/>
    <x v="5"/>
    <s v="STPP"/>
    <s v="ซุปซอง 10g."/>
    <n v="250"/>
    <n v="250"/>
    <m/>
    <n v="0"/>
    <n v="0"/>
    <n v="0"/>
    <n v="1"/>
    <n v="0"/>
    <s v="Package ใหม่"/>
    <n v="0"/>
    <n v="0"/>
  </r>
  <r>
    <x v="775"/>
    <m/>
    <x v="2"/>
    <e v="#N/A"/>
    <x v="2"/>
    <m/>
    <m/>
    <m/>
    <m/>
    <m/>
    <m/>
    <m/>
    <m/>
    <m/>
    <m/>
    <m/>
    <m/>
    <x v="0"/>
    <m/>
    <m/>
    <m/>
    <m/>
    <m/>
    <m/>
    <m/>
    <n v="0"/>
    <m/>
    <m/>
    <m/>
    <m/>
    <m/>
  </r>
  <r>
    <x v="776"/>
    <d v="2026-03-23T00:00:00"/>
    <x v="2"/>
    <e v="#N/A"/>
    <x v="2"/>
    <s v="DRY2600056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742"/>
    <n v="742"/>
    <m/>
    <n v="0"/>
    <n v="0"/>
    <n v="0"/>
    <n v="6"/>
    <n v="0"/>
    <m/>
    <n v="0"/>
    <n v="0"/>
  </r>
  <r>
    <x v="776"/>
    <s v="03-2026"/>
    <x v="2"/>
    <e v="#N/A"/>
    <x v="2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957"/>
    <n v="1957"/>
    <m/>
    <n v="0"/>
    <n v="0"/>
    <n v="0"/>
    <n v="7.4999999999999997E-3"/>
    <n v="0"/>
    <m/>
    <n v="0"/>
    <n v="0"/>
  </r>
  <r>
    <x v="776"/>
    <d v="2026-04-10T00:00:00"/>
    <x v="2"/>
    <e v="#N/A"/>
    <x v="2"/>
    <s v="DRY2600063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n v="0"/>
    <n v="7.4999999999999997E-3"/>
    <n v="0"/>
    <s v="new package (ลบโลโก้ Facebook)"/>
    <n v="0"/>
    <n v="0"/>
  </r>
  <r>
    <x v="777"/>
    <d v="2026-03-23T00:00:00"/>
    <x v="2"/>
    <e v="#N/A"/>
    <x v="2"/>
    <s v="DRY2600056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155"/>
    <n v="155"/>
    <m/>
    <n v="0"/>
    <n v="0"/>
    <n v="0"/>
    <n v="6"/>
    <n v="0"/>
    <m/>
    <n v="0"/>
    <n v="0"/>
  </r>
  <r>
    <x v="777"/>
    <d v="2026-04-27T00:00:00"/>
    <x v="2"/>
    <e v="#N/A"/>
    <x v="2"/>
    <s v="DRY2600058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40"/>
    <n v="40"/>
    <m/>
    <n v="0"/>
    <n v="0"/>
    <n v="0"/>
    <n v="6"/>
    <n v="0"/>
    <m/>
    <n v="0"/>
    <n v="0"/>
  </r>
  <r>
    <x v="777"/>
    <d v="2026-03-24T00:00:00"/>
    <x v="2"/>
    <e v="#N/A"/>
    <x v="2"/>
    <s v="DRY2600023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1200"/>
    <n v="1052"/>
    <n v="148"/>
    <n v="0"/>
    <n v="0"/>
    <n v="0"/>
    <n v="1"/>
    <n v="0"/>
    <m/>
    <n v="0"/>
    <n v="0"/>
  </r>
  <r>
    <x v="777"/>
    <s v="03-2026"/>
    <x v="2"/>
    <e v="#N/A"/>
    <x v="2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807"/>
    <n v="1807"/>
    <m/>
    <n v="0"/>
    <n v="0"/>
    <n v="0"/>
    <n v="7.4999999999999997E-3"/>
    <n v="0"/>
    <m/>
    <n v="0"/>
    <n v="0"/>
  </r>
  <r>
    <x v="777"/>
    <s v="04-2026"/>
    <x v="2"/>
    <e v="#N/A"/>
    <x v="2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05"/>
    <n v="105"/>
    <m/>
    <n v="0"/>
    <n v="0"/>
    <n v="0"/>
    <n v="7.4999999999999997E-3"/>
    <n v="0"/>
    <m/>
    <n v="0"/>
    <n v="0"/>
  </r>
  <r>
    <x v="777"/>
    <s v="04-2026"/>
    <x v="2"/>
    <e v="#N/A"/>
    <x v="2"/>
    <s v="ขายภายใน"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1700"/>
    <n v="1700"/>
    <m/>
    <n v="0"/>
    <n v="0"/>
    <n v="0"/>
    <n v="1"/>
    <n v="0"/>
    <m/>
    <n v="0"/>
    <n v="0"/>
  </r>
  <r>
    <x v="777"/>
    <s v="03-2026"/>
    <x v="2"/>
    <e v="#N/A"/>
    <x v="2"/>
    <s v="ขายภายใน"/>
    <s v="MTFS"/>
    <s v="CPFGS"/>
    <s v="ซีพีเอฟ เทรดดิ้ง"/>
    <s v="E+Wonton TY"/>
    <s v="Cooked Wonton"/>
    <s v="เกี๊ยวกุ้งจักรพรรดิซุปต้มยำ LV CP 143g"/>
    <s v="082S83Q12005P09001"/>
    <s v="143g*12"/>
    <n v="12"/>
    <n v="5"/>
    <n v="8.0000000000000002E-3"/>
    <x v="2"/>
    <s v="STPP"/>
    <s v="TYNSF"/>
    <n v="46"/>
    <n v="46"/>
    <m/>
    <n v="0"/>
    <n v="0"/>
    <n v="0"/>
    <n v="8.9999999999999993E-3"/>
    <n v="0"/>
    <m/>
    <n v="0"/>
    <n v="0"/>
  </r>
  <r>
    <x v="777"/>
    <s v="04-2026"/>
    <x v="2"/>
    <e v="#N/A"/>
    <x v="2"/>
    <s v="ขายภายใน"/>
    <s v="MTFS"/>
    <s v="CPFGS"/>
    <s v="ซีพีเอฟ เทรดดิ้ง"/>
    <s v="E+Wonton TY"/>
    <s v="Cooked Wonton"/>
    <s v="เกี๊ยวกุ้งจักรพรรดิซุปต้มยำ LV CP 143g"/>
    <s v="082S83Q12005P09001"/>
    <s v="143g*12"/>
    <n v="12"/>
    <n v="5"/>
    <n v="8.0000000000000002E-3"/>
    <x v="2"/>
    <s v="STPP"/>
    <s v="TYNSF"/>
    <n v="600"/>
    <n v="600"/>
    <m/>
    <n v="0"/>
    <n v="0"/>
    <n v="0"/>
    <n v="8.9999999999999993E-3"/>
    <n v="0"/>
    <m/>
    <n v="0"/>
    <n v="0"/>
  </r>
  <r>
    <x v="777"/>
    <s v="04-2026"/>
    <x v="2"/>
    <e v="#N/A"/>
    <x v="2"/>
    <s v="ขายภายใน"/>
    <s v="MTFS"/>
    <s v="CPFGS"/>
    <s v="ซีพีเอฟ เทรดดิ้ง"/>
    <s v="E+Wonton TY"/>
    <s v="Cooked Wonton"/>
    <s v="เกี๊ยวกุ้งจักรพรรดิซุปต้มยำ LV CP 143g"/>
    <s v="082S83Q12005P09001"/>
    <s v="143g*12"/>
    <n v="12"/>
    <n v="5"/>
    <n v="8.0000000000000002E-3"/>
    <x v="2"/>
    <s v="STPP"/>
    <s v="TYNSF"/>
    <n v="400"/>
    <n v="400"/>
    <m/>
    <n v="0"/>
    <n v="0"/>
    <n v="0"/>
    <n v="8.9999999999999993E-3"/>
    <n v="0"/>
    <m/>
    <n v="0"/>
    <n v="0"/>
  </r>
  <r>
    <x v="778"/>
    <d v="2026-03-24T00:00:00"/>
    <x v="2"/>
    <e v="#N/A"/>
    <x v="2"/>
    <s v="DRY2600023"/>
    <s v="HK"/>
    <s v="CPFNW"/>
    <s v="CPM Hongkong"/>
    <s v="R-Minced egg past"/>
    <s v="Raw Wonton"/>
    <s v="Raw Minced Wonton 8 pcs"/>
    <s v="082ID3G18008P00001"/>
    <s v="90g*18in"/>
    <n v="18"/>
    <n v="8"/>
    <n v="6.0000000000000001E-3"/>
    <x v="4"/>
    <s v="STPP"/>
    <s v="ซุปซอง 5g."/>
    <n v="700"/>
    <n v="700"/>
    <m/>
    <n v="0"/>
    <n v="0"/>
    <n v="0"/>
    <n v="2"/>
    <n v="0"/>
    <s v="new package"/>
    <n v="0"/>
    <n v="0"/>
  </r>
  <r>
    <x v="778"/>
    <d v="2026-03-25T00:00:00"/>
    <x v="2"/>
    <e v="#N/A"/>
    <x v="2"/>
    <s v="DRY2600041"/>
    <s v="SG"/>
    <s v="CPFNW"/>
    <s v="CP FOODS SINGAPORE PTE. LTD"/>
    <s v="R-Minced egg past"/>
    <s v="Raw Wonton"/>
    <s v="Raw Minced Wonton 8 pcs"/>
    <s v="082ID3B18008P00001"/>
    <s v="90g*18in"/>
    <n v="18"/>
    <n v="8"/>
    <n v="6.0000000000000001E-3"/>
    <x v="4"/>
    <s v="STPP"/>
    <s v="ซุปซอง 5g."/>
    <n v="1000"/>
    <n v="1000"/>
    <m/>
    <n v="0"/>
    <n v="0"/>
    <n v="0"/>
    <n v="2"/>
    <n v="0"/>
    <m/>
    <n v="0"/>
    <n v="0"/>
  </r>
  <r>
    <x v="778"/>
    <d v="2026-03-25T00:00:00"/>
    <x v="2"/>
    <e v="#N/A"/>
    <x v="2"/>
    <s v="DRY2600041"/>
    <s v="SG"/>
    <s v="CPFNW"/>
    <s v="CP FOODS SINGAPORE PTE. LTD"/>
    <s v="R-Wonton egg past"/>
    <s v="Raw Wonton"/>
    <s v="Raw Wonton 8 pcs"/>
    <s v="082I93B20008P00001"/>
    <s v="194g*20in"/>
    <n v="20"/>
    <n v="8"/>
    <n v="1.4999999999999999E-2"/>
    <x v="6"/>
    <s v="STPP"/>
    <s v="ซุปซอง 5g."/>
    <n v="250"/>
    <n v="250"/>
    <m/>
    <n v="0"/>
    <n v="0"/>
    <n v="0"/>
    <n v="2"/>
    <n v="0"/>
    <s v="ห่อแบบดิบ"/>
    <n v="0"/>
    <n v="0"/>
  </r>
  <r>
    <x v="778"/>
    <s v="03-2026"/>
    <x v="2"/>
    <e v="#N/A"/>
    <x v="2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6"/>
    <n v="6"/>
    <m/>
    <n v="0"/>
    <n v="0"/>
    <n v="0"/>
    <n v="1.7000000000000001E-2"/>
    <n v="0"/>
    <m/>
    <n v="0"/>
    <n v="0"/>
  </r>
  <r>
    <x v="778"/>
    <s v="04-2026"/>
    <x v="2"/>
    <e v="#N/A"/>
    <x v="2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607"/>
    <n v="607"/>
    <m/>
    <n v="0"/>
    <n v="0"/>
    <n v="0"/>
    <n v="1.7000000000000001E-2"/>
    <n v="0"/>
    <m/>
    <n v="0"/>
    <n v="0"/>
  </r>
  <r>
    <x v="778"/>
    <s v="04-2026"/>
    <x v="2"/>
    <e v="#N/A"/>
    <x v="2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3513"/>
    <n v="3513"/>
    <m/>
    <n v="0"/>
    <n v="0"/>
    <n v="0"/>
    <n v="7.4999999999999997E-3"/>
    <n v="0"/>
    <m/>
    <n v="0"/>
    <n v="0"/>
  </r>
  <r>
    <x v="779"/>
    <d v="2026-03-25T00:00:00"/>
    <x v="2"/>
    <e v="#N/A"/>
    <x v="2"/>
    <s v="DRY2600041"/>
    <s v="SG"/>
    <s v="CPFNW"/>
    <s v="CP FOODS SINGAPORE PTE. LTD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1000"/>
    <n v="908"/>
    <n v="96"/>
    <n v="4"/>
    <n v="0"/>
    <n v="0"/>
    <n v="2"/>
    <n v="0"/>
    <s v="ห่อแบบสุก"/>
    <n v="0"/>
    <n v="0"/>
  </r>
  <r>
    <x v="779"/>
    <d v="2026-04-20T00:00:00"/>
    <x v="2"/>
    <e v="#N/A"/>
    <x v="2"/>
    <s v="DRY2600058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95"/>
    <n v="95"/>
    <m/>
    <n v="0"/>
    <n v="0"/>
    <n v="0"/>
    <n v="6"/>
    <n v="0"/>
    <m/>
    <n v="0"/>
    <n v="0"/>
  </r>
  <r>
    <x v="779"/>
    <s v="04-2026"/>
    <x v="2"/>
    <e v="#N/A"/>
    <x v="2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4819"/>
    <n v="4819"/>
    <m/>
    <n v="0"/>
    <n v="0"/>
    <n v="0"/>
    <n v="7.4999999999999997E-3"/>
    <n v="0"/>
    <m/>
    <n v="0"/>
    <n v="0"/>
  </r>
  <r>
    <x v="780"/>
    <d v="2026-04-20T00:00:00"/>
    <x v="2"/>
    <e v="#N/A"/>
    <x v="2"/>
    <s v="DRY2600058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729"/>
    <n v="729"/>
    <m/>
    <n v="0"/>
    <n v="0"/>
    <n v="0"/>
    <n v="6"/>
    <n v="0"/>
    <m/>
    <n v="0"/>
    <n v="0"/>
  </r>
  <r>
    <x v="780"/>
    <d v="2026-03-25T00:00:00"/>
    <x v="2"/>
    <e v="#N/A"/>
    <x v="2"/>
    <s v="DRY2600042"/>
    <s v="SG"/>
    <s v="CPFNW"/>
    <s v="CP FOODS SINGAPORE PTE. LTD"/>
    <s v="Minced ND+หมาล่า"/>
    <s v="Cooked Wonton"/>
    <s v="Cooked Minced  ND No Egg หมาล่า"/>
    <s v="082SR3B24003P00001"/>
    <s v="300g*24"/>
    <n v="24"/>
    <n v="3"/>
    <n v="6.0000000000000001E-3"/>
    <x v="4"/>
    <s v="Salt"/>
    <s v="หมาล่า"/>
    <n v="210"/>
    <n v="210"/>
    <m/>
    <n v="0"/>
    <n v="0"/>
    <n v="0"/>
    <n v="2.4E-2"/>
    <n v="0"/>
    <m/>
    <n v="0"/>
    <n v="0"/>
  </r>
  <r>
    <x v="780"/>
    <d v="2026-03-25T00:00:00"/>
    <x v="2"/>
    <e v="#N/A"/>
    <x v="2"/>
    <s v="DRY2600042"/>
    <s v="SG"/>
    <s v="CPFNW"/>
    <s v="CP FOODS SINGAPORE PTE. LTD"/>
    <s v="Wonton"/>
    <s v="Cooked Wonton"/>
    <s v="Cooked Wonton No Egg"/>
    <s v="082S83B24005P07001"/>
    <s v="145g*24"/>
    <n v="24"/>
    <n v="5"/>
    <n v="8.0000000000000002E-3"/>
    <x v="1"/>
    <s v="STPP"/>
    <s v="Regular"/>
    <n v="500"/>
    <n v="500"/>
    <m/>
    <n v="0"/>
    <n v="0"/>
    <n v="0"/>
    <n v="1"/>
    <n v="0"/>
    <s v="Package ใหม่"/>
    <n v="0"/>
    <n v="0"/>
  </r>
  <r>
    <x v="780"/>
    <d v="2026-03-25T00:00:00"/>
    <x v="2"/>
    <e v="#N/A"/>
    <x v="2"/>
    <s v="DRY2600042"/>
    <s v="SG"/>
    <s v="CPFNW"/>
    <s v="CP FOODS SINGAPORE PTE. LTD"/>
    <s v="Wonton +TY"/>
    <s v="Cooked Wonton"/>
    <s v="Cooked Wonton No Egg"/>
    <s v="082S83B24005P06001"/>
    <s v="115g*24"/>
    <n v="24"/>
    <n v="5"/>
    <n v="8.0000000000000002E-3"/>
    <x v="1"/>
    <s v="STPP"/>
    <s v="TYTB3C 30G"/>
    <n v="260"/>
    <n v="260"/>
    <m/>
    <n v="0"/>
    <n v="0"/>
    <n v="0"/>
    <n v="1"/>
    <n v="0"/>
    <s v="Package เก่า แยกสีเชือก"/>
    <n v="0"/>
    <n v="0"/>
  </r>
  <r>
    <x v="780"/>
    <d v="2026-03-25T00:00:00"/>
    <x v="2"/>
    <e v="#N/A"/>
    <x v="2"/>
    <s v="DRY2600042"/>
    <s v="SG"/>
    <s v="CPFNW"/>
    <s v="CP FOODS SINGAPORE PTE. LTD"/>
    <s v="Wonton +TY"/>
    <s v="Cooked Wonton"/>
    <s v="Cooked Wonton No Egg"/>
    <s v="082S83B24005P06001"/>
    <s v="115g*24"/>
    <n v="24"/>
    <n v="5"/>
    <n v="8.0000000000000002E-3"/>
    <x v="1"/>
    <s v="STPP"/>
    <s v="TYTB3C 30G"/>
    <n v="240"/>
    <n v="240"/>
    <m/>
    <n v="0"/>
    <n v="0"/>
    <n v="0"/>
    <n v="1"/>
    <n v="0"/>
    <s v="Package ใหม่"/>
    <n v="0"/>
    <n v="0"/>
  </r>
  <r>
    <x v="780"/>
    <s v="04-2026"/>
    <x v="2"/>
    <e v="#N/A"/>
    <x v="2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3040"/>
    <n v="3040"/>
    <m/>
    <n v="0"/>
    <n v="0"/>
    <n v="0"/>
    <n v="7.4999999999999997E-3"/>
    <n v="0"/>
    <m/>
    <n v="0"/>
    <n v="0"/>
  </r>
  <r>
    <x v="781"/>
    <d v="2026-04-20T00:00:00"/>
    <x v="2"/>
    <e v="#N/A"/>
    <x v="2"/>
    <s v="DRY2600058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742"/>
    <n v="742"/>
    <m/>
    <n v="0"/>
    <n v="0"/>
    <n v="0"/>
    <n v="6"/>
    <n v="0"/>
    <m/>
    <n v="0"/>
    <n v="0"/>
  </r>
  <r>
    <x v="781"/>
    <s v="04-2026"/>
    <x v="2"/>
    <e v="#N/A"/>
    <x v="2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2794"/>
    <n v="2794"/>
    <m/>
    <n v="0"/>
    <n v="0"/>
    <n v="0"/>
    <n v="7.4999999999999997E-3"/>
    <n v="0"/>
    <m/>
    <n v="0"/>
    <n v="0"/>
  </r>
  <r>
    <x v="781"/>
    <d v="2026-04-02T00:00:00"/>
    <x v="2"/>
    <e v="#N/A"/>
    <x v="2"/>
    <s v="DRY2600008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781"/>
    <d v="2026-03-26T00:00:00"/>
    <x v="2"/>
    <e v="#N/A"/>
    <x v="2"/>
    <s v="DRY2600072"/>
    <s v="New Zealand"/>
    <s v="CPFNW"/>
    <s v="Lim Brothers Import&amp;Export Co.,Ltd."/>
    <s v="Minced ND+V+TK"/>
    <s v="Cooked Wonton"/>
    <s v="Cooked Minced  ND No Egg with Pumpkin_x000a_+ Yu Choy Tomkha"/>
    <s v="082SRN708003P01001"/>
    <s v="302g*8"/>
    <n v="8"/>
    <n v="3"/>
    <n v="6.0000000000000001E-3"/>
    <x v="4"/>
    <s v="Salt"/>
    <s v="Tomkha+CM"/>
    <n v="724"/>
    <m/>
    <n v="743.375"/>
    <n v="19.375"/>
    <n v="0"/>
    <n v="0"/>
    <n v="5.8823E-2"/>
    <n v="0"/>
    <m/>
    <n v="0"/>
    <n v="0"/>
  </r>
  <r>
    <x v="782"/>
    <m/>
    <x v="2"/>
    <e v="#N/A"/>
    <x v="2"/>
    <m/>
    <m/>
    <m/>
    <m/>
    <m/>
    <m/>
    <m/>
    <m/>
    <m/>
    <m/>
    <m/>
    <m/>
    <x v="0"/>
    <m/>
    <m/>
    <m/>
    <m/>
    <m/>
    <m/>
    <m/>
    <n v="0"/>
    <m/>
    <m/>
    <m/>
    <m/>
    <m/>
  </r>
  <r>
    <x v="783"/>
    <d v="2026-04-08T00:00:00"/>
    <x v="2"/>
    <e v="#N/A"/>
    <x v="2"/>
    <s v="DRY2600067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00"/>
    <n v="100"/>
    <m/>
    <n v="0"/>
    <n v="0"/>
    <n v="0"/>
    <n v="6"/>
    <n v="0"/>
    <m/>
    <n v="0"/>
    <n v="0"/>
  </r>
  <r>
    <x v="783"/>
    <d v="2026-04-08T00:00:00"/>
    <x v="2"/>
    <e v="#N/A"/>
    <x v="2"/>
    <s v="DRY2600068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00"/>
    <n v="100"/>
    <m/>
    <n v="0"/>
    <n v="0"/>
    <n v="0"/>
    <n v="6"/>
    <n v="0"/>
    <m/>
    <n v="0"/>
    <n v="0"/>
  </r>
  <r>
    <x v="783"/>
    <d v="2026-04-20T00:00:00"/>
    <x v="2"/>
    <e v="#N/A"/>
    <x v="2"/>
    <s v="DRY2600058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450"/>
    <n v="450"/>
    <m/>
    <n v="0"/>
    <n v="0"/>
    <n v="0"/>
    <n v="6"/>
    <n v="0"/>
    <m/>
    <n v="0"/>
    <n v="0"/>
  </r>
  <r>
    <x v="783"/>
    <s v="04-2026"/>
    <x v="2"/>
    <e v="#N/A"/>
    <x v="2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858"/>
    <n v="858"/>
    <m/>
    <n v="0"/>
    <n v="0"/>
    <n v="0"/>
    <n v="7.4999999999999997E-3"/>
    <n v="0"/>
    <m/>
    <n v="0"/>
    <n v="0"/>
  </r>
  <r>
    <x v="783"/>
    <d v="2026-04-08T00:00:00"/>
    <x v="2"/>
    <e v="#N/A"/>
    <x v="2"/>
    <s v="DRY2600071"/>
    <s v="Malay"/>
    <s v="CPFNW"/>
    <s v="CPM Malaysia"/>
    <s v="Wonton"/>
    <s v="Cooked Wonton"/>
    <s v="Cooked Wonton No Egg  "/>
    <s v="082S85I24005P01001"/>
    <s v="145g*24"/>
    <n v="24"/>
    <n v="5"/>
    <n v="8.0000000000000002E-3"/>
    <x v="1"/>
    <s v="STPP"/>
    <s v="Regular"/>
    <n v="900"/>
    <n v="900"/>
    <n v="4.625"/>
    <n v="4.625"/>
    <n v="0"/>
    <n v="0"/>
    <n v="7.4999999999999997E-3"/>
    <n v="0"/>
    <s v="new package"/>
    <n v="0"/>
    <n v="0"/>
  </r>
  <r>
    <x v="783"/>
    <d v="2026-04-08T00:00:00"/>
    <x v="2"/>
    <e v="#N/A"/>
    <x v="2"/>
    <s v="DRY2600071"/>
    <s v="Malay"/>
    <s v="CPFNW"/>
    <s v="CPM Malaysia"/>
    <s v="Wonton+TY"/>
    <s v="Cooked Wonton"/>
    <s v="Cooked Wonton No Egg  Tomyum"/>
    <s v="082S85I24005P02001"/>
    <s v="115g*24"/>
    <n v="24"/>
    <n v="5"/>
    <n v="8.0000000000000002E-3"/>
    <x v="1"/>
    <s v="STPP"/>
    <s v="TYTB3C 30G"/>
    <n v="800"/>
    <n v="800"/>
    <n v="1.9583333333333333"/>
    <n v="1.9583333333333712"/>
    <n v="0"/>
    <n v="0"/>
    <n v="1"/>
    <n v="0"/>
    <s v="new package"/>
    <n v="0"/>
    <n v="0"/>
  </r>
  <r>
    <x v="783"/>
    <d v="2026-04-07T00:00:00"/>
    <x v="2"/>
    <e v="#N/A"/>
    <x v="2"/>
    <s v="DRY2600005"/>
    <s v="UK"/>
    <s v="CPFNW"/>
    <s v="Westbridge Foods Limited (One UK)"/>
    <s v="Wonton+TY"/>
    <s v="Cooked Wonton"/>
    <s v="Cooked Wonton Soup Tomyum"/>
    <s v="082S8KW08005P00001"/>
    <s v="147g*8"/>
    <n v="8"/>
    <n v="5"/>
    <n v="7.4999999999999997E-3"/>
    <x v="1"/>
    <s v="Salt"/>
    <s v="TYEXSG+CO"/>
    <n v="5148"/>
    <m/>
    <n v="5148"/>
    <n v="0"/>
    <n v="0"/>
    <n v="0"/>
    <n v="7.4999999999999997E-3"/>
    <n v="0"/>
    <s v="NEWPACKAGE/ถ้าว,ฝา สีขาว"/>
    <n v="0"/>
    <n v="0"/>
  </r>
  <r>
    <x v="784"/>
    <d v="2026-04-08T00:00:00"/>
    <x v="2"/>
    <e v="#N/A"/>
    <x v="2"/>
    <s v="DRY2600071"/>
    <s v="Malay"/>
    <s v="CPFNW"/>
    <s v="CPM Malaysia"/>
    <s v="R-Wonton egg past"/>
    <s v="Raw Wonton"/>
    <s v="Raw Wonton 12 pcs"/>
    <s v="082I95I20012P02001"/>
    <s v="154g*20inner"/>
    <n v="20"/>
    <n v="12"/>
    <n v="6.8100000000000001E-3"/>
    <x v="3"/>
    <s v="STPP"/>
    <s v="ซุปซอง 5g."/>
    <n v="350"/>
    <n v="350"/>
    <m/>
    <n v="0"/>
    <n v="0"/>
    <n v="0"/>
    <n v="2"/>
    <n v="0"/>
    <s v="new package"/>
    <n v="0"/>
    <n v="0"/>
  </r>
  <r>
    <x v="784"/>
    <d v="2026-04-08T00:00:00"/>
    <x v="2"/>
    <e v="#N/A"/>
    <x v="2"/>
    <s v="DRY2600071"/>
    <s v="Malay"/>
    <s v="CPFNW"/>
    <s v="CPM Malaysia"/>
    <s v="R-Wonton egg past"/>
    <s v="Raw Wonton"/>
    <s v="Raw Wonton 8 pcs (Tomyam 30g.)"/>
    <s v="082I95I18008P00001"/>
    <s v="126g*18in"/>
    <n v="18"/>
    <n v="8"/>
    <n v="6.8100000000000001E-3"/>
    <x v="3"/>
    <s v="STPP"/>
    <s v="TYTB3C 30G"/>
    <n v="200"/>
    <n v="200"/>
    <m/>
    <n v="0"/>
    <n v="0"/>
    <n v="0"/>
    <n v="1"/>
    <n v="0"/>
    <s v="new package"/>
    <n v="0"/>
    <n v="0"/>
  </r>
  <r>
    <x v="784"/>
    <d v="2026-04-01T00:00:00"/>
    <x v="2"/>
    <e v="#N/A"/>
    <x v="2"/>
    <s v="DRY2600057"/>
    <s v="Korea"/>
    <s v="CPFNW"/>
    <s v="Consumer Package Commerce"/>
    <s v="R-Wonton egg past"/>
    <s v="Raw Wonton"/>
    <s v="Raw Wonton 60 pcs"/>
    <s v="082I93U10060P00001"/>
    <s v="750g*10inner"/>
    <n v="10"/>
    <n v="60"/>
    <n v="6.8100000000000001E-3"/>
    <x v="3"/>
    <s v="STPP"/>
    <s v="ซุปซอง 5g."/>
    <n v="357"/>
    <n v="357"/>
    <m/>
    <n v="0"/>
    <n v="0"/>
    <n v="0"/>
    <n v="6"/>
    <n v="0"/>
    <m/>
    <n v="0"/>
    <n v="0"/>
  </r>
  <r>
    <x v="784"/>
    <s v="04-2026"/>
    <x v="2"/>
    <e v="#N/A"/>
    <x v="2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1835"/>
    <n v="1835"/>
    <m/>
    <n v="0"/>
    <n v="0"/>
    <n v="0"/>
    <n v="1.7000000000000001E-2"/>
    <n v="0"/>
    <m/>
    <n v="0"/>
    <n v="0"/>
  </r>
  <r>
    <x v="784"/>
    <s v="04-2026"/>
    <x v="2"/>
    <e v="#N/A"/>
    <x v="2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0"/>
    <s v="145g*12"/>
    <n v="12"/>
    <n v="5"/>
    <n v="8.0000000000000002E-3"/>
    <x v="1"/>
    <s v="STPP"/>
    <s v="Regular"/>
    <n v="12"/>
    <n v="12"/>
    <m/>
    <n v="0"/>
    <n v="0"/>
    <n v="0"/>
    <n v="7.4999999999999997E-3"/>
    <n v="0"/>
    <m/>
    <n v="0"/>
    <n v="0"/>
  </r>
  <r>
    <x v="784"/>
    <s v="04-2026"/>
    <x v="2"/>
    <e v="#N/A"/>
    <x v="2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1"/>
    <s v="145g*12"/>
    <n v="12"/>
    <n v="5"/>
    <n v="8.0000000000000002E-3"/>
    <x v="1"/>
    <s v="STPP"/>
    <s v="Regular"/>
    <n v="3750"/>
    <n v="3750"/>
    <m/>
    <n v="0"/>
    <n v="0"/>
    <n v="0"/>
    <n v="7.4999999999999997E-3"/>
    <n v="0"/>
    <m/>
    <n v="0"/>
    <n v="0"/>
  </r>
  <r>
    <x v="784"/>
    <s v="04-2026"/>
    <x v="2"/>
    <e v="#N/A"/>
    <x v="2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1284"/>
    <n v="1284"/>
    <m/>
    <n v="0"/>
    <n v="0"/>
    <n v="0"/>
    <n v="7.4999999999999997E-3"/>
    <n v="0"/>
    <m/>
    <n v="0"/>
    <n v="0"/>
  </r>
  <r>
    <x v="785"/>
    <d v="2026-04-01T00:00:00"/>
    <x v="2"/>
    <e v="#N/A"/>
    <x v="2"/>
    <s v="DRY2600057"/>
    <s v="Korea"/>
    <s v="CPFNW"/>
    <s v="Consumer Package Commerce"/>
    <s v="R-Wonton egg past"/>
    <s v="Raw Wonton"/>
    <s v="Raw Wonton 60 pcs"/>
    <s v="082I93U10060P00001"/>
    <s v="750g*10inner"/>
    <n v="10"/>
    <n v="60"/>
    <n v="6.8100000000000001E-3"/>
    <x v="3"/>
    <s v="STPP"/>
    <s v="ซุปซอง 5g."/>
    <n v="618"/>
    <n v="618"/>
    <m/>
    <n v="0"/>
    <n v="0"/>
    <n v="0"/>
    <n v="6"/>
    <n v="0"/>
    <m/>
    <n v="0"/>
    <n v="0"/>
  </r>
  <r>
    <x v="785"/>
    <s v="03-2026"/>
    <x v="2"/>
    <e v="#N/A"/>
    <x v="2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x v="2"/>
    <s v="STPP"/>
    <s v="หมาล่า"/>
    <n v="885"/>
    <n v="885"/>
    <m/>
    <n v="0"/>
    <n v="0"/>
    <n v="0"/>
    <n v="1.83E-2"/>
    <n v="0"/>
    <m/>
    <n v="0"/>
    <n v="0"/>
  </r>
  <r>
    <x v="785"/>
    <s v="04-2026"/>
    <x v="2"/>
    <e v="#N/A"/>
    <x v="2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x v="2"/>
    <s v="STPP"/>
    <s v="หมาล่า"/>
    <n v="3314"/>
    <n v="3314"/>
    <m/>
    <n v="0"/>
    <n v="0"/>
    <n v="0"/>
    <n v="1.83E-2"/>
    <n v="0"/>
    <m/>
    <n v="0"/>
    <n v="0"/>
  </r>
  <r>
    <x v="786"/>
    <d v="2026-04-01T00:00:00"/>
    <x v="2"/>
    <e v="#N/A"/>
    <x v="2"/>
    <s v="DRY2600057"/>
    <s v="Korea"/>
    <s v="CPFNW"/>
    <s v="Consumer Package Commerce"/>
    <s v="R-Wonton egg past"/>
    <s v="Raw Wonton"/>
    <s v="Raw Wonton 60 pcs"/>
    <s v="082I93U10060P00001"/>
    <s v="750g*10inner"/>
    <n v="10"/>
    <n v="60"/>
    <n v="6.8100000000000001E-3"/>
    <x v="3"/>
    <s v="STPP"/>
    <s v="ซุปซอง 5g."/>
    <n v="385"/>
    <n v="303"/>
    <n v="82"/>
    <n v="0"/>
    <n v="0"/>
    <n v="0"/>
    <n v="6"/>
    <n v="0"/>
    <m/>
    <n v="0"/>
    <n v="0"/>
  </r>
  <r>
    <x v="786"/>
    <d v="2026-04-07T00:00:00"/>
    <x v="2"/>
    <e v="#N/A"/>
    <x v="2"/>
    <s v="DRY2600077"/>
    <s v="Korea"/>
    <s v="CPFNW"/>
    <s v="Consumer Package Commerce"/>
    <s v="R-Wonton egg past"/>
    <s v="Raw Wonton"/>
    <s v="Raw Wonton 60 pcs"/>
    <s v="082I93U10060P00001"/>
    <s v="750g*10inner"/>
    <n v="10"/>
    <n v="60"/>
    <n v="6.8100000000000001E-3"/>
    <x v="3"/>
    <s v="STPP"/>
    <s v="ซุปซอง 5g."/>
    <n v="204"/>
    <m/>
    <n v="204"/>
    <n v="0"/>
    <n v="0"/>
    <n v="0"/>
    <n v="6"/>
    <n v="0"/>
    <m/>
    <n v="0"/>
    <n v="0"/>
  </r>
  <r>
    <x v="786"/>
    <s v="04-2026"/>
    <x v="2"/>
    <e v="#N/A"/>
    <x v="2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x v="2"/>
    <s v="STPP"/>
    <s v="หมาล่า"/>
    <n v="4097"/>
    <n v="4097"/>
    <m/>
    <n v="0"/>
    <n v="0"/>
    <n v="0"/>
    <n v="1.83E-2"/>
    <n v="0"/>
    <m/>
    <n v="0"/>
    <n v="0"/>
  </r>
  <r>
    <x v="787"/>
    <d v="2026-04-07T00:00:00"/>
    <x v="2"/>
    <e v="#N/A"/>
    <x v="2"/>
    <s v="DRY2600077"/>
    <s v="Korea"/>
    <s v="CPFNW"/>
    <s v="Consumer Package Commerce"/>
    <s v="R-Wonton egg past"/>
    <s v="Raw Wonton"/>
    <s v="Raw Wonton 60 pcs"/>
    <s v="082I93U10060P00001"/>
    <s v="750g*10inner"/>
    <n v="10"/>
    <n v="60"/>
    <n v="6.8100000000000001E-3"/>
    <x v="3"/>
    <s v="STPP"/>
    <s v="ซุปซอง 5g."/>
    <n v="622"/>
    <n v="622"/>
    <m/>
    <n v="0"/>
    <n v="0"/>
    <n v="0"/>
    <n v="6"/>
    <n v="0"/>
    <m/>
    <n v="0"/>
    <n v="0"/>
  </r>
  <r>
    <x v="787"/>
    <s v="03-2026"/>
    <x v="2"/>
    <e v="#N/A"/>
    <x v="2"/>
    <s v="ขายภายใน"/>
    <s v="MTFS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MT"/>
    <s v="082SG3Q12003P00001"/>
    <s v="250g*12"/>
    <n v="12"/>
    <n v="3"/>
    <n v="6.1999999999999998E-3"/>
    <x v="2"/>
    <s v="STPP"/>
    <s v="หมาล่า"/>
    <n v="1500"/>
    <n v="1500"/>
    <m/>
    <n v="0"/>
    <n v="0"/>
    <n v="0"/>
    <n v="1.83E-2"/>
    <n v="0"/>
    <m/>
    <n v="0"/>
    <n v="0"/>
  </r>
  <r>
    <x v="787"/>
    <s v="04-2026"/>
    <x v="2"/>
    <e v="#N/A"/>
    <x v="2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x v="2"/>
    <s v="STPP"/>
    <s v="หมาล่า"/>
    <n v="3423"/>
    <n v="3423"/>
    <m/>
    <n v="0"/>
    <n v="0"/>
    <n v="0"/>
    <n v="1.83E-2"/>
    <n v="0"/>
    <s v="STOCK  69,900"/>
    <n v="0"/>
    <n v="0"/>
  </r>
  <r>
    <x v="788"/>
    <d v="2026-04-07T00:00:00"/>
    <x v="2"/>
    <e v="#N/A"/>
    <x v="2"/>
    <s v="DRY2600077"/>
    <s v="Korea"/>
    <s v="CPFNW"/>
    <s v="Consumer Package Commerce"/>
    <s v="R-Wonton egg past"/>
    <s v="Raw Wonton"/>
    <s v="Raw Wonton 60 pcs"/>
    <s v="082I93U10060P00001"/>
    <s v="750g*10inner"/>
    <n v="10"/>
    <n v="60"/>
    <n v="6.8100000000000001E-3"/>
    <x v="3"/>
    <s v="STPP"/>
    <s v="ซุปซอง 5g."/>
    <n v="534"/>
    <n v="534"/>
    <m/>
    <n v="0"/>
    <n v="0"/>
    <n v="0"/>
    <n v="6"/>
    <n v="0"/>
    <m/>
    <n v="0"/>
    <n v="0"/>
  </r>
  <r>
    <x v="788"/>
    <d v="2026-04-07T00:00:00"/>
    <x v="2"/>
    <e v="#N/A"/>
    <x v="2"/>
    <s v="DRY2600048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12"/>
    <n v="80"/>
    <n v="0"/>
    <n v="0"/>
    <n v="0"/>
    <n v="7.4999999999999997E-3"/>
    <n v="0"/>
    <m/>
    <n v="0"/>
    <n v="0"/>
  </r>
  <r>
    <x v="788"/>
    <d v="2026-04-07T00:00:00"/>
    <x v="2"/>
    <e v="#N/A"/>
    <x v="2"/>
    <s v="DRY2600049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12"/>
    <n v="80"/>
    <n v="0"/>
    <n v="0"/>
    <n v="0"/>
    <n v="7.4999999999999997E-3"/>
    <n v="0"/>
    <m/>
    <n v="0"/>
    <n v="0"/>
  </r>
  <r>
    <x v="788"/>
    <d v="2026-04-07T00:00:00"/>
    <x v="2"/>
    <e v="#N/A"/>
    <x v="2"/>
    <s v="DRY2600050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12"/>
    <n v="80"/>
    <n v="0"/>
    <n v="0"/>
    <n v="0"/>
    <n v="7.4999999999999997E-3"/>
    <n v="0"/>
    <m/>
    <n v="0"/>
    <n v="0"/>
  </r>
  <r>
    <x v="788"/>
    <d v="2026-04-08T00:00:00"/>
    <x v="2"/>
    <e v="#N/A"/>
    <x v="2"/>
    <s v="DRY2600067"/>
    <s v="USA"/>
    <s v="CPFNW"/>
    <s v="Bellisio Foods, Inc."/>
    <s v="Minced ND+V"/>
    <s v="Cooked Wonton"/>
    <s v="Cooked Wonton ND No Egg with Pumpkin_x000a_+ Yu Choy Low sodium"/>
    <s v="082SRBW24005P01001"/>
    <s v="308g*4c*6in"/>
    <n v="24"/>
    <n v="5"/>
    <n v="6.0000000000000001E-3"/>
    <x v="4"/>
    <s v="Salt"/>
    <s v="Y3"/>
    <n v="170"/>
    <n v="120"/>
    <n v="50"/>
    <n v="0"/>
    <n v="0"/>
    <n v="0"/>
    <n v="9.7000000000000003E-3"/>
    <n v="0"/>
    <m/>
    <n v="0"/>
    <n v="0"/>
  </r>
  <r>
    <x v="788"/>
    <d v="2026-04-08T00:00:00"/>
    <x v="2"/>
    <e v="#N/A"/>
    <x v="2"/>
    <s v="DRY2600068"/>
    <s v="USA"/>
    <s v="CPFNW"/>
    <s v="Bellisio Foods, Inc."/>
    <s v="Minced ND+V"/>
    <s v="Cooked Wonton"/>
    <s v="Cooked Wonton ND No Egg with Pumpkin_x000a_+ Yu Choy Low sodium"/>
    <s v="082SRBW24005P01001"/>
    <s v="308g*4c*6in"/>
    <n v="24"/>
    <n v="5"/>
    <n v="6.0000000000000001E-3"/>
    <x v="4"/>
    <s v="Salt"/>
    <s v="Y3"/>
    <n v="170"/>
    <m/>
    <n v="170"/>
    <n v="0"/>
    <n v="0"/>
    <n v="0"/>
    <n v="9.7000000000000003E-3"/>
    <n v="0"/>
    <m/>
    <n v="0"/>
    <n v="0"/>
  </r>
  <r>
    <x v="789"/>
    <m/>
    <x v="2"/>
    <e v="#N/A"/>
    <x v="2"/>
    <m/>
    <m/>
    <m/>
    <m/>
    <m/>
    <m/>
    <m/>
    <m/>
    <m/>
    <m/>
    <m/>
    <m/>
    <x v="0"/>
    <m/>
    <m/>
    <m/>
    <m/>
    <m/>
    <m/>
    <m/>
    <n v="0"/>
    <m/>
    <m/>
    <m/>
    <m/>
    <m/>
  </r>
  <r>
    <x v="790"/>
    <d v="2026-04-21T00:00:00"/>
    <x v="2"/>
    <e v="#N/A"/>
    <x v="2"/>
    <s v="DRY2600006"/>
    <s v="UK"/>
    <s v="CPFNW"/>
    <s v="Westbridge Foods Limited (One UK)"/>
    <s v="Minced ND+Kee Mao"/>
    <s v="Cooked Wonton"/>
    <s v="Cooked Minced Wonton Thai Spicy Noodles (Drunken Noodles)"/>
    <s v="082SRKW06003P00001"/>
    <s v="300g*6"/>
    <n v="6"/>
    <n v="3"/>
    <n v="6.1999999999999998E-3"/>
    <x v="4"/>
    <s v="Salt"/>
    <s v="Kee Mao"/>
    <n v="2657"/>
    <m/>
    <n v="2657.1666666666665"/>
    <n v="0.16666666666651508"/>
    <n v="0"/>
    <n v="0"/>
    <n v="6.5000000000000002E-2"/>
    <n v="0"/>
    <m/>
    <n v="0"/>
    <n v="0"/>
  </r>
  <r>
    <x v="790"/>
    <s v="04-2026"/>
    <x v="2"/>
    <e v="#N/A"/>
    <x v="2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2122"/>
    <n v="2122"/>
    <m/>
    <n v="0"/>
    <n v="0"/>
    <n v="0"/>
    <n v="7.4999999999999997E-3"/>
    <n v="0"/>
    <m/>
    <n v="0"/>
    <n v="0"/>
  </r>
  <r>
    <x v="790"/>
    <d v="2026-04-07T00:00:00"/>
    <x v="2"/>
    <e v="#N/A"/>
    <x v="2"/>
    <s v="DRY2600067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400"/>
    <n v="400"/>
    <m/>
    <n v="0"/>
    <n v="0"/>
    <n v="0"/>
    <n v="7.4999999999999997E-3"/>
    <n v="0"/>
    <m/>
    <n v="0"/>
    <n v="0"/>
  </r>
  <r>
    <x v="790"/>
    <d v="2026-04-08T00:00:00"/>
    <x v="2"/>
    <e v="#N/A"/>
    <x v="2"/>
    <s v="DRY2600068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400"/>
    <n v="400"/>
    <m/>
    <n v="0"/>
    <n v="0"/>
    <n v="0"/>
    <n v="7.4999999999999997E-3"/>
    <n v="0"/>
    <m/>
    <n v="0"/>
    <n v="0"/>
  </r>
  <r>
    <x v="790"/>
    <d v="2026-04-20T00:00:00"/>
    <x v="2"/>
    <e v="#N/A"/>
    <x v="2"/>
    <s v="DRY2600064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n v="0"/>
    <n v="7.4999999999999997E-3"/>
    <n v="0"/>
    <s v="new package (ลบโลโก้ Facebook)"/>
    <n v="0"/>
    <n v="0"/>
  </r>
  <r>
    <x v="791"/>
    <d v="2026-04-27T00:00:00"/>
    <x v="2"/>
    <e v="#N/A"/>
    <x v="2"/>
    <s v="DRY2600059"/>
    <s v="Korea"/>
    <s v="CPFNW"/>
    <s v="Consumer Package Commerce"/>
    <s v="R-Wonton egg past"/>
    <s v="Raw Wonton"/>
    <s v="Raw Wonton 60 pcs"/>
    <s v="082I93U10060P00001"/>
    <s v="750g*10inner"/>
    <n v="10"/>
    <n v="60"/>
    <n v="6.8100000000000001E-3"/>
    <x v="3"/>
    <s v="STPP"/>
    <s v="ซุปซอง 5g."/>
    <n v="550"/>
    <n v="430"/>
    <n v="120"/>
    <n v="0"/>
    <n v="0"/>
    <n v="0"/>
    <n v="6"/>
    <n v="0"/>
    <m/>
    <n v="0"/>
    <n v="0"/>
  </r>
  <r>
    <x v="791"/>
    <d v="2026-04-21T00:00:00"/>
    <x v="2"/>
    <e v="#N/A"/>
    <x v="2"/>
    <s v="DRY2600006"/>
    <s v="UK"/>
    <s v="CPFNW"/>
    <s v="Westbridge Foods Limited (One UK)"/>
    <s v="Minced ND+Kee Mao"/>
    <s v="Cooked Wonton"/>
    <s v="Cooked Minced Wonton Thai Spicy Noodles (Drunken Noodles)"/>
    <s v="082SRKW06003P00001"/>
    <s v="300g*6"/>
    <n v="6"/>
    <n v="3"/>
    <n v="6.1999999999999998E-3"/>
    <x v="4"/>
    <s v="Salt"/>
    <s v="Kee Mao"/>
    <n v="2672"/>
    <m/>
    <n v="2672"/>
    <n v="0"/>
    <n v="0"/>
    <n v="0"/>
    <n v="6.5000000000000002E-2"/>
    <n v="0"/>
    <m/>
    <n v="0"/>
    <n v="0"/>
  </r>
  <r>
    <x v="791"/>
    <d v="2026-04-07T00:00:00"/>
    <x v="2"/>
    <e v="#N/A"/>
    <x v="2"/>
    <s v="DRY2600047"/>
    <s v="Korea"/>
    <s v="CPFNW"/>
    <s v="Consumer Package Commerce"/>
    <s v="Minced ND"/>
    <s v="Cooked Wonton"/>
    <s v="Cooked Minced Wonton Noodle"/>
    <s v="082SR3U12004P00001"/>
    <s v="231g*12"/>
    <n v="12"/>
    <n v="4"/>
    <n v="6.0000000000000001E-3"/>
    <x v="4"/>
    <s v="Salt"/>
    <s v="Regular"/>
    <n v="2500"/>
    <n v="2500"/>
    <m/>
    <n v="0"/>
    <n v="0"/>
    <n v="0"/>
    <n v="7.4999999999999997E-3"/>
    <n v="0"/>
    <m/>
    <n v="0"/>
    <n v="0"/>
  </r>
  <r>
    <x v="791"/>
    <s v="04-2026"/>
    <x v="2"/>
    <e v="#N/A"/>
    <x v="2"/>
    <s v="ขายภายใน"/>
    <s v="MTFS"/>
    <s v="CPFGS"/>
    <s v="ซีพีเอฟ เทรดดิ้ง"/>
    <s v="Wonton ND"/>
    <s v="Cooked Wonton"/>
    <s v="บะหมี่เกี๊ยวกุ้งซุปสุกี้ CPxMK 227g MT"/>
    <s v="082SJ3Q12003P0A001"/>
    <s v="227g*12"/>
    <n v="12"/>
    <n v="3"/>
    <n v="8.0000000000000002E-3"/>
    <x v="2"/>
    <s v="STPP"/>
    <s v="MK"/>
    <n v="2500"/>
    <n v="2500"/>
    <m/>
    <n v="0"/>
    <n v="0"/>
    <n v="0"/>
    <n v="0.05"/>
    <n v="0"/>
    <s v="เปลี่ยนใช้ผักกวางตุ้งแบบแช่แข็ง"/>
    <n v="0"/>
    <n v="0"/>
  </r>
  <r>
    <x v="792"/>
    <d v="2026-04-27T00:00:00"/>
    <x v="2"/>
    <e v="#N/A"/>
    <x v="3"/>
    <s v="DRY2600059"/>
    <s v="Korea"/>
    <s v="CPFNW"/>
    <s v="Consumer Package Commerce"/>
    <s v="R-Wonton egg past"/>
    <s v="Raw Wonton"/>
    <s v="Raw Wonton 60 pcs"/>
    <s v="082I93U10060P00001"/>
    <s v="750g*10inner"/>
    <n v="10"/>
    <n v="60"/>
    <n v="6.8100000000000001E-3"/>
    <x v="3"/>
    <s v="STPP"/>
    <s v="ซุปซอง 5g."/>
    <n v="522"/>
    <n v="522"/>
    <m/>
    <n v="0"/>
    <n v="0"/>
    <n v="0"/>
    <n v="6"/>
    <n v="0"/>
    <m/>
    <n v="0"/>
    <n v="0"/>
  </r>
  <r>
    <x v="792"/>
    <d v="2026-04-21T00:00:00"/>
    <x v="2"/>
    <e v="#N/A"/>
    <x v="3"/>
    <s v="DRY2600006"/>
    <s v="UK"/>
    <s v="CPFNW"/>
    <s v="Westbridge Foods Limited (One UK)"/>
    <s v="Minced ND+Kee Mao"/>
    <s v="Cooked Wonton"/>
    <s v="Cooked Minced Wonton Thai Spicy Noodles (Drunken Noodles)"/>
    <s v="082SRKW06003P00001"/>
    <s v="300g*6"/>
    <n v="6"/>
    <n v="3"/>
    <n v="6.1999999999999998E-3"/>
    <x v="4"/>
    <s v="Salt"/>
    <s v="Kee Mao"/>
    <n v="2671"/>
    <n v="97"/>
    <n v="2925.5"/>
    <n v="351.5"/>
    <n v="0"/>
    <n v="0"/>
    <n v="6.5000000000000002E-2"/>
    <n v="0"/>
    <m/>
    <n v="0"/>
    <n v="0"/>
  </r>
  <r>
    <x v="792"/>
    <s v="04-2026"/>
    <x v="2"/>
    <e v="#N/A"/>
    <x v="3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856"/>
    <n v="856"/>
    <m/>
    <n v="0"/>
    <n v="0"/>
    <n v="0"/>
    <n v="7.4999999999999997E-3"/>
    <n v="0"/>
    <m/>
    <n v="0"/>
    <n v="0"/>
  </r>
  <r>
    <x v="792"/>
    <s v="05-2026"/>
    <x v="2"/>
    <e v="#N/A"/>
    <x v="3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0"/>
    <s v="145g*12"/>
    <n v="12"/>
    <n v="5"/>
    <n v="8.0000000000000002E-3"/>
    <x v="1"/>
    <s v="STPP"/>
    <s v="Regular"/>
    <n v="12"/>
    <n v="12"/>
    <m/>
    <n v="0"/>
    <n v="0"/>
    <n v="0"/>
    <n v="7.4999999999999997E-3"/>
    <n v="0"/>
    <m/>
    <n v="0"/>
    <n v="0"/>
  </r>
  <r>
    <x v="792"/>
    <d v="2026-04-27T00:00:00"/>
    <x v="2"/>
    <e v="#N/A"/>
    <x v="3"/>
    <s v="LA005/2569"/>
    <s v="Laos"/>
    <s v="Laos"/>
    <s v="บริษัท ปิก้าเทรดดิ้ง จำกัด"/>
    <s v="E+Wonton"/>
    <s v="Cooked Wonton"/>
    <s v="เกี๊ยวกุ้งจักรพรรดิ 12x145g."/>
    <s v="082S8L212005P00001"/>
    <s v="145g*12"/>
    <n v="12"/>
    <n v="5"/>
    <n v="8.0000000000000002E-3"/>
    <x v="1"/>
    <s v="STPP"/>
    <s v="Regular"/>
    <n v="100"/>
    <n v="100"/>
    <m/>
    <n v="0"/>
    <n v="0"/>
    <n v="0"/>
    <n v="7.4999999999999997E-3"/>
    <n v="0"/>
    <m/>
    <n v="0"/>
    <n v="0"/>
  </r>
  <r>
    <x v="792"/>
    <s v="05-2026"/>
    <x v="2"/>
    <e v="#N/A"/>
    <x v="3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1"/>
    <s v="145g*12"/>
    <n v="12"/>
    <n v="5"/>
    <n v="8.0000000000000002E-3"/>
    <x v="1"/>
    <s v="STPP"/>
    <s v="Regular"/>
    <n v="2500"/>
    <n v="2500"/>
    <m/>
    <n v="0"/>
    <n v="0"/>
    <n v="0"/>
    <n v="7.4999999999999997E-3"/>
    <n v="0"/>
    <m/>
    <n v="0"/>
    <n v="0"/>
  </r>
  <r>
    <x v="793"/>
    <d v="2026-05-05T00:00:00"/>
    <x v="2"/>
    <e v="#N/A"/>
    <x v="3"/>
    <s v="DRY2600073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00"/>
    <n v="100"/>
    <m/>
    <n v="0"/>
    <n v="0"/>
    <n v="0"/>
    <n v="6"/>
    <n v="0"/>
    <m/>
    <n v="0"/>
    <n v="0"/>
  </r>
  <r>
    <x v="793"/>
    <d v="2026-05-05T00:00:00"/>
    <x v="2"/>
    <e v="#N/A"/>
    <x v="3"/>
    <s v="DRY2600074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00"/>
    <n v="100"/>
    <n v="12"/>
    <n v="12"/>
    <n v="0"/>
    <n v="0"/>
    <n v="6"/>
    <n v="0"/>
    <m/>
    <n v="0"/>
    <n v="0"/>
  </r>
  <r>
    <x v="793"/>
    <s v="04-2026"/>
    <x v="2"/>
    <e v="#N/A"/>
    <x v="3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s v="-"/>
    <n v="500"/>
    <n v="500"/>
    <m/>
    <n v="0"/>
    <n v="0"/>
    <n v="0"/>
    <m/>
    <n v="0"/>
    <m/>
    <n v="0"/>
    <n v="0"/>
  </r>
  <r>
    <x v="793"/>
    <d v="2026-04-27T00:00:00"/>
    <x v="2"/>
    <e v="#N/A"/>
    <x v="3"/>
    <s v="DRY2600059"/>
    <s v="Korea"/>
    <s v="CPFNW"/>
    <s v="Consumer Package Commerce"/>
    <s v="R-Wonton egg past"/>
    <s v="Raw Wonton"/>
    <s v="Raw Wonton 60 pcs"/>
    <s v="082I93U10060P00001"/>
    <s v="750g*10inner"/>
    <n v="10"/>
    <n v="60"/>
    <n v="6.8100000000000001E-3"/>
    <x v="3"/>
    <s v="STPP"/>
    <s v="ซุปซอง 5g."/>
    <n v="195"/>
    <n v="195"/>
    <m/>
    <n v="0"/>
    <n v="0"/>
    <n v="0"/>
    <n v="6"/>
    <n v="0"/>
    <m/>
    <n v="0"/>
    <n v="0"/>
  </r>
  <r>
    <x v="793"/>
    <s v="05-2026"/>
    <x v="2"/>
    <e v="#N/A"/>
    <x v="3"/>
    <s v="ขายภายใน"/>
    <s v="MTFS"/>
    <s v="CPFGS"/>
    <s v="ซีพีเอฟ เทรดดิ้ง"/>
    <s v="E+Wonton NDE"/>
    <s v="Cooked Wonton"/>
    <s v="บะหมี่เกี๊ยวกุ้ง ตราซีพี 12X226 กรัม"/>
    <s v="082SJ3Q12003P07001"/>
    <s v="226g*12"/>
    <n v="12"/>
    <n v="3"/>
    <n v="8.0000000000000002E-3"/>
    <x v="1"/>
    <s v="STPP"/>
    <s v="Regular"/>
    <n v="500"/>
    <n v="500"/>
    <m/>
    <n v="0"/>
    <n v="0"/>
    <n v="0"/>
    <n v="7.4999999999999997E-3"/>
    <n v="0"/>
    <m/>
    <n v="0"/>
    <n v="0"/>
  </r>
  <r>
    <x v="793"/>
    <s v="05-2026"/>
    <x v="2"/>
    <e v="#N/A"/>
    <x v="3"/>
    <s v="ขายภายใน"/>
    <s v="MTFS"/>
    <s v="CPFGS"/>
    <s v="ซีพีเอฟ เทรดดิ้ง"/>
    <s v="E+Wonton NDE"/>
    <s v="Cooked Wonton"/>
    <s v="บะหมี่เกี๊ยวกุ้ง ตราซีพี 12X226 กรัม"/>
    <s v="082SJ3Q12003P07001"/>
    <s v="226g*12"/>
    <n v="12"/>
    <n v="3"/>
    <n v="8.0000000000000002E-3"/>
    <x v="1"/>
    <s v="STPP"/>
    <s v="Regular"/>
    <n v="500"/>
    <n v="500"/>
    <m/>
    <n v="0"/>
    <n v="0"/>
    <n v="0"/>
    <n v="7.4999999999999997E-3"/>
    <n v="0"/>
    <m/>
    <n v="0"/>
    <n v="0"/>
  </r>
  <r>
    <x v="793"/>
    <s v="04-2026"/>
    <x v="2"/>
    <e v="#N/A"/>
    <x v="3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200"/>
    <n v="200"/>
    <m/>
    <n v="0"/>
    <n v="0"/>
    <n v="0"/>
    <n v="7.4999999999999997E-3"/>
    <n v="0"/>
    <m/>
    <n v="0"/>
    <n v="0"/>
  </r>
  <r>
    <x v="793"/>
    <s v="05-2026"/>
    <x v="2"/>
    <e v="#N/A"/>
    <x v="3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200"/>
    <n v="200"/>
    <m/>
    <n v="0"/>
    <n v="0"/>
    <n v="0"/>
    <n v="7.4999999999999997E-3"/>
    <n v="0"/>
    <m/>
    <n v="0"/>
    <n v="0"/>
  </r>
  <r>
    <x v="793"/>
    <s v="05-2026"/>
    <x v="2"/>
    <e v="#N/A"/>
    <x v="3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70"/>
    <n v="70"/>
    <m/>
    <n v="0"/>
    <n v="0"/>
    <n v="0"/>
    <n v="7.4999999999999997E-3"/>
    <n v="0"/>
    <m/>
    <n v="0"/>
    <n v="0"/>
  </r>
  <r>
    <x v="793"/>
    <s v="04-2026"/>
    <x v="2"/>
    <e v="#N/A"/>
    <x v="3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300"/>
    <n v="300"/>
    <m/>
    <n v="0"/>
    <n v="0"/>
    <n v="0"/>
    <n v="7.4999999999999997E-3"/>
    <n v="0"/>
    <m/>
    <n v="0"/>
    <n v="0"/>
  </r>
  <r>
    <x v="793"/>
    <s v="04-2026"/>
    <x v="2"/>
    <e v="#N/A"/>
    <x v="3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1846"/>
    <n v="1846"/>
    <m/>
    <n v="0"/>
    <n v="0"/>
    <n v="0"/>
    <n v="7.4999999999999997E-3"/>
    <n v="0"/>
    <m/>
    <n v="0"/>
    <n v="0"/>
  </r>
  <r>
    <x v="793"/>
    <s v="05-2026"/>
    <x v="2"/>
    <e v="#N/A"/>
    <x v="3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19"/>
    <n v="19"/>
    <m/>
    <n v="0"/>
    <n v="0"/>
    <n v="0"/>
    <n v="7.4999999999999997E-3"/>
    <n v="0"/>
    <m/>
    <n v="0"/>
    <n v="0"/>
  </r>
  <r>
    <x v="793"/>
    <s v="04-2026"/>
    <x v="2"/>
    <e v="#N/A"/>
    <x v="3"/>
    <s v="ขายภายใน"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1200"/>
    <n v="897"/>
    <n v="303"/>
    <n v="0"/>
    <n v="0"/>
    <n v="0"/>
    <n v="1"/>
    <n v="0"/>
    <m/>
    <n v="0"/>
    <n v="0"/>
  </r>
  <r>
    <x v="794"/>
    <d v="2026-04-27T00:00:00"/>
    <x v="2"/>
    <e v="#N/A"/>
    <x v="3"/>
    <s v="DRY2600059"/>
    <s v="Korea"/>
    <s v="CPFNW"/>
    <s v="Consumer Package Commerce"/>
    <s v="R-Wonton egg past"/>
    <s v="Raw Wonton"/>
    <s v="Raw Wonton 60 pcs"/>
    <s v="082I93U10060P00001"/>
    <s v="750g*10inner"/>
    <n v="10"/>
    <n v="60"/>
    <n v="6.8100000000000001E-3"/>
    <x v="3"/>
    <s v="STPP"/>
    <s v="ซุปซอง 5g."/>
    <n v="93"/>
    <n v="93"/>
    <m/>
    <n v="0"/>
    <n v="0"/>
    <n v="0"/>
    <n v="6"/>
    <n v="0"/>
    <m/>
    <n v="0"/>
    <n v="0"/>
  </r>
  <r>
    <x v="794"/>
    <d v="2026-04-22T00:00:00"/>
    <x v="2"/>
    <e v="#N/A"/>
    <x v="3"/>
    <s v="DRY2600102"/>
    <s v="HK"/>
    <s v="CPFNW"/>
    <s v="CPM Hongkong"/>
    <s v="R-Wonton egg past"/>
    <s v="Raw Wonton"/>
    <s v="Raw Wonton 8 pcs"/>
    <s v="082I93G20008P01001"/>
    <s v="194g*20in"/>
    <n v="20"/>
    <n v="8"/>
    <n v="1.4999999999999999E-2"/>
    <x v="6"/>
    <s v="STPP"/>
    <s v="ซุปซอง 5g."/>
    <n v="5"/>
    <n v="5"/>
    <m/>
    <n v="0"/>
    <n v="0"/>
    <n v="0"/>
    <n v="2"/>
    <n v="0"/>
    <s v="ห่อแบบดิบ"/>
    <n v="0"/>
    <n v="0"/>
  </r>
  <r>
    <x v="794"/>
    <d v="2026-04-29T00:00:00"/>
    <x v="2"/>
    <e v="#N/A"/>
    <x v="3"/>
    <s v="DRY2600043"/>
    <s v="SG"/>
    <s v="CPFNW"/>
    <s v="CP FOODS SINGAPORE PTE. LTD"/>
    <s v="R-Wonton egg past"/>
    <s v="Raw Wonton"/>
    <s v="Raw Wonton 8 pcs"/>
    <s v="082I93B20008P00001"/>
    <s v="194g*20in"/>
    <n v="20"/>
    <n v="8"/>
    <n v="1.4999999999999999E-2"/>
    <x v="6"/>
    <s v="STPP"/>
    <s v="ซุปซอง 5g."/>
    <n v="250"/>
    <n v="250"/>
    <m/>
    <n v="0"/>
    <n v="0"/>
    <n v="0"/>
    <n v="2"/>
    <n v="0"/>
    <s v="ห่อแบบดิบ"/>
    <n v="0"/>
    <n v="0"/>
  </r>
  <r>
    <x v="794"/>
    <d v="2026-04-29T00:00:00"/>
    <x v="2"/>
    <e v="#N/A"/>
    <x v="3"/>
    <s v="DRY2600043"/>
    <s v="SG"/>
    <s v="CPFNW"/>
    <s v="CP FOODS SINGAPORE PTE. LTD"/>
    <s v="R-Minced egg past"/>
    <s v="Raw Wonton"/>
    <s v="Raw Minced Wonton 8 pcs"/>
    <s v="082ID3B18008P00001"/>
    <s v="90g*18in"/>
    <n v="18"/>
    <n v="8"/>
    <n v="6.0000000000000001E-3"/>
    <x v="4"/>
    <s v="STPP"/>
    <s v="ซุปซอง 5g."/>
    <n v="350"/>
    <n v="350"/>
    <m/>
    <n v="0"/>
    <n v="0"/>
    <n v="0"/>
    <n v="2"/>
    <n v="0"/>
    <m/>
    <n v="0"/>
    <n v="0"/>
  </r>
  <r>
    <x v="794"/>
    <d v="2026-04-22T00:00:00"/>
    <x v="2"/>
    <e v="#N/A"/>
    <x v="3"/>
    <s v="DRY2600070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309"/>
    <m/>
    <n v="309"/>
    <n v="0"/>
    <n v="0"/>
    <n v="0"/>
    <n v="1"/>
    <n v="0"/>
    <m/>
    <n v="0"/>
    <n v="0"/>
  </r>
  <r>
    <x v="794"/>
    <d v="2026-04-08T00:00:00"/>
    <x v="2"/>
    <e v="#N/A"/>
    <x v="3"/>
    <s v="DRY2600067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800"/>
    <n v="751"/>
    <n v="49"/>
    <n v="0"/>
    <n v="0"/>
    <n v="0"/>
    <n v="7.4999999999999997E-3"/>
    <n v="0"/>
    <m/>
    <n v="0"/>
    <n v="0"/>
  </r>
  <r>
    <x v="794"/>
    <d v="2026-04-08T00:00:00"/>
    <x v="2"/>
    <e v="#N/A"/>
    <x v="3"/>
    <s v="DRY2600068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800"/>
    <n v="789"/>
    <n v="11"/>
    <n v="0"/>
    <n v="0"/>
    <n v="0"/>
    <n v="7.4999999999999997E-3"/>
    <n v="0"/>
    <m/>
    <n v="0"/>
    <n v="0"/>
  </r>
  <r>
    <x v="794"/>
    <s v="04-2026"/>
    <x v="2"/>
    <e v="#N/A"/>
    <x v="3"/>
    <s v="ขายภายใน"/>
    <s v="MTFS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MT"/>
    <s v="082SG3Q12003P00001"/>
    <s v="250g*12"/>
    <n v="12"/>
    <n v="3"/>
    <n v="6.1999999999999998E-3"/>
    <x v="2"/>
    <s v="STPP"/>
    <s v="หมาล่า"/>
    <n v="500"/>
    <n v="500"/>
    <m/>
    <n v="0"/>
    <n v="0"/>
    <n v="0"/>
    <n v="1.83E-2"/>
    <n v="0"/>
    <s v="รอ ผงไก่ จะเข้าวันไหน"/>
    <n v="0"/>
    <n v="0"/>
  </r>
  <r>
    <x v="794"/>
    <s v="04-2026"/>
    <x v="2"/>
    <e v="#N/A"/>
    <x v="3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x v="2"/>
    <s v="STPP"/>
    <s v="หมาล่า"/>
    <n v="1749"/>
    <n v="1749"/>
    <m/>
    <n v="0"/>
    <n v="0"/>
    <n v="0"/>
    <n v="1.83E-2"/>
    <n v="0"/>
    <m/>
    <n v="0"/>
    <n v="0"/>
  </r>
  <r>
    <x v="795"/>
    <d v="2026-04-22T00:00:00"/>
    <x v="2"/>
    <e v="#N/A"/>
    <x v="3"/>
    <s v="DRY2600070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1491"/>
    <n v="570"/>
    <n v="924"/>
    <n v="3"/>
    <n v="0"/>
    <n v="0"/>
    <n v="1"/>
    <n v="0"/>
    <m/>
    <n v="0"/>
    <n v="0"/>
  </r>
  <r>
    <x v="795"/>
    <s v="04-2026"/>
    <x v="2"/>
    <e v="#N/A"/>
    <x v="3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466"/>
    <n v="1466"/>
    <m/>
    <n v="0"/>
    <n v="0"/>
    <n v="0"/>
    <n v="7.4999999999999997E-3"/>
    <n v="0"/>
    <m/>
    <n v="0"/>
    <n v="0"/>
  </r>
  <r>
    <x v="795"/>
    <d v="2026-04-22T00:00:00"/>
    <x v="2"/>
    <e v="#N/A"/>
    <x v="3"/>
    <s v="DRY2600102"/>
    <s v="HK"/>
    <s v="CPFNW"/>
    <s v="CPM Hongkong"/>
    <s v="Wonton ND+V"/>
    <s v="Cooked Wonton"/>
    <s v="Cooked Wonton ND No Egg with Pumpkin _x000a_+ Vegetable  HC  3 pcs"/>
    <s v="082SJ3G24003P02001"/>
    <s v="219g*24"/>
    <n v="24"/>
    <n v="3"/>
    <n v="7.4999999999999997E-3"/>
    <x v="5"/>
    <s v="STPP"/>
    <s v="ซุปซอง 10g."/>
    <n v="15"/>
    <n v="15"/>
    <m/>
    <n v="0"/>
    <n v="0"/>
    <n v="0"/>
    <n v="1"/>
    <n v="0"/>
    <m/>
    <n v="0"/>
    <n v="0"/>
  </r>
  <r>
    <x v="795"/>
    <d v="2026-04-29T00:00:00"/>
    <x v="2"/>
    <e v="#N/A"/>
    <x v="3"/>
    <s v="DRY2600044"/>
    <s v="SG"/>
    <s v="CPFNW"/>
    <s v="CP FOODS SINGAPORE PTE. LTD"/>
    <s v="Wonton ND+V"/>
    <s v="Cooked Wonton"/>
    <s v="Cooked Wonton ND No Egg with Pumpkin _x000a_+ Vegetable  HC  3 pcs"/>
    <s v="082SJ3B24003P02001"/>
    <s v="219g*24"/>
    <n v="24"/>
    <n v="3"/>
    <n v="7.4999999999999997E-3"/>
    <x v="5"/>
    <s v="STPP"/>
    <s v="ซุปซอง 10g."/>
    <n v="250"/>
    <n v="250"/>
    <m/>
    <n v="0"/>
    <n v="0"/>
    <n v="0"/>
    <n v="1"/>
    <n v="0"/>
    <m/>
    <n v="0"/>
    <n v="0"/>
  </r>
  <r>
    <x v="795"/>
    <d v="2026-04-23T00:00:00"/>
    <x v="2"/>
    <e v="#N/A"/>
    <x v="3"/>
    <s v="DRY2600051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699"/>
    <n v="93"/>
    <n v="0"/>
    <n v="0"/>
    <n v="0"/>
    <n v="7.4999999999999997E-3"/>
    <n v="0"/>
    <m/>
    <n v="0"/>
    <n v="0"/>
  </r>
  <r>
    <x v="795"/>
    <d v="2026-04-23T00:00:00"/>
    <x v="2"/>
    <e v="#N/A"/>
    <x v="3"/>
    <s v="DRY2600055"/>
    <s v="New Zealand"/>
    <s v="CPFNW"/>
    <s v="Lim Brothers Import&amp;Export Co.,Ltd."/>
    <s v="Wonton ND+V"/>
    <s v="Cooked Wonton"/>
    <s v="Cooked Wonton ND No Egg with Pumpkin_x000a_+ Yu Choy "/>
    <s v="082SJN708004P00001"/>
    <s v="305g*8"/>
    <n v="8"/>
    <n v="4"/>
    <n v="7.4999999999999997E-3"/>
    <x v="5"/>
    <s v="Salt"/>
    <s v="Regular"/>
    <n v="420"/>
    <m/>
    <n v="429.25"/>
    <n v="9.25"/>
    <n v="0"/>
    <n v="0"/>
    <n v="7.4999999999999997E-3"/>
    <n v="0"/>
    <s v="662 Stock Aus"/>
    <n v="0"/>
    <n v="0"/>
  </r>
  <r>
    <x v="795"/>
    <d v="2026-04-23T00:00:00"/>
    <x v="2"/>
    <e v="#N/A"/>
    <x v="3"/>
    <s v="DRY2600061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SG+CO"/>
    <n v="390"/>
    <n v="390"/>
    <m/>
    <n v="0"/>
    <n v="0"/>
    <n v="0"/>
    <n v="3.8699999999999998E-2"/>
    <n v="0"/>
    <m/>
    <n v="0"/>
    <n v="0"/>
  </r>
  <r>
    <x v="795"/>
    <d v="2026-05-07T00:00:00"/>
    <x v="2"/>
    <e v="#N/A"/>
    <x v="3"/>
    <s v="DRY2600062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SG+CO"/>
    <n v="390"/>
    <n v="390"/>
    <m/>
    <n v="0"/>
    <n v="0"/>
    <n v="0"/>
    <n v="3.8699999999999998E-2"/>
    <n v="0"/>
    <m/>
    <n v="0"/>
    <n v="0"/>
  </r>
  <r>
    <x v="796"/>
    <m/>
    <x v="2"/>
    <e v="#N/A"/>
    <x v="3"/>
    <m/>
    <m/>
    <m/>
    <m/>
    <m/>
    <m/>
    <m/>
    <m/>
    <m/>
    <m/>
    <m/>
    <m/>
    <x v="0"/>
    <m/>
    <m/>
    <m/>
    <m/>
    <m/>
    <m/>
    <m/>
    <n v="0"/>
    <m/>
    <m/>
    <m/>
    <m/>
    <m/>
  </r>
  <r>
    <x v="797"/>
    <d v="2026-04-16T00:00:00"/>
    <x v="2"/>
    <e v="#N/A"/>
    <x v="3"/>
    <s v="KL2600009"/>
    <s v="China"/>
    <s v="China"/>
    <s v="Charoen Pokphand Import&amp;Export Trading (Shanghai) Co., Ltd"/>
    <s v="R-Wonton no egg"/>
    <s v="Raw Wonton"/>
    <s v="Raw Wonton 50 pcs"/>
    <s v="082I95J08050P03001"/>
    <s v="630g*8in"/>
    <n v="8"/>
    <n v="50"/>
    <n v="6.8100000000000001E-3"/>
    <x v="3"/>
    <s v="STPP"/>
    <s v="ซุปซอง 5g."/>
    <n v="924"/>
    <n v="482"/>
    <n v="450"/>
    <n v="8"/>
    <n v="0"/>
    <n v="0"/>
    <n v="6"/>
    <n v="0"/>
    <m/>
    <n v="0"/>
    <n v="0"/>
  </r>
  <r>
    <x v="797"/>
    <s v="04-2026"/>
    <x v="2"/>
    <e v="#N/A"/>
    <x v="3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1414"/>
    <n v="1414"/>
    <m/>
    <n v="0"/>
    <n v="0"/>
    <n v="0"/>
    <n v="1.7000000000000001E-2"/>
    <n v="0"/>
    <d v="2026-03-30T00:00:00"/>
    <n v="0"/>
    <n v="0"/>
  </r>
  <r>
    <x v="797"/>
    <d v="2026-05-05T00:00:00"/>
    <x v="2"/>
    <e v="#N/A"/>
    <x v="3"/>
    <s v="DRY2600010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x v="797"/>
    <d v="2026-04-29T00:00:00"/>
    <x v="2"/>
    <e v="#N/A"/>
    <x v="3"/>
    <s v="DRY2600044"/>
    <s v="SG"/>
    <s v="CPFNW"/>
    <s v="CP FOODS SINGAPORE PTE. LTD"/>
    <s v="Wonton"/>
    <s v="Cooked Wonton"/>
    <s v="Cooked Wonton No Egg"/>
    <s v="082S83B24005P07001"/>
    <s v="145g*24"/>
    <n v="24"/>
    <n v="5"/>
    <n v="8.0000000000000002E-3"/>
    <x v="1"/>
    <s v="STPP"/>
    <s v="Regular"/>
    <n v="250"/>
    <n v="250"/>
    <m/>
    <n v="0"/>
    <n v="0"/>
    <n v="0"/>
    <n v="1"/>
    <n v="0"/>
    <m/>
    <n v="0"/>
    <n v="0"/>
  </r>
  <r>
    <x v="798"/>
    <d v="2026-04-16T00:00:00"/>
    <x v="2"/>
    <e v="#N/A"/>
    <x v="3"/>
    <s v="DRY2500361"/>
    <s v="Korea"/>
    <s v="CPFNW"/>
    <s v="Consumer Package Commerce"/>
    <s v="R-Minced no egg"/>
    <s v="Raw Wonton"/>
    <s v="Raw Minced Wonton 50 pcs"/>
    <s v="082ID3U10050P00001"/>
    <s v="530g*10inner"/>
    <n v="10"/>
    <n v="50"/>
    <n v="4.0000000000000001E-3"/>
    <x v="4"/>
    <s v="STPP"/>
    <s v="ซุปซอง 5g."/>
    <n v="555"/>
    <n v="555"/>
    <m/>
    <n v="0"/>
    <n v="0"/>
    <n v="0"/>
    <n v="6"/>
    <n v="0"/>
    <m/>
    <n v="0"/>
    <n v="0"/>
  </r>
  <r>
    <x v="798"/>
    <s v="04-2026"/>
    <x v="2"/>
    <e v="#N/A"/>
    <x v="3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1378"/>
    <n v="1378"/>
    <m/>
    <n v="0"/>
    <n v="0"/>
    <n v="0"/>
    <n v="1.7000000000000001E-2"/>
    <n v="0"/>
    <d v="2026-04-02T00:00:00"/>
    <n v="0"/>
    <n v="0"/>
  </r>
  <r>
    <x v="798"/>
    <d v="2026-04-22T00:00:00"/>
    <x v="2"/>
    <e v="#N/A"/>
    <x v="3"/>
    <s v="DRY2600102"/>
    <s v="HK"/>
    <s v="CPFNW"/>
    <s v="CPM Hongkong"/>
    <s v="Wonton +TY"/>
    <s v="Cooked Wonton"/>
    <s v="Cooked Wonton No Egg"/>
    <s v="082S83G24005P05001"/>
    <s v="115g*24"/>
    <n v="24"/>
    <n v="5"/>
    <n v="8.0000000000000002E-3"/>
    <x v="1"/>
    <s v="STPP"/>
    <s v="TYTB3C 30G"/>
    <n v="15"/>
    <n v="15"/>
    <m/>
    <n v="0"/>
    <n v="0"/>
    <n v="0"/>
    <n v="1"/>
    <n v="0"/>
    <m/>
    <n v="0"/>
    <n v="0"/>
  </r>
  <r>
    <x v="798"/>
    <d v="2026-04-29T00:00:00"/>
    <x v="2"/>
    <e v="#N/A"/>
    <x v="3"/>
    <s v="DRY2600044"/>
    <s v="SG"/>
    <s v="CPFNW"/>
    <s v="CP FOODS SINGAPORE PTE. LTD"/>
    <s v="Wonton +TY"/>
    <s v="Cooked Wonton"/>
    <s v="Cooked Wonton No Egg"/>
    <s v="082S83B24005P06001"/>
    <s v="115g*24"/>
    <n v="24"/>
    <n v="5"/>
    <n v="8.0000000000000002E-3"/>
    <x v="1"/>
    <s v="STPP"/>
    <s v="TYTB3C 30G"/>
    <n v="250"/>
    <n v="250"/>
    <m/>
    <n v="0"/>
    <n v="0"/>
    <n v="0"/>
    <n v="1"/>
    <n v="0"/>
    <m/>
    <n v="0"/>
    <n v="0"/>
  </r>
  <r>
    <x v="798"/>
    <s v="04-2026"/>
    <x v="2"/>
    <e v="#N/A"/>
    <x v="3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614"/>
    <n v="1614"/>
    <m/>
    <n v="0"/>
    <n v="0"/>
    <n v="0"/>
    <n v="7.4999999999999997E-3"/>
    <n v="0"/>
    <m/>
    <n v="0"/>
    <n v="0"/>
  </r>
  <r>
    <x v="799"/>
    <d v="2026-04-16T00:00:00"/>
    <x v="2"/>
    <e v="#N/A"/>
    <x v="3"/>
    <s v="DRY2500361"/>
    <s v="Korea"/>
    <s v="CPFNW"/>
    <s v="Consumer Package Commerce"/>
    <s v="R-Minced no egg"/>
    <s v="Raw Wonton"/>
    <s v="Raw Minced Wonton 50 pcs"/>
    <s v="082ID3U10050P00001"/>
    <s v="530g*10inner"/>
    <n v="10"/>
    <n v="50"/>
    <n v="4.0000000000000001E-3"/>
    <x v="4"/>
    <s v="STPP"/>
    <s v="ซุปซอง 5g."/>
    <n v="523"/>
    <n v="523"/>
    <m/>
    <n v="0"/>
    <n v="0"/>
    <n v="0"/>
    <n v="6"/>
    <n v="0"/>
    <m/>
    <n v="0"/>
    <n v="0"/>
  </r>
  <r>
    <x v="799"/>
    <s v="04-2026"/>
    <x v="2"/>
    <e v="#N/A"/>
    <x v="3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1410"/>
    <n v="1410"/>
    <m/>
    <n v="0"/>
    <n v="0"/>
    <n v="0"/>
    <n v="1.7000000000000001E-2"/>
    <n v="0"/>
    <m/>
    <n v="0"/>
    <n v="0"/>
  </r>
  <r>
    <x v="799"/>
    <s v="04-2026"/>
    <x v="2"/>
    <e v="#N/A"/>
    <x v="3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2145"/>
    <n v="2145"/>
    <m/>
    <n v="0"/>
    <n v="0"/>
    <n v="0"/>
    <n v="7.4999999999999997E-3"/>
    <n v="0"/>
    <m/>
    <n v="0"/>
    <n v="0"/>
  </r>
  <r>
    <x v="799"/>
    <s v="05-2026"/>
    <x v="2"/>
    <e v="#N/A"/>
    <x v="3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66"/>
    <n v="66"/>
    <m/>
    <n v="0"/>
    <n v="0"/>
    <n v="0"/>
    <n v="7.4999999999999997E-3"/>
    <n v="0"/>
    <m/>
    <n v="0"/>
    <n v="0"/>
  </r>
  <r>
    <x v="799"/>
    <d v="2026-04-22T00:00:00"/>
    <x v="2"/>
    <e v="#N/A"/>
    <x v="3"/>
    <s v="DRY2600102"/>
    <s v="HK"/>
    <s v="CPFNW"/>
    <s v="CPM Hongkong"/>
    <s v="Minced ND+หมาล่า"/>
    <s v="Cooked Wonton"/>
    <s v="Cooked Minced  ND No Egg หมาล่า"/>
    <s v="082SR3G24003P04001"/>
    <s v="300g*24"/>
    <n v="24"/>
    <n v="3"/>
    <n v="6.0000000000000001E-3"/>
    <x v="4"/>
    <s v="Salt"/>
    <s v="หมาล่า"/>
    <n v="15"/>
    <n v="15"/>
    <m/>
    <n v="0"/>
    <n v="0"/>
    <n v="0"/>
    <n v="1.2999999999999999E-2"/>
    <n v="0"/>
    <s v="stock 631 ถ้วยจาก denmark"/>
    <n v="0"/>
    <n v="0"/>
  </r>
  <r>
    <x v="799"/>
    <d v="2026-04-29T00:00:00"/>
    <x v="2"/>
    <e v="#N/A"/>
    <x v="3"/>
    <s v="DRY2600044"/>
    <s v="SG"/>
    <s v="CPFNW"/>
    <s v="CP FOODS SINGAPORE PTE. LTD"/>
    <s v="Minced ND+หมาล่า"/>
    <s v="Cooked Wonton"/>
    <s v="Cooked Minced  ND No Egg หมาล่า"/>
    <s v="082SR3B24003P00001"/>
    <s v="300g*24"/>
    <n v="24"/>
    <n v="3"/>
    <n v="6.0000000000000001E-3"/>
    <x v="4"/>
    <s v="Salt"/>
    <s v="หมาล่า"/>
    <n v="145"/>
    <n v="132"/>
    <n v="15.75"/>
    <n v="2.75"/>
    <n v="0"/>
    <n v="0"/>
    <n v="2.4E-2"/>
    <n v="0"/>
    <m/>
    <n v="0"/>
    <n v="0"/>
  </r>
  <r>
    <x v="800"/>
    <d v="2026-04-16T00:00:00"/>
    <x v="2"/>
    <e v="#N/A"/>
    <x v="3"/>
    <s v="DRY2500361"/>
    <s v="Korea"/>
    <s v="CPFNW"/>
    <s v="Consumer Package Commerce"/>
    <s v="R-Minced no egg"/>
    <s v="Raw Wonton"/>
    <s v="Raw Minced Wonton 50 pcs"/>
    <s v="082ID3U10050P00001"/>
    <s v="530g*10inner"/>
    <n v="10"/>
    <n v="50"/>
    <n v="4.0000000000000001E-3"/>
    <x v="4"/>
    <s v="STPP"/>
    <s v="ซุปซอง 5g."/>
    <n v="508"/>
    <n v="508"/>
    <m/>
    <n v="0"/>
    <n v="0"/>
    <n v="0"/>
    <n v="6"/>
    <n v="0"/>
    <m/>
    <n v="0"/>
    <n v="0"/>
  </r>
  <r>
    <x v="800"/>
    <s v="04-2026"/>
    <x v="2"/>
    <e v="#N/A"/>
    <x v="3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1355"/>
    <n v="1355"/>
    <m/>
    <n v="0"/>
    <n v="0"/>
    <n v="0"/>
    <n v="1.7000000000000001E-2"/>
    <n v="0"/>
    <m/>
    <n v="0"/>
    <n v="0"/>
  </r>
  <r>
    <x v="800"/>
    <s v="05-2026"/>
    <x v="2"/>
    <e v="#N/A"/>
    <x v="3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59"/>
    <n v="59"/>
    <m/>
    <n v="0"/>
    <n v="0"/>
    <n v="0"/>
    <n v="1.7000000000000001E-2"/>
    <n v="0"/>
    <m/>
    <n v="0"/>
    <n v="0"/>
  </r>
  <r>
    <x v="800"/>
    <s v="04-2026"/>
    <x v="2"/>
    <e v="#N/A"/>
    <x v="3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x v="2"/>
    <s v="STPP"/>
    <s v="หมาล่า"/>
    <n v="2061"/>
    <n v="2061"/>
    <m/>
    <n v="0"/>
    <n v="0"/>
    <n v="0"/>
    <n v="1.83E-2"/>
    <n v="0"/>
    <m/>
    <n v="0"/>
    <n v="0"/>
  </r>
  <r>
    <x v="801"/>
    <d v="2026-04-16T00:00:00"/>
    <x v="2"/>
    <e v="#N/A"/>
    <x v="3"/>
    <s v="DRY2500361"/>
    <s v="Korea"/>
    <s v="CPFNW"/>
    <s v="Consumer Package Commerce"/>
    <s v="R-Minced no egg"/>
    <s v="Raw Wonton"/>
    <s v="Raw Minced Wonton 50 pcs"/>
    <s v="082ID3U10050P00001"/>
    <s v="530g*10inner"/>
    <n v="10"/>
    <n v="50"/>
    <n v="4.0000000000000001E-3"/>
    <x v="4"/>
    <s v="STPP"/>
    <s v="ซุปซอง 5g."/>
    <n v="470"/>
    <n v="404"/>
    <n v="71"/>
    <n v="5"/>
    <n v="0"/>
    <n v="0"/>
    <n v="6"/>
    <n v="0"/>
    <m/>
    <n v="0"/>
    <n v="0"/>
  </r>
  <r>
    <x v="801"/>
    <s v="05-2026"/>
    <x v="2"/>
    <e v="#N/A"/>
    <x v="3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1379"/>
    <n v="1379"/>
    <m/>
    <n v="0"/>
    <n v="0"/>
    <n v="0"/>
    <n v="1.7000000000000001E-2"/>
    <n v="0"/>
    <m/>
    <n v="0"/>
    <n v="0"/>
  </r>
  <r>
    <x v="801"/>
    <s v="04-2026"/>
    <x v="2"/>
    <e v="#N/A"/>
    <x v="3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x v="2"/>
    <s v="STPP"/>
    <s v="หมาล่า"/>
    <n v="2047"/>
    <n v="2047"/>
    <m/>
    <n v="0"/>
    <n v="0"/>
    <n v="0"/>
    <n v="1.83E-2"/>
    <n v="0"/>
    <m/>
    <n v="0"/>
    <n v="0"/>
  </r>
  <r>
    <x v="802"/>
    <d v="2026-04-29T00:00:00"/>
    <x v="2"/>
    <e v="#N/A"/>
    <x v="3"/>
    <s v="DRY2600043"/>
    <s v="SG"/>
    <s v="CPFNW"/>
    <s v="CP FOODS SINGAPORE PTE. LTD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1000"/>
    <n v="826"/>
    <n v="174"/>
    <n v="0"/>
    <n v="0"/>
    <n v="0"/>
    <n v="2"/>
    <n v="0"/>
    <s v="ห่อแบบสุก"/>
    <n v="0"/>
    <n v="0"/>
  </r>
  <r>
    <x v="802"/>
    <s v="04-2026"/>
    <x v="2"/>
    <e v="#N/A"/>
    <x v="3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x v="2"/>
    <s v="STPP"/>
    <s v="หมาล่า"/>
    <n v="3369"/>
    <n v="3369"/>
    <m/>
    <n v="0"/>
    <n v="0"/>
    <n v="0"/>
    <n v="1.83E-2"/>
    <n v="0"/>
    <m/>
    <n v="0"/>
    <n v="0"/>
  </r>
  <r>
    <x v="803"/>
    <m/>
    <x v="2"/>
    <e v="#N/A"/>
    <x v="3"/>
    <m/>
    <m/>
    <m/>
    <m/>
    <m/>
    <m/>
    <m/>
    <m/>
    <m/>
    <m/>
    <m/>
    <m/>
    <x v="0"/>
    <m/>
    <m/>
    <m/>
    <m/>
    <m/>
    <m/>
    <m/>
    <n v="0"/>
    <m/>
    <m/>
    <m/>
    <m/>
    <m/>
  </r>
  <r>
    <x v="804"/>
    <m/>
    <x v="2"/>
    <e v="#N/A"/>
    <x v="3"/>
    <m/>
    <m/>
    <m/>
    <m/>
    <m/>
    <m/>
    <m/>
    <m/>
    <m/>
    <m/>
    <m/>
    <m/>
    <x v="0"/>
    <m/>
    <m/>
    <m/>
    <m/>
    <m/>
    <m/>
    <m/>
    <n v="0"/>
    <m/>
    <m/>
    <m/>
    <m/>
    <m/>
  </r>
  <r>
    <x v="805"/>
    <m/>
    <x v="2"/>
    <e v="#N/A"/>
    <x v="3"/>
    <m/>
    <m/>
    <m/>
    <m/>
    <m/>
    <m/>
    <m/>
    <m/>
    <m/>
    <m/>
    <m/>
    <m/>
    <x v="0"/>
    <m/>
    <m/>
    <m/>
    <m/>
    <m/>
    <m/>
    <m/>
    <n v="0"/>
    <m/>
    <m/>
    <m/>
    <m/>
    <m/>
  </r>
  <r>
    <x v="806"/>
    <m/>
    <x v="2"/>
    <e v="#N/A"/>
    <x v="3"/>
    <m/>
    <m/>
    <m/>
    <m/>
    <m/>
    <m/>
    <m/>
    <m/>
    <m/>
    <m/>
    <m/>
    <m/>
    <x v="0"/>
    <m/>
    <m/>
    <m/>
    <m/>
    <m/>
    <m/>
    <m/>
    <n v="0"/>
    <m/>
    <m/>
    <m/>
    <m/>
    <m/>
  </r>
  <r>
    <x v="807"/>
    <d v="2026-04-28T00:00:00"/>
    <x v="2"/>
    <e v="#N/A"/>
    <x v="3"/>
    <s v="DRY2600084"/>
    <s v="UK"/>
    <s v="CPFNW"/>
    <s v="Westbridge Foods Limited (One UK)"/>
    <s v="Minced ND"/>
    <s v="Cooked Wonton"/>
    <s v="Cooked Minced Wonton Noodle No Egg"/>
    <s v="082SRWE24005P00001"/>
    <s v="258g*4c*6in"/>
    <n v="24"/>
    <n v="5"/>
    <n v="6.0000000000000001E-3"/>
    <x v="4"/>
    <s v="Salt"/>
    <s v="Regular"/>
    <n v="705"/>
    <n v="415"/>
    <n v="291.08333333333331"/>
    <n v="1.0833333333332575"/>
    <n v="0"/>
    <n v="0"/>
    <n v="7.4999999999999997E-3"/>
    <n v="0"/>
    <s v="package new ถ้วยสีขาว"/>
    <n v="0"/>
    <n v="0"/>
  </r>
  <r>
    <x v="807"/>
    <d v="2026-05-05T00:00:00"/>
    <x v="2"/>
    <e v="#N/A"/>
    <x v="3"/>
    <s v="DRY2600073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800"/>
    <n v="683"/>
    <n v="117.58333333333333"/>
    <n v="0.58333333333337123"/>
    <n v="0"/>
    <n v="0"/>
    <n v="7.4999999999999997E-3"/>
    <n v="0"/>
    <s v="New Package"/>
    <n v="0"/>
    <n v="0"/>
  </r>
  <r>
    <x v="807"/>
    <d v="2026-05-05T00:00:00"/>
    <x v="2"/>
    <e v="#N/A"/>
    <x v="3"/>
    <s v="DRY2600074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700"/>
    <n v="688"/>
    <n v="12"/>
    <n v="0"/>
    <n v="0"/>
    <n v="0"/>
    <n v="7.4999999999999997E-3"/>
    <n v="0"/>
    <s v="New Package"/>
    <n v="0"/>
    <n v="0"/>
  </r>
  <r>
    <x v="807"/>
    <d v="2026-05-12T00:00:00"/>
    <x v="2"/>
    <e v="#N/A"/>
    <x v="3"/>
    <s v="DRY2600069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n v="0"/>
    <n v="7.4999999999999997E-3"/>
    <n v="0"/>
    <s v="new package (ลบโลโก้ Facebook)"/>
    <n v="0"/>
    <n v="0"/>
  </r>
  <r>
    <x v="808"/>
    <d v="2026-05-28T00:00:00"/>
    <x v="2"/>
    <e v="#N/A"/>
    <x v="3"/>
    <s v="DRY2600110"/>
    <s v="New Zealand"/>
    <s v="CPFNW"/>
    <s v="Lim Brothers"/>
    <s v="C-Minced WT in tray no egg"/>
    <s v="Cooked Wonton"/>
    <s v="Cooked Minced Wonton in Tray 6 pcs + Sesame Sauce"/>
    <s v="082SKN716006P00001"/>
    <s v="117*2tray*8in"/>
    <n v="16"/>
    <n v="6"/>
    <n v="6.0000000000000001E-3"/>
    <x v="4"/>
    <s v="Salt"/>
    <s v=" Sesame 15g"/>
    <n v="216"/>
    <m/>
    <n v="233.375"/>
    <n v="17.375"/>
    <n v="0"/>
    <n v="0"/>
    <n v="1"/>
    <n v="0"/>
    <m/>
    <n v="0"/>
    <n v="0"/>
  </r>
  <r>
    <x v="808"/>
    <s v="05-2026"/>
    <x v="2"/>
    <e v="#N/A"/>
    <x v="3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082"/>
    <n v="1082"/>
    <m/>
    <n v="0"/>
    <n v="0"/>
    <n v="0"/>
    <n v="7.4999999999999997E-3"/>
    <n v="0"/>
    <m/>
    <n v="0"/>
    <n v="0"/>
  </r>
  <r>
    <x v="808"/>
    <d v="2026-04-27T00:00:00"/>
    <x v="2"/>
    <e v="#N/A"/>
    <x v="3"/>
    <s v="DRY2600044"/>
    <s v="SG"/>
    <s v="CPFNW"/>
    <s v="CP FOODS SINGAPORE PTE. LTD"/>
    <s v="Wonton ND+Kee Mao"/>
    <s v="Cooked Wonton"/>
    <s v="Cooked Wonton Thai Spicy Pumpkin Noodles (Drunken Noodles)"/>
    <s v="082SJ3B24003P04001"/>
    <s v="250g*24"/>
    <n v="24"/>
    <n v="3"/>
    <n v="8.0000000000000002E-3"/>
    <x v="1"/>
    <s v="Salt"/>
    <s v="Kee Mao"/>
    <n v="420"/>
    <n v="419"/>
    <n v="7.083333333333333"/>
    <n v="6.0833333333333144"/>
    <n v="0"/>
    <n v="0"/>
    <n v="6.5000000000000002E-2"/>
    <n v="0"/>
    <m/>
    <n v="0"/>
    <n v="0"/>
  </r>
  <r>
    <x v="808"/>
    <d v="2026-05-06T00:00:00"/>
    <x v="2"/>
    <e v="#N/A"/>
    <x v="3"/>
    <s v="DRY2600033"/>
    <s v="AUS"/>
    <s v="CPFNW"/>
    <s v="CPF Australia Pty Ltd.(Woolworth)"/>
    <s v="Minced ND+Kee Mao"/>
    <s v="Cooked Wonton"/>
    <s v="Cooked Minced Wonton Thai Spicy Noodles (Kee Mao Noodles)"/>
    <s v="082SR9U05003P00001"/>
    <s v="283g*5"/>
    <n v="5"/>
    <n v="3"/>
    <n v="6.0000000000000001E-3"/>
    <x v="4"/>
    <s v="Salt"/>
    <s v="Kee Mao"/>
    <n v="5000"/>
    <m/>
    <n v="5026.6000000000004"/>
    <n v="26.600000000000364"/>
    <n v="0"/>
    <n v="0"/>
    <n v="1"/>
    <n v="0"/>
    <s v="ถ้าว,ฝา สีขาว"/>
    <n v="0"/>
    <n v="0"/>
  </r>
  <r>
    <x v="808"/>
    <d v="2026-04-23T00:00:00"/>
    <x v="2"/>
    <e v="#N/A"/>
    <x v="3"/>
    <s v="DRY2600055"/>
    <s v="New Zealand"/>
    <s v="CPFNW"/>
    <s v="Lim Brothers Import&amp;Export Co.,Ltd."/>
    <s v="Minced ND+V+TK"/>
    <s v="Cooked Wonton"/>
    <s v="Cooked Minced  ND No Egg with Pumpkin_x000a_+ Yu Choy Tomkha"/>
    <s v="082SRN708003P01001"/>
    <s v="302g*8"/>
    <n v="8"/>
    <n v="3"/>
    <n v="6.0000000000000001E-3"/>
    <x v="4"/>
    <s v="Salt"/>
    <s v="Tomkha+CM"/>
    <n v="600"/>
    <m/>
    <n v="600"/>
    <n v="0"/>
    <n v="0"/>
    <n v="0"/>
    <n v="5.8823E-2"/>
    <n v="0"/>
    <m/>
    <n v="0"/>
    <n v="0"/>
  </r>
  <r>
    <x v="808"/>
    <d v="2026-05-28T00:00:00"/>
    <x v="2"/>
    <e v="#N/A"/>
    <x v="3"/>
    <s v="DRY2600110"/>
    <s v="New Zealand"/>
    <s v="CPFNW"/>
    <s v="Lim Brothers Import&amp;Export Co.,Ltd."/>
    <s v="Minced ND+V+TK"/>
    <s v="Cooked Wonton"/>
    <s v="Cooked Minced  ND No Egg with Pumpkin_x000a_+ Yu Choy Tomkha"/>
    <s v="082SRN708003P01001"/>
    <s v="302g*8"/>
    <n v="8"/>
    <n v="3"/>
    <n v="6.0000000000000001E-3"/>
    <x v="4"/>
    <s v="Salt"/>
    <s v="Tomkha+CM"/>
    <n v="560"/>
    <m/>
    <n v="560"/>
    <n v="0"/>
    <n v="0"/>
    <n v="0"/>
    <n v="5.8823E-2"/>
    <n v="0"/>
    <m/>
    <n v="0"/>
    <n v="0"/>
  </r>
  <r>
    <x v="808"/>
    <d v="2026-05-06T00:00:00"/>
    <x v="2"/>
    <e v="#N/A"/>
    <x v="3"/>
    <s v="DRY2600034"/>
    <s v="AUS"/>
    <s v="CPFNW"/>
    <s v="CPF Australia Pty Ltd.(Woolworth)"/>
    <s v="Minced ND+V+TK"/>
    <s v="Cooked Wonton"/>
    <s v="Cooked Minced  ND No Egg with Pumpkin_x000a_+ Yu Choy Tomkha"/>
    <s v="082SR9U05003P01001"/>
    <s v="302g*5"/>
    <n v="5"/>
    <n v="3"/>
    <n v="6.0000000000000001E-3"/>
    <x v="4"/>
    <s v="Salt"/>
    <s v="Tomkha+CM"/>
    <n v="5000"/>
    <m/>
    <n v="5038.6000000000004"/>
    <n v="38.600000000000364"/>
    <n v="0"/>
    <n v="0"/>
    <n v="5.8823E-2"/>
    <n v="0"/>
    <s v="ถ้าว,ฝา สีขาว"/>
    <n v="0"/>
    <n v="0"/>
  </r>
  <r>
    <x v="808"/>
    <d v="2026-05-12T00:00:00"/>
    <x v="2"/>
    <e v="#N/A"/>
    <x v="3"/>
    <s v="DRY2600078"/>
    <s v="Denmark"/>
    <s v="CPFNW"/>
    <s v="CPF DENMARK"/>
    <s v="Minced ND+V+TK"/>
    <s v="Cooked Wonton"/>
    <s v="Cooked Minced  ND No Egg with Pumpkin_x000a_+ Yu Choy Tomkha"/>
    <s v="082SJKW08003P01001"/>
    <s v="302g*8"/>
    <n v="8"/>
    <n v="3"/>
    <n v="6.0000000000000001E-3"/>
    <x v="4"/>
    <s v="Salt"/>
    <s v="Tomkha+CM"/>
    <n v="1750"/>
    <m/>
    <n v="1758.375"/>
    <n v="8.375"/>
    <n v="0"/>
    <n v="0"/>
    <n v="5.8823E-2"/>
    <n v="0"/>
    <m/>
    <n v="0"/>
    <n v="0"/>
  </r>
  <r>
    <x v="809"/>
    <s v="05-2026"/>
    <x v="2"/>
    <e v="#N/A"/>
    <x v="3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553"/>
    <n v="1553"/>
    <m/>
    <n v="0"/>
    <n v="0"/>
    <n v="0"/>
    <n v="7.4999999999999997E-3"/>
    <n v="0"/>
    <m/>
    <n v="0"/>
    <n v="0"/>
  </r>
  <r>
    <x v="809"/>
    <d v="2026-04-23T00:00:00"/>
    <x v="2"/>
    <e v="#N/A"/>
    <x v="3"/>
    <s v="DRY2600080"/>
    <s v="New Zealand"/>
    <s v="CPFNW"/>
    <s v="Lim Brothers Import&amp;Export Co.,Ltd."/>
    <s v="Wonton ND+V"/>
    <s v="Cooked Wonton"/>
    <s v="Cooked Wonton ND No Egg with Pumpkin_x000a_+ Yu Choy "/>
    <s v="082SJN7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s v="ถ้าว,ฝา สีขาว New Package"/>
    <n v="0"/>
    <n v="0"/>
  </r>
  <r>
    <x v="809"/>
    <d v="2026-04-30T00:00:00"/>
    <x v="2"/>
    <e v="#N/A"/>
    <x v="3"/>
    <s v="DRY2600052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34"/>
    <n v="58"/>
    <n v="0"/>
    <n v="0"/>
    <n v="0"/>
    <n v="7.4999999999999997E-3"/>
    <n v="0"/>
    <s v="ถ้าว,ฝา สีขาว New Package"/>
    <n v="0"/>
    <n v="0"/>
  </r>
  <r>
    <x v="809"/>
    <d v="2026-05-06T00:00:00"/>
    <x v="2"/>
    <e v="#N/A"/>
    <x v="3"/>
    <s v="DRY2600032"/>
    <s v="AUS"/>
    <s v="CPFNW"/>
    <s v="CPF Australia Pty Ltd.(Woolworth)"/>
    <s v="Wonton ND+V"/>
    <s v="Cooked Wonton ND No Egg with Pumpkin_x000a_+ Yu Choy "/>
    <s v="Cooked Wonton ND No Egg with Pumpkin_x000a_+ Yu Choy "/>
    <s v="082SJ9U05004P00001"/>
    <s v="305g*5"/>
    <n v="5"/>
    <n v="4"/>
    <n v="7.4999999999999997E-3"/>
    <x v="5"/>
    <s v="Salt"/>
    <s v="Regular"/>
    <n v="5000"/>
    <m/>
    <n v="5000"/>
    <n v="0"/>
    <n v="0"/>
    <n v="0"/>
    <n v="7.4999999999999997E-3"/>
    <n v="0"/>
    <s v="ถ้าว,ฝา สีขาว"/>
    <n v="0"/>
    <n v="0"/>
  </r>
  <r>
    <x v="810"/>
    <m/>
    <x v="2"/>
    <e v="#N/A"/>
    <x v="3"/>
    <m/>
    <m/>
    <m/>
    <m/>
    <m/>
    <m/>
    <m/>
    <m/>
    <m/>
    <m/>
    <m/>
    <m/>
    <x v="0"/>
    <m/>
    <m/>
    <m/>
    <m/>
    <m/>
    <m/>
    <m/>
    <n v="0"/>
    <m/>
    <m/>
    <m/>
    <m/>
    <m/>
  </r>
  <r>
    <x v="811"/>
    <d v="2026-05-12T00:00:00"/>
    <x v="2"/>
    <e v="#N/A"/>
    <x v="3"/>
    <s v="DRY2600011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x v="811"/>
    <d v="2026-05-19T00:00:00"/>
    <x v="2"/>
    <e v="#N/A"/>
    <x v="3"/>
    <s v="DRY2600012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x v="811"/>
    <s v="05-2026"/>
    <x v="2"/>
    <e v="#N/A"/>
    <x v="3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061"/>
    <n v="1061"/>
    <m/>
    <n v="0"/>
    <n v="0"/>
    <n v="0"/>
    <n v="7.4999999999999997E-3"/>
    <n v="0"/>
    <m/>
    <n v="0"/>
    <n v="0"/>
  </r>
  <r>
    <x v="812"/>
    <s v="04-2026"/>
    <x v="2"/>
    <e v="#N/A"/>
    <x v="3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x v="2"/>
    <s v="STPP"/>
    <s v="หมาล่า"/>
    <n v="2440"/>
    <n v="2440"/>
    <m/>
    <n v="0"/>
    <n v="0"/>
    <n v="0"/>
    <n v="1.83E-2"/>
    <n v="0"/>
    <m/>
    <n v="0"/>
    <n v="0"/>
  </r>
  <r>
    <x v="812"/>
    <s v="05-2026"/>
    <x v="2"/>
    <e v="#N/A"/>
    <x v="3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x v="2"/>
    <s v="STPP"/>
    <s v="หมาล่า"/>
    <n v="2500"/>
    <n v="1894"/>
    <n v="606"/>
    <n v="0"/>
    <n v="0"/>
    <n v="0"/>
    <n v="1.83E-2"/>
    <n v="0"/>
    <m/>
    <n v="0"/>
    <n v="0"/>
  </r>
  <r>
    <x v="813"/>
    <s v="05-2026"/>
    <x v="2"/>
    <e v="#N/A"/>
    <x v="3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5088"/>
    <n v="5088"/>
    <m/>
    <n v="0"/>
    <n v="0"/>
    <n v="0"/>
    <n v="7.4999999999999997E-3"/>
    <n v="0"/>
    <m/>
    <n v="0"/>
    <n v="0"/>
  </r>
  <r>
    <x v="814"/>
    <s v="05-2026"/>
    <x v="2"/>
    <e v="#N/A"/>
    <x v="3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1804"/>
    <n v="1804"/>
    <m/>
    <n v="0"/>
    <n v="0"/>
    <n v="0"/>
    <n v="1.7000000000000001E-2"/>
    <n v="0"/>
    <m/>
    <n v="0"/>
    <n v="0"/>
  </r>
  <r>
    <x v="814"/>
    <s v="06-2026"/>
    <x v="2"/>
    <e v="#N/A"/>
    <x v="3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300"/>
    <n v="300"/>
    <m/>
    <n v="0"/>
    <n v="0"/>
    <n v="0"/>
    <n v="7.4999999999999997E-3"/>
    <n v="0"/>
    <m/>
    <n v="0"/>
    <n v="0"/>
  </r>
  <r>
    <x v="814"/>
    <s v="08-2026"/>
    <x v="2"/>
    <e v="#N/A"/>
    <x v="3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27"/>
    <n v="27"/>
    <m/>
    <n v="0"/>
    <n v="0"/>
    <n v="0"/>
    <n v="7.4999999999999997E-3"/>
    <n v="0"/>
    <s v="Add Potassium"/>
    <n v="0"/>
    <n v="0"/>
  </r>
  <r>
    <x v="814"/>
    <d v="2026-05-15T00:00:00"/>
    <x v="2"/>
    <e v="#N/A"/>
    <x v="3"/>
    <s v="LA006/2569"/>
    <s v="Laos"/>
    <s v="Laos"/>
    <s v="บริษัท ปิก้าเทรดดิ้ง จำกัด"/>
    <s v="E+Wonton"/>
    <s v="Cooked Wonton"/>
    <s v="เกี๊ยวกุ้งจักรพรรดิ 12x145g."/>
    <s v="082S8L212005P00001"/>
    <s v="145g*12"/>
    <n v="12"/>
    <n v="5"/>
    <n v="8.0000000000000002E-3"/>
    <x v="1"/>
    <s v="STPP"/>
    <s v="Regular"/>
    <n v="100"/>
    <n v="100"/>
    <m/>
    <n v="0"/>
    <n v="0"/>
    <n v="0"/>
    <n v="7.4999999999999997E-3"/>
    <n v="0"/>
    <m/>
    <n v="0"/>
    <n v="0"/>
  </r>
  <r>
    <x v="814"/>
    <s v="05-2026"/>
    <x v="2"/>
    <e v="#N/A"/>
    <x v="3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2393"/>
    <n v="2393"/>
    <m/>
    <n v="0"/>
    <n v="0"/>
    <n v="0"/>
    <n v="7.4999999999999997E-3"/>
    <n v="0"/>
    <m/>
    <n v="0"/>
    <n v="0"/>
  </r>
  <r>
    <x v="814"/>
    <s v="05-2026"/>
    <x v="2"/>
    <e v="#N/A"/>
    <x v="3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251"/>
    <n v="251"/>
    <m/>
    <n v="0"/>
    <n v="0"/>
    <n v="0"/>
    <n v="7.4999999999999997E-3"/>
    <n v="0"/>
    <m/>
    <n v="0"/>
    <n v="0"/>
  </r>
  <r>
    <x v="815"/>
    <s v="05-2026"/>
    <x v="2"/>
    <e v="#N/A"/>
    <x v="3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1516"/>
    <n v="1516"/>
    <m/>
    <n v="0"/>
    <n v="0"/>
    <n v="0"/>
    <n v="1.7000000000000001E-2"/>
    <n v="0"/>
    <m/>
    <n v="0"/>
    <n v="0"/>
  </r>
  <r>
    <x v="815"/>
    <d v="2026-05-21T00:00:00"/>
    <x v="2"/>
    <e v="#N/A"/>
    <x v="3"/>
    <s v="DRY2600053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s v="ถ้าว,ฝา สีขาว New Package"/>
    <n v="0"/>
    <n v="0"/>
  </r>
  <r>
    <x v="815"/>
    <d v="2026-05-21T00:00:00"/>
    <x v="2"/>
    <e v="#N/A"/>
    <x v="3"/>
    <s v="DRY2600090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s v="ถ้าว,ฝา สีขาว New Package"/>
    <n v="0"/>
    <n v="0"/>
  </r>
  <r>
    <x v="815"/>
    <d v="2026-05-27T00:00:00"/>
    <x v="2"/>
    <e v="#N/A"/>
    <x v="3"/>
    <s v="DRY2600091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1"/>
    <n v="1"/>
    <n v="0"/>
    <n v="0"/>
    <n v="0"/>
    <n v="7.4999999999999997E-3"/>
    <n v="0"/>
    <s v="ถ้าว,ฝา สีขาว New Package"/>
    <n v="0"/>
    <n v="0"/>
  </r>
  <r>
    <x v="816"/>
    <s v="05-2026"/>
    <x v="2"/>
    <e v="#N/A"/>
    <x v="3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089"/>
    <n v="1089"/>
    <m/>
    <n v="0"/>
    <n v="0"/>
    <n v="0"/>
    <n v="7.4999999999999997E-3"/>
    <n v="0"/>
    <m/>
    <n v="0"/>
    <n v="0"/>
  </r>
  <r>
    <x v="817"/>
    <m/>
    <x v="2"/>
    <e v="#N/A"/>
    <x v="3"/>
    <m/>
    <m/>
    <m/>
    <m/>
    <m/>
    <m/>
    <m/>
    <m/>
    <m/>
    <m/>
    <m/>
    <m/>
    <x v="0"/>
    <m/>
    <m/>
    <m/>
    <m/>
    <m/>
    <m/>
    <m/>
    <n v="0"/>
    <m/>
    <m/>
    <m/>
    <m/>
    <m/>
  </r>
  <r>
    <x v="818"/>
    <d v="2026-05-18T00:00:00"/>
    <x v="2"/>
    <e v="#N/A"/>
    <x v="3"/>
    <s v="DRY2600079"/>
    <s v="SG"/>
    <s v="CPFNW"/>
    <s v="CP FOODS SINGAPORE PTE. LTD"/>
    <s v="R-Wonton egg past"/>
    <s v="Raw Wonton"/>
    <s v="Raw Wonton 12 pcs with sesame"/>
    <s v="082I93B20012P02001"/>
    <s v="204g*20in"/>
    <n v="20"/>
    <n v="12"/>
    <n v="6.8100000000000001E-3"/>
    <x v="3"/>
    <s v="STPP"/>
    <s v=" sesame 30g"/>
    <n v="1200"/>
    <n v="653"/>
    <n v="551"/>
    <n v="4"/>
    <n v="0"/>
    <n v="0"/>
    <n v="2"/>
    <n v="0"/>
    <s v="ห่อแบบดิบ"/>
    <n v="0"/>
    <n v="0"/>
  </r>
  <r>
    <x v="819"/>
    <d v="2026-06-08T00:00:00"/>
    <x v="2"/>
    <e v="#N/A"/>
    <x v="3"/>
    <s v="DRY2600082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n v="0"/>
    <n v="7.4999999999999997E-3"/>
    <n v="0"/>
    <s v="new package (ลบโลโก้ Facebook)"/>
    <n v="0"/>
    <n v="0"/>
  </r>
  <r>
    <x v="819"/>
    <d v="2026-05-21T00:00:00"/>
    <x v="2"/>
    <e v="#N/A"/>
    <x v="3"/>
    <s v="DRY2600081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SG+CO"/>
    <n v="390"/>
    <n v="390"/>
    <m/>
    <n v="0"/>
    <n v="0"/>
    <n v="0"/>
    <n v="3.8699999999999998E-2"/>
    <n v="0"/>
    <m/>
    <n v="0"/>
    <n v="0"/>
  </r>
  <r>
    <x v="819"/>
    <d v="2026-05-27T00:00:00"/>
    <x v="2"/>
    <e v="#N/A"/>
    <x v="3"/>
    <s v="DRY2600065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SG+CO"/>
    <n v="390"/>
    <n v="89"/>
    <n v="301"/>
    <n v="0"/>
    <n v="0"/>
    <n v="0"/>
    <n v="3.8699999999999998E-2"/>
    <n v="0"/>
    <m/>
    <n v="0"/>
    <n v="0"/>
  </r>
  <r>
    <x v="819"/>
    <d v="2026-05-28T00:00:00"/>
    <x v="2"/>
    <e v="#N/A"/>
    <x v="3"/>
    <s v="DRY2600110"/>
    <s v="New Zealand"/>
    <s v="CPFNW"/>
    <s v="Lim Brothers Import&amp;Export Co.,Ltd."/>
    <s v="Minced ND+V+TY"/>
    <s v="Cooked Wonton"/>
    <s v="Cooked Minced  ND No Egg with Pumpkin_x000a_+ Yu Choy Tomyum"/>
    <s v="082SRN708003P00001"/>
    <s v="302g*8"/>
    <n v="8"/>
    <n v="3"/>
    <n v="6.0000000000000001E-3"/>
    <x v="4"/>
    <s v="Salt"/>
    <s v="TYEXSG+CO"/>
    <n v="60"/>
    <m/>
    <n v="60"/>
    <n v="0"/>
    <n v="0"/>
    <n v="0"/>
    <n v="3.8699999999999998E-2"/>
    <n v="0"/>
    <m/>
    <n v="0"/>
    <n v="0"/>
  </r>
  <r>
    <x v="819"/>
    <d v="2026-05-12T00:00:00"/>
    <x v="2"/>
    <e v="#N/A"/>
    <x v="3"/>
    <s v="DRY2600078"/>
    <s v="Denmark"/>
    <s v="CPFNW"/>
    <s v="CPF DENMARK"/>
    <s v="Wonton ND+V+TY"/>
    <s v="Cooked Wonton"/>
    <s v="Cooked Wonton ND No Egg with Pumpkin _x000a_+ Vegetable  HC  3 pcs tomyam"/>
    <s v="082SJKW08003P00001"/>
    <s v="309g*8"/>
    <n v="8"/>
    <n v="3"/>
    <n v="7.4999999999999997E-3"/>
    <x v="1"/>
    <s v="Salt"/>
    <s v="TYANSSG+CM"/>
    <n v="1750"/>
    <m/>
    <n v="1773.5"/>
    <n v="23.5"/>
    <n v="0"/>
    <n v="0"/>
    <n v="3.85E-2"/>
    <n v="0"/>
    <s v="ต้มยำสูตรลดเผ็ดลง 10 %"/>
    <n v="0"/>
    <n v="0"/>
  </r>
  <r>
    <x v="820"/>
    <s v="05-2026"/>
    <x v="2"/>
    <e v="#N/A"/>
    <x v="3"/>
    <s v="ขายภายใน"/>
    <s v="MTFS"/>
    <s v="CPFGS"/>
    <s v="ซีพีเอฟ เทรดดิ้ง"/>
    <s v="Minced+ND+Kee Mao แห้ง"/>
    <s v="Cooked Wonton"/>
    <s v="บะหมี่เกี๊ยวกุ้งขี้เมา ตราซีพี 235 กรัม"/>
    <s v="082SR3Q12003P02001"/>
    <s v="235g*12"/>
    <n v="12"/>
    <n v="3"/>
    <n v="6.1999999999999998E-3"/>
    <x v="4"/>
    <s v="STPP"/>
    <s v="Kee Mao"/>
    <n v="1667"/>
    <n v="1676"/>
    <n v="5.416666666666667"/>
    <n v="14.416666666666742"/>
    <n v="0"/>
    <n v="0"/>
    <m/>
    <n v="0"/>
    <m/>
    <n v="0"/>
    <n v="0"/>
  </r>
  <r>
    <x v="820"/>
    <s v="05-2026"/>
    <x v="2"/>
    <e v="#N/A"/>
    <x v="3"/>
    <s v="ขายภายใน"/>
    <s v="MTFS"/>
    <s v="CPFGS"/>
    <s v="ซีพีเอฟ เทรดดิ้ง"/>
    <s v="Minced+ND+V+น้ำราดเป็ด"/>
    <s v="Cooked Wonton"/>
    <s v="บะหมี่เกี๊ยวกุ้งสไตล์ฮ่องกง ตราซีพี 235 กรัม"/>
    <s v="082SR3Q12003P01001"/>
    <s v="235g*12"/>
    <n v="12"/>
    <n v="3"/>
    <n v="6.1999999999999998E-3"/>
    <x v="4"/>
    <s v="STPP"/>
    <s v="น้ำราดเป็ด"/>
    <n v="1667"/>
    <n v="1523"/>
    <n v="148.41666666666666"/>
    <n v="4.4166666666667425"/>
    <n v="0"/>
    <n v="0"/>
    <m/>
    <n v="0"/>
    <m/>
    <n v="0"/>
    <n v="0"/>
  </r>
  <r>
    <x v="820"/>
    <d v="2026-05-05T00:00:00"/>
    <x v="2"/>
    <e v="#N/A"/>
    <x v="3"/>
    <s v="DRY2600074"/>
    <s v="USA"/>
    <s v="CPFNW"/>
    <s v="Bellisio Foods, Inc."/>
    <s v="Minced WT"/>
    <s v="Cooked Wonton"/>
    <s v="Cooked Minced Wonton Soup No Egg"/>
    <s v="082SKBW36005P00001"/>
    <s v="145g*6c*6"/>
    <n v="36"/>
    <n v="5"/>
    <n v="6.0000000000000001E-3"/>
    <x v="4"/>
    <s v="Salt"/>
    <s v="Regular"/>
    <n v="450"/>
    <n v="450"/>
    <m/>
    <n v="0"/>
    <n v="0"/>
    <n v="0"/>
    <n v="7.4999999999999997E-3"/>
    <n v="0"/>
    <s v="old Package"/>
    <n v="0"/>
    <n v="0"/>
  </r>
  <r>
    <x v="820"/>
    <s v="05-2026"/>
    <x v="2"/>
    <e v="#N/A"/>
    <x v="3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2249"/>
    <n v="480"/>
    <n v="1769"/>
    <n v="0"/>
    <n v="0"/>
    <n v="0"/>
    <n v="7.4999999999999997E-3"/>
    <n v="0"/>
    <s v="old Package"/>
    <n v="0"/>
    <n v="0"/>
  </r>
  <r>
    <x v="821"/>
    <d v="2026-06-02T00:00:00"/>
    <x v="2"/>
    <e v="#N/A"/>
    <x v="3"/>
    <s v="DRY2600013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x v="821"/>
    <d v="2026-05-06T00:00:00"/>
    <x v="2"/>
    <e v="#N/A"/>
    <x v="3"/>
    <s v="DRY2600073"/>
    <s v="USA"/>
    <s v="CPFNW"/>
    <s v="Bellisio Foods, Inc."/>
    <s v="Minced WT"/>
    <s v="Cooked Wonton"/>
    <s v="Cooked Minced Wonton Soup No Egg"/>
    <s v="082SKBW36005P00001"/>
    <s v="145g*6c*6"/>
    <n v="36"/>
    <n v="5"/>
    <n v="6.0000000000000001E-3"/>
    <x v="4"/>
    <s v="Salt"/>
    <s v="Regular"/>
    <n v="300"/>
    <n v="300"/>
    <n v="2.0277777777777777"/>
    <n v="2.0277777777777715"/>
    <n v="0"/>
    <n v="0"/>
    <n v="7.4999999999999997E-3"/>
    <n v="0"/>
    <s v="New Package"/>
    <n v="0"/>
    <n v="0"/>
  </r>
  <r>
    <x v="821"/>
    <d v="2026-06-08T00:00:00"/>
    <x v="2"/>
    <e v="#N/A"/>
    <x v="3"/>
    <s v="DRY2600076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5000"/>
    <m/>
    <n v="5104.75"/>
    <n v="104.75"/>
    <n v="0"/>
    <n v="0"/>
    <n v="7.4999999999999997E-3"/>
    <n v="0"/>
    <s v="ใช้คำว่า “Best if Used By” แทนคำว่า Best by Date"/>
    <n v="0"/>
    <n v="0"/>
  </r>
  <r>
    <x v="821"/>
    <s v="05-2026"/>
    <x v="2"/>
    <e v="#N/A"/>
    <x v="3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237"/>
    <n v="1237"/>
    <m/>
    <n v="0"/>
    <n v="0"/>
    <n v="0"/>
    <n v="7.4999999999999997E-3"/>
    <n v="0"/>
    <m/>
    <n v="0"/>
    <n v="0"/>
  </r>
  <r>
    <x v="822"/>
    <m/>
    <x v="2"/>
    <e v="#N/A"/>
    <x v="4"/>
    <m/>
    <m/>
    <m/>
    <m/>
    <m/>
    <m/>
    <m/>
    <m/>
    <m/>
    <m/>
    <m/>
    <m/>
    <x v="0"/>
    <m/>
    <m/>
    <m/>
    <m/>
    <m/>
    <m/>
    <m/>
    <n v="0"/>
    <m/>
    <m/>
    <m/>
    <m/>
    <m/>
  </r>
  <r>
    <x v="823"/>
    <m/>
    <x v="2"/>
    <e v="#N/A"/>
    <x v="4"/>
    <m/>
    <m/>
    <m/>
    <m/>
    <m/>
    <m/>
    <m/>
    <m/>
    <m/>
    <m/>
    <m/>
    <m/>
    <x v="0"/>
    <m/>
    <m/>
    <m/>
    <m/>
    <m/>
    <m/>
    <m/>
    <n v="0"/>
    <m/>
    <m/>
    <m/>
    <m/>
    <m/>
  </r>
  <r>
    <x v="824"/>
    <m/>
    <x v="2"/>
    <e v="#N/A"/>
    <x v="4"/>
    <m/>
    <m/>
    <m/>
    <m/>
    <m/>
    <m/>
    <m/>
    <m/>
    <m/>
    <m/>
    <m/>
    <m/>
    <x v="0"/>
    <m/>
    <m/>
    <m/>
    <m/>
    <m/>
    <m/>
    <m/>
    <n v="0"/>
    <m/>
    <m/>
    <m/>
    <m/>
    <m/>
  </r>
  <r>
    <x v="825"/>
    <m/>
    <x v="2"/>
    <e v="#N/A"/>
    <x v="4"/>
    <m/>
    <m/>
    <m/>
    <m/>
    <m/>
    <m/>
    <m/>
    <m/>
    <m/>
    <m/>
    <m/>
    <m/>
    <x v="0"/>
    <m/>
    <m/>
    <m/>
    <m/>
    <m/>
    <m/>
    <m/>
    <n v="0"/>
    <m/>
    <m/>
    <m/>
    <m/>
    <m/>
  </r>
  <r>
    <x v="826"/>
    <s v="05-2026"/>
    <x v="2"/>
    <e v="#N/A"/>
    <x v="4"/>
    <s v="ขายภายใน"/>
    <s v="ขายภายใน"/>
    <s v="CPFGS"/>
    <s v="ซีพีเอฟ เทรดดิ้ง"/>
    <s v="R-Wonton egg past"/>
    <s v="Raw Wonton"/>
    <s v="Raw Wonton 50 pcs OISHI"/>
    <s v="082S01508600G01001"/>
    <s v="600g.*8 packs"/>
    <n v="8"/>
    <n v="50"/>
    <n v="8.1300000000000001E-3"/>
    <x v="1"/>
    <s v="STPP"/>
    <m/>
    <n v="200"/>
    <n v="200"/>
    <m/>
    <n v="0"/>
    <n v="0"/>
    <n v="0"/>
    <m/>
    <n v="0"/>
    <m/>
    <n v="0"/>
    <n v="0"/>
  </r>
  <r>
    <x v="826"/>
    <d v="2026-05-27T00:00:00"/>
    <x v="2"/>
    <e v="#N/A"/>
    <x v="4"/>
    <s v="DRY2600096"/>
    <s v="Malay"/>
    <s v="CPFNW"/>
    <s v="CPM Malaysia"/>
    <s v="R-Wonton egg past"/>
    <s v="Raw Wonton"/>
    <s v="Raw Wonton 12 pcs"/>
    <s v="082I95I20012P02001"/>
    <s v="154g*20inner"/>
    <n v="20"/>
    <n v="12"/>
    <n v="6.8100000000000001E-3"/>
    <x v="3"/>
    <s v="STPP"/>
    <s v="ซุปซอง 5g."/>
    <n v="100"/>
    <n v="100"/>
    <m/>
    <n v="0"/>
    <n v="0"/>
    <n v="0"/>
    <n v="2"/>
    <n v="0"/>
    <s v="new package"/>
    <n v="0"/>
    <n v="0"/>
  </r>
  <r>
    <x v="826"/>
    <d v="2026-05-27T00:00:00"/>
    <x v="2"/>
    <e v="#N/A"/>
    <x v="4"/>
    <s v="DRY2600096"/>
    <s v="Malay"/>
    <s v="CPFNW"/>
    <s v="CPM Malaysia"/>
    <s v="R-Wonton egg past"/>
    <s v="Raw Wonton"/>
    <s v="Raw Wonton 8 pcs (Tomyam 30g.)"/>
    <s v="082I95I18008P00001"/>
    <s v="126g*18in"/>
    <n v="18"/>
    <n v="8"/>
    <n v="6.8100000000000001E-3"/>
    <x v="3"/>
    <s v="STPP"/>
    <s v="TYTB3C 30G"/>
    <n v="100"/>
    <n v="100"/>
    <m/>
    <n v="0"/>
    <n v="0"/>
    <n v="0"/>
    <n v="1"/>
    <n v="0"/>
    <s v="new package"/>
    <n v="0"/>
    <n v="0"/>
  </r>
  <r>
    <x v="826"/>
    <d v="2026-06-01T00:00:00"/>
    <x v="2"/>
    <e v="#N/A"/>
    <x v="4"/>
    <s v="DRY2600060"/>
    <s v="Korea"/>
    <s v="CPFNW"/>
    <s v="Consumer Package Commerce"/>
    <s v="R-Wonton egg past"/>
    <s v="Raw Wonton"/>
    <s v="Raw Wonton 60 pcs"/>
    <s v="082I93U10060P00001"/>
    <s v="750g*10inner"/>
    <n v="10"/>
    <n v="60"/>
    <n v="6.8100000000000001E-3"/>
    <x v="3"/>
    <s v="STPP"/>
    <s v="ซุปซอง 5g."/>
    <n v="775"/>
    <n v="775"/>
    <m/>
    <n v="0"/>
    <n v="0"/>
    <n v="0"/>
    <n v="6"/>
    <n v="0"/>
    <m/>
    <n v="0"/>
    <n v="0"/>
  </r>
  <r>
    <x v="827"/>
    <d v="2026-06-01T00:00:00"/>
    <x v="2"/>
    <e v="#N/A"/>
    <x v="4"/>
    <s v="DRY2600060"/>
    <s v="Korea"/>
    <s v="CPFNW"/>
    <s v="Consumer Package Commerce"/>
    <s v="R-Wonton egg past"/>
    <s v="Raw Wonton"/>
    <s v="Raw Wonton 60 pcs"/>
    <s v="082I93U10060P00001"/>
    <s v="750g*10inner"/>
    <n v="10"/>
    <n v="60"/>
    <n v="6.8100000000000001E-3"/>
    <x v="3"/>
    <s v="STPP"/>
    <s v="ซุปซอง 5g."/>
    <n v="585"/>
    <n v="585"/>
    <m/>
    <n v="0"/>
    <n v="0"/>
    <n v="0"/>
    <n v="6"/>
    <n v="0"/>
    <m/>
    <n v="0"/>
    <n v="0"/>
  </r>
  <r>
    <x v="827"/>
    <d v="2026-06-01T00:00:00"/>
    <x v="2"/>
    <e v="#N/A"/>
    <x v="4"/>
    <s v="DRY2600075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766"/>
    <n v="738"/>
    <n v="28"/>
    <n v="0"/>
    <n v="0"/>
    <n v="0"/>
    <n v="6"/>
    <n v="0"/>
    <m/>
    <n v="0"/>
    <n v="0"/>
  </r>
  <r>
    <x v="828"/>
    <d v="2026-06-01T00:00:00"/>
    <x v="2"/>
    <e v="#N/A"/>
    <x v="4"/>
    <s v="DRY2600075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1290"/>
    <n v="1203"/>
    <n v="126"/>
    <n v="39"/>
    <n v="0"/>
    <n v="0"/>
    <n v="6"/>
    <n v="0"/>
    <m/>
    <n v="0"/>
    <n v="0"/>
  </r>
  <r>
    <x v="829"/>
    <d v="2026-05-27T00:00:00"/>
    <x v="2"/>
    <e v="#N/A"/>
    <x v="4"/>
    <s v="DRY2600096"/>
    <s v="Malay"/>
    <s v="CPFNW"/>
    <s v="CPM Malaysia"/>
    <s v="Wonton"/>
    <s v="Cooked Wonton"/>
    <s v="Cooked Wonton No Egg  "/>
    <s v="082S85I24005P01001"/>
    <s v="145g*24"/>
    <n v="24"/>
    <n v="5"/>
    <n v="8.0000000000000002E-3"/>
    <x v="1"/>
    <s v="STPP"/>
    <s v="Regular"/>
    <n v="1000"/>
    <n v="1000"/>
    <m/>
    <n v="0"/>
    <n v="0"/>
    <n v="0"/>
    <n v="7.4999999999999997E-3"/>
    <n v="0"/>
    <s v="new package"/>
    <n v="0"/>
    <n v="0"/>
  </r>
  <r>
    <x v="829"/>
    <d v="2026-05-27T00:00:00"/>
    <x v="2"/>
    <e v="#N/A"/>
    <x v="4"/>
    <s v="DRY2600096"/>
    <s v="Malay"/>
    <s v="CPFNW"/>
    <s v="CPM Malaysia"/>
    <s v="Wonton+TY"/>
    <s v="Cooked Wonton"/>
    <s v="Cooked Wonton No Egg  Tomyum"/>
    <s v="082S85I24005P02001"/>
    <s v="115g*24"/>
    <n v="24"/>
    <n v="5"/>
    <n v="8.0000000000000002E-3"/>
    <x v="1"/>
    <s v="STPP"/>
    <s v="TYTB3C 30G"/>
    <n v="950"/>
    <n v="950"/>
    <m/>
    <n v="0"/>
    <n v="0"/>
    <n v="0"/>
    <n v="1"/>
    <n v="0"/>
    <s v="new package"/>
    <n v="0"/>
    <n v="0"/>
  </r>
  <r>
    <x v="829"/>
    <d v="2026-05-25T00:00:00"/>
    <x v="2"/>
    <e v="#N/A"/>
    <x v="4"/>
    <s v="DRY2600114"/>
    <s v="Korea"/>
    <s v="CPFNW"/>
    <s v="Consumer Package Commerce"/>
    <s v="Minced ND"/>
    <s v="Cooked Wonton"/>
    <s v="Cooked Minced Wonton Noodle"/>
    <s v="082SR3U12004P00001"/>
    <s v="231g*12"/>
    <n v="12"/>
    <n v="4"/>
    <n v="6.0000000000000001E-3"/>
    <x v="4"/>
    <s v="Salt"/>
    <s v="Regular"/>
    <n v="2500"/>
    <n v="2500"/>
    <n v="21"/>
    <n v="21"/>
    <n v="0"/>
    <n v="0"/>
    <n v="7.4999999999999997E-3"/>
    <n v="0"/>
    <m/>
    <n v="0"/>
    <n v="0"/>
  </r>
  <r>
    <x v="829"/>
    <s v="05-2026"/>
    <x v="2"/>
    <e v="#N/A"/>
    <x v="4"/>
    <s v="ขายภายใน"/>
    <s v="MTFS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750g (Multi Pack)"/>
    <s v="082SG3Q18003P00001"/>
    <s v="250g*3ถ้วย*6ถุง"/>
    <n v="18"/>
    <n v="3"/>
    <n v="6.1999999999999998E-3"/>
    <x v="2"/>
    <s v="STPP"/>
    <s v="หมาล่า"/>
    <n v="2500"/>
    <n v="25"/>
    <n v="2475.3333333333335"/>
    <n v="0.33333333333348492"/>
    <n v="0"/>
    <n v="0"/>
    <n v="1.83E-2"/>
    <n v="0"/>
    <m/>
    <n v="0"/>
    <n v="0"/>
  </r>
  <r>
    <x v="830"/>
    <s v="05-2026"/>
    <x v="2"/>
    <e v="#N/A"/>
    <x v="4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80"/>
    <n v="180"/>
    <m/>
    <n v="0"/>
    <n v="0"/>
    <n v="0"/>
    <n v="7.4999999999999997E-3"/>
    <n v="0"/>
    <m/>
    <n v="0"/>
    <n v="0"/>
  </r>
  <r>
    <x v="830"/>
    <s v="06-2026"/>
    <x v="2"/>
    <e v="#N/A"/>
    <x v="4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2464"/>
    <n v="2464"/>
    <m/>
    <n v="0"/>
    <n v="0"/>
    <n v="0"/>
    <n v="7.4999999999999997E-3"/>
    <n v="0"/>
    <m/>
    <n v="0"/>
    <n v="0"/>
  </r>
  <r>
    <x v="830"/>
    <d v="2026-05-28T00:00:00"/>
    <x v="2"/>
    <e v="#N/A"/>
    <x v="4"/>
    <s v="DRY2600110"/>
    <s v="New Zealand"/>
    <s v="CPFNW"/>
    <s v="Lim Brothers Import&amp;Export Co.,Ltd."/>
    <s v="Wonton ND+V"/>
    <s v="Cooked Wonton"/>
    <s v="Cooked Wonton ND No Egg with Pumpkin_x000a_+ Yu Choy "/>
    <s v="082SJN708004P00001"/>
    <s v="305g*8"/>
    <n v="8"/>
    <n v="4"/>
    <n v="7.4999999999999997E-3"/>
    <x v="5"/>
    <s v="Salt"/>
    <s v="Regular"/>
    <n v="650"/>
    <m/>
    <n v="698.625"/>
    <n v="48.625"/>
    <n v="0"/>
    <n v="0"/>
    <n v="7.4999999999999997E-3"/>
    <n v="0"/>
    <s v="662 Stock Aus"/>
    <n v="0"/>
    <n v="0"/>
  </r>
  <r>
    <x v="830"/>
    <d v="2026-05-28T00:00:00"/>
    <x v="2"/>
    <e v="#N/A"/>
    <x v="4"/>
    <s v="DRY2600035"/>
    <s v="AUS"/>
    <s v="CPFNW"/>
    <s v="CPF Australia Pty Ltd.(Woolworth)"/>
    <s v="Wonton ND+V"/>
    <s v="Cooked Wonton"/>
    <s v="Cooked Wonton ND No Egg with Pumpkin_x000a_+ Yu Choy "/>
    <s v="082SJ9U05004P00001"/>
    <s v="305g*5"/>
    <n v="5"/>
    <n v="4"/>
    <n v="7.4999999999999997E-3"/>
    <x v="5"/>
    <s v="Salt"/>
    <s v="Regular"/>
    <n v="5076"/>
    <m/>
    <n v="5076"/>
    <n v="0"/>
    <n v="0"/>
    <n v="0"/>
    <n v="7.4999999999999997E-3"/>
    <n v="0"/>
    <s v="ถ้าว,ฝา สีขาว"/>
    <n v="0"/>
    <n v="0"/>
  </r>
  <r>
    <x v="830"/>
    <d v="2026-05-28T00:00:00"/>
    <x v="2"/>
    <e v="#N/A"/>
    <x v="4"/>
    <s v="DRY2600036"/>
    <s v="AUS"/>
    <s v="CPFNW"/>
    <s v="CPF Australia Pty Ltd.(Woolworth)"/>
    <s v="Minced ND+V+TK"/>
    <s v="Cooked Wonton"/>
    <s v="Cooked Minced  ND No Egg with Pumpkin_x000a_+ Yu Choy Tomkha"/>
    <s v="082SR9U05003P01001"/>
    <s v="302g*5"/>
    <n v="5"/>
    <n v="3"/>
    <n v="6.0000000000000001E-3"/>
    <x v="4"/>
    <s v="Salt"/>
    <s v="Tomkha+CM"/>
    <n v="5076"/>
    <m/>
    <n v="5076"/>
    <n v="0"/>
    <n v="0"/>
    <n v="0"/>
    <n v="5.8823E-2"/>
    <n v="0"/>
    <s v="ถ้าว,ฝา สีขาว"/>
    <n v="0"/>
    <n v="0"/>
  </r>
  <r>
    <x v="831"/>
    <m/>
    <x v="2"/>
    <e v="#N/A"/>
    <x v="4"/>
    <m/>
    <m/>
    <m/>
    <m/>
    <m/>
    <m/>
    <m/>
    <m/>
    <m/>
    <m/>
    <m/>
    <m/>
    <x v="0"/>
    <m/>
    <m/>
    <m/>
    <m/>
    <m/>
    <m/>
    <m/>
    <n v="0"/>
    <m/>
    <m/>
    <m/>
    <m/>
    <m/>
  </r>
  <r>
    <x v="832"/>
    <s v="05-2026"/>
    <x v="2"/>
    <e v="#N/A"/>
    <x v="4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1242"/>
    <n v="1242"/>
    <m/>
    <n v="0"/>
    <n v="0"/>
    <n v="0"/>
    <n v="1.7000000000000001E-2"/>
    <n v="0"/>
    <m/>
    <n v="0"/>
    <n v="0"/>
  </r>
  <r>
    <x v="832"/>
    <s v="06-2026"/>
    <x v="2"/>
    <e v="#N/A"/>
    <x v="4"/>
    <s v="ขายภายใน"/>
    <s v=".7-11"/>
    <s v="CPFGS"/>
    <s v="CPFGS"/>
    <s v="Wonton ND+เย็นตาโฟ"/>
    <s v="Cooked Wonton"/>
    <s v="บะหมี่เย็นตาโฟแห้ง CP นายอ้วน 225g 7E"/>
    <s v="082SR1A12002P00001"/>
    <s v="225g*12"/>
    <n v="12"/>
    <n v="2"/>
    <n v="6.0000000000000001E-3"/>
    <x v="4"/>
    <s v="STPP"/>
    <s v="เย็นตาโฟ"/>
    <n v="250"/>
    <n v="250"/>
    <m/>
    <n v="0"/>
    <n v="0"/>
    <n v="0"/>
    <n v="1.7000000000000001E-2"/>
    <n v="0"/>
    <m/>
    <n v="0"/>
    <n v="0"/>
  </r>
  <r>
    <x v="832"/>
    <s v="06-2026"/>
    <x v="2"/>
    <e v="#N/A"/>
    <x v="4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867"/>
    <n v="1826"/>
    <n v="41.208333333333336"/>
    <n v="0.20833333333325754"/>
    <n v="0"/>
    <n v="0"/>
    <n v="7.4999999999999997E-3"/>
    <n v="0"/>
    <m/>
    <n v="0"/>
    <n v="0"/>
  </r>
  <r>
    <x v="832"/>
    <d v="2026-05-26T00:00:00"/>
    <x v="2"/>
    <e v="#N/A"/>
    <x v="4"/>
    <s v="DRY2600087"/>
    <s v="Denmark"/>
    <s v="CPFNW"/>
    <s v="CPF DENMARK"/>
    <s v="Minced ND+หมาล่า"/>
    <s v="Cooked Wonton"/>
    <s v="Cooked Minced Wonton 1 pcs Noodle (Pumpkin)_x000a_with &quot;Mala&quot;"/>
    <s v="082SRKW12001P02001"/>
    <s v="130g*12ถ้วย"/>
    <n v="12"/>
    <n v="1"/>
    <n v="6.1999999999999998E-3"/>
    <x v="4"/>
    <s v="Salt"/>
    <s v="หมาล่า"/>
    <n v="4080"/>
    <n v="294"/>
    <n v="3794.4166666666665"/>
    <n v="8.4166666666665151"/>
    <n v="0"/>
    <n v="0"/>
    <n v="4.0000000000000001E-3"/>
    <n v="0"/>
    <s v="ถ้าว,ฝา สีขาว New Package"/>
    <n v="0"/>
    <n v="0"/>
  </r>
  <r>
    <x v="833"/>
    <d v="2026-07-09T00:00:00"/>
    <x v="2"/>
    <e v="#N/A"/>
    <x v="4"/>
    <s v="DRY2600038"/>
    <s v="AUS"/>
    <s v="CPFNW"/>
    <s v="CPF Australia Pty Ltd.(Woolworth)"/>
    <s v="Wonton ND+V"/>
    <s v="Cooked Wonton"/>
    <s v="Cooked Wonton ND No Egg with Pumpkin_x000a_+ Yu Choy "/>
    <s v="082SJ9U05004P00001"/>
    <s v="305g*5"/>
    <n v="5"/>
    <n v="4"/>
    <n v="7.4999999999999997E-3"/>
    <x v="5"/>
    <s v="Salt"/>
    <s v="Regular"/>
    <n v="5076"/>
    <m/>
    <n v="5126"/>
    <n v="50"/>
    <n v="0"/>
    <n v="0"/>
    <n v="7.4999999999999997E-3"/>
    <n v="0"/>
    <s v="ถ้าว,ฝา สีขาว"/>
    <n v="0"/>
    <n v="0"/>
  </r>
  <r>
    <x v="833"/>
    <d v="2026-06-04T00:00:00"/>
    <x v="2"/>
    <e v="#N/A"/>
    <x v="4"/>
    <s v="DRY2600099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78"/>
    <n v="14"/>
    <n v="0"/>
    <n v="0"/>
    <n v="0"/>
    <n v="7.4999999999999997E-3"/>
    <n v="0"/>
    <m/>
    <n v="0"/>
    <n v="0"/>
  </r>
  <r>
    <x v="833"/>
    <d v="2026-06-11T00:00:00"/>
    <x v="2"/>
    <e v="#N/A"/>
    <x v="4"/>
    <s v="DRY2600100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833"/>
    <d v="2026-06-18T00:00:00"/>
    <x v="2"/>
    <e v="#N/A"/>
    <x v="4"/>
    <s v="DRY2600101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834"/>
    <d v="2026-05-26T00:00:00"/>
    <x v="2"/>
    <e v="#N/A"/>
    <x v="4"/>
    <s v="DRY2600086"/>
    <s v="Denmark"/>
    <s v="CPFNW"/>
    <s v="CPF DENMARK"/>
    <s v="Minced ND+TK"/>
    <s v="Cooked Wonton"/>
    <s v="Cooked Minced Wonton 1 pcs Noodle (Pumpkin)_x000a_with &quot;Tomka&quot;"/>
    <s v="082SRKW12001P01001"/>
    <s v="130g*12ถ้วย"/>
    <n v="12"/>
    <n v="1"/>
    <n v="6.1999999999999998E-3"/>
    <x v="4"/>
    <s v="Salt"/>
    <s v="Tomkha+CM"/>
    <n v="4080"/>
    <n v="4080"/>
    <n v="11.916666666666666"/>
    <n v="11.916666666666515"/>
    <n v="0"/>
    <n v="0"/>
    <n v="5.8823E-2"/>
    <n v="0"/>
    <s v="ถ้าว,ฝา สีขาว New Package"/>
    <n v="0"/>
    <n v="0"/>
  </r>
  <r>
    <x v="834"/>
    <d v="2026-06-09T00:00:00"/>
    <x v="2"/>
    <e v="#N/A"/>
    <x v="4"/>
    <s v="DRY2600089"/>
    <s v="Denmark"/>
    <s v="CPFNW"/>
    <s v="CPF DENMARK"/>
    <s v="Minced ND+V+TK"/>
    <s v="Cooked Wonton"/>
    <s v="Cooked Minced Wonton 3 pcs Noodle (Pumpkin)_x000a_with &quot;Tomka&quot;+Yu Choy"/>
    <s v="082SRKW12003P01001"/>
    <s v="240g*12ถ้วย"/>
    <n v="12"/>
    <n v="3"/>
    <n v="6.1999999999999998E-3"/>
    <x v="4"/>
    <s v="Salt"/>
    <s v="Tomkha+CM"/>
    <n v="2660"/>
    <m/>
    <n v="2660"/>
    <n v="0"/>
    <n v="0"/>
    <n v="0"/>
    <n v="5.8823E-2"/>
    <n v="0"/>
    <s v="ถ้าว,ฝา สีขาว New Package"/>
    <n v="0"/>
    <n v="0"/>
  </r>
  <r>
    <x v="834"/>
    <d v="2026-06-16T00:00:00"/>
    <x v="2"/>
    <e v="#N/A"/>
    <x v="4"/>
    <s v="DRY2600094"/>
    <s v="Denmark"/>
    <s v="CPFNW"/>
    <s v="CPF DENMARK"/>
    <s v="Minced ND+V+TK"/>
    <s v="Cooked Wonton"/>
    <s v="Cooked Minced Wonton 3 pcs Noodle (Pumpkin)_x000a_with &quot;Tomka&quot;+Yu Choy"/>
    <s v="082SRKW12003P01001"/>
    <s v="240g*12ถ้วย"/>
    <n v="12"/>
    <n v="3"/>
    <n v="6.1999999999999998E-3"/>
    <x v="4"/>
    <s v="Salt"/>
    <s v="Tomkha+CM"/>
    <n v="2660"/>
    <m/>
    <n v="2660"/>
    <n v="0"/>
    <n v="0"/>
    <n v="0"/>
    <n v="5.8823E-2"/>
    <n v="0"/>
    <s v="ถ้าว,ฝา สีขาว New Package"/>
    <n v="0"/>
    <n v="0"/>
  </r>
  <r>
    <x v="835"/>
    <s v="06-2026"/>
    <x v="2"/>
    <e v="#N/A"/>
    <x v="4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3858"/>
    <n v="3858"/>
    <m/>
    <n v="0"/>
    <n v="0"/>
    <n v="0"/>
    <n v="7.4999999999999997E-3"/>
    <n v="0"/>
    <m/>
    <n v="0"/>
    <n v="0"/>
  </r>
  <r>
    <x v="835"/>
    <s v="06-2026"/>
    <x v="2"/>
    <e v="#N/A"/>
    <x v="4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0"/>
    <s v="145g*12"/>
    <n v="12"/>
    <n v="5"/>
    <n v="8.0000000000000002E-3"/>
    <x v="1"/>
    <s v="STPP"/>
    <s v="Regular"/>
    <n v="12"/>
    <n v="12"/>
    <m/>
    <n v="0"/>
    <n v="0"/>
    <n v="0"/>
    <n v="7.4999999999999997E-3"/>
    <n v="0"/>
    <m/>
    <n v="0"/>
    <n v="0"/>
  </r>
  <r>
    <x v="835"/>
    <s v="06-2026"/>
    <x v="2"/>
    <e v="#N/A"/>
    <x v="4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1"/>
    <s v="145g*12"/>
    <n v="12"/>
    <n v="5"/>
    <n v="8.0000000000000002E-3"/>
    <x v="1"/>
    <s v="STPP"/>
    <s v="Regular"/>
    <n v="3100"/>
    <n v="3100"/>
    <m/>
    <n v="0"/>
    <n v="0"/>
    <n v="0"/>
    <n v="7.4999999999999997E-3"/>
    <n v="0"/>
    <m/>
    <n v="0"/>
    <n v="0"/>
  </r>
  <r>
    <x v="836"/>
    <s v="06-2026"/>
    <x v="2"/>
    <e v="#N/A"/>
    <x v="4"/>
    <s v="ขายภายใน"/>
    <s v="MTFS"/>
    <s v="CPFGS"/>
    <s v="ซีพีเอฟ เทรดดิ้ง"/>
    <s v="E+Wonton NDE"/>
    <s v="Cooked Wonton"/>
    <s v="บะหมี่เกี๊ยวกุ้ง ตราซีพี 12X226 กรัม"/>
    <s v="082SJ3Q12003P07001"/>
    <s v="226g*12"/>
    <n v="12"/>
    <n v="3"/>
    <n v="8.0000000000000002E-3"/>
    <x v="1"/>
    <s v="STPP"/>
    <s v="Regular"/>
    <n v="500"/>
    <n v="500"/>
    <m/>
    <n v="0"/>
    <n v="0"/>
    <n v="0"/>
    <n v="7.4999999999999997E-3"/>
    <n v="0"/>
    <m/>
    <n v="0"/>
    <n v="0"/>
  </r>
  <r>
    <x v="836"/>
    <s v="06-2026"/>
    <x v="2"/>
    <e v="#N/A"/>
    <x v="4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5100"/>
    <n v="5096"/>
    <n v="4.333333333333333"/>
    <n v="0.33333333333303017"/>
    <n v="0"/>
    <n v="0"/>
    <n v="7.4999999999999997E-3"/>
    <n v="0"/>
    <s v="กล่อง 1000/Stk 23,900"/>
    <n v="0"/>
    <n v="0"/>
  </r>
  <r>
    <x v="837"/>
    <d v="2026-05-26T00:00:00"/>
    <x v="2"/>
    <e v="#N/A"/>
    <x v="4"/>
    <s v="DRY2600085"/>
    <s v="Denmark"/>
    <s v="CPFNW"/>
    <s v="CPF DENMARK"/>
    <s v="Minced ND+TY"/>
    <s v="Cooked Wonton"/>
    <s v="Cooked Minced Wonton 1 pcs Noodle (Pumpkin)_x000a_with &quot;Tomyum&quot;"/>
    <s v="082SRKW12001P00001"/>
    <s v="130g*12ถ้วย"/>
    <n v="12"/>
    <n v="1"/>
    <n v="6.1999999999999998E-3"/>
    <x v="4"/>
    <s v="Salt"/>
    <s v="TYANSSG+CM"/>
    <n v="4080"/>
    <n v="4050"/>
    <n v="39.083333333333336"/>
    <n v="9.0833333333334849"/>
    <n v="0"/>
    <n v="0"/>
    <n v="3.85E-2"/>
    <n v="0"/>
    <s v="ถ้าว,ฝา สีขาว New Package"/>
    <n v="0"/>
    <n v="0"/>
  </r>
  <r>
    <x v="837"/>
    <d v="2026-06-09T00:00:00"/>
    <x v="2"/>
    <e v="#N/A"/>
    <x v="4"/>
    <s v="DRY2600088"/>
    <s v="Denmark"/>
    <s v="CPFNW"/>
    <s v="CPF DENMARK"/>
    <s v="Minced ND+V+TY"/>
    <s v="Cooked Wonton"/>
    <s v="Cooked Minced Wonton 3 pcs Noodle (Pumpkin)_x000a_with &quot;Tomyum&quot;+Yu Choy"/>
    <s v="082SRKW12003P00001"/>
    <s v="240g*12ถ้วย"/>
    <n v="12"/>
    <n v="3"/>
    <n v="6.1999999999999998E-3"/>
    <x v="4"/>
    <s v="Salt"/>
    <s v="TYANSSG+CM"/>
    <n v="2660"/>
    <m/>
    <n v="2660"/>
    <n v="0"/>
    <n v="0"/>
    <n v="0"/>
    <n v="3.85E-2"/>
    <n v="0"/>
    <s v="ถ้าว,ฝา สีขาว New Package"/>
    <n v="0"/>
    <n v="0"/>
  </r>
  <r>
    <x v="837"/>
    <d v="2026-06-16T00:00:00"/>
    <x v="2"/>
    <e v="#N/A"/>
    <x v="4"/>
    <s v="DRY2600093"/>
    <s v="Denmark"/>
    <s v="CPFNW"/>
    <s v="CPF DENMARK"/>
    <s v="Minced ND+V+TY"/>
    <s v="Cooked Wonton"/>
    <s v="Cooked Minced Wonton 3 pcs Noodle (Pumpkin)_x000a_with &quot;Tomyum&quot;+Yu Choy"/>
    <s v="082SRKW12003P00001"/>
    <s v="240g*12ถ้วย"/>
    <n v="12"/>
    <n v="3"/>
    <n v="6.1999999999999998E-3"/>
    <x v="4"/>
    <s v="Salt"/>
    <s v="TYANSSG+CM"/>
    <n v="2660"/>
    <m/>
    <n v="2660"/>
    <n v="0"/>
    <n v="0"/>
    <n v="0"/>
    <n v="3.85E-2"/>
    <n v="0"/>
    <s v="ถ้าว,ฝา สีขาว New Package"/>
    <n v="0"/>
    <n v="0"/>
  </r>
  <r>
    <x v="838"/>
    <m/>
    <x v="2"/>
    <e v="#N/A"/>
    <x v="4"/>
    <m/>
    <m/>
    <m/>
    <m/>
    <m/>
    <m/>
    <m/>
    <m/>
    <m/>
    <m/>
    <m/>
    <m/>
    <x v="0"/>
    <m/>
    <m/>
    <m/>
    <m/>
    <m/>
    <m/>
    <m/>
    <n v="0"/>
    <m/>
    <m/>
    <m/>
    <m/>
    <m/>
  </r>
  <r>
    <x v="839"/>
    <d v="2026-05-25T00:00:00"/>
    <x v="2"/>
    <e v="#N/A"/>
    <x v="4"/>
    <s v="DRY2600120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1302"/>
    <n v="672"/>
    <n v="630"/>
    <n v="0"/>
    <n v="0"/>
    <n v="0"/>
    <n v="2"/>
    <n v="0"/>
    <m/>
    <n v="0"/>
    <n v="0"/>
  </r>
  <r>
    <x v="840"/>
    <s v="05-2026"/>
    <x v="2"/>
    <e v="#N/A"/>
    <x v="4"/>
    <s v="ขายภายใน"/>
    <s v="MTFS"/>
    <s v="CPFGS"/>
    <s v="CPFGS"/>
    <s v="Wonton ND+เย็นตาโฟ"/>
    <s v="Cooked Wonton"/>
    <s v="บะหมี่เย็นตาโฟแห้ง CP นายอ้วน 225g MT"/>
    <s v="082SR3Q12002P00001"/>
    <s v="225g*12"/>
    <n v="12"/>
    <n v="2"/>
    <n v="6.0000000000000001E-3"/>
    <x v="4"/>
    <s v="STPP"/>
    <s v="เย็นตาโฟ"/>
    <n v="1500"/>
    <n v="439"/>
    <n v="1061"/>
    <n v="0"/>
    <n v="0"/>
    <n v="0"/>
    <n v="1.7000000000000001E-2"/>
    <n v="0"/>
    <m/>
    <n v="0"/>
    <n v="0"/>
  </r>
  <r>
    <x v="840"/>
    <s v="06-2026"/>
    <x v="2"/>
    <e v="#N/A"/>
    <x v="4"/>
    <s v="ขายภายใน"/>
    <s v="MTFS"/>
    <s v="CPFGS"/>
    <s v="CPFGS"/>
    <s v="Wonton ND+เย็นตาโฟ"/>
    <s v="Cooked Wonton"/>
    <s v="บะหมี่เย็นตาโฟแห้ง CP นายอ้วน 225g MT"/>
    <s v="082SR3Q12002P00001"/>
    <s v="225g*12"/>
    <n v="12"/>
    <n v="2"/>
    <n v="6.0000000000000001E-3"/>
    <x v="4"/>
    <s v="STPP"/>
    <s v="เย็นตาโฟ"/>
    <n v="118"/>
    <m/>
    <n v="118"/>
    <n v="0"/>
    <n v="0"/>
    <n v="0"/>
    <n v="1.7000000000000001E-2"/>
    <n v="0"/>
    <m/>
    <n v="0"/>
    <n v="0"/>
  </r>
  <r>
    <x v="840"/>
    <d v="2026-06-16T00:00:00"/>
    <x v="2"/>
    <e v="#N/A"/>
    <x v="4"/>
    <s v="DRY2600014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x v="840"/>
    <d v="2026-06-16T00:00:00"/>
    <x v="2"/>
    <e v="#N/A"/>
    <x v="4"/>
    <s v="DRY2600095"/>
    <s v="Germany"/>
    <s v="CPFNW"/>
    <s v=" CPF Distribution (under Paulsen Food)"/>
    <s v="Minced ND+V+TY"/>
    <s v="Cooked Wonton"/>
    <s v="Cooked Minced  ND No Egg with Pumpkin_x000a_+ Yu Choy Tomyum"/>
    <s v="082SR3N12003P00001"/>
    <s v="302g*12"/>
    <n v="12"/>
    <n v="3"/>
    <n v="6.0000000000000001E-3"/>
    <x v="4"/>
    <s v="Salt"/>
    <s v="TYEXSG+CO"/>
    <n v="1139"/>
    <m/>
    <n v="1245.75"/>
    <n v="106.75"/>
    <n v="0"/>
    <n v="0"/>
    <n v="3.8699999999999998E-2"/>
    <n v="0"/>
    <s v="NEWPACKAGE"/>
    <n v="0"/>
    <n v="0"/>
  </r>
  <r>
    <x v="840"/>
    <d v="2026-06-18T00:00:00"/>
    <x v="2"/>
    <e v="#N/A"/>
    <x v="4"/>
    <s v="DRY2600092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SG+CO"/>
    <n v="390"/>
    <n v="384"/>
    <n v="6"/>
    <n v="0"/>
    <n v="0"/>
    <n v="0"/>
    <n v="3.8699999999999998E-2"/>
    <n v="0"/>
    <m/>
    <n v="0"/>
    <n v="0"/>
  </r>
  <r>
    <x v="840"/>
    <d v="2026-07-02T00:00:00"/>
    <x v="2"/>
    <e v="#N/A"/>
    <x v="4"/>
    <s v="DRY2600109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SG+CO"/>
    <n v="390"/>
    <n v="390"/>
    <m/>
    <n v="0"/>
    <n v="0"/>
    <n v="0"/>
    <n v="3.8699999999999998E-2"/>
    <n v="0"/>
    <m/>
    <n v="0"/>
    <n v="0"/>
  </r>
  <r>
    <x v="840"/>
    <d v="2026-06-16T00:00:00"/>
    <x v="2"/>
    <e v="#N/A"/>
    <x v="4"/>
    <s v="DRY2600097"/>
    <s v="Ireland"/>
    <s v="CPFNW"/>
    <s v="Westbridge Foods Limited (One UK)"/>
    <s v="Wonton+TY"/>
    <s v="Cooked Wonton"/>
    <s v="Cooked Wonton Soup Tomyum"/>
    <s v="082S8KW08005P01001"/>
    <s v="147g*8"/>
    <n v="8"/>
    <n v="5"/>
    <n v="7.4999999999999997E-3"/>
    <x v="1"/>
    <s v="Salt"/>
    <s v="TYEXSG+CO"/>
    <n v="1100"/>
    <m/>
    <n v="1100"/>
    <n v="0"/>
    <n v="0"/>
    <n v="0"/>
    <n v="7.4999999999999997E-3"/>
    <n v="0"/>
    <s v="NEWPACKAGE"/>
    <n v="0"/>
    <n v="0"/>
  </r>
  <r>
    <x v="841"/>
    <d v="2026-05-25T00:00:00"/>
    <x v="2"/>
    <e v="#N/A"/>
    <x v="4"/>
    <s v="DRY2600120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322"/>
    <n v="278"/>
    <n v="63"/>
    <n v="19"/>
    <n v="0"/>
    <n v="0"/>
    <n v="2"/>
    <n v="0"/>
    <m/>
    <n v="0"/>
    <n v="0"/>
  </r>
  <r>
    <x v="841"/>
    <d v="2026-06-23T00:00:00"/>
    <x v="2"/>
    <e v="#N/A"/>
    <x v="4"/>
    <s v="DRY2600045"/>
    <s v="SG"/>
    <s v="CPFNW"/>
    <s v="CP FOODS SINGAPORE PTE. LTD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1000"/>
    <n v="381"/>
    <n v="619"/>
    <n v="0"/>
    <n v="0"/>
    <n v="0"/>
    <n v="2"/>
    <n v="0"/>
    <s v="ห่อแบบสุก"/>
    <n v="0"/>
    <n v="0"/>
  </r>
  <r>
    <x v="841"/>
    <d v="2026-06-23T00:00:00"/>
    <x v="2"/>
    <e v="#N/A"/>
    <x v="4"/>
    <s v="DRY2600045"/>
    <s v="SG"/>
    <s v="CPFNW"/>
    <s v="CP FOODS SINGAPORE PTE. LTD"/>
    <s v="R-Wonton egg past"/>
    <s v="Raw Wonton"/>
    <s v="Raw Wonton 8 pcs"/>
    <s v="082I93B20008P00001"/>
    <s v="194g*20in"/>
    <n v="20"/>
    <n v="8"/>
    <n v="1.4999999999999999E-2"/>
    <x v="6"/>
    <s v="STPP"/>
    <s v="ซุปซอง 5g."/>
    <n v="250"/>
    <n v="250"/>
    <m/>
    <n v="0"/>
    <n v="0"/>
    <n v="0"/>
    <n v="2"/>
    <n v="0"/>
    <s v="ห่อแบบดิบ"/>
    <n v="0"/>
    <n v="0"/>
  </r>
  <r>
    <x v="841"/>
    <d v="2026-06-23T00:00:00"/>
    <x v="2"/>
    <e v="#N/A"/>
    <x v="4"/>
    <s v="DRY2600045"/>
    <s v="SG"/>
    <s v="CPFNW"/>
    <s v="CP FOODS SINGAPORE PTE. LTD"/>
    <s v="R-Wonton egg past"/>
    <s v="Raw Wonton"/>
    <s v="Raw Wonton 8 pcs (Tomyam 30g.)"/>
    <s v="082I93B18008P01001"/>
    <s v="126g*18in"/>
    <n v="18"/>
    <n v="8"/>
    <n v="6.8100000000000001E-3"/>
    <x v="3"/>
    <s v="STPP"/>
    <s v="TYTB3C 30G"/>
    <n v="400"/>
    <n v="400"/>
    <n v="4"/>
    <n v="4"/>
    <n v="0"/>
    <n v="0"/>
    <n v="1"/>
    <n v="0"/>
    <m/>
    <n v="0"/>
    <n v="0"/>
  </r>
  <r>
    <x v="841"/>
    <d v="2026-06-23T00:00:00"/>
    <x v="2"/>
    <e v="#N/A"/>
    <x v="4"/>
    <s v="DRY2600045"/>
    <s v="SG"/>
    <s v="CPFNW"/>
    <s v="CP FOODS SINGAPORE PTE. LTD"/>
    <s v="R-Minced egg past"/>
    <s v="Raw Wonton"/>
    <s v="Raw Minced Wonton 8 pcs"/>
    <s v="082ID3B18008P00001"/>
    <s v="90g*18in"/>
    <n v="18"/>
    <n v="8"/>
    <n v="6.0000000000000001E-3"/>
    <x v="4"/>
    <s v="STPP"/>
    <s v="ซุปซอง 5g."/>
    <n v="500"/>
    <n v="500"/>
    <m/>
    <n v="0"/>
    <n v="0"/>
    <n v="0"/>
    <n v="2"/>
    <n v="0"/>
    <s v="new package"/>
    <n v="0"/>
    <n v="0"/>
  </r>
  <r>
    <x v="842"/>
    <d v="2026-06-10T00:00:00"/>
    <x v="2"/>
    <e v="#N/A"/>
    <x v="4"/>
    <s v="LA009/2569"/>
    <s v="Laos"/>
    <s v="Laos"/>
    <s v="บริษัท ปิก้าเทรดดิ้ง จำกัด"/>
    <s v="E+Wonton"/>
    <s v="Cooked Wonton"/>
    <s v="เกี๊ยวกุ้งจักรพรรดิ 12x145g."/>
    <s v="082S8L212005P00001"/>
    <s v="145g*12"/>
    <n v="12"/>
    <n v="5"/>
    <n v="8.0000000000000002E-3"/>
    <x v="1"/>
    <s v="STPP"/>
    <s v="Regular"/>
    <n v="200"/>
    <n v="200"/>
    <n v="4.583333333333333"/>
    <n v="4.5833333333333428"/>
    <n v="0"/>
    <n v="0"/>
    <n v="7.4999999999999997E-3"/>
    <n v="0"/>
    <m/>
    <n v="0"/>
    <n v="0"/>
  </r>
  <r>
    <x v="842"/>
    <s v="06-2026"/>
    <x v="2"/>
    <e v="#N/A"/>
    <x v="4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4900"/>
    <n v="4900"/>
    <m/>
    <n v="0"/>
    <n v="0"/>
    <n v="0"/>
    <n v="7.4999999999999997E-3"/>
    <n v="0"/>
    <s v="กล่อง 1000/Stk 23,900"/>
    <n v="0"/>
    <n v="0"/>
  </r>
  <r>
    <x v="842"/>
    <s v="06-2026"/>
    <x v="2"/>
    <e v="#N/A"/>
    <x v="4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65"/>
    <n v="65"/>
    <m/>
    <n v="0"/>
    <n v="0"/>
    <n v="0"/>
    <n v="7.4999999999999997E-3"/>
    <n v="0"/>
    <s v="กล่อง 1000/Stk 23,900"/>
    <n v="0"/>
    <n v="0"/>
  </r>
  <r>
    <x v="843"/>
    <d v="2026-06-16T00:00:00"/>
    <x v="2"/>
    <e v="#N/A"/>
    <x v="4"/>
    <s v="DRY2600124"/>
    <s v="Denmark"/>
    <s v="CPFNW"/>
    <s v="CPF DENMARK"/>
    <s v="Minced ND+หมาล่า"/>
    <s v="Cooked Wonton"/>
    <s v="Cooked Minced Wonton 3 pcs Noodle (Pumpkin)_x000a_with &quot;Mala&quot;"/>
    <s v="082SRKW12003P02001"/>
    <s v="240g*12ถ้วย"/>
    <n v="12"/>
    <n v="3"/>
    <n v="6.1999999999999998E-3"/>
    <x v="4"/>
    <s v="Salt"/>
    <s v="หมาล่า"/>
    <n v="2660"/>
    <m/>
    <n v="2660"/>
    <n v="0"/>
    <n v="0"/>
    <n v="0"/>
    <m/>
    <n v="0"/>
    <s v="ถ้าว,ฝา สีขาว New Package"/>
    <n v="0"/>
    <n v="0"/>
  </r>
  <r>
    <x v="843"/>
    <s v="05-2026"/>
    <x v="2"/>
    <e v="#N/A"/>
    <x v="4"/>
    <s v="ขายภายใน"/>
    <s v="MTFS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MT"/>
    <s v="082SG3Q12003P00001"/>
    <s v="250g*12"/>
    <n v="12"/>
    <n v="3"/>
    <n v="6.1999999999999998E-3"/>
    <x v="2"/>
    <s v="STPP"/>
    <s v="หมาล่า"/>
    <n v="800"/>
    <n v="800"/>
    <m/>
    <n v="0"/>
    <n v="0"/>
    <n v="0"/>
    <n v="1.83E-2"/>
    <n v="0"/>
    <m/>
    <n v="0"/>
    <n v="0"/>
  </r>
  <r>
    <x v="843"/>
    <s v="06-2026"/>
    <x v="2"/>
    <e v="#N/A"/>
    <x v="4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x v="2"/>
    <s v="STPP"/>
    <s v="หมาล่า"/>
    <n v="2400"/>
    <n v="2400"/>
    <m/>
    <n v="0"/>
    <n v="0"/>
    <n v="0"/>
    <n v="1.83E-2"/>
    <n v="0"/>
    <m/>
    <n v="0"/>
    <n v="0"/>
  </r>
  <r>
    <x v="844"/>
    <d v="2026-06-16T00:00:00"/>
    <x v="2"/>
    <e v="#N/A"/>
    <x v="4"/>
    <s v="DRY2600097"/>
    <s v="Ireland"/>
    <s v="CPFNW"/>
    <s v="Westbridge Foods Limited (One UK)"/>
    <s v="Minced ND+Kee Mao"/>
    <s v="Cooked Wonton"/>
    <s v="Cooked Minced Wonton Thai Spicy Noodles (Drunken Noodles)"/>
    <s v="082SRKW06003P01001"/>
    <s v="300g*6"/>
    <n v="6"/>
    <n v="3"/>
    <n v="6.1999999999999998E-3"/>
    <x v="4"/>
    <s v="Salt"/>
    <s v="Kee Mao"/>
    <n v="1300"/>
    <m/>
    <n v="1504.5"/>
    <n v="204.5"/>
    <n v="0"/>
    <n v="0"/>
    <n v="6.5000000000000002E-2"/>
    <n v="0"/>
    <m/>
    <n v="0"/>
    <n v="0"/>
  </r>
  <r>
    <x v="844"/>
    <d v="2026-06-18T00:00:00"/>
    <x v="2"/>
    <e v="#N/A"/>
    <x v="4"/>
    <s v="DRY2600037"/>
    <s v="AUS"/>
    <s v="CPFNW"/>
    <s v="CPF Australia Pty Ltd.(Woolworth)"/>
    <s v="Minced ND+Kee Mao"/>
    <s v="Cooked Wonton"/>
    <s v="Cooked Minced Wonton Thai Spicy Noodles (Kee Mao Noodles)"/>
    <s v="082SR9U05003P00001"/>
    <s v="283g*5"/>
    <n v="5"/>
    <n v="3"/>
    <n v="6.0000000000000001E-3"/>
    <x v="4"/>
    <s v="Salt"/>
    <s v="Kee Mao"/>
    <n v="5076"/>
    <m/>
    <n v="5076"/>
    <n v="0"/>
    <n v="0"/>
    <n v="0"/>
    <n v="1"/>
    <n v="0"/>
    <s v="ถ้าว,ฝา สีขาว"/>
    <n v="0"/>
    <n v="0"/>
  </r>
  <r>
    <x v="844"/>
    <d v="2026-07-27T00:00:00"/>
    <x v="2"/>
    <e v="#N/A"/>
    <x v="4"/>
    <s v="DRY2600125"/>
    <s v="UK"/>
    <s v="CPFNW"/>
    <s v="Food Fellas"/>
    <s v="Wonton ND"/>
    <s v="Cooked Wonton"/>
    <s v="Cooked Wonton ND No Egg with _x000a_HC  5 pcs"/>
    <s v="082SJ5L08005P03001"/>
    <s v="258g*8"/>
    <n v="8"/>
    <n v="5"/>
    <n v="7.4999999999999997E-3"/>
    <x v="5"/>
    <s v="Salt"/>
    <s v="Regular"/>
    <n v="900"/>
    <m/>
    <n v="920.75"/>
    <n v="20.75"/>
    <n v="0"/>
    <n v="0"/>
    <n v="7.4999999999999997E-3"/>
    <n v="0"/>
    <s v="ถ้าว,ฝา สีขาว"/>
    <m/>
    <m/>
  </r>
  <r>
    <x v="844"/>
    <d v="2026-06-23T00:00:00"/>
    <x v="2"/>
    <e v="#N/A"/>
    <x v="4"/>
    <s v="DRY2600046"/>
    <s v="SG"/>
    <s v="CPFNW"/>
    <s v="CP FOODS SINGAPORE PTE. LTD"/>
    <s v="Wonton ND+V"/>
    <s v="Cooked Wonton"/>
    <s v="Cooked Wonton ND No Egg with Pumpkin _x000a_+ Vegetable  HC  3 pcs"/>
    <s v="082SJ3B24003P02001"/>
    <s v="219g*24"/>
    <n v="24"/>
    <n v="3"/>
    <n v="7.4999999999999997E-3"/>
    <x v="5"/>
    <s v="STPP"/>
    <s v="ซุปซอง 10g."/>
    <n v="250"/>
    <n v="250"/>
    <m/>
    <n v="0"/>
    <n v="0"/>
    <n v="0"/>
    <n v="1"/>
    <n v="0"/>
    <m/>
    <n v="0"/>
    <n v="0"/>
  </r>
  <r>
    <x v="844"/>
    <d v="2026-07-16T00:00:00"/>
    <x v="2"/>
    <e v="#N/A"/>
    <x v="4"/>
    <s v="DRY2600121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844"/>
    <d v="2026-06-16T00:00:00"/>
    <x v="2"/>
    <e v="#N/A"/>
    <x v="4"/>
    <s v="DRY2600095"/>
    <s v="Germany"/>
    <s v="CPFNW"/>
    <s v=" CPF Distribution (under Paulsen Food)"/>
    <s v="Minced ND+V+TK"/>
    <s v="Cooked Wonton"/>
    <s v="Cooked Minced  ND No Egg with Pumpkin_x000a_+ Yu Choy Tomkha"/>
    <s v="082SR3N12003P01001"/>
    <s v="302g*12"/>
    <n v="12"/>
    <n v="3"/>
    <n v="6.0000000000000001E-3"/>
    <x v="4"/>
    <s v="Salt"/>
    <s v="Tomkha+CM"/>
    <n v="1139"/>
    <m/>
    <n v="1190.1666666666667"/>
    <n v="51.166666666666742"/>
    <n v="0"/>
    <n v="0"/>
    <n v="5.8823E-2"/>
    <n v="0"/>
    <s v="NEWPACKAGE"/>
    <n v="0"/>
    <n v="0"/>
  </r>
  <r>
    <x v="844"/>
    <d v="2026-06-25T00:00:00"/>
    <x v="2"/>
    <e v="#N/A"/>
    <x v="4"/>
    <s v="DRY2600039"/>
    <s v="AUS"/>
    <s v="CPFNW"/>
    <s v="CPF Australia Pty Ltd.(Woolworth)"/>
    <s v="Minced ND+V+TK"/>
    <s v="Cooked Wonton"/>
    <s v="Cooked Minced  ND No Egg with Pumpkin_x000a_+ Yu Choy Tomkha"/>
    <s v="082SR9U05003P01001"/>
    <s v="302g*5"/>
    <n v="5"/>
    <n v="3"/>
    <n v="6.0000000000000001E-3"/>
    <x v="4"/>
    <s v="Salt"/>
    <s v="Tomkha+CM"/>
    <n v="5076"/>
    <m/>
    <n v="5076"/>
    <n v="0"/>
    <n v="0"/>
    <n v="0"/>
    <n v="5.8823E-2"/>
    <n v="0"/>
    <s v="ถ้าว,ฝา สีขาว"/>
    <n v="0"/>
    <n v="0"/>
  </r>
  <r>
    <x v="845"/>
    <m/>
    <x v="2"/>
    <e v="#N/A"/>
    <x v="4"/>
    <m/>
    <m/>
    <m/>
    <m/>
    <m/>
    <m/>
    <m/>
    <m/>
    <m/>
    <m/>
    <m/>
    <m/>
    <x v="0"/>
    <m/>
    <m/>
    <m/>
    <m/>
    <m/>
    <m/>
    <m/>
    <n v="0"/>
    <m/>
    <m/>
    <m/>
    <m/>
    <m/>
  </r>
  <r>
    <x v="846"/>
    <m/>
    <x v="2"/>
    <e v="#N/A"/>
    <x v="4"/>
    <m/>
    <m/>
    <m/>
    <m/>
    <m/>
    <m/>
    <m/>
    <m/>
    <m/>
    <m/>
    <m/>
    <m/>
    <x v="0"/>
    <m/>
    <m/>
    <m/>
    <m/>
    <m/>
    <m/>
    <m/>
    <n v="0"/>
    <m/>
    <m/>
    <m/>
    <m/>
    <m/>
  </r>
  <r>
    <x v="847"/>
    <m/>
    <x v="2"/>
    <e v="#N/A"/>
    <x v="5"/>
    <m/>
    <m/>
    <m/>
    <m/>
    <m/>
    <m/>
    <m/>
    <m/>
    <m/>
    <m/>
    <m/>
    <m/>
    <x v="0"/>
    <m/>
    <m/>
    <m/>
    <m/>
    <m/>
    <m/>
    <m/>
    <n v="0"/>
    <m/>
    <m/>
    <m/>
    <m/>
    <m/>
  </r>
  <r>
    <x v="848"/>
    <m/>
    <x v="2"/>
    <e v="#N/A"/>
    <x v="5"/>
    <m/>
    <m/>
    <m/>
    <m/>
    <m/>
    <m/>
    <m/>
    <m/>
    <m/>
    <m/>
    <m/>
    <m/>
    <x v="0"/>
    <m/>
    <m/>
    <m/>
    <m/>
    <m/>
    <m/>
    <m/>
    <n v="0"/>
    <m/>
    <m/>
    <m/>
    <m/>
    <m/>
  </r>
  <r>
    <x v="849"/>
    <m/>
    <x v="2"/>
    <e v="#N/A"/>
    <x v="5"/>
    <m/>
    <m/>
    <m/>
    <m/>
    <m/>
    <m/>
    <m/>
    <m/>
    <m/>
    <m/>
    <m/>
    <m/>
    <x v="0"/>
    <m/>
    <m/>
    <m/>
    <m/>
    <m/>
    <m/>
    <m/>
    <n v="0"/>
    <m/>
    <m/>
    <m/>
    <m/>
    <m/>
  </r>
  <r>
    <x v="850"/>
    <d v="2026-06-24T00:00:00"/>
    <x v="2"/>
    <e v="#N/A"/>
    <x v="5"/>
    <s v="KL2600011"/>
    <s v="China"/>
    <s v="China"/>
    <s v="CP Global Supply Chain (Guangdong) Co., Ltd."/>
    <s v="R-Wonton no egg"/>
    <s v="Raw Wonton"/>
    <s v="Raw Wonton 12 pcs"/>
    <s v="082I9CO20012P00001"/>
    <s v="154g*20in"/>
    <n v="20"/>
    <n v="12"/>
    <n v="6.8100000000000001E-3"/>
    <x v="3"/>
    <s v="Salt"/>
    <s v="ซุปซอง 5g."/>
    <n v="1386"/>
    <n v="1386"/>
    <m/>
    <n v="0"/>
    <n v="0"/>
    <n v="0"/>
    <n v="2"/>
    <n v="0"/>
    <m/>
    <n v="0"/>
    <n v="0"/>
  </r>
  <r>
    <x v="850"/>
    <d v="2026-06-25T00:00:00"/>
    <x v="2"/>
    <e v="#N/A"/>
    <x v="5"/>
    <s v="DRY2600134"/>
    <s v="UK"/>
    <s v="CPFNW"/>
    <s v="Westbridge Foods Limited (One UK)"/>
    <s v="Minced ND+V+น้ำราดเป็ด"/>
    <s v="Cooked Wonton"/>
    <s v="Cooked Minced Wonton Garlic &amp; Soy Noodles+Yu Choy &quot;Kitchen Joy&quot;"/>
    <s v="082SRKW12003P03001"/>
    <s v="320g*12ถ้วย"/>
    <n v="12"/>
    <n v="3"/>
    <n v="6.1999999999999998E-3"/>
    <x v="4"/>
    <s v="Salt"/>
    <s v="น้ำราดเป็ด"/>
    <n v="2278"/>
    <n v="60"/>
    <n v="2271.25"/>
    <n v="53.25"/>
    <n v="0"/>
    <n v="0"/>
    <m/>
    <n v="0"/>
    <s v="ถ้าว,ฝา สีขาว New Package"/>
    <n v="0"/>
    <n v="0"/>
  </r>
  <r>
    <x v="850"/>
    <s v="06-2026"/>
    <x v="2"/>
    <e v="#N/A"/>
    <x v="5"/>
    <s v="ขายภายใน"/>
    <s v="MTFS"/>
    <s v="CPFGS"/>
    <s v="ซีพีเอฟ เทรดดิ้ง"/>
    <s v="Wonton ND"/>
    <s v="Cooked Wonton"/>
    <s v="บะหมี่เกี๊ยวกุ้งซุปสุกี้ CPxMK 227g MT"/>
    <s v="082SJ3Q12003P0A001"/>
    <s v="227g*12"/>
    <n v="12"/>
    <n v="3"/>
    <n v="8.0000000000000002E-3"/>
    <x v="2"/>
    <s v="STPP"/>
    <s v="MK"/>
    <n v="2432"/>
    <n v="2432"/>
    <m/>
    <n v="0"/>
    <n v="0"/>
    <n v="0"/>
    <n v="0.05"/>
    <n v="0"/>
    <s v="เปลี่ยนใช้ผักกวางตุ้งแบบแช่แข็ง"/>
    <n v="0"/>
    <n v="0"/>
  </r>
  <r>
    <x v="851"/>
    <d v="2026-06-30T00:00:00"/>
    <x v="2"/>
    <e v="#N/A"/>
    <x v="5"/>
    <s v="DRY2600113"/>
    <s v="Belgium"/>
    <s v="CPFNW"/>
    <s v="CPF EUROPE S.A."/>
    <s v="R-Wonton no egg"/>
    <s v="Raw Wonton"/>
    <s v="Raw Wonton 50 pcs"/>
    <s v="082I93I10050P02001"/>
    <s v="630g*10inner"/>
    <n v="10"/>
    <n v="50"/>
    <n v="8.1300000000000001E-3"/>
    <x v="1"/>
    <s v="Salt"/>
    <s v="ซุปซอง 5g."/>
    <n v="600"/>
    <n v="600"/>
    <m/>
    <n v="0"/>
    <n v="0"/>
    <n v="0"/>
    <n v="6"/>
    <n v="0"/>
    <m/>
    <n v="0"/>
    <n v="0"/>
  </r>
  <r>
    <x v="851"/>
    <s v="06-2026"/>
    <x v="2"/>
    <e v="#N/A"/>
    <x v="5"/>
    <s v="ขายภายใน"/>
    <s v="MTFS"/>
    <s v="CPFGS"/>
    <s v="CPFGS"/>
    <s v="Wonton ND+เย็นตาโฟ"/>
    <s v="Cooked Wonton"/>
    <s v="บะหมี่เย็นตาโฟแห้ง CP นายอ้วน 225g MT"/>
    <s v="082SR3Q12002P00001"/>
    <s v="225g*12"/>
    <n v="12"/>
    <n v="2"/>
    <n v="6.0000000000000001E-3"/>
    <x v="4"/>
    <s v="STPP"/>
    <s v="เย็นตาโฟ"/>
    <n v="682"/>
    <n v="682"/>
    <m/>
    <n v="0"/>
    <n v="0"/>
    <n v="0"/>
    <n v="1.7000000000000001E-2"/>
    <n v="0"/>
    <m/>
    <n v="0"/>
    <n v="0"/>
  </r>
  <r>
    <x v="851"/>
    <d v="2026-06-23T00:00:00"/>
    <x v="2"/>
    <e v="#N/A"/>
    <x v="5"/>
    <s v="DRY2600046"/>
    <s v="SG"/>
    <s v="CPFNW"/>
    <s v="CP FOODS SINGAPORE PTE. LTD"/>
    <s v="Wonton +TY"/>
    <s v="Cooked Wonton"/>
    <s v="Cooked Wonton No Egg"/>
    <s v="082S83B24005P06001"/>
    <s v="115g*24"/>
    <n v="24"/>
    <n v="5"/>
    <n v="8.0000000000000002E-3"/>
    <x v="1"/>
    <s v="STPP"/>
    <s v="TYTB3C 30G"/>
    <n v="250"/>
    <n v="250"/>
    <m/>
    <n v="0"/>
    <n v="0"/>
    <n v="0"/>
    <n v="1"/>
    <n v="0"/>
    <m/>
    <n v="0"/>
    <n v="0"/>
  </r>
  <r>
    <x v="851"/>
    <s v="06-2026"/>
    <x v="2"/>
    <e v="#N/A"/>
    <x v="5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45"/>
    <n v="145"/>
    <m/>
    <n v="0"/>
    <n v="0"/>
    <n v="0"/>
    <n v="7.4999999999999997E-3"/>
    <n v="0"/>
    <m/>
    <n v="0"/>
    <n v="0"/>
  </r>
  <r>
    <x v="851"/>
    <s v="06-2026"/>
    <x v="2"/>
    <e v="#N/A"/>
    <x v="5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1243"/>
    <n v="1243"/>
    <m/>
    <n v="0"/>
    <n v="0"/>
    <n v="0"/>
    <n v="7.4999999999999997E-3"/>
    <n v="0"/>
    <m/>
    <n v="0"/>
    <n v="0"/>
  </r>
  <r>
    <x v="852"/>
    <d v="2026-07-07T00:00:00"/>
    <x v="2"/>
    <e v="#N/A"/>
    <x v="5"/>
    <s v="DRY2600138"/>
    <s v="Malay"/>
    <s v="CPFNW"/>
    <s v="CPM Malaysia"/>
    <s v="R-Wonton egg past"/>
    <s v="Raw Wonton"/>
    <s v="Raw Wonton 8 pcs (Tomyam 30g.)"/>
    <s v="082I95I18008P00001"/>
    <s v="126g*18in"/>
    <n v="18"/>
    <n v="8"/>
    <n v="6.8100000000000001E-3"/>
    <x v="3"/>
    <s v="STPP"/>
    <s v="TYTB3C 30G"/>
    <n v="150"/>
    <n v="150"/>
    <m/>
    <n v="0"/>
    <n v="0"/>
    <n v="0"/>
    <n v="1"/>
    <n v="0"/>
    <s v="new package"/>
    <n v="0"/>
    <n v="0"/>
  </r>
  <r>
    <x v="852"/>
    <d v="2026-07-07T00:00:00"/>
    <x v="2"/>
    <e v="#N/A"/>
    <x v="5"/>
    <s v="DRY2600138"/>
    <s v="Malay"/>
    <s v="CPFNW"/>
    <s v="CPM Malaysia"/>
    <s v="R-Wonton egg past"/>
    <s v="Raw Wonton"/>
    <s v="Raw Wonton 12 pcs"/>
    <s v="082I95I20012P02001"/>
    <s v="154g*20inner"/>
    <n v="20"/>
    <n v="12"/>
    <n v="6.8100000000000001E-3"/>
    <x v="3"/>
    <s v="STPP"/>
    <s v="ซุปซอง 5g."/>
    <n v="150"/>
    <n v="150"/>
    <m/>
    <n v="0"/>
    <n v="0"/>
    <n v="0"/>
    <n v="2"/>
    <n v="0"/>
    <s v="new package"/>
    <n v="0"/>
    <n v="0"/>
  </r>
  <r>
    <x v="852"/>
    <d v="2026-07-06T00:00:00"/>
    <x v="2"/>
    <e v="#N/A"/>
    <x v="5"/>
    <s v="DRY2600103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564"/>
    <n v="564"/>
    <m/>
    <n v="0"/>
    <n v="0"/>
    <n v="0"/>
    <n v="6"/>
    <n v="0"/>
    <m/>
    <n v="0"/>
    <n v="0"/>
  </r>
  <r>
    <x v="852"/>
    <s v="06-2026"/>
    <x v="2"/>
    <e v="#N/A"/>
    <x v="5"/>
    <s v="ขายภายใน"/>
    <s v=".7-11"/>
    <s v="CPFGS"/>
    <s v="ถ้วยใหม่"/>
    <s v="Wonton"/>
    <s v="Cooked Wonton"/>
    <s v="เกี๊ยวกุ้ง ตรา อีซี่ โก 24x5 PCS"/>
    <s v="082S81A24005P06001"/>
    <s v="130g*24"/>
    <n v="24"/>
    <n v="5"/>
    <n v="6.1999999999999998E-3"/>
    <x v="2"/>
    <s v="STPP"/>
    <s v="Regular"/>
    <n v="835"/>
    <n v="835"/>
    <m/>
    <n v="0"/>
    <n v="0"/>
    <n v="0"/>
    <n v="7.4999999999999997E-3"/>
    <n v="0"/>
    <m/>
    <n v="0"/>
    <n v="0"/>
  </r>
  <r>
    <x v="852"/>
    <d v="2026-07-27T00:00:00"/>
    <x v="2"/>
    <e v="#N/A"/>
    <x v="5"/>
    <s v="DRY2600125"/>
    <s v="UK"/>
    <s v="CPFNW"/>
    <s v="Food Fellas"/>
    <s v="Wonton +TY"/>
    <s v="Cooked Wonton"/>
    <s v="Cooked Wonton Tomyum"/>
    <s v="082S8T208005P00001"/>
    <s v="147g*8"/>
    <n v="8"/>
    <n v="5"/>
    <n v="6.8100000000000001E-3"/>
    <x v="1"/>
    <s v="Salt"/>
    <s v="TYEXSG+CO"/>
    <n v="600"/>
    <m/>
    <n v="659.5"/>
    <n v="59.5"/>
    <n v="0"/>
    <n v="0"/>
    <n v="7.4999999999999997E-3"/>
    <n v="0"/>
    <s v="ถ้าว,ฝา สีขาว"/>
    <n v="0"/>
    <n v="0"/>
  </r>
  <r>
    <x v="852"/>
    <d v="2026-07-04T00:00:00"/>
    <x v="2"/>
    <e v="#N/A"/>
    <x v="5"/>
    <s v="DRY2600098"/>
    <s v="UK"/>
    <s v="CPFNW"/>
    <s v="Westbridge Foods Limited (One UK)"/>
    <s v="Wonton+TY"/>
    <s v="Cooked Wonton"/>
    <s v="Cooked Wonton Soup Tomyum"/>
    <s v="082S8KW08005P00001"/>
    <s v="147g*8"/>
    <n v="8"/>
    <n v="5"/>
    <n v="7.4999999999999997E-3"/>
    <x v="1"/>
    <s v="Salt"/>
    <s v="TYEXSG+CO"/>
    <n v="5148"/>
    <m/>
    <n v="5148"/>
    <n v="0"/>
    <n v="0"/>
    <n v="0"/>
    <n v="7.4999999999999997E-3"/>
    <n v="0"/>
    <s v="stock icr"/>
    <n v="0"/>
    <n v="0"/>
  </r>
  <r>
    <x v="852"/>
    <d v="2026-07-27T00:00:00"/>
    <x v="2"/>
    <e v="#N/A"/>
    <x v="5"/>
    <s v="DRY2600125"/>
    <s v="UK"/>
    <s v="CPFNW"/>
    <s v="Food Fellas"/>
    <s v="Wonton ND+BC+TY"/>
    <s v="Cooked Wonton"/>
    <s v="Cooked Wonton Noodles Bok Choy Tomyum"/>
    <s v="082SJT208005P00001"/>
    <s v="307g*8"/>
    <n v="8"/>
    <n v="5"/>
    <n v="6.8100000000000001E-3"/>
    <x v="1"/>
    <s v="Salt"/>
    <s v="TYEXSG+CO"/>
    <n v="650"/>
    <m/>
    <n v="773.5"/>
    <n v="123.5"/>
    <n v="0"/>
    <n v="0"/>
    <n v="3.8699999999999998E-2"/>
    <n v="0"/>
    <s v="ถ้าว,ฝา สีขาว"/>
    <n v="0"/>
    <n v="0"/>
  </r>
  <r>
    <x v="852"/>
    <d v="2026-07-16T00:00:00"/>
    <x v="2"/>
    <e v="#N/A"/>
    <x v="5"/>
    <s v="DRY2600131"/>
    <s v="AUS"/>
    <s v="CPFNW"/>
    <s v="CPF Australia Pty Ltd."/>
    <s v="Wonton ND+V+TY"/>
    <s v="Cooked Wonton"/>
    <s v="Cooked Wonton ND No Egg with Pumpkin _x000a_+ Vegetable 5 pcs tomyam"/>
    <s v="082SJ9U24005P00001"/>
    <s v="307g*4c*6in"/>
    <n v="24"/>
    <n v="5"/>
    <n v="7.4999999999999997E-3"/>
    <x v="1"/>
    <s v="Salt"/>
    <s v="TYEXSG+CO"/>
    <n v="390"/>
    <n v="390"/>
    <m/>
    <n v="0"/>
    <n v="0"/>
    <n v="0"/>
    <n v="3.8699999999999998E-2"/>
    <n v="0"/>
    <m/>
    <n v="0"/>
    <n v="0"/>
  </r>
  <r>
    <x v="852"/>
    <d v="2026-06-30T00:00:00"/>
    <x v="2"/>
    <e v="#N/A"/>
    <x v="5"/>
    <s v="DRY2600142"/>
    <s v="AUS"/>
    <s v="CPFNW"/>
    <s v="CPF Australia Pty Ltd."/>
    <s v="Minced ND+V+TY"/>
    <s v="Cooked Wonton"/>
    <s v="Cooked Minced  ND No Egg with Pumpkin_x000a_+ Yu Choy Tomyum"/>
    <s v="082SR9U08003P00001"/>
    <s v="302g*8"/>
    <n v="8"/>
    <n v="3"/>
    <n v="6.0000000000000001E-3"/>
    <x v="4"/>
    <s v="Salt"/>
    <s v="TYEXSG+CO"/>
    <n v="400"/>
    <m/>
    <n v="424.125"/>
    <n v="24.125"/>
    <n v="0"/>
    <n v="0"/>
    <n v="3.8699999999999998E-2"/>
    <n v="0"/>
    <s v="ใช้ Package เก่า  จำนวน 132 กล่อง  โดยจะปิด  Opp Tape  สีแดงไปค่ะ"/>
    <n v="0"/>
    <n v="0"/>
  </r>
  <r>
    <x v="852"/>
    <d v="2026-07-30T00:00:00"/>
    <x v="2"/>
    <e v="#N/A"/>
    <x v="5"/>
    <s v="DRY2600161"/>
    <s v="New Zealand"/>
    <s v="CPFNW"/>
    <s v="Lim Brothers Import&amp;Export Co.,Ltd."/>
    <s v="Minced ND+V+TY"/>
    <s v="Cooked Wonton"/>
    <s v="Cooked Minced  ND No Egg with Pumpkin_x000a_+ Yu Choy Tomyum"/>
    <s v="082SRN708003P00001"/>
    <s v="302g*8"/>
    <n v="8"/>
    <n v="3"/>
    <n v="6.0000000000000001E-3"/>
    <x v="4"/>
    <s v="Salt"/>
    <s v="TYEXSG+CO"/>
    <n v="80"/>
    <m/>
    <n v="80"/>
    <n v="0"/>
    <n v="0"/>
    <n v="0"/>
    <n v="3.8699999999999998E-2"/>
    <n v="0"/>
    <m/>
    <n v="0"/>
    <n v="0"/>
  </r>
  <r>
    <x v="853"/>
    <d v="2026-07-06T00:00:00"/>
    <x v="2"/>
    <e v="#N/A"/>
    <x v="5"/>
    <s v="DRY2600103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46"/>
    <n v="646"/>
    <m/>
    <n v="0"/>
    <n v="0"/>
    <n v="0"/>
    <n v="6"/>
    <n v="0"/>
    <m/>
    <n v="0"/>
    <n v="0"/>
  </r>
  <r>
    <x v="853"/>
    <d v="2026-07-01T00:00:00"/>
    <x v="2"/>
    <e v="#N/A"/>
    <x v="5"/>
    <s v="DRY2600132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n v="0"/>
    <n v="7.4999999999999997E-3"/>
    <n v="0"/>
    <s v="new package (ลบโลโก้ Facebook)"/>
    <n v="0"/>
    <n v="0"/>
  </r>
  <r>
    <x v="853"/>
    <s v="07-2026"/>
    <x v="2"/>
    <e v="#N/A"/>
    <x v="5"/>
    <s v="ขายภายใน"/>
    <s v="MTFS"/>
    <s v="CPFGS"/>
    <s v="ซีพีเอฟ เทรดดิ้ง"/>
    <s v="E+Wonton NDE"/>
    <s v="Cooked Wonton"/>
    <s v="บะหมี่เกี๊ยวกุ้ง ตราซีพี 12X226 กรัม"/>
    <s v="082SJ3Q12003P07001"/>
    <s v="226g*12"/>
    <n v="12"/>
    <n v="3"/>
    <n v="8.0000000000000002E-3"/>
    <x v="1"/>
    <s v="STPP"/>
    <s v="Regular"/>
    <n v="500"/>
    <n v="500"/>
    <m/>
    <n v="0"/>
    <n v="0"/>
    <n v="0"/>
    <n v="7.4999999999999997E-3"/>
    <n v="0"/>
    <m/>
    <n v="0"/>
    <n v="0"/>
  </r>
  <r>
    <x v="853"/>
    <s v="06-2026"/>
    <x v="2"/>
    <e v="#N/A"/>
    <x v="5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250"/>
    <n v="250"/>
    <m/>
    <n v="0"/>
    <n v="0"/>
    <n v="0"/>
    <n v="7.4999999999999997E-3"/>
    <n v="0"/>
    <m/>
    <n v="0"/>
    <n v="0"/>
  </r>
  <r>
    <x v="853"/>
    <s v="07-2026"/>
    <x v="2"/>
    <e v="#N/A"/>
    <x v="5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200"/>
    <n v="200"/>
    <m/>
    <n v="0"/>
    <n v="0"/>
    <n v="0"/>
    <n v="7.4999999999999997E-3"/>
    <n v="0"/>
    <m/>
    <n v="0"/>
    <n v="0"/>
  </r>
  <r>
    <x v="853"/>
    <s v="08-2026"/>
    <x v="2"/>
    <e v="#N/A"/>
    <x v="5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32"/>
    <m/>
    <n v="32.75"/>
    <n v="0.75"/>
    <n v="0"/>
    <n v="0"/>
    <n v="7.4999999999999997E-3"/>
    <n v="0"/>
    <s v="Add Potassium"/>
    <n v="0"/>
    <n v="0"/>
  </r>
  <r>
    <x v="853"/>
    <s v="06-2026"/>
    <x v="2"/>
    <e v="#N/A"/>
    <x v="5"/>
    <s v="ขายภายใน"/>
    <s v="MTFS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MT"/>
    <s v="082SG3Q12003P00001"/>
    <s v="250g*12"/>
    <n v="12"/>
    <n v="3"/>
    <n v="6.1999999999999998E-3"/>
    <x v="2"/>
    <s v="STPP"/>
    <s v="หมาล่า"/>
    <n v="1000"/>
    <n v="1000"/>
    <m/>
    <n v="0"/>
    <n v="0"/>
    <n v="0"/>
    <n v="1.83E-2"/>
    <n v="0"/>
    <m/>
    <n v="0"/>
    <n v="0"/>
  </r>
  <r>
    <x v="853"/>
    <s v="06-2026"/>
    <x v="2"/>
    <e v="#N/A"/>
    <x v="5"/>
    <s v="ขายภายใน"/>
    <s v="MTFS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MT"/>
    <s v="082SG3Q12003P00001"/>
    <s v="250g*12"/>
    <n v="12"/>
    <n v="3"/>
    <n v="6.1999999999999998E-3"/>
    <x v="2"/>
    <s v="STPP"/>
    <s v="หมาล่า"/>
    <n v="500"/>
    <n v="500"/>
    <m/>
    <n v="0"/>
    <n v="0"/>
    <n v="0"/>
    <n v="1.83E-2"/>
    <n v="0"/>
    <m/>
    <n v="0"/>
    <n v="0"/>
  </r>
  <r>
    <x v="853"/>
    <s v="07-2026"/>
    <x v="2"/>
    <e v="#N/A"/>
    <x v="5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x v="2"/>
    <s v="STPP"/>
    <s v="หมาล่า"/>
    <n v="405"/>
    <n v="405"/>
    <m/>
    <n v="0"/>
    <n v="0"/>
    <n v="0"/>
    <n v="1.83E-2"/>
    <n v="0"/>
    <m/>
    <n v="0"/>
    <n v="0"/>
  </r>
  <r>
    <x v="854"/>
    <d v="2026-07-06T00:00:00"/>
    <x v="2"/>
    <e v="#N/A"/>
    <x v="5"/>
    <s v="DRY2600103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26"/>
    <n v="626"/>
    <m/>
    <n v="0"/>
    <n v="0"/>
    <n v="0"/>
    <n v="6"/>
    <n v="0"/>
    <m/>
    <n v="0"/>
    <n v="0"/>
  </r>
  <r>
    <x v="854"/>
    <d v="2026-07-06T00:00:00"/>
    <x v="2"/>
    <e v="#N/A"/>
    <x v="5"/>
    <s v="DRY2600083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n v="0"/>
    <n v="7.4999999999999997E-3"/>
    <n v="0"/>
    <s v="new package (ลบโลโก้ Facebook)"/>
    <n v="0"/>
    <n v="0"/>
  </r>
  <r>
    <x v="854"/>
    <d v="2026-07-20T00:00:00"/>
    <x v="2"/>
    <e v="#N/A"/>
    <x v="5"/>
    <s v="DRY2600133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024.5"/>
    <m/>
    <n v="2024.5"/>
    <n v="0"/>
    <n v="0"/>
    <n v="0"/>
    <n v="7.4999999999999997E-3"/>
    <n v="0"/>
    <s v="new package (ลบโลโก้ Facebook)"/>
    <n v="0"/>
    <n v="0"/>
  </r>
  <r>
    <x v="854"/>
    <d v="2026-07-27T00:00:00"/>
    <x v="2"/>
    <e v="#N/A"/>
    <x v="5"/>
    <s v="DRY2600125"/>
    <s v="UK"/>
    <s v="CPFNW"/>
    <s v="Food Fellas"/>
    <s v="Minced ND+BC+LS"/>
    <s v="Cooked Wonton"/>
    <s v="Cooked Minced Wonton Noodles Bok Choy Laksa"/>
    <s v="082SRT208003P00001"/>
    <s v="315g*8"/>
    <n v="8"/>
    <n v="3"/>
    <n v="6.0000000000000001E-3"/>
    <x v="4"/>
    <s v="Salt"/>
    <s v="Laksa"/>
    <n v="400"/>
    <m/>
    <n v="433.875"/>
    <n v="33.875"/>
    <n v="0"/>
    <n v="0"/>
    <n v="3.8699999999999998E-2"/>
    <n v="0"/>
    <s v="ถ้าว,ฝา สีขาว"/>
    <n v="0"/>
    <n v="0"/>
  </r>
  <r>
    <x v="854"/>
    <d v="2026-07-27T00:00:00"/>
    <x v="2"/>
    <e v="#N/A"/>
    <x v="5"/>
    <s v="DRY2600125"/>
    <s v="UK"/>
    <s v="CPFNW"/>
    <s v="Food Fellas"/>
    <s v="Wonton +LS"/>
    <s v="Cooked Wonton"/>
    <s v="Cooked Wonton Laksa"/>
    <s v="082S8T208005P01001"/>
    <s v="147g*8"/>
    <n v="8"/>
    <n v="5"/>
    <n v="6.8100000000000001E-3"/>
    <x v="1"/>
    <s v="Salt"/>
    <s v="Laksa"/>
    <n v="400"/>
    <m/>
    <n v="467.625"/>
    <n v="67.625"/>
    <n v="0"/>
    <n v="0"/>
    <n v="7.4999999999999997E-3"/>
    <n v="0"/>
    <s v="ถ้าว,ฝา สีขาว"/>
    <n v="0"/>
    <n v="0"/>
  </r>
  <r>
    <x v="855"/>
    <d v="2026-07-27T00:00:00"/>
    <x v="2"/>
    <e v="#N/A"/>
    <x v="5"/>
    <s v="DRY2600125"/>
    <s v="UK"/>
    <s v="CPFNW"/>
    <s v="Food Fellas"/>
    <s v="Wonton"/>
    <s v="Cooked Wonton"/>
    <s v="Cooked Wonton No Egg _x000a_HC  5 pcs"/>
    <s v="082S85L08005P03001"/>
    <s v="145g*8"/>
    <n v="8"/>
    <n v="5"/>
    <n v="7.4999999999999997E-3"/>
    <x v="5"/>
    <s v="Salt"/>
    <s v="Regular"/>
    <n v="900"/>
    <m/>
    <n v="946.25"/>
    <n v="46.25"/>
    <n v="0"/>
    <n v="0"/>
    <n v="7.4999999999999997E-3"/>
    <n v="0"/>
    <s v="ถ้าว,ฝา สีขาว"/>
    <m/>
    <m/>
  </r>
  <r>
    <x v="855"/>
    <d v="2026-07-07T00:00:00"/>
    <x v="2"/>
    <e v="#N/A"/>
    <x v="5"/>
    <s v="DRY2600138"/>
    <s v="Malay"/>
    <s v="CPFNW"/>
    <s v="CPM Malaysia"/>
    <s v="Wonton"/>
    <s v="Cooked Wonton"/>
    <s v="Cooked Wonton No Egg  "/>
    <s v="082S85I24005P01001"/>
    <s v="145g*24"/>
    <n v="24"/>
    <n v="5"/>
    <n v="8.0000000000000002E-3"/>
    <x v="1"/>
    <s v="STPP"/>
    <s v="Regular"/>
    <n v="800"/>
    <n v="800"/>
    <m/>
    <n v="0"/>
    <n v="0"/>
    <n v="0"/>
    <n v="7.4999999999999997E-3"/>
    <n v="0"/>
    <s v="new package"/>
    <n v="0"/>
    <n v="0"/>
  </r>
  <r>
    <x v="855"/>
    <d v="2026-06-30T00:00:00"/>
    <x v="2"/>
    <e v="#N/A"/>
    <x v="5"/>
    <s v="DRY2600142"/>
    <s v="AUS"/>
    <s v="CPFNW"/>
    <s v="CPF Australia Pty Ltd."/>
    <s v="Wonton ND+V"/>
    <s v="Cooked Wonton"/>
    <s v="Cooked Wonton ND No Egg with Pumpkin_x000a_+ Yu Choy "/>
    <s v="082SJ9U08004P00001"/>
    <s v="305g*8"/>
    <n v="8"/>
    <n v="4"/>
    <n v="7.4999999999999997E-3"/>
    <x v="5"/>
    <s v="Salt"/>
    <s v="Regular"/>
    <n v="800"/>
    <m/>
    <n v="887.5"/>
    <n v="87.5"/>
    <n v="0"/>
    <n v="0"/>
    <n v="7.4999999999999997E-3"/>
    <n v="0"/>
    <m/>
    <n v="0"/>
    <n v="0"/>
  </r>
  <r>
    <x v="855"/>
    <d v="2026-07-30T00:00:00"/>
    <x v="2"/>
    <e v="#N/A"/>
    <x v="5"/>
    <s v="DRY2600161"/>
    <s v="New Zealand"/>
    <s v="CPFNW"/>
    <s v="Lim Brothers Import&amp;Export Co.,Ltd."/>
    <s v="Wonton ND+V"/>
    <s v="Cooked Wonton"/>
    <s v="Cooked Wonton ND No Egg with Pumpkin_x000a_+ Yu Choy "/>
    <s v="082SJN708004P00001"/>
    <s v="305g*8"/>
    <n v="8"/>
    <n v="4"/>
    <n v="7.4999999999999997E-3"/>
    <x v="5"/>
    <s v="Salt"/>
    <s v="Regular"/>
    <n v="956"/>
    <m/>
    <n v="956"/>
    <n v="0"/>
    <n v="0"/>
    <n v="0"/>
    <n v="7.4999999999999997E-3"/>
    <n v="0"/>
    <m/>
    <n v="0"/>
    <n v="0"/>
  </r>
  <r>
    <x v="855"/>
    <d v="2026-06-30T00:00:00"/>
    <x v="2"/>
    <e v="#N/A"/>
    <x v="5"/>
    <s v="DRY2600113"/>
    <s v="Belgium"/>
    <s v="CPFNW"/>
    <s v="CPF EUROPE S.A."/>
    <s v="Wonton ND+V"/>
    <s v="Cooked Wonton"/>
    <s v="Cooked Wonton ND No Egg with Pumpkin _x000a_+ Vegetable  HC  3 pcs"/>
    <s v="082SJ3I08003P00001"/>
    <s v="309g*8"/>
    <n v="8"/>
    <n v="3"/>
    <n v="7.4999999999999997E-3"/>
    <x v="5"/>
    <s v="Salt"/>
    <s v="Regular"/>
    <n v="1200"/>
    <m/>
    <n v="1385.625"/>
    <n v="185.625"/>
    <n v="0"/>
    <n v="0"/>
    <n v="7.4999999999999997E-3"/>
    <n v="0"/>
    <m/>
    <n v="0"/>
    <n v="0"/>
  </r>
  <r>
    <x v="855"/>
    <d v="2026-06-30T00:00:00"/>
    <x v="2"/>
    <e v="#N/A"/>
    <x v="5"/>
    <s v="DRY2600126"/>
    <s v="Germany"/>
    <s v="CPFNW"/>
    <s v=" CPF Distribution (under Paulsen Food)"/>
    <s v="Wonton ND+V"/>
    <s v="Cooked Wonton"/>
    <s v="Cooked Wonton ND No Egg with Pumpkin _x000a_+ Vegetable  HC  3 pcs"/>
    <s v="082SJ3N12003P02001"/>
    <s v="309g*12"/>
    <n v="12"/>
    <n v="3"/>
    <n v="6.8100000000000001E-3"/>
    <x v="3"/>
    <s v="Salt"/>
    <s v="Regular"/>
    <n v="2278"/>
    <m/>
    <n v="2298.25"/>
    <n v="20.25"/>
    <n v="0"/>
    <n v="0"/>
    <n v="9.7000000000000003E-3"/>
    <n v="0"/>
    <m/>
    <n v="0"/>
    <n v="0"/>
  </r>
  <r>
    <x v="855"/>
    <d v="2026-06-30T00:00:00"/>
    <x v="2"/>
    <e v="#N/A"/>
    <x v="5"/>
    <s v="DRY2600142"/>
    <s v="AUS"/>
    <s v="CPFNW"/>
    <s v="CPF Australia Pty Ltd."/>
    <s v="Minced ND+V+TK"/>
    <s v="Cooked Wonton"/>
    <s v="Cooked Minced  ND No Egg with Pumpkin_x000a_+ Yu Choy Tomkha"/>
    <s v="082SR9U08003P01001"/>
    <s v="302g*8"/>
    <n v="8"/>
    <n v="3"/>
    <n v="6.0000000000000001E-3"/>
    <x v="4"/>
    <s v="Salt"/>
    <s v="Tomkha+CM"/>
    <n v="250"/>
    <m/>
    <n v="306.375"/>
    <n v="56.375"/>
    <n v="0"/>
    <n v="0"/>
    <n v="5.8823E-2"/>
    <n v="0"/>
    <m/>
    <n v="0"/>
    <n v="0"/>
  </r>
  <r>
    <x v="855"/>
    <d v="2026-07-30T00:00:00"/>
    <x v="2"/>
    <e v="#N/A"/>
    <x v="5"/>
    <s v="DRY2600161"/>
    <s v="New Zealand"/>
    <s v="CPFNW"/>
    <s v="Lim Brothers Import&amp;Export Co.,Ltd."/>
    <s v="Minced ND+V+TK"/>
    <s v="Cooked Wonton"/>
    <s v="Cooked Minced  ND No Egg with Pumpkin_x000a_+ Yu Choy Tomkha"/>
    <s v="082SRN708003P01001"/>
    <s v="302g*8"/>
    <n v="8"/>
    <n v="3"/>
    <n v="6.0000000000000001E-3"/>
    <x v="4"/>
    <s v="Salt"/>
    <s v="Tomkha+CM"/>
    <n v="420"/>
    <m/>
    <n v="420"/>
    <n v="0"/>
    <n v="0"/>
    <n v="0"/>
    <n v="5.8823E-2"/>
    <n v="0"/>
    <m/>
    <n v="0"/>
    <n v="0"/>
  </r>
  <r>
    <x v="855"/>
    <d v="2026-07-07T00:00:00"/>
    <x v="2"/>
    <e v="#N/A"/>
    <x v="5"/>
    <s v="DRY2600127"/>
    <s v="Denmark"/>
    <s v="CPFNW"/>
    <s v="CPF DENMARK"/>
    <s v="Minced ND+V+TK"/>
    <s v="Cooked Wonton"/>
    <s v="Cooked Minced Wonton 3 pcs Noodle (Pumpkin)_x000a_with &quot;Tomka&quot;+Yu Choy"/>
    <s v="082SRKW12003P01001"/>
    <s v="240g*12ถ้วย"/>
    <n v="12"/>
    <n v="3"/>
    <n v="6.1999999999999998E-3"/>
    <x v="4"/>
    <s v="Salt"/>
    <s v="Tomkha+CM"/>
    <n v="2660"/>
    <m/>
    <n v="2660"/>
    <n v="0"/>
    <n v="0"/>
    <n v="0"/>
    <n v="5.8823E-2"/>
    <n v="0"/>
    <s v="ถ้าว,ฝา สีขาว New Package"/>
    <n v="0"/>
    <n v="0"/>
  </r>
  <r>
    <x v="856"/>
    <m/>
    <x v="2"/>
    <e v="#N/A"/>
    <x v="5"/>
    <m/>
    <m/>
    <m/>
    <m/>
    <m/>
    <m/>
    <m/>
    <m/>
    <m/>
    <m/>
    <m/>
    <m/>
    <x v="0"/>
    <m/>
    <m/>
    <m/>
    <m/>
    <m/>
    <m/>
    <m/>
    <n v="0"/>
    <m/>
    <m/>
    <m/>
    <m/>
    <m/>
  </r>
  <r>
    <x v="857"/>
    <d v="2026-07-06T00:00:00"/>
    <x v="2"/>
    <e v="#N/A"/>
    <x v="5"/>
    <s v="DRY2600103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220"/>
    <n v="220"/>
    <m/>
    <n v="0"/>
    <n v="0"/>
    <n v="0"/>
    <n v="6"/>
    <n v="0"/>
    <m/>
    <n v="0"/>
    <n v="0"/>
  </r>
  <r>
    <x v="857"/>
    <d v="2026-07-13T00:00:00"/>
    <x v="2"/>
    <e v="#N/A"/>
    <x v="5"/>
    <s v="DRY2600143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404"/>
    <n v="404"/>
    <m/>
    <n v="0"/>
    <n v="0"/>
    <n v="0"/>
    <n v="6"/>
    <n v="0"/>
    <m/>
    <n v="0"/>
    <n v="0"/>
  </r>
  <r>
    <x v="857"/>
    <d v="2026-07-06T00:00:00"/>
    <x v="2"/>
    <e v="#N/A"/>
    <x v="5"/>
    <s v="DRY2600015"/>
    <s v="Netherlands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x v="857"/>
    <d v="2026-07-07T00:00:00"/>
    <x v="2"/>
    <e v="#N/A"/>
    <x v="5"/>
    <s v="DRY2600138"/>
    <s v="Malay"/>
    <s v="CPFNW"/>
    <s v="CPM Malaysia"/>
    <s v="Wonton+TY"/>
    <s v="Cooked Wonton"/>
    <s v="Cooked Wonton No Egg  Tomyum"/>
    <s v="082S85I24005P02001"/>
    <s v="115g*24"/>
    <n v="24"/>
    <n v="5"/>
    <n v="8.0000000000000002E-3"/>
    <x v="1"/>
    <s v="STPP"/>
    <s v="TYTB3C 30G"/>
    <n v="950"/>
    <n v="950"/>
    <m/>
    <n v="0"/>
    <n v="0"/>
    <n v="0"/>
    <n v="1"/>
    <n v="0"/>
    <m/>
    <n v="0"/>
    <n v="0"/>
  </r>
  <r>
    <x v="858"/>
    <d v="2026-07-13T00:00:00"/>
    <x v="2"/>
    <e v="#N/A"/>
    <x v="5"/>
    <s v="DRY2600143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32"/>
    <n v="632"/>
    <m/>
    <n v="0"/>
    <n v="0"/>
    <n v="0"/>
    <n v="6"/>
    <n v="0"/>
    <m/>
    <n v="0"/>
    <n v="0"/>
  </r>
  <r>
    <x v="858"/>
    <d v="2026-07-27T00:00:00"/>
    <x v="2"/>
    <e v="#N/A"/>
    <x v="5"/>
    <s v="DRY2600016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2"/>
    <n v="6"/>
    <n v="0"/>
    <n v="0"/>
    <n v="0"/>
    <n v="7.4999999999999997E-3"/>
    <n v="0"/>
    <s v="ถ้าว,ฝา สีขาว/Halal/ New Design"/>
    <n v="0"/>
    <n v="0"/>
  </r>
  <r>
    <x v="858"/>
    <d v="2026-07-22T00:00:00"/>
    <x v="2"/>
    <e v="#N/A"/>
    <x v="5"/>
    <s v="DRY2600141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4200"/>
    <m/>
    <n v="4200"/>
    <n v="0"/>
    <n v="0"/>
    <n v="0"/>
    <n v="7.4999999999999997E-3"/>
    <n v="0"/>
    <s v="ใช้คำว่า “Best if Used By” แทนคำว่า Best by Date"/>
    <n v="0"/>
    <n v="0"/>
  </r>
  <r>
    <x v="858"/>
    <d v="2026-07-08T00:00:00"/>
    <x v="2"/>
    <e v="#N/A"/>
    <x v="5"/>
    <s v="DRY2600165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400"/>
    <m/>
    <n v="400"/>
    <n v="0"/>
    <n v="0"/>
    <n v="0"/>
    <n v="7.4999999999999997E-3"/>
    <n v="0"/>
    <s v="ใช้คำว่า “Best if Used By” แทนคำว่า Best by Date"/>
    <n v="0"/>
    <n v="0"/>
  </r>
  <r>
    <x v="858"/>
    <d v="2026-08-04T00:00:00"/>
    <x v="2"/>
    <e v="#N/A"/>
    <x v="5"/>
    <s v="DRY2600166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300"/>
    <m/>
    <n v="438.75"/>
    <n v="138.75"/>
    <n v="0"/>
    <n v="0"/>
    <n v="7.4999999999999997E-3"/>
    <n v="0"/>
    <s v="ใช้คำว่า “Best if Used By” แทนคำว่า Best by Date"/>
    <n v="0"/>
    <n v="0"/>
  </r>
  <r>
    <x v="859"/>
    <d v="2026-07-13T00:00:00"/>
    <x v="2"/>
    <e v="#N/A"/>
    <x v="5"/>
    <s v="DRY2600143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38"/>
    <n v="638"/>
    <m/>
    <n v="0"/>
    <n v="0"/>
    <n v="0"/>
    <n v="6"/>
    <n v="0"/>
    <m/>
    <n v="0"/>
    <n v="0"/>
  </r>
  <r>
    <x v="859"/>
    <d v="2026-07-23T00:00:00"/>
    <x v="2"/>
    <e v="#N/A"/>
    <x v="5"/>
    <s v="DRY2600122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859"/>
    <d v="2026-07-30T00:00:00"/>
    <x v="2"/>
    <e v="#N/A"/>
    <x v="5"/>
    <s v="DRY2600123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859"/>
    <d v="2026-07-07T00:00:00"/>
    <x v="2"/>
    <e v="#N/A"/>
    <x v="5"/>
    <s v="DRY2600112"/>
    <s v="SG"/>
    <s v="CPFNW"/>
    <s v="CP FOODS SINGAPORE PTE. LTD"/>
    <s v="Wonton ND+V"/>
    <s v="Cooked Wonton"/>
    <s v="Cooked Wonton ND No Egg with Pumpkin _x000a_+ Vegetable  HC  3 pcs"/>
    <s v="082SJ3B24003P02001"/>
    <s v="219g*24"/>
    <n v="24"/>
    <n v="3"/>
    <n v="7.4999999999999997E-3"/>
    <x v="5"/>
    <s v="STPP"/>
    <s v="ซุปซอง 10g."/>
    <n v="250"/>
    <n v="250"/>
    <m/>
    <n v="0"/>
    <n v="0"/>
    <n v="0"/>
    <n v="1"/>
    <n v="0"/>
    <m/>
    <n v="0"/>
    <n v="0"/>
  </r>
  <r>
    <x v="860"/>
    <d v="2026-07-13T00:00:00"/>
    <x v="2"/>
    <e v="#N/A"/>
    <x v="5"/>
    <s v="DRY2600143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382"/>
    <n v="382"/>
    <m/>
    <n v="0"/>
    <n v="0"/>
    <n v="0"/>
    <n v="6"/>
    <n v="0"/>
    <m/>
    <n v="0"/>
    <n v="0"/>
  </r>
  <r>
    <x v="860"/>
    <d v="2026-07-01T00:00:00"/>
    <x v="2"/>
    <e v="#N/A"/>
    <x v="5"/>
    <s v="ขายภายใน"/>
    <s v="5 Stars"/>
    <s v="5 Stars"/>
    <s v="CPFRF"/>
    <s v="EP+Wonton"/>
    <s v="Cooked Wonton"/>
    <s v="Cooked Wonton with egg "/>
    <s v="082S81N16020P00001"/>
    <s v="20 pcs*16"/>
    <n v="64"/>
    <n v="5"/>
    <n v="7.0000000000000001E-3"/>
    <x v="3"/>
    <s v="STPP"/>
    <m/>
    <n v="92"/>
    <n v="92"/>
    <m/>
    <n v="0"/>
    <n v="0"/>
    <n v="0"/>
    <m/>
    <m/>
    <m/>
    <m/>
    <m/>
  </r>
  <r>
    <x v="860"/>
    <s v="06-2026"/>
    <x v="2"/>
    <e v="#N/A"/>
    <x v="5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1185"/>
    <n v="1185"/>
    <m/>
    <n v="0"/>
    <n v="0"/>
    <n v="0"/>
    <n v="7.4999999999999997E-3"/>
    <n v="0"/>
    <m/>
    <n v="0"/>
    <n v="0"/>
  </r>
  <r>
    <x v="860"/>
    <s v="07-2026"/>
    <x v="2"/>
    <e v="#N/A"/>
    <x v="5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3106"/>
    <n v="3106"/>
    <m/>
    <n v="0"/>
    <n v="0"/>
    <n v="0"/>
    <n v="7.4999999999999997E-3"/>
    <n v="0"/>
    <m/>
    <n v="0"/>
    <n v="0"/>
  </r>
  <r>
    <x v="861"/>
    <s v="07-2026"/>
    <x v="2"/>
    <e v="#N/A"/>
    <x v="5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0"/>
    <s v="145g*12"/>
    <n v="12"/>
    <n v="5"/>
    <n v="8.0000000000000002E-3"/>
    <x v="1"/>
    <s v="STPP"/>
    <s v="Regular"/>
    <n v="12"/>
    <n v="12"/>
    <m/>
    <n v="0"/>
    <n v="0"/>
    <n v="0"/>
    <n v="7.4999999999999997E-3"/>
    <n v="0"/>
    <m/>
    <n v="0"/>
    <n v="0"/>
  </r>
  <r>
    <x v="861"/>
    <s v="07-2026"/>
    <x v="2"/>
    <e v="#N/A"/>
    <x v="5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1"/>
    <s v="145g*12"/>
    <n v="12"/>
    <n v="5"/>
    <n v="8.0000000000000002E-3"/>
    <x v="1"/>
    <s v="STPP"/>
    <s v="Regular"/>
    <n v="2500"/>
    <n v="2500"/>
    <m/>
    <n v="0"/>
    <n v="0"/>
    <n v="0"/>
    <n v="7.4999999999999997E-3"/>
    <n v="0"/>
    <m/>
    <n v="0"/>
    <n v="0"/>
  </r>
  <r>
    <x v="861"/>
    <s v="07-2026"/>
    <x v="2"/>
    <e v="#N/A"/>
    <x v="5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1631"/>
    <n v="1631"/>
    <m/>
    <n v="0"/>
    <n v="0"/>
    <n v="0"/>
    <n v="7.4999999999999997E-3"/>
    <n v="0"/>
    <m/>
    <n v="0"/>
    <n v="0"/>
  </r>
  <r>
    <x v="861"/>
    <s v="07-2026"/>
    <x v="2"/>
    <e v="#N/A"/>
    <x v="5"/>
    <s v="ขายภายใน"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1000"/>
    <n v="1000"/>
    <m/>
    <n v="0"/>
    <n v="0"/>
    <n v="0"/>
    <n v="1"/>
    <n v="0"/>
    <s v="package เก่า"/>
    <n v="0"/>
    <n v="0"/>
  </r>
  <r>
    <x v="861"/>
    <s v="07-2026"/>
    <x v="2"/>
    <e v="#N/A"/>
    <x v="5"/>
    <s v="ขายภายใน"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1000"/>
    <n v="1000"/>
    <m/>
    <n v="0"/>
    <n v="0"/>
    <n v="0"/>
    <n v="1"/>
    <n v="0"/>
    <s v="package เก่า"/>
    <n v="0"/>
    <n v="0"/>
  </r>
  <r>
    <x v="861"/>
    <s v="07-2026"/>
    <x v="2"/>
    <e v="#N/A"/>
    <x v="5"/>
    <s v="ขายภายใน"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444"/>
    <n v="444"/>
    <m/>
    <n v="0"/>
    <n v="0"/>
    <n v="0"/>
    <n v="1"/>
    <n v="0"/>
    <s v="package เก่า"/>
    <n v="0"/>
    <n v="0"/>
  </r>
  <r>
    <x v="862"/>
    <d v="2026-07-09T00:00:00"/>
    <x v="2"/>
    <e v="#N/A"/>
    <x v="5"/>
    <s v="DRY2600157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n v="766"/>
    <n v="26.777777777777779"/>
    <n v="0.77777777777782831"/>
    <n v="0"/>
    <n v="0"/>
    <n v="9.7000000000000003E-3"/>
    <n v="0"/>
    <m/>
    <n v="0"/>
    <n v="0"/>
  </r>
  <r>
    <x v="862"/>
    <d v="2026-07-09T00:00:00"/>
    <x v="2"/>
    <e v="#N/A"/>
    <x v="5"/>
    <s v="DRY2600158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862"/>
    <d v="2026-07-09T00:00:00"/>
    <x v="2"/>
    <e v="#N/A"/>
    <x v="5"/>
    <s v="DRY2600159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862"/>
    <d v="2026-07-09T00:00:00"/>
    <x v="2"/>
    <e v="#N/A"/>
    <x v="5"/>
    <s v="DRY2600160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287"/>
    <n v="287"/>
    <m/>
    <n v="0"/>
    <n v="0"/>
    <n v="0"/>
    <n v="9.7000000000000003E-3"/>
    <n v="0"/>
    <m/>
    <n v="0"/>
    <n v="0"/>
  </r>
  <r>
    <x v="863"/>
    <m/>
    <x v="2"/>
    <e v="#N/A"/>
    <x v="5"/>
    <m/>
    <m/>
    <m/>
    <m/>
    <m/>
    <m/>
    <m/>
    <m/>
    <m/>
    <m/>
    <m/>
    <m/>
    <x v="0"/>
    <m/>
    <m/>
    <m/>
    <m/>
    <m/>
    <m/>
    <m/>
    <n v="0"/>
    <m/>
    <m/>
    <m/>
    <m/>
    <m/>
  </r>
  <r>
    <x v="864"/>
    <d v="2026-08-03T00:00:00"/>
    <x v="2"/>
    <e v="#N/A"/>
    <x v="5"/>
    <s v="DRY2600105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1261"/>
    <n v="1220"/>
    <n v="41"/>
    <n v="0"/>
    <n v="0"/>
    <n v="0"/>
    <n v="6"/>
    <n v="0"/>
    <m/>
    <n v="0"/>
    <n v="0"/>
  </r>
  <r>
    <x v="865"/>
    <d v="2026-07-08T00:00:00"/>
    <x v="2"/>
    <e v="#N/A"/>
    <x v="5"/>
    <s v="DRY2600165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00"/>
    <n v="100"/>
    <m/>
    <n v="0"/>
    <n v="0"/>
    <n v="0"/>
    <n v="6"/>
    <n v="0"/>
    <m/>
    <n v="0"/>
    <n v="0"/>
  </r>
  <r>
    <x v="865"/>
    <d v="2026-08-04T00:00:00"/>
    <x v="2"/>
    <e v="#N/A"/>
    <x v="5"/>
    <s v="DRY2600166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00"/>
    <n v="100"/>
    <m/>
    <n v="0"/>
    <n v="0"/>
    <n v="0"/>
    <n v="6"/>
    <n v="0"/>
    <m/>
    <n v="0"/>
    <n v="0"/>
  </r>
  <r>
    <x v="865"/>
    <d v="2026-08-03T00:00:00"/>
    <x v="2"/>
    <e v="#N/A"/>
    <x v="5"/>
    <s v="DRY2600105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795"/>
    <n v="795"/>
    <m/>
    <n v="0"/>
    <n v="0"/>
    <n v="0"/>
    <n v="6"/>
    <n v="0"/>
    <m/>
    <n v="0"/>
    <n v="0"/>
  </r>
  <r>
    <x v="866"/>
    <d v="2026-07-08T00:00:00"/>
    <x v="2"/>
    <e v="#N/A"/>
    <x v="6"/>
    <s v="DRY2600165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945"/>
    <n v="945"/>
    <m/>
    <n v="0"/>
    <n v="0"/>
    <n v="0"/>
    <n v="7.4999999999999997E-3"/>
    <n v="0"/>
    <s v="New Package"/>
    <n v="0"/>
    <n v="0"/>
  </r>
  <r>
    <x v="866"/>
    <d v="2026-08-04T00:00:00"/>
    <x v="2"/>
    <e v="#N/A"/>
    <x v="6"/>
    <s v="DRY2600166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1000"/>
    <n v="952"/>
    <n v="57.25"/>
    <n v="9.25"/>
    <n v="0"/>
    <n v="0"/>
    <n v="7.4999999999999997E-3"/>
    <n v="0"/>
    <s v="New Package"/>
    <n v="0"/>
    <n v="0"/>
  </r>
  <r>
    <x v="866"/>
    <d v="2026-07-20T00:00:00"/>
    <x v="2"/>
    <e v="#N/A"/>
    <x v="6"/>
    <s v="DRY2600133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575.5"/>
    <m/>
    <n v="575.5"/>
    <n v="0"/>
    <n v="0"/>
    <n v="0"/>
    <n v="7.4999999999999997E-3"/>
    <n v="0"/>
    <s v="new package (ลบโลโก้ Facebook)"/>
    <n v="0"/>
    <n v="0"/>
  </r>
  <r>
    <x v="866"/>
    <d v="2026-07-07T00:00:00"/>
    <x v="2"/>
    <e v="#N/A"/>
    <x v="6"/>
    <s v="DRY2600046"/>
    <s v="SG"/>
    <s v="CPFNW"/>
    <s v="CP FOODS SINGAPORE PTE. LTD"/>
    <s v="Wonton"/>
    <s v="Cooked Wonton"/>
    <s v="Cooked Wonton No Egg"/>
    <s v="082S83B24005P07001"/>
    <s v="145g*24"/>
    <n v="24"/>
    <n v="5"/>
    <n v="8.0000000000000002E-3"/>
    <x v="1"/>
    <s v="STPP"/>
    <s v="Regular"/>
    <n v="250"/>
    <n v="248"/>
    <n v="2.125"/>
    <n v="0.125"/>
    <n v="0"/>
    <n v="0"/>
    <n v="1"/>
    <n v="0"/>
    <m/>
    <n v="0"/>
    <n v="0"/>
  </r>
  <r>
    <x v="866"/>
    <d v="2026-07-27T00:00:00"/>
    <x v="2"/>
    <e v="#N/A"/>
    <x v="6"/>
    <s v="DRY2600125"/>
    <s v="UK"/>
    <s v="CPFNW"/>
    <s v="Food Fellas"/>
    <s v="Wonton +LS"/>
    <s v="Cooked Wonton"/>
    <s v="Cooked Wonton Laksa"/>
    <s v="082S8T208005P01001"/>
    <s v="147g*8"/>
    <n v="8"/>
    <n v="5"/>
    <n v="6.8100000000000001E-3"/>
    <x v="1"/>
    <s v="Salt"/>
    <s v="Laksa"/>
    <n v="400"/>
    <m/>
    <n v="406.625"/>
    <n v="6.625"/>
    <n v="0"/>
    <n v="0"/>
    <n v="7.4999999999999997E-3"/>
    <n v="0"/>
    <s v="ถ้าว,ฝา สีขาว"/>
    <n v="0"/>
    <n v="0"/>
  </r>
  <r>
    <x v="867"/>
    <d v="2026-08-07T00:00:00"/>
    <x v="2"/>
    <e v="#N/A"/>
    <x v="6"/>
    <s v="DRY2600111"/>
    <s v="SG"/>
    <s v="CPFNW"/>
    <s v="CP FOODS SINGAPORE PTE. LTD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1200"/>
    <n v="664"/>
    <n v="536"/>
    <n v="0"/>
    <n v="0"/>
    <n v="0"/>
    <n v="2"/>
    <n v="0"/>
    <s v="ห่อแบบสุก"/>
    <n v="0"/>
    <n v="0"/>
  </r>
  <r>
    <x v="867"/>
    <d v="2026-07-09T00:00:00"/>
    <x v="2"/>
    <e v="#N/A"/>
    <x v="6"/>
    <s v="DRY2600160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505"/>
    <n v="396"/>
    <n v="109"/>
    <n v="0"/>
    <n v="0"/>
    <n v="0"/>
    <n v="9.7000000000000003E-3"/>
    <n v="0"/>
    <m/>
    <n v="0"/>
    <n v="0"/>
  </r>
  <r>
    <x v="867"/>
    <d v="2026-08-13T00:00:00"/>
    <x v="2"/>
    <e v="#N/A"/>
    <x v="6"/>
    <s v="DRY2600172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n v="0"/>
    <n v="7.4999999999999997E-3"/>
    <n v="0"/>
    <m/>
    <n v="0"/>
    <n v="0"/>
  </r>
  <r>
    <x v="867"/>
    <d v="2026-07-14T00:00:00"/>
    <x v="2"/>
    <e v="#N/A"/>
    <x v="6"/>
    <s v="DRY2600128"/>
    <s v="Denmark"/>
    <s v="CPFNW"/>
    <s v="CPF DENMARK"/>
    <s v="Minced ND+V+TY"/>
    <s v="Cooked Wonton"/>
    <s v="Cooked Minced Wonton 3 pcs Noodle (Pumpkin)_x000a_with &quot;Tomyum&quot;+Yu Choy"/>
    <s v="082SRKW12003P00001"/>
    <s v="240g*12ถ้วย"/>
    <n v="12"/>
    <n v="3"/>
    <n v="6.1999999999999998E-3"/>
    <x v="4"/>
    <s v="Salt"/>
    <s v="TYANSSG+CM"/>
    <n v="2660"/>
    <m/>
    <n v="2660"/>
    <n v="0"/>
    <n v="0"/>
    <n v="0"/>
    <n v="3.85E-2"/>
    <n v="0"/>
    <s v="ถ้าว,ฝา สีขาว New Package"/>
    <n v="0"/>
    <n v="0"/>
  </r>
  <r>
    <x v="868"/>
    <s v="07-2026"/>
    <x v="2"/>
    <e v="#N/A"/>
    <x v="6"/>
    <s v="ขายภายใน"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5182"/>
    <n v="5182"/>
    <m/>
    <n v="0"/>
    <n v="0"/>
    <n v="0"/>
    <n v="7.4999999999999997E-3"/>
    <n v="0"/>
    <m/>
    <n v="0"/>
    <n v="0"/>
  </r>
  <r>
    <x v="869"/>
    <s v="07-2026"/>
    <x v="2"/>
    <e v="#N/A"/>
    <x v="6"/>
    <s v="ขายภายใน"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3612"/>
    <n v="3612"/>
    <m/>
    <n v="0"/>
    <n v="0"/>
    <n v="0"/>
    <n v="7.4999999999999997E-3"/>
    <n v="0"/>
    <m/>
    <n v="0"/>
    <n v="0"/>
  </r>
  <r>
    <x v="869"/>
    <s v="07-2026"/>
    <x v="2"/>
    <e v="#N/A"/>
    <x v="6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x v="2"/>
    <s v="STPP"/>
    <s v="หมาล่า"/>
    <n v="1995"/>
    <n v="1995"/>
    <m/>
    <n v="0"/>
    <n v="0"/>
    <n v="0"/>
    <n v="1.83E-2"/>
    <n v="0"/>
    <m/>
    <n v="0"/>
    <n v="0"/>
  </r>
  <r>
    <x v="870"/>
    <m/>
    <x v="2"/>
    <e v="#N/A"/>
    <x v="6"/>
    <m/>
    <m/>
    <m/>
    <m/>
    <m/>
    <m/>
    <m/>
    <m/>
    <m/>
    <m/>
    <m/>
    <m/>
    <x v="0"/>
    <m/>
    <m/>
    <m/>
    <m/>
    <m/>
    <m/>
    <m/>
    <n v="0"/>
    <m/>
    <m/>
    <m/>
    <m/>
    <m/>
  </r>
  <r>
    <x v="871"/>
    <d v="2026-08-07T00:00:00"/>
    <x v="2"/>
    <e v="#N/A"/>
    <x v="6"/>
    <s v="DRY2600111"/>
    <s v="SG"/>
    <s v="CPFNW"/>
    <s v="CP FOODS SINGAPORE PTE. LTD"/>
    <s v="R-Minced egg past"/>
    <s v="Raw Wonton"/>
    <s v="Raw Minced Wonton 8 pcs"/>
    <s v="082ID3B18008P00001"/>
    <s v="90g*18in"/>
    <n v="18"/>
    <n v="8"/>
    <n v="6.0000000000000001E-3"/>
    <x v="4"/>
    <s v="STPP"/>
    <s v="ซุปซอง 5g."/>
    <n v="500"/>
    <n v="76"/>
    <n v="424"/>
    <n v="0"/>
    <n v="0"/>
    <n v="0"/>
    <n v="2"/>
    <n v="0"/>
    <s v="new package"/>
    <n v="0"/>
    <n v="0"/>
  </r>
  <r>
    <x v="871"/>
    <d v="2026-08-10T00:00:00"/>
    <x v="2"/>
    <e v="#N/A"/>
    <x v="6"/>
    <s v="DRY2600144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903"/>
    <n v="872"/>
    <n v="31"/>
    <n v="0"/>
    <n v="0"/>
    <n v="0"/>
    <n v="6"/>
    <n v="0"/>
    <m/>
    <n v="0"/>
    <n v="0"/>
  </r>
  <r>
    <x v="871"/>
    <d v="2026-08-07T00:00:00"/>
    <x v="2"/>
    <e v="#N/A"/>
    <x v="6"/>
    <s v="DRY2600111"/>
    <s v="SG"/>
    <s v="CPFNW"/>
    <s v="CP FOODS SINGAPORE PTE. LTD"/>
    <s v="R-Wonton egg past"/>
    <s v="Raw Wonton"/>
    <s v="Raw Wonton 8 pcs"/>
    <s v="082I93B20008P00001"/>
    <s v="194g*20in"/>
    <n v="20"/>
    <n v="8"/>
    <n v="1.4999999999999999E-2"/>
    <x v="6"/>
    <s v="STPP"/>
    <s v="ซุปซอง 5g."/>
    <n v="250"/>
    <n v="250"/>
    <m/>
    <n v="0"/>
    <n v="0"/>
    <n v="0"/>
    <n v="2"/>
    <n v="0"/>
    <s v="ห่อแบบดิบ"/>
    <n v="0"/>
    <n v="0"/>
  </r>
  <r>
    <x v="872"/>
    <d v="2026-08-10T00:00:00"/>
    <x v="2"/>
    <e v="#N/A"/>
    <x v="6"/>
    <s v="DRY2600144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1153"/>
    <n v="1153"/>
    <m/>
    <n v="0"/>
    <n v="0"/>
    <n v="0"/>
    <n v="6"/>
    <n v="0"/>
    <m/>
    <n v="0"/>
    <n v="0"/>
  </r>
  <r>
    <x v="873"/>
    <d v="2026-07-09T00:00:00"/>
    <x v="2"/>
    <e v="#N/A"/>
    <x v="6"/>
    <s v="DRY2600160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172.38888888888889"/>
    <m/>
    <n v="172.38888888888889"/>
    <n v="0"/>
    <n v="0"/>
    <n v="0"/>
    <n v="9.7000000000000003E-3"/>
    <n v="0"/>
    <m/>
    <n v="0"/>
    <n v="0"/>
  </r>
  <r>
    <x v="873"/>
    <d v="2026-08-04T00:00:00"/>
    <x v="2"/>
    <e v="#N/A"/>
    <x v="6"/>
    <s v="DRY2600139"/>
    <s v="UK"/>
    <s v="CPFNW"/>
    <s v="Westbridge Foods Limited (One UK)"/>
    <s v="Minced ND+Kee Mao"/>
    <s v="Cooked Wonton"/>
    <s v="Cooked Minced Wonton Thai Spicy Noodles (Drunken Noodles)"/>
    <s v="082SRKW06003P00001"/>
    <s v="300g*6"/>
    <n v="6"/>
    <n v="3"/>
    <n v="6.1999999999999998E-3"/>
    <x v="4"/>
    <s v="Salt"/>
    <s v="Kee Mao"/>
    <n v="2975"/>
    <m/>
    <n v="2975.8333333333335"/>
    <n v="0.83333333333348492"/>
    <n v="0"/>
    <n v="0"/>
    <n v="6.5000000000000002E-2"/>
    <n v="0"/>
    <m/>
    <n v="0"/>
    <n v="0"/>
  </r>
  <r>
    <x v="873"/>
    <s v="07-2026"/>
    <x v="2"/>
    <e v="#N/A"/>
    <x v="6"/>
    <s v="ขายภายใน"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2665"/>
    <n v="2665"/>
    <m/>
    <n v="0"/>
    <n v="0"/>
    <n v="0"/>
    <n v="7.4999999999999997E-3"/>
    <n v="0"/>
    <m/>
    <n v="0"/>
    <n v="0"/>
  </r>
  <r>
    <x v="874"/>
    <d v="2026-08-04T00:00:00"/>
    <x v="2"/>
    <e v="#N/A"/>
    <x v="6"/>
    <s v="DRY2600139"/>
    <s v="UK"/>
    <s v="CPFNW"/>
    <s v="Westbridge Foods Limited (One UK)"/>
    <s v="Minced ND+Kee Mao"/>
    <s v="Cooked Wonton"/>
    <s v="Cooked Minced Wonton Thai Spicy Noodles (Drunken Noodles)"/>
    <s v="082SRKW06003P00001"/>
    <s v="300g*6"/>
    <n v="6"/>
    <n v="3"/>
    <n v="6.1999999999999998E-3"/>
    <x v="4"/>
    <s v="Salt"/>
    <s v="Kee Mao"/>
    <n v="2695"/>
    <m/>
    <n v="2695.8333333333335"/>
    <n v="0.83333333333348492"/>
    <n v="0"/>
    <n v="0"/>
    <n v="6.5000000000000002E-2"/>
    <n v="0"/>
    <m/>
    <n v="0"/>
    <n v="0"/>
  </r>
  <r>
    <x v="874"/>
    <s v="07-2026"/>
    <x v="2"/>
    <e v="#N/A"/>
    <x v="6"/>
    <s v="ขายภายใน"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2530"/>
    <n v="2530"/>
    <m/>
    <n v="0"/>
    <n v="0"/>
    <n v="0"/>
    <n v="7.4999999999999997E-3"/>
    <n v="0"/>
    <m/>
    <n v="0"/>
    <n v="0"/>
  </r>
  <r>
    <x v="875"/>
    <d v="2026-08-04T00:00:00"/>
    <x v="2"/>
    <e v="#N/A"/>
    <x v="6"/>
    <s v="DRY2600139"/>
    <s v="UK"/>
    <s v="CPFNW"/>
    <s v="Westbridge Foods Limited (One UK)"/>
    <s v="Minced ND+Kee Mao"/>
    <s v="Cooked Wonton"/>
    <s v="Cooked Minced Wonton Thai Spicy Noodles (Drunken Noodles)"/>
    <s v="082SRKW06003P00001"/>
    <s v="300g*6"/>
    <n v="6"/>
    <n v="3"/>
    <n v="6.1999999999999998E-3"/>
    <x v="4"/>
    <s v="Salt"/>
    <s v="Kee Mao"/>
    <n v="2330"/>
    <m/>
    <n v="2330"/>
    <n v="0"/>
    <n v="0"/>
    <n v="0"/>
    <n v="6.5000000000000002E-2"/>
    <n v="0"/>
    <m/>
    <n v="0"/>
    <n v="0"/>
  </r>
  <r>
    <x v="875"/>
    <s v="07-2026"/>
    <x v="2"/>
    <e v="#N/A"/>
    <x v="6"/>
    <s v="ขายภายใน"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1296"/>
    <n v="1296"/>
    <m/>
    <n v="0"/>
    <n v="0"/>
    <n v="0"/>
    <n v="7.4999999999999997E-3"/>
    <n v="0"/>
    <m/>
    <n v="0"/>
    <n v="0"/>
  </r>
  <r>
    <x v="876"/>
    <d v="2026-07-24T00:00:00"/>
    <x v="2"/>
    <e v="#N/A"/>
    <x v="6"/>
    <s v="DRY2600155"/>
    <s v="UK"/>
    <s v="CPFNW"/>
    <s v="Westbridge Foods Limited (One UK)"/>
    <s v="Minced ND+BC"/>
    <s v="Cooked Wonton"/>
    <s v="Cooked Minced Wonton Noodle  (Low Sodium)+Bok Choy"/>
    <s v="082SRWE12005PA0001"/>
    <s v="258g*12"/>
    <n v="12"/>
    <n v="5"/>
    <n v="6.0000000000000001E-3"/>
    <x v="4"/>
    <s v="Salt"/>
    <s v="Regular"/>
    <n v="2600"/>
    <m/>
    <n v="2873.4166666666665"/>
    <n v="273.41666666666652"/>
    <n v="0"/>
    <n v="0"/>
    <n v="7.4999999999999997E-3"/>
    <n v="0"/>
    <s v="ถ้าว,ฝา สีขาว New Package"/>
    <n v="0"/>
    <n v="0"/>
  </r>
  <r>
    <x v="876"/>
    <d v="2026-07-23T00:00:00"/>
    <x v="2"/>
    <e v="#N/A"/>
    <x v="6"/>
    <s v="DRY2600184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876"/>
    <d v="2026-07-30T00:00:00"/>
    <x v="2"/>
    <e v="#N/A"/>
    <x v="6"/>
    <s v="DRY2600185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m/>
    <n v="0"/>
    <n v="0"/>
  </r>
  <r>
    <x v="876"/>
    <d v="2026-08-20T00:00:00"/>
    <x v="2"/>
    <e v="#N/A"/>
    <x v="6"/>
    <s v="DRY2600186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129"/>
    <n v="129"/>
    <m/>
    <n v="0"/>
    <n v="0"/>
    <n v="0"/>
    <n v="9.7000000000000003E-3"/>
    <n v="0"/>
    <m/>
    <n v="0"/>
    <n v="0"/>
  </r>
  <r>
    <x v="877"/>
    <m/>
    <x v="2"/>
    <e v="#N/A"/>
    <x v="6"/>
    <m/>
    <m/>
    <m/>
    <m/>
    <m/>
    <m/>
    <m/>
    <m/>
    <m/>
    <m/>
    <m/>
    <m/>
    <x v="0"/>
    <m/>
    <m/>
    <m/>
    <m/>
    <m/>
    <m/>
    <m/>
    <n v="0"/>
    <m/>
    <m/>
    <m/>
    <m/>
    <m/>
  </r>
  <r>
    <x v="878"/>
    <d v="2026-07-21T00:00:00"/>
    <x v="2"/>
    <e v="#N/A"/>
    <x v="6"/>
    <s v="DRY2600015"/>
    <s v="Netherlands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x v="878"/>
    <d v="2026-07-27T00:00:00"/>
    <x v="2"/>
    <e v="#N/A"/>
    <x v="6"/>
    <s v="DRY2600016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x v="878"/>
    <d v="2026-07-27T00:00:00"/>
    <x v="2"/>
    <e v="#N/A"/>
    <x v="6"/>
    <s v="DRY2600125"/>
    <s v="UK"/>
    <s v="CPFNW"/>
    <s v="Food Fellas"/>
    <s v="Wonton"/>
    <s v="Cooked Wonton"/>
    <s v="Cooked Wonton No Egg _x000a_HC  5 pcs"/>
    <s v="082S85L08005P03001"/>
    <s v="145g*8"/>
    <n v="8"/>
    <n v="5"/>
    <n v="7.4999999999999997E-3"/>
    <x v="5"/>
    <s v="Salt"/>
    <s v="Regular"/>
    <n v="900"/>
    <m/>
    <n v="916.25"/>
    <n v="16.25"/>
    <n v="0"/>
    <n v="0"/>
    <n v="7.4999999999999997E-3"/>
    <n v="0"/>
    <s v="ถ้าว,ฝา สีขาว"/>
    <m/>
    <m/>
  </r>
  <r>
    <x v="878"/>
    <d v="2026-08-04T00:00:00"/>
    <x v="2"/>
    <e v="#N/A"/>
    <x v="6"/>
    <s v="DRY2600163"/>
    <s v="Malay"/>
    <s v="CPFNW"/>
    <s v="CPM Malaysia"/>
    <s v="Wonton"/>
    <s v="Cooked Wonton"/>
    <s v="Cooked Wonton No Egg  "/>
    <s v="082S85I24005P01001"/>
    <s v="145g*24"/>
    <n v="24"/>
    <n v="5"/>
    <n v="8.0000000000000002E-3"/>
    <x v="1"/>
    <s v="STPP"/>
    <s v="Regular"/>
    <n v="1050"/>
    <n v="1047"/>
    <n v="3"/>
    <n v="0"/>
    <n v="0"/>
    <n v="0"/>
    <n v="7.4999999999999997E-3"/>
    <n v="0"/>
    <s v="new package"/>
    <n v="0"/>
    <n v="0"/>
  </r>
  <r>
    <x v="879"/>
    <d v="2026-08-06T00:00:00"/>
    <x v="2"/>
    <e v="#N/A"/>
    <x v="6"/>
    <s v="DRY2600115"/>
    <s v="AUS"/>
    <s v="CPFNW"/>
    <s v="CPF Australia Pty Ltd.(Woolworth)"/>
    <s v="Wonton ND+V"/>
    <s v="Cooked Wonton"/>
    <s v="Cooked Wonton ND No Egg with Pumpkin_x000a_+ Yu Choy "/>
    <s v="082SJ9U05004P00001"/>
    <s v="305g*5"/>
    <n v="5"/>
    <n v="4"/>
    <n v="7.4999999999999997E-3"/>
    <x v="5"/>
    <s v="Salt"/>
    <s v="Regular"/>
    <n v="5076"/>
    <m/>
    <n v="5076"/>
    <n v="0"/>
    <n v="0"/>
    <n v="0"/>
    <n v="7.4999999999999997E-3"/>
    <n v="0"/>
    <s v="ถ้าว,ฝา สีขาว"/>
    <n v="0"/>
    <n v="0"/>
  </r>
  <r>
    <x v="879"/>
    <d v="2026-08-20T00:00:00"/>
    <x v="2"/>
    <e v="#N/A"/>
    <x v="6"/>
    <s v="DRY2600183"/>
    <s v="New Zealand"/>
    <s v="CPFNW"/>
    <s v="Lim Brothers Import&amp;Export Co.,Ltd."/>
    <s v="Wonton ND+V"/>
    <s v="Cooked Wonton"/>
    <s v="Cooked Wonton ND No Egg with Pumpkin_x000a_+ Yu Choy "/>
    <s v="082SJN708004P00001"/>
    <s v="305g*8"/>
    <n v="8"/>
    <n v="4"/>
    <n v="7.4999999999999997E-3"/>
    <x v="5"/>
    <s v="Salt"/>
    <s v="Regular"/>
    <n v="796"/>
    <m/>
    <n v="848.875"/>
    <n v="52.875"/>
    <n v="0"/>
    <n v="0"/>
    <n v="7.4999999999999997E-3"/>
    <n v="0"/>
    <m/>
    <n v="0"/>
    <n v="0"/>
  </r>
  <r>
    <x v="879"/>
    <d v="2026-08-06T00:00:00"/>
    <x v="2"/>
    <e v="#N/A"/>
    <x v="6"/>
    <s v="DRY2600129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879"/>
    <d v="2026-08-13T00:00:00"/>
    <x v="2"/>
    <e v="#N/A"/>
    <x v="6"/>
    <s v="DRY2600130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480"/>
    <n v="480"/>
    <m/>
    <n v="0"/>
    <n v="0"/>
    <n v="0"/>
    <n v="7.4999999999999997E-3"/>
    <n v="0"/>
    <m/>
    <n v="0"/>
    <n v="0"/>
  </r>
  <r>
    <x v="879"/>
    <s v="06-2026"/>
    <x v="2"/>
    <e v="#N/A"/>
    <x v="6"/>
    <s v="ขายภายใน"/>
    <s v="MTFS"/>
    <s v="CPFGS"/>
    <s v="ซีพีเอฟ เทรดดิ้ง"/>
    <s v="Wonton ND"/>
    <s v="Cooked Wonton"/>
    <s v="บะหมี่เกี๊ยวกุ้งซุปสุกี้ CPxMK 227g MT"/>
    <s v="082SJ3Q12003P0A001"/>
    <s v="227g*12"/>
    <n v="12"/>
    <n v="3"/>
    <n v="8.0000000000000002E-3"/>
    <x v="2"/>
    <s v="STPP"/>
    <s v="MK"/>
    <n v="68"/>
    <n v="68"/>
    <m/>
    <n v="0"/>
    <n v="0"/>
    <n v="0"/>
    <n v="0.05"/>
    <n v="0"/>
    <s v="เปลี่ยนใช้ผักกวางตุ้งแบบแช่แข็ง"/>
    <n v="0"/>
    <n v="0"/>
  </r>
  <r>
    <x v="879"/>
    <s v="07-2026"/>
    <x v="2"/>
    <e v="#N/A"/>
    <x v="6"/>
    <s v="ขายภายใน"/>
    <s v="MTFS"/>
    <s v="CPFGS"/>
    <s v="ซีพีเอฟ เทรดดิ้ง"/>
    <s v="Wonton ND"/>
    <s v="Cooked Wonton"/>
    <s v="บะหมี่เกี๊ยวกุ้งซุปสุกี้ CPxMK 227g MT"/>
    <s v="082SJ3Q12003P0A001"/>
    <s v="227g*12"/>
    <n v="12"/>
    <n v="3"/>
    <n v="8.0000000000000002E-3"/>
    <x v="2"/>
    <s v="STPP"/>
    <s v="MK"/>
    <n v="2500"/>
    <n v="2505"/>
    <m/>
    <n v="5"/>
    <n v="0"/>
    <n v="0"/>
    <n v="0.05"/>
    <n v="0"/>
    <s v="เปลี่ยนใช้ผักกวางตุ้งแบบแช่แข็ง"/>
    <n v="0"/>
    <n v="0"/>
  </r>
  <r>
    <x v="880"/>
    <s v="07-2026"/>
    <x v="2"/>
    <e v="#N/A"/>
    <x v="6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263"/>
    <n v="263"/>
    <m/>
    <n v="0"/>
    <n v="0"/>
    <n v="0"/>
    <n v="7.4999999999999997E-3"/>
    <n v="0"/>
    <s v="ทำให้หมด Package เก่า"/>
    <n v="0"/>
    <n v="0"/>
  </r>
  <r>
    <x v="880"/>
    <s v="08-2026"/>
    <x v="2"/>
    <e v="#N/A"/>
    <x v="6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4438"/>
    <n v="4438"/>
    <m/>
    <n v="0"/>
    <n v="0"/>
    <n v="0"/>
    <n v="7.4999999999999997E-3"/>
    <n v="0"/>
    <s v="ทำให้หมด Package เก่า"/>
    <n v="0"/>
    <n v="0"/>
  </r>
  <r>
    <x v="881"/>
    <d v="2026-08-03T00:00:00"/>
    <x v="2"/>
    <e v="#N/A"/>
    <x v="6"/>
    <s v="LA012/2569"/>
    <s v="Laos"/>
    <s v="Laos"/>
    <s v="บริษัท ปิก้าเทรดดิ้ง จำกัด"/>
    <s v="E+Wonton"/>
    <s v="Cooked Wonton"/>
    <s v="เกี๊ยวกุ้งจักรพรรดิ 12x145g."/>
    <s v="082S8L212005P00001"/>
    <s v="145g*12"/>
    <n v="12"/>
    <n v="5"/>
    <n v="8.0000000000000002E-3"/>
    <x v="1"/>
    <s v="STPP"/>
    <s v="Regular"/>
    <n v="200"/>
    <n v="200"/>
    <m/>
    <n v="0"/>
    <n v="0"/>
    <n v="0"/>
    <n v="7.4999999999999997E-3"/>
    <n v="0"/>
    <s v="ทำให้หมด Package เก่า"/>
    <n v="0"/>
    <n v="0"/>
  </r>
  <r>
    <x v="881"/>
    <s v="08-2026"/>
    <x v="2"/>
    <e v="#N/A"/>
    <x v="6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1"/>
    <s v="145g*12"/>
    <n v="12"/>
    <n v="5"/>
    <n v="8.0000000000000002E-3"/>
    <x v="1"/>
    <s v="STPP"/>
    <s v="Regular"/>
    <n v="1473"/>
    <n v="1473"/>
    <m/>
    <n v="0"/>
    <n v="0"/>
    <n v="0"/>
    <n v="7.4999999999999997E-3"/>
    <n v="0"/>
    <s v="ทำให้หมด Package เก่า"/>
    <n v="0"/>
    <n v="0"/>
  </r>
  <r>
    <x v="881"/>
    <s v="08-2026"/>
    <x v="2"/>
    <e v="#N/A"/>
    <x v="6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1181"/>
    <n v="1181"/>
    <m/>
    <n v="0"/>
    <n v="0"/>
    <n v="0"/>
    <n v="7.4999999999999997E-3"/>
    <n v="0"/>
    <s v="ทำให้หมด Package เก่า"/>
    <n v="0"/>
    <n v="0"/>
  </r>
  <r>
    <x v="881"/>
    <s v="07-2026"/>
    <x v="2"/>
    <e v="#N/A"/>
    <x v="6"/>
    <s v="ขายภายใน"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3359"/>
    <n v="3359"/>
    <m/>
    <n v="0"/>
    <n v="0"/>
    <n v="0"/>
    <n v="7.4999999999999997E-3"/>
    <n v="0"/>
    <m/>
    <n v="0"/>
    <n v="0"/>
  </r>
  <r>
    <x v="882"/>
    <d v="2026-08-17T00:00:00"/>
    <x v="2"/>
    <e v="#N/A"/>
    <x v="6"/>
    <s v="DRY2600167"/>
    <s v="Korea"/>
    <s v="CPFNW"/>
    <s v="Consumer Package Commerce"/>
    <s v="Minced ND"/>
    <s v="Cooked Wonton"/>
    <s v="Cooked Minced Wonton Noodle"/>
    <s v="082SR3U12004P00001"/>
    <s v="231g*12"/>
    <n v="12"/>
    <n v="4"/>
    <n v="6.0000000000000001E-3"/>
    <x v="4"/>
    <s v="Salt"/>
    <s v="Regular"/>
    <n v="2500"/>
    <n v="2500"/>
    <n v="31.916666666666668"/>
    <n v="31.916666666666515"/>
    <n v="0"/>
    <n v="0"/>
    <n v="7.4999999999999997E-3"/>
    <n v="0"/>
    <m/>
    <n v="0"/>
    <n v="0"/>
  </r>
  <r>
    <x v="882"/>
    <d v="2026-08-04T00:00:00"/>
    <x v="2"/>
    <e v="#N/A"/>
    <x v="6"/>
    <s v="DRY2600169"/>
    <s v="Denmark"/>
    <s v="CPFNW"/>
    <s v="CPF DENMARK"/>
    <s v="Minced ND+TK"/>
    <s v="Cooked Wonton"/>
    <s v="Cooked Minced Wonton 1 pcs Noodle (Pumpkin)_x000a_with &quot;Tomka&quot;"/>
    <s v="082SRKW12001P01001"/>
    <s v="130g*12ถ้วย"/>
    <n v="12"/>
    <n v="1"/>
    <n v="6.1999999999999998E-3"/>
    <x v="4"/>
    <s v="Salt"/>
    <s v="Tomkha+CM"/>
    <n v="4352"/>
    <n v="4025"/>
    <n v="331.08333333333331"/>
    <n v="4.0833333333330302"/>
    <n v="0"/>
    <n v="0"/>
    <n v="5.8823E-2"/>
    <n v="0"/>
    <s v="ถ้าว,ฝา สีขาว New Package"/>
    <n v="0"/>
    <n v="0"/>
  </r>
  <r>
    <x v="882"/>
    <d v="2026-08-11T00:00:00"/>
    <x v="2"/>
    <e v="#N/A"/>
    <x v="6"/>
    <s v="DRY2600179"/>
    <s v="Denmark"/>
    <s v="CPFNW"/>
    <s v="CPF DENMARK"/>
    <s v="Minced ND+V+TK"/>
    <s v="Cooked Wonton"/>
    <s v="Cooked Minced Wonton 3 pcs Noodle (Pumpkin)_x000a_with &quot;Tomka&quot;+Yu Choy"/>
    <s v="082SRKW12003P01001"/>
    <s v="240g*12ถ้วย"/>
    <n v="12"/>
    <n v="3"/>
    <n v="6.1999999999999998E-3"/>
    <x v="4"/>
    <s v="Salt"/>
    <s v="Tomkha+CM"/>
    <n v="2660"/>
    <m/>
    <n v="2684.6666666666665"/>
    <n v="24.666666666666515"/>
    <n v="0"/>
    <n v="0"/>
    <n v="5.8823E-2"/>
    <n v="0"/>
    <s v="ถ้าว,ฝา สีขาว New Package"/>
    <n v="0"/>
    <n v="0"/>
  </r>
  <r>
    <x v="882"/>
    <d v="2026-08-20T00:00:00"/>
    <x v="2"/>
    <e v="#N/A"/>
    <x v="6"/>
    <s v="DRY2600183"/>
    <s v="New Zealand"/>
    <s v="CPFNW"/>
    <s v="Lim Brothers Import&amp;Export Co.,Ltd."/>
    <s v="Minced ND+V+TK"/>
    <s v="Cooked Wonton"/>
    <s v="Cooked Minced  ND No Egg with Pumpkin_x000a_+ Yu Choy Tomkha"/>
    <s v="082SRN708003P01001"/>
    <s v="302g*8"/>
    <n v="8"/>
    <n v="3"/>
    <n v="6.0000000000000001E-3"/>
    <x v="4"/>
    <s v="Salt"/>
    <s v="Tomkha+CM"/>
    <n v="500"/>
    <m/>
    <n v="500"/>
    <n v="0"/>
    <n v="0"/>
    <n v="0"/>
    <n v="5.8823E-2"/>
    <n v="0"/>
    <m/>
    <n v="0"/>
    <n v="0"/>
  </r>
  <r>
    <x v="883"/>
    <d v="2026-08-04T00:00:00"/>
    <x v="2"/>
    <e v="#N/A"/>
    <x v="6"/>
    <s v="DRY2600163"/>
    <s v="Malay"/>
    <s v="CPFNW"/>
    <s v="CPM Malaysia"/>
    <s v="Wonton+TY"/>
    <s v="Cooked Wonton"/>
    <s v="Cooked Wonton No Egg  Tomyum"/>
    <s v="082S85I24005P02001"/>
    <s v="115g*24"/>
    <n v="24"/>
    <n v="5"/>
    <n v="8.0000000000000002E-3"/>
    <x v="1"/>
    <s v="STPP"/>
    <s v="TYTB3C 30G"/>
    <n v="1050"/>
    <n v="1050"/>
    <m/>
    <n v="0"/>
    <n v="0"/>
    <n v="0"/>
    <n v="1"/>
    <n v="0"/>
    <s v="new package"/>
    <n v="0"/>
    <n v="0"/>
  </r>
  <r>
    <x v="883"/>
    <d v="2026-08-07T00:00:00"/>
    <x v="2"/>
    <e v="#N/A"/>
    <x v="6"/>
    <s v="DRY2600112"/>
    <s v="SG"/>
    <s v="CPFNW"/>
    <s v="CP FOODS SINGAPORE PTE. LTD"/>
    <s v="Wonton +TY"/>
    <s v="Cooked Wonton"/>
    <s v="Cooked Wonton No Egg"/>
    <s v="082S83B24005P06001"/>
    <s v="115g*24"/>
    <n v="24"/>
    <n v="5"/>
    <n v="8.0000000000000002E-3"/>
    <x v="1"/>
    <s v="STPP"/>
    <s v="TYTB3C 30G"/>
    <n v="250"/>
    <n v="250"/>
    <m/>
    <n v="0"/>
    <n v="0"/>
    <n v="0"/>
    <n v="1"/>
    <n v="0"/>
    <m/>
    <n v="0"/>
    <n v="0"/>
  </r>
  <r>
    <x v="883"/>
    <d v="2026-08-13T00:00:00"/>
    <x v="2"/>
    <e v="#N/A"/>
    <x v="6"/>
    <s v="DRY2600130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312"/>
    <n v="312"/>
    <m/>
    <n v="0"/>
    <n v="0"/>
    <n v="0"/>
    <n v="7.4999999999999997E-3"/>
    <n v="0"/>
    <m/>
    <n v="0"/>
    <n v="0"/>
  </r>
  <r>
    <x v="883"/>
    <d v="2026-08-04T00:00:00"/>
    <x v="2"/>
    <e v="#N/A"/>
    <x v="6"/>
    <s v="DRY2600170"/>
    <s v="Denmark"/>
    <s v="CPFNW"/>
    <s v="CPF DENMARK"/>
    <s v="Minced ND+V+TY"/>
    <s v="Cooked Wonton"/>
    <s v="Cooked Minced  ND No Egg with Pumpkin_x000a_+ Yu Choy Tomyum"/>
    <s v="082SRRE12003P00001"/>
    <s v="302g*12"/>
    <n v="12"/>
    <n v="3"/>
    <n v="6.0000000000000001E-3"/>
    <x v="4"/>
    <s v="Salt"/>
    <s v="TYEXSG+CO"/>
    <n v="2520"/>
    <n v="2372"/>
    <n v="148"/>
    <n v="0"/>
    <n v="0"/>
    <n v="0"/>
    <n v="3.8699999999999998E-2"/>
    <n v="0"/>
    <s v="ASC"/>
    <n v="0"/>
    <n v="0"/>
  </r>
  <r>
    <x v="884"/>
    <m/>
    <x v="2"/>
    <e v="#N/A"/>
    <x v="6"/>
    <m/>
    <m/>
    <m/>
    <m/>
    <m/>
    <m/>
    <m/>
    <m/>
    <m/>
    <m/>
    <m/>
    <m/>
    <x v="0"/>
    <m/>
    <m/>
    <m/>
    <m/>
    <m/>
    <m/>
    <m/>
    <n v="0"/>
    <m/>
    <m/>
    <m/>
    <m/>
    <m/>
  </r>
  <r>
    <x v="885"/>
    <d v="2026-08-11T00:00:00"/>
    <x v="2"/>
    <e v="#N/A"/>
    <x v="6"/>
    <s v="DRY2600017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x v="885"/>
    <s v="08-2026"/>
    <x v="2"/>
    <e v="#N/A"/>
    <x v="6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1881"/>
    <n v="1881"/>
    <m/>
    <n v="0"/>
    <n v="0"/>
    <n v="0"/>
    <n v="7.4999999999999997E-3"/>
    <n v="0"/>
    <s v="Add Potassium"/>
    <n v="0"/>
    <n v="0"/>
  </r>
  <r>
    <x v="885"/>
    <s v="09-2026"/>
    <x v="2"/>
    <e v="#N/A"/>
    <x v="6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33"/>
    <n v="33"/>
    <m/>
    <n v="0"/>
    <n v="0"/>
    <n v="0"/>
    <n v="7.4999999999999997E-3"/>
    <n v="0"/>
    <s v="Add Potassium"/>
    <n v="0"/>
    <n v="0"/>
  </r>
  <r>
    <x v="885"/>
    <s v="08-2026"/>
    <x v="2"/>
    <e v="#N/A"/>
    <x v="6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0"/>
    <s v="145g*12"/>
    <n v="12"/>
    <n v="5"/>
    <n v="8.0000000000000002E-3"/>
    <x v="1"/>
    <s v="STPP"/>
    <s v="Regular"/>
    <n v="12"/>
    <n v="12"/>
    <m/>
    <n v="0"/>
    <n v="0"/>
    <n v="0"/>
    <n v="7.4999999999999997E-3"/>
    <n v="0"/>
    <s v="Add Potassium"/>
    <n v="0"/>
    <n v="0"/>
  </r>
  <r>
    <x v="885"/>
    <s v="08-2026"/>
    <x v="2"/>
    <e v="#N/A"/>
    <x v="6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1"/>
    <s v="145g*12"/>
    <n v="12"/>
    <n v="5"/>
    <n v="8.0000000000000002E-3"/>
    <x v="1"/>
    <s v="STPP"/>
    <s v="Regular"/>
    <n v="1027"/>
    <n v="1027"/>
    <m/>
    <n v="0"/>
    <n v="0"/>
    <n v="0"/>
    <n v="7.4999999999999997E-3"/>
    <n v="0"/>
    <s v="Add Potassium"/>
    <n v="0"/>
    <n v="0"/>
  </r>
  <r>
    <x v="885"/>
    <s v="08-2026"/>
    <x v="2"/>
    <e v="#N/A"/>
    <x v="6"/>
    <s v="ขายภายใน"/>
    <s v="MTFS"/>
    <s v="CPFGS"/>
    <s v="ซีพีเอฟ เทรดดิ้ง"/>
    <s v="E+Wonton TY"/>
    <s v="Cooked Wonton"/>
    <s v="เกี๊ยวกุ้งจักรพรรดิซุปต้มยำ LV CP 143g"/>
    <s v="082S83Q12005P09001"/>
    <s v="143g*12"/>
    <n v="12"/>
    <n v="5"/>
    <n v="8.0000000000000002E-3"/>
    <x v="2"/>
    <s v="STPP"/>
    <s v="TYNSF"/>
    <n v="300"/>
    <n v="300"/>
    <m/>
    <n v="0"/>
    <n v="0"/>
    <n v="0"/>
    <n v="8.9999999999999993E-3"/>
    <n v="0"/>
    <m/>
    <n v="0"/>
    <n v="0"/>
  </r>
  <r>
    <x v="885"/>
    <s v="08-2026"/>
    <x v="2"/>
    <e v="#N/A"/>
    <x v="6"/>
    <s v="ขายภายใน"/>
    <s v="MTFS"/>
    <s v="CPFGS"/>
    <s v="ซีพีเอฟ เทรดดิ้ง"/>
    <s v="E+Wonton TY"/>
    <s v="Cooked Wonton"/>
    <s v="เกี๊ยวกุ้งจักรพรรดิซุปต้มยำ LV CP 143g"/>
    <s v="082S83Q12005P09001"/>
    <s v="143g*12"/>
    <n v="12"/>
    <n v="5"/>
    <n v="8.0000000000000002E-3"/>
    <x v="2"/>
    <s v="STPP"/>
    <s v="TYNSF"/>
    <n v="309"/>
    <n v="309"/>
    <m/>
    <n v="0"/>
    <n v="0"/>
    <n v="0"/>
    <n v="8.9999999999999993E-3"/>
    <n v="0"/>
    <m/>
    <n v="0"/>
    <n v="0"/>
  </r>
  <r>
    <x v="886"/>
    <s v="07-2026"/>
    <x v="2"/>
    <e v="#N/A"/>
    <x v="6"/>
    <s v="ขายภายใน"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556"/>
    <n v="556"/>
    <m/>
    <n v="0"/>
    <n v="0"/>
    <n v="0"/>
    <n v="1"/>
    <n v="0"/>
    <s v="ทำให้หมด Package เก่า"/>
    <n v="0"/>
    <n v="0"/>
  </r>
  <r>
    <x v="886"/>
    <s v="08-2026"/>
    <x v="2"/>
    <e v="#N/A"/>
    <x v="6"/>
    <s v="ขายภายใน"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800"/>
    <n v="810"/>
    <n v="11.166666666666666"/>
    <n v="21.166666666666629"/>
    <n v="0"/>
    <n v="0"/>
    <n v="1"/>
    <n v="0"/>
    <s v="ทำให้หมด Package เก่า"/>
    <n v="0"/>
    <n v="0"/>
  </r>
  <r>
    <x v="886"/>
    <s v="07-2026"/>
    <x v="2"/>
    <e v="#N/A"/>
    <x v="6"/>
    <s v="ขายภายใน"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1356"/>
    <n v="1356"/>
    <m/>
    <n v="0"/>
    <n v="0"/>
    <n v="0"/>
    <n v="7.4999999999999997E-3"/>
    <n v="0"/>
    <m/>
    <n v="0"/>
    <n v="0"/>
  </r>
  <r>
    <x v="886"/>
    <s v="08-2026"/>
    <x v="2"/>
    <e v="#N/A"/>
    <x v="6"/>
    <s v="ขายภายใน"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3089"/>
    <n v="3089"/>
    <m/>
    <n v="0"/>
    <n v="0"/>
    <n v="0"/>
    <n v="7.4999999999999997E-3"/>
    <n v="0"/>
    <m/>
    <n v="0"/>
    <n v="0"/>
  </r>
  <r>
    <x v="887"/>
    <s v="08-2026"/>
    <x v="2"/>
    <e v="#N/A"/>
    <x v="6"/>
    <s v="ขายภายใน"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3602"/>
    <n v="3602"/>
    <m/>
    <n v="0"/>
    <n v="0"/>
    <n v="0"/>
    <n v="7.4999999999999997E-3"/>
    <n v="0"/>
    <m/>
    <n v="0"/>
    <n v="0"/>
  </r>
  <r>
    <x v="887"/>
    <s v="07-2026"/>
    <x v="2"/>
    <e v="#N/A"/>
    <x v="6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x v="2"/>
    <s v="STPP"/>
    <s v="หมาล่า"/>
    <n v="127"/>
    <n v="127"/>
    <m/>
    <n v="0"/>
    <n v="0"/>
    <n v="0"/>
    <n v="1.83E-2"/>
    <n v="0"/>
    <m/>
    <n v="0"/>
    <n v="0"/>
  </r>
  <r>
    <x v="887"/>
    <s v="09-2026"/>
    <x v="2"/>
    <e v="#N/A"/>
    <x v="6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x v="2"/>
    <s v="STPP"/>
    <s v="หมาล่า"/>
    <n v="1200"/>
    <n v="1089"/>
    <n v="111"/>
    <n v="0"/>
    <n v="0"/>
    <n v="0"/>
    <n v="1.83E-2"/>
    <n v="0"/>
    <m/>
    <n v="0"/>
    <n v="0"/>
  </r>
  <r>
    <x v="888"/>
    <d v="2026-07-24T00:00:00"/>
    <x v="2"/>
    <e v="#N/A"/>
    <x v="6"/>
    <s v="DRY2600155"/>
    <s v="UK"/>
    <s v="CPFNW"/>
    <s v="Westbridge Foods Limited (One UK)"/>
    <s v="Minced ND+BC"/>
    <s v="Cooked Wonton"/>
    <s v="Cooked Minced Wonton Noodle  (Low Sodium)+Bok Choy"/>
    <s v="082SRWE12005PA0001"/>
    <s v="258g*12"/>
    <n v="12"/>
    <n v="5"/>
    <n v="6.0000000000000001E-3"/>
    <x v="4"/>
    <s v="Salt"/>
    <s v="Regular"/>
    <n v="2600"/>
    <m/>
    <n v="2786.0833333333335"/>
    <n v="186.08333333333348"/>
    <n v="0"/>
    <n v="0"/>
    <n v="7.4999999999999997E-3"/>
    <n v="0"/>
    <s v="ถ้าว,ฝา สีขาว New Package"/>
    <n v="0"/>
    <n v="0"/>
  </r>
  <r>
    <x v="888"/>
    <d v="2026-08-04T00:00:00"/>
    <x v="2"/>
    <e v="#N/A"/>
    <x v="6"/>
    <s v="DRY2600168"/>
    <s v="Denmark"/>
    <s v="CPFNW"/>
    <s v="CPF DENMARK"/>
    <s v="Minced ND+TY"/>
    <s v="Cooked Wonton"/>
    <s v="Cooked Minced Wonton 1 pcs Noodle (Pumpkin)_x000a_with &quot;Tomyum&quot;"/>
    <s v="082SRKW12001P00001"/>
    <s v="130g*12ถ้วย"/>
    <n v="12"/>
    <n v="1"/>
    <n v="6.1999999999999998E-3"/>
    <x v="4"/>
    <s v="Salt"/>
    <s v="TYANSSG+CM"/>
    <n v="4352"/>
    <n v="4316"/>
    <n v="40.333333333333336"/>
    <n v="4.3333333333330302"/>
    <n v="0"/>
    <n v="0"/>
    <n v="3.85E-2"/>
    <n v="0"/>
    <s v="ถ้าว,ฝา สีขาว New Package"/>
    <n v="0"/>
    <n v="0"/>
  </r>
  <r>
    <x v="888"/>
    <d v="2026-08-11T00:00:00"/>
    <x v="2"/>
    <e v="#N/A"/>
    <x v="6"/>
    <s v="DRY2600178"/>
    <s v="Denmark"/>
    <s v="CPFNW"/>
    <s v="CPF DENMARK"/>
    <s v="Minced ND+V+TY"/>
    <s v="Cooked Wonton"/>
    <s v="Cooked Minced Wonton 3 pcs Noodle (Pumpkin)_x000a_with &quot;Tomyum&quot;+Yu Choy"/>
    <s v="082SRKW12003P00001"/>
    <s v="240g*12ถ้วย"/>
    <n v="12"/>
    <n v="3"/>
    <n v="6.1999999999999998E-3"/>
    <x v="4"/>
    <s v="Salt"/>
    <s v="TYANSSG+CM"/>
    <n v="2660"/>
    <m/>
    <n v="2712.25"/>
    <n v="52.25"/>
    <n v="0"/>
    <n v="0"/>
    <n v="3.85E-2"/>
    <n v="0"/>
    <s v="ถ้าว,ฝา สีขาว New Package"/>
    <n v="0"/>
    <n v="0"/>
  </r>
  <r>
    <x v="889"/>
    <d v="2026-08-05T00:00:00"/>
    <x v="2"/>
    <e v="#N/A"/>
    <x v="6"/>
    <s v="KL2600012"/>
    <s v="China"/>
    <s v="China"/>
    <s v="CP Global Supply Chain (Guangdong) Co., Ltd."/>
    <s v="R-Wonton no egg"/>
    <s v="Raw Wonton"/>
    <s v="Raw Wonton 50 pcs"/>
    <s v="082I9CO08050P00001"/>
    <s v="630g*8in"/>
    <n v="8"/>
    <n v="50"/>
    <n v="6.8100000000000001E-3"/>
    <x v="3"/>
    <s v="STPP"/>
    <s v="ซุปซอง 5g."/>
    <n v="924"/>
    <n v="924"/>
    <n v="21.75"/>
    <n v="21.75"/>
    <n v="0"/>
    <n v="0"/>
    <n v="6"/>
    <n v="0"/>
    <m/>
    <n v="0"/>
    <n v="0"/>
  </r>
  <r>
    <x v="889"/>
    <s v="08-2026"/>
    <x v="2"/>
    <e v="#N/A"/>
    <x v="6"/>
    <s v="ขายภายใน"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2600"/>
    <n v="2600"/>
    <m/>
    <n v="0"/>
    <n v="0"/>
    <n v="0"/>
    <n v="7.4999999999999997E-3"/>
    <n v="0"/>
    <m/>
    <n v="0"/>
    <n v="0"/>
  </r>
  <r>
    <x v="890"/>
    <d v="2026-08-18T00:00:00"/>
    <x v="2"/>
    <e v="#N/A"/>
    <x v="6"/>
    <s v="DRY2600116"/>
    <s v="AUS"/>
    <s v="CPFNW"/>
    <s v="CPF Australia Pty Ltd.(Woolworth)"/>
    <s v="Wonton ND+V"/>
    <s v="Cooked Wonton"/>
    <s v="Cooked Wonton ND No Egg with Pumpkin_x000a_+ Yu Choy "/>
    <s v="082SJ9U05004P00001"/>
    <s v="305g*5"/>
    <n v="5"/>
    <n v="4"/>
    <n v="7.4999999999999997E-3"/>
    <x v="5"/>
    <s v="Salt"/>
    <s v="Regular"/>
    <n v="5076"/>
    <m/>
    <n v="5076"/>
    <n v="0"/>
    <n v="0"/>
    <n v="0"/>
    <n v="7.4999999999999997E-3"/>
    <n v="0"/>
    <s v="ถ้าว,ฝา สีขาว"/>
    <n v="0"/>
    <n v="0"/>
  </r>
  <r>
    <x v="890"/>
    <d v="2026-08-24T00:00:00"/>
    <x v="2"/>
    <e v="#N/A"/>
    <x v="6"/>
    <s v="DRY2600162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890"/>
    <d v="2026-08-31T00:00:00"/>
    <x v="2"/>
    <e v="#N/A"/>
    <x v="6"/>
    <s v="DRY2600164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890"/>
    <d v="2026-09-09T00:00:00"/>
    <x v="2"/>
    <e v="#N/A"/>
    <x v="6"/>
    <s v="DRY2600173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87"/>
    <n v="5"/>
    <n v="0"/>
    <n v="0"/>
    <n v="0"/>
    <n v="7.4999999999999997E-3"/>
    <n v="0"/>
    <m/>
    <n v="0"/>
    <n v="0"/>
  </r>
  <r>
    <x v="891"/>
    <m/>
    <x v="2"/>
    <e v="#N/A"/>
    <x v="6"/>
    <m/>
    <m/>
    <m/>
    <m/>
    <m/>
    <m/>
    <m/>
    <m/>
    <m/>
    <m/>
    <m/>
    <m/>
    <x v="0"/>
    <m/>
    <m/>
    <m/>
    <m/>
    <m/>
    <m/>
    <m/>
    <n v="0"/>
    <m/>
    <m/>
    <m/>
    <m/>
    <m/>
  </r>
  <r>
    <x v="892"/>
    <m/>
    <x v="2"/>
    <e v="#N/A"/>
    <x v="6"/>
    <m/>
    <m/>
    <m/>
    <m/>
    <m/>
    <m/>
    <m/>
    <m/>
    <m/>
    <m/>
    <m/>
    <m/>
    <x v="0"/>
    <m/>
    <m/>
    <m/>
    <m/>
    <m/>
    <m/>
    <m/>
    <n v="0"/>
    <m/>
    <m/>
    <m/>
    <m/>
    <m/>
  </r>
  <r>
    <x v="893"/>
    <m/>
    <x v="2"/>
    <e v="#N/A"/>
    <x v="6"/>
    <m/>
    <m/>
    <m/>
    <m/>
    <m/>
    <m/>
    <m/>
    <m/>
    <m/>
    <m/>
    <m/>
    <m/>
    <x v="0"/>
    <m/>
    <m/>
    <m/>
    <m/>
    <m/>
    <m/>
    <m/>
    <n v="0"/>
    <m/>
    <m/>
    <m/>
    <m/>
    <m/>
  </r>
  <r>
    <x v="894"/>
    <m/>
    <x v="2"/>
    <e v="#N/A"/>
    <x v="6"/>
    <m/>
    <m/>
    <m/>
    <m/>
    <m/>
    <m/>
    <m/>
    <m/>
    <m/>
    <m/>
    <m/>
    <m/>
    <x v="0"/>
    <m/>
    <m/>
    <m/>
    <m/>
    <m/>
    <m/>
    <m/>
    <n v="0"/>
    <m/>
    <m/>
    <m/>
    <m/>
    <m/>
  </r>
  <r>
    <x v="895"/>
    <m/>
    <x v="2"/>
    <e v="#N/A"/>
    <x v="6"/>
    <m/>
    <m/>
    <m/>
    <m/>
    <m/>
    <m/>
    <m/>
    <m/>
    <m/>
    <m/>
    <m/>
    <m/>
    <x v="0"/>
    <m/>
    <m/>
    <m/>
    <m/>
    <m/>
    <m/>
    <m/>
    <n v="0"/>
    <m/>
    <m/>
    <m/>
    <m/>
    <m/>
  </r>
  <r>
    <x v="896"/>
    <m/>
    <x v="2"/>
    <e v="#N/A"/>
    <x v="6"/>
    <m/>
    <m/>
    <m/>
    <m/>
    <m/>
    <m/>
    <m/>
    <m/>
    <m/>
    <m/>
    <m/>
    <m/>
    <x v="0"/>
    <m/>
    <m/>
    <m/>
    <m/>
    <m/>
    <m/>
    <m/>
    <n v="0"/>
    <m/>
    <m/>
    <m/>
    <m/>
    <m/>
  </r>
  <r>
    <x v="897"/>
    <m/>
    <x v="2"/>
    <e v="#N/A"/>
    <x v="7"/>
    <m/>
    <m/>
    <m/>
    <m/>
    <m/>
    <m/>
    <m/>
    <m/>
    <m/>
    <m/>
    <m/>
    <m/>
    <x v="0"/>
    <m/>
    <m/>
    <m/>
    <m/>
    <m/>
    <m/>
    <m/>
    <n v="0"/>
    <m/>
    <m/>
    <m/>
    <m/>
    <m/>
  </r>
  <r>
    <x v="898"/>
    <m/>
    <x v="2"/>
    <e v="#N/A"/>
    <x v="7"/>
    <m/>
    <m/>
    <m/>
    <m/>
    <m/>
    <m/>
    <m/>
    <m/>
    <m/>
    <m/>
    <m/>
    <m/>
    <x v="0"/>
    <m/>
    <m/>
    <m/>
    <m/>
    <m/>
    <m/>
    <m/>
    <n v="0"/>
    <m/>
    <m/>
    <m/>
    <m/>
    <m/>
  </r>
  <r>
    <x v="899"/>
    <m/>
    <x v="2"/>
    <e v="#N/A"/>
    <x v="7"/>
    <m/>
    <m/>
    <m/>
    <m/>
    <m/>
    <m/>
    <m/>
    <m/>
    <m/>
    <m/>
    <m/>
    <m/>
    <x v="0"/>
    <m/>
    <m/>
    <m/>
    <m/>
    <m/>
    <m/>
    <m/>
    <n v="0"/>
    <m/>
    <m/>
    <m/>
    <m/>
    <m/>
  </r>
  <r>
    <x v="900"/>
    <m/>
    <x v="2"/>
    <e v="#N/A"/>
    <x v="7"/>
    <m/>
    <m/>
    <m/>
    <m/>
    <m/>
    <m/>
    <m/>
    <m/>
    <m/>
    <m/>
    <m/>
    <m/>
    <x v="0"/>
    <m/>
    <m/>
    <m/>
    <m/>
    <m/>
    <m/>
    <m/>
    <n v="0"/>
    <m/>
    <m/>
    <m/>
    <m/>
    <m/>
  </r>
  <r>
    <x v="901"/>
    <d v="2026-08-31T00:00:00"/>
    <x v="2"/>
    <e v="#N/A"/>
    <x v="7"/>
    <s v="DRY2600136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1342"/>
    <n v="791"/>
    <n v="551.33333333333337"/>
    <n v="0.33333333333348492"/>
    <n v="0"/>
    <n v="0"/>
    <n v="1"/>
    <n v="0"/>
    <m/>
    <n v="0"/>
    <n v="0"/>
  </r>
  <r>
    <x v="901"/>
    <d v="2026-09-01T00:00:00"/>
    <x v="2"/>
    <e v="#N/A"/>
    <x v="7"/>
    <s v="DRY2600019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x v="901"/>
    <d v="2026-09-07T00:00:00"/>
    <x v="2"/>
    <e v="#N/A"/>
    <x v="7"/>
    <s v="DRY2600140"/>
    <s v="SG"/>
    <s v="CPFNW"/>
    <s v="CP FOODS SINGAPORE PTE. LTD"/>
    <s v="Wonton +TY"/>
    <s v="Cooked Wonton"/>
    <s v="Cooked Wonton No Egg"/>
    <s v="082S83B24005P06001"/>
    <s v="115g*24"/>
    <n v="24"/>
    <n v="5"/>
    <n v="8.0000000000000002E-3"/>
    <x v="1"/>
    <s v="STPP"/>
    <s v="TYTB3C 30G"/>
    <n v="200"/>
    <n v="200"/>
    <m/>
    <n v="0"/>
    <n v="0"/>
    <n v="0"/>
    <n v="1"/>
    <n v="0"/>
    <m/>
    <n v="0"/>
    <n v="0"/>
  </r>
  <r>
    <x v="902"/>
    <d v="2026-08-31T00:00:00"/>
    <x v="2"/>
    <e v="#N/A"/>
    <x v="7"/>
    <s v="DRY2600136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558"/>
    <n v="194"/>
    <n v="364"/>
    <n v="0"/>
    <n v="0"/>
    <n v="0"/>
    <n v="1"/>
    <n v="0"/>
    <m/>
    <n v="0"/>
    <n v="0"/>
  </r>
  <r>
    <x v="902"/>
    <d v="2026-09-01T00:00:00"/>
    <x v="2"/>
    <e v="#N/A"/>
    <x v="7"/>
    <s v="DRY2600187"/>
    <s v="Malay"/>
    <s v="CPFNW"/>
    <s v="CPM Malaysia"/>
    <s v="R-Wonton egg past"/>
    <s v="Raw Wonton"/>
    <s v="Raw Wonton 8 pcs (Tomyam 30g.)"/>
    <s v="082I95I18008P00001"/>
    <s v="126g*18in"/>
    <n v="18"/>
    <n v="8"/>
    <n v="6.8100000000000001E-3"/>
    <x v="3"/>
    <s v="STPP"/>
    <s v="TYTB3C 30G"/>
    <n v="150"/>
    <n v="150"/>
    <m/>
    <n v="0"/>
    <n v="0"/>
    <n v="0"/>
    <n v="1"/>
    <n v="0"/>
    <s v="new package"/>
    <n v="0"/>
    <n v="0"/>
  </r>
  <r>
    <x v="902"/>
    <d v="2026-09-07T00:00:00"/>
    <x v="2"/>
    <e v="#N/A"/>
    <x v="7"/>
    <s v="DRY2600140"/>
    <s v="SG"/>
    <s v="CPFNW"/>
    <s v="CP FOODS SINGAPORE PTE. LTD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579"/>
    <n v="72"/>
    <n v="507"/>
    <n v="0"/>
    <n v="0"/>
    <n v="0"/>
    <n v="2"/>
    <n v="0"/>
    <s v="ห่อแบบสุก"/>
    <n v="0"/>
    <n v="0"/>
  </r>
  <r>
    <x v="902"/>
    <d v="2026-09-01T00:00:00"/>
    <x v="2"/>
    <e v="#N/A"/>
    <x v="7"/>
    <s v="DRY2600187"/>
    <s v="Malay"/>
    <s v="CPFNW"/>
    <s v="CPM Malaysia"/>
    <s v="Wonton+TY"/>
    <s v="Cooked Wonton"/>
    <s v="Cooked Wonton No Egg  Tomyum"/>
    <s v="082S85I24005P02001"/>
    <s v="115g*24"/>
    <n v="24"/>
    <n v="5"/>
    <n v="8.0000000000000002E-3"/>
    <x v="1"/>
    <s v="STPP"/>
    <s v="TYTB3C 30G"/>
    <n v="950"/>
    <n v="869"/>
    <n v="84.541666666666671"/>
    <n v="3.5416666666666288"/>
    <n v="0"/>
    <n v="0"/>
    <n v="1"/>
    <n v="0"/>
    <s v="new package"/>
    <n v="0"/>
    <n v="0"/>
  </r>
  <r>
    <x v="902"/>
    <d v="2026-09-01T00:00:00"/>
    <x v="2"/>
    <e v="#N/A"/>
    <x v="7"/>
    <s v="DRY2600187"/>
    <s v="Malay"/>
    <s v="CPFNW"/>
    <s v="CPM Malaysia"/>
    <s v="Wonton"/>
    <s v="Cooked Wonton"/>
    <s v="Cooked Wonton No Egg  "/>
    <s v="082S85I24005P01001"/>
    <s v="145g*24"/>
    <n v="24"/>
    <n v="5"/>
    <n v="8.0000000000000002E-3"/>
    <x v="1"/>
    <s v="STPP"/>
    <s v="Regular"/>
    <n v="900"/>
    <n v="900"/>
    <n v="11.666666666666666"/>
    <n v="11.666666666666629"/>
    <n v="0"/>
    <n v="0"/>
    <n v="7.4999999999999997E-3"/>
    <n v="0"/>
    <s v="new package"/>
    <n v="0"/>
    <n v="0"/>
  </r>
  <r>
    <x v="902"/>
    <d v="2026-09-07T00:00:00"/>
    <x v="2"/>
    <e v="#N/A"/>
    <x v="7"/>
    <s v="DRY2600112"/>
    <s v="SG"/>
    <s v="CPFNW"/>
    <s v="CP FOODS SINGAPORE PTE. LTD"/>
    <s v="Wonton"/>
    <s v="Cooked Wonton"/>
    <s v="Cooked Wonton No Egg"/>
    <s v="082S83B24005P07001"/>
    <s v="145g*24"/>
    <n v="24"/>
    <n v="5"/>
    <n v="8.0000000000000002E-3"/>
    <x v="1"/>
    <s v="STPP"/>
    <s v="Regular"/>
    <n v="250"/>
    <n v="250"/>
    <m/>
    <n v="0"/>
    <n v="0"/>
    <n v="0"/>
    <n v="1"/>
    <n v="0"/>
    <m/>
    <n v="0"/>
    <n v="0"/>
  </r>
  <r>
    <x v="902"/>
    <d v="2026-08-24T00:00:00"/>
    <x v="2"/>
    <e v="#N/A"/>
    <x v="7"/>
    <s v="DRY2600174"/>
    <s v="Korea"/>
    <s v="CPFNW"/>
    <s v="Emart"/>
    <s v="Minced WT"/>
    <s v="Cooked Wonton"/>
    <s v="Cooked Minced Wonton"/>
    <s v="082SKEJ36006P00001"/>
    <s v="191g*6c*6in"/>
    <n v="36"/>
    <n v="5"/>
    <n v="6.0000000000000001E-3"/>
    <x v="4"/>
    <s v="Salt"/>
    <s v="Regular"/>
    <n v="874"/>
    <n v="874"/>
    <m/>
    <n v="0"/>
    <n v="0"/>
    <n v="0"/>
    <n v="7.4999999999999997E-3"/>
    <n v="0"/>
    <s v="RM &amp; FG ต้องตรวจตามข้อกำหนดลูกค้า"/>
    <n v="0"/>
    <n v="0"/>
  </r>
  <r>
    <x v="903"/>
    <d v="2026-09-07T00:00:00"/>
    <x v="2"/>
    <e v="#N/A"/>
    <x v="7"/>
    <s v="DRY2600140"/>
    <s v="SG"/>
    <s v="CPFNW"/>
    <s v="CP FOODS SINGAPORE PTE. LTD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921"/>
    <n v="487"/>
    <n v="434"/>
    <n v="0"/>
    <n v="0"/>
    <n v="0"/>
    <n v="2"/>
    <n v="0"/>
    <s v="ห่อแบบสุก"/>
    <n v="0"/>
    <n v="0"/>
  </r>
  <r>
    <x v="903"/>
    <d v="2026-09-07T00:00:00"/>
    <x v="2"/>
    <e v="#N/A"/>
    <x v="7"/>
    <s v="DRY2600140"/>
    <s v="SG"/>
    <s v="CPFNW"/>
    <s v="CP FOODS SINGAPORE PTE. LTD"/>
    <s v="R-Minced egg past"/>
    <s v="Raw Wonton"/>
    <s v="Raw Minced Wonton 8 pcs"/>
    <s v="082ID3B18008P00001"/>
    <s v="90g*18in"/>
    <n v="18"/>
    <n v="8"/>
    <n v="6.0000000000000001E-3"/>
    <x v="4"/>
    <s v="STPP"/>
    <s v="ซุปซอง 5g."/>
    <n v="300"/>
    <n v="300"/>
    <n v="40.5"/>
    <n v="40.5"/>
    <n v="0"/>
    <n v="0"/>
    <n v="2"/>
    <n v="0"/>
    <s v="new package"/>
    <n v="0"/>
    <n v="0"/>
  </r>
  <r>
    <x v="903"/>
    <d v="2026-09-08T00:00:00"/>
    <x v="2"/>
    <e v="#N/A"/>
    <x v="7"/>
    <s v="DRY2600171"/>
    <s v="UK"/>
    <s v="CPFNW"/>
    <s v="Westbridge Foods Limited (One UK)"/>
    <s v="Minced ND+Kee Mao"/>
    <s v="Cooked Wonton"/>
    <s v="Cooked Minced Wonton Thai Spicy Noodles (Drunken Noodles)"/>
    <s v="082SRKW06003P00001"/>
    <s v="300g*6"/>
    <n v="6"/>
    <n v="3"/>
    <n v="6.1999999999999998E-3"/>
    <x v="4"/>
    <s v="Salt"/>
    <s v="Kee Mao"/>
    <n v="3364"/>
    <m/>
    <n v="3364.1666666666665"/>
    <n v="0.16666666666651508"/>
    <n v="0"/>
    <n v="0"/>
    <n v="6.5000000000000002E-2"/>
    <n v="0"/>
    <s v="&quot;may contain egg เเละ Allergen Update&quot; "/>
    <n v="0"/>
    <n v="0"/>
  </r>
  <r>
    <x v="903"/>
    <d v="2026-08-18T00:00:00"/>
    <x v="2"/>
    <e v="#N/A"/>
    <x v="7"/>
    <s v="DRY2600156"/>
    <s v="UK"/>
    <s v="CPFNW"/>
    <s v="Westbridge Foods Limited"/>
    <s v="Minced ND+V+TY"/>
    <s v="Cooked Wonton"/>
    <s v="Cooked Minced Wonton Noodles Yu Choy Tomyum"/>
    <s v="082SRWE24005P01001"/>
    <s v="258g*4c*6in"/>
    <n v="24"/>
    <n v="5"/>
    <n v="6.0000000000000001E-3"/>
    <x v="4"/>
    <s v="Salt"/>
    <s v="TYEXSG+CO"/>
    <n v="705"/>
    <n v="290"/>
    <n v="416.33333333333331"/>
    <n v="1.3333333333332575"/>
    <n v="0"/>
    <n v="0"/>
    <n v="3.8699999999999998E-2"/>
    <n v="0"/>
    <s v="Ireland"/>
    <n v="0"/>
    <n v="0"/>
  </r>
  <r>
    <x v="903"/>
    <d v="2026-08-20T00:00:00"/>
    <x v="2"/>
    <e v="#N/A"/>
    <x v="7"/>
    <s v="DRY2600183"/>
    <s v="New Zealand"/>
    <s v="CPFNW"/>
    <s v="Lim Brothers Import&amp;Export Co.,Ltd."/>
    <s v="Minced ND+V+TY"/>
    <s v="Cooked Wonton"/>
    <s v="Cooked Minced  ND No Egg with Pumpkin_x000a_+ Yu Choy Tomyum"/>
    <s v="082SRN708003P00001"/>
    <s v="302g*8"/>
    <n v="8"/>
    <n v="3"/>
    <n v="6.0000000000000001E-3"/>
    <x v="4"/>
    <s v="Salt"/>
    <s v="TYEXSG+CO"/>
    <n v="160"/>
    <m/>
    <n v="160"/>
    <n v="0"/>
    <n v="0"/>
    <n v="0"/>
    <n v="3.8699999999999998E-2"/>
    <n v="0"/>
    <m/>
    <n v="0"/>
    <n v="0"/>
  </r>
  <r>
    <x v="903"/>
    <d v="2026-09-07T00:00:00"/>
    <x v="2"/>
    <e v="#N/A"/>
    <x v="7"/>
    <s v="DRY2600214"/>
    <s v="New Zealand"/>
    <s v="CPFNW"/>
    <s v="Lim Brothers Import&amp;Export Co.,Ltd."/>
    <s v="Minced ND+V+TY"/>
    <s v="Cooked Wonton"/>
    <s v="Cooked Minced  ND No Egg with Pumpkin_x000a_+ Yu Choy Tomyum"/>
    <s v="082SRN708003P00001"/>
    <s v="302g*8"/>
    <n v="8"/>
    <n v="3"/>
    <n v="6.0000000000000001E-3"/>
    <x v="4"/>
    <s v="Salt"/>
    <s v="TYEXSG+CO"/>
    <n v="108"/>
    <m/>
    <n v="109.375"/>
    <n v="1.375"/>
    <n v="0"/>
    <n v="0"/>
    <n v="3.8699999999999998E-2"/>
    <n v="0"/>
    <m/>
    <n v="0"/>
    <n v="0"/>
  </r>
  <r>
    <x v="904"/>
    <d v="2026-09-01T00:00:00"/>
    <x v="2"/>
    <e v="#N/A"/>
    <x v="7"/>
    <s v="DRY2600187"/>
    <s v="Malay"/>
    <s v="CPFNW"/>
    <s v="CPM Malaysia"/>
    <s v="R-Wonton egg past"/>
    <s v="Raw Wonton"/>
    <s v="Raw Wonton 12 pcs"/>
    <s v="082I95I20012P02001"/>
    <s v="154g*20inner"/>
    <n v="20"/>
    <n v="12"/>
    <n v="6.8100000000000001E-3"/>
    <x v="3"/>
    <s v="STPP"/>
    <s v="ซุปซอง 5g."/>
    <n v="150"/>
    <n v="150"/>
    <m/>
    <n v="0"/>
    <n v="0"/>
    <n v="0"/>
    <n v="2"/>
    <n v="0"/>
    <s v="new package"/>
    <n v="0"/>
    <n v="0"/>
  </r>
  <r>
    <x v="904"/>
    <d v="2026-09-07T00:00:00"/>
    <x v="2"/>
    <e v="#N/A"/>
    <x v="7"/>
    <s v="DRY2600107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33"/>
    <n v="603"/>
    <n v="30"/>
    <n v="0"/>
    <n v="0"/>
    <n v="0"/>
    <n v="6"/>
    <n v="0"/>
    <m/>
    <n v="0"/>
    <n v="0"/>
  </r>
  <r>
    <x v="904"/>
    <d v="2026-09-08T00:00:00"/>
    <x v="2"/>
    <e v="#N/A"/>
    <x v="7"/>
    <s v="DRY2600171"/>
    <s v="UK"/>
    <s v="CPFNW"/>
    <s v="Westbridge Foods Limited (One UK)"/>
    <s v="Minced ND+Kee Mao"/>
    <s v="Cooked Wonton"/>
    <s v="Cooked Minced Wonton Thai Spicy Noodles (Drunken Noodles)"/>
    <s v="082SRKW06003P00001"/>
    <s v="300g*6"/>
    <n v="6"/>
    <n v="3"/>
    <n v="6.1999999999999998E-3"/>
    <x v="4"/>
    <s v="Salt"/>
    <s v="Kee Mao"/>
    <n v="1679"/>
    <m/>
    <n v="1679.1666666666667"/>
    <n v="0.16666666666674246"/>
    <n v="0"/>
    <n v="0"/>
    <n v="6.5000000000000002E-2"/>
    <n v="0"/>
    <s v="&quot;may contain egg เเละ Allergen Update&quot; "/>
    <n v="0"/>
    <n v="0"/>
  </r>
  <r>
    <x v="904"/>
    <d v="2026-08-20T00:00:00"/>
    <x v="2"/>
    <e v="#N/A"/>
    <x v="7"/>
    <s v="DRY2600186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663"/>
    <n v="663"/>
    <m/>
    <n v="0"/>
    <n v="0"/>
    <n v="0"/>
    <n v="9.7000000000000003E-3"/>
    <n v="0"/>
    <m/>
    <n v="0"/>
    <n v="0"/>
  </r>
  <r>
    <x v="904"/>
    <d v="2026-08-27T00:00:00"/>
    <x v="2"/>
    <e v="#N/A"/>
    <x v="7"/>
    <s v="DRY2600190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511"/>
    <n v="511"/>
    <m/>
    <n v="0"/>
    <n v="0"/>
    <n v="0"/>
    <n v="9.7000000000000003E-3"/>
    <n v="0"/>
    <s v="สั่งซุป"/>
    <n v="0"/>
    <n v="0"/>
  </r>
  <r>
    <x v="905"/>
    <d v="2026-09-07T00:00:00"/>
    <x v="2"/>
    <e v="#N/A"/>
    <x v="7"/>
    <s v="DRY2600107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55"/>
    <n v="655"/>
    <m/>
    <n v="0"/>
    <n v="0"/>
    <n v="0"/>
    <n v="6"/>
    <n v="0"/>
    <m/>
    <n v="0"/>
    <n v="0"/>
  </r>
  <r>
    <x v="905"/>
    <d v="2026-09-08T00:00:00"/>
    <x v="2"/>
    <e v="#N/A"/>
    <x v="7"/>
    <s v="DRY2600171"/>
    <s v="UK"/>
    <s v="CPFNW"/>
    <s v="Westbridge Foods Limited (One UK)"/>
    <s v="Minced ND+Kee Mao"/>
    <s v="Cooked Wonton"/>
    <s v="Cooked Minced Wonton Thai Spicy Noodles (Drunken Noodles)"/>
    <s v="082SRKW06003P00001"/>
    <s v="300g*6"/>
    <n v="6"/>
    <n v="3"/>
    <n v="6.1999999999999998E-3"/>
    <x v="4"/>
    <s v="Salt"/>
    <s v="Kee Mao"/>
    <n v="2957"/>
    <m/>
    <n v="3281.3333333333335"/>
    <n v="324.33333333333348"/>
    <n v="0"/>
    <n v="0"/>
    <n v="6.5000000000000002E-2"/>
    <n v="0"/>
    <s v="&quot;may contain egg เเละ Allergen Update&quot; "/>
    <n v="0"/>
    <n v="0"/>
  </r>
  <r>
    <x v="905"/>
    <s v="09-2026"/>
    <x v="2"/>
    <e v="#N/A"/>
    <x v="7"/>
    <s v="ขายภายใน"/>
    <s v="MTFS"/>
    <s v="CPFGS"/>
    <s v="ซีพีเอฟ เทรดดิ้ง"/>
    <s v="E+Wonton NDE"/>
    <s v="Cooked Wonton"/>
    <s v="บะหมี่เกี๊ยวกุ้ง ตราซีพี 12X226 กรัม"/>
    <s v="082SJ3Q12003P07001"/>
    <s v="226g*12"/>
    <n v="12"/>
    <n v="3"/>
    <n v="8.0000000000000002E-3"/>
    <x v="1"/>
    <s v="STPP"/>
    <s v="Regular"/>
    <n v="512"/>
    <n v="512"/>
    <m/>
    <n v="0"/>
    <n v="0"/>
    <n v="0"/>
    <n v="7.4999999999999997E-3"/>
    <n v="0"/>
    <s v="Add Potassium"/>
    <n v="0"/>
    <n v="0"/>
  </r>
  <r>
    <x v="905"/>
    <s v="08-2026"/>
    <x v="2"/>
    <e v="#N/A"/>
    <x v="7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203"/>
    <n v="203"/>
    <m/>
    <n v="0"/>
    <n v="0"/>
    <n v="0"/>
    <n v="7.4999999999999997E-3"/>
    <n v="0"/>
    <s v="Add Potassium"/>
    <n v="0"/>
    <n v="0"/>
  </r>
  <r>
    <x v="905"/>
    <s v="08-2026"/>
    <x v="2"/>
    <e v="#N/A"/>
    <x v="7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300"/>
    <n v="300"/>
    <m/>
    <n v="0"/>
    <n v="0"/>
    <n v="0"/>
    <n v="7.4999999999999997E-3"/>
    <n v="0"/>
    <s v="Add Potassium"/>
    <n v="0"/>
    <n v="0"/>
  </r>
  <r>
    <x v="905"/>
    <s v="09-2026"/>
    <x v="2"/>
    <e v="#N/A"/>
    <x v="7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316"/>
    <n v="316"/>
    <m/>
    <n v="0"/>
    <n v="0"/>
    <n v="0"/>
    <n v="7.4999999999999997E-3"/>
    <n v="0"/>
    <s v="Add Potassium"/>
    <n v="0"/>
    <n v="0"/>
  </r>
  <r>
    <x v="905"/>
    <s v="08-2026"/>
    <x v="2"/>
    <e v="#N/A"/>
    <x v="7"/>
    <s v="ขายภายใน"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800"/>
    <n v="800"/>
    <m/>
    <n v="0"/>
    <n v="0"/>
    <n v="0"/>
    <n v="1"/>
    <n v="0"/>
    <s v="Add Potassium"/>
    <n v="0"/>
    <n v="0"/>
  </r>
  <r>
    <x v="905"/>
    <s v="09-2026"/>
    <x v="2"/>
    <e v="#N/A"/>
    <x v="7"/>
    <s v="ขายภายใน"/>
    <s v="MTFS"/>
    <s v="CPFGS"/>
    <s v="ซีพีเอฟ เทรดดิ้ง"/>
    <s v="E+Wonton TY"/>
    <s v="Cooked Wonton"/>
    <s v="เกี๊ยวกุ้งจักรพรรดิซุปต้มยำ LV CP 143g"/>
    <s v="082S83Q12005P09001"/>
    <s v="143g*12"/>
    <n v="12"/>
    <n v="5"/>
    <n v="8.0000000000000002E-3"/>
    <x v="2"/>
    <s v="STPP"/>
    <s v="TYNSF"/>
    <n v="439"/>
    <n v="439"/>
    <m/>
    <n v="0"/>
    <n v="0"/>
    <n v="0"/>
    <n v="8.9999999999999993E-3"/>
    <n v="0"/>
    <s v="ทำให้หมดผงซุป tynsf"/>
    <n v="0"/>
    <n v="0"/>
  </r>
  <r>
    <x v="906"/>
    <m/>
    <x v="2"/>
    <e v="#N/A"/>
    <x v="7"/>
    <m/>
    <m/>
    <m/>
    <m/>
    <m/>
    <m/>
    <m/>
    <m/>
    <m/>
    <m/>
    <m/>
    <m/>
    <x v="0"/>
    <m/>
    <m/>
    <m/>
    <m/>
    <m/>
    <m/>
    <m/>
    <n v="0"/>
    <m/>
    <m/>
    <m/>
    <m/>
    <m/>
  </r>
  <r>
    <x v="907"/>
    <m/>
    <x v="2"/>
    <e v="#N/A"/>
    <x v="7"/>
    <m/>
    <m/>
    <m/>
    <m/>
    <m/>
    <m/>
    <m/>
    <m/>
    <m/>
    <m/>
    <m/>
    <m/>
    <x v="0"/>
    <m/>
    <m/>
    <m/>
    <m/>
    <m/>
    <m/>
    <m/>
    <n v="0"/>
    <m/>
    <m/>
    <m/>
    <m/>
    <m/>
  </r>
  <r>
    <x v="908"/>
    <m/>
    <x v="2"/>
    <e v="#N/A"/>
    <x v="7"/>
    <m/>
    <m/>
    <m/>
    <m/>
    <m/>
    <m/>
    <m/>
    <m/>
    <m/>
    <m/>
    <m/>
    <m/>
    <x v="0"/>
    <m/>
    <m/>
    <m/>
    <m/>
    <m/>
    <m/>
    <m/>
    <n v="0"/>
    <m/>
    <m/>
    <m/>
    <m/>
    <m/>
  </r>
  <r>
    <x v="909"/>
    <d v="2026-08-25T00:00:00"/>
    <x v="2"/>
    <e v="#N/A"/>
    <x v="7"/>
    <s v="DRY2600239"/>
    <s v="UK"/>
    <s v="CPFNW"/>
    <s v="Westbridge Foods Limited (One UK)"/>
    <s v="Noodles+BC"/>
    <s v="Cooked Wonton"/>
    <s v="Crispy Chilli Oil Biang Biang Noodles+BC &quot;Kitchen Joy&quot;"/>
    <s v="082SLKW12310G00001"/>
    <s v="310g*12ถ้วย"/>
    <n v="12"/>
    <n v="3"/>
    <n v="0.01"/>
    <x v="7"/>
    <s v="-"/>
    <s v="Soy Sauce"/>
    <n v="580"/>
    <n v="580"/>
    <m/>
    <n v="0"/>
    <n v="0"/>
    <n v="0"/>
    <m/>
    <n v="0"/>
    <s v="ถ้าว,ฝา สีขาว New Package 1,800/HR"/>
    <n v="0"/>
    <n v="0"/>
  </r>
  <r>
    <x v="909"/>
    <d v="2026-08-26T00:00:00"/>
    <x v="2"/>
    <e v="#N/A"/>
    <x v="7"/>
    <s v="DRY2600240"/>
    <s v="UK"/>
    <s v="CPFNW"/>
    <s v="Westbridge Foods Limited (One UK)"/>
    <s v="Noodles+BC"/>
    <s v="Cooked Wonton"/>
    <s v="Crispy Chilli Oil Biang Biang Noodles+BC &quot;Kitchen Joy&quot;"/>
    <s v="082SLKW12310G00001"/>
    <s v="310g*12ถ้วย"/>
    <n v="12"/>
    <n v="3"/>
    <n v="0.01"/>
    <x v="7"/>
    <s v="-"/>
    <s v="Soy Sauce"/>
    <n v="570"/>
    <n v="570"/>
    <m/>
    <n v="0"/>
    <n v="0"/>
    <n v="0"/>
    <m/>
    <n v="0"/>
    <s v="ถ้าว,ฝา สีขาว New Package 1,800/HR"/>
    <n v="0"/>
    <n v="0"/>
  </r>
  <r>
    <x v="910"/>
    <d v="2026-08-26T00:00:00"/>
    <x v="2"/>
    <e v="#N/A"/>
    <x v="7"/>
    <s v="DRY2600240"/>
    <s v="UK"/>
    <s v="CPFNW"/>
    <s v="Westbridge Foods Limited (One UK)"/>
    <s v="Noodles+BC"/>
    <s v="Cooked Wonton"/>
    <s v="Crispy Chilli Oil Biang Biang Noodles+BC &quot;Kitchen Joy&quot;"/>
    <s v="082SLKW12310G00001"/>
    <s v="310g*12ถ้วย"/>
    <n v="12"/>
    <n v="3"/>
    <n v="0.01"/>
    <x v="7"/>
    <s v="-"/>
    <s v="Soy Sauce"/>
    <n v="10"/>
    <n v="10"/>
    <m/>
    <n v="0"/>
    <n v="0"/>
    <n v="0"/>
    <m/>
    <n v="0"/>
    <s v="ถ้าว,ฝา สีขาว New Package 1,800/HR"/>
    <n v="0"/>
    <n v="0"/>
  </r>
  <r>
    <x v="910"/>
    <d v="2026-08-21T00:00:00"/>
    <x v="2"/>
    <e v="#N/A"/>
    <x v="7"/>
    <s v="DRY2600135"/>
    <s v="UK"/>
    <s v="CPFNW"/>
    <s v="Westbridge Foods Limited (One UK)"/>
    <s v="Noodles+BC"/>
    <s v="Cooked Wonton"/>
    <s v="Crispy Chilli Oil Biang Biang Noodles+BC &quot;Kitchen Joy&quot;"/>
    <s v="082SLKW12310G00001"/>
    <s v="310g*12ถ้วย"/>
    <n v="12"/>
    <n v="3"/>
    <n v="0.01"/>
    <x v="7"/>
    <s v="-"/>
    <s v="Soy Sauce"/>
    <n v="1118"/>
    <n v="1118"/>
    <m/>
    <n v="0"/>
    <n v="0"/>
    <n v="0"/>
    <m/>
    <n v="0"/>
    <s v="ถ้าว,ฝา สีขาว New Package 1,800/HR"/>
    <n v="0"/>
    <n v="0"/>
  </r>
  <r>
    <x v="911"/>
    <d v="2026-09-07T00:00:00"/>
    <x v="2"/>
    <e v="#N/A"/>
    <x v="7"/>
    <s v="DRY2600107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76"/>
    <n v="676"/>
    <m/>
    <n v="0"/>
    <n v="0"/>
    <n v="0"/>
    <n v="6"/>
    <n v="0"/>
    <m/>
    <n v="0"/>
    <n v="0"/>
  </r>
  <r>
    <x v="911"/>
    <d v="2026-08-27T00:00:00"/>
    <x v="2"/>
    <e v="#N/A"/>
    <x v="7"/>
    <s v="DRY2600190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281"/>
    <n v="281"/>
    <m/>
    <n v="0"/>
    <n v="0"/>
    <n v="0"/>
    <n v="9.7000000000000003E-3"/>
    <n v="0"/>
    <s v="สั่งซุป"/>
    <n v="0"/>
    <n v="0"/>
  </r>
  <r>
    <x v="911"/>
    <d v="2026-08-27T00:00:00"/>
    <x v="2"/>
    <e v="#N/A"/>
    <x v="7"/>
    <s v="DRY2600191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677"/>
    <n v="677"/>
    <m/>
    <n v="0"/>
    <n v="0"/>
    <n v="0"/>
    <n v="9.7000000000000003E-3"/>
    <n v="0"/>
    <s v="สั่งซุป"/>
    <n v="0"/>
    <n v="0"/>
  </r>
  <r>
    <x v="911"/>
    <d v="2026-08-31T00:00:00"/>
    <x v="2"/>
    <e v="#N/A"/>
    <x v="7"/>
    <s v="DRY2600205"/>
    <s v="Denmark"/>
    <s v="CPFNW"/>
    <s v="CPF DENMARK"/>
    <s v="Minced ND+V+TY"/>
    <s v="Cooked Wonton"/>
    <s v="Cooked Minced  ND No Egg with Pumpkin_x000a_+ Yu Choy Tomyum"/>
    <s v="082SRRE12003P00001"/>
    <s v="302g*12"/>
    <n v="12"/>
    <n v="3"/>
    <n v="6.0000000000000001E-3"/>
    <x v="4"/>
    <s v="Salt"/>
    <s v="TYEXSG+CO"/>
    <n v="2520"/>
    <n v="2422"/>
    <n v="98"/>
    <n v="0"/>
    <n v="0"/>
    <n v="0"/>
    <n v="3.8699999999999998E-2"/>
    <n v="0"/>
    <s v="ASC"/>
    <n v="0"/>
    <n v="0"/>
  </r>
  <r>
    <x v="911"/>
    <d v="2026-09-16T00:00:00"/>
    <x v="2"/>
    <e v="#N/A"/>
    <x v="7"/>
    <s v="DRY2600224"/>
    <s v="AUS"/>
    <s v="CPFNW"/>
    <s v="CPF Australia Pty Ltd."/>
    <s v="Minced ND+V+TY"/>
    <s v="Cooked Wonton"/>
    <s v="Cooked Minced  ND No Egg with Pumpkin_x000a_+ Yu Choy Tomyum"/>
    <s v="082SR9U08003P00001"/>
    <s v="302g*8"/>
    <n v="8"/>
    <n v="3"/>
    <n v="6.0000000000000001E-3"/>
    <x v="4"/>
    <s v="Salt"/>
    <s v="TYEXSG+CO"/>
    <n v="300"/>
    <m/>
    <n v="384.125"/>
    <n v="84.125"/>
    <n v="0"/>
    <n v="0"/>
    <n v="3.8699999999999998E-2"/>
    <n v="0"/>
    <m/>
    <n v="0"/>
    <n v="0"/>
  </r>
  <r>
    <x v="912"/>
    <d v="2026-09-07T00:00:00"/>
    <x v="2"/>
    <e v="#N/A"/>
    <x v="7"/>
    <s v="DRY2600107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92"/>
    <n v="92"/>
    <m/>
    <n v="0"/>
    <n v="0"/>
    <n v="0"/>
    <n v="6"/>
    <n v="0"/>
    <m/>
    <n v="0"/>
    <n v="0"/>
  </r>
  <r>
    <x v="912"/>
    <d v="2026-09-14T00:00:00"/>
    <x v="2"/>
    <e v="#N/A"/>
    <x v="7"/>
    <s v="DRY2600145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568"/>
    <n v="568"/>
    <m/>
    <n v="0"/>
    <n v="0"/>
    <n v="0"/>
    <n v="6"/>
    <n v="0"/>
    <m/>
    <n v="0"/>
    <n v="0"/>
  </r>
  <r>
    <x v="912"/>
    <d v="2026-08-27T00:00:00"/>
    <x v="2"/>
    <e v="#N/A"/>
    <x v="7"/>
    <s v="DRY2600191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115"/>
    <n v="115"/>
    <m/>
    <n v="0"/>
    <n v="0"/>
    <n v="0"/>
    <n v="9.7000000000000003E-3"/>
    <n v="0"/>
    <s v="สั่งซุป"/>
    <n v="0"/>
    <n v="0"/>
  </r>
  <r>
    <x v="912"/>
    <d v="2026-09-08T00:00:00"/>
    <x v="2"/>
    <e v="#N/A"/>
    <x v="7"/>
    <s v="DRY2600192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s v="สั่งซุป"/>
    <n v="0"/>
    <n v="0"/>
  </r>
  <r>
    <x v="912"/>
    <d v="2026-09-15T00:00:00"/>
    <x v="2"/>
    <e v="#N/A"/>
    <x v="7"/>
    <s v="DRY2600193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48"/>
    <n v="48"/>
    <m/>
    <n v="0"/>
    <n v="0"/>
    <n v="0"/>
    <n v="9.7000000000000003E-3"/>
    <n v="0"/>
    <s v="สั่งซุป"/>
    <n v="0"/>
    <n v="0"/>
  </r>
  <r>
    <x v="912"/>
    <d v="2026-09-01T00:00:00"/>
    <x v="2"/>
    <e v="#N/A"/>
    <x v="7"/>
    <s v="DRY2600188"/>
    <s v="Denmark"/>
    <s v="CPFNW"/>
    <s v="CPF DENMARK"/>
    <s v="Minced ND+V+TY"/>
    <s v="Cooked Wonton"/>
    <s v="Cooked Minced Wonton 3 pcs Noodle (Pumpkin)_x000a_with &quot;Tomyum&quot;+Yu Choy"/>
    <s v="082SRKW12003P00001"/>
    <s v="240g*12ถ้วย"/>
    <n v="12"/>
    <n v="3"/>
    <n v="6.1999999999999998E-3"/>
    <x v="4"/>
    <s v="Salt"/>
    <s v="TYANSSG+CM"/>
    <n v="2660"/>
    <m/>
    <n v="2660"/>
    <n v="0"/>
    <n v="0"/>
    <n v="0"/>
    <n v="3.85E-2"/>
    <n v="0"/>
    <s v="ถ้าว,ฝา สีขาว New Package"/>
    <n v="0"/>
    <n v="0"/>
  </r>
  <r>
    <x v="913"/>
    <m/>
    <x v="2"/>
    <e v="#N/A"/>
    <x v="7"/>
    <m/>
    <m/>
    <m/>
    <m/>
    <m/>
    <m/>
    <m/>
    <m/>
    <m/>
    <m/>
    <m/>
    <m/>
    <x v="0"/>
    <m/>
    <m/>
    <m/>
    <m/>
    <m/>
    <m/>
    <m/>
    <n v="0"/>
    <m/>
    <m/>
    <m/>
    <m/>
    <m/>
  </r>
  <r>
    <x v="914"/>
    <m/>
    <x v="2"/>
    <e v="#N/A"/>
    <x v="7"/>
    <m/>
    <m/>
    <m/>
    <m/>
    <m/>
    <m/>
    <m/>
    <m/>
    <m/>
    <m/>
    <m/>
    <m/>
    <x v="0"/>
    <m/>
    <m/>
    <m/>
    <m/>
    <m/>
    <m/>
    <m/>
    <n v="0"/>
    <m/>
    <m/>
    <m/>
    <m/>
    <m/>
  </r>
  <r>
    <x v="915"/>
    <d v="2026-09-14T00:00:00"/>
    <x v="2"/>
    <e v="#N/A"/>
    <x v="7"/>
    <s v="DRY2600145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76"/>
    <n v="676"/>
    <m/>
    <n v="0"/>
    <n v="0"/>
    <n v="0"/>
    <n v="6"/>
    <n v="0"/>
    <m/>
    <n v="0"/>
    <n v="0"/>
  </r>
  <r>
    <x v="915"/>
    <s v="08-2026"/>
    <x v="2"/>
    <e v="#N/A"/>
    <x v="7"/>
    <s v="ขายภายใน"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709"/>
    <n v="709"/>
    <m/>
    <n v="0"/>
    <n v="0"/>
    <n v="0"/>
    <n v="7.4999999999999997E-3"/>
    <n v="0"/>
    <m/>
    <n v="0"/>
    <n v="0"/>
  </r>
  <r>
    <x v="915"/>
    <s v="09-2026"/>
    <x v="2"/>
    <e v="#N/A"/>
    <x v="7"/>
    <s v="ขายภายใน"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2189"/>
    <n v="2189"/>
    <m/>
    <n v="0"/>
    <n v="0"/>
    <n v="0"/>
    <n v="7.4999999999999997E-3"/>
    <n v="0"/>
    <m/>
    <n v="0"/>
    <n v="0"/>
  </r>
  <r>
    <x v="916"/>
    <d v="2026-09-14T00:00:00"/>
    <x v="2"/>
    <e v="#N/A"/>
    <x v="7"/>
    <s v="DRY2600145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68"/>
    <n v="668"/>
    <m/>
    <n v="0"/>
    <n v="0"/>
    <n v="0"/>
    <n v="6"/>
    <n v="0"/>
    <m/>
    <n v="0"/>
    <n v="0"/>
  </r>
  <r>
    <x v="916"/>
    <s v="09-2026"/>
    <x v="2"/>
    <e v="#N/A"/>
    <x v="7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0"/>
    <s v="145g*12"/>
    <n v="12"/>
    <n v="5"/>
    <n v="8.0000000000000002E-3"/>
    <x v="1"/>
    <s v="STPP"/>
    <s v="Regular"/>
    <n v="12"/>
    <n v="12"/>
    <m/>
    <n v="0"/>
    <n v="0"/>
    <n v="0"/>
    <n v="7.4999999999999997E-3"/>
    <n v="0"/>
    <s v="Add Potassium"/>
    <n v="0"/>
    <n v="0"/>
  </r>
  <r>
    <x v="916"/>
    <s v="09-2026"/>
    <x v="2"/>
    <e v="#N/A"/>
    <x v="7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1"/>
    <s v="145g*12"/>
    <n v="12"/>
    <n v="5"/>
    <n v="8.0000000000000002E-3"/>
    <x v="1"/>
    <s v="STPP"/>
    <s v="Regular"/>
    <n v="2561"/>
    <n v="2561"/>
    <m/>
    <n v="0"/>
    <n v="0"/>
    <n v="0"/>
    <n v="7.4999999999999997E-3"/>
    <n v="0"/>
    <s v="Add Potassium"/>
    <n v="0"/>
    <n v="0"/>
  </r>
  <r>
    <x v="916"/>
    <s v="09-2026"/>
    <x v="2"/>
    <e v="#N/A"/>
    <x v="7"/>
    <s v="ขายภายใน"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2000"/>
    <m/>
    <n v="2000"/>
    <n v="0"/>
    <n v="0"/>
    <n v="0"/>
    <n v="1"/>
    <n v="0"/>
    <s v="Add Potassium"/>
    <n v="0"/>
    <n v="0"/>
  </r>
  <r>
    <x v="917"/>
    <d v="2026-09-14T00:00:00"/>
    <x v="2"/>
    <e v="#N/A"/>
    <x v="7"/>
    <s v="DRY2600145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144"/>
    <n v="144"/>
    <m/>
    <n v="0"/>
    <n v="0"/>
    <n v="0"/>
    <n v="6"/>
    <n v="0"/>
    <m/>
    <n v="0"/>
    <n v="0"/>
  </r>
  <r>
    <x v="917"/>
    <s v="09-2026"/>
    <x v="2"/>
    <e v="#N/A"/>
    <x v="7"/>
    <s v="ขายภายใน"/>
    <s v="ขายภายใน"/>
    <s v="CPFGS"/>
    <s v="ซีพีเอฟ เทรดดิ้ง"/>
    <s v="R-Wonton egg past"/>
    <s v="Raw Wonton"/>
    <s v="Raw Wonton 50 pcs OISHI"/>
    <s v="082S01508600G01001"/>
    <s v="600g.*8 packs"/>
    <n v="8"/>
    <n v="50"/>
    <n v="8.1300000000000001E-3"/>
    <x v="1"/>
    <s v="STPP"/>
    <m/>
    <n v="200"/>
    <n v="200"/>
    <m/>
    <n v="0"/>
    <n v="0"/>
    <n v="0"/>
    <m/>
    <n v="0"/>
    <m/>
    <n v="0"/>
    <n v="0"/>
  </r>
  <r>
    <x v="917"/>
    <s v="09-2026"/>
    <x v="2"/>
    <e v="#N/A"/>
    <x v="7"/>
    <s v="ขายภายใน"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2958"/>
    <n v="2958"/>
    <m/>
    <n v="0"/>
    <n v="0"/>
    <n v="0"/>
    <n v="7.4999999999999997E-3"/>
    <n v="0"/>
    <m/>
    <n v="0"/>
    <n v="0"/>
  </r>
  <r>
    <x v="918"/>
    <d v="2026-09-07T00:00:00"/>
    <x v="2"/>
    <e v="#N/A"/>
    <x v="7"/>
    <s v="DRY2600180"/>
    <s v="SG"/>
    <s v="CPFNW"/>
    <s v="CP FOODS SINGAPORE PTE. LTD"/>
    <s v="Wonton ND+V"/>
    <s v="Cooked Wonton"/>
    <s v="Cooked Wonton ND No Egg with Pumpkin _x000a_+ Vegetable  HC  3 pcs"/>
    <s v="082SJ3B24003P02001"/>
    <s v="219g*24"/>
    <n v="24"/>
    <n v="3"/>
    <n v="7.4999999999999997E-3"/>
    <x v="5"/>
    <s v="STPP"/>
    <s v="ซุปซอง 10g."/>
    <n v="200"/>
    <n v="200"/>
    <m/>
    <n v="0"/>
    <n v="0"/>
    <n v="0"/>
    <n v="1"/>
    <n v="0"/>
    <m/>
    <n v="0"/>
    <n v="0"/>
  </r>
  <r>
    <x v="918"/>
    <d v="2026-09-07T00:00:00"/>
    <x v="2"/>
    <e v="#N/A"/>
    <x v="7"/>
    <s v="DRY2600214"/>
    <s v="New Zealand"/>
    <s v="CPFNW"/>
    <s v="Lim Brothers Import&amp;Export Co.,Ltd."/>
    <s v="Wonton ND+V"/>
    <s v="Cooked Wonton"/>
    <s v="Cooked Wonton ND No Egg with Pumpkin_x000a_+ Yu Choy "/>
    <s v="082SJN708004P00001"/>
    <s v="305g*8"/>
    <n v="8"/>
    <n v="4"/>
    <n v="7.4999999999999997E-3"/>
    <x v="5"/>
    <s v="Salt"/>
    <s v="Regular"/>
    <n v="756"/>
    <m/>
    <n v="802.875"/>
    <n v="46.875"/>
    <n v="0"/>
    <n v="0"/>
    <n v="7.4999999999999997E-3"/>
    <n v="0"/>
    <m/>
    <n v="0"/>
    <n v="0"/>
  </r>
  <r>
    <x v="918"/>
    <d v="2026-09-16T00:00:00"/>
    <x v="2"/>
    <e v="#N/A"/>
    <x v="7"/>
    <s v="DRY2600224"/>
    <s v="AUS"/>
    <s v="CPFNW"/>
    <s v="CPF Australia Pty Ltd."/>
    <s v="Wonton ND+V"/>
    <s v="Cooked Wonton"/>
    <s v="Cooked Wonton ND No Egg with Pumpkin_x000a_+ Yu Choy "/>
    <s v="082SJ9U08004P00001"/>
    <s v="305g*8"/>
    <n v="8"/>
    <n v="4"/>
    <n v="7.4999999999999997E-3"/>
    <x v="5"/>
    <s v="Salt"/>
    <s v="Regular"/>
    <n v="856"/>
    <m/>
    <n v="856.375"/>
    <n v="0.375"/>
    <n v="0"/>
    <n v="0"/>
    <n v="7.4999999999999997E-3"/>
    <n v="0"/>
    <m/>
    <n v="0"/>
    <n v="0"/>
  </r>
  <r>
    <x v="918"/>
    <d v="2026-09-07T00:00:00"/>
    <x v="2"/>
    <e v="#N/A"/>
    <x v="7"/>
    <s v="DRY2600117"/>
    <s v="AUS"/>
    <s v="CPFNW"/>
    <s v="CPF Australia Pty Ltd.(Woolworth)"/>
    <s v="Wonton ND+V"/>
    <s v="Cooked Wonton"/>
    <s v="Cooked Wonton ND No Egg with Pumpkin_x000a_+ Yu Choy "/>
    <s v="082SJ9U05004P00001"/>
    <s v="305g*5"/>
    <n v="5"/>
    <n v="4"/>
    <n v="7.4999999999999997E-3"/>
    <x v="5"/>
    <s v="Salt"/>
    <s v="Regular"/>
    <n v="5076"/>
    <m/>
    <n v="5076"/>
    <n v="0"/>
    <n v="0"/>
    <n v="0"/>
    <n v="7.4999999999999997E-3"/>
    <n v="0"/>
    <s v="ถ้าว,ฝา สีขาว"/>
    <n v="0"/>
    <n v="0"/>
  </r>
  <r>
    <x v="918"/>
    <d v="2026-09-01T00:00:00"/>
    <x v="2"/>
    <e v="#N/A"/>
    <x v="7"/>
    <s v="DRY2600189"/>
    <s v="Denmark"/>
    <s v="CPFNW"/>
    <s v="CPF DENMARK"/>
    <s v="Minced ND+V+TK"/>
    <s v="Cooked Wonton"/>
    <s v="Cooked Minced Wonton 3 pcs Noodle (Pumpkin)_x000a_with &quot;Tomka&quot;+Yu Choy"/>
    <s v="082SRKW12003P01001"/>
    <s v="240g*12ถ้วย"/>
    <n v="12"/>
    <n v="3"/>
    <n v="6.1999999999999998E-3"/>
    <x v="4"/>
    <s v="Salt"/>
    <s v="Tomkha+CM"/>
    <n v="2660"/>
    <m/>
    <n v="2660"/>
    <n v="0"/>
    <n v="0"/>
    <n v="0"/>
    <n v="5.8823E-2"/>
    <n v="0"/>
    <s v="ถ้าว,ฝา สีขาว New Package"/>
    <n v="0"/>
    <n v="0"/>
  </r>
  <r>
    <x v="918"/>
    <d v="2026-09-07T00:00:00"/>
    <x v="2"/>
    <e v="#N/A"/>
    <x v="7"/>
    <s v="DRY2600223"/>
    <s v="AUS"/>
    <s v="CPFNW"/>
    <s v="CPF Australia Pty Ltd."/>
    <s v="Minced ND+V+TK"/>
    <s v="Cooked Wonton"/>
    <s v="Cooked Minced Wonton ND No Egg with Pumpkin _x000a_+ Vegetable 5 pcs Tomka"/>
    <s v="082SR9U24003P00001"/>
    <s v="302g*4c*6in"/>
    <n v="24"/>
    <n v="3"/>
    <n v="6.0000000000000001E-3"/>
    <x v="4"/>
    <s v="Salt"/>
    <s v="Tomkha+CM"/>
    <n v="700"/>
    <n v="375"/>
    <n v="325"/>
    <n v="0"/>
    <n v="0"/>
    <n v="0"/>
    <n v="3.8699999999999998E-2"/>
    <n v="0"/>
    <s v="ถ้าว,ฝา สีขาว"/>
    <n v="0"/>
    <n v="0"/>
  </r>
  <r>
    <x v="918"/>
    <d v="2026-09-07T00:00:00"/>
    <x v="2"/>
    <e v="#N/A"/>
    <x v="7"/>
    <s v="DRY2600214"/>
    <s v="New Zealand"/>
    <s v="CPFNW"/>
    <s v="Lim Brothers Import&amp;Export Co.,Ltd."/>
    <s v="Minced ND+V+TK"/>
    <s v="Cooked Wonton"/>
    <s v="Cooked Minced  ND No Egg with Pumpkin_x000a_+ Yu Choy Tomkha"/>
    <s v="082SRN708003P01001"/>
    <s v="302g*8"/>
    <n v="8"/>
    <n v="3"/>
    <n v="6.0000000000000001E-3"/>
    <x v="4"/>
    <s v="Salt"/>
    <s v="Tomkha+CM"/>
    <n v="324"/>
    <m/>
    <n v="378.5"/>
    <n v="54.5"/>
    <n v="0"/>
    <n v="0"/>
    <n v="5.8823E-2"/>
    <n v="0"/>
    <m/>
    <n v="0"/>
    <n v="0"/>
  </r>
  <r>
    <x v="918"/>
    <d v="2026-09-16T00:00:00"/>
    <x v="2"/>
    <e v="#N/A"/>
    <x v="7"/>
    <s v="DRY2600224"/>
    <s v="AUS"/>
    <s v="CPFNW"/>
    <s v="CPF Australia Pty Ltd."/>
    <s v="Minced ND+V+TK"/>
    <s v="Cooked Wonton"/>
    <s v="Cooked Minced  ND No Egg with Pumpkin_x000a_+ Yu Choy Tomkha"/>
    <s v="082SR9U08003P01001"/>
    <s v="302g*8"/>
    <n v="8"/>
    <n v="3"/>
    <n v="6.0000000000000001E-3"/>
    <x v="4"/>
    <s v="Salt"/>
    <s v="Tomkha+CM"/>
    <n v="300"/>
    <m/>
    <n v="330.25"/>
    <n v="30.25"/>
    <n v="0"/>
    <n v="0"/>
    <n v="5.8823E-2"/>
    <n v="0"/>
    <m/>
    <n v="0"/>
    <n v="0"/>
  </r>
  <r>
    <x v="919"/>
    <d v="2026-09-09T00:00:00"/>
    <x v="2"/>
    <e v="#N/A"/>
    <x v="7"/>
    <s v="DRY2600177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919"/>
    <d v="2026-09-16T00:00:00"/>
    <x v="2"/>
    <e v="#N/A"/>
    <x v="7"/>
    <s v="DRY2600201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919"/>
    <d v="2026-09-16T00:00:00"/>
    <x v="2"/>
    <e v="#N/A"/>
    <x v="7"/>
    <s v="DRY2600202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919"/>
    <d v="2026-09-15T00:00:00"/>
    <x v="2"/>
    <e v="#N/A"/>
    <x v="7"/>
    <s v="DRY2600176"/>
    <s v="UK"/>
    <s v="CPFNW"/>
    <s v="Westbridge Foods Limited (One UK)"/>
    <s v="Minced ND+V+น้ำราดเป็ด"/>
    <s v="Cooked Wonton"/>
    <s v="Cooked Minced Wonton Garlic &amp; Soy Noodles+Yu Choy &quot;Kitchen Joy&quot;"/>
    <s v="082SRKW12003P03001"/>
    <s v="320g*12ถ้วย"/>
    <n v="12"/>
    <n v="3"/>
    <n v="6.1999999999999998E-3"/>
    <x v="4"/>
    <s v="Salt"/>
    <s v="น้ำราดเป็ด"/>
    <n v="2278"/>
    <m/>
    <n v="2337.1666666666665"/>
    <n v="59.166666666666515"/>
    <n v="0"/>
    <n v="0"/>
    <m/>
    <n v="0"/>
    <s v="ถ้าว,ฝา สีขาว New Package"/>
    <n v="0"/>
    <n v="0"/>
  </r>
  <r>
    <x v="920"/>
    <m/>
    <x v="2"/>
    <e v="#N/A"/>
    <x v="7"/>
    <m/>
    <m/>
    <m/>
    <m/>
    <m/>
    <m/>
    <m/>
    <m/>
    <m/>
    <m/>
    <m/>
    <m/>
    <x v="0"/>
    <m/>
    <m/>
    <m/>
    <m/>
    <m/>
    <m/>
    <m/>
    <n v="0"/>
    <m/>
    <m/>
    <m/>
    <m/>
    <m/>
  </r>
  <r>
    <x v="921"/>
    <m/>
    <x v="2"/>
    <e v="#N/A"/>
    <x v="7"/>
    <m/>
    <m/>
    <m/>
    <m/>
    <m/>
    <m/>
    <m/>
    <m/>
    <m/>
    <m/>
    <m/>
    <m/>
    <x v="0"/>
    <m/>
    <m/>
    <m/>
    <m/>
    <m/>
    <m/>
    <m/>
    <n v="0"/>
    <m/>
    <m/>
    <m/>
    <m/>
    <m/>
  </r>
  <r>
    <x v="922"/>
    <d v="2026-09-08T00:00:00"/>
    <x v="2"/>
    <e v="#N/A"/>
    <x v="7"/>
    <s v="DRY2600146"/>
    <s v="Netherlands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n v="1254"/>
    <n v="34"/>
    <n v="0"/>
    <n v="0"/>
    <n v="0"/>
    <n v="7.4999999999999997E-3"/>
    <n v="0"/>
    <s v="ถ้าว,ฝา สีขาว/Halal/ New Design"/>
    <n v="0"/>
    <n v="0"/>
  </r>
  <r>
    <x v="922"/>
    <d v="2026-09-22T00:00:00"/>
    <x v="2"/>
    <e v="#N/A"/>
    <x v="7"/>
    <s v="DRY2600196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n v="0"/>
    <n v="7.4999999999999997E-3"/>
    <n v="0"/>
    <m/>
    <n v="0"/>
    <n v="0"/>
  </r>
  <r>
    <x v="922"/>
    <d v="2026-09-15T00:00:00"/>
    <x v="2"/>
    <e v="#N/A"/>
    <x v="7"/>
    <s v="DRY2600193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44"/>
    <n v="744"/>
    <m/>
    <n v="0"/>
    <n v="0"/>
    <n v="0"/>
    <n v="9.7000000000000003E-3"/>
    <n v="0"/>
    <s v="สั่งซุป"/>
    <n v="0"/>
    <n v="0"/>
  </r>
  <r>
    <x v="922"/>
    <d v="2026-10-01T00:00:00"/>
    <x v="2"/>
    <e v="#N/A"/>
    <x v="7"/>
    <s v="DRY2600197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"/>
    <n v="7"/>
    <m/>
    <n v="0"/>
    <n v="0"/>
    <n v="0"/>
    <n v="9.7000000000000003E-3"/>
    <n v="0"/>
    <s v="สั่งซุป &amp; ingredient"/>
    <n v="0"/>
    <n v="0"/>
  </r>
  <r>
    <x v="923"/>
    <s v="09-2026"/>
    <x v="2"/>
    <e v="#N/A"/>
    <x v="7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4899"/>
    <n v="4899"/>
    <m/>
    <n v="0"/>
    <n v="0"/>
    <n v="0"/>
    <n v="7.4999999999999997E-3"/>
    <n v="0"/>
    <s v="Add Potassium"/>
    <n v="0"/>
    <n v="0"/>
  </r>
  <r>
    <x v="924"/>
    <s v="09-2026"/>
    <x v="2"/>
    <e v="#N/A"/>
    <x v="7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2568"/>
    <n v="2568"/>
    <m/>
    <n v="0"/>
    <n v="0"/>
    <n v="0"/>
    <n v="7.4999999999999997E-3"/>
    <n v="0"/>
    <s v="Add Potassium"/>
    <n v="0"/>
    <n v="0"/>
  </r>
  <r>
    <x v="924"/>
    <s v="10-2026"/>
    <x v="2"/>
    <e v="#N/A"/>
    <x v="7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136"/>
    <n v="136"/>
    <m/>
    <n v="0"/>
    <n v="0"/>
    <n v="0"/>
    <n v="7.4999999999999997E-3"/>
    <n v="0"/>
    <s v="Add Potassium"/>
    <n v="0"/>
    <n v="0"/>
  </r>
  <r>
    <x v="924"/>
    <s v="09-2026"/>
    <x v="2"/>
    <e v="#N/A"/>
    <x v="7"/>
    <s v="ขายภายใน"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1915"/>
    <n v="1915"/>
    <m/>
    <n v="0"/>
    <n v="0"/>
    <n v="0"/>
    <n v="7.4999999999999997E-3"/>
    <n v="0"/>
    <m/>
    <n v="0"/>
    <n v="0"/>
  </r>
  <r>
    <x v="925"/>
    <d v="2026-10-06T00:00:00"/>
    <x v="2"/>
    <e v="#N/A"/>
    <x v="7"/>
    <s v="DRY2600216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2600"/>
    <n v="0"/>
    <n v="0"/>
    <n v="0"/>
    <n v="7.4999999999999997E-3"/>
    <n v="0"/>
    <m/>
    <n v="0"/>
    <n v="0"/>
  </r>
  <r>
    <x v="925"/>
    <s v="09-2026"/>
    <x v="2"/>
    <e v="#N/A"/>
    <x v="7"/>
    <s v="ขายภายใน"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3288"/>
    <n v="3288"/>
    <m/>
    <n v="0"/>
    <n v="0"/>
    <n v="0"/>
    <n v="7.4999999999999997E-3"/>
    <n v="0"/>
    <m/>
    <n v="0"/>
    <n v="0"/>
  </r>
  <r>
    <x v="925"/>
    <s v="10-2026"/>
    <x v="2"/>
    <e v="#N/A"/>
    <x v="7"/>
    <s v="ขายภายใน"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193"/>
    <n v="193"/>
    <m/>
    <n v="0"/>
    <n v="0"/>
    <n v="0"/>
    <n v="7.4999999999999997E-3"/>
    <n v="0"/>
    <m/>
    <n v="0"/>
    <n v="0"/>
  </r>
  <r>
    <x v="926"/>
    <d v="2026-09-24T00:00:00"/>
    <x v="2"/>
    <e v="#N/A"/>
    <x v="7"/>
    <s v="DRY2600203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926"/>
    <d v="2026-09-24T00:00:00"/>
    <x v="2"/>
    <e v="#N/A"/>
    <x v="7"/>
    <s v="DRY2600204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594"/>
    <n v="198"/>
    <n v="0"/>
    <n v="0"/>
    <n v="0"/>
    <n v="7.4999999999999997E-3"/>
    <n v="0"/>
    <m/>
    <n v="0"/>
    <n v="0"/>
  </r>
  <r>
    <x v="926"/>
    <d v="2026-09-17T00:00:00"/>
    <x v="2"/>
    <e v="#N/A"/>
    <x v="7"/>
    <s v="DRY2600232"/>
    <s v="AUS"/>
    <s v="CPFNW"/>
    <s v="CPF Australia Pty Ltd."/>
    <s v="Minced ND+V+TK"/>
    <s v="Cooked Wonton"/>
    <s v="Cooked Minced Wonton ND No Egg with Pumpkin _x000a_+ Vegetable 5 pcs Tomka"/>
    <s v="082SR9U24003P00001"/>
    <s v="302g*4c*6in"/>
    <n v="24"/>
    <n v="3"/>
    <n v="6.0000000000000001E-3"/>
    <x v="4"/>
    <s v="Salt"/>
    <s v="Tomkha+CM"/>
    <n v="700"/>
    <n v="607"/>
    <n v="14.416666666666666"/>
    <n v="-78.583333333333371"/>
    <n v="1886"/>
    <n v="5658"/>
    <n v="3.8699999999999998E-2"/>
    <n v="72.988199999999992"/>
    <s v="ถ้าว,ฝา สีขาว"/>
    <n v="3.3948000000000006E-2"/>
    <n v="6.2866666666666668E-2"/>
  </r>
  <r>
    <x v="926"/>
    <d v="2026-09-29T00:00:00"/>
    <x v="2"/>
    <e v="#N/A"/>
    <x v="7"/>
    <s v="DRY2600215"/>
    <s v="Germany"/>
    <s v="CPFNW"/>
    <s v=" CPF Distribution (under Paulsen Food)"/>
    <s v="Minced ND+V+TK"/>
    <s v="Cooked Wonton"/>
    <s v="Cooked Minced  ND No Egg with Pumpkin_x000a_+ Yu Choy Tomkha"/>
    <s v="082SR3N12003P01001"/>
    <s v="302g*12"/>
    <n v="12"/>
    <n v="3"/>
    <n v="6.0000000000000001E-3"/>
    <x v="4"/>
    <s v="Salt"/>
    <s v="Tomkha+CM"/>
    <n v="2278"/>
    <m/>
    <n v="2523.8333333333335"/>
    <n v="245.83333333333348"/>
    <n v="0"/>
    <n v="0"/>
    <n v="5.8823E-2"/>
    <n v="0"/>
    <m/>
    <n v="0"/>
    <n v="0"/>
  </r>
  <r>
    <x v="927"/>
    <m/>
    <x v="2"/>
    <e v="#N/A"/>
    <x v="7"/>
    <m/>
    <m/>
    <m/>
    <m/>
    <m/>
    <m/>
    <m/>
    <m/>
    <m/>
    <m/>
    <m/>
    <m/>
    <x v="0"/>
    <m/>
    <m/>
    <m/>
    <m/>
    <m/>
    <m/>
    <m/>
    <n v="0"/>
    <m/>
    <m/>
    <m/>
    <m/>
    <m/>
  </r>
  <r>
    <x v="928"/>
    <m/>
    <x v="2"/>
    <e v="#N/A"/>
    <x v="8"/>
    <m/>
    <m/>
    <m/>
    <m/>
    <m/>
    <m/>
    <m/>
    <m/>
    <m/>
    <m/>
    <m/>
    <m/>
    <x v="0"/>
    <m/>
    <m/>
    <m/>
    <m/>
    <m/>
    <m/>
    <m/>
    <n v="0"/>
    <m/>
    <m/>
    <m/>
    <m/>
    <m/>
  </r>
  <r>
    <x v="929"/>
    <d v="2026-10-05T00:00:00"/>
    <x v="2"/>
    <e v="#N/A"/>
    <x v="8"/>
    <s v="DRY2600182"/>
    <s v="SG"/>
    <s v="CPFNW"/>
    <s v="CP FOODS SINGAPORE PTE. LTD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1200"/>
    <m/>
    <n v="1228"/>
    <n v="28"/>
    <n v="0"/>
    <n v="0"/>
    <n v="2"/>
    <n v="0"/>
    <s v="ห่อแบบสุก"/>
    <n v="0"/>
    <n v="0"/>
  </r>
  <r>
    <x v="929"/>
    <d v="2026-09-22T00:00:00"/>
    <x v="2"/>
    <e v="#N/A"/>
    <x v="8"/>
    <s v="DRY2600194"/>
    <s v="Malay"/>
    <s v="CPFNW"/>
    <s v="CPM Malaysia"/>
    <s v="C-Minced WT in tray no egg"/>
    <s v="Cooked Wonton"/>
    <s v="VA GYOZA KC TRAY HOTPOT MYS CP 24x4 PCS"/>
    <s v="082SM5I24004P00001"/>
    <s v="98g*24tray"/>
    <n v="24"/>
    <n v="4"/>
    <n v="6.0000000000000001E-3"/>
    <x v="4"/>
    <s v="Salt"/>
    <s v=" HOTPOT 10g"/>
    <n v="925"/>
    <n v="925"/>
    <m/>
    <n v="0"/>
    <n v="0"/>
    <n v="0"/>
    <n v="1"/>
    <n v="0"/>
    <m/>
    <n v="0"/>
    <n v="0"/>
  </r>
  <r>
    <x v="930"/>
    <d v="2026-10-05T00:00:00"/>
    <x v="2"/>
    <e v="#N/A"/>
    <x v="8"/>
    <s v="DRY2600209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473"/>
    <n v="463"/>
    <n v="10"/>
    <n v="0"/>
    <n v="0"/>
    <n v="0"/>
    <n v="6"/>
    <n v="0"/>
    <m/>
    <n v="0"/>
    <n v="0"/>
  </r>
  <r>
    <x v="930"/>
    <d v="2026-09-22T00:00:00"/>
    <x v="2"/>
    <e v="#N/A"/>
    <x v="8"/>
    <s v="DRY2600194"/>
    <s v="Malay"/>
    <s v="CPFNW"/>
    <s v="CPM Malaysia"/>
    <s v="C-Minced WT in tray no egg"/>
    <s v="Cooked Wonton"/>
    <s v="VA GYOZA KC TRAY HOTPOT MYS CP 24x4 PCS"/>
    <s v="082SM5I24004P00001"/>
    <s v="98g*24tray"/>
    <n v="24"/>
    <n v="4"/>
    <n v="6.0000000000000001E-3"/>
    <x v="4"/>
    <s v="Salt"/>
    <s v=" HOTPOT 10g"/>
    <n v="1366"/>
    <n v="1366"/>
    <m/>
    <n v="0"/>
    <n v="0"/>
    <n v="0"/>
    <n v="1"/>
    <n v="0"/>
    <m/>
    <n v="0"/>
    <n v="0"/>
  </r>
  <r>
    <x v="931"/>
    <d v="2026-10-05T00:00:00"/>
    <x v="2"/>
    <e v="#N/A"/>
    <x v="8"/>
    <s v="DRY2600209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782"/>
    <n v="782"/>
    <m/>
    <n v="0"/>
    <n v="0"/>
    <n v="0"/>
    <n v="6"/>
    <n v="0"/>
    <m/>
    <n v="0"/>
    <n v="0"/>
  </r>
  <r>
    <x v="931"/>
    <d v="2026-09-22T00:00:00"/>
    <x v="2"/>
    <e v="#N/A"/>
    <x v="8"/>
    <s v="DRY2600194"/>
    <s v="Malay"/>
    <s v="CPFNW"/>
    <s v="CPM Malaysia"/>
    <s v="C-Minced WT in tray no egg"/>
    <s v="Cooked Wonton"/>
    <s v="VA GYOZA KC TRAY HOTPOT MYS CP 24x4 PCS"/>
    <s v="082SM5I24004P00001"/>
    <s v="98g*24tray"/>
    <n v="24"/>
    <n v="4"/>
    <n v="6.0000000000000001E-3"/>
    <x v="4"/>
    <s v="Salt"/>
    <s v=" HOTPOT 10g"/>
    <n v="209"/>
    <n v="209"/>
    <m/>
    <n v="0"/>
    <n v="0"/>
    <n v="0"/>
    <n v="1"/>
    <n v="0"/>
    <m/>
    <n v="0"/>
    <n v="0"/>
  </r>
  <r>
    <x v="931"/>
    <d v="2026-10-05T00:00:00"/>
    <x v="2"/>
    <e v="#N/A"/>
    <x v="8"/>
    <s v="DRY2600230"/>
    <s v="Korea"/>
    <s v="CPFNW"/>
    <s v="Emart"/>
    <s v="Minced WT"/>
    <s v="Cooked Wonton"/>
    <s v="Cooked Minced Wonton"/>
    <s v="082SKEJ36006P00001"/>
    <s v="191g*6c*6in"/>
    <n v="36"/>
    <n v="5"/>
    <n v="6.0000000000000001E-3"/>
    <x v="4"/>
    <s v="Salt"/>
    <s v="Regular"/>
    <n v="874"/>
    <n v="872"/>
    <n v="54.027777777777779"/>
    <n v="52.027777777777828"/>
    <n v="0"/>
    <n v="0"/>
    <n v="7.4999999999999997E-3"/>
    <n v="0"/>
    <s v="RM &amp; FG ต้องตรวจตามข้อกำหนดลูกค้า"/>
    <n v="0"/>
    <n v="0"/>
  </r>
  <r>
    <x v="931"/>
    <s v="10-2026"/>
    <x v="2"/>
    <e v="#N/A"/>
    <x v="8"/>
    <s v="ขายภายใน"/>
    <s v="MTFS"/>
    <s v="CPFGS"/>
    <s v="ซีพีเอฟ เทรดดิ้ง"/>
    <s v="Wonton ND"/>
    <s v="Cooked Wonton"/>
    <s v="บะหมี่เกี๊ยวกุ้งซุปสุกี้ CPxMK 227g MT"/>
    <s v="082SJ3Q12003P0A001"/>
    <s v="227g*12"/>
    <n v="12"/>
    <n v="3"/>
    <n v="8.0000000000000002E-3"/>
    <x v="2"/>
    <s v="STPP"/>
    <s v="MK"/>
    <n v="2500"/>
    <n v="2502"/>
    <n v="36.666666666666664"/>
    <n v="38.666666666666515"/>
    <n v="0"/>
    <n v="0"/>
    <n v="0.05"/>
    <n v="0"/>
    <s v="เปลี่ยนใช้ผักกวางตุ้งแบบแช่แข็ง"/>
    <n v="0"/>
    <n v="0"/>
  </r>
  <r>
    <x v="932"/>
    <d v="2026-10-05T00:00:00"/>
    <x v="2"/>
    <e v="#N/A"/>
    <x v="8"/>
    <s v="DRY2600209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801"/>
    <n v="801"/>
    <m/>
    <n v="0"/>
    <n v="0"/>
    <n v="0"/>
    <n v="6"/>
    <n v="0"/>
    <m/>
    <n v="0"/>
    <n v="0"/>
  </r>
  <r>
    <x v="932"/>
    <d v="2026-10-01T00:00:00"/>
    <x v="2"/>
    <e v="#N/A"/>
    <x v="8"/>
    <s v="DRY2600197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85"/>
    <n v="785"/>
    <m/>
    <n v="0"/>
    <n v="0"/>
    <n v="0"/>
    <n v="9.7000000000000003E-3"/>
    <n v="0"/>
    <s v="สั่งซุป &amp; ingredient"/>
    <n v="0"/>
    <n v="0"/>
  </r>
  <r>
    <x v="932"/>
    <d v="2026-10-01T00:00:00"/>
    <x v="2"/>
    <e v="#N/A"/>
    <x v="8"/>
    <s v="DRY2600198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s v="สั่งซุป &amp; ingredient"/>
    <n v="0"/>
    <n v="0"/>
  </r>
  <r>
    <x v="932"/>
    <d v="2026-10-08T00:00:00"/>
    <x v="2"/>
    <e v="#N/A"/>
    <x v="8"/>
    <s v="DRY2600199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n v="792"/>
    <m/>
    <n v="0"/>
    <n v="0"/>
    <n v="0"/>
    <n v="9.7000000000000003E-3"/>
    <n v="0"/>
    <s v="สั่งซุป &amp; ingredient"/>
    <n v="0"/>
    <n v="0"/>
  </r>
  <r>
    <x v="932"/>
    <d v="2026-10-15T00:00:00"/>
    <x v="2"/>
    <e v="#N/A"/>
    <x v="8"/>
    <s v="DRY2600200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11"/>
    <n v="11"/>
    <m/>
    <n v="0"/>
    <n v="0"/>
    <n v="0"/>
    <n v="9.7000000000000003E-3"/>
    <n v="0"/>
    <s v="สั่งซุป &amp; ingredient"/>
    <n v="0"/>
    <n v="0"/>
  </r>
  <r>
    <x v="933"/>
    <d v="2026-09-24T00:00:00"/>
    <x v="2"/>
    <e v="#N/A"/>
    <x v="8"/>
    <s v="DRY2600207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933"/>
    <d v="2026-10-01T00:00:00"/>
    <x v="2"/>
    <e v="#N/A"/>
    <x v="8"/>
    <s v="DRY2600208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n v="792"/>
    <m/>
    <n v="0"/>
    <n v="0"/>
    <n v="0"/>
    <n v="7.4999999999999997E-3"/>
    <n v="0"/>
    <m/>
    <n v="0"/>
    <n v="0"/>
  </r>
  <r>
    <x v="933"/>
    <d v="2026-10-01T00:00:00"/>
    <x v="2"/>
    <e v="#N/A"/>
    <x v="8"/>
    <s v="DRY2600213"/>
    <s v="AUS"/>
    <s v="CPFNW"/>
    <s v="CPF Australia Pty Ltd.(Woolworth)"/>
    <s v="Wonton ND+V"/>
    <s v="Cooked Wonton"/>
    <s v="Cooked Wonton ND No Egg with Pumpkin_x000a_+ Yu Choy "/>
    <s v="082SJ9U05004P00001"/>
    <s v="305g*5"/>
    <n v="5"/>
    <n v="4"/>
    <n v="7.4999999999999997E-3"/>
    <x v="5"/>
    <s v="Salt"/>
    <s v="Regular"/>
    <n v="5076"/>
    <m/>
    <n v="5076"/>
    <n v="0"/>
    <n v="0"/>
    <n v="0"/>
    <n v="7.4999999999999997E-3"/>
    <n v="0"/>
    <s v="ถ้าว,ฝา สีขาว"/>
    <n v="0"/>
    <n v="0"/>
  </r>
  <r>
    <x v="933"/>
    <d v="2026-10-05T00:00:00"/>
    <x v="2"/>
    <e v="#N/A"/>
    <x v="8"/>
    <s v="DRY2600181"/>
    <s v="SG"/>
    <s v="CPFNW"/>
    <s v="CP FOODS SINGAPORE PTE. LTD"/>
    <s v="Wonton ND+V"/>
    <s v="Cooked Wonton"/>
    <s v="Cooked Wonton ND No Egg with Pumpkin _x000a_+ Vegetable  HC  3 pcs"/>
    <s v="082SJ3B24003P02001"/>
    <s v="219g*24"/>
    <n v="24"/>
    <n v="3"/>
    <n v="7.4999999999999997E-3"/>
    <x v="5"/>
    <s v="STPP"/>
    <s v="ซุปซอง 10g."/>
    <n v="200"/>
    <n v="183"/>
    <m/>
    <n v="-17"/>
    <n v="408"/>
    <n v="1224"/>
    <n v="1"/>
    <n v="408"/>
    <m/>
    <n v="9.1799999999999989E-3"/>
    <n v="1.6999999999999998E-2"/>
  </r>
  <r>
    <x v="933"/>
    <d v="2026-10-05T00:00:00"/>
    <x v="2"/>
    <e v="#N/A"/>
    <x v="8"/>
    <s v="DRY2600206"/>
    <s v="SG"/>
    <s v="CPFNW"/>
    <s v="CP FOODS SINGAPORE PTE. LTD"/>
    <s v="Wonton ND+V"/>
    <s v="Cooked Wonton"/>
    <s v="Cooked Wonton ND No Egg with Pumpkin _x000a_+ Vegetable  HC  3 pcs"/>
    <s v="082SJ3B24003P02001"/>
    <s v="219g*24"/>
    <n v="24"/>
    <n v="3"/>
    <n v="7.4999999999999997E-3"/>
    <x v="5"/>
    <s v="STPP"/>
    <s v="ซุปซอง 10g."/>
    <n v="250"/>
    <n v="250"/>
    <m/>
    <n v="0"/>
    <n v="0"/>
    <n v="0"/>
    <n v="1"/>
    <n v="0"/>
    <m/>
    <n v="0"/>
    <n v="0"/>
  </r>
  <r>
    <x v="934"/>
    <m/>
    <x v="2"/>
    <e v="#N/A"/>
    <x v="8"/>
    <m/>
    <m/>
    <m/>
    <m/>
    <m/>
    <m/>
    <m/>
    <m/>
    <m/>
    <m/>
    <m/>
    <m/>
    <x v="0"/>
    <m/>
    <m/>
    <m/>
    <m/>
    <m/>
    <m/>
    <m/>
    <n v="0"/>
    <m/>
    <m/>
    <m/>
    <m/>
    <m/>
  </r>
  <r>
    <x v="935"/>
    <m/>
    <x v="2"/>
    <e v="#N/A"/>
    <x v="8"/>
    <m/>
    <m/>
    <m/>
    <m/>
    <m/>
    <m/>
    <m/>
    <m/>
    <m/>
    <m/>
    <m/>
    <m/>
    <x v="0"/>
    <m/>
    <m/>
    <m/>
    <m/>
    <m/>
    <m/>
    <m/>
    <n v="0"/>
    <m/>
    <m/>
    <m/>
    <m/>
    <m/>
  </r>
  <r>
    <x v="936"/>
    <s v="10-2026"/>
    <x v="2"/>
    <e v="#N/A"/>
    <x v="8"/>
    <s v="ขายภายใน"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1500"/>
    <m/>
    <n v="80.666666666666671"/>
    <n v="-1419.3333333333333"/>
    <n v="25548"/>
    <n v="127740"/>
    <n v="1"/>
    <n v="25548"/>
    <s v="Add Potassium"/>
    <n v="1.0219200000000002"/>
    <n v="1.8924444444444446"/>
  </r>
  <r>
    <x v="936"/>
    <d v="2026-10-05T00:00:00"/>
    <x v="2"/>
    <e v="#N/A"/>
    <x v="8"/>
    <s v="LA016/2569"/>
    <s v="Laos"/>
    <s v="Laos"/>
    <s v="บริษัท ปิก้าเทรดดิ้ง จำกัด"/>
    <s v="E+Wonton"/>
    <s v="Cooked Wonton"/>
    <s v="เกี๊ยวกุ้งจักรพรรดิ 12x145g."/>
    <s v="082S8L212005P00001"/>
    <s v="145g*12"/>
    <n v="12"/>
    <n v="5"/>
    <n v="8.0000000000000002E-3"/>
    <x v="1"/>
    <s v="STPP"/>
    <s v="Regular"/>
    <n v="200"/>
    <m/>
    <m/>
    <n v="-200"/>
    <n v="2400"/>
    <n v="12000"/>
    <n v="7.4999999999999997E-3"/>
    <n v="18"/>
    <s v="Add Potassium"/>
    <n v="9.6000000000000002E-2"/>
    <n v="0.17777777777777776"/>
  </r>
  <r>
    <x v="936"/>
    <s v="10-2026"/>
    <x v="2"/>
    <e v="#N/A"/>
    <x v="8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0"/>
    <s v="145g*12"/>
    <n v="12"/>
    <n v="5"/>
    <n v="8.0000000000000002E-3"/>
    <x v="1"/>
    <s v="STPP"/>
    <s v="Regular"/>
    <n v="12"/>
    <m/>
    <m/>
    <n v="-12"/>
    <n v="144"/>
    <n v="720"/>
    <n v="7.4999999999999997E-3"/>
    <n v="1.08"/>
    <s v="Add Potassium"/>
    <n v="5.7599999999999995E-3"/>
    <n v="1.0666666666666665E-2"/>
  </r>
  <r>
    <x v="936"/>
    <s v="10-2026"/>
    <x v="2"/>
    <e v="#N/A"/>
    <x v="8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1"/>
    <s v="145g*12"/>
    <n v="12"/>
    <n v="5"/>
    <n v="8.0000000000000002E-3"/>
    <x v="1"/>
    <s v="STPP"/>
    <s v="Regular"/>
    <n v="2500"/>
    <m/>
    <m/>
    <n v="-2500"/>
    <n v="30000"/>
    <n v="150000"/>
    <n v="7.4999999999999997E-3"/>
    <n v="225"/>
    <s v="Add Potassium"/>
    <n v="1.2"/>
    <n v="2.2222222222222219"/>
  </r>
  <r>
    <x v="936"/>
    <s v="10-2026"/>
    <x v="2"/>
    <e v="#N/A"/>
    <x v="8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300"/>
    <m/>
    <m/>
    <n v="-300"/>
    <n v="3600"/>
    <n v="18000"/>
    <n v="7.4999999999999997E-3"/>
    <n v="27"/>
    <s v="Add Potassium"/>
    <n v="0.108"/>
    <n v="0.19999999999999998"/>
  </r>
  <r>
    <x v="936"/>
    <s v="09-2026"/>
    <x v="2"/>
    <e v="#N/A"/>
    <x v="8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200"/>
    <m/>
    <m/>
    <n v="-200"/>
    <n v="2400"/>
    <n v="7200"/>
    <n v="7.4999999999999997E-3"/>
    <n v="18"/>
    <s v="Add Potassium"/>
    <n v="4.3200000000000002E-2"/>
    <n v="0.08"/>
  </r>
  <r>
    <x v="936"/>
    <s v="10-2026"/>
    <x v="2"/>
    <e v="#N/A"/>
    <x v="8"/>
    <s v="ขายภายใน"/>
    <s v="MTFS"/>
    <s v="CPFGS"/>
    <s v="ซีพีเอฟ เทรดดิ้ง"/>
    <s v="E+Wonton NDE"/>
    <s v="Cooked Wonton"/>
    <s v="บะหมี่เกี๊ยวกุ้ง ตราซีพี 12X226 กรัม"/>
    <s v="082SJ3Q12003P07001"/>
    <s v="226g*12"/>
    <n v="12"/>
    <n v="3"/>
    <n v="8.0000000000000002E-3"/>
    <x v="1"/>
    <s v="STPP"/>
    <s v="Regular"/>
    <n v="500"/>
    <m/>
    <m/>
    <n v="-500"/>
    <n v="6000"/>
    <n v="18000"/>
    <n v="7.4999999999999997E-3"/>
    <n v="45"/>
    <s v="Add Potassium"/>
    <n v="0.14399999999999999"/>
    <n v="0.26666666666666661"/>
  </r>
  <r>
    <x v="936"/>
    <s v="10-2026"/>
    <x v="2"/>
    <e v="#N/A"/>
    <x v="8"/>
    <s v="ขายภายใน"/>
    <s v="MTFS"/>
    <s v="CPFGS"/>
    <s v="ซีพีเอฟ เทรดดิ้ง"/>
    <s v="E+Wonton NDE"/>
    <s v="Cooked Wonton"/>
    <s v="บะหมี่เกี๊ยวกุ้ง ตราซีพี 12X226 กรัม"/>
    <s v="082SJ3Q12003P07001"/>
    <s v="226g*12"/>
    <n v="12"/>
    <n v="3"/>
    <n v="8.0000000000000002E-3"/>
    <x v="1"/>
    <s v="STPP"/>
    <s v="Regular"/>
    <n v="500"/>
    <m/>
    <m/>
    <n v="-500"/>
    <n v="6000"/>
    <n v="18000"/>
    <n v="7.4999999999999997E-3"/>
    <n v="45"/>
    <s v="Add Potassium"/>
    <n v="0.14399999999999999"/>
    <n v="0.26666666666666661"/>
  </r>
  <r>
    <x v="936"/>
    <s v="10-2026"/>
    <x v="2"/>
    <e v="#N/A"/>
    <x v="8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x v="2"/>
    <s v="STPP"/>
    <s v="หมาล่า"/>
    <n v="1200"/>
    <m/>
    <n v="64"/>
    <n v="-1136"/>
    <n v="27264"/>
    <n v="81792"/>
    <n v="1.83E-2"/>
    <n v="498.93119999999999"/>
    <m/>
    <n v="0.50711039999999996"/>
    <n v="0.93909333333333322"/>
  </r>
  <r>
    <x v="937"/>
    <s v="10-2026"/>
    <x v="2"/>
    <e v="#N/A"/>
    <x v="8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4842"/>
    <m/>
    <m/>
    <n v="-4842"/>
    <n v="116208"/>
    <n v="581040"/>
    <n v="7.4999999999999997E-3"/>
    <n v="871.56"/>
    <m/>
    <n v="4.64832"/>
    <n v="8.6079999999999988"/>
  </r>
  <r>
    <x v="938"/>
    <s v="10-2026"/>
    <x v="2"/>
    <e v="#N/A"/>
    <x v="8"/>
    <s v="ขายภายใน"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4842"/>
    <m/>
    <m/>
    <n v="-4842"/>
    <n v="116208"/>
    <n v="581040"/>
    <n v="7.4999999999999997E-3"/>
    <n v="871.56"/>
    <m/>
    <n v="3.6024479999999999"/>
    <n v="6.6711999999999989"/>
  </r>
  <r>
    <x v="939"/>
    <s v="10-2026"/>
    <x v="2"/>
    <e v="#N/A"/>
    <x v="8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4842"/>
    <m/>
    <m/>
    <n v="-4842"/>
    <n v="116208"/>
    <n v="581040"/>
    <n v="7.4999999999999997E-3"/>
    <n v="871.56"/>
    <m/>
    <n v="4.64832"/>
    <n v="8.6079999999999988"/>
  </r>
  <r>
    <x v="940"/>
    <d v="2026-10-08T00:00:00"/>
    <x v="2"/>
    <e v="#N/A"/>
    <x v="8"/>
    <s v="DRY2600219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m/>
    <n v="35.305555555555557"/>
    <n v="-756.69444444444446"/>
    <n v="27241"/>
    <n v="136205"/>
    <n v="7.4999999999999997E-3"/>
    <n v="204.3075"/>
    <m/>
    <n v="1.0215375"/>
    <n v="1.8917361111111111"/>
  </r>
  <r>
    <x v="940"/>
    <d v="2026-10-08T00:00:00"/>
    <x v="2"/>
    <e v="#N/A"/>
    <x v="8"/>
    <s v="DRY2600220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m/>
    <m/>
    <n v="-792"/>
    <n v="28512"/>
    <n v="142560"/>
    <n v="7.4999999999999997E-3"/>
    <n v="213.84"/>
    <m/>
    <n v="1.0692000000000002"/>
    <n v="1.9800000000000002"/>
  </r>
  <r>
    <x v="940"/>
    <d v="2026-10-08T00:00:00"/>
    <x v="2"/>
    <e v="#N/A"/>
    <x v="8"/>
    <s v="DRY2600221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m/>
    <m/>
    <n v="-792"/>
    <n v="28512"/>
    <n v="142560"/>
    <n v="7.4999999999999997E-3"/>
    <n v="213.84"/>
    <m/>
    <n v="1.0692000000000002"/>
    <n v="1.9800000000000002"/>
  </r>
  <r>
    <x v="940"/>
    <d v="2026-10-15T00:00:00"/>
    <x v="2"/>
    <e v="#N/A"/>
    <x v="8"/>
    <s v="DRY2600234"/>
    <s v="AUS"/>
    <s v="CPFNW"/>
    <s v="CPF Australia Pty Ltd.(Woolworth)"/>
    <s v="Wonton ND+V"/>
    <s v="Cooked Wonton"/>
    <s v="Cooked Wonton ND No Egg with Pumpkin_x000a_+ Yu Choy "/>
    <s v="082SJ9U05004P00001"/>
    <s v="305g*5"/>
    <n v="5"/>
    <n v="4"/>
    <n v="7.4999999999999997E-3"/>
    <x v="5"/>
    <s v="Salt"/>
    <s v="Regular"/>
    <n v="5076"/>
    <m/>
    <n v="22.6"/>
    <n v="-5053.3999999999996"/>
    <n v="25267"/>
    <n v="101068"/>
    <n v="7.4999999999999997E-3"/>
    <n v="189.5025"/>
    <s v="ถ้าว,ฝา สีขาว"/>
    <n v="0.75800999999999996"/>
    <n v="1.4037222222222221"/>
  </r>
  <r>
    <x v="941"/>
    <m/>
    <x v="2"/>
    <e v="#N/A"/>
    <x v="8"/>
    <m/>
    <m/>
    <m/>
    <m/>
    <m/>
    <m/>
    <m/>
    <m/>
    <m/>
    <m/>
    <m/>
    <m/>
    <x v="0"/>
    <m/>
    <m/>
    <m/>
    <m/>
    <m/>
    <m/>
    <m/>
    <n v="0"/>
    <m/>
    <m/>
    <m/>
    <m/>
    <m/>
  </r>
  <r>
    <x v="942"/>
    <m/>
    <x v="2"/>
    <e v="#N/A"/>
    <x v="8"/>
    <m/>
    <m/>
    <m/>
    <m/>
    <m/>
    <m/>
    <m/>
    <m/>
    <m/>
    <m/>
    <m/>
    <m/>
    <x v="0"/>
    <m/>
    <m/>
    <m/>
    <m/>
    <m/>
    <m/>
    <m/>
    <n v="0"/>
    <m/>
    <m/>
    <m/>
    <m/>
    <m/>
  </r>
  <r>
    <x v="943"/>
    <d v="2026-09-29T00:00:00"/>
    <x v="2"/>
    <e v="#N/A"/>
    <x v="8"/>
    <s v="DRY2600175"/>
    <s v="UK"/>
    <s v="CPFNW"/>
    <s v="Westbridge Foods Limited (One UK)"/>
    <s v="Noodles+BC"/>
    <s v="Cooked Wonton"/>
    <s v="Crispy Chilli Oil Biang Biang Noodles+BC &quot;Kitchen Joy&quot;"/>
    <s v="082SLKW12310G00001"/>
    <s v="310g*12ถ้วย"/>
    <n v="12"/>
    <n v="3"/>
    <n v="0.01"/>
    <x v="7"/>
    <s v="-"/>
    <s v="Soy Sauce"/>
    <n v="2278"/>
    <m/>
    <m/>
    <n v="-2278"/>
    <n v="27336"/>
    <n v="82008"/>
    <m/>
    <n v="0"/>
    <s v="ถ้าว,ฝา สีขาว New Package 1,800/HR"/>
    <n v="0.82007999999999992"/>
    <n v="1.5186666666666664"/>
  </r>
  <r>
    <x v="944"/>
    <s v="09-2026"/>
    <x v="2"/>
    <e v="#N/A"/>
    <x v="8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s v="-"/>
    <n v="400"/>
    <m/>
    <m/>
    <n v="-400"/>
    <n v="4800"/>
    <n v="96000"/>
    <m/>
    <n v="0"/>
    <m/>
    <n v="0.59520000000000006"/>
    <n v="1.1022222222222222"/>
  </r>
  <r>
    <x v="944"/>
    <d v="2026-10-01T00:00:00"/>
    <x v="2"/>
    <e v="#N/A"/>
    <x v="8"/>
    <s v="DRY2600249"/>
    <s v="Malay"/>
    <s v="CPFNW"/>
    <s v="CPM Malaysia"/>
    <s v="R-Wonton egg past"/>
    <s v="Raw Wonton"/>
    <s v="Raw Wonton 8 pcs (Tomyam 30g.)"/>
    <s v="082I95I18008P00001"/>
    <s v="126g*18in"/>
    <n v="18"/>
    <n v="8"/>
    <n v="6.8100000000000001E-3"/>
    <x v="3"/>
    <s v="STPP"/>
    <s v="TYTB3C 30G"/>
    <n v="100"/>
    <m/>
    <m/>
    <n v="-100"/>
    <n v="1800"/>
    <n v="14400"/>
    <n v="1"/>
    <n v="1800"/>
    <s v="new package"/>
    <n v="9.8064000000000012E-2"/>
    <n v="0.18160000000000001"/>
  </r>
  <r>
    <x v="944"/>
    <d v="2026-10-14T00:00:00"/>
    <x v="2"/>
    <e v="#N/A"/>
    <x v="8"/>
    <s v="DRY2600253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30"/>
    <m/>
    <m/>
    <n v="-130"/>
    <n v="1300"/>
    <n v="65000"/>
    <n v="6"/>
    <n v="7800"/>
    <s v="ใช้คำว่า “Best if Used By” แทนคำว่า Best by Date"/>
    <n v="0.44265000000000004"/>
    <n v="0.81972222222222224"/>
  </r>
  <r>
    <x v="944"/>
    <d v="2026-10-26T00:00:00"/>
    <x v="2"/>
    <e v="#N/A"/>
    <x v="8"/>
    <s v="DRY2600254"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150"/>
    <m/>
    <m/>
    <n v="-150"/>
    <n v="1500"/>
    <n v="75000"/>
    <n v="6"/>
    <n v="9000"/>
    <s v="ใช้คำว่า “Best if Used By” แทนคำว่า Best by Date"/>
    <n v="0.51075000000000004"/>
    <n v="0.9458333333333333"/>
  </r>
  <r>
    <x v="944"/>
    <d v="2026-10-01T00:00:00"/>
    <x v="2"/>
    <e v="#N/A"/>
    <x v="8"/>
    <s v="DRY2600249"/>
    <s v="Malay"/>
    <s v="CPFNW"/>
    <s v="CPM Malaysia"/>
    <s v="R-Wonton egg past"/>
    <s v="Raw Wonton"/>
    <s v="Raw Wonton 12 pcs"/>
    <s v="082I95I20012P02001"/>
    <s v="154g*20inner"/>
    <n v="20"/>
    <n v="12"/>
    <n v="6.8100000000000001E-3"/>
    <x v="3"/>
    <s v="STPP"/>
    <s v="ซุปซอง 5g."/>
    <n v="300"/>
    <m/>
    <m/>
    <n v="-300"/>
    <n v="6000"/>
    <n v="72000"/>
    <n v="2"/>
    <n v="12000"/>
    <s v="new package"/>
    <n v="0.49031999999999998"/>
    <n v="0.90799999999999992"/>
  </r>
  <r>
    <x v="944"/>
    <d v="2026-10-14T00:00:00"/>
    <x v="2"/>
    <e v="#N/A"/>
    <x v="8"/>
    <s v="DRY2600195"/>
    <s v="Malay"/>
    <s v="CPFNW"/>
    <s v="CPM Malaysia"/>
    <s v="C-Minced WT in tray no egg"/>
    <s v="Cooked Wonton"/>
    <s v="VA GYOZA KC TRAY HOTPOT MYS CP 24x4 PCS"/>
    <s v="082SM5I24004P00001"/>
    <s v="98g*24tray"/>
    <n v="24"/>
    <n v="4"/>
    <n v="6.0000000000000001E-3"/>
    <x v="4"/>
    <s v="Salt"/>
    <s v=" HOTPOT 10g"/>
    <n v="1250"/>
    <m/>
    <m/>
    <n v="-1250"/>
    <n v="30000"/>
    <n v="120000"/>
    <n v="1"/>
    <n v="30000"/>
    <m/>
    <n v="0.72"/>
    <n v="1.3333333333333333"/>
  </r>
  <r>
    <x v="945"/>
    <d v="2026-10-12T00:00:00"/>
    <x v="2"/>
    <e v="#N/A"/>
    <x v="8"/>
    <s v="DRY2600233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1900"/>
    <m/>
    <m/>
    <n v="-1900"/>
    <n v="34200"/>
    <n v="273600"/>
    <n v="1"/>
    <n v="34200"/>
    <m/>
    <n v="1.8632160000000002"/>
    <n v="3.4504000000000001"/>
  </r>
  <r>
    <x v="945"/>
    <d v="2026-10-14T00:00:00"/>
    <x v="2"/>
    <e v="#N/A"/>
    <x v="8"/>
    <s v="DRY2600195"/>
    <s v="Malay"/>
    <s v="CPFNW"/>
    <s v="CPM Malaysia"/>
    <s v="C-Minced WT in tray no egg"/>
    <s v="Cooked Wonton"/>
    <s v="VA GYOZA KC TRAY HOTPOT MYS CP 24x4 PCS"/>
    <s v="082SM5I24004P00001"/>
    <s v="98g*24tray"/>
    <n v="24"/>
    <n v="4"/>
    <n v="6.0000000000000001E-3"/>
    <x v="4"/>
    <s v="Salt"/>
    <s v=" HOTPOT 10g"/>
    <n v="1250"/>
    <m/>
    <m/>
    <n v="-1250"/>
    <n v="30000"/>
    <n v="120000"/>
    <n v="1"/>
    <n v="30000"/>
    <m/>
    <n v="0.72"/>
    <n v="1.3333333333333333"/>
  </r>
  <r>
    <x v="946"/>
    <d v="2026-10-01T00:00:00"/>
    <x v="2"/>
    <e v="#N/A"/>
    <x v="8"/>
    <s v="DRY2600249"/>
    <s v="Malay"/>
    <s v="CPFNW"/>
    <s v="CPM Malaysia"/>
    <s v="Wonton+TY"/>
    <s v="Cooked Wonton"/>
    <s v="Cooked Wonton No Egg  Tomyum"/>
    <s v="082S85I24005P02001"/>
    <s v="115g*24"/>
    <n v="24"/>
    <n v="5"/>
    <n v="8.0000000000000002E-3"/>
    <x v="1"/>
    <s v="STPP"/>
    <s v="TYTB3C 30G"/>
    <n v="850"/>
    <m/>
    <n v="84.541666666666671"/>
    <n v="-765.45833333333337"/>
    <n v="18371"/>
    <n v="91855"/>
    <n v="1"/>
    <n v="18371"/>
    <s v="new package"/>
    <n v="0.73484000000000005"/>
    <n v="1.3608148148148149"/>
  </r>
  <r>
    <x v="946"/>
    <d v="2026-10-05T00:00:00"/>
    <x v="2"/>
    <e v="#N/A"/>
    <x v="8"/>
    <s v="DRY2600181"/>
    <s v="SG"/>
    <s v="CPFNW"/>
    <s v="CP FOODS SINGAPORE PTE. LTD"/>
    <s v="Wonton +TY"/>
    <s v="Cooked Wonton"/>
    <s v="Cooked Wonton No Egg"/>
    <s v="082S83B24005P06001"/>
    <s v="115g*24"/>
    <n v="24"/>
    <n v="5"/>
    <n v="8.0000000000000002E-3"/>
    <x v="1"/>
    <s v="STPP"/>
    <s v="TYTB3C 30G"/>
    <n v="200"/>
    <m/>
    <n v="6.375"/>
    <n v="-193.625"/>
    <n v="4647"/>
    <n v="23235"/>
    <n v="1"/>
    <n v="4647"/>
    <m/>
    <n v="0.18587999999999999"/>
    <n v="0.34422222222222221"/>
  </r>
  <r>
    <x v="946"/>
    <d v="2026-10-01T00:00:00"/>
    <x v="2"/>
    <e v="#N/A"/>
    <x v="8"/>
    <s v="DRY2600249"/>
    <s v="Malay"/>
    <s v="CPFNW"/>
    <s v="CPM Malaysia"/>
    <s v="Wonton"/>
    <s v="Cooked Wonton"/>
    <s v="Cooked Wonton No Egg  "/>
    <s v="082S85I24005P01001"/>
    <s v="145g*24"/>
    <n v="24"/>
    <n v="5"/>
    <n v="8.0000000000000002E-3"/>
    <x v="1"/>
    <s v="STPP"/>
    <s v="Regular"/>
    <n v="900"/>
    <m/>
    <n v="11.666666666666666"/>
    <n v="-888.33333333333337"/>
    <n v="21320"/>
    <n v="106600"/>
    <n v="7.4999999999999997E-3"/>
    <n v="159.9"/>
    <s v="new package"/>
    <n v="0.85280000000000011"/>
    <n v="1.5792592592592594"/>
  </r>
  <r>
    <x v="946"/>
    <d v="2026-10-05T00:00:00"/>
    <x v="2"/>
    <e v="#N/A"/>
    <x v="8"/>
    <s v="DRY2600181"/>
    <s v="SG"/>
    <s v="CPFNW"/>
    <s v="CP FOODS SINGAPORE PTE. LTD"/>
    <s v="Wonton"/>
    <s v="Cooked Wonton"/>
    <s v="Cooked Wonton No Egg"/>
    <s v="082S83B24005P07001"/>
    <s v="145g*24"/>
    <n v="24"/>
    <n v="5"/>
    <n v="8.0000000000000002E-3"/>
    <x v="1"/>
    <s v="STPP"/>
    <s v="Regular"/>
    <n v="200"/>
    <m/>
    <n v="1.5833333333333333"/>
    <n v="-198.41666666666666"/>
    <n v="4762"/>
    <n v="23810"/>
    <n v="1"/>
    <n v="4762"/>
    <m/>
    <n v="0.19047999999999998"/>
    <n v="0.35274074074074069"/>
  </r>
  <r>
    <x v="946"/>
    <d v="2026-10-01T00:00:00"/>
    <x v="2"/>
    <e v="#N/A"/>
    <x v="8"/>
    <s v="DRY2600238"/>
    <s v="New Zealand"/>
    <s v="CPFNW"/>
    <s v="Lim Brothers Import&amp;Export Co.,Ltd."/>
    <s v="Wonton ND+V"/>
    <s v="Cooked Wonton"/>
    <s v="Cooked Wonton ND No Egg with Pumpkin_x000a_+ Yu Choy "/>
    <s v="082SJN736005P00001"/>
    <s v="308g*6c*6in"/>
    <n v="36"/>
    <n v="5"/>
    <n v="7.4999999999999997E-3"/>
    <x v="5"/>
    <s v="Salt"/>
    <s v="Regular"/>
    <n v="792"/>
    <m/>
    <m/>
    <n v="-792"/>
    <n v="28512"/>
    <n v="142560"/>
    <n v="7.4999999999999997E-3"/>
    <n v="213.84"/>
    <m/>
    <n v="1.0692000000000002"/>
    <n v="1.9800000000000002"/>
  </r>
  <r>
    <x v="946"/>
    <d v="2026-10-12T00:00:00"/>
    <x v="2"/>
    <e v="#N/A"/>
    <x v="8"/>
    <s v="DRY2600237"/>
    <s v="Denmark"/>
    <s v="CPFNW"/>
    <s v="CPF DENMARK"/>
    <s v="Minced ND+V+TK"/>
    <s v="Cooked Wonton"/>
    <s v="Cooked Minced Wonton 3 pcs Noodle (Pumpkin)_x000a_with &quot;Tomka&quot;+Yu Choy"/>
    <s v="082SRKW12003P01001"/>
    <s v="240g*12ถ้วย"/>
    <n v="12"/>
    <n v="3"/>
    <n v="6.1999999999999998E-3"/>
    <x v="4"/>
    <s v="Salt"/>
    <s v="Tomkha+CM"/>
    <n v="2660"/>
    <m/>
    <n v="24"/>
    <n v="-2636"/>
    <n v="31632"/>
    <n v="94896"/>
    <n v="5.8823E-2"/>
    <n v="1860.689136"/>
    <s v="ถ้าว,ฝา สีขาว New Package"/>
    <n v="0.58835519999999997"/>
    <n v="1.0895466666666664"/>
  </r>
  <r>
    <x v="947"/>
    <d v="2026-10-15T00:00:00"/>
    <x v="2"/>
    <e v="#N/A"/>
    <x v="8"/>
    <s v="DRY2600222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m/>
    <m/>
    <n v="-792"/>
    <n v="28512"/>
    <n v="142560"/>
    <n v="7.4999999999999997E-3"/>
    <n v="213.84"/>
    <m/>
    <n v="1.0692000000000002"/>
    <n v="1.9800000000000002"/>
  </r>
  <r>
    <x v="947"/>
    <d v="2026-10-22T00:00:00"/>
    <x v="2"/>
    <e v="#N/A"/>
    <x v="8"/>
    <s v="DRY2600241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m/>
    <m/>
    <n v="-792"/>
    <n v="28512"/>
    <n v="142560"/>
    <n v="7.4999999999999997E-3"/>
    <n v="213.84"/>
    <m/>
    <n v="1.0692000000000002"/>
    <n v="1.9800000000000002"/>
  </r>
  <r>
    <x v="947"/>
    <d v="2026-10-22T00:00:00"/>
    <x v="2"/>
    <e v="#N/A"/>
    <x v="8"/>
    <s v="DRY2600242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m/>
    <m/>
    <n v="-792"/>
    <n v="28512"/>
    <n v="142560"/>
    <n v="7.4999999999999997E-3"/>
    <n v="213.84"/>
    <m/>
    <n v="1.0692000000000002"/>
    <n v="1.9800000000000002"/>
  </r>
  <r>
    <x v="947"/>
    <d v="2026-10-05T00:00:00"/>
    <x v="2"/>
    <e v="#N/A"/>
    <x v="8"/>
    <s v="DRY2600236"/>
    <s v="Denmark"/>
    <s v="CPFNW"/>
    <s v="CPF DENMARK"/>
    <s v="Minced ND+V+TY"/>
    <s v="Cooked Wonton"/>
    <s v="Cooked Minced Wonton 3 pcs Noodle (Pumpkin)_x000a_with &quot;Tomyum&quot;+Yu Choy"/>
    <s v="082SRKW12003P00001"/>
    <s v="240g*12ถ้วย"/>
    <n v="12"/>
    <n v="3"/>
    <n v="6.1999999999999998E-3"/>
    <x v="4"/>
    <s v="Salt"/>
    <s v="TYANSSG+CM"/>
    <n v="2660"/>
    <m/>
    <n v="131.5"/>
    <n v="-2528.5"/>
    <n v="30342"/>
    <n v="91026"/>
    <n v="3.85E-2"/>
    <n v="1168.1669999999999"/>
    <s v="ถ้าว,ฝา สีขาว New Package"/>
    <n v="0.5643611999999999"/>
    <n v="1.0451133333333331"/>
  </r>
  <r>
    <x v="948"/>
    <m/>
    <x v="2"/>
    <e v="#N/A"/>
    <x v="8"/>
    <m/>
    <m/>
    <m/>
    <m/>
    <m/>
    <m/>
    <m/>
    <m/>
    <m/>
    <m/>
    <m/>
    <m/>
    <x v="0"/>
    <m/>
    <m/>
    <m/>
    <m/>
    <m/>
    <m/>
    <m/>
    <n v="0"/>
    <m/>
    <m/>
    <m/>
    <m/>
    <m/>
  </r>
  <r>
    <x v="949"/>
    <m/>
    <x v="2"/>
    <e v="#N/A"/>
    <x v="8"/>
    <m/>
    <m/>
    <m/>
    <m/>
    <m/>
    <m/>
    <m/>
    <m/>
    <m/>
    <m/>
    <m/>
    <m/>
    <x v="0"/>
    <m/>
    <m/>
    <m/>
    <m/>
    <m/>
    <m/>
    <m/>
    <n v="0"/>
    <m/>
    <m/>
    <m/>
    <m/>
    <m/>
  </r>
  <r>
    <x v="950"/>
    <d v="2026-10-17T00:00:00"/>
    <x v="2"/>
    <e v="#N/A"/>
    <x v="8"/>
    <s v="DRY2600210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85"/>
    <m/>
    <n v="14"/>
    <n v="-671"/>
    <n v="6710"/>
    <n v="335500"/>
    <n v="6"/>
    <n v="40260"/>
    <m/>
    <n v="2.2847550000000001"/>
    <n v="4.2310277777777774"/>
  </r>
  <r>
    <x v="950"/>
    <d v="2026-10-20T00:00:00"/>
    <x v="2"/>
    <e v="#N/A"/>
    <x v="8"/>
    <s v="DRY2600020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m/>
    <n v="47.888888888888886"/>
    <n v="-1240.1111111111111"/>
    <n v="44644"/>
    <n v="223220"/>
    <n v="7.4999999999999997E-3"/>
    <n v="334.83"/>
    <s v="ถ้าว,ฝา สีขาว/Halal/ New Design"/>
    <n v="1.6741499999999998"/>
    <n v="3.100277777777777"/>
  </r>
  <r>
    <x v="950"/>
    <d v="2026-10-28T00:00:00"/>
    <x v="2"/>
    <e v="#N/A"/>
    <x v="8"/>
    <s v="DRY2600218"/>
    <s v="SG"/>
    <s v="CPFNW"/>
    <s v="CP FOODS SINGAPORE PTE. LTD"/>
    <s v="Minced ND+หมาล่า"/>
    <s v="Cooked Wonton"/>
    <s v="Cooked Minced  ND No Egg หมาล่า"/>
    <s v="082SR3B24003P00001"/>
    <s v="300g*24"/>
    <n v="24"/>
    <n v="3"/>
    <n v="6.0000000000000001E-3"/>
    <x v="4"/>
    <s v="Salt"/>
    <s v="หมาล่า"/>
    <n v="210"/>
    <m/>
    <m/>
    <n v="-210"/>
    <n v="5040"/>
    <n v="15120"/>
    <n v="2.4E-2"/>
    <n v="120.96000000000001"/>
    <m/>
    <n v="9.0720000000000009E-2"/>
    <n v="0.16800000000000001"/>
  </r>
  <r>
    <x v="950"/>
    <s v="10-2026"/>
    <x v="2"/>
    <e v="#N/A"/>
    <x v="8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x v="2"/>
    <s v="STPP"/>
    <s v="หมาล่า"/>
    <n v="1200"/>
    <m/>
    <m/>
    <n v="-1200"/>
    <n v="28800"/>
    <n v="86400"/>
    <n v="1.83E-2"/>
    <n v="527.04"/>
    <m/>
    <n v="0.53567999999999993"/>
    <n v="0.99199999999999977"/>
  </r>
  <r>
    <x v="951"/>
    <d v="2026-10-17T00:00:00"/>
    <x v="2"/>
    <e v="#N/A"/>
    <x v="8"/>
    <s v="DRY2600210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85"/>
    <m/>
    <m/>
    <n v="-685"/>
    <n v="6850"/>
    <n v="342500"/>
    <n v="6"/>
    <n v="41100"/>
    <m/>
    <n v="2.3324250000000002"/>
    <n v="4.3193055555555553"/>
  </r>
  <r>
    <x v="951"/>
    <s v="10-2026"/>
    <x v="2"/>
    <e v="#N/A"/>
    <x v="8"/>
    <s v="ขายภายใน"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2767"/>
    <m/>
    <m/>
    <n v="-2767"/>
    <n v="66408"/>
    <n v="332040"/>
    <n v="7.4999999999999997E-3"/>
    <n v="498.06"/>
    <m/>
    <n v="2.0586480000000003"/>
    <n v="3.8123111111111112"/>
  </r>
  <r>
    <x v="952"/>
    <d v="2026-10-17T00:00:00"/>
    <x v="2"/>
    <e v="#N/A"/>
    <x v="8"/>
    <s v="DRY2600210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86"/>
    <m/>
    <m/>
    <n v="-686"/>
    <n v="6860"/>
    <n v="343000"/>
    <n v="6"/>
    <n v="41160"/>
    <m/>
    <n v="2.3358300000000005"/>
    <n v="4.3256111111111117"/>
  </r>
  <r>
    <x v="952"/>
    <s v="10-2026"/>
    <x v="2"/>
    <e v="#N/A"/>
    <x v="8"/>
    <s v="ขายภายใน"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2767"/>
    <m/>
    <m/>
    <n v="-2767"/>
    <n v="66408"/>
    <n v="332040"/>
    <n v="7.4999999999999997E-3"/>
    <n v="498.06"/>
    <m/>
    <n v="2.0586480000000003"/>
    <n v="3.8123111111111112"/>
  </r>
  <r>
    <x v="953"/>
    <d v="2026-10-15T00:00:00"/>
    <x v="2"/>
    <e v="#N/A"/>
    <x v="8"/>
    <s v="DRY2600200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81"/>
    <m/>
    <m/>
    <n v="-781"/>
    <n v="28116"/>
    <n v="140580"/>
    <n v="9.7000000000000003E-3"/>
    <n v="272.72520000000003"/>
    <s v="สั่งซุป &amp; ingredient"/>
    <n v="1.0543499999999999"/>
    <n v="1.9524999999999997"/>
  </r>
  <r>
    <x v="953"/>
    <d v="2026-10-22T00:00:00"/>
    <x v="2"/>
    <e v="#N/A"/>
    <x v="8"/>
    <s v="DRY2600226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s v="สั่งซุป &amp; ingredient"/>
    <n v="1.0692000000000002"/>
    <n v="1.9800000000000002"/>
  </r>
  <r>
    <x v="953"/>
    <d v="2026-10-29T00:00:00"/>
    <x v="2"/>
    <e v="#N/A"/>
    <x v="8"/>
    <s v="DRY2600227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s v="สั่งซุป &amp; ingredient"/>
    <n v="1.0692000000000002"/>
    <n v="1.9800000000000002"/>
  </r>
  <r>
    <x v="953"/>
    <d v="2026-11-04T00:00:00"/>
    <x v="2"/>
    <e v="#N/A"/>
    <x v="8"/>
    <s v="DRY2600247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s v="สั่ง Package แล้ว"/>
    <n v="1.0692000000000002"/>
    <n v="1.9800000000000002"/>
  </r>
  <r>
    <x v="954"/>
    <d v="2026-10-20T00:00:00"/>
    <x v="2"/>
    <e v="#N/A"/>
    <x v="8"/>
    <s v="DRY2600217"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n v="155"/>
    <n v="-2445"/>
    <n v="29340"/>
    <n v="146700"/>
    <n v="7.4999999999999997E-3"/>
    <n v="220.04999999999998"/>
    <m/>
    <n v="0.88019999999999998"/>
    <n v="1.63"/>
  </r>
  <r>
    <x v="954"/>
    <d v="2026-10-22T00:00:00"/>
    <x v="2"/>
    <e v="#N/A"/>
    <x v="8"/>
    <s v="DRY2600255"/>
    <s v="AUS"/>
    <s v="CPFNW"/>
    <s v="CPF Australia Pty Ltd."/>
    <s v="Wonton ND+V"/>
    <s v="Cooked Wonton"/>
    <s v="Cooked Wonton ND No Egg with Pumpkin_x000a_+ Yu Choy "/>
    <s v="082SJ9U08004P00001"/>
    <s v="305g*8"/>
    <n v="8"/>
    <n v="4"/>
    <n v="7.4999999999999997E-3"/>
    <x v="5"/>
    <s v="Salt"/>
    <s v="Regular"/>
    <n v="1456"/>
    <m/>
    <m/>
    <n v="-1456"/>
    <n v="11648"/>
    <n v="46592"/>
    <n v="7.4999999999999997E-3"/>
    <n v="87.36"/>
    <m/>
    <n v="0.34943999999999997"/>
    <n v="0.64711111111111097"/>
  </r>
  <r>
    <x v="954"/>
    <d v="2026-10-29T00:00:00"/>
    <x v="2"/>
    <e v="#N/A"/>
    <x v="8"/>
    <s v="DRY2600245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m/>
    <m/>
    <n v="-792"/>
    <n v="28512"/>
    <n v="142560"/>
    <n v="7.4999999999999997E-3"/>
    <n v="213.84"/>
    <m/>
    <n v="1.0692000000000002"/>
    <n v="1.9800000000000002"/>
  </r>
  <r>
    <x v="954"/>
    <d v="2026-10-28T00:00:00"/>
    <x v="2"/>
    <e v="#N/A"/>
    <x v="8"/>
    <s v="DRY2600218"/>
    <s v="SG"/>
    <s v="CPFNW"/>
    <s v="CP FOODS SINGAPORE PTE. LTD"/>
    <s v="Wonton ND+V"/>
    <s v="Cooked Wonton"/>
    <s v="Cooked Wonton ND No Egg with Pumpkin _x000a_+ Vegetable  HC  3 pcs"/>
    <s v="082SJ3B24003P02001"/>
    <s v="219g*24"/>
    <n v="24"/>
    <n v="3"/>
    <n v="7.4999999999999997E-3"/>
    <x v="5"/>
    <s v="STPP"/>
    <s v="ซุปซอง 10g."/>
    <n v="200"/>
    <m/>
    <n v="8.0833333333333339"/>
    <n v="-191.91666666666666"/>
    <n v="4606"/>
    <n v="13818"/>
    <n v="1"/>
    <n v="4606"/>
    <m/>
    <n v="0.10363499999999999"/>
    <n v="0.19191666666666662"/>
  </r>
  <r>
    <x v="954"/>
    <d v="2026-10-22T00:00:00"/>
    <x v="2"/>
    <e v="#N/A"/>
    <x v="8"/>
    <s v="DRY2600244"/>
    <s v="AUS"/>
    <s v="CPFNW"/>
    <s v="CPF Australia Pty Ltd."/>
    <s v="Minced ND+V+TK"/>
    <s v="Cooked Wonton"/>
    <s v="Cooked Minced Wonton ND No Egg with Pumpkin _x000a_+ Vegetable 5 pcs Tomka"/>
    <s v="082SR9U24003P00001"/>
    <s v="302g*4c*6in"/>
    <n v="24"/>
    <n v="3"/>
    <n v="6.0000000000000001E-3"/>
    <x v="4"/>
    <s v="Salt"/>
    <s v="Tomkha+CM"/>
    <n v="700"/>
    <m/>
    <m/>
    <n v="-700"/>
    <n v="16800"/>
    <n v="50400"/>
    <n v="3.8699999999999998E-2"/>
    <n v="650.16"/>
    <s v="ถ้าว,ฝา สีขาว"/>
    <n v="0.30240000000000006"/>
    <n v="0.56000000000000005"/>
  </r>
  <r>
    <x v="954"/>
    <d v="2026-10-15T00:00:00"/>
    <x v="2"/>
    <e v="#N/A"/>
    <x v="8"/>
    <s v="DRY2600118"/>
    <s v="AUS"/>
    <s v="CPFNW"/>
    <s v="CPF Australia Pty Ltd.(Woolworth)"/>
    <s v="Minced ND+V+TK"/>
    <s v="Cooked Wonton"/>
    <s v="Cooked Minced  ND No Egg with Pumpkin_x000a_+ Yu Choy Tomkha"/>
    <s v="082SR9U05003P01001"/>
    <s v="302g*5"/>
    <n v="5"/>
    <n v="3"/>
    <n v="6.0000000000000001E-3"/>
    <x v="4"/>
    <s v="Salt"/>
    <s v="Tomkha+CM"/>
    <n v="5076"/>
    <m/>
    <n v="24.8"/>
    <n v="-5051.2"/>
    <n v="25256"/>
    <n v="75768"/>
    <n v="5.8823E-2"/>
    <n v="1485.6336880000001"/>
    <s v="ถ้าว,ฝา สีขาว"/>
    <n v="0.45460800000000007"/>
    <n v="0.84186666666666676"/>
  </r>
  <r>
    <x v="955"/>
    <m/>
    <x v="2"/>
    <e v="#N/A"/>
    <x v="8"/>
    <m/>
    <m/>
    <m/>
    <m/>
    <m/>
    <m/>
    <m/>
    <m/>
    <m/>
    <m/>
    <m/>
    <m/>
    <x v="0"/>
    <m/>
    <m/>
    <m/>
    <m/>
    <m/>
    <m/>
    <m/>
    <n v="0"/>
    <m/>
    <m/>
    <m/>
    <m/>
    <m/>
  </r>
  <r>
    <x v="956"/>
    <m/>
    <x v="2"/>
    <e v="#N/A"/>
    <x v="8"/>
    <m/>
    <m/>
    <m/>
    <m/>
    <m/>
    <m/>
    <m/>
    <m/>
    <m/>
    <m/>
    <m/>
    <m/>
    <x v="0"/>
    <m/>
    <m/>
    <m/>
    <m/>
    <m/>
    <m/>
    <m/>
    <n v="0"/>
    <m/>
    <m/>
    <m/>
    <m/>
    <m/>
  </r>
  <r>
    <x v="957"/>
    <d v="2026-10-05T00:00:00"/>
    <x v="2"/>
    <e v="#N/A"/>
    <x v="8"/>
    <s v="DRY2600259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603"/>
    <m/>
    <n v="19"/>
    <n v="-584"/>
    <n v="23360"/>
    <n v="280320"/>
    <n v="2"/>
    <n v="46720"/>
    <m/>
    <n v="2.2790016"/>
    <n v="4.2203733333333329"/>
  </r>
  <r>
    <x v="957"/>
    <d v="2026-10-26T00:00:00"/>
    <x v="2"/>
    <e v="#N/A"/>
    <x v="8"/>
    <s v="DRY2600147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m/>
    <m/>
    <n v="-1288"/>
    <n v="46368"/>
    <n v="231840"/>
    <n v="7.4999999999999997E-3"/>
    <n v="347.76"/>
    <s v="ถ้าว,ฝา สีขาว/Halal/ New Design"/>
    <n v="1.7387999999999999"/>
    <n v="3.2199999999999998"/>
  </r>
  <r>
    <x v="957"/>
    <d v="2026-10-14T00:00:00"/>
    <x v="2"/>
    <e v="#N/A"/>
    <x v="8"/>
    <s v="DRY2600253"/>
    <s v="USA"/>
    <s v="CPFNW"/>
    <s v="Bellisio Foods, Inc."/>
    <s v="Minced WT"/>
    <s v="Cooked Wonton"/>
    <s v="Cooked Minced Wonton Soup No Egg"/>
    <s v="082SKBW36005P00001"/>
    <s v="145g*6c*6"/>
    <n v="36"/>
    <n v="5"/>
    <n v="6.0000000000000001E-3"/>
    <x v="4"/>
    <s v="Salt"/>
    <s v="Regular"/>
    <n v="600"/>
    <m/>
    <m/>
    <n v="-600"/>
    <n v="21600"/>
    <n v="108000"/>
    <n v="7.4999999999999997E-3"/>
    <n v="162"/>
    <s v="ใช้คำว่า “Best if Used By” แทนคำว่า Best by Date"/>
    <n v="0.64800000000000002"/>
    <n v="1.2"/>
  </r>
  <r>
    <x v="958"/>
    <d v="2026-10-05T00:00:00"/>
    <x v="2"/>
    <e v="#N/A"/>
    <x v="9"/>
    <s v="DRY2600259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584"/>
    <m/>
    <m/>
    <n v="-584"/>
    <n v="23360"/>
    <n v="280320"/>
    <n v="2"/>
    <n v="46720"/>
    <m/>
    <n v="2.2790016"/>
    <n v="4.2203733333333329"/>
  </r>
  <r>
    <x v="958"/>
    <d v="2026-11-03T00:00:00"/>
    <x v="2"/>
    <e v="#N/A"/>
    <x v="9"/>
    <s v="DRY2600148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m/>
    <m/>
    <n v="-1288"/>
    <n v="46368"/>
    <n v="231840"/>
    <n v="7.4999999999999997E-3"/>
    <n v="347.76"/>
    <s v="New Design"/>
    <n v="1.7387999999999999"/>
    <n v="3.2199999999999998"/>
  </r>
  <r>
    <x v="958"/>
    <d v="2026-10-06T00:00:00"/>
    <x v="2"/>
    <e v="#N/A"/>
    <x v="9"/>
    <s v="DRY2600252"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750"/>
    <m/>
    <m/>
    <n v="-750"/>
    <n v="6000"/>
    <n v="30000"/>
    <n v="7.4999999999999997E-3"/>
    <n v="45"/>
    <s v="ใช้คำว่า “Best if Used By” แทนคำว่า Best by Date"/>
    <n v="0.18"/>
    <n v="0.33333333333333331"/>
  </r>
  <r>
    <x v="958"/>
    <d v="2026-10-28T00:00:00"/>
    <x v="2"/>
    <e v="#N/A"/>
    <x v="9"/>
    <s v="DRY2600218"/>
    <s v="SG"/>
    <s v="CPFNW"/>
    <s v="CP FOODS SINGAPORE PTE. LTD"/>
    <s v="Wonton"/>
    <s v="Cooked Wonton"/>
    <s v="Cooked Wonton No Egg"/>
    <s v="082S83B24005P07001"/>
    <s v="145g*24"/>
    <n v="24"/>
    <n v="5"/>
    <n v="8.0000000000000002E-3"/>
    <x v="1"/>
    <s v="STPP"/>
    <s v="Regular"/>
    <n v="250"/>
    <m/>
    <m/>
    <n v="-250"/>
    <n v="6000"/>
    <n v="30000"/>
    <n v="1"/>
    <n v="6000"/>
    <m/>
    <n v="0.24"/>
    <n v="0.44444444444444442"/>
  </r>
  <r>
    <x v="958"/>
    <d v="2026-10-28T00:00:00"/>
    <x v="2"/>
    <e v="#N/A"/>
    <x v="9"/>
    <s v="DRY2600218"/>
    <s v="SG"/>
    <s v="CPFNW"/>
    <s v="CP FOODS SINGAPORE PTE. LTD"/>
    <s v="Wonton +TY"/>
    <s v="Cooked Wonton"/>
    <s v="Cooked Wonton No Egg"/>
    <s v="082S83B24005P06001"/>
    <s v="115g*24"/>
    <n v="24"/>
    <n v="5"/>
    <n v="8.0000000000000002E-3"/>
    <x v="1"/>
    <s v="STPP"/>
    <s v="TYTB3C 30G"/>
    <n v="200"/>
    <m/>
    <m/>
    <n v="-200"/>
    <n v="4800"/>
    <n v="24000"/>
    <n v="1"/>
    <n v="4800"/>
    <m/>
    <n v="0.192"/>
    <n v="0.35555555555555551"/>
  </r>
  <r>
    <x v="959"/>
    <d v="2026-10-05T00:00:00"/>
    <x v="2"/>
    <e v="#N/A"/>
    <x v="9"/>
    <s v="DRY2600259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437"/>
    <m/>
    <m/>
    <n v="-437"/>
    <n v="17480"/>
    <n v="209760"/>
    <n v="2"/>
    <n v="34960"/>
    <m/>
    <n v="1.7053488000000001"/>
    <n v="3.1580533333333332"/>
  </r>
  <r>
    <x v="959"/>
    <s v="10-2026"/>
    <x v="2"/>
    <e v="#N/A"/>
    <x v="9"/>
    <s v="ขายภายใน"/>
    <s v="MTFS"/>
    <s v="CPFGS"/>
    <s v="ซีพีเอฟ เทรดดิ้ง"/>
    <s v="R-Wonton no egg"/>
    <s v="Raw Wonton"/>
    <s v="Raw Wonton 20 pcs"/>
    <s v="082I93Q12020P01001"/>
    <s v="220g*12in"/>
    <n v="12"/>
    <n v="20"/>
    <n v="6.1999999999999998E-3"/>
    <x v="2"/>
    <s v="STPP"/>
    <s v="-"/>
    <n v="400"/>
    <m/>
    <m/>
    <n v="-400"/>
    <n v="4800"/>
    <n v="96000"/>
    <m/>
    <n v="0"/>
    <m/>
    <n v="0.59520000000000006"/>
    <n v="1.1022222222222222"/>
  </r>
  <r>
    <x v="959"/>
    <d v="2026-11-10T00:00:00"/>
    <x v="2"/>
    <e v="#N/A"/>
    <x v="9"/>
    <s v="DRY2600149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m/>
    <m/>
    <n v="-1288"/>
    <n v="46368"/>
    <n v="231840"/>
    <n v="7.4999999999999997E-3"/>
    <n v="347.76"/>
    <s v="New Design"/>
    <n v="1.7387999999999999"/>
    <n v="3.2199999999999998"/>
  </r>
  <r>
    <x v="959"/>
    <d v="2026-10-06T00:00:00"/>
    <x v="2"/>
    <e v="#N/A"/>
    <x v="9"/>
    <s v="DRY2600252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900"/>
    <m/>
    <m/>
    <n v="-900"/>
    <n v="21600"/>
    <n v="108000"/>
    <n v="7.4999999999999997E-3"/>
    <n v="162"/>
    <s v="ใช้คำว่า “Best if Used By” แทนคำว่า Best by Date"/>
    <n v="0.64800000000000002"/>
    <n v="1.2"/>
  </r>
  <r>
    <x v="960"/>
    <s v="10-2026"/>
    <x v="2"/>
    <e v="#N/A"/>
    <x v="9"/>
    <s v="ขายภายใน"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1614"/>
    <m/>
    <m/>
    <n v="-1614"/>
    <n v="38736"/>
    <n v="193680"/>
    <n v="7.4999999999999997E-3"/>
    <n v="290.52"/>
    <m/>
    <n v="1.2008160000000001"/>
    <n v="2.2237333333333336"/>
  </r>
  <r>
    <x v="960"/>
    <s v="10-2026"/>
    <x v="2"/>
    <e v="#N/A"/>
    <x v="9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2680"/>
    <m/>
    <m/>
    <n v="-2680"/>
    <n v="64320"/>
    <n v="321600"/>
    <n v="7.4999999999999997E-3"/>
    <n v="482.4"/>
    <m/>
    <n v="2.5728"/>
    <n v="4.764444444444444"/>
  </r>
  <r>
    <x v="960"/>
    <s v="10-2026"/>
    <x v="2"/>
    <e v="#N/A"/>
    <x v="9"/>
    <s v="ขายภายใน"/>
    <s v="MTFS"/>
    <s v="CPFGS"/>
    <s v="ซีพีเอฟ เทรดดิ้ง"/>
    <s v="E+Wonton TY"/>
    <s v="Cooked Wonton"/>
    <s v="เกี๊ยวกุ้งจักรพรรดิซุปต้มยำ LV CP 143g"/>
    <s v="082S83Q12005P09001"/>
    <s v="143g*12"/>
    <n v="12"/>
    <n v="5"/>
    <n v="8.0000000000000002E-3"/>
    <x v="2"/>
    <s v="STPP"/>
    <s v="TYNSF"/>
    <n v="560"/>
    <m/>
    <m/>
    <n v="-560"/>
    <n v="6720"/>
    <n v="33600"/>
    <n v="8.9999999999999993E-3"/>
    <n v="60.48"/>
    <m/>
    <n v="0.26880000000000004"/>
    <n v="0.49777777777777782"/>
  </r>
  <r>
    <x v="961"/>
    <d v="2026-10-26T00:00:00"/>
    <x v="2"/>
    <e v="#N/A"/>
    <x v="9"/>
    <s v="DRY2600254"/>
    <s v="USA"/>
    <s v="CPFNW"/>
    <s v="Bellisio Foods, Inc."/>
    <s v="Minced WT"/>
    <s v="Cooked Wonton"/>
    <s v="Cooked Minced Wonton Soup No Egg"/>
    <s v="082SKBW36005P00001"/>
    <s v="145g*6c*6"/>
    <n v="36"/>
    <n v="5"/>
    <n v="6.0000000000000001E-3"/>
    <x v="4"/>
    <s v="Salt"/>
    <s v="Regular"/>
    <n v="700"/>
    <m/>
    <m/>
    <n v="-700"/>
    <n v="25200"/>
    <n v="126000"/>
    <n v="7.4999999999999997E-3"/>
    <n v="189"/>
    <s v="ใช้คำว่า “Best if Used By” แทนคำว่า Best by Date"/>
    <n v="0.75600000000000001"/>
    <n v="1.4"/>
  </r>
  <r>
    <x v="961"/>
    <d v="2026-10-14T00:00:00"/>
    <x v="2"/>
    <e v="#N/A"/>
    <x v="9"/>
    <s v="DRY2600253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520"/>
    <m/>
    <m/>
    <n v="-520"/>
    <n v="12480"/>
    <n v="62400"/>
    <n v="7.4999999999999997E-3"/>
    <n v="93.6"/>
    <s v="ใช้คำว่า “Best if Used By” แทนคำว่า Best by Date"/>
    <n v="0.37439999999999996"/>
    <n v="0.69333333333333325"/>
  </r>
  <r>
    <x v="961"/>
    <d v="2026-10-26T00:00:00"/>
    <x v="2"/>
    <e v="#N/A"/>
    <x v="9"/>
    <s v="DRY2600254"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400"/>
    <m/>
    <m/>
    <n v="-400"/>
    <n v="9600"/>
    <n v="48000"/>
    <n v="7.4999999999999997E-3"/>
    <n v="72"/>
    <s v="ใช้คำว่า “Best if Used By” แทนคำว่า Best by Date"/>
    <n v="0.28799999999999998"/>
    <n v="0.53333333333333321"/>
  </r>
  <r>
    <x v="961"/>
    <d v="2026-11-05T00:00:00"/>
    <x v="2"/>
    <e v="#N/A"/>
    <x v="9"/>
    <s v="DRY2600246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m/>
    <m/>
    <n v="-792"/>
    <n v="28512"/>
    <n v="142560"/>
    <n v="7.4999999999999997E-3"/>
    <n v="213.84"/>
    <m/>
    <n v="1.0692000000000002"/>
    <n v="1.9800000000000002"/>
  </r>
  <r>
    <x v="961"/>
    <d v="2026-11-05T00:00:00"/>
    <x v="2"/>
    <e v="#N/A"/>
    <x v="9"/>
    <s v="DRY2600235"/>
    <s v="AUS"/>
    <s v="CPFNW"/>
    <s v="CPF Australia Pty Ltd.(Woolworth)"/>
    <s v="Wonton ND+V"/>
    <s v="Cooked Wonton"/>
    <s v="Cooked Wonton ND No Egg with Pumpkin_x000a_+ Yu Choy "/>
    <s v="082SJ9U05004P00001"/>
    <s v="305g*5"/>
    <n v="5"/>
    <n v="4"/>
    <n v="7.4999999999999997E-3"/>
    <x v="5"/>
    <s v="Salt"/>
    <s v="Regular"/>
    <n v="5076"/>
    <m/>
    <m/>
    <n v="-5076"/>
    <n v="25380"/>
    <n v="101520"/>
    <n v="7.4999999999999997E-3"/>
    <n v="190.35"/>
    <s v="ถ้าว,ฝา สีขาว"/>
    <n v="0.76139999999999997"/>
    <n v="1.41"/>
  </r>
  <r>
    <x v="961"/>
    <d v="2026-11-12T00:00:00"/>
    <x v="2"/>
    <e v="#N/A"/>
    <x v="9"/>
    <s v="DRY2600243"/>
    <s v="AUS"/>
    <s v="CPFNW"/>
    <s v="CPF Australia Pty Ltd."/>
    <s v="Minced ND+V+TK"/>
    <s v="Cooked Wonton"/>
    <s v="Cooked Minced Wonton ND No Egg with Pumpkin _x000a_+ Vegetable 5 pcs Tomka"/>
    <s v="082SR9U24003P00001"/>
    <s v="302g*4c*6in"/>
    <n v="24"/>
    <n v="3"/>
    <n v="6.0000000000000001E-3"/>
    <x v="4"/>
    <s v="Salt"/>
    <s v="Tomkha+CM"/>
    <n v="700"/>
    <m/>
    <m/>
    <n v="-700"/>
    <n v="16800"/>
    <n v="50400"/>
    <n v="3.8699999999999998E-2"/>
    <n v="650.16"/>
    <s v="ถ้าว,ฝา สีขาว"/>
    <n v="0.30240000000000006"/>
    <n v="0.56000000000000005"/>
  </r>
  <r>
    <x v="962"/>
    <m/>
    <x v="2"/>
    <e v="#N/A"/>
    <x v="9"/>
    <m/>
    <m/>
    <m/>
    <m/>
    <m/>
    <m/>
    <m/>
    <m/>
    <m/>
    <m/>
    <m/>
    <m/>
    <x v="0"/>
    <m/>
    <m/>
    <m/>
    <m/>
    <m/>
    <m/>
    <m/>
    <n v="0"/>
    <m/>
    <m/>
    <m/>
    <m/>
    <m/>
  </r>
  <r>
    <x v="963"/>
    <m/>
    <x v="2"/>
    <e v="#N/A"/>
    <x v="9"/>
    <m/>
    <m/>
    <m/>
    <m/>
    <m/>
    <m/>
    <m/>
    <m/>
    <m/>
    <m/>
    <m/>
    <m/>
    <x v="0"/>
    <m/>
    <m/>
    <m/>
    <m/>
    <m/>
    <m/>
    <m/>
    <n v="0"/>
    <m/>
    <m/>
    <m/>
    <m/>
    <m/>
  </r>
  <r>
    <x v="964"/>
    <d v="2026-11-02T00:00:00"/>
    <x v="2"/>
    <e v="#N/A"/>
    <x v="9"/>
    <s v="DRY2600211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85"/>
    <m/>
    <m/>
    <n v="-685"/>
    <n v="6850"/>
    <n v="342500"/>
    <n v="6"/>
    <n v="41100"/>
    <m/>
    <n v="2.3324250000000002"/>
    <n v="4.3193055555555553"/>
  </r>
  <r>
    <x v="964"/>
    <d v="2026-11-17T00:00:00"/>
    <x v="2"/>
    <e v="#N/A"/>
    <x v="9"/>
    <s v="DRY2600151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m/>
    <m/>
    <n v="-1288"/>
    <n v="46368"/>
    <n v="231840"/>
    <n v="7.4999999999999997E-3"/>
    <n v="347.76"/>
    <s v="New Design"/>
    <n v="1.7387999999999999"/>
    <n v="3.2199999999999998"/>
  </r>
  <r>
    <x v="964"/>
    <s v="11-2026"/>
    <x v="2"/>
    <e v="#N/A"/>
    <x v="9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x v="2"/>
    <s v="STPP"/>
    <s v="หมาล่า"/>
    <n v="1200"/>
    <m/>
    <m/>
    <n v="-1200"/>
    <n v="28800"/>
    <n v="86400"/>
    <n v="1.83E-2"/>
    <n v="527.04"/>
    <m/>
    <n v="0.53567999999999993"/>
    <n v="0.99199999999999977"/>
  </r>
  <r>
    <x v="965"/>
    <d v="2026-11-02T00:00:00"/>
    <x v="2"/>
    <e v="#N/A"/>
    <x v="9"/>
    <s v="DRY2600211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85"/>
    <m/>
    <m/>
    <n v="-685"/>
    <n v="6850"/>
    <n v="342500"/>
    <n v="6"/>
    <n v="41100"/>
    <m/>
    <n v="2.3324250000000002"/>
    <n v="4.3193055555555553"/>
  </r>
  <r>
    <x v="965"/>
    <s v="11-2026"/>
    <x v="2"/>
    <e v="#N/A"/>
    <x v="9"/>
    <s v="ขายภายใน"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2367"/>
    <m/>
    <m/>
    <n v="-2367"/>
    <n v="56808"/>
    <n v="284040"/>
    <n v="7.4999999999999997E-3"/>
    <n v="426.06"/>
    <m/>
    <n v="1.7610479999999999"/>
    <n v="3.2611999999999997"/>
  </r>
  <r>
    <x v="965"/>
    <s v="10-2026"/>
    <x v="2"/>
    <e v="#N/A"/>
    <x v="9"/>
    <s v="ขายภายใน"/>
    <s v="MTFS"/>
    <s v="CPFGS"/>
    <s v="ซีพีเอฟ เทรดดิ้ง"/>
    <s v="E+Wonton TY"/>
    <s v="Cooked Wonton"/>
    <s v="เกี๊ยวกุ้งจักรพรรดิซุปต้มยำ LV CP 143g"/>
    <s v="082S83Q12005P09001"/>
    <s v="143g*12"/>
    <n v="12"/>
    <n v="5"/>
    <n v="8.0000000000000002E-3"/>
    <x v="2"/>
    <s v="STPP"/>
    <s v="TYNSF"/>
    <n v="340"/>
    <m/>
    <m/>
    <n v="-340"/>
    <n v="4080"/>
    <n v="20400"/>
    <n v="8.9999999999999993E-3"/>
    <n v="36.72"/>
    <m/>
    <n v="0.16320000000000001"/>
    <n v="0.30222222222222223"/>
  </r>
  <r>
    <x v="965"/>
    <s v="11-2026"/>
    <x v="2"/>
    <e v="#N/A"/>
    <x v="9"/>
    <s v="ขายภายใน"/>
    <s v="MTFS"/>
    <s v="CPFGS"/>
    <s v="ซีพีเอฟ เทรดดิ้ง"/>
    <s v="E+Wonton TY"/>
    <s v="Cooked Wonton"/>
    <s v="เกี๊ยวกุ้งจักรพรรดิซุปต้มยำ LV CP 143g"/>
    <s v="082S83Q12005P09001"/>
    <s v="143g*12"/>
    <n v="12"/>
    <n v="5"/>
    <n v="8.0000000000000002E-3"/>
    <x v="2"/>
    <s v="STPP"/>
    <s v="TYNSF"/>
    <n v="459"/>
    <m/>
    <m/>
    <n v="-459"/>
    <n v="5508"/>
    <n v="27540"/>
    <n v="8.9999999999999993E-3"/>
    <n v="49.571999999999996"/>
    <m/>
    <n v="0.22031999999999999"/>
    <n v="0.40799999999999997"/>
  </r>
  <r>
    <x v="966"/>
    <d v="2026-11-02T00:00:00"/>
    <x v="2"/>
    <e v="#N/A"/>
    <x v="9"/>
    <s v="DRY2600211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86"/>
    <m/>
    <m/>
    <n v="-686"/>
    <n v="6860"/>
    <n v="343000"/>
    <n v="6"/>
    <n v="41160"/>
    <m/>
    <n v="2.3358300000000005"/>
    <n v="4.3256111111111117"/>
  </r>
  <r>
    <x v="966"/>
    <s v="11-2026"/>
    <x v="2"/>
    <e v="#N/A"/>
    <x v="9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2767"/>
    <m/>
    <m/>
    <n v="-2767"/>
    <n v="66408"/>
    <n v="332040"/>
    <n v="7.4999999999999997E-3"/>
    <n v="498.06"/>
    <m/>
    <n v="2.65632"/>
    <n v="4.9191111111111105"/>
  </r>
  <r>
    <x v="967"/>
    <d v="2026-11-05T00:00:00"/>
    <x v="2"/>
    <e v="#N/A"/>
    <x v="9"/>
    <s v="DRY2600250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1900"/>
    <m/>
    <m/>
    <n v="-1900"/>
    <n v="34200"/>
    <n v="273600"/>
    <n v="1"/>
    <n v="34200"/>
    <m/>
    <n v="1.8632160000000002"/>
    <n v="3.4504000000000001"/>
  </r>
  <r>
    <x v="967"/>
    <s v="11-2026"/>
    <x v="2"/>
    <e v="#N/A"/>
    <x v="9"/>
    <s v="ขายภายใน"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2767"/>
    <m/>
    <m/>
    <n v="-2767"/>
    <n v="66408"/>
    <n v="332040"/>
    <n v="7.4999999999999997E-3"/>
    <n v="498.06"/>
    <m/>
    <n v="2.0586480000000003"/>
    <n v="3.8123111111111112"/>
  </r>
  <r>
    <x v="968"/>
    <d v="2026-11-12T00:00:00"/>
    <x v="2"/>
    <e v="#N/A"/>
    <x v="9"/>
    <s v="DRY2600228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s v="สั่งซุป &amp; ingredient"/>
    <n v="1.0692000000000002"/>
    <n v="1.9800000000000002"/>
  </r>
  <r>
    <x v="968"/>
    <d v="2026-11-19T00:00:00"/>
    <x v="2"/>
    <e v="#N/A"/>
    <x v="9"/>
    <s v="DRY2600229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s v="สั่งซุป &amp; ingredient"/>
    <n v="1.0692000000000002"/>
    <n v="1.9800000000000002"/>
  </r>
  <r>
    <x v="968"/>
    <d v="2026-11-24T00:00:00"/>
    <x v="2"/>
    <e v="#N/A"/>
    <x v="9"/>
    <s v="DRY2600248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s v="สั่ง Package แล้ว"/>
    <n v="1.0692000000000002"/>
    <n v="1.9800000000000002"/>
  </r>
  <r>
    <x v="968"/>
    <d v="2026-11-19T00:00:00"/>
    <x v="2"/>
    <e v="#N/A"/>
    <x v="9"/>
    <s v="DRY2600256"/>
    <s v="AUS"/>
    <s v="CPFNW"/>
    <s v="CPF Australia Pty Ltd.(Woolworth)"/>
    <s v="Wonton ND+V"/>
    <s v="Cooked Wonton"/>
    <s v="Cooked Wonton ND No Egg with Pumpkin_x000a_+ Yu Choy "/>
    <s v="082SJ9U05004P00001"/>
    <s v="305g*5"/>
    <n v="5"/>
    <n v="4"/>
    <n v="7.4999999999999997E-3"/>
    <x v="5"/>
    <s v="Salt"/>
    <s v="Regular"/>
    <n v="5076"/>
    <m/>
    <m/>
    <n v="-5076"/>
    <n v="25380"/>
    <n v="101520"/>
    <n v="7.4999999999999997E-3"/>
    <n v="190.35"/>
    <s v="ถ้าว,ฝา สีขาว"/>
    <n v="0.76139999999999997"/>
    <n v="1.41"/>
  </r>
  <r>
    <x v="969"/>
    <m/>
    <x v="2"/>
    <e v="#N/A"/>
    <x v="9"/>
    <m/>
    <m/>
    <m/>
    <m/>
    <m/>
    <m/>
    <m/>
    <m/>
    <m/>
    <m/>
    <m/>
    <m/>
    <x v="0"/>
    <m/>
    <m/>
    <m/>
    <m/>
    <m/>
    <m/>
    <m/>
    <n v="0"/>
    <m/>
    <m/>
    <m/>
    <m/>
    <m/>
  </r>
  <r>
    <x v="970"/>
    <m/>
    <x v="2"/>
    <e v="#N/A"/>
    <x v="9"/>
    <m/>
    <m/>
    <m/>
    <m/>
    <m/>
    <m/>
    <m/>
    <m/>
    <m/>
    <m/>
    <m/>
    <m/>
    <x v="0"/>
    <m/>
    <m/>
    <m/>
    <m/>
    <m/>
    <m/>
    <m/>
    <n v="0"/>
    <m/>
    <m/>
    <m/>
    <m/>
    <m/>
  </r>
  <r>
    <x v="971"/>
    <s v="11-2026"/>
    <x v="2"/>
    <e v="#N/A"/>
    <x v="9"/>
    <s v="ขายภายใน"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1500"/>
    <m/>
    <m/>
    <n v="-1500"/>
    <n v="27000"/>
    <n v="135000"/>
    <n v="1"/>
    <n v="27000"/>
    <s v="Add Potassium"/>
    <n v="1.08"/>
    <n v="2"/>
  </r>
  <r>
    <x v="971"/>
    <d v="2026-12-15T00:00:00"/>
    <x v="2"/>
    <e v="#N/A"/>
    <x v="9"/>
    <s v="LA016/2569"/>
    <s v="Laos"/>
    <s v="Laos"/>
    <s v="บริษัท ปิก้าเทรดดิ้ง จำกัด"/>
    <s v="E+Wonton"/>
    <s v="Cooked Wonton"/>
    <s v="เกี๊ยวกุ้งจักรพรรดิ 12x145g."/>
    <s v="082S8L212005P00001"/>
    <s v="145g*12"/>
    <n v="12"/>
    <n v="5"/>
    <n v="8.0000000000000002E-3"/>
    <x v="1"/>
    <s v="STPP"/>
    <s v="Regular"/>
    <n v="200"/>
    <m/>
    <m/>
    <n v="-200"/>
    <n v="2400"/>
    <n v="12000"/>
    <n v="7.4999999999999997E-3"/>
    <n v="18"/>
    <s v="Add Potassium"/>
    <n v="9.6000000000000002E-2"/>
    <n v="0.17777777777777776"/>
  </r>
  <r>
    <x v="971"/>
    <s v="11-2026"/>
    <x v="2"/>
    <e v="#N/A"/>
    <x v="9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0"/>
    <s v="145g*12"/>
    <n v="12"/>
    <n v="5"/>
    <n v="8.0000000000000002E-3"/>
    <x v="1"/>
    <s v="STPP"/>
    <s v="Regular"/>
    <n v="12"/>
    <m/>
    <m/>
    <n v="-12"/>
    <n v="144"/>
    <n v="720"/>
    <n v="7.4999999999999997E-3"/>
    <n v="1.08"/>
    <s v="Add Potassium"/>
    <n v="5.7599999999999995E-3"/>
    <n v="1.0666666666666665E-2"/>
  </r>
  <r>
    <x v="971"/>
    <s v="11-2026"/>
    <x v="2"/>
    <e v="#N/A"/>
    <x v="9"/>
    <s v="ขายภายใน"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1"/>
    <s v="145g*12"/>
    <n v="12"/>
    <n v="5"/>
    <n v="8.0000000000000002E-3"/>
    <x v="1"/>
    <s v="STPP"/>
    <s v="Regular"/>
    <n v="2500"/>
    <m/>
    <m/>
    <n v="-2500"/>
    <n v="30000"/>
    <n v="150000"/>
    <n v="7.4999999999999997E-3"/>
    <n v="225"/>
    <s v="Add Potassium"/>
    <n v="1.2"/>
    <n v="2.2222222222222219"/>
  </r>
  <r>
    <x v="971"/>
    <s v="11-2026"/>
    <x v="2"/>
    <e v="#N/A"/>
    <x v="9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300"/>
    <m/>
    <m/>
    <n v="-300"/>
    <n v="3600"/>
    <n v="18000"/>
    <n v="7.4999999999999997E-3"/>
    <n v="27"/>
    <s v="Add Potassium"/>
    <n v="0.108"/>
    <n v="0.19999999999999998"/>
  </r>
  <r>
    <x v="971"/>
    <s v="11-2026"/>
    <x v="2"/>
    <e v="#N/A"/>
    <x v="9"/>
    <s v="ขายภายใน"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1965"/>
    <m/>
    <m/>
    <n v="-1965"/>
    <n v="47160"/>
    <n v="235800"/>
    <n v="7.4999999999999997E-3"/>
    <n v="353.7"/>
    <m/>
    <n v="1.4619599999999999"/>
    <n v="2.7073333333333331"/>
  </r>
  <r>
    <x v="972"/>
    <s v="11-2026"/>
    <x v="2"/>
    <e v="#N/A"/>
    <x v="9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4842"/>
    <m/>
    <m/>
    <n v="-4842"/>
    <n v="116208"/>
    <n v="581040"/>
    <n v="7.4999999999999997E-3"/>
    <n v="871.56"/>
    <m/>
    <n v="4.64832"/>
    <n v="8.6079999999999988"/>
  </r>
  <r>
    <x v="973"/>
    <s v="11-2026"/>
    <x v="2"/>
    <e v="#N/A"/>
    <x v="9"/>
    <s v="ขายภายใน"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4842"/>
    <m/>
    <m/>
    <n v="-4842"/>
    <n v="116208"/>
    <n v="581040"/>
    <n v="7.4999999999999997E-3"/>
    <n v="871.56"/>
    <m/>
    <n v="3.6024479999999999"/>
    <n v="6.6711999999999989"/>
  </r>
  <r>
    <x v="974"/>
    <s v="11-2026"/>
    <x v="2"/>
    <e v="#N/A"/>
    <x v="9"/>
    <s v="ขายภายใน"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1859"/>
    <m/>
    <m/>
    <n v="-1859"/>
    <n v="44616"/>
    <n v="223080"/>
    <n v="7.4999999999999997E-3"/>
    <n v="334.62"/>
    <m/>
    <n v="1.3830960000000001"/>
    <n v="2.5612888888888889"/>
  </r>
  <r>
    <x v="974"/>
    <s v="11-2026"/>
    <x v="2"/>
    <e v="#N/A"/>
    <x v="9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2391"/>
    <m/>
    <m/>
    <n v="-2391"/>
    <n v="57384"/>
    <n v="286920"/>
    <n v="7.4999999999999997E-3"/>
    <n v="430.38"/>
    <m/>
    <n v="2.2953600000000001"/>
    <n v="4.2506666666666666"/>
  </r>
  <r>
    <x v="974"/>
    <s v="11-2026"/>
    <x v="2"/>
    <e v="#N/A"/>
    <x v="9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x v="2"/>
    <s v="STPP"/>
    <s v="หมาล่า"/>
    <n v="1200"/>
    <m/>
    <m/>
    <n v="-1200"/>
    <n v="28800"/>
    <n v="86400"/>
    <n v="1.83E-2"/>
    <n v="527.04"/>
    <m/>
    <n v="0.53567999999999993"/>
    <n v="0.99199999999999977"/>
  </r>
  <r>
    <x v="975"/>
    <d v="2026-11-19T00:00:00"/>
    <x v="2"/>
    <e v="#N/A"/>
    <x v="9"/>
    <s v="DRY2600266"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792"/>
    <m/>
    <m/>
    <n v="-792"/>
    <n v="28512"/>
    <n v="142560"/>
    <n v="7.4999999999999997E-3"/>
    <n v="213.84"/>
    <m/>
    <n v="1.0692000000000002"/>
    <n v="1.9800000000000002"/>
  </r>
  <r>
    <x v="975"/>
    <d v="2026-12-17T00:00:00"/>
    <x v="2"/>
    <e v="#N/A"/>
    <x v="9"/>
    <s v="DRY2600267"/>
    <s v="AUS"/>
    <s v="CPFNW"/>
    <s v="CPF Australia Pty Ltd.(Woolworth)"/>
    <s v="Wonton ND+V"/>
    <s v="Cooked Wonton"/>
    <s v="Cooked Wonton ND No Egg with Pumpkin_x000a_+ Yu Choy "/>
    <s v="082SJ9U05004P00001"/>
    <s v="305g*5"/>
    <n v="5"/>
    <n v="4"/>
    <n v="7.4999999999999997E-3"/>
    <x v="5"/>
    <s v="Salt"/>
    <s v="Regular"/>
    <n v="5076"/>
    <m/>
    <m/>
    <n v="-5076"/>
    <n v="25380"/>
    <n v="101520"/>
    <n v="7.4999999999999997E-3"/>
    <n v="190.35"/>
    <s v="ถ้าว,ฝา สีขาว"/>
    <n v="0.76139999999999997"/>
    <n v="1.41"/>
  </r>
  <r>
    <x v="975"/>
    <d v="2026-11-27T00:00:00"/>
    <x v="2"/>
    <e v="#N/A"/>
    <x v="9"/>
    <s v="DRY2600251"/>
    <s v="SG"/>
    <s v="CPFNW"/>
    <s v="CP FOODS SINGAPORE PTE. LTD"/>
    <s v="Wonton ND+V"/>
    <s v="Cooked Wonton"/>
    <s v="Cooked Wonton ND No Egg with Pumpkin _x000a_+ Vegetable  HC  3 pcs"/>
    <s v="082SJ3B24003P02001"/>
    <s v="219g*24"/>
    <n v="24"/>
    <n v="3"/>
    <n v="7.4999999999999997E-3"/>
    <x v="5"/>
    <s v="STPP"/>
    <s v="ซุปซอง 10g."/>
    <n v="200"/>
    <m/>
    <m/>
    <n v="-200"/>
    <n v="4800"/>
    <n v="14400"/>
    <n v="1"/>
    <n v="4800"/>
    <m/>
    <n v="0.108"/>
    <n v="0.19999999999999998"/>
  </r>
  <r>
    <x v="975"/>
    <d v="2026-12-03T00:00:00"/>
    <x v="2"/>
    <e v="#N/A"/>
    <x v="9"/>
    <s v="DRY2600119"/>
    <s v="AUS"/>
    <s v="CPFNW"/>
    <s v="CPF Australia Pty Ltd.(Woolworth)"/>
    <s v="Minced ND+V+TK"/>
    <s v="Cooked Wonton"/>
    <s v="Cooked Minced  ND No Egg with Pumpkin_x000a_+ Yu Choy Tomkha"/>
    <s v="082SR9U05003P01001"/>
    <s v="302g*5"/>
    <n v="5"/>
    <n v="3"/>
    <n v="6.0000000000000001E-3"/>
    <x v="4"/>
    <s v="Salt"/>
    <s v="Tomkha+CM"/>
    <n v="5076"/>
    <m/>
    <m/>
    <n v="-5076"/>
    <n v="25380"/>
    <n v="76140"/>
    <n v="5.8823E-2"/>
    <n v="1492.9277400000001"/>
    <s v="ถ้าว,ฝา สีขาว"/>
    <n v="0.45684000000000002"/>
    <n v="0.84599999999999997"/>
  </r>
  <r>
    <x v="976"/>
    <m/>
    <x v="2"/>
    <e v="#N/A"/>
    <x v="9"/>
    <m/>
    <m/>
    <m/>
    <m/>
    <m/>
    <m/>
    <m/>
    <m/>
    <m/>
    <m/>
    <m/>
    <m/>
    <x v="0"/>
    <m/>
    <m/>
    <m/>
    <m/>
    <m/>
    <m/>
    <m/>
    <n v="0"/>
    <m/>
    <m/>
    <m/>
    <m/>
    <m/>
  </r>
  <r>
    <x v="977"/>
    <m/>
    <x v="2"/>
    <e v="#N/A"/>
    <x v="9"/>
    <m/>
    <m/>
    <m/>
    <m/>
    <m/>
    <m/>
    <m/>
    <m/>
    <m/>
    <m/>
    <m/>
    <m/>
    <x v="0"/>
    <m/>
    <m/>
    <m/>
    <m/>
    <m/>
    <m/>
    <m/>
    <n v="0"/>
    <m/>
    <m/>
    <m/>
    <m/>
    <m/>
  </r>
  <r>
    <x v="978"/>
    <d v="2026-11-30T00:00:00"/>
    <x v="2"/>
    <e v="#N/A"/>
    <x v="9"/>
    <s v="DRY2600137"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1900"/>
    <m/>
    <m/>
    <n v="-1900"/>
    <n v="34200"/>
    <n v="273600"/>
    <n v="1"/>
    <n v="34200"/>
    <m/>
    <n v="1.8632160000000002"/>
    <n v="3.4504000000000001"/>
  </r>
  <r>
    <x v="978"/>
    <d v="2026-12-08T00:00:00"/>
    <x v="2"/>
    <e v="#N/A"/>
    <x v="9"/>
    <s v="DRY2600153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m/>
    <m/>
    <n v="-1288"/>
    <n v="46368"/>
    <n v="231840"/>
    <n v="7.4999999999999997E-3"/>
    <n v="347.76"/>
    <s v="New Design"/>
    <n v="1.7387999999999999"/>
    <n v="3.2199999999999998"/>
  </r>
  <r>
    <x v="978"/>
    <d v="2026-11-27T00:00:00"/>
    <x v="2"/>
    <e v="#N/A"/>
    <x v="9"/>
    <s v="DRY2600251"/>
    <s v="SG"/>
    <s v="CPFNW"/>
    <s v="CP FOODS SINGAPORE PTE. LTD"/>
    <s v="Wonton"/>
    <s v="Cooked Wonton"/>
    <s v="Cooked Wonton No Egg"/>
    <s v="082S83B24005P07001"/>
    <s v="145g*24"/>
    <n v="24"/>
    <n v="5"/>
    <n v="8.0000000000000002E-3"/>
    <x v="1"/>
    <s v="STPP"/>
    <s v="Regular"/>
    <n v="250"/>
    <m/>
    <m/>
    <n v="-250"/>
    <n v="6000"/>
    <n v="30000"/>
    <n v="1"/>
    <n v="6000"/>
    <m/>
    <n v="0.24"/>
    <n v="0.44444444444444442"/>
  </r>
  <r>
    <x v="978"/>
    <d v="2026-11-27T00:00:00"/>
    <x v="2"/>
    <e v="#N/A"/>
    <x v="9"/>
    <s v="DRY2600251"/>
    <s v="SG"/>
    <s v="CPFNW"/>
    <s v="CP FOODS SINGAPORE PTE. LTD"/>
    <s v="Wonton +TY"/>
    <s v="Cooked Wonton"/>
    <s v="Cooked Wonton No Egg"/>
    <s v="082S83B24005P06001"/>
    <s v="115g*24"/>
    <n v="24"/>
    <n v="5"/>
    <n v="8.0000000000000002E-3"/>
    <x v="1"/>
    <s v="STPP"/>
    <s v="TYTB3C 30G"/>
    <n v="120"/>
    <m/>
    <m/>
    <n v="-120"/>
    <n v="2880"/>
    <n v="14400"/>
    <n v="1"/>
    <n v="2880"/>
    <m/>
    <n v="0.1152"/>
    <n v="0.21333333333333332"/>
  </r>
  <r>
    <x v="978"/>
    <d v="2026-11-27T00:00:00"/>
    <x v="2"/>
    <e v="#N/A"/>
    <x v="9"/>
    <s v="DRY2600251"/>
    <s v="SG"/>
    <s v="CPFNW"/>
    <s v="CP FOODS SINGAPORE PTE. LTD"/>
    <s v="Minced ND+หมาล่า"/>
    <s v="Cooked Wonton"/>
    <s v="Cooked Minced  ND No Egg หมาล่า"/>
    <s v="082SR3B24003P00001"/>
    <s v="300g*24"/>
    <n v="24"/>
    <n v="3"/>
    <n v="6.0000000000000001E-3"/>
    <x v="4"/>
    <s v="Salt"/>
    <s v="หมาล่า"/>
    <n v="210"/>
    <m/>
    <m/>
    <n v="-210"/>
    <n v="5040"/>
    <n v="15120"/>
    <n v="2.4E-2"/>
    <n v="120.96000000000001"/>
    <m/>
    <n v="9.0720000000000009E-2"/>
    <n v="0.16800000000000001"/>
  </r>
  <r>
    <x v="979"/>
    <d v="2026-12-03T00:00:00"/>
    <x v="2"/>
    <e v="#N/A"/>
    <x v="9"/>
    <s v="DRY2600212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85"/>
    <m/>
    <m/>
    <n v="-685"/>
    <n v="6850"/>
    <n v="342500"/>
    <n v="6"/>
    <n v="41100"/>
    <m/>
    <n v="2.3324250000000002"/>
    <n v="4.3193055555555553"/>
  </r>
  <r>
    <x v="979"/>
    <s v="12-2026"/>
    <x v="2"/>
    <e v="#N/A"/>
    <x v="9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2767"/>
    <m/>
    <m/>
    <n v="-2767"/>
    <n v="66408"/>
    <n v="332040"/>
    <n v="7.4999999999999997E-3"/>
    <n v="498.06"/>
    <m/>
    <n v="2.65632"/>
    <n v="4.9191111111111105"/>
  </r>
  <r>
    <x v="980"/>
    <d v="2026-12-03T00:00:00"/>
    <x v="2"/>
    <e v="#N/A"/>
    <x v="9"/>
    <s v="DRY2600212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85"/>
    <m/>
    <m/>
    <n v="-685"/>
    <n v="6850"/>
    <n v="342500"/>
    <n v="6"/>
    <n v="41100"/>
    <m/>
    <n v="2.3324250000000002"/>
    <n v="4.3193055555555553"/>
  </r>
  <r>
    <x v="980"/>
    <s v="12-2026"/>
    <x v="2"/>
    <e v="#N/A"/>
    <x v="9"/>
    <s v="ขายภายใน"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2767"/>
    <m/>
    <m/>
    <n v="-2767"/>
    <n v="66408"/>
    <n v="332040"/>
    <n v="7.4999999999999997E-3"/>
    <n v="498.06"/>
    <m/>
    <n v="2.0586480000000003"/>
    <n v="3.8123111111111112"/>
  </r>
  <r>
    <x v="981"/>
    <d v="2026-12-03T00:00:00"/>
    <x v="2"/>
    <e v="#N/A"/>
    <x v="9"/>
    <s v="DRY2600212"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686"/>
    <m/>
    <m/>
    <n v="-686"/>
    <n v="6860"/>
    <n v="343000"/>
    <n v="6"/>
    <n v="41160"/>
    <m/>
    <n v="2.3358300000000005"/>
    <n v="4.3256111111111117"/>
  </r>
  <r>
    <x v="981"/>
    <s v="12-2026"/>
    <x v="2"/>
    <e v="#N/A"/>
    <x v="9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2767"/>
    <m/>
    <m/>
    <n v="-2767"/>
    <n v="66408"/>
    <n v="332040"/>
    <n v="7.4999999999999997E-3"/>
    <n v="498.06"/>
    <m/>
    <n v="2.65632"/>
    <n v="4.9191111111111105"/>
  </r>
  <r>
    <x v="982"/>
    <d v="2026-12-22T00:00:00"/>
    <x v="2"/>
    <e v="#N/A"/>
    <x v="9"/>
    <s v="DRY2600260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541"/>
    <m/>
    <m/>
    <n v="-541"/>
    <n v="21640"/>
    <n v="259680"/>
    <n v="2"/>
    <n v="43280"/>
    <m/>
    <n v="2.1111984000000001"/>
    <n v="3.9096266666666666"/>
  </r>
  <r>
    <x v="982"/>
    <s v="12-2026"/>
    <x v="2"/>
    <e v="#N/A"/>
    <x v="9"/>
    <s v="ขายภายใน"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2767"/>
    <m/>
    <m/>
    <n v="-2767"/>
    <n v="66408"/>
    <n v="332040"/>
    <n v="7.4999999999999997E-3"/>
    <n v="498.06"/>
    <m/>
    <n v="2.0586480000000003"/>
    <n v="3.8123111111111112"/>
  </r>
  <r>
    <x v="983"/>
    <m/>
    <x v="2"/>
    <e v="#N/A"/>
    <x v="9"/>
    <m/>
    <m/>
    <m/>
    <m/>
    <m/>
    <m/>
    <m/>
    <m/>
    <m/>
    <m/>
    <m/>
    <m/>
    <x v="0"/>
    <m/>
    <m/>
    <m/>
    <m/>
    <m/>
    <m/>
    <m/>
    <n v="0"/>
    <m/>
    <m/>
    <m/>
    <m/>
    <m/>
  </r>
  <r>
    <x v="984"/>
    <m/>
    <x v="2"/>
    <e v="#N/A"/>
    <x v="9"/>
    <m/>
    <m/>
    <m/>
    <m/>
    <m/>
    <m/>
    <m/>
    <m/>
    <m/>
    <m/>
    <m/>
    <m/>
    <x v="0"/>
    <m/>
    <m/>
    <m/>
    <m/>
    <m/>
    <m/>
    <m/>
    <n v="0"/>
    <m/>
    <m/>
    <m/>
    <m/>
    <m/>
  </r>
  <r>
    <x v="985"/>
    <d v="2026-12-22T00:00:00"/>
    <x v="2"/>
    <e v="#N/A"/>
    <x v="9"/>
    <s v="DRY2600260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541"/>
    <m/>
    <m/>
    <n v="-541"/>
    <n v="21640"/>
    <n v="259680"/>
    <n v="2"/>
    <n v="43280"/>
    <m/>
    <n v="2.1111984000000001"/>
    <n v="3.9096266666666666"/>
  </r>
  <r>
    <x v="985"/>
    <s v="12-2026"/>
    <x v="2"/>
    <e v="#N/A"/>
    <x v="9"/>
    <s v="ขายภายใน"/>
    <s v="MTFS"/>
    <s v="CPFGS"/>
    <s v="ซีพีเอฟ เทรดดิ้ง"/>
    <s v="E+Wonton NDE"/>
    <s v="Cooked Wonton"/>
    <s v="บะหมี่เกี๊ยวกุ้ง ตราซีพี 12X226 กรัม"/>
    <s v="082SJ3Q12003P07001"/>
    <s v="226g*12"/>
    <n v="12"/>
    <n v="3"/>
    <n v="8.0000000000000002E-3"/>
    <x v="1"/>
    <s v="STPP"/>
    <s v="Regular"/>
    <n v="500"/>
    <m/>
    <m/>
    <n v="-500"/>
    <n v="6000"/>
    <n v="18000"/>
    <n v="7.4999999999999997E-3"/>
    <n v="45"/>
    <s v="Add Potassium"/>
    <n v="0.14399999999999999"/>
    <n v="0.26666666666666661"/>
  </r>
  <r>
    <x v="985"/>
    <s v="12-2026"/>
    <x v="2"/>
    <e v="#N/A"/>
    <x v="9"/>
    <s v="ขายภายใน"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200"/>
    <m/>
    <m/>
    <n v="-200"/>
    <n v="2400"/>
    <n v="7200"/>
    <n v="7.4999999999999997E-3"/>
    <n v="18"/>
    <s v="Add Potassium"/>
    <n v="4.3200000000000002E-2"/>
    <n v="0.08"/>
  </r>
  <r>
    <x v="985"/>
    <s v="12-2026"/>
    <x v="2"/>
    <e v="#N/A"/>
    <x v="9"/>
    <s v="ขายภายใน"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300"/>
    <m/>
    <m/>
    <n v="-300"/>
    <n v="3600"/>
    <n v="18000"/>
    <n v="7.4999999999999997E-3"/>
    <n v="27"/>
    <s v="Add Potassium"/>
    <n v="0.108"/>
    <n v="0.19999999999999998"/>
  </r>
  <r>
    <x v="985"/>
    <s v="12-2026"/>
    <x v="2"/>
    <e v="#N/A"/>
    <x v="9"/>
    <s v="ขายภายใน"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1500"/>
    <m/>
    <m/>
    <n v="-1500"/>
    <n v="27000"/>
    <n v="135000"/>
    <n v="1"/>
    <n v="27000"/>
    <s v="Add Potassium"/>
    <n v="1.08"/>
    <n v="2"/>
  </r>
  <r>
    <x v="985"/>
    <s v="12-2026"/>
    <x v="2"/>
    <e v="#N/A"/>
    <x v="9"/>
    <s v="ขายภายใน"/>
    <s v="MTFS"/>
    <s v="CPFGS"/>
    <s v="ซีพีเอฟ เทรดดิ้ง"/>
    <s v="E+Wonton TY"/>
    <s v="Cooked Wonton"/>
    <s v="เกี๊ยวกุ้งจักรพรรดิซุปต้มยำ LV CP 143g"/>
    <s v="082S83Q12005P09001"/>
    <s v="143g*12"/>
    <n v="12"/>
    <n v="5"/>
    <n v="8.0000000000000002E-3"/>
    <x v="2"/>
    <s v="STPP"/>
    <s v="TYNSF"/>
    <n v="400"/>
    <m/>
    <m/>
    <n v="-400"/>
    <n v="4800"/>
    <n v="24000"/>
    <n v="8.9999999999999993E-3"/>
    <n v="43.199999999999996"/>
    <m/>
    <n v="0.192"/>
    <n v="0.35555555555555551"/>
  </r>
  <r>
    <x v="985"/>
    <s v="12-2026"/>
    <x v="2"/>
    <e v="#N/A"/>
    <x v="9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x v="2"/>
    <s v="STPP"/>
    <s v="หมาล่า"/>
    <n v="1200"/>
    <m/>
    <m/>
    <n v="-1200"/>
    <n v="28800"/>
    <n v="86400"/>
    <n v="1.83E-2"/>
    <n v="527.04"/>
    <m/>
    <n v="0.53567999999999993"/>
    <n v="0.99199999999999977"/>
  </r>
  <r>
    <x v="986"/>
    <d v="2026-12-22T00:00:00"/>
    <x v="2"/>
    <e v="#N/A"/>
    <x v="9"/>
    <s v="DRY2600260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542"/>
    <m/>
    <m/>
    <n v="-542"/>
    <n v="21680"/>
    <n v="260160"/>
    <n v="2"/>
    <n v="43360"/>
    <m/>
    <n v="2.1151008"/>
    <n v="3.9168533333333331"/>
  </r>
  <r>
    <x v="986"/>
    <s v="12-2026"/>
    <x v="2"/>
    <e v="#N/A"/>
    <x v="9"/>
    <s v="ขายภายใน"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2767"/>
    <m/>
    <m/>
    <n v="-2767"/>
    <n v="66408"/>
    <n v="332040"/>
    <n v="7.4999999999999997E-3"/>
    <n v="498.06"/>
    <m/>
    <n v="2.0586480000000003"/>
    <n v="3.8123111111111112"/>
  </r>
  <r>
    <x v="987"/>
    <s v="12-2026"/>
    <x v="2"/>
    <e v="#N/A"/>
    <x v="9"/>
    <s v="ขายภายใน"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5499"/>
    <m/>
    <m/>
    <n v="-5499"/>
    <n v="131976"/>
    <n v="659880"/>
    <n v="7.4999999999999997E-3"/>
    <n v="989.81999999999994"/>
    <m/>
    <n v="4.0912559999999996"/>
    <n v="7.5763999999999987"/>
  </r>
  <r>
    <x v="988"/>
    <s v="12-2026"/>
    <x v="2"/>
    <e v="#N/A"/>
    <x v="9"/>
    <s v="ขายภายใน"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4466"/>
    <m/>
    <m/>
    <n v="-4466"/>
    <n v="107184"/>
    <n v="535920"/>
    <n v="7.4999999999999997E-3"/>
    <n v="803.88"/>
    <m/>
    <n v="4.2873599999999996"/>
    <n v="7.9395555555555539"/>
  </r>
  <r>
    <x v="988"/>
    <s v="12-2026"/>
    <x v="2"/>
    <e v="#N/A"/>
    <x v="9"/>
    <s v="ขายภายใน"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x v="2"/>
    <s v="STPP"/>
    <s v="หมาล่า"/>
    <n v="1200"/>
    <m/>
    <m/>
    <n v="-1200"/>
    <n v="28800"/>
    <n v="86400"/>
    <n v="1.83E-2"/>
    <n v="527.04"/>
    <m/>
    <n v="0.53567999999999993"/>
    <n v="0.99199999999999977"/>
  </r>
  <r>
    <x v="989"/>
    <m/>
    <x v="2"/>
    <e v="#N/A"/>
    <x v="10"/>
    <m/>
    <m/>
    <m/>
    <m/>
    <m/>
    <m/>
    <m/>
    <m/>
    <m/>
    <m/>
    <m/>
    <m/>
    <x v="0"/>
    <m/>
    <m/>
    <m/>
    <m/>
    <m/>
    <m/>
    <m/>
    <n v="0"/>
    <m/>
    <m/>
    <m/>
    <m/>
    <m/>
  </r>
  <r>
    <x v="990"/>
    <m/>
    <x v="2"/>
    <e v="#N/A"/>
    <x v="10"/>
    <m/>
    <m/>
    <m/>
    <m/>
    <m/>
    <m/>
    <m/>
    <m/>
    <m/>
    <m/>
    <m/>
    <m/>
    <x v="0"/>
    <m/>
    <m/>
    <m/>
    <m/>
    <m/>
    <m/>
    <m/>
    <n v="0"/>
    <m/>
    <m/>
    <m/>
    <m/>
    <m/>
  </r>
  <r>
    <x v="991"/>
    <m/>
    <x v="2"/>
    <e v="#N/A"/>
    <x v="10"/>
    <m/>
    <m/>
    <m/>
    <m/>
    <m/>
    <m/>
    <m/>
    <m/>
    <m/>
    <m/>
    <m/>
    <m/>
    <x v="0"/>
    <m/>
    <m/>
    <m/>
    <m/>
    <m/>
    <m/>
    <m/>
    <n v="0"/>
    <m/>
    <m/>
    <m/>
    <m/>
    <m/>
  </r>
  <r>
    <x v="992"/>
    <m/>
    <x v="2"/>
    <e v="#N/A"/>
    <x v="10"/>
    <m/>
    <m/>
    <m/>
    <m/>
    <m/>
    <m/>
    <m/>
    <m/>
    <m/>
    <m/>
    <m/>
    <m/>
    <x v="0"/>
    <m/>
    <m/>
    <m/>
    <m/>
    <m/>
    <m/>
    <m/>
    <n v="0"/>
    <m/>
    <m/>
    <m/>
    <m/>
    <m/>
  </r>
  <r>
    <x v="993"/>
    <m/>
    <x v="2"/>
    <e v="#N/A"/>
    <x v="10"/>
    <m/>
    <m/>
    <m/>
    <m/>
    <m/>
    <m/>
    <m/>
    <m/>
    <m/>
    <m/>
    <m/>
    <m/>
    <x v="0"/>
    <m/>
    <m/>
    <m/>
    <m/>
    <m/>
    <m/>
    <m/>
    <n v="0"/>
    <m/>
    <m/>
    <m/>
    <m/>
    <m/>
  </r>
  <r>
    <x v="994"/>
    <m/>
    <x v="2"/>
    <e v="#N/A"/>
    <x v="10"/>
    <m/>
    <m/>
    <m/>
    <m/>
    <m/>
    <m/>
    <m/>
    <m/>
    <m/>
    <m/>
    <m/>
    <m/>
    <x v="0"/>
    <m/>
    <m/>
    <m/>
    <m/>
    <m/>
    <m/>
    <m/>
    <n v="0"/>
    <m/>
    <m/>
    <m/>
    <m/>
    <m/>
  </r>
  <r>
    <x v="995"/>
    <m/>
    <x v="2"/>
    <e v="#N/A"/>
    <x v="10"/>
    <m/>
    <m/>
    <m/>
    <m/>
    <m/>
    <m/>
    <m/>
    <m/>
    <m/>
    <m/>
    <m/>
    <m/>
    <x v="0"/>
    <m/>
    <m/>
    <m/>
    <m/>
    <m/>
    <m/>
    <m/>
    <n v="0"/>
    <m/>
    <m/>
    <m/>
    <m/>
    <m/>
  </r>
  <r>
    <x v="996"/>
    <m/>
    <x v="2"/>
    <e v="#N/A"/>
    <x v="10"/>
    <m/>
    <m/>
    <m/>
    <m/>
    <m/>
    <m/>
    <m/>
    <m/>
    <m/>
    <m/>
    <m/>
    <m/>
    <x v="0"/>
    <m/>
    <m/>
    <m/>
    <m/>
    <m/>
    <m/>
    <m/>
    <n v="0"/>
    <m/>
    <m/>
    <m/>
    <m/>
    <m/>
  </r>
  <r>
    <x v="997"/>
    <m/>
    <x v="2"/>
    <e v="#N/A"/>
    <x v="10"/>
    <m/>
    <m/>
    <m/>
    <m/>
    <m/>
    <m/>
    <m/>
    <m/>
    <m/>
    <m/>
    <m/>
    <m/>
    <x v="0"/>
    <m/>
    <m/>
    <m/>
    <m/>
    <m/>
    <m/>
    <m/>
    <n v="0"/>
    <m/>
    <m/>
    <m/>
    <m/>
    <m/>
  </r>
  <r>
    <x v="998"/>
    <m/>
    <x v="2"/>
    <e v="#N/A"/>
    <x v="11"/>
    <m/>
    <m/>
    <m/>
    <m/>
    <m/>
    <m/>
    <m/>
    <m/>
    <m/>
    <m/>
    <m/>
    <m/>
    <x v="0"/>
    <m/>
    <m/>
    <m/>
    <m/>
    <m/>
    <m/>
    <m/>
    <n v="0"/>
    <m/>
    <m/>
    <m/>
    <m/>
    <m/>
  </r>
  <r>
    <x v="999"/>
    <d v="2026-12-22T00:00:00"/>
    <x v="2"/>
    <e v="#N/A"/>
    <x v="11"/>
    <s v="DRY2600261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541"/>
    <m/>
    <m/>
    <n v="-541"/>
    <n v="21640"/>
    <n v="259680"/>
    <n v="2"/>
    <n v="43280"/>
    <m/>
    <n v="2.1111984000000001"/>
    <n v="3.9096266666666666"/>
  </r>
  <r>
    <x v="1000"/>
    <d v="2026-12-22T00:00:00"/>
    <x v="2"/>
    <e v="#N/A"/>
    <x v="11"/>
    <s v="DRY2600261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541"/>
    <m/>
    <m/>
    <n v="-541"/>
    <n v="21640"/>
    <n v="259680"/>
    <n v="2"/>
    <n v="43280"/>
    <m/>
    <n v="2.1111984000000001"/>
    <n v="3.9096266666666666"/>
  </r>
  <r>
    <x v="1001"/>
    <d v="2026-12-22T00:00:00"/>
    <x v="2"/>
    <e v="#N/A"/>
    <x v="11"/>
    <s v="DRY2600261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542"/>
    <m/>
    <m/>
    <n v="-542"/>
    <n v="21680"/>
    <n v="260160"/>
    <n v="2"/>
    <n v="43360"/>
    <m/>
    <n v="2.1151008"/>
    <n v="3.9168533333333331"/>
  </r>
  <r>
    <x v="1002"/>
    <m/>
    <x v="2"/>
    <e v="#N/A"/>
    <x v="11"/>
    <m/>
    <m/>
    <m/>
    <m/>
    <m/>
    <m/>
    <m/>
    <m/>
    <m/>
    <m/>
    <m/>
    <m/>
    <x v="0"/>
    <m/>
    <m/>
    <m/>
    <m/>
    <m/>
    <m/>
    <m/>
    <n v="0"/>
    <m/>
    <m/>
    <m/>
    <m/>
    <m/>
  </r>
  <r>
    <x v="1003"/>
    <d v="2027-01-05T00:00:00"/>
    <x v="2"/>
    <e v="#N/A"/>
    <x v="11"/>
    <s v="DRY2600262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541"/>
    <m/>
    <m/>
    <n v="-541"/>
    <n v="21640"/>
    <n v="259680"/>
    <n v="2"/>
    <n v="43280"/>
    <m/>
    <n v="2.1111984000000001"/>
    <n v="3.9096266666666666"/>
  </r>
  <r>
    <x v="1004"/>
    <m/>
    <x v="2"/>
    <e v="#N/A"/>
    <x v="11"/>
    <m/>
    <m/>
    <m/>
    <m/>
    <m/>
    <m/>
    <m/>
    <m/>
    <m/>
    <m/>
    <m/>
    <m/>
    <x v="0"/>
    <m/>
    <m/>
    <m/>
    <m/>
    <m/>
    <m/>
    <m/>
    <n v="0"/>
    <m/>
    <m/>
    <m/>
    <m/>
    <m/>
  </r>
  <r>
    <x v="1005"/>
    <m/>
    <x v="2"/>
    <e v="#N/A"/>
    <x v="11"/>
    <m/>
    <m/>
    <m/>
    <m/>
    <m/>
    <m/>
    <m/>
    <m/>
    <m/>
    <m/>
    <m/>
    <m/>
    <x v="0"/>
    <m/>
    <m/>
    <m/>
    <m/>
    <m/>
    <m/>
    <m/>
    <n v="0"/>
    <m/>
    <m/>
    <m/>
    <m/>
    <m/>
  </r>
  <r>
    <x v="1006"/>
    <d v="2027-01-05T00:00:00"/>
    <x v="2"/>
    <e v="#N/A"/>
    <x v="11"/>
    <s v="DRY2600262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541"/>
    <m/>
    <m/>
    <n v="-541"/>
    <n v="21640"/>
    <n v="259680"/>
    <n v="2"/>
    <n v="43280"/>
    <m/>
    <n v="2.1111984000000001"/>
    <n v="3.9096266666666666"/>
  </r>
  <r>
    <x v="1006"/>
    <d v="2027-01-05T00:00:00"/>
    <x v="2"/>
    <e v="#N/A"/>
    <x v="11"/>
    <s v="DRY2600150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m/>
    <m/>
    <n v="-1288"/>
    <n v="46368"/>
    <n v="231840"/>
    <n v="7.4999999999999997E-3"/>
    <n v="347.76"/>
    <s v="New Design"/>
    <n v="1.7387999999999999"/>
    <n v="3.2199999999999998"/>
  </r>
  <r>
    <x v="1007"/>
    <d v="2027-01-05T00:00:00"/>
    <x v="2"/>
    <e v="#N/A"/>
    <x v="11"/>
    <s v="DRY2600262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542"/>
    <m/>
    <m/>
    <n v="-542"/>
    <n v="21680"/>
    <n v="260160"/>
    <n v="2"/>
    <n v="43360"/>
    <m/>
    <n v="2.1151008"/>
    <n v="3.9168533333333331"/>
  </r>
  <r>
    <x v="1008"/>
    <d v="2007-01-05T00:00:00"/>
    <x v="2"/>
    <e v="#N/A"/>
    <x v="11"/>
    <s v="DRY2600263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541"/>
    <m/>
    <m/>
    <n v="-541"/>
    <n v="21640"/>
    <n v="259680"/>
    <n v="2"/>
    <n v="43280"/>
    <m/>
    <n v="2.1111984000000001"/>
    <n v="3.9096266666666666"/>
  </r>
  <r>
    <x v="1009"/>
    <d v="2007-01-05T00:00:00"/>
    <x v="2"/>
    <e v="#N/A"/>
    <x v="11"/>
    <s v="DRY2600263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541"/>
    <m/>
    <m/>
    <n v="-541"/>
    <n v="21640"/>
    <n v="259680"/>
    <n v="2"/>
    <n v="43280"/>
    <m/>
    <n v="2.1111984000000001"/>
    <n v="3.9096266666666666"/>
  </r>
  <r>
    <x v="1010"/>
    <d v="2007-01-05T00:00:00"/>
    <x v="2"/>
    <e v="#N/A"/>
    <x v="11"/>
    <s v="DRY2600263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542"/>
    <m/>
    <m/>
    <n v="-542"/>
    <n v="21680"/>
    <n v="260160"/>
    <n v="2"/>
    <n v="43360"/>
    <m/>
    <n v="2.1151008"/>
    <n v="3.9168533333333331"/>
  </r>
  <r>
    <x v="1011"/>
    <m/>
    <x v="2"/>
    <e v="#N/A"/>
    <x v="11"/>
    <m/>
    <m/>
    <m/>
    <m/>
    <m/>
    <m/>
    <m/>
    <m/>
    <m/>
    <m/>
    <m/>
    <m/>
    <x v="0"/>
    <m/>
    <m/>
    <m/>
    <m/>
    <m/>
    <m/>
    <m/>
    <n v="0"/>
    <m/>
    <m/>
    <m/>
    <m/>
    <m/>
  </r>
  <r>
    <x v="1012"/>
    <m/>
    <x v="2"/>
    <e v="#N/A"/>
    <x v="11"/>
    <m/>
    <m/>
    <m/>
    <m/>
    <m/>
    <m/>
    <m/>
    <m/>
    <m/>
    <m/>
    <m/>
    <m/>
    <x v="0"/>
    <m/>
    <m/>
    <m/>
    <m/>
    <m/>
    <m/>
    <m/>
    <n v="0"/>
    <m/>
    <m/>
    <m/>
    <m/>
    <m/>
  </r>
  <r>
    <x v="1013"/>
    <d v="2027-01-06T00:00:00"/>
    <x v="2"/>
    <e v="#N/A"/>
    <x v="11"/>
    <s v="DRY2600231"/>
    <s v="UK"/>
    <s v="CPFNW"/>
    <s v="Westbridge Foods Limited (One UK)"/>
    <s v="Noodles+BC"/>
    <s v="Cooked Wonton"/>
    <s v="Crispy Chilli Oil Biang Biang Noodles+BC &quot;Kitchen Joy&quot;"/>
    <s v="082SLKW12310G00001"/>
    <s v="310g*12ถ้วย"/>
    <n v="12"/>
    <n v="3"/>
    <n v="0.01"/>
    <x v="7"/>
    <s v="-"/>
    <s v="Soy Sauce"/>
    <n v="2278"/>
    <m/>
    <m/>
    <n v="-2278"/>
    <n v="27336"/>
    <n v="82008"/>
    <m/>
    <n v="0"/>
    <s v="ถ้าว,ฝา สีขาว New Package 1,800/HR"/>
    <n v="0.82007999999999992"/>
    <n v="1.5186666666666664"/>
  </r>
  <r>
    <x v="1014"/>
    <m/>
    <x v="2"/>
    <e v="#N/A"/>
    <x v="11"/>
    <m/>
    <m/>
    <m/>
    <m/>
    <m/>
    <m/>
    <m/>
    <m/>
    <m/>
    <m/>
    <m/>
    <m/>
    <x v="0"/>
    <m/>
    <m/>
    <m/>
    <m/>
    <m/>
    <m/>
    <m/>
    <n v="0"/>
    <m/>
    <m/>
    <m/>
    <m/>
    <m/>
  </r>
  <r>
    <x v="1015"/>
    <m/>
    <x v="2"/>
    <e v="#N/A"/>
    <x v="11"/>
    <m/>
    <m/>
    <m/>
    <m/>
    <m/>
    <m/>
    <m/>
    <m/>
    <m/>
    <m/>
    <m/>
    <m/>
    <x v="0"/>
    <m/>
    <m/>
    <m/>
    <m/>
    <m/>
    <m/>
    <m/>
    <n v="0"/>
    <m/>
    <m/>
    <m/>
    <m/>
    <m/>
  </r>
  <r>
    <x v="1016"/>
    <m/>
    <x v="2"/>
    <e v="#N/A"/>
    <x v="11"/>
    <m/>
    <m/>
    <m/>
    <m/>
    <m/>
    <m/>
    <m/>
    <m/>
    <m/>
    <m/>
    <m/>
    <m/>
    <x v="0"/>
    <m/>
    <m/>
    <m/>
    <m/>
    <m/>
    <m/>
    <m/>
    <n v="0"/>
    <m/>
    <m/>
    <m/>
    <m/>
    <m/>
  </r>
  <r>
    <x v="1017"/>
    <m/>
    <x v="2"/>
    <e v="#N/A"/>
    <x v="11"/>
    <m/>
    <m/>
    <m/>
    <m/>
    <m/>
    <m/>
    <m/>
    <m/>
    <m/>
    <m/>
    <m/>
    <m/>
    <x v="0"/>
    <m/>
    <m/>
    <m/>
    <m/>
    <m/>
    <m/>
    <m/>
    <n v="0"/>
    <m/>
    <m/>
    <m/>
    <m/>
    <m/>
  </r>
  <r>
    <x v="1018"/>
    <m/>
    <x v="2"/>
    <e v="#N/A"/>
    <x v="11"/>
    <m/>
    <m/>
    <m/>
    <m/>
    <m/>
    <m/>
    <m/>
    <m/>
    <m/>
    <m/>
    <m/>
    <m/>
    <x v="0"/>
    <m/>
    <m/>
    <m/>
    <m/>
    <m/>
    <m/>
    <m/>
    <n v="0"/>
    <m/>
    <m/>
    <m/>
    <m/>
    <m/>
  </r>
  <r>
    <x v="1019"/>
    <m/>
    <x v="2"/>
    <e v="#N/A"/>
    <x v="11"/>
    <m/>
    <m/>
    <m/>
    <m/>
    <m/>
    <m/>
    <m/>
    <m/>
    <m/>
    <m/>
    <m/>
    <m/>
    <x v="0"/>
    <m/>
    <m/>
    <m/>
    <m/>
    <m/>
    <m/>
    <m/>
    <n v="0"/>
    <m/>
    <m/>
    <m/>
    <m/>
    <m/>
  </r>
  <r>
    <x v="1020"/>
    <d v="2007-01-05T00:00:00"/>
    <x v="3"/>
    <e v="#N/A"/>
    <x v="0"/>
    <s v="DRY2600264"/>
    <s v="Taiwan"/>
    <s v="CPFNW"/>
    <s v="CP TAIWAN"/>
    <s v="R-Wonton no egg"/>
    <s v="Raw Wonton"/>
    <s v="Raw Wonton 12 pcs"/>
    <s v="082I93R40012P03001"/>
    <s v="154g*40inner"/>
    <n v="40"/>
    <n v="12"/>
    <n v="8.1300000000000001E-3"/>
    <x v="1"/>
    <s v="Salt"/>
    <s v="ซุปซอง 5g."/>
    <n v="1624"/>
    <m/>
    <m/>
    <n v="-1624"/>
    <n v="64960"/>
    <n v="779520"/>
    <n v="2"/>
    <n v="129920"/>
    <m/>
    <n v="6.3374976000000007"/>
    <n v="11.736106666666668"/>
  </r>
  <r>
    <x v="1020"/>
    <d v="2027-02-02T00:00:00"/>
    <x v="3"/>
    <e v="#N/A"/>
    <x v="0"/>
    <s v="DRY2600152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m/>
    <m/>
    <n v="-1288"/>
    <n v="46368"/>
    <n v="231840"/>
    <n v="7.4999999999999997E-3"/>
    <n v="347.76"/>
    <s v="New Design"/>
    <n v="1.7387999999999999"/>
    <n v="3.2199999999999998"/>
  </r>
  <r>
    <x v="1021"/>
    <d v="2027-02-23T00:00:00"/>
    <x v="3"/>
    <e v="#N/A"/>
    <x v="1"/>
    <s v="DRY2600154"/>
    <s v="UK"/>
    <s v="CPFNW"/>
    <s v="Westbridge Foods Limited (One UK)"/>
    <s v="Wonton"/>
    <s v="Cooked Wonton"/>
    <s v="Wonton Soup No Egg  "/>
    <s v="082S85L36005P04001"/>
    <s v="148g*6c*6in"/>
    <n v="36"/>
    <n v="5"/>
    <n v="7.4999999999999997E-3"/>
    <x v="5"/>
    <s v="Salt"/>
    <s v="Regular"/>
    <n v="1288"/>
    <m/>
    <m/>
    <n v="-1288"/>
    <n v="46368"/>
    <n v="231840"/>
    <n v="7.4999999999999997E-3"/>
    <n v="347.76"/>
    <s v="New Design"/>
    <n v="1.7387999999999999"/>
    <n v="3.2199999999999998"/>
  </r>
  <r>
    <x v="1022"/>
    <m/>
    <x v="4"/>
    <e v="#N/A"/>
    <x v="12"/>
    <m/>
    <m/>
    <m/>
    <m/>
    <m/>
    <m/>
    <m/>
    <m/>
    <m/>
    <m/>
    <m/>
    <m/>
    <x v="0"/>
    <m/>
    <m/>
    <m/>
    <m/>
    <m/>
    <m/>
    <m/>
    <n v="0"/>
    <m/>
    <m/>
    <m/>
    <m/>
    <m/>
  </r>
  <r>
    <x v="1022"/>
    <s v="09-2026"/>
    <x v="4"/>
    <e v="#N/A"/>
    <x v="12"/>
    <s v="ขายภายใน"/>
    <s v="MTFS"/>
    <s v="CPFGS"/>
    <s v="CPFGS"/>
    <s v="Wonton ND+เย็นตาโฟ"/>
    <s v="Cooked Wonton"/>
    <s v="บะหมี่เย็นตาโฟแห้ง CP นายอ้วน 675g Multi"/>
    <s v="082SR3Q18002P00001"/>
    <s v="225g*3ถ้วย*6ถุง/ctn"/>
    <n v="18"/>
    <n v="2"/>
    <n v="6.0000000000000001E-3"/>
    <x v="4"/>
    <s v="STPP"/>
    <s v="เย็นตาโฟ"/>
    <n v="2500"/>
    <m/>
    <m/>
    <n v="-2500"/>
    <n v="45000"/>
    <n v="90000"/>
    <n v="1.7000000000000001E-2"/>
    <n v="765"/>
    <s v="รอเคลียร์ Package  ถ้วยกระดาษ"/>
    <n v="0.54"/>
    <n v="1"/>
  </r>
  <r>
    <x v="998"/>
    <d v="2026-12-01T00:00:00"/>
    <x v="2"/>
    <e v="#N/A"/>
    <x v="11"/>
    <m/>
    <s v="Belgium"/>
    <s v="CPFNW"/>
    <s v="CPF EUROPE S.A."/>
    <s v="R-Wonton no egg"/>
    <s v="Raw Wonton"/>
    <s v="Raw Wonton 50 pcs"/>
    <s v="082I93I10050P02001"/>
    <s v="630g*10inner"/>
    <n v="10"/>
    <n v="50"/>
    <n v="8.1300000000000001E-3"/>
    <x v="1"/>
    <s v="Salt"/>
    <s v="ซุปซอง 5g."/>
    <n v="300"/>
    <m/>
    <m/>
    <n v="-300"/>
    <n v="3000"/>
    <n v="150000"/>
    <n v="6"/>
    <n v="18000"/>
    <m/>
    <n v="1.2195"/>
    <n v="2.2583333333333333"/>
  </r>
  <r>
    <x v="998"/>
    <d v="2026-12-01T00:00:00"/>
    <x v="2"/>
    <e v="#N/A"/>
    <x v="11"/>
    <m/>
    <s v="Malay"/>
    <s v="CPFNW"/>
    <s v="CPM Malaysia"/>
    <s v="R-Wonton egg past"/>
    <s v="Raw Wonton"/>
    <s v="Raw Wonton 12 pcs"/>
    <s v="082I95I20012P02001"/>
    <s v="154g*20inner"/>
    <n v="20"/>
    <n v="12"/>
    <n v="6.8100000000000001E-3"/>
    <x v="3"/>
    <s v="STPP"/>
    <s v="ซุปซอง 5g."/>
    <n v="200"/>
    <m/>
    <m/>
    <n v="-200"/>
    <n v="4000"/>
    <n v="48000"/>
    <n v="2"/>
    <n v="8000"/>
    <m/>
    <n v="0.32688"/>
    <n v="0.60533333333333328"/>
  </r>
  <r>
    <x v="1023"/>
    <d v="2027-01-01T00:00:00"/>
    <x v="3"/>
    <e v="#N/A"/>
    <x v="0"/>
    <m/>
    <s v="Malay"/>
    <s v="CPFNW"/>
    <s v="CPM Malaysia"/>
    <s v="R-Wonton egg past"/>
    <s v="Raw Wonton"/>
    <s v="Raw Wonton 12 pcs"/>
    <s v="082I95I20012P02001"/>
    <s v="154g*20inner"/>
    <n v="20"/>
    <n v="12"/>
    <n v="6.8100000000000001E-3"/>
    <x v="3"/>
    <s v="STPP"/>
    <s v="ซุปซอง 5g."/>
    <n v="178"/>
    <m/>
    <m/>
    <n v="-178"/>
    <n v="3560"/>
    <n v="42720"/>
    <n v="2"/>
    <n v="7120"/>
    <m/>
    <n v="0.29092319999999999"/>
    <n v="0.5387466666666666"/>
  </r>
  <r>
    <x v="998"/>
    <d v="2026-12-01T00:00:00"/>
    <x v="2"/>
    <e v="#N/A"/>
    <x v="11"/>
    <m/>
    <s v="Malay"/>
    <s v="CPFNW"/>
    <s v="CPM Malaysia"/>
    <s v="R-Wonton egg past"/>
    <s v="Raw Wonton"/>
    <s v="Raw Wonton 8 pcs (Tomyam 30g.)"/>
    <s v="082I95I18008P00001"/>
    <s v="126g*18in"/>
    <n v="18"/>
    <n v="8"/>
    <n v="6.8100000000000001E-3"/>
    <x v="3"/>
    <s v="STPP"/>
    <s v="TYTB3C 30G"/>
    <n v="150"/>
    <m/>
    <m/>
    <n v="-150"/>
    <n v="2700"/>
    <n v="21600"/>
    <n v="1"/>
    <n v="2700"/>
    <m/>
    <n v="0.147096"/>
    <n v="0.27239999999999998"/>
  </r>
  <r>
    <x v="1023"/>
    <d v="2027-01-01T00:00:00"/>
    <x v="3"/>
    <e v="#N/A"/>
    <x v="0"/>
    <m/>
    <s v="Malay"/>
    <s v="CPFNW"/>
    <s v="CPM Malaysia"/>
    <s v="R-Wonton egg past"/>
    <s v="Raw Wonton"/>
    <s v="Raw Wonton 8 pcs (Tomyam 30g.)"/>
    <s v="082I95I18008P00001"/>
    <s v="126g*18in"/>
    <n v="18"/>
    <n v="8"/>
    <n v="6.8100000000000001E-3"/>
    <x v="3"/>
    <s v="STPP"/>
    <s v="TYTB3C 30G"/>
    <n v="132"/>
    <m/>
    <m/>
    <n v="-132"/>
    <n v="2376"/>
    <n v="19008"/>
    <n v="1"/>
    <n v="2376"/>
    <m/>
    <n v="0.12944448"/>
    <n v="0.23971199999999998"/>
  </r>
  <r>
    <x v="998"/>
    <d v="2026-12-01T00:00:00"/>
    <x v="2"/>
    <e v="#N/A"/>
    <x v="11"/>
    <m/>
    <s v="SG"/>
    <s v="CPFNW"/>
    <s v="CP FOODS SINGAPORE PTE. LTD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2400"/>
    <m/>
    <m/>
    <n v="-2400"/>
    <n v="48000"/>
    <n v="576000"/>
    <n v="2"/>
    <n v="96000"/>
    <m/>
    <n v="3.9225599999999998"/>
    <n v="7.2639999999999993"/>
  </r>
  <r>
    <x v="1023"/>
    <d v="2027-01-01T00:00:00"/>
    <x v="3"/>
    <e v="#N/A"/>
    <x v="0"/>
    <m/>
    <s v="SG"/>
    <s v="CPFNW"/>
    <s v="CP FOODS SINGAPORE PTE. LTD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9500"/>
    <m/>
    <m/>
    <n v="-9500"/>
    <n v="190000"/>
    <n v="2280000"/>
    <n v="2"/>
    <n v="380000"/>
    <m/>
    <n v="15.526800000000001"/>
    <n v="28.753333333333334"/>
  </r>
  <r>
    <x v="1024"/>
    <d v="2027-02-01T00:00:00"/>
    <x v="3"/>
    <e v="#N/A"/>
    <x v="1"/>
    <m/>
    <s v="SG"/>
    <s v="CPFNW"/>
    <s v="CP FOODS SINGAPORE PTE. LTD"/>
    <s v="R-Wonton egg past"/>
    <s v="Raw Wonton"/>
    <s v="Raw Wonton 12 pcs"/>
    <s v="082I93B20012P06001"/>
    <s v="154g*20in"/>
    <n v="20"/>
    <n v="12"/>
    <n v="6.8100000000000001E-3"/>
    <x v="3"/>
    <s v="STPP"/>
    <s v="ซุปซอง 5g."/>
    <n v="1000"/>
    <m/>
    <m/>
    <n v="-1000"/>
    <n v="20000"/>
    <n v="240000"/>
    <n v="2"/>
    <n v="40000"/>
    <m/>
    <n v="1.6344000000000001"/>
    <n v="3.0266666666666664"/>
  </r>
  <r>
    <x v="998"/>
    <d v="2026-12-01T00:00:00"/>
    <x v="2"/>
    <e v="#N/A"/>
    <x v="11"/>
    <m/>
    <s v="SG"/>
    <s v="CPFNW"/>
    <s v="CP FOODS SINGAPORE PTE. LTD"/>
    <s v="R-Minced egg past"/>
    <s v="Raw Wonton"/>
    <s v="Raw Minced Wonton 8 pcs"/>
    <s v="082ID3B18008P00001"/>
    <s v="90g*18in"/>
    <n v="18"/>
    <n v="8"/>
    <n v="6.0000000000000001E-3"/>
    <x v="4"/>
    <s v="STPP"/>
    <s v="ซุปซอง 5g."/>
    <n v="300"/>
    <m/>
    <m/>
    <n v="-300"/>
    <n v="5400"/>
    <n v="43200"/>
    <n v="2"/>
    <n v="10800"/>
    <m/>
    <n v="0.25919999999999999"/>
    <n v="0.47999999999999993"/>
  </r>
  <r>
    <x v="1023"/>
    <d v="2027-01-01T00:00:00"/>
    <x v="3"/>
    <e v="#N/A"/>
    <x v="0"/>
    <m/>
    <s v="SG"/>
    <s v="CPFNW"/>
    <s v="CP FOODS SINGAPORE PTE. LTD"/>
    <s v="R-Minced egg past"/>
    <s v="Raw Wonton"/>
    <s v="Raw Minced Wonton 8 pcs"/>
    <s v="082ID3B18008P00001"/>
    <s v="90g*18in"/>
    <n v="18"/>
    <n v="8"/>
    <n v="6.0000000000000001E-3"/>
    <x v="4"/>
    <s v="STPP"/>
    <s v="ซุปซอง 5g."/>
    <n v="780"/>
    <m/>
    <m/>
    <n v="-780"/>
    <n v="14040"/>
    <n v="112320"/>
    <n v="2"/>
    <n v="28080"/>
    <m/>
    <n v="0.67391999999999996"/>
    <n v="1.2479999999999998"/>
  </r>
  <r>
    <x v="1024"/>
    <d v="2027-02-01T00:00:00"/>
    <x v="3"/>
    <e v="#N/A"/>
    <x v="1"/>
    <m/>
    <s v="SG"/>
    <s v="CPFNW"/>
    <s v="CP FOODS SINGAPORE PTE. LTD"/>
    <s v="R-Minced egg past"/>
    <s v="Raw Wonton"/>
    <s v="Raw Minced Wonton 8 pcs"/>
    <s v="082ID3B18008P00001"/>
    <s v="90g*18in"/>
    <n v="18"/>
    <n v="8"/>
    <n v="6.0000000000000001E-3"/>
    <x v="4"/>
    <s v="STPP"/>
    <s v="ซุปซอง 5g."/>
    <n v="300"/>
    <m/>
    <m/>
    <n v="-300"/>
    <n v="5400"/>
    <n v="43200"/>
    <n v="2"/>
    <n v="10800"/>
    <m/>
    <n v="0.25919999999999999"/>
    <n v="0.47999999999999993"/>
  </r>
  <r>
    <x v="1023"/>
    <d v="2027-01-01T00:00:00"/>
    <x v="3"/>
    <e v="#N/A"/>
    <x v="0"/>
    <m/>
    <s v="SG"/>
    <s v="CPFNW"/>
    <s v="CP FOODS SINGAPORE PTE. LTD"/>
    <s v="R-Wonton egg past"/>
    <s v="Raw Wonton"/>
    <s v="Raw Wonton 8 pcs"/>
    <s v="082I93B20008P00001"/>
    <s v="194g*20in"/>
    <n v="20"/>
    <n v="8"/>
    <n v="1.4999999999999999E-2"/>
    <x v="6"/>
    <s v="STPP"/>
    <s v="ซุปซอง 5g."/>
    <n v="2400"/>
    <m/>
    <m/>
    <n v="-2400"/>
    <n v="48000"/>
    <n v="384000"/>
    <n v="2"/>
    <n v="96000"/>
    <s v="ห่อแบบดิบ"/>
    <n v="5.76"/>
    <n v="10.666666666666666"/>
  </r>
  <r>
    <x v="1023"/>
    <d v="2027-01-01T00:00:00"/>
    <x v="3"/>
    <e v="#N/A"/>
    <x v="0"/>
    <m/>
    <s v="SG"/>
    <s v="CPFNW"/>
    <s v="CP FOODS SINGAPORE PTE. LTD"/>
    <s v="R-Wonton egg past"/>
    <s v="Raw Wonton"/>
    <s v="Raw Wonton 12 pcs with sesame"/>
    <s v="082I93B20012P02001"/>
    <s v="204g*20in"/>
    <n v="20"/>
    <n v="12"/>
    <n v="6.8100000000000001E-3"/>
    <x v="3"/>
    <s v="STPP"/>
    <s v=" sesame 30g"/>
    <n v="2400"/>
    <m/>
    <m/>
    <n v="-2400"/>
    <n v="48000"/>
    <n v="576000"/>
    <n v="2"/>
    <n v="96000"/>
    <s v="ห่อแบบดิบ"/>
    <n v="3.9225599999999998"/>
    <n v="7.2639999999999993"/>
  </r>
  <r>
    <x v="1023"/>
    <d v="2027-01-01T00:00:00"/>
    <x v="3"/>
    <e v="#N/A"/>
    <x v="0"/>
    <m/>
    <s v="SG"/>
    <s v="CPFNW"/>
    <s v="CP FOODS SINGAPORE PTE. LTD"/>
    <s v="R-Wonton egg past"/>
    <s v="Raw Wonton"/>
    <s v="Raw Wonton 8 pcs (Tomyam 30g.)"/>
    <s v="082I93B18008P01001"/>
    <s v="126g*18in"/>
    <n v="18"/>
    <n v="8"/>
    <n v="6.8100000000000001E-3"/>
    <x v="3"/>
    <s v="STPP"/>
    <s v="TYTB3C 30G"/>
    <n v="250"/>
    <m/>
    <m/>
    <n v="-250"/>
    <n v="4500"/>
    <n v="36000"/>
    <n v="1"/>
    <n v="4500"/>
    <m/>
    <n v="0.24515999999999999"/>
    <n v="0.45399999999999996"/>
  </r>
  <r>
    <x v="1023"/>
    <d v="2027-01-01T00:00:00"/>
    <x v="3"/>
    <e v="#N/A"/>
    <x v="0"/>
    <m/>
    <s v="HK"/>
    <s v="CPFNW"/>
    <s v="CPM Hongkong"/>
    <s v="R-Wonton egg past"/>
    <s v="Raw Wonton"/>
    <s v="Raw Wonton 8 pcs"/>
    <s v="082I93G18008P00001"/>
    <s v="101g*18in"/>
    <n v="18"/>
    <n v="8"/>
    <n v="6.8100000000000001E-3"/>
    <x v="3"/>
    <s v="STPP"/>
    <s v="ซุปซอง 5g."/>
    <n v="1900"/>
    <m/>
    <m/>
    <n v="-1900"/>
    <n v="34200"/>
    <n v="273600"/>
    <n v="1"/>
    <n v="34200"/>
    <m/>
    <n v="1.8632160000000002"/>
    <n v="3.4504000000000001"/>
  </r>
  <r>
    <x v="1023"/>
    <d v="2027-01-01T00:00:00"/>
    <x v="3"/>
    <e v="#N/A"/>
    <x v="0"/>
    <m/>
    <s v="USA"/>
    <s v="CPFNW"/>
    <s v="Bellisio Foods, Inc."/>
    <s v="R-Wonton no egg"/>
    <s v="Raw Wonton"/>
    <s v="Raw Wonton 50 pcs"/>
    <s v="082I9BW10050P00001"/>
    <s v="580g*10in"/>
    <n v="10"/>
    <n v="50"/>
    <n v="6.8100000000000001E-3"/>
    <x v="3"/>
    <s v="Salt"/>
    <s v="ซุปซอง 5g."/>
    <n v="300"/>
    <m/>
    <m/>
    <n v="-300"/>
    <n v="3000"/>
    <n v="150000"/>
    <n v="6"/>
    <n v="18000"/>
    <s v="ใช้คำว่า “Best if Used By” แทนคำว่า Best by Date"/>
    <n v="1.0215000000000001"/>
    <n v="1.8916666666666666"/>
  </r>
  <r>
    <x v="1023"/>
    <d v="2027-01-01T00:00:00"/>
    <x v="3"/>
    <e v="#N/A"/>
    <x v="0"/>
    <m/>
    <s v="Korea"/>
    <s v="CPFNW"/>
    <s v="Consumer Package Commerce"/>
    <s v="R-Wonton egg past"/>
    <s v="Raw Wonton"/>
    <s v="Raw Wonton 50 pcs"/>
    <s v="082I93U10050P01001"/>
    <s v="630g*10inner"/>
    <n v="10"/>
    <n v="50"/>
    <n v="6.8100000000000001E-3"/>
    <x v="3"/>
    <s v="STPP"/>
    <s v="ซุปซอง 5g."/>
    <n v="2056"/>
    <m/>
    <m/>
    <n v="-2056"/>
    <n v="20560"/>
    <n v="1028000"/>
    <n v="6"/>
    <n v="123360"/>
    <m/>
    <n v="7.00068"/>
    <n v="12.964222222222221"/>
  </r>
  <r>
    <x v="998"/>
    <d v="2026-12-01T00:00:00"/>
    <x v="2"/>
    <e v="#N/A"/>
    <x v="11"/>
    <m/>
    <s v="AUS"/>
    <s v="CPFNW"/>
    <s v="CPF Australia Pty Ltd."/>
    <s v="Wonton ND+V"/>
    <s v="Cooked Wonton"/>
    <s v="Cooked Wonton ND No Egg with Pumpkin_x000a_+ Yu Choy "/>
    <s v="082SJ9U08004P00001"/>
    <s v="305g*8"/>
    <n v="8"/>
    <n v="4"/>
    <n v="7.4999999999999997E-3"/>
    <x v="5"/>
    <s v="Salt"/>
    <s v="Regular"/>
    <n v="775"/>
    <m/>
    <m/>
    <n v="-775"/>
    <n v="6200"/>
    <n v="24800"/>
    <n v="7.4999999999999997E-3"/>
    <n v="46.5"/>
    <m/>
    <n v="0.186"/>
    <n v="0.34444444444444444"/>
  </r>
  <r>
    <x v="998"/>
    <d v="2026-12-01T00:00:00"/>
    <x v="2"/>
    <e v="#N/A"/>
    <x v="11"/>
    <m/>
    <s v="AUS"/>
    <s v="CPFNW"/>
    <s v="CPF Australia Pty Ltd."/>
    <s v="Minced ND+V+TY"/>
    <s v="Cooked Wonton"/>
    <s v="Cooked Minced  ND No Egg with Pumpkin_x000a_+ Yu Choy Tomyum"/>
    <s v="082SR9U08003P00001"/>
    <s v="302g*8"/>
    <n v="8"/>
    <n v="3"/>
    <n v="6.0000000000000001E-3"/>
    <x v="4"/>
    <s v="Salt"/>
    <s v="TYEXSG+CO"/>
    <n v="606"/>
    <m/>
    <m/>
    <n v="-606"/>
    <n v="4848"/>
    <n v="14544"/>
    <n v="3.8699999999999998E-2"/>
    <n v="187.61759999999998"/>
    <m/>
    <n v="8.7264000000000008E-2"/>
    <n v="0.16159999999999999"/>
  </r>
  <r>
    <x v="998"/>
    <d v="2026-12-01T00:00:00"/>
    <x v="2"/>
    <e v="#N/A"/>
    <x v="11"/>
    <m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2376"/>
    <m/>
    <m/>
    <n v="-2376"/>
    <n v="85536"/>
    <n v="427680"/>
    <n v="7.4999999999999997E-3"/>
    <n v="641.52"/>
    <m/>
    <n v="3.2075999999999998"/>
    <n v="5.9399999999999995"/>
  </r>
  <r>
    <x v="1023"/>
    <d v="2027-01-01T00:00:00"/>
    <x v="3"/>
    <e v="#N/A"/>
    <x v="0"/>
    <m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1584"/>
    <m/>
    <m/>
    <n v="-1584"/>
    <n v="57024"/>
    <n v="285120"/>
    <n v="7.4999999999999997E-3"/>
    <n v="427.68"/>
    <m/>
    <n v="2.1384000000000003"/>
    <n v="3.9600000000000004"/>
  </r>
  <r>
    <x v="1024"/>
    <d v="2027-02-01T00:00:00"/>
    <x v="3"/>
    <e v="#N/A"/>
    <x v="1"/>
    <m/>
    <s v="AUS"/>
    <s v="CPFNW"/>
    <s v="CPF Australia Pty Ltd."/>
    <s v="Wonton ND+V"/>
    <s v="Cooked Wonton"/>
    <s v="Cooked Wonton ND No Egg with Pumpkin_x000a_+ Yu Choy "/>
    <s v="082SJ9U36005P00001"/>
    <s v="308g*6c*6in"/>
    <n v="36"/>
    <n v="5"/>
    <n v="7.4999999999999997E-3"/>
    <x v="5"/>
    <s v="Salt"/>
    <s v="Regular"/>
    <n v="2376"/>
    <m/>
    <m/>
    <n v="-2376"/>
    <n v="85536"/>
    <n v="427680"/>
    <n v="7.4999999999999997E-3"/>
    <n v="641.52"/>
    <m/>
    <n v="3.2075999999999998"/>
    <n v="5.9399999999999995"/>
  </r>
  <r>
    <x v="1023"/>
    <d v="2027-01-01T00:00:00"/>
    <x v="3"/>
    <e v="#N/A"/>
    <x v="0"/>
    <m/>
    <s v="AUS"/>
    <s v="CPFNW"/>
    <s v="CPF Australia Pty Ltd."/>
    <s v="Minced ND+V+TK"/>
    <s v="Cooked Wonton"/>
    <s v="Cooked Minced Wonton ND No Egg with Pumpkin _x000a_+ Vegetable 5 pcs Tomka"/>
    <s v="082SR9U24003P00001"/>
    <s v="302g*4c*6in"/>
    <n v="24"/>
    <n v="3"/>
    <n v="6.0000000000000001E-3"/>
    <x v="4"/>
    <s v="Salt"/>
    <s v="Tomkha+CM"/>
    <n v="700"/>
    <m/>
    <m/>
    <n v="-700"/>
    <n v="16800"/>
    <n v="50400"/>
    <n v="3.8699999999999998E-2"/>
    <n v="650.16"/>
    <s v="ถ้าว,ฝา สีขาว"/>
    <n v="0.30240000000000006"/>
    <n v="0.56000000000000005"/>
  </r>
  <r>
    <x v="1024"/>
    <d v="2027-02-01T00:00:00"/>
    <x v="3"/>
    <e v="#N/A"/>
    <x v="1"/>
    <m/>
    <s v="AUS"/>
    <s v="CPFNW"/>
    <s v="CPF Australia Pty Ltd."/>
    <s v="Minced ND+V+TK"/>
    <s v="Cooked Wonton"/>
    <s v="Cooked Minced Wonton ND No Egg with Pumpkin _x000a_+ Vegetable 5 pcs Tomka"/>
    <s v="082SR9U24003P00001"/>
    <s v="302g*4c*6in"/>
    <n v="24"/>
    <n v="3"/>
    <n v="6.0000000000000001E-3"/>
    <x v="4"/>
    <s v="Salt"/>
    <s v="Tomkha+CM"/>
    <n v="700"/>
    <m/>
    <m/>
    <n v="-700"/>
    <n v="16800"/>
    <n v="50400"/>
    <n v="3.8699999999999998E-2"/>
    <n v="650.16"/>
    <s v="ถ้าว,ฝา สีขาว"/>
    <n v="0.30240000000000006"/>
    <n v="0.56000000000000005"/>
  </r>
  <r>
    <x v="1023"/>
    <d v="2027-01-01T00:00:00"/>
    <x v="3"/>
    <e v="#N/A"/>
    <x v="0"/>
    <m/>
    <s v="AUS"/>
    <s v="CPFNW"/>
    <s v="CPF Australia Pty Ltd.(Woolworth)"/>
    <s v="Wonton ND+V"/>
    <s v="Cooked Wonton"/>
    <s v="Cooked Wonton ND No Egg with Pumpkin_x000a_+ Yu Choy "/>
    <s v="082SJ9U05004P00001"/>
    <s v="305g*5"/>
    <n v="5"/>
    <n v="4"/>
    <n v="7.4999999999999997E-3"/>
    <x v="5"/>
    <s v="Salt"/>
    <s v="Regular"/>
    <n v="10152"/>
    <m/>
    <m/>
    <n v="-10152"/>
    <n v="50760"/>
    <n v="203040"/>
    <n v="7.4999999999999997E-3"/>
    <n v="380.7"/>
    <s v="ถ้าว,ฝา สีขาว"/>
    <n v="1.5227999999999999"/>
    <n v="2.82"/>
  </r>
  <r>
    <x v="1024"/>
    <d v="2027-02-01T00:00:00"/>
    <x v="3"/>
    <e v="#N/A"/>
    <x v="1"/>
    <m/>
    <s v="AUS"/>
    <s v="CPFNW"/>
    <s v="CPF Australia Pty Ltd.(Woolworth)"/>
    <s v="Wonton ND+V"/>
    <s v="Cooked Wonton"/>
    <s v="Cooked Wonton ND No Egg with Pumpkin_x000a_+ Yu Choy "/>
    <s v="082SJ9U05004P00001"/>
    <s v="305g*5"/>
    <n v="5"/>
    <n v="4"/>
    <n v="7.4999999999999997E-3"/>
    <x v="5"/>
    <s v="Salt"/>
    <s v="Regular"/>
    <n v="5076"/>
    <m/>
    <m/>
    <n v="-5076"/>
    <n v="25380"/>
    <n v="101520"/>
    <n v="7.4999999999999997E-3"/>
    <n v="190.35"/>
    <s v="ถ้าว,ฝา สีขาว"/>
    <n v="0.76139999999999997"/>
    <n v="1.41"/>
  </r>
  <r>
    <x v="1023"/>
    <d v="2027-01-01T00:00:00"/>
    <x v="3"/>
    <e v="#N/A"/>
    <x v="0"/>
    <m/>
    <s v="AUS"/>
    <s v="CPFNW"/>
    <s v="CPF Australia Pty Ltd.(Woolworth)"/>
    <s v="Minced ND+V+TK"/>
    <s v="Cooked Wonton"/>
    <s v="Cooked Minced  ND No Egg with Pumpkin_x000a_+ Yu Choy Tomkha"/>
    <s v="082SR9U05003P01001"/>
    <s v="302g*5"/>
    <n v="5"/>
    <n v="3"/>
    <n v="6.0000000000000001E-3"/>
    <x v="4"/>
    <s v="Salt"/>
    <s v="Tomkha+CM"/>
    <n v="5076"/>
    <m/>
    <m/>
    <n v="-5076"/>
    <n v="25380"/>
    <n v="76140"/>
    <n v="5.8823E-2"/>
    <n v="1492.9277400000001"/>
    <s v="ถ้าว,ฝา สีขาว"/>
    <n v="0.45684000000000002"/>
    <n v="0.84599999999999997"/>
  </r>
  <r>
    <x v="1024"/>
    <d v="2027-02-01T00:00:00"/>
    <x v="3"/>
    <e v="#N/A"/>
    <x v="1"/>
    <m/>
    <s v="AUS"/>
    <s v="CPFNW"/>
    <s v="CPF Australia Pty Ltd.(Woolworth)"/>
    <s v="Minced ND+Kee Mao"/>
    <s v="Cooked Wonton"/>
    <s v="Cooked Minced Wonton Thai Spicy Noodles (Kee Mao Noodles)"/>
    <s v="082SR9U05003P00001"/>
    <s v="283g*5"/>
    <n v="5"/>
    <n v="3"/>
    <n v="6.0000000000000001E-3"/>
    <x v="4"/>
    <s v="Salt"/>
    <s v="Kee Mao"/>
    <n v="5076"/>
    <m/>
    <m/>
    <n v="-5076"/>
    <n v="25380"/>
    <n v="76140"/>
    <n v="1"/>
    <n v="25380"/>
    <s v="ถ้าว,ฝา สีขาว"/>
    <n v="0.45684000000000002"/>
    <n v="0.84599999999999997"/>
  </r>
  <r>
    <x v="998"/>
    <d v="2026-12-01T00:00:00"/>
    <x v="2"/>
    <e v="#N/A"/>
    <x v="11"/>
    <m/>
    <s v="Belgium"/>
    <s v="CPFNW"/>
    <s v="CPF EUROPE S.A."/>
    <s v="Wonton ND+V"/>
    <s v="Cooked Wonton"/>
    <s v="Cooked Wonton ND No Egg with Pumpkin _x000a_+ Vegetable  HC  3 pcs"/>
    <s v="082SJ3I08003P00001"/>
    <s v="309g*8"/>
    <n v="8"/>
    <n v="3"/>
    <n v="7.4999999999999997E-3"/>
    <x v="5"/>
    <s v="Salt"/>
    <s v="Regular"/>
    <n v="600"/>
    <m/>
    <m/>
    <n v="-600"/>
    <n v="4800"/>
    <n v="14400"/>
    <n v="7.4999999999999997E-3"/>
    <n v="36"/>
    <m/>
    <n v="0.108"/>
    <n v="0.19999999999999998"/>
  </r>
  <r>
    <x v="998"/>
    <d v="2026-12-01T00:00:00"/>
    <x v="2"/>
    <e v="#N/A"/>
    <x v="11"/>
    <m/>
    <s v="Belgium"/>
    <s v="CPFNW"/>
    <s v="CPF EUROPE S.A."/>
    <s v="Wonton+TY"/>
    <s v="Cooked Wonton"/>
    <s v="Cooked Wonton  No Egg _x000a_+ 4 pcs"/>
    <s v="082S83I08004P01001"/>
    <s v="129g*8"/>
    <n v="8"/>
    <n v="4"/>
    <n v="8.1300000000000001E-3"/>
    <x v="1"/>
    <s v="Salt"/>
    <s v="TYEXSG+CO"/>
    <n v="350"/>
    <m/>
    <m/>
    <n v="-350"/>
    <n v="2800"/>
    <n v="11200"/>
    <n v="2.2419999999999999E-2"/>
    <n v="62.775999999999996"/>
    <m/>
    <n v="9.1055999999999998E-2"/>
    <n v="0.1686222222222222"/>
  </r>
  <r>
    <x v="998"/>
    <d v="2026-12-03T00:00:00"/>
    <x v="2"/>
    <e v="#N/A"/>
    <x v="11"/>
    <n v="22"/>
    <s v="CAN "/>
    <s v="CPFNW "/>
    <s v="Bellisio Foods Canada"/>
    <s v="Wonton ND+BC"/>
    <s v="Cooked Wonton"/>
    <s v="Cooked Wonton ND No Egg with Pumpkin_x000a_+ Bok Choy Low sodium Enriched"/>
    <s v="082SJ5336005PA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s v="สั่ง Package แล้ว"/>
    <n v="1.0692000000000002"/>
    <n v="1.9800000000000002"/>
  </r>
  <r>
    <x v="998"/>
    <d v="2026-12-01T00:00:00"/>
    <x v="2"/>
    <e v="#N/A"/>
    <x v="11"/>
    <m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m/>
    <n v="-2600"/>
    <n v="31200"/>
    <n v="156000"/>
    <n v="7.4999999999999997E-3"/>
    <n v="234"/>
    <m/>
    <n v="0.93600000000000005"/>
    <n v="1.7333333333333334"/>
  </r>
  <r>
    <x v="1023"/>
    <d v="2027-01-01T00:00:00"/>
    <x v="3"/>
    <e v="#N/A"/>
    <x v="0"/>
    <m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2600"/>
    <m/>
    <m/>
    <n v="-2600"/>
    <n v="31200"/>
    <n v="156000"/>
    <n v="7.4999999999999997E-3"/>
    <n v="234"/>
    <m/>
    <n v="0.93600000000000005"/>
    <n v="1.7333333333333334"/>
  </r>
  <r>
    <x v="1024"/>
    <d v="2027-02-01T00:00:00"/>
    <x v="3"/>
    <e v="#N/A"/>
    <x v="1"/>
    <m/>
    <s v="CAN "/>
    <s v="CPFNW "/>
    <s v="Bellisio Foods Canada"/>
    <s v="Minced ND"/>
    <s v="Cooked Wonton"/>
    <s v="Cooked Minced Wonton Noodle (Enriched wonton sheet&amp;noodles)"/>
    <s v="082SR5312005P00001"/>
    <s v="258g*12"/>
    <n v="12"/>
    <n v="5"/>
    <n v="6.0000000000000001E-3"/>
    <x v="4"/>
    <s v="Salt"/>
    <s v="Regular"/>
    <n v="5200"/>
    <m/>
    <m/>
    <n v="-5200"/>
    <n v="62400"/>
    <n v="312000"/>
    <n v="7.4999999999999997E-3"/>
    <n v="468"/>
    <m/>
    <n v="1.8720000000000001"/>
    <n v="3.4666666666666668"/>
  </r>
  <r>
    <x v="1025"/>
    <d v="2026-11-01T00:00:00"/>
    <x v="2"/>
    <e v="#N/A"/>
    <x v="10"/>
    <m/>
    <s v="Denmark"/>
    <s v="CPFNW"/>
    <s v="CPF DENMARK"/>
    <s v="Minced ND+V+TY"/>
    <s v="Cooked Wonton"/>
    <s v="Cooked Minced Wonton 3 pcs Noodle (Pumpkin)_x000a_with &quot;Tomyum&quot;+Yu Choy"/>
    <s v="082SRKW12003P00001"/>
    <s v="240g*12ถ้วย"/>
    <n v="12"/>
    <n v="3"/>
    <n v="6.1999999999999998E-3"/>
    <x v="4"/>
    <s v="Salt"/>
    <s v="TYANSSG+CM"/>
    <n v="2660"/>
    <m/>
    <m/>
    <n v="-2660"/>
    <n v="31920"/>
    <n v="95760"/>
    <n v="3.85E-2"/>
    <n v="1228.92"/>
    <s v="ถ้าว,ฝา สีขาว New Package"/>
    <n v="0.59371200000000002"/>
    <n v="1.0994666666666666"/>
  </r>
  <r>
    <x v="1023"/>
    <d v="2027-01-01T00:00:00"/>
    <x v="3"/>
    <e v="#N/A"/>
    <x v="0"/>
    <m/>
    <s v="Denmark"/>
    <s v="CPFNW"/>
    <s v="CPF DENMARK"/>
    <s v="Minced ND+V+TY"/>
    <s v="Cooked Wonton"/>
    <s v="Cooked Minced Wonton 3 pcs Noodle (Pumpkin)_x000a_with &quot;Tomyum&quot;+Yu Choy"/>
    <s v="082SRKW12003P00001"/>
    <s v="240g*12ถ้วย"/>
    <n v="12"/>
    <n v="3"/>
    <n v="6.1999999999999998E-3"/>
    <x v="4"/>
    <s v="Salt"/>
    <s v="TYANSSG+CM"/>
    <n v="2660"/>
    <m/>
    <m/>
    <n v="-2660"/>
    <n v="31920"/>
    <n v="95760"/>
    <n v="3.85E-2"/>
    <n v="1228.92"/>
    <s v="ถ้าว,ฝา สีขาว New Package"/>
    <n v="0.59371200000000002"/>
    <n v="1.0994666666666666"/>
  </r>
  <r>
    <x v="1025"/>
    <d v="2026-11-01T00:00:00"/>
    <x v="2"/>
    <e v="#N/A"/>
    <x v="10"/>
    <m/>
    <s v="Denmark"/>
    <s v="CPFNW"/>
    <s v="CPF DENMARK"/>
    <s v="Minced ND+V+TK"/>
    <s v="Cooked Wonton"/>
    <s v="Cooked Minced Wonton 3 pcs Noodle (Pumpkin)_x000a_with &quot;Tomka&quot;+Yu Choy"/>
    <s v="082SRKW12003P01001"/>
    <s v="240g*12ถ้วย"/>
    <n v="12"/>
    <n v="3"/>
    <n v="6.1999999999999998E-3"/>
    <x v="4"/>
    <s v="Salt"/>
    <s v="Tomkha+CM"/>
    <n v="2660"/>
    <m/>
    <m/>
    <n v="-2660"/>
    <n v="31920"/>
    <n v="95760"/>
    <n v="5.8823E-2"/>
    <n v="1877.6301599999999"/>
    <s v="ถ้าว,ฝา สีขาว New Package"/>
    <n v="0.59371200000000002"/>
    <n v="1.0994666666666666"/>
  </r>
  <r>
    <x v="1023"/>
    <d v="2027-01-01T00:00:00"/>
    <x v="3"/>
    <e v="#N/A"/>
    <x v="0"/>
    <m/>
    <s v="Denmark"/>
    <s v="CPFNW"/>
    <s v="CPF DENMARK"/>
    <s v="Minced ND+V+TK"/>
    <s v="Cooked Wonton"/>
    <s v="Cooked Minced Wonton 3 pcs Noodle (Pumpkin)_x000a_with &quot;Tomka&quot;+Yu Choy"/>
    <s v="082SRKW12003P01001"/>
    <s v="240g*12ถ้วย"/>
    <n v="12"/>
    <n v="3"/>
    <n v="6.1999999999999998E-3"/>
    <x v="4"/>
    <s v="Salt"/>
    <s v="Tomkha+CM"/>
    <n v="2660"/>
    <m/>
    <m/>
    <n v="-2660"/>
    <n v="31920"/>
    <n v="95760"/>
    <n v="5.8823E-2"/>
    <n v="1877.6301599999999"/>
    <s v="ถ้าว,ฝา สีขาว New Package"/>
    <n v="0.59371200000000002"/>
    <n v="1.0994666666666666"/>
  </r>
  <r>
    <x v="998"/>
    <d v="2026-12-01T00:00:00"/>
    <x v="2"/>
    <e v="#N/A"/>
    <x v="11"/>
    <m/>
    <s v="Korea"/>
    <s v="CPFNW"/>
    <s v="Consumer Package Commerce"/>
    <s v="Minced ND"/>
    <s v="Cooked Wonton"/>
    <s v="Cooked Minced Wonton Noodle"/>
    <s v="082SR3U12004P00001"/>
    <s v="231g*12"/>
    <n v="12"/>
    <n v="4"/>
    <n v="6.0000000000000001E-3"/>
    <x v="4"/>
    <s v="Salt"/>
    <s v="Regular"/>
    <n v="2500"/>
    <m/>
    <m/>
    <n v="-2500"/>
    <n v="30000"/>
    <n v="120000"/>
    <n v="7.4999999999999997E-3"/>
    <n v="225"/>
    <m/>
    <n v="0.72"/>
    <n v="1.3333333333333333"/>
  </r>
  <r>
    <x v="1023"/>
    <d v="2027-01-01T00:00:00"/>
    <x v="3"/>
    <e v="#N/A"/>
    <x v="0"/>
    <m/>
    <s v="Korea"/>
    <s v="CPFNW"/>
    <s v="Consumer Package Commerce"/>
    <s v="Minced ND"/>
    <s v="Cooked Wonton"/>
    <s v="Cooked Minced Wonton Noodle"/>
    <s v="082SR3U12004P00001"/>
    <s v="231g*12"/>
    <n v="12"/>
    <n v="4"/>
    <n v="6.0000000000000001E-3"/>
    <x v="4"/>
    <s v="Salt"/>
    <s v="Regular"/>
    <n v="2500"/>
    <m/>
    <m/>
    <n v="-2500"/>
    <n v="30000"/>
    <n v="120000"/>
    <n v="7.4999999999999997E-3"/>
    <n v="225"/>
    <m/>
    <n v="0.72"/>
    <n v="1.3333333333333333"/>
  </r>
  <r>
    <x v="1023"/>
    <d v="2027-01-01T00:00:00"/>
    <x v="3"/>
    <e v="#N/A"/>
    <x v="0"/>
    <m/>
    <s v="Korea"/>
    <s v="CPFNW"/>
    <s v="Emart"/>
    <s v="Minced WT"/>
    <s v="Cooked Wonton"/>
    <s v="Cooked Minced Wonton"/>
    <s v="082SKEJ36006P00001"/>
    <s v="191g*6c*6in"/>
    <n v="36"/>
    <n v="5"/>
    <n v="6.0000000000000001E-3"/>
    <x v="4"/>
    <s v="Salt"/>
    <s v="Regular"/>
    <n v="874"/>
    <m/>
    <m/>
    <n v="-874"/>
    <n v="31464"/>
    <n v="157320"/>
    <n v="7.4999999999999997E-3"/>
    <n v="235.98"/>
    <s v="RM &amp; FG ต้องตรวจตามข้อกำหนดลูกค้า"/>
    <n v="0.94391999999999998"/>
    <n v="1.7479999999999998"/>
  </r>
  <r>
    <x v="998"/>
    <d v="2026-12-01T00:00:00"/>
    <x v="2"/>
    <e v="#N/A"/>
    <x v="11"/>
    <m/>
    <s v="Malay"/>
    <s v="CPFNW"/>
    <s v="CPM Malaysia"/>
    <s v="Wonton"/>
    <s v="Cooked Wonton"/>
    <s v="Cooked Wonton No Egg  "/>
    <s v="082S85I24005P01001"/>
    <s v="145g*24"/>
    <n v="24"/>
    <n v="5"/>
    <n v="8.0000000000000002E-3"/>
    <x v="1"/>
    <s v="STPP"/>
    <s v="Regular"/>
    <n v="950"/>
    <m/>
    <m/>
    <n v="-950"/>
    <n v="22800"/>
    <n v="114000"/>
    <n v="7.4999999999999997E-3"/>
    <n v="171"/>
    <m/>
    <n v="0.91200000000000003"/>
    <n v="1.6888888888888889"/>
  </r>
  <r>
    <x v="1023"/>
    <d v="2027-01-01T00:00:00"/>
    <x v="3"/>
    <e v="#N/A"/>
    <x v="0"/>
    <m/>
    <s v="Malay"/>
    <s v="CPFNW"/>
    <s v="CPM Malaysia"/>
    <s v="Wonton"/>
    <s v="Cooked Wonton"/>
    <s v="Cooked Wonton No Egg  "/>
    <s v="082S85I24005P01001"/>
    <s v="145g*24"/>
    <n v="24"/>
    <n v="5"/>
    <n v="8.0000000000000002E-3"/>
    <x v="1"/>
    <s v="STPP"/>
    <s v="Regular"/>
    <n v="876"/>
    <m/>
    <m/>
    <n v="-876"/>
    <n v="21024"/>
    <n v="105120"/>
    <n v="7.4999999999999997E-3"/>
    <n v="157.68"/>
    <m/>
    <n v="0.84096000000000004"/>
    <n v="1.5573333333333332"/>
  </r>
  <r>
    <x v="1024"/>
    <d v="2027-02-01T00:00:00"/>
    <x v="3"/>
    <e v="#N/A"/>
    <x v="1"/>
    <m/>
    <s v="Malay"/>
    <s v="CPFNW"/>
    <s v="CPM Malaysia"/>
    <s v="Wonton"/>
    <s v="Cooked Wonton"/>
    <s v="Cooked Wonton No Egg  "/>
    <s v="082S85I24005P01001"/>
    <s v="145g*24"/>
    <n v="24"/>
    <n v="5"/>
    <n v="8.0000000000000002E-3"/>
    <x v="1"/>
    <s v="STPP"/>
    <s v="Regular"/>
    <n v="876"/>
    <m/>
    <m/>
    <n v="-876"/>
    <n v="21024"/>
    <n v="105120"/>
    <n v="7.4999999999999997E-3"/>
    <n v="157.68"/>
    <m/>
    <n v="0.84096000000000004"/>
    <n v="1.5573333333333332"/>
  </r>
  <r>
    <x v="998"/>
    <d v="2026-12-01T00:00:00"/>
    <x v="2"/>
    <e v="#N/A"/>
    <x v="11"/>
    <m/>
    <s v="Malay"/>
    <s v="CPFNW"/>
    <s v="CPM Malaysia"/>
    <s v="Wonton+TY"/>
    <s v="Cooked Wonton"/>
    <s v="Cooked Wonton No Egg  Tomyum"/>
    <s v="082S85I24005P02001"/>
    <s v="115g*24"/>
    <n v="24"/>
    <n v="5"/>
    <n v="8.0000000000000002E-3"/>
    <x v="1"/>
    <s v="STPP"/>
    <s v="TYTB3C 30G"/>
    <n v="850"/>
    <m/>
    <m/>
    <n v="-850"/>
    <n v="20400"/>
    <n v="102000"/>
    <n v="1"/>
    <n v="20400"/>
    <m/>
    <n v="0.81599999999999995"/>
    <n v="1.5111111111111108"/>
  </r>
  <r>
    <x v="1023"/>
    <d v="2027-01-01T00:00:00"/>
    <x v="3"/>
    <e v="#N/A"/>
    <x v="0"/>
    <m/>
    <s v="Malay"/>
    <s v="CPFNW"/>
    <s v="CPM Malaysia"/>
    <s v="Wonton+TY"/>
    <s v="Cooked Wonton"/>
    <s v="Cooked Wonton No Egg  Tomyum"/>
    <s v="082S85I24005P02001"/>
    <s v="115g*24"/>
    <n v="24"/>
    <n v="5"/>
    <n v="8.0000000000000002E-3"/>
    <x v="1"/>
    <s v="STPP"/>
    <s v="TYTB3C 30G"/>
    <n v="468"/>
    <m/>
    <m/>
    <n v="-468"/>
    <n v="11232"/>
    <n v="56160"/>
    <n v="1"/>
    <n v="11232"/>
    <m/>
    <n v="0.44928000000000001"/>
    <n v="0.83199999999999996"/>
  </r>
  <r>
    <x v="1024"/>
    <d v="2027-02-01T00:00:00"/>
    <x v="3"/>
    <e v="#N/A"/>
    <x v="1"/>
    <m/>
    <s v="Malay"/>
    <s v="CPFNW"/>
    <s v="CPM Malaysia"/>
    <s v="Wonton+TY"/>
    <s v="Cooked Wonton"/>
    <s v="Cooked Wonton No Egg  Tomyum"/>
    <s v="082S85I24005P02001"/>
    <s v="115g*24"/>
    <n v="24"/>
    <n v="5"/>
    <n v="8.0000000000000002E-3"/>
    <x v="1"/>
    <s v="STPP"/>
    <s v="TYTB3C 30G"/>
    <n v="882"/>
    <m/>
    <m/>
    <n v="-882"/>
    <n v="21168"/>
    <n v="105840"/>
    <n v="1"/>
    <n v="21168"/>
    <m/>
    <n v="0.84672000000000003"/>
    <n v="1.5679999999999998"/>
  </r>
  <r>
    <x v="998"/>
    <d v="2026-12-01T00:00:00"/>
    <x v="2"/>
    <e v="#N/A"/>
    <x v="11"/>
    <m/>
    <s v="New Zealand"/>
    <s v="CPFNW"/>
    <s v="Lim Brothers Import&amp;Export Co.,Ltd."/>
    <s v="Wonton ND+V"/>
    <s v="Cooked Wonton"/>
    <s v="Cooked Wonton ND No Egg with Pumpkin_x000a_+ Yu Choy "/>
    <s v="082SJN708004P00001"/>
    <s v="305g*8"/>
    <n v="8"/>
    <n v="4"/>
    <n v="7.4999999999999997E-3"/>
    <x v="5"/>
    <s v="Salt"/>
    <s v="Regular"/>
    <n v="400"/>
    <m/>
    <m/>
    <n v="-400"/>
    <n v="3200"/>
    <n v="12800"/>
    <n v="7.4999999999999997E-3"/>
    <n v="24"/>
    <m/>
    <n v="9.6000000000000002E-2"/>
    <n v="0.17777777777777776"/>
  </r>
  <r>
    <x v="1024"/>
    <d v="2027-02-01T00:00:00"/>
    <x v="3"/>
    <e v="#N/A"/>
    <x v="1"/>
    <m/>
    <s v="New Zealand"/>
    <s v="CPFNW"/>
    <s v="Lim Brothers Import&amp;Export Co.,Ltd."/>
    <s v="Wonton ND+V"/>
    <s v="Cooked Wonton"/>
    <s v="Cooked Wonton ND No Egg with Pumpkin_x000a_+ Yu Choy "/>
    <s v="082SJN708004P00001"/>
    <s v="305g*8"/>
    <n v="8"/>
    <n v="4"/>
    <n v="7.4999999999999997E-3"/>
    <x v="5"/>
    <s v="Salt"/>
    <s v="Regular"/>
    <n v="1456"/>
    <m/>
    <m/>
    <n v="-1456"/>
    <n v="11648"/>
    <n v="46592"/>
    <n v="7.4999999999999997E-3"/>
    <n v="87.36"/>
    <m/>
    <n v="0.34943999999999997"/>
    <n v="0.64711111111111097"/>
  </r>
  <r>
    <x v="998"/>
    <d v="2026-12-01T00:00:00"/>
    <x v="2"/>
    <e v="#N/A"/>
    <x v="11"/>
    <m/>
    <s v="New Zealand"/>
    <s v="CPFNW"/>
    <s v="Lim Brothers Import&amp;Export Co.,Ltd."/>
    <s v="Minced ND+V+TK"/>
    <s v="Cooked Wonton"/>
    <s v="Cooked Minced  ND No Egg with Pumpkin_x000a_+ Yu Choy Tomkha"/>
    <s v="082SRN708003P01001"/>
    <s v="302g*8"/>
    <n v="8"/>
    <n v="3"/>
    <n v="6.0000000000000001E-3"/>
    <x v="4"/>
    <s v="Salt"/>
    <s v="Tomkha+CM"/>
    <n v="324"/>
    <m/>
    <m/>
    <n v="-324"/>
    <n v="2592"/>
    <n v="7776"/>
    <n v="5.8823E-2"/>
    <n v="152.46921599999999"/>
    <m/>
    <n v="4.6656000000000003E-2"/>
    <n v="8.6400000000000005E-2"/>
  </r>
  <r>
    <x v="1024"/>
    <d v="2027-02-01T00:00:00"/>
    <x v="3"/>
    <e v="#N/A"/>
    <x v="1"/>
    <m/>
    <s v="New Zealand"/>
    <s v="CPFNW"/>
    <s v="Lim Brothers Import&amp;Export Co.,Ltd."/>
    <s v="Minced ND+V+TY"/>
    <s v="Cooked Wonton"/>
    <s v="Cooked Minced  ND No Egg with Pumpkin_x000a_+ Yu Choy Tomyum"/>
    <s v="082SRN708003P00001"/>
    <s v="302g*8"/>
    <n v="8"/>
    <n v="3"/>
    <n v="6.0000000000000001E-3"/>
    <x v="4"/>
    <s v="Salt"/>
    <s v="TYEXSG+CO"/>
    <n v="80"/>
    <m/>
    <m/>
    <n v="-80"/>
    <n v="640"/>
    <n v="1920"/>
    <n v="3.8699999999999998E-2"/>
    <n v="24.768000000000001"/>
    <m/>
    <n v="1.1520000000000001E-2"/>
    <n v="2.1333333333333333E-2"/>
  </r>
  <r>
    <x v="998"/>
    <d v="2026-12-01T00:00:00"/>
    <x v="2"/>
    <e v="#N/A"/>
    <x v="11"/>
    <m/>
    <s v="SG"/>
    <s v="CPFNW"/>
    <s v="CP FOODS SINGAPORE PTE. LTD"/>
    <s v="Wonton ND+Kee Mao"/>
    <s v="Cooked Wonton"/>
    <s v="Cooked Wonton Thai Spicy Pumpkin Noodles (Drunken Noodles)"/>
    <s v="082SJ3B24003P04001"/>
    <s v="250g*24"/>
    <n v="24"/>
    <n v="3"/>
    <n v="8.0000000000000002E-3"/>
    <x v="1"/>
    <s v="Salt"/>
    <s v="Kee Mao"/>
    <n v="120"/>
    <m/>
    <m/>
    <n v="-120"/>
    <n v="2880"/>
    <n v="8640"/>
    <n v="6.5000000000000002E-2"/>
    <n v="187.20000000000002"/>
    <m/>
    <n v="6.9120000000000001E-2"/>
    <n v="0.128"/>
  </r>
  <r>
    <x v="1023"/>
    <d v="2027-01-01T00:00:00"/>
    <x v="3"/>
    <e v="#N/A"/>
    <x v="0"/>
    <m/>
    <s v="SG"/>
    <s v="CPFNW"/>
    <s v="CP FOODS SINGAPORE PTE. LTD"/>
    <s v="Wonton ND+Kee Mao"/>
    <s v="Cooked Wonton"/>
    <s v="Cooked Wonton Thai Spicy Pumpkin Noodles (Drunken Noodles)"/>
    <s v="082SJ3B24003P04001"/>
    <s v="250g*24"/>
    <n v="24"/>
    <n v="3"/>
    <n v="8.0000000000000002E-3"/>
    <x v="1"/>
    <s v="Salt"/>
    <s v="Kee Mao"/>
    <n v="420"/>
    <m/>
    <m/>
    <n v="-420"/>
    <n v="10080"/>
    <n v="30240"/>
    <n v="6.5000000000000002E-2"/>
    <n v="655.20000000000005"/>
    <m/>
    <n v="0.24192000000000002"/>
    <n v="0.44800000000000001"/>
  </r>
  <r>
    <x v="1023"/>
    <d v="2027-01-01T00:00:00"/>
    <x v="3"/>
    <e v="#N/A"/>
    <x v="0"/>
    <m/>
    <s v="SG"/>
    <s v="CPFNW"/>
    <s v="CP FOODS SINGAPORE PTE. LTD"/>
    <s v="Wonton"/>
    <s v="Cooked Wonton"/>
    <s v="Cooked Wonton No Egg"/>
    <s v="082S83B24005P07001"/>
    <s v="145g*24"/>
    <n v="24"/>
    <n v="5"/>
    <n v="8.0000000000000002E-3"/>
    <x v="1"/>
    <s v="STPP"/>
    <s v="Regular"/>
    <n v="300"/>
    <m/>
    <m/>
    <n v="-300"/>
    <n v="7200"/>
    <n v="36000"/>
    <n v="1"/>
    <n v="7200"/>
    <m/>
    <n v="0.28799999999999998"/>
    <n v="0.53333333333333321"/>
  </r>
  <r>
    <x v="1024"/>
    <d v="2027-02-01T00:00:00"/>
    <x v="3"/>
    <e v="#N/A"/>
    <x v="1"/>
    <m/>
    <s v="SG"/>
    <s v="CPFNW"/>
    <s v="CP FOODS SINGAPORE PTE. LTD"/>
    <s v="Wonton"/>
    <s v="Cooked Wonton"/>
    <s v="Cooked Wonton No Egg"/>
    <s v="082S83B24005P07001"/>
    <s v="145g*24"/>
    <n v="24"/>
    <n v="5"/>
    <n v="8.0000000000000002E-3"/>
    <x v="1"/>
    <s v="STPP"/>
    <s v="Regular"/>
    <n v="300"/>
    <m/>
    <m/>
    <n v="-300"/>
    <n v="7200"/>
    <n v="36000"/>
    <n v="1"/>
    <n v="7200"/>
    <m/>
    <n v="0.28799999999999998"/>
    <n v="0.53333333333333321"/>
  </r>
  <r>
    <x v="1023"/>
    <d v="2027-01-01T00:00:00"/>
    <x v="3"/>
    <e v="#N/A"/>
    <x v="0"/>
    <m/>
    <s v="SG"/>
    <s v="CPFNW"/>
    <s v="CP FOODS SINGAPORE PTE. LTD"/>
    <s v="Wonton +TY"/>
    <s v="Cooked Wonton"/>
    <s v="Cooked Wonton No Egg"/>
    <s v="082S83B24005P06001"/>
    <s v="115g*24"/>
    <n v="24"/>
    <n v="5"/>
    <n v="8.0000000000000002E-3"/>
    <x v="1"/>
    <s v="STPP"/>
    <s v="TYTB3C 30G"/>
    <n v="250"/>
    <m/>
    <m/>
    <n v="-250"/>
    <n v="6000"/>
    <n v="30000"/>
    <n v="1"/>
    <n v="6000"/>
    <m/>
    <n v="0.24"/>
    <n v="0.44444444444444442"/>
  </r>
  <r>
    <x v="1024"/>
    <d v="2027-02-01T00:00:00"/>
    <x v="3"/>
    <e v="#N/A"/>
    <x v="1"/>
    <m/>
    <s v="SG"/>
    <s v="CPFNW"/>
    <s v="CP FOODS SINGAPORE PTE. LTD"/>
    <s v="Wonton +TY"/>
    <s v="Cooked Wonton"/>
    <s v="Cooked Wonton No Egg"/>
    <s v="082S83B24005P06001"/>
    <s v="115g*24"/>
    <n v="24"/>
    <n v="5"/>
    <n v="8.0000000000000002E-3"/>
    <x v="1"/>
    <s v="STPP"/>
    <s v="TYTB3C 30G"/>
    <n v="200"/>
    <m/>
    <m/>
    <n v="-200"/>
    <n v="4800"/>
    <n v="24000"/>
    <n v="1"/>
    <n v="4800"/>
    <m/>
    <n v="0.192"/>
    <n v="0.35555555555555551"/>
  </r>
  <r>
    <x v="1023"/>
    <d v="2027-01-01T00:00:00"/>
    <x v="3"/>
    <e v="#N/A"/>
    <x v="0"/>
    <m/>
    <s v="SG"/>
    <s v="CPFNW"/>
    <s v="CP FOODS SINGAPORE PTE. LTD"/>
    <s v="Wonton ND+V"/>
    <s v="Cooked Wonton"/>
    <s v="Cooked Wonton ND No Egg with Pumpkin _x000a_+ Vegetable  HC  3 pcs"/>
    <s v="082SJ3B24003P02001"/>
    <s v="219g*24"/>
    <n v="24"/>
    <n v="3"/>
    <n v="7.4999999999999997E-3"/>
    <x v="5"/>
    <s v="STPP"/>
    <s v="ซุปซอง 10g."/>
    <n v="200"/>
    <m/>
    <m/>
    <n v="-200"/>
    <n v="4800"/>
    <n v="14400"/>
    <n v="1"/>
    <n v="4800"/>
    <m/>
    <n v="0.108"/>
    <n v="0.19999999999999998"/>
  </r>
  <r>
    <x v="1024"/>
    <d v="2027-02-01T00:00:00"/>
    <x v="3"/>
    <e v="#N/A"/>
    <x v="1"/>
    <m/>
    <s v="SG"/>
    <s v="CPFNW"/>
    <s v="CP FOODS SINGAPORE PTE. LTD"/>
    <s v="Wonton ND+V"/>
    <s v="Cooked Wonton"/>
    <s v="Cooked Wonton ND No Egg with Pumpkin _x000a_+ Vegetable  HC  3 pcs"/>
    <s v="082SJ3B24003P02001"/>
    <s v="219g*24"/>
    <n v="24"/>
    <n v="3"/>
    <n v="7.4999999999999997E-3"/>
    <x v="5"/>
    <s v="STPP"/>
    <s v="ซุปซอง 10g."/>
    <n v="200"/>
    <m/>
    <m/>
    <n v="-200"/>
    <n v="4800"/>
    <n v="14400"/>
    <n v="1"/>
    <n v="4800"/>
    <m/>
    <n v="0.108"/>
    <n v="0.19999999999999998"/>
  </r>
  <r>
    <x v="1023"/>
    <d v="2027-01-01T00:00:00"/>
    <x v="3"/>
    <e v="#N/A"/>
    <x v="0"/>
    <m/>
    <s v="SG"/>
    <s v="CPFNW"/>
    <s v="CP FOODS SINGAPORE PTE. LTD"/>
    <s v="Minced ND+หมาล่า"/>
    <s v="Cooked Wonton"/>
    <s v="Cooked Minced  ND No Egg หมาล่า"/>
    <s v="082SR3B24003P00001"/>
    <s v="300g*24"/>
    <n v="24"/>
    <n v="3"/>
    <n v="6.0000000000000001E-3"/>
    <x v="4"/>
    <s v="Salt"/>
    <s v="หมาล่า"/>
    <n v="210"/>
    <m/>
    <m/>
    <n v="-210"/>
    <n v="5040"/>
    <n v="15120"/>
    <n v="2.4E-2"/>
    <n v="120.96000000000001"/>
    <m/>
    <n v="9.0720000000000009E-2"/>
    <n v="0.16800000000000001"/>
  </r>
  <r>
    <x v="1024"/>
    <d v="2027-02-01T00:00:00"/>
    <x v="3"/>
    <e v="#N/A"/>
    <x v="1"/>
    <m/>
    <s v="SG"/>
    <s v="CPFNW"/>
    <s v="CP FOODS SINGAPORE PTE. LTD"/>
    <s v="Minced ND+หมาล่า"/>
    <s v="Cooked Wonton"/>
    <s v="Cooked Minced  ND No Egg หมาล่า"/>
    <s v="082SR3B24003P00001"/>
    <s v="300g*24"/>
    <n v="24"/>
    <n v="3"/>
    <n v="6.0000000000000001E-3"/>
    <x v="4"/>
    <s v="Salt"/>
    <s v="หมาล่า"/>
    <n v="210"/>
    <m/>
    <m/>
    <n v="-210"/>
    <n v="5040"/>
    <n v="15120"/>
    <n v="2.4E-2"/>
    <n v="120.96000000000001"/>
    <m/>
    <n v="9.0720000000000009E-2"/>
    <n v="0.16800000000000001"/>
  </r>
  <r>
    <x v="1025"/>
    <d v="2026-11-01T00:00:00"/>
    <x v="2"/>
    <e v="#N/A"/>
    <x v="10"/>
    <m/>
    <s v="UK"/>
    <s v="CPFNW"/>
    <s v="Westbridge Foods Limited (One UK)"/>
    <s v="Minced ND+BC"/>
    <s v="Cooked Wonton"/>
    <s v="Cooked Minced Wonton Noodle  (Low Sodium)+Bok Choy"/>
    <s v="082SRWE12005PA0001"/>
    <s v="258g*12"/>
    <n v="12"/>
    <n v="5"/>
    <n v="6.0000000000000001E-3"/>
    <x v="4"/>
    <s v="Salt"/>
    <s v="Regular"/>
    <n v="1410"/>
    <m/>
    <m/>
    <n v="-1410"/>
    <n v="16920"/>
    <n v="84600"/>
    <n v="7.4999999999999997E-3"/>
    <n v="126.89999999999999"/>
    <s v="ถ้าว,ฝา สีขาว New Package"/>
    <n v="0.50759999999999994"/>
    <n v="0.93999999999999984"/>
  </r>
  <r>
    <x v="998"/>
    <d v="2026-12-01T00:00:00"/>
    <x v="2"/>
    <e v="#N/A"/>
    <x v="11"/>
    <m/>
    <s v="UK"/>
    <s v="CPFNW"/>
    <s v="Westbridge Foods Limited (One UK)"/>
    <s v="Minced ND+BC"/>
    <s v="Cooked Wonton"/>
    <s v="Cooked Minced Wonton Noodle  (Low Sodium)+Bok Choy"/>
    <s v="082SRWE12005PA0001"/>
    <s v="258g*12"/>
    <n v="12"/>
    <n v="5"/>
    <n v="6.0000000000000001E-3"/>
    <x v="4"/>
    <s v="Salt"/>
    <s v="Regular"/>
    <n v="1176"/>
    <m/>
    <m/>
    <n v="-1176"/>
    <n v="14112"/>
    <n v="70560"/>
    <n v="7.4999999999999997E-3"/>
    <n v="105.83999999999999"/>
    <s v="ถ้าว,ฝา สีขาว New Package"/>
    <n v="0.42335999999999996"/>
    <n v="0.78399999999999992"/>
  </r>
  <r>
    <x v="998"/>
    <d v="2026-12-01T00:00:00"/>
    <x v="2"/>
    <e v="#N/A"/>
    <x v="11"/>
    <m/>
    <s v="UK"/>
    <s v="CPFNW"/>
    <s v="Westbridge Foods Limited"/>
    <s v="Minced ND+V+TY"/>
    <s v="Cooked Wonton"/>
    <s v="Cooked Minced Wonton Noodles Yu Choy Tomyum"/>
    <s v="082SRWE24005P01001"/>
    <s v="258g*4c*6in"/>
    <n v="24"/>
    <n v="5"/>
    <n v="6.0000000000000001E-3"/>
    <x v="4"/>
    <s v="Salt"/>
    <s v="TYEXSG+CO"/>
    <n v="588"/>
    <m/>
    <m/>
    <n v="-588"/>
    <n v="14112"/>
    <n v="70560"/>
    <n v="3.8699999999999998E-2"/>
    <n v="546.13440000000003"/>
    <s v="Ireland"/>
    <n v="0.42335999999999996"/>
    <n v="0.78399999999999992"/>
  </r>
  <r>
    <x v="1024"/>
    <d v="2027-02-01T00:00:00"/>
    <x v="3"/>
    <e v="#N/A"/>
    <x v="1"/>
    <m/>
    <s v="UK"/>
    <s v="CPFNW"/>
    <s v="Food Fellas"/>
    <s v="Wonton"/>
    <s v="Cooked Wonton"/>
    <s v="Cooked Wonton No Egg _x000a_HC  5 pcs"/>
    <s v="082S85L08005P03001"/>
    <s v="145g*8"/>
    <n v="8"/>
    <n v="5"/>
    <n v="7.4999999999999997E-3"/>
    <x v="5"/>
    <s v="Salt"/>
    <s v="Regular"/>
    <n v="400"/>
    <m/>
    <m/>
    <n v="-400"/>
    <n v="3200"/>
    <n v="16000"/>
    <n v="7.4999999999999997E-3"/>
    <n v="24"/>
    <s v="ถ้าว,ฝา สีขาว"/>
    <m/>
    <m/>
  </r>
  <r>
    <x v="1024"/>
    <d v="2027-02-01T00:00:00"/>
    <x v="3"/>
    <e v="#N/A"/>
    <x v="1"/>
    <m/>
    <s v="UK"/>
    <s v="CPFNW"/>
    <s v="Food Fellas"/>
    <s v="Wonton ND"/>
    <s v="Cooked Wonton"/>
    <s v="Cooked Wonton ND No Egg with _x000a_HC  5 pcs"/>
    <s v="082SJ5L08005P03001"/>
    <s v="258g*8"/>
    <n v="8"/>
    <n v="5"/>
    <n v="7.4999999999999997E-3"/>
    <x v="5"/>
    <s v="Salt"/>
    <s v="Regular"/>
    <n v="1000"/>
    <m/>
    <m/>
    <n v="-1000"/>
    <n v="8000"/>
    <n v="40000"/>
    <n v="7.4999999999999997E-3"/>
    <n v="60"/>
    <s v="ถ้าว,ฝา สีขาว"/>
    <m/>
    <m/>
  </r>
  <r>
    <x v="1024"/>
    <d v="2027-02-01T00:00:00"/>
    <x v="3"/>
    <e v="#N/A"/>
    <x v="1"/>
    <m/>
    <s v="UK"/>
    <s v="CPFNW"/>
    <s v="Food Fellas"/>
    <s v="Wonton +TY"/>
    <s v="Cooked Wonton"/>
    <s v="Cooked Wonton Tomyum"/>
    <s v="082S8T208005P00001"/>
    <s v="147g*8"/>
    <n v="8"/>
    <n v="5"/>
    <n v="6.8100000000000001E-3"/>
    <x v="1"/>
    <s v="Salt"/>
    <s v="TYEXSG+CO"/>
    <n v="500"/>
    <m/>
    <m/>
    <n v="-500"/>
    <n v="4000"/>
    <n v="20000"/>
    <n v="7.4999999999999997E-3"/>
    <n v="30"/>
    <s v="ถ้าว,ฝา สีขาว"/>
    <n v="0.13619999999999999"/>
    <n v="0.25222222222222218"/>
  </r>
  <r>
    <x v="1024"/>
    <d v="2027-02-01T00:00:00"/>
    <x v="3"/>
    <e v="#N/A"/>
    <x v="1"/>
    <m/>
    <s v="UK"/>
    <s v="CPFNW"/>
    <s v="Food Fellas"/>
    <s v="Wonton ND+BC+TY"/>
    <s v="Cooked Wonton"/>
    <s v="Cooked Wonton Noodles Bok Choy Tomyum"/>
    <s v="082SJT208005P00001"/>
    <s v="307g*8"/>
    <n v="8"/>
    <n v="5"/>
    <n v="6.8100000000000001E-3"/>
    <x v="1"/>
    <s v="Salt"/>
    <s v="TYEXSG+CO"/>
    <n v="500"/>
    <m/>
    <m/>
    <n v="-500"/>
    <n v="4000"/>
    <n v="20000"/>
    <n v="3.8699999999999998E-2"/>
    <n v="154.79999999999998"/>
    <s v="ถ้าว,ฝา สีขาว"/>
    <n v="0.13619999999999999"/>
    <n v="0.25222222222222218"/>
  </r>
  <r>
    <x v="1024"/>
    <d v="2027-02-01T00:00:00"/>
    <x v="3"/>
    <e v="#N/A"/>
    <x v="1"/>
    <m/>
    <s v="UK"/>
    <s v="CPFNW"/>
    <s v="Food Fellas"/>
    <s v="Wonton +LS"/>
    <s v="Cooked Wonton"/>
    <s v="Cooked Wonton Laksa"/>
    <s v="082S8T208005P01001"/>
    <s v="147g*8"/>
    <n v="8"/>
    <n v="5"/>
    <n v="6.8100000000000001E-3"/>
    <x v="1"/>
    <s v="Salt"/>
    <s v="Laksa"/>
    <n v="500"/>
    <m/>
    <m/>
    <n v="-500"/>
    <n v="4000"/>
    <n v="20000"/>
    <n v="7.4999999999999997E-3"/>
    <n v="30"/>
    <s v="ถ้าว,ฝา สีขาว"/>
    <n v="0.13619999999999999"/>
    <n v="0.25222222222222218"/>
  </r>
  <r>
    <x v="1024"/>
    <d v="2027-02-01T00:00:00"/>
    <x v="3"/>
    <e v="#N/A"/>
    <x v="1"/>
    <m/>
    <s v="UK"/>
    <s v="CPFNW"/>
    <s v="Food Fellas"/>
    <s v="Minced ND+BC+LS"/>
    <s v="Cooked Wonton"/>
    <s v="Cooked Minced Wonton Noodles Bok Choy Laksa"/>
    <s v="082SRT208003P00001"/>
    <s v="315g*8"/>
    <n v="8"/>
    <n v="3"/>
    <n v="6.0000000000000001E-3"/>
    <x v="4"/>
    <s v="Salt"/>
    <s v="Laksa"/>
    <n v="500"/>
    <m/>
    <m/>
    <n v="-500"/>
    <n v="4000"/>
    <n v="12000"/>
    <n v="3.8699999999999998E-2"/>
    <n v="154.79999999999998"/>
    <s v="ถ้าว,ฝา สีขาว"/>
    <n v="7.2000000000000008E-2"/>
    <n v="0.13333333333333333"/>
  </r>
  <r>
    <x v="1023"/>
    <d v="2027-01-01T00:00:00"/>
    <x v="3"/>
    <e v="#N/A"/>
    <x v="0"/>
    <m/>
    <s v="UK"/>
    <s v="CPFNW"/>
    <s v="Westbridge Foods Limited (One UK)"/>
    <s v="Minced ND+Kee Mao"/>
    <s v="Cooked Wonton"/>
    <s v="Cooked Minced Wonton Thai Spicy Noodles (Drunken Noodles)"/>
    <s v="082SRKW06003P00001"/>
    <s v="300g*6"/>
    <n v="6"/>
    <n v="3"/>
    <n v="6.1999999999999998E-3"/>
    <x v="4"/>
    <s v="Salt"/>
    <s v="Kee Mao"/>
    <n v="8000"/>
    <m/>
    <m/>
    <n v="-8000"/>
    <n v="48000"/>
    <n v="144000"/>
    <n v="6.5000000000000002E-2"/>
    <n v="3120"/>
    <s v="&quot;may contain egg เเละ Allergen Update&quot; "/>
    <n v="0.89279999999999993"/>
    <n v="1.6533333333333331"/>
  </r>
  <r>
    <x v="1025"/>
    <d v="2026-11-01T00:00:00"/>
    <x v="2"/>
    <e v="#N/A"/>
    <x v="10"/>
    <m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800"/>
    <m/>
    <m/>
    <n v="-800"/>
    <n v="6400"/>
    <n v="32000"/>
    <n v="7.4999999999999997E-3"/>
    <n v="48"/>
    <s v="ใช้คำว่า “Best if Used By” แทนคำว่า Best by Date"/>
    <n v="0.192"/>
    <n v="0.35555555555555551"/>
  </r>
  <r>
    <x v="998"/>
    <d v="2026-12-01T00:00:00"/>
    <x v="2"/>
    <e v="#N/A"/>
    <x v="11"/>
    <m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600"/>
    <m/>
    <m/>
    <n v="-600"/>
    <n v="4800"/>
    <n v="24000"/>
    <n v="7.4999999999999997E-3"/>
    <n v="36"/>
    <s v="ใช้คำว่า “Best if Used By” แทนคำว่า Best by Date"/>
    <n v="0.14399999999999999"/>
    <n v="0.26666666666666661"/>
  </r>
  <r>
    <x v="1023"/>
    <d v="2027-01-01T00:00:00"/>
    <x v="3"/>
    <e v="#N/A"/>
    <x v="0"/>
    <m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5300"/>
    <m/>
    <m/>
    <n v="-5300"/>
    <n v="42400"/>
    <n v="212000"/>
    <n v="7.4999999999999997E-3"/>
    <n v="318"/>
    <s v="ใช้คำว่า “Best if Used By” แทนคำว่า Best by Date"/>
    <n v="1.272"/>
    <n v="2.3555555555555556"/>
  </r>
  <r>
    <x v="1024"/>
    <d v="2027-02-01T00:00:00"/>
    <x v="3"/>
    <e v="#N/A"/>
    <x v="1"/>
    <m/>
    <s v="USA"/>
    <s v="CPFNW"/>
    <s v="Bellisio Foods, Inc."/>
    <s v="Minced WT"/>
    <s v="Cooked Wonton"/>
    <s v="Cooked Minced Wonton No Egg"/>
    <s v="082SKBW08005P00001"/>
    <s v="145g*8"/>
    <n v="8"/>
    <n v="5"/>
    <n v="6.0000000000000001E-3"/>
    <x v="4"/>
    <s v="Salt"/>
    <s v="Regular"/>
    <n v="300"/>
    <m/>
    <m/>
    <n v="-300"/>
    <n v="2400"/>
    <n v="12000"/>
    <n v="7.4999999999999997E-3"/>
    <n v="18"/>
    <s v="ใช้คำว่า “Best if Used By” แทนคำว่า Best by Date"/>
    <n v="7.1999999999999995E-2"/>
    <n v="0.1333333333333333"/>
  </r>
  <r>
    <x v="998"/>
    <d v="2026-12-01T00:00:00"/>
    <x v="2"/>
    <e v="#N/A"/>
    <x v="11"/>
    <m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2200"/>
    <m/>
    <m/>
    <n v="-2200"/>
    <n v="52800"/>
    <n v="264000"/>
    <n v="7.4999999999999997E-3"/>
    <n v="396"/>
    <s v="ใช้คำว่า “Best if Used By” แทนคำว่า Best by Date"/>
    <n v="1.5840000000000001"/>
    <n v="2.9333333333333331"/>
  </r>
  <r>
    <x v="1023"/>
    <d v="2027-01-01T00:00:00"/>
    <x v="3"/>
    <e v="#N/A"/>
    <x v="0"/>
    <m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2300"/>
    <m/>
    <m/>
    <n v="-2300"/>
    <n v="55200"/>
    <n v="276000"/>
    <n v="7.4999999999999997E-3"/>
    <n v="414"/>
    <s v="ใช้คำว่า “Best if Used By” แทนคำว่า Best by Date"/>
    <n v="1.6559999999999999"/>
    <n v="3.0666666666666664"/>
  </r>
  <r>
    <x v="1024"/>
    <d v="2027-02-01T00:00:00"/>
    <x v="3"/>
    <e v="#N/A"/>
    <x v="1"/>
    <m/>
    <s v="USA"/>
    <s v="CPFNW"/>
    <s v="Bellisio Foods, Inc."/>
    <s v="Minced ND"/>
    <s v="Cooked Wonton"/>
    <s v="Cooked Minced Wonton Noodle No Egg"/>
    <s v="082SRBW24005P00001"/>
    <s v="258g*4c*6in"/>
    <n v="24"/>
    <n v="5"/>
    <n v="6.0000000000000001E-3"/>
    <x v="4"/>
    <s v="Salt"/>
    <s v="Regular"/>
    <n v="1100"/>
    <m/>
    <m/>
    <n v="-1100"/>
    <n v="26400"/>
    <n v="132000"/>
    <n v="7.4999999999999997E-3"/>
    <n v="198"/>
    <s v="ใช้คำว่า “Best if Used By” แทนคำว่า Best by Date"/>
    <n v="0.79200000000000004"/>
    <n v="1.4666666666666666"/>
  </r>
  <r>
    <x v="1025"/>
    <d v="2026-11-01T00:00:00"/>
    <x v="2"/>
    <e v="#N/A"/>
    <x v="10"/>
    <m/>
    <s v="USA"/>
    <s v="CPFNW"/>
    <s v="Bellisio Foods, Inc."/>
    <s v="Minced WT"/>
    <s v="Cooked Wonton"/>
    <s v="Cooked Minced Wonton Soup No Egg"/>
    <s v="082SKBW36005P00001"/>
    <s v="145g*6c*6"/>
    <n v="36"/>
    <n v="5"/>
    <n v="6.0000000000000001E-3"/>
    <x v="4"/>
    <s v="Salt"/>
    <s v="Regular"/>
    <n v="600"/>
    <m/>
    <m/>
    <n v="-600"/>
    <n v="21600"/>
    <n v="108000"/>
    <n v="7.4999999999999997E-3"/>
    <n v="162"/>
    <s v="ใช้คำว่า “Best if Used By” แทนคำว่า Best by Date"/>
    <n v="0.64800000000000002"/>
    <n v="1.2"/>
  </r>
  <r>
    <x v="1023"/>
    <d v="2027-01-01T00:00:00"/>
    <x v="3"/>
    <e v="#N/A"/>
    <x v="0"/>
    <m/>
    <s v="USA"/>
    <s v="CPFNW"/>
    <s v="Bellisio Foods, Inc."/>
    <s v="Minced WT"/>
    <s v="Cooked Wonton"/>
    <s v="Cooked Minced Wonton Soup No Egg"/>
    <s v="082SKBW36005P00001"/>
    <s v="145g*6c*6"/>
    <n v="36"/>
    <n v="5"/>
    <n v="6.0000000000000001E-3"/>
    <x v="4"/>
    <s v="Salt"/>
    <s v="Regular"/>
    <n v="750"/>
    <m/>
    <m/>
    <n v="-750"/>
    <n v="27000"/>
    <n v="135000"/>
    <n v="7.4999999999999997E-3"/>
    <n v="202.5"/>
    <s v="ใช้คำว่า “Best if Used By” แทนคำว่า Best by Date"/>
    <n v="0.81"/>
    <n v="1.5"/>
  </r>
  <r>
    <x v="1023"/>
    <d v="2027-01-01T00:00:00"/>
    <x v="3"/>
    <e v="#N/A"/>
    <x v="0"/>
    <m/>
    <s v="USA"/>
    <s v="CPFNW"/>
    <s v="Bellisio Foods, Inc."/>
    <s v="Minced ND+V"/>
    <s v="Cooked Wonton"/>
    <s v="Cooked Wonton ND No Egg with Pumpkin_x000a_+ Yu Choy Low sodium"/>
    <s v="082SRBW24005P01001"/>
    <s v="308g*4c*6in"/>
    <n v="24"/>
    <n v="5"/>
    <n v="6.0000000000000001E-3"/>
    <x v="4"/>
    <s v="Salt"/>
    <s v="Y3"/>
    <n v="170"/>
    <m/>
    <m/>
    <n v="-170"/>
    <n v="4080"/>
    <n v="20400"/>
    <n v="9.7000000000000003E-3"/>
    <n v="39.576000000000001"/>
    <m/>
    <n v="0.12239999999999999"/>
    <n v="0.22666666666666666"/>
  </r>
  <r>
    <x v="998"/>
    <d v="2027-01-01T00:00:00"/>
    <x v="2"/>
    <e v="#N/A"/>
    <x v="11"/>
    <m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12500"/>
    <m/>
    <m/>
    <n v="-12500"/>
    <n v="300000"/>
    <n v="1500000"/>
    <n v="7.4999999999999997E-3"/>
    <n v="2250"/>
    <m/>
    <n v="9.3000000000000007"/>
    <n v="17.222222222222221"/>
  </r>
  <r>
    <x v="1023"/>
    <d v="2027-02-01T00:00:00"/>
    <x v="3"/>
    <e v="#N/A"/>
    <x v="0"/>
    <m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12500"/>
    <m/>
    <m/>
    <n v="-12500"/>
    <n v="300000"/>
    <n v="1500000"/>
    <n v="7.4999999999999997E-3"/>
    <n v="2250"/>
    <m/>
    <n v="9.3000000000000007"/>
    <n v="17.222222222222221"/>
  </r>
  <r>
    <x v="1024"/>
    <d v="2027-03-01T00:00:00"/>
    <x v="3"/>
    <e v="#N/A"/>
    <x v="1"/>
    <m/>
    <s v=".7-11"/>
    <s v="CPFGS"/>
    <s v="ถ้วยใหม่"/>
    <s v="E+Wonton"/>
    <s v="Cooked Wonton"/>
    <s v="เกี๊ยวกุ้ง ตรา อีซี่ โก 24x5 PCS"/>
    <s v="082S81A24005P0E001"/>
    <s v="135g*24"/>
    <n v="24"/>
    <n v="5"/>
    <n v="6.1999999999999998E-3"/>
    <x v="2"/>
    <s v="STPP"/>
    <s v="Regular"/>
    <n v="12500"/>
    <m/>
    <m/>
    <n v="-12500"/>
    <n v="300000"/>
    <n v="1500000"/>
    <n v="7.4999999999999997E-3"/>
    <n v="2250"/>
    <m/>
    <n v="9.3000000000000007"/>
    <n v="17.222222222222221"/>
  </r>
  <r>
    <x v="998"/>
    <d v="2027-01-01T00:00:00"/>
    <x v="2"/>
    <e v="#N/A"/>
    <x v="11"/>
    <m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10000"/>
    <m/>
    <m/>
    <n v="-10000"/>
    <n v="240000"/>
    <n v="1200000"/>
    <n v="7.4999999999999997E-3"/>
    <n v="1800"/>
    <m/>
    <n v="9.6"/>
    <n v="17.777777777777775"/>
  </r>
  <r>
    <x v="1023"/>
    <d v="2027-02-01T00:00:00"/>
    <x v="3"/>
    <e v="#N/A"/>
    <x v="0"/>
    <m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10000"/>
    <m/>
    <m/>
    <n v="-10000"/>
    <n v="240000"/>
    <n v="1200000"/>
    <n v="7.4999999999999997E-3"/>
    <n v="1800"/>
    <m/>
    <n v="9.6"/>
    <n v="17.777777777777775"/>
  </r>
  <r>
    <x v="1024"/>
    <d v="2027-03-01T00:00:00"/>
    <x v="3"/>
    <e v="#N/A"/>
    <x v="1"/>
    <m/>
    <s v=".7-11"/>
    <s v="CPFGS"/>
    <s v="Seven  ถ้วยดำ"/>
    <s v="E+Wonton"/>
    <s v="Cooked Wonton"/>
    <s v="เกี๊ยวกุ้ง_ตราซีพี_(145กรัมx24)(7-11)"/>
    <s v="082S81A24005P04001"/>
    <s v="145g*24"/>
    <n v="24"/>
    <n v="5"/>
    <n v="8.0000000000000002E-3"/>
    <x v="1"/>
    <s v="STPP"/>
    <s v="Regular"/>
    <n v="10000"/>
    <m/>
    <m/>
    <n v="-10000"/>
    <n v="240000"/>
    <n v="1200000"/>
    <n v="7.4999999999999997E-3"/>
    <n v="1800"/>
    <m/>
    <n v="9.6"/>
    <n v="17.777777777777775"/>
  </r>
  <r>
    <x v="998"/>
    <d v="2027-01-01T00:00:00"/>
    <x v="2"/>
    <e v="#N/A"/>
    <x v="11"/>
    <m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x v="2"/>
    <s v="STPP"/>
    <s v="หมาล่า"/>
    <n v="2400"/>
    <m/>
    <m/>
    <n v="-2400"/>
    <n v="57600"/>
    <n v="172800"/>
    <n v="1.83E-2"/>
    <n v="1054.08"/>
    <m/>
    <n v="1.0713599999999999"/>
    <n v="1.9839999999999995"/>
  </r>
  <r>
    <x v="1023"/>
    <d v="2027-02-01T00:00:00"/>
    <x v="3"/>
    <e v="#N/A"/>
    <x v="0"/>
    <m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x v="2"/>
    <s v="STPP"/>
    <s v="หมาล่า"/>
    <n v="2400"/>
    <m/>
    <m/>
    <n v="-2400"/>
    <n v="57600"/>
    <n v="172800"/>
    <n v="1.83E-2"/>
    <n v="1054.08"/>
    <m/>
    <n v="1.0713599999999999"/>
    <n v="1.9839999999999995"/>
  </r>
  <r>
    <x v="1024"/>
    <d v="2027-03-01T00:00:00"/>
    <x v="3"/>
    <e v="#N/A"/>
    <x v="1"/>
    <m/>
    <s v=".7-11"/>
    <s v="CPFGS"/>
    <s v="CPFGS"/>
    <s v="E+NDเส้นมัน+หมาล่า"/>
    <s v="Cooked Wonton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x v="2"/>
    <s v="STPP"/>
    <s v="หมาล่า"/>
    <n v="2400"/>
    <m/>
    <m/>
    <n v="-2400"/>
    <n v="57600"/>
    <n v="172800"/>
    <n v="1.83E-2"/>
    <n v="1054.08"/>
    <m/>
    <n v="1.0713599999999999"/>
    <n v="1.9839999999999995"/>
  </r>
  <r>
    <x v="998"/>
    <d v="2027-01-01T00:00:00"/>
    <x v="2"/>
    <e v="#N/A"/>
    <x v="11"/>
    <m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1"/>
    <s v="145g*12"/>
    <n v="12"/>
    <n v="5"/>
    <n v="8.0000000000000002E-3"/>
    <x v="1"/>
    <s v="STPP"/>
    <s v="Regular"/>
    <n v="1750"/>
    <m/>
    <m/>
    <n v="-1750"/>
    <n v="21000"/>
    <n v="105000"/>
    <n v="7.4999999999999997E-3"/>
    <n v="157.5"/>
    <m/>
    <n v="0.84"/>
    <n v="1.5555555555555554"/>
  </r>
  <r>
    <x v="1023"/>
    <d v="2027-02-01T00:00:00"/>
    <x v="3"/>
    <e v="#N/A"/>
    <x v="0"/>
    <m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1"/>
    <s v="145g*12"/>
    <n v="12"/>
    <n v="5"/>
    <n v="8.0000000000000002E-3"/>
    <x v="1"/>
    <s v="STPP"/>
    <s v="Regular"/>
    <n v="1750"/>
    <m/>
    <m/>
    <n v="-1750"/>
    <n v="21000"/>
    <n v="105000"/>
    <n v="7.4999999999999997E-3"/>
    <n v="157.5"/>
    <m/>
    <n v="0.84"/>
    <n v="1.5555555555555554"/>
  </r>
  <r>
    <x v="1024"/>
    <d v="2027-03-01T00:00:00"/>
    <x v="3"/>
    <e v="#N/A"/>
    <x v="1"/>
    <m/>
    <s v="MTFS"/>
    <s v="CPFGS"/>
    <s v="ซีพีเอฟ เทรดดิ้ง"/>
    <s v="E+Wonton"/>
    <s v="Cooked Wonton"/>
    <s v="เกี๊ยวกุ้งจักรพรรดิ ตราซีพี 12x145 กรัม"/>
    <s v="082S83Q12005P05001"/>
    <s v="145g*12"/>
    <n v="12"/>
    <n v="5"/>
    <n v="8.0000000000000002E-3"/>
    <x v="1"/>
    <s v="STPP"/>
    <s v="Regular"/>
    <n v="1750"/>
    <m/>
    <m/>
    <n v="-1750"/>
    <n v="21000"/>
    <n v="105000"/>
    <n v="7.4999999999999997E-3"/>
    <n v="157.5"/>
    <m/>
    <n v="0.84"/>
    <n v="1.5555555555555554"/>
  </r>
  <r>
    <x v="998"/>
    <d v="2027-01-01T00:00:00"/>
    <x v="2"/>
    <e v="#N/A"/>
    <x v="11"/>
    <m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800"/>
    <m/>
    <m/>
    <n v="-800"/>
    <n v="14400"/>
    <n v="72000"/>
    <n v="1"/>
    <n v="14400"/>
    <m/>
    <n v="0.57599999999999996"/>
    <n v="1.0666666666666664"/>
  </r>
  <r>
    <x v="1023"/>
    <d v="2027-02-01T00:00:00"/>
    <x v="3"/>
    <e v="#N/A"/>
    <x v="0"/>
    <m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800"/>
    <m/>
    <m/>
    <n v="-800"/>
    <n v="14400"/>
    <n v="72000"/>
    <n v="1"/>
    <n v="14400"/>
    <m/>
    <n v="0.57599999999999996"/>
    <n v="1.0666666666666664"/>
  </r>
  <r>
    <x v="1024"/>
    <d v="2027-03-01T00:00:00"/>
    <x v="3"/>
    <e v="#N/A"/>
    <x v="1"/>
    <m/>
    <s v="MTFS"/>
    <s v="CPFGS"/>
    <s v="ซีพีเอฟ เทรดดิ้ง"/>
    <s v="E+Wonton"/>
    <s v="Cooked Wonton"/>
    <s v="เกี๊ยวกุ้งจักรพรรดิแพ็คสุดคุ้มซีพี6x270g"/>
    <s v="082S83Q18005P05001"/>
    <s v="90g*3B*6B"/>
    <n v="18"/>
    <n v="5"/>
    <n v="8.0000000000000002E-3"/>
    <x v="1"/>
    <s v="STPP"/>
    <s v="ซุปซอง 5g."/>
    <n v="800"/>
    <m/>
    <m/>
    <n v="-800"/>
    <n v="14400"/>
    <n v="72000"/>
    <n v="1"/>
    <n v="14400"/>
    <m/>
    <n v="0.57599999999999996"/>
    <n v="1.0666666666666664"/>
  </r>
  <r>
    <x v="998"/>
    <d v="2027-01-01T00:00:00"/>
    <x v="2"/>
    <e v="#N/A"/>
    <x v="11"/>
    <m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250"/>
    <m/>
    <m/>
    <n v="-250"/>
    <n v="3000"/>
    <n v="15000"/>
    <n v="7.4999999999999997E-3"/>
    <n v="22.5"/>
    <m/>
    <n v="0.09"/>
    <n v="0.16666666666666666"/>
  </r>
  <r>
    <x v="1023"/>
    <d v="2027-02-01T00:00:00"/>
    <x v="3"/>
    <e v="#N/A"/>
    <x v="0"/>
    <m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250"/>
    <m/>
    <m/>
    <n v="-250"/>
    <n v="3000"/>
    <n v="15000"/>
    <n v="7.4999999999999997E-3"/>
    <n v="22.5"/>
    <m/>
    <n v="0.09"/>
    <n v="0.16666666666666666"/>
  </r>
  <r>
    <x v="1024"/>
    <d v="2027-03-01T00:00:00"/>
    <x v="3"/>
    <e v="#N/A"/>
    <x v="1"/>
    <m/>
    <s v="MTFS"/>
    <s v="CPFGS"/>
    <s v="ซีพีเอฟ เทรดดิ้ง"/>
    <s v="E+Minced WT"/>
    <s v="Cooked Wonton"/>
    <s v="Minced Wonton (5pcs)"/>
    <s v="082SK3Q12005P00001"/>
    <s v="135g*12"/>
    <n v="12"/>
    <n v="5"/>
    <n v="6.0000000000000001E-3"/>
    <x v="4"/>
    <s v="STPP"/>
    <s v="Regular"/>
    <n v="250"/>
    <m/>
    <m/>
    <n v="-250"/>
    <n v="3000"/>
    <n v="15000"/>
    <n v="7.4999999999999997E-3"/>
    <n v="22.5"/>
    <m/>
    <n v="0.09"/>
    <n v="0.16666666666666666"/>
  </r>
  <r>
    <x v="998"/>
    <d v="2027-01-01T00:00:00"/>
    <x v="2"/>
    <e v="#N/A"/>
    <x v="11"/>
    <m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200"/>
    <m/>
    <m/>
    <n v="-200"/>
    <n v="2400"/>
    <n v="7200"/>
    <n v="7.4999999999999997E-3"/>
    <n v="18"/>
    <m/>
    <n v="4.3200000000000002E-2"/>
    <n v="0.08"/>
  </r>
  <r>
    <x v="1023"/>
    <d v="2027-02-01T00:00:00"/>
    <x v="3"/>
    <e v="#N/A"/>
    <x v="0"/>
    <m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200"/>
    <m/>
    <m/>
    <n v="-200"/>
    <n v="2400"/>
    <n v="7200"/>
    <n v="7.4999999999999997E-3"/>
    <n v="18"/>
    <m/>
    <n v="4.3200000000000002E-2"/>
    <n v="0.08"/>
  </r>
  <r>
    <x v="1024"/>
    <d v="2027-03-01T00:00:00"/>
    <x v="3"/>
    <e v="#N/A"/>
    <x v="1"/>
    <m/>
    <s v="MTFS"/>
    <s v="CPFGS"/>
    <s v="ซีพีเอฟ เทรดดิ้ง"/>
    <s v="E+Minced NDE"/>
    <s v="Cooked Wonton"/>
    <s v="Minced Noodle with egg V-Food (3 pcs)"/>
    <s v="082SR3Q12003P00001"/>
    <s v="191g*12"/>
    <n v="12"/>
    <n v="3"/>
    <n v="6.0000000000000001E-3"/>
    <x v="4"/>
    <s v="STPP"/>
    <s v="Regular"/>
    <n v="200"/>
    <m/>
    <m/>
    <n v="-200"/>
    <n v="2400"/>
    <n v="7200"/>
    <n v="7.4999999999999997E-3"/>
    <n v="18"/>
    <m/>
    <n v="4.3200000000000002E-2"/>
    <n v="0.08"/>
  </r>
  <r>
    <x v="998"/>
    <d v="2027-01-01T00:00:00"/>
    <x v="2"/>
    <e v="#N/A"/>
    <x v="11"/>
    <m/>
    <s v="MTFS"/>
    <s v="CPFGS"/>
    <s v="ซีพีเอฟ เทรดดิ้ง"/>
    <s v="E+Wonton NDE"/>
    <s v="Cooked Wonton"/>
    <s v="บะหมี่เกี๊ยวกุ้ง ตราซีพี 12X226 กรัม"/>
    <s v="082SJ3Q12003P07001"/>
    <s v="226g*12"/>
    <n v="12"/>
    <n v="3"/>
    <n v="8.0000000000000002E-3"/>
    <x v="1"/>
    <s v="STPP"/>
    <s v="Regular"/>
    <n v="500"/>
    <m/>
    <m/>
    <n v="-500"/>
    <n v="6000"/>
    <n v="18000"/>
    <n v="7.4999999999999997E-3"/>
    <n v="45"/>
    <m/>
    <n v="0.14399999999999999"/>
    <n v="0.26666666666666661"/>
  </r>
  <r>
    <x v="1023"/>
    <d v="2027-02-01T00:00:00"/>
    <x v="3"/>
    <e v="#N/A"/>
    <x v="0"/>
    <m/>
    <s v="MTFS"/>
    <s v="CPFGS"/>
    <s v="ซีพีเอฟ เทรดดิ้ง"/>
    <s v="E+Wonton NDE"/>
    <s v="Cooked Wonton"/>
    <s v="บะหมี่เกี๊ยวกุ้ง ตราซีพี 12X226 กรัม"/>
    <s v="082SJ3Q12003P07001"/>
    <s v="226g*12"/>
    <n v="12"/>
    <n v="3"/>
    <n v="8.0000000000000002E-3"/>
    <x v="1"/>
    <s v="STPP"/>
    <s v="Regular"/>
    <n v="500"/>
    <m/>
    <m/>
    <n v="-500"/>
    <n v="6000"/>
    <n v="18000"/>
    <n v="7.4999999999999997E-3"/>
    <n v="45"/>
    <m/>
    <n v="0.14399999999999999"/>
    <n v="0.26666666666666661"/>
  </r>
  <r>
    <x v="1024"/>
    <d v="2027-03-01T00:00:00"/>
    <x v="3"/>
    <e v="#N/A"/>
    <x v="1"/>
    <m/>
    <s v="MTFS"/>
    <s v="CPFGS"/>
    <s v="ซีพีเอฟ เทรดดิ้ง"/>
    <s v="E+Wonton NDE"/>
    <s v="Cooked Wonton"/>
    <s v="บะหมี่เกี๊ยวกุ้ง ตราซีพี 12X226 กรัม"/>
    <s v="082SJ3Q12003P07001"/>
    <s v="226g*12"/>
    <n v="12"/>
    <n v="3"/>
    <n v="8.0000000000000002E-3"/>
    <x v="1"/>
    <s v="STPP"/>
    <s v="Regular"/>
    <n v="500"/>
    <m/>
    <m/>
    <n v="-500"/>
    <n v="6000"/>
    <n v="18000"/>
    <n v="7.4999999999999997E-3"/>
    <n v="45"/>
    <m/>
    <n v="0.14399999999999999"/>
    <n v="0.26666666666666661"/>
  </r>
  <r>
    <x v="1022"/>
    <m/>
    <x v="4"/>
    <e v="#N/A"/>
    <x v="12"/>
    <n v="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s v="มี Package เก่า "/>
    <n v="1.0692000000000002"/>
    <n v="1.9800000000000002"/>
  </r>
  <r>
    <x v="1022"/>
    <m/>
    <x v="4"/>
    <e v="#N/A"/>
    <x v="12"/>
    <n v="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s v="มี Package เก่า "/>
    <n v="1.0692000000000002"/>
    <n v="1.9800000000000002"/>
  </r>
  <r>
    <x v="1022"/>
    <m/>
    <x v="4"/>
    <e v="#N/A"/>
    <x v="12"/>
    <n v="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s v="มี Package เก่า "/>
    <n v="1.0692000000000002"/>
    <n v="1.9800000000000002"/>
  </r>
  <r>
    <x v="1022"/>
    <m/>
    <x v="4"/>
    <e v="#N/A"/>
    <x v="12"/>
    <n v="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s v="มี Package เก่า 3.98 ตู้"/>
    <n v="1.0692000000000002"/>
    <n v="1.9800000000000002"/>
  </r>
  <r>
    <x v="1022"/>
    <m/>
    <x v="4"/>
    <e v="#N/A"/>
    <x v="12"/>
    <n v="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1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1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1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1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1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1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1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1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1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1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2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2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2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2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2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2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26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27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28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29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30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31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32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33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34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n v="35"/>
    <s v="USA"/>
    <s v="CPFNW"/>
    <s v="Bellisio Foods, Inc."/>
    <s v="Wonton ND+V"/>
    <s v="Cooked Wonton"/>
    <s v="Cooked Wonton ND No Egg with Pumpkin_x000a_+ Yu Choy Low sodium"/>
    <s v="082SJBW36005P00001"/>
    <s v="308g*6c*6in"/>
    <n v="36"/>
    <n v="5"/>
    <n v="7.4999999999999997E-3"/>
    <x v="5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x v="1022"/>
    <m/>
    <x v="4"/>
    <e v="#N/A"/>
    <x v="12"/>
    <m/>
    <m/>
    <m/>
    <m/>
    <m/>
    <m/>
    <m/>
    <m/>
    <m/>
    <m/>
    <m/>
    <m/>
    <x v="0"/>
    <m/>
    <m/>
    <m/>
    <m/>
    <m/>
    <m/>
    <m/>
    <n v="0"/>
    <m/>
    <m/>
    <m/>
    <m/>
    <m/>
  </r>
  <r>
    <x v="1022"/>
    <m/>
    <x v="5"/>
    <m/>
    <x v="13"/>
    <m/>
    <m/>
    <m/>
    <m/>
    <m/>
    <m/>
    <m/>
    <m/>
    <m/>
    <m/>
    <m/>
    <m/>
    <x v="0"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63">
  <r>
    <m/>
    <x v="0"/>
    <m/>
    <x v="0"/>
    <s v="Week1"/>
    <x v="0"/>
    <m/>
    <m/>
    <m/>
    <m/>
    <m/>
    <x v="0"/>
    <m/>
    <m/>
    <m/>
    <m/>
    <m/>
    <m/>
    <m/>
    <m/>
    <m/>
    <m/>
    <m/>
    <m/>
    <m/>
    <m/>
    <m/>
    <m/>
    <m/>
    <m/>
    <m/>
    <m/>
  </r>
  <r>
    <m/>
    <x v="1"/>
    <m/>
    <x v="0"/>
    <s v="Week1"/>
    <x v="0"/>
    <m/>
    <m/>
    <m/>
    <m/>
    <m/>
    <x v="0"/>
    <m/>
    <m/>
    <m/>
    <m/>
    <m/>
    <m/>
    <m/>
    <m/>
    <m/>
    <m/>
    <m/>
    <m/>
    <m/>
    <m/>
    <m/>
    <m/>
    <m/>
    <m/>
    <m/>
    <m/>
  </r>
  <r>
    <s v="T"/>
    <x v="2"/>
    <d v="2023-10-08T00:00:00"/>
    <x v="0"/>
    <s v="Week1"/>
    <x v="0"/>
    <s v="DRY2300557"/>
    <s v="USA"/>
    <s v="CPFNW"/>
    <s v="Bellisio"/>
    <s v="C-WT in tray no egg"/>
    <x v="1"/>
    <s v="COOKED WONTON 6 pcs."/>
    <s v="082S8BW08012P00001"/>
    <s v="117*2tray*8in"/>
    <n v="16"/>
    <n v="6"/>
    <n v="8.1300000000000001E-3"/>
    <s v="M"/>
    <s v="Salt"/>
    <s v=" Sesame 15g"/>
    <n v="901"/>
    <m/>
    <n v="901"/>
    <n v="0"/>
    <n v="0"/>
    <m/>
    <n v="1"/>
    <n v="14416"/>
    <s v="cap 3000 tray/hr."/>
    <m/>
    <m/>
  </r>
  <r>
    <s v="STK ตรุษจีน"/>
    <x v="2"/>
    <d v="2024-01-08T00:00:00"/>
    <x v="0"/>
    <s v="Week1"/>
    <x v="0"/>
    <s v="ขายภายใน"/>
    <s v=".7-11"/>
    <s v="CPFGS"/>
    <s v="ถ้วยขาวพิมพ์ลายใหม่"/>
    <s v="Wonton"/>
    <x v="1"/>
    <s v="Cooked Wonton No Egg .7-11"/>
    <s v="082S81A24005P06001"/>
    <s v="130g*24"/>
    <n v="24"/>
    <n v="5"/>
    <n v="6.1999999999999998E-3"/>
    <s v="SS"/>
    <s v="STPP"/>
    <s v="Regular"/>
    <n v="2878"/>
    <n v="2878"/>
    <m/>
    <n v="0"/>
    <n v="0"/>
    <m/>
    <m/>
    <m/>
    <s v="STK ตรุษจีน"/>
    <m/>
    <m/>
  </r>
  <r>
    <s v="เริ่มหมึกพิพม์ใหม่"/>
    <x v="2"/>
    <d v="2024-01-08T00:00:00"/>
    <x v="0"/>
    <s v="Week1"/>
    <x v="0"/>
    <s v="DRY2300667"/>
    <s v="Netherlands"/>
    <s v="CPFNW"/>
    <s v="Westbridge Foods Limited"/>
    <s v="Wonton ND+V+TY"/>
    <x v="1"/>
    <s v="Cooked Wonton ND No Egg with Pumpkin _x000a_+ Vegetable 5 pcs tomyam"/>
    <s v="082SJWE24005P01001"/>
    <s v="307g*4c*6in"/>
    <n v="24"/>
    <n v="5"/>
    <n v="7.4999999999999997E-3"/>
    <s v="M"/>
    <s v="Salt"/>
    <s v="TYEX+CO"/>
    <n v="924"/>
    <n v="924"/>
    <m/>
    <n v="0"/>
    <n v="0"/>
    <m/>
    <m/>
    <m/>
    <s v="เริ่มหมึกพิพม์ใหม่"/>
    <m/>
    <m/>
  </r>
  <r>
    <s v="R"/>
    <x v="2"/>
    <d v="2024-01-08T00:00:00"/>
    <x v="0"/>
    <s v="Week1"/>
    <x v="0"/>
    <s v="DRY2300541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664"/>
    <n v="664"/>
    <m/>
    <n v="0"/>
    <n v="0"/>
    <n v="0"/>
    <n v="2"/>
    <n v="0"/>
    <s v="ห่อแบบสุก"/>
    <m/>
    <m/>
  </r>
  <r>
    <s v="STK ตรุษจีน"/>
    <x v="3"/>
    <d v="2024-01-08T00:00:00"/>
    <x v="0"/>
    <s v="Week1"/>
    <x v="0"/>
    <s v="ขายภายใน"/>
    <s v=".7-11"/>
    <s v="CPFGS"/>
    <s v="ถ้วยขาวพิมพ์ลายใหม่"/>
    <s v="Wonton"/>
    <x v="1"/>
    <s v="Cooked Wonton No Egg .7-11"/>
    <s v="082S81A24005P06001"/>
    <s v="130g*24"/>
    <n v="24"/>
    <n v="5"/>
    <n v="6.1999999999999998E-3"/>
    <s v="SS"/>
    <s v="STPP"/>
    <s v="Regular"/>
    <n v="5492"/>
    <n v="5492"/>
    <m/>
    <n v="0"/>
    <n v="0"/>
    <m/>
    <m/>
    <m/>
    <s v="STK ตรุษจีน"/>
    <m/>
    <m/>
  </r>
  <r>
    <m/>
    <x v="3"/>
    <d v="2024-01-16T00:00:00"/>
    <x v="0"/>
    <s v="Week1"/>
    <x v="0"/>
    <s v="DRY2300666"/>
    <s v="UK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n v="924"/>
    <m/>
    <n v="0"/>
    <n v="0"/>
    <m/>
    <m/>
    <m/>
    <m/>
    <m/>
    <m/>
  </r>
  <r>
    <s v="R"/>
    <x v="3"/>
    <d v="2024-01-08T00:00:00"/>
    <x v="0"/>
    <s v="Week1"/>
    <x v="0"/>
    <s v="KL2300030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546"/>
    <n v="546"/>
    <m/>
    <n v="0"/>
    <n v="0"/>
    <n v="0"/>
    <n v="6"/>
    <n v="0"/>
    <m/>
    <m/>
    <m/>
  </r>
  <r>
    <s v="T"/>
    <x v="4"/>
    <d v="2023-10-08T00:00:00"/>
    <x v="0"/>
    <s v="Week1"/>
    <x v="0"/>
    <s v="DRY2300557"/>
    <s v="USA"/>
    <s v="CPFNW"/>
    <s v="Bellisio"/>
    <s v="C-WT in tray no egg"/>
    <x v="1"/>
    <s v="COOKED WONTON 6 pcs."/>
    <s v="082S8BW08012P00001"/>
    <s v="117*2tray*8in"/>
    <n v="16"/>
    <n v="6"/>
    <n v="8.1300000000000001E-3"/>
    <s v="M"/>
    <s v="Salt"/>
    <s v=" Sesame 15g"/>
    <n v="599"/>
    <n v="599"/>
    <m/>
    <n v="0"/>
    <n v="0"/>
    <m/>
    <n v="1"/>
    <n v="9584"/>
    <s v="cap 3000 tray/hr."/>
    <m/>
    <m/>
  </r>
  <r>
    <m/>
    <x v="4"/>
    <m/>
    <x v="0"/>
    <s v="Week1"/>
    <x v="0"/>
    <s v="ขายภายใน"/>
    <s v=".7-11"/>
    <s v="CPFGS"/>
    <s v="ถ้วยขาวพิมพ์ลายใหม่"/>
    <s v="Wonton"/>
    <x v="1"/>
    <s v="Cooked Wonton No Egg .7-11"/>
    <s v="082S81A24005P06001"/>
    <s v="130g*24"/>
    <n v="24"/>
    <n v="5"/>
    <n v="6.1999999999999998E-3"/>
    <s v="SS"/>
    <s v="STPP"/>
    <s v="Regular"/>
    <n v="1997"/>
    <n v="1997"/>
    <m/>
    <n v="0"/>
    <n v="0"/>
    <m/>
    <m/>
    <m/>
    <m/>
    <m/>
    <m/>
  </r>
  <r>
    <s v="R"/>
    <x v="4"/>
    <d v="2024-01-08T00:00:00"/>
    <x v="0"/>
    <s v="Week1"/>
    <x v="0"/>
    <s v="KL2300030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555"/>
    <n v="555"/>
    <m/>
    <n v="0"/>
    <n v="0"/>
    <n v="0"/>
    <n v="6"/>
    <n v="0"/>
    <m/>
    <m/>
    <m/>
  </r>
  <r>
    <s v="เก็บตก"/>
    <x v="5"/>
    <d v="2024-01-08T00:00:00"/>
    <x v="0"/>
    <s v="Week1"/>
    <x v="0"/>
    <s v="DRY2300557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202"/>
    <n v="202"/>
    <m/>
    <n v="0"/>
    <n v="0"/>
    <m/>
    <m/>
    <m/>
    <m/>
    <m/>
    <m/>
  </r>
  <r>
    <m/>
    <x v="5"/>
    <d v="2024-01-15T00:00:00"/>
    <x v="0"/>
    <s v="Week1"/>
    <x v="0"/>
    <s v="ขายภายใน"/>
    <s v="MTFS"/>
    <s v="CPFGS"/>
    <s v="ซีพีเอฟ เทรดดิ้ง"/>
    <s v="E+Wonton NDE"/>
    <x v="1"/>
    <s v="Cooked Wonton ND with egg V-Food"/>
    <s v="082SJ3Q12003P07001"/>
    <s v="226g*12"/>
    <n v="12"/>
    <n v="3"/>
    <n v="8.0000000000000002E-3"/>
    <s v="M"/>
    <s v="STPP"/>
    <s v="Regular"/>
    <n v="515"/>
    <n v="515"/>
    <m/>
    <n v="0"/>
    <n v="0"/>
    <m/>
    <m/>
    <m/>
    <m/>
    <m/>
    <m/>
  </r>
  <r>
    <m/>
    <x v="5"/>
    <d v="2024-01-29T00:00:00"/>
    <x v="0"/>
    <s v="Week1"/>
    <x v="0"/>
    <s v="ขายภายใน"/>
    <s v="MTFS"/>
    <s v="CPFGS"/>
    <s v="ซีพีเอฟ เทรดดิ้ง"/>
    <s v="E+Wonton TY"/>
    <x v="1"/>
    <s v="Cooked Wonton Tomyum with egg.V-Food TY"/>
    <s v="082S83Q12005P04001"/>
    <s v="115g*12"/>
    <n v="12"/>
    <n v="5"/>
    <n v="8.0000000000000002E-3"/>
    <s v="M"/>
    <s v="STPP"/>
    <s v="TYTB3C 30G"/>
    <n v="320"/>
    <n v="320"/>
    <m/>
    <n v="0"/>
    <n v="0"/>
    <m/>
    <n v="1"/>
    <n v="0"/>
    <m/>
    <m/>
    <m/>
  </r>
  <r>
    <m/>
    <x v="5"/>
    <d v="2024-01-08T00:00:00"/>
    <x v="0"/>
    <s v="Week1"/>
    <x v="0"/>
    <s v="ขายภายใน"/>
    <s v="MTFS"/>
    <s v="CPFGS"/>
    <s v="ซีพีเอฟ เทรดดิ้ง"/>
    <s v="E+Wonton"/>
    <x v="1"/>
    <s v="Cooked Wonton  with egg V-Food"/>
    <s v="082S83Q12005P05001"/>
    <s v="145g*12"/>
    <n v="12"/>
    <n v="5"/>
    <n v="8.0000000000000002E-3"/>
    <s v="M"/>
    <s v="STPP"/>
    <s v="Regular"/>
    <n v="2919"/>
    <n v="2919"/>
    <m/>
    <n v="0"/>
    <n v="0"/>
    <m/>
    <m/>
    <m/>
    <m/>
    <m/>
    <m/>
  </r>
  <r>
    <m/>
    <x v="5"/>
    <d v="2024-01-18T00:00:00"/>
    <x v="0"/>
    <s v="Week1"/>
    <x v="0"/>
    <s v="ขายภายใน"/>
    <s v="MTFS"/>
    <s v="CPFGS"/>
    <s v="ซีพีเอฟ เทรดดิ้ง"/>
    <s v="E+Wonton"/>
    <x v="1"/>
    <s v="Cooked Wonton Multipack  with Egg  270g"/>
    <s v="082S83Q18005P05001"/>
    <s v="270g*3B*6B"/>
    <n v="18"/>
    <n v="5"/>
    <n v="8.0000000000000002E-3"/>
    <s v="M"/>
    <s v="STPP"/>
    <s v="ซุปซอง 5g."/>
    <n v="1700"/>
    <n v="1700"/>
    <m/>
    <n v="0"/>
    <n v="0"/>
    <m/>
    <n v="1"/>
    <n v="0"/>
    <m/>
    <m/>
    <m/>
  </r>
  <r>
    <m/>
    <x v="5"/>
    <d v="2024-01-08T00:00:00"/>
    <x v="0"/>
    <s v="Week1"/>
    <x v="0"/>
    <s v="ขายภายใน"/>
    <s v=".7-11"/>
    <s v="CPFGS"/>
    <s v="ซีพีเอฟ เทรดดิ้ง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2030"/>
    <n v="2030"/>
    <m/>
    <n v="0"/>
    <n v="0"/>
    <m/>
    <m/>
    <m/>
    <m/>
    <m/>
    <m/>
  </r>
  <r>
    <s v="R"/>
    <x v="5"/>
    <d v="2024-01-08T00:00:00"/>
    <x v="0"/>
    <s v="Week1"/>
    <x v="0"/>
    <s v="KL2300030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307"/>
    <n v="307"/>
    <m/>
    <n v="0"/>
    <n v="0"/>
    <n v="0"/>
    <n v="6"/>
    <n v="0"/>
    <m/>
    <m/>
    <m/>
  </r>
  <r>
    <s v="R"/>
    <x v="5"/>
    <d v="2024-02-08T00:00:00"/>
    <x v="0"/>
    <s v="Week1"/>
    <x v="0"/>
    <s v="KL2300038"/>
    <s v="China"/>
    <s v="China"/>
    <s v="Charoen Pokphand Import&amp;Export Trading (Shanghai) Co., Ltd"/>
    <s v="R-Wonton no egg"/>
    <x v="2"/>
    <s v="Raw Wonton 12 pcs"/>
    <s v="082I95J20012P04001"/>
    <s v="144g*20in"/>
    <n v="20"/>
    <n v="12"/>
    <n v="6.8100000000000001E-3"/>
    <s v="S"/>
    <s v="STPP"/>
    <s v="ซุปซอง 5g."/>
    <n v="957"/>
    <n v="761"/>
    <n v="196"/>
    <n v="0"/>
    <n v="0"/>
    <n v="0"/>
    <n v="2"/>
    <n v="0"/>
    <s v="pkเข้า5/1"/>
    <m/>
    <m/>
  </r>
  <r>
    <m/>
    <x v="6"/>
    <m/>
    <x v="0"/>
    <s v="Week1"/>
    <x v="0"/>
    <m/>
    <m/>
    <m/>
    <m/>
    <m/>
    <x v="0"/>
    <s v="เครื่องจักรเสีย"/>
    <m/>
    <m/>
    <m/>
    <m/>
    <m/>
    <m/>
    <m/>
    <m/>
    <m/>
    <m/>
    <m/>
    <m/>
    <m/>
    <m/>
    <m/>
    <m/>
    <m/>
    <m/>
    <m/>
  </r>
  <r>
    <s v="T"/>
    <x v="6"/>
    <d v="2024-01-23T00:00:00"/>
    <x v="0"/>
    <s v="Week1"/>
    <x v="0"/>
    <s v="DRY2300670"/>
    <s v="Korea"/>
    <s v="CPFNW"/>
    <s v="Emart"/>
    <s v="C-WT in tray no egg"/>
    <x v="1"/>
    <s v="COOKED WONTON 6 pcs."/>
    <s v="082S8EJ12012P00001"/>
    <s v="141*2tray*12in"/>
    <n v="24"/>
    <n v="6"/>
    <n v="6.1999999999999998E-3"/>
    <s v="SS"/>
    <s v="Salt"/>
    <s v=" Sesame 15g"/>
    <n v="2799"/>
    <n v="532"/>
    <n v="2342.75"/>
    <n v="75.75"/>
    <n v="0"/>
    <m/>
    <n v="1"/>
    <n v="67176"/>
    <s v="NEWPACKAGE"/>
    <m/>
    <m/>
  </r>
  <r>
    <m/>
    <x v="7"/>
    <d v="2024-01-12T00:00:00"/>
    <x v="0"/>
    <s v="Week2"/>
    <x v="0"/>
    <s v="DRY230060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31"/>
    <n v="131"/>
    <m/>
    <n v="0"/>
    <n v="0"/>
    <m/>
    <m/>
    <m/>
    <m/>
    <m/>
    <m/>
  </r>
  <r>
    <m/>
    <x v="7"/>
    <d v="2024-01-12T00:00:00"/>
    <x v="0"/>
    <s v="Week2"/>
    <x v="0"/>
    <s v="DRY230059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7"/>
    <d v="2024-01-12T00:00:00"/>
    <x v="0"/>
    <s v="Week2"/>
    <x v="0"/>
    <s v="DRY230059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7"/>
    <d v="2024-01-26T00:00:00"/>
    <x v="0"/>
    <s v="Week2"/>
    <x v="0"/>
    <s v="DRY230059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15"/>
    <n v="615"/>
    <m/>
    <n v="0"/>
    <n v="0"/>
    <m/>
    <m/>
    <m/>
    <m/>
    <m/>
    <m/>
  </r>
  <r>
    <s v="ชดเชยของกัก"/>
    <x v="7"/>
    <d v="2024-01-12T00:00:00"/>
    <x v="0"/>
    <s v="Week2"/>
    <x v="0"/>
    <s v="DRY2300614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s v="ชดเชยของกัก"/>
    <x v="7"/>
    <d v="2024-01-18T00:00:00"/>
    <x v="0"/>
    <s v="Week2"/>
    <x v="0"/>
    <s v="DRY2300615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294"/>
    <n v="498"/>
    <n v="0"/>
    <n v="0"/>
    <m/>
    <m/>
    <m/>
    <m/>
    <m/>
    <m/>
  </r>
  <r>
    <s v="R"/>
    <x v="7"/>
    <d v="2024-02-08T00:00:00"/>
    <x v="0"/>
    <s v="Week2"/>
    <x v="0"/>
    <s v="KL2300038"/>
    <s v="China"/>
    <s v="China"/>
    <s v="Charoen Pokphand Import&amp;Export Trading (Shanghai) Co., Ltd"/>
    <s v="R-Wonton no egg"/>
    <x v="2"/>
    <s v="Raw Wonton 12 pcs"/>
    <s v="082I95J20012P04001"/>
    <s v="144g*20in"/>
    <n v="20"/>
    <n v="12"/>
    <n v="6.8100000000000001E-3"/>
    <s v="S"/>
    <s v="STPP"/>
    <s v="ซุปซอง 5g."/>
    <n v="1282"/>
    <n v="1282"/>
    <m/>
    <n v="0"/>
    <n v="0"/>
    <n v="0"/>
    <n v="2"/>
    <n v="0"/>
    <m/>
    <m/>
    <m/>
  </r>
  <r>
    <m/>
    <x v="8"/>
    <d v="2024-02-02T00:00:00"/>
    <x v="0"/>
    <s v="Week2"/>
    <x v="0"/>
    <s v="DRY2300678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1400"/>
    <m/>
    <n v="1400"/>
    <n v="0"/>
    <n v="0"/>
    <m/>
    <m/>
    <m/>
    <m/>
    <m/>
    <m/>
  </r>
  <r>
    <m/>
    <x v="8"/>
    <d v="2024-02-13T00:00:00"/>
    <x v="0"/>
    <s v="Week2"/>
    <x v="0"/>
    <s v="DRY2300725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1400"/>
    <m/>
    <n v="1400"/>
    <n v="0"/>
    <n v="0"/>
    <m/>
    <m/>
    <m/>
    <m/>
    <m/>
    <m/>
  </r>
  <r>
    <m/>
    <x v="8"/>
    <d v="2024-02-20T00:00:00"/>
    <x v="0"/>
    <s v="Week2"/>
    <x v="0"/>
    <s v="DRY2300726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700"/>
    <m/>
    <n v="700"/>
    <n v="0"/>
    <n v="0"/>
    <m/>
    <m/>
    <m/>
    <m/>
    <m/>
    <m/>
  </r>
  <r>
    <m/>
    <x v="8"/>
    <d v="2024-01-26T00:00:00"/>
    <x v="0"/>
    <s v="Week2"/>
    <x v="0"/>
    <s v="DRY230059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77"/>
    <n v="177"/>
    <m/>
    <n v="0"/>
    <n v="0"/>
    <m/>
    <m/>
    <m/>
    <m/>
    <m/>
    <m/>
  </r>
  <r>
    <m/>
    <x v="8"/>
    <d v="2024-01-26T00:00:00"/>
    <x v="0"/>
    <s v="Week2"/>
    <x v="0"/>
    <s v="DRY230060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8"/>
    <d v="2024-01-26T00:00:00"/>
    <x v="0"/>
    <s v="Week2"/>
    <x v="0"/>
    <s v="DRY230060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8"/>
    <d v="2024-01-26T00:00:00"/>
    <x v="0"/>
    <s v="Week2"/>
    <x v="0"/>
    <s v="DRY230060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8"/>
    <d v="2024-01-26T00:00:00"/>
    <x v="0"/>
    <s v="Week2"/>
    <x v="0"/>
    <s v="DRY230060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23"/>
    <n v="60"/>
    <n v="563"/>
    <n v="0"/>
    <n v="0"/>
    <m/>
    <m/>
    <m/>
    <m/>
    <m/>
    <m/>
  </r>
  <r>
    <s v="R"/>
    <x v="8"/>
    <d v="2024-02-08T00:00:00"/>
    <x v="0"/>
    <s v="Week2"/>
    <x v="0"/>
    <s v="KL2300038"/>
    <s v="China"/>
    <s v="China"/>
    <s v="Charoen Pokphand Import&amp;Export Trading (Shanghai) Co., Ltd"/>
    <s v="R-Wonton no egg"/>
    <x v="2"/>
    <s v="Raw Wonton 12 pcs"/>
    <s v="082I95J20012P04001"/>
    <s v="144g*20in"/>
    <n v="20"/>
    <n v="12"/>
    <n v="6.8100000000000001E-3"/>
    <s v="S"/>
    <s v="STPP"/>
    <s v="ซุปซอง 5g."/>
    <n v="231"/>
    <n v="231"/>
    <m/>
    <n v="0"/>
    <n v="0"/>
    <n v="0"/>
    <n v="2"/>
    <n v="0"/>
    <m/>
    <m/>
    <m/>
  </r>
  <r>
    <s v="R"/>
    <x v="8"/>
    <d v="2024-02-08T00:00:00"/>
    <x v="0"/>
    <s v="Week2"/>
    <x v="0"/>
    <s v="KL2300038"/>
    <s v="China"/>
    <s v="China"/>
    <s v="Charoen Pokphand Import&amp;Export Trading (Shanghai) Co., Ltd"/>
    <s v="R-Wonton no egg"/>
    <x v="2"/>
    <s v="Raw Wonton 50 pcs"/>
    <s v="082I95J08050P03001"/>
    <s v="630g*8in"/>
    <n v="8"/>
    <n v="50"/>
    <n v="6.8100000000000001E-3"/>
    <s v="S"/>
    <s v="STPP"/>
    <s v="ซุปซอง 5g."/>
    <n v="600"/>
    <n v="600"/>
    <m/>
    <n v="0"/>
    <n v="0"/>
    <n v="0"/>
    <n v="6"/>
    <n v="0"/>
    <m/>
    <m/>
    <m/>
  </r>
  <r>
    <m/>
    <x v="9"/>
    <d v="2024-02-02T00:00:00"/>
    <x v="0"/>
    <s v="Week2"/>
    <x v="0"/>
    <s v="DRY2300678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1900"/>
    <m/>
    <n v="1900"/>
    <n v="0"/>
    <n v="0"/>
    <m/>
    <m/>
    <m/>
    <m/>
    <m/>
    <m/>
  </r>
  <r>
    <m/>
    <x v="9"/>
    <d v="2024-02-02T00:00:00"/>
    <x v="0"/>
    <s v="Week2"/>
    <x v="0"/>
    <s v="DRY2300679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2400"/>
    <m/>
    <n v="2400"/>
    <n v="0"/>
    <n v="0"/>
    <m/>
    <m/>
    <m/>
    <m/>
    <m/>
    <m/>
  </r>
  <r>
    <m/>
    <x v="9"/>
    <d v="2024-02-13T00:00:00"/>
    <x v="0"/>
    <s v="Week2"/>
    <x v="0"/>
    <s v="DRY2300725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1871"/>
    <m/>
    <n v="1871.375"/>
    <n v="0.375"/>
    <n v="0"/>
    <m/>
    <m/>
    <m/>
    <m/>
    <m/>
    <m/>
  </r>
  <r>
    <m/>
    <x v="9"/>
    <d v="2024-01-18T00:00:00"/>
    <x v="0"/>
    <s v="Week2"/>
    <x v="0"/>
    <s v="DRY2300616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9"/>
    <d v="2024-01-19T00:00:00"/>
    <x v="0"/>
    <s v="Week2"/>
    <x v="0"/>
    <s v="DRY2300688"/>
    <s v="Spain"/>
    <s v="CPFNW"/>
    <s v="Mercadona"/>
    <s v="Wonton ND+V"/>
    <x v="1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  <s v="รวบการผลิตให้เป็นวันเดียวกันตามความต้องการของลูกค้า"/>
    <m/>
    <m/>
  </r>
  <r>
    <s v="R"/>
    <x v="9"/>
    <d v="2024-01-16T00:00:00"/>
    <x v="0"/>
    <s v="Week2"/>
    <x v="0"/>
    <s v="DRY2300575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694"/>
    <n v="638"/>
    <n v="56"/>
    <n v="0"/>
    <n v="0"/>
    <n v="0"/>
    <n v="2"/>
    <n v="0"/>
    <m/>
    <m/>
    <m/>
  </r>
  <r>
    <m/>
    <x v="10"/>
    <d v="2024-01-26T00:00:00"/>
    <x v="0"/>
    <s v="Week2"/>
    <x v="0"/>
    <s v="DRY2300686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m/>
    <m/>
    <m/>
    <s v="NEWPACKAGE"/>
    <m/>
    <m/>
  </r>
  <r>
    <m/>
    <x v="10"/>
    <d v="2024-01-19T00:00:00"/>
    <x v="0"/>
    <s v="Week2"/>
    <x v="0"/>
    <s v="DRY2300689"/>
    <s v="Spain"/>
    <s v="CPFNW"/>
    <s v="Mercadona"/>
    <s v="Wonton ND+V"/>
    <x v="1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  <s v="รวบการผลิตให้เป็นวันเดียวกันตามความต้องการของลูกค้า"/>
    <m/>
    <m/>
  </r>
  <r>
    <m/>
    <x v="10"/>
    <d v="2024-01-26T00:00:00"/>
    <x v="0"/>
    <s v="Week2"/>
    <x v="0"/>
    <s v="DRY230060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69"/>
    <n v="169"/>
    <m/>
    <n v="0"/>
    <n v="0"/>
    <m/>
    <m/>
    <m/>
    <m/>
    <m/>
    <m/>
  </r>
  <r>
    <m/>
    <x v="10"/>
    <d v="2024-01-29T00:00:00"/>
    <x v="0"/>
    <s v="Week2"/>
    <x v="0"/>
    <s v="DRY230060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0"/>
    <d v="2024-01-29T00:00:00"/>
    <x v="0"/>
    <s v="Week2"/>
    <x v="0"/>
    <s v="DRY230060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96"/>
    <n v="696"/>
    <m/>
    <n v="0"/>
    <n v="0"/>
    <m/>
    <m/>
    <m/>
    <m/>
    <m/>
    <m/>
  </r>
  <r>
    <s v="R"/>
    <x v="10"/>
    <d v="2024-01-16T00:00:00"/>
    <x v="0"/>
    <s v="Week2"/>
    <x v="0"/>
    <s v="DRY2300575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641"/>
    <n v="641"/>
    <m/>
    <n v="0"/>
    <n v="0"/>
    <n v="0"/>
    <n v="2"/>
    <n v="0"/>
    <m/>
    <m/>
    <m/>
  </r>
  <r>
    <m/>
    <x v="11"/>
    <d v="2024-01-26T00:00:00"/>
    <x v="0"/>
    <s v="Week2"/>
    <x v="0"/>
    <s v="DRY2300687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m/>
    <m/>
    <m/>
    <s v="NEWPACKAGE"/>
    <m/>
    <m/>
  </r>
  <r>
    <m/>
    <x v="11"/>
    <d v="2024-01-25T00:00:00"/>
    <x v="0"/>
    <s v="Week2"/>
    <x v="0"/>
    <s v="DRY2300700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11"/>
    <d v="2024-01-25T00:00:00"/>
    <x v="0"/>
    <s v="Week2"/>
    <x v="0"/>
    <s v="DRY2300701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11"/>
    <d v="2024-01-25T00:00:00"/>
    <x v="0"/>
    <s v="Week2"/>
    <x v="0"/>
    <s v="DRY2300702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527"/>
    <n v="527"/>
    <m/>
    <n v="0"/>
    <n v="0"/>
    <m/>
    <m/>
    <m/>
    <m/>
    <m/>
    <m/>
  </r>
  <r>
    <s v="รอสั่งซอสใหม่"/>
    <x v="11"/>
    <d v="2024-01-16T00:00:00"/>
    <x v="0"/>
    <s v="Week2"/>
    <x v="0"/>
    <s v="DRY2300563"/>
    <s v="Denmark"/>
    <s v="CPFNW"/>
    <s v="CPF DENMARK"/>
    <s v="Wonton ND+V+TY"/>
    <x v="1"/>
    <s v="Cooked Wonton ND No Egg with Pumpkin _x000a_+ Vegetable  HC  3 pcs tomyam"/>
    <s v="082SJKW08003P00001"/>
    <s v="309g*8"/>
    <n v="8"/>
    <n v="3"/>
    <n v="7.4999999999999997E-3"/>
    <s v="M"/>
    <s v="Salt"/>
    <s v="TYANS+CM"/>
    <n v="3500"/>
    <m/>
    <n v="3500"/>
    <n v="0"/>
    <n v="0"/>
    <m/>
    <m/>
    <m/>
    <s v="ต้มยำสูตรลดเผ็ดลง 10 %"/>
    <m/>
    <m/>
  </r>
  <r>
    <s v="R"/>
    <x v="11"/>
    <d v="2024-01-16T00:00:00"/>
    <x v="0"/>
    <s v="Week2"/>
    <x v="0"/>
    <s v="DRY2300575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289"/>
    <n v="289"/>
    <m/>
    <n v="0"/>
    <n v="0"/>
    <n v="0"/>
    <n v="2"/>
    <n v="0"/>
    <m/>
    <m/>
    <m/>
  </r>
  <r>
    <s v="R"/>
    <x v="11"/>
    <d v="2024-01-17T00:00:00"/>
    <x v="0"/>
    <s v="Week2"/>
    <x v="0"/>
    <s v="DRY2300665"/>
    <s v="SG"/>
    <s v="CPFNW"/>
    <s v="CPI SINGAPORE"/>
    <s v="R-Wonton egg past"/>
    <x v="2"/>
    <s v="Raw Wonton 12 pcs with sesame"/>
    <s v="082I93B20012P02001"/>
    <s v="204g*20in"/>
    <n v="20"/>
    <n v="12"/>
    <n v="6.8100000000000001E-3"/>
    <s v="S"/>
    <s v="STPP"/>
    <s v=" sesame 30g"/>
    <n v="424"/>
    <n v="424"/>
    <m/>
    <n v="0"/>
    <n v="0"/>
    <n v="0"/>
    <n v="2"/>
    <n v="0"/>
    <s v="ห่อแบบดิบ"/>
    <m/>
    <m/>
  </r>
  <r>
    <m/>
    <x v="12"/>
    <d v="2024-01-25T00:00:00"/>
    <x v="0"/>
    <s v="Week2"/>
    <x v="0"/>
    <s v="DRY2300702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265"/>
    <n v="265"/>
    <m/>
    <n v="0"/>
    <n v="0"/>
    <m/>
    <m/>
    <m/>
    <m/>
    <m/>
    <m/>
  </r>
  <r>
    <m/>
    <x v="12"/>
    <d v="2024-01-29T00:00:00"/>
    <x v="0"/>
    <s v="Week2"/>
    <x v="0"/>
    <s v="DRY230060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96"/>
    <n v="96"/>
    <m/>
    <n v="0"/>
    <n v="0"/>
    <m/>
    <m/>
    <m/>
    <m/>
    <m/>
    <m/>
  </r>
  <r>
    <m/>
    <x v="12"/>
    <d v="2024-01-29T00:00:00"/>
    <x v="0"/>
    <s v="Week2"/>
    <x v="0"/>
    <s v="DRY230059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2"/>
    <d v="2024-01-30T00:00:00"/>
    <x v="0"/>
    <s v="Week2"/>
    <x v="0"/>
    <s v="DRY230061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2"/>
    <d v="2024-01-31T00:00:00"/>
    <x v="0"/>
    <s v="Week2"/>
    <x v="0"/>
    <s v="DRY230061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2"/>
    <d v="2024-01-31T00:00:00"/>
    <x v="0"/>
    <s v="Week2"/>
    <x v="0"/>
    <s v="DRY230061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74"/>
    <n v="674"/>
    <m/>
    <n v="0"/>
    <n v="0"/>
    <m/>
    <m/>
    <m/>
    <m/>
    <m/>
    <m/>
  </r>
  <r>
    <s v="R"/>
    <x v="12"/>
    <d v="2024-01-17T00:00:00"/>
    <x v="0"/>
    <s v="Week2"/>
    <x v="0"/>
    <s v="DRY2300665"/>
    <s v="SG"/>
    <s v="CPFNW"/>
    <s v="CPI SINGAPORE"/>
    <s v="R-Wonton egg past"/>
    <x v="2"/>
    <s v="Raw Wonton 12 pcs with sesame"/>
    <s v="082I93B20012P02001"/>
    <s v="204g*20in"/>
    <n v="20"/>
    <n v="12"/>
    <n v="6.8100000000000001E-3"/>
    <s v="S"/>
    <s v="STPP"/>
    <s v=" sesame 30g"/>
    <n v="776"/>
    <n v="772"/>
    <n v="4"/>
    <n v="0"/>
    <n v="0"/>
    <n v="0"/>
    <n v="2"/>
    <n v="0"/>
    <s v="ห่อแบบดิบ"/>
    <m/>
    <m/>
  </r>
  <r>
    <m/>
    <x v="13"/>
    <m/>
    <x v="0"/>
    <s v="Week2"/>
    <x v="0"/>
    <m/>
    <m/>
    <m/>
    <m/>
    <m/>
    <x v="0"/>
    <m/>
    <m/>
    <m/>
    <m/>
    <m/>
    <m/>
    <m/>
    <m/>
    <m/>
    <m/>
    <m/>
    <m/>
    <m/>
    <m/>
    <m/>
    <m/>
    <m/>
    <m/>
    <m/>
    <m/>
  </r>
  <r>
    <s v="T"/>
    <x v="14"/>
    <d v="2024-02-02T00:00:00"/>
    <x v="0"/>
    <s v="Week3"/>
    <x v="0"/>
    <s v="DRY2300679"/>
    <s v="USA"/>
    <s v="CPFNW"/>
    <s v="Bellisio"/>
    <s v="C-WT in tray no egg"/>
    <x v="1"/>
    <s v="COOKED WONTON 6 pcs."/>
    <s v="082S8BW08012P00001"/>
    <s v="117*2tray*8in"/>
    <n v="16"/>
    <n v="6"/>
    <n v="8.1300000000000001E-3"/>
    <s v="M"/>
    <s v="Salt"/>
    <s v=" Sesame 15g"/>
    <n v="721"/>
    <n v="721"/>
    <m/>
    <n v="0"/>
    <n v="0"/>
    <m/>
    <n v="1"/>
    <n v="11536"/>
    <s v="cap 3000 tray/hr."/>
    <m/>
    <m/>
  </r>
  <r>
    <m/>
    <x v="14"/>
    <m/>
    <x v="0"/>
    <s v="Week3"/>
    <x v="0"/>
    <s v="ขายภายใน"/>
    <s v=".7-11"/>
    <s v="CPFGS"/>
    <s v="ถ้วยขาวพิมพ์ลายใหม่"/>
    <s v="Wonton"/>
    <x v="1"/>
    <s v="Cooked Wonton No Egg .7-11"/>
    <s v="082S81A24005P06001"/>
    <s v="130g*24"/>
    <n v="24"/>
    <n v="5"/>
    <n v="6.1999999999999998E-3"/>
    <s v="SS"/>
    <s v="STPP"/>
    <s v="Regular"/>
    <n v="1100"/>
    <n v="1100"/>
    <m/>
    <n v="0"/>
    <n v="0"/>
    <m/>
    <m/>
    <m/>
    <m/>
    <m/>
    <m/>
  </r>
  <r>
    <m/>
    <x v="14"/>
    <d v="2024-02-01T00:00:00"/>
    <x v="0"/>
    <s v="Week3"/>
    <x v="0"/>
    <s v="DRY2300703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14"/>
    <d v="2024-01-31T00:00:00"/>
    <x v="0"/>
    <s v="Week3"/>
    <x v="0"/>
    <s v="DRY230061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18"/>
    <n v="118"/>
    <m/>
    <n v="0"/>
    <n v="0"/>
    <m/>
    <m/>
    <m/>
    <m/>
    <m/>
    <m/>
  </r>
  <r>
    <m/>
    <x v="14"/>
    <d v="2024-02-02T00:00:00"/>
    <x v="0"/>
    <s v="Week3"/>
    <x v="0"/>
    <s v="DRY230060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4"/>
    <d v="2024-02-02T00:00:00"/>
    <x v="0"/>
    <s v="Week3"/>
    <x v="0"/>
    <s v="DRY230060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4"/>
    <d v="2024-02-02T00:00:00"/>
    <x v="0"/>
    <s v="Week3"/>
    <x v="0"/>
    <s v="DRY230063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71"/>
    <n v="171"/>
    <m/>
    <n v="0"/>
    <n v="0"/>
    <m/>
    <m/>
    <m/>
    <m/>
    <m/>
    <m/>
  </r>
  <r>
    <s v="R"/>
    <x v="14"/>
    <d v="2024-01-23T00:00:00"/>
    <x v="0"/>
    <s v="Week3"/>
    <x v="0"/>
    <s v="DRY2300577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629"/>
    <n v="621"/>
    <n v="8.3249999999999993"/>
    <n v="0.32500000000004547"/>
    <n v="0"/>
    <n v="0"/>
    <n v="2"/>
    <n v="0"/>
    <m/>
    <m/>
    <m/>
  </r>
  <r>
    <m/>
    <x v="15"/>
    <d v="2024-01-30T00:00:00"/>
    <x v="0"/>
    <s v="Week3"/>
    <x v="0"/>
    <s v="DRY2300692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  <s v="ใช้ package ที่เป็น หมึกพิมพ์ใหม่"/>
    <m/>
    <m/>
  </r>
  <r>
    <m/>
    <x v="15"/>
    <d v="2024-01-30T00:00:00"/>
    <x v="0"/>
    <s v="Week3"/>
    <x v="0"/>
    <s v="DRY2300693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  <s v="ใช้ package ที่เป็น หมึกพิมพ์ใหม่"/>
    <m/>
    <m/>
  </r>
  <r>
    <m/>
    <x v="15"/>
    <d v="2024-02-13T00:00:00"/>
    <x v="0"/>
    <s v="Week3"/>
    <x v="0"/>
    <s v="DRY2300694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606"/>
    <n v="606"/>
    <m/>
    <n v="0"/>
    <n v="0"/>
    <m/>
    <m/>
    <m/>
    <s v="ใช้ package ที่เป็น หมึกพิมพ์ใหม่"/>
    <m/>
    <m/>
  </r>
  <r>
    <m/>
    <x v="15"/>
    <d v="2024-02-26T00:00:00"/>
    <x v="0"/>
    <s v="Week3"/>
    <x v="0"/>
    <s v="DRY2300743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629.75"/>
    <m/>
    <n v="629.75"/>
    <n v="0"/>
    <n v="0"/>
    <m/>
    <m/>
    <m/>
    <m/>
    <m/>
    <m/>
  </r>
  <r>
    <s v="R"/>
    <x v="15"/>
    <d v="2024-01-23T00:00:00"/>
    <x v="0"/>
    <s v="Week3"/>
    <x v="0"/>
    <s v="DRY2300577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645"/>
    <n v="645"/>
    <m/>
    <n v="0"/>
    <n v="0"/>
    <n v="0"/>
    <n v="2"/>
    <n v="0"/>
    <m/>
    <m/>
    <m/>
  </r>
  <r>
    <s v="T"/>
    <x v="16"/>
    <d v="2024-02-02T00:00:00"/>
    <x v="0"/>
    <s v="Week3"/>
    <x v="0"/>
    <s v="DRY2300679"/>
    <s v="USA"/>
    <s v="CPFNW"/>
    <s v="Bellisio"/>
    <s v="C-WT in tray no egg"/>
    <x v="1"/>
    <s v="COOKED WONTON 6 pcs."/>
    <s v="082S8BW08012P00001"/>
    <s v="117*2tray*8in"/>
    <n v="16"/>
    <n v="6"/>
    <n v="8.1300000000000001E-3"/>
    <s v="M"/>
    <s v="Salt"/>
    <s v=" Sesame 15g"/>
    <n v="479"/>
    <n v="479"/>
    <m/>
    <n v="0"/>
    <n v="0"/>
    <m/>
    <n v="1"/>
    <n v="7664"/>
    <s v="cap 3000 tray/hr."/>
    <m/>
    <m/>
  </r>
  <r>
    <s v="T"/>
    <x v="17"/>
    <d v="2024-02-02T00:00:00"/>
    <x v="0"/>
    <s v="Week3"/>
    <x v="0"/>
    <s v="DRY2300678"/>
    <s v="USA"/>
    <s v="CPFNW"/>
    <s v="Bellisio"/>
    <s v="C-WT in tray no egg"/>
    <x v="1"/>
    <s v="COOKED WONTON 6 pcs."/>
    <s v="082S8BW08012P00001"/>
    <s v="117*2tray*8in"/>
    <n v="16"/>
    <n v="6"/>
    <n v="8.1300000000000001E-3"/>
    <s v="M"/>
    <s v="Salt"/>
    <s v=" Sesame 15g"/>
    <n v="177"/>
    <n v="177"/>
    <m/>
    <n v="0"/>
    <n v="0"/>
    <m/>
    <n v="1"/>
    <n v="2832"/>
    <s v="cap 3000 tray/hr."/>
    <m/>
    <m/>
  </r>
  <r>
    <m/>
    <x v="16"/>
    <d v="2024-02-13T00:00:00"/>
    <x v="0"/>
    <s v="Week3"/>
    <x v="0"/>
    <s v="DRY2300694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682"/>
    <n v="682"/>
    <m/>
    <n v="0"/>
    <n v="0"/>
    <m/>
    <m/>
    <m/>
    <s v="ใช้ package ที่เป็น หมึกพิมพ์ใหม่"/>
    <m/>
    <m/>
  </r>
  <r>
    <m/>
    <x v="16"/>
    <d v="2024-02-13T00:00:00"/>
    <x v="0"/>
    <s v="Week3"/>
    <x v="0"/>
    <s v="DRY2300695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  <s v="ใช้ package ที่เป็น หมึกพิมพ์ใหม่"/>
    <m/>
    <m/>
  </r>
  <r>
    <m/>
    <x v="16"/>
    <d v="2024-01-22T00:00:00"/>
    <x v="0"/>
    <s v="Week3"/>
    <x v="0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2410"/>
    <n v="2410"/>
    <m/>
    <n v="0"/>
    <n v="0"/>
    <m/>
    <m/>
    <m/>
    <m/>
    <m/>
    <m/>
  </r>
  <r>
    <s v="R"/>
    <x v="16"/>
    <d v="2024-01-23T00:00:00"/>
    <x v="0"/>
    <s v="Week3"/>
    <x v="0"/>
    <s v="DRY2300577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350"/>
    <n v="350"/>
    <m/>
    <n v="0"/>
    <n v="0"/>
    <n v="0"/>
    <n v="2"/>
    <n v="0"/>
    <m/>
    <m/>
    <m/>
  </r>
  <r>
    <s v="R"/>
    <x v="16"/>
    <d v="2024-01-23T00:00:00"/>
    <x v="0"/>
    <s v="Week3"/>
    <x v="0"/>
    <s v="DRY2300680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294"/>
    <n v="136"/>
    <n v="158"/>
    <n v="0"/>
    <n v="0"/>
    <n v="0"/>
    <n v="2"/>
    <n v="0"/>
    <m/>
    <m/>
    <m/>
  </r>
  <r>
    <s v="T"/>
    <x v="17"/>
    <d v="2024-02-02T00:00:00"/>
    <x v="0"/>
    <s v="Week3"/>
    <x v="0"/>
    <s v="DRY2300678"/>
    <s v="USA"/>
    <s v="CPFNW"/>
    <s v="Bellisio"/>
    <s v="C-WT in tray no egg"/>
    <x v="1"/>
    <s v="COOKED WONTON 6 pcs."/>
    <s v="082S8BW08012P00001"/>
    <s v="117*2tray*8in"/>
    <n v="16"/>
    <n v="6"/>
    <n v="8.1300000000000001E-3"/>
    <s v="M"/>
    <s v="Salt"/>
    <s v=" Sesame 15g"/>
    <n v="423"/>
    <n v="423"/>
    <m/>
    <n v="0"/>
    <n v="0"/>
    <m/>
    <n v="1"/>
    <n v="6768"/>
    <s v="cap 3000 tray/hr."/>
    <m/>
    <m/>
  </r>
  <r>
    <m/>
    <x v="17"/>
    <d v="2024-02-01T00:00:00"/>
    <x v="0"/>
    <s v="Week3"/>
    <x v="0"/>
    <s v="DRY2300698"/>
    <s v="AUS"/>
    <s v="CPFNW"/>
    <s v="CPF Australia Pty Ltd."/>
    <s v="Minced ND+Kee Mao"/>
    <x v="1"/>
    <s v="Cooked Minced Wonton Thai Spicy Noodles (Kee Mao Noodles)"/>
    <s v="082SR9U08003P02001"/>
    <s v="219g*8"/>
    <n v="8"/>
    <n v="3"/>
    <n v="8.0000000000000002E-3"/>
    <s v="BK"/>
    <s v="Salt"/>
    <s v="Kee Mao 50G."/>
    <n v="200"/>
    <m/>
    <n v="200"/>
    <n v="0"/>
    <n v="0"/>
    <m/>
    <m/>
    <m/>
    <s v="รอ rd สรุป"/>
    <m/>
    <m/>
  </r>
  <r>
    <m/>
    <x v="17"/>
    <d v="2024-02-01T00:00:00"/>
    <x v="0"/>
    <s v="Week3"/>
    <x v="0"/>
    <s v="DRY2300699"/>
    <s v="AUS"/>
    <s v="CPFNW"/>
    <s v="CPF Australia Pty Ltd."/>
    <s v="Minced ND+Kee Mao"/>
    <x v="1"/>
    <s v="Cooked Minced Wonton Thai Spicy Noodles (Kee Mao Noodles)"/>
    <s v="082SR9U08003P02001"/>
    <s v="219g*8"/>
    <n v="8"/>
    <n v="3"/>
    <n v="8.0000000000000002E-3"/>
    <s v="BK"/>
    <s v="Salt"/>
    <s v="Kee Mao 50G."/>
    <n v="220"/>
    <m/>
    <n v="284.25"/>
    <n v="64.25"/>
    <n v="0"/>
    <m/>
    <m/>
    <m/>
    <s v="รอ rd สรุป"/>
    <m/>
    <m/>
  </r>
  <r>
    <m/>
    <x v="17"/>
    <d v="2024-02-02T00:00:00"/>
    <x v="0"/>
    <s v="Week3"/>
    <x v="0"/>
    <s v="DRY2300697"/>
    <s v="New Zealand"/>
    <s v="CPFNW"/>
    <s v="Lim Brothers"/>
    <s v="Minced ND+Kee Mao"/>
    <x v="1"/>
    <s v="Cooked Minced Wonton Thai Spicy Noodles (Kee Mao Noodles)"/>
    <s v="082SRN708003P02001"/>
    <s v="219g*8"/>
    <n v="8"/>
    <n v="3"/>
    <n v="6.0000000000000001E-3"/>
    <s v="BK"/>
    <s v="Salt"/>
    <s v="Kee Mao 50G."/>
    <n v="300"/>
    <n v="172"/>
    <n v="138.875"/>
    <n v="10.875"/>
    <n v="0"/>
    <m/>
    <m/>
    <m/>
    <s v="NEWPACKAGE"/>
    <m/>
    <m/>
  </r>
  <r>
    <m/>
    <x v="17"/>
    <d v="2024-01-29T00:00:00"/>
    <x v="0"/>
    <s v="Week3"/>
    <x v="0"/>
    <s v="DRY2300733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s v="NEWPACKAGE"/>
    <m/>
    <m/>
  </r>
  <r>
    <m/>
    <x v="17"/>
    <d v="2024-01-25T00:00:00"/>
    <x v="0"/>
    <s v="Week3"/>
    <x v="0"/>
    <s v="DRY2300696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  <m/>
    <m/>
    <m/>
  </r>
  <r>
    <s v="R"/>
    <x v="17"/>
    <d v="2024-01-30T00:00:00"/>
    <x v="0"/>
    <s v="Week3"/>
    <x v="0"/>
    <s v="DRY2300680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651"/>
    <n v="651"/>
    <m/>
    <n v="0"/>
    <n v="0"/>
    <n v="0"/>
    <n v="2"/>
    <n v="0"/>
    <m/>
    <m/>
    <m/>
  </r>
  <r>
    <s v="T"/>
    <x v="18"/>
    <d v="2024-02-01T00:00:00"/>
    <x v="0"/>
    <s v="Week3"/>
    <x v="0"/>
    <s v="DRY2300699"/>
    <s v="AUS"/>
    <s v="CPFNW"/>
    <s v="CPF Australia Pty Ltd."/>
    <s v="C-Minced WT in tray no egg"/>
    <x v="1"/>
    <s v="Cooked Minced Wonton in Tray 6 pcs + Sesame Sauce"/>
    <s v="082SK9U16006P00001"/>
    <s v="117*2tray*8in"/>
    <n v="16"/>
    <n v="6"/>
    <n v="8.1300000000000001E-3"/>
    <s v="BK"/>
    <s v="Salt"/>
    <s v=" Sesame 15g"/>
    <n v="150"/>
    <n v="150"/>
    <m/>
    <n v="0"/>
    <n v="0"/>
    <m/>
    <n v="1"/>
    <n v="2400"/>
    <s v="cap 3000 tray/hr. อื่น 8,300 ถ้วย"/>
    <m/>
    <m/>
  </r>
  <r>
    <s v="T"/>
    <x v="18"/>
    <d v="2024-02-02T00:00:00"/>
    <x v="0"/>
    <s v="Week3"/>
    <x v="0"/>
    <s v="DRY2300697"/>
    <s v="New Zealand"/>
    <s v="CPFNW"/>
    <s v="Lim Brothers"/>
    <s v="C-Minced WT in tray no egg"/>
    <x v="1"/>
    <s v="Cooked Minced Wonton in Tray 6 pcs + Sesame Sauce"/>
    <s v="082SKN716006P00001"/>
    <s v="117*2tray*8in"/>
    <n v="16"/>
    <n v="6"/>
    <n v="6.0000000000000001E-3"/>
    <s v="BK"/>
    <s v="Salt"/>
    <s v=" Sesame 15g"/>
    <n v="600"/>
    <n v="600"/>
    <n v="43.25"/>
    <n v="43.25"/>
    <n v="0"/>
    <m/>
    <n v="1"/>
    <n v="9600"/>
    <s v="cap 3000 tray/hr. อื่น 8,300 ถ้วย"/>
    <m/>
    <m/>
  </r>
  <r>
    <m/>
    <x v="18"/>
    <d v="2024-02-07T00:00:00"/>
    <x v="0"/>
    <s v="Week3"/>
    <x v="0"/>
    <s v="DRY2300732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s v="NEWPACKAGE"/>
    <m/>
    <m/>
  </r>
  <r>
    <m/>
    <x v="18"/>
    <d v="2024-02-14T00:00:00"/>
    <x v="0"/>
    <s v="Week3"/>
    <x v="0"/>
    <s v="DRY2300734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s v="NEWPACKAGE"/>
    <m/>
    <m/>
  </r>
  <r>
    <m/>
    <x v="18"/>
    <d v="2024-02-01T00:00:00"/>
    <x v="0"/>
    <s v="Week3"/>
    <x v="0"/>
    <s v="DRY2300698"/>
    <s v="AUS"/>
    <s v="CPFNW"/>
    <s v="CPF Australia Pty Ltd."/>
    <s v="Minced ND+V+TY"/>
    <x v="1"/>
    <s v="Cooked Minced  ND No Egg with Pumpkin_x000a_+ Yu Choy Tomyum"/>
    <s v="082SR9U08003P00001"/>
    <s v="302g*8"/>
    <n v="8"/>
    <n v="3"/>
    <n v="8.0000000000000002E-3"/>
    <s v="BK"/>
    <s v="Salt"/>
    <s v="TYEX+CO"/>
    <n v="300"/>
    <m/>
    <n v="300"/>
    <n v="0"/>
    <n v="0"/>
    <m/>
    <m/>
    <m/>
    <s v="คุณจั๊กให้สั่ง มาตามขั้นต่ำ ที่เหลือจะเปิดออเดอร์มาเคลียร์"/>
    <m/>
    <m/>
  </r>
  <r>
    <m/>
    <x v="18"/>
    <d v="2024-02-01T00:00:00"/>
    <x v="0"/>
    <s v="Week3"/>
    <x v="0"/>
    <s v="DRY2300699"/>
    <s v="AUS"/>
    <s v="CPFNW"/>
    <s v="CPF Australia Pty Ltd."/>
    <s v="Minced ND+V+TY"/>
    <x v="1"/>
    <s v="Cooked Minced  ND No Egg with Pumpkin_x000a_+ Yu Choy Tomyum"/>
    <s v="082SR9U08003P00001"/>
    <s v="302g*8"/>
    <n v="8"/>
    <n v="3"/>
    <n v="8.0000000000000002E-3"/>
    <s v="BK"/>
    <s v="Salt"/>
    <s v="TYEX+CO"/>
    <n v="300"/>
    <m/>
    <n v="486.625"/>
    <n v="186.625"/>
    <n v="0"/>
    <m/>
    <m/>
    <m/>
    <s v="คุณจั๊กให้สั่ง มาตามขั้นต่ำ ที่เหลือจะเปิดออเดอร์มาเคลียร์"/>
    <m/>
    <m/>
  </r>
  <r>
    <s v="R"/>
    <x v="18"/>
    <d v="2024-01-30T00:00:00"/>
    <x v="0"/>
    <s v="Week3"/>
    <x v="0"/>
    <s v="DRY2300680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642"/>
    <n v="642"/>
    <m/>
    <n v="0"/>
    <n v="0"/>
    <n v="0"/>
    <n v="2"/>
    <n v="0"/>
    <m/>
    <m/>
    <m/>
  </r>
  <r>
    <m/>
    <x v="19"/>
    <d v="2024-02-02T00:00:00"/>
    <x v="0"/>
    <s v="Week3"/>
    <x v="0"/>
    <s v="DRY230063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21"/>
    <n v="621"/>
    <m/>
    <n v="0"/>
    <n v="0"/>
    <m/>
    <m/>
    <m/>
    <m/>
    <m/>
    <m/>
  </r>
  <r>
    <m/>
    <x v="19"/>
    <d v="2024-02-02T00:00:00"/>
    <x v="0"/>
    <s v="Week3"/>
    <x v="0"/>
    <s v="DRY230062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88"/>
    <n v="388"/>
    <m/>
    <n v="0"/>
    <n v="0"/>
    <m/>
    <m/>
    <m/>
    <m/>
    <m/>
    <m/>
  </r>
  <r>
    <m/>
    <x v="19"/>
    <d v="2024-02-01T00:00:00"/>
    <x v="0"/>
    <s v="Week3"/>
    <x v="0"/>
    <s v="DRY2300698"/>
    <s v="AUS"/>
    <s v="CPFNW"/>
    <s v="CPF Australia Pty Ltd."/>
    <s v="Wonton ND+V"/>
    <x v="1"/>
    <s v="Cooked Wonton ND No Egg with Pumpkin_x000a_+ Yu Choy "/>
    <s v="082SJ9U08004P00001"/>
    <s v="305g*8"/>
    <n v="8"/>
    <n v="4"/>
    <n v="7.4999999999999997E-3"/>
    <s v="HC"/>
    <s v="Salt"/>
    <s v="Regular"/>
    <n v="800"/>
    <m/>
    <n v="800"/>
    <n v="0"/>
    <n v="0"/>
    <m/>
    <m/>
    <m/>
    <m/>
    <m/>
    <m/>
  </r>
  <r>
    <m/>
    <x v="19"/>
    <d v="2024-02-01T00:00:00"/>
    <x v="0"/>
    <s v="Week3"/>
    <x v="0"/>
    <s v="DRY2300699"/>
    <s v="AUS"/>
    <s v="CPFNW"/>
    <s v="CPF Australia Pty Ltd."/>
    <s v="Wonton ND+V"/>
    <x v="1"/>
    <s v="Cooked Wonton ND No Egg with Pumpkin_x000a_+ Yu Choy "/>
    <s v="082SJ9U08004P00001"/>
    <s v="305g*8"/>
    <n v="8"/>
    <n v="4"/>
    <n v="7.4999999999999997E-3"/>
    <s v="HC"/>
    <s v="Salt"/>
    <s v="Regular"/>
    <n v="600"/>
    <m/>
    <n v="600"/>
    <n v="0"/>
    <n v="0"/>
    <m/>
    <m/>
    <m/>
    <m/>
    <m/>
    <m/>
  </r>
  <r>
    <m/>
    <x v="19"/>
    <d v="2024-02-02T00:00:00"/>
    <x v="0"/>
    <s v="Week3"/>
    <x v="0"/>
    <s v="DRY2300697"/>
    <s v="New Zealand"/>
    <s v="CPFNW"/>
    <s v="Lim Brothers"/>
    <s v="Wonton ND+V"/>
    <x v="1"/>
    <s v="Cooked Wonton ND No Egg with Pumpkin_x000a_+ Yu Choy "/>
    <s v="082SJN708004P00001"/>
    <s v="305g*8"/>
    <n v="8"/>
    <n v="4"/>
    <n v="7.4999999999999997E-3"/>
    <s v="HC"/>
    <s v="Salt"/>
    <s v="Regular"/>
    <n v="960"/>
    <m/>
    <n v="960"/>
    <n v="0"/>
    <n v="0"/>
    <m/>
    <m/>
    <m/>
    <s v="NEWPACKAGE"/>
    <m/>
    <m/>
  </r>
  <r>
    <m/>
    <x v="19"/>
    <d v="2024-02-01T00:00:00"/>
    <x v="0"/>
    <s v="Week3"/>
    <x v="0"/>
    <s v="DRY2300704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19"/>
    <d v="2024-02-01T00:00:00"/>
    <x v="0"/>
    <s v="Week3"/>
    <x v="0"/>
    <s v="DRY2300705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19"/>
    <d v="2024-02-02T00:00:00"/>
    <x v="0"/>
    <s v="Week3"/>
    <x v="0"/>
    <s v="DRY2300661"/>
    <s v="SG"/>
    <s v="CPFNW"/>
    <s v="CPI SINGAPORE"/>
    <s v="Wonton ND+V"/>
    <x v="1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350"/>
    <n v="350"/>
    <m/>
    <n v="0"/>
    <n v="0"/>
    <m/>
    <m/>
    <m/>
    <m/>
    <m/>
    <m/>
  </r>
  <r>
    <m/>
    <x v="19"/>
    <d v="2024-02-01T00:00:00"/>
    <x v="0"/>
    <s v="Week3"/>
    <x v="0"/>
    <s v="DRY2300699"/>
    <s v="AUS"/>
    <s v="CPFNW"/>
    <s v="CPF Australia Pty Ltd."/>
    <s v="Minced ND+V+TK"/>
    <x v="1"/>
    <s v="Cooked Minced  ND No Egg with Pumpkin_x000a_+ Yu Choy Tomkha"/>
    <s v="082SR9U08003P01001"/>
    <s v="302g*8"/>
    <n v="8"/>
    <n v="3"/>
    <n v="6.0000000000000001E-3"/>
    <s v="BK"/>
    <s v="Salt"/>
    <s v="Tomkha+CM"/>
    <n v="220"/>
    <m/>
    <n v="250"/>
    <n v="30"/>
    <n v="0"/>
    <m/>
    <m/>
    <m/>
    <s v="ของสำรอง NZ"/>
    <m/>
    <m/>
  </r>
  <r>
    <m/>
    <x v="19"/>
    <d v="2024-02-02T00:00:00"/>
    <x v="0"/>
    <s v="Week3"/>
    <x v="0"/>
    <s v="DRY2300697"/>
    <s v="New Zealand"/>
    <s v="CPFNW"/>
    <s v="Lim Brothers"/>
    <s v="Minced ND+V+TK"/>
    <x v="1"/>
    <s v="Cooked Minced  ND No Egg with Pumpkin_x000a_+ Yu Choy Tomkha"/>
    <s v="082SRN708003P01001"/>
    <s v="302g*8"/>
    <n v="8"/>
    <n v="3"/>
    <n v="6.0000000000000001E-3"/>
    <s v="BK"/>
    <s v="Salt"/>
    <s v="Tomkha+CM"/>
    <n v="725"/>
    <m/>
    <n v="725"/>
    <n v="0"/>
    <n v="0"/>
    <m/>
    <m/>
    <m/>
    <s v="NEWPACKAGE"/>
    <m/>
    <m/>
  </r>
  <r>
    <m/>
    <x v="19"/>
    <d v="2024-02-15T00:00:00"/>
    <x v="0"/>
    <s v="Week3"/>
    <x v="0"/>
    <s v="DRY2300742"/>
    <s v="New Zealand"/>
    <s v="CPFNW"/>
    <s v="Lim Brothers"/>
    <s v="Minced ND+V+TK"/>
    <x v="1"/>
    <s v="Cooked Minced  ND No Egg with Pumpkin_x000a_+ Yu Choy Tomkha"/>
    <s v="082SRN708003P01001"/>
    <s v="302g*8"/>
    <n v="8"/>
    <n v="3"/>
    <n v="6.0000000000000001E-3"/>
    <s v="BK"/>
    <s v="Salt"/>
    <s v="Tomkha+CM"/>
    <n v="1610"/>
    <m/>
    <n v="1655.125"/>
    <n v="45.125"/>
    <n v="0"/>
    <m/>
    <m/>
    <m/>
    <s v="NEWPACKAGE"/>
    <m/>
    <m/>
  </r>
  <r>
    <s v="R"/>
    <x v="19"/>
    <d v="2024-01-30T00:00:00"/>
    <x v="0"/>
    <s v="Week3"/>
    <x v="0"/>
    <s v="DRY2300680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37"/>
    <n v="37"/>
    <m/>
    <n v="0"/>
    <n v="0"/>
    <n v="0"/>
    <n v="2"/>
    <n v="0"/>
    <m/>
    <m/>
    <m/>
  </r>
  <r>
    <s v="R"/>
    <x v="19"/>
    <d v="2024-01-30T00:00:00"/>
    <x v="0"/>
    <s v="Week3"/>
    <x v="0"/>
    <s v="DRY2300681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586"/>
    <n v="586"/>
    <m/>
    <n v="0"/>
    <n v="0"/>
    <n v="0"/>
    <n v="6"/>
    <n v="0"/>
    <m/>
    <m/>
    <m/>
  </r>
  <r>
    <m/>
    <x v="20"/>
    <m/>
    <x v="0"/>
    <s v="Week3"/>
    <x v="0"/>
    <m/>
    <m/>
    <m/>
    <m/>
    <m/>
    <x v="0"/>
    <m/>
    <m/>
    <m/>
    <m/>
    <m/>
    <m/>
    <m/>
    <m/>
    <m/>
    <m/>
    <m/>
    <m/>
    <m/>
    <m/>
    <m/>
    <m/>
    <m/>
    <m/>
    <m/>
    <m/>
  </r>
  <r>
    <m/>
    <x v="21"/>
    <d v="2024-01-31T00:00:00"/>
    <x v="0"/>
    <s v="Week4"/>
    <x v="0"/>
    <s v="DRY2300676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700"/>
    <n v="700"/>
    <m/>
    <n v="0"/>
    <n v="0"/>
    <m/>
    <m/>
    <m/>
    <m/>
    <m/>
    <m/>
  </r>
  <r>
    <m/>
    <x v="21"/>
    <d v="2024-02-09T00:00:00"/>
    <x v="0"/>
    <s v="Week4"/>
    <x v="0"/>
    <s v="DRY2300677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650"/>
    <n v="342"/>
    <n v="308"/>
    <n v="0"/>
    <n v="0"/>
    <m/>
    <m/>
    <m/>
    <m/>
    <m/>
    <m/>
  </r>
  <r>
    <m/>
    <x v="21"/>
    <d v="2024-02-02T00:00:00"/>
    <x v="0"/>
    <s v="Week4"/>
    <x v="0"/>
    <s v="DRY230062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04"/>
    <n v="404"/>
    <m/>
    <n v="0"/>
    <n v="0"/>
    <m/>
    <m/>
    <m/>
    <m/>
    <m/>
    <m/>
  </r>
  <r>
    <m/>
    <x v="21"/>
    <d v="2024-02-02T00:00:00"/>
    <x v="0"/>
    <s v="Week4"/>
    <x v="0"/>
    <s v="DRY230062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1"/>
    <d v="2024-02-02T00:00:00"/>
    <x v="0"/>
    <s v="Week4"/>
    <x v="0"/>
    <s v="DRY230062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1"/>
    <d v="2024-02-05T00:00:00"/>
    <x v="0"/>
    <s v="Week4"/>
    <x v="0"/>
    <s v="DRY230059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1"/>
    <d v="2024-02-05T00:00:00"/>
    <x v="0"/>
    <s v="Week4"/>
    <x v="0"/>
    <s v="DRY230060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62"/>
    <n v="162"/>
    <m/>
    <n v="0"/>
    <n v="0"/>
    <m/>
    <m/>
    <m/>
    <s v="ตกเป้า 6948 ถ้วย"/>
    <m/>
    <m/>
  </r>
  <r>
    <s v="R"/>
    <x v="21"/>
    <d v="2024-01-30T00:00:00"/>
    <x v="0"/>
    <s v="Week4"/>
    <x v="0"/>
    <s v="DRY2300681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37"/>
    <n v="637"/>
    <m/>
    <n v="0"/>
    <n v="0"/>
    <n v="0"/>
    <n v="6"/>
    <n v="0"/>
    <m/>
    <m/>
    <m/>
  </r>
  <r>
    <m/>
    <x v="22"/>
    <d v="2024-01-31T00:00:00"/>
    <x v="0"/>
    <s v="Week4"/>
    <x v="0"/>
    <s v="DRY2300676"/>
    <s v="USA"/>
    <s v="CPFNW"/>
    <s v="Bellisio Foods, Inc."/>
    <s v="Minced WT"/>
    <x v="1"/>
    <s v="Cooked Minced Wonton Soup No Egg"/>
    <s v="082SKBW36005P00001"/>
    <s v="145g*6c*6"/>
    <n v="36"/>
    <n v="5"/>
    <n v="6.0000000000000001E-3"/>
    <s v="BK"/>
    <s v="Salt"/>
    <s v="Regular"/>
    <n v="450"/>
    <n v="450"/>
    <m/>
    <n v="0"/>
    <n v="0"/>
    <m/>
    <m/>
    <m/>
    <m/>
    <m/>
    <m/>
  </r>
  <r>
    <m/>
    <x v="22"/>
    <d v="2024-02-09T00:00:00"/>
    <x v="0"/>
    <s v="Week4"/>
    <x v="0"/>
    <s v="DRY2300677"/>
    <s v="USA"/>
    <s v="CPFNW"/>
    <s v="Bellisio Foods, Inc."/>
    <s v="Minced WT"/>
    <x v="1"/>
    <s v="Cooked Minced Wonton Soup No Egg"/>
    <s v="082SKBW36005P00001"/>
    <s v="145g*6c*6"/>
    <n v="36"/>
    <n v="5"/>
    <n v="6.0000000000000001E-3"/>
    <s v="BK"/>
    <s v="Salt"/>
    <s v="Regular"/>
    <n v="500"/>
    <n v="500"/>
    <m/>
    <n v="0"/>
    <n v="0"/>
    <m/>
    <m/>
    <m/>
    <m/>
    <m/>
    <m/>
  </r>
  <r>
    <m/>
    <x v="22"/>
    <d v="2024-02-02T00:00:00"/>
    <x v="0"/>
    <s v="Week4"/>
    <x v="0"/>
    <s v="DRY2300659"/>
    <s v="SG"/>
    <s v="CPFNW"/>
    <s v="CPI SINGAPORE"/>
    <s v="Wonton"/>
    <x v="1"/>
    <s v="Cooked Wonton No Egg"/>
    <s v="082S83B24005P07001"/>
    <s v="145g*24"/>
    <n v="24"/>
    <n v="5"/>
    <n v="8.0000000000000002E-3"/>
    <s v="M"/>
    <s v="STPP"/>
    <s v="Regular"/>
    <n v="400"/>
    <n v="400"/>
    <m/>
    <n v="0"/>
    <n v="0"/>
    <m/>
    <m/>
    <m/>
    <m/>
    <m/>
    <m/>
  </r>
  <r>
    <m/>
    <x v="22"/>
    <d v="2024-02-02T00:00:00"/>
    <x v="0"/>
    <s v="Week4"/>
    <x v="0"/>
    <s v="DRY2300660"/>
    <s v="SG"/>
    <s v="CPFNW"/>
    <s v="CPI SINGAPORE"/>
    <s v="Wonton TY"/>
    <x v="1"/>
    <s v="Cooked Wonton No Egg"/>
    <s v="082S83B24005P06001"/>
    <s v="115g*24"/>
    <n v="24"/>
    <n v="5"/>
    <n v="8.0000000000000002E-3"/>
    <s v="M"/>
    <s v="STPP"/>
    <s v="TYTB3C 30G"/>
    <n v="250"/>
    <n v="250"/>
    <m/>
    <n v="0"/>
    <n v="0"/>
    <m/>
    <n v="1"/>
    <n v="0"/>
    <m/>
    <m/>
    <m/>
  </r>
  <r>
    <m/>
    <x v="22"/>
    <d v="2024-02-05T00:00:00"/>
    <x v="0"/>
    <s v="Week4"/>
    <x v="0"/>
    <s v="DRY230060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30"/>
    <n v="630"/>
    <m/>
    <n v="0"/>
    <n v="0"/>
    <m/>
    <m/>
    <m/>
    <m/>
    <m/>
    <m/>
  </r>
  <r>
    <m/>
    <x v="22"/>
    <d v="2024-02-05T00:00:00"/>
    <x v="0"/>
    <s v="Week4"/>
    <x v="0"/>
    <s v="DRY230062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2"/>
    <d v="2024-02-05T00:00:00"/>
    <x v="0"/>
    <s v="Week4"/>
    <x v="0"/>
    <s v="DRY230062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2"/>
    <d v="2024-02-05T00:00:00"/>
    <x v="0"/>
    <s v="Week4"/>
    <x v="0"/>
    <s v="DRY230062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88"/>
    <n v="288"/>
    <m/>
    <n v="0"/>
    <n v="0"/>
    <m/>
    <m/>
    <m/>
    <s v="ตกเป้า 5652+612ถ้วย"/>
    <m/>
    <m/>
  </r>
  <r>
    <s v="R"/>
    <x v="22"/>
    <d v="2024-01-30T00:00:00"/>
    <x v="0"/>
    <s v="Week4"/>
    <x v="0"/>
    <s v="DRY2300681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08"/>
    <n v="608"/>
    <m/>
    <n v="0"/>
    <n v="0"/>
    <n v="0"/>
    <n v="6"/>
    <n v="0"/>
    <m/>
    <m/>
    <m/>
  </r>
  <r>
    <m/>
    <x v="23"/>
    <d v="2024-02-05T00:00:00"/>
    <x v="0"/>
    <s v="Week4"/>
    <x v="0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1017"/>
    <n v="1017"/>
    <m/>
    <n v="0"/>
    <n v="0"/>
    <m/>
    <m/>
    <m/>
    <s v="NEWPACKAGE"/>
    <m/>
    <m/>
  </r>
  <r>
    <m/>
    <x v="23"/>
    <d v="2024-02-19T00:00:00"/>
    <x v="0"/>
    <s v="Week4"/>
    <x v="0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850"/>
    <n v="850"/>
    <m/>
    <n v="0"/>
    <n v="0"/>
    <m/>
    <n v="1"/>
    <n v="0"/>
    <m/>
    <m/>
    <m/>
  </r>
  <r>
    <s v="R&amp;D"/>
    <x v="23"/>
    <d v="2024-02-01T00:00:00"/>
    <x v="0"/>
    <s v="Week4"/>
    <x v="0"/>
    <s v="ขายภายใน"/>
    <s v="MTFS"/>
    <s v="CPFGS"/>
    <s v="ซีพีเอฟ เทรดดิ้ง"/>
    <s v="E+Wonton"/>
    <x v="1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m/>
    <m/>
    <m/>
    <m/>
    <m/>
    <m/>
  </r>
  <r>
    <m/>
    <x v="23"/>
    <d v="2024-01-29T00:00:00"/>
    <x v="0"/>
    <s v="Week4"/>
    <x v="0"/>
    <s v="ขายภายใน"/>
    <s v="MTFS"/>
    <s v="CPFGS"/>
    <s v="ซีพีเอฟ เทรดดิ้ง"/>
    <s v="E+Wonton"/>
    <x v="1"/>
    <s v="Cooked Wonton  with egg V-Food"/>
    <s v="082S83Q12005P05001"/>
    <s v="145g*12"/>
    <n v="12"/>
    <n v="5"/>
    <n v="8.0000000000000002E-3"/>
    <s v="M"/>
    <s v="STPP"/>
    <s v="Regular"/>
    <n v="2793"/>
    <n v="2793"/>
    <m/>
    <n v="0"/>
    <n v="0"/>
    <m/>
    <m/>
    <m/>
    <m/>
    <m/>
    <m/>
  </r>
  <r>
    <m/>
    <x v="23"/>
    <d v="2024-02-05T00:00:00"/>
    <x v="0"/>
    <s v="Week4"/>
    <x v="0"/>
    <s v="ขายภายใน"/>
    <s v="MTFS"/>
    <s v="CPFGS"/>
    <s v="ซีพีเอฟ เทรดดิ้ง"/>
    <s v="E+Wonton"/>
    <x v="1"/>
    <s v="Cooked Wonton  with egg V-Food"/>
    <s v="082S83Q12005P05001"/>
    <s v="145g*12"/>
    <n v="12"/>
    <n v="5"/>
    <n v="8.0000000000000002E-3"/>
    <s v="M"/>
    <s v="STPP"/>
    <s v="Regular"/>
    <n v="3382"/>
    <n v="3382"/>
    <m/>
    <n v="0"/>
    <n v="0"/>
    <m/>
    <m/>
    <m/>
    <m/>
    <m/>
    <m/>
  </r>
  <r>
    <m/>
    <x v="23"/>
    <d v="2024-01-29T00:00:00"/>
    <x v="0"/>
    <s v="Week4"/>
    <x v="0"/>
    <s v="ขายภายใน"/>
    <s v="MTFS"/>
    <s v="CPFGS"/>
    <s v="ซีพีเอฟ เทรดดิ้ง"/>
    <s v="E+Wonton TY"/>
    <x v="1"/>
    <s v="Cooked Wonton Tomyum with egg.V-Food TY"/>
    <s v="082S83Q12005P04001"/>
    <s v="115g*12"/>
    <n v="12"/>
    <n v="5"/>
    <n v="8.0000000000000002E-3"/>
    <s v="M"/>
    <s v="STPP"/>
    <s v="TYTB3C 30G"/>
    <n v="400"/>
    <n v="400"/>
    <m/>
    <n v="0"/>
    <n v="0"/>
    <m/>
    <n v="1"/>
    <n v="0"/>
    <m/>
    <m/>
    <m/>
  </r>
  <r>
    <m/>
    <x v="23"/>
    <d v="2024-02-05T00:00:00"/>
    <x v="0"/>
    <s v="Week4"/>
    <x v="0"/>
    <s v="ขายภายใน"/>
    <s v="MTFS"/>
    <s v="CPFGS"/>
    <s v="ซีพีเอฟ เทรดดิ้ง"/>
    <s v="E+Wonton TY"/>
    <x v="1"/>
    <s v="Cooked Wonton Tomyum with egg.V-Food TY"/>
    <s v="082S83Q12005P04001"/>
    <s v="115g*12"/>
    <n v="12"/>
    <n v="5"/>
    <n v="8.0000000000000002E-3"/>
    <s v="M"/>
    <s v="STPP"/>
    <s v="TYTB3C 30G"/>
    <n v="823"/>
    <n v="823"/>
    <m/>
    <n v="0"/>
    <n v="0"/>
    <m/>
    <n v="1"/>
    <n v="0"/>
    <m/>
    <m/>
    <m/>
  </r>
  <r>
    <m/>
    <x v="23"/>
    <d v="2024-01-29T00:00:00"/>
    <x v="0"/>
    <s v="Week4"/>
    <x v="0"/>
    <s v="ขายภายใน"/>
    <s v="MTFS"/>
    <s v="CPFGS"/>
    <s v="ซีพีเอฟ เทรดดิ้ง"/>
    <s v="E+Wonton NDE"/>
    <x v="1"/>
    <s v="Cooked Wonton ND with egg V-Food"/>
    <s v="082SJ3Q12003P07001"/>
    <s v="226g*12"/>
    <n v="12"/>
    <n v="3"/>
    <n v="8.0000000000000002E-3"/>
    <s v="M"/>
    <s v="STPP"/>
    <s v="Regular"/>
    <n v="500"/>
    <n v="500"/>
    <m/>
    <n v="0"/>
    <n v="0"/>
    <m/>
    <m/>
    <m/>
    <m/>
    <m/>
    <m/>
  </r>
  <r>
    <m/>
    <x v="23"/>
    <d v="2024-02-19T00:00:00"/>
    <x v="0"/>
    <s v="Week4"/>
    <x v="0"/>
    <s v="ขายภายใน"/>
    <s v="MTFS"/>
    <s v="CPFGS"/>
    <s v="ซีพีเอฟ เทรดดิ้ง"/>
    <s v="E+Wonton NDE"/>
    <x v="1"/>
    <s v="Cooked Wonton ND with egg V-Food"/>
    <s v="082SJ3Q12003P07001"/>
    <s v="226g*12"/>
    <n v="12"/>
    <n v="3"/>
    <n v="8.0000000000000002E-3"/>
    <s v="M"/>
    <s v="STPP"/>
    <s v="Regular"/>
    <n v="541"/>
    <n v="541"/>
    <m/>
    <n v="0"/>
    <n v="0"/>
    <m/>
    <m/>
    <m/>
    <m/>
    <m/>
    <m/>
  </r>
  <r>
    <s v="R"/>
    <x v="23"/>
    <d v="2024-01-31T00:00:00"/>
    <x v="0"/>
    <s v="Week4"/>
    <x v="0"/>
    <s v="DRY2300676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  <m/>
    <m/>
    <m/>
  </r>
  <r>
    <s v="R"/>
    <x v="23"/>
    <d v="2024-02-16T00:00:00"/>
    <x v="0"/>
    <s v="Week4"/>
    <x v="0"/>
    <s v="DRY2300677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  <m/>
    <m/>
    <m/>
  </r>
  <r>
    <s v="R"/>
    <x v="23"/>
    <d v="2024-01-30T00:00:00"/>
    <x v="0"/>
    <s v="Week4"/>
    <x v="0"/>
    <s v="DRY2300681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225"/>
    <n v="225"/>
    <m/>
    <n v="0"/>
    <n v="0"/>
    <n v="0"/>
    <n v="6"/>
    <n v="0"/>
    <m/>
    <m/>
    <m/>
  </r>
  <r>
    <s v="R"/>
    <x v="23"/>
    <d v="2024-02-02T00:00:00"/>
    <x v="0"/>
    <s v="Week4"/>
    <x v="0"/>
    <s v="DRY2300663"/>
    <s v="SG"/>
    <s v="CPFNW"/>
    <s v="CPI SINGAPORE"/>
    <s v="R-Minced egg past"/>
    <x v="2"/>
    <s v="Raw Minced Wonton 8 pcs"/>
    <s v="082ID3B18008P00001"/>
    <s v="90g*18in"/>
    <n v="18"/>
    <n v="8"/>
    <n v="5.0000000000000001E-3"/>
    <s v="BK"/>
    <s v="STPP"/>
    <s v="ซุปซอง 5g."/>
    <n v="600"/>
    <n v="600"/>
    <n v="50"/>
    <n v="50"/>
    <n v="0"/>
    <n v="0"/>
    <n v="2"/>
    <n v="0"/>
    <m/>
    <m/>
    <m/>
  </r>
  <r>
    <m/>
    <x v="24"/>
    <d v="2024-01-30T00:00:00"/>
    <x v="0"/>
    <s v="Week4"/>
    <x v="0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540"/>
    <n v="540"/>
    <m/>
    <n v="0"/>
    <n v="0"/>
    <m/>
    <m/>
    <m/>
    <m/>
    <m/>
    <m/>
  </r>
  <r>
    <m/>
    <x v="24"/>
    <d v="2024-02-12T00:00:00"/>
    <x v="0"/>
    <s v="Week4"/>
    <x v="0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1288"/>
    <n v="1288"/>
    <m/>
    <n v="0"/>
    <n v="0"/>
    <m/>
    <m/>
    <m/>
    <m/>
    <m/>
    <m/>
  </r>
  <r>
    <m/>
    <x v="24"/>
    <d v="2024-01-29T00:00:00"/>
    <x v="0"/>
    <s v="Week4"/>
    <x v="0"/>
    <s v="ขายภายใน"/>
    <s v="MTFS"/>
    <s v="CPFGS"/>
    <s v="ซีพีเอฟ เทรดดิ้ง"/>
    <s v="E+Wonton+หมาล่า"/>
    <x v="1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2456"/>
    <n v="2456"/>
    <m/>
    <n v="0"/>
    <n v="0"/>
    <m/>
    <m/>
    <m/>
    <m/>
    <m/>
    <m/>
  </r>
  <r>
    <m/>
    <x v="24"/>
    <d v="2024-02-12T00:00:00"/>
    <x v="0"/>
    <s v="Week4"/>
    <x v="0"/>
    <s v="ขายภายใน"/>
    <s v=".7-11"/>
    <s v="CPFGS"/>
    <s v="ซีพีเอฟ เทรดดิ้ง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3247"/>
    <n v="3247"/>
    <m/>
    <n v="0"/>
    <n v="0"/>
    <m/>
    <m/>
    <m/>
    <m/>
    <m/>
    <m/>
  </r>
  <r>
    <s v="R"/>
    <x v="24"/>
    <d v="2024-02-02T00:00:00"/>
    <x v="0"/>
    <s v="Week4"/>
    <x v="0"/>
    <s v="DRY2300664"/>
    <s v="SG"/>
    <s v="CPFNW"/>
    <s v="CPI SINGAPORE"/>
    <s v="R-Wonton egg past"/>
    <x v="2"/>
    <s v="Raw Wonton 8 pcs"/>
    <s v="082I93B20008P00001"/>
    <s v="194g*20in"/>
    <n v="20"/>
    <n v="8"/>
    <n v="1.4999999999999999E-2"/>
    <s v="JB"/>
    <s v="STPP"/>
    <s v="ซุปซอง 5g."/>
    <n v="500"/>
    <n v="500"/>
    <n v="71"/>
    <n v="71"/>
    <n v="0"/>
    <n v="0"/>
    <n v="2"/>
    <n v="0"/>
    <s v="ห่อแบบดิบ"/>
    <m/>
    <m/>
  </r>
  <r>
    <s v="R"/>
    <x v="24"/>
    <d v="2024-02-05T00:00:00"/>
    <x v="0"/>
    <s v="Week4"/>
    <x v="0"/>
    <s v="DRY2300707"/>
    <s v="HK"/>
    <s v="CPFNW"/>
    <s v="CPM Hongkong"/>
    <s v="R-Minced egg past"/>
    <x v="2"/>
    <s v="Raw Minced Wonton 8 pcs"/>
    <s v="082ID3G18008P00001"/>
    <s v="90g*18in"/>
    <n v="18"/>
    <n v="8"/>
    <n v="6.0000000000000001E-3"/>
    <s v="BK"/>
    <s v="STPP"/>
    <s v="ซุปซอง 5g."/>
    <n v="200"/>
    <n v="200"/>
    <m/>
    <n v="0"/>
    <n v="0"/>
    <n v="0"/>
    <n v="2"/>
    <n v="0"/>
    <m/>
    <m/>
    <m/>
  </r>
  <r>
    <s v="R"/>
    <x v="24"/>
    <d v="2024-02-05T00:00:00"/>
    <x v="0"/>
    <s v="Week4"/>
    <x v="0"/>
    <s v="DRY2300707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269"/>
    <n v="269"/>
    <m/>
    <n v="0"/>
    <n v="0"/>
    <n v="0"/>
    <n v="1"/>
    <n v="0"/>
    <m/>
    <m/>
    <m/>
  </r>
  <r>
    <m/>
    <x v="25"/>
    <d v="2024-02-05T00:00:00"/>
    <x v="0"/>
    <s v="Week4"/>
    <x v="0"/>
    <s v="DRY230062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04"/>
    <n v="504"/>
    <m/>
    <n v="0"/>
    <n v="0"/>
    <m/>
    <m/>
    <m/>
    <m/>
    <m/>
    <m/>
  </r>
  <r>
    <m/>
    <x v="25"/>
    <d v="2024-02-05T00:00:00"/>
    <x v="0"/>
    <s v="Week4"/>
    <x v="0"/>
    <s v="DRY230062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5"/>
    <d v="2024-02-05T00:00:00"/>
    <x v="0"/>
    <s v="Week4"/>
    <x v="0"/>
    <s v="DRY230062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5"/>
    <d v="2024-02-05T00:00:00"/>
    <x v="0"/>
    <s v="Week4"/>
    <x v="0"/>
    <s v="DRY230063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5"/>
    <d v="2024-02-05T00:00:00"/>
    <x v="0"/>
    <s v="Week4"/>
    <x v="0"/>
    <s v="DRY230063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5"/>
    <d v="2024-02-05T00:00:00"/>
    <x v="0"/>
    <s v="Week4"/>
    <x v="0"/>
    <s v="DRY230063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31"/>
    <n v="131"/>
    <m/>
    <n v="0"/>
    <n v="0"/>
    <m/>
    <m/>
    <m/>
    <m/>
    <m/>
    <m/>
  </r>
  <r>
    <s v="R"/>
    <x v="25"/>
    <d v="2024-02-05T00:00:00"/>
    <x v="0"/>
    <s v="Week4"/>
    <x v="0"/>
    <s v="DRY2300707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1431"/>
    <n v="1431"/>
    <m/>
    <n v="0"/>
    <n v="0"/>
    <n v="0"/>
    <n v="1"/>
    <n v="0"/>
    <m/>
    <m/>
    <m/>
  </r>
  <r>
    <m/>
    <x v="26"/>
    <d v="2024-02-07T00:00:00"/>
    <x v="0"/>
    <s v="Week4"/>
    <x v="0"/>
    <s v="DRY2300690"/>
    <s v="Spain"/>
    <s v="CPFNW"/>
    <s v="Mercadona"/>
    <s v="Wonton ND+V"/>
    <x v="1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  <s v="รวบการผลิตให้เป็นวันเดียวกันตามความต้องการของลูกค้า"/>
    <m/>
    <m/>
  </r>
  <r>
    <m/>
    <x v="26"/>
    <d v="2024-03-06T00:00:00"/>
    <x v="0"/>
    <s v="Week4"/>
    <x v="0"/>
    <s v="DRY2300691"/>
    <s v="Spain"/>
    <s v="CPFNW"/>
    <s v="Mercadona"/>
    <s v="Wonton ND+V"/>
    <x v="1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  <s v="รวบการผลิตให้เป็นวันเดียวกันตามความต้องการของลูกค้า"/>
    <m/>
    <m/>
  </r>
  <r>
    <m/>
    <x v="26"/>
    <d v="2024-02-23T00:00:00"/>
    <x v="0"/>
    <s v="Week4"/>
    <x v="0"/>
    <s v="DRY2300783"/>
    <s v="Belgium"/>
    <s v="CPFNW"/>
    <s v="CPF EUROPE S.A."/>
    <s v="Wonton ND+V"/>
    <x v="1"/>
    <s v="Cooked Wonton ND No Egg with Pumpkin _x000a_+ Vegetable  HC  3 pcs"/>
    <s v="082SJ3I08003P00001"/>
    <s v="309g*8"/>
    <n v="8"/>
    <n v="3"/>
    <n v="7.4999999999999997E-3"/>
    <s v="HC"/>
    <s v="Salt"/>
    <s v="Regular"/>
    <n v="500"/>
    <m/>
    <n v="500"/>
    <n v="0"/>
    <n v="0"/>
    <m/>
    <m/>
    <m/>
    <m/>
    <m/>
    <m/>
  </r>
  <r>
    <m/>
    <x v="26"/>
    <d v="2024-02-08T00:00:00"/>
    <x v="0"/>
    <s v="Week4"/>
    <x v="0"/>
    <s v="DRY2300740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26"/>
    <d v="2024-02-15T00:00:00"/>
    <x v="0"/>
    <s v="Week4"/>
    <x v="0"/>
    <s v="DRY2300741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26"/>
    <d v="2024-02-15T00:00:00"/>
    <x v="0"/>
    <s v="Week4"/>
    <x v="0"/>
    <s v="DRY2300742"/>
    <s v="New Zealand"/>
    <s v="CPFNW"/>
    <s v="Lim Brothers"/>
    <s v="Wonton ND+V"/>
    <x v="1"/>
    <s v="Cooked Wonton ND No Egg with Pumpkin_x000a_+ Yu Choy "/>
    <s v="082SJN708004P00001"/>
    <s v="305g*8"/>
    <n v="8"/>
    <n v="4"/>
    <n v="7.4999999999999997E-3"/>
    <s v="HC"/>
    <s v="Salt"/>
    <s v="Regular"/>
    <n v="1500"/>
    <m/>
    <n v="1545.5"/>
    <n v="45.5"/>
    <n v="0"/>
    <m/>
    <m/>
    <m/>
    <s v="AUS 637ถ้วย"/>
    <m/>
    <m/>
  </r>
  <r>
    <m/>
    <x v="26"/>
    <d v="2024-02-02T00:00:00"/>
    <x v="0"/>
    <s v="Week4"/>
    <x v="0"/>
    <s v="DRY2300697"/>
    <s v="New Zealand"/>
    <s v="CPFNW"/>
    <s v="Lim Brothers"/>
    <s v="Minced ND+V+TY"/>
    <x v="1"/>
    <s v="Cooked Minced  ND No Egg with Pumpkin_x000a_+ Yu Choy Tomyum"/>
    <s v="082SRN708003P00001"/>
    <s v="302g*8"/>
    <n v="8"/>
    <n v="3"/>
    <n v="6.0000000000000001E-3"/>
    <s v="BK"/>
    <s v="Salt"/>
    <s v="TYA+CO"/>
    <n v="700"/>
    <m/>
    <n v="711.5"/>
    <n v="11.5"/>
    <n v="0"/>
    <m/>
    <m/>
    <m/>
    <s v="NEWPACKAGE"/>
    <m/>
    <m/>
  </r>
  <r>
    <s v="R"/>
    <x v="26"/>
    <d v="2024-02-06T00:00:00"/>
    <x v="0"/>
    <s v="Week4"/>
    <x v="0"/>
    <s v="DRY2300578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677"/>
    <n v="677"/>
    <m/>
    <n v="0"/>
    <n v="0"/>
    <n v="0"/>
    <n v="2"/>
    <n v="0"/>
    <m/>
    <m/>
    <m/>
  </r>
  <r>
    <m/>
    <x v="27"/>
    <m/>
    <x v="0"/>
    <s v="Week4"/>
    <x v="0"/>
    <m/>
    <m/>
    <m/>
    <m/>
    <m/>
    <x v="0"/>
    <m/>
    <m/>
    <m/>
    <m/>
    <m/>
    <m/>
    <m/>
    <m/>
    <m/>
    <m/>
    <m/>
    <m/>
    <m/>
    <m/>
    <m/>
    <m/>
    <m/>
    <m/>
    <m/>
    <m/>
  </r>
  <r>
    <m/>
    <x v="28"/>
    <d v="2024-02-05T00:00:00"/>
    <x v="0"/>
    <s v="Week5"/>
    <x v="0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6111"/>
    <n v="6111"/>
    <m/>
    <n v="0"/>
    <n v="0"/>
    <m/>
    <m/>
    <m/>
    <s v="NEWPACKAGE"/>
    <m/>
    <m/>
  </r>
  <r>
    <s v="R"/>
    <x v="28"/>
    <d v="2024-02-06T00:00:00"/>
    <x v="0"/>
    <s v="Week5"/>
    <x v="0"/>
    <s v="DRY2300578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667"/>
    <n v="667"/>
    <m/>
    <n v="0"/>
    <n v="0"/>
    <n v="0"/>
    <n v="2"/>
    <n v="0"/>
    <m/>
    <m/>
    <m/>
  </r>
  <r>
    <m/>
    <x v="29"/>
    <d v="2024-02-05T00:00:00"/>
    <x v="0"/>
    <s v="Week5"/>
    <x v="0"/>
    <s v="DRY230063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61"/>
    <n v="661"/>
    <m/>
    <n v="0"/>
    <n v="0"/>
    <m/>
    <m/>
    <m/>
    <m/>
    <m/>
    <m/>
  </r>
  <r>
    <m/>
    <x v="29"/>
    <d v="2024-02-05T00:00:00"/>
    <x v="0"/>
    <s v="Week5"/>
    <x v="0"/>
    <s v="DRY230062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9"/>
    <d v="2024-02-06T00:00:00"/>
    <x v="0"/>
    <s v="Week5"/>
    <x v="0"/>
    <s v="DRY230062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9"/>
    <d v="2024-02-06T00:00:00"/>
    <x v="0"/>
    <s v="Week5"/>
    <x v="0"/>
    <s v="DRY230062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9"/>
    <d v="2024-02-06T00:00:00"/>
    <x v="0"/>
    <s v="Week5"/>
    <x v="0"/>
    <s v="DRY230064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9"/>
    <d v="2024-02-06T00:00:00"/>
    <x v="0"/>
    <s v="Week5"/>
    <x v="0"/>
    <s v="DRY230061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35"/>
    <n v="435"/>
    <m/>
    <n v="0"/>
    <n v="0"/>
    <m/>
    <m/>
    <m/>
    <m/>
    <m/>
    <m/>
  </r>
  <r>
    <s v="R"/>
    <x v="29"/>
    <d v="2024-02-06T00:00:00"/>
    <x v="0"/>
    <s v="Week5"/>
    <x v="0"/>
    <s v="DRY2300578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280"/>
    <n v="280"/>
    <m/>
    <n v="0"/>
    <n v="0"/>
    <n v="0"/>
    <n v="2"/>
    <n v="0"/>
    <m/>
    <m/>
    <m/>
  </r>
  <r>
    <s v="R"/>
    <x v="29"/>
    <d v="2024-02-09T00:00:00"/>
    <x v="0"/>
    <s v="Week5"/>
    <x v="0"/>
    <s v="DRY2300579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364"/>
    <n v="364"/>
    <m/>
    <n v="0"/>
    <n v="0"/>
    <n v="0"/>
    <n v="2"/>
    <n v="0"/>
    <m/>
    <m/>
    <m/>
  </r>
  <r>
    <m/>
    <x v="30"/>
    <d v="2024-02-06T00:00:00"/>
    <x v="0"/>
    <s v="Week5"/>
    <x v="0"/>
    <s v="DRY230061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57"/>
    <n v="357"/>
    <m/>
    <n v="0"/>
    <n v="0"/>
    <m/>
    <m/>
    <m/>
    <m/>
    <m/>
    <m/>
  </r>
  <r>
    <m/>
    <x v="30"/>
    <d v="2024-02-08T00:00:00"/>
    <x v="0"/>
    <s v="Week5"/>
    <x v="0"/>
    <s v="DRY230063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0"/>
    <d v="2024-02-09T00:00:00"/>
    <x v="0"/>
    <s v="Week5"/>
    <x v="0"/>
    <s v="DRY230063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0"/>
    <d v="2024-02-09T00:00:00"/>
    <x v="0"/>
    <s v="Week5"/>
    <x v="0"/>
    <s v="DRY230064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0"/>
    <d v="2024-02-13T00:00:00"/>
    <x v="0"/>
    <s v="Week5"/>
    <x v="0"/>
    <s v="DRY230064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s v="กัก 755"/>
    <m/>
    <m/>
  </r>
  <r>
    <m/>
    <x v="30"/>
    <d v="2024-02-13T00:00:00"/>
    <x v="0"/>
    <s v="Week5"/>
    <x v="0"/>
    <s v="DRY230064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02"/>
    <n v="502"/>
    <m/>
    <n v="0"/>
    <n v="0"/>
    <m/>
    <m/>
    <m/>
    <s v="กัก 502"/>
    <m/>
    <m/>
  </r>
  <r>
    <s v="R"/>
    <x v="30"/>
    <d v="2024-02-09T00:00:00"/>
    <x v="0"/>
    <s v="Week5"/>
    <x v="0"/>
    <s v="DRY2300579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649"/>
    <n v="649"/>
    <m/>
    <n v="0"/>
    <n v="0"/>
    <n v="0"/>
    <n v="2"/>
    <n v="0"/>
    <s v="กัก 81"/>
    <m/>
    <m/>
  </r>
  <r>
    <m/>
    <x v="31"/>
    <d v="2024-02-13T00:00:00"/>
    <x v="0"/>
    <s v="Week5"/>
    <x v="1"/>
    <s v="DRY2300725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28.625"/>
    <n v="29"/>
    <m/>
    <n v="0.375"/>
    <n v="0"/>
    <m/>
    <m/>
    <m/>
    <m/>
    <m/>
    <m/>
  </r>
  <r>
    <m/>
    <x v="31"/>
    <d v="2024-02-20T00:00:00"/>
    <x v="0"/>
    <s v="Week5"/>
    <x v="1"/>
    <s v="DRY2300726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2400"/>
    <m/>
    <n v="2400"/>
    <n v="0"/>
    <n v="0"/>
    <m/>
    <m/>
    <m/>
    <s v="กัก 2400"/>
    <m/>
    <m/>
  </r>
  <r>
    <m/>
    <x v="31"/>
    <d v="2024-02-26T00:00:00"/>
    <x v="0"/>
    <s v="Week5"/>
    <x v="1"/>
    <s v="DRY2300743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2366"/>
    <m/>
    <n v="2366"/>
    <n v="0"/>
    <n v="0"/>
    <m/>
    <m/>
    <m/>
    <s v="กัก 999+315สำรอง"/>
    <m/>
    <m/>
  </r>
  <r>
    <m/>
    <x v="31"/>
    <d v="2024-02-09T00:00:00"/>
    <x v="0"/>
    <s v="Week5"/>
    <x v="1"/>
    <s v="DRY2300706"/>
    <s v="New Zealand"/>
    <s v="CPFNW"/>
    <s v="Lim Brothers"/>
    <s v="Wonton ND+V"/>
    <x v="1"/>
    <s v="Cooked Wonton ND No Egg with Pumpkin_x000a_+ Yu Choy "/>
    <s v="082SJN736005P00001"/>
    <s v="308g*6c*6in"/>
    <n v="36"/>
    <n v="5"/>
    <n v="7.4999999999999997E-3"/>
    <s v="HC"/>
    <s v="Salt"/>
    <s v="Regular"/>
    <n v="792"/>
    <n v="792"/>
    <m/>
    <n v="0"/>
    <n v="0"/>
    <m/>
    <m/>
    <m/>
    <s v="กัก 193"/>
    <m/>
    <m/>
  </r>
  <r>
    <m/>
    <x v="31"/>
    <d v="2024-02-12T00:00:00"/>
    <x v="0"/>
    <s v="Week5"/>
    <x v="1"/>
    <s v="DRY2300731"/>
    <s v="New Zealand"/>
    <s v="CPFNW"/>
    <s v="Lim Brothers"/>
    <s v="Wonton ND+V"/>
    <x v="1"/>
    <s v="Cooked Wonton ND No Egg with Pumpkin_x000a_+ Yu Choy "/>
    <s v="082SJN736005P00001"/>
    <s v="308g*6c*6in"/>
    <n v="36"/>
    <n v="5"/>
    <n v="7.4999999999999997E-3"/>
    <s v="HC"/>
    <s v="Salt"/>
    <s v="Regular"/>
    <n v="550"/>
    <n v="550"/>
    <m/>
    <n v="0"/>
    <n v="0"/>
    <m/>
    <m/>
    <m/>
    <m/>
    <m/>
    <m/>
  </r>
  <r>
    <m/>
    <x v="31"/>
    <d v="2024-02-05T00:00:00"/>
    <x v="0"/>
    <s v="Week5"/>
    <x v="1"/>
    <s v="DRY2300730"/>
    <s v="New Zealand"/>
    <s v="CPFNW"/>
    <s v="Lim Brothers"/>
    <s v="Wonton ND+V+TY"/>
    <x v="1"/>
    <s v="Cooked Wonton ND No Egg with Pumpkin _x000a_+ Vegetable 5 pcs tomyam"/>
    <s v="082SJN724005P00001"/>
    <s v="307g*4c*6in"/>
    <n v="24"/>
    <n v="5"/>
    <n v="7.4999999999999997E-3"/>
    <s v="M"/>
    <s v="Salt"/>
    <s v="TYEX+CO"/>
    <n v="390"/>
    <n v="390"/>
    <m/>
    <n v="0"/>
    <n v="0"/>
    <m/>
    <m/>
    <m/>
    <s v="กัก 250"/>
    <m/>
    <m/>
  </r>
  <r>
    <m/>
    <x v="31"/>
    <d v="2024-02-12T00:00:00"/>
    <x v="0"/>
    <s v="Week5"/>
    <x v="1"/>
    <s v="DRY2300731"/>
    <s v="New Zealand"/>
    <s v="CPFNW"/>
    <s v="Lim Brothers"/>
    <s v="Wonton ND+V+TY"/>
    <x v="1"/>
    <s v="Cooked Wonton ND No Egg with Pumpkin _x000a_+ Vegetable 5 pcs tomyam"/>
    <s v="082SJN724005P00001"/>
    <s v="307g*4c*6in"/>
    <n v="24"/>
    <n v="5"/>
    <n v="7.4999999999999997E-3"/>
    <s v="M"/>
    <s v="Salt"/>
    <s v="TYEX+CO"/>
    <n v="250"/>
    <n v="247"/>
    <n v="3"/>
    <n v="0"/>
    <n v="0"/>
    <m/>
    <m/>
    <m/>
    <s v="กัก 250"/>
    <m/>
    <m/>
  </r>
  <r>
    <m/>
    <x v="31"/>
    <d v="2024-02-20T00:00:00"/>
    <x v="0"/>
    <s v="Week5"/>
    <x v="1"/>
    <s v="DRY2300668"/>
    <s v="UK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n v="924"/>
    <m/>
    <n v="0"/>
    <n v="0"/>
    <m/>
    <m/>
    <m/>
    <s v="กัก 275"/>
    <m/>
    <m/>
  </r>
  <r>
    <s v="R"/>
    <x v="31"/>
    <d v="2024-02-09T00:00:00"/>
    <x v="0"/>
    <s v="Week5"/>
    <x v="1"/>
    <s v="DRY2300579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611"/>
    <n v="611"/>
    <m/>
    <n v="0"/>
    <n v="0"/>
    <n v="0"/>
    <n v="2"/>
    <n v="0"/>
    <s v="กัก 244"/>
    <m/>
    <m/>
  </r>
  <r>
    <m/>
    <x v="32"/>
    <d v="2024-02-12T00:00:00"/>
    <x v="0"/>
    <s v="Week5"/>
    <x v="1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5524"/>
    <n v="5524"/>
    <m/>
    <n v="0"/>
    <n v="0"/>
    <m/>
    <m/>
    <m/>
    <m/>
    <m/>
    <m/>
  </r>
  <r>
    <s v="R"/>
    <x v="32"/>
    <d v="2024-02-09T00:00:00"/>
    <x v="0"/>
    <s v="Week5"/>
    <x v="1"/>
    <s v="DRY2300682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22"/>
    <n v="622"/>
    <m/>
    <n v="0"/>
    <n v="0"/>
    <n v="0"/>
    <n v="6"/>
    <n v="0"/>
    <m/>
    <m/>
    <m/>
  </r>
  <r>
    <m/>
    <x v="33"/>
    <d v="2024-02-15T00:00:00"/>
    <x v="0"/>
    <s v="Week5"/>
    <x v="1"/>
    <s v="DRY2300742"/>
    <s v="New Zealand"/>
    <s v="CPFNW"/>
    <s v="Lim Brothers"/>
    <s v="Minced ND+Kee Mao"/>
    <x v="1"/>
    <s v="Cooked Minced Wonton Thai Spicy Noodles (Kee Mao Noodles)"/>
    <s v="082SRN708003P02001"/>
    <s v="219g*8"/>
    <n v="8"/>
    <n v="3"/>
    <n v="6.0000000000000001E-3"/>
    <s v="BK"/>
    <s v="Salt"/>
    <s v="Kee Mao 50G."/>
    <n v="250"/>
    <n v="250"/>
    <m/>
    <n v="0"/>
    <n v="0"/>
    <m/>
    <m/>
    <m/>
    <s v="NEWPACKAGE"/>
    <m/>
    <m/>
  </r>
  <r>
    <m/>
    <x v="33"/>
    <d v="2024-02-22T00:00:00"/>
    <x v="0"/>
    <s v="Week5"/>
    <x v="1"/>
    <s v="DRY2400001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s v="กัก213"/>
    <m/>
    <m/>
  </r>
  <r>
    <m/>
    <x v="33"/>
    <d v="2024-02-22T00:00:00"/>
    <x v="0"/>
    <s v="Week5"/>
    <x v="1"/>
    <s v="DRY2400002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33"/>
    <d v="2024-02-29T00:00:00"/>
    <x v="0"/>
    <s v="Week5"/>
    <x v="1"/>
    <s v="DRY2400003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33"/>
    <d v="2024-02-29T00:00:00"/>
    <x v="0"/>
    <s v="Week5"/>
    <x v="1"/>
    <s v="DRY2400004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33"/>
    <d v="2024-03-07T00:00:00"/>
    <x v="0"/>
    <s v="Week5"/>
    <x v="1"/>
    <s v="DRY2400005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s v="R"/>
    <x v="33"/>
    <d v="2024-02-09T00:00:00"/>
    <x v="0"/>
    <s v="Week5"/>
    <x v="1"/>
    <s v="DRY2300682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46"/>
    <n v="646"/>
    <m/>
    <n v="0"/>
    <n v="0"/>
    <n v="0"/>
    <n v="6"/>
    <n v="0"/>
    <m/>
    <m/>
    <m/>
  </r>
  <r>
    <m/>
    <x v="34"/>
    <m/>
    <x v="0"/>
    <s v="Week5"/>
    <x v="1"/>
    <m/>
    <m/>
    <m/>
    <m/>
    <m/>
    <x v="0"/>
    <m/>
    <m/>
    <m/>
    <m/>
    <m/>
    <m/>
    <m/>
    <m/>
    <m/>
    <m/>
    <m/>
    <m/>
    <m/>
    <m/>
    <m/>
    <m/>
    <m/>
    <m/>
    <m/>
    <m/>
  </r>
  <r>
    <s v="T"/>
    <x v="35"/>
    <d v="2024-02-13T00:00:00"/>
    <x v="0"/>
    <s v="Week6"/>
    <x v="1"/>
    <s v="DRY2300725"/>
    <s v="USA"/>
    <s v="CPFNW"/>
    <s v="Bellisio Foods, Inc."/>
    <s v="C-WT in tray no egg"/>
    <x v="1"/>
    <s v="COOKED WONTON 6 pcs."/>
    <s v="082S8BW08012P00001"/>
    <s v="117*2tray*8in"/>
    <n v="16"/>
    <n v="6"/>
    <n v="8.1300000000000001E-3"/>
    <s v="M"/>
    <s v="Salt"/>
    <s v=" Sesame 15g"/>
    <n v="600"/>
    <n v="600"/>
    <m/>
    <n v="0"/>
    <n v="0"/>
    <m/>
    <n v="1"/>
    <n v="9600"/>
    <s v="cap 3000 tray/hr."/>
    <m/>
    <m/>
  </r>
  <r>
    <m/>
    <x v="35"/>
    <d v="2024-02-13T00:00:00"/>
    <x v="0"/>
    <s v="Week6"/>
    <x v="1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4127"/>
    <n v="4127"/>
    <m/>
    <n v="0"/>
    <n v="0"/>
    <m/>
    <m/>
    <m/>
    <s v="NEWPACKAGE"/>
    <m/>
    <m/>
  </r>
  <r>
    <m/>
    <x v="35"/>
    <d v="2024-02-23T00:00:00"/>
    <x v="0"/>
    <s v="Week6"/>
    <x v="1"/>
    <s v="DRY2300783"/>
    <s v="Belgium"/>
    <s v="CPFNW"/>
    <s v="CPF EUROPE S.A."/>
    <s v="Wonton +V"/>
    <x v="1"/>
    <s v="Cooked Wonton  No Egg _x000a_+ Vegetable  HC  4 pcs"/>
    <s v="082S83I08004P00001"/>
    <s v="145g*8"/>
    <n v="8"/>
    <n v="4"/>
    <n v="7.4999999999999997E-3"/>
    <s v="HC"/>
    <s v="Salt"/>
    <s v="Regular"/>
    <n v="1100"/>
    <m/>
    <n v="1103.125"/>
    <n v="3.125"/>
    <n v="0"/>
    <m/>
    <m/>
    <m/>
    <n v="4923"/>
    <m/>
    <m/>
  </r>
  <r>
    <s v="R"/>
    <x v="35"/>
    <d v="2024-02-09T00:00:00"/>
    <x v="0"/>
    <s v="Week6"/>
    <x v="1"/>
    <s v="DRY2300682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31"/>
    <n v="631"/>
    <m/>
    <n v="0"/>
    <n v="0"/>
    <n v="0"/>
    <n v="6"/>
    <n v="0"/>
    <m/>
    <m/>
    <m/>
  </r>
  <r>
    <s v="T"/>
    <x v="36"/>
    <d v="2024-02-20T00:00:00"/>
    <x v="0"/>
    <s v="Week6"/>
    <x v="1"/>
    <s v="DRY2300726"/>
    <s v="USA"/>
    <s v="CPFNW"/>
    <s v="Bellisio Foods, Inc."/>
    <s v="C-WT in tray no egg"/>
    <x v="1"/>
    <s v="COOKED WONTON 6 pcs."/>
    <s v="082S8BW08012P00001"/>
    <s v="117*2tray*8in"/>
    <n v="16"/>
    <n v="6"/>
    <n v="8.1300000000000001E-3"/>
    <s v="M"/>
    <s v="Salt"/>
    <s v=" Sesame 15g"/>
    <n v="650"/>
    <n v="650"/>
    <m/>
    <n v="0"/>
    <n v="0"/>
    <m/>
    <n v="1"/>
    <n v="10400"/>
    <s v="cap 3000 tray/hr."/>
    <m/>
    <m/>
  </r>
  <r>
    <m/>
    <x v="36"/>
    <d v="2024-02-09T00:00:00"/>
    <x v="0"/>
    <s v="Week6"/>
    <x v="1"/>
    <s v="KL2400005"/>
    <s v="China"/>
    <s v="China"/>
    <s v="Charoen Pokphand Import&amp;Export Trading (Shanghai) Co., Ltd"/>
    <s v="Wonton ND+V"/>
    <x v="1"/>
    <s v="Cooked Wonton ND No Egg with Pumpkin _x000a_+ Vegetable 5 pcs tomyam"/>
    <s v="082SJ5J36005P00001"/>
    <s v="308g*6c*6in"/>
    <n v="36"/>
    <n v="5"/>
    <n v="7.4999999999999997E-3"/>
    <s v="HC"/>
    <s v="Salt"/>
    <s v="Y3"/>
    <n v="792"/>
    <n v="792"/>
    <m/>
    <n v="0"/>
    <n v="0"/>
    <m/>
    <m/>
    <m/>
    <s v="INNERเก่า / กล่องใหม่ เหลือง"/>
    <m/>
    <m/>
  </r>
  <r>
    <m/>
    <x v="36"/>
    <d v="2024-02-13T00:00:00"/>
    <x v="0"/>
    <s v="Week6"/>
    <x v="1"/>
    <s v="DRY230064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90"/>
    <n v="290"/>
    <m/>
    <n v="0"/>
    <n v="0"/>
    <m/>
    <m/>
    <m/>
    <m/>
    <m/>
    <m/>
  </r>
  <r>
    <m/>
    <x v="36"/>
    <d v="2024-02-13T00:00:00"/>
    <x v="0"/>
    <s v="Week6"/>
    <x v="1"/>
    <s v="DRY230063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6"/>
    <d v="2024-02-14T00:00:00"/>
    <x v="0"/>
    <s v="Week6"/>
    <x v="1"/>
    <s v="DRY230065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6"/>
    <d v="2024-02-15T00:00:00"/>
    <x v="0"/>
    <s v="Week6"/>
    <x v="1"/>
    <s v="DRY230064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09"/>
    <n v="709"/>
    <m/>
    <n v="0"/>
    <n v="0"/>
    <m/>
    <m/>
    <m/>
    <m/>
    <m/>
    <m/>
  </r>
  <r>
    <s v="R"/>
    <x v="36"/>
    <d v="2024-02-09T00:00:00"/>
    <x v="0"/>
    <s v="Week6"/>
    <x v="1"/>
    <s v="DRY2300682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157"/>
    <n v="157"/>
    <m/>
    <n v="0"/>
    <n v="0"/>
    <n v="0"/>
    <n v="6"/>
    <n v="0"/>
    <m/>
    <m/>
    <m/>
  </r>
  <r>
    <s v="R"/>
    <x v="36"/>
    <d v="2024-02-13T00:00:00"/>
    <x v="0"/>
    <s v="Week6"/>
    <x v="1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850"/>
    <n v="850"/>
    <m/>
    <n v="0"/>
    <n v="0"/>
    <n v="0"/>
    <m/>
    <n v="0"/>
    <m/>
    <m/>
    <m/>
  </r>
  <r>
    <s v="T"/>
    <x v="37"/>
    <d v="2024-02-26T00:00:00"/>
    <x v="0"/>
    <s v="Week6"/>
    <x v="1"/>
    <s v="DRY2300743"/>
    <s v="USA"/>
    <s v="CPFNW"/>
    <s v="Bellisio Foods, Inc."/>
    <s v="C-WT in tray no egg"/>
    <x v="1"/>
    <s v="COOKED WONTON 6 pcs."/>
    <s v="082S8BW08012P00001"/>
    <s v="117*2tray*8in"/>
    <n v="16"/>
    <n v="6"/>
    <n v="8.1300000000000001E-3"/>
    <s v="M"/>
    <s v="Salt"/>
    <s v=" Sesame 15g"/>
    <n v="650"/>
    <n v="645"/>
    <n v="5.25"/>
    <n v="0.25"/>
    <n v="0"/>
    <m/>
    <n v="1"/>
    <n v="10400"/>
    <s v="cap 3000 tray/hr."/>
    <m/>
    <m/>
  </r>
  <r>
    <m/>
    <x v="37"/>
    <d v="2024-02-15T00:00:00"/>
    <x v="0"/>
    <s v="Week6"/>
    <x v="1"/>
    <s v="DRY230064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83"/>
    <n v="83"/>
    <m/>
    <n v="0"/>
    <n v="0"/>
    <m/>
    <m/>
    <m/>
    <m/>
    <m/>
    <m/>
  </r>
  <r>
    <m/>
    <x v="37"/>
    <d v="2024-02-15T00:00:00"/>
    <x v="0"/>
    <s v="Week6"/>
    <x v="1"/>
    <s v="DRY230064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7"/>
    <d v="2024-02-15T00:00:00"/>
    <x v="0"/>
    <s v="Week6"/>
    <x v="1"/>
    <s v="DRY230065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7"/>
    <d v="2024-02-16T00:00:00"/>
    <x v="0"/>
    <s v="Week6"/>
    <x v="1"/>
    <s v="DRY230065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7"/>
    <d v="2024-02-16T00:00:00"/>
    <x v="0"/>
    <s v="Week6"/>
    <x v="1"/>
    <s v="DRY230063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21"/>
    <n v="321"/>
    <m/>
    <n v="0"/>
    <n v="0"/>
    <m/>
    <m/>
    <m/>
    <m/>
    <m/>
    <m/>
  </r>
  <r>
    <s v="R"/>
    <x v="37"/>
    <d v="2024-02-19T00:00:00"/>
    <x v="0"/>
    <s v="Week6"/>
    <x v="1"/>
    <s v="KL2300033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644"/>
    <n v="644"/>
    <m/>
    <n v="0"/>
    <n v="0"/>
    <n v="0"/>
    <n v="6"/>
    <n v="0"/>
    <m/>
    <m/>
    <m/>
  </r>
  <r>
    <m/>
    <x v="38"/>
    <d v="2024-02-17T00:00:00"/>
    <x v="0"/>
    <s v="Week6"/>
    <x v="1"/>
    <s v="DRY2400104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m/>
    <m/>
    <m/>
    <s v="NEWPACKAGE"/>
    <m/>
    <m/>
  </r>
  <r>
    <m/>
    <x v="38"/>
    <d v="2024-02-16T00:00:00"/>
    <x v="0"/>
    <s v="Week6"/>
    <x v="1"/>
    <s v="DRY230063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71"/>
    <n v="471"/>
    <m/>
    <n v="0"/>
    <n v="0"/>
    <m/>
    <m/>
    <m/>
    <m/>
    <m/>
    <m/>
  </r>
  <r>
    <m/>
    <x v="38"/>
    <d v="2024-02-16T00:00:00"/>
    <x v="0"/>
    <s v="Week6"/>
    <x v="1"/>
    <s v="DRY230064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8"/>
    <d v="2024-02-20T00:00:00"/>
    <x v="0"/>
    <s v="Week6"/>
    <x v="1"/>
    <s v="DRY230064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8"/>
    <d v="2024-02-20T00:00:00"/>
    <x v="0"/>
    <s v="Week6"/>
    <x v="1"/>
    <s v="DRY230065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8"/>
    <d v="2024-02-20T00:00:00"/>
    <x v="0"/>
    <s v="Week6"/>
    <x v="1"/>
    <s v="DRY230065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96"/>
    <n v="396"/>
    <m/>
    <n v="0"/>
    <n v="0"/>
    <m/>
    <m/>
    <m/>
    <m/>
    <m/>
    <m/>
  </r>
  <r>
    <s v="R"/>
    <x v="38"/>
    <d v="2024-02-19T00:00:00"/>
    <x v="0"/>
    <s v="Week6"/>
    <x v="1"/>
    <s v="KL2300033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631"/>
    <n v="631"/>
    <m/>
    <n v="0"/>
    <n v="0"/>
    <n v="0"/>
    <n v="6"/>
    <n v="0"/>
    <m/>
    <m/>
    <m/>
  </r>
  <r>
    <m/>
    <x v="39"/>
    <d v="2024-02-15T00:00:00"/>
    <x v="0"/>
    <s v="Week6"/>
    <x v="1"/>
    <s v="DRY2300735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s v="NEWPACKAGE"/>
    <m/>
    <m/>
  </r>
  <r>
    <m/>
    <x v="39"/>
    <d v="2024-02-15T00:00:00"/>
    <x v="0"/>
    <s v="Week6"/>
    <x v="1"/>
    <s v="DRY2300744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  <m/>
    <m/>
    <m/>
  </r>
  <r>
    <m/>
    <x v="39"/>
    <d v="2024-02-15T00:00:00"/>
    <x v="0"/>
    <s v="Week6"/>
    <x v="1"/>
    <s v="DRY2300775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  <m/>
    <m/>
    <m/>
  </r>
  <r>
    <s v="R"/>
    <x v="39"/>
    <d v="2024-02-19T00:00:00"/>
    <x v="0"/>
    <s v="Week6"/>
    <x v="1"/>
    <s v="KL2300033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33"/>
    <n v="133"/>
    <m/>
    <n v="0"/>
    <n v="0"/>
    <n v="0"/>
    <n v="6"/>
    <n v="0"/>
    <m/>
    <m/>
    <m/>
  </r>
  <r>
    <s v="R"/>
    <x v="39"/>
    <d v="2024-02-19T00:00:00"/>
    <x v="0"/>
    <s v="Week6"/>
    <x v="1"/>
    <s v="KL2300035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552"/>
    <n v="552"/>
    <m/>
    <n v="0"/>
    <n v="0"/>
    <n v="0"/>
    <n v="6"/>
    <n v="0"/>
    <m/>
    <m/>
    <m/>
  </r>
  <r>
    <m/>
    <x v="40"/>
    <m/>
    <x v="0"/>
    <s v="Week6"/>
    <x v="1"/>
    <m/>
    <m/>
    <m/>
    <m/>
    <m/>
    <x v="0"/>
    <m/>
    <m/>
    <m/>
    <m/>
    <m/>
    <m/>
    <m/>
    <m/>
    <m/>
    <m/>
    <m/>
    <m/>
    <m/>
    <m/>
    <m/>
    <m/>
    <m/>
    <m/>
    <m/>
    <m/>
  </r>
  <r>
    <m/>
    <x v="41"/>
    <m/>
    <x v="0"/>
    <s v="Week6"/>
    <x v="1"/>
    <m/>
    <m/>
    <m/>
    <m/>
    <m/>
    <x v="0"/>
    <m/>
    <m/>
    <m/>
    <m/>
    <m/>
    <m/>
    <m/>
    <m/>
    <m/>
    <m/>
    <m/>
    <m/>
    <m/>
    <m/>
    <m/>
    <m/>
    <m/>
    <m/>
    <m/>
    <m/>
  </r>
  <r>
    <m/>
    <x v="42"/>
    <m/>
    <x v="0"/>
    <s v="Week7"/>
    <x v="1"/>
    <m/>
    <m/>
    <m/>
    <m/>
    <m/>
    <x v="0"/>
    <m/>
    <m/>
    <m/>
    <m/>
    <m/>
    <m/>
    <m/>
    <m/>
    <m/>
    <m/>
    <m/>
    <m/>
    <m/>
    <m/>
    <m/>
    <m/>
    <m/>
    <m/>
    <m/>
    <m/>
  </r>
  <r>
    <m/>
    <x v="43"/>
    <d v="2024-02-26T00:00:00"/>
    <x v="0"/>
    <s v="Week7"/>
    <x v="1"/>
    <s v="DRY2300736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s v="NEWPACKAGE"/>
    <m/>
    <m/>
  </r>
  <r>
    <m/>
    <x v="43"/>
    <d v="2024-02-22T00:00:00"/>
    <x v="0"/>
    <s v="Week7"/>
    <x v="1"/>
    <s v="DRY2300776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  <m/>
    <m/>
    <m/>
  </r>
  <r>
    <m/>
    <x v="43"/>
    <d v="2024-02-22T00:00:00"/>
    <x v="0"/>
    <s v="Week7"/>
    <x v="1"/>
    <s v="DRY2300777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363"/>
    <n v="1037.5277777777778"/>
    <n v="112.52777777777783"/>
    <n v="0"/>
    <m/>
    <m/>
    <m/>
    <m/>
    <m/>
    <m/>
  </r>
  <r>
    <m/>
    <x v="43"/>
    <d v="2024-02-28T00:00:00"/>
    <x v="0"/>
    <s v="Week7"/>
    <x v="1"/>
    <s v="DRY2300778"/>
    <s v="SG"/>
    <s v="CPFNW"/>
    <s v="CPI SINGAPORE"/>
    <s v="Wonton"/>
    <x v="1"/>
    <s v="Cooked Wonton No Egg"/>
    <s v="082S83B24005P07001"/>
    <s v="145g*24"/>
    <n v="24"/>
    <n v="5"/>
    <n v="8.0000000000000002E-3"/>
    <s v="M"/>
    <s v="STPP"/>
    <s v="Regular"/>
    <n v="250"/>
    <n v="250"/>
    <m/>
    <n v="0"/>
    <n v="0"/>
    <m/>
    <m/>
    <m/>
    <m/>
    <m/>
    <m/>
  </r>
  <r>
    <s v="R"/>
    <x v="43"/>
    <d v="2024-02-19T00:00:00"/>
    <x v="0"/>
    <s v="Week7"/>
    <x v="1"/>
    <s v="KL2300035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673"/>
    <n v="673"/>
    <m/>
    <n v="0"/>
    <n v="0"/>
    <n v="0"/>
    <n v="6"/>
    <n v="0"/>
    <m/>
    <m/>
    <m/>
  </r>
  <r>
    <m/>
    <x v="44"/>
    <m/>
    <x v="0"/>
    <s v="Week7"/>
    <x v="1"/>
    <m/>
    <m/>
    <m/>
    <m/>
    <m/>
    <x v="0"/>
    <s v="เครื่องฟรีส 2 เสีย"/>
    <m/>
    <m/>
    <m/>
    <m/>
    <m/>
    <m/>
    <m/>
    <m/>
    <m/>
    <m/>
    <m/>
    <m/>
    <m/>
    <m/>
    <m/>
    <m/>
    <m/>
    <m/>
    <m/>
  </r>
  <r>
    <m/>
    <x v="44"/>
    <d v="2024-02-19T00:00:00"/>
    <x v="0"/>
    <s v="Week7"/>
    <x v="1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2001"/>
    <n v="2001"/>
    <m/>
    <n v="0"/>
    <n v="0"/>
    <m/>
    <m/>
    <m/>
    <s v="NEWPACKAGE"/>
    <m/>
    <m/>
  </r>
  <r>
    <s v="R"/>
    <x v="44"/>
    <d v="2024-02-19T00:00:00"/>
    <x v="0"/>
    <s v="Week7"/>
    <x v="1"/>
    <s v="KL2300035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83"/>
    <n v="183"/>
    <m/>
    <n v="0"/>
    <n v="0"/>
    <n v="0"/>
    <n v="6"/>
    <n v="0"/>
    <m/>
    <m/>
    <m/>
  </r>
  <r>
    <s v="R"/>
    <x v="44"/>
    <d v="2024-02-22T00:00:00"/>
    <x v="0"/>
    <s v="Week7"/>
    <x v="1"/>
    <s v="KL2300034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577"/>
    <n v="577"/>
    <m/>
    <n v="0"/>
    <n v="0"/>
    <n v="0"/>
    <n v="6"/>
    <n v="0"/>
    <m/>
    <m/>
    <m/>
  </r>
  <r>
    <m/>
    <x v="45"/>
    <d v="2024-02-17T00:00:00"/>
    <x v="0"/>
    <s v="Week7"/>
    <x v="1"/>
    <s v="KL2400006"/>
    <s v="China"/>
    <s v="China"/>
    <s v="Charoen Pokphand Import&amp;Export Trading (Shanghai) Co., Ltd"/>
    <s v="Wonton ND+V"/>
    <x v="1"/>
    <s v="Cooked Wonton ND No Egg with Pumpkin _x000a_+ Vegetable 5 pcs tomyam"/>
    <s v="082SJ5J36005P00001"/>
    <s v="308g*6c*6in"/>
    <n v="36"/>
    <n v="5"/>
    <n v="7.4999999999999997E-3"/>
    <s v="HC"/>
    <s v="Salt"/>
    <s v="Y3"/>
    <n v="792"/>
    <n v="792"/>
    <m/>
    <n v="0"/>
    <n v="0"/>
    <m/>
    <m/>
    <m/>
    <s v="INNERใหม่ / กล่องใหม่"/>
    <m/>
    <m/>
  </r>
  <r>
    <m/>
    <x v="45"/>
    <d v="2024-02-21T00:00:00"/>
    <x v="0"/>
    <s v="Week7"/>
    <x v="1"/>
    <s v="KL2400007"/>
    <s v="China"/>
    <s v="China"/>
    <s v="Charoen Pokphand Import&amp;Export Trading (Shanghai) Co., Ltd"/>
    <s v="Wonton ND+V"/>
    <x v="1"/>
    <s v="Cooked Wonton ND No Egg with Pumpkin _x000a_+ Vegetable 5 pcs tomyam"/>
    <s v="082SJ5J36005P00001"/>
    <s v="308g*6c*6in"/>
    <n v="36"/>
    <n v="5"/>
    <n v="7.4999999999999997E-3"/>
    <s v="HC"/>
    <s v="Salt"/>
    <s v="Y3"/>
    <n v="792"/>
    <n v="425"/>
    <n v="445.11111111111109"/>
    <n v="78.111111111111086"/>
    <n v="0"/>
    <m/>
    <m/>
    <m/>
    <s v="INNERใหม่ / กล่องใหม่"/>
    <m/>
    <m/>
  </r>
  <r>
    <m/>
    <x v="45"/>
    <d v="2024-02-20T00:00:00"/>
    <x v="0"/>
    <s v="Week7"/>
    <x v="1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4274"/>
    <n v="4274"/>
    <m/>
    <n v="0"/>
    <n v="0"/>
    <m/>
    <m/>
    <m/>
    <m/>
    <m/>
    <m/>
  </r>
  <r>
    <s v="R"/>
    <x v="45"/>
    <d v="2024-02-22T00:00:00"/>
    <x v="0"/>
    <s v="Week7"/>
    <x v="1"/>
    <s v="KL2300034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663"/>
    <n v="663"/>
    <m/>
    <n v="0"/>
    <n v="0"/>
    <n v="0"/>
    <n v="6"/>
    <n v="0"/>
    <m/>
    <m/>
    <m/>
  </r>
  <r>
    <m/>
    <x v="46"/>
    <d v="2024-02-23T00:00:00"/>
    <x v="0"/>
    <s v="Week7"/>
    <x v="1"/>
    <s v="DRY230065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96"/>
    <n v="396"/>
    <m/>
    <n v="0"/>
    <n v="0"/>
    <m/>
    <m/>
    <m/>
    <m/>
    <m/>
    <m/>
  </r>
  <r>
    <m/>
    <x v="46"/>
    <d v="2024-02-23T00:00:00"/>
    <x v="0"/>
    <s v="Week7"/>
    <x v="1"/>
    <s v="DRY230063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46"/>
    <d v="2024-02-23T00:00:00"/>
    <x v="0"/>
    <s v="Week7"/>
    <x v="1"/>
    <s v="DRY230063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46"/>
    <d v="2024-02-23T00:00:00"/>
    <x v="0"/>
    <s v="Week7"/>
    <x v="1"/>
    <s v="DRY230065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46"/>
    <d v="2024-02-26T00:00:00"/>
    <x v="0"/>
    <s v="Week7"/>
    <x v="1"/>
    <s v="DRY230064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27"/>
    <n v="127"/>
    <m/>
    <n v="0"/>
    <n v="0"/>
    <m/>
    <m/>
    <m/>
    <m/>
    <m/>
    <m/>
  </r>
  <r>
    <m/>
    <x v="46"/>
    <d v="2024-02-19T00:00:00"/>
    <x v="0"/>
    <s v="Week7"/>
    <x v="1"/>
    <s v="ขายภายใน"/>
    <s v=".7-11"/>
    <s v="CPFGS"/>
    <s v="ซีพีเอฟ เทรดดิ้ง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1805"/>
    <n v="1805"/>
    <m/>
    <n v="0"/>
    <n v="0"/>
    <m/>
    <m/>
    <m/>
    <m/>
    <m/>
    <m/>
  </r>
  <r>
    <s v="R"/>
    <x v="46"/>
    <d v="2024-02-22T00:00:00"/>
    <x v="0"/>
    <s v="Week7"/>
    <x v="1"/>
    <s v="KL2300034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68"/>
    <n v="168"/>
    <m/>
    <n v="0"/>
    <n v="0"/>
    <n v="0"/>
    <n v="6"/>
    <n v="0"/>
    <m/>
    <m/>
    <m/>
  </r>
  <r>
    <s v="R"/>
    <x v="46"/>
    <d v="2024-02-23T00:00:00"/>
    <x v="0"/>
    <s v="Week7"/>
    <x v="1"/>
    <s v="KL2300036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490"/>
    <n v="490"/>
    <m/>
    <n v="0"/>
    <n v="0"/>
    <n v="0"/>
    <n v="6"/>
    <n v="0"/>
    <m/>
    <m/>
    <m/>
  </r>
  <r>
    <m/>
    <x v="47"/>
    <d v="2024-02-28T00:00:00"/>
    <x v="0"/>
    <s v="Week7"/>
    <x v="1"/>
    <s v="DRY2300780"/>
    <s v="SG"/>
    <s v="CPFNW"/>
    <s v="CPI SINGAPORE"/>
    <s v="Wonton ND+V"/>
    <x v="1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300"/>
    <n v="300"/>
    <m/>
    <n v="0"/>
    <n v="0"/>
    <m/>
    <m/>
    <m/>
    <m/>
    <m/>
    <m/>
  </r>
  <r>
    <m/>
    <x v="47"/>
    <d v="2024-02-26T00:00:00"/>
    <x v="0"/>
    <s v="Week7"/>
    <x v="1"/>
    <s v="DRY230064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65"/>
    <n v="665"/>
    <m/>
    <n v="0"/>
    <n v="0"/>
    <m/>
    <m/>
    <m/>
    <m/>
    <m/>
    <m/>
  </r>
  <r>
    <m/>
    <x v="47"/>
    <d v="2024-02-26T00:00:00"/>
    <x v="0"/>
    <s v="Week7"/>
    <x v="1"/>
    <s v="DRY230064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47"/>
    <d v="2024-02-26T00:00:00"/>
    <x v="0"/>
    <s v="Week7"/>
    <x v="1"/>
    <s v="DRY230065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47"/>
    <d v="2024-02-26T00:00:00"/>
    <x v="0"/>
    <s v="Week7"/>
    <x v="1"/>
    <s v="DRY230065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89"/>
    <n v="289"/>
    <m/>
    <n v="0"/>
    <n v="0"/>
    <m/>
    <m/>
    <m/>
    <m/>
    <m/>
    <m/>
  </r>
  <r>
    <s v="R"/>
    <x v="47"/>
    <d v="2024-02-23T00:00:00"/>
    <x v="0"/>
    <s v="Week7"/>
    <x v="1"/>
    <s v="KL2300036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719"/>
    <n v="719"/>
    <m/>
    <n v="0"/>
    <n v="0"/>
    <n v="0"/>
    <n v="6"/>
    <n v="0"/>
    <m/>
    <m/>
    <m/>
  </r>
  <r>
    <m/>
    <x v="48"/>
    <m/>
    <x v="0"/>
    <s v="Week7"/>
    <x v="1"/>
    <m/>
    <m/>
    <m/>
    <m/>
    <m/>
    <x v="0"/>
    <m/>
    <m/>
    <m/>
    <m/>
    <m/>
    <m/>
    <m/>
    <m/>
    <m/>
    <m/>
    <m/>
    <m/>
    <m/>
    <m/>
    <m/>
    <m/>
    <m/>
    <m/>
    <m/>
    <m/>
  </r>
  <r>
    <m/>
    <x v="49"/>
    <d v="2024-02-26T00:00:00"/>
    <x v="0"/>
    <s v="Week8"/>
    <x v="1"/>
    <s v="DRY230065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03"/>
    <n v="503"/>
    <m/>
    <n v="0"/>
    <n v="0"/>
    <m/>
    <m/>
    <m/>
    <m/>
    <m/>
    <m/>
  </r>
  <r>
    <m/>
    <x v="49"/>
    <d v="2024-02-26T00:00:00"/>
    <x v="0"/>
    <s v="Week8"/>
    <x v="1"/>
    <s v="DRY230071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49"/>
    <d v="2024-02-26T00:00:00"/>
    <x v="0"/>
    <s v="Week8"/>
    <x v="1"/>
    <s v="DRY230071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49"/>
    <d v="2024-03-01T00:00:00"/>
    <x v="0"/>
    <s v="Week8"/>
    <x v="1"/>
    <s v="DRY230071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49"/>
    <d v="2024-03-01T00:00:00"/>
    <x v="0"/>
    <s v="Week8"/>
    <x v="1"/>
    <s v="DRY230071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72"/>
    <n v="772"/>
    <m/>
    <n v="0"/>
    <n v="0"/>
    <m/>
    <m/>
    <m/>
    <m/>
    <m/>
    <m/>
  </r>
  <r>
    <s v="R"/>
    <x v="49"/>
    <d v="2024-02-23T00:00:00"/>
    <x v="0"/>
    <s v="Week8"/>
    <x v="1"/>
    <s v="KL2300036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99"/>
    <n v="199"/>
    <m/>
    <n v="0"/>
    <n v="0"/>
    <n v="0"/>
    <n v="6"/>
    <n v="0"/>
    <m/>
    <m/>
    <m/>
  </r>
  <r>
    <s v="R"/>
    <x v="49"/>
    <m/>
    <x v="0"/>
    <s v="Week8"/>
    <x v="1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511"/>
    <n v="385"/>
    <n v="126"/>
    <n v="0"/>
    <n v="0"/>
    <n v="0"/>
    <m/>
    <n v="0"/>
    <m/>
    <m/>
    <m/>
  </r>
  <r>
    <s v="R"/>
    <x v="49"/>
    <d v="2024-02-28T00:00:00"/>
    <x v="0"/>
    <s v="Week8"/>
    <x v="1"/>
    <s v="DRY2300781"/>
    <s v="SG"/>
    <s v="CPFNW"/>
    <s v="CPI SINGAPORE"/>
    <s v="R-Wonton  (Fried Sheet)"/>
    <x v="2"/>
    <s v="Raw Wonton 50 pcs (Fried Sheet)"/>
    <s v="082I93B10050P04001"/>
    <s v="600g*10inner"/>
    <n v="10"/>
    <n v="50"/>
    <n v="6.8100000000000001E-3"/>
    <s v="S"/>
    <s v="STPP"/>
    <m/>
    <n v="200"/>
    <n v="200"/>
    <m/>
    <n v="0"/>
    <n v="0"/>
    <n v="0"/>
    <m/>
    <n v="0"/>
    <m/>
    <m/>
    <m/>
  </r>
  <r>
    <s v="เก็บตก"/>
    <x v="50"/>
    <d v="2024-02-26T00:00:00"/>
    <x v="0"/>
    <s v="Week8"/>
    <x v="1"/>
    <s v="DRY2300743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70.25"/>
    <m/>
    <n v="70.25"/>
    <n v="0"/>
    <n v="0"/>
    <m/>
    <m/>
    <m/>
    <m/>
    <m/>
    <m/>
  </r>
  <r>
    <m/>
    <x v="50"/>
    <d v="2024-03-05T00:00:00"/>
    <x v="0"/>
    <s v="Week8"/>
    <x v="1"/>
    <s v="DRY2400006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1400"/>
    <m/>
    <n v="1400"/>
    <n v="0"/>
    <n v="0"/>
    <m/>
    <m/>
    <m/>
    <m/>
    <m/>
    <m/>
  </r>
  <r>
    <m/>
    <x v="50"/>
    <d v="2024-03-12T00:00:00"/>
    <x v="0"/>
    <s v="Week8"/>
    <x v="1"/>
    <s v="DRY2400008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700"/>
    <m/>
    <n v="700"/>
    <n v="0"/>
    <n v="0"/>
    <m/>
    <m/>
    <m/>
    <m/>
    <m/>
    <m/>
  </r>
  <r>
    <m/>
    <x v="50"/>
    <d v="2024-03-05T00:00:00"/>
    <x v="0"/>
    <s v="Week8"/>
    <x v="1"/>
    <s v="DRY2300782"/>
    <s v="Malay"/>
    <s v="CPFNW"/>
    <s v="CPM Malaysia"/>
    <s v="Wonton"/>
    <x v="1"/>
    <s v="Cooked Wonton No Egg  "/>
    <s v="082S85I24005P01001"/>
    <s v="145g*24"/>
    <n v="24"/>
    <n v="5"/>
    <n v="8.0000000000000002E-3"/>
    <s v="M"/>
    <s v="STPP"/>
    <s v="Regular"/>
    <n v="900"/>
    <n v="900"/>
    <m/>
    <n v="0"/>
    <n v="0"/>
    <m/>
    <m/>
    <m/>
    <n v="30000"/>
    <m/>
    <m/>
  </r>
  <r>
    <m/>
    <x v="50"/>
    <d v="2024-03-05T00:00:00"/>
    <x v="0"/>
    <s v="Week8"/>
    <x v="1"/>
    <s v="DRY2300782"/>
    <s v="Malay"/>
    <s v="CPFNW"/>
    <s v="CPM Malaysia"/>
    <s v="Wonton TY"/>
    <x v="1"/>
    <s v="Cooked Wonton No Egg  TY"/>
    <s v="082S85I24005P02001"/>
    <s v="115g*24"/>
    <n v="24"/>
    <n v="5"/>
    <n v="8.0000000000000002E-3"/>
    <s v="M"/>
    <s v="STPP"/>
    <s v="TYTB3C 30G"/>
    <n v="800"/>
    <n v="800"/>
    <m/>
    <n v="0"/>
    <n v="0"/>
    <m/>
    <n v="1"/>
    <n v="0"/>
    <m/>
    <m/>
    <m/>
  </r>
  <r>
    <m/>
    <x v="50"/>
    <d v="2024-02-28T00:00:00"/>
    <x v="0"/>
    <s v="Week8"/>
    <x v="1"/>
    <s v="DRY2300779"/>
    <s v="SG"/>
    <s v="CPFNW"/>
    <s v="CPI SINGAPORE"/>
    <s v="Wonton TY"/>
    <x v="1"/>
    <s v="Cooked Wonton No Egg"/>
    <s v="082S83B24005P06001"/>
    <s v="115g*24"/>
    <n v="24"/>
    <n v="5"/>
    <n v="8.0000000000000002E-3"/>
    <s v="M"/>
    <s v="STPP"/>
    <s v="TYTB3C 30G"/>
    <n v="250"/>
    <n v="250"/>
    <m/>
    <n v="0"/>
    <n v="0"/>
    <m/>
    <n v="1"/>
    <n v="0"/>
    <m/>
    <m/>
    <m/>
  </r>
  <r>
    <m/>
    <x v="50"/>
    <d v="2024-02-26T00:00:00"/>
    <x v="0"/>
    <s v="Week8"/>
    <x v="1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2447"/>
    <n v="2447"/>
    <m/>
    <n v="0"/>
    <n v="0"/>
    <m/>
    <m/>
    <m/>
    <s v="NEWPACKAGE"/>
    <m/>
    <m/>
  </r>
  <r>
    <m/>
    <x v="50"/>
    <d v="2024-03-12T00:00:00"/>
    <x v="0"/>
    <s v="Week8"/>
    <x v="1"/>
    <s v="DRY2400105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1641.0833333333333"/>
    <m/>
    <n v="1641.0833333333333"/>
    <n v="0"/>
    <n v="0"/>
    <m/>
    <m/>
    <m/>
    <s v="NEWPACKAGE"/>
    <m/>
    <m/>
  </r>
  <r>
    <s v="R"/>
    <x v="50"/>
    <d v="2024-03-05T00:00:00"/>
    <x v="0"/>
    <s v="Week8"/>
    <x v="1"/>
    <s v="DRY2300782"/>
    <s v="Malay"/>
    <s v="CPFNW"/>
    <s v="CPM Malaysia"/>
    <s v="R-Wonton egg past"/>
    <x v="2"/>
    <s v="Raw Wonton 12 pcs"/>
    <s v="082I95I20012P02001"/>
    <s v="154g*20inner"/>
    <n v="20"/>
    <n v="12"/>
    <n v="6.8100000000000001E-3"/>
    <s v="S"/>
    <s v="STPP"/>
    <s v="ซุปซอง 5g."/>
    <n v="400"/>
    <n v="400"/>
    <m/>
    <n v="0"/>
    <n v="0"/>
    <n v="0"/>
    <n v="2"/>
    <n v="0"/>
    <s v="NEWPACKAGE"/>
    <m/>
    <m/>
  </r>
  <r>
    <s v="R"/>
    <x v="50"/>
    <d v="2024-03-05T00:00:00"/>
    <x v="0"/>
    <s v="Week8"/>
    <x v="1"/>
    <s v="DRY2300683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485"/>
    <n v="485"/>
    <m/>
    <n v="0"/>
    <n v="0"/>
    <n v="0"/>
    <n v="2"/>
    <n v="0"/>
    <m/>
    <m/>
    <m/>
  </r>
  <r>
    <s v="เก็บตก"/>
    <x v="51"/>
    <d v="2024-03-12T00:00:00"/>
    <x v="0"/>
    <s v="Week8"/>
    <x v="1"/>
    <s v="DRY2400105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958.91666666666663"/>
    <m/>
    <n v="958.91666666666663"/>
    <n v="0"/>
    <n v="0"/>
    <m/>
    <m/>
    <m/>
    <s v="NEWPACKAGE"/>
    <m/>
    <m/>
  </r>
  <r>
    <s v="เก็บตก"/>
    <x v="51"/>
    <d v="2024-02-26T00:00:00"/>
    <x v="0"/>
    <s v="Week8"/>
    <x v="1"/>
    <s v="DRY2300743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34"/>
    <m/>
    <n v="34"/>
    <n v="0"/>
    <n v="0"/>
    <m/>
    <m/>
    <m/>
    <s v="กัก 999+315สำรอง"/>
    <m/>
    <m/>
  </r>
  <r>
    <m/>
    <x v="51"/>
    <d v="2024-03-05T00:00:00"/>
    <x v="0"/>
    <s v="Week8"/>
    <x v="1"/>
    <s v="DRY2400006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2400"/>
    <m/>
    <n v="2400"/>
    <n v="0"/>
    <n v="0"/>
    <m/>
    <m/>
    <m/>
    <m/>
    <m/>
    <m/>
  </r>
  <r>
    <m/>
    <x v="51"/>
    <d v="2024-03-12T00:00:00"/>
    <x v="0"/>
    <s v="Week8"/>
    <x v="1"/>
    <s v="DRY2400008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2400"/>
    <m/>
    <n v="2400"/>
    <n v="0"/>
    <n v="0"/>
    <m/>
    <m/>
    <m/>
    <m/>
    <m/>
    <m/>
  </r>
  <r>
    <m/>
    <x v="51"/>
    <d v="2024-03-01T00:00:00"/>
    <x v="0"/>
    <s v="Week8"/>
    <x v="1"/>
    <s v="DRY230071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0"/>
    <n v="20"/>
    <m/>
    <n v="0"/>
    <n v="0"/>
    <m/>
    <m/>
    <m/>
    <m/>
    <m/>
    <m/>
  </r>
  <r>
    <m/>
    <x v="51"/>
    <d v="2024-03-01T00:00:00"/>
    <x v="0"/>
    <s v="Week8"/>
    <x v="1"/>
    <s v="DRY230071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51"/>
    <d v="2024-03-02T00:00:00"/>
    <x v="0"/>
    <s v="Week8"/>
    <x v="1"/>
    <s v="DRY230071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51"/>
    <d v="2024-03-02T00:00:00"/>
    <x v="0"/>
    <s v="Week8"/>
    <x v="1"/>
    <s v="DRY230071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34"/>
    <n v="534"/>
    <m/>
    <n v="0"/>
    <n v="0"/>
    <m/>
    <m/>
    <m/>
    <m/>
    <m/>
    <m/>
  </r>
  <r>
    <s v="R"/>
    <x v="51"/>
    <d v="2024-03-05T00:00:00"/>
    <x v="0"/>
    <s v="Week8"/>
    <x v="1"/>
    <s v="DRY2300683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626"/>
    <n v="626"/>
    <m/>
    <n v="0"/>
    <n v="0"/>
    <n v="0"/>
    <n v="2"/>
    <n v="0"/>
    <m/>
    <m/>
    <m/>
  </r>
  <r>
    <s v="R&amp;D"/>
    <x v="52"/>
    <d v="2024-03-01T00:00:00"/>
    <x v="0"/>
    <s v="Week8"/>
    <x v="1"/>
    <s v="ขายภายใน"/>
    <s v="MTFS"/>
    <s v="CPFGS"/>
    <s v="ซีพีเอฟ เทรดดิ้ง"/>
    <s v="E+Wonton"/>
    <x v="1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m/>
    <m/>
    <m/>
    <m/>
    <m/>
    <m/>
  </r>
  <r>
    <m/>
    <x v="52"/>
    <d v="2024-02-28T00:00:00"/>
    <x v="0"/>
    <s v="Week8"/>
    <x v="1"/>
    <s v="ขายภายใน"/>
    <s v="MTFS"/>
    <s v="CPFGS"/>
    <s v="ซีพีเอฟ เทรดดิ้ง"/>
    <s v="E+Wonton"/>
    <x v="1"/>
    <s v="Cooked Wonton  with egg V-Food"/>
    <s v="082S83Q12005P05001"/>
    <s v="145g*12"/>
    <n v="12"/>
    <n v="5"/>
    <n v="8.0000000000000002E-3"/>
    <s v="M"/>
    <s v="STPP"/>
    <s v="Regular"/>
    <n v="1068"/>
    <n v="1068"/>
    <m/>
    <n v="0"/>
    <n v="0"/>
    <m/>
    <m/>
    <m/>
    <m/>
    <m/>
    <m/>
  </r>
  <r>
    <m/>
    <x v="52"/>
    <d v="2024-02-27T00:00:00"/>
    <x v="0"/>
    <s v="Week8"/>
    <x v="1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1494"/>
    <n v="1494"/>
    <m/>
    <n v="0"/>
    <n v="0"/>
    <m/>
    <m/>
    <m/>
    <m/>
    <m/>
    <m/>
  </r>
  <r>
    <m/>
    <x v="52"/>
    <d v="2024-03-01T00:00:00"/>
    <x v="0"/>
    <s v="Week8"/>
    <x v="1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1328"/>
    <n v="1328"/>
    <m/>
    <n v="0"/>
    <n v="0"/>
    <m/>
    <m/>
    <m/>
    <m/>
    <m/>
    <m/>
  </r>
  <r>
    <m/>
    <x v="52"/>
    <d v="2024-03-01T00:00:00"/>
    <x v="0"/>
    <s v="Week8"/>
    <x v="1"/>
    <s v="ขายภายใน"/>
    <s v="MTFS"/>
    <s v="CPFGS"/>
    <s v="ซีพีเอฟ เทรดดิ้ง"/>
    <s v="E+Wonton TY"/>
    <x v="1"/>
    <s v="Cooked Wonton Tomyum with egg.V-Food TY"/>
    <s v="082S83Q12005P04001"/>
    <s v="115g*12"/>
    <n v="12"/>
    <n v="5"/>
    <n v="8.0000000000000002E-3"/>
    <s v="M"/>
    <s v="STPP"/>
    <s v="TYTB3C 30G"/>
    <n v="466"/>
    <n v="466"/>
    <m/>
    <n v="0"/>
    <n v="0"/>
    <m/>
    <n v="1"/>
    <n v="0"/>
    <m/>
    <m/>
    <m/>
  </r>
  <r>
    <m/>
    <x v="52"/>
    <d v="2024-02-28T00:00:00"/>
    <x v="0"/>
    <s v="Week8"/>
    <x v="1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553"/>
    <n v="488"/>
    <n v="65"/>
    <n v="0"/>
    <n v="0"/>
    <m/>
    <n v="1"/>
    <n v="0"/>
    <m/>
    <m/>
    <m/>
  </r>
  <r>
    <m/>
    <x v="52"/>
    <d v="2024-03-01T00:00:00"/>
    <x v="0"/>
    <s v="Week8"/>
    <x v="1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856"/>
    <n v="856"/>
    <m/>
    <n v="0"/>
    <n v="0"/>
    <m/>
    <n v="1"/>
    <n v="0"/>
    <m/>
    <m/>
    <m/>
  </r>
  <r>
    <s v="R"/>
    <x v="52"/>
    <d v="2024-03-05T00:00:00"/>
    <x v="0"/>
    <s v="Week8"/>
    <x v="1"/>
    <s v="DRY2300683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513"/>
    <n v="513"/>
    <m/>
    <n v="0"/>
    <n v="0"/>
    <n v="0"/>
    <n v="2"/>
    <n v="0"/>
    <m/>
    <m/>
    <m/>
  </r>
  <r>
    <s v="R"/>
    <x v="52"/>
    <d v="2024-03-02T00:00:00"/>
    <x v="0"/>
    <s v="Week8"/>
    <x v="1"/>
    <s v="KL2300037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64"/>
    <n v="164"/>
    <m/>
    <n v="0"/>
    <n v="0"/>
    <n v="0"/>
    <n v="6"/>
    <n v="0"/>
    <m/>
    <m/>
    <m/>
  </r>
  <r>
    <m/>
    <x v="53"/>
    <d v="2024-03-12T00:00:00"/>
    <x v="0"/>
    <s v="Week8"/>
    <x v="1"/>
    <s v="DRY2400097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1900"/>
    <m/>
    <n v="1900"/>
    <n v="0"/>
    <n v="0"/>
    <m/>
    <m/>
    <m/>
    <m/>
    <m/>
    <m/>
  </r>
  <r>
    <m/>
    <x v="53"/>
    <d v="2024-03-19T00:00:00"/>
    <x v="0"/>
    <s v="Week8"/>
    <x v="1"/>
    <s v="DRY2400009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1400"/>
    <m/>
    <n v="1400"/>
    <n v="0"/>
    <n v="0"/>
    <m/>
    <m/>
    <m/>
    <m/>
    <m/>
    <m/>
  </r>
  <r>
    <m/>
    <x v="53"/>
    <d v="2024-03-19T00:00:00"/>
    <x v="0"/>
    <s v="Week8"/>
    <x v="1"/>
    <s v="DRY2400098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1900"/>
    <m/>
    <n v="1900"/>
    <n v="0"/>
    <n v="0"/>
    <m/>
    <m/>
    <m/>
    <m/>
    <m/>
    <m/>
  </r>
  <r>
    <m/>
    <x v="53"/>
    <d v="2024-03-02T00:00:00"/>
    <x v="0"/>
    <s v="Week8"/>
    <x v="1"/>
    <s v="DRY230071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58"/>
    <n v="258"/>
    <m/>
    <n v="0"/>
    <n v="0"/>
    <m/>
    <m/>
    <m/>
    <m/>
    <m/>
    <m/>
  </r>
  <r>
    <m/>
    <x v="53"/>
    <d v="2024-03-05T00:00:00"/>
    <x v="0"/>
    <s v="Week8"/>
    <x v="1"/>
    <s v="DRY230071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53"/>
    <d v="2024-03-05T00:00:00"/>
    <x v="0"/>
    <s v="Week8"/>
    <x v="1"/>
    <s v="DRY230071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89"/>
    <n v="489"/>
    <m/>
    <n v="0"/>
    <n v="0"/>
    <m/>
    <m/>
    <m/>
    <m/>
    <m/>
    <m/>
  </r>
  <r>
    <m/>
    <x v="53"/>
    <d v="2024-02-28T00:00:00"/>
    <x v="0"/>
    <s v="Week8"/>
    <x v="1"/>
    <s v="ขายภายใน"/>
    <s v="MTFS"/>
    <s v="CPFGS"/>
    <s v="ซีพีเอฟ เทรดดิ้ง"/>
    <s v="E+Wonton"/>
    <x v="1"/>
    <s v="Cooked Wonton  with egg V-Food"/>
    <s v="082S83Q12005P05001"/>
    <s v="145g*12"/>
    <n v="12"/>
    <n v="5"/>
    <n v="8.0000000000000002E-3"/>
    <s v="M"/>
    <s v="STPP"/>
    <s v="Regular"/>
    <n v="477"/>
    <n v="477"/>
    <m/>
    <n v="0"/>
    <n v="0"/>
    <m/>
    <m/>
    <m/>
    <m/>
    <m/>
    <m/>
  </r>
  <r>
    <m/>
    <x v="53"/>
    <d v="2024-03-01T00:00:00"/>
    <x v="0"/>
    <s v="Week8"/>
    <x v="1"/>
    <s v="ขายภายใน"/>
    <s v="MTFS"/>
    <s v="CPFGS"/>
    <s v="ซีพีเอฟ เทรดดิ้ง"/>
    <s v="E+Wonton"/>
    <x v="1"/>
    <s v="Cooked Wonton  with egg V-Food"/>
    <s v="082S83Q12005P05001"/>
    <s v="145g*12"/>
    <n v="12"/>
    <n v="5"/>
    <n v="8.0000000000000002E-3"/>
    <s v="M"/>
    <s v="STPP"/>
    <s v="Regular"/>
    <n v="417"/>
    <n v="417"/>
    <m/>
    <n v="0"/>
    <n v="0"/>
    <m/>
    <m/>
    <m/>
    <m/>
    <m/>
    <m/>
  </r>
  <r>
    <m/>
    <x v="53"/>
    <d v="2024-02-28T00:00:00"/>
    <x v="0"/>
    <s v="Week8"/>
    <x v="1"/>
    <s v="ขายภายใน"/>
    <s v="MTFS"/>
    <s v="CPFGS"/>
    <s v="ซีพีเอฟ เทรดดิ้ง"/>
    <s v="E+Wonton+หมาล่า"/>
    <x v="1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233"/>
    <n v="233"/>
    <m/>
    <n v="0"/>
    <n v="0"/>
    <m/>
    <m/>
    <m/>
    <m/>
    <m/>
    <m/>
  </r>
  <r>
    <m/>
    <x v="53"/>
    <d v="2024-02-28T00:00:00"/>
    <x v="0"/>
    <s v="Week8"/>
    <x v="1"/>
    <s v="ขายภายใน"/>
    <s v=".7-11"/>
    <s v="CPFGS"/>
    <s v="ซีพีเอฟ เทรดดิ้ง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995"/>
    <n v="995"/>
    <m/>
    <n v="0"/>
    <n v="0"/>
    <m/>
    <m/>
    <m/>
    <m/>
    <m/>
    <m/>
  </r>
  <r>
    <s v="R"/>
    <x v="53"/>
    <d v="2024-03-02T00:00:00"/>
    <x v="0"/>
    <s v="Week8"/>
    <x v="1"/>
    <s v="KL2300037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633"/>
    <n v="633"/>
    <m/>
    <n v="0"/>
    <n v="0"/>
    <n v="0"/>
    <n v="6"/>
    <n v="0"/>
    <m/>
    <m/>
    <m/>
  </r>
  <r>
    <m/>
    <x v="54"/>
    <d v="2024-03-01T00:00:00"/>
    <x v="0"/>
    <s v="Week8"/>
    <x v="1"/>
    <s v="DRY2300737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s v="NEWPACKAGE"/>
    <m/>
    <m/>
  </r>
  <r>
    <m/>
    <x v="54"/>
    <d v="2024-03-01T00:00:00"/>
    <x v="0"/>
    <s v="Week8"/>
    <x v="1"/>
    <s v="DRY2300738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s v="NEWPACKAGE"/>
    <m/>
    <m/>
  </r>
  <r>
    <m/>
    <x v="54"/>
    <d v="2024-03-07T00:00:00"/>
    <x v="0"/>
    <s v="Week8"/>
    <x v="1"/>
    <s v="DRY2300739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981"/>
    <n v="308.08333333333331"/>
    <n v="1.0833333333332575"/>
    <n v="0"/>
    <m/>
    <m/>
    <m/>
    <s v="NEWPACKAGE"/>
    <m/>
    <m/>
  </r>
  <r>
    <m/>
    <x v="55"/>
    <m/>
    <x v="0"/>
    <s v="Week8"/>
    <x v="1"/>
    <m/>
    <m/>
    <m/>
    <m/>
    <m/>
    <x v="0"/>
    <m/>
    <m/>
    <m/>
    <m/>
    <m/>
    <m/>
    <m/>
    <m/>
    <m/>
    <m/>
    <m/>
    <m/>
    <m/>
    <m/>
    <m/>
    <m/>
    <m/>
    <m/>
    <m/>
    <m/>
  </r>
  <r>
    <m/>
    <x v="56"/>
    <d v="2024-03-05T00:00:00"/>
    <x v="0"/>
    <s v="Week9"/>
    <x v="1"/>
    <s v="DRY230071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03"/>
    <n v="303"/>
    <m/>
    <n v="0"/>
    <n v="0"/>
    <m/>
    <m/>
    <m/>
    <m/>
    <m/>
    <m/>
  </r>
  <r>
    <m/>
    <x v="56"/>
    <d v="2024-03-05T00:00:00"/>
    <x v="0"/>
    <s v="Week9"/>
    <x v="1"/>
    <s v="DRY230071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56"/>
    <d v="2024-03-05T00:00:00"/>
    <x v="0"/>
    <s v="Week9"/>
    <x v="1"/>
    <s v="DRY230072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56"/>
    <d v="2024-03-05T00:00:00"/>
    <x v="0"/>
    <s v="Week9"/>
    <x v="1"/>
    <s v="DRY230072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56"/>
    <d v="2024-03-06T00:00:00"/>
    <x v="0"/>
    <s v="Week9"/>
    <x v="1"/>
    <s v="DRY230072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56"/>
    <d v="2024-03-06T00:00:00"/>
    <x v="0"/>
    <s v="Week9"/>
    <x v="1"/>
    <s v="DRY230072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93"/>
    <n v="293"/>
    <m/>
    <n v="0"/>
    <n v="0"/>
    <m/>
    <m/>
    <m/>
    <m/>
    <m/>
    <m/>
  </r>
  <r>
    <s v="R"/>
    <x v="56"/>
    <d v="2024-03-02T00:00:00"/>
    <x v="0"/>
    <s v="Week9"/>
    <x v="1"/>
    <s v="KL2300037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611"/>
    <n v="611"/>
    <m/>
    <n v="0"/>
    <n v="0"/>
    <n v="0"/>
    <n v="6"/>
    <n v="0"/>
    <m/>
    <m/>
    <m/>
  </r>
  <r>
    <s v="R"/>
    <x v="56"/>
    <d v="2024-03-04T00:00:00"/>
    <x v="0"/>
    <s v="Week9"/>
    <x v="1"/>
    <s v="DRY2300784"/>
    <s v="HK"/>
    <s v="CPFNW"/>
    <s v="CPM Hongkong"/>
    <s v="R-Minced egg past"/>
    <x v="2"/>
    <s v="Raw Minced Wonton 8 pcs"/>
    <s v="082ID3G18008P00001"/>
    <s v="90g*18in"/>
    <n v="18"/>
    <n v="8"/>
    <n v="6.0000000000000001E-3"/>
    <s v="BK"/>
    <s v="STPP"/>
    <s v="ซุปซอง 5g."/>
    <n v="250"/>
    <n v="250"/>
    <m/>
    <n v="0"/>
    <n v="0"/>
    <n v="0"/>
    <n v="2"/>
    <n v="0"/>
    <m/>
    <m/>
    <m/>
  </r>
  <r>
    <m/>
    <x v="57"/>
    <d v="2024-03-19T00:00:00"/>
    <x v="0"/>
    <s v="Week9"/>
    <x v="1"/>
    <s v="DRY2400099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1900"/>
    <m/>
    <n v="1900"/>
    <n v="0"/>
    <n v="0"/>
    <m/>
    <m/>
    <m/>
    <m/>
    <m/>
    <m/>
  </r>
  <r>
    <m/>
    <x v="57"/>
    <d v="2024-03-25T00:00:00"/>
    <x v="0"/>
    <s v="Week9"/>
    <x v="1"/>
    <s v="DRY2400010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1900"/>
    <m/>
    <n v="1900"/>
    <n v="0"/>
    <n v="0"/>
    <m/>
    <m/>
    <m/>
    <m/>
    <m/>
    <m/>
  </r>
  <r>
    <m/>
    <x v="57"/>
    <d v="2024-03-06T00:00:00"/>
    <x v="0"/>
    <s v="Week9"/>
    <x v="1"/>
    <s v="DRY230072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99"/>
    <n v="499"/>
    <m/>
    <n v="0"/>
    <n v="0"/>
    <m/>
    <m/>
    <m/>
    <m/>
    <m/>
    <m/>
  </r>
  <r>
    <m/>
    <x v="57"/>
    <d v="2024-03-06T00:00:00"/>
    <x v="0"/>
    <s v="Week9"/>
    <x v="1"/>
    <s v="DRY230072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57"/>
    <d v="2024-03-06T00:00:00"/>
    <x v="0"/>
    <s v="Week9"/>
    <x v="1"/>
    <s v="DRY240001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57"/>
    <d v="2024-03-07T00:00:00"/>
    <x v="0"/>
    <s v="Week9"/>
    <x v="1"/>
    <s v="DRY240001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57"/>
    <d v="2024-03-08T00:00:00"/>
    <x v="0"/>
    <s v="Week9"/>
    <x v="1"/>
    <s v="DRY240000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61"/>
    <n v="161"/>
    <m/>
    <n v="0"/>
    <n v="0"/>
    <m/>
    <m/>
    <m/>
    <m/>
    <m/>
    <m/>
  </r>
  <r>
    <s v="R"/>
    <x v="57"/>
    <d v="2024-03-04T00:00:00"/>
    <x v="0"/>
    <s v="Week9"/>
    <x v="1"/>
    <s v="DRY2300784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1650"/>
    <n v="1650"/>
    <m/>
    <n v="0"/>
    <n v="0"/>
    <n v="0"/>
    <n v="1"/>
    <n v="0"/>
    <m/>
    <m/>
    <m/>
  </r>
  <r>
    <m/>
    <x v="58"/>
    <d v="2024-03-04T00:00:00"/>
    <x v="0"/>
    <s v="Week9"/>
    <x v="1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6221"/>
    <n v="6221"/>
    <m/>
    <n v="0"/>
    <n v="0"/>
    <m/>
    <m/>
    <m/>
    <m/>
    <m/>
    <m/>
  </r>
  <r>
    <s v="R"/>
    <x v="58"/>
    <d v="2024-03-12T00:00:00"/>
    <x v="0"/>
    <s v="Week9"/>
    <x v="1"/>
    <s v="DRY2300684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54"/>
    <n v="647"/>
    <n v="7"/>
    <n v="0"/>
    <n v="0"/>
    <n v="0"/>
    <n v="6"/>
    <n v="0"/>
    <m/>
    <m/>
    <m/>
  </r>
  <r>
    <m/>
    <x v="59"/>
    <d v="2024-03-28T00:00:00"/>
    <x v="0"/>
    <s v="Week9"/>
    <x v="1"/>
    <s v="DRY2400102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59"/>
    <d v="2024-03-20T00:00:00"/>
    <x v="0"/>
    <s v="Week9"/>
    <x v="1"/>
    <s v="DRY2400091"/>
    <s v="Spain"/>
    <s v="CPFNW"/>
    <s v="Mercadona"/>
    <s v="Wonton ND+V"/>
    <x v="1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  <s v="รวบการผลิตให้เป็นวันเดียวกันตามความต้องการของลูกค้า"/>
    <m/>
    <m/>
  </r>
  <r>
    <m/>
    <x v="59"/>
    <d v="2024-03-27T00:00:00"/>
    <x v="0"/>
    <s v="Week9"/>
    <x v="1"/>
    <s v="DRY2400092"/>
    <s v="Spain"/>
    <s v="CPFNW"/>
    <s v="Mercadona"/>
    <s v="Wonton ND+V"/>
    <x v="1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  <s v="รวบการผลิตให้เป็นวันเดียวกันตามความต้องการของลูกค้า"/>
    <m/>
    <m/>
  </r>
  <r>
    <m/>
    <x v="59"/>
    <d v="2024-03-12T00:00:00"/>
    <x v="0"/>
    <s v="Week9"/>
    <x v="1"/>
    <s v="DRY2300669"/>
    <s v="UK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n v="866"/>
    <n v="61"/>
    <n v="3"/>
    <n v="0"/>
    <m/>
    <m/>
    <m/>
    <s v="TYEX+CO  2370 +2330 7/2 +4320 12/2 +4320 22/2"/>
    <m/>
    <m/>
  </r>
  <r>
    <m/>
    <x v="59"/>
    <d v="2024-03-05T00:00:00"/>
    <x v="0"/>
    <s v="Week9"/>
    <x v="1"/>
    <s v="DRY2400096"/>
    <s v="Denmark"/>
    <s v="CPFNW"/>
    <s v="CPF DENMARK"/>
    <s v="Wonton ND+V+TY"/>
    <x v="1"/>
    <s v="Cooked Wonton ND No Egg with Pumpkin _x000a_+ Vegetable  HC  3 pcs tomyam"/>
    <s v="082SJKW08003P00001"/>
    <s v="309g*8"/>
    <n v="8"/>
    <n v="3"/>
    <n v="7.4999999999999997E-3"/>
    <s v="M"/>
    <s v="Salt"/>
    <s v="TYANS+CM"/>
    <n v="3500"/>
    <n v="3500"/>
    <m/>
    <n v="0"/>
    <n v="0"/>
    <m/>
    <m/>
    <m/>
    <s v="ต้มยำสูตรลดเผ็ดลง 10 %"/>
    <m/>
    <m/>
  </r>
  <r>
    <s v="R"/>
    <x v="59"/>
    <d v="2024-03-12T00:00:00"/>
    <x v="0"/>
    <s v="Week9"/>
    <x v="1"/>
    <s v="DRY2300684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853"/>
    <n v="853"/>
    <m/>
    <n v="0"/>
    <n v="0"/>
    <n v="0"/>
    <n v="6"/>
    <n v="0"/>
    <m/>
    <m/>
    <m/>
  </r>
  <r>
    <s v="T"/>
    <x v="60"/>
    <d v="2024-03-11T00:00:00"/>
    <x v="0"/>
    <s v="Week9"/>
    <x v="2"/>
    <s v="DRY2400008"/>
    <s v="USA"/>
    <s v="CPFNW"/>
    <s v="Bellisio Foods, Inc."/>
    <s v="C-WT in tray no egg"/>
    <x v="1"/>
    <s v="COOKED WONTON 6 pcs."/>
    <s v="082S8BW08012P00001"/>
    <s v="117*2tray*8in"/>
    <n v="16"/>
    <n v="6"/>
    <n v="8.1300000000000001E-3"/>
    <s v="M"/>
    <s v="Salt"/>
    <s v=" Sesame 15g"/>
    <n v="650"/>
    <n v="650"/>
    <m/>
    <n v="0"/>
    <n v="0"/>
    <m/>
    <n v="1"/>
    <n v="10400"/>
    <s v="cap 3000 tray/hr."/>
    <m/>
    <m/>
  </r>
  <r>
    <s v="T"/>
    <x v="60"/>
    <d v="2024-03-11T00:00:00"/>
    <x v="0"/>
    <s v="Week9"/>
    <x v="2"/>
    <s v="DRY2400097"/>
    <s v="USA"/>
    <s v="CPFNW"/>
    <s v="Bellisio Foods, Inc."/>
    <s v="C-WT in tray no egg"/>
    <x v="1"/>
    <s v="COOKED WONTON 6 pcs."/>
    <s v="082S8BW08012P00001"/>
    <s v="117*2tray*8in"/>
    <n v="16"/>
    <n v="6"/>
    <n v="8.1300000000000001E-3"/>
    <s v="M"/>
    <s v="Salt"/>
    <s v=" Sesame 15g"/>
    <n v="600"/>
    <n v="119"/>
    <n v="481"/>
    <n v="0"/>
    <n v="0"/>
    <m/>
    <n v="1"/>
    <n v="9600"/>
    <s v="cap 3000 tray/hr."/>
    <m/>
    <m/>
  </r>
  <r>
    <s v="T"/>
    <x v="60"/>
    <d v="2024-03-19T00:00:00"/>
    <x v="0"/>
    <s v="Week9"/>
    <x v="2"/>
    <s v="DRY2400009"/>
    <s v="USA"/>
    <s v="CPFNW"/>
    <s v="Bellisio Foods, Inc."/>
    <s v="C-WT in tray no egg"/>
    <x v="1"/>
    <s v="COOKED WONTON 6 pcs."/>
    <s v="082S8BW08012P00001"/>
    <s v="117*2tray*8in"/>
    <n v="16"/>
    <n v="6"/>
    <n v="8.1300000000000001E-3"/>
    <s v="M"/>
    <s v="Salt"/>
    <s v=" Sesame 15g"/>
    <n v="650"/>
    <m/>
    <n v="650"/>
    <n v="0"/>
    <n v="0"/>
    <m/>
    <n v="1"/>
    <n v="10400"/>
    <s v="cap 3000 tray/hr."/>
    <m/>
    <m/>
  </r>
  <r>
    <s v="T"/>
    <x v="60"/>
    <d v="2024-03-19T00:00:00"/>
    <x v="0"/>
    <s v="Week9"/>
    <x v="2"/>
    <s v="DRY2400098"/>
    <s v="USA"/>
    <s v="CPFNW"/>
    <s v="Bellisio Foods, Inc."/>
    <s v="C-WT in tray no egg"/>
    <x v="1"/>
    <s v="COOKED WONTON 6 pcs."/>
    <s v="082S8BW08012P00001"/>
    <s v="117*2tray*8in"/>
    <n v="16"/>
    <n v="6"/>
    <n v="8.1300000000000001E-3"/>
    <s v="M"/>
    <s v="Salt"/>
    <s v=" Sesame 15g"/>
    <n v="600"/>
    <m/>
    <n v="600"/>
    <n v="0"/>
    <n v="0"/>
    <m/>
    <n v="1"/>
    <n v="9600"/>
    <s v="cap 3000 tray/hr."/>
    <m/>
    <m/>
  </r>
  <r>
    <s v="T"/>
    <x v="60"/>
    <d v="2024-03-19T00:00:00"/>
    <x v="0"/>
    <s v="Week9"/>
    <x v="2"/>
    <s v="DRY2400099"/>
    <s v="USA"/>
    <s v="CPFNW"/>
    <s v="Bellisio Foods, Inc."/>
    <s v="C-WT in tray no egg"/>
    <x v="1"/>
    <s v="COOKED WONTON 6 pcs."/>
    <s v="082S8BW08012P00001"/>
    <s v="117*2tray*8in"/>
    <n v="16"/>
    <n v="6"/>
    <n v="8.1300000000000001E-3"/>
    <s v="M"/>
    <s v="Salt"/>
    <s v=" Sesame 15g"/>
    <n v="600"/>
    <m/>
    <n v="600"/>
    <n v="0"/>
    <n v="0"/>
    <m/>
    <n v="1"/>
    <n v="9600"/>
    <s v="cap 3000 tray/hr."/>
    <m/>
    <m/>
  </r>
  <r>
    <s v="T"/>
    <x v="60"/>
    <d v="2024-03-25T00:00:00"/>
    <x v="0"/>
    <s v="Week9"/>
    <x v="2"/>
    <s v="DRY2400010"/>
    <s v="USA"/>
    <s v="CPFNW"/>
    <s v="Bellisio Foods, Inc."/>
    <s v="C-WT in tray no egg"/>
    <x v="1"/>
    <s v="COOKED WONTON 6 pcs."/>
    <s v="082S8BW08012P00001"/>
    <s v="117*2tray*8in"/>
    <n v="16"/>
    <n v="6"/>
    <n v="8.1300000000000001E-3"/>
    <s v="M"/>
    <s v="Salt"/>
    <s v=" Sesame 15g"/>
    <n v="650"/>
    <m/>
    <n v="650"/>
    <n v="0"/>
    <n v="0"/>
    <m/>
    <n v="1"/>
    <n v="10400"/>
    <s v="cap 3000 tray/hr."/>
    <m/>
    <m/>
  </r>
  <r>
    <s v="T"/>
    <x v="60"/>
    <d v="2024-04-02T00:00:00"/>
    <x v="0"/>
    <s v="Week9"/>
    <x v="2"/>
    <s v="DRY2400100"/>
    <s v="USA"/>
    <s v="CPFNW"/>
    <s v="Bellisio Foods, Inc."/>
    <s v="C-WT in tray no egg"/>
    <x v="1"/>
    <s v="COOKED WONTON 6 pcs."/>
    <s v="082S8BW08012P00001"/>
    <s v="117*2tray*8in"/>
    <n v="16"/>
    <n v="6"/>
    <n v="8.1300000000000001E-3"/>
    <s v="M"/>
    <s v="Salt"/>
    <s v=" Sesame 15g"/>
    <n v="650"/>
    <m/>
    <n v="650"/>
    <n v="0"/>
    <n v="0"/>
    <m/>
    <n v="1"/>
    <n v="10400"/>
    <s v="cap 3000 tray/hr."/>
    <m/>
    <m/>
  </r>
  <r>
    <s v="T"/>
    <x v="60"/>
    <d v="2024-04-03T00:00:00"/>
    <x v="0"/>
    <s v="Week9"/>
    <x v="2"/>
    <s v="DRY2400156"/>
    <s v="New Zealand"/>
    <s v="CPFNW"/>
    <s v="Lim Brothers"/>
    <s v="C-Minced WT in tray no egg"/>
    <x v="1"/>
    <s v="Cooked Minced Wonton in Tray 6 pcs + Sesame Sauce"/>
    <s v="082SKN716006P00001"/>
    <s v="117*2tray*8in"/>
    <n v="16"/>
    <n v="6"/>
    <n v="6.0000000000000001E-3"/>
    <s v="BK"/>
    <s v="Salt"/>
    <s v=" Sesame 15g"/>
    <n v="378"/>
    <m/>
    <n v="434.375"/>
    <n v="56.375"/>
    <n v="0"/>
    <m/>
    <n v="1"/>
    <n v="6048"/>
    <s v="cap 3000 tray/hr."/>
    <m/>
    <m/>
  </r>
  <r>
    <s v="R"/>
    <x v="60"/>
    <d v="2024-03-14T00:00:00"/>
    <x v="0"/>
    <s v="Week9"/>
    <x v="2"/>
    <s v="DRY2300684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549"/>
    <n v="324"/>
    <n v="225"/>
    <n v="0"/>
    <n v="0"/>
    <n v="0"/>
    <n v="6"/>
    <n v="0"/>
    <m/>
    <m/>
    <m/>
  </r>
  <r>
    <s v="R"/>
    <x v="60"/>
    <d v="2024-03-09T00:00:00"/>
    <x v="0"/>
    <s v="Week9"/>
    <x v="2"/>
    <s v="DRY2400007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250"/>
    <n v="84"/>
    <n v="166"/>
    <n v="0"/>
    <n v="0"/>
    <n v="0"/>
    <n v="6"/>
    <n v="0"/>
    <m/>
    <m/>
    <m/>
  </r>
  <r>
    <m/>
    <x v="61"/>
    <d v="2024-03-19T00:00:00"/>
    <x v="0"/>
    <s v="Week9"/>
    <x v="2"/>
    <s v="DRY2300785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  <s v="ใช้ package ที่เป็น หมึกพิมพ์ใหม่"/>
    <m/>
    <m/>
  </r>
  <r>
    <m/>
    <x v="61"/>
    <d v="2024-03-26T00:00:00"/>
    <x v="0"/>
    <s v="Week9"/>
    <x v="2"/>
    <s v="DRY2300786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  <s v="ใช้ package ที่เป็น หมึกพิมพ์ใหม่"/>
    <m/>
    <m/>
  </r>
  <r>
    <m/>
    <x v="61"/>
    <d v="2024-03-12T00:00:00"/>
    <x v="0"/>
    <s v="Week9"/>
    <x v="2"/>
    <s v="DRY2400097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1400"/>
    <m/>
    <n v="1400"/>
    <n v="0"/>
    <n v="0"/>
    <m/>
    <m/>
    <m/>
    <m/>
    <m/>
    <m/>
  </r>
  <r>
    <m/>
    <x v="61"/>
    <d v="2024-03-19T00:00:00"/>
    <x v="0"/>
    <s v="Week9"/>
    <x v="2"/>
    <s v="DRY2400009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1900"/>
    <m/>
    <n v="1900"/>
    <n v="0"/>
    <n v="0"/>
    <m/>
    <m/>
    <m/>
    <m/>
    <m/>
    <m/>
  </r>
  <r>
    <m/>
    <x v="61"/>
    <d v="2024-03-19T00:00:00"/>
    <x v="0"/>
    <s v="Week9"/>
    <x v="2"/>
    <s v="DRY2400098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1400"/>
    <m/>
    <n v="1400"/>
    <n v="0"/>
    <n v="0"/>
    <m/>
    <m/>
    <m/>
    <m/>
    <m/>
    <m/>
  </r>
  <r>
    <m/>
    <x v="61"/>
    <d v="2024-03-19T00:00:00"/>
    <x v="0"/>
    <s v="Week9"/>
    <x v="2"/>
    <s v="DRY2400099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1400"/>
    <m/>
    <n v="1400"/>
    <n v="0"/>
    <n v="0"/>
    <m/>
    <m/>
    <m/>
    <m/>
    <m/>
    <m/>
  </r>
  <r>
    <m/>
    <x v="61"/>
    <d v="2024-03-25T00:00:00"/>
    <x v="0"/>
    <s v="Week9"/>
    <x v="2"/>
    <s v="DRY2400010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1022"/>
    <m/>
    <n v="1022"/>
    <n v="0"/>
    <n v="0"/>
    <m/>
    <m/>
    <m/>
    <m/>
    <m/>
    <m/>
  </r>
  <r>
    <s v="R"/>
    <x v="61"/>
    <d v="2024-03-09T00:00:00"/>
    <x v="0"/>
    <s v="Week9"/>
    <x v="2"/>
    <s v="DRY2400007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550"/>
    <n v="550"/>
    <m/>
    <n v="0"/>
    <n v="0"/>
    <n v="0"/>
    <n v="6"/>
    <n v="0"/>
    <m/>
    <m/>
    <m/>
  </r>
  <r>
    <m/>
    <x v="62"/>
    <m/>
    <x v="0"/>
    <s v="Week9"/>
    <x v="2"/>
    <m/>
    <m/>
    <m/>
    <m/>
    <m/>
    <x v="0"/>
    <m/>
    <m/>
    <m/>
    <m/>
    <m/>
    <m/>
    <m/>
    <m/>
    <m/>
    <m/>
    <m/>
    <m/>
    <m/>
    <m/>
    <m/>
    <m/>
    <m/>
    <m/>
    <m/>
    <m/>
  </r>
  <r>
    <m/>
    <x v="63"/>
    <d v="2024-03-07T00:00:00"/>
    <x v="0"/>
    <s v="Week10"/>
    <x v="2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6411"/>
    <n v="6411"/>
    <m/>
    <n v="0"/>
    <n v="0"/>
    <m/>
    <m/>
    <m/>
    <s v="NEWPACKAGE"/>
    <m/>
    <m/>
  </r>
  <r>
    <s v="R"/>
    <x v="63"/>
    <d v="2024-03-14T00:00:00"/>
    <x v="0"/>
    <s v="Week10"/>
    <x v="2"/>
    <s v="DRY2300685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409"/>
    <n v="409"/>
    <m/>
    <n v="0"/>
    <n v="0"/>
    <n v="0"/>
    <n v="2"/>
    <n v="0"/>
    <m/>
    <m/>
    <m/>
  </r>
  <r>
    <m/>
    <x v="64"/>
    <d v="2024-03-08T00:00:00"/>
    <x v="0"/>
    <s v="Week10"/>
    <x v="2"/>
    <s v="DRY240000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79"/>
    <n v="279"/>
    <m/>
    <n v="0"/>
    <n v="0"/>
    <m/>
    <m/>
    <m/>
    <m/>
    <m/>
    <m/>
  </r>
  <r>
    <m/>
    <x v="64"/>
    <d v="2024-03-08T00:00:00"/>
    <x v="0"/>
    <s v="Week10"/>
    <x v="2"/>
    <s v="DRY240001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64"/>
    <d v="2024-03-08T00:00:00"/>
    <x v="0"/>
    <s v="Week10"/>
    <x v="2"/>
    <s v="DRY240001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64"/>
    <d v="2024-03-08T00:00:00"/>
    <x v="0"/>
    <s v="Week10"/>
    <x v="2"/>
    <s v="DRY240001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64"/>
    <d v="2024-03-08T00:00:00"/>
    <x v="0"/>
    <s v="Week10"/>
    <x v="2"/>
    <s v="DRY240001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64"/>
    <d v="2024-03-13T00:00:00"/>
    <x v="0"/>
    <s v="Week10"/>
    <x v="2"/>
    <s v="DRY240001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03"/>
    <n v="603"/>
    <m/>
    <n v="0"/>
    <n v="0"/>
    <m/>
    <m/>
    <m/>
    <m/>
    <m/>
    <m/>
  </r>
  <r>
    <s v="R"/>
    <x v="64"/>
    <d v="2024-03-14T00:00:00"/>
    <x v="0"/>
    <s v="Week10"/>
    <x v="2"/>
    <s v="DRY2300685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432"/>
    <n v="432"/>
    <m/>
    <n v="0"/>
    <n v="0"/>
    <n v="0"/>
    <n v="2"/>
    <n v="0"/>
    <m/>
    <m/>
    <m/>
  </r>
  <r>
    <m/>
    <x v="65"/>
    <d v="2024-04-02T00:00:00"/>
    <x v="0"/>
    <s v="Week10"/>
    <x v="2"/>
    <s v="DRY2400100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1900"/>
    <m/>
    <n v="1900"/>
    <n v="0"/>
    <n v="0"/>
    <m/>
    <m/>
    <m/>
    <m/>
    <m/>
    <m/>
  </r>
  <r>
    <m/>
    <x v="65"/>
    <d v="2024-04-08T00:00:00"/>
    <x v="0"/>
    <s v="Week10"/>
    <x v="2"/>
    <s v="DRY2400157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2400"/>
    <m/>
    <n v="2400"/>
    <n v="0"/>
    <n v="0"/>
    <m/>
    <m/>
    <m/>
    <m/>
    <m/>
    <m/>
  </r>
  <r>
    <m/>
    <x v="65"/>
    <d v="2024-03-13T00:00:00"/>
    <x v="0"/>
    <s v="Week10"/>
    <x v="2"/>
    <s v="DRY240001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89"/>
    <n v="189"/>
    <m/>
    <n v="0"/>
    <n v="0"/>
    <m/>
    <m/>
    <m/>
    <m/>
    <m/>
    <m/>
  </r>
  <r>
    <m/>
    <x v="65"/>
    <d v="2024-03-13T00:00:00"/>
    <x v="0"/>
    <s v="Week10"/>
    <x v="2"/>
    <s v="DRY240001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65"/>
    <d v="2024-03-14T00:00:00"/>
    <x v="0"/>
    <s v="Week10"/>
    <x v="2"/>
    <s v="DRY240001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65"/>
    <d v="2024-03-14T00:00:00"/>
    <x v="0"/>
    <s v="Week10"/>
    <x v="2"/>
    <s v="DRY240002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65"/>
    <d v="2024-03-14T00:00:00"/>
    <x v="0"/>
    <s v="Week10"/>
    <x v="2"/>
    <s v="DRY240002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45"/>
    <n v="245"/>
    <m/>
    <n v="0"/>
    <n v="0"/>
    <m/>
    <m/>
    <m/>
    <m/>
    <m/>
    <m/>
  </r>
  <r>
    <s v="R"/>
    <x v="65"/>
    <d v="2024-03-14T00:00:00"/>
    <x v="0"/>
    <s v="Week10"/>
    <x v="2"/>
    <s v="DRY2300685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469"/>
    <n v="469"/>
    <m/>
    <n v="0"/>
    <n v="0"/>
    <n v="0"/>
    <n v="2"/>
    <n v="0"/>
    <m/>
    <m/>
    <m/>
  </r>
  <r>
    <m/>
    <x v="66"/>
    <d v="2024-03-20T00:00:00"/>
    <x v="0"/>
    <s v="Week10"/>
    <x v="2"/>
    <s v="DRY2400179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m/>
    <m/>
    <m/>
    <s v="NEWPACKAGE"/>
    <m/>
    <m/>
  </r>
  <r>
    <m/>
    <x v="66"/>
    <d v="2024-03-14T00:00:00"/>
    <x v="0"/>
    <s v="Week10"/>
    <x v="2"/>
    <s v="DRY240002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47"/>
    <n v="547"/>
    <m/>
    <n v="0"/>
    <n v="0"/>
    <m/>
    <m/>
    <m/>
    <m/>
    <m/>
    <m/>
  </r>
  <r>
    <m/>
    <x v="66"/>
    <d v="2024-03-14T00:00:00"/>
    <x v="0"/>
    <s v="Week10"/>
    <x v="2"/>
    <s v="DRY240002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66"/>
    <d v="2024-03-14T00:00:00"/>
    <x v="0"/>
    <s v="Week10"/>
    <x v="2"/>
    <s v="DRY240002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66"/>
    <d v="2024-03-14T00:00:00"/>
    <x v="0"/>
    <s v="Week10"/>
    <x v="2"/>
    <s v="DRY240002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49"/>
    <n v="649"/>
    <m/>
    <n v="0"/>
    <n v="0"/>
    <m/>
    <m/>
    <m/>
    <m/>
    <m/>
    <m/>
  </r>
  <r>
    <s v="R"/>
    <x v="66"/>
    <d v="2024-03-14T00:00:00"/>
    <x v="0"/>
    <s v="Week10"/>
    <x v="2"/>
    <s v="DRY2300685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314"/>
    <n v="314"/>
    <m/>
    <n v="0"/>
    <n v="0"/>
    <n v="0"/>
    <n v="2"/>
    <n v="0"/>
    <m/>
    <m/>
    <m/>
  </r>
  <r>
    <s v="R"/>
    <x v="66"/>
    <d v="2024-03-12T00:00:00"/>
    <x v="0"/>
    <s v="Week10"/>
    <x v="2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177"/>
    <n v="177"/>
    <m/>
    <n v="0"/>
    <n v="0"/>
    <n v="0"/>
    <m/>
    <n v="0"/>
    <m/>
    <m/>
    <m/>
  </r>
  <r>
    <m/>
    <x v="67"/>
    <d v="2024-03-14T00:00:00"/>
    <x v="0"/>
    <s v="Week10"/>
    <x v="2"/>
    <s v="DRY240002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43"/>
    <n v="143"/>
    <m/>
    <n v="0"/>
    <n v="0"/>
    <m/>
    <m/>
    <m/>
    <m/>
    <m/>
    <m/>
  </r>
  <r>
    <m/>
    <x v="67"/>
    <d v="2024-03-14T00:00:00"/>
    <x v="0"/>
    <s v="Week10"/>
    <x v="2"/>
    <s v="DRY240002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n v="112050"/>
    <m/>
    <m/>
  </r>
  <r>
    <m/>
    <x v="67"/>
    <d v="2024-03-14T00:00:00"/>
    <x v="0"/>
    <s v="Week10"/>
    <x v="2"/>
    <s v="DRY240002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n v="112050"/>
    <m/>
    <m/>
  </r>
  <r>
    <m/>
    <x v="67"/>
    <d v="2024-03-15T00:00:00"/>
    <x v="0"/>
    <s v="Week10"/>
    <x v="2"/>
    <s v="DRY240002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67"/>
    <d v="2024-03-15T00:00:00"/>
    <x v="0"/>
    <s v="Week10"/>
    <x v="2"/>
    <s v="DRY240002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67"/>
    <d v="2024-03-18T00:00:00"/>
    <x v="0"/>
    <s v="Week10"/>
    <x v="2"/>
    <s v="DRY240002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32"/>
    <n v="732"/>
    <m/>
    <n v="0"/>
    <n v="0"/>
    <m/>
    <m/>
    <m/>
    <m/>
    <m/>
    <m/>
  </r>
  <r>
    <s v="R"/>
    <x v="67"/>
    <d v="2024-03-12T00:00:00"/>
    <x v="0"/>
    <s v="Week10"/>
    <x v="2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272"/>
    <n v="272"/>
    <m/>
    <n v="0"/>
    <n v="0"/>
    <n v="0"/>
    <m/>
    <n v="0"/>
    <m/>
    <m/>
    <m/>
  </r>
  <r>
    <s v="R"/>
    <x v="67"/>
    <m/>
    <x v="0"/>
    <s v="Week10"/>
    <x v="2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421"/>
    <n v="103"/>
    <n v="318"/>
    <n v="0"/>
    <n v="0"/>
    <n v="0"/>
    <m/>
    <n v="0"/>
    <m/>
    <m/>
    <m/>
  </r>
  <r>
    <s v="R"/>
    <x v="67"/>
    <d v="2024-03-26T00:00:00"/>
    <x v="0"/>
    <s v="Week10"/>
    <x v="2"/>
    <s v="DRY2400114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138"/>
    <n v="138"/>
    <m/>
    <n v="0"/>
    <n v="0"/>
    <n v="0"/>
    <n v="2"/>
    <n v="0"/>
    <s v="ใช้ package new"/>
    <m/>
    <m/>
  </r>
  <r>
    <m/>
    <x v="68"/>
    <d v="2024-03-18T00:00:00"/>
    <x v="0"/>
    <s v="Week10"/>
    <x v="2"/>
    <s v="DRY240003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0"/>
    <n v="60"/>
    <m/>
    <n v="0"/>
    <n v="0"/>
    <m/>
    <m/>
    <m/>
    <m/>
    <m/>
    <m/>
  </r>
  <r>
    <m/>
    <x v="68"/>
    <d v="2024-03-18T00:00:00"/>
    <x v="0"/>
    <s v="Week10"/>
    <x v="2"/>
    <s v="DRY240003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68"/>
    <d v="2024-03-18T00:00:00"/>
    <x v="0"/>
    <s v="Week10"/>
    <x v="2"/>
    <s v="DRY240003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68"/>
    <d v="2024-03-18T00:00:00"/>
    <x v="0"/>
    <s v="Week10"/>
    <x v="2"/>
    <s v="DRY240003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68"/>
    <d v="2024-03-18T00:00:00"/>
    <x v="0"/>
    <s v="Week10"/>
    <x v="2"/>
    <s v="DRY240003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68"/>
    <d v="2024-03-18T00:00:00"/>
    <x v="0"/>
    <s v="Week10"/>
    <x v="2"/>
    <s v="DRY240003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81"/>
    <n v="81"/>
    <m/>
    <n v="0"/>
    <n v="0"/>
    <m/>
    <m/>
    <m/>
    <m/>
    <m/>
    <m/>
  </r>
  <r>
    <s v="R"/>
    <x v="68"/>
    <d v="2024-03-26T00:00:00"/>
    <x v="0"/>
    <s v="Week10"/>
    <x v="2"/>
    <s v="DRY2400114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428"/>
    <n v="428"/>
    <m/>
    <n v="0"/>
    <n v="0"/>
    <n v="0"/>
    <n v="2"/>
    <n v="0"/>
    <s v="ใช้ package new"/>
    <m/>
    <m/>
  </r>
  <r>
    <m/>
    <x v="69"/>
    <d v="2024-03-18T00:00:00"/>
    <x v="0"/>
    <s v="Week10"/>
    <x v="2"/>
    <s v="DRY240003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11"/>
    <n v="711"/>
    <m/>
    <n v="0"/>
    <n v="0"/>
    <m/>
    <m/>
    <m/>
    <m/>
    <m/>
    <m/>
  </r>
  <r>
    <m/>
    <x v="69"/>
    <d v="2024-03-19T00:00:00"/>
    <x v="0"/>
    <s v="Week10"/>
    <x v="2"/>
    <s v="DRY240003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69"/>
    <d v="2024-03-19T00:00:00"/>
    <x v="0"/>
    <s v="Week10"/>
    <x v="2"/>
    <s v="DRY240003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69"/>
    <d v="2024-03-19T00:00:00"/>
    <x v="0"/>
    <s v="Week10"/>
    <x v="2"/>
    <s v="DRY240003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69"/>
    <d v="2024-03-19T00:00:00"/>
    <x v="0"/>
    <s v="Week10"/>
    <x v="2"/>
    <s v="DRY240003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69"/>
    <d v="2024-03-19T00:00:00"/>
    <x v="0"/>
    <s v="Week10"/>
    <x v="2"/>
    <s v="DRY240003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55"/>
    <n v="355"/>
    <m/>
    <n v="0"/>
    <n v="0"/>
    <m/>
    <m/>
    <m/>
    <m/>
    <m/>
    <m/>
  </r>
  <r>
    <m/>
    <x v="70"/>
    <d v="2024-03-18T00:00:00"/>
    <x v="0"/>
    <s v="Week11"/>
    <x v="2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5567"/>
    <n v="5567"/>
    <m/>
    <n v="0"/>
    <n v="0"/>
    <m/>
    <m/>
    <m/>
    <s v="NEWPACKAGE"/>
    <m/>
    <m/>
  </r>
  <r>
    <s v="R"/>
    <x v="70"/>
    <d v="2024-03-26T00:00:00"/>
    <x v="0"/>
    <s v="Week11"/>
    <x v="2"/>
    <s v="DRY2400114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474"/>
    <n v="474"/>
    <m/>
    <n v="0"/>
    <n v="0"/>
    <n v="0"/>
    <n v="2"/>
    <n v="0"/>
    <s v="ใช้ package new"/>
    <m/>
    <m/>
  </r>
  <r>
    <m/>
    <x v="71"/>
    <d v="2024-03-19T00:00:00"/>
    <x v="0"/>
    <s v="Week11"/>
    <x v="2"/>
    <s v="DRY240003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37"/>
    <n v="437"/>
    <m/>
    <n v="0"/>
    <n v="0"/>
    <m/>
    <m/>
    <m/>
    <m/>
    <m/>
    <m/>
  </r>
  <r>
    <m/>
    <x v="71"/>
    <d v="2024-03-19T00:00:00"/>
    <x v="0"/>
    <s v="Week11"/>
    <x v="2"/>
    <s v="DRY240004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71"/>
    <d v="2024-03-19T00:00:00"/>
    <x v="0"/>
    <s v="Week11"/>
    <x v="2"/>
    <s v="DRY240004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71"/>
    <d v="2024-03-19T00:00:00"/>
    <x v="0"/>
    <s v="Week11"/>
    <x v="2"/>
    <s v="DRY240004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71"/>
    <d v="2024-03-19T00:00:00"/>
    <x v="0"/>
    <s v="Week11"/>
    <x v="2"/>
    <s v="DRY240004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71"/>
    <d v="2024-03-19T00:00:00"/>
    <x v="0"/>
    <s v="Week11"/>
    <x v="2"/>
    <s v="DRY240004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43"/>
    <n v="343"/>
    <m/>
    <n v="0"/>
    <n v="0"/>
    <m/>
    <m/>
    <m/>
    <m/>
    <m/>
    <m/>
  </r>
  <r>
    <s v="R"/>
    <x v="71"/>
    <d v="2024-03-26T00:00:00"/>
    <x v="0"/>
    <s v="Week11"/>
    <x v="2"/>
    <s v="DRY2400114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452"/>
    <n v="452"/>
    <m/>
    <n v="0"/>
    <n v="0"/>
    <n v="0"/>
    <n v="2"/>
    <n v="0"/>
    <s v="ใช้ package new"/>
    <m/>
    <m/>
  </r>
  <r>
    <m/>
    <x v="72"/>
    <m/>
    <x v="0"/>
    <s v="Week11"/>
    <x v="2"/>
    <s v="DRY2400224"/>
    <s v="Korea"/>
    <s v="CPFNW"/>
    <s v="Consumer Package Commerce"/>
    <s v="Wonton"/>
    <x v="1"/>
    <s v="Wonton Soup  (Enriched wonton sheet)"/>
    <s v="082S83U36005P00001"/>
    <s v="145g*6c*6in"/>
    <n v="36"/>
    <n v="5"/>
    <n v="7.4999999999999997E-3"/>
    <s v="HC"/>
    <s v="Salt"/>
    <s v="Y3"/>
    <n v="1288"/>
    <n v="1257"/>
    <n v="31"/>
    <n v="0"/>
    <n v="0"/>
    <m/>
    <m/>
    <m/>
    <s v="NEWPACKAGE"/>
    <m/>
    <m/>
  </r>
  <r>
    <m/>
    <x v="72"/>
    <d v="2024-04-01T00:00:00"/>
    <x v="0"/>
    <s v="Week11"/>
    <x v="2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1752"/>
    <n v="1752"/>
    <m/>
    <n v="0"/>
    <n v="0"/>
    <m/>
    <m/>
    <m/>
    <s v="NEWPACKAGE"/>
    <m/>
    <m/>
  </r>
  <r>
    <m/>
    <x v="72"/>
    <d v="2024-03-26T00:00:00"/>
    <x v="0"/>
    <s v="Week11"/>
    <x v="2"/>
    <s v="DRY2400010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378"/>
    <m/>
    <n v="378"/>
    <n v="0"/>
    <n v="0"/>
    <m/>
    <m/>
    <m/>
    <m/>
    <m/>
    <m/>
  </r>
  <r>
    <m/>
    <x v="72"/>
    <d v="2024-04-02T00:00:00"/>
    <x v="0"/>
    <s v="Week11"/>
    <x v="2"/>
    <s v="DRY2400100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1400"/>
    <m/>
    <n v="1400"/>
    <n v="0"/>
    <n v="0"/>
    <m/>
    <m/>
    <m/>
    <m/>
    <m/>
    <m/>
  </r>
  <r>
    <m/>
    <x v="72"/>
    <d v="2024-03-27T00:00:00"/>
    <x v="0"/>
    <s v="Week11"/>
    <x v="2"/>
    <s v="DRY2400121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600"/>
    <m/>
    <n v="600"/>
    <n v="0"/>
    <n v="0"/>
    <m/>
    <m/>
    <m/>
    <m/>
    <m/>
    <m/>
  </r>
  <r>
    <m/>
    <x v="72"/>
    <d v="2024-04-18T00:00:00"/>
    <x v="0"/>
    <s v="Week11"/>
    <x v="2"/>
    <s v="DRY2400122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350"/>
    <m/>
    <n v="350"/>
    <n v="0"/>
    <n v="0"/>
    <m/>
    <m/>
    <m/>
    <m/>
    <m/>
    <m/>
  </r>
  <r>
    <m/>
    <x v="72"/>
    <d v="2024-03-19T00:00:00"/>
    <x v="0"/>
    <s v="Week11"/>
    <x v="2"/>
    <s v="KL2400008"/>
    <s v="China"/>
    <s v="China"/>
    <s v="Charoen Pokphand Import&amp;Export Trading (Shanghai) Co., Ltd"/>
    <s v="Wonton+TY"/>
    <x v="1"/>
    <s v="Wonton Soup  (Enriched wonton sheet)"/>
    <s v="082S85J36005P00001"/>
    <s v="147g*6c*6in"/>
    <n v="36"/>
    <n v="5"/>
    <n v="7.4999999999999997E-3"/>
    <s v="M"/>
    <s v="Salt"/>
    <s v="TYEX+CO"/>
    <n v="145"/>
    <n v="145"/>
    <m/>
    <n v="0"/>
    <n v="0"/>
    <m/>
    <m/>
    <m/>
    <m/>
    <m/>
    <m/>
  </r>
  <r>
    <m/>
    <x v="72"/>
    <d v="2024-03-21T00:00:00"/>
    <x v="0"/>
    <s v="Week11"/>
    <x v="2"/>
    <s v="KL2400010"/>
    <s v="China"/>
    <s v="China"/>
    <s v="Charoen Pokphand Import&amp;Export Trading (Shanghai) Co., Ltd"/>
    <s v="Wonton+TY"/>
    <x v="1"/>
    <s v="Wonton Soup  (Enriched wonton sheet)"/>
    <s v="082S85J36005P00001"/>
    <s v="147g*6c*6in"/>
    <n v="36"/>
    <n v="5"/>
    <n v="7.4999999999999997E-3"/>
    <s v="M"/>
    <s v="Salt"/>
    <s v="TYEX+CO"/>
    <n v="143"/>
    <n v="143"/>
    <m/>
    <n v="0"/>
    <n v="0"/>
    <m/>
    <m/>
    <m/>
    <m/>
    <m/>
    <m/>
  </r>
  <r>
    <m/>
    <x v="72"/>
    <d v="2024-04-25T00:00:00"/>
    <x v="0"/>
    <s v="Week11"/>
    <x v="2"/>
    <s v="DRY2300473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+CO"/>
    <n v="924"/>
    <n v="924"/>
    <m/>
    <n v="0"/>
    <n v="0"/>
    <m/>
    <m/>
    <m/>
    <m/>
    <m/>
    <m/>
  </r>
  <r>
    <s v="R"/>
    <x v="72"/>
    <d v="2024-03-26T00:00:00"/>
    <x v="0"/>
    <s v="Week11"/>
    <x v="2"/>
    <s v="DRY2400114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132"/>
    <n v="132"/>
    <m/>
    <n v="0"/>
    <n v="0"/>
    <n v="0"/>
    <n v="2"/>
    <n v="0"/>
    <s v="ใช้ package new"/>
    <m/>
    <m/>
  </r>
  <r>
    <s v="R"/>
    <x v="72"/>
    <d v="2024-04-02T00:00:00"/>
    <x v="0"/>
    <s v="Week11"/>
    <x v="2"/>
    <s v="DRY2400189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345"/>
    <n v="288"/>
    <n v="57"/>
    <n v="0"/>
    <n v="0"/>
    <n v="0"/>
    <n v="2"/>
    <n v="0"/>
    <m/>
    <m/>
    <m/>
  </r>
  <r>
    <m/>
    <x v="73"/>
    <d v="2024-03-19T00:00:00"/>
    <x v="0"/>
    <s v="Week11"/>
    <x v="2"/>
    <s v="DRY240004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49"/>
    <n v="449"/>
    <m/>
    <n v="0"/>
    <n v="0"/>
    <m/>
    <m/>
    <m/>
    <m/>
    <m/>
    <m/>
  </r>
  <r>
    <m/>
    <x v="73"/>
    <d v="2024-03-19T00:00:00"/>
    <x v="0"/>
    <s v="Week11"/>
    <x v="2"/>
    <s v="DRY240004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73"/>
    <d v="2024-03-19T00:00:00"/>
    <x v="0"/>
    <s v="Week11"/>
    <x v="2"/>
    <s v="DRY240004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73"/>
    <d v="2024-03-22T00:00:00"/>
    <x v="0"/>
    <s v="Week11"/>
    <x v="2"/>
    <s v="DRY240004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73"/>
    <d v="2024-03-22T00:00:00"/>
    <x v="0"/>
    <s v="Week11"/>
    <x v="2"/>
    <s v="DRY240004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62"/>
    <n v="662"/>
    <m/>
    <n v="0"/>
    <n v="0"/>
    <m/>
    <m/>
    <m/>
    <m/>
    <m/>
    <m/>
  </r>
  <r>
    <s v="R"/>
    <x v="73"/>
    <d v="2024-04-02T00:00:00"/>
    <x v="0"/>
    <s v="Week11"/>
    <x v="2"/>
    <s v="DRY2400189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536"/>
    <n v="536"/>
    <m/>
    <n v="0"/>
    <n v="0"/>
    <n v="0"/>
    <n v="2"/>
    <n v="0"/>
    <m/>
    <m/>
    <m/>
  </r>
  <r>
    <m/>
    <x v="74"/>
    <d v="2024-03-22T00:00:00"/>
    <x v="0"/>
    <s v="Week11"/>
    <x v="2"/>
    <s v="DRY240004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30"/>
    <n v="130"/>
    <m/>
    <n v="0"/>
    <n v="0"/>
    <m/>
    <m/>
    <m/>
    <m/>
    <m/>
    <m/>
  </r>
  <r>
    <m/>
    <x v="74"/>
    <d v="2024-03-22T00:00:00"/>
    <x v="0"/>
    <s v="Week11"/>
    <x v="2"/>
    <s v="DRY240004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74"/>
    <d v="2024-03-22T00:00:00"/>
    <x v="0"/>
    <s v="Week11"/>
    <x v="2"/>
    <s v="DRY240005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74"/>
    <d v="2024-03-22T00:00:00"/>
    <x v="0"/>
    <s v="Week11"/>
    <x v="2"/>
    <s v="DRY240005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74"/>
    <d v="2024-03-25T00:00:00"/>
    <x v="0"/>
    <s v="Week11"/>
    <x v="2"/>
    <s v="DRY240005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74"/>
    <d v="2024-03-25T00:00:00"/>
    <x v="0"/>
    <s v="Week11"/>
    <x v="2"/>
    <s v="DRY240005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96"/>
    <n v="596"/>
    <m/>
    <n v="0"/>
    <n v="0"/>
    <m/>
    <m/>
    <m/>
    <m/>
    <m/>
    <m/>
  </r>
  <r>
    <s v="R"/>
    <x v="74"/>
    <d v="2024-04-02T00:00:00"/>
    <x v="0"/>
    <s v="Week11"/>
    <x v="2"/>
    <s v="DRY2400189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453"/>
    <n v="453"/>
    <m/>
    <n v="0"/>
    <n v="0"/>
    <n v="0"/>
    <n v="2"/>
    <n v="0"/>
    <m/>
    <m/>
    <m/>
  </r>
  <r>
    <m/>
    <x v="75"/>
    <d v="2024-03-25T00:00:00"/>
    <x v="0"/>
    <s v="Week11"/>
    <x v="2"/>
    <s v="DRY240005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96"/>
    <n v="196"/>
    <m/>
    <n v="0"/>
    <n v="0"/>
    <m/>
    <m/>
    <m/>
    <m/>
    <m/>
    <m/>
  </r>
  <r>
    <m/>
    <x v="75"/>
    <d v="2024-03-25T00:00:00"/>
    <x v="0"/>
    <s v="Week11"/>
    <x v="2"/>
    <s v="DRY240005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75"/>
    <d v="2024-03-25T00:00:00"/>
    <x v="0"/>
    <s v="Week11"/>
    <x v="2"/>
    <s v="DRY240005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75"/>
    <d v="2024-03-25T00:00:00"/>
    <x v="0"/>
    <s v="Week11"/>
    <x v="2"/>
    <s v="DRY240005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75"/>
    <d v="2024-03-25T00:00:00"/>
    <x v="0"/>
    <s v="Week11"/>
    <x v="2"/>
    <s v="DRY240005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08"/>
    <n v="508"/>
    <m/>
    <n v="0"/>
    <n v="0"/>
    <m/>
    <m/>
    <m/>
    <m/>
    <m/>
    <m/>
  </r>
  <r>
    <m/>
    <x v="75"/>
    <d v="2024-03-26T00:00:00"/>
    <x v="0"/>
    <s v="Week11"/>
    <x v="2"/>
    <s v="DRY2400120"/>
    <s v="Denmark"/>
    <s v="CPFNW"/>
    <s v="CPF DENMARK"/>
    <s v="Wonton ND+V+TY"/>
    <x v="1"/>
    <s v="Cooked Wonton ND No Egg with Pumpkin _x000a_+ Vegetable  HC  3 pcs tomyam"/>
    <s v="082SJKW08003P00001"/>
    <s v="309g*8"/>
    <n v="8"/>
    <n v="3"/>
    <n v="7.4999999999999997E-3"/>
    <s v="M"/>
    <s v="Salt"/>
    <s v="TYANS+CM"/>
    <n v="3500"/>
    <m/>
    <n v="3589.25"/>
    <n v="89.25"/>
    <n v="0"/>
    <m/>
    <m/>
    <m/>
    <s v="ต้มยำสูตรลดเผ็ดลง 10 %"/>
    <m/>
    <m/>
  </r>
  <r>
    <s v="R"/>
    <x v="75"/>
    <d v="2024-04-02T00:00:00"/>
    <x v="0"/>
    <s v="Week11"/>
    <x v="2"/>
    <s v="DRY2400189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290"/>
    <n v="290"/>
    <m/>
    <n v="0"/>
    <n v="0"/>
    <n v="0"/>
    <n v="2"/>
    <n v="0"/>
    <m/>
    <m/>
    <m/>
  </r>
  <r>
    <s v="R"/>
    <x v="75"/>
    <d v="2024-04-02T00:00:00"/>
    <x v="0"/>
    <s v="Week11"/>
    <x v="2"/>
    <s v="DRY2400192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288"/>
    <n v="256"/>
    <n v="32"/>
    <n v="0"/>
    <n v="0"/>
    <n v="0"/>
    <n v="6"/>
    <n v="0"/>
    <m/>
    <m/>
    <m/>
  </r>
  <r>
    <m/>
    <x v="76"/>
    <d v="2024-03-27T00:00:00"/>
    <x v="0"/>
    <s v="Week11"/>
    <x v="2"/>
    <s v="DRY2400121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1000"/>
    <n v="1000"/>
    <m/>
    <n v="0"/>
    <n v="0"/>
    <m/>
    <m/>
    <m/>
    <m/>
    <m/>
    <m/>
  </r>
  <r>
    <m/>
    <x v="76"/>
    <d v="2024-04-18T00:00:00"/>
    <x v="0"/>
    <s v="Week11"/>
    <x v="2"/>
    <s v="DRY2400122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800"/>
    <n v="800"/>
    <m/>
    <n v="0"/>
    <n v="0"/>
    <m/>
    <m/>
    <m/>
    <m/>
    <m/>
    <m/>
  </r>
  <r>
    <m/>
    <x v="76"/>
    <d v="2024-03-25T00:00:00"/>
    <x v="0"/>
    <s v="Week11"/>
    <x v="2"/>
    <s v="DRY240005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84"/>
    <n v="284"/>
    <m/>
    <n v="0"/>
    <n v="0"/>
    <m/>
    <m/>
    <m/>
    <m/>
    <m/>
    <m/>
  </r>
  <r>
    <m/>
    <x v="76"/>
    <d v="2024-03-26T00:00:00"/>
    <x v="0"/>
    <s v="Week11"/>
    <x v="2"/>
    <s v="DRY240005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76"/>
    <d v="2024-03-26T00:00:00"/>
    <x v="0"/>
    <s v="Week11"/>
    <x v="2"/>
    <s v="DRY240005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76"/>
    <d v="2024-03-26T00:00:00"/>
    <x v="0"/>
    <s v="Week11"/>
    <x v="2"/>
    <s v="DRY240006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03"/>
    <n v="303"/>
    <m/>
    <n v="0"/>
    <n v="0"/>
    <m/>
    <m/>
    <m/>
    <m/>
    <m/>
    <m/>
  </r>
  <r>
    <m/>
    <x v="77"/>
    <d v="2024-04-01T00:00:00"/>
    <x v="0"/>
    <s v="Week12"/>
    <x v="2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5061"/>
    <n v="5061"/>
    <m/>
    <n v="0"/>
    <n v="0"/>
    <m/>
    <m/>
    <m/>
    <s v="NEWPACKAGE"/>
    <m/>
    <m/>
  </r>
  <r>
    <s v="R"/>
    <x v="77"/>
    <d v="2024-04-02T00:00:00"/>
    <x v="0"/>
    <s v="Week12"/>
    <x v="2"/>
    <s v="DRY2400192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510"/>
    <n v="510"/>
    <m/>
    <n v="0"/>
    <n v="0"/>
    <n v="0"/>
    <n v="6"/>
    <n v="0"/>
    <m/>
    <m/>
    <m/>
  </r>
  <r>
    <m/>
    <x v="78"/>
    <d v="2024-04-03T00:00:00"/>
    <x v="0"/>
    <s v="Week12"/>
    <x v="2"/>
    <s v="DRY2400106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m/>
    <m/>
    <m/>
    <s v="NEWPACKAGE"/>
    <m/>
    <m/>
  </r>
  <r>
    <m/>
    <x v="78"/>
    <d v="2024-03-26T00:00:00"/>
    <x v="0"/>
    <s v="Week12"/>
    <x v="2"/>
    <s v="DRY240006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89"/>
    <n v="489"/>
    <m/>
    <n v="0"/>
    <n v="0"/>
    <m/>
    <m/>
    <m/>
    <m/>
    <m/>
    <m/>
  </r>
  <r>
    <m/>
    <x v="78"/>
    <d v="2024-03-26T00:00:00"/>
    <x v="0"/>
    <s v="Week12"/>
    <x v="2"/>
    <s v="DRY240006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78"/>
    <d v="2024-03-27T00:00:00"/>
    <x v="0"/>
    <s v="Week12"/>
    <x v="2"/>
    <s v="DRY240006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78"/>
    <d v="2024-03-27T00:00:00"/>
    <x v="0"/>
    <s v="Week12"/>
    <x v="2"/>
    <s v="DRY240006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45"/>
    <n v="245"/>
    <m/>
    <n v="0"/>
    <n v="0"/>
    <m/>
    <m/>
    <m/>
    <m/>
    <m/>
    <m/>
  </r>
  <r>
    <s v="R"/>
    <x v="78"/>
    <d v="2024-04-02T00:00:00"/>
    <x v="0"/>
    <s v="Week12"/>
    <x v="2"/>
    <s v="DRY2400192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508"/>
    <n v="508"/>
    <m/>
    <n v="0"/>
    <n v="0"/>
    <n v="0"/>
    <n v="6"/>
    <n v="0"/>
    <m/>
    <m/>
    <m/>
  </r>
  <r>
    <s v="R&amp;D"/>
    <x v="79"/>
    <d v="2024-04-01T00:00:00"/>
    <x v="0"/>
    <s v="Week12"/>
    <x v="2"/>
    <s v="ขายภายใน"/>
    <s v="MTFS"/>
    <s v="CPFGS"/>
    <s v="ซีพีเอฟ เทรดดิ้ง"/>
    <s v="E+Wonton"/>
    <x v="1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m/>
    <m/>
    <m/>
    <m/>
    <m/>
    <m/>
  </r>
  <r>
    <m/>
    <x v="79"/>
    <m/>
    <x v="0"/>
    <s v="Week12"/>
    <x v="2"/>
    <s v="ขายภายใน"/>
    <s v="MTFS"/>
    <s v="CPFGS"/>
    <s v="ซีพีเอฟ เทรดดิ้ง"/>
    <s v="E+Wonton"/>
    <x v="1"/>
    <s v="Cooked Wonton  with egg V-Food"/>
    <s v="082S83Q12005P05001"/>
    <s v="145g*12"/>
    <n v="12"/>
    <n v="5"/>
    <n v="8.0000000000000002E-3"/>
    <s v="M"/>
    <s v="STPP"/>
    <s v="Regular"/>
    <n v="1953"/>
    <n v="1953"/>
    <m/>
    <n v="0"/>
    <n v="0"/>
    <m/>
    <m/>
    <m/>
    <m/>
    <m/>
    <m/>
  </r>
  <r>
    <m/>
    <x v="79"/>
    <d v="2024-04-01T00:00:00"/>
    <x v="0"/>
    <s v="Week12"/>
    <x v="2"/>
    <s v="ขายภายใน"/>
    <s v="MTFS"/>
    <s v="CPFGS"/>
    <s v="ซีพีเอฟ เทรดดิ้ง"/>
    <s v="E+Wonton TY"/>
    <x v="1"/>
    <s v="Cooked Wonton Tomyum with egg.V-Food TY"/>
    <s v="082S83Q12005P04001"/>
    <s v="115g*12"/>
    <n v="12"/>
    <n v="5"/>
    <n v="8.0000000000000002E-3"/>
    <s v="M"/>
    <s v="STPP"/>
    <s v="TYTB3C 30G"/>
    <n v="403"/>
    <n v="403"/>
    <m/>
    <n v="0"/>
    <n v="0"/>
    <m/>
    <n v="1"/>
    <n v="0"/>
    <m/>
    <m/>
    <m/>
  </r>
  <r>
    <s v="รับโดยไม่รอผลเชื้อ"/>
    <x v="79"/>
    <d v="2024-03-21T00:00:00"/>
    <x v="0"/>
    <s v="Week12"/>
    <x v="2"/>
    <s v="ขายภายใน"/>
    <s v="MTFS"/>
    <s v="CPFGS"/>
    <s v="ซีพีเอฟ เทรดดิ้ง"/>
    <s v="E+Wonton+หมาล่า"/>
    <x v="1"/>
    <s v="เกี๊ยวกุ้งซุปหมาล่าแพ็คสุดคุ้ม (ตรา ซีพี)"/>
    <s v="082S83Q18005P06001"/>
    <s v="143g*18"/>
    <n v="18"/>
    <n v="5"/>
    <n v="6.1999999999999998E-3"/>
    <s v="SS"/>
    <s v="STPP"/>
    <s v="หมาล่า"/>
    <n v="647"/>
    <n v="647"/>
    <m/>
    <n v="0"/>
    <n v="0"/>
    <m/>
    <m/>
    <m/>
    <m/>
    <m/>
    <m/>
  </r>
  <r>
    <m/>
    <x v="79"/>
    <d v="2024-03-27T00:00:00"/>
    <x v="0"/>
    <s v="Week12"/>
    <x v="2"/>
    <s v="ขายภายใน"/>
    <s v=".7-11"/>
    <s v="CPFGS"/>
    <s v="ซีพีเอฟ เทรดดิ้ง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808"/>
    <n v="808"/>
    <m/>
    <n v="0"/>
    <n v="0"/>
    <m/>
    <m/>
    <m/>
    <m/>
    <m/>
    <m/>
  </r>
  <r>
    <m/>
    <x v="79"/>
    <m/>
    <x v="0"/>
    <s v="Week12"/>
    <x v="2"/>
    <s v="ขายภายใน"/>
    <s v=".7-11"/>
    <s v="CPFGS"/>
    <s v="ซีพีเอฟ เทรดดิ้ง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3621"/>
    <n v="1089"/>
    <n v="2532"/>
    <n v="0"/>
    <n v="0"/>
    <m/>
    <m/>
    <m/>
    <m/>
    <m/>
    <m/>
  </r>
  <r>
    <s v="R"/>
    <x v="79"/>
    <d v="2024-04-02T00:00:00"/>
    <x v="0"/>
    <s v="Week12"/>
    <x v="2"/>
    <s v="DRY2400192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504"/>
    <n v="504"/>
    <m/>
    <n v="0"/>
    <n v="0"/>
    <n v="0"/>
    <n v="6"/>
    <n v="0"/>
    <m/>
    <m/>
    <m/>
  </r>
  <r>
    <m/>
    <x v="80"/>
    <m/>
    <x v="0"/>
    <s v="Week12"/>
    <x v="2"/>
    <s v="ขายภายใน"/>
    <s v="MTFS"/>
    <s v="CPFGS"/>
    <s v="ซีพีเอฟ เทรดดิ้ง"/>
    <s v="E+Wonton NDE"/>
    <x v="1"/>
    <s v="Cooked Wonton ND with egg V-Food"/>
    <s v="082SJ3Q12003P07001"/>
    <s v="226g*12"/>
    <n v="12"/>
    <n v="3"/>
    <n v="8.0000000000000002E-3"/>
    <s v="M"/>
    <s v="STPP"/>
    <s v="Regular"/>
    <n v="774"/>
    <m/>
    <n v="774"/>
    <n v="0"/>
    <n v="0"/>
    <m/>
    <m/>
    <m/>
    <m/>
    <m/>
    <m/>
  </r>
  <r>
    <m/>
    <x v="80"/>
    <d v="2024-04-01T00:00:00"/>
    <x v="0"/>
    <s v="Week12"/>
    <x v="2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4408"/>
    <n v="3152"/>
    <n v="1256.2916666666667"/>
    <n v="0.29166666666696983"/>
    <n v="0"/>
    <m/>
    <m/>
    <m/>
    <m/>
    <m/>
    <m/>
  </r>
  <r>
    <m/>
    <x v="80"/>
    <m/>
    <x v="0"/>
    <s v="Week12"/>
    <x v="2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1723"/>
    <n v="1682"/>
    <n v="41.333333333333336"/>
    <n v="0.33333333333325754"/>
    <n v="0"/>
    <m/>
    <n v="1"/>
    <n v="0"/>
    <m/>
    <m/>
    <m/>
  </r>
  <r>
    <s v="R"/>
    <x v="80"/>
    <d v="2024-04-02T00:00:00"/>
    <x v="0"/>
    <s v="Week12"/>
    <x v="2"/>
    <s v="DRY2400192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246"/>
    <n v="246"/>
    <m/>
    <n v="0"/>
    <n v="0"/>
    <n v="0"/>
    <n v="6"/>
    <n v="0"/>
    <m/>
    <m/>
    <m/>
  </r>
  <r>
    <s v="R"/>
    <x v="80"/>
    <d v="2024-04-09T00:00:00"/>
    <x v="0"/>
    <s v="Week12"/>
    <x v="2"/>
    <s v="DRY2400113"/>
    <s v="Belgium"/>
    <s v="CPFNW"/>
    <s v="CPF EUROPE S.A."/>
    <s v="R-Wonton no egg"/>
    <x v="2"/>
    <s v="Raw Wonton 50 pcs"/>
    <s v="082I93I10050P02001"/>
    <s v="630g*10inner"/>
    <n v="10"/>
    <n v="50"/>
    <n v="8.1300000000000001E-3"/>
    <s v="M"/>
    <s v="Salt"/>
    <s v="ซุปซอง 5g."/>
    <n v="240"/>
    <n v="230"/>
    <n v="10"/>
    <n v="0"/>
    <n v="0"/>
    <n v="0"/>
    <n v="6"/>
    <n v="0"/>
    <m/>
    <m/>
    <m/>
  </r>
  <r>
    <m/>
    <x v="81"/>
    <d v="2024-03-27T00:00:00"/>
    <x v="0"/>
    <s v="Week12"/>
    <x v="2"/>
    <s v="DRY240006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47"/>
    <n v="547"/>
    <m/>
    <n v="0"/>
    <n v="0"/>
    <m/>
    <m/>
    <m/>
    <m/>
    <m/>
    <m/>
  </r>
  <r>
    <m/>
    <x v="81"/>
    <d v="2024-03-27T00:00:00"/>
    <x v="0"/>
    <s v="Week12"/>
    <x v="2"/>
    <s v="DRY240006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81"/>
    <d v="2024-03-27T00:00:00"/>
    <x v="0"/>
    <s v="Week12"/>
    <x v="2"/>
    <s v="DRY240006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81"/>
    <d v="2024-03-27T00:00:00"/>
    <x v="0"/>
    <s v="Week12"/>
    <x v="2"/>
    <s v="DRY240006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67"/>
    <n v="767"/>
    <m/>
    <n v="0"/>
    <n v="0"/>
    <m/>
    <m/>
    <m/>
    <m/>
    <m/>
    <m/>
  </r>
  <r>
    <s v="R"/>
    <x v="81"/>
    <d v="2024-04-09T00:00:00"/>
    <x v="0"/>
    <s v="Week12"/>
    <x v="2"/>
    <s v="DRY2400113"/>
    <s v="Belgium"/>
    <s v="CPFNW"/>
    <s v="CPF EUROPE S.A."/>
    <s v="R-Wonton no egg"/>
    <x v="2"/>
    <s v="Raw Wonton 50 pcs"/>
    <s v="082I93I10050P02001"/>
    <s v="630g*10inner"/>
    <n v="10"/>
    <n v="50"/>
    <n v="8.1300000000000001E-3"/>
    <s v="M"/>
    <s v="Salt"/>
    <s v="ซุปซอง 5g."/>
    <n v="260"/>
    <n v="221"/>
    <n v="39"/>
    <n v="0"/>
    <n v="0"/>
    <n v="0"/>
    <n v="6"/>
    <n v="0"/>
    <m/>
    <m/>
    <m/>
  </r>
  <r>
    <s v="R"/>
    <x v="81"/>
    <d v="2024-04-05T00:00:00"/>
    <x v="0"/>
    <s v="Week12"/>
    <x v="2"/>
    <s v="KL2400001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286"/>
    <n v="238"/>
    <n v="48"/>
    <n v="0"/>
    <n v="0"/>
    <n v="0"/>
    <n v="6"/>
    <n v="0"/>
    <m/>
    <m/>
    <m/>
  </r>
  <r>
    <m/>
    <x v="82"/>
    <d v="2024-03-26T00:00:00"/>
    <x v="0"/>
    <s v="Week12"/>
    <x v="2"/>
    <s v="DRY240006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5"/>
    <n v="25"/>
    <m/>
    <n v="0"/>
    <n v="0"/>
    <m/>
    <m/>
    <m/>
    <m/>
    <m/>
    <m/>
  </r>
  <r>
    <m/>
    <x v="82"/>
    <d v="2024-03-26T00:00:00"/>
    <x v="0"/>
    <s v="Week12"/>
    <x v="2"/>
    <s v="DRY240006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82"/>
    <d v="2024-03-27T00:00:00"/>
    <x v="0"/>
    <s v="Week12"/>
    <x v="2"/>
    <s v="DRY240006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82"/>
    <d v="2024-03-27T00:00:00"/>
    <x v="0"/>
    <s v="Week12"/>
    <x v="2"/>
    <s v="DRY240006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82"/>
    <d v="2024-03-27T00:00:00"/>
    <x v="0"/>
    <s v="Week12"/>
    <x v="2"/>
    <s v="DRY240007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82"/>
    <d v="2024-03-28T00:00:00"/>
    <x v="0"/>
    <s v="Week12"/>
    <x v="2"/>
    <s v="DRY240007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55"/>
    <n v="655"/>
    <m/>
    <n v="0"/>
    <n v="0"/>
    <m/>
    <m/>
    <m/>
    <m/>
    <m/>
    <m/>
  </r>
  <r>
    <s v="R"/>
    <x v="82"/>
    <d v="2024-04-05T00:00:00"/>
    <x v="0"/>
    <s v="Week12"/>
    <x v="2"/>
    <s v="KL2400001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539"/>
    <n v="539"/>
    <m/>
    <n v="0"/>
    <n v="0"/>
    <n v="0"/>
    <n v="6"/>
    <n v="0"/>
    <m/>
    <m/>
    <m/>
  </r>
  <r>
    <m/>
    <x v="83"/>
    <d v="2024-04-12T00:00:00"/>
    <x v="0"/>
    <s v="Week12"/>
    <x v="2"/>
    <s v="DRY2400180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1773"/>
    <m/>
    <n v="1773.25"/>
    <n v="0.25"/>
    <n v="0"/>
    <m/>
    <m/>
    <m/>
    <s v="NEWPACKAGE"/>
    <m/>
    <m/>
  </r>
  <r>
    <m/>
    <x v="83"/>
    <d v="2024-04-04T00:00:00"/>
    <x v="0"/>
    <s v="Week12"/>
    <x v="2"/>
    <s v="DRY2400103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63"/>
    <n v="29"/>
    <n v="0"/>
    <n v="0"/>
    <m/>
    <m/>
    <m/>
    <m/>
    <m/>
    <m/>
  </r>
  <r>
    <m/>
    <x v="83"/>
    <d v="2024-04-18T00:00:00"/>
    <x v="0"/>
    <s v="Week12"/>
    <x v="2"/>
    <s v="DRY2400101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83"/>
    <d v="2024-04-05T00:00:00"/>
    <x v="0"/>
    <s v="Week12"/>
    <x v="2"/>
    <s v="DRY2400156"/>
    <s v="New Zealand"/>
    <s v="CPFNW"/>
    <s v="Lim Brothers"/>
    <s v="Wonton ND+V"/>
    <x v="1"/>
    <s v="Cooked Wonton ND No Egg with Pumpkin_x000a_+ Yu Choy "/>
    <s v="082SJN708004P00001"/>
    <s v="305g*8"/>
    <n v="8"/>
    <n v="4"/>
    <n v="7.4999999999999997E-3"/>
    <s v="HC"/>
    <s v="Salt"/>
    <s v="Regular"/>
    <n v="810"/>
    <m/>
    <n v="810"/>
    <n v="0"/>
    <n v="0"/>
    <m/>
    <m/>
    <m/>
    <s v="NEWPACKAGE"/>
    <m/>
    <m/>
  </r>
  <r>
    <m/>
    <x v="83"/>
    <d v="2024-04-10T00:00:00"/>
    <x v="0"/>
    <s v="Week12"/>
    <x v="2"/>
    <s v="DRY2400217"/>
    <s v="AUS"/>
    <s v="CPFNW"/>
    <s v="CPF Australia Pty Ltd."/>
    <s v="Wonton ND+V"/>
    <x v="1"/>
    <s v="Cooked Wonton ND No Egg with Pumpkin_x000a_+ Yu Choy "/>
    <s v="082SJ9U08004P00001"/>
    <s v="305g*8"/>
    <n v="8"/>
    <n v="4"/>
    <n v="7.4999999999999997E-3"/>
    <s v="HC"/>
    <s v="Salt"/>
    <s v="Regular"/>
    <n v="1000"/>
    <m/>
    <n v="1003.75"/>
    <n v="3.75"/>
    <n v="0"/>
    <m/>
    <m/>
    <m/>
    <m/>
    <m/>
    <m/>
  </r>
  <r>
    <m/>
    <x v="83"/>
    <d v="2024-04-09T00:00:00"/>
    <x v="0"/>
    <s v="Week12"/>
    <x v="2"/>
    <s v="DRY2400113"/>
    <s v="Belgium"/>
    <s v="CPFNW"/>
    <s v="CPF EUROPE S.A."/>
    <s v="Wonton ND+V"/>
    <x v="1"/>
    <s v="Cooked Wonton ND No Egg with Pumpkin _x000a_+ Vegetable  HC  3 pcs"/>
    <s v="082SJ3I08003P00001"/>
    <s v="309g*8"/>
    <n v="8"/>
    <n v="3"/>
    <n v="7.4999999999999997E-3"/>
    <s v="HC"/>
    <s v="Salt"/>
    <s v="Regular"/>
    <n v="800"/>
    <m/>
    <n v="816.25"/>
    <n v="16.25"/>
    <n v="0"/>
    <m/>
    <m/>
    <m/>
    <m/>
    <m/>
    <m/>
  </r>
  <r>
    <m/>
    <x v="83"/>
    <d v="2024-04-02T00:00:00"/>
    <x v="0"/>
    <s v="Week12"/>
    <x v="2"/>
    <s v="DRY2400115"/>
    <s v="Germany"/>
    <s v="CPFNW"/>
    <s v=" CPF Distribution (under Paulsen Food)"/>
    <s v="Wonton ND+V"/>
    <x v="1"/>
    <s v="Cooked Wonton ND No Egg with Pumpkin _x000a_+ Vegetable  HC  3 pcs"/>
    <s v="082SJ3N12003P01001"/>
    <s v="309g*12"/>
    <n v="12"/>
    <n v="3"/>
    <n v="7.4999999999999997E-3"/>
    <s v="HC"/>
    <s v="Salt"/>
    <s v="Regular"/>
    <n v="2040"/>
    <m/>
    <n v="2040"/>
    <n v="0"/>
    <n v="0"/>
    <m/>
    <m/>
    <m/>
    <s v="Newpackage330x330x234 mm.=2040+238"/>
    <m/>
    <m/>
  </r>
  <r>
    <m/>
    <x v="83"/>
    <d v="2024-04-02T00:00:00"/>
    <x v="0"/>
    <s v="Week12"/>
    <x v="2"/>
    <s v="DRY2400118"/>
    <s v="Germany"/>
    <s v="CPFNW"/>
    <s v=" CPF Distribution (under Paulsen Food)"/>
    <s v="Minced ND+V+TK"/>
    <x v="1"/>
    <s v="Cooked Minced  ND No Egg with Pumpkin_x000a_+ Yu Choy Tomkha"/>
    <s v="082SR3N12003P01001"/>
    <s v="302g*12"/>
    <n v="12"/>
    <n v="3"/>
    <n v="6.0000000000000001E-3"/>
    <s v="BK"/>
    <s v="Salt"/>
    <s v="Tomkha+CM"/>
    <n v="2040"/>
    <m/>
    <n v="2040"/>
    <n v="0"/>
    <n v="0"/>
    <m/>
    <m/>
    <m/>
    <s v="Newpackage330x330x234 mm.=2040+238"/>
    <m/>
    <m/>
  </r>
  <r>
    <m/>
    <x v="83"/>
    <d v="2024-04-05T00:00:00"/>
    <x v="0"/>
    <s v="Week12"/>
    <x v="2"/>
    <s v="DRY2400156"/>
    <s v="New Zealand"/>
    <s v="CPFNW"/>
    <s v="Lim Brothers"/>
    <s v="Minced ND+V+TK"/>
    <x v="1"/>
    <s v="Cooked Minced  ND No Egg with Pumpkin_x000a_+ Yu Choy Tomkha"/>
    <s v="082SRN708003P01001"/>
    <s v="302g*8"/>
    <n v="8"/>
    <n v="3"/>
    <n v="6.0000000000000001E-3"/>
    <s v="BK"/>
    <s v="Salt"/>
    <s v="Tomkha+CM"/>
    <n v="162"/>
    <m/>
    <n v="206.5"/>
    <n v="44.5"/>
    <n v="0"/>
    <m/>
    <m/>
    <m/>
    <s v="NEWPACKAGE"/>
    <m/>
    <m/>
  </r>
  <r>
    <m/>
    <x v="83"/>
    <d v="2024-05-27T00:00:00"/>
    <x v="0"/>
    <s v="Week12"/>
    <x v="2"/>
    <s v="DRY2400304"/>
    <s v="BRUNEI"/>
    <s v="CPFNW"/>
    <s v="Ben Foods"/>
    <s v="Minced ND+V+TK"/>
    <x v="1"/>
    <s v="Cooked Minced  ND No Egg with Pumpkin_x000a_+ Yu Choy Tomkha"/>
    <s v="082SRB508003P01001"/>
    <s v="302g*8"/>
    <n v="8"/>
    <n v="3"/>
    <n v="6.0000000000000001E-3"/>
    <s v="BK"/>
    <s v="Salt"/>
    <s v="Tomkha+CM"/>
    <n v="150"/>
    <n v="120"/>
    <n v="62.25"/>
    <n v="32.25"/>
    <n v="0"/>
    <m/>
    <m/>
    <m/>
    <s v="NEWPACKAGE"/>
    <m/>
    <m/>
  </r>
  <r>
    <m/>
    <x v="84"/>
    <d v="2024-03-29T00:00:00"/>
    <x v="0"/>
    <s v="Week13"/>
    <x v="2"/>
    <s v="DRY2400184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153"/>
    <n v="135"/>
    <n v="0"/>
    <n v="0"/>
    <m/>
    <m/>
    <m/>
    <s v="NEWPACKAGE"/>
    <m/>
    <m/>
  </r>
  <r>
    <m/>
    <x v="84"/>
    <d v="2024-03-29T00:00:00"/>
    <x v="0"/>
    <s v="Week13"/>
    <x v="2"/>
    <s v="DRY2400186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s v="NEWPACKAGE"/>
    <m/>
    <m/>
  </r>
  <r>
    <m/>
    <x v="84"/>
    <d v="2024-03-29T00:00:00"/>
    <x v="0"/>
    <s v="Week13"/>
    <x v="2"/>
    <s v="DRY2400185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692"/>
    <n v="692"/>
    <m/>
    <n v="0"/>
    <n v="0"/>
    <m/>
    <m/>
    <m/>
    <s v="NEWPACKAGE"/>
    <m/>
    <m/>
  </r>
  <r>
    <m/>
    <x v="84"/>
    <d v="2024-04-09T00:00:00"/>
    <x v="0"/>
    <s v="Week13"/>
    <x v="2"/>
    <s v="DRY2400113"/>
    <s v="Belgium"/>
    <s v="CPFNW"/>
    <s v="CPF EUROPE S.A."/>
    <s v="Wonton +V"/>
    <x v="1"/>
    <s v="Cooked Wonton  No Egg _x000a_+ Vegetable  HC  4 pcs"/>
    <s v="082S83I08004P00001"/>
    <s v="145g*8"/>
    <n v="8"/>
    <n v="4"/>
    <n v="7.4999999999999997E-3"/>
    <s v="HC"/>
    <s v="Salt"/>
    <s v="Regular"/>
    <n v="2000"/>
    <m/>
    <n v="2211"/>
    <n v="211"/>
    <n v="0"/>
    <m/>
    <m/>
    <m/>
    <m/>
    <m/>
    <m/>
  </r>
  <r>
    <s v="R"/>
    <x v="84"/>
    <d v="2024-04-05T00:00:00"/>
    <x v="0"/>
    <s v="Week13"/>
    <x v="2"/>
    <s v="KL2400001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538"/>
    <n v="538"/>
    <m/>
    <n v="0"/>
    <n v="0"/>
    <n v="0"/>
    <n v="6"/>
    <n v="0"/>
    <m/>
    <m/>
    <m/>
  </r>
  <r>
    <m/>
    <x v="85"/>
    <d v="2024-03-29T00:00:00"/>
    <x v="0"/>
    <s v="Week13"/>
    <x v="2"/>
    <s v="DRY2400185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596"/>
    <n v="596"/>
    <m/>
    <n v="0"/>
    <n v="0"/>
    <m/>
    <m/>
    <m/>
    <s v="NEWPACKAGE"/>
    <m/>
    <m/>
  </r>
  <r>
    <m/>
    <x v="85"/>
    <d v="2024-04-10T00:00:00"/>
    <x v="0"/>
    <s v="Week13"/>
    <x v="2"/>
    <s v="DRY2400227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s v="NEWPACKAGE"/>
    <m/>
    <m/>
  </r>
  <r>
    <m/>
    <x v="85"/>
    <d v="2024-04-10T00:00:00"/>
    <x v="0"/>
    <s v="Week13"/>
    <x v="2"/>
    <s v="DRY2400310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s v="NEWPACKAGE"/>
    <m/>
    <m/>
  </r>
  <r>
    <m/>
    <x v="85"/>
    <d v="2024-04-10T00:00:00"/>
    <x v="0"/>
    <s v="Week13"/>
    <x v="2"/>
    <s v="DRY2400311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023"/>
    <n v="280.52777777777777"/>
    <n v="15.527777777777828"/>
    <n v="0"/>
    <m/>
    <m/>
    <m/>
    <s v="NEWPACKAGE"/>
    <m/>
    <m/>
  </r>
  <r>
    <s v="R"/>
    <x v="85"/>
    <d v="2024-04-05T00:00:00"/>
    <x v="0"/>
    <s v="Week13"/>
    <x v="2"/>
    <s v="KL2400001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45"/>
    <n v="45"/>
    <m/>
    <n v="0"/>
    <n v="0"/>
    <n v="0"/>
    <n v="6"/>
    <n v="0"/>
    <m/>
    <m/>
    <m/>
  </r>
  <r>
    <s v="R"/>
    <x v="85"/>
    <d v="2024-04-01T00:00:00"/>
    <x v="0"/>
    <s v="Week13"/>
    <x v="2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153"/>
    <n v="153"/>
    <m/>
    <n v="0"/>
    <n v="0"/>
    <n v="0"/>
    <m/>
    <n v="0"/>
    <m/>
    <m/>
    <m/>
  </r>
  <r>
    <s v="R"/>
    <x v="85"/>
    <d v="2024-04-01T00:00:00"/>
    <x v="0"/>
    <s v="Week13"/>
    <x v="2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37"/>
    <n v="37"/>
    <m/>
    <n v="0"/>
    <n v="0"/>
    <n v="0"/>
    <m/>
    <n v="0"/>
    <m/>
    <m/>
    <m/>
  </r>
  <r>
    <s v="R"/>
    <x v="85"/>
    <d v="2024-04-10T00:00:00"/>
    <x v="0"/>
    <s v="Week13"/>
    <x v="2"/>
    <s v="DRY2400200"/>
    <s v="SG"/>
    <s v="CPFNW"/>
    <s v="CPI SINGAPORE"/>
    <s v="R-Wonton egg past"/>
    <x v="2"/>
    <s v="Raw Wonton 8 pcs"/>
    <s v="082I93B20008P00001"/>
    <s v="194g*20in"/>
    <n v="20"/>
    <n v="8"/>
    <n v="1.4999999999999999E-2"/>
    <s v="JB"/>
    <s v="STPP"/>
    <s v="ซุปซอง 5g."/>
    <n v="500"/>
    <n v="500"/>
    <m/>
    <n v="0"/>
    <n v="0"/>
    <n v="0"/>
    <n v="2"/>
    <n v="0"/>
    <s v="ห่อแบบดิบ"/>
    <m/>
    <m/>
  </r>
  <r>
    <m/>
    <x v="86"/>
    <d v="2024-04-05T00:00:00"/>
    <x v="0"/>
    <s v="Week13"/>
    <x v="2"/>
    <s v="DRY2400156"/>
    <s v="New Zealand"/>
    <s v="CPFNW"/>
    <s v="Lim Brothers"/>
    <s v="Minced ND+Kee Mao"/>
    <x v="1"/>
    <s v="Cooked Minced Wonton Thai Spicy Noodles (Kee Mao Noodles)"/>
    <s v="082SRN708003P02001"/>
    <s v="219g*8"/>
    <n v="8"/>
    <n v="3"/>
    <n v="6.0000000000000001E-3"/>
    <s v="BK"/>
    <s v="Salt"/>
    <s v="Kee Mao 50G."/>
    <n v="162"/>
    <m/>
    <n v="175.25"/>
    <n v="13.25"/>
    <n v="0"/>
    <m/>
    <m/>
    <m/>
    <s v="NEWPACKAGE"/>
    <m/>
    <m/>
  </r>
  <r>
    <m/>
    <x v="86"/>
    <d v="2024-04-10T00:00:00"/>
    <x v="0"/>
    <s v="Week13"/>
    <x v="2"/>
    <s v="DRY2400108"/>
    <s v="Netherlands"/>
    <s v="CPFNW"/>
    <s v="Westbridge Foods Limited (One UK)"/>
    <s v="Wonton"/>
    <x v="1"/>
    <s v="Wonton Soup No Egg  "/>
    <s v="082S8WE36005P00001"/>
    <s v="148g*6c*6in"/>
    <n v="36"/>
    <n v="5"/>
    <n v="7.4999999999999997E-3"/>
    <s v="HC"/>
    <s v="Salt"/>
    <s v="Regular"/>
    <n v="1288"/>
    <n v="1288"/>
    <m/>
    <n v="0"/>
    <n v="0"/>
    <m/>
    <m/>
    <m/>
    <s v="ใช้ package ที่เป็น หมึกพิมพ์ใหม่"/>
    <m/>
    <m/>
  </r>
  <r>
    <m/>
    <x v="86"/>
    <d v="2024-04-17T00:00:00"/>
    <x v="0"/>
    <s v="Week13"/>
    <x v="2"/>
    <s v="DRY2400109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  <s v="ใช้ package ที่เป็น หมึกพิมพ์ใหม่"/>
    <m/>
    <m/>
  </r>
  <r>
    <m/>
    <x v="86"/>
    <d v="2024-04-18T00:00:00"/>
    <x v="0"/>
    <s v="Week13"/>
    <x v="2"/>
    <s v="DRY2400215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320"/>
    <n v="999.44444444444446"/>
    <n v="31.444444444444343"/>
    <n v="0"/>
    <m/>
    <m/>
    <m/>
    <m/>
    <m/>
    <m/>
  </r>
  <r>
    <s v="R"/>
    <x v="86"/>
    <d v="2024-04-10T00:00:00"/>
    <x v="0"/>
    <s v="Week13"/>
    <x v="2"/>
    <s v="DRY2400201"/>
    <s v="SG"/>
    <s v="CPFNW"/>
    <s v="CPI SINGAPORE"/>
    <s v="R-Minced egg past"/>
    <x v="2"/>
    <s v="Raw Minced Wonton 8 pcs"/>
    <s v="082ID3B18008P00001"/>
    <s v="90g*18in"/>
    <n v="18"/>
    <n v="8"/>
    <n v="5.0000000000000001E-3"/>
    <s v="BK"/>
    <s v="STPP"/>
    <s v="ซุปซอง 5g."/>
    <n v="300"/>
    <n v="300"/>
    <m/>
    <n v="0"/>
    <n v="0"/>
    <n v="0"/>
    <n v="2"/>
    <n v="0"/>
    <m/>
    <m/>
    <m/>
  </r>
  <r>
    <s v="R"/>
    <x v="86"/>
    <d v="2024-05-02T00:00:00"/>
    <x v="0"/>
    <s v="Week13"/>
    <x v="2"/>
    <s v="DRY2400294"/>
    <s v="HK"/>
    <s v="CPFNW"/>
    <s v="CPM Hongkong"/>
    <s v="R-Minced egg past"/>
    <x v="2"/>
    <s v="Raw Minced Wonton 8 pcs"/>
    <s v="082ID3G18008P00001"/>
    <s v="90g*18in"/>
    <n v="18"/>
    <n v="8"/>
    <n v="6.0000000000000001E-3"/>
    <s v="BK"/>
    <s v="STPP"/>
    <s v="ซุปซอง 5g."/>
    <n v="200"/>
    <n v="200"/>
    <n v="31"/>
    <n v="31"/>
    <n v="0"/>
    <n v="0"/>
    <n v="2"/>
    <n v="0"/>
    <m/>
    <m/>
    <m/>
  </r>
  <r>
    <s v="R"/>
    <x v="86"/>
    <d v="2024-04-24T00:00:00"/>
    <x v="0"/>
    <s v="Week13"/>
    <x v="2"/>
    <s v="DRY2400188"/>
    <s v="Malay"/>
    <s v="CPFNW"/>
    <s v="CPM Malaysia"/>
    <s v="R-Wonton egg past"/>
    <x v="2"/>
    <s v="Raw Wonton 12 pcs"/>
    <s v="082I95I20012P02001"/>
    <s v="154g*20inner"/>
    <n v="20"/>
    <n v="12"/>
    <n v="6.8100000000000001E-3"/>
    <s v="S"/>
    <s v="STPP"/>
    <s v="ซุปซอง 5g."/>
    <n v="350"/>
    <m/>
    <n v="350"/>
    <n v="0"/>
    <n v="0"/>
    <n v="0"/>
    <n v="2"/>
    <n v="0"/>
    <s v="NEWPACKAGE"/>
    <m/>
    <m/>
  </r>
  <r>
    <s v="R"/>
    <x v="86"/>
    <d v="2024-04-10T00:00:00"/>
    <x v="0"/>
    <s v="Week13"/>
    <x v="2"/>
    <s v="DRY2400198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212"/>
    <n v="212"/>
    <m/>
    <n v="0"/>
    <n v="0"/>
    <n v="0"/>
    <n v="2"/>
    <n v="0"/>
    <s v="ห่อแบบสุก"/>
    <m/>
    <m/>
  </r>
  <r>
    <m/>
    <x v="87"/>
    <d v="2024-03-30T00:00:00"/>
    <x v="0"/>
    <s v="Week13"/>
    <x v="2"/>
    <s v="ชดเชยของกัก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93"/>
    <n v="493"/>
    <m/>
    <n v="0"/>
    <n v="0"/>
    <m/>
    <m/>
    <m/>
    <m/>
    <m/>
    <m/>
  </r>
  <r>
    <m/>
    <x v="87"/>
    <d v="2024-03-30T00:00:00"/>
    <x v="0"/>
    <s v="Week13"/>
    <x v="2"/>
    <s v="ชดเชยของกัก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87"/>
    <d v="2024-04-01T00:00:00"/>
    <x v="0"/>
    <s v="Week13"/>
    <x v="2"/>
    <s v="ชดเชยของกัก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87"/>
    <d v="2024-04-01T00:00:00"/>
    <x v="0"/>
    <s v="Week13"/>
    <x v="2"/>
    <s v="ชดเชยของกัก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87"/>
    <d v="2024-04-01T00:00:00"/>
    <x v="0"/>
    <s v="Week13"/>
    <x v="2"/>
    <s v="ชดเชยของกัก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87"/>
    <d v="2024-04-01T00:00:00"/>
    <x v="0"/>
    <s v="Week13"/>
    <x v="2"/>
    <s v="ชดเชยของกัก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44"/>
    <n v="444"/>
    <m/>
    <n v="0"/>
    <n v="0"/>
    <m/>
    <m/>
    <m/>
    <m/>
    <m/>
    <m/>
  </r>
  <r>
    <s v="R"/>
    <x v="87"/>
    <d v="2024-04-10T00:00:00"/>
    <x v="0"/>
    <s v="Week13"/>
    <x v="2"/>
    <s v="DRY2400198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988"/>
    <n v="988"/>
    <m/>
    <n v="0"/>
    <n v="0"/>
    <n v="0"/>
    <n v="2"/>
    <n v="0"/>
    <s v="ห่อแบบสุก"/>
    <m/>
    <m/>
  </r>
  <r>
    <m/>
    <x v="88"/>
    <d v="2024-04-01T00:00:00"/>
    <x v="0"/>
    <s v="Week13"/>
    <x v="2"/>
    <s v="ชดเชยของกัก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48"/>
    <n v="348"/>
    <m/>
    <n v="0"/>
    <n v="0"/>
    <m/>
    <m/>
    <m/>
    <m/>
    <m/>
    <m/>
  </r>
  <r>
    <m/>
    <x v="88"/>
    <d v="2024-04-01T00:00:00"/>
    <x v="0"/>
    <s v="Week13"/>
    <x v="2"/>
    <s v="ชดเชยของกัก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56"/>
    <n v="656"/>
    <m/>
    <n v="0"/>
    <n v="0"/>
    <m/>
    <m/>
    <m/>
    <m/>
    <m/>
    <m/>
  </r>
  <r>
    <m/>
    <x v="88"/>
    <d v="2024-04-01T00:00:00"/>
    <x v="0"/>
    <s v="Week13"/>
    <x v="2"/>
    <s v="DRY240007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36"/>
    <n v="136"/>
    <m/>
    <n v="0"/>
    <n v="0"/>
    <m/>
    <m/>
    <m/>
    <m/>
    <m/>
    <m/>
  </r>
  <r>
    <m/>
    <x v="88"/>
    <d v="2024-04-04T00:00:00"/>
    <x v="0"/>
    <s v="Week13"/>
    <x v="2"/>
    <s v="DRY240007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88"/>
    <d v="2024-04-04T00:00:00"/>
    <x v="0"/>
    <s v="Week13"/>
    <x v="2"/>
    <s v="DRY240007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88"/>
    <d v="2024-04-04T00:00:00"/>
    <x v="0"/>
    <s v="Week13"/>
    <x v="2"/>
    <s v="DRY240007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n v="13"/>
    <x v="88"/>
    <d v="2024-04-04T00:00:00"/>
    <x v="0"/>
    <s v="Week13"/>
    <x v="2"/>
    <s v="DRY240007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96"/>
    <n v="296"/>
    <m/>
    <n v="0"/>
    <n v="0"/>
    <m/>
    <m/>
    <m/>
    <m/>
    <m/>
    <m/>
  </r>
  <r>
    <s v="R"/>
    <x v="88"/>
    <d v="2024-04-26T00:00:00"/>
    <x v="0"/>
    <s v="Week13"/>
    <x v="2"/>
    <s v="DRY2400303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400"/>
    <n v="387"/>
    <n v="13"/>
    <n v="0"/>
    <n v="0"/>
    <n v="0"/>
    <n v="6"/>
    <n v="0"/>
    <m/>
    <m/>
    <m/>
  </r>
  <r>
    <s v="R"/>
    <x v="88"/>
    <d v="2024-04-19T00:00:00"/>
    <x v="0"/>
    <s v="Week13"/>
    <x v="2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199"/>
    <n v="110"/>
    <n v="89"/>
    <n v="0"/>
    <n v="0"/>
    <n v="0"/>
    <m/>
    <n v="0"/>
    <m/>
    <m/>
    <m/>
  </r>
  <r>
    <n v="13"/>
    <x v="89"/>
    <d v="2024-04-04T00:00:00"/>
    <x v="0"/>
    <s v="Week13"/>
    <x v="2"/>
    <s v="DRY240007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96"/>
    <n v="496"/>
    <m/>
    <n v="0"/>
    <n v="0"/>
    <m/>
    <m/>
    <m/>
    <m/>
    <m/>
    <m/>
  </r>
  <r>
    <n v="13"/>
    <x v="89"/>
    <d v="2024-04-04T00:00:00"/>
    <x v="0"/>
    <s v="Week13"/>
    <x v="2"/>
    <s v="DRY240007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n v="13"/>
    <x v="89"/>
    <d v="2024-04-04T00:00:00"/>
    <x v="0"/>
    <s v="Week13"/>
    <x v="2"/>
    <s v="DRY240007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n v="13"/>
    <x v="89"/>
    <d v="2024-04-04T00:00:00"/>
    <x v="0"/>
    <s v="Week13"/>
    <x v="2"/>
    <s v="DRY240007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92"/>
    <n v="392"/>
    <m/>
    <n v="0"/>
    <n v="0"/>
    <m/>
    <m/>
    <m/>
    <m/>
    <m/>
    <m/>
  </r>
  <r>
    <n v="13"/>
    <x v="89"/>
    <d v="2024-04-09T00:00:00"/>
    <x v="0"/>
    <s v="Week13"/>
    <x v="2"/>
    <s v="DRY2400228"/>
    <s v="UK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n v="888"/>
    <n v="36"/>
    <n v="0"/>
    <n v="0"/>
    <m/>
    <m/>
    <m/>
    <s v="SGS ตรวจพิเศษเพิ่ม 40%"/>
    <m/>
    <m/>
  </r>
  <r>
    <n v="13"/>
    <x v="89"/>
    <d v="2024-04-09T00:00:00"/>
    <x v="0"/>
    <s v="Week13"/>
    <x v="2"/>
    <s v="DRY2400229"/>
    <s v="UK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n v="924"/>
    <m/>
    <n v="0"/>
    <n v="0"/>
    <m/>
    <m/>
    <m/>
    <s v="SGS ตรวจพิเศษเพิ่ม 40%"/>
    <m/>
    <m/>
  </r>
  <r>
    <s v="R"/>
    <x v="89"/>
    <d v="2024-05-02T00:00:00"/>
    <x v="0"/>
    <s v="Week13"/>
    <x v="2"/>
    <s v="DRY2400294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1600"/>
    <n v="1381"/>
    <n v="231"/>
    <n v="12"/>
    <n v="0"/>
    <n v="0"/>
    <n v="1"/>
    <n v="0"/>
    <m/>
    <m/>
    <m/>
  </r>
  <r>
    <m/>
    <x v="90"/>
    <m/>
    <x v="0"/>
    <s v="Week13"/>
    <x v="2"/>
    <m/>
    <m/>
    <m/>
    <m/>
    <m/>
    <x v="0"/>
    <m/>
    <m/>
    <m/>
    <m/>
    <m/>
    <m/>
    <m/>
    <m/>
    <m/>
    <m/>
    <m/>
    <m/>
    <m/>
    <m/>
    <m/>
    <m/>
    <m/>
    <m/>
    <m/>
    <m/>
  </r>
  <r>
    <n v="13"/>
    <x v="91"/>
    <d v="2024-04-04T00:00:00"/>
    <x v="0"/>
    <s v="Week14"/>
    <x v="3"/>
    <s v="ขายภายใน"/>
    <s v=".7-11"/>
    <s v="CPFGS"/>
    <s v="ซีพีเอฟ เทรดดิ้ง"/>
    <s v="Wonton ND+V+TY"/>
    <x v="1"/>
    <s v="Cooked Wonton ND+ Vegetable  SS  3 pcs"/>
    <s v="082SJ1A12003P02001"/>
    <s v="211g*12"/>
    <n v="12"/>
    <n v="3"/>
    <n v="6.1999999999999998E-3"/>
    <s v="SS"/>
    <s v="STPP"/>
    <s v="TYNSF"/>
    <n v="9952"/>
    <n v="9952"/>
    <m/>
    <n v="0"/>
    <n v="0"/>
    <m/>
    <m/>
    <m/>
    <m/>
    <m/>
    <m/>
  </r>
  <r>
    <n v="13"/>
    <x v="92"/>
    <d v="2024-04-04T00:00:00"/>
    <x v="0"/>
    <s v="Week14"/>
    <x v="3"/>
    <s v="DRY240007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00"/>
    <n v="400"/>
    <m/>
    <n v="0"/>
    <n v="0"/>
    <m/>
    <m/>
    <m/>
    <m/>
    <m/>
    <m/>
  </r>
  <r>
    <n v="13"/>
    <x v="92"/>
    <d v="2024-04-04T00:00:00"/>
    <x v="0"/>
    <s v="Week14"/>
    <x v="3"/>
    <s v="DRY240007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n v="13"/>
    <x v="92"/>
    <d v="2024-04-05T00:00:00"/>
    <x v="0"/>
    <s v="Week14"/>
    <x v="3"/>
    <s v="DRY240008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n v="13"/>
    <x v="92"/>
    <d v="2024-04-05T00:00:00"/>
    <x v="0"/>
    <s v="Week14"/>
    <x v="3"/>
    <s v="DRY240008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n v="13"/>
    <x v="92"/>
    <d v="2024-04-05T00:00:00"/>
    <x v="0"/>
    <s v="Week14"/>
    <x v="3"/>
    <s v="DRY240008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n v="13"/>
    <x v="92"/>
    <d v="2024-04-06T00:00:00"/>
    <x v="0"/>
    <s v="Week14"/>
    <x v="3"/>
    <s v="DRY240008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64"/>
    <n v="564"/>
    <m/>
    <n v="0"/>
    <n v="0"/>
    <m/>
    <m/>
    <m/>
    <m/>
    <m/>
    <m/>
  </r>
  <r>
    <m/>
    <x v="93"/>
    <d v="2024-04-12T00:00:00"/>
    <x v="0"/>
    <s v="Week14"/>
    <x v="3"/>
    <s v="DRY2400180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827"/>
    <m/>
    <n v="827"/>
    <n v="0"/>
    <n v="0"/>
    <m/>
    <m/>
    <m/>
    <m/>
    <m/>
    <m/>
  </r>
  <r>
    <m/>
    <x v="93"/>
    <d v="2024-04-24T00:00:00"/>
    <x v="0"/>
    <s v="Week14"/>
    <x v="3"/>
    <s v="DRY2400364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m/>
    <m/>
    <m/>
    <m/>
    <m/>
    <m/>
  </r>
  <r>
    <m/>
    <x v="93"/>
    <d v="2024-04-26T00:00:00"/>
    <x v="0"/>
    <s v="Week14"/>
    <x v="3"/>
    <s v="DRY2400303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1200"/>
    <m/>
    <n v="1200"/>
    <n v="0"/>
    <n v="0"/>
    <m/>
    <m/>
    <m/>
    <m/>
    <m/>
    <m/>
  </r>
  <r>
    <m/>
    <x v="93"/>
    <d v="2024-04-10T00:00:00"/>
    <x v="0"/>
    <s v="Week14"/>
    <x v="3"/>
    <s v="DRY2400199"/>
    <s v="SG"/>
    <s v="CPFNW"/>
    <s v="CPI SINGAPORE"/>
    <s v="Wonton"/>
    <x v="1"/>
    <s v="Cooked Wonton No Egg"/>
    <s v="082S83B24005P07001"/>
    <s v="145g*24"/>
    <n v="24"/>
    <n v="5"/>
    <n v="8.0000000000000002E-3"/>
    <s v="M"/>
    <s v="STPP"/>
    <s v="Regular"/>
    <n v="250"/>
    <n v="250"/>
    <m/>
    <n v="0"/>
    <n v="0"/>
    <m/>
    <m/>
    <m/>
    <m/>
    <m/>
    <m/>
  </r>
  <r>
    <m/>
    <x v="93"/>
    <d v="2024-04-24T00:00:00"/>
    <x v="0"/>
    <s v="Week14"/>
    <x v="3"/>
    <s v="DRY2400188"/>
    <s v="Malay"/>
    <s v="CPFNW"/>
    <s v="CPM Malaysia"/>
    <s v="Wonton"/>
    <x v="1"/>
    <s v="Cooked Wonton No Egg  "/>
    <s v="082S85I24005P01001"/>
    <s v="145g*24"/>
    <n v="24"/>
    <n v="5"/>
    <n v="8.0000000000000002E-3"/>
    <s v="M"/>
    <s v="STPP"/>
    <s v="Regular"/>
    <n v="900"/>
    <n v="900"/>
    <n v="3.625"/>
    <n v="3.625"/>
    <n v="0"/>
    <m/>
    <m/>
    <m/>
    <m/>
    <m/>
    <m/>
  </r>
  <r>
    <m/>
    <x v="93"/>
    <d v="2024-04-09T00:00:00"/>
    <x v="0"/>
    <s v="Week14"/>
    <x v="3"/>
    <s v="DRY2400225"/>
    <s v="Korea"/>
    <s v="CPFNW"/>
    <s v="Consumer Package Commerce"/>
    <s v="Wonton+TY"/>
    <x v="1"/>
    <s v="Wonton Soup  (Enriched wonton sheet) tom yum"/>
    <s v="082S83U36005P01001"/>
    <s v="147g*6c*6in"/>
    <n v="36"/>
    <n v="5"/>
    <n v="7.4999999999999997E-3"/>
    <s v="M"/>
    <s v="Salt"/>
    <s v="TYEX+CO"/>
    <n v="1288"/>
    <n v="1288"/>
    <m/>
    <n v="0"/>
    <n v="0"/>
    <m/>
    <m/>
    <m/>
    <m/>
    <m/>
    <m/>
  </r>
  <r>
    <m/>
    <x v="94"/>
    <d v="2024-04-06T00:00:00"/>
    <x v="0"/>
    <s v="Week14"/>
    <x v="3"/>
    <s v="DRY240008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28"/>
    <n v="228"/>
    <m/>
    <n v="0"/>
    <n v="0"/>
    <m/>
    <m/>
    <m/>
    <m/>
    <m/>
    <m/>
  </r>
  <r>
    <m/>
    <x v="94"/>
    <d v="2024-04-06T00:00:00"/>
    <x v="0"/>
    <s v="Week14"/>
    <x v="3"/>
    <s v="DRY240008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94"/>
    <d v="2024-04-06T00:00:00"/>
    <x v="0"/>
    <s v="Week14"/>
    <x v="3"/>
    <s v="DRY240008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94"/>
    <d v="2024-04-10T00:00:00"/>
    <x v="0"/>
    <s v="Week14"/>
    <x v="3"/>
    <s v="DRY240008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0"/>
    <n v="40"/>
    <m/>
    <n v="0"/>
    <n v="0"/>
    <m/>
    <m/>
    <m/>
    <m/>
    <m/>
    <m/>
  </r>
  <r>
    <m/>
    <x v="94"/>
    <d v="2024-04-17T00:00:00"/>
    <x v="0"/>
    <s v="Week14"/>
    <x v="3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3067"/>
    <n v="3067"/>
    <m/>
    <n v="0"/>
    <n v="0"/>
    <m/>
    <m/>
    <m/>
    <m/>
    <m/>
    <m/>
  </r>
  <r>
    <m/>
    <x v="95"/>
    <d v="2024-04-23T00:00:00"/>
    <x v="0"/>
    <s v="Week14"/>
    <x v="3"/>
    <s v="DRY2400258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2400"/>
    <m/>
    <n v="2400"/>
    <n v="0"/>
    <n v="0"/>
    <m/>
    <m/>
    <m/>
    <m/>
    <m/>
    <m/>
  </r>
  <r>
    <m/>
    <x v="95"/>
    <d v="2024-04-26T00:00:00"/>
    <x v="0"/>
    <s v="Week14"/>
    <x v="3"/>
    <s v="DRY2400303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1200"/>
    <m/>
    <n v="1200"/>
    <n v="0"/>
    <n v="0"/>
    <m/>
    <m/>
    <m/>
    <m/>
    <m/>
    <m/>
  </r>
  <r>
    <m/>
    <x v="95"/>
    <d v="2024-04-24T00:00:00"/>
    <x v="0"/>
    <s v="Week14"/>
    <x v="3"/>
    <s v="DRY2400188"/>
    <s v="Malay"/>
    <s v="CPFNW"/>
    <s v="CPM Malaysia"/>
    <s v="Wonton TY"/>
    <x v="1"/>
    <s v="Cooked Wonton No Egg  TY"/>
    <s v="082S85I24005P02001"/>
    <s v="115g*24"/>
    <n v="24"/>
    <n v="5"/>
    <n v="8.0000000000000002E-3"/>
    <s v="M"/>
    <s v="STPP"/>
    <s v="TYTB3C 30G"/>
    <n v="850"/>
    <n v="850"/>
    <n v="10.625"/>
    <n v="10.625"/>
    <n v="0"/>
    <m/>
    <n v="1"/>
    <n v="0"/>
    <m/>
    <m/>
    <m/>
  </r>
  <r>
    <m/>
    <x v="95"/>
    <d v="2024-04-17T00:00:00"/>
    <x v="0"/>
    <s v="Week14"/>
    <x v="3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4247"/>
    <n v="4247"/>
    <m/>
    <n v="0"/>
    <n v="0"/>
    <m/>
    <m/>
    <m/>
    <m/>
    <m/>
    <m/>
  </r>
  <r>
    <m/>
    <x v="96"/>
    <d v="2024-04-25T00:00:00"/>
    <x v="0"/>
    <s v="Week14"/>
    <x v="3"/>
    <s v="DRY2400216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68"/>
    <n v="20"/>
    <n v="0"/>
    <n v="0"/>
    <m/>
    <m/>
    <m/>
    <m/>
    <m/>
    <m/>
  </r>
  <r>
    <m/>
    <x v="96"/>
    <d v="2024-04-22T00:00:00"/>
    <x v="0"/>
    <s v="Week14"/>
    <x v="3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3430"/>
    <n v="3430"/>
    <m/>
    <n v="0"/>
    <n v="0"/>
    <m/>
    <m/>
    <m/>
    <s v="NEWPACKAGE"/>
    <m/>
    <m/>
  </r>
  <r>
    <m/>
    <x v="97"/>
    <m/>
    <x v="0"/>
    <s v="Week14"/>
    <x v="3"/>
    <m/>
    <m/>
    <m/>
    <m/>
    <m/>
    <x v="0"/>
    <m/>
    <m/>
    <m/>
    <m/>
    <m/>
    <m/>
    <m/>
    <m/>
    <m/>
    <m/>
    <m/>
    <m/>
    <m/>
    <m/>
    <m/>
    <m/>
    <m/>
    <m/>
    <m/>
    <m/>
  </r>
  <r>
    <m/>
    <x v="98"/>
    <d v="2024-04-10T00:00:00"/>
    <x v="0"/>
    <s v="Week15"/>
    <x v="3"/>
    <s v="DRY240008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52"/>
    <n v="752"/>
    <m/>
    <n v="0"/>
    <n v="0"/>
    <m/>
    <m/>
    <m/>
    <m/>
    <m/>
    <m/>
  </r>
  <r>
    <m/>
    <x v="98"/>
    <d v="2024-04-10T00:00:00"/>
    <x v="0"/>
    <s v="Week15"/>
    <x v="3"/>
    <s v="DRY240008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98"/>
    <d v="2024-04-12T00:00:00"/>
    <x v="0"/>
    <s v="Week15"/>
    <x v="3"/>
    <s v="DRY240008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98"/>
    <d v="2024-04-17T00:00:00"/>
    <x v="0"/>
    <s v="Week15"/>
    <x v="3"/>
    <s v="DRY240012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98"/>
    <d v="2024-04-17T00:00:00"/>
    <x v="0"/>
    <s v="Week15"/>
    <x v="3"/>
    <s v="DRY240012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98"/>
    <d v="2024-04-17T00:00:00"/>
    <x v="0"/>
    <s v="Week15"/>
    <x v="3"/>
    <s v="DRY240012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38"/>
    <n v="338"/>
    <m/>
    <n v="0"/>
    <n v="0"/>
    <m/>
    <m/>
    <m/>
    <m/>
    <m/>
    <m/>
  </r>
  <r>
    <m/>
    <x v="99"/>
    <d v="2024-04-17T00:00:00"/>
    <x v="0"/>
    <s v="Week15"/>
    <x v="3"/>
    <s v="ขายภายใน"/>
    <s v="MTFS"/>
    <s v="CPFGS"/>
    <s v="ซีพีเอฟ เทรดดิ้ง"/>
    <s v="E+Wonton"/>
    <x v="1"/>
    <s v="Cooked Wonton  with egg V-Food"/>
    <s v="082S83Q12005P05001"/>
    <s v="145g*12"/>
    <n v="12"/>
    <n v="5"/>
    <n v="8.0000000000000002E-3"/>
    <s v="M"/>
    <s v="STPP"/>
    <s v="Regular"/>
    <n v="2722"/>
    <n v="2722"/>
    <m/>
    <n v="0"/>
    <n v="0"/>
    <m/>
    <m/>
    <m/>
    <m/>
    <m/>
    <m/>
  </r>
  <r>
    <m/>
    <x v="99"/>
    <d v="2024-04-11T00:00:00"/>
    <x v="0"/>
    <s v="Week15"/>
    <x v="3"/>
    <s v="ขายภายใน"/>
    <s v="MTFS"/>
    <s v="CPFGS"/>
    <s v="ซีพีเอฟ เทรดดิ้ง"/>
    <s v="E+Wonton+หมาล่า"/>
    <x v="1"/>
    <s v="เกี๊ยวกุ้งจักรพรรดิซุปหมาล่า (ตรา ซีพี)_MT"/>
    <s v="082S83Q18005P06001"/>
    <s v="143g*18"/>
    <n v="18"/>
    <n v="5"/>
    <n v="6.1999999999999998E-3"/>
    <s v="SS"/>
    <s v="STPP"/>
    <s v="หมาล่า"/>
    <n v="1959"/>
    <n v="1959"/>
    <m/>
    <n v="0"/>
    <n v="0"/>
    <m/>
    <m/>
    <m/>
    <m/>
    <m/>
    <m/>
  </r>
  <r>
    <m/>
    <x v="99"/>
    <d v="2024-05-06T00:00:00"/>
    <x v="0"/>
    <s v="Week15"/>
    <x v="3"/>
    <s v="ขายภายใน"/>
    <s v="MTFS"/>
    <s v="CPFGS"/>
    <s v="ซีพีเอฟ เทรดดิ้ง"/>
    <s v="E+Wonton+หมาล่า"/>
    <x v="1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437"/>
    <n v="437"/>
    <m/>
    <n v="0"/>
    <n v="0"/>
    <m/>
    <m/>
    <m/>
    <m/>
    <m/>
    <m/>
  </r>
  <r>
    <m/>
    <x v="99"/>
    <d v="2024-04-12T00:00:00"/>
    <x v="0"/>
    <s v="Week15"/>
    <x v="3"/>
    <s v="ขายภายใน"/>
    <s v=".7-11"/>
    <s v="CPFGS"/>
    <s v="ซีพีเอฟ เทรดดิ้ง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3098"/>
    <n v="3098"/>
    <m/>
    <n v="0"/>
    <n v="0"/>
    <m/>
    <m/>
    <m/>
    <m/>
    <m/>
    <m/>
  </r>
  <r>
    <m/>
    <x v="100"/>
    <d v="2024-04-17T00:00:00"/>
    <x v="0"/>
    <s v="Week15"/>
    <x v="3"/>
    <s v="ขายภายใน"/>
    <s v="MTFS"/>
    <s v="CPFGS"/>
    <s v="ซีพีเอฟ เทรดดิ้ง"/>
    <s v="E+Wonton NDE"/>
    <x v="1"/>
    <s v="Cooked Wonton ND with egg V-Food"/>
    <s v="082SJ3Q12003P07001"/>
    <s v="226g*12"/>
    <n v="12"/>
    <n v="3"/>
    <n v="8.0000000000000002E-3"/>
    <s v="M"/>
    <s v="STPP"/>
    <s v="Regular"/>
    <n v="385"/>
    <n v="385"/>
    <m/>
    <n v="0"/>
    <n v="0"/>
    <m/>
    <m/>
    <m/>
    <m/>
    <m/>
    <m/>
  </r>
  <r>
    <m/>
    <x v="100"/>
    <d v="2024-04-17T00:00:00"/>
    <x v="0"/>
    <s v="Week15"/>
    <x v="3"/>
    <s v="ขายภายใน"/>
    <s v="MTFS"/>
    <s v="CPFGS"/>
    <s v="ซีพีเอฟ เทรดดิ้ง"/>
    <s v="E+Wonton"/>
    <x v="1"/>
    <s v="Cooked Wonton  with egg V-Food"/>
    <s v="082S83Q12005P05001"/>
    <s v="145g*12"/>
    <n v="12"/>
    <n v="5"/>
    <n v="8.0000000000000002E-3"/>
    <s v="M"/>
    <s v="STPP"/>
    <s v="Regular"/>
    <n v="1914"/>
    <n v="1914"/>
    <m/>
    <n v="0"/>
    <n v="0"/>
    <m/>
    <m/>
    <m/>
    <m/>
    <m/>
    <m/>
  </r>
  <r>
    <m/>
    <x v="100"/>
    <d v="2024-04-17T00:00:00"/>
    <x v="0"/>
    <s v="Week15"/>
    <x v="3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789"/>
    <n v="789"/>
    <m/>
    <n v="0"/>
    <n v="0"/>
    <m/>
    <n v="1"/>
    <n v="0"/>
    <m/>
    <m/>
    <m/>
  </r>
  <r>
    <m/>
    <x v="100"/>
    <d v="2024-04-17T00:00:00"/>
    <x v="0"/>
    <s v="Week15"/>
    <x v="3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4355"/>
    <n v="4355"/>
    <m/>
    <n v="0"/>
    <n v="0"/>
    <m/>
    <m/>
    <m/>
    <m/>
    <m/>
    <m/>
  </r>
  <r>
    <m/>
    <x v="100"/>
    <d v="2024-04-17T00:00:00"/>
    <x v="0"/>
    <s v="Week15"/>
    <x v="3"/>
    <s v="ขายภายใน"/>
    <s v="MTFS"/>
    <s v="CPFGS"/>
    <s v="ซีพีเอฟ เทรดดิ้ง"/>
    <s v="E+Wonton TY"/>
    <x v="1"/>
    <s v="Cooked Wonton Tomyum with egg.V-Food TY"/>
    <s v="082S83Q12005P04001"/>
    <s v="115g*12"/>
    <n v="12"/>
    <n v="5"/>
    <n v="8.0000000000000002E-3"/>
    <s v="M"/>
    <s v="STPP"/>
    <s v="TYTB3C 30G"/>
    <n v="759"/>
    <n v="759"/>
    <m/>
    <n v="0"/>
    <n v="0"/>
    <m/>
    <n v="1"/>
    <n v="0"/>
    <m/>
    <m/>
    <m/>
  </r>
  <r>
    <m/>
    <x v="101"/>
    <d v="2024-04-17T00:00:00"/>
    <x v="0"/>
    <s v="Week15"/>
    <x v="3"/>
    <s v="DRY2400122"/>
    <s v="USA"/>
    <s v="CPFNW"/>
    <s v="Bellisio Foods, Inc."/>
    <s v="Minced ND+V"/>
    <x v="1"/>
    <s v="Cooked Wonton ND No Egg with Pumpkin_x000a_+ Yu Choy Low sodium"/>
    <s v="082SRBW24005P01001"/>
    <s v="308g*4c*6in"/>
    <n v="24"/>
    <n v="5"/>
    <n v="6.0000000000000001E-3"/>
    <s v="BK"/>
    <s v="Salt"/>
    <s v="Y3"/>
    <n v="200"/>
    <n v="187"/>
    <n v="13"/>
    <n v="0"/>
    <n v="0"/>
    <m/>
    <m/>
    <m/>
    <s v="ขอใช้ผักแบบไม่ล้าง"/>
    <m/>
    <m/>
  </r>
  <r>
    <m/>
    <x v="101"/>
    <d v="2024-04-17T00:00:00"/>
    <x v="0"/>
    <s v="Week15"/>
    <x v="3"/>
    <s v="DRY240012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54"/>
    <n v="454"/>
    <m/>
    <n v="0"/>
    <n v="0"/>
    <m/>
    <m/>
    <m/>
    <m/>
    <m/>
    <m/>
  </r>
  <r>
    <m/>
    <x v="101"/>
    <d v="2024-04-17T00:00:00"/>
    <x v="0"/>
    <s v="Week15"/>
    <x v="3"/>
    <s v="DRY240012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78"/>
    <n v="678"/>
    <m/>
    <n v="0"/>
    <n v="0"/>
    <m/>
    <m/>
    <m/>
    <m/>
    <m/>
    <m/>
  </r>
  <r>
    <m/>
    <x v="101"/>
    <d v="2024-04-25T00:00:00"/>
    <x v="0"/>
    <s v="Week15"/>
    <x v="3"/>
    <s v="DRY2400295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79"/>
    <n v="13"/>
    <n v="0"/>
    <n v="0"/>
    <m/>
    <m/>
    <m/>
    <m/>
    <m/>
    <m/>
  </r>
  <r>
    <m/>
    <x v="101"/>
    <d v="2024-04-17T00:00:00"/>
    <x v="0"/>
    <s v="Week15"/>
    <x v="3"/>
    <s v="ขายภายใน"/>
    <s v=".7-11"/>
    <s v="CPFGS"/>
    <s v="ซีพีเอฟ เทรดดิ้ง"/>
    <s v="Wonton ND+V+TY"/>
    <x v="1"/>
    <s v="Cooked Wonton ND+ Vegetable  SS  3 pcs"/>
    <s v="082SJ1A12003P02001"/>
    <s v="211g*12"/>
    <n v="12"/>
    <n v="3"/>
    <n v="6.1999999999999998E-3"/>
    <s v="SS"/>
    <s v="STPP"/>
    <s v="TYNSF"/>
    <n v="48"/>
    <n v="48"/>
    <m/>
    <n v="0"/>
    <n v="0"/>
    <m/>
    <m/>
    <m/>
    <m/>
    <m/>
    <m/>
  </r>
  <r>
    <m/>
    <x v="101"/>
    <d v="2024-04-17T00:00:00"/>
    <x v="0"/>
    <s v="Week15"/>
    <x v="3"/>
    <s v="ขายภายใน"/>
    <s v=".7-11"/>
    <s v="CPFGS"/>
    <s v="ซีพีเอฟ เทรดดิ้ง"/>
    <s v="Wonton ND+V+TY"/>
    <x v="1"/>
    <s v="Cooked Wonton ND+ Vegetable  SS  3 pcs"/>
    <s v="082SJ1A12003P02001"/>
    <s v="211g*12"/>
    <n v="12"/>
    <n v="3"/>
    <n v="6.1999999999999998E-3"/>
    <s v="SS"/>
    <s v="STPP"/>
    <s v="TYNSF"/>
    <n v="6000"/>
    <n v="5964"/>
    <n v="36"/>
    <n v="0"/>
    <n v="0"/>
    <m/>
    <m/>
    <m/>
    <m/>
    <m/>
    <m/>
  </r>
  <r>
    <m/>
    <x v="102"/>
    <d v="2024-04-17T00:00:00"/>
    <x v="0"/>
    <s v="Week15"/>
    <x v="3"/>
    <s v="DRY240012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14"/>
    <n v="114"/>
    <m/>
    <n v="0"/>
    <n v="0"/>
    <m/>
    <m/>
    <m/>
    <m/>
    <m/>
    <m/>
  </r>
  <r>
    <m/>
    <x v="102"/>
    <d v="2024-04-17T00:00:00"/>
    <x v="0"/>
    <s v="Week15"/>
    <x v="3"/>
    <s v="DRY240012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02"/>
    <d v="2024-04-18T00:00:00"/>
    <x v="0"/>
    <s v="Week15"/>
    <x v="3"/>
    <s v="DRY240012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02"/>
    <d v="2024-04-18T00:00:00"/>
    <x v="0"/>
    <s v="Week15"/>
    <x v="3"/>
    <s v="DRY240012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02"/>
    <d v="2024-04-18T00:00:00"/>
    <x v="0"/>
    <s v="Week15"/>
    <x v="3"/>
    <s v="DRY240013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02"/>
    <d v="2024-04-22T00:00:00"/>
    <x v="0"/>
    <s v="Week15"/>
    <x v="3"/>
    <s v="DRY240013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96"/>
    <n v="696"/>
    <m/>
    <n v="0"/>
    <n v="0"/>
    <m/>
    <m/>
    <m/>
    <m/>
    <m/>
    <m/>
  </r>
  <r>
    <m/>
    <x v="103"/>
    <m/>
    <x v="0"/>
    <s v="Week15"/>
    <x v="3"/>
    <m/>
    <m/>
    <m/>
    <m/>
    <m/>
    <x v="0"/>
    <m/>
    <m/>
    <m/>
    <m/>
    <m/>
    <m/>
    <m/>
    <m/>
    <m/>
    <m/>
    <m/>
    <m/>
    <m/>
    <m/>
    <m/>
    <m/>
    <m/>
    <m/>
    <m/>
    <m/>
  </r>
  <r>
    <m/>
    <x v="104"/>
    <m/>
    <x v="0"/>
    <s v="Week15"/>
    <x v="3"/>
    <m/>
    <m/>
    <m/>
    <m/>
    <m/>
    <x v="0"/>
    <m/>
    <m/>
    <m/>
    <m/>
    <m/>
    <m/>
    <m/>
    <m/>
    <m/>
    <m/>
    <m/>
    <m/>
    <m/>
    <m/>
    <m/>
    <m/>
    <m/>
    <m/>
    <m/>
    <m/>
  </r>
  <r>
    <m/>
    <x v="105"/>
    <m/>
    <x v="0"/>
    <s v="Week16"/>
    <x v="3"/>
    <m/>
    <m/>
    <m/>
    <m/>
    <m/>
    <x v="0"/>
    <m/>
    <m/>
    <m/>
    <m/>
    <m/>
    <m/>
    <m/>
    <m/>
    <m/>
    <m/>
    <m/>
    <m/>
    <m/>
    <m/>
    <m/>
    <m/>
    <m/>
    <m/>
    <m/>
    <m/>
  </r>
  <r>
    <m/>
    <x v="106"/>
    <m/>
    <x v="0"/>
    <s v="Week16"/>
    <x v="3"/>
    <m/>
    <m/>
    <m/>
    <m/>
    <m/>
    <x v="0"/>
    <m/>
    <m/>
    <m/>
    <m/>
    <m/>
    <m/>
    <m/>
    <m/>
    <m/>
    <m/>
    <m/>
    <m/>
    <m/>
    <m/>
    <m/>
    <m/>
    <m/>
    <m/>
    <m/>
    <m/>
  </r>
  <r>
    <m/>
    <x v="107"/>
    <d v="2024-04-22T00:00:00"/>
    <x v="0"/>
    <s v="Week16"/>
    <x v="3"/>
    <s v="DRY240013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96"/>
    <n v="96"/>
    <m/>
    <n v="0"/>
    <n v="0"/>
    <m/>
    <m/>
    <m/>
    <m/>
    <m/>
    <m/>
  </r>
  <r>
    <m/>
    <x v="107"/>
    <d v="2024-04-22T00:00:00"/>
    <x v="0"/>
    <s v="Week16"/>
    <x v="3"/>
    <s v="DRY240013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07"/>
    <d v="2024-04-22T00:00:00"/>
    <x v="0"/>
    <s v="Week16"/>
    <x v="3"/>
    <s v="DRY240013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07"/>
    <d v="2024-04-22T00:00:00"/>
    <x v="0"/>
    <s v="Week16"/>
    <x v="3"/>
    <s v="DRY240013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07"/>
    <d v="2024-04-22T00:00:00"/>
    <x v="0"/>
    <s v="Week16"/>
    <x v="3"/>
    <s v="DRY240013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07"/>
    <d v="2024-04-22T00:00:00"/>
    <x v="0"/>
    <s v="Week16"/>
    <x v="3"/>
    <s v="DRY240013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65"/>
    <n v="365"/>
    <m/>
    <n v="0"/>
    <n v="0"/>
    <m/>
    <m/>
    <m/>
    <m/>
    <m/>
    <m/>
  </r>
  <r>
    <m/>
    <x v="108"/>
    <d v="2024-04-22T00:00:00"/>
    <x v="0"/>
    <s v="Week16"/>
    <x v="3"/>
    <s v="DRY240013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27"/>
    <n v="427"/>
    <m/>
    <n v="0"/>
    <n v="0"/>
    <m/>
    <m/>
    <m/>
    <m/>
    <m/>
    <m/>
  </r>
  <r>
    <m/>
    <x v="108"/>
    <d v="2024-04-22T00:00:00"/>
    <x v="0"/>
    <s v="Week16"/>
    <x v="3"/>
    <s v="DRY240013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08"/>
    <d v="2024-04-22T00:00:00"/>
    <x v="0"/>
    <s v="Week16"/>
    <x v="3"/>
    <s v="DRY240013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08"/>
    <d v="2024-04-22T00:00:00"/>
    <x v="0"/>
    <s v="Week16"/>
    <x v="3"/>
    <s v="DRY240013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62"/>
    <n v="162"/>
    <m/>
    <n v="0"/>
    <n v="0"/>
    <m/>
    <m/>
    <m/>
    <m/>
    <m/>
    <m/>
  </r>
  <r>
    <m/>
    <x v="108"/>
    <d v="2024-04-22T00:00:00"/>
    <x v="0"/>
    <s v="Week16"/>
    <x v="3"/>
    <s v="DRY240013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30"/>
    <n v="630"/>
    <m/>
    <n v="0"/>
    <n v="0"/>
    <m/>
    <m/>
    <m/>
    <m/>
    <m/>
    <m/>
  </r>
  <r>
    <m/>
    <x v="109"/>
    <d v="2024-04-24T00:00:00"/>
    <x v="0"/>
    <s v="Week16"/>
    <x v="3"/>
    <s v="DRY240014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38"/>
    <n v="638"/>
    <m/>
    <n v="0"/>
    <n v="0"/>
    <m/>
    <m/>
    <m/>
    <m/>
    <m/>
    <m/>
  </r>
  <r>
    <m/>
    <x v="109"/>
    <d v="2024-05-01T00:00:00"/>
    <x v="0"/>
    <s v="Week16"/>
    <x v="3"/>
    <s v="ขายภายใน"/>
    <s v="MTFS"/>
    <s v="CPFGS"/>
    <s v="ซีพีเอฟ เทรดดิ้ง"/>
    <s v="E+Wonton TY"/>
    <x v="1"/>
    <s v="Cooked Wonton Tomyum with egg.V-Food TY"/>
    <s v="082S83Q12005P04001"/>
    <s v="115g*12"/>
    <n v="12"/>
    <n v="5"/>
    <n v="8.0000000000000002E-3"/>
    <s v="M"/>
    <s v="STPP"/>
    <s v="TYTB3C 30G"/>
    <n v="865"/>
    <n v="865"/>
    <m/>
    <n v="0"/>
    <n v="0"/>
    <m/>
    <n v="1"/>
    <n v="0"/>
    <m/>
    <m/>
    <m/>
  </r>
  <r>
    <s v="R&amp;D"/>
    <x v="109"/>
    <d v="2024-05-01T00:00:00"/>
    <x v="0"/>
    <s v="Week16"/>
    <x v="3"/>
    <s v="ขายภายใน"/>
    <s v="MTFS"/>
    <s v="CPFGS"/>
    <s v="ซีพีเอฟ เทรดดิ้ง"/>
    <s v="E+Wonton"/>
    <x v="1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m/>
    <m/>
    <m/>
    <m/>
    <m/>
    <m/>
  </r>
  <r>
    <m/>
    <x v="109"/>
    <d v="2024-05-01T00:00:00"/>
    <x v="0"/>
    <s v="Week16"/>
    <x v="3"/>
    <s v="ขายภายใน"/>
    <s v="MTFS"/>
    <s v="CPFGS"/>
    <s v="ซีพีเอฟ เทรดดิ้ง"/>
    <s v="E+Wonton"/>
    <x v="1"/>
    <s v="Cooked Wonton  with egg V-Food"/>
    <s v="082S83Q12005P05001"/>
    <s v="145g*12"/>
    <n v="12"/>
    <n v="5"/>
    <n v="8.0000000000000002E-3"/>
    <s v="M"/>
    <s v="STPP"/>
    <s v="Regular"/>
    <n v="2122"/>
    <n v="2122"/>
    <m/>
    <n v="0"/>
    <n v="0"/>
    <m/>
    <m/>
    <m/>
    <m/>
    <m/>
    <m/>
  </r>
  <r>
    <m/>
    <x v="109"/>
    <d v="2024-05-01T00:00:00"/>
    <x v="0"/>
    <s v="Week16"/>
    <x v="3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2413"/>
    <n v="2413"/>
    <m/>
    <n v="0"/>
    <n v="0"/>
    <m/>
    <m/>
    <m/>
    <m/>
    <m/>
    <m/>
  </r>
  <r>
    <m/>
    <x v="109"/>
    <d v="2024-05-01T00:00:00"/>
    <x v="0"/>
    <s v="Week16"/>
    <x v="3"/>
    <s v="ขายภายใน"/>
    <s v="MTFS"/>
    <s v="CPFGS"/>
    <s v="ซีพีเอฟ เทรดดิ้ง"/>
    <s v="E+Wonton NDE"/>
    <x v="1"/>
    <s v="Cooked Wonton ND with egg V-Food"/>
    <s v="082SJ3Q12003P07001"/>
    <s v="226g*12"/>
    <n v="12"/>
    <n v="3"/>
    <n v="8.0000000000000002E-3"/>
    <s v="M"/>
    <s v="STPP"/>
    <s v="Regular"/>
    <n v="634"/>
    <n v="634"/>
    <m/>
    <n v="0"/>
    <n v="0"/>
    <m/>
    <m/>
    <m/>
    <m/>
    <m/>
    <m/>
  </r>
  <r>
    <m/>
    <x v="110"/>
    <d v="2024-05-01T00:00:00"/>
    <x v="0"/>
    <s v="Week16"/>
    <x v="3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5610"/>
    <n v="5512"/>
    <n v="98.25"/>
    <n v="0.25"/>
    <n v="0"/>
    <m/>
    <m/>
    <m/>
    <m/>
    <m/>
    <m/>
  </r>
  <r>
    <m/>
    <x v="110"/>
    <d v="2024-05-01T00:00:00"/>
    <x v="0"/>
    <s v="Week16"/>
    <x v="3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923"/>
    <n v="923"/>
    <m/>
    <n v="0"/>
    <n v="0"/>
    <m/>
    <n v="1"/>
    <n v="0"/>
    <m/>
    <m/>
    <m/>
  </r>
  <r>
    <m/>
    <x v="111"/>
    <m/>
    <x v="0"/>
    <s v="Week16"/>
    <x v="3"/>
    <m/>
    <m/>
    <m/>
    <m/>
    <m/>
    <x v="0"/>
    <m/>
    <m/>
    <m/>
    <m/>
    <m/>
    <m/>
    <m/>
    <m/>
    <m/>
    <m/>
    <m/>
    <m/>
    <m/>
    <m/>
    <m/>
    <m/>
    <m/>
    <m/>
    <m/>
    <m/>
  </r>
  <r>
    <m/>
    <x v="112"/>
    <d v="2024-04-24T00:00:00"/>
    <x v="0"/>
    <s v="Week17"/>
    <x v="3"/>
    <s v="DRY240014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54"/>
    <n v="154"/>
    <m/>
    <n v="0"/>
    <n v="0"/>
    <m/>
    <m/>
    <m/>
    <m/>
    <m/>
    <m/>
  </r>
  <r>
    <m/>
    <x v="112"/>
    <d v="2024-04-24T00:00:00"/>
    <x v="0"/>
    <s v="Week17"/>
    <x v="3"/>
    <s v="DRY240014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12"/>
    <d v="2024-04-24T00:00:00"/>
    <x v="0"/>
    <s v="Week17"/>
    <x v="3"/>
    <s v="DRY240014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12"/>
    <d v="2024-04-24T00:00:00"/>
    <x v="0"/>
    <s v="Week17"/>
    <x v="3"/>
    <s v="DRY240014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12"/>
    <d v="2024-04-25T00:00:00"/>
    <x v="0"/>
    <s v="Week17"/>
    <x v="3"/>
    <s v="DRY240014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12"/>
    <d v="2024-04-25T00:00:00"/>
    <x v="0"/>
    <s v="Week17"/>
    <x v="3"/>
    <s v="DRY240014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12"/>
    <d v="2024-04-29T00:00:00"/>
    <x v="0"/>
    <s v="Week17"/>
    <x v="3"/>
    <s v="DRY240014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6"/>
    <n v="26"/>
    <m/>
    <n v="0"/>
    <n v="0"/>
    <m/>
    <m/>
    <m/>
    <m/>
    <m/>
    <m/>
  </r>
  <r>
    <s v="R"/>
    <x v="112"/>
    <d v="2024-04-29T00:00:00"/>
    <x v="0"/>
    <s v="Week17"/>
    <x v="3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275"/>
    <n v="275"/>
    <m/>
    <n v="0"/>
    <n v="0"/>
    <n v="0"/>
    <m/>
    <n v="0"/>
    <m/>
    <m/>
    <m/>
  </r>
  <r>
    <s v="R"/>
    <x v="112"/>
    <d v="2024-05-01T00:00:00"/>
    <x v="0"/>
    <s v="Week17"/>
    <x v="3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82"/>
    <n v="82"/>
    <m/>
    <n v="0"/>
    <n v="0"/>
    <n v="0"/>
    <m/>
    <n v="0"/>
    <m/>
    <m/>
    <m/>
  </r>
  <r>
    <s v="R"/>
    <x v="112"/>
    <d v="2024-05-02T00:00:00"/>
    <x v="0"/>
    <s v="Week17"/>
    <x v="3"/>
    <s v="DRY2400193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368"/>
    <n v="351"/>
    <n v="17"/>
    <n v="0"/>
    <n v="0"/>
    <n v="0"/>
    <n v="6"/>
    <n v="0"/>
    <m/>
    <m/>
    <m/>
  </r>
  <r>
    <m/>
    <x v="113"/>
    <d v="2024-04-29T00:00:00"/>
    <x v="0"/>
    <s v="Week17"/>
    <x v="3"/>
    <s v="DRY2400107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m/>
    <m/>
    <m/>
    <m/>
    <m/>
    <m/>
  </r>
  <r>
    <m/>
    <x v="113"/>
    <d v="2024-05-27T00:00:00"/>
    <x v="0"/>
    <s v="Week17"/>
    <x v="3"/>
    <s v="DRY2400304"/>
    <s v="BRUNEI"/>
    <s v="CPFNW"/>
    <s v="Ben Foods"/>
    <s v="Wonton"/>
    <x v="1"/>
    <s v="Cooked Wonton No Egg"/>
    <s v="082S8C324005P01001"/>
    <s v="145g*24"/>
    <n v="24"/>
    <n v="5"/>
    <n v="8.0000000000000002E-3"/>
    <s v="M"/>
    <s v="STPP"/>
    <s v="Regular"/>
    <n v="150"/>
    <n v="150"/>
    <m/>
    <n v="0"/>
    <n v="0"/>
    <m/>
    <m/>
    <m/>
    <m/>
    <m/>
    <m/>
  </r>
  <r>
    <m/>
    <x v="113"/>
    <d v="2024-05-02T00:00:00"/>
    <x v="0"/>
    <s v="Week17"/>
    <x v="3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2031"/>
    <n v="2031"/>
    <m/>
    <n v="0"/>
    <n v="0"/>
    <m/>
    <m/>
    <m/>
    <s v="NEWPACKAGE"/>
    <m/>
    <m/>
  </r>
  <r>
    <m/>
    <x v="113"/>
    <d v="2024-04-27T00:00:00"/>
    <x v="0"/>
    <s v="Week17"/>
    <x v="3"/>
    <s v="KL2400015"/>
    <s v="China"/>
    <s v="China"/>
    <s v="Charoen Pokphand Import&amp;Export Trading (Shanghai) Co., Ltd"/>
    <s v="Wonton+TY"/>
    <x v="1"/>
    <s v="Wonton Soup  (Enriched wonton sheet)"/>
    <s v="082S85J36005P00001"/>
    <s v="147g*6c*6in"/>
    <n v="36"/>
    <n v="5"/>
    <n v="7.4999999999999997E-3"/>
    <s v="M"/>
    <s v="Salt"/>
    <s v="TYEX+CO"/>
    <n v="145"/>
    <n v="145"/>
    <m/>
    <n v="0"/>
    <n v="0"/>
    <m/>
    <m/>
    <m/>
    <s v="ผลิตสวม code เป็น 22/04/24 เพื่อไป Air"/>
    <m/>
    <m/>
  </r>
  <r>
    <m/>
    <x v="113"/>
    <d v="2024-04-27T00:00:00"/>
    <x v="0"/>
    <s v="Week17"/>
    <x v="3"/>
    <s v="KL2400014"/>
    <s v="China"/>
    <s v="China"/>
    <s v="Charoen Pokphand Import&amp;Export Trading (Shanghai) Co., Ltd"/>
    <s v="Wonton+TY"/>
    <x v="1"/>
    <s v="Wonton Soup  (Enriched wonton sheet)"/>
    <s v="082S85J36005P00001"/>
    <s v="147g*6c*6in"/>
    <n v="36"/>
    <n v="5"/>
    <n v="7.4999999999999997E-3"/>
    <s v="M"/>
    <s v="Salt"/>
    <s v="TYEX+CO"/>
    <n v="390"/>
    <n v="390"/>
    <m/>
    <n v="0"/>
    <n v="0"/>
    <m/>
    <m/>
    <m/>
    <m/>
    <m/>
    <m/>
  </r>
  <r>
    <s v="R"/>
    <x v="113"/>
    <d v="2024-05-02T00:00:00"/>
    <x v="0"/>
    <s v="Week17"/>
    <x v="3"/>
    <s v="DRY2400193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510"/>
    <n v="510"/>
    <m/>
    <n v="0"/>
    <n v="0"/>
    <n v="0"/>
    <n v="6"/>
    <n v="0"/>
    <m/>
    <m/>
    <m/>
  </r>
  <r>
    <m/>
    <x v="114"/>
    <d v="2024-05-08T00:00:00"/>
    <x v="0"/>
    <s v="Week17"/>
    <x v="3"/>
    <s v="DRY2400110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  <s v="ใช้ package ที่เป็น หมึกพิมพ์ใหม่"/>
    <m/>
    <m/>
  </r>
  <r>
    <m/>
    <x v="114"/>
    <d v="2024-05-08T00:00:00"/>
    <x v="0"/>
    <s v="Week17"/>
    <x v="3"/>
    <s v="DRY2400111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  <s v="ใช้ package ที่เป็น หมึกพิมพ์ใหม่"/>
    <m/>
    <m/>
  </r>
  <r>
    <m/>
    <x v="114"/>
    <d v="2024-05-02T00:00:00"/>
    <x v="0"/>
    <s v="Week17"/>
    <x v="3"/>
    <s v="DRY2400187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s v="NEWPACKAGE"/>
    <m/>
    <m/>
  </r>
  <r>
    <m/>
    <x v="114"/>
    <d v="2024-05-08T00:00:00"/>
    <x v="0"/>
    <s v="Week17"/>
    <x v="3"/>
    <s v="DRY2400226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222"/>
    <n v="222"/>
    <m/>
    <n v="0"/>
    <n v="0"/>
    <m/>
    <m/>
    <m/>
    <s v="NEWPACKAGE"/>
    <m/>
    <m/>
  </r>
  <r>
    <m/>
    <x v="114"/>
    <d v="2024-05-08T00:00:00"/>
    <x v="0"/>
    <s v="Week17"/>
    <x v="3"/>
    <s v="DRY2400203"/>
    <s v="SG"/>
    <s v="CPFNW"/>
    <s v="CPI SINGAPORE"/>
    <s v="Wonton"/>
    <x v="1"/>
    <s v="Cooked Wonton No Egg"/>
    <s v="082S83B24005P07001"/>
    <s v="145g*24"/>
    <n v="24"/>
    <n v="5"/>
    <n v="8.0000000000000002E-3"/>
    <s v="M"/>
    <s v="STPP"/>
    <s v="Regular"/>
    <n v="250"/>
    <n v="250"/>
    <m/>
    <n v="0"/>
    <n v="0"/>
    <m/>
    <m/>
    <m/>
    <m/>
    <m/>
    <m/>
  </r>
  <r>
    <s v="R"/>
    <x v="114"/>
    <d v="2024-05-02T00:00:00"/>
    <x v="0"/>
    <s v="Week17"/>
    <x v="3"/>
    <s v="DRY2400193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513"/>
    <n v="513"/>
    <m/>
    <n v="0"/>
    <n v="0"/>
    <n v="0"/>
    <n v="6"/>
    <n v="0"/>
    <m/>
    <m/>
    <m/>
  </r>
  <r>
    <m/>
    <x v="115"/>
    <d v="2024-05-27T00:00:00"/>
    <x v="0"/>
    <s v="Week17"/>
    <x v="3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2236"/>
    <n v="2236"/>
    <m/>
    <n v="0"/>
    <n v="0"/>
    <m/>
    <m/>
    <m/>
    <m/>
    <m/>
    <m/>
  </r>
  <r>
    <s v="FIX 25/4"/>
    <x v="115"/>
    <d v="2024-04-29T00:00:00"/>
    <x v="0"/>
    <s v="Week17"/>
    <x v="3"/>
    <s v="ขายภายใน"/>
    <s v=".7-11"/>
    <s v="CPFGS"/>
    <s v="ซีพีเอฟ เทรดดิ้ง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289"/>
    <n v="289"/>
    <m/>
    <n v="0"/>
    <n v="0"/>
    <m/>
    <m/>
    <m/>
    <m/>
    <m/>
    <m/>
  </r>
  <r>
    <s v="FIX 25/4"/>
    <x v="115"/>
    <d v="2024-05-01T00:00:00"/>
    <x v="0"/>
    <s v="Week17"/>
    <x v="3"/>
    <s v="ขายภายใน"/>
    <s v=".7-11"/>
    <s v="CPFGS"/>
    <s v="ซีพีเอฟ เทรดดิ้ง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2979"/>
    <n v="2979"/>
    <m/>
    <n v="0"/>
    <n v="0"/>
    <m/>
    <m/>
    <m/>
    <m/>
    <m/>
    <m/>
  </r>
  <r>
    <m/>
    <x v="115"/>
    <d v="2024-04-29T00:00:00"/>
    <x v="0"/>
    <s v="Week17"/>
    <x v="3"/>
    <s v="ขายภายใน"/>
    <s v="MTFS"/>
    <s v="CPFGS"/>
    <s v="ซีพีเอฟ เทรดดิ้ง"/>
    <s v="E+Wonton+หมาล่า"/>
    <x v="1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228"/>
    <n v="228"/>
    <m/>
    <n v="0"/>
    <n v="0"/>
    <m/>
    <m/>
    <m/>
    <m/>
    <m/>
    <m/>
  </r>
  <r>
    <s v="R"/>
    <x v="115"/>
    <d v="2024-05-02T00:00:00"/>
    <x v="0"/>
    <s v="Week17"/>
    <x v="3"/>
    <s v="DRY2400193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466"/>
    <n v="466"/>
    <m/>
    <n v="0"/>
    <n v="0"/>
    <n v="0"/>
    <n v="6"/>
    <n v="0"/>
    <m/>
    <m/>
    <m/>
  </r>
  <r>
    <m/>
    <x v="116"/>
    <d v="2024-04-29T00:00:00"/>
    <x v="0"/>
    <s v="Week17"/>
    <x v="3"/>
    <s v="DRY240014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66"/>
    <n v="766"/>
    <m/>
    <n v="0"/>
    <n v="0"/>
    <m/>
    <m/>
    <m/>
    <m/>
    <m/>
    <m/>
  </r>
  <r>
    <m/>
    <x v="116"/>
    <d v="2024-04-29T00:00:00"/>
    <x v="0"/>
    <s v="Week17"/>
    <x v="3"/>
    <s v="DRY240014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16"/>
    <d v="2024-04-29T00:00:00"/>
    <x v="0"/>
    <s v="Week17"/>
    <x v="3"/>
    <s v="DRY240014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16"/>
    <d v="2024-04-29T00:00:00"/>
    <x v="0"/>
    <s v="Week17"/>
    <x v="3"/>
    <s v="DRY240014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16"/>
    <d v="2024-04-29T00:00:00"/>
    <x v="0"/>
    <s v="Week17"/>
    <x v="3"/>
    <s v="DRY240015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63"/>
    <n v="663"/>
    <m/>
    <n v="0"/>
    <n v="0"/>
    <m/>
    <m/>
    <m/>
    <m/>
    <m/>
    <m/>
  </r>
  <r>
    <s v="R"/>
    <x v="116"/>
    <d v="2024-05-02T00:00:00"/>
    <x v="0"/>
    <s v="Week17"/>
    <x v="3"/>
    <s v="DRY2400193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199"/>
    <n v="199"/>
    <m/>
    <n v="0"/>
    <n v="0"/>
    <n v="0"/>
    <n v="6"/>
    <n v="0"/>
    <m/>
    <m/>
    <m/>
  </r>
  <r>
    <s v="R"/>
    <x v="116"/>
    <d v="2024-05-02T00:00:00"/>
    <x v="0"/>
    <s v="Week17"/>
    <x v="3"/>
    <s v="DRY2400202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330"/>
    <n v="330"/>
    <m/>
    <n v="0"/>
    <n v="0"/>
    <n v="0"/>
    <n v="2"/>
    <n v="0"/>
    <s v="ห่อแบบสุก"/>
    <m/>
    <m/>
  </r>
  <r>
    <s v="R"/>
    <x v="116"/>
    <d v="2024-05-08T00:00:00"/>
    <x v="0"/>
    <s v="Week17"/>
    <x v="3"/>
    <s v="DRY2400207"/>
    <s v="SG"/>
    <s v="CPFNW"/>
    <s v="CPI SINGAPORE"/>
    <s v="R-Minced egg past"/>
    <x v="2"/>
    <s v="Raw Minced Wonton 8 pcs"/>
    <s v="082ID3B18008P00001"/>
    <s v="90g*18in"/>
    <n v="18"/>
    <n v="8"/>
    <n v="5.0000000000000001E-3"/>
    <s v="BK"/>
    <s v="STPP"/>
    <s v="ซุปซอง 5g."/>
    <n v="300"/>
    <n v="300"/>
    <m/>
    <n v="0"/>
    <n v="0"/>
    <n v="0"/>
    <n v="2"/>
    <n v="0"/>
    <m/>
    <m/>
    <m/>
  </r>
  <r>
    <m/>
    <x v="117"/>
    <d v="2024-04-29T00:00:00"/>
    <x v="0"/>
    <s v="Week17"/>
    <x v="3"/>
    <s v="DRY240015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29"/>
    <n v="129"/>
    <m/>
    <n v="0"/>
    <n v="0"/>
    <m/>
    <m/>
    <m/>
    <m/>
    <m/>
    <m/>
  </r>
  <r>
    <m/>
    <x v="117"/>
    <d v="2024-04-29T00:00:00"/>
    <x v="0"/>
    <s v="Week17"/>
    <x v="3"/>
    <s v="DRY240015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17"/>
    <d v="2024-05-03T00:00:00"/>
    <x v="0"/>
    <s v="Week17"/>
    <x v="3"/>
    <s v="DRY240015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17"/>
    <d v="2024-05-03T00:00:00"/>
    <x v="0"/>
    <s v="Week17"/>
    <x v="3"/>
    <s v="DRY240015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17"/>
    <d v="2024-05-03T00:00:00"/>
    <x v="0"/>
    <s v="Week17"/>
    <x v="3"/>
    <s v="DRY240015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7"/>
    <n v="17"/>
    <m/>
    <n v="0"/>
    <n v="0"/>
    <m/>
    <m/>
    <m/>
    <m/>
    <m/>
    <m/>
  </r>
  <r>
    <m/>
    <x v="117"/>
    <d v="2024-05-07T00:00:00"/>
    <x v="0"/>
    <s v="Week17"/>
    <x v="3"/>
    <s v="DRY2400230"/>
    <s v="UK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n v="924"/>
    <m/>
    <n v="0"/>
    <n v="0"/>
    <m/>
    <m/>
    <m/>
    <m/>
    <m/>
    <m/>
  </r>
  <r>
    <m/>
    <x v="117"/>
    <d v="2024-05-07T00:00:00"/>
    <x v="0"/>
    <s v="Week17"/>
    <x v="3"/>
    <s v="DRY2400231"/>
    <s v="UK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n v="924"/>
    <m/>
    <n v="0"/>
    <n v="0"/>
    <m/>
    <m/>
    <m/>
    <m/>
    <m/>
    <m/>
  </r>
  <r>
    <m/>
    <x v="117"/>
    <d v="2024-05-07T00:00:00"/>
    <x v="0"/>
    <s v="Week17"/>
    <x v="3"/>
    <s v="DRY2400232"/>
    <s v="UK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n v="924"/>
    <m/>
    <n v="0"/>
    <n v="0"/>
    <m/>
    <m/>
    <m/>
    <m/>
    <m/>
    <m/>
  </r>
  <r>
    <s v="R"/>
    <x v="117"/>
    <d v="2024-05-02T00:00:00"/>
    <x v="0"/>
    <s v="Week17"/>
    <x v="3"/>
    <s v="DRY2400202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870"/>
    <n v="870"/>
    <m/>
    <n v="0"/>
    <n v="0"/>
    <n v="0"/>
    <n v="2"/>
    <n v="0"/>
    <s v="ห่อแบบสุก"/>
    <m/>
    <m/>
  </r>
  <r>
    <m/>
    <x v="118"/>
    <m/>
    <x v="0"/>
    <s v="Week17"/>
    <x v="3"/>
    <m/>
    <m/>
    <m/>
    <m/>
    <m/>
    <x v="0"/>
    <m/>
    <m/>
    <m/>
    <m/>
    <m/>
    <m/>
    <m/>
    <m/>
    <m/>
    <m/>
    <m/>
    <m/>
    <m/>
    <m/>
    <m/>
    <m/>
    <m/>
    <m/>
    <m/>
    <m/>
  </r>
  <r>
    <m/>
    <x v="119"/>
    <d v="2024-05-03T00:00:00"/>
    <x v="0"/>
    <s v="Week18"/>
    <x v="3"/>
    <s v="DRY240015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75"/>
    <n v="775"/>
    <m/>
    <n v="0"/>
    <n v="0"/>
    <m/>
    <m/>
    <m/>
    <m/>
    <m/>
    <m/>
  </r>
  <r>
    <m/>
    <x v="119"/>
    <d v="2024-05-03T00:00:00"/>
    <x v="0"/>
    <s v="Week18"/>
    <x v="3"/>
    <s v="DRY240015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19"/>
    <d v="2024-05-03T00:00:00"/>
    <x v="0"/>
    <s v="Week18"/>
    <x v="3"/>
    <s v="DRY240015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19"/>
    <d v="2024-05-06T00:00:00"/>
    <x v="0"/>
    <s v="Week18"/>
    <x v="3"/>
    <s v="DRY240015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19"/>
    <d v="2024-05-06T00:00:00"/>
    <x v="0"/>
    <s v="Week18"/>
    <x v="3"/>
    <s v="DRY240016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23"/>
    <n v="198"/>
    <n v="225"/>
    <n v="0"/>
    <n v="0"/>
    <m/>
    <m/>
    <m/>
    <m/>
    <m/>
    <m/>
  </r>
  <r>
    <s v="R"/>
    <x v="119"/>
    <d v="2024-06-04T00:00:00"/>
    <x v="0"/>
    <s v="Week18"/>
    <x v="3"/>
    <s v="DRY2400194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558"/>
    <n v="558"/>
    <m/>
    <n v="0"/>
    <n v="0"/>
    <n v="0"/>
    <n v="6"/>
    <n v="0"/>
    <m/>
    <m/>
    <m/>
  </r>
  <r>
    <m/>
    <x v="120"/>
    <d v="2024-05-22T00:00:00"/>
    <x v="0"/>
    <s v="Week18"/>
    <x v="3"/>
    <s v="DRY2400112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004"/>
    <n v="284"/>
    <n v="0"/>
    <n v="0"/>
    <m/>
    <m/>
    <m/>
    <s v="ใช้ package ที่เป็น หมึกพิมพ์ใหม่"/>
    <m/>
    <m/>
  </r>
  <r>
    <m/>
    <x v="120"/>
    <d v="2024-05-13T00:00:00"/>
    <x v="0"/>
    <s v="Week18"/>
    <x v="3"/>
    <s v="DRY2400296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120"/>
    <d v="2024-05-06T00:00:00"/>
    <x v="0"/>
    <s v="Week18"/>
    <x v="3"/>
    <s v="DRY240016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69"/>
    <n v="369"/>
    <m/>
    <n v="0"/>
    <n v="0"/>
    <m/>
    <m/>
    <m/>
    <m/>
    <m/>
    <m/>
  </r>
  <r>
    <m/>
    <x v="120"/>
    <d v="2024-05-06T00:00:00"/>
    <x v="0"/>
    <s v="Week18"/>
    <x v="3"/>
    <s v="DRY240016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20"/>
    <d v="2024-05-06T00:00:00"/>
    <x v="0"/>
    <s v="Week18"/>
    <x v="3"/>
    <s v="DRY240016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11"/>
    <n v="511"/>
    <m/>
    <n v="0"/>
    <n v="0"/>
    <m/>
    <m/>
    <m/>
    <m/>
    <m/>
    <m/>
  </r>
  <r>
    <s v="R"/>
    <x v="120"/>
    <d v="2024-06-04T00:00:00"/>
    <x v="0"/>
    <s v="Week18"/>
    <x v="3"/>
    <s v="DRY2400194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580"/>
    <n v="580"/>
    <m/>
    <n v="0"/>
    <n v="0"/>
    <n v="0"/>
    <n v="6"/>
    <n v="0"/>
    <m/>
    <m/>
    <m/>
  </r>
  <r>
    <m/>
    <x v="121"/>
    <m/>
    <x v="0"/>
    <s v="Week18"/>
    <x v="4"/>
    <m/>
    <m/>
    <m/>
    <m/>
    <m/>
    <x v="0"/>
    <m/>
    <m/>
    <m/>
    <m/>
    <m/>
    <m/>
    <m/>
    <m/>
    <m/>
    <m/>
    <m/>
    <m/>
    <m/>
    <m/>
    <m/>
    <m/>
    <m/>
    <m/>
    <m/>
    <m/>
  </r>
  <r>
    <m/>
    <x v="122"/>
    <d v="2024-05-20T00:00:00"/>
    <x v="0"/>
    <s v="Week18"/>
    <x v="4"/>
    <s v="DRY2400259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1400"/>
    <m/>
    <n v="1400"/>
    <n v="0"/>
    <n v="0"/>
    <m/>
    <m/>
    <m/>
    <m/>
    <m/>
    <m/>
  </r>
  <r>
    <m/>
    <x v="122"/>
    <d v="2024-05-06T00:00:00"/>
    <x v="0"/>
    <s v="Week18"/>
    <x v="4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2214"/>
    <n v="2214"/>
    <m/>
    <n v="0"/>
    <n v="0"/>
    <m/>
    <m/>
    <m/>
    <s v="NEWPACKAGE"/>
    <m/>
    <m/>
  </r>
  <r>
    <m/>
    <x v="122"/>
    <d v="2024-05-08T00:00:00"/>
    <x v="0"/>
    <s v="Week18"/>
    <x v="4"/>
    <s v="DRY2400226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066"/>
    <n v="1066"/>
    <m/>
    <n v="0"/>
    <n v="0"/>
    <m/>
    <m/>
    <m/>
    <s v="NEWPACKAGE"/>
    <m/>
    <m/>
  </r>
  <r>
    <m/>
    <x v="122"/>
    <d v="2024-05-06T00:00:00"/>
    <x v="0"/>
    <s v="Week18"/>
    <x v="4"/>
    <s v="DRY240016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81"/>
    <n v="281"/>
    <m/>
    <n v="0"/>
    <n v="0"/>
    <m/>
    <m/>
    <m/>
    <m/>
    <m/>
    <m/>
  </r>
  <r>
    <m/>
    <x v="122"/>
    <d v="2024-05-07T00:00:00"/>
    <x v="0"/>
    <s v="Week18"/>
    <x v="4"/>
    <s v="DRY240016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22"/>
    <d v="2024-05-11T00:00:00"/>
    <x v="0"/>
    <s v="Week18"/>
    <x v="4"/>
    <s v="DRY240016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55"/>
    <n v="155"/>
    <m/>
    <n v="0"/>
    <n v="0"/>
    <m/>
    <m/>
    <m/>
    <m/>
    <m/>
    <m/>
  </r>
  <r>
    <s v="R"/>
    <x v="122"/>
    <d v="2024-06-04T00:00:00"/>
    <x v="0"/>
    <s v="Week18"/>
    <x v="4"/>
    <s v="DRY2400194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540"/>
    <n v="540"/>
    <m/>
    <n v="0"/>
    <n v="0"/>
    <n v="0"/>
    <n v="6"/>
    <n v="0"/>
    <m/>
    <m/>
    <m/>
  </r>
  <r>
    <m/>
    <x v="123"/>
    <d v="2024-05-16T00:00:00"/>
    <x v="0"/>
    <s v="Week18"/>
    <x v="4"/>
    <s v="DRY2400307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m/>
    <m/>
    <m/>
    <s v="NEWPACKAGE"/>
    <m/>
    <m/>
  </r>
  <r>
    <m/>
    <x v="123"/>
    <d v="2024-05-13T00:00:00"/>
    <x v="0"/>
    <s v="Week18"/>
    <x v="4"/>
    <s v="DRY2400300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2400"/>
    <m/>
    <n v="2400"/>
    <n v="0"/>
    <n v="0"/>
    <m/>
    <m/>
    <m/>
    <m/>
    <m/>
    <m/>
  </r>
  <r>
    <m/>
    <x v="123"/>
    <d v="2024-05-06T00:00:00"/>
    <x v="0"/>
    <s v="Week18"/>
    <x v="4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1103"/>
    <n v="1103"/>
    <m/>
    <n v="0"/>
    <n v="0"/>
    <m/>
    <m/>
    <m/>
    <s v="NEWPACKAGE"/>
    <m/>
    <m/>
  </r>
  <r>
    <m/>
    <x v="123"/>
    <d v="2024-05-08T00:00:00"/>
    <x v="0"/>
    <s v="Week18"/>
    <x v="4"/>
    <s v="DRY2400204"/>
    <s v="SG"/>
    <s v="CPFNW"/>
    <s v="CPI SINGAPORE"/>
    <s v="Wonton +TY"/>
    <x v="1"/>
    <s v="Cooked Wonton No Egg"/>
    <s v="082S83B24005P06001"/>
    <s v="115g*24"/>
    <n v="24"/>
    <n v="5"/>
    <n v="8.0000000000000002E-3"/>
    <s v="M"/>
    <s v="STPP"/>
    <s v="TYTB3C 30G"/>
    <n v="500"/>
    <n v="500"/>
    <m/>
    <n v="0"/>
    <n v="0"/>
    <m/>
    <n v="1"/>
    <n v="0"/>
    <m/>
    <m/>
    <m/>
  </r>
  <r>
    <m/>
    <x v="123"/>
    <d v="2024-05-20T00:00:00"/>
    <x v="0"/>
    <s v="Week18"/>
    <x v="4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2068"/>
    <n v="2068"/>
    <m/>
    <n v="0"/>
    <n v="0"/>
    <m/>
    <m/>
    <m/>
    <m/>
    <m/>
    <m/>
  </r>
  <r>
    <m/>
    <x v="123"/>
    <d v="2024-05-13T00:00:00"/>
    <x v="0"/>
    <s v="Week18"/>
    <x v="4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929"/>
    <n v="929"/>
    <m/>
    <n v="0"/>
    <n v="0"/>
    <m/>
    <m/>
    <m/>
    <m/>
    <m/>
    <m/>
  </r>
  <r>
    <s v="R"/>
    <x v="123"/>
    <d v="2024-06-04T00:00:00"/>
    <x v="0"/>
    <s v="Week18"/>
    <x v="4"/>
    <s v="DRY2400194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378"/>
    <n v="378"/>
    <n v="12"/>
    <n v="12"/>
    <n v="0"/>
    <n v="0"/>
    <n v="6"/>
    <n v="0"/>
    <m/>
    <m/>
    <m/>
  </r>
  <r>
    <m/>
    <x v="124"/>
    <d v="2024-05-08T00:00:00"/>
    <x v="0"/>
    <s v="Week18"/>
    <x v="4"/>
    <s v="DRY2400205"/>
    <s v="SG"/>
    <s v="CPFNW"/>
    <s v="CPI SINGAPORE"/>
    <s v="Wonton ND+V"/>
    <x v="1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500"/>
    <n v="500"/>
    <m/>
    <n v="0"/>
    <n v="0"/>
    <m/>
    <m/>
    <m/>
    <m/>
    <m/>
    <m/>
  </r>
  <r>
    <m/>
    <x v="124"/>
    <d v="2024-05-16T00:00:00"/>
    <x v="0"/>
    <s v="Week18"/>
    <x v="4"/>
    <s v="DRY2400297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124"/>
    <d v="2024-05-14T00:00:00"/>
    <x v="0"/>
    <s v="Week18"/>
    <x v="4"/>
    <s v="DRY2400233"/>
    <s v="UK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n v="924"/>
    <m/>
    <n v="0"/>
    <n v="0"/>
    <m/>
    <m/>
    <m/>
    <m/>
    <m/>
    <m/>
  </r>
  <r>
    <m/>
    <x v="124"/>
    <d v="2024-05-14T00:00:00"/>
    <x v="0"/>
    <s v="Week18"/>
    <x v="4"/>
    <s v="DRY2400234"/>
    <s v="UK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n v="924"/>
    <m/>
    <n v="0"/>
    <n v="0"/>
    <m/>
    <m/>
    <m/>
    <s v="NEWPACKAGE"/>
    <m/>
    <m/>
  </r>
  <r>
    <m/>
    <x v="124"/>
    <d v="2024-05-14T00:00:00"/>
    <x v="0"/>
    <s v="Week18"/>
    <x v="4"/>
    <s v="DRY2400235"/>
    <s v="UK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n v="924"/>
    <m/>
    <n v="0"/>
    <n v="0"/>
    <m/>
    <m/>
    <m/>
    <s v="NEWPACKAGE"/>
    <m/>
    <m/>
  </r>
  <r>
    <m/>
    <x v="124"/>
    <d v="2024-05-14T00:00:00"/>
    <x v="0"/>
    <s v="Week18"/>
    <x v="4"/>
    <s v="DRY2400236"/>
    <s v="UK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n v="924"/>
    <m/>
    <n v="0"/>
    <n v="0"/>
    <m/>
    <m/>
    <m/>
    <s v="NEWPACKAGE"/>
    <m/>
    <m/>
  </r>
  <r>
    <m/>
    <x v="124"/>
    <d v="2024-05-22T00:00:00"/>
    <x v="0"/>
    <s v="Week18"/>
    <x v="4"/>
    <s v="DRY2400237"/>
    <s v="Netherlands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+CO"/>
    <n v="409"/>
    <n v="409"/>
    <m/>
    <n v="0"/>
    <n v="0"/>
    <m/>
    <m/>
    <m/>
    <s v="NEWPACKAGE"/>
    <m/>
    <m/>
  </r>
  <r>
    <s v="R"/>
    <x v="124"/>
    <d v="2024-05-08T00:00:00"/>
    <x v="0"/>
    <s v="Week18"/>
    <x v="4"/>
    <s v="DRY2400206"/>
    <s v="SG"/>
    <s v="CPFNW"/>
    <s v="CPI SINGAPORE"/>
    <s v="R-Wonton egg past"/>
    <x v="2"/>
    <s v="Raw Wonton 8 pcs"/>
    <s v="082I93B20008P00001"/>
    <s v="194g*20in"/>
    <n v="20"/>
    <n v="8"/>
    <n v="1.4999999999999999E-2"/>
    <s v="JB"/>
    <s v="STPP"/>
    <s v="ซุปซอง 5g."/>
    <n v="500"/>
    <n v="500"/>
    <m/>
    <n v="0"/>
    <n v="0"/>
    <n v="0"/>
    <n v="2"/>
    <n v="0"/>
    <s v="ห่อแบบดิบ"/>
    <m/>
    <m/>
  </r>
  <r>
    <s v="R"/>
    <x v="124"/>
    <d v="2024-05-08T00:00:00"/>
    <x v="0"/>
    <s v="Week18"/>
    <x v="4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543"/>
    <n v="543"/>
    <m/>
    <n v="0"/>
    <n v="0"/>
    <n v="0"/>
    <m/>
    <n v="0"/>
    <m/>
    <m/>
    <m/>
  </r>
  <r>
    <m/>
    <x v="125"/>
    <m/>
    <x v="0"/>
    <s v="Week18"/>
    <x v="4"/>
    <m/>
    <m/>
    <m/>
    <m/>
    <m/>
    <x v="0"/>
    <m/>
    <m/>
    <m/>
    <m/>
    <m/>
    <m/>
    <m/>
    <m/>
    <m/>
    <m/>
    <m/>
    <m/>
    <m/>
    <m/>
    <m/>
    <m/>
    <m/>
    <m/>
    <m/>
    <m/>
  </r>
  <r>
    <m/>
    <x v="126"/>
    <d v="2024-05-11T00:00:00"/>
    <x v="0"/>
    <s v="Week19"/>
    <x v="4"/>
    <s v="DRY240016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37"/>
    <n v="637"/>
    <m/>
    <n v="0"/>
    <n v="0"/>
    <m/>
    <m/>
    <m/>
    <m/>
    <m/>
    <m/>
  </r>
  <r>
    <m/>
    <x v="126"/>
    <d v="2024-05-11T00:00:00"/>
    <x v="0"/>
    <s v="Week19"/>
    <x v="4"/>
    <s v="DRY240016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26"/>
    <d v="2024-05-11T00:00:00"/>
    <x v="0"/>
    <s v="Week19"/>
    <x v="4"/>
    <s v="DRY240016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26"/>
    <d v="2024-05-11T00:00:00"/>
    <x v="0"/>
    <s v="Week19"/>
    <x v="4"/>
    <s v="DRY240016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26"/>
    <d v="2024-05-11T00:00:00"/>
    <x v="0"/>
    <s v="Week19"/>
    <x v="4"/>
    <s v="DRY240016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26"/>
    <d v="2024-05-11T00:00:00"/>
    <x v="0"/>
    <s v="Week19"/>
    <x v="4"/>
    <s v="DRY240016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39"/>
    <n v="439"/>
    <m/>
    <n v="0"/>
    <n v="0"/>
    <m/>
    <m/>
    <m/>
    <m/>
    <m/>
    <m/>
  </r>
  <r>
    <m/>
    <x v="127"/>
    <d v="2024-05-11T00:00:00"/>
    <x v="0"/>
    <s v="Week19"/>
    <x v="4"/>
    <s v="DRY240016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53"/>
    <n v="353"/>
    <m/>
    <n v="0"/>
    <n v="0"/>
    <m/>
    <m/>
    <m/>
    <m/>
    <m/>
    <m/>
  </r>
  <r>
    <m/>
    <x v="127"/>
    <d v="2024-05-13T00:00:00"/>
    <x v="0"/>
    <s v="Week19"/>
    <x v="4"/>
    <s v="DRY240017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27"/>
    <d v="2024-05-13T00:00:00"/>
    <x v="0"/>
    <s v="Week19"/>
    <x v="4"/>
    <s v="DRY240017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27"/>
    <d v="2024-05-13T00:00:00"/>
    <x v="0"/>
    <s v="Week19"/>
    <x v="4"/>
    <s v="DRY240017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14"/>
    <n v="114"/>
    <m/>
    <n v="0"/>
    <n v="0"/>
    <m/>
    <m/>
    <m/>
    <m/>
    <m/>
    <m/>
  </r>
  <r>
    <m/>
    <x v="127"/>
    <d v="2024-05-10T00:00:00"/>
    <x v="0"/>
    <s v="Week19"/>
    <x v="4"/>
    <s v="ขายภายใน"/>
    <s v=".7-11"/>
    <s v="CPFGS"/>
    <s v="ซีพีเอฟ เทรดดิ้ง"/>
    <s v="Wonton ND+V+TY"/>
    <x v="1"/>
    <s v="Cooked Wonton ND+ Vegetable  SS  3 pcs"/>
    <s v="082SJ1A12003P02001"/>
    <s v="211g*12"/>
    <n v="12"/>
    <n v="3"/>
    <n v="6.1999999999999998E-3"/>
    <s v="SS"/>
    <s v="STPP"/>
    <s v="TYNSF"/>
    <n v="6000"/>
    <n v="6000"/>
    <m/>
    <n v="0"/>
    <n v="0"/>
    <m/>
    <m/>
    <m/>
    <m/>
    <m/>
    <m/>
  </r>
  <r>
    <m/>
    <x v="128"/>
    <d v="2024-05-13T00:00:00"/>
    <x v="0"/>
    <s v="Week19"/>
    <x v="4"/>
    <s v="DRY240017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78"/>
    <n v="678"/>
    <m/>
    <n v="0"/>
    <n v="0"/>
    <m/>
    <m/>
    <m/>
    <m/>
    <m/>
    <m/>
  </r>
  <r>
    <m/>
    <x v="128"/>
    <d v="2024-05-13T00:00:00"/>
    <x v="0"/>
    <s v="Week19"/>
    <x v="4"/>
    <s v="DRY240017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28"/>
    <d v="2024-05-20T00:00:00"/>
    <x v="0"/>
    <s v="Week19"/>
    <x v="4"/>
    <s v="DRY240017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28"/>
    <d v="2024-05-20T00:00:00"/>
    <x v="0"/>
    <s v="Week19"/>
    <x v="4"/>
    <s v="DRY240017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28"/>
    <d v="2024-05-20T00:00:00"/>
    <x v="0"/>
    <s v="Week19"/>
    <x v="4"/>
    <s v="DRY240017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28"/>
    <d v="2024-05-20T00:00:00"/>
    <x v="0"/>
    <s v="Week19"/>
    <x v="4"/>
    <s v="DRY240017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7"/>
    <n v="77"/>
    <m/>
    <n v="0"/>
    <n v="0"/>
    <m/>
    <m/>
    <m/>
    <m/>
    <m/>
    <m/>
  </r>
  <r>
    <m/>
    <x v="129"/>
    <d v="2024-05-20T00:00:00"/>
    <x v="0"/>
    <s v="Week19"/>
    <x v="4"/>
    <s v="DRY240017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15"/>
    <n v="715"/>
    <m/>
    <n v="0"/>
    <n v="0"/>
    <m/>
    <m/>
    <m/>
    <m/>
    <m/>
    <m/>
  </r>
  <r>
    <m/>
    <x v="129"/>
    <d v="2024-05-20T00:00:00"/>
    <x v="0"/>
    <s v="Week19"/>
    <x v="4"/>
    <s v="DRY240017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29"/>
    <d v="2024-05-21T00:00:00"/>
    <x v="0"/>
    <s v="Week19"/>
    <x v="4"/>
    <s v="DRY240023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29"/>
    <d v="2024-05-21T00:00:00"/>
    <x v="0"/>
    <s v="Week19"/>
    <x v="4"/>
    <s v="DRY240023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29"/>
    <d v="2024-05-21T00:00:00"/>
    <x v="0"/>
    <s v="Week19"/>
    <x v="4"/>
    <s v="DRY240024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60"/>
    <n v="760"/>
    <m/>
    <n v="0"/>
    <n v="0"/>
    <m/>
    <m/>
    <m/>
    <m/>
    <m/>
    <m/>
  </r>
  <r>
    <m/>
    <x v="130"/>
    <d v="2024-05-25T00:00:00"/>
    <x v="0"/>
    <s v="Week19"/>
    <x v="4"/>
    <s v="DRY2400351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1400"/>
    <m/>
    <n v="1400"/>
    <n v="0"/>
    <n v="0"/>
    <m/>
    <m/>
    <m/>
    <m/>
    <m/>
    <m/>
  </r>
  <r>
    <m/>
    <x v="130"/>
    <d v="2024-05-25T00:00:00"/>
    <x v="0"/>
    <s v="Week19"/>
    <x v="4"/>
    <s v="DRY2400352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1400"/>
    <m/>
    <n v="1400"/>
    <n v="0"/>
    <n v="0"/>
    <m/>
    <m/>
    <m/>
    <m/>
    <m/>
    <m/>
  </r>
  <r>
    <m/>
    <x v="130"/>
    <d v="2024-05-13T00:00:00"/>
    <x v="0"/>
    <s v="Week19"/>
    <x v="4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5129"/>
    <n v="5129"/>
    <m/>
    <n v="0"/>
    <n v="0"/>
    <m/>
    <m/>
    <m/>
    <s v="NEWPACKAGE"/>
    <m/>
    <m/>
  </r>
  <r>
    <m/>
    <x v="131"/>
    <d v="2024-05-21T00:00:00"/>
    <x v="0"/>
    <s v="Week19"/>
    <x v="4"/>
    <s v="DRY240024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2"/>
    <n v="32"/>
    <m/>
    <n v="0"/>
    <n v="0"/>
    <m/>
    <m/>
    <m/>
    <m/>
    <m/>
    <m/>
  </r>
  <r>
    <m/>
    <x v="131"/>
    <d v="2024-05-21T00:00:00"/>
    <x v="0"/>
    <s v="Week19"/>
    <x v="4"/>
    <s v="DRY240024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31"/>
    <d v="2024-05-24T00:00:00"/>
    <x v="0"/>
    <s v="Week19"/>
    <x v="4"/>
    <s v="DRY240024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45"/>
    <n v="345"/>
    <m/>
    <n v="0"/>
    <n v="0"/>
    <m/>
    <m/>
    <m/>
    <m/>
    <m/>
    <m/>
  </r>
  <r>
    <m/>
    <x v="131"/>
    <d v="2024-05-20T00:00:00"/>
    <x v="0"/>
    <s v="Week19"/>
    <x v="4"/>
    <s v="DRY2400089"/>
    <s v="New Zealand"/>
    <s v="CPFNW"/>
    <s v="Lim Brothers"/>
    <s v="Wonton ND+V"/>
    <x v="1"/>
    <s v="Cooked Wonton ND No Egg with Pumpkin_x000a_+ Yu Choy "/>
    <s v="082SJN7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131"/>
    <d v="2024-05-23T00:00:00"/>
    <x v="0"/>
    <s v="Week19"/>
    <x v="4"/>
    <s v="DRY2400298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131"/>
    <d v="2024-05-22T00:00:00"/>
    <x v="0"/>
    <s v="Week19"/>
    <x v="4"/>
    <s v="DRY2400237"/>
    <s v="UK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+CO"/>
    <n v="515"/>
    <n v="515"/>
    <m/>
    <n v="0"/>
    <n v="0"/>
    <m/>
    <m/>
    <m/>
    <s v="NEWPACKAGE"/>
    <m/>
    <m/>
  </r>
  <r>
    <m/>
    <x v="131"/>
    <d v="2024-05-23T00:00:00"/>
    <x v="0"/>
    <s v="Week19"/>
    <x v="4"/>
    <s v="DRY2300474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+CO"/>
    <n v="924"/>
    <n v="924"/>
    <m/>
    <n v="0"/>
    <n v="0"/>
    <m/>
    <m/>
    <m/>
    <m/>
    <m/>
    <m/>
  </r>
  <r>
    <m/>
    <x v="131"/>
    <d v="2024-06-01T00:00:00"/>
    <x v="0"/>
    <s v="Week19"/>
    <x v="4"/>
    <s v="DRY2400090"/>
    <s v="New Zealand"/>
    <s v="CPFNW"/>
    <s v="Lim Brothers"/>
    <s v="Wonton ND+V+TY"/>
    <x v="1"/>
    <s v="Cooked Wonton ND No Egg with Pumpkin _x000a_+ Vegetable 5 pcs tomyam"/>
    <s v="082SJN724005P00001"/>
    <s v="307g*4c*6in"/>
    <n v="24"/>
    <n v="5"/>
    <n v="7.4999999999999997E-3"/>
    <s v="M"/>
    <s v="Salt"/>
    <s v="TYEX+CO"/>
    <n v="390"/>
    <n v="390"/>
    <m/>
    <n v="0"/>
    <n v="0"/>
    <m/>
    <m/>
    <m/>
    <m/>
    <m/>
    <m/>
  </r>
  <r>
    <m/>
    <x v="132"/>
    <m/>
    <x v="0"/>
    <s v="Week19"/>
    <x v="4"/>
    <m/>
    <m/>
    <m/>
    <m/>
    <m/>
    <x v="0"/>
    <m/>
    <m/>
    <m/>
    <m/>
    <m/>
    <m/>
    <m/>
    <m/>
    <m/>
    <m/>
    <m/>
    <m/>
    <m/>
    <m/>
    <m/>
    <m/>
    <m/>
    <m/>
    <m/>
    <m/>
  </r>
  <r>
    <m/>
    <x v="133"/>
    <d v="2024-05-20T00:00:00"/>
    <x v="0"/>
    <s v="Week20"/>
    <x v="4"/>
    <s v="DRY2400259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1900"/>
    <m/>
    <n v="1900"/>
    <n v="0"/>
    <n v="0"/>
    <m/>
    <m/>
    <m/>
    <m/>
    <m/>
    <m/>
  </r>
  <r>
    <m/>
    <x v="133"/>
    <d v="2024-05-25T00:00:00"/>
    <x v="0"/>
    <s v="Week20"/>
    <x v="4"/>
    <s v="DRY2400351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1900"/>
    <m/>
    <n v="1900"/>
    <n v="0"/>
    <n v="0"/>
    <m/>
    <m/>
    <m/>
    <m/>
    <m/>
    <m/>
  </r>
  <r>
    <m/>
    <x v="133"/>
    <d v="2024-05-25T00:00:00"/>
    <x v="0"/>
    <s v="Week20"/>
    <x v="4"/>
    <s v="DRY2400352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1900"/>
    <m/>
    <n v="1900"/>
    <n v="0"/>
    <n v="0"/>
    <m/>
    <m/>
    <m/>
    <m/>
    <m/>
    <m/>
  </r>
  <r>
    <m/>
    <x v="133"/>
    <d v="2024-05-20T00:00:00"/>
    <x v="0"/>
    <s v="Week20"/>
    <x v="4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3534"/>
    <n v="3534"/>
    <m/>
    <n v="0"/>
    <n v="0"/>
    <m/>
    <m/>
    <m/>
    <s v="NEWPACKAGE"/>
    <m/>
    <m/>
  </r>
  <r>
    <m/>
    <x v="134"/>
    <d v="2024-05-20T00:00:00"/>
    <x v="0"/>
    <s v="Week20"/>
    <x v="4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206"/>
    <n v="206"/>
    <m/>
    <n v="0"/>
    <n v="0"/>
    <m/>
    <m/>
    <m/>
    <s v="NEWPACKAGE"/>
    <m/>
    <m/>
  </r>
  <r>
    <m/>
    <x v="134"/>
    <d v="2024-05-29T00:00:00"/>
    <x v="0"/>
    <s v="Week20"/>
    <x v="4"/>
    <s v="DRY2400181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n v="24"/>
    <n v="2576"/>
    <n v="0"/>
    <n v="0"/>
    <m/>
    <m/>
    <m/>
    <s v="NEWPACKAGE"/>
    <m/>
    <m/>
  </r>
  <r>
    <m/>
    <x v="134"/>
    <d v="2024-06-13T00:00:00"/>
    <x v="0"/>
    <s v="Week20"/>
    <x v="4"/>
    <s v="DRY2400353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1200"/>
    <m/>
    <n v="1200"/>
    <n v="0"/>
    <n v="0"/>
    <m/>
    <m/>
    <m/>
    <m/>
    <m/>
    <m/>
  </r>
  <r>
    <m/>
    <x v="134"/>
    <d v="2024-06-17T00:00:00"/>
    <x v="0"/>
    <s v="Week20"/>
    <x v="4"/>
    <s v="DRY2400301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831.75"/>
    <m/>
    <n v="831.75"/>
    <n v="0"/>
    <n v="0"/>
    <m/>
    <m/>
    <m/>
    <m/>
    <m/>
    <m/>
  </r>
  <r>
    <m/>
    <x v="134"/>
    <d v="2024-05-29T00:00:00"/>
    <x v="0"/>
    <s v="Week20"/>
    <x v="4"/>
    <s v="DRY2400367"/>
    <s v="UK"/>
    <s v="CPFNW"/>
    <s v="Food Fellas"/>
    <s v="Wonton ND"/>
    <x v="1"/>
    <s v="Cooked Wonton ND No Egg with _x000a_HC  5 pcs"/>
    <s v="082SJ5L08005P03001"/>
    <s v="258g*8"/>
    <n v="8"/>
    <n v="5"/>
    <n v="7.4999999999999997E-3"/>
    <s v="HC"/>
    <s v="Salt"/>
    <s v="Regular"/>
    <n v="1900"/>
    <m/>
    <n v="2049.625"/>
    <n v="149.625"/>
    <n v="0"/>
    <m/>
    <m/>
    <m/>
    <m/>
    <m/>
    <m/>
  </r>
  <r>
    <m/>
    <x v="134"/>
    <d v="2024-05-29T00:00:00"/>
    <x v="0"/>
    <s v="Week20"/>
    <x v="4"/>
    <s v="DRY2400367"/>
    <s v="UK"/>
    <s v="CPFNW"/>
    <s v="Food Fellas"/>
    <s v="Wonton"/>
    <x v="1"/>
    <s v="Cooked Wonton  No Egg_x000a_HC  5 pcs"/>
    <s v="082S85L08005P03001"/>
    <s v="145g*8"/>
    <n v="8"/>
    <n v="5"/>
    <n v="7.4999999999999997E-3"/>
    <s v="HC"/>
    <s v="Salt"/>
    <s v="Regular"/>
    <n v="1400"/>
    <m/>
    <n v="1592.875"/>
    <n v="192.875"/>
    <n v="0"/>
    <m/>
    <m/>
    <m/>
    <m/>
    <m/>
    <m/>
  </r>
  <r>
    <m/>
    <x v="134"/>
    <d v="2024-06-06T00:00:00"/>
    <x v="0"/>
    <s v="Week20"/>
    <x v="4"/>
    <s v="DRY2400362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147"/>
    <n v="141"/>
    <n v="0"/>
    <n v="0"/>
    <m/>
    <m/>
    <m/>
    <m/>
    <m/>
    <m/>
  </r>
  <r>
    <m/>
    <x v="134"/>
    <d v="2024-06-05T00:00:00"/>
    <x v="0"/>
    <s v="Week20"/>
    <x v="4"/>
    <s v="DRY2400209"/>
    <s v="SG"/>
    <s v="CPFNW"/>
    <s v="CPI SINGAPORE"/>
    <s v="Wonton"/>
    <x v="1"/>
    <s v="Cooked Wonton No Egg"/>
    <s v="082S83B24005P07001"/>
    <s v="145g*24"/>
    <n v="24"/>
    <n v="5"/>
    <n v="8.0000000000000002E-3"/>
    <s v="M"/>
    <s v="STPP"/>
    <s v="Regular"/>
    <n v="500"/>
    <n v="500"/>
    <m/>
    <n v="0"/>
    <n v="0"/>
    <m/>
    <m/>
    <m/>
    <m/>
    <m/>
    <m/>
  </r>
  <r>
    <m/>
    <x v="134"/>
    <d v="2024-06-05T00:00:00"/>
    <x v="0"/>
    <s v="Week20"/>
    <x v="4"/>
    <s v="DRY2400397"/>
    <s v="SG"/>
    <s v="CPFNW"/>
    <s v="CPI SINGAPORE"/>
    <s v="Wonton"/>
    <x v="1"/>
    <s v="Cooked Wonton No Egg"/>
    <s v="082S83B24005P07001"/>
    <s v="145g*24"/>
    <n v="24"/>
    <n v="5"/>
    <n v="8.0000000000000002E-3"/>
    <s v="M"/>
    <s v="STPP"/>
    <s v="Regular"/>
    <n v="200"/>
    <n v="200"/>
    <m/>
    <n v="0"/>
    <n v="0"/>
    <m/>
    <m/>
    <m/>
    <m/>
    <m/>
    <m/>
  </r>
  <r>
    <m/>
    <x v="134"/>
    <d v="2024-06-05T00:00:00"/>
    <x v="0"/>
    <s v="Week20"/>
    <x v="4"/>
    <s v="DRY2400210"/>
    <s v="SG"/>
    <s v="CPFNW"/>
    <s v="CPI SINGAPORE"/>
    <s v="Wonton +TY"/>
    <x v="1"/>
    <s v="Cooked Wonton No Egg"/>
    <s v="082S83B24005P06001"/>
    <s v="115g*24"/>
    <n v="24"/>
    <n v="5"/>
    <n v="8.0000000000000002E-3"/>
    <s v="M"/>
    <s v="STPP"/>
    <s v="TYTB3C 30G"/>
    <n v="250"/>
    <n v="250"/>
    <m/>
    <n v="0"/>
    <n v="0"/>
    <m/>
    <n v="1"/>
    <n v="0"/>
    <m/>
    <m/>
    <m/>
  </r>
  <r>
    <m/>
    <x v="134"/>
    <d v="2024-06-05T00:00:00"/>
    <x v="0"/>
    <s v="Week20"/>
    <x v="4"/>
    <s v="DRY2400398"/>
    <s v="SG"/>
    <s v="CPFNW"/>
    <s v="CPI SINGAPORE"/>
    <s v="Wonton +TY"/>
    <x v="1"/>
    <s v="Cooked Wonton No Egg"/>
    <s v="082S83B24005P06001"/>
    <s v="115g*24"/>
    <n v="24"/>
    <n v="5"/>
    <n v="8.0000000000000002E-3"/>
    <s v="M"/>
    <s v="STPP"/>
    <s v="TYTB3C 30G"/>
    <n v="200"/>
    <n v="200"/>
    <m/>
    <n v="0"/>
    <n v="0"/>
    <m/>
    <n v="1"/>
    <n v="0"/>
    <m/>
    <m/>
    <m/>
  </r>
  <r>
    <m/>
    <x v="135"/>
    <d v="2024-05-24T00:00:00"/>
    <x v="0"/>
    <s v="Week20"/>
    <x v="4"/>
    <s v="DRY240024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47"/>
    <n v="447"/>
    <m/>
    <n v="0"/>
    <n v="0"/>
    <m/>
    <m/>
    <m/>
    <m/>
    <m/>
    <m/>
  </r>
  <r>
    <m/>
    <x v="135"/>
    <d v="2024-05-24T00:00:00"/>
    <x v="0"/>
    <s v="Week20"/>
    <x v="4"/>
    <s v="DRY240024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35"/>
    <d v="2024-05-24T00:00:00"/>
    <x v="0"/>
    <s v="Week20"/>
    <x v="4"/>
    <s v="DRY240024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35"/>
    <d v="2024-05-24T00:00:00"/>
    <x v="0"/>
    <s v="Week20"/>
    <x v="4"/>
    <s v="DRY240024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35"/>
    <d v="2024-05-24T00:00:00"/>
    <x v="0"/>
    <s v="Week20"/>
    <x v="4"/>
    <s v="DRY240024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35"/>
    <d v="2024-05-24T00:00:00"/>
    <x v="0"/>
    <s v="Week20"/>
    <x v="4"/>
    <s v="DRY240024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65"/>
    <n v="565"/>
    <m/>
    <n v="0"/>
    <n v="0"/>
    <m/>
    <m/>
    <m/>
    <m/>
    <m/>
    <m/>
  </r>
  <r>
    <m/>
    <x v="136"/>
    <d v="2024-06-13T00:00:00"/>
    <x v="0"/>
    <s v="Week20"/>
    <x v="4"/>
    <s v="DRY2400308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m/>
    <m/>
    <m/>
    <s v="NEWPACKAGE"/>
    <m/>
    <m/>
  </r>
  <r>
    <m/>
    <x v="136"/>
    <d v="2024-06-17T00:00:00"/>
    <x v="0"/>
    <s v="Week20"/>
    <x v="4"/>
    <s v="DRY2400301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1068.25"/>
    <m/>
    <n v="1068.25"/>
    <n v="0"/>
    <n v="0"/>
    <m/>
    <m/>
    <m/>
    <m/>
    <m/>
    <m/>
  </r>
  <r>
    <m/>
    <x v="136"/>
    <d v="2024-06-17T00:00:00"/>
    <x v="0"/>
    <s v="Week20"/>
    <x v="4"/>
    <s v="DRY2400302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816.5"/>
    <m/>
    <n v="816.5"/>
    <n v="0"/>
    <n v="0"/>
    <m/>
    <m/>
    <m/>
    <m/>
    <m/>
    <m/>
  </r>
  <r>
    <m/>
    <x v="136"/>
    <d v="2024-06-04T00:00:00"/>
    <x v="0"/>
    <s v="Week20"/>
    <x v="4"/>
    <s v="DRY2400116"/>
    <s v="Germany"/>
    <s v="CPFNW"/>
    <s v=" CPF Distribution (under Paulsen Food)"/>
    <s v="Wonton ND+V"/>
    <x v="1"/>
    <s v="Cooked Wonton ND No Egg with Pumpkin _x000a_+ Vegetable  HC  3 pcs"/>
    <s v="082SJ3N12003P01001"/>
    <s v="309g*12"/>
    <n v="12"/>
    <n v="3"/>
    <n v="7.4999999999999997E-3"/>
    <s v="HC"/>
    <s v="Salt"/>
    <s v="Regular"/>
    <n v="2040"/>
    <m/>
    <n v="2040"/>
    <n v="0"/>
    <n v="0"/>
    <m/>
    <m/>
    <m/>
    <s v="Newpackage330x330x234 mm.=2040+238"/>
    <m/>
    <m/>
  </r>
  <r>
    <m/>
    <x v="136"/>
    <d v="2024-05-24T00:00:00"/>
    <x v="0"/>
    <s v="Week20"/>
    <x v="4"/>
    <s v="ขายภายใน"/>
    <s v=".7-11"/>
    <s v="CPFGS"/>
    <s v="ซีพีเอฟ เทรดดิ้ง"/>
    <s v="Wonton ND+V+TY"/>
    <x v="1"/>
    <s v="Cooked Wonton ND+ Vegetable  SS  3 pcs"/>
    <s v="082SJ1A12003P02001"/>
    <s v="211g*12"/>
    <n v="12"/>
    <n v="3"/>
    <n v="6.1999999999999998E-3"/>
    <s v="SS"/>
    <s v="STPP"/>
    <s v="TYNSF"/>
    <n v="2572"/>
    <n v="2572"/>
    <m/>
    <n v="0"/>
    <n v="0"/>
    <m/>
    <m/>
    <m/>
    <m/>
    <m/>
    <m/>
  </r>
  <r>
    <m/>
    <x v="137"/>
    <d v="2024-05-24T00:00:00"/>
    <x v="0"/>
    <s v="Week20"/>
    <x v="4"/>
    <s v="ขายภายใน"/>
    <s v=".7-11"/>
    <s v="CPFGS"/>
    <s v="ซีพีเอฟ เทรดดิ้ง"/>
    <s v="Wonton ND+V+TY"/>
    <x v="1"/>
    <s v="Cooked Wonton ND+ Vegetable  SS  3 pcs"/>
    <s v="082SJ1A12003P02001"/>
    <s v="211g*12"/>
    <n v="12"/>
    <n v="3"/>
    <n v="6.1999999999999998E-3"/>
    <s v="SS"/>
    <s v="STPP"/>
    <s v="TYNSF"/>
    <n v="3366"/>
    <n v="3366"/>
    <m/>
    <n v="0"/>
    <n v="0"/>
    <m/>
    <m/>
    <m/>
    <m/>
    <m/>
    <m/>
  </r>
  <r>
    <m/>
    <x v="137"/>
    <d v="2024-05-24T00:00:00"/>
    <x v="0"/>
    <s v="Week20"/>
    <x v="4"/>
    <s v="DRY240024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27"/>
    <n v="227"/>
    <m/>
    <n v="0"/>
    <n v="0"/>
    <m/>
    <m/>
    <m/>
    <m/>
    <m/>
    <m/>
  </r>
  <r>
    <m/>
    <x v="137"/>
    <d v="2024-05-25T00:00:00"/>
    <x v="0"/>
    <s v="Week20"/>
    <x v="4"/>
    <s v="DRY240024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37"/>
    <d v="2024-05-25T00:00:00"/>
    <x v="0"/>
    <s v="Week20"/>
    <x v="4"/>
    <s v="DRY240024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37"/>
    <d v="2024-05-27T00:00:00"/>
    <x v="0"/>
    <s v="Week20"/>
    <x v="4"/>
    <s v="DRY240025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37"/>
    <d v="2024-05-27T00:00:00"/>
    <x v="0"/>
    <s v="Week20"/>
    <x v="4"/>
    <s v="DRY240025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95"/>
    <n v="395"/>
    <m/>
    <n v="0"/>
    <n v="0"/>
    <m/>
    <m/>
    <m/>
    <m/>
    <m/>
    <m/>
  </r>
  <r>
    <m/>
    <x v="138"/>
    <d v="2024-05-27T00:00:00"/>
    <x v="0"/>
    <s v="Week20"/>
    <x v="4"/>
    <s v="DRY240025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97"/>
    <n v="397"/>
    <m/>
    <n v="0"/>
    <n v="0"/>
    <m/>
    <m/>
    <m/>
    <m/>
    <m/>
    <m/>
  </r>
  <r>
    <m/>
    <x v="138"/>
    <d v="2024-05-27T00:00:00"/>
    <x v="0"/>
    <s v="Week20"/>
    <x v="4"/>
    <s v="DRY240025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38"/>
    <d v="2024-05-27T00:00:00"/>
    <x v="0"/>
    <s v="Week20"/>
    <x v="4"/>
    <s v="DRY240025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38"/>
    <d v="2024-05-27T00:00:00"/>
    <x v="0"/>
    <s v="Week20"/>
    <x v="4"/>
    <s v="DRY240025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38"/>
    <d v="2024-05-28T00:00:00"/>
    <x v="0"/>
    <s v="Week20"/>
    <x v="4"/>
    <s v="DRY240025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38"/>
    <d v="2024-05-28T00:00:00"/>
    <x v="0"/>
    <s v="Week20"/>
    <x v="4"/>
    <s v="DRY240025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94"/>
    <n v="594"/>
    <m/>
    <n v="0"/>
    <n v="0"/>
    <m/>
    <m/>
    <m/>
    <m/>
    <m/>
    <m/>
  </r>
  <r>
    <m/>
    <x v="139"/>
    <m/>
    <x v="0"/>
    <s v="Week20"/>
    <x v="4"/>
    <m/>
    <m/>
    <m/>
    <m/>
    <m/>
    <x v="0"/>
    <m/>
    <m/>
    <m/>
    <m/>
    <m/>
    <m/>
    <m/>
    <m/>
    <m/>
    <m/>
    <m/>
    <m/>
    <m/>
    <m/>
    <m/>
    <m/>
    <m/>
    <m/>
    <m/>
    <m/>
  </r>
  <r>
    <m/>
    <x v="140"/>
    <d v="2024-06-05T00:00:00"/>
    <x v="0"/>
    <s v="Week21"/>
    <x v="4"/>
    <s v="DRY2400195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  <s v="ใช้ package ที่เป็น หมึกพิมพ์ใหม่"/>
    <m/>
    <m/>
  </r>
  <r>
    <s v="เก็บตก"/>
    <x v="140"/>
    <d v="2024-05-25T00:00:00"/>
    <x v="0"/>
    <s v="Week21"/>
    <x v="4"/>
    <s v="DRY2400352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15"/>
    <m/>
    <n v="15"/>
    <n v="0"/>
    <n v="0"/>
    <m/>
    <m/>
    <m/>
    <m/>
    <m/>
    <m/>
  </r>
  <r>
    <m/>
    <x v="140"/>
    <d v="2024-06-13T00:00:00"/>
    <x v="0"/>
    <s v="Week21"/>
    <x v="4"/>
    <s v="DRY2400353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1200"/>
    <m/>
    <n v="1200"/>
    <n v="0"/>
    <n v="0"/>
    <m/>
    <m/>
    <m/>
    <m/>
    <m/>
    <m/>
  </r>
  <r>
    <m/>
    <x v="140"/>
    <d v="2024-06-17T00:00:00"/>
    <x v="0"/>
    <s v="Week21"/>
    <x v="4"/>
    <s v="DRY2400301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1400"/>
    <m/>
    <n v="1400"/>
    <n v="0"/>
    <n v="0"/>
    <m/>
    <m/>
    <m/>
    <m/>
    <m/>
    <m/>
  </r>
  <r>
    <m/>
    <x v="140"/>
    <d v="2024-05-27T00:00:00"/>
    <x v="0"/>
    <s v="Week21"/>
    <x v="4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3228"/>
    <n v="3228"/>
    <m/>
    <n v="0"/>
    <n v="0"/>
    <m/>
    <m/>
    <m/>
    <s v="NEWPACKAGE"/>
    <m/>
    <m/>
  </r>
  <r>
    <s v="R"/>
    <x v="140"/>
    <d v="2024-06-01T00:00:00"/>
    <x v="0"/>
    <s v="Week21"/>
    <x v="4"/>
    <s v="KL2400009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529"/>
    <n v="529"/>
    <m/>
    <n v="0"/>
    <n v="0"/>
    <n v="0"/>
    <n v="6"/>
    <n v="0"/>
    <m/>
    <m/>
    <m/>
  </r>
  <r>
    <m/>
    <x v="141"/>
    <d v="2024-06-06T00:00:00"/>
    <x v="0"/>
    <s v="Week21"/>
    <x v="4"/>
    <s v="DRY2400312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s v="NEWPACKAGE"/>
    <m/>
    <m/>
  </r>
  <r>
    <m/>
    <x v="141"/>
    <d v="2024-06-06T00:00:00"/>
    <x v="0"/>
    <s v="Week21"/>
    <x v="4"/>
    <s v="DRY2400323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s v="NEWPACKAGE"/>
    <m/>
    <m/>
  </r>
  <r>
    <m/>
    <x v="141"/>
    <d v="2024-06-13T00:00:00"/>
    <x v="0"/>
    <s v="Week21"/>
    <x v="4"/>
    <s v="DRY2400313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34"/>
    <n v="1234"/>
    <m/>
    <n v="0"/>
    <n v="0"/>
    <m/>
    <m/>
    <m/>
    <s v="NEWPACKAGE"/>
    <m/>
    <m/>
  </r>
  <r>
    <s v="R"/>
    <x v="141"/>
    <d v="2024-06-01T00:00:00"/>
    <x v="0"/>
    <s v="Week21"/>
    <x v="4"/>
    <s v="KL2400009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536"/>
    <n v="536"/>
    <m/>
    <n v="0"/>
    <n v="0"/>
    <n v="0"/>
    <n v="6"/>
    <n v="0"/>
    <m/>
    <m/>
    <m/>
  </r>
  <r>
    <m/>
    <x v="142"/>
    <d v="2024-06-04T00:00:00"/>
    <x v="0"/>
    <s v="Week21"/>
    <x v="4"/>
    <s v="DRY240025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98"/>
    <n v="198"/>
    <m/>
    <n v="0"/>
    <n v="0"/>
    <m/>
    <m/>
    <m/>
    <m/>
    <m/>
    <m/>
  </r>
  <r>
    <m/>
    <x v="142"/>
    <d v="2024-06-04T00:00:00"/>
    <x v="0"/>
    <s v="Week21"/>
    <x v="4"/>
    <s v="DRY240025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44"/>
    <n v="644"/>
    <m/>
    <n v="0"/>
    <n v="0"/>
    <m/>
    <m/>
    <m/>
    <m/>
    <m/>
    <m/>
  </r>
  <r>
    <m/>
    <x v="142"/>
    <d v="2024-06-05T00:00:00"/>
    <x v="0"/>
    <s v="Week21"/>
    <x v="4"/>
    <s v="DRY2400354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25"/>
    <n v="67"/>
    <n v="0"/>
    <n v="0"/>
    <m/>
    <m/>
    <m/>
    <s v="1457 ถ้วย New Zealand"/>
    <m/>
    <m/>
  </r>
  <r>
    <m/>
    <x v="142"/>
    <d v="2024-06-05T00:00:00"/>
    <x v="0"/>
    <s v="Week21"/>
    <x v="4"/>
    <s v="DRY2400355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142"/>
    <d v="2024-06-05T00:00:00"/>
    <x v="0"/>
    <s v="Week21"/>
    <x v="4"/>
    <s v="DRY2400365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30"/>
    <n v="730"/>
    <m/>
    <n v="0"/>
    <n v="0"/>
    <m/>
    <m/>
    <m/>
    <m/>
    <m/>
    <m/>
  </r>
  <r>
    <s v="R"/>
    <x v="142"/>
    <d v="2024-06-01T00:00:00"/>
    <x v="0"/>
    <s v="Week21"/>
    <x v="4"/>
    <s v="KL2400009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343"/>
    <n v="343"/>
    <m/>
    <n v="0"/>
    <n v="0"/>
    <n v="0"/>
    <n v="6"/>
    <n v="0"/>
    <m/>
    <m/>
    <m/>
  </r>
  <r>
    <s v="R"/>
    <x v="142"/>
    <d v="2024-06-05T00:00:00"/>
    <x v="0"/>
    <s v="Week21"/>
    <x v="4"/>
    <s v="DRY2400214"/>
    <s v="SG"/>
    <s v="CPFNW"/>
    <s v="CPI SINGAPORE"/>
    <s v="R-Minced egg past"/>
    <x v="2"/>
    <s v="Raw Minced Wonton 8 pcs"/>
    <s v="082ID3B18008P00001"/>
    <s v="90g*18in"/>
    <n v="18"/>
    <n v="8"/>
    <n v="5.0000000000000001E-3"/>
    <s v="BK"/>
    <s v="STPP"/>
    <s v="ซุปซอง 5g."/>
    <n v="300"/>
    <n v="298"/>
    <n v="2"/>
    <n v="0"/>
    <n v="0"/>
    <n v="0"/>
    <n v="2"/>
    <n v="0"/>
    <m/>
    <m/>
    <m/>
  </r>
  <r>
    <s v="R"/>
    <x v="142"/>
    <d v="2024-06-05T00:00:00"/>
    <x v="0"/>
    <s v="Week21"/>
    <x v="4"/>
    <s v="DRY2400208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293"/>
    <n v="207"/>
    <n v="86"/>
    <n v="0"/>
    <n v="0"/>
    <n v="0"/>
    <n v="2"/>
    <n v="0"/>
    <s v="ห่อแบบสุก"/>
    <m/>
    <m/>
  </r>
  <r>
    <m/>
    <x v="143"/>
    <m/>
    <x v="0"/>
    <s v="Week21"/>
    <x v="4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435"/>
    <n v="332"/>
    <n v="103"/>
    <n v="0"/>
    <n v="0"/>
    <m/>
    <n v="1"/>
    <n v="0"/>
    <m/>
    <m/>
    <m/>
  </r>
  <r>
    <m/>
    <x v="143"/>
    <m/>
    <x v="0"/>
    <s v="Week21"/>
    <x v="4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900"/>
    <n v="312"/>
    <n v="588"/>
    <n v="0"/>
    <n v="0"/>
    <m/>
    <n v="1"/>
    <n v="0"/>
    <m/>
    <m/>
    <m/>
  </r>
  <r>
    <m/>
    <x v="143"/>
    <d v="2024-06-27T00:00:00"/>
    <x v="0"/>
    <s v="Week21"/>
    <x v="4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321"/>
    <m/>
    <n v="321"/>
    <n v="0"/>
    <n v="0"/>
    <m/>
    <n v="1"/>
    <n v="0"/>
    <m/>
    <m/>
    <m/>
  </r>
  <r>
    <m/>
    <x v="143"/>
    <d v="2024-06-01T00:00:00"/>
    <x v="0"/>
    <s v="Week21"/>
    <x v="4"/>
    <s v="ขายภายใน"/>
    <s v="5 Stars"/>
    <s v="5 Stars"/>
    <s v="CPFB"/>
    <s v="EP+Wonton"/>
    <x v="1"/>
    <s v="Cooked Wonton with egg "/>
    <s v="082S81N16020P00001"/>
    <s v="20 pcs*16"/>
    <n v="64"/>
    <n v="5"/>
    <n v="7.0000000000000001E-3"/>
    <s v="S"/>
    <s v="STPP"/>
    <m/>
    <n v="100"/>
    <n v="100"/>
    <m/>
    <n v="0"/>
    <n v="0"/>
    <m/>
    <m/>
    <m/>
    <m/>
    <m/>
    <m/>
  </r>
  <r>
    <m/>
    <x v="143"/>
    <d v="2024-05-27T00:00:00"/>
    <x v="0"/>
    <s v="Week21"/>
    <x v="4"/>
    <s v="ขายภายใน"/>
    <s v="MTFS"/>
    <s v="CPFGS"/>
    <s v="ซีพีเอฟ เทรดดิ้ง"/>
    <s v="E+Wonton+หมาล่า"/>
    <x v="1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1826"/>
    <n v="1826"/>
    <m/>
    <n v="0"/>
    <n v="0"/>
    <m/>
    <m/>
    <m/>
    <m/>
    <m/>
    <m/>
  </r>
  <r>
    <m/>
    <x v="143"/>
    <m/>
    <x v="0"/>
    <s v="Week21"/>
    <x v="4"/>
    <s v="ขายภายใน"/>
    <s v=".7-11"/>
    <s v="CPFGS"/>
    <s v="ซีพีเอฟ เทรดดิ้ง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3750"/>
    <n v="3750"/>
    <m/>
    <n v="0"/>
    <n v="0"/>
    <m/>
    <m/>
    <m/>
    <m/>
    <m/>
    <m/>
  </r>
  <r>
    <s v="R"/>
    <x v="143"/>
    <d v="2024-06-05T00:00:00"/>
    <x v="0"/>
    <s v="Week21"/>
    <x v="4"/>
    <s v="DRY2400213"/>
    <s v="SG"/>
    <s v="CPFNW"/>
    <s v="CPI SINGAPORE"/>
    <s v="R-Wonton  (Fried Sheet)"/>
    <x v="2"/>
    <s v="Raw Wonton 50 pcs (Fried Sheet)"/>
    <s v="082I93B10050P04001"/>
    <s v="600g*10inner"/>
    <n v="10"/>
    <n v="50"/>
    <n v="6.8100000000000001E-3"/>
    <s v="S"/>
    <s v="STPP"/>
    <m/>
    <n v="200"/>
    <n v="200"/>
    <m/>
    <n v="0"/>
    <n v="0"/>
    <n v="0"/>
    <m/>
    <n v="0"/>
    <m/>
    <m/>
    <m/>
  </r>
  <r>
    <s v="R"/>
    <x v="143"/>
    <d v="2024-06-05T00:00:00"/>
    <x v="0"/>
    <s v="Week21"/>
    <x v="4"/>
    <s v="DRY2400208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680"/>
    <n v="680"/>
    <m/>
    <n v="0"/>
    <n v="0"/>
    <n v="0"/>
    <n v="2"/>
    <n v="0"/>
    <s v="ห่อแบบสุก"/>
    <m/>
    <m/>
  </r>
  <r>
    <m/>
    <x v="144"/>
    <m/>
    <x v="0"/>
    <s v="Week21"/>
    <x v="4"/>
    <s v="ขายภายใน"/>
    <s v="MTFS"/>
    <s v="CPFGS"/>
    <s v="ซีพีเอฟ เทรดดิ้ง"/>
    <s v="E+Wonton NDE"/>
    <x v="1"/>
    <s v="Cooked Wonton ND with egg V-Food"/>
    <s v="082SJ3Q12003P07001"/>
    <s v="226g*12"/>
    <n v="12"/>
    <n v="3"/>
    <n v="8.0000000000000002E-3"/>
    <s v="M"/>
    <s v="STPP"/>
    <s v="Regular"/>
    <n v="142"/>
    <n v="142"/>
    <m/>
    <n v="0"/>
    <n v="0"/>
    <m/>
    <m/>
    <m/>
    <m/>
    <m/>
    <m/>
  </r>
  <r>
    <s v="R&amp;D"/>
    <x v="144"/>
    <m/>
    <x v="0"/>
    <s v="Week21"/>
    <x v="4"/>
    <s v="ขายภายใน"/>
    <s v="MTFS"/>
    <s v="CPFGS"/>
    <s v="ซีพีเอฟ เทรดดิ้ง"/>
    <s v="E+Wonton"/>
    <x v="1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m/>
    <m/>
    <m/>
    <m/>
    <m/>
    <m/>
  </r>
  <r>
    <m/>
    <x v="144"/>
    <m/>
    <x v="0"/>
    <s v="Week21"/>
    <x v="4"/>
    <s v="ขายภายใน"/>
    <s v="MTFS"/>
    <s v="CPFGS"/>
    <s v="ซีพีเอฟ เทรดดิ้ง"/>
    <s v="E+Wonton"/>
    <x v="1"/>
    <s v="Cooked Wonton  with egg V-Food"/>
    <s v="082S83Q12005P05001"/>
    <s v="145g*12"/>
    <n v="12"/>
    <n v="5"/>
    <n v="8.0000000000000002E-3"/>
    <s v="M"/>
    <s v="STPP"/>
    <s v="Regular"/>
    <n v="834"/>
    <n v="834"/>
    <m/>
    <n v="0"/>
    <n v="0"/>
    <m/>
    <m/>
    <m/>
    <m/>
    <m/>
    <m/>
  </r>
  <r>
    <m/>
    <x v="144"/>
    <m/>
    <x v="0"/>
    <s v="Week21"/>
    <x v="4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5914"/>
    <n v="5914"/>
    <m/>
    <n v="0"/>
    <n v="0"/>
    <m/>
    <m/>
    <m/>
    <m/>
    <m/>
    <m/>
  </r>
  <r>
    <s v="R"/>
    <x v="144"/>
    <d v="2024-06-05T00:00:00"/>
    <x v="0"/>
    <s v="Week21"/>
    <x v="4"/>
    <s v="DRY2400208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227"/>
    <n v="227"/>
    <m/>
    <n v="0"/>
    <n v="0"/>
    <n v="0"/>
    <n v="2"/>
    <n v="0"/>
    <s v="ห่อแบบสุก"/>
    <m/>
    <m/>
  </r>
  <r>
    <s v="R"/>
    <x v="144"/>
    <d v="2024-06-05T00:00:00"/>
    <x v="0"/>
    <s v="Week21"/>
    <x v="4"/>
    <s v="DRY2400431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851"/>
    <n v="851"/>
    <m/>
    <n v="0"/>
    <n v="0"/>
    <n v="0"/>
    <n v="2"/>
    <n v="0"/>
    <s v="ห่อแบบสุก"/>
    <m/>
    <m/>
  </r>
  <r>
    <m/>
    <x v="145"/>
    <d v="2024-06-10T00:00:00"/>
    <x v="0"/>
    <s v="Week21"/>
    <x v="4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3019"/>
    <n v="3019"/>
    <m/>
    <n v="0"/>
    <n v="0"/>
    <m/>
    <m/>
    <m/>
    <s v="NEWPACKAGE"/>
    <m/>
    <m/>
  </r>
  <r>
    <m/>
    <x v="145"/>
    <d v="2024-06-26T00:00:00"/>
    <x v="0"/>
    <s v="Week21"/>
    <x v="4"/>
    <s v="DRY2400393"/>
    <s v="AUS"/>
    <s v="CPFNW"/>
    <s v="CPF Australia Pty Ltd."/>
    <s v="Minced ND+V+TY"/>
    <x v="1"/>
    <s v="Cooked Minced  ND No Egg with Pumpkin_x000a_+ Yu Choy Tomyum"/>
    <s v="082SR9U08003P00001"/>
    <s v="302g*8"/>
    <n v="8"/>
    <n v="3"/>
    <n v="8.0000000000000002E-3"/>
    <s v="BK"/>
    <s v="Salt"/>
    <s v="TYEX+CO"/>
    <n v="500"/>
    <m/>
    <n v="507.625"/>
    <n v="7.625"/>
    <n v="0"/>
    <m/>
    <m/>
    <m/>
    <s v="คุณจั๊กให้สั่ง มาตามขั้นต่ำ ที่เหลือจะเปิดออเดอร์มาเคลียร์"/>
    <m/>
    <m/>
  </r>
  <r>
    <m/>
    <x v="145"/>
    <d v="2024-06-05T00:00:00"/>
    <x v="0"/>
    <s v="Week21"/>
    <x v="4"/>
    <s v="DRY2400305"/>
    <s v="Denmark"/>
    <s v="CPFNW"/>
    <s v=" CPF Distribution (under Paulsen Food)"/>
    <s v="Minced ND+V+TY"/>
    <x v="1"/>
    <s v="Cooked Minced  ND No Egg with Pumpkin_x000a_+ Yu Choy Tomyum"/>
    <s v="082SRRE12003P00001"/>
    <s v="302g*12"/>
    <n v="12"/>
    <n v="3"/>
    <n v="6.0000000000000001E-3"/>
    <s v="BK"/>
    <s v="Salt"/>
    <s v="TYEX+CO"/>
    <n v="2520"/>
    <n v="2520"/>
    <m/>
    <n v="0"/>
    <n v="0"/>
    <m/>
    <m/>
    <m/>
    <s v="rema"/>
    <m/>
    <m/>
  </r>
  <r>
    <m/>
    <x v="145"/>
    <d v="2024-06-05T00:00:00"/>
    <x v="0"/>
    <s v="Week21"/>
    <x v="4"/>
    <s v="DRY2400306"/>
    <s v="Denmark"/>
    <s v="CPFNW"/>
    <s v=" CPF Distribution (under Paulsen Food)"/>
    <s v="Minced ND+V+TY"/>
    <x v="1"/>
    <s v="Cooked Minced  ND No Egg with Pumpkin_x000a_+ Yu Choy Tomyum"/>
    <s v="082SRRE12003P00001"/>
    <s v="302g*12"/>
    <n v="12"/>
    <n v="3"/>
    <n v="6.0000000000000001E-3"/>
    <s v="BK"/>
    <s v="Salt"/>
    <s v="TYEX+CO"/>
    <n v="2520"/>
    <n v="665"/>
    <n v="1871"/>
    <n v="16"/>
    <n v="0"/>
    <m/>
    <m/>
    <m/>
    <s v="rema"/>
    <m/>
    <m/>
  </r>
  <r>
    <m/>
    <x v="145"/>
    <d v="2024-06-20T00:00:00"/>
    <x v="0"/>
    <s v="Week21"/>
    <x v="4"/>
    <s v="DRY2400390"/>
    <s v="Denmark"/>
    <s v="CPFNW"/>
    <s v="CPF DENMARK"/>
    <s v="Wonton ND+V+TY"/>
    <x v="1"/>
    <s v="Cooked Wonton ND No Egg with Pumpkin _x000a_+ Vegetable  HC  3 pcs tomyam"/>
    <s v="082SJKW08003P00001"/>
    <s v="309g*8"/>
    <n v="8"/>
    <n v="3"/>
    <n v="7.4999999999999997E-3"/>
    <s v="M"/>
    <s v="Salt"/>
    <s v="TYANS+CM"/>
    <n v="3500"/>
    <m/>
    <n v="3723.125"/>
    <n v="223.125"/>
    <n v="0"/>
    <m/>
    <m/>
    <m/>
    <s v="ต้มยำสูตรลดเผ็ดลง 10 %"/>
    <m/>
    <m/>
  </r>
  <r>
    <s v="R"/>
    <x v="145"/>
    <d v="2024-06-05T00:00:00"/>
    <x v="0"/>
    <s v="Week21"/>
    <x v="4"/>
    <s v="DRY2400431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349"/>
    <n v="349"/>
    <m/>
    <n v="0"/>
    <n v="0"/>
    <n v="0"/>
    <n v="2"/>
    <n v="0"/>
    <s v="ห่อแบบสุก"/>
    <m/>
    <m/>
  </r>
  <r>
    <s v="R"/>
    <x v="145"/>
    <d v="2024-06-05T00:00:00"/>
    <x v="0"/>
    <s v="Week21"/>
    <x v="4"/>
    <s v="DRY2400212"/>
    <s v="SG"/>
    <s v="CPFNW"/>
    <s v="CPI SINGAPORE"/>
    <s v="R-Wonton egg past"/>
    <x v="2"/>
    <s v="Raw Wonton 8 pcs"/>
    <s v="082I93B20008P00001"/>
    <s v="194g*20in"/>
    <n v="20"/>
    <n v="8"/>
    <n v="1.4999999999999999E-2"/>
    <s v="JB"/>
    <s v="STPP"/>
    <s v="ซุปซอง 5g."/>
    <n v="460"/>
    <n v="460"/>
    <m/>
    <n v="0"/>
    <n v="0"/>
    <n v="0"/>
    <n v="2"/>
    <n v="0"/>
    <s v="ห่อแบบดิบ"/>
    <m/>
    <m/>
  </r>
  <r>
    <m/>
    <x v="146"/>
    <m/>
    <x v="0"/>
    <s v="Week21"/>
    <x v="4"/>
    <m/>
    <m/>
    <m/>
    <m/>
    <m/>
    <x v="0"/>
    <m/>
    <m/>
    <m/>
    <m/>
    <m/>
    <m/>
    <m/>
    <m/>
    <m/>
    <m/>
    <m/>
    <m/>
    <m/>
    <m/>
    <m/>
    <m/>
    <m/>
    <m/>
    <m/>
    <m/>
  </r>
  <r>
    <m/>
    <x v="147"/>
    <d v="2024-06-04T00:00:00"/>
    <x v="0"/>
    <s v="Week22"/>
    <x v="4"/>
    <s v="DRY240025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48"/>
    <n v="148"/>
    <m/>
    <n v="0"/>
    <n v="0"/>
    <m/>
    <m/>
    <m/>
    <m/>
    <m/>
    <m/>
  </r>
  <r>
    <m/>
    <x v="147"/>
    <d v="2024-06-04T00:00:00"/>
    <x v="0"/>
    <s v="Week22"/>
    <x v="4"/>
    <s v="DRY240026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47"/>
    <d v="2024-06-04T00:00:00"/>
    <x v="0"/>
    <s v="Week22"/>
    <x v="4"/>
    <s v="DRY240026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47"/>
    <d v="2024-06-04T00:00:00"/>
    <x v="0"/>
    <s v="Week22"/>
    <x v="4"/>
    <s v="DRY240026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47"/>
    <d v="2024-06-04T00:00:00"/>
    <x v="0"/>
    <s v="Week22"/>
    <x v="4"/>
    <s v="DRY240026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47"/>
    <d v="2024-06-04T00:00:00"/>
    <x v="0"/>
    <s v="Week22"/>
    <x v="4"/>
    <s v="DRY240026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89"/>
    <n v="638"/>
    <n v="151.33333333333334"/>
    <n v="0.33333333333337123"/>
    <n v="0"/>
    <m/>
    <m/>
    <m/>
    <m/>
    <m/>
    <m/>
  </r>
  <r>
    <s v="R"/>
    <x v="147"/>
    <d v="2024-06-05T00:00:00"/>
    <x v="0"/>
    <s v="Week22"/>
    <x v="4"/>
    <s v="DRY2400212"/>
    <s v="SG"/>
    <s v="CPFNW"/>
    <s v="CPI SINGAPORE"/>
    <s v="R-Wonton egg past"/>
    <x v="2"/>
    <s v="Raw Wonton 8 pcs"/>
    <s v="082I93B20008P00001"/>
    <s v="194g*20in"/>
    <n v="20"/>
    <n v="8"/>
    <n v="1.4999999999999999E-2"/>
    <s v="JB"/>
    <s v="STPP"/>
    <s v="ซุปซอง 5g."/>
    <n v="40"/>
    <n v="40"/>
    <n v="32"/>
    <n v="32"/>
    <n v="0"/>
    <n v="0"/>
    <n v="2"/>
    <n v="0"/>
    <s v="ห่อแบบดิบ"/>
    <m/>
    <m/>
  </r>
  <r>
    <s v="R"/>
    <x v="147"/>
    <d v="2024-06-08T00:00:00"/>
    <x v="0"/>
    <s v="Week22"/>
    <x v="4"/>
    <s v="DRY2400299"/>
    <s v="SG"/>
    <s v="CPFNW"/>
    <s v="CPI SINGAPORE"/>
    <s v="R-Wonton egg past"/>
    <x v="2"/>
    <s v="Raw Wonton 12 pcs with sesame"/>
    <s v="082I93B20012P02001"/>
    <s v="204g*20in"/>
    <n v="20"/>
    <n v="12"/>
    <n v="6.8100000000000001E-3"/>
    <s v="S"/>
    <s v="STPP"/>
    <s v=" sesame 30g"/>
    <n v="826"/>
    <n v="826"/>
    <m/>
    <n v="0"/>
    <n v="0"/>
    <n v="0"/>
    <n v="2"/>
    <n v="0"/>
    <s v="ห่อแบบดิบ"/>
    <m/>
    <m/>
  </r>
  <r>
    <m/>
    <x v="148"/>
    <d v="2024-06-04T00:00:00"/>
    <x v="0"/>
    <s v="Week22"/>
    <x v="4"/>
    <s v="DRY240026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"/>
    <n v="3"/>
    <m/>
    <n v="0"/>
    <n v="0"/>
    <m/>
    <m/>
    <m/>
    <m/>
    <m/>
    <m/>
  </r>
  <r>
    <m/>
    <x v="148"/>
    <d v="2024-06-04T00:00:00"/>
    <x v="0"/>
    <s v="Week22"/>
    <x v="4"/>
    <s v="DRY240026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48"/>
    <d v="2024-06-05T00:00:00"/>
    <x v="0"/>
    <s v="Week22"/>
    <x v="4"/>
    <s v="DRY240026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48"/>
    <d v="2024-06-05T00:00:00"/>
    <x v="0"/>
    <s v="Week22"/>
    <x v="4"/>
    <s v="DRY240026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48"/>
    <d v="2024-06-05T00:00:00"/>
    <x v="0"/>
    <s v="Week22"/>
    <x v="4"/>
    <s v="DRY240026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48"/>
    <d v="2024-06-07T00:00:00"/>
    <x v="0"/>
    <s v="Week22"/>
    <x v="4"/>
    <s v="DRY240026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455"/>
    <n v="337"/>
    <n v="0"/>
    <n v="0"/>
    <m/>
    <m/>
    <m/>
    <m/>
    <m/>
    <m/>
  </r>
  <r>
    <m/>
    <x v="148"/>
    <d v="2024-06-07T00:00:00"/>
    <x v="0"/>
    <s v="Week22"/>
    <x v="4"/>
    <s v="DRY240027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04.69444444444446"/>
    <m/>
    <n v="204.69444444444446"/>
    <n v="0"/>
    <n v="0"/>
    <m/>
    <m/>
    <m/>
    <m/>
    <m/>
    <m/>
  </r>
  <r>
    <s v="R"/>
    <x v="148"/>
    <d v="2024-06-08T00:00:00"/>
    <x v="0"/>
    <s v="Week22"/>
    <x v="4"/>
    <s v="DRY2400299"/>
    <s v="SG"/>
    <s v="CPFNW"/>
    <s v="CPI SINGAPORE"/>
    <s v="R-Wonton egg past"/>
    <x v="2"/>
    <s v="Raw Wonton 12 pcs with sesame"/>
    <s v="082I93B20012P02001"/>
    <s v="204g*20in"/>
    <n v="20"/>
    <n v="12"/>
    <n v="6.8100000000000001E-3"/>
    <s v="S"/>
    <s v="STPP"/>
    <s v=" sesame 30g"/>
    <n v="374"/>
    <n v="374"/>
    <n v="7"/>
    <n v="7"/>
    <n v="0"/>
    <n v="0"/>
    <n v="2"/>
    <n v="0"/>
    <s v="ห่อแบบดิบ"/>
    <m/>
    <m/>
  </r>
  <r>
    <s v="R"/>
    <x v="148"/>
    <d v="2024-06-25T00:00:00"/>
    <x v="0"/>
    <s v="Week22"/>
    <x v="4"/>
    <s v="DRY2400370"/>
    <s v="Malay"/>
    <s v="CPFNW"/>
    <s v="CPM Malaysia"/>
    <s v="R-Wonton egg past"/>
    <x v="2"/>
    <s v="Raw Wonton 12 pcs"/>
    <s v="082I95I20012P02001"/>
    <s v="154g*20inner"/>
    <n v="20"/>
    <n v="12"/>
    <n v="6.8100000000000001E-3"/>
    <s v="S"/>
    <s v="STPP"/>
    <s v="ซุปซอง 5g."/>
    <n v="350"/>
    <n v="350"/>
    <m/>
    <n v="0"/>
    <n v="0"/>
    <n v="0"/>
    <n v="2"/>
    <n v="0"/>
    <s v="NEWPACKAGE"/>
    <m/>
    <m/>
  </r>
  <r>
    <s v="R"/>
    <x v="148"/>
    <d v="2024-06-11T00:00:00"/>
    <x v="0"/>
    <s v="Week22"/>
    <x v="4"/>
    <s v="DRY2400368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  <m/>
    <m/>
    <m/>
  </r>
  <r>
    <m/>
    <x v="149"/>
    <d v="2024-06-11T00:00:00"/>
    <x v="0"/>
    <s v="Week22"/>
    <x v="4"/>
    <s v="DRY2400368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700"/>
    <n v="639"/>
    <n v="61"/>
    <n v="0"/>
    <n v="0"/>
    <m/>
    <m/>
    <m/>
    <m/>
    <m/>
    <m/>
  </r>
  <r>
    <m/>
    <x v="149"/>
    <d v="2024-06-11T00:00:00"/>
    <x v="0"/>
    <s v="Week22"/>
    <x v="4"/>
    <s v="DRY2400369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800"/>
    <n v="749"/>
    <n v="51"/>
    <n v="0"/>
    <n v="0"/>
    <m/>
    <m/>
    <m/>
    <m/>
    <m/>
    <m/>
  </r>
  <r>
    <m/>
    <x v="149"/>
    <d v="2024-06-17T00:00:00"/>
    <x v="0"/>
    <s v="Week22"/>
    <x v="4"/>
    <s v="DRY2400302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1083.5"/>
    <m/>
    <n v="1083.5"/>
    <n v="0"/>
    <n v="0"/>
    <m/>
    <m/>
    <m/>
    <m/>
    <m/>
    <m/>
  </r>
  <r>
    <m/>
    <x v="149"/>
    <d v="2024-06-05T00:00:00"/>
    <x v="0"/>
    <s v="Week22"/>
    <x v="4"/>
    <s v="DRY2400211"/>
    <s v="SG"/>
    <s v="CPFNW"/>
    <s v="CPI SINGAPORE"/>
    <s v="Wonton ND+V"/>
    <x v="1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250"/>
    <n v="250"/>
    <m/>
    <n v="0"/>
    <n v="0"/>
    <m/>
    <m/>
    <m/>
    <m/>
    <m/>
    <m/>
  </r>
  <r>
    <m/>
    <x v="149"/>
    <d v="2024-06-05T00:00:00"/>
    <x v="0"/>
    <s v="Week22"/>
    <x v="4"/>
    <s v="DRY2400399"/>
    <s v="SG"/>
    <s v="CPFNW"/>
    <s v="CPI SINGAPORE"/>
    <s v="Wonton ND+V"/>
    <x v="1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200"/>
    <n v="200"/>
    <m/>
    <n v="0"/>
    <n v="0"/>
    <m/>
    <m/>
    <m/>
    <m/>
    <m/>
    <m/>
  </r>
  <r>
    <m/>
    <x v="149"/>
    <d v="2024-06-24T00:00:00"/>
    <x v="0"/>
    <s v="Week22"/>
    <x v="4"/>
    <s v="DRY2400421"/>
    <s v="Belgium"/>
    <s v="CPFNW"/>
    <s v="CPF EUROPE S.A."/>
    <s v="Wonton ND+V"/>
    <x v="1"/>
    <s v="Cooked Wonton ND No Egg with Pumpkin _x000a_+ Vegetable  HC  3 pcs"/>
    <s v="082SJ3I08003P00001"/>
    <s v="309g*8"/>
    <n v="8"/>
    <n v="3"/>
    <n v="7.4999999999999997E-3"/>
    <s v="HC"/>
    <s v="Salt"/>
    <s v="Regular"/>
    <n v="800"/>
    <m/>
    <n v="823.75"/>
    <n v="23.75"/>
    <n v="0"/>
    <m/>
    <m/>
    <m/>
    <m/>
    <m/>
    <m/>
  </r>
  <r>
    <m/>
    <x v="149"/>
    <d v="2024-06-05T00:00:00"/>
    <x v="0"/>
    <s v="Week22"/>
    <x v="4"/>
    <s v="DRY2400365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62"/>
    <m/>
    <n v="62"/>
    <n v="0"/>
    <n v="0"/>
    <m/>
    <m/>
    <m/>
    <m/>
    <m/>
    <m/>
  </r>
  <r>
    <m/>
    <x v="149"/>
    <d v="2024-06-12T00:00:00"/>
    <x v="0"/>
    <s v="Week22"/>
    <x v="4"/>
    <s v="DRY2400356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149"/>
    <d v="2024-06-12T00:00:00"/>
    <x v="0"/>
    <s v="Week22"/>
    <x v="4"/>
    <s v="DRY2400366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630"/>
    <n v="171.77777777777777"/>
    <n v="9.7777777777778283"/>
    <n v="0"/>
    <m/>
    <m/>
    <m/>
    <m/>
    <m/>
    <m/>
  </r>
  <r>
    <m/>
    <x v="149"/>
    <d v="2024-06-28T00:00:00"/>
    <x v="0"/>
    <s v="Week22"/>
    <x v="4"/>
    <s v="DRY2400393"/>
    <s v="AUS"/>
    <s v="CPFNW"/>
    <s v="CPF Australia Pty Ltd."/>
    <s v="Wonton ND+V"/>
    <x v="1"/>
    <s v="Cooked Wonton ND No Egg with Pumpkin_x000a_+ Yu Choy "/>
    <s v="082SJ9U08004P00001"/>
    <s v="305g*8"/>
    <n v="8"/>
    <n v="4"/>
    <n v="7.4999999999999997E-3"/>
    <s v="HC"/>
    <s v="Salt"/>
    <s v="Regular"/>
    <n v="600"/>
    <m/>
    <n v="600"/>
    <n v="0"/>
    <n v="0"/>
    <m/>
    <m/>
    <m/>
    <m/>
    <m/>
    <m/>
  </r>
  <r>
    <m/>
    <x v="149"/>
    <d v="2024-07-10T00:00:00"/>
    <x v="0"/>
    <s v="Week22"/>
    <x v="4"/>
    <s v="DRY2400394"/>
    <s v="AUS"/>
    <s v="CPFNW"/>
    <s v="CPF Australia Pty Ltd."/>
    <s v="Wonton ND+V"/>
    <x v="1"/>
    <s v="Cooked Wonton ND No Egg with Pumpkin_x000a_+ Yu Choy "/>
    <s v="082SJ9U08004P00001"/>
    <s v="305g*8"/>
    <n v="8"/>
    <n v="4"/>
    <n v="7.4999999999999997E-3"/>
    <s v="HC"/>
    <s v="Salt"/>
    <s v="Regular"/>
    <n v="600"/>
    <m/>
    <n v="600"/>
    <n v="0"/>
    <n v="0"/>
    <m/>
    <m/>
    <m/>
    <m/>
    <m/>
    <m/>
  </r>
  <r>
    <m/>
    <x v="149"/>
    <d v="2024-07-01T00:00:00"/>
    <x v="0"/>
    <s v="Week22"/>
    <x v="4"/>
    <s v="DRY2400423"/>
    <s v="New Zealand"/>
    <s v="CPFNW"/>
    <s v="Lim Brothers"/>
    <s v="Wonton ND+V"/>
    <x v="1"/>
    <s v="Cooked Wonton ND No Egg with Pumpkin_x000a_+ Yu Choy "/>
    <s v="082SJN708004P00001"/>
    <s v="305g*8"/>
    <n v="8"/>
    <n v="4"/>
    <n v="7.4999999999999997E-3"/>
    <s v="HC"/>
    <s v="Salt"/>
    <s v="Regular"/>
    <n v="1674"/>
    <m/>
    <n v="1772.25"/>
    <n v="98.25"/>
    <n v="0"/>
    <m/>
    <m/>
    <m/>
    <s v="NEWPACKAGE"/>
    <m/>
    <m/>
  </r>
  <r>
    <s v="R"/>
    <x v="149"/>
    <d v="2024-06-11T00:00:00"/>
    <x v="0"/>
    <s v="Week22"/>
    <x v="4"/>
    <s v="DRY2400369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  <m/>
    <m/>
    <m/>
  </r>
  <r>
    <s v="R"/>
    <x v="149"/>
    <d v="2024-06-11T00:00:00"/>
    <x v="0"/>
    <s v="Week22"/>
    <x v="4"/>
    <s v="DRY2400353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400"/>
    <n v="400"/>
    <m/>
    <n v="0"/>
    <n v="0"/>
    <n v="0"/>
    <n v="6"/>
    <n v="0"/>
    <m/>
    <m/>
    <m/>
  </r>
  <r>
    <m/>
    <x v="150"/>
    <d v="2024-06-11T00:00:00"/>
    <x v="0"/>
    <s v="Week22"/>
    <x v="4"/>
    <s v="DRY2400368"/>
    <s v="USA"/>
    <s v="CPFNW"/>
    <s v="Bellisio Foods, Inc."/>
    <s v="Minced WT"/>
    <x v="1"/>
    <s v="Cooked Minced Wonton Soup No Egg"/>
    <s v="082SKBW36005P00001"/>
    <s v="145g*6c*6"/>
    <n v="36"/>
    <n v="5"/>
    <n v="6.0000000000000001E-3"/>
    <s v="BK"/>
    <s v="Salt"/>
    <s v="Regular"/>
    <n v="450"/>
    <n v="450"/>
    <m/>
    <n v="0"/>
    <n v="0"/>
    <m/>
    <m/>
    <m/>
    <m/>
    <m/>
    <m/>
  </r>
  <r>
    <m/>
    <x v="150"/>
    <d v="2024-06-11T00:00:00"/>
    <x v="0"/>
    <s v="Week22"/>
    <x v="4"/>
    <s v="DRY2400369"/>
    <s v="USA"/>
    <s v="CPFNW"/>
    <s v="Bellisio Foods, Inc."/>
    <s v="Minced WT"/>
    <x v="1"/>
    <s v="Cooked Minced Wonton Soup No Egg"/>
    <s v="082SKBW36005P00001"/>
    <s v="145g*6c*6"/>
    <n v="36"/>
    <n v="5"/>
    <n v="6.0000000000000001E-3"/>
    <s v="BK"/>
    <s v="Salt"/>
    <s v="Regular"/>
    <n v="300"/>
    <n v="229"/>
    <n v="71"/>
    <n v="0"/>
    <n v="0"/>
    <m/>
    <m/>
    <m/>
    <m/>
    <m/>
    <m/>
  </r>
  <r>
    <m/>
    <x v="150"/>
    <d v="2024-06-17T00:00:00"/>
    <x v="0"/>
    <s v="Week22"/>
    <x v="4"/>
    <s v="DRY2400302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1400"/>
    <m/>
    <n v="1400"/>
    <n v="0"/>
    <n v="0"/>
    <m/>
    <m/>
    <m/>
    <m/>
    <m/>
    <m/>
  </r>
  <r>
    <m/>
    <x v="150"/>
    <d v="2024-06-25T00:00:00"/>
    <x v="0"/>
    <s v="Week22"/>
    <x v="4"/>
    <s v="DRY2400370"/>
    <s v="Malay"/>
    <s v="CPFNW"/>
    <s v="CPM Malaysia"/>
    <s v="Wonton"/>
    <x v="1"/>
    <s v="Cooked Wonton No Egg  "/>
    <s v="082S85I24005P01001"/>
    <s v="145g*24"/>
    <n v="24"/>
    <n v="5"/>
    <n v="8.0000000000000002E-3"/>
    <s v="M"/>
    <s v="STPP"/>
    <s v="Regular"/>
    <n v="900"/>
    <n v="900"/>
    <m/>
    <n v="0"/>
    <n v="0"/>
    <m/>
    <m/>
    <m/>
    <n v="30000"/>
    <m/>
    <m/>
  </r>
  <r>
    <m/>
    <x v="150"/>
    <d v="2024-06-25T00:00:00"/>
    <x v="0"/>
    <s v="Week22"/>
    <x v="4"/>
    <s v="DRY2400370"/>
    <s v="Malay"/>
    <s v="CPFNW"/>
    <s v="CPM Malaysia"/>
    <s v="Wonton+TY"/>
    <x v="1"/>
    <s v="Cooked Wonton No Egg  TY"/>
    <s v="082S85I24005P02001"/>
    <s v="115g*24"/>
    <n v="24"/>
    <n v="5"/>
    <n v="8.0000000000000002E-3"/>
    <s v="M"/>
    <s v="STPP"/>
    <s v="TYTB3C 30G"/>
    <n v="850"/>
    <n v="850"/>
    <m/>
    <n v="0"/>
    <n v="0"/>
    <m/>
    <n v="1"/>
    <n v="0"/>
    <m/>
    <m/>
    <m/>
  </r>
  <r>
    <m/>
    <x v="150"/>
    <m/>
    <x v="0"/>
    <s v="Week22"/>
    <x v="4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2649"/>
    <n v="2649"/>
    <m/>
    <n v="0"/>
    <n v="0"/>
    <m/>
    <m/>
    <m/>
    <m/>
    <m/>
    <m/>
  </r>
  <r>
    <s v="R"/>
    <x v="150"/>
    <d v="2024-06-24T00:00:00"/>
    <x v="0"/>
    <s v="Week22"/>
    <x v="4"/>
    <s v="DRY2400421"/>
    <s v="Belgium"/>
    <s v="CPFNW"/>
    <s v="CPF EUROPE S.A."/>
    <s v="R-Wonton no egg"/>
    <x v="2"/>
    <s v="Raw Wonton 50 pcs"/>
    <s v="082I93I10050P02001"/>
    <s v="630g*10inner"/>
    <n v="10"/>
    <n v="50"/>
    <n v="8.1300000000000001E-3"/>
    <s v="M"/>
    <s v="Salt"/>
    <s v="ซุปซอง 5g."/>
    <n v="300"/>
    <n v="300"/>
    <m/>
    <n v="0"/>
    <n v="0"/>
    <n v="0"/>
    <n v="6"/>
    <n v="0"/>
    <m/>
    <m/>
    <m/>
  </r>
  <r>
    <s v="R"/>
    <x v="150"/>
    <d v="2024-06-13T00:00:00"/>
    <x v="0"/>
    <s v="Week22"/>
    <x v="4"/>
    <s v="KL2400011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288"/>
    <n v="288"/>
    <m/>
    <n v="0"/>
    <n v="0"/>
    <n v="0"/>
    <n v="6"/>
    <n v="0"/>
    <m/>
    <m/>
    <m/>
  </r>
  <r>
    <m/>
    <x v="151"/>
    <d v="2024-06-06T00:00:00"/>
    <x v="0"/>
    <s v="Week22"/>
    <x v="4"/>
    <s v="DRY2400439"/>
    <s v="Japan"/>
    <s v="CPFNW"/>
    <s v="CPF JAPAN"/>
    <s v="Wonton+TY"/>
    <x v="1"/>
    <s v="Wonton Soup 5pcs"/>
    <s v="082S85736005P01001"/>
    <s v="147g*6c*6in"/>
    <n v="36"/>
    <n v="5"/>
    <n v="7.4999999999999997E-3"/>
    <s v="M"/>
    <s v="Salt"/>
    <s v="TYEX+CO"/>
    <n v="10"/>
    <n v="10"/>
    <m/>
    <n v="0"/>
    <n v="0"/>
    <m/>
    <m/>
    <m/>
    <s v="NEWPACKAGE"/>
    <m/>
    <m/>
  </r>
  <r>
    <m/>
    <x v="151"/>
    <d v="2024-06-06T00:00:00"/>
    <x v="0"/>
    <s v="Week22"/>
    <x v="4"/>
    <s v="DRY2400472"/>
    <s v="CAN "/>
    <s v="CPFNW "/>
    <s v="CP Foods Canada,Inc (CPFC)"/>
    <s v="Wonton+TY"/>
    <x v="1"/>
    <s v="Wonton Soup  (Enriched wonton sheet)"/>
    <s v="082S85336005P02001"/>
    <s v="147g*6c*6in"/>
    <n v="36"/>
    <n v="5"/>
    <n v="7.4999999999999997E-3"/>
    <s v="M"/>
    <s v="Salt"/>
    <s v="TYEX+CO"/>
    <n v="1288"/>
    <n v="1288"/>
    <m/>
    <n v="0"/>
    <n v="0"/>
    <m/>
    <m/>
    <m/>
    <m/>
    <m/>
    <m/>
  </r>
  <r>
    <m/>
    <x v="151"/>
    <d v="2024-06-06T00:00:00"/>
    <x v="0"/>
    <s v="Week22"/>
    <x v="4"/>
    <s v="DRY2400473"/>
    <s v="CAN "/>
    <s v="CPFNW "/>
    <s v="CP Foods Canada,Inc (CPFC)"/>
    <s v="Wonton+TY"/>
    <x v="1"/>
    <s v="Wonton Soup  (Enriched wonton sheet)"/>
    <s v="082S85336005P02001"/>
    <s v="147g*6c*6in"/>
    <n v="36"/>
    <n v="5"/>
    <n v="7.4999999999999997E-3"/>
    <s v="M"/>
    <s v="Salt"/>
    <s v="TYEX+CO"/>
    <n v="1288"/>
    <n v="1288"/>
    <m/>
    <n v="0"/>
    <n v="0"/>
    <m/>
    <m/>
    <m/>
    <m/>
    <m/>
    <m/>
  </r>
  <r>
    <m/>
    <x v="151"/>
    <d v="2024-06-06T00:00:00"/>
    <x v="0"/>
    <s v="Week22"/>
    <x v="4"/>
    <s v="DRY2400474"/>
    <s v="CAN "/>
    <s v="CPFNW "/>
    <s v="CP Foods Canada,Inc (CPFC)"/>
    <s v="Wonton+TY"/>
    <x v="1"/>
    <s v="Wonton Soup  (Enriched wonton sheet)"/>
    <s v="082S85336005P02001"/>
    <s v="147g*6c*6in"/>
    <n v="36"/>
    <n v="5"/>
    <n v="7.4999999999999997E-3"/>
    <s v="M"/>
    <s v="Salt"/>
    <s v="TYEX+CO"/>
    <n v="1288"/>
    <n v="1288"/>
    <m/>
    <n v="0"/>
    <n v="0"/>
    <m/>
    <m/>
    <m/>
    <m/>
    <m/>
    <m/>
  </r>
  <r>
    <s v="R"/>
    <x v="151"/>
    <d v="2024-06-13T00:00:00"/>
    <x v="0"/>
    <s v="Week22"/>
    <x v="4"/>
    <s v="KL2400011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587"/>
    <n v="587"/>
    <m/>
    <n v="0"/>
    <n v="0"/>
    <n v="0"/>
    <n v="6"/>
    <n v="0"/>
    <m/>
    <m/>
    <m/>
  </r>
  <r>
    <m/>
    <x v="152"/>
    <d v="2024-06-07T00:00:00"/>
    <x v="0"/>
    <s v="Week22"/>
    <x v="5"/>
    <s v="DRY240027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88"/>
    <n v="588"/>
    <m/>
    <n v="0"/>
    <n v="0"/>
    <m/>
    <m/>
    <m/>
    <m/>
    <m/>
    <m/>
  </r>
  <r>
    <m/>
    <x v="152"/>
    <d v="2024-06-07T00:00:00"/>
    <x v="0"/>
    <s v="Week22"/>
    <x v="5"/>
    <s v="DRY240027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52"/>
    <d v="2024-06-07T00:00:00"/>
    <x v="0"/>
    <s v="Week22"/>
    <x v="5"/>
    <s v="DRY240027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52"/>
    <d v="2024-06-07T00:00:00"/>
    <x v="0"/>
    <s v="Week22"/>
    <x v="5"/>
    <s v="DRY240027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52"/>
    <d v="2024-06-07T00:00:00"/>
    <x v="0"/>
    <s v="Week22"/>
    <x v="5"/>
    <s v="DRY240027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52"/>
    <d v="2024-06-07T00:00:00"/>
    <x v="0"/>
    <s v="Week22"/>
    <x v="5"/>
    <s v="DRY240027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02"/>
    <n v="402"/>
    <m/>
    <n v="0"/>
    <n v="0"/>
    <m/>
    <m/>
    <m/>
    <m/>
    <m/>
    <m/>
  </r>
  <r>
    <s v="R"/>
    <x v="152"/>
    <d v="2024-06-13T00:00:00"/>
    <x v="0"/>
    <s v="Week22"/>
    <x v="5"/>
    <s v="KL2400011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533"/>
    <n v="533"/>
    <m/>
    <n v="0"/>
    <n v="0"/>
    <n v="0"/>
    <n v="6"/>
    <n v="0"/>
    <m/>
    <m/>
    <m/>
  </r>
  <r>
    <m/>
    <x v="153"/>
    <m/>
    <x v="0"/>
    <s v="Week22"/>
    <x v="5"/>
    <m/>
    <m/>
    <m/>
    <m/>
    <m/>
    <x v="0"/>
    <m/>
    <m/>
    <m/>
    <m/>
    <m/>
    <m/>
    <m/>
    <m/>
    <m/>
    <m/>
    <m/>
    <m/>
    <m/>
    <m/>
    <m/>
    <m/>
    <m/>
    <m/>
    <m/>
    <m/>
  </r>
  <r>
    <m/>
    <x v="154"/>
    <m/>
    <x v="0"/>
    <s v="Week23"/>
    <x v="5"/>
    <m/>
    <m/>
    <m/>
    <m/>
    <m/>
    <x v="0"/>
    <m/>
    <m/>
    <m/>
    <m/>
    <m/>
    <m/>
    <m/>
    <m/>
    <m/>
    <m/>
    <m/>
    <m/>
    <m/>
    <m/>
    <m/>
    <m/>
    <m/>
    <m/>
    <m/>
    <m/>
  </r>
  <r>
    <m/>
    <x v="155"/>
    <d v="2024-06-19T00:00:00"/>
    <x v="0"/>
    <s v="Week23"/>
    <x v="5"/>
    <s v="DRY2400182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m/>
    <m/>
    <m/>
    <s v="NEWPACKAGE"/>
    <m/>
    <m/>
  </r>
  <r>
    <m/>
    <x v="155"/>
    <d v="2024-06-07T00:00:00"/>
    <x v="0"/>
    <s v="Week23"/>
    <x v="5"/>
    <s v="DRY240027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90"/>
    <n v="390"/>
    <m/>
    <n v="0"/>
    <n v="0"/>
    <m/>
    <m/>
    <m/>
    <m/>
    <m/>
    <m/>
  </r>
  <r>
    <m/>
    <x v="155"/>
    <d v="2024-06-07T00:00:00"/>
    <x v="0"/>
    <s v="Week23"/>
    <x v="5"/>
    <s v="DRY240027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55"/>
    <d v="2024-06-10T00:00:00"/>
    <x v="0"/>
    <s v="Week23"/>
    <x v="5"/>
    <s v="DRY240027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55"/>
    <d v="2024-06-10T00:00:00"/>
    <x v="0"/>
    <s v="Week23"/>
    <x v="5"/>
    <s v="DRY240027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55"/>
    <d v="2024-06-10T00:00:00"/>
    <x v="0"/>
    <s v="Week23"/>
    <x v="5"/>
    <s v="DRY240027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53"/>
    <n v="253"/>
    <m/>
    <n v="0"/>
    <n v="0"/>
    <m/>
    <m/>
    <m/>
    <m/>
    <m/>
    <m/>
  </r>
  <r>
    <m/>
    <x v="156"/>
    <d v="2024-06-10T00:00:00"/>
    <x v="0"/>
    <s v="Week23"/>
    <x v="5"/>
    <s v="DRY240027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39"/>
    <n v="539"/>
    <m/>
    <n v="0"/>
    <n v="0"/>
    <m/>
    <m/>
    <m/>
    <m/>
    <m/>
    <m/>
  </r>
  <r>
    <m/>
    <x v="156"/>
    <d v="2024-06-10T00:00:00"/>
    <x v="0"/>
    <s v="Week23"/>
    <x v="5"/>
    <s v="DRY240028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56"/>
    <d v="2024-06-10T00:00:00"/>
    <x v="0"/>
    <s v="Week23"/>
    <x v="5"/>
    <s v="DRY240028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56"/>
    <d v="2024-06-11T00:00:00"/>
    <x v="0"/>
    <s v="Week23"/>
    <x v="5"/>
    <s v="DRY240028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56"/>
    <d v="2024-06-11T00:00:00"/>
    <x v="0"/>
    <s v="Week23"/>
    <x v="5"/>
    <s v="DRY240028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76"/>
    <n v="476"/>
    <m/>
    <n v="0"/>
    <n v="0"/>
    <m/>
    <m/>
    <m/>
    <m/>
    <m/>
    <m/>
  </r>
  <r>
    <m/>
    <x v="157"/>
    <d v="2024-06-25T00:00:00"/>
    <x v="0"/>
    <s v="Week23"/>
    <x v="5"/>
    <s v="DRY2400196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  <s v="ใช้ package ที่เป็น หมึกพิมพ์ใหม่"/>
    <m/>
    <m/>
  </r>
  <r>
    <m/>
    <x v="157"/>
    <d v="2024-06-13T00:00:00"/>
    <x v="0"/>
    <s v="Week23"/>
    <x v="5"/>
    <s v="DRY2400313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54"/>
    <n v="54"/>
    <m/>
    <n v="0"/>
    <n v="0"/>
    <m/>
    <m/>
    <m/>
    <s v="NEWPACKAGE"/>
    <m/>
    <m/>
  </r>
  <r>
    <m/>
    <x v="157"/>
    <d v="2024-06-13T00:00:00"/>
    <x v="0"/>
    <s v="Week23"/>
    <x v="5"/>
    <s v="DRY2400325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s v="NEWPACKAGE"/>
    <m/>
    <m/>
  </r>
  <r>
    <m/>
    <x v="157"/>
    <d v="2024-06-20T00:00:00"/>
    <x v="0"/>
    <s v="Week23"/>
    <x v="5"/>
    <s v="DRY2400326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897"/>
    <n v="897"/>
    <m/>
    <n v="0"/>
    <n v="0"/>
    <m/>
    <m/>
    <m/>
    <s v="NEWPACKAGE"/>
    <m/>
    <m/>
  </r>
  <r>
    <m/>
    <x v="157"/>
    <d v="2024-06-15T00:00:00"/>
    <x v="0"/>
    <s v="Week23"/>
    <x v="5"/>
    <s v="KL2400016"/>
    <s v="China"/>
    <s v="China"/>
    <s v="Charoen Pokphand Import&amp;Export Trading (Shanghai) Co., Ltd"/>
    <s v="Wonton+TY"/>
    <x v="1"/>
    <s v="Wonton Soup  (Enriched wonton sheet)"/>
    <s v="082S85J36005P00001"/>
    <s v="147g*6c*6in"/>
    <n v="36"/>
    <n v="5"/>
    <n v="7.4999999999999997E-3"/>
    <s v="M"/>
    <s v="Salt"/>
    <s v="TYEX+CO"/>
    <n v="390"/>
    <n v="390"/>
    <m/>
    <n v="0"/>
    <n v="0"/>
    <m/>
    <m/>
    <m/>
    <m/>
    <m/>
    <m/>
  </r>
  <r>
    <m/>
    <x v="158"/>
    <d v="2024-06-10T00:00:00"/>
    <x v="0"/>
    <s v="Week23"/>
    <x v="5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2808"/>
    <n v="2808"/>
    <m/>
    <n v="0"/>
    <n v="0"/>
    <m/>
    <m/>
    <m/>
    <s v="NEWPACKAGE"/>
    <m/>
    <m/>
  </r>
  <r>
    <m/>
    <x v="158"/>
    <m/>
    <x v="0"/>
    <s v="Week23"/>
    <x v="5"/>
    <s v="ขายภายใน"/>
    <s v=".7-11"/>
    <s v="CPFGS"/>
    <s v="ซีพีเอฟ เทรดดิ้ง"/>
    <s v="Wonton ND+V+TY"/>
    <x v="1"/>
    <s v="Cooked Wonton ND+ Vegetable  SS  3 pcs"/>
    <s v="082SJ1A12003P02001"/>
    <s v="211g*12"/>
    <n v="12"/>
    <n v="3"/>
    <n v="6.1999999999999998E-3"/>
    <s v="SS"/>
    <s v="STPP"/>
    <s v="TYNSF"/>
    <n v="6596"/>
    <n v="6596"/>
    <m/>
    <n v="0"/>
    <n v="0"/>
    <m/>
    <m/>
    <m/>
    <s v="ขั่นต่ำ 58,000 ถ้วย"/>
    <m/>
    <m/>
  </r>
  <r>
    <s v="R"/>
    <x v="158"/>
    <d v="2024-07-23T00:00:00"/>
    <x v="0"/>
    <s v="Week23"/>
    <x v="5"/>
    <s v="DRY2400190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523"/>
    <n v="523"/>
    <m/>
    <n v="0"/>
    <n v="0"/>
    <n v="0"/>
    <n v="2"/>
    <n v="0"/>
    <m/>
    <m/>
    <m/>
  </r>
  <r>
    <m/>
    <x v="159"/>
    <d v="2024-06-11T00:00:00"/>
    <x v="0"/>
    <s v="Week23"/>
    <x v="5"/>
    <s v="DRY240028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16"/>
    <n v="316"/>
    <m/>
    <n v="0"/>
    <n v="0"/>
    <m/>
    <m/>
    <m/>
    <m/>
    <m/>
    <m/>
  </r>
  <r>
    <m/>
    <x v="159"/>
    <d v="2024-06-14T00:00:00"/>
    <x v="0"/>
    <s v="Week23"/>
    <x v="5"/>
    <s v="DRY240028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39"/>
    <n v="739"/>
    <m/>
    <n v="0"/>
    <n v="0"/>
    <m/>
    <m/>
    <m/>
    <m/>
    <m/>
    <m/>
  </r>
  <r>
    <m/>
    <x v="159"/>
    <d v="2024-06-19T00:00:00"/>
    <x v="0"/>
    <s v="Week23"/>
    <x v="5"/>
    <s v="DRY2400358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159"/>
    <d v="2024-06-19T00:00:00"/>
    <x v="0"/>
    <s v="Week23"/>
    <x v="5"/>
    <s v="DRY2400490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632"/>
    <n v="160"/>
    <n v="0"/>
    <n v="0"/>
    <m/>
    <m/>
    <m/>
    <m/>
    <m/>
    <m/>
  </r>
  <r>
    <m/>
    <x v="159"/>
    <d v="2024-06-26T00:00:00"/>
    <x v="0"/>
    <s v="Week23"/>
    <x v="5"/>
    <s v="DRY2400391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592"/>
    <n v="200"/>
    <n v="0"/>
    <n v="0"/>
    <m/>
    <m/>
    <m/>
    <m/>
    <m/>
    <m/>
  </r>
  <r>
    <m/>
    <x v="159"/>
    <d v="2024-06-20T00:00:00"/>
    <x v="0"/>
    <s v="Week23"/>
    <x v="5"/>
    <s v="DRY2400093"/>
    <s v="Spain"/>
    <s v="CPFNW"/>
    <s v="Mercadona"/>
    <s v="Wonton ND+V"/>
    <x v="1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09"/>
    <n v="11"/>
    <n v="0"/>
    <n v="0"/>
    <m/>
    <m/>
    <m/>
    <s v="รวบการผลิตให้เป็นวันเดียวกันตามความต้องการของลูกค้า"/>
    <m/>
    <m/>
  </r>
  <r>
    <s v="R"/>
    <x v="159"/>
    <d v="2024-07-23T00:00:00"/>
    <x v="0"/>
    <s v="Week23"/>
    <x v="5"/>
    <s v="DRY2400190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552"/>
    <n v="552"/>
    <m/>
    <n v="0"/>
    <n v="0"/>
    <n v="0"/>
    <n v="2"/>
    <n v="0"/>
    <m/>
    <m/>
    <m/>
  </r>
  <r>
    <m/>
    <x v="160"/>
    <m/>
    <x v="0"/>
    <s v="Week23"/>
    <x v="5"/>
    <m/>
    <m/>
    <m/>
    <m/>
    <m/>
    <x v="0"/>
    <m/>
    <m/>
    <m/>
    <m/>
    <m/>
    <m/>
    <m/>
    <m/>
    <m/>
    <m/>
    <m/>
    <m/>
    <m/>
    <m/>
    <m/>
    <m/>
    <m/>
    <m/>
    <m/>
    <m/>
  </r>
  <r>
    <m/>
    <x v="161"/>
    <d v="2024-07-10T00:00:00"/>
    <x v="0"/>
    <s v="Week24"/>
    <x v="5"/>
    <s v="DRY2400183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m/>
    <m/>
    <m/>
    <s v="NEWPACKAGE"/>
    <m/>
    <m/>
  </r>
  <r>
    <m/>
    <x v="161"/>
    <d v="2024-06-14T00:00:00"/>
    <x v="0"/>
    <s v="Week24"/>
    <x v="5"/>
    <s v="DRY240028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3"/>
    <n v="53"/>
    <m/>
    <n v="0"/>
    <n v="0"/>
    <m/>
    <m/>
    <m/>
    <m/>
    <m/>
    <m/>
  </r>
  <r>
    <m/>
    <x v="161"/>
    <d v="2024-06-14T00:00:00"/>
    <x v="0"/>
    <s v="Week24"/>
    <x v="5"/>
    <s v="DRY240028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61"/>
    <d v="2024-06-14T00:00:00"/>
    <x v="0"/>
    <s v="Week24"/>
    <x v="5"/>
    <s v="DRY240028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61"/>
    <d v="2024-06-14T00:00:00"/>
    <x v="0"/>
    <s v="Week24"/>
    <x v="5"/>
    <s v="DRY240028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61"/>
    <d v="2024-06-15T00:00:00"/>
    <x v="0"/>
    <s v="Week24"/>
    <x v="5"/>
    <s v="DRY240028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40"/>
    <n v="740"/>
    <m/>
    <n v="0"/>
    <n v="0"/>
    <m/>
    <m/>
    <m/>
    <m/>
    <m/>
    <m/>
  </r>
  <r>
    <s v="R"/>
    <x v="161"/>
    <d v="2024-07-23T00:00:00"/>
    <x v="0"/>
    <s v="Week24"/>
    <x v="5"/>
    <s v="DRY2400190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468"/>
    <n v="468"/>
    <m/>
    <n v="0"/>
    <n v="0"/>
    <n v="0"/>
    <n v="2"/>
    <n v="0"/>
    <m/>
    <m/>
    <m/>
  </r>
  <r>
    <m/>
    <x v="162"/>
    <d v="2024-06-15T00:00:00"/>
    <x v="0"/>
    <s v="Week24"/>
    <x v="5"/>
    <s v="DRY240028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2"/>
    <n v="52"/>
    <m/>
    <n v="0"/>
    <n v="0"/>
    <m/>
    <m/>
    <m/>
    <m/>
    <m/>
    <m/>
  </r>
  <r>
    <m/>
    <x v="162"/>
    <d v="2024-06-15T00:00:00"/>
    <x v="0"/>
    <s v="Week24"/>
    <x v="5"/>
    <s v="DRY240028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62"/>
    <d v="2024-06-17T00:00:00"/>
    <x v="0"/>
    <s v="Week24"/>
    <x v="5"/>
    <s v="DRY240029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62"/>
    <d v="2024-06-17T00:00:00"/>
    <x v="0"/>
    <s v="Week24"/>
    <x v="5"/>
    <s v="DRY240029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62"/>
    <d v="2024-06-17T00:00:00"/>
    <x v="0"/>
    <s v="Week24"/>
    <x v="5"/>
    <s v="DRY240029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62"/>
    <d v="2024-06-17T00:00:00"/>
    <x v="0"/>
    <s v="Week24"/>
    <x v="5"/>
    <s v="DRY240029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62"/>
    <d v="2024-06-17T00:00:00"/>
    <x v="0"/>
    <s v="Week24"/>
    <x v="5"/>
    <s v="DRY240033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9"/>
    <n v="69"/>
    <m/>
    <n v="0"/>
    <n v="0"/>
    <m/>
    <m/>
    <m/>
    <m/>
    <m/>
    <m/>
  </r>
  <r>
    <s v="R"/>
    <x v="162"/>
    <d v="2024-07-23T00:00:00"/>
    <x v="0"/>
    <s v="Week24"/>
    <x v="5"/>
    <s v="DRY2400190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81"/>
    <n v="81"/>
    <m/>
    <n v="0"/>
    <n v="0"/>
    <n v="0"/>
    <n v="2"/>
    <n v="0"/>
    <m/>
    <m/>
    <m/>
  </r>
  <r>
    <s v="R"/>
    <x v="162"/>
    <d v="2024-06-17T00:00:00"/>
    <x v="0"/>
    <s v="Week24"/>
    <x v="5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347"/>
    <n v="347"/>
    <m/>
    <n v="0"/>
    <n v="0"/>
    <n v="0"/>
    <m/>
    <n v="0"/>
    <m/>
    <m/>
    <m/>
  </r>
  <r>
    <s v="R"/>
    <x v="162"/>
    <d v="2024-06-17T00:00:00"/>
    <x v="0"/>
    <s v="Week24"/>
    <x v="5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208"/>
    <n v="208"/>
    <m/>
    <n v="0"/>
    <n v="0"/>
    <n v="0"/>
    <m/>
    <n v="0"/>
    <m/>
    <m/>
    <m/>
  </r>
  <r>
    <s v="R"/>
    <x v="162"/>
    <d v="2024-07-01T00:00:00"/>
    <x v="0"/>
    <s v="Week24"/>
    <x v="5"/>
    <s v="DRY2400424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287"/>
    <n v="274"/>
    <n v="13"/>
    <n v="0"/>
    <n v="0"/>
    <n v="0"/>
    <n v="1"/>
    <n v="0"/>
    <m/>
    <m/>
    <m/>
  </r>
  <r>
    <s v="R"/>
    <x v="162"/>
    <d v="2024-07-01T00:00:00"/>
    <x v="0"/>
    <s v="Week24"/>
    <x v="5"/>
    <s v="DRY2400424"/>
    <s v="HK"/>
    <s v="CPFNW"/>
    <s v="CPM Hongkong"/>
    <s v="R-Minced egg past"/>
    <x v="2"/>
    <s v="Raw Minced Wonton 8 pcs"/>
    <s v="082ID3G18008P00001"/>
    <s v="90g*18in"/>
    <n v="18"/>
    <n v="8"/>
    <n v="6.0000000000000001E-3"/>
    <s v="BK"/>
    <s v="STPP"/>
    <s v="ซุปซอง 5g."/>
    <n v="250"/>
    <n v="240"/>
    <n v="24"/>
    <n v="14"/>
    <n v="0"/>
    <n v="0"/>
    <n v="2"/>
    <n v="0"/>
    <m/>
    <m/>
    <m/>
  </r>
  <r>
    <m/>
    <x v="163"/>
    <d v="2024-06-17T00:00:00"/>
    <x v="0"/>
    <s v="Week24"/>
    <x v="5"/>
    <s v="DRY240033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23"/>
    <n v="723"/>
    <m/>
    <n v="0"/>
    <n v="0"/>
    <m/>
    <m/>
    <m/>
    <m/>
    <m/>
    <m/>
  </r>
  <r>
    <m/>
    <x v="163"/>
    <d v="2024-06-18T00:00:00"/>
    <x v="0"/>
    <s v="Week24"/>
    <x v="5"/>
    <s v="DRY240033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63"/>
    <d v="2024-06-22T00:00:00"/>
    <x v="0"/>
    <s v="Week24"/>
    <x v="5"/>
    <s v="DRY240033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63"/>
    <d v="2024-06-22T00:00:00"/>
    <x v="0"/>
    <s v="Week24"/>
    <x v="5"/>
    <s v="DRY240033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63"/>
    <d v="2024-06-22T00:00:00"/>
    <x v="0"/>
    <s v="Week24"/>
    <x v="5"/>
    <s v="DRY240033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63"/>
    <d v="2024-06-22T00:00:00"/>
    <x v="0"/>
    <s v="Week24"/>
    <x v="5"/>
    <s v="DRY240033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81"/>
    <n v="281"/>
    <m/>
    <n v="0"/>
    <n v="0"/>
    <m/>
    <m/>
    <m/>
    <m/>
    <m/>
    <m/>
  </r>
  <r>
    <s v="R"/>
    <x v="163"/>
    <d v="2024-07-01T00:00:00"/>
    <x v="0"/>
    <s v="Week24"/>
    <x v="5"/>
    <s v="DRY2400424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1363"/>
    <n v="893"/>
    <n v="954"/>
    <n v="484"/>
    <n v="0"/>
    <n v="0"/>
    <n v="1"/>
    <n v="0"/>
    <m/>
    <m/>
    <m/>
  </r>
  <r>
    <m/>
    <x v="164"/>
    <d v="2024-06-17T00:00:00"/>
    <x v="0"/>
    <s v="Week24"/>
    <x v="5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878"/>
    <n v="878"/>
    <m/>
    <n v="0"/>
    <n v="0"/>
    <m/>
    <m/>
    <m/>
    <s v="NEWPACKAGE"/>
    <m/>
    <m/>
  </r>
  <r>
    <m/>
    <x v="164"/>
    <d v="2024-06-24T00:00:00"/>
    <x v="0"/>
    <s v="Week24"/>
    <x v="5"/>
    <s v="DRY2400421"/>
    <s v="Belgium"/>
    <s v="CPFNW"/>
    <s v="CPF EUROPE S.A."/>
    <s v="Wonton +V"/>
    <x v="1"/>
    <s v="Cooked Wonton  No Egg _x000a_+ Vegetable  HC  4 pcs"/>
    <s v="082S83I08004P00001"/>
    <s v="145g*8"/>
    <n v="8"/>
    <n v="4"/>
    <n v="7.4999999999999997E-3"/>
    <s v="HC"/>
    <s v="Salt"/>
    <s v="Regular"/>
    <n v="2700"/>
    <m/>
    <n v="2703.375"/>
    <n v="3.375"/>
    <n v="0"/>
    <m/>
    <m/>
    <m/>
    <m/>
    <m/>
    <m/>
  </r>
  <r>
    <m/>
    <x v="164"/>
    <d v="2024-07-03T00:00:00"/>
    <x v="0"/>
    <s v="Week24"/>
    <x v="5"/>
    <s v="DRY2400359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164"/>
    <d v="2024-07-03T00:00:00"/>
    <x v="0"/>
    <s v="Week24"/>
    <x v="5"/>
    <s v="DRY2400360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649"/>
    <n v="143"/>
    <n v="0"/>
    <n v="0"/>
    <m/>
    <m/>
    <m/>
    <m/>
    <m/>
    <m/>
  </r>
  <r>
    <m/>
    <x v="164"/>
    <d v="2024-07-03T00:00:00"/>
    <x v="0"/>
    <s v="Week24"/>
    <x v="5"/>
    <s v="DRY2400357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+CO"/>
    <n v="924"/>
    <n v="924"/>
    <m/>
    <n v="0"/>
    <n v="0"/>
    <m/>
    <m/>
    <m/>
    <s v="351 ถ้วยUK /1030 New Zealand"/>
    <m/>
    <m/>
  </r>
  <r>
    <m/>
    <x v="164"/>
    <d v="2024-07-24T00:00:00"/>
    <x v="0"/>
    <s v="Week24"/>
    <x v="5"/>
    <s v="DRY2400396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+CO"/>
    <n v="924"/>
    <n v="910"/>
    <n v="14"/>
    <n v="0"/>
    <n v="0"/>
    <m/>
    <m/>
    <m/>
    <m/>
    <m/>
    <m/>
  </r>
  <r>
    <m/>
    <x v="164"/>
    <d v="2024-07-01T00:00:00"/>
    <x v="0"/>
    <s v="Week24"/>
    <x v="5"/>
    <s v="DRY2400423"/>
    <s v="New Zealand"/>
    <s v="CPFNW"/>
    <s v="Lim Brothers"/>
    <s v="Minced ND+V+TY"/>
    <x v="1"/>
    <s v="Cooked Minced  ND No Egg with Pumpkin_x000a_+ Yu Choy Tomyum"/>
    <s v="082SRN708003P00001"/>
    <s v="302g*8"/>
    <n v="8"/>
    <n v="3"/>
    <n v="6.0000000000000001E-3"/>
    <s v="BK"/>
    <s v="Salt"/>
    <s v="TYA+CO"/>
    <n v="594"/>
    <m/>
    <n v="594"/>
    <n v="0"/>
    <n v="0"/>
    <m/>
    <m/>
    <m/>
    <s v="670 kg.exp 10/7 / ทำได้ 13,000 ครั้งเดียว แต่ถ้าทำ 2 รอบจะเป็น 4,752 / 6,000"/>
    <m/>
    <m/>
  </r>
  <r>
    <s v="R"/>
    <x v="164"/>
    <d v="2024-07-13T00:00:00"/>
    <x v="0"/>
    <s v="Week24"/>
    <x v="5"/>
    <s v="DRY2400434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1088"/>
    <n v="1088"/>
    <m/>
    <n v="0"/>
    <n v="0"/>
    <n v="0"/>
    <n v="2"/>
    <n v="0"/>
    <s v="ห่อแบบสุก"/>
    <m/>
    <m/>
  </r>
  <r>
    <m/>
    <x v="165"/>
    <d v="2024-06-20T00:00:00"/>
    <x v="0"/>
    <s v="Week24"/>
    <x v="5"/>
    <s v="DRY2400326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391"/>
    <n v="391"/>
    <m/>
    <n v="0"/>
    <n v="0"/>
    <m/>
    <m/>
    <m/>
    <s v="NEWPACKAGE"/>
    <m/>
    <m/>
  </r>
  <r>
    <m/>
    <x v="165"/>
    <d v="2024-06-27T00:00:00"/>
    <x v="0"/>
    <s v="Week24"/>
    <x v="5"/>
    <s v="DRY2400314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75"/>
    <n v="13"/>
    <n v="0"/>
    <n v="0"/>
    <m/>
    <m/>
    <m/>
    <s v="NEWPACKAGE"/>
    <m/>
    <m/>
  </r>
  <r>
    <m/>
    <x v="165"/>
    <d v="2024-06-17T00:00:00"/>
    <x v="0"/>
    <s v="Week24"/>
    <x v="5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3133"/>
    <n v="3133"/>
    <m/>
    <n v="0"/>
    <n v="0"/>
    <m/>
    <m/>
    <m/>
    <s v="NEWPACKAGE"/>
    <m/>
    <m/>
  </r>
  <r>
    <s v="R"/>
    <x v="165"/>
    <d v="2024-07-13T00:00:00"/>
    <x v="0"/>
    <s v="Week24"/>
    <x v="5"/>
    <s v="DRY2400434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912"/>
    <n v="912"/>
    <m/>
    <n v="0"/>
    <n v="0"/>
    <n v="0"/>
    <n v="2"/>
    <n v="0"/>
    <s v="ห่อแบบสุก"/>
    <m/>
    <m/>
  </r>
  <r>
    <m/>
    <x v="166"/>
    <d v="2024-06-18T00:00:00"/>
    <x v="0"/>
    <s v="Week24"/>
    <x v="5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2140"/>
    <n v="2140"/>
    <m/>
    <n v="0"/>
    <n v="0"/>
    <m/>
    <m/>
    <m/>
    <s v="NEWPACKAGE"/>
    <m/>
    <m/>
  </r>
  <r>
    <m/>
    <x v="166"/>
    <d v="2024-06-26T00:00:00"/>
    <x v="0"/>
    <s v="Week24"/>
    <x v="5"/>
    <s v="DRY2400393"/>
    <s v="AUS"/>
    <s v="CPFNW"/>
    <s v="CPF Australia Pty Ltd."/>
    <s v="Minced ND+Kee Mao"/>
    <x v="1"/>
    <s v="Cooked Minced Wonton Thai Spicy Noodles (Kee Mao Noodles)"/>
    <s v="082SR9U08003P02001"/>
    <s v="219g*8"/>
    <n v="8"/>
    <n v="3"/>
    <n v="8.0000000000000002E-3"/>
    <s v="BK"/>
    <s v="Salt"/>
    <s v="Kee Mao 50G."/>
    <n v="300"/>
    <m/>
    <n v="300"/>
    <n v="0"/>
    <n v="0"/>
    <m/>
    <m/>
    <m/>
    <s v="รอ rd สรุป"/>
    <m/>
    <m/>
  </r>
  <r>
    <m/>
    <x v="166"/>
    <d v="2024-07-10T00:00:00"/>
    <x v="0"/>
    <s v="Week24"/>
    <x v="5"/>
    <s v="DRY2400394"/>
    <s v="AUS"/>
    <s v="CPFNW"/>
    <s v="CPF Australia Pty Ltd."/>
    <s v="Minced ND+Kee Mao"/>
    <x v="1"/>
    <s v="Cooked Minced Wonton Thai Spicy Noodles (Kee Mao Noodles)"/>
    <s v="082SR9U08003P02001"/>
    <s v="219g*8"/>
    <n v="8"/>
    <n v="3"/>
    <n v="8.0000000000000002E-3"/>
    <s v="BK"/>
    <s v="Salt"/>
    <s v="Kee Mao 50G."/>
    <n v="200"/>
    <m/>
    <n v="207.125"/>
    <n v="7.125"/>
    <n v="0"/>
    <m/>
    <m/>
    <m/>
    <s v="รอ rd สรุป"/>
    <m/>
    <m/>
  </r>
  <r>
    <m/>
    <x v="166"/>
    <d v="2024-07-01T00:00:00"/>
    <x v="0"/>
    <s v="Week24"/>
    <x v="5"/>
    <s v="DRY2400423"/>
    <s v="New Zealand"/>
    <s v="CPFNW"/>
    <s v="Lim Brothers"/>
    <s v="Minced ND+Kee Mao"/>
    <x v="1"/>
    <s v="Cooked Minced Wonton Thai Spicy Noodles (Kee Mao Noodles)"/>
    <s v="082SRN708003P02001"/>
    <s v="219g*8"/>
    <n v="8"/>
    <n v="3"/>
    <n v="6.0000000000000001E-3"/>
    <s v="BK"/>
    <s v="Salt"/>
    <s v="Kee Mao 50G."/>
    <n v="108"/>
    <m/>
    <n v="108"/>
    <n v="0"/>
    <n v="0"/>
    <m/>
    <m/>
    <m/>
    <s v="NEWPACKAGE"/>
    <m/>
    <m/>
  </r>
  <r>
    <m/>
    <x v="166"/>
    <d v="2024-06-26T00:00:00"/>
    <x v="0"/>
    <s v="Week24"/>
    <x v="5"/>
    <s v="DRY2400119"/>
    <s v="Germany"/>
    <s v="CPFNW"/>
    <s v=" CPF Distribution (under Paulsen Food)"/>
    <s v="Minced ND+V+TK"/>
    <x v="1"/>
    <s v="Cooked Minced  ND No Egg with Pumpkin_x000a_+ Yu Choy Tomkha"/>
    <s v="082SR3N12003P01001"/>
    <s v="302g*12"/>
    <n v="12"/>
    <n v="3"/>
    <n v="6.0000000000000001E-3"/>
    <s v="BK"/>
    <s v="Salt"/>
    <s v="Tomkha+CM"/>
    <n v="2040"/>
    <m/>
    <n v="2040"/>
    <n v="0"/>
    <n v="0"/>
    <m/>
    <m/>
    <m/>
    <s v="Newpackage330x330x234 mm.=2040+238"/>
    <m/>
    <m/>
  </r>
  <r>
    <m/>
    <x v="166"/>
    <d v="2024-06-26T00:00:00"/>
    <x v="0"/>
    <s v="Week24"/>
    <x v="5"/>
    <s v="DRY2400425"/>
    <s v="Denmark"/>
    <s v="CPFNW"/>
    <s v="CPF DENMARK"/>
    <s v="Minced ND+V+TK"/>
    <x v="1"/>
    <s v="Cooked Minced  ND No Egg with Pumpkin_x000a_+ Yu Choy Tomyum"/>
    <s v="082SJKW08003P01001"/>
    <s v="302g*8"/>
    <n v="8"/>
    <n v="3"/>
    <n v="6.0000000000000001E-3"/>
    <s v="BK"/>
    <s v="Salt"/>
    <s v="Tomkha+CM"/>
    <n v="3500"/>
    <m/>
    <n v="3500"/>
    <n v="0"/>
    <n v="0"/>
    <m/>
    <m/>
    <m/>
    <s v="Newpackage330x330x234 mm.=2040+238"/>
    <m/>
    <m/>
  </r>
  <r>
    <m/>
    <x v="166"/>
    <d v="2024-07-08T00:00:00"/>
    <x v="0"/>
    <s v="Week24"/>
    <x v="5"/>
    <s v="DRY2400426"/>
    <s v="Denmark"/>
    <s v="CPFNW"/>
    <s v="CPF DENMARK"/>
    <s v="Minced ND+V+TK"/>
    <x v="1"/>
    <s v="Cooked Minced  ND No Egg with Pumpkin_x000a_+ Yu Choy Tomyum"/>
    <s v="082SJKW08003P01001"/>
    <s v="302g*8"/>
    <n v="8"/>
    <n v="3"/>
    <n v="6.0000000000000001E-3"/>
    <s v="BK"/>
    <s v="Salt"/>
    <s v="Tomkha+CM"/>
    <n v="3283"/>
    <m/>
    <n v="3283"/>
    <n v="0"/>
    <n v="0"/>
    <m/>
    <m/>
    <m/>
    <s v="Newpackage330x330x234 mm.=2040+238"/>
    <m/>
    <m/>
  </r>
  <r>
    <m/>
    <x v="166"/>
    <d v="2024-07-01T00:00:00"/>
    <x v="0"/>
    <s v="Week24"/>
    <x v="5"/>
    <s v="DRY2400423"/>
    <s v="New Zealand"/>
    <s v="CPFNW"/>
    <s v="Lim Brothers"/>
    <s v="Minced ND+V+TK"/>
    <x v="1"/>
    <s v="Cooked Minced  ND No Egg with Pumpkin_x000a_+ Yu Choy Tomkha"/>
    <s v="082SRN708003P01001"/>
    <s v="302g*8"/>
    <n v="8"/>
    <n v="3"/>
    <n v="6.0000000000000001E-3"/>
    <s v="BK"/>
    <s v="Salt"/>
    <s v="Tomkha+CM"/>
    <n v="810"/>
    <m/>
    <n v="810"/>
    <n v="0"/>
    <n v="0"/>
    <m/>
    <m/>
    <m/>
    <s v="สำรอง บรูไน"/>
    <m/>
    <m/>
  </r>
  <r>
    <m/>
    <x v="166"/>
    <d v="2024-07-15T00:00:00"/>
    <x v="0"/>
    <s v="Week24"/>
    <x v="5"/>
    <s v="DRY2400394"/>
    <s v="AUS"/>
    <s v="CPFNW"/>
    <s v="CPF Australia Pty Ltd."/>
    <s v="Minced ND+V+TK"/>
    <x v="1"/>
    <s v="Cooked Minced  ND No Egg with Pumpkin_x000a_+ Yu Choy Tomkha"/>
    <s v="082SR9U08003P01001"/>
    <s v="302g*8"/>
    <n v="8"/>
    <n v="3"/>
    <n v="6.0000000000000001E-3"/>
    <s v="BK"/>
    <s v="Salt"/>
    <s v="Tomkha+CM"/>
    <n v="350"/>
    <m/>
    <n v="350"/>
    <n v="0"/>
    <n v="0"/>
    <m/>
    <m/>
    <m/>
    <m/>
    <m/>
    <m/>
  </r>
  <r>
    <s v="R"/>
    <x v="166"/>
    <d v="2024-07-03T00:00:00"/>
    <x v="0"/>
    <s v="Week24"/>
    <x v="5"/>
    <s v="DRY2400496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551"/>
    <n v="551"/>
    <m/>
    <n v="0"/>
    <n v="0"/>
    <n v="0"/>
    <n v="6"/>
    <n v="0"/>
    <m/>
    <m/>
    <m/>
  </r>
  <r>
    <m/>
    <x v="167"/>
    <m/>
    <x v="0"/>
    <s v="Week24"/>
    <x v="5"/>
    <m/>
    <m/>
    <m/>
    <m/>
    <m/>
    <x v="0"/>
    <m/>
    <m/>
    <m/>
    <m/>
    <m/>
    <m/>
    <m/>
    <m/>
    <m/>
    <m/>
    <m/>
    <m/>
    <m/>
    <m/>
    <m/>
    <m/>
    <m/>
    <m/>
    <m/>
    <m/>
  </r>
  <r>
    <m/>
    <x v="168"/>
    <d v="2024-07-01T00:00:00"/>
    <x v="0"/>
    <s v="Week25"/>
    <x v="5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3613"/>
    <n v="3613"/>
    <m/>
    <n v="0"/>
    <n v="0"/>
    <m/>
    <m/>
    <m/>
    <s v="NEWPACKAGE"/>
    <m/>
    <m/>
  </r>
  <r>
    <m/>
    <x v="168"/>
    <d v="2024-06-22T00:00:00"/>
    <x v="0"/>
    <s v="Week25"/>
    <x v="5"/>
    <s v="DRY240033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11"/>
    <n v="511"/>
    <m/>
    <n v="0"/>
    <n v="0"/>
    <m/>
    <m/>
    <m/>
    <m/>
    <m/>
    <m/>
  </r>
  <r>
    <m/>
    <x v="168"/>
    <d v="2024-06-22T00:00:00"/>
    <x v="0"/>
    <s v="Week25"/>
    <x v="5"/>
    <s v="DRY240034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68"/>
    <d v="2024-06-24T00:00:00"/>
    <x v="0"/>
    <s v="Week25"/>
    <x v="5"/>
    <s v="DRY240034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27"/>
    <n v="327"/>
    <m/>
    <n v="0"/>
    <n v="0"/>
    <m/>
    <m/>
    <m/>
    <m/>
    <m/>
    <m/>
  </r>
  <r>
    <s v="R"/>
    <x v="168"/>
    <d v="2024-07-03T00:00:00"/>
    <x v="0"/>
    <s v="Week25"/>
    <x v="5"/>
    <s v="DRY2400496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532"/>
    <n v="532"/>
    <m/>
    <n v="0"/>
    <n v="0"/>
    <n v="0"/>
    <n v="6"/>
    <n v="0"/>
    <m/>
    <m/>
    <m/>
  </r>
  <r>
    <m/>
    <x v="169"/>
    <d v="2024-06-24T00:00:00"/>
    <x v="0"/>
    <s v="Week25"/>
    <x v="5"/>
    <s v="DRY240034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65"/>
    <n v="465"/>
    <m/>
    <n v="0"/>
    <n v="0"/>
    <m/>
    <m/>
    <m/>
    <m/>
    <m/>
    <m/>
  </r>
  <r>
    <m/>
    <x v="169"/>
    <d v="2024-06-24T00:00:00"/>
    <x v="0"/>
    <s v="Week25"/>
    <x v="5"/>
    <s v="DRY240034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69"/>
    <d v="2024-06-24T00:00:00"/>
    <x v="0"/>
    <s v="Week25"/>
    <x v="5"/>
    <s v="DRY240034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69"/>
    <d v="2024-06-24T00:00:00"/>
    <x v="0"/>
    <s v="Week25"/>
    <x v="5"/>
    <s v="DRY240034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69"/>
    <d v="2024-06-24T00:00:00"/>
    <x v="0"/>
    <s v="Week25"/>
    <x v="5"/>
    <s v="DRY240034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69"/>
    <d v="2024-06-24T00:00:00"/>
    <x v="0"/>
    <s v="Week25"/>
    <x v="5"/>
    <s v="DRY240034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90"/>
    <n v="390"/>
    <m/>
    <n v="0"/>
    <n v="0"/>
    <m/>
    <m/>
    <m/>
    <m/>
    <m/>
    <m/>
  </r>
  <r>
    <s v="R"/>
    <x v="169"/>
    <d v="2024-07-03T00:00:00"/>
    <x v="0"/>
    <s v="Week25"/>
    <x v="5"/>
    <s v="DRY2400496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537"/>
    <n v="537"/>
    <m/>
    <n v="0"/>
    <n v="0"/>
    <n v="0"/>
    <n v="6"/>
    <n v="0"/>
    <m/>
    <m/>
    <m/>
  </r>
  <r>
    <m/>
    <x v="170"/>
    <d v="2024-06-24T00:00:00"/>
    <x v="0"/>
    <s v="Week25"/>
    <x v="5"/>
    <s v="DRY240034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02"/>
    <n v="402"/>
    <m/>
    <n v="0"/>
    <n v="0"/>
    <m/>
    <m/>
    <m/>
    <m/>
    <m/>
    <m/>
  </r>
  <r>
    <m/>
    <x v="170"/>
    <d v="2024-06-25T00:00:00"/>
    <x v="0"/>
    <s v="Week25"/>
    <x v="5"/>
    <s v="DRY240034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70"/>
    <d v="2024-07-01T00:00:00"/>
    <x v="0"/>
    <s v="Week25"/>
    <x v="5"/>
    <s v="DRY240034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70"/>
    <d v="2024-07-01T00:00:00"/>
    <x v="0"/>
    <s v="Week25"/>
    <x v="5"/>
    <s v="DRY240034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70"/>
    <d v="2024-07-01T00:00:00"/>
    <x v="0"/>
    <s v="Week25"/>
    <x v="5"/>
    <s v="DRY240035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70"/>
    <d v="2024-07-01T00:00:00"/>
    <x v="0"/>
    <s v="Week25"/>
    <x v="5"/>
    <s v="DRY240037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58"/>
    <n v="658"/>
    <m/>
    <n v="0"/>
    <n v="0"/>
    <m/>
    <m/>
    <m/>
    <m/>
    <m/>
    <m/>
  </r>
  <r>
    <s v="R"/>
    <x v="170"/>
    <d v="2024-07-03T00:00:00"/>
    <x v="0"/>
    <s v="Week25"/>
    <x v="5"/>
    <s v="DRY2400496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436"/>
    <n v="436"/>
    <m/>
    <n v="0"/>
    <n v="0"/>
    <n v="0"/>
    <n v="6"/>
    <n v="0"/>
    <m/>
    <m/>
    <m/>
  </r>
  <r>
    <m/>
    <x v="171"/>
    <d v="2024-06-27T00:00:00"/>
    <x v="0"/>
    <s v="Week25"/>
    <x v="5"/>
    <s v="06-2024"/>
    <s v="MTFS"/>
    <s v="CPFGS"/>
    <s v="ซีพีเอฟ เทรดดิ้ง"/>
    <s v="E+Wonton NDE"/>
    <x v="1"/>
    <s v="Cooked Wonton ND with egg V-Food"/>
    <s v="082SJ3Q12003P07001"/>
    <s v="226g*12"/>
    <n v="12"/>
    <n v="3"/>
    <n v="8.0000000000000002E-3"/>
    <s v="M"/>
    <s v="STPP"/>
    <s v="Regular"/>
    <n v="121"/>
    <n v="121"/>
    <m/>
    <n v="0"/>
    <n v="0"/>
    <m/>
    <m/>
    <m/>
    <m/>
    <m/>
    <m/>
  </r>
  <r>
    <m/>
    <x v="171"/>
    <m/>
    <x v="0"/>
    <s v="Week25"/>
    <x v="5"/>
    <s v="07-2024"/>
    <s v="MTFS"/>
    <s v="CPFGS"/>
    <s v="ซีพีเอฟ เทรดดิ้ง"/>
    <s v="E+Wonton NDE"/>
    <x v="1"/>
    <s v="Cooked Wonton ND with egg V-Food"/>
    <s v="082SJ3Q12003P07001"/>
    <s v="226g*12"/>
    <n v="12"/>
    <n v="3"/>
    <n v="8.0000000000000002E-3"/>
    <s v="M"/>
    <s v="STPP"/>
    <s v="Regular"/>
    <n v="491"/>
    <n v="491"/>
    <m/>
    <n v="0"/>
    <n v="0"/>
    <m/>
    <m/>
    <m/>
    <m/>
    <m/>
    <m/>
  </r>
  <r>
    <m/>
    <x v="171"/>
    <m/>
    <x v="0"/>
    <s v="Week25"/>
    <x v="5"/>
    <s v="07-2024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258"/>
    <n v="258"/>
    <m/>
    <n v="0"/>
    <n v="0"/>
    <m/>
    <m/>
    <m/>
    <m/>
    <m/>
    <m/>
  </r>
  <r>
    <m/>
    <x v="171"/>
    <d v="2024-06-27T00:00:00"/>
    <x v="0"/>
    <s v="Week25"/>
    <x v="5"/>
    <s v="06-2024"/>
    <s v="MTFS"/>
    <s v="CPFGS"/>
    <s v="ซีพีเอฟ เทรดดิ้ง"/>
    <s v="E+Wonton TY"/>
    <x v="1"/>
    <s v="Cooked Wonton Tomyum with egg.V-Food TY"/>
    <s v="082S83Q12005P04001"/>
    <s v="115g*12"/>
    <n v="12"/>
    <n v="5"/>
    <n v="8.0000000000000002E-3"/>
    <s v="M"/>
    <s v="STPP"/>
    <s v="TYTB3C 30G"/>
    <n v="650"/>
    <n v="650"/>
    <m/>
    <n v="0"/>
    <n v="0"/>
    <m/>
    <n v="1"/>
    <n v="0"/>
    <m/>
    <m/>
    <m/>
  </r>
  <r>
    <m/>
    <x v="171"/>
    <m/>
    <x v="0"/>
    <s v="Week25"/>
    <x v="5"/>
    <s v="07-2024"/>
    <s v="MTFS"/>
    <s v="CPFGS"/>
    <s v="ซีพีเอฟ เทรดดิ้ง"/>
    <s v="E+Wonton TY"/>
    <x v="1"/>
    <s v="Cooked Wonton Tomyum with egg.V-Food TY"/>
    <s v="082S83Q12005P04001"/>
    <s v="115g*12"/>
    <n v="12"/>
    <n v="5"/>
    <n v="8.0000000000000002E-3"/>
    <s v="M"/>
    <s v="STPP"/>
    <s v="TYTB3C 30G"/>
    <n v="808"/>
    <n v="808"/>
    <m/>
    <n v="0"/>
    <n v="0"/>
    <m/>
    <n v="1"/>
    <n v="0"/>
    <m/>
    <m/>
    <m/>
  </r>
  <r>
    <m/>
    <x v="171"/>
    <s v="07-2024"/>
    <x v="0"/>
    <s v="Week25"/>
    <x v="5"/>
    <s v="ขายภายใน"/>
    <s v=".7-11"/>
    <s v="CPFGS"/>
    <s v="ซีพีเอฟ เทรดดิ้ง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4918"/>
    <n v="4917"/>
    <n v="1.5"/>
    <n v="0.5"/>
    <n v="0"/>
    <m/>
    <m/>
    <m/>
    <m/>
    <m/>
    <m/>
  </r>
  <r>
    <s v="R"/>
    <x v="171"/>
    <d v="2024-07-05T00:00:00"/>
    <x v="0"/>
    <s v="Week25"/>
    <x v="5"/>
    <s v="KL2400012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605"/>
    <n v="574"/>
    <n v="31"/>
    <n v="0"/>
    <n v="0"/>
    <n v="0"/>
    <n v="6"/>
    <n v="0"/>
    <m/>
    <m/>
    <m/>
  </r>
  <r>
    <s v="R&amp;D"/>
    <x v="172"/>
    <m/>
    <x v="0"/>
    <s v="Week25"/>
    <x v="5"/>
    <s v="07-2024"/>
    <s v="MTFS"/>
    <s v="CPFGS"/>
    <s v="ซีพีเอฟ เทรดดิ้ง"/>
    <s v="E+Wonton"/>
    <x v="1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m/>
    <m/>
    <m/>
    <m/>
    <m/>
    <m/>
  </r>
  <r>
    <m/>
    <x v="172"/>
    <d v="2024-06-27T00:00:00"/>
    <x v="0"/>
    <s v="Week25"/>
    <x v="5"/>
    <s v="06-2024"/>
    <s v="MTFS"/>
    <s v="CPFGS"/>
    <s v="ซีพีเอฟ เทรดดิ้ง"/>
    <s v="E+Wonton"/>
    <x v="1"/>
    <s v="Cooked Wonton  with egg V-Food"/>
    <s v="082S83Q12005P05001"/>
    <s v="145g*12"/>
    <n v="12"/>
    <n v="5"/>
    <n v="8.0000000000000002E-3"/>
    <s v="M"/>
    <s v="STPP"/>
    <s v="Regular"/>
    <n v="1320"/>
    <n v="1320"/>
    <m/>
    <n v="0"/>
    <n v="0"/>
    <m/>
    <m/>
    <m/>
    <m/>
    <m/>
    <m/>
  </r>
  <r>
    <m/>
    <x v="172"/>
    <m/>
    <x v="0"/>
    <s v="Week25"/>
    <x v="5"/>
    <s v="07-2024"/>
    <s v="MTFS"/>
    <s v="CPFGS"/>
    <s v="ซีพีเอฟ เทรดดิ้ง"/>
    <s v="E+Wonton"/>
    <x v="1"/>
    <s v="Cooked Wonton  with egg V-Food"/>
    <s v="082S83Q12005P05001"/>
    <s v="145g*12"/>
    <n v="12"/>
    <n v="5"/>
    <n v="8.0000000000000002E-3"/>
    <s v="M"/>
    <s v="STPP"/>
    <s v="Regular"/>
    <n v="3095"/>
    <n v="3095"/>
    <m/>
    <n v="0"/>
    <n v="0"/>
    <m/>
    <m/>
    <m/>
    <m/>
    <m/>
    <m/>
  </r>
  <r>
    <m/>
    <x v="172"/>
    <m/>
    <x v="0"/>
    <s v="Week25"/>
    <x v="5"/>
    <s v="07-2024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1095"/>
    <n v="989"/>
    <n v="106.33333333333333"/>
    <n v="0.33333333333325754"/>
    <n v="0"/>
    <m/>
    <n v="1"/>
    <n v="0"/>
    <m/>
    <m/>
    <m/>
  </r>
  <r>
    <m/>
    <x v="172"/>
    <s v="07-2024"/>
    <x v="0"/>
    <s v="Week25"/>
    <x v="5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3410"/>
    <n v="3410"/>
    <m/>
    <n v="0"/>
    <n v="0"/>
    <m/>
    <m/>
    <m/>
    <m/>
    <m/>
    <m/>
  </r>
  <r>
    <s v="R"/>
    <x v="172"/>
    <d v="2024-07-05T00:00:00"/>
    <x v="0"/>
    <s v="Week25"/>
    <x v="5"/>
    <s v="KL2400012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582"/>
    <n v="582"/>
    <m/>
    <n v="0"/>
    <n v="0"/>
    <n v="0"/>
    <n v="6"/>
    <n v="0"/>
    <m/>
    <m/>
    <m/>
  </r>
  <r>
    <m/>
    <x v="173"/>
    <d v="2024-07-01T00:00:00"/>
    <x v="0"/>
    <s v="Week25"/>
    <x v="5"/>
    <s v="DRY240037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34"/>
    <n v="134"/>
    <m/>
    <n v="0"/>
    <n v="0"/>
    <m/>
    <m/>
    <m/>
    <m/>
    <m/>
    <m/>
  </r>
  <r>
    <m/>
    <x v="173"/>
    <d v="2024-07-01T00:00:00"/>
    <x v="0"/>
    <s v="Week25"/>
    <x v="5"/>
    <s v="DRY240037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73"/>
    <d v="2024-07-01T00:00:00"/>
    <x v="0"/>
    <s v="Week25"/>
    <x v="5"/>
    <s v="DRY240037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73"/>
    <d v="2024-07-01T00:00:00"/>
    <x v="0"/>
    <s v="Week25"/>
    <x v="5"/>
    <s v="DRY240037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73"/>
    <d v="2024-07-01T00:00:00"/>
    <x v="0"/>
    <s v="Week25"/>
    <x v="5"/>
    <s v="DRY240037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73"/>
    <d v="2024-07-05T00:00:00"/>
    <x v="0"/>
    <s v="Week25"/>
    <x v="5"/>
    <s v="DRY240037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650"/>
    <n v="142"/>
    <n v="0"/>
    <n v="0"/>
    <m/>
    <m/>
    <m/>
    <m/>
    <m/>
    <m/>
  </r>
  <r>
    <m/>
    <x v="173"/>
    <d v="2024-07-05T00:00:00"/>
    <x v="0"/>
    <s v="Week25"/>
    <x v="5"/>
    <s v="DRY240037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19"/>
    <m/>
    <n v="219.33333333333334"/>
    <n v="0.33333333333334281"/>
    <n v="0"/>
    <m/>
    <m/>
    <m/>
    <m/>
    <m/>
    <m/>
  </r>
  <r>
    <s v="R"/>
    <x v="173"/>
    <d v="2024-07-05T00:00:00"/>
    <x v="0"/>
    <s v="Week25"/>
    <x v="5"/>
    <s v="KL2400012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221"/>
    <n v="221"/>
    <m/>
    <n v="0"/>
    <n v="0"/>
    <n v="0"/>
    <n v="6"/>
    <n v="0"/>
    <m/>
    <m/>
    <m/>
  </r>
  <r>
    <s v="R"/>
    <x v="173"/>
    <d v="2024-07-05T00:00:00"/>
    <x v="0"/>
    <s v="Week25"/>
    <x v="5"/>
    <s v="KL2400013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367"/>
    <n v="367"/>
    <m/>
    <n v="0"/>
    <n v="0"/>
    <n v="0"/>
    <n v="6"/>
    <n v="0"/>
    <m/>
    <m/>
    <m/>
  </r>
  <r>
    <m/>
    <x v="174"/>
    <m/>
    <x v="0"/>
    <s v="Week25"/>
    <x v="5"/>
    <m/>
    <m/>
    <m/>
    <m/>
    <m/>
    <x v="0"/>
    <m/>
    <m/>
    <m/>
    <m/>
    <m/>
    <m/>
    <m/>
    <m/>
    <m/>
    <m/>
    <m/>
    <m/>
    <m/>
    <m/>
    <m/>
    <m/>
    <m/>
    <m/>
    <m/>
    <m/>
  </r>
  <r>
    <s v="Fix 7-11 Audit 24/6"/>
    <x v="175"/>
    <s v="07-2024"/>
    <x v="0"/>
    <s v="Week26"/>
    <x v="5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3777"/>
    <n v="3777"/>
    <m/>
    <n v="0"/>
    <n v="0"/>
    <m/>
    <m/>
    <m/>
    <m/>
    <m/>
    <m/>
  </r>
  <r>
    <m/>
    <x v="175"/>
    <d v="2024-07-22T00:00:00"/>
    <x v="0"/>
    <s v="Week26"/>
    <x v="5"/>
    <s v="DRY2400389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1400"/>
    <m/>
    <n v="1400"/>
    <n v="0"/>
    <n v="0"/>
    <m/>
    <m/>
    <m/>
    <m/>
    <m/>
    <m/>
  </r>
  <r>
    <m/>
    <x v="175"/>
    <d v="2024-07-23T00:00:00"/>
    <x v="0"/>
    <s v="Week26"/>
    <x v="5"/>
    <s v="DRY2400503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400"/>
    <m/>
    <n v="400"/>
    <n v="0"/>
    <n v="0"/>
    <m/>
    <m/>
    <m/>
    <m/>
    <m/>
    <m/>
  </r>
  <r>
    <m/>
    <x v="175"/>
    <d v="2024-07-30T00:00:00"/>
    <x v="0"/>
    <s v="Week26"/>
    <x v="5"/>
    <s v="DRY2400504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500"/>
    <m/>
    <n v="500"/>
    <n v="0"/>
    <n v="0"/>
    <m/>
    <m/>
    <m/>
    <m/>
    <m/>
    <m/>
  </r>
  <r>
    <m/>
    <x v="175"/>
    <d v="2024-08-20T00:00:00"/>
    <x v="0"/>
    <s v="Week26"/>
    <x v="5"/>
    <s v="DRY2400505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350"/>
    <m/>
    <n v="350"/>
    <n v="0"/>
    <n v="0"/>
    <m/>
    <m/>
    <m/>
    <m/>
    <m/>
    <m/>
  </r>
  <r>
    <m/>
    <x v="175"/>
    <d v="2024-08-27T00:00:00"/>
    <x v="0"/>
    <s v="Week26"/>
    <x v="5"/>
    <s v="DRY2400470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3000"/>
    <m/>
    <n v="3000"/>
    <n v="0"/>
    <n v="0"/>
    <m/>
    <m/>
    <m/>
    <m/>
    <m/>
    <m/>
  </r>
  <r>
    <m/>
    <x v="175"/>
    <d v="2024-09-30T00:00:00"/>
    <x v="0"/>
    <s v="Week26"/>
    <x v="5"/>
    <s v="DRY2400471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1200"/>
    <m/>
    <n v="1200"/>
    <n v="0"/>
    <n v="0"/>
    <m/>
    <m/>
    <m/>
    <m/>
    <m/>
    <m/>
  </r>
  <r>
    <s v="ชดเชยกัก"/>
    <x v="176"/>
    <d v="2024-06-27T00:00:00"/>
    <x v="0"/>
    <s v="Week26"/>
    <x v="5"/>
    <s v="DRY2400314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542"/>
    <n v="446"/>
    <n v="96"/>
    <n v="0"/>
    <n v="0"/>
    <m/>
    <m/>
    <m/>
    <m/>
    <m/>
    <m/>
  </r>
  <r>
    <m/>
    <x v="176"/>
    <d v="2024-07-11T00:00:00"/>
    <x v="0"/>
    <s v="Week26"/>
    <x v="5"/>
    <s v="DRY2400316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435"/>
    <n v="853"/>
    <n v="0"/>
    <n v="0"/>
    <m/>
    <m/>
    <m/>
    <m/>
    <m/>
    <m/>
  </r>
  <r>
    <m/>
    <x v="176"/>
    <d v="2024-07-18T00:00:00"/>
    <x v="0"/>
    <s v="Week26"/>
    <x v="5"/>
    <s v="DRY2400318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020"/>
    <n v="314"/>
    <n v="707.83333333333337"/>
    <n v="1.8333333333333712"/>
    <n v="0"/>
    <m/>
    <m/>
    <m/>
    <m/>
    <m/>
    <m/>
  </r>
  <r>
    <m/>
    <x v="176"/>
    <d v="2024-07-11T00:00:00"/>
    <x v="0"/>
    <s v="Week26"/>
    <x v="5"/>
    <s v="DRY2400392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11"/>
    <n v="77"/>
    <n v="0"/>
    <n v="0"/>
    <m/>
    <m/>
    <m/>
    <m/>
    <m/>
    <m/>
  </r>
  <r>
    <m/>
    <x v="177"/>
    <d v="2024-07-02T00:00:00"/>
    <x v="0"/>
    <s v="Week26"/>
    <x v="5"/>
    <s v="DRY2400512"/>
    <s v="Korea"/>
    <s v="CPFNW"/>
    <s v="Consumer Package Commerce"/>
    <s v="Wonton+TY"/>
    <x v="1"/>
    <s v="Wonton Soup  (Enriched wonton sheet) tom yum"/>
    <s v="082S83U36005P01001"/>
    <s v="147g*6c*6in"/>
    <n v="36"/>
    <n v="5"/>
    <n v="7.4999999999999997E-3"/>
    <s v="M"/>
    <s v="Salt"/>
    <s v="TYEX+CO"/>
    <n v="1288"/>
    <n v="638"/>
    <n v="672.52777777777783"/>
    <n v="22.527777777777828"/>
    <n v="0"/>
    <m/>
    <m/>
    <m/>
    <m/>
    <m/>
    <m/>
  </r>
  <r>
    <m/>
    <x v="177"/>
    <d v="2024-07-04T00:00:00"/>
    <x v="0"/>
    <s v="Week26"/>
    <x v="5"/>
    <s v="DRY2400440"/>
    <s v="Japan"/>
    <s v="CPFNW"/>
    <s v="CPF JAPAN"/>
    <s v="Wonton+TY"/>
    <x v="1"/>
    <s v="Cooked Wonton No Egg 5 pcs"/>
    <s v="082S85736005P01001"/>
    <s v="147g*6c*6in"/>
    <n v="36"/>
    <n v="5"/>
    <n v="7.4999999999999997E-3"/>
    <s v="M"/>
    <s v="Salt"/>
    <s v="TYEX+CO"/>
    <n v="1288"/>
    <n v="1288"/>
    <m/>
    <n v="0"/>
    <n v="0"/>
    <m/>
    <m/>
    <m/>
    <m/>
    <m/>
    <m/>
  </r>
  <r>
    <m/>
    <x v="177"/>
    <d v="2024-07-04T00:00:00"/>
    <x v="0"/>
    <s v="Week26"/>
    <x v="5"/>
    <s v="DRY2400441"/>
    <s v="Japan"/>
    <s v="CPFNW"/>
    <s v="CPF JAPAN"/>
    <s v="Wonton+TY"/>
    <x v="1"/>
    <s v="Cooked Wonton No Egg 5 pcs"/>
    <s v="082S85736005P01001"/>
    <s v="147g*6c*6in"/>
    <n v="36"/>
    <n v="5"/>
    <n v="7.4999999999999997E-3"/>
    <s v="M"/>
    <s v="Salt"/>
    <s v="TYEX+CO"/>
    <n v="1288"/>
    <n v="676"/>
    <n v="612"/>
    <n v="0"/>
    <n v="0"/>
    <m/>
    <m/>
    <m/>
    <m/>
    <m/>
    <m/>
  </r>
  <r>
    <m/>
    <x v="178"/>
    <d v="2024-07-11T00:00:00"/>
    <x v="0"/>
    <s v="Week26"/>
    <x v="5"/>
    <s v="DRY2400483"/>
    <s v="CAN "/>
    <s v="CPFNW "/>
    <s v="CP Foods Canada,Inc (CPFC)"/>
    <s v="Wonton+TY"/>
    <x v="1"/>
    <s v="Wonton Soup  (Enriched wonton sheet)"/>
    <s v="082S85336005P02001"/>
    <s v="147g*6c*6in"/>
    <n v="36"/>
    <n v="5"/>
    <n v="7.4999999999999997E-3"/>
    <s v="M"/>
    <s v="Salt"/>
    <s v="TYEX+CO"/>
    <n v="1288"/>
    <n v="1288"/>
    <m/>
    <n v="0"/>
    <n v="0"/>
    <m/>
    <m/>
    <m/>
    <m/>
    <m/>
    <m/>
  </r>
  <r>
    <m/>
    <x v="178"/>
    <d v="2024-07-11T00:00:00"/>
    <x v="0"/>
    <s v="Week26"/>
    <x v="5"/>
    <s v="DRY2400484"/>
    <s v="CAN "/>
    <s v="CPFNW "/>
    <s v="CP Foods Canada,Inc (CPFC)"/>
    <s v="Wonton+TY"/>
    <x v="1"/>
    <s v="Wonton Soup  (Enriched wonton sheet)"/>
    <s v="082S85336005P02001"/>
    <s v="147g*6c*6in"/>
    <n v="36"/>
    <n v="5"/>
    <n v="7.4999999999999997E-3"/>
    <s v="M"/>
    <s v="Salt"/>
    <s v="TYEX+CO"/>
    <n v="1288"/>
    <n v="1098"/>
    <n v="190"/>
    <n v="0"/>
    <n v="0"/>
    <m/>
    <m/>
    <m/>
    <m/>
    <m/>
    <m/>
  </r>
  <r>
    <m/>
    <x v="178"/>
    <d v="2024-07-25T00:00:00"/>
    <x v="0"/>
    <s v="Week26"/>
    <x v="5"/>
    <s v="DRY2400485"/>
    <s v="CAN "/>
    <s v="CPFNW "/>
    <s v="CP Foods Canada,Inc (CPFC)"/>
    <s v="Wonton+TY"/>
    <x v="1"/>
    <s v="Wonton Soup  (Enriched wonton sheet)"/>
    <s v="082S85336005P02001"/>
    <s v="147g*6c*6in"/>
    <n v="36"/>
    <n v="5"/>
    <n v="7.4999999999999997E-3"/>
    <s v="M"/>
    <s v="Salt"/>
    <s v="TYEX+CO"/>
    <n v="1288"/>
    <m/>
    <n v="1288"/>
    <n v="0"/>
    <n v="0"/>
    <m/>
    <m/>
    <m/>
    <m/>
    <m/>
    <m/>
  </r>
  <r>
    <m/>
    <x v="179"/>
    <d v="2024-07-24T00:00:00"/>
    <x v="0"/>
    <s v="Week26"/>
    <x v="5"/>
    <s v="DRY2400489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m/>
    <m/>
    <m/>
    <m/>
    <m/>
    <m/>
  </r>
  <r>
    <m/>
    <x v="179"/>
    <d v="2024-08-08T00:00:00"/>
    <x v="0"/>
    <s v="Week26"/>
    <x v="5"/>
    <s v="DRY2400309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m/>
    <m/>
    <m/>
    <m/>
    <m/>
    <m/>
  </r>
  <r>
    <m/>
    <x v="179"/>
    <d v="2024-07-15T00:00:00"/>
    <x v="0"/>
    <s v="Week26"/>
    <x v="5"/>
    <s v="DRY2400361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666"/>
    <n v="130"/>
    <n v="4"/>
    <n v="0"/>
    <m/>
    <m/>
    <m/>
    <m/>
    <m/>
    <m/>
  </r>
  <r>
    <m/>
    <x v="179"/>
    <d v="2024-07-15T00:00:00"/>
    <x v="0"/>
    <s v="Week26"/>
    <x v="5"/>
    <s v="DRY2400395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179"/>
    <d v="2024-07-24T00:00:00"/>
    <x v="0"/>
    <s v="Week26"/>
    <x v="5"/>
    <s v="DRY2400475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71"/>
    <n v="21"/>
    <n v="0"/>
    <n v="0"/>
    <m/>
    <m/>
    <m/>
    <m/>
    <m/>
    <m/>
  </r>
  <r>
    <m/>
    <x v="179"/>
    <d v="2024-07-23T00:00:00"/>
    <x v="0"/>
    <s v="Week26"/>
    <x v="5"/>
    <s v="DRY2400117"/>
    <s v="Germany"/>
    <s v="CPFNW"/>
    <s v=" CPF Distribution (under Paulsen Food)"/>
    <s v="Wonton ND+V"/>
    <x v="1"/>
    <s v="Cooked Wonton ND No Egg with Pumpkin _x000a_+ Vegetable  HC  3 pcs"/>
    <s v="082SJ3N12003P01001"/>
    <s v="309g*12"/>
    <n v="12"/>
    <n v="3"/>
    <n v="7.4999999999999997E-3"/>
    <s v="HC"/>
    <s v="Salt"/>
    <s v="Regular"/>
    <n v="2040"/>
    <m/>
    <n v="2040"/>
    <n v="0"/>
    <n v="0"/>
    <m/>
    <m/>
    <m/>
    <s v="Newpackage  เปลี่ยน AW   330x330x234 mm.=2040+238"/>
    <m/>
    <m/>
  </r>
  <r>
    <m/>
    <x v="180"/>
    <s v="07-2024"/>
    <x v="0"/>
    <s v="Week26"/>
    <x v="5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5692"/>
    <n v="5692"/>
    <m/>
    <n v="0"/>
    <n v="0"/>
    <m/>
    <m/>
    <m/>
    <m/>
    <m/>
    <m/>
  </r>
  <r>
    <m/>
    <x v="180"/>
    <m/>
    <x v="0"/>
    <s v="Week26"/>
    <x v="5"/>
    <s v="07-2024"/>
    <s v="MTFS"/>
    <s v="CPFGS"/>
    <s v="ซีพีเอฟ เทรดดิ้ง"/>
    <s v="E+Wonton+หมาล่า"/>
    <x v="1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1256"/>
    <n v="1256"/>
    <m/>
    <n v="0"/>
    <n v="0"/>
    <m/>
    <m/>
    <m/>
    <m/>
    <m/>
    <m/>
  </r>
  <r>
    <s v="T"/>
    <x v="180"/>
    <d v="2024-08-08T00:00:00"/>
    <x v="0"/>
    <s v="Week26"/>
    <x v="5"/>
    <s v="DRY2400422"/>
    <s v="USA"/>
    <s v="CPFNW"/>
    <s v="Bellisio Foods, Inc."/>
    <s v="C-WT in tray no egg"/>
    <x v="1"/>
    <s v="COOKED WONTON 6 pcs."/>
    <s v="082S8BW08012P00001"/>
    <s v="117*2tray*8in"/>
    <n v="16"/>
    <n v="6"/>
    <n v="8.1300000000000001E-3"/>
    <s v="M"/>
    <s v="Salt"/>
    <s v=" Sesame 15g"/>
    <n v="16"/>
    <n v="16"/>
    <m/>
    <n v="0"/>
    <n v="0"/>
    <m/>
    <n v="1"/>
    <n v="256"/>
    <s v="pk เข้า 22/05/24"/>
    <m/>
    <m/>
  </r>
  <r>
    <s v="T"/>
    <x v="180"/>
    <d v="2024-07-01T00:00:00"/>
    <x v="0"/>
    <s v="Week26"/>
    <x v="5"/>
    <s v="DRY2400423"/>
    <s v="New Zealand"/>
    <s v="CPFNW"/>
    <s v="Lim Brothers"/>
    <s v="C-Minced WT in tray no egg"/>
    <x v="1"/>
    <s v="Cooked Minced Wonton in Tray 6 pcs + Sesame Sauce"/>
    <s v="082SKN716006P00001"/>
    <s v="117*2tray*8in"/>
    <n v="16"/>
    <n v="6"/>
    <n v="6.0000000000000001E-3"/>
    <s v="BK"/>
    <s v="Salt"/>
    <s v=" Sesame 15g"/>
    <n v="56"/>
    <m/>
    <n v="56.375"/>
    <n v="0.375"/>
    <n v="0"/>
    <m/>
    <n v="1"/>
    <n v="896"/>
    <s v="cap 3000 tray/hr. อื่น 8,300 ถ้วย"/>
    <m/>
    <m/>
  </r>
  <r>
    <m/>
    <x v="181"/>
    <m/>
    <x v="0"/>
    <s v="Week26"/>
    <x v="5"/>
    <m/>
    <m/>
    <m/>
    <m/>
    <m/>
    <x v="0"/>
    <m/>
    <m/>
    <m/>
    <m/>
    <m/>
    <m/>
    <m/>
    <m/>
    <m/>
    <m/>
    <m/>
    <m/>
    <m/>
    <m/>
    <m/>
    <m/>
    <m/>
    <m/>
    <m/>
    <m/>
  </r>
  <r>
    <m/>
    <x v="182"/>
    <d v="2024-07-05T00:00:00"/>
    <x v="0"/>
    <s v="Week27"/>
    <x v="6"/>
    <s v="DRY240037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73"/>
    <n v="573"/>
    <m/>
    <n v="0"/>
    <n v="0"/>
    <m/>
    <m/>
    <m/>
    <m/>
    <m/>
    <m/>
  </r>
  <r>
    <m/>
    <x v="182"/>
    <d v="2024-07-08T00:00:00"/>
    <x v="0"/>
    <s v="Week27"/>
    <x v="6"/>
    <s v="DRY240037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82"/>
    <d v="2024-07-08T00:00:00"/>
    <x v="0"/>
    <s v="Week27"/>
    <x v="6"/>
    <s v="DRY240037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82"/>
    <d v="2024-07-08T00:00:00"/>
    <x v="0"/>
    <s v="Week27"/>
    <x v="6"/>
    <s v="DRY240038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224"/>
    <n v="568"/>
    <n v="0"/>
    <n v="0"/>
    <m/>
    <m/>
    <m/>
    <m/>
    <m/>
    <m/>
  </r>
  <r>
    <m/>
    <x v="182"/>
    <d v="2024-07-09T00:00:00"/>
    <x v="0"/>
    <s v="Week27"/>
    <x v="6"/>
    <s v="DRY240038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n v="792"/>
    <n v="0"/>
    <n v="0"/>
    <m/>
    <m/>
    <m/>
    <m/>
    <m/>
    <m/>
  </r>
  <r>
    <m/>
    <x v="182"/>
    <d v="2024-07-09T00:00:00"/>
    <x v="0"/>
    <s v="Week27"/>
    <x v="6"/>
    <s v="DRY240038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04"/>
    <m/>
    <n v="204.36111111111111"/>
    <n v="0.36111111111111427"/>
    <n v="0"/>
    <m/>
    <m/>
    <m/>
    <m/>
    <m/>
    <m/>
  </r>
  <r>
    <s v="R"/>
    <x v="182"/>
    <d v="2024-07-05T00:00:00"/>
    <x v="0"/>
    <s v="Week27"/>
    <x v="6"/>
    <s v="KL2400013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516"/>
    <n v="516"/>
    <m/>
    <n v="0"/>
    <n v="0"/>
    <n v="0"/>
    <n v="6"/>
    <n v="0"/>
    <m/>
    <m/>
    <m/>
  </r>
  <r>
    <m/>
    <x v="183"/>
    <d v="2024-07-15T00:00:00"/>
    <x v="0"/>
    <s v="Week27"/>
    <x v="6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4324"/>
    <n v="4324"/>
    <m/>
    <n v="0"/>
    <n v="0"/>
    <m/>
    <m/>
    <m/>
    <m/>
    <m/>
    <m/>
  </r>
  <r>
    <m/>
    <x v="183"/>
    <d v="2024-07-16T00:00:00"/>
    <x v="0"/>
    <s v="Week27"/>
    <x v="6"/>
    <s v="DRY2400486"/>
    <s v="Malay"/>
    <s v="CPFNW"/>
    <s v="CPM Malaysia"/>
    <s v="Wonton"/>
    <x v="1"/>
    <s v="Cooked Wonton No Egg  "/>
    <s v="082S85I24005P01001"/>
    <s v="145g*24"/>
    <n v="24"/>
    <n v="5"/>
    <n v="8.0000000000000002E-3"/>
    <s v="M"/>
    <s v="STPP"/>
    <s v="Regular"/>
    <n v="900"/>
    <n v="900"/>
    <m/>
    <n v="0"/>
    <n v="0"/>
    <m/>
    <m/>
    <m/>
    <m/>
    <m/>
    <m/>
  </r>
  <r>
    <m/>
    <x v="183"/>
    <d v="2024-07-16T00:00:00"/>
    <x v="0"/>
    <s v="Week27"/>
    <x v="6"/>
    <s v="DRY2400486"/>
    <s v="Malay"/>
    <s v="CPFNW"/>
    <s v="CPM Malaysia"/>
    <s v="Wonton+TY"/>
    <x v="1"/>
    <s v="Cooked Wonton No Egg  TY"/>
    <s v="082S85I24005P02001"/>
    <s v="115g*24"/>
    <n v="24"/>
    <n v="5"/>
    <n v="8.0000000000000002E-3"/>
    <s v="M"/>
    <s v="STPP"/>
    <s v="TYTB3C 30G"/>
    <n v="850"/>
    <n v="850"/>
    <m/>
    <n v="0"/>
    <n v="0"/>
    <m/>
    <n v="1"/>
    <n v="0"/>
    <m/>
    <m/>
    <m/>
  </r>
  <r>
    <s v="R"/>
    <x v="183"/>
    <d v="2024-07-05T00:00:00"/>
    <x v="0"/>
    <s v="Week27"/>
    <x v="6"/>
    <s v="KL2400013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525"/>
    <n v="525"/>
    <m/>
    <n v="0"/>
    <n v="0"/>
    <n v="0"/>
    <n v="6"/>
    <n v="0"/>
    <m/>
    <m/>
    <m/>
  </r>
  <r>
    <m/>
    <x v="184"/>
    <d v="2024-07-09T00:00:00"/>
    <x v="0"/>
    <s v="Week27"/>
    <x v="6"/>
    <s v="DRY240038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88"/>
    <n v="588"/>
    <m/>
    <n v="0"/>
    <n v="0"/>
    <m/>
    <m/>
    <m/>
    <m/>
    <m/>
    <m/>
  </r>
  <r>
    <m/>
    <x v="184"/>
    <d v="2024-07-09T00:00:00"/>
    <x v="0"/>
    <s v="Week27"/>
    <x v="6"/>
    <s v="DRY240038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84"/>
    <d v="2024-07-09T00:00:00"/>
    <x v="0"/>
    <s v="Week27"/>
    <x v="6"/>
    <s v="DRY240038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84"/>
    <d v="2024-07-12T00:00:00"/>
    <x v="0"/>
    <s v="Week27"/>
    <x v="6"/>
    <s v="DRY240038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84"/>
    <d v="2024-07-12T00:00:00"/>
    <x v="0"/>
    <s v="Week27"/>
    <x v="6"/>
    <s v="DRY240038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84"/>
    <d v="2024-07-12T00:00:00"/>
    <x v="0"/>
    <s v="Week27"/>
    <x v="6"/>
    <s v="DRY240038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62"/>
    <n v="162"/>
    <m/>
    <n v="0"/>
    <n v="0"/>
    <m/>
    <m/>
    <m/>
    <m/>
    <m/>
    <m/>
  </r>
  <r>
    <s v="R"/>
    <x v="184"/>
    <d v="2024-07-16T00:00:00"/>
    <x v="0"/>
    <s v="Week27"/>
    <x v="6"/>
    <s v="DRY2400486"/>
    <s v="Malay"/>
    <s v="CPFNW"/>
    <s v="CPM Malaysia"/>
    <s v="R-Wonton egg past"/>
    <x v="2"/>
    <s v="Raw Wonton 12 pcs"/>
    <s v="082I95I20012P02001"/>
    <s v="154g*20inner"/>
    <n v="20"/>
    <n v="12"/>
    <n v="6.8100000000000001E-3"/>
    <s v="S"/>
    <s v="STPP"/>
    <s v="ซุปซอง 5g."/>
    <n v="400"/>
    <n v="400"/>
    <m/>
    <n v="0"/>
    <n v="0"/>
    <n v="0"/>
    <n v="2"/>
    <n v="0"/>
    <m/>
    <m/>
    <m/>
  </r>
  <r>
    <s v="R"/>
    <x v="184"/>
    <d v="2024-08-07T00:00:00"/>
    <x v="0"/>
    <s v="Week27"/>
    <x v="6"/>
    <s v="DRY2400435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653"/>
    <n v="653"/>
    <m/>
    <n v="0"/>
    <n v="0"/>
    <n v="0"/>
    <n v="2"/>
    <n v="0"/>
    <s v="ห่อแบบสุก"/>
    <m/>
    <m/>
  </r>
  <r>
    <m/>
    <x v="185"/>
    <d v="2024-07-12T00:00:00"/>
    <x v="0"/>
    <s v="Week27"/>
    <x v="6"/>
    <s v="DRY240038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30"/>
    <n v="630"/>
    <m/>
    <n v="0"/>
    <n v="0"/>
    <m/>
    <m/>
    <m/>
    <m/>
    <m/>
    <m/>
  </r>
  <r>
    <m/>
    <x v="185"/>
    <d v="2024-07-12T00:00:00"/>
    <x v="0"/>
    <s v="Week27"/>
    <x v="6"/>
    <s v="DRY240038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85"/>
    <d v="2024-07-15T00:00:00"/>
    <x v="0"/>
    <s v="Week27"/>
    <x v="6"/>
    <s v="DRY240040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85"/>
    <d v="2024-07-15T00:00:00"/>
    <x v="0"/>
    <s v="Week27"/>
    <x v="6"/>
    <s v="DRY240040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85"/>
    <d v="2024-07-15T00:00:00"/>
    <x v="0"/>
    <s v="Week27"/>
    <x v="6"/>
    <s v="DRY240040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85"/>
    <d v="2024-07-15T00:00:00"/>
    <x v="0"/>
    <s v="Week27"/>
    <x v="6"/>
    <s v="DRY240040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01"/>
    <n v="101"/>
    <m/>
    <n v="0"/>
    <n v="0"/>
    <m/>
    <m/>
    <m/>
    <m/>
    <m/>
    <m/>
  </r>
  <r>
    <s v="R"/>
    <x v="185"/>
    <d v="2024-08-07T00:00:00"/>
    <x v="0"/>
    <s v="Week27"/>
    <x v="6"/>
    <s v="DRY2400435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947"/>
    <n v="947"/>
    <m/>
    <n v="0"/>
    <n v="0"/>
    <n v="0"/>
    <n v="2"/>
    <n v="0"/>
    <s v="ห่อแบบสุก"/>
    <m/>
    <m/>
  </r>
  <r>
    <m/>
    <x v="186"/>
    <d v="2024-07-15T00:00:00"/>
    <x v="0"/>
    <s v="Week27"/>
    <x v="6"/>
    <s v="DRY240040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91"/>
    <n v="691"/>
    <m/>
    <n v="0"/>
    <n v="0"/>
    <m/>
    <m/>
    <m/>
    <m/>
    <m/>
    <m/>
  </r>
  <r>
    <m/>
    <x v="186"/>
    <d v="2024-07-22T00:00:00"/>
    <x v="0"/>
    <s v="Week27"/>
    <x v="6"/>
    <s v="DRY240040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86"/>
    <d v="2024-07-22T00:00:00"/>
    <x v="0"/>
    <s v="Week27"/>
    <x v="6"/>
    <s v="DRY240040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51"/>
    <n v="551"/>
    <m/>
    <n v="0"/>
    <n v="0"/>
    <m/>
    <m/>
    <m/>
    <m/>
    <m/>
    <m/>
  </r>
  <r>
    <s v="เก็บตก"/>
    <x v="186"/>
    <d v="2024-07-08T00:00:00"/>
    <x v="0"/>
    <s v="Week27"/>
    <x v="6"/>
    <s v="DRY2400426"/>
    <s v="Denmark"/>
    <s v="CPFNW"/>
    <s v="CPF DENMARK"/>
    <s v="Minced ND+V+TK"/>
    <x v="1"/>
    <s v="Cooked Minced  ND No Egg with Pumpkin_x000a_+ Yu Choy Tomyum"/>
    <s v="082SJKW08003P01001"/>
    <s v="302g*8"/>
    <n v="8"/>
    <n v="3"/>
    <n v="6.0000000000000001E-3"/>
    <s v="BK"/>
    <s v="Salt"/>
    <s v="Tomkha+CM"/>
    <n v="217"/>
    <m/>
    <n v="217"/>
    <n v="0"/>
    <n v="0"/>
    <m/>
    <m/>
    <m/>
    <s v="Newpackage330x330x234 mm.=2040+238"/>
    <m/>
    <m/>
  </r>
  <r>
    <s v="R"/>
    <x v="186"/>
    <d v="2024-07-08T00:00:00"/>
    <x v="0"/>
    <s v="Week27"/>
    <x v="6"/>
    <s v="07-2024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399"/>
    <n v="399"/>
    <m/>
    <n v="0"/>
    <n v="0"/>
    <n v="0"/>
    <m/>
    <n v="0"/>
    <m/>
    <m/>
    <m/>
  </r>
  <r>
    <s v="R"/>
    <x v="186"/>
    <d v="2024-07-23T00:00:00"/>
    <x v="0"/>
    <s v="Week27"/>
    <x v="6"/>
    <s v="DRY2400503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  <m/>
    <m/>
    <m/>
  </r>
  <r>
    <s v="R"/>
    <x v="186"/>
    <d v="2024-07-27T00:00:00"/>
    <x v="0"/>
    <s v="Week27"/>
    <x v="6"/>
    <s v="DRY2400501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  <m/>
    <m/>
    <m/>
  </r>
  <r>
    <s v="R"/>
    <x v="186"/>
    <d v="2024-08-08T00:00:00"/>
    <x v="0"/>
    <s v="Week27"/>
    <x v="6"/>
    <s v="DRY2400502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  <m/>
    <m/>
    <m/>
  </r>
  <r>
    <s v="R"/>
    <x v="186"/>
    <d v="2024-08-15T00:00:00"/>
    <x v="0"/>
    <s v="Week27"/>
    <x v="6"/>
    <s v="DRY2400548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400"/>
    <n v="400"/>
    <m/>
    <n v="0"/>
    <n v="0"/>
    <n v="0"/>
    <n v="6"/>
    <n v="0"/>
    <m/>
    <m/>
    <m/>
  </r>
  <r>
    <m/>
    <x v="187"/>
    <d v="2024-07-24T00:00:00"/>
    <x v="0"/>
    <s v="Week27"/>
    <x v="6"/>
    <s v="DRY2400197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23"/>
    <n v="65"/>
    <n v="0"/>
    <n v="0"/>
    <m/>
    <m/>
    <m/>
    <s v="ใช้ package ที่เป็น หมึกพิมพ์ใหม่"/>
    <m/>
    <m/>
  </r>
  <r>
    <m/>
    <x v="187"/>
    <d v="2024-07-27T00:00:00"/>
    <x v="0"/>
    <s v="Week27"/>
    <x v="6"/>
    <s v="DRY2400501"/>
    <s v="USA"/>
    <s v="CPFNW"/>
    <s v="Bellisio Foods, Inc."/>
    <s v="Minced WT"/>
    <x v="1"/>
    <s v="Cooked Minced Wonton Soup No Egg"/>
    <s v="082SKBW36005P00001"/>
    <s v="145g*6c*6"/>
    <n v="36"/>
    <n v="5"/>
    <n v="6.0000000000000001E-3"/>
    <s v="BK"/>
    <s v="Salt"/>
    <s v="Regular"/>
    <n v="450"/>
    <n v="450"/>
    <m/>
    <n v="0"/>
    <n v="0"/>
    <m/>
    <m/>
    <m/>
    <m/>
    <m/>
    <m/>
  </r>
  <r>
    <m/>
    <x v="187"/>
    <d v="2024-08-15T00:00:00"/>
    <x v="0"/>
    <s v="Week27"/>
    <x v="6"/>
    <s v="DRY2400502"/>
    <s v="USA"/>
    <s v="CPFNW"/>
    <s v="Bellisio Foods, Inc."/>
    <s v="Minced WT"/>
    <x v="1"/>
    <s v="Cooked Minced Wonton Soup No Egg"/>
    <s v="082SKBW36005P00001"/>
    <s v="145g*6c*6"/>
    <n v="36"/>
    <n v="5"/>
    <n v="6.0000000000000001E-3"/>
    <s v="BK"/>
    <s v="Salt"/>
    <s v="Regular"/>
    <n v="300"/>
    <n v="300"/>
    <m/>
    <n v="0"/>
    <n v="0"/>
    <m/>
    <m/>
    <m/>
    <m/>
    <m/>
    <m/>
  </r>
  <r>
    <m/>
    <x v="187"/>
    <d v="2024-07-22T00:00:00"/>
    <x v="0"/>
    <s v="Week27"/>
    <x v="6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2574"/>
    <n v="2574"/>
    <m/>
    <n v="0"/>
    <n v="0"/>
    <m/>
    <m/>
    <m/>
    <m/>
    <m/>
    <m/>
  </r>
  <r>
    <m/>
    <x v="187"/>
    <d v="2024-08-21T00:00:00"/>
    <x v="0"/>
    <s v="Week27"/>
    <x v="6"/>
    <s v="DRY2400592"/>
    <s v="New Zealand"/>
    <s v="CPFNW"/>
    <s v="Lim Brothers"/>
    <s v="Minced ND+V+TY"/>
    <x v="1"/>
    <s v="Cooked Minced  ND No Egg with Pumpkin_x000a_+ Yu Choy Tomyum"/>
    <s v="082SRN708003P00001"/>
    <s v="302g*8"/>
    <n v="8"/>
    <n v="3"/>
    <n v="6.0000000000000001E-3"/>
    <s v="BK"/>
    <s v="Salt"/>
    <s v="TYA+CO"/>
    <n v="162"/>
    <m/>
    <n v="162"/>
    <n v="0"/>
    <n v="0"/>
    <m/>
    <m/>
    <m/>
    <m/>
    <m/>
    <m/>
  </r>
  <r>
    <m/>
    <x v="187"/>
    <d v="2024-09-12T00:00:00"/>
    <x v="0"/>
    <s v="Week27"/>
    <x v="6"/>
    <s v="DRY2400593"/>
    <s v="New Zealand"/>
    <s v="CPFNW"/>
    <s v="Lim Brothers"/>
    <s v="Minced ND+V+TY"/>
    <x v="1"/>
    <s v="Cooked Minced  ND No Egg with Pumpkin_x000a_+ Yu Choy Tomyum"/>
    <s v="082SRN708003P00001"/>
    <s v="302g*8"/>
    <n v="8"/>
    <n v="3"/>
    <n v="6.0000000000000001E-3"/>
    <s v="BK"/>
    <s v="Salt"/>
    <s v="TYA+CO"/>
    <n v="270"/>
    <m/>
    <n v="270"/>
    <n v="0"/>
    <n v="0"/>
    <m/>
    <m/>
    <m/>
    <m/>
    <m/>
    <m/>
  </r>
  <r>
    <s v="repack สวมวันผลิต"/>
    <x v="187"/>
    <m/>
    <x v="0"/>
    <s v="Week27"/>
    <x v="6"/>
    <s v="DRY2400672"/>
    <s v="New Zealand"/>
    <s v="CPFNW"/>
    <s v="Lim Brothers"/>
    <s v="Minced ND+V+TY"/>
    <x v="1"/>
    <s v="Cooked Minced  ND No Egg with Pumpkin_x000a_+ Yu Choy Tomyum"/>
    <s v="082SRN708003P00001"/>
    <s v="302g*8"/>
    <n v="8"/>
    <n v="3"/>
    <n v="6.0000000000000001E-3"/>
    <s v="BK"/>
    <s v="Salt"/>
    <s v="TYA+CO"/>
    <n v="375"/>
    <m/>
    <n v="482.875"/>
    <n v="107.875"/>
    <n v="0"/>
    <m/>
    <m/>
    <m/>
    <s v="ผลิตสินค้าไว้ก่อน  เพราะ ซอส จะหมดอายุ 10/07/24  และให้สั่ง package ไว้เลย / แต่ชุดนี้ทาง CPFNW ขอสวมวันผลิตประมาณเดือน 10/2024"/>
    <m/>
    <m/>
  </r>
  <r>
    <m/>
    <x v="188"/>
    <m/>
    <x v="0"/>
    <s v="Week27"/>
    <x v="6"/>
    <m/>
    <m/>
    <m/>
    <m/>
    <m/>
    <x v="0"/>
    <m/>
    <m/>
    <m/>
    <m/>
    <m/>
    <m/>
    <m/>
    <m/>
    <m/>
    <m/>
    <m/>
    <m/>
    <m/>
    <m/>
    <m/>
    <m/>
    <m/>
    <m/>
    <m/>
    <m/>
  </r>
  <r>
    <m/>
    <x v="189"/>
    <s v="07-2024"/>
    <x v="0"/>
    <s v="Week28"/>
    <x v="6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4507"/>
    <n v="4507"/>
    <m/>
    <n v="0"/>
    <n v="0"/>
    <m/>
    <m/>
    <m/>
    <m/>
    <m/>
    <m/>
  </r>
  <r>
    <m/>
    <x v="189"/>
    <d v="2024-07-23T00:00:00"/>
    <x v="0"/>
    <s v="Week28"/>
    <x v="6"/>
    <s v="DRY2400503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750"/>
    <n v="750"/>
    <m/>
    <n v="0"/>
    <n v="0"/>
    <m/>
    <m/>
    <m/>
    <m/>
    <m/>
    <m/>
  </r>
  <r>
    <m/>
    <x v="189"/>
    <d v="2024-07-27T00:00:00"/>
    <x v="0"/>
    <s v="Week28"/>
    <x v="6"/>
    <s v="DRY2400501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700"/>
    <n v="700"/>
    <m/>
    <n v="0"/>
    <n v="0"/>
    <m/>
    <m/>
    <m/>
    <m/>
    <m/>
    <m/>
  </r>
  <r>
    <m/>
    <x v="189"/>
    <d v="2024-07-30T00:00:00"/>
    <x v="0"/>
    <s v="Week28"/>
    <x v="6"/>
    <s v="DRY2400504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106"/>
    <n v="106"/>
    <m/>
    <n v="0"/>
    <n v="0"/>
    <m/>
    <m/>
    <m/>
    <m/>
    <m/>
    <m/>
  </r>
  <r>
    <m/>
    <x v="190"/>
    <d v="2024-07-30T00:00:00"/>
    <x v="0"/>
    <s v="Week28"/>
    <x v="6"/>
    <s v="DRY2400504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594"/>
    <n v="594"/>
    <m/>
    <n v="0"/>
    <n v="0"/>
    <m/>
    <m/>
    <m/>
    <m/>
    <m/>
    <m/>
  </r>
  <r>
    <m/>
    <x v="190"/>
    <d v="2024-08-15T00:00:00"/>
    <x v="0"/>
    <s v="Week28"/>
    <x v="6"/>
    <s v="DRY2400502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800"/>
    <n v="800"/>
    <m/>
    <n v="0"/>
    <n v="0"/>
    <m/>
    <m/>
    <m/>
    <m/>
    <m/>
    <m/>
  </r>
  <r>
    <m/>
    <x v="190"/>
    <d v="2024-10-07T00:00:00"/>
    <x v="0"/>
    <s v="Week28"/>
    <x v="6"/>
    <s v="DRY2400470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1237"/>
    <m/>
    <n v="1237"/>
    <n v="0"/>
    <n v="0"/>
    <m/>
    <m/>
    <m/>
    <m/>
    <m/>
    <m/>
  </r>
  <r>
    <m/>
    <x v="190"/>
    <d v="2024-07-25T00:00:00"/>
    <x v="0"/>
    <s v="Week28"/>
    <x v="6"/>
    <s v="DRY2400552"/>
    <s v="BRUNEI"/>
    <s v="CPFNW"/>
    <s v="Ben Foods"/>
    <s v="Wonton"/>
    <x v="1"/>
    <s v="Cooked Wonton No Egg"/>
    <s v="082S8C324005P01001"/>
    <s v="145g*24"/>
    <n v="24"/>
    <n v="5"/>
    <n v="8.0000000000000002E-3"/>
    <s v="M"/>
    <s v="STPP"/>
    <s v="Regular"/>
    <n v="200"/>
    <n v="200"/>
    <m/>
    <n v="0"/>
    <n v="0"/>
    <m/>
    <m/>
    <m/>
    <m/>
    <m/>
    <m/>
  </r>
  <r>
    <m/>
    <x v="190"/>
    <d v="2024-07-25T00:00:00"/>
    <x v="0"/>
    <s v="Week28"/>
    <x v="6"/>
    <s v="DRY2400552"/>
    <s v="BRUNEI"/>
    <s v="CPFNW"/>
    <s v="Ben Foods"/>
    <s v="Wonton+TY"/>
    <x v="1"/>
    <s v="Cooked Wonton No Egg"/>
    <s v="082S8C324005P00001"/>
    <s v="115g*24"/>
    <n v="24"/>
    <n v="5"/>
    <n v="8.0000000000000002E-3"/>
    <s v="M"/>
    <s v="STPP"/>
    <s v="TYTB3C 30G"/>
    <n v="405"/>
    <n v="405"/>
    <m/>
    <n v="0"/>
    <n v="0"/>
    <m/>
    <n v="1"/>
    <n v="0"/>
    <m/>
    <m/>
    <m/>
  </r>
  <r>
    <m/>
    <x v="190"/>
    <s v="08-2024"/>
    <x v="0"/>
    <s v="Week28"/>
    <x v="6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2168"/>
    <n v="2168"/>
    <m/>
    <n v="0"/>
    <n v="0"/>
    <m/>
    <m/>
    <m/>
    <m/>
    <m/>
    <m/>
  </r>
  <r>
    <m/>
    <x v="191"/>
    <d v="2024-08-08T00:00:00"/>
    <x v="0"/>
    <s v="Week28"/>
    <x v="6"/>
    <s v="DRY2400442"/>
    <s v="Japan"/>
    <s v="CPFNW"/>
    <s v="CPF JAPAN"/>
    <s v="Wonton+TY"/>
    <x v="1"/>
    <s v="Wonton Soup 5pcs"/>
    <s v="082S85736005P01001"/>
    <s v="147g*6c*6in"/>
    <n v="36"/>
    <n v="5"/>
    <n v="7.4999999999999997E-3"/>
    <s v="M"/>
    <s v="Salt"/>
    <s v="TYEX+CO"/>
    <n v="1288"/>
    <n v="1239"/>
    <n v="49"/>
    <n v="0"/>
    <n v="0"/>
    <m/>
    <m/>
    <m/>
    <m/>
    <m/>
    <m/>
  </r>
  <r>
    <m/>
    <x v="191"/>
    <d v="2024-08-14T00:00:00"/>
    <x v="0"/>
    <s v="Week28"/>
    <x v="6"/>
    <s v="DRY2400443"/>
    <s v="Japan"/>
    <s v="CPFNW"/>
    <s v="CPF JAPAN"/>
    <s v="Wonton+TY"/>
    <x v="1"/>
    <s v="Wonton Soup 5pcs"/>
    <s v="082S85736005P01001"/>
    <s v="147g*6c*6in"/>
    <n v="36"/>
    <n v="5"/>
    <n v="7.4999999999999997E-3"/>
    <s v="M"/>
    <s v="Salt"/>
    <s v="TYEX+CO"/>
    <n v="1288"/>
    <n v="1288"/>
    <m/>
    <n v="0"/>
    <n v="0"/>
    <m/>
    <m/>
    <m/>
    <m/>
    <m/>
    <m/>
  </r>
  <r>
    <m/>
    <x v="191"/>
    <d v="2024-08-14T00:00:00"/>
    <x v="0"/>
    <s v="Week28"/>
    <x v="6"/>
    <s v="DRY2400444"/>
    <s v="Japan"/>
    <s v="CPFNW"/>
    <s v="CPF JAPAN"/>
    <s v="Wonton+TY"/>
    <x v="1"/>
    <s v="Wonton Soup 5pcs"/>
    <s v="082S85736005P01001"/>
    <s v="147g*6c*6in"/>
    <n v="36"/>
    <n v="5"/>
    <n v="7.4999999999999997E-3"/>
    <s v="M"/>
    <s v="Salt"/>
    <s v="TYEX+CO"/>
    <n v="1205"/>
    <n v="1205"/>
    <m/>
    <n v="0"/>
    <n v="0"/>
    <m/>
    <m/>
    <m/>
    <m/>
    <m/>
    <m/>
  </r>
  <r>
    <m/>
    <x v="192"/>
    <d v="2024-07-22T00:00:00"/>
    <x v="0"/>
    <s v="Week28"/>
    <x v="6"/>
    <s v="DRY240040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41"/>
    <n v="241"/>
    <m/>
    <n v="0"/>
    <n v="0"/>
    <m/>
    <m/>
    <m/>
    <m/>
    <m/>
    <m/>
  </r>
  <r>
    <m/>
    <x v="192"/>
    <d v="2024-07-22T00:00:00"/>
    <x v="0"/>
    <s v="Week28"/>
    <x v="6"/>
    <s v="DRY240040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92"/>
    <d v="2024-07-22T00:00:00"/>
    <x v="0"/>
    <s v="Week28"/>
    <x v="6"/>
    <s v="DRY240038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50"/>
    <n v="550"/>
    <m/>
    <n v="0"/>
    <n v="0"/>
    <m/>
    <m/>
    <m/>
    <m/>
    <m/>
    <m/>
  </r>
  <r>
    <m/>
    <x v="192"/>
    <d v="2024-07-22T00:00:00"/>
    <x v="0"/>
    <s v="Week28"/>
    <x v="6"/>
    <s v="DRY240040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92"/>
    <d v="2024-07-22T00:00:00"/>
    <x v="0"/>
    <s v="Week28"/>
    <x v="6"/>
    <s v="DRY240040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92"/>
    <d v="2024-07-22T00:00:00"/>
    <x v="0"/>
    <s v="Week28"/>
    <x v="6"/>
    <s v="DRY240040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68"/>
    <n v="768"/>
    <m/>
    <n v="0"/>
    <n v="0"/>
    <m/>
    <m/>
    <m/>
    <m/>
    <m/>
    <m/>
  </r>
  <r>
    <m/>
    <x v="193"/>
    <d v="2024-07-22T00:00:00"/>
    <x v="0"/>
    <s v="Week28"/>
    <x v="6"/>
    <s v="DRY240040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4"/>
    <n v="24"/>
    <m/>
    <n v="0"/>
    <n v="0"/>
    <m/>
    <m/>
    <m/>
    <m/>
    <m/>
    <m/>
  </r>
  <r>
    <m/>
    <x v="193"/>
    <d v="2024-07-22T00:00:00"/>
    <x v="0"/>
    <s v="Week28"/>
    <x v="6"/>
    <s v="DRY240041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93"/>
    <d v="2024-07-27T00:00:00"/>
    <x v="0"/>
    <s v="Week28"/>
    <x v="6"/>
    <s v="DRY240041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93"/>
    <d v="2024-07-27T00:00:00"/>
    <x v="0"/>
    <s v="Week28"/>
    <x v="6"/>
    <s v="DRY240041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93"/>
    <d v="2024-07-27T00:00:00"/>
    <x v="0"/>
    <s v="Week28"/>
    <x v="6"/>
    <s v="DRY240041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93"/>
    <d v="2024-07-27T00:00:00"/>
    <x v="0"/>
    <s v="Week28"/>
    <x v="6"/>
    <s v="DRY240041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94"/>
    <d v="2024-07-27T00:00:00"/>
    <x v="0"/>
    <s v="Week28"/>
    <x v="6"/>
    <s v="DRY240041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8"/>
    <n v="68"/>
    <m/>
    <n v="0"/>
    <n v="0"/>
    <m/>
    <m/>
    <m/>
    <m/>
    <m/>
    <m/>
  </r>
  <r>
    <m/>
    <x v="194"/>
    <d v="2024-07-27T00:00:00"/>
    <x v="0"/>
    <s v="Week28"/>
    <x v="6"/>
    <s v="DRY240041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24"/>
    <n v="724"/>
    <m/>
    <n v="0"/>
    <n v="0"/>
    <m/>
    <m/>
    <m/>
    <m/>
    <m/>
    <m/>
  </r>
  <r>
    <m/>
    <x v="194"/>
    <d v="2024-07-30T00:00:00"/>
    <x v="0"/>
    <s v="Week28"/>
    <x v="6"/>
    <s v="DRY240041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94"/>
    <d v="2024-07-30T00:00:00"/>
    <x v="0"/>
    <s v="Week28"/>
    <x v="6"/>
    <s v="DRY240041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20"/>
    <n v="120"/>
    <m/>
    <n v="0"/>
    <n v="0"/>
    <m/>
    <m/>
    <m/>
    <m/>
    <m/>
    <m/>
  </r>
  <r>
    <m/>
    <x v="194"/>
    <s v="07-2024"/>
    <x v="0"/>
    <s v="Week28"/>
    <x v="6"/>
    <s v="ขายภายใน"/>
    <s v=".7-11"/>
    <s v="CPFGS"/>
    <s v="ซีพีเอฟ เทรดดิ้ง"/>
    <s v="Wonton ND+V+TY"/>
    <x v="1"/>
    <s v="Cooked Wonton ND+ Vegetable  SS  3 pcs"/>
    <s v="082SJ1A12003P02001"/>
    <s v="211g*12"/>
    <n v="12"/>
    <n v="3"/>
    <n v="6.1999999999999998E-3"/>
    <s v="SS"/>
    <s v="STPP"/>
    <s v="TYNSF"/>
    <n v="7034"/>
    <n v="7034"/>
    <m/>
    <n v="0"/>
    <n v="0"/>
    <m/>
    <m/>
    <m/>
    <s v="ขั่นต่ำ 58,000 ถ้วย"/>
    <m/>
    <m/>
  </r>
  <r>
    <m/>
    <x v="195"/>
    <m/>
    <x v="0"/>
    <s v="Week28"/>
    <x v="6"/>
    <m/>
    <m/>
    <m/>
    <m/>
    <m/>
    <x v="0"/>
    <m/>
    <m/>
    <m/>
    <m/>
    <m/>
    <m/>
    <m/>
    <m/>
    <m/>
    <m/>
    <m/>
    <m/>
    <m/>
    <m/>
    <m/>
    <m/>
    <m/>
    <m/>
    <m/>
    <m/>
  </r>
  <r>
    <m/>
    <x v="196"/>
    <d v="2024-07-20T00:00:00"/>
    <x v="0"/>
    <s v="Week29"/>
    <x v="6"/>
    <s v="DRY2400318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268"/>
    <n v="268"/>
    <m/>
    <n v="0"/>
    <n v="0"/>
    <m/>
    <m/>
    <m/>
    <m/>
    <m/>
    <m/>
  </r>
  <r>
    <m/>
    <x v="196"/>
    <d v="2024-07-25T00:00:00"/>
    <x v="0"/>
    <s v="Week29"/>
    <x v="6"/>
    <s v="DRY2400319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m/>
    <m/>
    <m/>
  </r>
  <r>
    <m/>
    <x v="196"/>
    <d v="2024-08-01T00:00:00"/>
    <x v="0"/>
    <s v="Week29"/>
    <x v="6"/>
    <s v="DRY2400320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m/>
    <m/>
    <m/>
  </r>
  <r>
    <m/>
    <x v="196"/>
    <d v="2024-08-01T00:00:00"/>
    <x v="0"/>
    <s v="Week29"/>
    <x v="6"/>
    <s v="DRY2400330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m/>
    <m/>
    <m/>
  </r>
  <r>
    <m/>
    <x v="196"/>
    <d v="2024-08-08T00:00:00"/>
    <x v="0"/>
    <s v="Week29"/>
    <x v="6"/>
    <s v="DRY2400321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34"/>
    <n v="34"/>
    <m/>
    <n v="0"/>
    <n v="0"/>
    <m/>
    <m/>
    <m/>
    <m/>
    <m/>
    <m/>
  </r>
  <r>
    <m/>
    <x v="197"/>
    <d v="2024-08-08T00:00:00"/>
    <x v="0"/>
    <s v="Week29"/>
    <x v="6"/>
    <s v="DRY2400491"/>
    <s v="CAN "/>
    <s v="CPFNW "/>
    <s v="CP Foods Canada,Inc (CPFC)"/>
    <s v="Wonton+TY"/>
    <x v="1"/>
    <s v="Wonton Soup  (Enriched wonton sheet)"/>
    <s v="082S85336005P02001"/>
    <s v="147g*6c*6in"/>
    <n v="36"/>
    <n v="5"/>
    <n v="7.4999999999999997E-3"/>
    <s v="M"/>
    <s v="Salt"/>
    <s v="TYEX+CO"/>
    <n v="1288"/>
    <n v="1191"/>
    <n v="97.222222222222229"/>
    <n v="0.22222222222217169"/>
    <n v="0"/>
    <m/>
    <m/>
    <m/>
    <m/>
    <m/>
    <m/>
  </r>
  <r>
    <m/>
    <x v="197"/>
    <d v="2024-08-15T00:00:00"/>
    <x v="0"/>
    <s v="Week29"/>
    <x v="6"/>
    <s v="DRY2400476"/>
    <s v="CAN "/>
    <s v="CPFNW "/>
    <s v="CP Foods Canada,Inc (CPFC)"/>
    <s v="Wonton+TY"/>
    <x v="1"/>
    <s v="Wonton Soup  (Enriched wonton sheet)"/>
    <s v="082S85336005P02001"/>
    <s v="147g*6c*6in"/>
    <n v="36"/>
    <n v="5"/>
    <n v="7.4999999999999997E-3"/>
    <s v="M"/>
    <s v="Salt"/>
    <s v="TYEX+CO"/>
    <n v="1288"/>
    <n v="1288"/>
    <m/>
    <n v="0"/>
    <n v="0"/>
    <m/>
    <m/>
    <m/>
    <m/>
    <m/>
    <m/>
  </r>
  <r>
    <m/>
    <x v="197"/>
    <d v="2024-08-22T00:00:00"/>
    <x v="0"/>
    <s v="Week29"/>
    <x v="6"/>
    <s v="DRY2400492"/>
    <s v="CAN "/>
    <s v="CPFNW "/>
    <s v="CP Foods Canada,Inc (CPFC)"/>
    <s v="Wonton+TY"/>
    <x v="1"/>
    <s v="Wonton Soup  (Enriched wonton sheet)"/>
    <s v="082S85336005P02001"/>
    <s v="147g*6c*6in"/>
    <n v="36"/>
    <n v="5"/>
    <n v="7.4999999999999997E-3"/>
    <s v="M"/>
    <s v="Salt"/>
    <s v="TYEX+CO"/>
    <n v="1288"/>
    <n v="1288"/>
    <m/>
    <n v="0"/>
    <n v="0"/>
    <m/>
    <m/>
    <m/>
    <m/>
    <m/>
    <m/>
  </r>
  <r>
    <m/>
    <x v="197"/>
    <d v="2024-08-22T00:00:00"/>
    <x v="0"/>
    <s v="Week29"/>
    <x v="6"/>
    <s v="DRY2400493"/>
    <s v="CAN "/>
    <s v="CPFNW "/>
    <s v="CP Foods Canada,Inc (CPFC)"/>
    <s v="Wonton+TY"/>
    <x v="1"/>
    <s v="Wonton Soup  (Enriched wonton sheet)"/>
    <s v="082S85336005P02001"/>
    <s v="147g*6c*6in"/>
    <n v="36"/>
    <n v="5"/>
    <n v="7.4999999999999997E-3"/>
    <s v="M"/>
    <s v="Salt"/>
    <s v="TYEX+CO"/>
    <n v="69"/>
    <n v="69"/>
    <m/>
    <n v="0"/>
    <n v="0"/>
    <m/>
    <m/>
    <m/>
    <m/>
    <m/>
    <m/>
  </r>
  <r>
    <m/>
    <x v="197"/>
    <d v="2024-08-14T00:00:00"/>
    <x v="0"/>
    <s v="Week29"/>
    <x v="6"/>
    <s v="DRY2400444"/>
    <s v="Japan"/>
    <s v="CPFNW"/>
    <s v="CPF JAPAN"/>
    <s v="Wonton+TY"/>
    <x v="1"/>
    <s v="Wonton Soup 5pcs"/>
    <s v="082S85736005P01001"/>
    <s v="147g*6c*6in"/>
    <n v="36"/>
    <n v="5"/>
    <n v="7.4999999999999997E-3"/>
    <s v="M"/>
    <s v="Salt"/>
    <s v="TYEX+CO"/>
    <n v="83"/>
    <n v="71"/>
    <n v="12"/>
    <n v="0"/>
    <n v="0"/>
    <m/>
    <m/>
    <m/>
    <m/>
    <m/>
    <m/>
  </r>
  <r>
    <m/>
    <x v="198"/>
    <s v="08-2024"/>
    <x v="0"/>
    <s v="Week29"/>
    <x v="6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3238"/>
    <n v="3237"/>
    <n v="1"/>
    <n v="0"/>
    <n v="0"/>
    <m/>
    <m/>
    <m/>
    <m/>
    <m/>
    <m/>
  </r>
  <r>
    <m/>
    <x v="198"/>
    <d v="2024-07-31T00:00:00"/>
    <x v="0"/>
    <s v="Week29"/>
    <x v="6"/>
    <s v="DRY2400582"/>
    <s v="New Zealand"/>
    <s v="CPFNW"/>
    <s v="Lim Brothers"/>
    <s v="Wonton ND+V"/>
    <x v="1"/>
    <s v="Cooked Wonton ND No Egg with Pumpkin_x000a_+ Yu Choy "/>
    <s v="082SJN736005P00001"/>
    <s v="308g*6c*6in"/>
    <n v="36"/>
    <n v="5"/>
    <n v="7.4999999999999997E-3"/>
    <s v="HC"/>
    <s v="Salt"/>
    <s v="Regular"/>
    <n v="320"/>
    <n v="320"/>
    <m/>
    <n v="0"/>
    <n v="0"/>
    <m/>
    <m/>
    <m/>
    <m/>
    <m/>
    <m/>
  </r>
  <r>
    <m/>
    <x v="198"/>
    <d v="2024-07-31T00:00:00"/>
    <x v="0"/>
    <s v="Week29"/>
    <x v="6"/>
    <s v="DRY2400487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609"/>
    <n v="183"/>
    <n v="0"/>
    <n v="0"/>
    <m/>
    <m/>
    <m/>
    <m/>
    <m/>
    <m/>
  </r>
  <r>
    <m/>
    <x v="198"/>
    <d v="2024-08-15T00:00:00"/>
    <x v="0"/>
    <s v="Week29"/>
    <x v="6"/>
    <s v="DRY2400516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199"/>
    <d v="2024-07-23T00:00:00"/>
    <x v="0"/>
    <s v="Week29"/>
    <x v="6"/>
    <s v="DRY2400503"/>
    <s v="USA"/>
    <s v="CPFNW"/>
    <s v="Bellisio Foods, Inc."/>
    <s v="Minced ND+V"/>
    <x v="1"/>
    <s v="Cooked Wonton ND No Egg with Pumpkin_x000a_+ Yu Choy Low sodium"/>
    <s v="082SRBW24005P01001"/>
    <s v="308g*4c*6in"/>
    <n v="24"/>
    <n v="5"/>
    <n v="6.0000000000000001E-3"/>
    <s v="BK"/>
    <s v="Salt"/>
    <s v="Y3"/>
    <n v="200"/>
    <n v="200"/>
    <m/>
    <n v="0"/>
    <n v="0"/>
    <m/>
    <m/>
    <m/>
    <s v="ขอใช้ผักแบบไม่ล้าง"/>
    <m/>
    <m/>
  </r>
  <r>
    <m/>
    <x v="199"/>
    <d v="2024-07-30T00:00:00"/>
    <x v="0"/>
    <s v="Week29"/>
    <x v="6"/>
    <s v="DRY2400504"/>
    <s v="USA"/>
    <s v="CPFNW"/>
    <s v="Bellisio Foods, Inc."/>
    <s v="Minced ND+V"/>
    <x v="1"/>
    <s v="Cooked Wonton ND No Egg with Pumpkin_x000a_+ Yu Choy Low sodium"/>
    <s v="082SRBW24005P01001"/>
    <s v="308g*4c*6in"/>
    <n v="24"/>
    <n v="5"/>
    <n v="6.0000000000000001E-3"/>
    <s v="BK"/>
    <s v="Salt"/>
    <s v="Y3"/>
    <n v="200"/>
    <n v="200"/>
    <m/>
    <n v="0"/>
    <n v="0"/>
    <m/>
    <m/>
    <m/>
    <s v="ขอใช้ผักแบบไม่ล้าง"/>
    <m/>
    <m/>
  </r>
  <r>
    <m/>
    <x v="199"/>
    <d v="2024-08-20T00:00:00"/>
    <x v="0"/>
    <s v="Week29"/>
    <x v="6"/>
    <s v="DRY2400505"/>
    <s v="USA"/>
    <s v="CPFNW"/>
    <s v="Bellisio Foods, Inc."/>
    <s v="Minced ND+V"/>
    <x v="1"/>
    <s v="Cooked Wonton ND No Egg with Pumpkin_x000a_+ Yu Choy Low sodium"/>
    <s v="082SRBW24005P01001"/>
    <s v="308g*4c*6in"/>
    <n v="24"/>
    <n v="5"/>
    <n v="6.0000000000000001E-3"/>
    <s v="BK"/>
    <s v="Salt"/>
    <s v="Y3"/>
    <n v="200"/>
    <n v="200"/>
    <m/>
    <n v="0"/>
    <n v="0"/>
    <m/>
    <m/>
    <m/>
    <s v="ขอใช้ผักแบบไม่ล้าง"/>
    <m/>
    <m/>
  </r>
  <r>
    <m/>
    <x v="199"/>
    <d v="2024-07-30T00:00:00"/>
    <x v="0"/>
    <s v="Week29"/>
    <x v="6"/>
    <s v="DRY240041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72"/>
    <n v="672"/>
    <m/>
    <n v="0"/>
    <n v="0"/>
    <m/>
    <m/>
    <m/>
    <m/>
    <m/>
    <m/>
  </r>
  <r>
    <m/>
    <x v="199"/>
    <d v="2024-07-30T00:00:00"/>
    <x v="0"/>
    <s v="Week29"/>
    <x v="6"/>
    <s v="DRY240041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99"/>
    <d v="2024-08-05T00:00:00"/>
    <x v="0"/>
    <s v="Week29"/>
    <x v="6"/>
    <s v="DRY240041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199"/>
    <d v="2024-08-05T00:00:00"/>
    <x v="0"/>
    <s v="Week29"/>
    <x v="6"/>
    <s v="DRY240042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89"/>
    <n v="289"/>
    <m/>
    <n v="0"/>
    <n v="0"/>
    <m/>
    <m/>
    <m/>
    <m/>
    <m/>
    <m/>
  </r>
  <r>
    <m/>
    <x v="199"/>
    <d v="2024-08-01T00:00:00"/>
    <x v="0"/>
    <s v="Week29"/>
    <x v="6"/>
    <s v="DRY2400218"/>
    <s v="Spain"/>
    <s v="CPFNW"/>
    <s v="Mercadona"/>
    <s v="Wonton ND+V"/>
    <x v="1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  <s v="รวบการผลิตให้เป็นวันเดียวกันตามความต้องการของลูกค้า"/>
    <m/>
    <m/>
  </r>
  <r>
    <s v="R"/>
    <x v="200"/>
    <d v="2024-08-06T00:00:00"/>
    <x v="0"/>
    <s v="Week29"/>
    <x v="6"/>
    <s v="DRY2400497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1263"/>
    <n v="1263"/>
    <m/>
    <n v="0"/>
    <n v="0"/>
    <n v="0"/>
    <n v="6"/>
    <n v="0"/>
    <m/>
    <m/>
    <m/>
  </r>
  <r>
    <s v="R"/>
    <x v="201"/>
    <d v="2024-08-06T00:00:00"/>
    <x v="0"/>
    <s v="Week29"/>
    <x v="6"/>
    <s v="DRY2400497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463"/>
    <n v="463"/>
    <m/>
    <n v="0"/>
    <n v="0"/>
    <n v="0"/>
    <n v="6"/>
    <n v="0"/>
    <m/>
    <m/>
    <m/>
  </r>
  <r>
    <s v="R"/>
    <x v="201"/>
    <d v="2024-07-27T00:00:00"/>
    <x v="0"/>
    <s v="Week29"/>
    <x v="6"/>
    <s v="KL2400020"/>
    <s v="China"/>
    <s v="China"/>
    <s v="Charoen Pokphand Import&amp;Export Trading (Shanghai) Co., Ltd"/>
    <s v="R-Wonton no egg"/>
    <x v="2"/>
    <s v="Raw Wonton 50 pcs"/>
    <s v="082I95J08050P03001"/>
    <s v="630g*8in"/>
    <n v="8"/>
    <n v="50"/>
    <n v="6.8100000000000001E-3"/>
    <s v="S"/>
    <s v="STPP"/>
    <s v="ซุปซอง 5g."/>
    <n v="924"/>
    <n v="924"/>
    <m/>
    <n v="0"/>
    <n v="0"/>
    <n v="0"/>
    <n v="6"/>
    <n v="0"/>
    <s v="NEWPACKAGE INNER / CARTON OLD STK"/>
    <m/>
    <m/>
  </r>
  <r>
    <m/>
    <x v="202"/>
    <m/>
    <x v="0"/>
    <s v="Week29"/>
    <x v="6"/>
    <m/>
    <m/>
    <m/>
    <m/>
    <m/>
    <x v="0"/>
    <m/>
    <m/>
    <m/>
    <m/>
    <m/>
    <m/>
    <m/>
    <m/>
    <m/>
    <m/>
    <m/>
    <m/>
    <m/>
    <m/>
    <m/>
    <m/>
    <m/>
    <m/>
    <m/>
    <m/>
  </r>
  <r>
    <m/>
    <x v="203"/>
    <s v="08-2024"/>
    <x v="0"/>
    <s v="Week30"/>
    <x v="6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4121"/>
    <n v="4121"/>
    <m/>
    <n v="0"/>
    <n v="0"/>
    <m/>
    <m/>
    <m/>
    <m/>
    <m/>
    <m/>
  </r>
  <r>
    <m/>
    <x v="203"/>
    <d v="2024-08-07T00:00:00"/>
    <x v="0"/>
    <s v="Week30"/>
    <x v="6"/>
    <s v="DRY2400508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  <m/>
    <m/>
    <m/>
  </r>
  <r>
    <s v="R"/>
    <x v="203"/>
    <d v="2024-08-01T00:00:00"/>
    <x v="0"/>
    <s v="Week30"/>
    <x v="6"/>
    <s v="08-2024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175"/>
    <n v="175"/>
    <m/>
    <n v="0"/>
    <n v="0"/>
    <n v="0"/>
    <m/>
    <n v="0"/>
    <m/>
    <m/>
    <m/>
  </r>
  <r>
    <s v="R"/>
    <x v="203"/>
    <d v="2024-08-06T00:00:00"/>
    <x v="0"/>
    <s v="Week30"/>
    <x v="6"/>
    <s v="DRY2400497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330"/>
    <n v="330"/>
    <m/>
    <n v="0"/>
    <n v="0"/>
    <n v="0"/>
    <n v="6"/>
    <n v="0"/>
    <m/>
    <m/>
    <m/>
  </r>
  <r>
    <s v="Fix Audit UK"/>
    <x v="204"/>
    <d v="2024-09-10T00:00:00"/>
    <x v="0"/>
    <s v="Week30"/>
    <x v="6"/>
    <s v="DRY2400332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  <s v="ใช้ package ที่เป็น หมึกพิมพ์ใหม่"/>
    <m/>
    <m/>
  </r>
  <r>
    <m/>
    <x v="204"/>
    <d v="2024-09-24T00:00:00"/>
    <x v="0"/>
    <s v="Week30"/>
    <x v="6"/>
    <s v="DRY2400333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  <s v="ใช้ package ที่เป็น หมึกพิมพ์ใหม่"/>
    <m/>
    <m/>
  </r>
  <r>
    <m/>
    <x v="204"/>
    <s v="08-2024"/>
    <x v="0"/>
    <s v="Week30"/>
    <x v="6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1513"/>
    <n v="1513"/>
    <m/>
    <n v="0"/>
    <n v="0"/>
    <m/>
    <m/>
    <m/>
    <m/>
    <m/>
    <m/>
  </r>
  <r>
    <s v="R"/>
    <x v="204"/>
    <d v="2024-08-08T00:00:00"/>
    <x v="0"/>
    <s v="Week30"/>
    <x v="6"/>
    <s v="DRY2400488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1650"/>
    <n v="657"/>
    <n v="993"/>
    <n v="0"/>
    <n v="0"/>
    <n v="0"/>
    <n v="1"/>
    <n v="0"/>
    <m/>
    <m/>
    <m/>
  </r>
  <r>
    <m/>
    <x v="205"/>
    <s v="08-2024"/>
    <x v="0"/>
    <s v="Week30"/>
    <x v="6"/>
    <s v="ขายภายใน"/>
    <s v=".7-11"/>
    <s v="CPFGS"/>
    <s v="ซีพีเอฟ เทรดดิ้ง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5699"/>
    <n v="5699"/>
    <m/>
    <n v="0"/>
    <n v="0"/>
    <m/>
    <m/>
    <m/>
    <m/>
    <m/>
    <m/>
  </r>
  <r>
    <s v="R"/>
    <x v="205"/>
    <d v="2024-08-07T00:00:00"/>
    <x v="0"/>
    <s v="Week30"/>
    <x v="6"/>
    <s v="DRY2400514"/>
    <s v="SG"/>
    <s v="CPFNW"/>
    <s v="CPI SINGAPORE"/>
    <s v="R-Minced egg past"/>
    <x v="2"/>
    <s v="Raw Minced Wonton 8 pcs"/>
    <s v="082ID3B18008P00001"/>
    <s v="90g*18in"/>
    <n v="18"/>
    <n v="8"/>
    <n v="6.0000000000000001E-3"/>
    <s v="BK"/>
    <s v="STPP"/>
    <s v="ซุปซอง 5g."/>
    <n v="600"/>
    <n v="600"/>
    <m/>
    <n v="0"/>
    <n v="0"/>
    <n v="0"/>
    <n v="2"/>
    <n v="0"/>
    <m/>
    <m/>
    <m/>
  </r>
  <r>
    <s v="R"/>
    <x v="205"/>
    <d v="2024-08-08T00:00:00"/>
    <x v="0"/>
    <s v="Week30"/>
    <x v="6"/>
    <s v="DRY2400488"/>
    <s v="HK"/>
    <s v="CPFNW"/>
    <s v="CPM Hongkong"/>
    <s v="R-Minced egg past"/>
    <x v="2"/>
    <s v="Raw Minced Wonton 8 pcs"/>
    <s v="082ID3G18008P00001"/>
    <s v="90g*18in"/>
    <n v="18"/>
    <n v="8"/>
    <n v="6.0000000000000001E-3"/>
    <s v="BK"/>
    <s v="STPP"/>
    <s v="ซุปซอง 5g."/>
    <n v="250"/>
    <n v="250"/>
    <m/>
    <n v="0"/>
    <n v="0"/>
    <n v="0"/>
    <n v="2"/>
    <n v="0"/>
    <m/>
    <m/>
    <m/>
  </r>
  <r>
    <s v="R"/>
    <x v="205"/>
    <d v="2024-08-27T00:00:00"/>
    <x v="0"/>
    <s v="Week30"/>
    <x v="6"/>
    <s v="DRY2400632"/>
    <s v="Malay"/>
    <s v="CPFNW"/>
    <s v="CPM Malaysia"/>
    <s v="R-Wonton egg past"/>
    <x v="2"/>
    <s v="Raw Wonton 12 pcs"/>
    <s v="082I95I20012P02001"/>
    <s v="154g*20inner"/>
    <n v="20"/>
    <n v="12"/>
    <n v="6.8100000000000001E-3"/>
    <s v="S"/>
    <s v="STPP"/>
    <s v="ซุปซอง 5g."/>
    <n v="400"/>
    <n v="400"/>
    <m/>
    <n v="0"/>
    <n v="0"/>
    <n v="0"/>
    <n v="2"/>
    <n v="0"/>
    <m/>
    <m/>
    <m/>
  </r>
  <r>
    <m/>
    <x v="206"/>
    <s v="07-2024"/>
    <x v="0"/>
    <s v="Week30"/>
    <x v="6"/>
    <s v="ขายภายใน"/>
    <s v="MTFS"/>
    <s v="CPFGS"/>
    <s v="ซีพีเอฟ เทรดดิ้ง"/>
    <s v="E+Wonton NDE"/>
    <x v="1"/>
    <s v="Cooked Wonton ND with egg V-Food"/>
    <s v="082SJ3Q12003P07001"/>
    <s v="226g*12"/>
    <n v="12"/>
    <n v="3"/>
    <n v="8.0000000000000002E-3"/>
    <s v="M"/>
    <s v="STPP"/>
    <s v="Regular"/>
    <n v="216"/>
    <n v="216"/>
    <m/>
    <n v="0"/>
    <n v="0"/>
    <m/>
    <m/>
    <m/>
    <m/>
    <m/>
    <m/>
  </r>
  <r>
    <m/>
    <x v="206"/>
    <s v="08-2024"/>
    <x v="0"/>
    <s v="Week30"/>
    <x v="6"/>
    <s v="ขายภายใน"/>
    <s v="MTFS"/>
    <s v="CPFGS"/>
    <s v="ซีพีเอฟ เทรดดิ้ง"/>
    <s v="E+Wonton NDE"/>
    <x v="1"/>
    <s v="Cooked Wonton ND with egg V-Food"/>
    <s v="082SJ3Q12003P07001"/>
    <s v="226g*12"/>
    <n v="12"/>
    <n v="3"/>
    <n v="8.0000000000000002E-3"/>
    <s v="M"/>
    <s v="STPP"/>
    <s v="Regular"/>
    <n v="452"/>
    <n v="452"/>
    <m/>
    <n v="0"/>
    <n v="0"/>
    <m/>
    <m/>
    <m/>
    <m/>
    <m/>
    <m/>
  </r>
  <r>
    <m/>
    <x v="206"/>
    <s v="08-2024"/>
    <x v="0"/>
    <s v="Week30"/>
    <x v="6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4879"/>
    <n v="4879"/>
    <m/>
    <n v="0"/>
    <n v="0"/>
    <m/>
    <m/>
    <m/>
    <m/>
    <m/>
    <m/>
  </r>
  <r>
    <s v="เก็บตก"/>
    <x v="206"/>
    <s v="07-2024"/>
    <x v="0"/>
    <s v="Week30"/>
    <x v="6"/>
    <s v="ขายภายใน"/>
    <s v="MTFS"/>
    <s v="CPFGS"/>
    <s v="ซีพีเอฟ เทรดดิ้ง"/>
    <s v="E+Wonton+หมาล่า"/>
    <x v="1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138"/>
    <n v="138"/>
    <m/>
    <n v="0"/>
    <n v="0"/>
    <m/>
    <m/>
    <m/>
    <m/>
    <m/>
    <m/>
  </r>
  <r>
    <m/>
    <x v="206"/>
    <s v="08-2024"/>
    <x v="0"/>
    <s v="Week30"/>
    <x v="6"/>
    <s v="ขายภายใน"/>
    <s v="MTFS"/>
    <s v="CPFGS"/>
    <s v="ซีพีเอฟ เทรดดิ้ง"/>
    <s v="E+Wonton+หมาล่า"/>
    <x v="1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271"/>
    <n v="271"/>
    <m/>
    <n v="0"/>
    <n v="0"/>
    <m/>
    <m/>
    <m/>
    <m/>
    <m/>
    <m/>
  </r>
  <r>
    <m/>
    <x v="206"/>
    <s v="08-2024"/>
    <x v="0"/>
    <s v="Week30"/>
    <x v="6"/>
    <s v="ขายภายใน"/>
    <s v="MTFS"/>
    <s v="CPFGS"/>
    <s v="ซีพีเอฟ เทรดดิ้ง"/>
    <s v="E+Wonton+หมาล่า"/>
    <x v="1"/>
    <s v="เกี๊ยวกุ้งจักรพรรดิซุปหมาล่า (ตรา ซีพี)_MT"/>
    <s v="082S83Q18005P06001"/>
    <s v="143g*18"/>
    <n v="18"/>
    <n v="5"/>
    <n v="6.1999999999999998E-3"/>
    <s v="SS"/>
    <s v="STPP"/>
    <s v="หมาล่า"/>
    <n v="126"/>
    <n v="126"/>
    <m/>
    <n v="0"/>
    <n v="0"/>
    <m/>
    <m/>
    <m/>
    <m/>
    <m/>
    <m/>
  </r>
  <r>
    <m/>
    <x v="206"/>
    <s v="08-2024"/>
    <x v="0"/>
    <s v="Week30"/>
    <x v="6"/>
    <s v="ขายภายใน"/>
    <s v=".7-11"/>
    <s v="CPFGS"/>
    <s v="ซีพีเอฟ เทรดดิ้ง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543"/>
    <n v="543"/>
    <m/>
    <n v="0"/>
    <n v="0"/>
    <m/>
    <m/>
    <m/>
    <m/>
    <m/>
    <m/>
  </r>
  <r>
    <m/>
    <x v="207"/>
    <s v="07-2024"/>
    <x v="0"/>
    <s v="Week30"/>
    <x v="6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301"/>
    <n v="301"/>
    <m/>
    <n v="0"/>
    <n v="0"/>
    <m/>
    <m/>
    <m/>
    <m/>
    <m/>
    <m/>
  </r>
  <r>
    <m/>
    <x v="207"/>
    <s v="08-2024"/>
    <x v="0"/>
    <s v="Week30"/>
    <x v="6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311"/>
    <n v="311"/>
    <m/>
    <n v="0"/>
    <n v="0"/>
    <m/>
    <m/>
    <m/>
    <m/>
    <m/>
    <m/>
  </r>
  <r>
    <s v="R&amp;D"/>
    <x v="207"/>
    <s v="08-2024"/>
    <x v="0"/>
    <s v="Week30"/>
    <x v="6"/>
    <s v="ขายภายใน"/>
    <s v="MTFS"/>
    <s v="CPFGS"/>
    <s v="ซีพีเอฟ เทรดดิ้ง"/>
    <s v="E+Wonton"/>
    <x v="1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m/>
    <m/>
    <m/>
    <m/>
    <m/>
    <m/>
  </r>
  <r>
    <m/>
    <x v="207"/>
    <s v="07-2024"/>
    <x v="0"/>
    <s v="Week30"/>
    <x v="6"/>
    <s v="ขายภายใน"/>
    <s v="MTFS"/>
    <s v="CPFGS"/>
    <s v="ซีพีเอฟ เทรดดิ้ง"/>
    <s v="E+Wonton"/>
    <x v="1"/>
    <s v="Cooked Wonton  with egg V-Food"/>
    <s v="082S83Q12005P05001"/>
    <s v="145g*12"/>
    <n v="12"/>
    <n v="5"/>
    <n v="8.0000000000000002E-3"/>
    <s v="M"/>
    <s v="STPP"/>
    <s v="Regular"/>
    <n v="1325"/>
    <n v="1325"/>
    <m/>
    <n v="0"/>
    <n v="0"/>
    <m/>
    <m/>
    <m/>
    <m/>
    <m/>
    <m/>
  </r>
  <r>
    <m/>
    <x v="207"/>
    <s v="08-2024"/>
    <x v="0"/>
    <s v="Week30"/>
    <x v="6"/>
    <s v="ขายภายใน"/>
    <s v="MTFS"/>
    <s v="CPFGS"/>
    <s v="ซีพีเอฟ เทรดดิ้ง"/>
    <s v="E+Wonton"/>
    <x v="1"/>
    <s v="Cooked Wonton  with egg V-Food"/>
    <s v="082S83Q12005P05001"/>
    <s v="145g*12"/>
    <n v="12"/>
    <n v="5"/>
    <n v="8.0000000000000002E-3"/>
    <s v="M"/>
    <s v="STPP"/>
    <s v="Regular"/>
    <n v="2876"/>
    <n v="2876"/>
    <m/>
    <n v="0"/>
    <n v="0"/>
    <m/>
    <m/>
    <m/>
    <m/>
    <m/>
    <m/>
  </r>
  <r>
    <m/>
    <x v="207"/>
    <s v="08-2024"/>
    <x v="0"/>
    <s v="Week30"/>
    <x v="6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2546"/>
    <n v="2546"/>
    <m/>
    <n v="0"/>
    <n v="0"/>
    <m/>
    <m/>
    <m/>
    <m/>
    <m/>
    <m/>
  </r>
  <r>
    <m/>
    <x v="207"/>
    <s v="08-2024"/>
    <x v="0"/>
    <s v="Week30"/>
    <x v="6"/>
    <s v="ขายภายใน"/>
    <s v="MTFS"/>
    <s v="CPFGS"/>
    <s v="ซีพีเอฟ เทรดดิ้ง"/>
    <s v="E+Wonton TY"/>
    <x v="1"/>
    <s v="Cooked Wonton Tomyum with egg.V-Food TY"/>
    <s v="082S83Q12005P04001"/>
    <s v="115g*12"/>
    <n v="12"/>
    <n v="5"/>
    <n v="8.0000000000000002E-3"/>
    <s v="M"/>
    <s v="STPP"/>
    <s v="TYTB3C 30G"/>
    <n v="429"/>
    <n v="429"/>
    <m/>
    <n v="0"/>
    <n v="0"/>
    <m/>
    <n v="1"/>
    <n v="0"/>
    <m/>
    <m/>
    <m/>
  </r>
  <r>
    <m/>
    <x v="207"/>
    <s v="07-2024"/>
    <x v="0"/>
    <s v="Week30"/>
    <x v="6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581"/>
    <n v="581"/>
    <m/>
    <n v="0"/>
    <n v="0"/>
    <m/>
    <n v="1"/>
    <n v="0"/>
    <m/>
    <m/>
    <m/>
  </r>
  <r>
    <m/>
    <x v="207"/>
    <s v="08-2024"/>
    <x v="0"/>
    <s v="Week30"/>
    <x v="6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519"/>
    <n v="515"/>
    <n v="4"/>
    <n v="0"/>
    <n v="0"/>
    <m/>
    <n v="1"/>
    <n v="0"/>
    <m/>
    <m/>
    <m/>
  </r>
  <r>
    <m/>
    <x v="208"/>
    <d v="2024-08-15T00:00:00"/>
    <x v="0"/>
    <s v="Week30"/>
    <x v="6"/>
    <s v="DRY2400517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208"/>
    <d v="2024-08-22T00:00:00"/>
    <x v="0"/>
    <s v="Week30"/>
    <x v="6"/>
    <s v="DRY2400518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208"/>
    <d v="2024-08-29T00:00:00"/>
    <x v="0"/>
    <s v="Week30"/>
    <x v="6"/>
    <s v="DRY2400550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385"/>
    <n v="385"/>
    <m/>
    <n v="0"/>
    <n v="0"/>
    <m/>
    <m/>
    <m/>
    <m/>
    <m/>
    <m/>
  </r>
  <r>
    <m/>
    <x v="208"/>
    <d v="2024-08-26T00:00:00"/>
    <x v="0"/>
    <s v="Week30"/>
    <x v="6"/>
    <s v="DRY2400219"/>
    <s v="Spain"/>
    <s v="CPFNW"/>
    <s v="Mercadona"/>
    <s v="Wonton ND+V"/>
    <x v="1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  <s v="รวบการผลิตให้เป็นวันเดียวกันตามความต้องการของลูกค้า"/>
    <m/>
    <m/>
  </r>
  <r>
    <m/>
    <x v="208"/>
    <d v="2024-08-13T00:00:00"/>
    <x v="0"/>
    <s v="Week30"/>
    <x v="6"/>
    <s v="DRY2400575"/>
    <s v="Denmark"/>
    <s v="CPFNW"/>
    <s v="CPF DENMARK"/>
    <s v="Wonton ND+V+TY"/>
    <x v="1"/>
    <s v="Cooked Wonton ND No Egg with Pumpkin _x000a_+ Vegetable  HC  3 pcs tomyam"/>
    <s v="082SJKW08003P00001"/>
    <s v="309g*8"/>
    <n v="8"/>
    <n v="3"/>
    <n v="7.4999999999999997E-3"/>
    <s v="M"/>
    <s v="Salt"/>
    <s v="TYANS+CM"/>
    <n v="3500"/>
    <m/>
    <n v="3509.25"/>
    <n v="9.25"/>
    <n v="0"/>
    <m/>
    <m/>
    <m/>
    <s v="ต้มยำสูตรลดเผ็ดลง 10 %"/>
    <m/>
    <m/>
  </r>
  <r>
    <m/>
    <x v="209"/>
    <m/>
    <x v="0"/>
    <s v="Week30"/>
    <x v="6"/>
    <m/>
    <m/>
    <m/>
    <m/>
    <m/>
    <x v="0"/>
    <m/>
    <m/>
    <m/>
    <m/>
    <m/>
    <m/>
    <m/>
    <m/>
    <m/>
    <m/>
    <m/>
    <m/>
    <m/>
    <m/>
    <m/>
    <m/>
    <m/>
    <m/>
    <m/>
    <m/>
  </r>
  <r>
    <m/>
    <x v="210"/>
    <m/>
    <x v="0"/>
    <s v="Week31"/>
    <x v="6"/>
    <m/>
    <m/>
    <m/>
    <m/>
    <m/>
    <x v="0"/>
    <m/>
    <m/>
    <m/>
    <m/>
    <m/>
    <m/>
    <m/>
    <m/>
    <m/>
    <m/>
    <m/>
    <m/>
    <m/>
    <m/>
    <m/>
    <m/>
    <m/>
    <m/>
    <m/>
    <m/>
  </r>
  <r>
    <s v="fix เป็นเกี๊ยว ซ่อมโบลเว่อร์"/>
    <x v="211"/>
    <d v="2024-08-13T00:00:00"/>
    <x v="0"/>
    <s v="Week31"/>
    <x v="6"/>
    <s v="DRY2400633"/>
    <s v="Korea"/>
    <s v="CPFNW"/>
    <s v="Consumer Package Commerce"/>
    <s v="Wonton"/>
    <x v="1"/>
    <s v="Wonton Soup  (Enriched wonton sheet)"/>
    <s v="082S83U36005P00001"/>
    <s v="145g*6c*6in"/>
    <n v="36"/>
    <n v="5"/>
    <n v="7.4999999999999997E-3"/>
    <s v="HC"/>
    <s v="Salt"/>
    <s v="Y3"/>
    <n v="1288"/>
    <n v="1288"/>
    <m/>
    <n v="0"/>
    <n v="0"/>
    <m/>
    <m/>
    <m/>
    <s v="NEWPACKAGE"/>
    <m/>
    <m/>
  </r>
  <r>
    <s v="fix เป็นเกี๊ยว ซ่อมโบลเว่อร์"/>
    <x v="211"/>
    <d v="2024-08-13T00:00:00"/>
    <x v="0"/>
    <s v="Week31"/>
    <x v="6"/>
    <s v="DRY2400647"/>
    <s v="Korea"/>
    <s v="CPFNW"/>
    <s v="Consumer Package Commerce"/>
    <s v="Wonton"/>
    <x v="1"/>
    <s v="Wonton Soup  (Enriched wonton sheet)"/>
    <s v="082S83U36005P00001"/>
    <s v="145g*6c*6in"/>
    <n v="36"/>
    <n v="5"/>
    <n v="7.4999999999999997E-3"/>
    <s v="HC"/>
    <s v="Salt"/>
    <s v="Y3"/>
    <n v="644"/>
    <n v="594"/>
    <n v="74.777777777777771"/>
    <n v="24.777777777777828"/>
    <n v="0"/>
    <m/>
    <m/>
    <m/>
    <s v="NEWPACKAGE"/>
    <m/>
    <m/>
  </r>
  <r>
    <s v="fix เป็นเกี๊ยว ซ่อมโบลเว่อร์"/>
    <x v="211"/>
    <d v="2024-08-08T00:00:00"/>
    <x v="0"/>
    <s v="Week31"/>
    <x v="6"/>
    <s v="DRY2400321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54"/>
    <n v="1254"/>
    <m/>
    <n v="0"/>
    <n v="0"/>
    <m/>
    <m/>
    <m/>
    <m/>
    <m/>
    <m/>
  </r>
  <r>
    <s v="fix เป็นเกี๊ยว ซ่อมโบลเว่อร์"/>
    <x v="211"/>
    <d v="2024-08-22T00:00:00"/>
    <x v="0"/>
    <s v="Week31"/>
    <x v="6"/>
    <s v="DRY2400331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755"/>
    <n v="755"/>
    <m/>
    <n v="0"/>
    <n v="0"/>
    <m/>
    <m/>
    <m/>
    <m/>
    <m/>
    <m/>
  </r>
  <r>
    <s v="fix เป็นเกี๊ยว ซ่อมโบลเว่อร์"/>
    <x v="212"/>
    <d v="2024-08-14T00:00:00"/>
    <x v="0"/>
    <s v="Week31"/>
    <x v="6"/>
    <s v="DRY2400509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  <m/>
    <m/>
    <m/>
  </r>
  <r>
    <s v="fix เป็นเกี๊ยว ซ่อมโบลเว่อร์"/>
    <x v="212"/>
    <d v="2024-08-21T00:00:00"/>
    <x v="0"/>
    <s v="Week31"/>
    <x v="6"/>
    <s v="DRY2400510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  <m/>
    <m/>
    <m/>
  </r>
  <r>
    <s v="fix เป็นเกี๊ยว ซ่อมโบลเว่อร์"/>
    <x v="212"/>
    <d v="2024-08-21T00:00:00"/>
    <x v="0"/>
    <s v="Week31"/>
    <x v="6"/>
    <s v="DRY2400511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  <m/>
    <m/>
    <m/>
  </r>
  <r>
    <m/>
    <x v="212"/>
    <d v="2024-08-07T00:00:00"/>
    <x v="0"/>
    <s v="Week31"/>
    <x v="6"/>
    <s v="DRY2400513"/>
    <s v="SG"/>
    <s v="CPFNW"/>
    <s v="CPI SINGAPORE"/>
    <s v="Wonton +TY"/>
    <x v="1"/>
    <s v="Cooked Wonton No Egg"/>
    <s v="082S83B24005P06001"/>
    <s v="115g*24"/>
    <n v="24"/>
    <n v="5"/>
    <n v="8.0000000000000002E-3"/>
    <s v="M"/>
    <s v="STPP"/>
    <s v="TYTB3C 30G"/>
    <n v="500"/>
    <n v="446"/>
    <n v="54"/>
    <n v="0"/>
    <n v="0"/>
    <m/>
    <n v="1"/>
    <n v="0"/>
    <m/>
    <m/>
    <m/>
  </r>
  <r>
    <m/>
    <x v="213"/>
    <d v="2024-08-21T00:00:00"/>
    <x v="0"/>
    <s v="Week31"/>
    <x v="7"/>
    <s v="DRY2400592"/>
    <s v="New Zealand"/>
    <s v="CPFNW"/>
    <s v="Lim Brothers"/>
    <s v="Minced ND+Kee Mao"/>
    <x v="1"/>
    <s v="Cooked Minced Wonton Thai Spicy Noodles (Kee Mao Noodles)"/>
    <s v="082SRN708003P02001"/>
    <s v="219g*8"/>
    <n v="8"/>
    <n v="3"/>
    <n v="6.0000000000000001E-3"/>
    <s v="BK"/>
    <s v="Salt"/>
    <s v="Kee Mao 50G."/>
    <n v="54"/>
    <m/>
    <n v="54"/>
    <n v="0"/>
    <n v="0"/>
    <m/>
    <m/>
    <m/>
    <s v="NEWPACKAGE"/>
    <m/>
    <m/>
  </r>
  <r>
    <m/>
    <x v="213"/>
    <d v="2024-08-29T00:00:00"/>
    <x v="0"/>
    <s v="Week31"/>
    <x v="7"/>
    <s v="DRY2400593"/>
    <s v="New Zealand"/>
    <s v="CPFNW"/>
    <s v="Lim Brothers"/>
    <s v="Minced ND+Kee Mao"/>
    <x v="1"/>
    <s v="Cooked Minced Wonton Thai Spicy Noodles (Kee Mao Noodles)"/>
    <s v="082SRN708003P02001"/>
    <s v="219g*8"/>
    <n v="8"/>
    <n v="3"/>
    <n v="6.0000000000000001E-3"/>
    <s v="BK"/>
    <s v="Salt"/>
    <s v="Kee Mao 50G."/>
    <n v="108"/>
    <m/>
    <n v="190.5"/>
    <n v="82.5"/>
    <n v="0"/>
    <m/>
    <m/>
    <m/>
    <s v="NEWPACKAGE"/>
    <m/>
    <m/>
  </r>
  <r>
    <m/>
    <x v="213"/>
    <d v="2024-08-28T00:00:00"/>
    <x v="0"/>
    <s v="Week31"/>
    <x v="7"/>
    <s v="DRY2400606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m/>
    <m/>
    <m/>
    <m/>
    <m/>
    <m/>
  </r>
  <r>
    <m/>
    <x v="213"/>
    <d v="2024-08-20T00:00:00"/>
    <x v="0"/>
    <s v="Week31"/>
    <x v="7"/>
    <s v="DRY2400551"/>
    <s v="UK"/>
    <s v="CPFNW"/>
    <s v="Food Fellas"/>
    <s v="Wonton ND"/>
    <x v="1"/>
    <s v="Cooked Wonton ND No Egg with _x000a_HC  5 pcs"/>
    <s v="082SJ5L08005P03001"/>
    <s v="258g*8"/>
    <n v="8"/>
    <n v="5"/>
    <n v="7.4999999999999997E-3"/>
    <s v="HC"/>
    <s v="Salt"/>
    <s v="Regular"/>
    <n v="2000"/>
    <m/>
    <n v="2002.25"/>
    <n v="2.25"/>
    <n v="0"/>
    <m/>
    <m/>
    <m/>
    <m/>
    <m/>
    <m/>
  </r>
  <r>
    <m/>
    <x v="213"/>
    <d v="2024-09-06T00:00:00"/>
    <x v="0"/>
    <s v="Week31"/>
    <x v="7"/>
    <s v="DRY2300369"/>
    <s v="UK"/>
    <s v="CPFNW"/>
    <s v="Food Fellas"/>
    <s v="Wonton ND"/>
    <x v="1"/>
    <s v="Cooked Wonton ND No Egg with _x000a_HC  5 pcs"/>
    <s v="082SJT212005P00001"/>
    <s v="258g*12"/>
    <n v="12"/>
    <n v="5"/>
    <n v="7.4999999999999997E-3"/>
    <s v="HC"/>
    <s v="Salt"/>
    <s v="Regular"/>
    <n v="250"/>
    <n v="250"/>
    <m/>
    <n v="0"/>
    <n v="0"/>
    <m/>
    <m/>
    <m/>
    <m/>
    <m/>
    <m/>
  </r>
  <r>
    <m/>
    <x v="213"/>
    <d v="2024-08-20T00:00:00"/>
    <x v="0"/>
    <s v="Week31"/>
    <x v="7"/>
    <s v="DRY2400551"/>
    <s v="UK"/>
    <s v="CPFNW"/>
    <s v="Food Fellas"/>
    <s v="Wonton"/>
    <x v="1"/>
    <s v="Cooked Wonton  No Egg_x000a_HC  5 pcs"/>
    <s v="082S85L08005P03001"/>
    <s v="145g*8"/>
    <n v="8"/>
    <n v="5"/>
    <n v="7.4999999999999997E-3"/>
    <s v="HC"/>
    <s v="Salt"/>
    <s v="Regular"/>
    <n v="1600"/>
    <m/>
    <n v="1637.375"/>
    <n v="37.375"/>
    <n v="0"/>
    <m/>
    <m/>
    <m/>
    <m/>
    <m/>
    <m/>
  </r>
  <r>
    <m/>
    <x v="213"/>
    <d v="2024-09-06T00:00:00"/>
    <x v="0"/>
    <s v="Week31"/>
    <x v="7"/>
    <s v="DRY2300369"/>
    <s v="UK"/>
    <s v="CPFNW"/>
    <s v="Food Fellas"/>
    <s v="Wonton"/>
    <x v="1"/>
    <s v="Cooked Wonton  No Egg_x000a_HC  5 pcs"/>
    <s v="082S8T212005P00001"/>
    <s v="145g*12"/>
    <n v="12"/>
    <n v="5"/>
    <n v="7.4999999999999997E-3"/>
    <s v="HC"/>
    <s v="Salt"/>
    <s v="Regular"/>
    <n v="250"/>
    <n v="250"/>
    <n v="7.916666666666667"/>
    <n v="7.9166666666666856"/>
    <n v="0"/>
    <m/>
    <m/>
    <m/>
    <m/>
    <m/>
    <m/>
  </r>
  <r>
    <m/>
    <x v="213"/>
    <s v="09-2024"/>
    <x v="0"/>
    <s v="Week31"/>
    <x v="7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2890"/>
    <n v="2890"/>
    <m/>
    <n v="0"/>
    <n v="0"/>
    <m/>
    <m/>
    <m/>
    <m/>
    <m/>
    <m/>
  </r>
  <r>
    <s v="เร่งผลเชื้อ"/>
    <x v="214"/>
    <d v="2024-08-05T00:00:00"/>
    <x v="0"/>
    <s v="Week31"/>
    <x v="7"/>
    <s v="DRY240042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03"/>
    <n v="503"/>
    <m/>
    <n v="0"/>
    <n v="0"/>
    <m/>
    <m/>
    <m/>
    <m/>
    <m/>
    <m/>
  </r>
  <r>
    <s v="เร่งผลเชื้อ"/>
    <x v="214"/>
    <d v="2024-08-05T00:00:00"/>
    <x v="0"/>
    <s v="Week31"/>
    <x v="7"/>
    <s v="DRY240044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14"/>
    <d v="2024-08-06T00:00:00"/>
    <x v="0"/>
    <s v="Week31"/>
    <x v="7"/>
    <s v="DRY240044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14"/>
    <d v="2024-08-06T00:00:00"/>
    <x v="0"/>
    <s v="Week31"/>
    <x v="7"/>
    <s v="DRY240044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14"/>
    <d v="2024-08-07T00:00:00"/>
    <x v="0"/>
    <s v="Week31"/>
    <x v="7"/>
    <s v="DRY240044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95"/>
    <n v="195"/>
    <m/>
    <n v="0"/>
    <n v="0"/>
    <m/>
    <m/>
    <m/>
    <m/>
    <m/>
    <m/>
  </r>
  <r>
    <m/>
    <x v="215"/>
    <d v="2024-08-07T00:00:00"/>
    <x v="0"/>
    <s v="Week31"/>
    <x v="7"/>
    <s v="DRY240044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97"/>
    <n v="597"/>
    <m/>
    <n v="0"/>
    <n v="0"/>
    <m/>
    <m/>
    <m/>
    <m/>
    <m/>
    <m/>
  </r>
  <r>
    <m/>
    <x v="215"/>
    <d v="2024-08-07T00:00:00"/>
    <x v="0"/>
    <s v="Week31"/>
    <x v="7"/>
    <s v="DRY240045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15"/>
    <d v="2024-08-07T00:00:00"/>
    <x v="0"/>
    <s v="Week31"/>
    <x v="7"/>
    <s v="DRY240045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15"/>
    <d v="2024-08-13T00:00:00"/>
    <x v="0"/>
    <s v="Week31"/>
    <x v="7"/>
    <s v="DRY240045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15"/>
    <d v="2024-08-13T00:00:00"/>
    <x v="0"/>
    <s v="Week31"/>
    <x v="7"/>
    <s v="DRY240045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73"/>
    <n v="373"/>
    <m/>
    <n v="0"/>
    <n v="0"/>
    <m/>
    <m/>
    <m/>
    <m/>
    <m/>
    <m/>
  </r>
  <r>
    <m/>
    <x v="215"/>
    <d v="2024-08-15T00:00:00"/>
    <x v="0"/>
    <s v="Week31"/>
    <x v="7"/>
    <s v="DRY2400549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+CO"/>
    <n v="924"/>
    <n v="834"/>
    <n v="90.291666666666671"/>
    <n v="0.29166666666662877"/>
    <n v="0"/>
    <m/>
    <m/>
    <m/>
    <m/>
    <m/>
    <m/>
  </r>
  <r>
    <m/>
    <x v="216"/>
    <m/>
    <x v="0"/>
    <s v="Week31"/>
    <x v="7"/>
    <m/>
    <m/>
    <m/>
    <m/>
    <m/>
    <x v="0"/>
    <m/>
    <m/>
    <m/>
    <m/>
    <m/>
    <m/>
    <m/>
    <m/>
    <m/>
    <m/>
    <m/>
    <m/>
    <m/>
    <m/>
    <m/>
    <m/>
    <m/>
    <m/>
    <m/>
    <m/>
  </r>
  <r>
    <m/>
    <x v="217"/>
    <d v="2024-09-05T00:00:00"/>
    <x v="0"/>
    <s v="Week32"/>
    <x v="7"/>
    <s v="DRY2400445"/>
    <s v="Japan"/>
    <s v="CPFNW"/>
    <s v="CPF JAPAN"/>
    <s v="Wonton+TY"/>
    <x v="1"/>
    <s v="Wonton Soup 5pcs"/>
    <s v="082S85736005P01001"/>
    <s v="147g*6c*6in"/>
    <n v="36"/>
    <n v="5"/>
    <n v="7.4999999999999997E-3"/>
    <s v="M"/>
    <s v="Salt"/>
    <s v="TYEX+CO"/>
    <n v="1288"/>
    <n v="1277"/>
    <n v="81.333333333333329"/>
    <n v="70.333333333333258"/>
    <n v="0"/>
    <m/>
    <m/>
    <m/>
    <m/>
    <m/>
    <m/>
  </r>
  <r>
    <m/>
    <x v="217"/>
    <d v="2024-08-13T00:00:00"/>
    <x v="0"/>
    <s v="Week32"/>
    <x v="7"/>
    <s v="DRY2400647"/>
    <s v="Korea"/>
    <s v="CPFNW"/>
    <s v="Consumer Package Commerce"/>
    <s v="Wonton+TY"/>
    <x v="1"/>
    <s v="Wonton Soup  (Enriched wonton sheet) tom yum"/>
    <s v="082S83U36005P01001"/>
    <s v="147g*6c*6in"/>
    <n v="36"/>
    <n v="5"/>
    <n v="7.4999999999999997E-3"/>
    <s v="M"/>
    <s v="Salt"/>
    <s v="TYEX+CO"/>
    <n v="644"/>
    <n v="639"/>
    <n v="5"/>
    <n v="0"/>
    <n v="0"/>
    <m/>
    <m/>
    <m/>
    <m/>
    <m/>
    <m/>
  </r>
  <r>
    <m/>
    <x v="217"/>
    <d v="2024-08-22T00:00:00"/>
    <x v="0"/>
    <s v="Week32"/>
    <x v="7"/>
    <s v="DRY2400493"/>
    <s v="CAN "/>
    <s v="CPFNW "/>
    <s v="CP Foods Canada,Inc (CPFC)"/>
    <s v="Wonton+TY"/>
    <x v="1"/>
    <s v="Wonton Soup  (Enriched wonton sheet)"/>
    <s v="082S85336005P02001"/>
    <s v="147g*6c*6in"/>
    <n v="36"/>
    <n v="5"/>
    <n v="7.4999999999999997E-3"/>
    <s v="M"/>
    <s v="Salt"/>
    <s v="TYEX+CO"/>
    <n v="1219"/>
    <n v="1219"/>
    <m/>
    <n v="0"/>
    <n v="0"/>
    <m/>
    <m/>
    <m/>
    <m/>
    <m/>
    <m/>
  </r>
  <r>
    <m/>
    <x v="217"/>
    <d v="2024-09-12T00:00:00"/>
    <x v="0"/>
    <s v="Week32"/>
    <x v="7"/>
    <s v="DRY2400494"/>
    <s v="CAN "/>
    <s v="CPFNW "/>
    <s v="CP Foods Canada,Inc (CPFC)"/>
    <s v="Wonton+TY"/>
    <x v="1"/>
    <s v="Wonton Soup  (Enriched wonton sheet)"/>
    <s v="082S85336005P02001"/>
    <s v="147g*6c*6in"/>
    <n v="36"/>
    <n v="5"/>
    <n v="7.4999999999999997E-3"/>
    <s v="M"/>
    <s v="Salt"/>
    <s v="TYEX+CO"/>
    <n v="690"/>
    <n v="651"/>
    <n v="39"/>
    <n v="0"/>
    <n v="0"/>
    <m/>
    <m/>
    <m/>
    <m/>
    <m/>
    <m/>
  </r>
  <r>
    <s v="T"/>
    <x v="218"/>
    <d v="2024-08-21T00:00:00"/>
    <x v="0"/>
    <s v="Week32"/>
    <x v="7"/>
    <s v="DRY2400592"/>
    <s v="New Zealand"/>
    <s v="CPFNW"/>
    <s v="Lim Brothers"/>
    <s v="C-Minced WT in tray no egg"/>
    <x v="1"/>
    <s v="Cooked Minced Wonton in Tray 6 pcs + Sesame Sauce"/>
    <s v="082SKN716006P00001"/>
    <s v="117*2tray*8in"/>
    <n v="16"/>
    <n v="6"/>
    <n v="6.0000000000000001E-3"/>
    <s v="BK"/>
    <s v="Salt"/>
    <s v=" Sesame 15g"/>
    <n v="432"/>
    <n v="432"/>
    <m/>
    <n v="0"/>
    <n v="0"/>
    <m/>
    <n v="1"/>
    <n v="6912"/>
    <s v="cap 3000 tray/hr. อื่น 8,300 ถ้วย"/>
    <m/>
    <m/>
  </r>
  <r>
    <m/>
    <x v="218"/>
    <d v="2024-08-22T00:00:00"/>
    <x v="0"/>
    <s v="Week32"/>
    <x v="7"/>
    <s v="DRY2400331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526"/>
    <n v="526"/>
    <m/>
    <n v="0"/>
    <n v="0"/>
    <m/>
    <m/>
    <m/>
    <m/>
    <m/>
    <m/>
  </r>
  <r>
    <m/>
    <x v="218"/>
    <s v="09-2024"/>
    <x v="0"/>
    <s v="Week32"/>
    <x v="7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4852"/>
    <n v="4852"/>
    <m/>
    <n v="0"/>
    <n v="0"/>
    <m/>
    <m/>
    <m/>
    <m/>
    <m/>
    <m/>
  </r>
  <r>
    <s v="T"/>
    <x v="219"/>
    <d v="2024-08-29T00:00:00"/>
    <x v="0"/>
    <s v="Week32"/>
    <x v="7"/>
    <s v="DRY2400593"/>
    <s v="New Zealand"/>
    <s v="CPFNW"/>
    <s v="Lim Brothers"/>
    <s v="C-Minced WT in tray no egg"/>
    <x v="1"/>
    <s v="Cooked Minced Wonton in Tray 6 pcs + Sesame Sauce"/>
    <s v="082SKN716006P00001"/>
    <s v="117*2tray*8in"/>
    <n v="16"/>
    <n v="6"/>
    <n v="6.0000000000000001E-3"/>
    <s v="BK"/>
    <s v="Salt"/>
    <s v=" Sesame 15g"/>
    <n v="288"/>
    <n v="288"/>
    <m/>
    <n v="0"/>
    <n v="0"/>
    <m/>
    <n v="1"/>
    <n v="4608"/>
    <s v="cap 3000 tray/hr. อื่น 8,300 ถ้วย"/>
    <m/>
    <m/>
  </r>
  <r>
    <m/>
    <x v="219"/>
    <d v="2024-08-27T00:00:00"/>
    <x v="0"/>
    <s v="Week32"/>
    <x v="7"/>
    <s v="DRY2400632"/>
    <s v="Malay"/>
    <s v="CPFNW"/>
    <s v="CPM Malaysia"/>
    <s v="Wonton+TY"/>
    <x v="1"/>
    <s v="Cooked Wonton No Egg  TY"/>
    <s v="082S85I24005P02001"/>
    <s v="115g*24"/>
    <n v="24"/>
    <n v="5"/>
    <n v="8.0000000000000002E-3"/>
    <s v="M"/>
    <s v="STPP"/>
    <s v="TYTB3C 30G"/>
    <n v="850"/>
    <n v="327"/>
    <n v="523.125"/>
    <n v="0.125"/>
    <n v="0"/>
    <m/>
    <n v="1"/>
    <n v="0"/>
    <m/>
    <m/>
    <m/>
  </r>
  <r>
    <m/>
    <x v="219"/>
    <d v="2024-08-27T00:00:00"/>
    <x v="0"/>
    <s v="Week32"/>
    <x v="7"/>
    <s v="DRY2400632"/>
    <s v="Malay"/>
    <s v="CPFNW"/>
    <s v="CPM Malaysia"/>
    <s v="Wonton"/>
    <x v="1"/>
    <s v="Cooked Wonton No Egg  "/>
    <s v="082S85I24005P01001"/>
    <s v="145g*24"/>
    <n v="24"/>
    <n v="5"/>
    <n v="8.0000000000000002E-3"/>
    <s v="M"/>
    <s v="STPP"/>
    <s v="Regular"/>
    <n v="900"/>
    <m/>
    <n v="900.125"/>
    <n v="0.125"/>
    <n v="0"/>
    <m/>
    <m/>
    <m/>
    <m/>
    <m/>
    <m/>
  </r>
  <r>
    <m/>
    <x v="219"/>
    <s v="08-2024"/>
    <x v="0"/>
    <s v="Week32"/>
    <x v="7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3685"/>
    <n v="3685"/>
    <m/>
    <n v="0"/>
    <n v="0"/>
    <m/>
    <m/>
    <m/>
    <m/>
    <m/>
    <m/>
  </r>
  <r>
    <m/>
    <x v="219"/>
    <s v="08.2024"/>
    <x v="0"/>
    <s v="Week32"/>
    <x v="7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356"/>
    <n v="356"/>
    <m/>
    <n v="0"/>
    <n v="0"/>
    <m/>
    <m/>
    <m/>
    <m/>
    <m/>
    <m/>
  </r>
  <r>
    <s v="T"/>
    <x v="220"/>
    <d v="2024-09-06T00:00:00"/>
    <x v="0"/>
    <s v="Week32"/>
    <x v="7"/>
    <s v="DRY2300369"/>
    <s v="UK"/>
    <s v="CPFNW"/>
    <s v="Food Fellas"/>
    <s v="C-WT in tray no egg"/>
    <x v="1"/>
    <s v="Cooked Wonton in Tray 20 pcs with soup powder"/>
    <s v="082S8T216020P00001"/>
    <s v="360g.*16Pack"/>
    <n v="16"/>
    <n v="20"/>
    <n v="8.1300000000000001E-3"/>
    <s v="M"/>
    <m/>
    <s v="ซุปซอง 5g."/>
    <n v="350"/>
    <n v="350"/>
    <n v="2.875"/>
    <n v="2.875"/>
    <n v="0"/>
    <m/>
    <n v="4"/>
    <n v="22400"/>
    <s v="cap 3000 tray/hr."/>
    <m/>
    <m/>
  </r>
  <r>
    <s v="T"/>
    <x v="220"/>
    <d v="2024-11-29T00:00:00"/>
    <x v="0"/>
    <s v="Week32"/>
    <x v="7"/>
    <s v="DRY2400422"/>
    <s v="USA"/>
    <s v="CPFNW"/>
    <s v="Bellisio Foods, Inc."/>
    <s v="C-WT in tray no egg"/>
    <x v="1"/>
    <s v="COOKED WONTON 6 pcs."/>
    <s v="082S8BW08012P00001"/>
    <s v="117*2tray*8in"/>
    <n v="16"/>
    <n v="6"/>
    <n v="8.1300000000000001E-3"/>
    <s v="M"/>
    <s v="Salt"/>
    <s v=" Sesame 15g"/>
    <n v="4"/>
    <n v="4"/>
    <m/>
    <n v="0"/>
    <n v="0"/>
    <m/>
    <n v="1"/>
    <n v="64"/>
    <s v="pk เข้า 22/05/24"/>
    <m/>
    <m/>
  </r>
  <r>
    <m/>
    <x v="220"/>
    <d v="2024-08-22T00:00:00"/>
    <x v="0"/>
    <s v="Week32"/>
    <x v="7"/>
    <s v="DRY2400331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7"/>
    <n v="7"/>
    <m/>
    <n v="0"/>
    <n v="0"/>
    <m/>
    <m/>
    <m/>
    <m/>
    <m/>
    <m/>
  </r>
  <r>
    <m/>
    <x v="220"/>
    <d v="2024-08-29T00:00:00"/>
    <x v="0"/>
    <s v="Week32"/>
    <x v="7"/>
    <s v="DRY2400612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m/>
    <m/>
    <m/>
  </r>
  <r>
    <m/>
    <x v="220"/>
    <d v="2024-09-05T00:00:00"/>
    <x v="0"/>
    <s v="Week32"/>
    <x v="7"/>
    <s v="DRY2400613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m/>
    <m/>
    <m/>
  </r>
  <r>
    <m/>
    <x v="220"/>
    <d v="2024-09-19T00:00:00"/>
    <x v="0"/>
    <s v="Week32"/>
    <x v="7"/>
    <s v="DRY2400614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064"/>
    <n v="605"/>
    <n v="465.19444444444446"/>
    <n v="6.1944444444443434"/>
    <n v="0"/>
    <m/>
    <m/>
    <m/>
    <m/>
    <m/>
    <m/>
  </r>
  <r>
    <m/>
    <x v="221"/>
    <d v="2024-08-13T00:00:00"/>
    <x v="0"/>
    <s v="Week32"/>
    <x v="7"/>
    <s v="DRY240045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19"/>
    <n v="419"/>
    <m/>
    <n v="0"/>
    <n v="0"/>
    <m/>
    <m/>
    <m/>
    <m/>
    <m/>
    <m/>
  </r>
  <r>
    <m/>
    <x v="221"/>
    <d v="2024-08-15T00:00:00"/>
    <x v="0"/>
    <s v="Week32"/>
    <x v="7"/>
    <s v="DRY240045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21"/>
    <d v="2024-08-16T00:00:00"/>
    <x v="0"/>
    <s v="Week32"/>
    <x v="7"/>
    <s v="DRY240045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94"/>
    <n v="494"/>
    <m/>
    <n v="0"/>
    <n v="0"/>
    <m/>
    <m/>
    <m/>
    <m/>
    <m/>
    <m/>
  </r>
  <r>
    <m/>
    <x v="222"/>
    <d v="2024-09-18T00:00:00"/>
    <x v="0"/>
    <s v="Week32"/>
    <x v="7"/>
    <s v="DRY2400666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762"/>
    <m/>
    <n v="762.44444444444446"/>
    <n v="0.44444444444445708"/>
    <n v="0"/>
    <m/>
    <m/>
    <m/>
    <m/>
    <m/>
    <m/>
  </r>
  <r>
    <s v="R"/>
    <x v="222"/>
    <d v="2024-08-20T00:00:00"/>
    <x v="0"/>
    <s v="Week32"/>
    <x v="7"/>
    <s v="KL2400017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m/>
    <m/>
  </r>
  <r>
    <m/>
    <x v="223"/>
    <m/>
    <x v="0"/>
    <s v="Week32"/>
    <x v="7"/>
    <m/>
    <m/>
    <m/>
    <m/>
    <m/>
    <x v="0"/>
    <m/>
    <m/>
    <m/>
    <m/>
    <m/>
    <m/>
    <m/>
    <m/>
    <m/>
    <m/>
    <m/>
    <m/>
    <m/>
    <m/>
    <m/>
    <m/>
    <m/>
    <m/>
    <m/>
    <m/>
  </r>
  <r>
    <m/>
    <x v="224"/>
    <m/>
    <x v="0"/>
    <s v="Week33"/>
    <x v="7"/>
    <m/>
    <m/>
    <m/>
    <m/>
    <m/>
    <x v="0"/>
    <m/>
    <m/>
    <m/>
    <m/>
    <m/>
    <m/>
    <m/>
    <m/>
    <m/>
    <m/>
    <m/>
    <m/>
    <m/>
    <m/>
    <m/>
    <m/>
    <m/>
    <m/>
    <m/>
    <m/>
  </r>
  <r>
    <m/>
    <x v="225"/>
    <d v="2024-08-16T00:00:00"/>
    <x v="0"/>
    <s v="Week33"/>
    <x v="7"/>
    <s v="DRY240045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98"/>
    <n v="298"/>
    <m/>
    <n v="0"/>
    <n v="0"/>
    <m/>
    <m/>
    <m/>
    <m/>
    <m/>
    <m/>
  </r>
  <r>
    <m/>
    <x v="225"/>
    <d v="2024-08-16T00:00:00"/>
    <x v="0"/>
    <s v="Week33"/>
    <x v="7"/>
    <s v="DRY240045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25"/>
    <d v="2024-08-16T00:00:00"/>
    <x v="0"/>
    <s v="Week33"/>
    <x v="7"/>
    <s v="DRY240045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25"/>
    <d v="2024-08-16T00:00:00"/>
    <x v="0"/>
    <s v="Week33"/>
    <x v="7"/>
    <s v="DRY240045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25"/>
    <d v="2024-08-17T00:00:00"/>
    <x v="0"/>
    <s v="Week33"/>
    <x v="7"/>
    <s v="DRY240045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25"/>
    <d v="2024-08-17T00:00:00"/>
    <x v="0"/>
    <s v="Week33"/>
    <x v="7"/>
    <s v="DRY240046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95"/>
    <n v="395"/>
    <m/>
    <n v="0"/>
    <n v="0"/>
    <m/>
    <m/>
    <m/>
    <m/>
    <m/>
    <m/>
  </r>
  <r>
    <m/>
    <x v="226"/>
    <d v="2024-08-17T00:00:00"/>
    <x v="0"/>
    <s v="Week33"/>
    <x v="7"/>
    <s v="DRY240046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97"/>
    <n v="397"/>
    <m/>
    <n v="0"/>
    <n v="0"/>
    <m/>
    <m/>
    <m/>
    <m/>
    <m/>
    <m/>
  </r>
  <r>
    <m/>
    <x v="226"/>
    <d v="2024-08-17T00:00:00"/>
    <x v="0"/>
    <s v="Week33"/>
    <x v="7"/>
    <s v="DRY240046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26"/>
    <d v="2024-08-17T00:00:00"/>
    <x v="0"/>
    <s v="Week33"/>
    <x v="7"/>
    <s v="DRY240046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26"/>
    <d v="2024-08-24T00:00:00"/>
    <x v="0"/>
    <s v="Week33"/>
    <x v="7"/>
    <s v="DRY240046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26"/>
    <d v="2024-08-24T00:00:00"/>
    <x v="0"/>
    <s v="Week33"/>
    <x v="7"/>
    <s v="DRY240046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26"/>
    <d v="2024-08-24T00:00:00"/>
    <x v="0"/>
    <s v="Week33"/>
    <x v="7"/>
    <s v="DRY240046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14"/>
    <n v="314"/>
    <m/>
    <n v="0"/>
    <n v="0"/>
    <m/>
    <m/>
    <m/>
    <m/>
    <m/>
    <m/>
  </r>
  <r>
    <m/>
    <x v="227"/>
    <d v="2024-08-24T00:00:00"/>
    <x v="0"/>
    <s v="Week33"/>
    <x v="7"/>
    <s v="DRY240046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78"/>
    <n v="478"/>
    <m/>
    <n v="0"/>
    <n v="0"/>
    <m/>
    <m/>
    <m/>
    <m/>
    <m/>
    <m/>
  </r>
  <r>
    <m/>
    <x v="227"/>
    <d v="2024-08-24T00:00:00"/>
    <x v="0"/>
    <s v="Week33"/>
    <x v="7"/>
    <s v="DRY240046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27"/>
    <d v="2024-08-24T00:00:00"/>
    <x v="0"/>
    <s v="Week33"/>
    <x v="7"/>
    <s v="DRY240046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27"/>
    <d v="2024-08-24T00:00:00"/>
    <x v="0"/>
    <s v="Week33"/>
    <x v="7"/>
    <s v="DRY240046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27"/>
    <d v="2024-08-24T00:00:00"/>
    <x v="0"/>
    <s v="Week33"/>
    <x v="7"/>
    <s v="DRY240046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41"/>
    <n v="381"/>
    <n v="160"/>
    <n v="0"/>
    <n v="0"/>
    <m/>
    <m/>
    <m/>
    <m/>
    <m/>
    <m/>
  </r>
  <r>
    <s v="R"/>
    <x v="227"/>
    <d v="2024-09-03T00:00:00"/>
    <x v="0"/>
    <s v="Week33"/>
    <x v="7"/>
    <s v="DRY2400499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456"/>
    <n v="456"/>
    <m/>
    <n v="0"/>
    <n v="0"/>
    <n v="0"/>
    <n v="6"/>
    <n v="0"/>
    <m/>
    <m/>
    <m/>
  </r>
  <r>
    <m/>
    <x v="228"/>
    <d v="2024-08-24T00:00:00"/>
    <x v="0"/>
    <s v="Week33"/>
    <x v="7"/>
    <s v="DRY240046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51"/>
    <n v="251"/>
    <m/>
    <n v="0"/>
    <n v="0"/>
    <m/>
    <m/>
    <m/>
    <m/>
    <m/>
    <m/>
  </r>
  <r>
    <m/>
    <x v="228"/>
    <d v="2024-08-26T00:00:00"/>
    <x v="0"/>
    <s v="Week33"/>
    <x v="7"/>
    <s v="DRY240051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28"/>
    <d v="2024-08-26T00:00:00"/>
    <x v="0"/>
    <s v="Week33"/>
    <x v="7"/>
    <s v="DRY240052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28"/>
    <d v="2024-08-31T00:00:00"/>
    <x v="0"/>
    <s v="Week33"/>
    <x v="7"/>
    <s v="DRY240052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09"/>
    <n v="149"/>
    <n v="160"/>
    <n v="0"/>
    <n v="0"/>
    <m/>
    <m/>
    <m/>
    <m/>
    <m/>
    <m/>
  </r>
  <r>
    <m/>
    <x v="228"/>
    <d v="2024-08-29T00:00:00"/>
    <x v="0"/>
    <s v="Week33"/>
    <x v="7"/>
    <s v="DRY2400550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407"/>
    <n v="407"/>
    <m/>
    <n v="0"/>
    <n v="0"/>
    <m/>
    <m/>
    <m/>
    <m/>
    <m/>
    <m/>
  </r>
  <r>
    <m/>
    <x v="228"/>
    <d v="2024-09-03T00:00:00"/>
    <x v="0"/>
    <s v="Week33"/>
    <x v="7"/>
    <s v="DRY2400481"/>
    <s v="Germany"/>
    <s v="CPFNW"/>
    <s v=" CPF Distribution (under Paulsen Food)"/>
    <s v="Wonton ND+V"/>
    <x v="1"/>
    <s v="Cooked Wonton ND No Egg with Pumpkin _x000a_+ Vegetable  HC  3 pcs"/>
    <s v="082SJ3N12003P01001"/>
    <s v="309g*12"/>
    <n v="12"/>
    <n v="3"/>
    <n v="7.4999999999999997E-3"/>
    <s v="HC"/>
    <s v="Salt"/>
    <s v="Regular"/>
    <n v="2040"/>
    <m/>
    <n v="2204.9166666666665"/>
    <n v="164.91666666666652"/>
    <n v="0"/>
    <m/>
    <m/>
    <m/>
    <s v="Newpackage  เปลี่ยน AW   330x330x234 mm.=2040+238"/>
    <m/>
    <m/>
  </r>
  <r>
    <s v="R"/>
    <x v="228"/>
    <d v="2024-09-03T00:00:00"/>
    <x v="0"/>
    <s v="Week33"/>
    <x v="7"/>
    <s v="DRY2400499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430"/>
    <n v="430"/>
    <m/>
    <n v="0"/>
    <n v="0"/>
    <n v="0"/>
    <n v="6"/>
    <n v="0"/>
    <m/>
    <m/>
    <m/>
  </r>
  <r>
    <m/>
    <x v="229"/>
    <d v="2024-08-21T00:00:00"/>
    <x v="0"/>
    <s v="Week33"/>
    <x v="7"/>
    <s v="DRY2400592"/>
    <s v="New Zealand"/>
    <s v="CPFNW"/>
    <s v="Lim Brothers"/>
    <s v="Wonton ND+V"/>
    <x v="1"/>
    <s v="Cooked Wonton ND No Egg with Pumpkin_x000a_+ Yu Choy "/>
    <s v="082SJN708004P00001"/>
    <s v="305g*8"/>
    <n v="8"/>
    <n v="4"/>
    <n v="7.4999999999999997E-3"/>
    <s v="HC"/>
    <s v="Salt"/>
    <s v="Regular"/>
    <n v="610"/>
    <m/>
    <n v="610"/>
    <n v="0"/>
    <n v="0"/>
    <m/>
    <m/>
    <m/>
    <s v="NEWPACKAGE"/>
    <m/>
    <m/>
  </r>
  <r>
    <m/>
    <x v="229"/>
    <d v="2024-08-29T00:00:00"/>
    <x v="0"/>
    <s v="Week33"/>
    <x v="7"/>
    <s v="DRY2400593"/>
    <s v="New Zealand"/>
    <s v="CPFNW"/>
    <s v="Lim Brothers"/>
    <s v="Wonton ND+V"/>
    <x v="1"/>
    <s v="Cooked Wonton ND No Egg with Pumpkin_x000a_+ Yu Choy "/>
    <s v="082SJN708004P00001"/>
    <s v="305g*8"/>
    <n v="8"/>
    <n v="4"/>
    <n v="7.4999999999999997E-3"/>
    <s v="HC"/>
    <s v="Salt"/>
    <s v="Regular"/>
    <n v="510"/>
    <m/>
    <n v="510"/>
    <n v="0"/>
    <n v="0"/>
    <m/>
    <m/>
    <m/>
    <s v="NEWPACKAGE"/>
    <m/>
    <m/>
  </r>
  <r>
    <m/>
    <x v="229"/>
    <d v="2024-09-02T00:00:00"/>
    <x v="0"/>
    <s v="Week33"/>
    <x v="7"/>
    <s v="DRY2400577"/>
    <s v="Denmark"/>
    <s v="CPFNW"/>
    <s v="CPF DENMARK"/>
    <s v="Minced ND+V+TK"/>
    <x v="1"/>
    <s v="Cooked Minced  ND No Egg with Pumpkin_x000a_+ Yu Choy Tomyum"/>
    <s v="082SJKW08003P01001"/>
    <s v="302g*8"/>
    <n v="8"/>
    <n v="3"/>
    <n v="6.0000000000000001E-3"/>
    <s v="BK"/>
    <s v="Salt"/>
    <s v="Tomkha+CM"/>
    <n v="3500"/>
    <m/>
    <n v="3500"/>
    <n v="0"/>
    <n v="0"/>
    <m/>
    <m/>
    <m/>
    <s v="Newpackage330x330x234 mm.=2040+238"/>
    <m/>
    <m/>
  </r>
  <r>
    <m/>
    <x v="229"/>
    <d v="2024-09-10T00:00:00"/>
    <x v="0"/>
    <s v="Week33"/>
    <x v="7"/>
    <s v="DRY2400554"/>
    <s v="Germany"/>
    <s v="CPFNW"/>
    <s v=" CPF Distribution (under Paulsen Food)"/>
    <s v="Minced ND+V+TK"/>
    <x v="1"/>
    <s v="Cooked Minced  ND No Egg with Pumpkin_x000a_+ Yu Choy Tomkha"/>
    <s v="082SR3N12003P01001"/>
    <s v="302g*12"/>
    <n v="12"/>
    <n v="3"/>
    <n v="6.0000000000000001E-3"/>
    <s v="BK"/>
    <s v="Salt"/>
    <s v="Tomkha+CM"/>
    <n v="2040"/>
    <m/>
    <n v="2040"/>
    <n v="0"/>
    <n v="0"/>
    <m/>
    <m/>
    <m/>
    <s v="Newpackage330x330x234 mm.=2040+238"/>
    <m/>
    <m/>
  </r>
  <r>
    <m/>
    <x v="229"/>
    <d v="2024-08-21T00:00:00"/>
    <x v="0"/>
    <s v="Week33"/>
    <x v="7"/>
    <s v="DRY2400592"/>
    <s v="New Zealand"/>
    <s v="CPFNW"/>
    <s v="Lim Brothers"/>
    <s v="Minced ND+V+TK"/>
    <x v="1"/>
    <s v="Cooked Minced  ND No Egg with Pumpkin_x000a_+ Yu Choy Tomkha"/>
    <s v="082SRN708003P01001"/>
    <s v="302g*8"/>
    <n v="8"/>
    <n v="3"/>
    <n v="6.0000000000000001E-3"/>
    <s v="BK"/>
    <s v="Salt"/>
    <s v="Tomkha+CM"/>
    <n v="216"/>
    <m/>
    <n v="216"/>
    <n v="0"/>
    <n v="0"/>
    <m/>
    <m/>
    <m/>
    <s v="สำรอง บรูไน"/>
    <m/>
    <m/>
  </r>
  <r>
    <m/>
    <x v="229"/>
    <d v="2024-08-29T00:00:00"/>
    <x v="0"/>
    <s v="Week33"/>
    <x v="7"/>
    <s v="DRY2400593"/>
    <s v="New Zealand"/>
    <s v="CPFNW"/>
    <s v="Lim Brothers"/>
    <s v="Minced ND+V+TK"/>
    <x v="1"/>
    <s v="Cooked Minced  ND No Egg with Pumpkin_x000a_+ Yu Choy Tomkha"/>
    <s v="082SRN708003P01001"/>
    <s v="302g*8"/>
    <n v="8"/>
    <n v="3"/>
    <n v="6.0000000000000001E-3"/>
    <s v="BK"/>
    <s v="Salt"/>
    <s v="Tomkha+CM"/>
    <n v="270"/>
    <m/>
    <n v="270"/>
    <n v="0"/>
    <n v="0"/>
    <m/>
    <m/>
    <m/>
    <s v="สำรอง บรูไน"/>
    <m/>
    <m/>
  </r>
  <r>
    <s v="R"/>
    <x v="229"/>
    <d v="2024-09-03T00:00:00"/>
    <x v="0"/>
    <s v="Week33"/>
    <x v="7"/>
    <s v="DRY2400499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865"/>
    <n v="865"/>
    <m/>
    <n v="0"/>
    <n v="0"/>
    <n v="0"/>
    <n v="6"/>
    <n v="0"/>
    <m/>
    <m/>
    <m/>
  </r>
  <r>
    <m/>
    <x v="230"/>
    <m/>
    <x v="0"/>
    <s v="Week33"/>
    <x v="7"/>
    <m/>
    <m/>
    <m/>
    <m/>
    <m/>
    <x v="0"/>
    <m/>
    <m/>
    <m/>
    <m/>
    <m/>
    <m/>
    <m/>
    <m/>
    <m/>
    <m/>
    <m/>
    <m/>
    <m/>
    <m/>
    <m/>
    <m/>
    <m/>
    <m/>
    <m/>
    <m/>
  </r>
  <r>
    <m/>
    <x v="231"/>
    <d v="2024-09-18T00:00:00"/>
    <x v="0"/>
    <s v="Week34"/>
    <x v="7"/>
    <s v="DRY2400666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526"/>
    <n v="526"/>
    <m/>
    <n v="0"/>
    <n v="0"/>
    <m/>
    <m/>
    <m/>
    <m/>
    <m/>
    <m/>
  </r>
  <r>
    <m/>
    <x v="231"/>
    <d v="2024-09-04T00:00:00"/>
    <x v="0"/>
    <s v="Week34"/>
    <x v="7"/>
    <s v="DRY2400515"/>
    <s v="SG"/>
    <s v="CPFNW"/>
    <s v="CPI SINGAPORE"/>
    <s v="Wonton"/>
    <x v="1"/>
    <s v="Cooked Wonton No Egg"/>
    <s v="082S83B24005P07001"/>
    <s v="145g*24"/>
    <n v="24"/>
    <n v="5"/>
    <n v="8.0000000000000002E-3"/>
    <s v="M"/>
    <s v="STPP"/>
    <s v="Regular"/>
    <n v="500"/>
    <n v="500"/>
    <m/>
    <n v="0"/>
    <n v="0"/>
    <m/>
    <m/>
    <m/>
    <m/>
    <m/>
    <m/>
  </r>
  <r>
    <m/>
    <x v="231"/>
    <s v="09-2024"/>
    <x v="0"/>
    <s v="Week34"/>
    <x v="7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4463"/>
    <n v="4463"/>
    <m/>
    <n v="0"/>
    <n v="0"/>
    <m/>
    <m/>
    <m/>
    <s v="NEWPACKAGE"/>
    <m/>
    <m/>
  </r>
  <r>
    <s v="R"/>
    <x v="231"/>
    <d v="2024-09-03T00:00:00"/>
    <x v="0"/>
    <s v="Week34"/>
    <x v="7"/>
    <s v="DRY2400499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305"/>
    <n v="305"/>
    <m/>
    <n v="0"/>
    <n v="0"/>
    <n v="0"/>
    <n v="6"/>
    <n v="0"/>
    <m/>
    <m/>
    <m/>
  </r>
  <r>
    <s v="R"/>
    <x v="231"/>
    <m/>
    <x v="0"/>
    <s v="Week34"/>
    <x v="7"/>
    <s v="RD"/>
    <s v="ขายภายใน"/>
    <s v="CPFGS"/>
    <s v="ซีพีเอฟ เทรดดิ้ง"/>
    <s v="R-Wonton egg past"/>
    <x v="2"/>
    <s v="Raw Wonton 50 pcs OISHI"/>
    <s v="082S01508600G01000"/>
    <s v="600g.*8 packs"/>
    <n v="8"/>
    <n v="50"/>
    <n v="8.1300000000000001E-3"/>
    <s v="M"/>
    <s v="STPP"/>
    <m/>
    <n v="67.5"/>
    <n v="67.5"/>
    <m/>
    <n v="0"/>
    <n v="0"/>
    <n v="0"/>
    <m/>
    <n v="0"/>
    <m/>
    <m/>
    <m/>
  </r>
  <r>
    <m/>
    <x v="232"/>
    <d v="2024-08-26T00:00:00"/>
    <x v="0"/>
    <s v="Week34"/>
    <x v="7"/>
    <s v="DRY2400555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  <s v="OLD Package"/>
    <m/>
    <m/>
  </r>
  <r>
    <m/>
    <x v="232"/>
    <d v="2024-08-27T00:00:00"/>
    <x v="0"/>
    <s v="Week34"/>
    <x v="7"/>
    <s v="DRY2400559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  <m/>
    <m/>
    <m/>
  </r>
  <r>
    <m/>
    <x v="232"/>
    <d v="2024-09-02T00:00:00"/>
    <x v="0"/>
    <s v="Week34"/>
    <x v="7"/>
    <s v="DRY2400556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95"/>
    <n v="77"/>
    <n v="18"/>
    <n v="0"/>
    <n v="0"/>
    <m/>
    <m/>
    <m/>
    <m/>
    <m/>
    <m/>
  </r>
  <r>
    <m/>
    <x v="232"/>
    <d v="2024-09-05T00:00:00"/>
    <x v="0"/>
    <s v="Week34"/>
    <x v="7"/>
    <s v="DRY2400588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+CO"/>
    <n v="924"/>
    <n v="896"/>
    <n v="28"/>
    <n v="0"/>
    <n v="0"/>
    <m/>
    <m/>
    <m/>
    <m/>
    <m/>
    <m/>
  </r>
  <r>
    <m/>
    <x v="232"/>
    <d v="2024-09-19T00:00:00"/>
    <x v="0"/>
    <s v="Week34"/>
    <x v="7"/>
    <s v="DRY2400652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+CO"/>
    <n v="924"/>
    <n v="743"/>
    <n v="181"/>
    <n v="0"/>
    <n v="0"/>
    <m/>
    <m/>
    <m/>
    <m/>
    <m/>
    <m/>
  </r>
  <r>
    <s v="R"/>
    <x v="232"/>
    <d v="2024-09-04T00:00:00"/>
    <x v="0"/>
    <s v="Week34"/>
    <x v="7"/>
    <s v="DRY2400436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1000"/>
    <n v="628"/>
    <n v="372"/>
    <n v="0"/>
    <n v="0"/>
    <n v="0"/>
    <n v="2"/>
    <n v="0"/>
    <s v="ห่อแบบสุก"/>
    <m/>
    <m/>
  </r>
  <r>
    <m/>
    <x v="233"/>
    <s v="10-2024"/>
    <x v="0"/>
    <s v="Week34"/>
    <x v="7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1817"/>
    <n v="1817"/>
    <m/>
    <n v="0"/>
    <n v="0"/>
    <m/>
    <m/>
    <m/>
    <s v="NEWPACKAGE"/>
    <m/>
    <m/>
  </r>
  <r>
    <m/>
    <x v="233"/>
    <s v="09.2024"/>
    <x v="0"/>
    <s v="Week34"/>
    <x v="7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3368"/>
    <n v="3368"/>
    <m/>
    <n v="0"/>
    <n v="0"/>
    <m/>
    <m/>
    <m/>
    <m/>
    <m/>
    <m/>
  </r>
  <r>
    <s v="R"/>
    <x v="233"/>
    <d v="2024-08-23T00:00:00"/>
    <x v="0"/>
    <s v="Week34"/>
    <x v="7"/>
    <s v="ขายภายใน"/>
    <s v="ขายภายใน"/>
    <s v="CPFGS"/>
    <s v="ซีพีเอฟ เทรดดิ้ง"/>
    <s v="R-Wonton egg past"/>
    <x v="2"/>
    <s v="Raw Wonton 50 pcs OISHI"/>
    <s v="082S01508600G01001"/>
    <s v="600g.*8 packs"/>
    <n v="8"/>
    <n v="50"/>
    <n v="8.1300000000000001E-3"/>
    <s v="M"/>
    <s v="STPP"/>
    <m/>
    <n v="500"/>
    <n v="500"/>
    <m/>
    <n v="0"/>
    <n v="0"/>
    <n v="0"/>
    <m/>
    <n v="0"/>
    <s v="โหลดไม่รอผลเชื้อ  มีบันทึกจากฝ่ายขาย"/>
    <m/>
    <m/>
  </r>
  <r>
    <s v="R"/>
    <x v="233"/>
    <s v="09-2024"/>
    <x v="0"/>
    <s v="Week34"/>
    <x v="7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236"/>
    <n v="236"/>
    <m/>
    <n v="0"/>
    <n v="0"/>
    <n v="0"/>
    <m/>
    <n v="0"/>
    <m/>
    <m/>
    <m/>
  </r>
  <r>
    <m/>
    <x v="234"/>
    <s v="09.2024"/>
    <x v="0"/>
    <s v="Week34"/>
    <x v="7"/>
    <s v="ขายภายใน"/>
    <s v="MTFS"/>
    <s v="CPFGS"/>
    <s v="ซีพีเอฟ เทรดดิ้ง"/>
    <s v="E+Wonton NDE"/>
    <x v="1"/>
    <s v="Cooked Wonton ND with egg V-Food"/>
    <s v="082SJ3Q12003P07001"/>
    <s v="226g*12"/>
    <n v="12"/>
    <n v="3"/>
    <n v="8.0000000000000002E-3"/>
    <s v="M"/>
    <s v="STPP"/>
    <s v="Regular"/>
    <n v="452"/>
    <n v="452"/>
    <m/>
    <n v="0"/>
    <n v="0"/>
    <m/>
    <m/>
    <m/>
    <m/>
    <m/>
    <m/>
  </r>
  <r>
    <m/>
    <x v="234"/>
    <s v="09.2024"/>
    <x v="0"/>
    <s v="Week34"/>
    <x v="7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207"/>
    <n v="207"/>
    <m/>
    <n v="0"/>
    <n v="0"/>
    <m/>
    <m/>
    <m/>
    <m/>
    <m/>
    <m/>
  </r>
  <r>
    <m/>
    <x v="234"/>
    <s v="10.2024"/>
    <x v="0"/>
    <s v="Week34"/>
    <x v="7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22"/>
    <n v="22"/>
    <m/>
    <n v="0"/>
    <n v="0"/>
    <m/>
    <m/>
    <m/>
    <m/>
    <m/>
    <m/>
  </r>
  <r>
    <m/>
    <x v="234"/>
    <s v="09.2024"/>
    <x v="0"/>
    <s v="Week34"/>
    <x v="7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311"/>
    <n v="311"/>
    <m/>
    <n v="0"/>
    <n v="0"/>
    <m/>
    <m/>
    <m/>
    <m/>
    <m/>
    <m/>
  </r>
  <r>
    <m/>
    <x v="234"/>
    <s v="10.2024"/>
    <x v="0"/>
    <s v="Week34"/>
    <x v="7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20"/>
    <n v="20"/>
    <m/>
    <n v="0"/>
    <n v="0"/>
    <m/>
    <m/>
    <m/>
    <m/>
    <m/>
    <m/>
  </r>
  <r>
    <s v="R&amp;D"/>
    <x v="234"/>
    <s v="09.2024"/>
    <x v="0"/>
    <s v="Week34"/>
    <x v="7"/>
    <s v="ขายภายใน"/>
    <s v="MTFS"/>
    <s v="CPFGS"/>
    <s v="ซีพีเอฟ เทรดดิ้ง"/>
    <s v="E+Wonton"/>
    <x v="1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m/>
    <m/>
    <m/>
    <m/>
    <m/>
    <m/>
  </r>
  <r>
    <m/>
    <x v="234"/>
    <s v="09.2024"/>
    <x v="0"/>
    <s v="Week34"/>
    <x v="7"/>
    <s v="ขายภายใน"/>
    <s v="MTFS"/>
    <s v="CPFGS"/>
    <s v="ซีพีเอฟ เทรดดิ้ง"/>
    <s v="E+Wonton"/>
    <x v="1"/>
    <s v="Cooked Wonton  with egg V-Food"/>
    <s v="082S83Q12005P05001"/>
    <s v="145g*12"/>
    <n v="12"/>
    <n v="5"/>
    <n v="8.0000000000000002E-3"/>
    <s v="M"/>
    <s v="STPP"/>
    <s v="Regular"/>
    <n v="2872"/>
    <n v="2872"/>
    <m/>
    <n v="0"/>
    <n v="0"/>
    <m/>
    <m/>
    <m/>
    <m/>
    <m/>
    <m/>
  </r>
  <r>
    <m/>
    <x v="234"/>
    <s v="09.2024"/>
    <x v="0"/>
    <s v="Week34"/>
    <x v="7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4115"/>
    <n v="4115"/>
    <m/>
    <n v="0"/>
    <n v="0"/>
    <m/>
    <m/>
    <m/>
    <m/>
    <m/>
    <m/>
  </r>
  <r>
    <m/>
    <x v="234"/>
    <s v="10.2024"/>
    <x v="0"/>
    <s v="Week34"/>
    <x v="7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115"/>
    <n v="115"/>
    <m/>
    <n v="0"/>
    <n v="0"/>
    <m/>
    <m/>
    <m/>
    <m/>
    <m/>
    <m/>
  </r>
  <r>
    <s v="R"/>
    <x v="234"/>
    <d v="2024-09-04T00:00:00"/>
    <x v="0"/>
    <s v="Week34"/>
    <x v="7"/>
    <s v="DRY2400438"/>
    <s v="SG"/>
    <s v="CPFNW"/>
    <s v="CPI SINGAPORE"/>
    <s v="R-Minced egg past"/>
    <x v="2"/>
    <s v="Raw Minced Wonton 8 pcs"/>
    <s v="082ID3B18008P00001"/>
    <s v="90g*18in"/>
    <n v="18"/>
    <n v="8"/>
    <n v="6.0000000000000001E-3"/>
    <s v="BK"/>
    <s v="STPP"/>
    <s v="ซุปซอง 5g."/>
    <n v="550"/>
    <n v="550"/>
    <m/>
    <n v="0"/>
    <n v="0"/>
    <n v="0"/>
    <n v="2"/>
    <n v="0"/>
    <m/>
    <m/>
    <m/>
  </r>
  <r>
    <s v="R"/>
    <x v="234"/>
    <d v="2024-09-24T00:00:00"/>
    <x v="0"/>
    <s v="Week34"/>
    <x v="7"/>
    <s v="DRY2400668"/>
    <s v="Malay"/>
    <s v="CPFNW"/>
    <s v="CPM Malaysia"/>
    <s v="R-Wonton egg past"/>
    <x v="2"/>
    <s v="Raw Wonton 12 pcs"/>
    <s v="082I95I20012P02001"/>
    <s v="154g*20inner"/>
    <n v="20"/>
    <n v="12"/>
    <n v="6.8100000000000001E-3"/>
    <s v="S"/>
    <s v="STPP"/>
    <s v="ซุปซอง 5g."/>
    <n v="400"/>
    <n v="400"/>
    <m/>
    <n v="0"/>
    <n v="0"/>
    <n v="0"/>
    <n v="2"/>
    <n v="0"/>
    <m/>
    <m/>
    <m/>
  </r>
  <r>
    <s v="R"/>
    <x v="234"/>
    <d v="2024-09-17T00:00:00"/>
    <x v="0"/>
    <s v="Week34"/>
    <x v="7"/>
    <s v="DRY2400191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130"/>
    <n v="130"/>
    <m/>
    <n v="0"/>
    <n v="0"/>
    <n v="0"/>
    <n v="2"/>
    <n v="0"/>
    <m/>
    <m/>
    <m/>
  </r>
  <r>
    <m/>
    <x v="235"/>
    <d v="2024-08-28T00:00:00"/>
    <x v="0"/>
    <s v="Week34"/>
    <x v="7"/>
    <s v="71-24"/>
    <s v="ขายภายใน"/>
    <s v="CPFGS"/>
    <s v="บริษัท อินสยาม ฟู้ด แอนด์ เบฟเวอเรจ จำกัด"/>
    <s v="E+Wonton"/>
    <x v="1"/>
    <s v="Cooked Wonton Multipack  with Egg  270g"/>
    <s v="082S811AA005P00001"/>
    <s v="90g*100B"/>
    <n v="100"/>
    <n v="5"/>
    <n v="8.0000000000000002E-3"/>
    <s v="M"/>
    <s v="STPP"/>
    <s v="ซุปซอง 5g."/>
    <n v="10"/>
    <n v="10"/>
    <m/>
    <n v="0"/>
    <n v="0"/>
    <m/>
    <n v="1"/>
    <n v="0"/>
    <m/>
    <m/>
    <m/>
  </r>
  <r>
    <m/>
    <x v="235"/>
    <d v="2024-08-29T00:00:00"/>
    <x v="0"/>
    <s v="Week34"/>
    <x v="7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678"/>
    <n v="678"/>
    <m/>
    <n v="0"/>
    <n v="0"/>
    <m/>
    <n v="1"/>
    <n v="0"/>
    <m/>
    <m/>
    <m/>
  </r>
  <r>
    <m/>
    <x v="235"/>
    <s v="09.2024"/>
    <x v="0"/>
    <s v="Week34"/>
    <x v="7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365"/>
    <n v="365"/>
    <m/>
    <n v="0"/>
    <n v="0"/>
    <m/>
    <n v="1"/>
    <n v="0"/>
    <m/>
    <m/>
    <m/>
  </r>
  <r>
    <m/>
    <x v="235"/>
    <s v="09.2024"/>
    <x v="0"/>
    <s v="Week34"/>
    <x v="7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259"/>
    <n v="259"/>
    <m/>
    <n v="0"/>
    <n v="0"/>
    <m/>
    <n v="1"/>
    <n v="0"/>
    <m/>
    <m/>
    <m/>
  </r>
  <r>
    <m/>
    <x v="235"/>
    <s v="09.2024"/>
    <x v="0"/>
    <s v="Week34"/>
    <x v="7"/>
    <s v="ขายภายใน"/>
    <s v="MTFS"/>
    <s v="CPFGS"/>
    <s v="ซีพีเอฟ เทรดดิ้ง"/>
    <s v="E+Wonton TY"/>
    <x v="1"/>
    <s v="Cooked Wonton Tomyum with egg.V-Food TY"/>
    <s v="082S83Q12005P04001"/>
    <s v="115g*12"/>
    <n v="12"/>
    <n v="5"/>
    <n v="8.0000000000000002E-3"/>
    <s v="M"/>
    <s v="STPP"/>
    <s v="TYTB3C 30G"/>
    <n v="569"/>
    <n v="569"/>
    <m/>
    <n v="0"/>
    <n v="0"/>
    <m/>
    <n v="1"/>
    <n v="0"/>
    <m/>
    <m/>
    <m/>
  </r>
  <r>
    <m/>
    <x v="235"/>
    <s v="09.2024"/>
    <x v="0"/>
    <s v="Week34"/>
    <x v="7"/>
    <s v="ขายภายใน"/>
    <s v="MTFS"/>
    <s v="CPFGS"/>
    <s v="ซีพีเอฟ เทรดดิ้ง"/>
    <s v="E+Wonton TY"/>
    <x v="1"/>
    <s v="Cooked Wonton Tomyum with egg.V-Food TY"/>
    <s v="082S83Q12005P04001"/>
    <s v="115g*12"/>
    <n v="12"/>
    <n v="5"/>
    <n v="8.0000000000000002E-3"/>
    <s v="M"/>
    <s v="STPP"/>
    <s v="TYTB3C 30G"/>
    <n v="421"/>
    <n v="420"/>
    <n v="1"/>
    <n v="0"/>
    <n v="0"/>
    <m/>
    <n v="1"/>
    <n v="0"/>
    <m/>
    <m/>
    <m/>
  </r>
  <r>
    <m/>
    <x v="235"/>
    <s v="09.2024"/>
    <x v="0"/>
    <s v="Week34"/>
    <x v="7"/>
    <s v="ขายภายใน"/>
    <s v="MTFS"/>
    <s v="CPFGS"/>
    <s v="ซีพีเอฟ เทรดดิ้ง"/>
    <s v="E+Wonton+หมาล่า"/>
    <x v="1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663"/>
    <n v="663"/>
    <m/>
    <n v="0"/>
    <n v="0"/>
    <m/>
    <m/>
    <m/>
    <m/>
    <m/>
    <m/>
  </r>
  <r>
    <m/>
    <x v="235"/>
    <s v="09.2024"/>
    <x v="0"/>
    <s v="Week34"/>
    <x v="7"/>
    <s v="ขายภายใน"/>
    <s v="MTFS"/>
    <s v="CPFGS"/>
    <s v="ซีพีเอฟ เทรดดิ้ง"/>
    <s v="E+Wonton+หมาล่า"/>
    <x v="1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377"/>
    <n v="377"/>
    <m/>
    <n v="0"/>
    <n v="0"/>
    <m/>
    <m/>
    <m/>
    <m/>
    <m/>
    <m/>
  </r>
  <r>
    <m/>
    <x v="235"/>
    <s v="08-2024"/>
    <x v="0"/>
    <s v="Week34"/>
    <x v="7"/>
    <s v="ขายภายใน"/>
    <s v=".7-11"/>
    <s v="CPFGS"/>
    <s v="ซีพีเอฟ เทรดดิ้ง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8"/>
    <n v="8"/>
    <m/>
    <n v="0"/>
    <n v="0"/>
    <m/>
    <m/>
    <m/>
    <m/>
    <m/>
    <m/>
  </r>
  <r>
    <m/>
    <x v="235"/>
    <s v="09.2024"/>
    <x v="0"/>
    <s v="Week34"/>
    <x v="7"/>
    <s v="ขายภายใน"/>
    <s v=".7-11"/>
    <s v="CPFGS"/>
    <s v="ซีพีเอฟ เทรดดิ้ง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4200"/>
    <n v="4200"/>
    <m/>
    <n v="0"/>
    <n v="0"/>
    <m/>
    <m/>
    <m/>
    <m/>
    <m/>
    <m/>
  </r>
  <r>
    <s v="R"/>
    <x v="235"/>
    <d v="2024-09-17T00:00:00"/>
    <x v="0"/>
    <s v="Week34"/>
    <x v="7"/>
    <s v="DRY2400191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528"/>
    <n v="528"/>
    <m/>
    <n v="0"/>
    <n v="0"/>
    <n v="0"/>
    <n v="2"/>
    <n v="0"/>
    <m/>
    <m/>
    <m/>
  </r>
  <r>
    <m/>
    <x v="236"/>
    <d v="2024-09-04T00:00:00"/>
    <x v="0"/>
    <s v="Week34"/>
    <x v="7"/>
    <s v="DRY2400436"/>
    <s v="SG"/>
    <s v="CPFNW"/>
    <s v="CPI SINGAPORE"/>
    <s v="Wonton ND+V"/>
    <x v="1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250"/>
    <n v="250"/>
    <m/>
    <n v="0"/>
    <n v="0"/>
    <m/>
    <m/>
    <m/>
    <m/>
    <m/>
    <m/>
  </r>
  <r>
    <m/>
    <x v="236"/>
    <d v="2024-08-29T00:00:00"/>
    <x v="0"/>
    <s v="Week34"/>
    <x v="7"/>
    <s v="DRY2400583"/>
    <s v="New Zealand"/>
    <s v="CPFNW"/>
    <s v="Lim Brothers"/>
    <s v="Wonton ND+V"/>
    <x v="1"/>
    <s v="Cooked Wonton ND No Egg with Pumpkin_x000a_+ Yu Choy "/>
    <s v="082SJN736005P00001"/>
    <s v="308g*6c*6in"/>
    <n v="36"/>
    <n v="5"/>
    <n v="7.4999999999999997E-3"/>
    <s v="HC"/>
    <s v="Salt"/>
    <s v="Regular"/>
    <n v="320"/>
    <n v="320"/>
    <m/>
    <n v="0"/>
    <n v="0"/>
    <m/>
    <m/>
    <m/>
    <m/>
    <m/>
    <m/>
  </r>
  <r>
    <m/>
    <x v="236"/>
    <d v="2024-09-05T00:00:00"/>
    <x v="0"/>
    <s v="Week34"/>
    <x v="7"/>
    <s v="DRY2400591"/>
    <s v="New Zealand"/>
    <s v="CPFNW"/>
    <s v="Lim Brothers"/>
    <s v="Wonton ND+V"/>
    <x v="1"/>
    <s v="Cooked Wonton ND No Egg with Pumpkin_x000a_+ Yu Choy "/>
    <s v="082SJN736005P00001"/>
    <s v="308g*6c*6in"/>
    <n v="36"/>
    <n v="5"/>
    <n v="7.4999999999999997E-3"/>
    <s v="HC"/>
    <s v="Salt"/>
    <s v="Regular"/>
    <n v="320"/>
    <n v="248"/>
    <n v="72"/>
    <n v="0"/>
    <n v="0"/>
    <m/>
    <m/>
    <m/>
    <m/>
    <m/>
    <m/>
  </r>
  <r>
    <m/>
    <x v="236"/>
    <d v="2024-09-12T00:00:00"/>
    <x v="0"/>
    <s v="Week34"/>
    <x v="7"/>
    <s v="DRY2400589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79"/>
    <n v="13.416666666666666"/>
    <n v="0.41666666666662877"/>
    <n v="0"/>
    <m/>
    <m/>
    <m/>
    <m/>
    <m/>
    <m/>
  </r>
  <r>
    <m/>
    <x v="236"/>
    <d v="2024-09-19T00:00:00"/>
    <x v="0"/>
    <s v="Week34"/>
    <x v="7"/>
    <s v="DRY2400590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622"/>
    <n v="170"/>
    <n v="0"/>
    <n v="0"/>
    <m/>
    <m/>
    <m/>
    <m/>
    <m/>
    <m/>
  </r>
  <r>
    <m/>
    <x v="236"/>
    <d v="2024-09-12T00:00:00"/>
    <x v="0"/>
    <s v="Week34"/>
    <x v="7"/>
    <s v="DRY2400220"/>
    <s v="Spain"/>
    <s v="CPFNW"/>
    <s v="Mercadona"/>
    <s v="Wonton ND+V"/>
    <x v="1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  <s v="รวบการผลิตให้เป็นวันเดียวกันตามความต้องการของลูกค้า"/>
    <m/>
    <m/>
  </r>
  <r>
    <m/>
    <x v="236"/>
    <d v="2024-09-17T00:00:00"/>
    <x v="0"/>
    <s v="Week34"/>
    <x v="7"/>
    <s v="DRY2400576"/>
    <s v="Denmark"/>
    <s v="CPFNW"/>
    <s v="CPF DENMARK"/>
    <s v="Wonton ND+V+TY"/>
    <x v="1"/>
    <s v="Cooked Wonton ND No Egg with Pumpkin _x000a_+ Vegetable  HC  3 pcs tomyam"/>
    <s v="082SJKW08003P00001"/>
    <s v="309g*8"/>
    <n v="8"/>
    <n v="3"/>
    <n v="7.4999999999999997E-3"/>
    <s v="M"/>
    <s v="Salt"/>
    <s v="TYANS+CM"/>
    <n v="3500"/>
    <m/>
    <n v="3500"/>
    <n v="0"/>
    <n v="0"/>
    <m/>
    <m/>
    <m/>
    <s v="ต้มยำสูตรลดเผ็ดลง 10 %"/>
    <m/>
    <m/>
  </r>
  <r>
    <s v="R"/>
    <x v="236"/>
    <d v="2024-09-17T00:00:00"/>
    <x v="0"/>
    <s v="Week34"/>
    <x v="7"/>
    <s v="DRY2400191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513"/>
    <n v="401"/>
    <n v="112"/>
    <n v="0"/>
    <n v="0"/>
    <n v="0"/>
    <n v="2"/>
    <n v="0"/>
    <m/>
    <m/>
    <m/>
  </r>
  <r>
    <m/>
    <x v="237"/>
    <m/>
    <x v="0"/>
    <s v="Week34"/>
    <x v="7"/>
    <m/>
    <m/>
    <m/>
    <m/>
    <m/>
    <x v="0"/>
    <m/>
    <m/>
    <m/>
    <m/>
    <m/>
    <m/>
    <m/>
    <m/>
    <m/>
    <m/>
    <m/>
    <m/>
    <m/>
    <m/>
    <m/>
    <m/>
    <m/>
    <m/>
    <m/>
    <m/>
  </r>
  <r>
    <m/>
    <x v="238"/>
    <d v="2024-08-31T00:00:00"/>
    <x v="0"/>
    <s v="Week35"/>
    <x v="7"/>
    <s v="DRY240052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83"/>
    <n v="483"/>
    <m/>
    <n v="0"/>
    <n v="0"/>
    <m/>
    <m/>
    <m/>
    <m/>
    <m/>
    <m/>
  </r>
  <r>
    <m/>
    <x v="238"/>
    <d v="2024-08-31T00:00:00"/>
    <x v="0"/>
    <s v="Week35"/>
    <x v="7"/>
    <s v="DRY240052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632"/>
    <n v="160"/>
    <n v="0"/>
    <n v="0"/>
    <m/>
    <m/>
    <m/>
    <m/>
    <m/>
    <m/>
  </r>
  <r>
    <m/>
    <x v="238"/>
    <d v="2024-08-31T00:00:00"/>
    <x v="0"/>
    <s v="Week35"/>
    <x v="7"/>
    <s v="DRY240052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38"/>
    <d v="2024-08-31T00:00:00"/>
    <x v="0"/>
    <s v="Week35"/>
    <x v="7"/>
    <s v="DRY240052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632"/>
    <n v="160"/>
    <n v="0"/>
    <n v="0"/>
    <m/>
    <m/>
    <m/>
    <m/>
    <m/>
    <m/>
  </r>
  <r>
    <m/>
    <x v="238"/>
    <d v="2024-08-31T00:00:00"/>
    <x v="0"/>
    <s v="Week35"/>
    <x v="7"/>
    <s v="DRY240052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38"/>
    <d v="2024-09-02T00:00:00"/>
    <x v="0"/>
    <s v="Week35"/>
    <x v="7"/>
    <s v="DRY240052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186"/>
    <n v="606"/>
    <n v="0"/>
    <n v="0"/>
    <m/>
    <m/>
    <m/>
    <m/>
    <m/>
    <m/>
  </r>
  <r>
    <m/>
    <x v="238"/>
    <d v="2024-09-02T00:00:00"/>
    <x v="0"/>
    <s v="Week35"/>
    <x v="7"/>
    <s v="DRY240052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8"/>
    <m/>
    <n v="58"/>
    <n v="0"/>
    <n v="0"/>
    <m/>
    <m/>
    <m/>
    <m/>
    <m/>
    <m/>
  </r>
  <r>
    <s v="R"/>
    <x v="238"/>
    <d v="2024-09-17T00:00:00"/>
    <x v="0"/>
    <s v="Week35"/>
    <x v="7"/>
    <s v="DRY2400191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453"/>
    <n v="453"/>
    <n v="24"/>
    <n v="24"/>
    <n v="0"/>
    <n v="0"/>
    <n v="2"/>
    <n v="0"/>
    <m/>
    <m/>
    <m/>
  </r>
  <r>
    <m/>
    <x v="239"/>
    <d v="2024-09-02T00:00:00"/>
    <x v="0"/>
    <s v="Week35"/>
    <x v="7"/>
    <s v="DRY240052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34"/>
    <n v="734"/>
    <m/>
    <n v="0"/>
    <n v="0"/>
    <m/>
    <m/>
    <m/>
    <m/>
    <m/>
    <m/>
  </r>
  <r>
    <m/>
    <x v="239"/>
    <d v="2024-09-06T00:00:00"/>
    <x v="0"/>
    <s v="Week35"/>
    <x v="7"/>
    <s v="DRY240052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632"/>
    <n v="160"/>
    <n v="0"/>
    <n v="0"/>
    <m/>
    <m/>
    <m/>
    <m/>
    <m/>
    <m/>
  </r>
  <r>
    <m/>
    <x v="239"/>
    <d v="2024-09-06T00:00:00"/>
    <x v="0"/>
    <s v="Week35"/>
    <x v="7"/>
    <s v="DRY240052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39"/>
    <d v="2024-09-06T00:00:00"/>
    <x v="0"/>
    <s v="Week35"/>
    <x v="7"/>
    <s v="DRY240053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632"/>
    <n v="160"/>
    <n v="0"/>
    <n v="0"/>
    <m/>
    <m/>
    <m/>
    <m/>
    <m/>
    <m/>
  </r>
  <r>
    <m/>
    <x v="239"/>
    <d v="2024-09-06T00:00:00"/>
    <x v="0"/>
    <s v="Week35"/>
    <x v="7"/>
    <s v="DRY240053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39"/>
    <d v="2024-09-07T00:00:00"/>
    <x v="0"/>
    <s v="Week35"/>
    <x v="7"/>
    <s v="DRY240053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16"/>
    <n v="456"/>
    <n v="160"/>
    <n v="0"/>
    <n v="0"/>
    <m/>
    <m/>
    <m/>
    <m/>
    <m/>
    <m/>
  </r>
  <r>
    <s v="R"/>
    <x v="239"/>
    <d v="2024-09-23T00:00:00"/>
    <x v="0"/>
    <s v="Week35"/>
    <x v="7"/>
    <s v="DRY2400665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533"/>
    <n v="533"/>
    <m/>
    <n v="0"/>
    <n v="0"/>
    <n v="0"/>
    <n v="2"/>
    <n v="0"/>
    <s v="ใช้ package new"/>
    <m/>
    <m/>
  </r>
  <r>
    <m/>
    <x v="240"/>
    <d v="2024-08-31T00:00:00"/>
    <x v="0"/>
    <s v="Week35"/>
    <x v="7"/>
    <s v="DRY2400494"/>
    <s v="CAN "/>
    <s v="CPFNW "/>
    <s v="CP Foods Canada,Inc (CPFC)"/>
    <s v="Wonton+TY"/>
    <x v="1"/>
    <s v="Wonton Soup  (Enriched wonton sheet)"/>
    <s v="082S85336005P02001"/>
    <s v="147g*6c*6in"/>
    <n v="36"/>
    <n v="5"/>
    <n v="7.4999999999999997E-3"/>
    <s v="M"/>
    <s v="Salt"/>
    <s v="TYEX+CO"/>
    <n v="598"/>
    <n v="598"/>
    <m/>
    <n v="0"/>
    <n v="0"/>
    <m/>
    <m/>
    <m/>
    <m/>
    <m/>
    <m/>
  </r>
  <r>
    <m/>
    <x v="240"/>
    <d v="2024-09-12T00:00:00"/>
    <x v="0"/>
    <s v="Week35"/>
    <x v="7"/>
    <s v="DRY2400495"/>
    <s v="CAN "/>
    <s v="CPFNW "/>
    <s v="CP Foods Canada,Inc (CPFC)"/>
    <s v="Wonton+TY"/>
    <x v="1"/>
    <s v="Wonton Soup  (Enriched wonton sheet)"/>
    <s v="082S85336005P02001"/>
    <s v="147g*6c*6in"/>
    <n v="36"/>
    <n v="5"/>
    <n v="7.4999999999999997E-3"/>
    <s v="M"/>
    <s v="Salt"/>
    <s v="TYEX+CO"/>
    <n v="1288"/>
    <n v="1288"/>
    <m/>
    <n v="0"/>
    <n v="0"/>
    <m/>
    <m/>
    <m/>
    <m/>
    <m/>
    <m/>
  </r>
  <r>
    <m/>
    <x v="240"/>
    <d v="2024-09-12T00:00:00"/>
    <x v="0"/>
    <s v="Week35"/>
    <x v="7"/>
    <s v="DRY2400478"/>
    <s v="CAN "/>
    <s v="CPFNW "/>
    <s v="CP Foods Canada,Inc (CPFC)"/>
    <s v="Wonton+TY"/>
    <x v="1"/>
    <s v="Wonton Soup  (Enriched wonton sheet)"/>
    <s v="082S85336005P02001"/>
    <s v="147g*6c*6in"/>
    <n v="36"/>
    <n v="5"/>
    <n v="7.4999999999999997E-3"/>
    <s v="M"/>
    <s v="Salt"/>
    <s v="TYEX+CO"/>
    <n v="1288"/>
    <n v="1288"/>
    <m/>
    <n v="0"/>
    <n v="0"/>
    <m/>
    <m/>
    <m/>
    <m/>
    <m/>
    <m/>
  </r>
  <r>
    <m/>
    <x v="240"/>
    <d v="2024-09-02T00:00:00"/>
    <x v="0"/>
    <s v="Week35"/>
    <x v="7"/>
    <s v="DRY2400556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815"/>
    <n v="815"/>
    <m/>
    <n v="0"/>
    <n v="0"/>
    <m/>
    <m/>
    <m/>
    <m/>
    <m/>
    <m/>
  </r>
  <r>
    <s v="R"/>
    <x v="240"/>
    <d v="2024-09-23T00:00:00"/>
    <x v="0"/>
    <s v="Week35"/>
    <x v="7"/>
    <s v="DRY2400665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524"/>
    <n v="524"/>
    <m/>
    <n v="0"/>
    <n v="0"/>
    <n v="0"/>
    <n v="2"/>
    <n v="0"/>
    <s v="ใช้ package new"/>
    <m/>
    <m/>
  </r>
  <r>
    <m/>
    <x v="241"/>
    <d v="2024-09-02T00:00:00"/>
    <x v="0"/>
    <s v="Week35"/>
    <x v="7"/>
    <s v="DRY2400556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378"/>
    <n v="378"/>
    <m/>
    <n v="0"/>
    <n v="0"/>
    <m/>
    <m/>
    <m/>
    <m/>
    <m/>
    <m/>
  </r>
  <r>
    <m/>
    <x v="241"/>
    <d v="2024-09-03T00:00:00"/>
    <x v="0"/>
    <s v="Week35"/>
    <x v="7"/>
    <s v="DRY2400557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  <m/>
    <m/>
    <m/>
  </r>
  <r>
    <m/>
    <x v="241"/>
    <d v="2024-09-09T00:00:00"/>
    <x v="0"/>
    <s v="Week35"/>
    <x v="7"/>
    <s v="DRY2400561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  <m/>
    <m/>
    <m/>
  </r>
  <r>
    <m/>
    <x v="241"/>
    <d v="2024-09-09T00:00:00"/>
    <x v="0"/>
    <s v="Week35"/>
    <x v="7"/>
    <s v="DRY2400565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1019"/>
    <n v="1019"/>
    <m/>
    <n v="0"/>
    <n v="0"/>
    <m/>
    <m/>
    <m/>
    <m/>
    <m/>
    <m/>
  </r>
  <r>
    <s v="R"/>
    <x v="241"/>
    <d v="2024-09-23T00:00:00"/>
    <x v="0"/>
    <s v="Week35"/>
    <x v="7"/>
    <s v="DRY2400665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567"/>
    <n v="565"/>
    <n v="2"/>
    <n v="0"/>
    <n v="0"/>
    <n v="0"/>
    <n v="2"/>
    <n v="0"/>
    <s v="ใช้ package new"/>
    <m/>
    <m/>
  </r>
  <r>
    <m/>
    <x v="242"/>
    <d v="2024-09-07T00:00:00"/>
    <x v="0"/>
    <s v="Week35"/>
    <x v="7"/>
    <s v="DRY240053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76"/>
    <n v="176"/>
    <m/>
    <n v="0"/>
    <n v="0"/>
    <m/>
    <m/>
    <m/>
    <m/>
    <m/>
    <m/>
  </r>
  <r>
    <m/>
    <x v="242"/>
    <d v="2024-09-09T00:00:00"/>
    <x v="0"/>
    <s v="Week35"/>
    <x v="7"/>
    <s v="DRY240053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632"/>
    <n v="160"/>
    <n v="0"/>
    <n v="0"/>
    <m/>
    <m/>
    <m/>
    <m/>
    <m/>
    <m/>
  </r>
  <r>
    <m/>
    <x v="242"/>
    <d v="2024-09-09T00:00:00"/>
    <x v="0"/>
    <s v="Week35"/>
    <x v="7"/>
    <s v="DRY240053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42"/>
    <d v="2024-09-12T00:00:00"/>
    <x v="0"/>
    <s v="Week35"/>
    <x v="7"/>
    <s v="DRY240053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632"/>
    <n v="160"/>
    <n v="0"/>
    <n v="0"/>
    <m/>
    <m/>
    <m/>
    <m/>
    <m/>
    <m/>
  </r>
  <r>
    <m/>
    <x v="242"/>
    <d v="2024-09-12T00:00:00"/>
    <x v="0"/>
    <s v="Week35"/>
    <x v="7"/>
    <s v="DRY240053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42"/>
    <d v="2024-09-16T00:00:00"/>
    <x v="0"/>
    <s v="Week35"/>
    <x v="7"/>
    <s v="DRY240053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632"/>
    <n v="160"/>
    <n v="0"/>
    <n v="0"/>
    <m/>
    <m/>
    <m/>
    <m/>
    <m/>
    <m/>
  </r>
  <r>
    <m/>
    <x v="242"/>
    <d v="2024-09-20T00:00:00"/>
    <x v="0"/>
    <s v="Week35"/>
    <x v="7"/>
    <s v="DRY240053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33"/>
    <n v="233"/>
    <m/>
    <n v="0"/>
    <n v="0"/>
    <m/>
    <m/>
    <m/>
    <m/>
    <m/>
    <m/>
  </r>
  <r>
    <s v="R"/>
    <x v="242"/>
    <d v="2024-09-30T00:00:00"/>
    <x v="0"/>
    <s v="Week35"/>
    <x v="7"/>
    <s v="DRY2400648"/>
    <s v="HK"/>
    <s v="CPFNW"/>
    <s v="CPM Hongkong"/>
    <s v="R-Minced egg past"/>
    <x v="2"/>
    <s v="Raw Minced Wonton 8 pcs"/>
    <s v="082ID3G18008P00001"/>
    <s v="90g*18in"/>
    <n v="18"/>
    <n v="8"/>
    <n v="6.0000000000000001E-3"/>
    <s v="BK"/>
    <s v="STPP"/>
    <s v="ซุปซอง 5g."/>
    <n v="300"/>
    <n v="300"/>
    <m/>
    <n v="0"/>
    <n v="0"/>
    <n v="0"/>
    <n v="2"/>
    <n v="0"/>
    <m/>
    <m/>
    <m/>
  </r>
  <r>
    <s v="R"/>
    <x v="242"/>
    <d v="2024-09-30T00:00:00"/>
    <x v="0"/>
    <s v="Week35"/>
    <x v="7"/>
    <s v="DRY2400648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1126"/>
    <n v="967"/>
    <n v="159"/>
    <n v="0"/>
    <n v="0"/>
    <n v="0"/>
    <n v="1"/>
    <n v="0"/>
    <m/>
    <m/>
    <m/>
  </r>
  <r>
    <m/>
    <x v="243"/>
    <d v="2024-09-20T00:00:00"/>
    <x v="0"/>
    <s v="Week35"/>
    <x v="7"/>
    <s v="DRY240053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59"/>
    <n v="559"/>
    <m/>
    <n v="0"/>
    <n v="0"/>
    <m/>
    <m/>
    <m/>
    <m/>
    <m/>
    <m/>
  </r>
  <r>
    <m/>
    <x v="243"/>
    <d v="2024-09-21T00:00:00"/>
    <x v="0"/>
    <s v="Week35"/>
    <x v="7"/>
    <s v="DRY240053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43"/>
    <d v="2024-09-21T00:00:00"/>
    <x v="0"/>
    <s v="Week35"/>
    <x v="7"/>
    <s v="DRY240054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43"/>
    <d v="2024-09-23T00:00:00"/>
    <x v="0"/>
    <s v="Week35"/>
    <x v="7"/>
    <s v="DRY240054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43"/>
    <d v="2024-09-23T00:00:00"/>
    <x v="0"/>
    <s v="Week35"/>
    <x v="7"/>
    <s v="DRY240054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16"/>
    <n v="396"/>
    <n v="320"/>
    <n v="0"/>
    <n v="0"/>
    <m/>
    <m/>
    <m/>
    <m/>
    <m/>
    <m/>
  </r>
  <r>
    <m/>
    <x v="243"/>
    <d v="2024-09-12T00:00:00"/>
    <x v="0"/>
    <s v="Week35"/>
    <x v="7"/>
    <s v="DRY2400584"/>
    <s v="New Zealand"/>
    <s v="CPFNW"/>
    <s v="Lim Brothers"/>
    <s v="Wonton ND+V"/>
    <x v="1"/>
    <s v="Cooked Wonton ND No Egg with Pumpkin_x000a_+ Yu Choy "/>
    <s v="082SJN736005P00001"/>
    <s v="308g*6c*6in"/>
    <n v="36"/>
    <n v="5"/>
    <n v="7.4999999999999997E-3"/>
    <s v="HC"/>
    <s v="Salt"/>
    <s v="Regular"/>
    <n v="320"/>
    <n v="311"/>
    <n v="9"/>
    <n v="0"/>
    <n v="0"/>
    <m/>
    <m/>
    <m/>
    <m/>
    <m/>
    <m/>
  </r>
  <r>
    <m/>
    <x v="243"/>
    <d v="2024-09-19T00:00:00"/>
    <x v="0"/>
    <s v="Week35"/>
    <x v="7"/>
    <s v="DRY2400585"/>
    <s v="New Zealand"/>
    <s v="CPFNW"/>
    <s v="Lim Brothers"/>
    <s v="Wonton ND+V"/>
    <x v="1"/>
    <s v="Cooked Wonton ND No Egg with Pumpkin_x000a_+ Yu Choy "/>
    <s v="082SJN736005P00001"/>
    <s v="308g*6c*6in"/>
    <n v="36"/>
    <n v="5"/>
    <n v="7.4999999999999997E-3"/>
    <s v="HC"/>
    <s v="Salt"/>
    <s v="Regular"/>
    <n v="320"/>
    <n v="320"/>
    <m/>
    <n v="0"/>
    <n v="0"/>
    <m/>
    <m/>
    <m/>
    <m/>
    <m/>
    <m/>
  </r>
  <r>
    <s v="R"/>
    <x v="243"/>
    <d v="2024-09-07T00:00:00"/>
    <x v="0"/>
    <s v="Week35"/>
    <x v="7"/>
    <s v="KL2400027"/>
    <s v="China"/>
    <s v="China"/>
    <s v="Charoen Pokphand Import&amp;Export Trading (Shanghai) Co., Ltd"/>
    <s v="R-Wonton no egg"/>
    <x v="2"/>
    <s v="Raw Wonton 50 pcs"/>
    <s v="082I95J08050P03001"/>
    <s v="630g*8in"/>
    <n v="8"/>
    <n v="50"/>
    <n v="6.8100000000000001E-3"/>
    <s v="S"/>
    <s v="STPP"/>
    <s v="ซุปซอง 5g."/>
    <n v="350"/>
    <n v="350"/>
    <m/>
    <n v="0"/>
    <n v="0"/>
    <n v="0"/>
    <n v="6"/>
    <n v="0"/>
    <m/>
    <m/>
    <m/>
  </r>
  <r>
    <s v="R"/>
    <x v="243"/>
    <d v="2024-09-30T00:00:00"/>
    <x v="0"/>
    <s v="Week35"/>
    <x v="7"/>
    <s v="DRY2400648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474"/>
    <n v="474"/>
    <m/>
    <n v="0"/>
    <n v="0"/>
    <n v="0"/>
    <n v="1"/>
    <n v="0"/>
    <m/>
    <m/>
    <m/>
  </r>
  <r>
    <m/>
    <x v="244"/>
    <m/>
    <x v="0"/>
    <s v="Week35"/>
    <x v="8"/>
    <m/>
    <m/>
    <m/>
    <m/>
    <m/>
    <x v="0"/>
    <m/>
    <m/>
    <m/>
    <m/>
    <m/>
    <m/>
    <m/>
    <m/>
    <m/>
    <m/>
    <m/>
    <m/>
    <m/>
    <m/>
    <m/>
    <m/>
    <m/>
    <m/>
    <m/>
    <m/>
  </r>
  <r>
    <s v="R"/>
    <x v="245"/>
    <d v="2024-09-17T00:00:00"/>
    <x v="0"/>
    <s v="Week36"/>
    <x v="8"/>
    <s v="KL2400018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m/>
    <m/>
  </r>
  <r>
    <s v="R"/>
    <x v="246"/>
    <d v="2024-09-17T00:00:00"/>
    <x v="0"/>
    <s v="Week36"/>
    <x v="8"/>
    <s v="KL2400019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862"/>
    <n v="546"/>
    <n v="0"/>
    <n v="0"/>
    <n v="0"/>
    <n v="6"/>
    <n v="0"/>
    <m/>
    <m/>
    <m/>
  </r>
  <r>
    <m/>
    <x v="247"/>
    <d v="2024-09-19T00:00:00"/>
    <x v="0"/>
    <s v="Week36"/>
    <x v="8"/>
    <s v="DRY2400614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224"/>
    <n v="224"/>
    <m/>
    <n v="0"/>
    <n v="0"/>
    <m/>
    <m/>
    <m/>
    <m/>
    <m/>
    <m/>
  </r>
  <r>
    <m/>
    <x v="247"/>
    <d v="2024-09-19T00:00:00"/>
    <x v="0"/>
    <s v="Week36"/>
    <x v="8"/>
    <s v="DRY2400615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m/>
    <m/>
    <m/>
  </r>
  <r>
    <m/>
    <x v="247"/>
    <d v="2024-09-26T00:00:00"/>
    <x v="0"/>
    <s v="Week36"/>
    <x v="8"/>
    <s v="DRY2400616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m/>
    <m/>
    <m/>
  </r>
  <r>
    <m/>
    <x v="247"/>
    <d v="2024-10-10T00:00:00"/>
    <x v="0"/>
    <s v="Week36"/>
    <x v="8"/>
    <s v="DRY2400617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202"/>
    <n v="202"/>
    <m/>
    <n v="0"/>
    <n v="0"/>
    <m/>
    <m/>
    <m/>
    <m/>
    <m/>
    <m/>
  </r>
  <r>
    <m/>
    <x v="247"/>
    <d v="2024-09-07T00:00:00"/>
    <x v="0"/>
    <s v="Week36"/>
    <x v="8"/>
    <s v="KL2400026"/>
    <s v="China"/>
    <s v="China"/>
    <s v="Charoen Pokphand Import&amp;Export Trading (Shanghai) Co., Ltd"/>
    <s v="Wonton+TY"/>
    <x v="1"/>
    <s v="Wonton Soup  (Enriched wonton sheet)"/>
    <s v="082S85J36005P00001"/>
    <s v="147g*6c*6in"/>
    <n v="36"/>
    <n v="5"/>
    <n v="7.4999999999999997E-3"/>
    <s v="M"/>
    <s v="Salt"/>
    <s v="TYEX+CO"/>
    <n v="1080"/>
    <n v="1080"/>
    <m/>
    <n v="0"/>
    <n v="0"/>
    <m/>
    <m/>
    <m/>
    <m/>
    <m/>
    <m/>
  </r>
  <r>
    <m/>
    <x v="248"/>
    <d v="2024-09-09T00:00:00"/>
    <x v="0"/>
    <s v="Week36"/>
    <x v="8"/>
    <s v="DRY2400565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269"/>
    <n v="269"/>
    <m/>
    <n v="0"/>
    <n v="0"/>
    <m/>
    <m/>
    <m/>
    <m/>
    <m/>
    <m/>
  </r>
  <r>
    <m/>
    <x v="248"/>
    <d v="2024-09-20T00:00:00"/>
    <x v="0"/>
    <s v="Week36"/>
    <x v="8"/>
    <s v="DRY2400560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  <m/>
    <m/>
    <m/>
  </r>
  <r>
    <m/>
    <x v="248"/>
    <d v="2024-09-20T00:00:00"/>
    <x v="0"/>
    <s v="Week36"/>
    <x v="8"/>
    <s v="DRY2400564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  <m/>
    <m/>
    <m/>
  </r>
  <r>
    <m/>
    <x v="248"/>
    <d v="2024-09-20T00:00:00"/>
    <x v="0"/>
    <s v="Week36"/>
    <x v="8"/>
    <s v="DRY2400562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1052"/>
    <n v="1052"/>
    <m/>
    <n v="0"/>
    <n v="0"/>
    <m/>
    <m/>
    <m/>
    <m/>
    <m/>
    <m/>
  </r>
  <r>
    <m/>
    <x v="249"/>
    <d v="2024-09-13T00:00:00"/>
    <x v="0"/>
    <s v="Week36"/>
    <x v="8"/>
    <s v="DRY2400634"/>
    <s v="SG"/>
    <s v="CPFNW"/>
    <s v="CPI SINGAPORE"/>
    <s v="Wonton ND+Kee Mao"/>
    <x v="1"/>
    <s v="Cooked Wonton Thai Spicy Pumpkin Noodles (Drunken Noodles)"/>
    <s v="082SJ3B24003P04001"/>
    <s v="250g*24"/>
    <n v="24"/>
    <n v="3"/>
    <n v="8.0000000000000002E-3"/>
    <s v="M"/>
    <s v="Salt"/>
    <s v="Kee Mao"/>
    <n v="420"/>
    <n v="420"/>
    <m/>
    <n v="0"/>
    <n v="0"/>
    <m/>
    <m/>
    <m/>
    <m/>
    <m/>
    <m/>
  </r>
  <r>
    <m/>
    <x v="249"/>
    <s v="10-2024"/>
    <x v="0"/>
    <s v="Week36"/>
    <x v="8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3024"/>
    <n v="3024"/>
    <m/>
    <n v="0"/>
    <n v="0"/>
    <m/>
    <m/>
    <m/>
    <s v="NEWPACKAGE"/>
    <m/>
    <m/>
  </r>
  <r>
    <m/>
    <x v="249"/>
    <d v="2024-09-24T00:00:00"/>
    <x v="0"/>
    <s v="Week36"/>
    <x v="8"/>
    <s v="DRY2400668"/>
    <s v="Malay"/>
    <s v="CPFNW"/>
    <s v="CPM Malaysia"/>
    <s v="Wonton"/>
    <x v="1"/>
    <s v="Cooked Wonton No Egg  "/>
    <s v="082S85I24005P01001"/>
    <s v="145g*24"/>
    <n v="24"/>
    <n v="5"/>
    <n v="8.0000000000000002E-3"/>
    <s v="M"/>
    <s v="STPP"/>
    <s v="Regular"/>
    <n v="900"/>
    <n v="900"/>
    <m/>
    <n v="0"/>
    <n v="0"/>
    <m/>
    <m/>
    <m/>
    <m/>
    <m/>
    <m/>
  </r>
  <r>
    <m/>
    <x v="249"/>
    <d v="2024-09-25T00:00:00"/>
    <x v="0"/>
    <s v="Week36"/>
    <x v="8"/>
    <s v="DRY2400683"/>
    <s v="BRUNEI"/>
    <s v="CPFNW"/>
    <s v="Ben Foods"/>
    <s v="Wonton"/>
    <x v="1"/>
    <s v="Cooked Wonton No Egg"/>
    <s v="082S8C324005P01001"/>
    <s v="145g*24"/>
    <n v="24"/>
    <n v="5"/>
    <n v="8.0000000000000002E-3"/>
    <s v="M"/>
    <s v="STPP"/>
    <s v="Regular"/>
    <n v="200"/>
    <n v="200"/>
    <n v="1.4166666666666667"/>
    <n v="1.4166666666666572"/>
    <n v="0"/>
    <m/>
    <m/>
    <m/>
    <m/>
    <m/>
    <m/>
  </r>
  <r>
    <m/>
    <x v="249"/>
    <d v="2024-09-24T00:00:00"/>
    <x v="0"/>
    <s v="Week36"/>
    <x v="8"/>
    <s v="DRY2400668"/>
    <s v="Malay"/>
    <s v="CPFNW"/>
    <s v="CPM Malaysia"/>
    <s v="Wonton+TY"/>
    <x v="1"/>
    <s v="Cooked Wonton No Egg  TY"/>
    <s v="082S85I24005P02001"/>
    <s v="115g*24"/>
    <n v="24"/>
    <n v="5"/>
    <n v="8.0000000000000002E-3"/>
    <s v="M"/>
    <s v="STPP"/>
    <s v="TYTB3C 30G"/>
    <n v="850"/>
    <n v="850"/>
    <m/>
    <n v="0"/>
    <n v="0"/>
    <m/>
    <n v="1"/>
    <n v="0"/>
    <m/>
    <m/>
    <m/>
  </r>
  <r>
    <m/>
    <x v="249"/>
    <d v="2024-09-25T00:00:00"/>
    <x v="0"/>
    <s v="Week36"/>
    <x v="8"/>
    <s v="DRY2400683"/>
    <s v="BRUNEI"/>
    <s v="CPFNW"/>
    <s v="Ben Foods"/>
    <s v="Wonton+TY"/>
    <x v="1"/>
    <s v="Cooked Wonton No Egg"/>
    <s v="082S8C324005P00001"/>
    <s v="115g*24"/>
    <n v="24"/>
    <n v="5"/>
    <n v="8.0000000000000002E-3"/>
    <s v="M"/>
    <s v="STPP"/>
    <s v="TYTB3C 30G"/>
    <n v="405"/>
    <n v="405"/>
    <n v="1.4166666666666667"/>
    <n v="1.4166666666666856"/>
    <n v="0"/>
    <m/>
    <n v="1"/>
    <n v="0"/>
    <m/>
    <m/>
    <m/>
  </r>
  <r>
    <m/>
    <x v="250"/>
    <d v="2024-09-23T00:00:00"/>
    <x v="0"/>
    <s v="Week36"/>
    <x v="8"/>
    <s v="DRY240054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6"/>
    <n v="76"/>
    <m/>
    <n v="0"/>
    <n v="0"/>
    <m/>
    <m/>
    <m/>
    <m/>
    <m/>
    <m/>
  </r>
  <r>
    <m/>
    <x v="250"/>
    <d v="2024-09-28T00:00:00"/>
    <x v="0"/>
    <s v="Week36"/>
    <x v="8"/>
    <s v="DRY240054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50"/>
    <d v="2024-09-28T00:00:00"/>
    <x v="0"/>
    <s v="Week36"/>
    <x v="8"/>
    <s v="DRY240054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50"/>
    <d v="2024-01-30T00:00:00"/>
    <x v="0"/>
    <s v="Week36"/>
    <x v="8"/>
    <s v="DRY240054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50"/>
    <d v="2024-10-07T00:00:00"/>
    <x v="0"/>
    <s v="Week36"/>
    <x v="8"/>
    <s v="DRY240054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50"/>
    <d v="2024-10-07T00:00:00"/>
    <x v="0"/>
    <s v="Week36"/>
    <x v="8"/>
    <s v="DRY240059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50"/>
    <d v="2024-10-11T00:00:00"/>
    <x v="0"/>
    <s v="Week36"/>
    <x v="8"/>
    <s v="DRY240054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2"/>
    <n v="62"/>
    <m/>
    <n v="0"/>
    <n v="0"/>
    <m/>
    <m/>
    <m/>
    <m/>
    <m/>
    <m/>
  </r>
  <r>
    <m/>
    <x v="251"/>
    <m/>
    <x v="0"/>
    <s v="Week36"/>
    <x v="8"/>
    <m/>
    <m/>
    <m/>
    <m/>
    <m/>
    <x v="0"/>
    <m/>
    <m/>
    <m/>
    <m/>
    <m/>
    <m/>
    <m/>
    <m/>
    <m/>
    <m/>
    <m/>
    <m/>
    <m/>
    <m/>
    <m/>
    <m/>
    <m/>
    <m/>
    <m/>
    <m/>
  </r>
  <r>
    <s v="R"/>
    <x v="252"/>
    <d v="2024-10-01T00:00:00"/>
    <x v="0"/>
    <s v="Week37"/>
    <x v="8"/>
    <s v="DRY2400690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1436"/>
    <n v="1436"/>
    <m/>
    <n v="0"/>
    <n v="0"/>
    <n v="0"/>
    <n v="6"/>
    <n v="0"/>
    <m/>
    <m/>
    <m/>
  </r>
  <r>
    <s v="R"/>
    <x v="253"/>
    <d v="2024-10-01T00:00:00"/>
    <x v="0"/>
    <s v="Week37"/>
    <x v="8"/>
    <s v="DRY2400690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20"/>
    <n v="620"/>
    <m/>
    <n v="0"/>
    <n v="0"/>
    <n v="0"/>
    <n v="6"/>
    <n v="0"/>
    <m/>
    <m/>
    <m/>
  </r>
  <r>
    <s v="R"/>
    <x v="253"/>
    <d v="2024-10-02T00:00:00"/>
    <x v="0"/>
    <s v="Week37"/>
    <x v="8"/>
    <s v="DRY2400674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1000"/>
    <n v="566"/>
    <n v="437.85"/>
    <n v="3.8500000000000227"/>
    <n v="0"/>
    <n v="0"/>
    <n v="2"/>
    <n v="0"/>
    <s v="ห่อแบบสุก"/>
    <m/>
    <m/>
  </r>
  <r>
    <s v="repack"/>
    <x v="254"/>
    <d v="2024-09-12T00:00:00"/>
    <x v="0"/>
    <s v="Week37"/>
    <x v="8"/>
    <s v="78-24"/>
    <s v="ขายภายใน"/>
    <s v="CPFGS"/>
    <s v="บริษัท อินสยาม ฟู้ด แอนด์ เบฟเวอเรจ จำกัด"/>
    <s v="E+Wonton"/>
    <x v="1"/>
    <s v="Cooked Wonton Multipack  with Egg  270g"/>
    <s v="082S811AA005P00001"/>
    <s v="90g*100B"/>
    <n v="100"/>
    <n v="5"/>
    <n v="8.0000000000000002E-3"/>
    <s v="M"/>
    <s v="STPP"/>
    <s v="ซุปซอง 5g."/>
    <n v="27"/>
    <n v="27"/>
    <m/>
    <n v="0"/>
    <n v="0"/>
    <m/>
    <n v="1"/>
    <n v="0"/>
    <m/>
    <m/>
    <m/>
  </r>
  <r>
    <m/>
    <x v="254"/>
    <d v="2024-09-20T00:00:00"/>
    <x v="0"/>
    <s v="Week37"/>
    <x v="8"/>
    <s v="DRY2400562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236"/>
    <n v="236"/>
    <m/>
    <n v="0"/>
    <n v="0"/>
    <m/>
    <m/>
    <m/>
    <m/>
    <m/>
    <m/>
  </r>
  <r>
    <m/>
    <x v="254"/>
    <d v="2024-09-21T00:00:00"/>
    <x v="0"/>
    <s v="Week37"/>
    <x v="8"/>
    <s v="DRY2400569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  <m/>
    <m/>
    <m/>
  </r>
  <r>
    <m/>
    <x v="254"/>
    <d v="2024-09-27T00:00:00"/>
    <x v="0"/>
    <s v="Week37"/>
    <x v="8"/>
    <s v="DRY2400563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  <m/>
    <m/>
    <m/>
  </r>
  <r>
    <m/>
    <x v="254"/>
    <d v="2024-09-27T00:00:00"/>
    <x v="0"/>
    <s v="Week37"/>
    <x v="8"/>
    <s v="DRY2400629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1167"/>
    <n v="1167"/>
    <m/>
    <n v="0"/>
    <n v="0"/>
    <m/>
    <m/>
    <m/>
    <m/>
    <m/>
    <m/>
  </r>
  <r>
    <m/>
    <x v="254"/>
    <d v="2024-10-10T00:00:00"/>
    <x v="0"/>
    <s v="Week37"/>
    <x v="8"/>
    <s v="DRY2400650"/>
    <s v="Belgium"/>
    <s v="CPFNW"/>
    <s v="CPF EUROPE S.A."/>
    <s v="Wonton +V"/>
    <x v="1"/>
    <s v="Cooked Wonton  No Egg _x000a_+ Vegetable  HC  4 pcs"/>
    <s v="082S83I08004P00001"/>
    <s v="145g*8"/>
    <n v="8"/>
    <n v="4"/>
    <n v="7.4999999999999997E-3"/>
    <s v="HC"/>
    <s v="Salt"/>
    <s v="Regular"/>
    <n v="2100"/>
    <m/>
    <n v="2136.25"/>
    <n v="36.25"/>
    <n v="0"/>
    <m/>
    <m/>
    <m/>
    <m/>
    <m/>
    <m/>
  </r>
  <r>
    <m/>
    <x v="255"/>
    <d v="2024-09-26T00:00:00"/>
    <x v="0"/>
    <s v="Week37"/>
    <x v="8"/>
    <s v="DRY2400636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255"/>
    <d v="2024-10-10T00:00:00"/>
    <x v="0"/>
    <s v="Week37"/>
    <x v="8"/>
    <s v="DRY2400221"/>
    <s v="Spain"/>
    <s v="CPFNW"/>
    <s v="Mercadona"/>
    <s v="Wonton ND+V"/>
    <x v="1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  <s v="รวบการผลิตให้เป็นวันเดียวกันตามความต้องการของลูกค้า"/>
    <m/>
    <m/>
  </r>
  <r>
    <m/>
    <x v="255"/>
    <d v="2024-09-24T00:00:00"/>
    <x v="0"/>
    <s v="Week37"/>
    <x v="8"/>
    <s v="DRY2400669"/>
    <s v="Denmark"/>
    <s v="CPFNW"/>
    <s v="CPF DENMARK"/>
    <s v="Minced ND+V+TK"/>
    <x v="1"/>
    <s v="Cooked Minced  ND No Egg with Pumpkin_x000a_+ Yu Choy Tomyum"/>
    <s v="082SJKW08003P01001"/>
    <s v="302g*8"/>
    <n v="8"/>
    <n v="3"/>
    <n v="6.0000000000000001E-3"/>
    <s v="BK"/>
    <s v="Salt"/>
    <s v="Tomkha+CM"/>
    <n v="3500"/>
    <m/>
    <n v="3500"/>
    <n v="0"/>
    <n v="0"/>
    <m/>
    <m/>
    <m/>
    <s v="Newpackage330x330x234 mm.=2040+238"/>
    <m/>
    <m/>
  </r>
  <r>
    <m/>
    <x v="255"/>
    <d v="2024-10-01T00:00:00"/>
    <x v="0"/>
    <s v="Week37"/>
    <x v="8"/>
    <s v="DRY2400671"/>
    <s v="Germany"/>
    <s v="CPFNW"/>
    <s v=" CPF Distribution (under Paulsen Food)"/>
    <s v="Minced ND+V+TK"/>
    <x v="1"/>
    <s v="Cooked Minced  ND No Egg with Pumpkin_x000a_+ Yu Choy Tomkha"/>
    <s v="082SR3N12003P01001"/>
    <s v="302g*12"/>
    <n v="12"/>
    <n v="3"/>
    <n v="6.0000000000000001E-3"/>
    <s v="BK"/>
    <s v="Salt"/>
    <s v="Tomkha+CM"/>
    <n v="2040"/>
    <m/>
    <n v="2040"/>
    <n v="0"/>
    <n v="0"/>
    <m/>
    <m/>
    <m/>
    <s v="Newpackage330x330x234 mm.=2040+238"/>
    <m/>
    <m/>
  </r>
  <r>
    <m/>
    <x v="255"/>
    <d v="2024-09-23T00:00:00"/>
    <x v="0"/>
    <s v="Week37"/>
    <x v="8"/>
    <s v="DRY2400672"/>
    <s v="New Zealand"/>
    <s v="CPFNW"/>
    <s v="Lim Brothers"/>
    <s v="Minced ND+V+TK"/>
    <x v="1"/>
    <s v="Cooked Minced  ND No Egg with Pumpkin_x000a_+ Yu Choy Tomkha"/>
    <s v="082SRN708003P01001"/>
    <s v="302g*8"/>
    <n v="8"/>
    <n v="3"/>
    <n v="6.0000000000000001E-3"/>
    <s v="BK"/>
    <s v="Salt"/>
    <s v="Tomkha+CM"/>
    <n v="325"/>
    <m/>
    <n v="325"/>
    <n v="0"/>
    <n v="0"/>
    <m/>
    <m/>
    <m/>
    <s v="สำรอง บรูไน"/>
    <m/>
    <m/>
  </r>
  <r>
    <m/>
    <x v="256"/>
    <d v="2024-09-23T00:00:00"/>
    <x v="0"/>
    <s v="Week37"/>
    <x v="8"/>
    <s v="DRY2400672"/>
    <s v="New Zealand"/>
    <s v="CPFNW"/>
    <s v="Lim Brothers"/>
    <s v="Wonton ND+V"/>
    <x v="1"/>
    <s v="Cooked Wonton ND No Egg with Pumpkin_x000a_+ Yu Choy "/>
    <s v="082SJN708004P00001"/>
    <s v="305g*8"/>
    <n v="8"/>
    <n v="4"/>
    <n v="7.4999999999999997E-3"/>
    <s v="HC"/>
    <s v="Salt"/>
    <s v="Regular"/>
    <n v="756"/>
    <m/>
    <n v="756"/>
    <n v="0"/>
    <n v="0"/>
    <m/>
    <m/>
    <m/>
    <s v="NEWPACKAGE"/>
    <m/>
    <m/>
  </r>
  <r>
    <m/>
    <x v="256"/>
    <d v="2024-10-10T00:00:00"/>
    <x v="0"/>
    <s v="Week37"/>
    <x v="8"/>
    <s v="DRY2400650"/>
    <s v="Belgium"/>
    <s v="CPFNW"/>
    <s v="CPF EUROPE S.A."/>
    <s v="Wonton ND+V"/>
    <x v="1"/>
    <s v="Cooked Wonton ND No Egg with Pumpkin _x000a_+ Vegetable  HC  3 pcs"/>
    <s v="082SJ3I08003P00001"/>
    <s v="309g*8"/>
    <n v="8"/>
    <n v="3"/>
    <n v="7.4999999999999997E-3"/>
    <s v="HC"/>
    <s v="Salt"/>
    <s v="Regular"/>
    <n v="800"/>
    <m/>
    <n v="840.375"/>
    <n v="40.375"/>
    <n v="0"/>
    <m/>
    <m/>
    <m/>
    <m/>
    <m/>
    <m/>
  </r>
  <r>
    <m/>
    <x v="256"/>
    <d v="2024-09-26T00:00:00"/>
    <x v="0"/>
    <s v="Week37"/>
    <x v="8"/>
    <s v="DRY2400653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256"/>
    <d v="2024-10-03T00:00:00"/>
    <x v="0"/>
    <s v="Week37"/>
    <x v="8"/>
    <s v="DRY2400654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256"/>
    <d v="2024-10-03T00:00:00"/>
    <x v="0"/>
    <s v="Week37"/>
    <x v="8"/>
    <s v="DRY2400655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256"/>
    <d v="2024-10-10T00:00:00"/>
    <x v="0"/>
    <s v="Week37"/>
    <x v="8"/>
    <s v="DRY2400656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256"/>
    <d v="2024-10-10T00:00:00"/>
    <x v="0"/>
    <s v="Week37"/>
    <x v="8"/>
    <s v="DRY2400657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224"/>
    <n v="224"/>
    <m/>
    <n v="0"/>
    <n v="0"/>
    <m/>
    <m/>
    <m/>
    <m/>
    <m/>
    <m/>
  </r>
  <r>
    <s v="fix Mercadona "/>
    <x v="257"/>
    <d v="2024-10-10T00:00:00"/>
    <x v="0"/>
    <s v="Week37"/>
    <x v="8"/>
    <s v="DRY2400222"/>
    <s v="Spain"/>
    <s v="CPFNW"/>
    <s v="Mercadona"/>
    <s v="Wonton ND+V"/>
    <x v="1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  <s v="รวบการผลิตให้เป็นวันเดียวกันตามความต้องการของลูกค้า"/>
    <m/>
    <m/>
  </r>
  <r>
    <m/>
    <x v="257"/>
    <d v="2024-10-10T00:00:00"/>
    <x v="0"/>
    <s v="Week37"/>
    <x v="8"/>
    <s v="DRY2400657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568"/>
    <n v="568"/>
    <m/>
    <n v="0"/>
    <n v="0"/>
    <m/>
    <m/>
    <m/>
    <m/>
    <m/>
    <m/>
  </r>
  <r>
    <m/>
    <x v="257"/>
    <d v="2024-10-16T00:00:00"/>
    <x v="0"/>
    <s v="Week37"/>
    <x v="8"/>
    <s v="DRY2400658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257"/>
    <d v="2024-10-16T00:00:00"/>
    <x v="0"/>
    <s v="Week37"/>
    <x v="8"/>
    <s v="DRY2400659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257"/>
    <d v="2024-10-24T00:00:00"/>
    <x v="0"/>
    <s v="Week37"/>
    <x v="8"/>
    <s v="DRY2400660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13"/>
    <n v="713"/>
    <m/>
    <n v="0"/>
    <n v="0"/>
    <m/>
    <m/>
    <m/>
    <m/>
    <m/>
    <m/>
  </r>
  <r>
    <m/>
    <x v="258"/>
    <m/>
    <x v="0"/>
    <s v="Week37"/>
    <x v="8"/>
    <m/>
    <m/>
    <m/>
    <m/>
    <m/>
    <x v="0"/>
    <m/>
    <m/>
    <m/>
    <m/>
    <m/>
    <m/>
    <m/>
    <m/>
    <m/>
    <m/>
    <m/>
    <m/>
    <m/>
    <m/>
    <m/>
    <m/>
    <m/>
    <m/>
    <m/>
    <m/>
  </r>
  <r>
    <m/>
    <x v="259"/>
    <d v="2024-09-20T00:00:00"/>
    <x v="0"/>
    <s v="Week38"/>
    <x v="8"/>
    <s v="ขายภายใน"/>
    <s v="5 Stars"/>
    <s v="5 Stars"/>
    <s v="CPFB"/>
    <s v="EP+Wonton"/>
    <x v="1"/>
    <s v="Cooked Wonton with egg "/>
    <s v="082S81N16020P00001"/>
    <s v="20 pcs*16"/>
    <n v="64"/>
    <n v="5"/>
    <n v="7.0000000000000001E-3"/>
    <s v="S"/>
    <s v="STPP"/>
    <m/>
    <n v="100"/>
    <n v="100"/>
    <n v="11.0625"/>
    <n v="11.0625"/>
    <n v="0"/>
    <m/>
    <m/>
    <m/>
    <m/>
    <m/>
    <m/>
  </r>
  <r>
    <m/>
    <x v="259"/>
    <d v="2024-10-15T00:00:00"/>
    <x v="0"/>
    <s v="Week38"/>
    <x v="8"/>
    <s v="DRY2400427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  <s v="ใช้ package ที่เป็น หมึกพิมพ์ใหม่"/>
    <m/>
    <m/>
  </r>
  <r>
    <m/>
    <x v="259"/>
    <d v="2024-10-10T00:00:00"/>
    <x v="0"/>
    <s v="Week38"/>
    <x v="8"/>
    <s v="DRY2400617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086"/>
    <n v="1086"/>
    <m/>
    <n v="0"/>
    <n v="0"/>
    <m/>
    <m/>
    <m/>
    <m/>
    <m/>
    <m/>
  </r>
  <r>
    <m/>
    <x v="259"/>
    <d v="2024-10-10T00:00:00"/>
    <x v="0"/>
    <s v="Week38"/>
    <x v="8"/>
    <s v="DRY2400618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60"/>
    <n v="60"/>
    <m/>
    <n v="0"/>
    <n v="0"/>
    <m/>
    <m/>
    <m/>
    <m/>
    <m/>
    <m/>
  </r>
  <r>
    <m/>
    <x v="259"/>
    <d v="2024-10-30T00:00:00"/>
    <x v="0"/>
    <s v="Week38"/>
    <x v="8"/>
    <s v="DRY2400629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121"/>
    <n v="121"/>
    <m/>
    <n v="0"/>
    <n v="0"/>
    <m/>
    <m/>
    <m/>
    <m/>
    <m/>
    <m/>
  </r>
  <r>
    <m/>
    <x v="259"/>
    <d v="2024-09-30T00:00:00"/>
    <x v="0"/>
    <s v="Week38"/>
    <x v="8"/>
    <s v="DRY2400630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1148"/>
    <n v="1148"/>
    <m/>
    <n v="0"/>
    <n v="0"/>
    <m/>
    <m/>
    <m/>
    <m/>
    <m/>
    <m/>
  </r>
  <r>
    <m/>
    <x v="260"/>
    <d v="2024-10-24T00:00:00"/>
    <x v="0"/>
    <s v="Week38"/>
    <x v="8"/>
    <s v="DRY2400660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"/>
    <n v="79"/>
    <m/>
    <n v="0"/>
    <n v="0"/>
    <m/>
    <m/>
    <m/>
    <m/>
    <m/>
    <m/>
  </r>
  <r>
    <m/>
    <x v="260"/>
    <d v="2024-10-24T00:00:00"/>
    <x v="0"/>
    <s v="Week38"/>
    <x v="8"/>
    <s v="DRY2400661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48"/>
    <n v="44"/>
    <n v="0"/>
    <n v="0"/>
    <m/>
    <m/>
    <m/>
    <m/>
    <m/>
    <m/>
  </r>
  <r>
    <m/>
    <x v="260"/>
    <d v="2024-09-30T00:00:00"/>
    <x v="0"/>
    <s v="Week38"/>
    <x v="8"/>
    <s v="DRY2400630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140"/>
    <n v="140"/>
    <m/>
    <n v="0"/>
    <n v="0"/>
    <m/>
    <m/>
    <m/>
    <m/>
    <m/>
    <m/>
  </r>
  <r>
    <m/>
    <x v="260"/>
    <d v="2024-10-05T00:00:00"/>
    <x v="0"/>
    <s v="Week38"/>
    <x v="8"/>
    <s v="DRY2400568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  <m/>
    <m/>
    <m/>
  </r>
  <r>
    <m/>
    <x v="260"/>
    <d v="2024-10-05T00:00:00"/>
    <x v="0"/>
    <s v="Week38"/>
    <x v="8"/>
    <s v="DRY2400558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  <m/>
    <m/>
    <m/>
  </r>
  <r>
    <m/>
    <x v="260"/>
    <d v="2024-10-07T00:00:00"/>
    <x v="0"/>
    <s v="Week38"/>
    <x v="8"/>
    <s v="DRY2400631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104"/>
    <n v="104"/>
    <m/>
    <n v="0"/>
    <n v="0"/>
    <m/>
    <m/>
    <m/>
    <m/>
    <m/>
    <m/>
  </r>
  <r>
    <s v="R"/>
    <x v="261"/>
    <d v="2024-09-26T00:00:00"/>
    <x v="0"/>
    <s v="Week38"/>
    <x v="8"/>
    <s v="KL2400028"/>
    <s v="China"/>
    <s v="China"/>
    <s v="Charoen Pokphand Import&amp;Export Trading (Shanghai) Co., Ltd"/>
    <s v="R-Wonton no egg"/>
    <x v="2"/>
    <s v="Raw Wonton 50 pcs"/>
    <s v="082I95J08050P03001"/>
    <s v="630g*8in"/>
    <n v="8"/>
    <n v="50"/>
    <n v="6.8100000000000001E-3"/>
    <s v="S"/>
    <s v="STPP"/>
    <s v="ซุปซอง 5g."/>
    <n v="400"/>
    <n v="400"/>
    <m/>
    <n v="0"/>
    <n v="0"/>
    <n v="0"/>
    <n v="6"/>
    <n v="0"/>
    <m/>
    <m/>
    <m/>
  </r>
  <r>
    <s v="R"/>
    <x v="261"/>
    <d v="2024-09-26T00:00:00"/>
    <x v="0"/>
    <s v="Week38"/>
    <x v="8"/>
    <s v="KL2400028"/>
    <s v="China"/>
    <s v="China"/>
    <s v="Charoen Pokphand Import&amp;Export Trading (Shanghai) Co., Ltd"/>
    <s v="R-Wonton no egg"/>
    <x v="2"/>
    <s v="Raw Wonton 12 pcs"/>
    <s v="082I95J20012P04001"/>
    <s v="144g*20in"/>
    <n v="20"/>
    <n v="12"/>
    <n v="6.8100000000000001E-3"/>
    <s v="S"/>
    <s v="STPP"/>
    <s v="ซุปซอง 5g."/>
    <n v="780"/>
    <n v="280"/>
    <n v="500"/>
    <n v="0"/>
    <n v="0"/>
    <n v="0"/>
    <n v="2"/>
    <n v="0"/>
    <m/>
    <m/>
    <m/>
  </r>
  <r>
    <s v="R"/>
    <x v="261"/>
    <d v="2024-10-10T00:00:00"/>
    <x v="0"/>
    <s v="Week38"/>
    <x v="8"/>
    <s v="DRY2400650"/>
    <s v="Belgium"/>
    <s v="CPFNW"/>
    <s v="CPF EUROPE S.A."/>
    <s v="R-Wonton no egg"/>
    <x v="2"/>
    <s v="Raw Wonton 50 pcs"/>
    <s v="082I93I10050P02001"/>
    <s v="630g*10inner"/>
    <n v="10"/>
    <n v="50"/>
    <n v="8.1300000000000001E-3"/>
    <s v="M"/>
    <s v="Salt"/>
    <s v="ซุปซอง 5g."/>
    <n v="300"/>
    <n v="300"/>
    <m/>
    <n v="0"/>
    <n v="0"/>
    <n v="0"/>
    <n v="6"/>
    <n v="0"/>
    <m/>
    <m/>
    <m/>
  </r>
  <r>
    <s v="R"/>
    <x v="261"/>
    <s v="09-2024"/>
    <x v="0"/>
    <s v="Week38"/>
    <x v="8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363"/>
    <n v="363"/>
    <m/>
    <n v="0"/>
    <n v="0"/>
    <n v="0"/>
    <m/>
    <n v="0"/>
    <m/>
    <m/>
    <m/>
  </r>
  <r>
    <m/>
    <x v="262"/>
    <d v="2024-10-07T00:00:00"/>
    <x v="0"/>
    <s v="Week38"/>
    <x v="8"/>
    <s v="DRY2400631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1184"/>
    <n v="1184"/>
    <m/>
    <n v="0"/>
    <n v="0"/>
    <m/>
    <m/>
    <m/>
    <m/>
    <m/>
    <m/>
  </r>
  <r>
    <m/>
    <x v="262"/>
    <d v="2024-10-08T00:00:00"/>
    <x v="0"/>
    <s v="Week38"/>
    <x v="8"/>
    <s v="DRY2400571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  <m/>
    <m/>
    <m/>
  </r>
  <r>
    <m/>
    <x v="262"/>
    <d v="2024-10-03T00:00:00"/>
    <x v="0"/>
    <s v="Week38"/>
    <x v="8"/>
    <s v="DRY2400479"/>
    <s v="CAN "/>
    <s v="CPFNW "/>
    <s v="CP Foods Canada,Inc (CPFC)"/>
    <s v="Wonton+TY"/>
    <x v="1"/>
    <s v="Wonton Soup  (Enriched wonton sheet)"/>
    <s v="082S85336005P02001"/>
    <s v="147g*6c*6in"/>
    <n v="36"/>
    <n v="5"/>
    <n v="7.4999999999999997E-3"/>
    <s v="M"/>
    <s v="Salt"/>
    <s v="TYEX+CO"/>
    <n v="1288"/>
    <n v="1288"/>
    <m/>
    <n v="0"/>
    <n v="0"/>
    <m/>
    <m/>
    <m/>
    <m/>
    <m/>
    <m/>
  </r>
  <r>
    <m/>
    <x v="262"/>
    <d v="2024-11-06T00:00:00"/>
    <x v="0"/>
    <s v="Week38"/>
    <x v="8"/>
    <s v="DRY2400477"/>
    <s v="CAN "/>
    <s v="CPFNW "/>
    <s v="CP Foods Canada,Inc (CPFC)"/>
    <s v="Wonton+TY"/>
    <x v="1"/>
    <s v="Wonton Soup  (Enriched wonton sheet)"/>
    <s v="082S85336005P02001"/>
    <s v="147g*6c*6in"/>
    <n v="36"/>
    <n v="5"/>
    <n v="7.4999999999999997E-3"/>
    <s v="M"/>
    <s v="Salt"/>
    <s v="TYEX+CO"/>
    <n v="39"/>
    <n v="39"/>
    <m/>
    <n v="0"/>
    <n v="0"/>
    <m/>
    <m/>
    <m/>
    <m/>
    <m/>
    <m/>
  </r>
  <r>
    <m/>
    <x v="262"/>
    <d v="2024-10-10T00:00:00"/>
    <x v="0"/>
    <s v="Week38"/>
    <x v="8"/>
    <s v="DRY2400650"/>
    <s v="Belgium"/>
    <s v="CPFNW"/>
    <s v="CPF EUROPE S.A."/>
    <s v="Wonton+TY"/>
    <x v="1"/>
    <s v="Cooked Wonton  No Egg _x000a_+ 4 pcs"/>
    <s v="082S83I08004P01001"/>
    <s v="129g*8"/>
    <n v="8"/>
    <n v="4"/>
    <n v="8.1300000000000001E-3"/>
    <s v="M"/>
    <s v="Salt"/>
    <s v="TYEX+CO"/>
    <n v="600"/>
    <m/>
    <n v="607.625"/>
    <n v="7.625"/>
    <n v="0"/>
    <m/>
    <m/>
    <m/>
    <m/>
    <m/>
    <m/>
  </r>
  <r>
    <m/>
    <x v="263"/>
    <d v="2024-10-11T00:00:00"/>
    <x v="0"/>
    <s v="Week38"/>
    <x v="8"/>
    <s v="DRY240054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08"/>
    <n v="508"/>
    <m/>
    <n v="0"/>
    <n v="0"/>
    <m/>
    <m/>
    <m/>
    <m/>
    <m/>
    <m/>
  </r>
  <r>
    <m/>
    <x v="263"/>
    <d v="2024-10-11T00:00:00"/>
    <x v="0"/>
    <s v="Week38"/>
    <x v="8"/>
    <s v="DRY240059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63"/>
    <d v="2024-10-11T00:00:00"/>
    <x v="0"/>
    <s v="Week38"/>
    <x v="8"/>
    <s v="DRY240059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63"/>
    <d v="2024-10-11T00:00:00"/>
    <x v="0"/>
    <s v="Week38"/>
    <x v="8"/>
    <s v="DRY240059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63"/>
    <d v="2024-10-11T00:00:00"/>
    <x v="0"/>
    <s v="Week38"/>
    <x v="8"/>
    <s v="DRY240060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61"/>
    <n v="161"/>
    <m/>
    <n v="0"/>
    <n v="0"/>
    <m/>
    <m/>
    <m/>
    <m/>
    <m/>
    <m/>
  </r>
  <r>
    <m/>
    <x v="263"/>
    <d v="2024-10-08T00:00:00"/>
    <x v="0"/>
    <s v="Week38"/>
    <x v="8"/>
    <s v="DRY2400688"/>
    <s v="Denmark"/>
    <s v="CPFNW"/>
    <s v="CPF DENMARK"/>
    <s v="Wonton ND+V+TY"/>
    <x v="1"/>
    <s v="Cooked Wonton ND No Egg with Pumpkin _x000a_+ Vegetable  HC  3 pcs tomyam"/>
    <s v="082SJKW08003P00001"/>
    <s v="309g*8"/>
    <n v="8"/>
    <n v="3"/>
    <n v="7.4999999999999997E-3"/>
    <s v="M"/>
    <s v="Salt"/>
    <s v="TYANS+CM"/>
    <n v="3500"/>
    <m/>
    <n v="3500"/>
    <n v="0"/>
    <n v="0"/>
    <m/>
    <m/>
    <m/>
    <s v="ต้มยำสูตรลดเผ็ดลง 10 %"/>
    <m/>
    <m/>
  </r>
  <r>
    <s v="RD"/>
    <x v="264"/>
    <d v="2024-10-01T00:00:00"/>
    <x v="0"/>
    <s v="Week38"/>
    <x v="8"/>
    <s v="DRY2400649"/>
    <s v="UK"/>
    <s v="CPFNW"/>
    <s v="Westbridge Foods Limited (One UK)"/>
    <s v="Minced ND"/>
    <x v="1"/>
    <s v="Cooked Minced Wonton Noodle No Egg"/>
    <s v="082SRWE24005P00001"/>
    <s v="258g*4c*6in"/>
    <n v="24"/>
    <n v="5"/>
    <n v="6.0000000000000001E-3"/>
    <s v="BK"/>
    <s v="Salt"/>
    <s v="Regular"/>
    <n v="4"/>
    <m/>
    <n v="4"/>
    <n v="0"/>
    <n v="0"/>
    <m/>
    <m/>
    <m/>
    <m/>
    <m/>
    <m/>
  </r>
  <r>
    <m/>
    <x v="264"/>
    <d v="2024-10-01T00:00:00"/>
    <x v="0"/>
    <s v="Week38"/>
    <x v="8"/>
    <s v="DRY2400649"/>
    <s v="UK"/>
    <s v="CPFNW"/>
    <s v="Westbridge Foods Limited (One UK)"/>
    <s v="Minced ND"/>
    <x v="1"/>
    <s v="Cooked Minced Wonton Noodle No Egg"/>
    <s v="082SRWE24005P00001"/>
    <s v="258g*4c*6in"/>
    <n v="24"/>
    <n v="5"/>
    <n v="6.0000000000000001E-3"/>
    <s v="BK"/>
    <s v="Salt"/>
    <s v="Regular"/>
    <n v="1176"/>
    <n v="1174"/>
    <n v="34.375"/>
    <n v="32.375"/>
    <n v="0"/>
    <m/>
    <m/>
    <m/>
    <m/>
    <m/>
    <m/>
  </r>
  <r>
    <m/>
    <x v="264"/>
    <d v="2024-10-03T00:00:00"/>
    <x v="0"/>
    <s v="Week38"/>
    <x v="8"/>
    <s v="DRY2400586"/>
    <s v="New Zealand"/>
    <s v="CPFNW"/>
    <s v="Lim Brothers"/>
    <s v="Wonton ND+V"/>
    <x v="1"/>
    <s v="Cooked Wonton ND No Egg with Pumpkin_x000a_+ Yu Choy "/>
    <s v="082SJN736005P00001"/>
    <s v="308g*6c*6in"/>
    <n v="36"/>
    <n v="5"/>
    <n v="7.4999999999999997E-3"/>
    <s v="HC"/>
    <s v="Salt"/>
    <s v="Regular"/>
    <n v="320"/>
    <n v="320"/>
    <m/>
    <n v="0"/>
    <n v="0"/>
    <m/>
    <m/>
    <m/>
    <m/>
    <m/>
    <m/>
  </r>
  <r>
    <m/>
    <x v="264"/>
    <d v="2024-11-21T00:00:00"/>
    <x v="0"/>
    <s v="Week38"/>
    <x v="8"/>
    <s v="DRY2400699"/>
    <s v="New Zealand"/>
    <s v="CPFNW"/>
    <s v="Lim Brothers"/>
    <s v="Wonton ND+V"/>
    <x v="1"/>
    <s v="Cooked Wonton ND No Egg with Pumpkin_x000a_+ Yu Choy "/>
    <s v="082SJN736005P00001"/>
    <s v="308g*6c*6in"/>
    <n v="36"/>
    <n v="5"/>
    <n v="7.4999999999999997E-3"/>
    <s v="HC"/>
    <s v="Salt"/>
    <s v="Regular"/>
    <n v="320"/>
    <n v="291"/>
    <n v="29"/>
    <n v="0"/>
    <n v="0"/>
    <m/>
    <m/>
    <m/>
    <s v="การตลาดรับทราบเรื่อง 2 วันหมดอายุในตู้เดียวกัน"/>
    <m/>
    <m/>
  </r>
  <r>
    <m/>
    <x v="264"/>
    <d v="2024-10-10T00:00:00"/>
    <x v="0"/>
    <s v="Week38"/>
    <x v="8"/>
    <s v="DRY2400673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+CO"/>
    <n v="924"/>
    <n v="924"/>
    <m/>
    <n v="0"/>
    <n v="0"/>
    <m/>
    <m/>
    <m/>
    <m/>
    <m/>
    <m/>
  </r>
  <r>
    <m/>
    <x v="264"/>
    <d v="2024-10-01T00:00:00"/>
    <x v="0"/>
    <s v="Week38"/>
    <x v="8"/>
    <s v="DRY2400687"/>
    <s v="Denmark"/>
    <s v="CPFNW"/>
    <s v="CPF DENMARK"/>
    <s v="Minced ND+V+TY"/>
    <x v="1"/>
    <s v="Cooked Minced  ND No Egg with Pumpkin_x000a_+ Yu Choy Tomyum"/>
    <s v="082SRRE12003P00001"/>
    <s v="302g*12"/>
    <n v="12"/>
    <n v="3"/>
    <n v="6.0000000000000001E-3"/>
    <s v="BK"/>
    <s v="Salt"/>
    <s v="TYEX+CO"/>
    <n v="2520"/>
    <n v="2520"/>
    <m/>
    <n v="0"/>
    <n v="0"/>
    <m/>
    <m/>
    <m/>
    <s v="rema"/>
    <m/>
    <m/>
  </r>
  <r>
    <m/>
    <x v="264"/>
    <d v="2024-10-08T00:00:00"/>
    <x v="0"/>
    <s v="Week38"/>
    <x v="8"/>
    <s v="DRY2400480"/>
    <s v="Germany"/>
    <s v="CPFNW"/>
    <s v=" CPF Distribution (under Paulsen Food)"/>
    <s v="Minced ND+V+TY"/>
    <x v="1"/>
    <s v="Cooked Minced  ND No Egg with Pumpkin_x000a_+ Yu Choy Tomyum"/>
    <s v="082SR3N12003P00001"/>
    <s v="302g*12"/>
    <n v="12"/>
    <n v="3"/>
    <n v="6.0000000000000001E-3"/>
    <s v="BK"/>
    <s v="Salt"/>
    <s v="TYEX+CO"/>
    <n v="2040"/>
    <m/>
    <n v="2079.0833333333335"/>
    <n v="39.083333333333485"/>
    <n v="0"/>
    <m/>
    <m/>
    <m/>
    <m/>
    <m/>
    <m/>
  </r>
  <r>
    <m/>
    <x v="265"/>
    <m/>
    <x v="0"/>
    <s v="Week38"/>
    <x v="8"/>
    <m/>
    <m/>
    <m/>
    <m/>
    <m/>
    <x v="0"/>
    <m/>
    <m/>
    <m/>
    <m/>
    <m/>
    <m/>
    <m/>
    <m/>
    <m/>
    <m/>
    <m/>
    <m/>
    <m/>
    <m/>
    <m/>
    <m/>
    <m/>
    <m/>
    <m/>
    <m/>
  </r>
  <r>
    <s v="R"/>
    <x v="266"/>
    <s v="10-2024"/>
    <x v="0"/>
    <s v="Week39"/>
    <x v="8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211"/>
    <n v="211"/>
    <m/>
    <n v="0"/>
    <n v="0"/>
    <n v="0"/>
    <m/>
    <n v="0"/>
    <m/>
    <m/>
    <m/>
  </r>
  <r>
    <s v="R"/>
    <x v="266"/>
    <s v="10-2024"/>
    <x v="0"/>
    <s v="Week39"/>
    <x v="8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308"/>
    <n v="308"/>
    <m/>
    <n v="0"/>
    <n v="0"/>
    <n v="0"/>
    <m/>
    <n v="0"/>
    <m/>
    <m/>
    <m/>
  </r>
  <r>
    <s v="R"/>
    <x v="266"/>
    <d v="2024-10-02T00:00:00"/>
    <x v="0"/>
    <s v="Week39"/>
    <x v="8"/>
    <s v="DRY2400674"/>
    <s v="SG"/>
    <s v="CPFNW"/>
    <s v="CPI SINGAPORE"/>
    <s v="R-Minced egg past"/>
    <x v="2"/>
    <s v="Raw Minced Wonton 8 pcs"/>
    <s v="082ID3B18008P00001"/>
    <s v="90g*18in"/>
    <n v="18"/>
    <n v="8"/>
    <n v="6.0000000000000001E-3"/>
    <s v="BK"/>
    <s v="STPP"/>
    <s v="ซุปซอง 5g."/>
    <n v="600"/>
    <n v="600"/>
    <m/>
    <n v="0"/>
    <n v="0"/>
    <n v="0"/>
    <n v="2"/>
    <n v="0"/>
    <m/>
    <m/>
    <m/>
  </r>
  <r>
    <s v="R"/>
    <x v="266"/>
    <d v="2024-10-29T00:00:00"/>
    <x v="0"/>
    <s v="Week39"/>
    <x v="8"/>
    <s v="DRY2400693"/>
    <s v="Malay"/>
    <s v="CPFNW"/>
    <s v="CPM Malaysia"/>
    <s v="R-Wonton egg past"/>
    <x v="2"/>
    <s v="Raw Wonton 12 pcs"/>
    <s v="082I95I20012P02001"/>
    <s v="154g*20inner"/>
    <n v="20"/>
    <n v="12"/>
    <n v="6.8100000000000001E-3"/>
    <s v="S"/>
    <s v="STPP"/>
    <s v="ซุปซอง 5g."/>
    <n v="350"/>
    <n v="350"/>
    <m/>
    <n v="0"/>
    <n v="0"/>
    <n v="0"/>
    <n v="2"/>
    <n v="0"/>
    <m/>
    <m/>
    <m/>
  </r>
  <r>
    <s v="R"/>
    <x v="266"/>
    <d v="2024-10-28T00:00:00"/>
    <x v="0"/>
    <s v="Week39"/>
    <x v="8"/>
    <s v="DRY2400685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1350"/>
    <n v="373"/>
    <n v="977"/>
    <n v="0"/>
    <n v="0"/>
    <n v="0"/>
    <n v="1"/>
    <n v="0"/>
    <m/>
    <m/>
    <m/>
  </r>
  <r>
    <s v="R"/>
    <x v="266"/>
    <d v="2024-10-28T00:00:00"/>
    <x v="0"/>
    <s v="Week39"/>
    <x v="8"/>
    <s v="DRY2400685"/>
    <s v="HK"/>
    <s v="CPFNW"/>
    <s v="CPM Hongkong"/>
    <s v="R-Minced egg past"/>
    <x v="2"/>
    <s v="Raw Minced Wonton 8 pcs"/>
    <s v="082ID3G18008P00001"/>
    <s v="90g*18in"/>
    <n v="18"/>
    <n v="8"/>
    <n v="6.0000000000000001E-3"/>
    <s v="BK"/>
    <s v="STPP"/>
    <s v="ซุปซอง 5g."/>
    <n v="550"/>
    <n v="550"/>
    <m/>
    <n v="0"/>
    <n v="0"/>
    <n v="0"/>
    <n v="2"/>
    <n v="0"/>
    <m/>
    <m/>
    <m/>
  </r>
  <r>
    <s v="Testrun"/>
    <x v="266"/>
    <s v="10.2024"/>
    <x v="0"/>
    <s v="Week39"/>
    <x v="8"/>
    <s v="ขายภายใน"/>
    <s v=".7-11"/>
    <s v="CPFGS"/>
    <s v="ซีพีเอฟ เทรดดิ้ง"/>
    <s v="Wonton"/>
    <x v="1"/>
    <s v="เกี๊ยวกุ้งทรัฟเฟิลซุปน้ำดำ CP 143g 7E"/>
    <s v="082S81A24005P0C001"/>
    <s v="143g*24"/>
    <n v="24"/>
    <n v="5"/>
    <n v="6.1999999999999998E-3"/>
    <s v="SS"/>
    <s v="STPP"/>
    <s v="น้ำดำ"/>
    <m/>
    <m/>
    <m/>
    <n v="0"/>
    <n v="0"/>
    <m/>
    <m/>
    <m/>
    <m/>
    <m/>
    <m/>
  </r>
  <r>
    <s v="R&amp;D"/>
    <x v="267"/>
    <s v="10.2024"/>
    <x v="0"/>
    <s v="Week39"/>
    <x v="8"/>
    <s v="ขายภายใน"/>
    <s v="MTFS"/>
    <s v="CPFGS"/>
    <s v="ซีพีเอฟ เทรดดิ้ง"/>
    <s v="E+Wonton"/>
    <x v="1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m/>
    <m/>
    <m/>
    <m/>
    <m/>
    <m/>
  </r>
  <r>
    <m/>
    <x v="267"/>
    <s v="10.2024"/>
    <x v="0"/>
    <s v="Week39"/>
    <x v="8"/>
    <s v="ขายภายใน"/>
    <s v="MTFS"/>
    <s v="CPFGS"/>
    <s v="ซีพีเอฟ เทรดดิ้ง"/>
    <s v="E+Wonton"/>
    <x v="1"/>
    <s v="Cooked Wonton  with egg V-Food"/>
    <s v="082S83Q12005P05001"/>
    <s v="145g*12"/>
    <n v="12"/>
    <n v="5"/>
    <n v="8.0000000000000002E-3"/>
    <s v="M"/>
    <s v="STPP"/>
    <s v="Regular"/>
    <n v="4378"/>
    <n v="4378"/>
    <m/>
    <n v="0"/>
    <n v="0"/>
    <m/>
    <m/>
    <m/>
    <m/>
    <m/>
    <m/>
  </r>
  <r>
    <m/>
    <x v="267"/>
    <s v="10.2024"/>
    <x v="0"/>
    <s v="Week39"/>
    <x v="8"/>
    <s v="ขายภายใน"/>
    <s v="MTFS"/>
    <s v="CPFGS"/>
    <s v="ซีพีเอฟ เทรดดิ้ง"/>
    <s v="E+Wonton+หมาล่า"/>
    <x v="1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783"/>
    <n v="783"/>
    <m/>
    <n v="0"/>
    <n v="0"/>
    <m/>
    <m/>
    <m/>
    <m/>
    <m/>
    <m/>
  </r>
  <r>
    <m/>
    <x v="267"/>
    <s v="10.2024"/>
    <x v="0"/>
    <s v="Week39"/>
    <x v="8"/>
    <s v="ขายภายใน"/>
    <s v="MTFS"/>
    <s v="CPFGS"/>
    <s v="ซีพีเอฟ เทรดดิ้ง"/>
    <s v="E+Wonton+หมาล่า"/>
    <x v="1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447"/>
    <n v="447"/>
    <m/>
    <n v="0"/>
    <n v="0"/>
    <m/>
    <m/>
    <m/>
    <m/>
    <m/>
    <m/>
  </r>
  <r>
    <m/>
    <x v="267"/>
    <s v="10.2024"/>
    <x v="0"/>
    <s v="Week39"/>
    <x v="8"/>
    <s v="ขายภายใน"/>
    <s v="MTFS"/>
    <s v="CPFGS"/>
    <s v="ซีพีเอฟ เทรดดิ้ง"/>
    <s v="E+Wonton TY"/>
    <x v="1"/>
    <s v="Cooked Wonton Tomyum with egg.V-Food TY"/>
    <s v="082S83Q12005P04001"/>
    <s v="115g*12"/>
    <n v="12"/>
    <n v="5"/>
    <n v="8.0000000000000002E-3"/>
    <s v="M"/>
    <s v="STPP"/>
    <s v="TYTB3C 30G"/>
    <n v="767"/>
    <n v="767"/>
    <m/>
    <n v="0"/>
    <n v="0"/>
    <m/>
    <n v="1"/>
    <n v="0"/>
    <m/>
    <m/>
    <m/>
  </r>
  <r>
    <m/>
    <x v="267"/>
    <s v="10.2024"/>
    <x v="0"/>
    <s v="Week39"/>
    <x v="8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972"/>
    <n v="971"/>
    <n v="1"/>
    <n v="0"/>
    <n v="0"/>
    <m/>
    <n v="1"/>
    <n v="0"/>
    <m/>
    <m/>
    <m/>
  </r>
  <r>
    <m/>
    <x v="267"/>
    <s v="10.2024"/>
    <x v="0"/>
    <s v="Week39"/>
    <x v="8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1719"/>
    <n v="1719"/>
    <m/>
    <n v="0"/>
    <n v="0"/>
    <m/>
    <m/>
    <m/>
    <m/>
    <m/>
    <m/>
  </r>
  <r>
    <m/>
    <x v="268"/>
    <s v="10.2024"/>
    <x v="0"/>
    <s v="Week39"/>
    <x v="8"/>
    <s v="ขายภายใน"/>
    <s v="MTFS"/>
    <s v="CPFGS"/>
    <s v="ซีพีเอฟ เทรดดิ้ง"/>
    <s v="E+Wonton NDE"/>
    <x v="1"/>
    <s v="Cooked Wonton ND with egg V-Food"/>
    <s v="082SJ3Q12003P07001"/>
    <s v="226g*12"/>
    <n v="12"/>
    <n v="3"/>
    <n v="8.0000000000000002E-3"/>
    <s v="M"/>
    <s v="STPP"/>
    <s v="Regular"/>
    <n v="791"/>
    <n v="791"/>
    <m/>
    <n v="0"/>
    <n v="0"/>
    <m/>
    <m/>
    <m/>
    <m/>
    <m/>
    <m/>
  </r>
  <r>
    <m/>
    <x v="268"/>
    <s v="10.2024"/>
    <x v="0"/>
    <s v="Week39"/>
    <x v="8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5666"/>
    <n v="5666"/>
    <m/>
    <n v="0"/>
    <n v="0"/>
    <m/>
    <m/>
    <m/>
    <m/>
    <m/>
    <m/>
  </r>
  <r>
    <m/>
    <x v="268"/>
    <s v="11.2024"/>
    <x v="0"/>
    <s v="Week39"/>
    <x v="8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102"/>
    <n v="102"/>
    <m/>
    <n v="0"/>
    <n v="0"/>
    <m/>
    <m/>
    <m/>
    <m/>
    <m/>
    <m/>
  </r>
  <r>
    <m/>
    <x v="268"/>
    <s v="10.2024"/>
    <x v="0"/>
    <s v="Week39"/>
    <x v="8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357"/>
    <m/>
    <n v="357"/>
    <n v="0"/>
    <n v="0"/>
    <m/>
    <n v="1"/>
    <n v="0"/>
    <s v="pk เข้า 4/10"/>
    <m/>
    <m/>
  </r>
  <r>
    <m/>
    <x v="269"/>
    <d v="2024-10-16T00:00:00"/>
    <x v="0"/>
    <s v="Week39"/>
    <x v="8"/>
    <s v="DRY2400667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70"/>
    <n v="18"/>
    <n v="0"/>
    <n v="0"/>
    <m/>
    <m/>
    <m/>
    <m/>
    <m/>
    <m/>
  </r>
  <r>
    <m/>
    <x v="269"/>
    <d v="2024-10-11T00:00:00"/>
    <x v="0"/>
    <s v="Week39"/>
    <x v="8"/>
    <s v="DRY2400566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  <m/>
    <m/>
    <m/>
  </r>
  <r>
    <m/>
    <x v="269"/>
    <d v="2024-10-18T00:00:00"/>
    <x v="0"/>
    <s v="Week39"/>
    <x v="8"/>
    <s v="DRY2400567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  <m/>
    <m/>
    <m/>
  </r>
  <r>
    <m/>
    <x v="269"/>
    <d v="2024-10-18T00:00:00"/>
    <x v="0"/>
    <s v="Week39"/>
    <x v="8"/>
    <s v="DRY2400570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43"/>
    <n v="43"/>
    <m/>
    <n v="0"/>
    <n v="0"/>
    <m/>
    <m/>
    <m/>
    <m/>
    <m/>
    <m/>
  </r>
  <r>
    <m/>
    <x v="270"/>
    <d v="2024-10-31T00:00:00"/>
    <x v="0"/>
    <s v="Week39"/>
    <x v="8"/>
    <s v="DRY2400608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m/>
    <m/>
    <m/>
    <m/>
    <m/>
    <m/>
  </r>
  <r>
    <m/>
    <x v="270"/>
    <d v="2024-10-07T00:00:00"/>
    <x v="0"/>
    <s v="Week39"/>
    <x v="8"/>
    <s v="DRY2400470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163"/>
    <m/>
    <n v="163"/>
    <n v="0"/>
    <n v="0"/>
    <m/>
    <m/>
    <m/>
    <m/>
    <m/>
    <m/>
  </r>
  <r>
    <m/>
    <x v="270"/>
    <d v="2024-11-04T00:00:00"/>
    <x v="0"/>
    <s v="Week39"/>
    <x v="8"/>
    <s v="DRY2400471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1332"/>
    <m/>
    <n v="1809.25"/>
    <n v="477.25"/>
    <n v="0"/>
    <m/>
    <m/>
    <m/>
    <m/>
    <m/>
    <m/>
  </r>
  <r>
    <m/>
    <x v="270"/>
    <d v="2024-10-29T00:00:00"/>
    <x v="0"/>
    <s v="Week39"/>
    <x v="8"/>
    <s v="DRY2400693"/>
    <s v="Malay"/>
    <s v="CPFNW"/>
    <s v="CPM Malaysia"/>
    <s v="Wonton+TY"/>
    <x v="1"/>
    <s v="Cooked Wonton No Egg  TY"/>
    <s v="082S85I24005P02001"/>
    <s v="115g*24"/>
    <n v="24"/>
    <n v="5"/>
    <n v="8.0000000000000002E-3"/>
    <s v="M"/>
    <s v="STPP"/>
    <s v="TYTB3C 30G"/>
    <n v="900"/>
    <n v="900"/>
    <m/>
    <n v="0"/>
    <n v="0"/>
    <m/>
    <n v="1"/>
    <n v="0"/>
    <m/>
    <m/>
    <m/>
  </r>
  <r>
    <m/>
    <x v="270"/>
    <d v="2024-10-29T00:00:00"/>
    <x v="0"/>
    <s v="Week39"/>
    <x v="8"/>
    <s v="DRY2400693"/>
    <s v="Malay"/>
    <s v="CPFNW"/>
    <s v="CPM Malaysia"/>
    <s v="Wonton"/>
    <x v="1"/>
    <s v="Cooked Wonton No Egg  "/>
    <s v="082S85I24005P01001"/>
    <s v="145g*24"/>
    <n v="24"/>
    <n v="5"/>
    <n v="8.0000000000000002E-3"/>
    <s v="M"/>
    <s v="STPP"/>
    <s v="Regular"/>
    <n v="900"/>
    <n v="900"/>
    <m/>
    <n v="0"/>
    <n v="0"/>
    <m/>
    <m/>
    <m/>
    <m/>
    <m/>
    <m/>
  </r>
  <r>
    <m/>
    <x v="270"/>
    <s v="10-2024"/>
    <x v="0"/>
    <s v="Week39"/>
    <x v="8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2243"/>
    <n v="2243"/>
    <m/>
    <n v="0"/>
    <n v="0"/>
    <m/>
    <m/>
    <m/>
    <s v="NEWPACKAGE"/>
    <m/>
    <m/>
  </r>
  <r>
    <m/>
    <x v="271"/>
    <d v="2024-10-31T00:00:00"/>
    <x v="0"/>
    <s v="Week39"/>
    <x v="8"/>
    <s v="DRY2400662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24"/>
    <n v="68.333333333333329"/>
    <n v="0.33333333333337123"/>
    <n v="0"/>
    <m/>
    <m/>
    <m/>
    <m/>
    <m/>
    <m/>
  </r>
  <r>
    <m/>
    <x v="271"/>
    <d v="2024-10-31T00:00:00"/>
    <x v="0"/>
    <s v="Week39"/>
    <x v="8"/>
    <s v="DRY2400663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271"/>
    <d v="2024-10-31T00:00:00"/>
    <x v="0"/>
    <s v="Week39"/>
    <x v="8"/>
    <s v="DRY2400664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271"/>
    <d v="2024-11-07T00:00:00"/>
    <x v="0"/>
    <s v="Week39"/>
    <x v="8"/>
    <s v="DRY2400694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205"/>
    <n v="205"/>
    <m/>
    <n v="0"/>
    <n v="0"/>
    <m/>
    <m/>
    <m/>
    <m/>
    <m/>
    <m/>
  </r>
  <r>
    <m/>
    <x v="271"/>
    <d v="2024-10-22T00:00:00"/>
    <x v="0"/>
    <s v="Week39"/>
    <x v="8"/>
    <s v="DRY2400670"/>
    <s v="Denmark"/>
    <s v="CPFNW"/>
    <s v="CPF DENMARK"/>
    <s v="Minced ND+V+TK"/>
    <x v="1"/>
    <s v="Cooked Minced  ND No Egg with Pumpkin_x000a_+ Yu Choy Tomyum"/>
    <s v="082SJKW08003P01001"/>
    <s v="302g*8"/>
    <n v="8"/>
    <n v="3"/>
    <n v="6.0000000000000001E-3"/>
    <s v="BK"/>
    <s v="Salt"/>
    <s v="Tomkha+CM"/>
    <n v="3500"/>
    <m/>
    <n v="3500"/>
    <n v="0"/>
    <n v="0"/>
    <m/>
    <m/>
    <m/>
    <m/>
    <m/>
    <m/>
  </r>
  <r>
    <m/>
    <x v="272"/>
    <m/>
    <x v="0"/>
    <s v="Week39"/>
    <x v="8"/>
    <m/>
    <m/>
    <m/>
    <m/>
    <m/>
    <x v="0"/>
    <m/>
    <m/>
    <m/>
    <m/>
    <m/>
    <m/>
    <m/>
    <m/>
    <m/>
    <m/>
    <m/>
    <m/>
    <m/>
    <m/>
    <m/>
    <m/>
    <m/>
    <m/>
    <m/>
    <m/>
  </r>
  <r>
    <s v="R"/>
    <x v="273"/>
    <d v="2024-10-16T00:00:00"/>
    <x v="0"/>
    <s v="Week40"/>
    <x v="8"/>
    <s v="KL2400022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m/>
    <m/>
  </r>
  <r>
    <m/>
    <x v="274"/>
    <s v="10-2024"/>
    <x v="0"/>
    <s v="Week40"/>
    <x v="9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785"/>
    <n v="785"/>
    <m/>
    <n v="0"/>
    <n v="0"/>
    <m/>
    <m/>
    <m/>
    <s v="NEWPACKAGE"/>
    <m/>
    <m/>
  </r>
  <r>
    <m/>
    <x v="274"/>
    <s v="10.2024"/>
    <x v="0"/>
    <s v="Week40"/>
    <x v="9"/>
    <s v="ขายภายใน"/>
    <s v=".7-11"/>
    <s v="CPFGS"/>
    <s v="ซีพีเอฟ เทรดดิ้ง"/>
    <s v="Wonton"/>
    <x v="1"/>
    <s v="เกี๊ยวกุ้งทรัฟเฟิลซุปน้ำดำ CP 143g 7E"/>
    <s v="082S81A24005P0C001"/>
    <s v="143g*24"/>
    <n v="24"/>
    <n v="5"/>
    <n v="6.1999999999999998E-3"/>
    <s v="SS"/>
    <s v="STPP"/>
    <s v="น้ำดำ"/>
    <n v="4649"/>
    <n v="4476"/>
    <n v="173"/>
    <n v="0"/>
    <n v="0"/>
    <m/>
    <m/>
    <m/>
    <m/>
    <m/>
    <m/>
  </r>
  <r>
    <m/>
    <x v="274"/>
    <s v="10.2024"/>
    <x v="0"/>
    <s v="Week40"/>
    <x v="9"/>
    <s v="ขายภายใน"/>
    <s v="MTFS"/>
    <s v="CPFGS"/>
    <s v="ซีพีเอฟ เทรดดิ้ง"/>
    <s v="Wonton"/>
    <x v="1"/>
    <s v="เกี๊ยวกุ้งทรัฟเฟิลซุปน้ำดำ CP 143g"/>
    <s v="082S83Q12005P07001"/>
    <s v="143g*12"/>
    <n v="12"/>
    <n v="5"/>
    <n v="6.1999999999999998E-3"/>
    <s v="SS"/>
    <s v="STPP"/>
    <s v="น้ำดำ"/>
    <n v="1673"/>
    <n v="1673"/>
    <m/>
    <n v="0"/>
    <n v="0"/>
    <m/>
    <m/>
    <m/>
    <m/>
    <m/>
    <m/>
  </r>
  <r>
    <m/>
    <x v="275"/>
    <d v="2024-10-11T00:00:00"/>
    <x v="0"/>
    <s v="Week40"/>
    <x v="9"/>
    <s v="DRY240060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31"/>
    <n v="471"/>
    <n v="160"/>
    <n v="0"/>
    <n v="0"/>
    <m/>
    <m/>
    <m/>
    <m/>
    <m/>
    <m/>
  </r>
  <r>
    <m/>
    <x v="275"/>
    <d v="2024-10-18T00:00:00"/>
    <x v="0"/>
    <s v="Week40"/>
    <x v="9"/>
    <s v="DRY240060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75"/>
    <d v="2024-10-18T00:00:00"/>
    <x v="0"/>
    <s v="Week40"/>
    <x v="9"/>
    <s v="DRY240060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632"/>
    <n v="160"/>
    <n v="0"/>
    <n v="0"/>
    <m/>
    <m/>
    <m/>
    <m/>
    <m/>
    <m/>
  </r>
  <r>
    <m/>
    <x v="275"/>
    <d v="2024-10-18T00:00:00"/>
    <x v="0"/>
    <s v="Week40"/>
    <x v="9"/>
    <s v="DRY240060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75"/>
    <d v="2024-10-25T00:00:00"/>
    <x v="0"/>
    <s v="Week40"/>
    <x v="9"/>
    <s v="DRY240060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632"/>
    <n v="160"/>
    <n v="0"/>
    <n v="0"/>
    <m/>
    <m/>
    <m/>
    <m/>
    <m/>
    <m/>
  </r>
  <r>
    <m/>
    <x v="275"/>
    <d v="2024-10-25T00:00:00"/>
    <x v="0"/>
    <s v="Week40"/>
    <x v="9"/>
    <s v="DRY240060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632"/>
    <n v="160"/>
    <n v="0"/>
    <n v="0"/>
    <m/>
    <m/>
    <m/>
    <m/>
    <m/>
    <m/>
  </r>
  <r>
    <m/>
    <x v="275"/>
    <d v="2024-11-01T00:00:00"/>
    <x v="0"/>
    <s v="Week40"/>
    <x v="9"/>
    <s v="DRY240063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5"/>
    <n v="65"/>
    <m/>
    <n v="0"/>
    <n v="0"/>
    <m/>
    <m/>
    <m/>
    <m/>
    <m/>
    <m/>
  </r>
  <r>
    <m/>
    <x v="276"/>
    <d v="2024-10-10T00:00:00"/>
    <x v="0"/>
    <s v="Week40"/>
    <x v="9"/>
    <s v="DRY2400618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28"/>
    <n v="1228"/>
    <m/>
    <n v="0"/>
    <n v="0"/>
    <m/>
    <m/>
    <m/>
    <m/>
    <m/>
    <m/>
  </r>
  <r>
    <m/>
    <x v="276"/>
    <d v="2024-10-24T00:00:00"/>
    <x v="0"/>
    <s v="Week40"/>
    <x v="9"/>
    <s v="DRY2400619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62"/>
    <n v="62"/>
    <m/>
    <n v="0"/>
    <n v="0"/>
    <m/>
    <m/>
    <m/>
    <m/>
    <m/>
    <m/>
  </r>
  <r>
    <m/>
    <x v="276"/>
    <d v="2024-10-18T00:00:00"/>
    <x v="0"/>
    <s v="Week40"/>
    <x v="9"/>
    <s v="DRY2400570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1245"/>
    <n v="1245"/>
    <m/>
    <n v="0"/>
    <n v="0"/>
    <m/>
    <m/>
    <m/>
    <m/>
    <m/>
    <m/>
  </r>
  <r>
    <m/>
    <x v="276"/>
    <d v="2024-10-25T00:00:00"/>
    <x v="0"/>
    <s v="Week40"/>
    <x v="9"/>
    <s v="DRY2400572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  <m/>
    <m/>
    <m/>
  </r>
  <r>
    <m/>
    <x v="276"/>
    <d v="2024-10-25T00:00:00"/>
    <x v="0"/>
    <s v="Week40"/>
    <x v="9"/>
    <s v="DRY2400573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90"/>
    <n v="90"/>
    <m/>
    <n v="0"/>
    <n v="0"/>
    <m/>
    <m/>
    <m/>
    <m/>
    <m/>
    <m/>
  </r>
  <r>
    <m/>
    <x v="277"/>
    <d v="2024-10-25T00:00:00"/>
    <x v="0"/>
    <s v="Week40"/>
    <x v="9"/>
    <s v="DRY2400573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1198"/>
    <n v="1198"/>
    <m/>
    <n v="0"/>
    <n v="0"/>
    <m/>
    <m/>
    <m/>
    <m/>
    <m/>
    <m/>
  </r>
  <r>
    <m/>
    <x v="277"/>
    <d v="2024-11-01T00:00:00"/>
    <x v="0"/>
    <s v="Week40"/>
    <x v="9"/>
    <s v="DRY2400574"/>
    <s v="USA"/>
    <s v="CPFNW"/>
    <s v="Bellisio Foods, Inc."/>
    <s v="Wonton+TY"/>
    <x v="1"/>
    <s v="Wonton Soup  (Enriched wonton sheet)"/>
    <s v="082S8BW36005P01001"/>
    <s v="147g*6c*6in"/>
    <n v="36"/>
    <n v="5"/>
    <n v="7.4999999999999997E-3"/>
    <s v="M"/>
    <s v="Salt"/>
    <s v="TYEX+CO"/>
    <n v="1288"/>
    <n v="964"/>
    <n v="391.44444444444446"/>
    <n v="67.444444444444343"/>
    <n v="0"/>
    <m/>
    <m/>
    <m/>
    <m/>
    <m/>
    <m/>
  </r>
  <r>
    <m/>
    <x v="277"/>
    <d v="2024-10-31T00:00:00"/>
    <x v="0"/>
    <s v="Week40"/>
    <x v="9"/>
    <s v="DRY2400477"/>
    <s v="CAN "/>
    <s v="CPFNW "/>
    <s v="CP Foods Canada,Inc (CPFC)"/>
    <s v="Wonton+TY"/>
    <x v="1"/>
    <s v="Wonton Soup  (Enriched wonton sheet)"/>
    <s v="082S85336005P02001"/>
    <s v="147g*6c*6in"/>
    <n v="36"/>
    <n v="5"/>
    <n v="7.4999999999999997E-3"/>
    <s v="M"/>
    <s v="Salt"/>
    <s v="TYEX+CO"/>
    <n v="1249"/>
    <n v="1048"/>
    <n v="201"/>
    <n v="0"/>
    <n v="0"/>
    <m/>
    <m/>
    <m/>
    <m/>
    <m/>
    <m/>
  </r>
  <r>
    <m/>
    <x v="278"/>
    <d v="2024-11-07T00:00:00"/>
    <x v="0"/>
    <s v="Week40"/>
    <x v="9"/>
    <s v="DRY2400694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587"/>
    <n v="587"/>
    <m/>
    <n v="0"/>
    <n v="0"/>
    <m/>
    <m/>
    <m/>
    <m/>
    <m/>
    <m/>
  </r>
  <r>
    <m/>
    <x v="278"/>
    <d v="2024-11-07T00:00:00"/>
    <x v="0"/>
    <s v="Week40"/>
    <x v="9"/>
    <s v="DRY2400695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278"/>
    <d v="2024-11-14T00:00:00"/>
    <x v="0"/>
    <s v="Week40"/>
    <x v="9"/>
    <s v="DRY2400696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278"/>
    <d v="2024-11-14T00:00:00"/>
    <x v="0"/>
    <s v="Week40"/>
    <x v="9"/>
    <s v="DRY2400697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616"/>
    <n v="176"/>
    <n v="0"/>
    <n v="0"/>
    <m/>
    <m/>
    <m/>
    <m/>
    <m/>
    <m/>
  </r>
  <r>
    <m/>
    <x v="278"/>
    <d v="2024-10-31T00:00:00"/>
    <x v="0"/>
    <s v="Week40"/>
    <x v="9"/>
    <s v="DRY2400726"/>
    <s v="New Zealand"/>
    <s v="CPFNW"/>
    <s v="Lim Brothers"/>
    <s v="Wonton ND+V"/>
    <x v="1"/>
    <s v="Cooked Wonton ND No Egg with Pumpkin_x000a_+ Yu Choy "/>
    <s v="082SJN708004P00001"/>
    <s v="305g*8"/>
    <n v="8"/>
    <n v="4"/>
    <n v="7.4999999999999997E-3"/>
    <s v="HC"/>
    <s v="Salt"/>
    <s v="Regular"/>
    <n v="300"/>
    <m/>
    <n v="300.625"/>
    <n v="0.625"/>
    <n v="0"/>
    <m/>
    <m/>
    <m/>
    <s v="NEWPACKAGE"/>
    <m/>
    <m/>
  </r>
  <r>
    <m/>
    <x v="278"/>
    <d v="2024-11-06T00:00:00"/>
    <x v="0"/>
    <s v="Week40"/>
    <x v="9"/>
    <s v="DRY2400675"/>
    <s v="SG"/>
    <s v="CPFNW"/>
    <s v="CPI SINGAPORE"/>
    <s v="Wonton ND+V"/>
    <x v="1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500"/>
    <n v="500"/>
    <m/>
    <n v="0"/>
    <n v="0"/>
    <m/>
    <m/>
    <m/>
    <m/>
    <m/>
    <m/>
  </r>
  <r>
    <m/>
    <x v="278"/>
    <d v="2024-10-18T00:00:00"/>
    <x v="0"/>
    <s v="Week40"/>
    <x v="9"/>
    <s v="DRY2400698"/>
    <s v="New Zealand"/>
    <s v="CPFNW"/>
    <s v="Lim Brothers"/>
    <s v="Wonton ND+V+TY"/>
    <x v="1"/>
    <s v="Cooked Wonton ND No Egg with Pumpkin _x000a_+ Vegetable 5 pcs tomyam"/>
    <s v="082SJN724005P00001"/>
    <s v="307g*4c*6in"/>
    <n v="24"/>
    <n v="5"/>
    <n v="7.4999999999999997E-3"/>
    <s v="M"/>
    <s v="Salt"/>
    <s v="TYEX+CO"/>
    <n v="390"/>
    <n v="384"/>
    <n v="27.5"/>
    <n v="21.5"/>
    <n v="0"/>
    <m/>
    <m/>
    <m/>
    <m/>
    <m/>
    <m/>
  </r>
  <r>
    <m/>
    <x v="279"/>
    <m/>
    <x v="0"/>
    <s v="Week40"/>
    <x v="9"/>
    <m/>
    <m/>
    <m/>
    <m/>
    <m/>
    <x v="0"/>
    <m/>
    <m/>
    <m/>
    <m/>
    <m/>
    <m/>
    <m/>
    <m/>
    <m/>
    <m/>
    <m/>
    <m/>
    <m/>
    <m/>
    <m/>
    <m/>
    <m/>
    <m/>
    <m/>
    <m/>
  </r>
  <r>
    <s v="R"/>
    <x v="280"/>
    <d v="2024-10-21T00:00:00"/>
    <x v="0"/>
    <s v="Week41"/>
    <x v="9"/>
    <s v="KL2400021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m/>
    <m/>
  </r>
  <r>
    <s v="R"/>
    <x v="281"/>
    <d v="2024-11-04T00:00:00"/>
    <x v="0"/>
    <s v="Week41"/>
    <x v="9"/>
    <s v="DRY2400691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1349"/>
    <n v="1349"/>
    <m/>
    <n v="0"/>
    <n v="0"/>
    <n v="0"/>
    <n v="6"/>
    <n v="0"/>
    <m/>
    <m/>
    <m/>
  </r>
  <r>
    <m/>
    <x v="282"/>
    <s v="10.2024"/>
    <x v="0"/>
    <s v="Week41"/>
    <x v="9"/>
    <s v="ขายภายใน"/>
    <s v="MTFS"/>
    <s v="CPFGS"/>
    <s v="ซีพีเอฟ เทรดดิ้ง"/>
    <s v="E+Wonton NDE"/>
    <x v="1"/>
    <s v="Cooked Wonton ND with egg V-Food"/>
    <s v="082SJ3Q12003P07001"/>
    <s v="226g*12"/>
    <n v="12"/>
    <n v="3"/>
    <n v="8.0000000000000002E-3"/>
    <s v="M"/>
    <s v="STPP"/>
    <s v="Regular"/>
    <n v="418"/>
    <n v="418"/>
    <m/>
    <n v="0"/>
    <n v="0"/>
    <m/>
    <m/>
    <m/>
    <m/>
    <m/>
    <m/>
  </r>
  <r>
    <m/>
    <x v="282"/>
    <s v="11.2024"/>
    <x v="0"/>
    <s v="Week41"/>
    <x v="9"/>
    <s v="ขายภายใน"/>
    <s v="MTFS"/>
    <s v="CPFGS"/>
    <s v="ซีพีเอฟ เทรดดิ้ง"/>
    <s v="E+Wonton NDE"/>
    <x v="1"/>
    <s v="Cooked Wonton ND with egg V-Food"/>
    <s v="082SJ3Q12003P07001"/>
    <s v="226g*12"/>
    <n v="12"/>
    <n v="3"/>
    <n v="8.0000000000000002E-3"/>
    <s v="M"/>
    <s v="STPP"/>
    <s v="Regular"/>
    <n v="498"/>
    <n v="498"/>
    <m/>
    <n v="0"/>
    <n v="0"/>
    <m/>
    <m/>
    <m/>
    <m/>
    <m/>
    <m/>
  </r>
  <r>
    <m/>
    <x v="282"/>
    <s v="11.2024"/>
    <x v="0"/>
    <s v="Week41"/>
    <x v="9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24"/>
    <n v="24"/>
    <m/>
    <n v="0"/>
    <n v="0"/>
    <m/>
    <m/>
    <m/>
    <m/>
    <m/>
    <m/>
  </r>
  <r>
    <m/>
    <x v="282"/>
    <s v="11.2024"/>
    <x v="0"/>
    <s v="Week41"/>
    <x v="9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203"/>
    <n v="203"/>
    <m/>
    <n v="0"/>
    <n v="0"/>
    <m/>
    <m/>
    <m/>
    <m/>
    <m/>
    <m/>
  </r>
  <r>
    <m/>
    <x v="282"/>
    <s v="11.2024"/>
    <x v="0"/>
    <s v="Week41"/>
    <x v="9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260"/>
    <n v="260"/>
    <m/>
    <n v="0"/>
    <n v="0"/>
    <m/>
    <m/>
    <m/>
    <m/>
    <m/>
    <m/>
  </r>
  <r>
    <s v="CP Laos"/>
    <x v="282"/>
    <d v="2024-11-01T00:00:00"/>
    <x v="0"/>
    <s v="Week41"/>
    <x v="9"/>
    <s v="LA001/2567"/>
    <s v="Laos"/>
    <s v="Laos"/>
    <s v="บริษัท ปิก้าเทรดดิ้ง จำกัด"/>
    <s v="E+Wonton+หมาล่า"/>
    <x v="1"/>
    <s v="เกี๊ยวกุ้งจักรพรรดิ ซุปหม่าล่า 12x143g."/>
    <s v="082S8L212005P01001"/>
    <s v="143g*12"/>
    <n v="12"/>
    <n v="5"/>
    <n v="6.1999999999999998E-3"/>
    <s v="SS"/>
    <s v="STPP"/>
    <s v="หมาล่า"/>
    <n v="70"/>
    <m/>
    <n v="70"/>
    <n v="0"/>
    <n v="0"/>
    <m/>
    <m/>
    <m/>
    <m/>
    <m/>
    <m/>
  </r>
  <r>
    <s v="Cambodia"/>
    <x v="282"/>
    <d v="2024-10-25T00:00:00"/>
    <x v="0"/>
    <s v="Week41"/>
    <x v="9"/>
    <s v="CB002/2567"/>
    <s v="Cambodia"/>
    <s v="Cambodia"/>
    <s v="หจก.คิงฟู้ดส์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40"/>
    <n v="40"/>
    <m/>
    <n v="0"/>
    <n v="0"/>
    <m/>
    <m/>
    <m/>
    <m/>
    <m/>
    <m/>
  </r>
  <r>
    <m/>
    <x v="282"/>
    <s v="10.2024"/>
    <x v="0"/>
    <s v="Week41"/>
    <x v="9"/>
    <s v="ขายภายใน"/>
    <s v="MTFS"/>
    <s v="CPFGS"/>
    <s v="ซีพีเอฟ เทรดดิ้ง"/>
    <s v="E+Wonton+หมาล่า"/>
    <x v="1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114"/>
    <n v="114"/>
    <m/>
    <n v="0"/>
    <n v="0"/>
    <m/>
    <m/>
    <m/>
    <m/>
    <m/>
    <m/>
  </r>
  <r>
    <m/>
    <x v="282"/>
    <s v="11.2024"/>
    <x v="0"/>
    <s v="Week41"/>
    <x v="9"/>
    <s v="ขายภายใน"/>
    <s v="MTFS"/>
    <s v="CPFGS"/>
    <s v="ซีพีเอฟ เทรดดิ้ง"/>
    <s v="E+Wonton+หมาล่า"/>
    <x v="1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633"/>
    <n v="633"/>
    <m/>
    <n v="0"/>
    <n v="0"/>
    <m/>
    <m/>
    <m/>
    <m/>
    <m/>
    <m/>
  </r>
  <r>
    <m/>
    <x v="282"/>
    <s v="11.2024"/>
    <x v="0"/>
    <s v="Week41"/>
    <x v="9"/>
    <s v="ขายภายใน"/>
    <s v=".7-11"/>
    <s v="CPFGS"/>
    <s v="ซีพีเอฟ เทรดดิ้ง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4975"/>
    <n v="4922"/>
    <n v="53"/>
    <n v="0"/>
    <n v="0"/>
    <m/>
    <m/>
    <m/>
    <m/>
    <m/>
    <m/>
  </r>
  <r>
    <s v="R&amp;D"/>
    <x v="283"/>
    <s v="11.2024"/>
    <x v="0"/>
    <s v="Week41"/>
    <x v="9"/>
    <s v="ขายภายใน"/>
    <s v="MTFS"/>
    <s v="CPFGS"/>
    <s v="ซีพีเอฟ เทรดดิ้ง"/>
    <s v="E+Wonton"/>
    <x v="1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m/>
    <m/>
    <m/>
    <m/>
    <m/>
    <m/>
  </r>
  <r>
    <s v="CP Laos"/>
    <x v="283"/>
    <d v="2024-11-01T00:00:00"/>
    <x v="0"/>
    <s v="Week41"/>
    <x v="9"/>
    <s v="LA001/2567"/>
    <s v="Laos"/>
    <s v="Laos"/>
    <s v="บริษัท ปิก้าเทรดดิ้ง จำกัด"/>
    <s v="E+Wonton"/>
    <x v="1"/>
    <s v="เกี๊ยวกุ้งจักรพรรดิ 12x145g."/>
    <s v="082S8L212005P00001"/>
    <s v="145g*12"/>
    <n v="12"/>
    <n v="5"/>
    <n v="8.0000000000000002E-3"/>
    <s v="M"/>
    <s v="STPP"/>
    <s v="Regular"/>
    <n v="70"/>
    <m/>
    <n v="83.5"/>
    <n v="13.5"/>
    <n v="0"/>
    <m/>
    <m/>
    <m/>
    <m/>
    <m/>
    <m/>
  </r>
  <r>
    <m/>
    <x v="283"/>
    <s v="11.2024"/>
    <x v="0"/>
    <s v="Week41"/>
    <x v="9"/>
    <s v="ขายภายใน"/>
    <s v="MTFS"/>
    <s v="CPFGS"/>
    <s v="ซีพีเอฟ เทรดดิ้ง"/>
    <s v="E+Wonton"/>
    <x v="1"/>
    <s v="Cooked Wonton  with egg V-Food"/>
    <s v="082S83Q12005P05001"/>
    <s v="145g*12"/>
    <n v="12"/>
    <n v="5"/>
    <n v="8.0000000000000002E-3"/>
    <s v="M"/>
    <s v="STPP"/>
    <s v="Regular"/>
    <n v="3432"/>
    <n v="3432"/>
    <m/>
    <n v="0"/>
    <n v="0"/>
    <m/>
    <m/>
    <m/>
    <m/>
    <m/>
    <m/>
  </r>
  <r>
    <m/>
    <x v="283"/>
    <s v="11.2024"/>
    <x v="0"/>
    <s v="Week41"/>
    <x v="9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1148"/>
    <m/>
    <n v="1150"/>
    <n v="2"/>
    <n v="0"/>
    <m/>
    <n v="1"/>
    <n v="0"/>
    <m/>
    <m/>
    <m/>
  </r>
  <r>
    <m/>
    <x v="283"/>
    <s v="11.2024"/>
    <x v="0"/>
    <s v="Week41"/>
    <x v="9"/>
    <s v="ขายภายใน"/>
    <s v="MTFS"/>
    <s v="CPFGS"/>
    <s v="ซีพีเอฟ เทรดดิ้ง"/>
    <s v="E+Wonton TY"/>
    <x v="1"/>
    <s v="Cooked Wonton Tomyum with egg.V-Food TY"/>
    <s v="082S83Q12005P04001"/>
    <s v="115g*12"/>
    <n v="12"/>
    <n v="5"/>
    <n v="8.0000000000000002E-3"/>
    <s v="M"/>
    <s v="STPP"/>
    <s v="TYTB3C 30G"/>
    <n v="783"/>
    <n v="783"/>
    <m/>
    <n v="0"/>
    <n v="0"/>
    <m/>
    <n v="1"/>
    <n v="0"/>
    <m/>
    <m/>
    <m/>
  </r>
  <r>
    <s v="Cambodia"/>
    <x v="283"/>
    <d v="2024-10-25T00:00:00"/>
    <x v="0"/>
    <s v="Week41"/>
    <x v="9"/>
    <s v="CB002/2567"/>
    <s v="Cambodia"/>
    <s v="Cambodia"/>
    <s v="หจก.คิงฟู้ดส์"/>
    <s v="E+Wonton"/>
    <x v="1"/>
    <s v="Cooked Wonton With Egg .7-11"/>
    <s v="082S81A24005P04001"/>
    <s v="145g*24"/>
    <n v="24"/>
    <n v="5"/>
    <n v="8.0000000000000002E-3"/>
    <s v="M"/>
    <s v="STPP"/>
    <s v="Regular"/>
    <n v="30"/>
    <n v="30"/>
    <m/>
    <n v="0"/>
    <n v="0"/>
    <m/>
    <m/>
    <m/>
    <m/>
    <m/>
    <m/>
  </r>
  <r>
    <m/>
    <x v="283"/>
    <s v="11.2024"/>
    <x v="0"/>
    <s v="Week41"/>
    <x v="9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3722"/>
    <n v="3722"/>
    <m/>
    <n v="0"/>
    <n v="0"/>
    <m/>
    <m/>
    <m/>
    <m/>
    <m/>
    <m/>
  </r>
  <r>
    <m/>
    <x v="284"/>
    <s v="11.2024"/>
    <x v="0"/>
    <s v="Week41"/>
    <x v="9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6033"/>
    <n v="5812"/>
    <n v="221"/>
    <n v="0"/>
    <n v="0"/>
    <m/>
    <m/>
    <m/>
    <m/>
    <m/>
    <m/>
  </r>
  <r>
    <m/>
    <x v="285"/>
    <d v="2024-11-05T00:00:00"/>
    <x v="0"/>
    <s v="Week41"/>
    <x v="9"/>
    <s v="DRY2400428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  <s v="ใช้ package ที่เป็น หมึกพิมพ์ใหม่"/>
    <m/>
    <m/>
  </r>
  <r>
    <m/>
    <x v="285"/>
    <d v="2024-10-24T00:00:00"/>
    <x v="0"/>
    <s v="Week41"/>
    <x v="9"/>
    <s v="DRY2400619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26"/>
    <n v="1226"/>
    <m/>
    <n v="0"/>
    <n v="0"/>
    <m/>
    <m/>
    <m/>
    <m/>
    <m/>
    <m/>
  </r>
  <r>
    <m/>
    <x v="285"/>
    <d v="2024-10-31T00:00:00"/>
    <x v="0"/>
    <s v="Week41"/>
    <x v="9"/>
    <s v="DRY2400620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m/>
    <m/>
    <m/>
  </r>
  <r>
    <m/>
    <x v="285"/>
    <d v="2024-10-30T00:00:00"/>
    <x v="0"/>
    <s v="Week41"/>
    <x v="9"/>
    <s v="DRY2400621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84"/>
    <n v="84"/>
    <m/>
    <n v="0"/>
    <n v="0"/>
    <m/>
    <m/>
    <m/>
    <m/>
    <m/>
    <m/>
  </r>
  <r>
    <m/>
    <x v="286"/>
    <m/>
    <x v="0"/>
    <s v="Week41"/>
    <x v="9"/>
    <m/>
    <m/>
    <m/>
    <m/>
    <m/>
    <x v="0"/>
    <m/>
    <m/>
    <m/>
    <m/>
    <m/>
    <m/>
    <m/>
    <m/>
    <m/>
    <m/>
    <m/>
    <m/>
    <m/>
    <m/>
    <m/>
    <m/>
    <m/>
    <m/>
    <m/>
    <m/>
  </r>
  <r>
    <m/>
    <x v="287"/>
    <m/>
    <x v="0"/>
    <s v="Week42"/>
    <x v="9"/>
    <m/>
    <m/>
    <m/>
    <m/>
    <m/>
    <x v="0"/>
    <m/>
    <m/>
    <m/>
    <m/>
    <m/>
    <m/>
    <m/>
    <m/>
    <m/>
    <m/>
    <m/>
    <m/>
    <m/>
    <m/>
    <m/>
    <m/>
    <m/>
    <m/>
    <m/>
    <m/>
  </r>
  <r>
    <s v="T"/>
    <x v="288"/>
    <d v="2024-10-31T00:00:00"/>
    <x v="0"/>
    <s v="Week42"/>
    <x v="9"/>
    <s v="DRY2400726"/>
    <s v="New Zealand"/>
    <s v="CPFNW"/>
    <s v="Lim Brothers"/>
    <s v="C-Minced WT in tray no egg"/>
    <x v="1"/>
    <s v="Cooked Minced Wonton in Tray 6 pcs + Sesame Sauce"/>
    <s v="082SKN716006P00001"/>
    <s v="117*2tray*8in"/>
    <n v="16"/>
    <n v="6"/>
    <n v="6.0000000000000001E-3"/>
    <s v="BK"/>
    <s v="Salt"/>
    <s v=" Sesame 15g"/>
    <n v="288"/>
    <n v="288"/>
    <n v="7.25"/>
    <n v="7.25"/>
    <n v="0"/>
    <m/>
    <n v="1"/>
    <n v="4608"/>
    <s v="cap 3000 tray/hr. อื่น 8,300 ถ้วย"/>
    <m/>
    <m/>
  </r>
  <r>
    <m/>
    <x v="288"/>
    <d v="2024-11-01T00:00:00"/>
    <x v="0"/>
    <s v="Week42"/>
    <x v="9"/>
    <s v="DRY240063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27"/>
    <n v="727"/>
    <m/>
    <n v="0"/>
    <n v="0"/>
    <m/>
    <m/>
    <m/>
    <m/>
    <m/>
    <m/>
  </r>
  <r>
    <m/>
    <x v="288"/>
    <d v="2024-11-01T00:00:00"/>
    <x v="0"/>
    <s v="Week42"/>
    <x v="9"/>
    <s v="DRY240063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92"/>
    <n v="592"/>
    <m/>
    <n v="0"/>
    <n v="0"/>
    <m/>
    <m/>
    <m/>
    <m/>
    <m/>
    <m/>
  </r>
  <r>
    <m/>
    <x v="288"/>
    <d v="2024-11-01T00:00:00"/>
    <x v="0"/>
    <s v="Week42"/>
    <x v="9"/>
    <s v="DRY240063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51"/>
    <n v="151"/>
    <m/>
    <n v="0"/>
    <n v="0"/>
    <m/>
    <m/>
    <m/>
    <m/>
    <m/>
    <m/>
  </r>
  <r>
    <m/>
    <x v="288"/>
    <d v="2024-11-11T00:00:00"/>
    <x v="0"/>
    <s v="Week42"/>
    <x v="9"/>
    <s v="DRY2400651"/>
    <s v="Belgium"/>
    <s v="CPFNW"/>
    <s v="CPF EUROPE S.A."/>
    <s v="Wonton ND+V"/>
    <x v="1"/>
    <s v="Cooked Wonton ND No Egg with Pumpkin _x000a_+ Vegetable  HC  3 pcs"/>
    <s v="082SJ3I08003P00001"/>
    <s v="309g*8"/>
    <n v="8"/>
    <n v="3"/>
    <n v="7.4999999999999997E-3"/>
    <s v="HC"/>
    <s v="Salt"/>
    <s v="Regular"/>
    <n v="600"/>
    <m/>
    <n v="626.375"/>
    <n v="26.375"/>
    <n v="0"/>
    <m/>
    <m/>
    <m/>
    <m/>
    <m/>
    <m/>
  </r>
  <r>
    <m/>
    <x v="288"/>
    <d v="2024-10-25T00:00:00"/>
    <x v="0"/>
    <s v="Week42"/>
    <x v="9"/>
    <s v="DRY2400223"/>
    <s v="Spain"/>
    <s v="CPFNW"/>
    <s v="Mercadona"/>
    <s v="Wonton ND+V"/>
    <x v="1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  <s v="รวบการผลิตให้เป็นวันเดียวกันตามความต้องการของลูกค้า"/>
    <m/>
    <m/>
  </r>
  <r>
    <m/>
    <x v="288"/>
    <d v="2024-10-31T00:00:00"/>
    <x v="0"/>
    <s v="Week42"/>
    <x v="9"/>
    <s v="DRY2400726"/>
    <s v="New Zealand"/>
    <s v="CPFNW"/>
    <s v="Lim Brothers"/>
    <s v="Minced ND+V+TK"/>
    <x v="1"/>
    <s v="Cooked Minced  ND No Egg with Pumpkin_x000a_+ Yu Choy Tomkha"/>
    <s v="082SRN708003P01001"/>
    <s v="302g*8"/>
    <n v="8"/>
    <n v="3"/>
    <n v="6.0000000000000001E-3"/>
    <s v="BK"/>
    <s v="Salt"/>
    <s v="Tomkha+CM"/>
    <n v="648"/>
    <m/>
    <n v="650.375"/>
    <n v="2.375"/>
    <n v="0"/>
    <m/>
    <m/>
    <m/>
    <s v="สำรอง บรูไน"/>
    <m/>
    <m/>
  </r>
  <r>
    <m/>
    <x v="288"/>
    <d v="2024-11-12T00:00:00"/>
    <x v="0"/>
    <s v="Week42"/>
    <x v="9"/>
    <s v="DRY2400729"/>
    <s v="Denmark"/>
    <s v="CPFNW"/>
    <s v="CPF DENMARK"/>
    <s v="Minced ND+V+TK"/>
    <x v="1"/>
    <s v="Cooked Minced  ND No Egg with Pumpkin_x000a_+ Yu Choy Tomyum"/>
    <s v="082SJKW08003P01001"/>
    <s v="302g*8"/>
    <n v="8"/>
    <n v="3"/>
    <n v="6.0000000000000001E-3"/>
    <s v="BK"/>
    <s v="Salt"/>
    <s v="Tomkha+CM"/>
    <n v="3500"/>
    <m/>
    <n v="3505"/>
    <n v="5"/>
    <n v="0"/>
    <m/>
    <m/>
    <m/>
    <s v="Newpackage330x330x234 mm.=2040+238"/>
    <m/>
    <m/>
  </r>
  <r>
    <m/>
    <x v="288"/>
    <d v="2024-11-25T00:00:00"/>
    <x v="0"/>
    <s v="Week42"/>
    <x v="9"/>
    <s v="DRY2400733"/>
    <s v="BRUNEI"/>
    <s v="CPFNW"/>
    <s v="Ben Foods"/>
    <s v="Minced ND+V+TK"/>
    <x v="1"/>
    <s v="Cooked Minced  ND No Egg with Pumpkin_x000a_+ Yu Choy Tomkha"/>
    <s v="082SRB508003P01001"/>
    <s v="302g*8"/>
    <n v="8"/>
    <n v="3"/>
    <n v="6.0000000000000001E-3"/>
    <s v="BK"/>
    <s v="Salt"/>
    <s v="Tomkha+CM"/>
    <n v="180"/>
    <m/>
    <n v="197.25"/>
    <n v="17.25"/>
    <n v="0"/>
    <m/>
    <m/>
    <m/>
    <s v="NEWPACKAGE"/>
    <m/>
    <m/>
  </r>
  <r>
    <m/>
    <x v="289"/>
    <s v="10-2024"/>
    <x v="0"/>
    <s v="Week42"/>
    <x v="9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3485"/>
    <n v="3485"/>
    <m/>
    <n v="0"/>
    <n v="0"/>
    <m/>
    <m/>
    <m/>
    <s v="NEWPACKAGE"/>
    <m/>
    <m/>
  </r>
  <r>
    <m/>
    <x v="289"/>
    <s v="11-2024"/>
    <x v="0"/>
    <s v="Week42"/>
    <x v="9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52"/>
    <n v="52"/>
    <m/>
    <n v="0"/>
    <n v="0"/>
    <m/>
    <m/>
    <m/>
    <s v="NEWPACKAGE"/>
    <m/>
    <m/>
  </r>
  <r>
    <m/>
    <x v="289"/>
    <d v="2024-11-06T00:00:00"/>
    <x v="0"/>
    <s v="Week42"/>
    <x v="9"/>
    <s v="DRY2400675"/>
    <s v="SG"/>
    <s v="CPFNW"/>
    <s v="CPI SINGAPORE"/>
    <s v="Wonton"/>
    <x v="1"/>
    <s v="Cooked Wonton No Egg"/>
    <s v="082S83B24005P07001"/>
    <s v="145g*24"/>
    <n v="24"/>
    <n v="5"/>
    <n v="8.0000000000000002E-3"/>
    <s v="M"/>
    <s v="STPP"/>
    <s v="Regular"/>
    <n v="500"/>
    <n v="500"/>
    <m/>
    <n v="0"/>
    <n v="0"/>
    <m/>
    <m/>
    <m/>
    <m/>
    <m/>
    <m/>
  </r>
  <r>
    <m/>
    <x v="289"/>
    <d v="2024-11-11T00:00:00"/>
    <x v="0"/>
    <s v="Week42"/>
    <x v="9"/>
    <s v="DRY2400651"/>
    <s v="Belgium"/>
    <s v="CPFNW"/>
    <s v="CPF EUROPE S.A."/>
    <s v="Wonton +V"/>
    <x v="1"/>
    <s v="Cooked Wonton  No Egg _x000a_+ Vegetable  HC  4 pcs"/>
    <s v="082S83I08004P00001"/>
    <s v="145g*8"/>
    <n v="8"/>
    <n v="4"/>
    <n v="7.4999999999999997E-3"/>
    <s v="HC"/>
    <s v="Salt"/>
    <s v="Regular"/>
    <n v="2300"/>
    <m/>
    <n v="2300"/>
    <n v="0"/>
    <n v="0"/>
    <m/>
    <m/>
    <m/>
    <m/>
    <m/>
    <m/>
  </r>
  <r>
    <s v="repack สวมวันผลิต"/>
    <x v="289"/>
    <d v="2024-10-31T00:00:00"/>
    <x v="0"/>
    <s v="Week42"/>
    <x v="9"/>
    <s v="DRY2400726"/>
    <s v="New Zealand"/>
    <s v="CPFNW"/>
    <s v="Lim Brothers"/>
    <s v="Minced ND+V+TY"/>
    <x v="1"/>
    <s v="Cooked Minced  ND No Egg with Pumpkin_x000a_+ Yu Choy Tomyum"/>
    <s v="082SRN708003P00001"/>
    <s v="302g*8"/>
    <n v="8"/>
    <n v="3"/>
    <n v="6.0000000000000001E-3"/>
    <s v="BK"/>
    <s v="Salt"/>
    <s v="TYA+CO"/>
    <n v="97"/>
    <m/>
    <n v="97"/>
    <n v="0"/>
    <n v="0"/>
    <m/>
    <m/>
    <m/>
    <s v="ผลิตสินค้าไว้ก่อน  เพราะ ซอส จะหมดอายุ 10/07/24  และให้สั่ง package ไว้เลย / แต่ชุดนี้ทาง CPFNW ขอสวมวันผลิตประมาณเดือน 10/2024  รัดสีเชือกแยก"/>
    <m/>
    <m/>
  </r>
  <r>
    <m/>
    <x v="289"/>
    <d v="2024-10-31T00:00:00"/>
    <x v="0"/>
    <s v="Week42"/>
    <x v="9"/>
    <s v="DRY2400726"/>
    <s v="New Zealand"/>
    <s v="CPFNW"/>
    <s v="Lim Brothers"/>
    <s v="Minced ND+V+TY"/>
    <x v="1"/>
    <s v="Cooked Minced  ND No Egg with Pumpkin_x000a_+ Yu Choy Tomyum"/>
    <s v="082SRN708003P00001"/>
    <s v="302g*8"/>
    <n v="8"/>
    <n v="3"/>
    <n v="6.0000000000000001E-3"/>
    <s v="BK"/>
    <s v="Salt"/>
    <s v="TYEX+CO"/>
    <n v="119"/>
    <m/>
    <n v="123.625"/>
    <n v="4.625"/>
    <n v="0"/>
    <m/>
    <m/>
    <m/>
    <s v="รัดสีเชือกแยก"/>
    <m/>
    <m/>
  </r>
  <r>
    <m/>
    <x v="289"/>
    <d v="2024-11-25T00:00:00"/>
    <x v="0"/>
    <s v="Week42"/>
    <x v="9"/>
    <s v="DRY2400733"/>
    <s v="BRUNEI"/>
    <s v="CPFNW"/>
    <s v="Ben Foods"/>
    <s v="Minced ND+V+TY"/>
    <x v="1"/>
    <s v="Cooked Minced  ND No Egg with Pumpkin_x000a_+ Yu Choy Tomyum"/>
    <s v="082SRB508003P00001"/>
    <s v="302g*8"/>
    <n v="8"/>
    <n v="3"/>
    <n v="6.0000000000000001E-3"/>
    <s v="BK"/>
    <s v="Salt"/>
    <s v="TYEX+CO"/>
    <n v="280"/>
    <m/>
    <n v="305.625"/>
    <n v="25.625"/>
    <n v="0"/>
    <m/>
    <m/>
    <m/>
    <m/>
    <m/>
    <m/>
  </r>
  <r>
    <m/>
    <x v="289"/>
    <d v="2024-10-29T00:00:00"/>
    <x v="0"/>
    <s v="Week42"/>
    <x v="9"/>
    <s v="DRY2400730"/>
    <s v="Denmark"/>
    <s v="CPFNW"/>
    <s v="CPF DENMARK"/>
    <s v="Minced ND+V+TY"/>
    <x v="1"/>
    <s v="Cooked Minced  ND No Egg with Pumpkin_x000a_+ Yu Choy Tomyum"/>
    <s v="082SRRE12003P00001"/>
    <s v="302g*12"/>
    <n v="12"/>
    <n v="3"/>
    <n v="6.0000000000000001E-3"/>
    <s v="BK"/>
    <s v="Salt"/>
    <s v="TYEX+CO"/>
    <n v="2520"/>
    <n v="2504"/>
    <n v="16"/>
    <n v="0"/>
    <n v="0"/>
    <m/>
    <m/>
    <m/>
    <s v="rema"/>
    <m/>
    <m/>
  </r>
  <r>
    <m/>
    <x v="290"/>
    <m/>
    <x v="0"/>
    <s v="Week42"/>
    <x v="9"/>
    <m/>
    <m/>
    <m/>
    <m/>
    <m/>
    <x v="0"/>
    <m/>
    <m/>
    <m/>
    <m/>
    <m/>
    <m/>
    <m/>
    <m/>
    <m/>
    <m/>
    <m/>
    <m/>
    <m/>
    <m/>
    <m/>
    <m/>
    <m/>
    <m/>
    <m/>
    <m/>
  </r>
  <r>
    <m/>
    <x v="291"/>
    <d v="2024-11-01T00:00:00"/>
    <x v="0"/>
    <s v="Week42"/>
    <x v="9"/>
    <s v="DRY240063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41"/>
    <n v="481"/>
    <n v="160"/>
    <n v="0"/>
    <n v="0"/>
    <m/>
    <m/>
    <m/>
    <m/>
    <m/>
    <m/>
  </r>
  <r>
    <m/>
    <x v="291"/>
    <d v="2024-11-01T00:00:00"/>
    <x v="0"/>
    <s v="Week42"/>
    <x v="9"/>
    <s v="DRY240064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632"/>
    <n v="160"/>
    <n v="0"/>
    <n v="0"/>
    <m/>
    <m/>
    <m/>
    <m/>
    <m/>
    <m/>
  </r>
  <r>
    <m/>
    <x v="291"/>
    <d v="2024-11-01T00:00:00"/>
    <x v="0"/>
    <s v="Week42"/>
    <x v="9"/>
    <s v="DRY240064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91"/>
    <d v="2024-11-01T00:00:00"/>
    <x v="0"/>
    <s v="Week42"/>
    <x v="9"/>
    <s v="DRY240064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632"/>
    <n v="160"/>
    <n v="0"/>
    <n v="0"/>
    <m/>
    <m/>
    <m/>
    <m/>
    <m/>
    <m/>
  </r>
  <r>
    <m/>
    <x v="291"/>
    <d v="2024-11-04T00:00:00"/>
    <x v="0"/>
    <s v="Week42"/>
    <x v="9"/>
    <s v="DRY240064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91"/>
    <d v="2024-11-04T00:00:00"/>
    <x v="0"/>
    <s v="Week42"/>
    <x v="9"/>
    <s v="DRY240064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84"/>
    <n v="635"/>
    <n v="149"/>
    <n v="0"/>
    <n v="0"/>
    <m/>
    <m/>
    <m/>
    <m/>
    <m/>
    <m/>
  </r>
  <r>
    <m/>
    <x v="292"/>
    <d v="2024-11-06T00:00:00"/>
    <x v="0"/>
    <s v="Week42"/>
    <x v="9"/>
    <s v="DRY2400635"/>
    <s v="SG"/>
    <s v="CPFNW"/>
    <s v="CPI SINGAPORE"/>
    <s v="Wonton ND+Kee Mao"/>
    <x v="1"/>
    <s v="Cooked Wonton Thai Spicy Pumpkin Noodles (Drunken Noodles)"/>
    <s v="082SJ3B24003P04001"/>
    <s v="250g*24"/>
    <n v="24"/>
    <n v="3"/>
    <n v="8.0000000000000002E-3"/>
    <s v="M"/>
    <s v="Salt"/>
    <s v="Kee Mao"/>
    <n v="420"/>
    <n v="420"/>
    <m/>
    <n v="0"/>
    <n v="0"/>
    <m/>
    <m/>
    <m/>
    <m/>
    <m/>
    <m/>
  </r>
  <r>
    <m/>
    <x v="292"/>
    <d v="2024-11-04T00:00:00"/>
    <x v="0"/>
    <s v="Week42"/>
    <x v="9"/>
    <s v="DRY2400471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1500"/>
    <m/>
    <n v="1500"/>
    <n v="0"/>
    <n v="0"/>
    <m/>
    <m/>
    <m/>
    <m/>
    <m/>
    <m/>
  </r>
  <r>
    <m/>
    <x v="292"/>
    <d v="2024-11-19T00:00:00"/>
    <x v="0"/>
    <s v="Week42"/>
    <x v="9"/>
    <s v="DRY2400756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400"/>
    <m/>
    <n v="400"/>
    <n v="0"/>
    <n v="0"/>
    <m/>
    <m/>
    <m/>
    <m/>
    <m/>
    <m/>
  </r>
  <r>
    <m/>
    <x v="292"/>
    <s v="11-2024"/>
    <x v="0"/>
    <s v="Week42"/>
    <x v="9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2911"/>
    <n v="2911"/>
    <m/>
    <n v="0"/>
    <n v="0"/>
    <m/>
    <m/>
    <m/>
    <s v="NEWPACKAGE"/>
    <m/>
    <m/>
  </r>
  <r>
    <m/>
    <x v="292"/>
    <s v="11.2024"/>
    <x v="0"/>
    <s v="Week42"/>
    <x v="9"/>
    <s v="ขายภายใน"/>
    <s v=".7-11"/>
    <s v="CPFGS"/>
    <s v="ซีพีเอฟ เทรดดิ้ง"/>
    <s v="Wonton"/>
    <x v="1"/>
    <s v="เกี๊ยวกุ้งทรัฟเฟิลซุปน้ำดำ CP 143g 7E"/>
    <s v="082S81A24005P0C001"/>
    <s v="143g*24"/>
    <n v="24"/>
    <n v="5"/>
    <n v="6.1999999999999998E-3"/>
    <s v="SS"/>
    <s v="STPP"/>
    <s v="น้ำดำ"/>
    <n v="2079"/>
    <n v="2079"/>
    <m/>
    <n v="0"/>
    <n v="0"/>
    <m/>
    <m/>
    <m/>
    <s v="ขาดซุปน้ำดำ  8900 ถ้วย"/>
    <m/>
    <m/>
  </r>
  <r>
    <m/>
    <x v="293"/>
    <m/>
    <x v="0"/>
    <s v="Week42"/>
    <x v="9"/>
    <m/>
    <m/>
    <m/>
    <m/>
    <m/>
    <x v="0"/>
    <m/>
    <m/>
    <m/>
    <m/>
    <m/>
    <m/>
    <m/>
    <m/>
    <m/>
    <m/>
    <m/>
    <m/>
    <m/>
    <m/>
    <m/>
    <m/>
    <m/>
    <m/>
    <m/>
    <m/>
  </r>
  <r>
    <s v="R"/>
    <x v="294"/>
    <s v="11-2024"/>
    <x v="0"/>
    <s v="Week43"/>
    <x v="9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184"/>
    <n v="184"/>
    <m/>
    <n v="0"/>
    <n v="0"/>
    <n v="0"/>
    <m/>
    <n v="0"/>
    <m/>
    <m/>
    <m/>
  </r>
  <r>
    <s v="R"/>
    <x v="294"/>
    <s v="11-2024"/>
    <x v="0"/>
    <s v="Week43"/>
    <x v="9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81"/>
    <n v="81"/>
    <m/>
    <n v="0"/>
    <n v="0"/>
    <n v="0"/>
    <m/>
    <n v="0"/>
    <m/>
    <m/>
    <m/>
  </r>
  <r>
    <s v="R"/>
    <x v="294"/>
    <s v="11-2024"/>
    <x v="0"/>
    <s v="Week43"/>
    <x v="9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82"/>
    <n v="82"/>
    <m/>
    <n v="0"/>
    <n v="0"/>
    <n v="0"/>
    <m/>
    <n v="0"/>
    <m/>
    <m/>
    <m/>
  </r>
  <r>
    <s v="R"/>
    <x v="294"/>
    <d v="2024-11-11T00:00:00"/>
    <x v="0"/>
    <s v="Week43"/>
    <x v="9"/>
    <s v="DRY2400651"/>
    <s v="Belgium"/>
    <s v="CPFNW"/>
    <s v="CPF EUROPE S.A."/>
    <s v="R-Wonton no egg"/>
    <x v="2"/>
    <s v="Raw Wonton 50 pcs"/>
    <s v="082I93I10050P02001"/>
    <s v="630g*10inner"/>
    <n v="10"/>
    <n v="50"/>
    <n v="8.1300000000000001E-3"/>
    <s v="M"/>
    <s v="Salt"/>
    <s v="ซุปซอง 5g."/>
    <n v="400"/>
    <n v="400"/>
    <m/>
    <n v="0"/>
    <n v="0"/>
    <n v="0"/>
    <n v="6"/>
    <n v="0"/>
    <m/>
    <m/>
    <m/>
  </r>
  <r>
    <s v="R"/>
    <x v="294"/>
    <d v="2024-11-04T00:00:00"/>
    <x v="0"/>
    <s v="Week43"/>
    <x v="9"/>
    <s v="DRY2400691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707"/>
    <n v="707"/>
    <m/>
    <n v="0"/>
    <n v="0"/>
    <n v="0"/>
    <n v="6"/>
    <n v="0"/>
    <m/>
    <m/>
    <m/>
  </r>
  <r>
    <s v="R"/>
    <x v="295"/>
    <d v="2024-11-06T00:00:00"/>
    <x v="0"/>
    <s v="Week43"/>
    <x v="9"/>
    <s v="DRY2400675"/>
    <s v="SG"/>
    <s v="CPFNW"/>
    <s v="CPI SINGAPORE"/>
    <s v="R-Minced egg past"/>
    <x v="2"/>
    <s v="Raw Minced Wonton 8 pcs"/>
    <s v="082ID3B18008P00001"/>
    <s v="90g*18in"/>
    <n v="18"/>
    <n v="8"/>
    <n v="6.0000000000000001E-3"/>
    <s v="BK"/>
    <s v="STPP"/>
    <s v="ซุปซอง 5g."/>
    <n v="800"/>
    <n v="800"/>
    <m/>
    <n v="0"/>
    <n v="0"/>
    <n v="0"/>
    <n v="2"/>
    <n v="0"/>
    <m/>
    <m/>
    <m/>
  </r>
  <r>
    <s v="R"/>
    <x v="295"/>
    <d v="2024-11-06T00:00:00"/>
    <x v="0"/>
    <s v="Week43"/>
    <x v="9"/>
    <s v="DRY2400675"/>
    <s v="SG"/>
    <s v="CPFNW"/>
    <s v="CPI SINGAPORE"/>
    <s v="R-Wonton egg past"/>
    <x v="2"/>
    <s v="Raw Wonton 8 pcs"/>
    <s v="082I93B20008P00001"/>
    <s v="194g*20in"/>
    <n v="20"/>
    <n v="8"/>
    <n v="1.4999999999999999E-2"/>
    <s v="JB"/>
    <s v="STPP"/>
    <s v="ซุปซอง 5g."/>
    <n v="1000"/>
    <n v="1000"/>
    <m/>
    <n v="0"/>
    <n v="0"/>
    <n v="0"/>
    <n v="2"/>
    <n v="0"/>
    <s v="ห่อแบบดิบ"/>
    <m/>
    <m/>
  </r>
  <r>
    <s v="R"/>
    <x v="295"/>
    <d v="2024-11-06T00:00:00"/>
    <x v="0"/>
    <s v="Week43"/>
    <x v="9"/>
    <s v="DRY2400675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1200"/>
    <m/>
    <n v="1200"/>
    <n v="0"/>
    <n v="0"/>
    <n v="0"/>
    <n v="2"/>
    <n v="0"/>
    <s v="ห่อแบบสุก"/>
    <m/>
    <m/>
  </r>
  <r>
    <m/>
    <x v="296"/>
    <m/>
    <x v="0"/>
    <s v="Week43"/>
    <x v="9"/>
    <m/>
    <m/>
    <m/>
    <m/>
    <m/>
    <x v="0"/>
    <m/>
    <m/>
    <m/>
    <m/>
    <m/>
    <m/>
    <m/>
    <m/>
    <m/>
    <m/>
    <m/>
    <m/>
    <m/>
    <m/>
    <m/>
    <m/>
    <m/>
    <m/>
    <m/>
    <m/>
  </r>
  <r>
    <m/>
    <x v="297"/>
    <s v="11-2024"/>
    <x v="0"/>
    <s v="Week43"/>
    <x v="9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4712"/>
    <n v="4712"/>
    <m/>
    <n v="0"/>
    <n v="0"/>
    <m/>
    <m/>
    <m/>
    <s v="NEWPACKAGE"/>
    <m/>
    <m/>
  </r>
  <r>
    <m/>
    <x v="297"/>
    <d v="2024-11-20T00:00:00"/>
    <x v="0"/>
    <s v="Week43"/>
    <x v="9"/>
    <s v="DRY2400611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579"/>
    <m/>
    <n v="2579"/>
    <n v="0"/>
    <n v="0"/>
    <m/>
    <m/>
    <m/>
    <m/>
    <m/>
    <m/>
  </r>
  <r>
    <m/>
    <x v="298"/>
    <d v="2024-10-30T00:00:00"/>
    <x v="0"/>
    <s v="Week43"/>
    <x v="9"/>
    <s v="DRY2400621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04"/>
    <n v="1204"/>
    <m/>
    <n v="0"/>
    <n v="0"/>
    <m/>
    <m/>
    <m/>
    <m/>
    <m/>
    <m/>
  </r>
  <r>
    <m/>
    <x v="298"/>
    <d v="2024-11-14T00:00:00"/>
    <x v="0"/>
    <s v="Week43"/>
    <x v="9"/>
    <s v="DRY2400622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m/>
    <m/>
    <m/>
  </r>
  <r>
    <m/>
    <x v="298"/>
    <d v="2024-11-14T00:00:00"/>
    <x v="0"/>
    <s v="Week43"/>
    <x v="9"/>
    <s v="DRY2400624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m/>
    <m/>
    <m/>
  </r>
  <r>
    <m/>
    <x v="298"/>
    <d v="2024-11-21T00:00:00"/>
    <x v="0"/>
    <s v="Week43"/>
    <x v="9"/>
    <s v="DRY2400623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9"/>
    <n v="19"/>
    <m/>
    <n v="0"/>
    <n v="0"/>
    <m/>
    <m/>
    <m/>
    <m/>
    <m/>
    <m/>
  </r>
  <r>
    <m/>
    <x v="298"/>
    <s v="11-2024"/>
    <x v="0"/>
    <s v="Week43"/>
    <x v="9"/>
    <s v="ขายภายใน"/>
    <s v=".7-11"/>
    <s v="CPFGS"/>
    <s v="ซีพีเอฟ เทรดดิ้ง"/>
    <s v="Wonton ND+V+TY"/>
    <x v="1"/>
    <s v="Cooked Wonton ND+ Vegetable  SS  3 pcs"/>
    <s v="082SJ1A12003P02001"/>
    <s v="211g*12"/>
    <n v="12"/>
    <n v="3"/>
    <n v="6.1999999999999998E-3"/>
    <s v="SS"/>
    <s v="STPP"/>
    <s v="TYNSF"/>
    <n v="686"/>
    <n v="667"/>
    <n v="31.083333333333332"/>
    <n v="12.083333333333371"/>
    <n v="0"/>
    <m/>
    <m/>
    <m/>
    <s v="ขั่นต่ำ 58,000 ถ้วย"/>
    <m/>
    <m/>
  </r>
  <r>
    <m/>
    <x v="299"/>
    <d v="2024-11-04T00:00:00"/>
    <x v="0"/>
    <s v="Week43"/>
    <x v="9"/>
    <s v="DRY240064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8"/>
    <n v="8"/>
    <m/>
    <n v="0"/>
    <n v="0"/>
    <m/>
    <m/>
    <m/>
    <m/>
    <m/>
    <m/>
  </r>
  <r>
    <m/>
    <x v="299"/>
    <d v="2024-11-04T00:00:00"/>
    <x v="0"/>
    <s v="Week43"/>
    <x v="9"/>
    <s v="DRY240064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632"/>
    <n v="160"/>
    <n v="0"/>
    <n v="0"/>
    <m/>
    <m/>
    <m/>
    <m/>
    <m/>
    <m/>
  </r>
  <r>
    <m/>
    <x v="299"/>
    <d v="2024-11-06T00:00:00"/>
    <x v="0"/>
    <s v="Week43"/>
    <x v="9"/>
    <s v="DRY240070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632"/>
    <n v="160"/>
    <n v="0"/>
    <n v="0"/>
    <m/>
    <m/>
    <m/>
    <m/>
    <m/>
    <m/>
  </r>
  <r>
    <m/>
    <x v="299"/>
    <d v="2024-11-06T00:00:00"/>
    <x v="0"/>
    <s v="Week43"/>
    <x v="9"/>
    <s v="DRY240070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99"/>
    <d v="2024-11-13T00:00:00"/>
    <x v="0"/>
    <s v="Week43"/>
    <x v="9"/>
    <s v="DRY240070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632"/>
    <n v="160"/>
    <n v="0"/>
    <n v="0"/>
    <m/>
    <m/>
    <m/>
    <m/>
    <m/>
    <m/>
  </r>
  <r>
    <m/>
    <x v="299"/>
    <d v="2024-11-13T00:00:00"/>
    <x v="0"/>
    <s v="Week43"/>
    <x v="9"/>
    <s v="DRY240070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299"/>
    <d v="2024-11-13T00:00:00"/>
    <x v="0"/>
    <s v="Week43"/>
    <x v="9"/>
    <s v="DRY240070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632"/>
    <n v="160"/>
    <n v="0"/>
    <n v="0"/>
    <m/>
    <m/>
    <m/>
    <m/>
    <m/>
    <m/>
  </r>
  <r>
    <m/>
    <x v="299"/>
    <d v="2024-11-13T00:00:00"/>
    <x v="0"/>
    <s v="Week43"/>
    <x v="9"/>
    <s v="DRY240070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08"/>
    <n v="108"/>
    <m/>
    <n v="0"/>
    <n v="0"/>
    <m/>
    <m/>
    <m/>
    <m/>
    <m/>
    <m/>
  </r>
  <r>
    <m/>
    <x v="300"/>
    <m/>
    <x v="0"/>
    <s v="Week43"/>
    <x v="9"/>
    <m/>
    <m/>
    <m/>
    <m/>
    <m/>
    <x v="0"/>
    <m/>
    <m/>
    <m/>
    <m/>
    <m/>
    <m/>
    <m/>
    <m/>
    <m/>
    <m/>
    <m/>
    <m/>
    <m/>
    <m/>
    <m/>
    <m/>
    <m/>
    <m/>
    <m/>
    <m/>
  </r>
  <r>
    <m/>
    <x v="301"/>
    <d v="2024-11-21T00:00:00"/>
    <x v="0"/>
    <s v="Week44"/>
    <x v="9"/>
    <s v="DRY2400623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69"/>
    <n v="1031"/>
    <n v="238"/>
    <n v="0"/>
    <n v="0"/>
    <m/>
    <m/>
    <m/>
    <m/>
    <m/>
    <m/>
  </r>
  <r>
    <m/>
    <x v="301"/>
    <d v="2024-11-07T00:00:00"/>
    <x v="0"/>
    <s v="Week44"/>
    <x v="9"/>
    <s v="DRY2400701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  <m/>
    <m/>
    <m/>
  </r>
  <r>
    <m/>
    <x v="301"/>
    <d v="2024-11-14T00:00:00"/>
    <x v="0"/>
    <s v="Week44"/>
    <x v="9"/>
    <s v="DRY2400702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42"/>
    <n v="1242"/>
    <m/>
    <n v="0"/>
    <n v="0"/>
    <m/>
    <m/>
    <m/>
    <m/>
    <m/>
    <m/>
  </r>
  <r>
    <m/>
    <x v="302"/>
    <d v="2024-11-12T00:00:00"/>
    <x v="0"/>
    <s v="Week44"/>
    <x v="9"/>
    <s v="DRY2400429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  <s v="ใช้ package ที่เป็น หมึกพิมพ์ใหม่"/>
    <m/>
    <m/>
  </r>
  <r>
    <m/>
    <x v="302"/>
    <d v="2024-11-12T00:00:00"/>
    <x v="0"/>
    <s v="Week44"/>
    <x v="9"/>
    <s v="DRY2400430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  <s v="ใช้ package ที่เป็น หมึกพิมพ์ใหม่"/>
    <m/>
    <m/>
  </r>
  <r>
    <m/>
    <x v="302"/>
    <d v="2024-11-19T00:00:00"/>
    <x v="0"/>
    <s v="Week44"/>
    <x v="9"/>
    <s v="DRY2400734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  <s v="ใช้ package ที่เป็น หมึกพิมพ์ใหม่"/>
    <m/>
    <m/>
  </r>
  <r>
    <m/>
    <x v="303"/>
    <d v="2024-11-19T00:00:00"/>
    <x v="0"/>
    <s v="Week44"/>
    <x v="9"/>
    <s v="DRY2400727"/>
    <s v="Malay"/>
    <s v="CPFNW"/>
    <s v="CPM Malaysia"/>
    <s v="Wonton"/>
    <x v="1"/>
    <s v="Cooked Wonton No Egg  "/>
    <s v="082S85I24005P01001"/>
    <s v="145g*24"/>
    <n v="24"/>
    <n v="5"/>
    <n v="8.0000000000000002E-3"/>
    <s v="M"/>
    <s v="STPP"/>
    <s v="Regular"/>
    <n v="1000"/>
    <n v="1000"/>
    <m/>
    <n v="0"/>
    <n v="0"/>
    <m/>
    <m/>
    <m/>
    <m/>
    <m/>
    <m/>
  </r>
  <r>
    <m/>
    <x v="303"/>
    <d v="2024-11-19T00:00:00"/>
    <x v="0"/>
    <s v="Week44"/>
    <x v="9"/>
    <s v="DRY2400727"/>
    <s v="Malay"/>
    <s v="CPFNW"/>
    <s v="CPM Malaysia"/>
    <s v="Wonton+TY"/>
    <x v="1"/>
    <s v="Cooked Wonton No Egg  TY"/>
    <s v="082S85I24005P02001"/>
    <s v="115g*24"/>
    <n v="24"/>
    <n v="5"/>
    <n v="8.0000000000000002E-3"/>
    <s v="M"/>
    <s v="STPP"/>
    <s v="TYTB3C 30G"/>
    <n v="1150"/>
    <n v="1150"/>
    <m/>
    <n v="0"/>
    <n v="0"/>
    <m/>
    <n v="1"/>
    <n v="0"/>
    <m/>
    <m/>
    <m/>
  </r>
  <r>
    <m/>
    <x v="303"/>
    <s v="11-2024"/>
    <x v="0"/>
    <s v="Week44"/>
    <x v="9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2362"/>
    <n v="2362"/>
    <m/>
    <n v="0"/>
    <n v="0"/>
    <m/>
    <m/>
    <m/>
    <s v="NEWPACKAGE"/>
    <m/>
    <m/>
  </r>
  <r>
    <m/>
    <x v="303"/>
    <s v="11-2024"/>
    <x v="0"/>
    <s v="Week44"/>
    <x v="9"/>
    <s v="ขายภายใน"/>
    <s v="MTFS"/>
    <s v="CPFGS"/>
    <s v="ซีพีเอฟ เทรดดิ้ง"/>
    <s v="Wonton"/>
    <x v="1"/>
    <s v="เกี๊ยวกุ้งทรัฟเฟิลซุปน้ำดำ CP 143g"/>
    <s v="082S83Q18005P07001"/>
    <s v="143g*18"/>
    <n v="18"/>
    <n v="5"/>
    <n v="6.1999999999999998E-3"/>
    <s v="SS"/>
    <s v="STPP"/>
    <s v="น้ำดำ"/>
    <n v="556"/>
    <n v="494"/>
    <n v="68.055555555555557"/>
    <n v="6.0555555555555429"/>
    <n v="0"/>
    <m/>
    <m/>
    <m/>
    <s v="ขาดซอส  5300  ถ้วย"/>
    <m/>
    <m/>
  </r>
  <r>
    <m/>
    <x v="303"/>
    <s v="11.2024"/>
    <x v="0"/>
    <s v="Week44"/>
    <x v="9"/>
    <s v="ขายภายใน"/>
    <s v=".7-11"/>
    <s v="CPFGS"/>
    <s v="ซีพีเอฟ เทรดดิ้ง"/>
    <s v="Wonton"/>
    <x v="1"/>
    <s v="เกี๊ยวกุ้งทรัฟเฟิลซุปน้ำดำ CP 143g 7E"/>
    <s v="082S81A24005P0C001"/>
    <s v="143g*24"/>
    <n v="24"/>
    <n v="5"/>
    <n v="6.1999999999999998E-3"/>
    <s v="SS"/>
    <s v="STPP"/>
    <s v="น้ำดำ"/>
    <n v="42"/>
    <n v="42"/>
    <m/>
    <n v="0"/>
    <n v="0"/>
    <m/>
    <m/>
    <m/>
    <s v="ขาดซุปน้ำดำ  8900 ถ้วย"/>
    <m/>
    <m/>
  </r>
  <r>
    <m/>
    <x v="303"/>
    <s v="11-2024"/>
    <x v="0"/>
    <s v="Week44"/>
    <x v="9"/>
    <s v="ขายภายใน"/>
    <s v=".7-11"/>
    <s v="CPFGS"/>
    <s v="ซีพีเอฟ เทรดดิ้ง"/>
    <s v="Wonton"/>
    <x v="1"/>
    <s v="เกี๊ยวกุ้งทรัฟเฟิลซุปน้ำดำ CP 143g 7E"/>
    <s v="082S81A24005P0C001"/>
    <s v="143g*24"/>
    <n v="24"/>
    <n v="5"/>
    <n v="6.1999999999999998E-3"/>
    <s v="SS"/>
    <s v="STPP"/>
    <s v="น้ำดำ"/>
    <n v="935"/>
    <n v="935"/>
    <m/>
    <n v="0"/>
    <n v="0"/>
    <m/>
    <m/>
    <m/>
    <m/>
    <m/>
    <m/>
  </r>
  <r>
    <s v="R"/>
    <x v="304"/>
    <d v="2024-11-10T00:00:00"/>
    <x v="0"/>
    <s v="Week44"/>
    <x v="9"/>
    <s v="KL2400023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162"/>
    <n v="246"/>
    <n v="0"/>
    <n v="0"/>
    <n v="0"/>
    <n v="6"/>
    <n v="0"/>
    <m/>
    <m/>
    <m/>
  </r>
  <r>
    <s v="R"/>
    <x v="304"/>
    <d v="2024-11-19T00:00:00"/>
    <x v="0"/>
    <s v="Week44"/>
    <x v="9"/>
    <s v="DRY2400756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  <m/>
    <m/>
    <m/>
  </r>
  <r>
    <s v="R"/>
    <x v="305"/>
    <d v="2024-11-13T00:00:00"/>
    <x v="0"/>
    <s v="Week44"/>
    <x v="10"/>
    <s v="KL2400025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m/>
    <m/>
  </r>
  <r>
    <s v="R"/>
    <x v="305"/>
    <d v="2024-12-04T00:00:00"/>
    <x v="0"/>
    <s v="Week44"/>
    <x v="10"/>
    <s v="DRY2400757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  <m/>
    <m/>
    <m/>
  </r>
  <r>
    <s v="R"/>
    <x v="306"/>
    <d v="2024-11-15T00:00:00"/>
    <x v="0"/>
    <s v="Week44"/>
    <x v="10"/>
    <s v="KL2400024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m/>
    <m/>
  </r>
  <r>
    <s v="R"/>
    <x v="306"/>
    <d v="2024-12-04T00:00:00"/>
    <x v="0"/>
    <s v="Week44"/>
    <x v="10"/>
    <s v="DRY2400758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00"/>
    <n v="7"/>
    <n v="93"/>
    <n v="0"/>
    <n v="0"/>
    <n v="0"/>
    <n v="6"/>
    <n v="0"/>
    <m/>
    <m/>
    <m/>
  </r>
  <r>
    <m/>
    <x v="307"/>
    <m/>
    <x v="0"/>
    <s v="Week44"/>
    <x v="10"/>
    <m/>
    <m/>
    <m/>
    <m/>
    <m/>
    <x v="0"/>
    <m/>
    <m/>
    <m/>
    <m/>
    <m/>
    <m/>
    <m/>
    <m/>
    <m/>
    <m/>
    <m/>
    <m/>
    <m/>
    <m/>
    <m/>
    <m/>
    <m/>
    <m/>
    <m/>
    <m/>
  </r>
  <r>
    <m/>
    <x v="308"/>
    <d v="2024-12-03T00:00:00"/>
    <x v="0"/>
    <s v="Week45"/>
    <x v="10"/>
    <s v="DRY2400678"/>
    <s v="SG"/>
    <s v="CPFNW"/>
    <s v="CPI Singapore"/>
    <s v="Wonton ND+V"/>
    <x v="1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500"/>
    <n v="500"/>
    <m/>
    <n v="0"/>
    <n v="0"/>
    <m/>
    <m/>
    <m/>
    <m/>
    <m/>
    <m/>
  </r>
  <r>
    <m/>
    <x v="308"/>
    <d v="2024-11-13T00:00:00"/>
    <x v="0"/>
    <s v="Week45"/>
    <x v="10"/>
    <s v="DRY240070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84"/>
    <n v="524"/>
    <n v="160"/>
    <n v="0"/>
    <n v="0"/>
    <m/>
    <m/>
    <m/>
    <m/>
    <m/>
    <m/>
  </r>
  <r>
    <m/>
    <x v="308"/>
    <d v="2024-11-13T00:00:00"/>
    <x v="0"/>
    <s v="Week45"/>
    <x v="10"/>
    <s v="DRY240071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08"/>
    <d v="2024-11-18T00:00:00"/>
    <x v="0"/>
    <s v="Week45"/>
    <x v="10"/>
    <s v="DRY240071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632"/>
    <n v="160"/>
    <n v="0"/>
    <n v="0"/>
    <m/>
    <m/>
    <m/>
    <m/>
    <m/>
    <m/>
  </r>
  <r>
    <m/>
    <x v="308"/>
    <d v="2024-11-20T00:00:00"/>
    <x v="0"/>
    <s v="Week45"/>
    <x v="10"/>
    <s v="DRY240071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11"/>
    <n v="411"/>
    <m/>
    <n v="0"/>
    <n v="0"/>
    <m/>
    <m/>
    <m/>
    <m/>
    <m/>
    <m/>
  </r>
  <r>
    <m/>
    <x v="308"/>
    <d v="2024-11-26T00:00:00"/>
    <x v="0"/>
    <s v="Week45"/>
    <x v="10"/>
    <s v="DRY2400689"/>
    <s v="Denmark"/>
    <s v="CPFNW"/>
    <s v="CPF DENMARK"/>
    <s v="Wonton ND+V+TY"/>
    <x v="1"/>
    <s v="Cooked Wonton ND No Egg with Pumpkin _x000a_+ Vegetable  HC  3 pcs tomyam"/>
    <s v="082SJKW08003P00001"/>
    <s v="309g*8"/>
    <n v="8"/>
    <n v="3"/>
    <n v="7.4999999999999997E-3"/>
    <s v="M"/>
    <s v="Salt"/>
    <s v="TYANSSG+CM"/>
    <n v="3500"/>
    <m/>
    <n v="3500"/>
    <n v="0"/>
    <n v="0"/>
    <m/>
    <n v="3.85E-2"/>
    <n v="0"/>
    <s v="ต้มยำสูตรลดเผ็ดลง 10 %"/>
    <m/>
    <m/>
  </r>
  <r>
    <m/>
    <x v="309"/>
    <d v="2024-11-20T00:00:00"/>
    <x v="0"/>
    <s v="Week45"/>
    <x v="10"/>
    <s v="DRY240071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81"/>
    <n v="381"/>
    <m/>
    <n v="0"/>
    <n v="0"/>
    <m/>
    <m/>
    <m/>
    <m/>
    <m/>
    <m/>
  </r>
  <r>
    <m/>
    <x v="309"/>
    <d v="2024-11-20T00:00:00"/>
    <x v="0"/>
    <s v="Week45"/>
    <x v="10"/>
    <s v="DRY240071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632"/>
    <n v="160"/>
    <n v="0"/>
    <n v="0"/>
    <m/>
    <m/>
    <m/>
    <m/>
    <m/>
    <m/>
  </r>
  <r>
    <m/>
    <x v="309"/>
    <d v="2024-11-20T00:00:00"/>
    <x v="0"/>
    <s v="Week45"/>
    <x v="10"/>
    <s v="DRY240071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09"/>
    <d v="2024-11-20T00:00:00"/>
    <x v="0"/>
    <s v="Week45"/>
    <x v="10"/>
    <s v="DRY240071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534"/>
    <n v="258"/>
    <n v="0"/>
    <n v="0"/>
    <m/>
    <m/>
    <m/>
    <m/>
    <m/>
    <m/>
  </r>
  <r>
    <m/>
    <x v="309"/>
    <d v="2024-11-25T00:00:00"/>
    <x v="0"/>
    <s v="Week45"/>
    <x v="10"/>
    <s v="DRY240071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48"/>
    <m/>
    <n v="348"/>
    <n v="0"/>
    <n v="0"/>
    <m/>
    <m/>
    <m/>
    <m/>
    <m/>
    <m/>
  </r>
  <r>
    <m/>
    <x v="309"/>
    <d v="2024-11-19T00:00:00"/>
    <x v="0"/>
    <s v="Week45"/>
    <x v="10"/>
    <s v="DRY2400756"/>
    <s v="USA"/>
    <s v="CPFNW"/>
    <s v="Bellisio Foods, Inc."/>
    <s v="Minced ND+V"/>
    <x v="1"/>
    <s v="Cooked Wonton ND No Egg with Pumpkin_x000a_+ Yu Choy Low sodium"/>
    <s v="082SRBW24005P01001"/>
    <s v="308g*4c*6in"/>
    <n v="24"/>
    <n v="5"/>
    <n v="6.0000000000000001E-3"/>
    <s v="BK"/>
    <s v="Salt"/>
    <s v="Y3"/>
    <n v="200"/>
    <m/>
    <n v="200"/>
    <n v="0"/>
    <n v="0"/>
    <m/>
    <m/>
    <m/>
    <s v="ขอใช้ผักแบบไม่ล้าง"/>
    <m/>
    <m/>
  </r>
  <r>
    <m/>
    <x v="309"/>
    <d v="2024-11-28T00:00:00"/>
    <x v="0"/>
    <s v="Week45"/>
    <x v="10"/>
    <s v="DRY2400731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+CO"/>
    <n v="924"/>
    <m/>
    <n v="932.66666666666663"/>
    <n v="8.6666666666666288"/>
    <n v="0"/>
    <m/>
    <m/>
    <m/>
    <m/>
    <m/>
    <m/>
  </r>
  <r>
    <s v="R"/>
    <x v="310"/>
    <d v="2024-11-14T00:00:00"/>
    <x v="0"/>
    <s v="Week45"/>
    <x v="10"/>
    <s v="DRY2400628"/>
    <s v="SG"/>
    <s v="CPFNW"/>
    <s v="CPI SINGAPORE"/>
    <s v="R-Wonton egg past"/>
    <x v="2"/>
    <s v="Raw Wonton 12 pcs with sesame"/>
    <s v="082I93B20012P02001"/>
    <s v="204g*20in"/>
    <n v="20"/>
    <n v="12"/>
    <n v="6.8100000000000001E-3"/>
    <s v="S"/>
    <s v="STPP"/>
    <s v=" sesame 30g"/>
    <n v="1200"/>
    <n v="1197"/>
    <n v="3"/>
    <n v="0"/>
    <n v="0"/>
    <n v="0"/>
    <n v="2"/>
    <n v="0"/>
    <s v="ห่อแบบดิบ"/>
    <m/>
    <m/>
  </r>
  <r>
    <s v="R"/>
    <x v="310"/>
    <d v="2024-11-27T00:00:00"/>
    <x v="0"/>
    <s v="Week45"/>
    <x v="10"/>
    <s v="DRY2400676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1021"/>
    <n v="438"/>
    <n v="583.1"/>
    <n v="0.10000000000002274"/>
    <n v="0"/>
    <n v="0"/>
    <n v="2"/>
    <n v="0"/>
    <s v="ห่อแบบสุก"/>
    <m/>
    <m/>
  </r>
  <r>
    <s v="R"/>
    <x v="311"/>
    <d v="2024-11-27T00:00:00"/>
    <x v="0"/>
    <s v="Week45"/>
    <x v="10"/>
    <s v="DRY2400676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1501"/>
    <n v="1214"/>
    <n v="287"/>
    <n v="0"/>
    <n v="0"/>
    <n v="0"/>
    <n v="2"/>
    <n v="0"/>
    <s v="ห่อแบบสุก"/>
    <m/>
    <m/>
  </r>
  <r>
    <s v="R"/>
    <x v="311"/>
    <d v="2024-12-04T00:00:00"/>
    <x v="0"/>
    <s v="Week45"/>
    <x v="10"/>
    <s v="KL2400031"/>
    <s v="China"/>
    <s v="China"/>
    <s v="Charoen Pokphand Import&amp;Export Trading (Shanghai) Co., Ltd"/>
    <s v="R-Wonton no egg"/>
    <x v="2"/>
    <s v="Raw Wonton 50 pcs"/>
    <s v="082I95J08050P03001"/>
    <s v="630g*8in"/>
    <n v="8"/>
    <n v="50"/>
    <n v="6.8100000000000001E-3"/>
    <s v="S"/>
    <s v="STPP"/>
    <s v="ซุปซอง 5g."/>
    <n v="400"/>
    <n v="399"/>
    <n v="1"/>
    <n v="0"/>
    <n v="0"/>
    <n v="0"/>
    <n v="6"/>
    <n v="0"/>
    <m/>
    <m/>
    <m/>
  </r>
  <r>
    <s v="R"/>
    <x v="311"/>
    <s v="11-2024"/>
    <x v="0"/>
    <s v="Week45"/>
    <x v="10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429"/>
    <n v="429"/>
    <m/>
    <n v="0"/>
    <n v="0"/>
    <n v="0"/>
    <m/>
    <n v="0"/>
    <m/>
    <m/>
    <m/>
  </r>
  <r>
    <s v="R"/>
    <x v="311"/>
    <s v="11-2024"/>
    <x v="0"/>
    <s v="Week45"/>
    <x v="10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201"/>
    <n v="201"/>
    <m/>
    <n v="0"/>
    <n v="0"/>
    <n v="0"/>
    <m/>
    <n v="0"/>
    <m/>
    <m/>
    <m/>
  </r>
  <r>
    <s v="R"/>
    <x v="312"/>
    <d v="2024-11-11T00:00:00"/>
    <x v="0"/>
    <s v="Week45"/>
    <x v="10"/>
    <s v="KL2400033"/>
    <s v="China"/>
    <s v="China"/>
    <s v="Charoen Pokphand Import&amp;Export Trading (Shanghai) Co., Ltd"/>
    <s v="R-Wonton no egg"/>
    <x v="2"/>
    <s v="Raw Wonton 12 pcs"/>
    <s v="082I95J20012P04001"/>
    <s v="144g*20in"/>
    <n v="20"/>
    <n v="12"/>
    <n v="6.8100000000000001E-3"/>
    <s v="S"/>
    <s v="STPP"/>
    <s v="ซุปซอง 5g."/>
    <n v="1386"/>
    <n v="1386"/>
    <m/>
    <n v="0"/>
    <n v="0"/>
    <n v="0"/>
    <n v="2"/>
    <n v="0"/>
    <m/>
    <m/>
    <m/>
  </r>
  <r>
    <s v="R"/>
    <x v="312"/>
    <d v="2024-12-04T00:00:00"/>
    <x v="0"/>
    <s v="Week45"/>
    <x v="10"/>
    <s v="KL2400031"/>
    <s v="China"/>
    <s v="China"/>
    <s v="Charoen Pokphand Import&amp;Export Trading (Shanghai) Co., Ltd"/>
    <s v="R-Wonton no egg"/>
    <x v="2"/>
    <s v="Raw Wonton 12 pcs"/>
    <s v="082I95J20012P04001"/>
    <s v="144g*20in"/>
    <n v="20"/>
    <n v="12"/>
    <n v="6.8100000000000001E-3"/>
    <s v="S"/>
    <s v="STPP"/>
    <s v="ซุปซอง 5g."/>
    <n v="780"/>
    <n v="176"/>
    <n v="604"/>
    <n v="0"/>
    <n v="0"/>
    <n v="0"/>
    <n v="2"/>
    <n v="0"/>
    <m/>
    <m/>
    <m/>
  </r>
  <r>
    <s v="R"/>
    <x v="312"/>
    <s v="11-2024"/>
    <x v="0"/>
    <s v="Week45"/>
    <x v="10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451"/>
    <n v="451"/>
    <m/>
    <n v="0"/>
    <n v="0"/>
    <n v="0"/>
    <m/>
    <n v="0"/>
    <m/>
    <m/>
    <m/>
  </r>
  <r>
    <m/>
    <x v="313"/>
    <d v="2024-11-26T00:00:00"/>
    <x v="0"/>
    <s v="Week45"/>
    <x v="10"/>
    <s v="DRY2400754"/>
    <s v="Netherlands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79"/>
    <n v="9.1388888888888893"/>
    <n v="0.13888888888891415"/>
    <n v="0"/>
    <m/>
    <m/>
    <m/>
    <s v="ใช้ package ที่เป็น หมึกพิมพ์ใหม่"/>
    <m/>
    <m/>
  </r>
  <r>
    <m/>
    <x v="313"/>
    <d v="2024-11-25T00:00:00"/>
    <x v="0"/>
    <s v="Week45"/>
    <x v="10"/>
    <s v="DRY240071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44"/>
    <n v="284"/>
    <n v="160"/>
    <n v="0"/>
    <n v="0"/>
    <m/>
    <m/>
    <m/>
    <m/>
    <m/>
    <m/>
  </r>
  <r>
    <m/>
    <x v="313"/>
    <d v="2024-11-27T00:00:00"/>
    <x v="0"/>
    <s v="Week45"/>
    <x v="10"/>
    <s v="DRY240071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13"/>
    <d v="2024-12-02T00:00:00"/>
    <x v="0"/>
    <s v="Week45"/>
    <x v="10"/>
    <s v="DRY240071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632"/>
    <n v="160"/>
    <n v="0"/>
    <n v="0"/>
    <m/>
    <m/>
    <m/>
    <m/>
    <m/>
    <m/>
  </r>
  <r>
    <m/>
    <x v="313"/>
    <d v="2024-12-02T00:00:00"/>
    <x v="0"/>
    <s v="Week45"/>
    <x v="10"/>
    <s v="DRY240071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13"/>
    <d v="2024-12-02T00:00:00"/>
    <x v="0"/>
    <s v="Week45"/>
    <x v="10"/>
    <s v="DRY240072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68"/>
    <n v="305"/>
    <n v="163"/>
    <n v="0"/>
    <n v="0"/>
    <m/>
    <m/>
    <m/>
    <m/>
    <m/>
    <m/>
  </r>
  <r>
    <m/>
    <x v="314"/>
    <m/>
    <x v="0"/>
    <s v="Week45"/>
    <x v="10"/>
    <m/>
    <m/>
    <m/>
    <m/>
    <m/>
    <x v="0"/>
    <m/>
    <m/>
    <m/>
    <m/>
    <m/>
    <m/>
    <m/>
    <m/>
    <m/>
    <m/>
    <m/>
    <m/>
    <m/>
    <m/>
    <m/>
    <m/>
    <m/>
    <m/>
    <m/>
    <m/>
  </r>
  <r>
    <m/>
    <x v="315"/>
    <d v="2024-11-26T00:00:00"/>
    <x v="0"/>
    <s v="Week46"/>
    <x v="10"/>
    <s v="DRY2400740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  <s v="ใช้ package ที่เป็น หมึกพิมพ์ใหม่"/>
    <m/>
    <m/>
  </r>
  <r>
    <m/>
    <x v="315"/>
    <d v="2024-11-26T00:00:00"/>
    <x v="0"/>
    <s v="Week46"/>
    <x v="10"/>
    <s v="DRY2400741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  <s v="ใช้ package ที่เป็น หมึกพิมพ์ใหม่"/>
    <m/>
    <m/>
  </r>
  <r>
    <m/>
    <x v="315"/>
    <d v="2024-11-28T00:00:00"/>
    <x v="0"/>
    <s v="Week46"/>
    <x v="10"/>
    <s v="DRY2400703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78"/>
    <n v="1288"/>
    <n v="12.777777777777779"/>
    <n v="22.777777777777828"/>
    <n v="0"/>
    <m/>
    <m/>
    <m/>
    <m/>
    <m/>
    <m/>
  </r>
  <r>
    <m/>
    <x v="316"/>
    <s v="11-2024"/>
    <x v="0"/>
    <s v="Week46"/>
    <x v="10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3713"/>
    <n v="3650"/>
    <n v="63"/>
    <n v="0"/>
    <n v="0"/>
    <m/>
    <m/>
    <m/>
    <m/>
    <m/>
    <m/>
  </r>
  <r>
    <m/>
    <x v="316"/>
    <d v="2024-11-19T00:00:00"/>
    <x v="0"/>
    <s v="Week46"/>
    <x v="10"/>
    <s v="DRY2400756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750"/>
    <n v="750"/>
    <m/>
    <n v="0"/>
    <n v="0"/>
    <m/>
    <m/>
    <m/>
    <s v="สำรองจาก  082SRBW08005P00000"/>
    <m/>
    <m/>
  </r>
  <r>
    <m/>
    <x v="316"/>
    <d v="2024-12-04T00:00:00"/>
    <x v="0"/>
    <s v="Week46"/>
    <x v="10"/>
    <s v="DRY2400757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700"/>
    <n v="700"/>
    <m/>
    <n v="0"/>
    <n v="0"/>
    <m/>
    <m/>
    <m/>
    <m/>
    <m/>
    <m/>
  </r>
  <r>
    <m/>
    <x v="316"/>
    <s v="12-2024"/>
    <x v="0"/>
    <s v="Week46"/>
    <x v="10"/>
    <s v="ขายภายใน"/>
    <s v="MTFS"/>
    <s v="CPFGS"/>
    <s v="ซีพีเอฟ เทรดดิ้ง"/>
    <s v="E+Wonton NDE"/>
    <x v="1"/>
    <s v="Cooked Wonton ND with egg V-Food"/>
    <s v="082SJ3Q12003P07001"/>
    <s v="226g*12"/>
    <n v="12"/>
    <n v="3"/>
    <n v="8.0000000000000002E-3"/>
    <s v="M"/>
    <s v="STPP"/>
    <s v="Regular"/>
    <n v="267"/>
    <n v="267"/>
    <m/>
    <n v="0"/>
    <n v="0"/>
    <m/>
    <m/>
    <m/>
    <m/>
    <m/>
    <m/>
  </r>
  <r>
    <m/>
    <x v="316"/>
    <s v="12-2024"/>
    <x v="0"/>
    <s v="Week46"/>
    <x v="10"/>
    <s v="ขายภายใน"/>
    <s v="MTFS"/>
    <s v="CPFGS"/>
    <s v="ซีพีเอฟ เทรดดิ้ง"/>
    <s v="E+Wonton NDE"/>
    <x v="1"/>
    <s v="Cooked Wonton ND with egg V-Food"/>
    <s v="082SJ3Q12003P07001"/>
    <s v="226g*12"/>
    <n v="12"/>
    <n v="3"/>
    <n v="8.0000000000000002E-3"/>
    <s v="M"/>
    <s v="STPP"/>
    <s v="Regular"/>
    <n v="148"/>
    <n v="156"/>
    <m/>
    <n v="8"/>
    <n v="0"/>
    <m/>
    <m/>
    <m/>
    <m/>
    <m/>
    <m/>
  </r>
  <r>
    <m/>
    <x v="316"/>
    <s v="12-2024"/>
    <x v="0"/>
    <s v="Week46"/>
    <x v="10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167"/>
    <n v="167"/>
    <m/>
    <n v="0"/>
    <n v="0"/>
    <m/>
    <m/>
    <m/>
    <m/>
    <m/>
    <m/>
  </r>
  <r>
    <m/>
    <x v="316"/>
    <s v="12-2024"/>
    <x v="0"/>
    <s v="Week46"/>
    <x v="10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145"/>
    <n v="165"/>
    <m/>
    <n v="20"/>
    <n v="0"/>
    <m/>
    <m/>
    <m/>
    <m/>
    <m/>
    <m/>
  </r>
  <r>
    <m/>
    <x v="316"/>
    <s v="11.2024"/>
    <x v="0"/>
    <s v="Week46"/>
    <x v="10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26"/>
    <n v="26"/>
    <m/>
    <n v="0"/>
    <n v="0"/>
    <m/>
    <m/>
    <m/>
    <m/>
    <m/>
    <m/>
  </r>
  <r>
    <m/>
    <x v="316"/>
    <s v="12-2024"/>
    <x v="0"/>
    <s v="Week46"/>
    <x v="10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73"/>
    <n v="73"/>
    <m/>
    <n v="0"/>
    <n v="0"/>
    <m/>
    <m/>
    <m/>
    <m/>
    <m/>
    <m/>
  </r>
  <r>
    <m/>
    <x v="316"/>
    <s v="12-2024"/>
    <x v="0"/>
    <s v="Week46"/>
    <x v="10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345"/>
    <n v="354"/>
    <m/>
    <n v="9"/>
    <n v="0"/>
    <m/>
    <m/>
    <m/>
    <m/>
    <m/>
    <m/>
  </r>
  <r>
    <m/>
    <x v="317"/>
    <s v="11-2024"/>
    <x v="0"/>
    <s v="Week46"/>
    <x v="10"/>
    <s v="ขายภายใน"/>
    <s v="MTFS"/>
    <s v="CPFGS"/>
    <s v="ซีพีเอฟ เทรดดิ้ง"/>
    <s v="Wonton"/>
    <x v="1"/>
    <s v="เกี๊ยวกุ้งทรัฟเฟิลซุปน้ำดำ CP 143g"/>
    <s v="082S83Q18005P07001"/>
    <s v="143g*18"/>
    <n v="18"/>
    <n v="5"/>
    <n v="6.1999999999999998E-3"/>
    <s v="SS"/>
    <s v="STPP"/>
    <s v="น้ำดำ"/>
    <n v="556"/>
    <n v="556"/>
    <m/>
    <n v="0"/>
    <n v="0"/>
    <m/>
    <m/>
    <m/>
    <m/>
    <m/>
    <m/>
  </r>
  <r>
    <m/>
    <x v="317"/>
    <s v="11-2024"/>
    <x v="0"/>
    <s v="Week46"/>
    <x v="10"/>
    <s v="ขายภายใน"/>
    <s v="MTFS"/>
    <s v="CPFGS"/>
    <s v="ซีพีเอฟ เทรดดิ้ง"/>
    <s v="Wonton"/>
    <x v="1"/>
    <s v="เกี๊ยวกุ้งทรัฟเฟิลซุปน้ำดำ CP 143g"/>
    <s v="082S83Q12005P07001"/>
    <s v="143g*12"/>
    <n v="12"/>
    <n v="5"/>
    <n v="6.1999999999999998E-3"/>
    <s v="SS"/>
    <s v="STPP"/>
    <s v="น้ำดำ"/>
    <n v="1959"/>
    <n v="1959"/>
    <m/>
    <n v="0"/>
    <n v="0"/>
    <m/>
    <m/>
    <m/>
    <m/>
    <m/>
    <m/>
  </r>
  <r>
    <m/>
    <x v="317"/>
    <s v="11-2024"/>
    <x v="0"/>
    <s v="Week46"/>
    <x v="10"/>
    <s v="ขายภายใน"/>
    <s v=".7-11"/>
    <s v="CPFGS"/>
    <s v="ซีพีเอฟ เทรดดิ้ง"/>
    <s v="Wonton"/>
    <x v="1"/>
    <s v="เกี๊ยวกุ้งทรัฟเฟิลซุปน้ำดำ CP 143g 7E"/>
    <s v="082S81A24005P0C001"/>
    <s v="143g*24"/>
    <n v="24"/>
    <n v="5"/>
    <n v="6.1999999999999998E-3"/>
    <s v="SS"/>
    <s v="STPP"/>
    <s v="น้ำดำ"/>
    <n v="1808"/>
    <n v="1808"/>
    <m/>
    <n v="0"/>
    <n v="0"/>
    <m/>
    <m/>
    <m/>
    <m/>
    <m/>
    <m/>
  </r>
  <r>
    <s v="add"/>
    <x v="317"/>
    <s v="11-2024"/>
    <x v="0"/>
    <s v="Week46"/>
    <x v="10"/>
    <s v="ขายภายใน"/>
    <s v=".7-11"/>
    <s v="CPFGS"/>
    <s v="ซีพีเอฟ เทรดดิ้ง"/>
    <s v="Wonton"/>
    <x v="1"/>
    <s v="เกี๊ยวกุ้งทรัฟเฟิลซุปน้ำดำ CP 143g 7E"/>
    <s v="082S81A24005P0C001"/>
    <s v="143g*24"/>
    <n v="24"/>
    <n v="5"/>
    <n v="6.1999999999999998E-3"/>
    <s v="SS"/>
    <s v="STPP"/>
    <s v="น้ำดำ"/>
    <n v="2674"/>
    <n v="2674"/>
    <m/>
    <n v="0"/>
    <n v="0"/>
    <m/>
    <m/>
    <m/>
    <m/>
    <m/>
    <m/>
  </r>
  <r>
    <m/>
    <x v="318"/>
    <d v="2024-11-19T00:00:00"/>
    <x v="0"/>
    <s v="Week46"/>
    <x v="10"/>
    <s v="136-24"/>
    <s v="ขายภายใน"/>
    <s v="CPFGS"/>
    <s v="บริษัท อินสยาม ฟู้ด แอนด์ เบฟเวอเรจ จำกัด"/>
    <s v="E+Wonton"/>
    <x v="1"/>
    <s v="Cooked Wonton Multipack  with Egg  270g"/>
    <s v="082S811AA005P00001"/>
    <s v="90g*100B"/>
    <n v="100"/>
    <n v="5"/>
    <n v="8.0000000000000002E-3"/>
    <s v="M"/>
    <s v="STPP"/>
    <s v="ซุปซอง 5g."/>
    <n v="32"/>
    <n v="32"/>
    <m/>
    <n v="0"/>
    <n v="0"/>
    <m/>
    <n v="1"/>
    <n v="0"/>
    <m/>
    <m/>
    <m/>
  </r>
  <r>
    <m/>
    <x v="318"/>
    <s v="11.2024"/>
    <x v="0"/>
    <s v="Week46"/>
    <x v="10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384"/>
    <n v="384"/>
    <m/>
    <n v="0"/>
    <n v="0"/>
    <m/>
    <n v="1"/>
    <n v="0"/>
    <m/>
    <m/>
    <m/>
  </r>
  <r>
    <m/>
    <x v="318"/>
    <s v="12-2024"/>
    <x v="0"/>
    <s v="Week46"/>
    <x v="10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350"/>
    <n v="350"/>
    <m/>
    <n v="0"/>
    <n v="0"/>
    <m/>
    <n v="1"/>
    <n v="0"/>
    <m/>
    <m/>
    <m/>
  </r>
  <r>
    <m/>
    <x v="318"/>
    <s v="12-2024"/>
    <x v="0"/>
    <s v="Week46"/>
    <x v="10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1226"/>
    <n v="1226"/>
    <m/>
    <n v="0"/>
    <n v="0"/>
    <m/>
    <n v="1"/>
    <n v="0"/>
    <m/>
    <m/>
    <m/>
  </r>
  <r>
    <m/>
    <x v="318"/>
    <s v="11.2024"/>
    <x v="0"/>
    <s v="Week46"/>
    <x v="10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2643"/>
    <n v="2643"/>
    <m/>
    <n v="0"/>
    <n v="0"/>
    <m/>
    <m/>
    <m/>
    <m/>
    <m/>
    <m/>
  </r>
  <r>
    <m/>
    <x v="318"/>
    <s v="12-2024"/>
    <x v="0"/>
    <s v="Week46"/>
    <x v="10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866"/>
    <n v="866"/>
    <m/>
    <n v="0"/>
    <n v="0"/>
    <m/>
    <m/>
    <m/>
    <m/>
    <m/>
    <m/>
  </r>
  <r>
    <s v="R&amp;D"/>
    <x v="318"/>
    <s v="11.2024"/>
    <x v="0"/>
    <s v="Week46"/>
    <x v="10"/>
    <s v="ขายภายใน"/>
    <s v="MTFS"/>
    <s v="CPFGS"/>
    <s v="ซีพีเอฟ เทรดดิ้ง"/>
    <s v="E+Wonton"/>
    <x v="1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m/>
    <m/>
    <m/>
    <m/>
    <m/>
    <m/>
  </r>
  <r>
    <s v="CP Laos"/>
    <x v="318"/>
    <d v="2024-11-25T00:00:00"/>
    <x v="0"/>
    <s v="Week46"/>
    <x v="10"/>
    <s v="LA001/2567"/>
    <s v="Laos"/>
    <s v="Laos"/>
    <s v="บริษัท ปิก้าเทรดดิ้ง จำกัด"/>
    <s v="E+Wonton"/>
    <x v="1"/>
    <s v="เกี๊ยวกุ้งจักรพรรดิ 12x145g."/>
    <s v="082S8L212005P00001"/>
    <s v="145g*12"/>
    <n v="12"/>
    <n v="5"/>
    <n v="8.0000000000000002E-3"/>
    <s v="M"/>
    <s v="STPP"/>
    <s v="Regular"/>
    <n v="80"/>
    <n v="80"/>
    <m/>
    <n v="0"/>
    <n v="0"/>
    <m/>
    <m/>
    <m/>
    <m/>
    <m/>
    <m/>
  </r>
  <r>
    <s v="CP Laos"/>
    <x v="318"/>
    <d v="2024-11-25T00:00:00"/>
    <x v="0"/>
    <s v="Week46"/>
    <x v="10"/>
    <s v="LA001/2567"/>
    <s v="Laos"/>
    <s v="Laos"/>
    <s v="บริษัท ปิก้าเทรดดิ้ง จำกัด"/>
    <s v="E+Wonton+หมาล่า"/>
    <x v="1"/>
    <s v="เกี๊ยวกุ้งจักรพรรดิ ซุปหม่าล่า 12x143g."/>
    <s v="082S8L212005P01001"/>
    <s v="143g*12"/>
    <n v="12"/>
    <n v="5"/>
    <n v="6.1999999999999998E-3"/>
    <s v="SS"/>
    <s v="STPP"/>
    <s v="หมาล่า"/>
    <n v="80"/>
    <n v="80"/>
    <m/>
    <n v="0"/>
    <n v="0"/>
    <m/>
    <m/>
    <m/>
    <m/>
    <m/>
    <m/>
  </r>
  <r>
    <m/>
    <x v="318"/>
    <s v="11.2024"/>
    <x v="0"/>
    <s v="Week46"/>
    <x v="10"/>
    <s v="ขายภายใน"/>
    <s v="MTFS"/>
    <s v="CPFGS"/>
    <s v="ซีพีเอฟ เทรดดิ้ง"/>
    <s v="E+Wonton+หมาล่า"/>
    <x v="1"/>
    <s v="เกี๊ยวกุ้งจักรพรรดิซุปหมาล่า (ตรา ซีพี)_MT"/>
    <s v="082S83Q18005P06001"/>
    <s v="143g*18"/>
    <n v="18"/>
    <n v="5"/>
    <n v="6.1999999999999998E-3"/>
    <s v="SS"/>
    <s v="STPP"/>
    <s v="หมาล่า"/>
    <n v="150"/>
    <n v="150"/>
    <m/>
    <n v="0"/>
    <n v="0"/>
    <m/>
    <m/>
    <m/>
    <m/>
    <m/>
    <m/>
  </r>
  <r>
    <m/>
    <x v="318"/>
    <s v="12-2024"/>
    <x v="0"/>
    <s v="Week46"/>
    <x v="10"/>
    <s v="ขายภายใน"/>
    <s v="MTFS"/>
    <s v="CPFGS"/>
    <s v="ซีพีเอฟ เทรดดิ้ง"/>
    <s v="E+Wonton+หมาล่า"/>
    <x v="1"/>
    <s v="เกี๊ยวกุ้งจักรพรรดิซุปหมาล่า (ตรา ซีพี)_MT"/>
    <s v="082S83Q18005P06001"/>
    <s v="143g*18"/>
    <n v="18"/>
    <n v="5"/>
    <n v="6.1999999999999998E-3"/>
    <s v="SS"/>
    <s v="STPP"/>
    <s v="หมาล่า"/>
    <n v="150"/>
    <n v="150"/>
    <m/>
    <n v="0"/>
    <n v="0"/>
    <m/>
    <m/>
    <m/>
    <m/>
    <m/>
    <m/>
  </r>
  <r>
    <m/>
    <x v="318"/>
    <s v="11.2024"/>
    <x v="0"/>
    <s v="Week46"/>
    <x v="10"/>
    <s v="ขายภายใน"/>
    <s v=".7-11"/>
    <s v="CPFGS"/>
    <s v="ซีพีเอฟ เทรดดิ้ง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53"/>
    <n v="53"/>
    <m/>
    <n v="0"/>
    <n v="0"/>
    <m/>
    <m/>
    <m/>
    <m/>
    <m/>
    <m/>
  </r>
  <r>
    <m/>
    <x v="318"/>
    <s v="12-2024"/>
    <x v="0"/>
    <s v="Week46"/>
    <x v="10"/>
    <s v="ขายภายใน"/>
    <s v=".7-11"/>
    <s v="CPFGS"/>
    <s v="ซีพีเอฟ เทรดดิ้ง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1314"/>
    <n v="1303"/>
    <n v="11"/>
    <n v="0"/>
    <n v="0"/>
    <m/>
    <m/>
    <m/>
    <m/>
    <m/>
    <m/>
  </r>
  <r>
    <s v="R"/>
    <x v="319"/>
    <d v="2024-11-27T00:00:00"/>
    <x v="0"/>
    <s v="Week46"/>
    <x v="10"/>
    <s v="DRY2400676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478"/>
    <n v="478"/>
    <m/>
    <n v="0"/>
    <n v="0"/>
    <n v="0"/>
    <n v="2"/>
    <n v="0"/>
    <s v="ห่อแบบสุก"/>
    <m/>
    <m/>
  </r>
  <r>
    <s v="R"/>
    <x v="319"/>
    <d v="2024-12-02T00:00:00"/>
    <x v="0"/>
    <s v="Week46"/>
    <x v="10"/>
    <s v="DRY2400692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1083"/>
    <n v="1083"/>
    <m/>
    <n v="0"/>
    <n v="0"/>
    <n v="0"/>
    <n v="6"/>
    <n v="0"/>
    <m/>
    <m/>
    <m/>
  </r>
  <r>
    <s v="R"/>
    <x v="320"/>
    <d v="2024-12-02T00:00:00"/>
    <x v="0"/>
    <s v="Week46"/>
    <x v="10"/>
    <s v="DRY2400692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973"/>
    <n v="973"/>
    <m/>
    <n v="0"/>
    <n v="0"/>
    <n v="0"/>
    <n v="6"/>
    <n v="0"/>
    <m/>
    <m/>
    <m/>
  </r>
  <r>
    <s v="R"/>
    <x v="320"/>
    <d v="2024-12-03T00:00:00"/>
    <x v="0"/>
    <s v="Week46"/>
    <x v="10"/>
    <s v="DRY2400678"/>
    <s v="SG"/>
    <s v="CPFNW"/>
    <s v="CPI SINGAPORE"/>
    <s v="R-Minced egg past"/>
    <x v="2"/>
    <s v="Raw Minced Wonton 8 pcs"/>
    <s v="082ID3B18008P00001"/>
    <s v="90g*18in"/>
    <n v="18"/>
    <n v="8"/>
    <n v="6.0000000000000001E-3"/>
    <s v="BK"/>
    <s v="STPP"/>
    <s v="ซุปซอง 5g."/>
    <n v="800"/>
    <n v="800"/>
    <m/>
    <n v="0"/>
    <n v="0"/>
    <n v="0"/>
    <n v="2"/>
    <n v="0"/>
    <m/>
    <m/>
    <m/>
  </r>
  <r>
    <m/>
    <x v="321"/>
    <m/>
    <x v="0"/>
    <s v="Week46"/>
    <x v="10"/>
    <m/>
    <m/>
    <m/>
    <m/>
    <m/>
    <x v="0"/>
    <m/>
    <m/>
    <m/>
    <m/>
    <m/>
    <m/>
    <m/>
    <m/>
    <m/>
    <m/>
    <m/>
    <m/>
    <m/>
    <m/>
    <m/>
    <m/>
    <m/>
    <m/>
    <m/>
    <m/>
  </r>
  <r>
    <m/>
    <x v="322"/>
    <d v="2024-11-20T00:00:00"/>
    <x v="0"/>
    <s v="Week47"/>
    <x v="10"/>
    <s v="DRY2400611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1"/>
    <n v="21"/>
    <m/>
    <n v="0"/>
    <n v="0"/>
    <m/>
    <m/>
    <m/>
    <m/>
    <m/>
    <m/>
  </r>
  <r>
    <m/>
    <x v="322"/>
    <d v="2024-12-19T00:00:00"/>
    <x v="0"/>
    <s v="Week47"/>
    <x v="10"/>
    <s v="DRY2400738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m/>
    <m/>
    <m/>
    <m/>
    <m/>
    <m/>
  </r>
  <r>
    <m/>
    <x v="322"/>
    <d v="2024-12-04T00:00:00"/>
    <x v="0"/>
    <s v="Week47"/>
    <x v="10"/>
    <s v="DRY2400758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800"/>
    <n v="729"/>
    <n v="71"/>
    <n v="0"/>
    <n v="0"/>
    <m/>
    <m/>
    <m/>
    <m/>
    <m/>
    <m/>
  </r>
  <r>
    <m/>
    <x v="322"/>
    <d v="2024-11-21T00:00:00"/>
    <x v="0"/>
    <s v="Week47"/>
    <x v="10"/>
    <s v="DRY2400699"/>
    <s v="New Zealand"/>
    <s v="CPFNW"/>
    <s v="Lim Brothers"/>
    <s v="Wonton ND+V"/>
    <x v="1"/>
    <s v="Cooked Wonton ND No Egg with Pumpkin_x000a_+ Yu Choy "/>
    <s v="082SJN736005P00001"/>
    <s v="308g*6c*6in"/>
    <n v="36"/>
    <n v="5"/>
    <n v="7.4999999999999997E-3"/>
    <s v="HC"/>
    <s v="Salt"/>
    <s v="Regular"/>
    <n v="472"/>
    <n v="472"/>
    <m/>
    <n v="0"/>
    <n v="0"/>
    <m/>
    <m/>
    <m/>
    <s v="การตลาดรับทราบเรื่อง 2 วันหมดอายุในตู้เดียวกัน"/>
    <m/>
    <m/>
  </r>
  <r>
    <m/>
    <x v="322"/>
    <d v="2024-12-12T00:00:00"/>
    <x v="0"/>
    <s v="Week47"/>
    <x v="10"/>
    <s v="DRY2400587"/>
    <s v="New Zealand"/>
    <s v="CPFNW"/>
    <s v="Lim Brothers"/>
    <s v="Wonton ND+V"/>
    <x v="1"/>
    <s v="Cooked Wonton ND No Egg with Pumpkin_x000a_+ Yu Choy "/>
    <s v="082SJN736005P00001"/>
    <s v="308g*6c*6in"/>
    <n v="36"/>
    <n v="5"/>
    <n v="7.4999999999999997E-3"/>
    <s v="HC"/>
    <s v="Salt"/>
    <s v="Regular"/>
    <n v="320"/>
    <n v="162"/>
    <n v="165.05555555555554"/>
    <n v="7.0555555555555429"/>
    <n v="0"/>
    <m/>
    <m/>
    <m/>
    <m/>
    <m/>
    <m/>
  </r>
  <r>
    <m/>
    <x v="322"/>
    <d v="2024-12-12T00:00:00"/>
    <x v="0"/>
    <s v="Week47"/>
    <x v="10"/>
    <s v="DRY2400735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01"/>
    <n v="91.805555555555557"/>
    <n v="0.80555555555554292"/>
    <n v="0"/>
    <m/>
    <m/>
    <m/>
    <m/>
    <m/>
    <m/>
  </r>
  <r>
    <m/>
    <x v="322"/>
    <d v="2024-12-14T00:00:00"/>
    <x v="0"/>
    <s v="Week47"/>
    <x v="10"/>
    <s v="DRY2400791"/>
    <s v="Germany"/>
    <s v="CPFNW"/>
    <s v=" CPF Distribution (under Paulsen Food)"/>
    <s v="Minced ND+V+TY"/>
    <x v="1"/>
    <s v="Cooked Minced  ND No Egg with Pumpkin_x000a_+ Yu Choy Tomyum"/>
    <s v="082SR3N12003P00001"/>
    <s v="302g*12"/>
    <n v="12"/>
    <n v="3"/>
    <n v="6.0000000000000001E-3"/>
    <s v="BK"/>
    <s v="Salt"/>
    <s v="TYEX+CO"/>
    <n v="2278"/>
    <m/>
    <n v="2298.0833333333335"/>
    <n v="20.083333333333485"/>
    <n v="0"/>
    <m/>
    <m/>
    <m/>
    <m/>
    <m/>
    <m/>
  </r>
  <r>
    <s v="R"/>
    <x v="323"/>
    <d v="2024-12-03T00:00:00"/>
    <x v="0"/>
    <s v="Week47"/>
    <x v="10"/>
    <s v="DRY2400678"/>
    <s v="SG"/>
    <s v="CPFNW"/>
    <s v="CPI SINGAPORE"/>
    <s v="R-Wonton egg past"/>
    <x v="2"/>
    <s v="Raw Wonton 8 pcs"/>
    <s v="082I93B20008P00001"/>
    <s v="194g*20in"/>
    <n v="20"/>
    <n v="8"/>
    <n v="1.4999999999999999E-2"/>
    <s v="JB"/>
    <s v="STPP"/>
    <s v="ซุปซอง 5g."/>
    <n v="708"/>
    <n v="692"/>
    <n v="16"/>
    <n v="0"/>
    <n v="0"/>
    <n v="0"/>
    <n v="2"/>
    <n v="0"/>
    <s v="ห่อแบบดิบ"/>
    <m/>
    <m/>
  </r>
  <r>
    <s v="R"/>
    <x v="323"/>
    <d v="2024-12-13T00:00:00"/>
    <x v="0"/>
    <s v="Week47"/>
    <x v="10"/>
    <s v="DRY2400686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1500"/>
    <n v="528"/>
    <n v="980"/>
    <n v="8"/>
    <n v="0"/>
    <n v="0"/>
    <n v="1"/>
    <n v="0"/>
    <m/>
    <m/>
    <m/>
  </r>
  <r>
    <s v="R"/>
    <x v="323"/>
    <d v="2024-12-13T00:00:00"/>
    <x v="0"/>
    <s v="Week47"/>
    <x v="10"/>
    <s v="DRY2400686"/>
    <s v="HK"/>
    <s v="CPFNW"/>
    <s v="CPM Hongkong"/>
    <s v="R-Minced egg past"/>
    <x v="2"/>
    <s v="Raw Minced Wonton 8 pcs"/>
    <s v="082ID3G18008P00001"/>
    <s v="90g*18in"/>
    <n v="18"/>
    <n v="8"/>
    <n v="6.0000000000000001E-3"/>
    <s v="BK"/>
    <s v="STPP"/>
    <s v="ซุปซอง 5g."/>
    <n v="300"/>
    <n v="300"/>
    <m/>
    <n v="0"/>
    <n v="0"/>
    <n v="0"/>
    <n v="2"/>
    <n v="0"/>
    <m/>
    <m/>
    <m/>
  </r>
  <r>
    <s v="R"/>
    <x v="323"/>
    <d v="2024-12-03T00:00:00"/>
    <x v="0"/>
    <s v="Week47"/>
    <x v="10"/>
    <s v="DRY2400677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688"/>
    <n v="250"/>
    <n v="438"/>
    <n v="0"/>
    <n v="0"/>
    <n v="0"/>
    <n v="2"/>
    <n v="0"/>
    <s v="ห่อแบบสุก"/>
    <m/>
    <m/>
  </r>
  <r>
    <s v="R"/>
    <x v="324"/>
    <d v="2024-12-03T00:00:00"/>
    <x v="0"/>
    <s v="Week47"/>
    <x v="10"/>
    <s v="DRY2400677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2312"/>
    <n v="1599"/>
    <n v="713"/>
    <n v="0"/>
    <n v="0"/>
    <n v="0"/>
    <n v="2"/>
    <n v="0"/>
    <s v="ห่อแบบสุก"/>
    <m/>
    <m/>
  </r>
  <r>
    <s v="R"/>
    <x v="324"/>
    <d v="2024-12-03T00:00:00"/>
    <x v="0"/>
    <s v="Week47"/>
    <x v="10"/>
    <s v="DRY2400678"/>
    <s v="SG"/>
    <s v="CPFNW"/>
    <s v="CPI SINGAPORE"/>
    <s v="R-Wonton egg past"/>
    <x v="2"/>
    <s v="Raw Wonton 8 pcs"/>
    <s v="082I93B20008P00001"/>
    <s v="194g*20in"/>
    <n v="20"/>
    <n v="8"/>
    <n v="1.4999999999999999E-2"/>
    <s v="JB"/>
    <s v="STPP"/>
    <s v="ซุปซอง 5g."/>
    <n v="292"/>
    <n v="292"/>
    <m/>
    <n v="0"/>
    <n v="0"/>
    <n v="0"/>
    <n v="2"/>
    <n v="0"/>
    <s v="ห่อแบบดิบ"/>
    <m/>
    <m/>
  </r>
  <r>
    <m/>
    <x v="325"/>
    <d v="2024-12-07T00:00:00"/>
    <x v="0"/>
    <s v="Week47"/>
    <x v="10"/>
    <s v="DRY2400742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  <s v="ใช้ package ที่เป็น หมึกพิมพ์ใหม่"/>
    <m/>
    <m/>
  </r>
  <r>
    <m/>
    <x v="325"/>
    <d v="2024-12-04T00:00:00"/>
    <x v="0"/>
    <s v="Week47"/>
    <x v="10"/>
    <s v="DRY2400757"/>
    <s v="USA"/>
    <s v="CPFNW"/>
    <s v="Bellisio Foods, Inc."/>
    <s v="Minced WT"/>
    <x v="1"/>
    <s v="Cooked Minced Wonton Soup No Egg"/>
    <s v="082SKBW36005P00001"/>
    <s v="145g*6c*6"/>
    <n v="36"/>
    <n v="5"/>
    <n v="6.0000000000000001E-3"/>
    <s v="BK"/>
    <s v="Salt"/>
    <s v="Regular"/>
    <n v="450"/>
    <n v="450"/>
    <m/>
    <n v="0"/>
    <n v="0"/>
    <m/>
    <m/>
    <m/>
    <m/>
    <m/>
    <m/>
  </r>
  <r>
    <m/>
    <x v="325"/>
    <d v="2024-12-04T00:00:00"/>
    <x v="0"/>
    <s v="Week47"/>
    <x v="10"/>
    <s v="DRY2400758"/>
    <s v="USA"/>
    <s v="CPFNW"/>
    <s v="Bellisio Foods, Inc."/>
    <s v="Minced WT"/>
    <x v="1"/>
    <s v="Cooked Minced Wonton Soup No Egg"/>
    <s v="082SKBW36005P00001"/>
    <s v="145g*6c*6"/>
    <n v="36"/>
    <n v="5"/>
    <n v="6.0000000000000001E-3"/>
    <s v="BK"/>
    <s v="Salt"/>
    <s v="Regular"/>
    <n v="300"/>
    <n v="300"/>
    <m/>
    <n v="0"/>
    <n v="0"/>
    <m/>
    <m/>
    <m/>
    <m/>
    <m/>
    <m/>
  </r>
  <r>
    <m/>
    <x v="325"/>
    <d v="2025-01-21T00:00:00"/>
    <x v="0"/>
    <s v="Week47"/>
    <x v="10"/>
    <s v="DRY2400774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400"/>
    <m/>
    <n v="420.5"/>
    <n v="20.5"/>
    <n v="0"/>
    <m/>
    <m/>
    <m/>
    <m/>
    <m/>
    <m/>
  </r>
  <r>
    <m/>
    <x v="325"/>
    <d v="2024-11-25T00:00:00"/>
    <x v="0"/>
    <s v="Week47"/>
    <x v="10"/>
    <s v="DRY2400733"/>
    <s v="BRUNEI"/>
    <s v="CPFNW"/>
    <s v="Ben Foods"/>
    <s v="Wonton"/>
    <x v="1"/>
    <s v="Cooked Wonton No Egg"/>
    <s v="082S8C324005P01001"/>
    <s v="145g*24"/>
    <n v="24"/>
    <n v="5"/>
    <n v="8.0000000000000002E-3"/>
    <s v="M"/>
    <s v="STPP"/>
    <s v="Regular"/>
    <n v="100"/>
    <n v="100"/>
    <m/>
    <n v="0"/>
    <n v="0"/>
    <m/>
    <m/>
    <m/>
    <m/>
    <m/>
    <m/>
  </r>
  <r>
    <m/>
    <x v="325"/>
    <d v="2024-11-25T00:00:00"/>
    <x v="0"/>
    <s v="Week47"/>
    <x v="10"/>
    <s v="DRY2400733"/>
    <s v="BRUNEI"/>
    <s v="CPFNW"/>
    <s v="Ben Foods"/>
    <s v="Wonton+TY"/>
    <x v="1"/>
    <s v="Cooked Wonton No Egg"/>
    <s v="082S8C324005P00001"/>
    <s v="115g*24"/>
    <n v="24"/>
    <n v="5"/>
    <n v="8.0000000000000002E-3"/>
    <s v="M"/>
    <s v="STPP"/>
    <s v="TYTB3C 30G"/>
    <n v="150"/>
    <n v="149"/>
    <n v="1"/>
    <n v="0"/>
    <n v="0"/>
    <m/>
    <n v="1"/>
    <n v="0"/>
    <m/>
    <m/>
    <m/>
  </r>
  <r>
    <m/>
    <x v="325"/>
    <d v="2024-12-03T00:00:00"/>
    <x v="0"/>
    <s v="Week47"/>
    <x v="10"/>
    <s v="DRY2400678"/>
    <s v="SG"/>
    <s v="CPFNW"/>
    <s v="CPI SINGAPORE"/>
    <s v="Wonton"/>
    <x v="1"/>
    <s v="Cooked Wonton No Egg"/>
    <s v="082S83B24005P07001"/>
    <s v="145g*24"/>
    <n v="24"/>
    <n v="5"/>
    <n v="8.0000000000000002E-3"/>
    <s v="M"/>
    <s v="STPP"/>
    <s v="Regular"/>
    <n v="500"/>
    <n v="500"/>
    <m/>
    <n v="0"/>
    <n v="0"/>
    <m/>
    <m/>
    <m/>
    <m/>
    <m/>
    <m/>
  </r>
  <r>
    <m/>
    <x v="325"/>
    <d v="2024-12-24T00:00:00"/>
    <x v="0"/>
    <s v="Week47"/>
    <x v="10"/>
    <s v="DRY2400728"/>
    <s v="Malay"/>
    <s v="CPFNW"/>
    <s v="CPM Malaysia"/>
    <s v="Wonton"/>
    <x v="1"/>
    <s v="Cooked Wonton No Egg  "/>
    <s v="082S85I24005P01001"/>
    <s v="145g*24"/>
    <n v="24"/>
    <n v="5"/>
    <n v="8.0000000000000002E-3"/>
    <s v="M"/>
    <s v="STPP"/>
    <s v="Regular"/>
    <n v="1150"/>
    <n v="1150"/>
    <n v="39.083333333333336"/>
    <n v="39.083333333333258"/>
    <n v="0"/>
    <m/>
    <m/>
    <m/>
    <m/>
    <m/>
    <m/>
  </r>
  <r>
    <m/>
    <x v="325"/>
    <d v="2024-12-24T00:00:00"/>
    <x v="0"/>
    <s v="Week47"/>
    <x v="10"/>
    <s v="DRY2400728"/>
    <s v="Malay"/>
    <s v="CPFNW"/>
    <s v="CPM Malaysia"/>
    <s v="Wonton+TY"/>
    <x v="1"/>
    <s v="Cooked Wonton No Egg  TY"/>
    <s v="082S85I24005P02001"/>
    <s v="115g*24"/>
    <n v="24"/>
    <n v="5"/>
    <n v="8.0000000000000002E-3"/>
    <s v="M"/>
    <s v="STPP"/>
    <s v="TYTB3C 30G"/>
    <n v="1000"/>
    <n v="1000"/>
    <n v="17.708333333333332"/>
    <n v="17.708333333333371"/>
    <n v="0"/>
    <m/>
    <n v="1"/>
    <n v="0"/>
    <m/>
    <m/>
    <m/>
  </r>
  <r>
    <m/>
    <x v="326"/>
    <d v="2024-12-03T00:00:00"/>
    <x v="0"/>
    <s v="Week47"/>
    <x v="10"/>
    <s v="DRY2400678"/>
    <s v="SG"/>
    <s v="CPFNW"/>
    <s v="CPI SINGAPORE"/>
    <s v="Wonton +TY"/>
    <x v="1"/>
    <s v="Cooked Wonton No Egg"/>
    <s v="082S83B24005P06001"/>
    <s v="115g*24"/>
    <n v="24"/>
    <n v="5"/>
    <n v="8.0000000000000002E-3"/>
    <s v="M"/>
    <s v="STPP"/>
    <s v="TYTB3C 30G"/>
    <n v="500"/>
    <n v="500"/>
    <n v="29.5"/>
    <n v="29.5"/>
    <n v="0"/>
    <m/>
    <n v="1"/>
    <n v="0"/>
    <m/>
    <m/>
    <m/>
  </r>
  <r>
    <m/>
    <x v="326"/>
    <d v="2024-12-04T00:00:00"/>
    <x v="0"/>
    <s v="Week47"/>
    <x v="10"/>
    <s v="DRY2400625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m/>
    <m/>
    <m/>
  </r>
  <r>
    <m/>
    <x v="326"/>
    <d v="2024-12-04T00:00:00"/>
    <x v="0"/>
    <s v="Week47"/>
    <x v="10"/>
    <s v="DRY2400626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78"/>
    <n v="10"/>
    <n v="0"/>
    <n v="0"/>
    <m/>
    <m/>
    <m/>
    <s v="รอเปลี่ยนNEWPACKAGE"/>
    <m/>
    <m/>
  </r>
  <r>
    <m/>
    <x v="326"/>
    <d v="2024-12-03T00:00:00"/>
    <x v="0"/>
    <s v="Week47"/>
    <x v="10"/>
    <s v="DRY2400755"/>
    <s v="Denmark"/>
    <s v="CPFNW"/>
    <s v="CPF DENMARK"/>
    <s v="Minced ND+V+TK"/>
    <x v="1"/>
    <s v="Cooked Minced  ND No Egg with Pumpkin_x000a_+ Yu Choy Tomyum"/>
    <s v="082SJKW08003P01001"/>
    <s v="302g*8"/>
    <n v="8"/>
    <n v="3"/>
    <n v="6.0000000000000001E-3"/>
    <s v="BK"/>
    <s v="Salt"/>
    <s v="Tomkha+CM"/>
    <n v="3500"/>
    <m/>
    <n v="3500"/>
    <n v="0"/>
    <n v="0"/>
    <m/>
    <m/>
    <m/>
    <s v="Newpackage330x330x234 mm.=2040+238"/>
    <m/>
    <m/>
  </r>
  <r>
    <m/>
    <x v="327"/>
    <d v="2024-12-12T00:00:00"/>
    <x v="0"/>
    <s v="Week47"/>
    <x v="10"/>
    <s v="DRY2400736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327"/>
    <d v="2024-12-19T00:00:00"/>
    <x v="0"/>
    <s v="Week47"/>
    <x v="10"/>
    <s v="DRY2400737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327"/>
    <d v="2024-12-09T00:00:00"/>
    <x v="0"/>
    <s v="Week47"/>
    <x v="10"/>
    <s v="DRY2400578"/>
    <s v="Spain"/>
    <s v="CPFNW"/>
    <s v="Mercadona"/>
    <s v="Wonton ND+V"/>
    <x v="1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16"/>
    <n v="4"/>
    <n v="0"/>
    <n v="0"/>
    <m/>
    <m/>
    <m/>
    <s v="รวบการผลิตให้เป็นวันเดียวกันตามความต้องการของลูกค้า"/>
    <m/>
    <m/>
  </r>
  <r>
    <m/>
    <x v="327"/>
    <d v="2024-12-19T00:00:00"/>
    <x v="0"/>
    <s v="Week47"/>
    <x v="10"/>
    <s v="DRY2400579"/>
    <s v="Spain"/>
    <s v="CPFNW"/>
    <s v="Mercadona"/>
    <s v="Wonton ND+V"/>
    <x v="1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  <s v="รวบการผลิตให้เป็นวันเดียวกันตามความต้องการของลูกค้า"/>
    <m/>
    <m/>
  </r>
  <r>
    <m/>
    <x v="327"/>
    <d v="2024-12-09T00:00:00"/>
    <x v="0"/>
    <s v="Week47"/>
    <x v="10"/>
    <s v="DRY2400773"/>
    <s v="Germany"/>
    <s v="CPFNW"/>
    <s v=" CPF Distribution (under Paulsen Food)"/>
    <s v="Wonton ND+V"/>
    <x v="1"/>
    <s v="Cooked Wonton ND No Egg with Pumpkin _x000a_+ Vegetable  HC  3 pcs"/>
    <s v="082SJ3N12003P01001"/>
    <s v="309g*12"/>
    <n v="12"/>
    <n v="3"/>
    <n v="7.4999999999999997E-3"/>
    <s v="HC"/>
    <s v="Salt"/>
    <s v="Regular"/>
    <n v="2278"/>
    <m/>
    <n v="2327"/>
    <n v="49"/>
    <n v="0"/>
    <m/>
    <m/>
    <m/>
    <s v="Newpackage  เปลี่ยน AW   330x330x234 mm.=2040+238"/>
    <m/>
    <m/>
  </r>
  <r>
    <m/>
    <x v="328"/>
    <m/>
    <x v="0"/>
    <s v="Week47"/>
    <x v="10"/>
    <m/>
    <m/>
    <m/>
    <m/>
    <m/>
    <x v="0"/>
    <m/>
    <m/>
    <m/>
    <m/>
    <m/>
    <m/>
    <m/>
    <m/>
    <m/>
    <m/>
    <m/>
    <m/>
    <m/>
    <m/>
    <m/>
    <m/>
    <m/>
    <m/>
    <m/>
    <m/>
  </r>
  <r>
    <m/>
    <x v="329"/>
    <d v="2024-12-02T00:00:00"/>
    <x v="0"/>
    <s v="Week48"/>
    <x v="10"/>
    <s v="DRY240072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24"/>
    <n v="324"/>
    <m/>
    <n v="0"/>
    <n v="0"/>
    <m/>
    <m/>
    <m/>
    <m/>
    <m/>
    <m/>
  </r>
  <r>
    <m/>
    <x v="329"/>
    <d v="2024-12-02T00:00:00"/>
    <x v="0"/>
    <s v="Week48"/>
    <x v="10"/>
    <s v="DRY240072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29"/>
    <d v="2024-12-02T00:00:00"/>
    <x v="0"/>
    <s v="Week48"/>
    <x v="10"/>
    <s v="DRY240072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29"/>
    <d v="2024-12-04T00:00:00"/>
    <x v="0"/>
    <s v="Week48"/>
    <x v="10"/>
    <s v="DRY240072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29"/>
    <d v="2024-12-04T00:00:00"/>
    <x v="0"/>
    <s v="Week48"/>
    <x v="10"/>
    <s v="DRY240072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29"/>
    <d v="2024-12-04T00:00:00"/>
    <x v="0"/>
    <s v="Week48"/>
    <x v="10"/>
    <s v="DRY240072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38"/>
    <n v="538"/>
    <m/>
    <n v="0"/>
    <n v="0"/>
    <m/>
    <m/>
    <m/>
    <m/>
    <m/>
    <m/>
  </r>
  <r>
    <m/>
    <x v="330"/>
    <d v="2024-12-04T00:00:00"/>
    <x v="0"/>
    <s v="Week48"/>
    <x v="10"/>
    <s v="DRY240072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54"/>
    <n v="254"/>
    <m/>
    <n v="0"/>
    <n v="0"/>
    <m/>
    <m/>
    <m/>
    <m/>
    <m/>
    <m/>
  </r>
  <r>
    <m/>
    <x v="330"/>
    <d v="2024-12-04T00:00:00"/>
    <x v="0"/>
    <s v="Week48"/>
    <x v="10"/>
    <s v="DRY240076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30"/>
    <d v="2024-12-04T00:00:00"/>
    <x v="0"/>
    <s v="Week48"/>
    <x v="10"/>
    <s v="DRY240076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30"/>
    <d v="2024-12-11T00:00:00"/>
    <x v="0"/>
    <s v="Week48"/>
    <x v="10"/>
    <s v="DRY240076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30"/>
    <d v="2024-12-11T00:00:00"/>
    <x v="0"/>
    <s v="Week48"/>
    <x v="10"/>
    <s v="DRY240076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30"/>
    <d v="2024-12-16T00:00:00"/>
    <x v="0"/>
    <s v="Week48"/>
    <x v="10"/>
    <s v="DRY240077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18"/>
    <n v="618"/>
    <m/>
    <n v="0"/>
    <n v="0"/>
    <m/>
    <m/>
    <m/>
    <m/>
    <m/>
    <m/>
  </r>
  <r>
    <s v="R"/>
    <x v="331"/>
    <d v="2024-12-04T00:00:00"/>
    <x v="0"/>
    <s v="Week48"/>
    <x v="10"/>
    <s v="KL2400034"/>
    <s v="China"/>
    <s v="China"/>
    <s v="Charoen Pokphand Import&amp;Export Trading (Shanghai) Co., Ltd"/>
    <s v="R-Wonton no egg"/>
    <x v="2"/>
    <s v="Raw Wonton 12 pcs"/>
    <s v="082I95J20012P04001"/>
    <s v="144g*20in"/>
    <n v="20"/>
    <n v="12"/>
    <n v="6.8100000000000001E-3"/>
    <s v="S"/>
    <s v="STPP"/>
    <s v="ซุปซอง 5g."/>
    <n v="1110"/>
    <n v="1110"/>
    <m/>
    <n v="0"/>
    <n v="0"/>
    <n v="0"/>
    <n v="2"/>
    <n v="0"/>
    <m/>
    <m/>
    <m/>
  </r>
  <r>
    <s v="R"/>
    <x v="331"/>
    <d v="2024-12-04T00:00:00"/>
    <x v="0"/>
    <s v="Week48"/>
    <x v="10"/>
    <s v="KL2400034"/>
    <s v="China"/>
    <s v="China"/>
    <s v="Charoen Pokphand Import&amp;Export Trading (Shanghai) Co., Ltd"/>
    <s v="R-Wonton no egg"/>
    <x v="2"/>
    <s v="Raw Wonton 50 pcs"/>
    <s v="082I95J08050P03001"/>
    <s v="630g*8in"/>
    <n v="8"/>
    <n v="50"/>
    <n v="6.8100000000000001E-3"/>
    <s v="S"/>
    <s v="STPP"/>
    <s v="ซุปซอง 5g."/>
    <n v="600"/>
    <n v="600"/>
    <m/>
    <n v="0"/>
    <n v="0"/>
    <n v="0"/>
    <n v="6"/>
    <n v="0"/>
    <m/>
    <m/>
    <m/>
  </r>
  <r>
    <s v="R"/>
    <x v="331"/>
    <s v="11-2024"/>
    <x v="0"/>
    <s v="Week48"/>
    <x v="10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6"/>
    <n v="6"/>
    <m/>
    <n v="0"/>
    <n v="0"/>
    <n v="0"/>
    <m/>
    <n v="0"/>
    <m/>
    <m/>
    <m/>
  </r>
  <r>
    <s v="R"/>
    <x v="331"/>
    <s v="12-2024"/>
    <x v="0"/>
    <s v="Week48"/>
    <x v="10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123"/>
    <n v="123"/>
    <m/>
    <n v="0"/>
    <n v="0"/>
    <n v="0"/>
    <m/>
    <n v="0"/>
    <m/>
    <m/>
    <m/>
  </r>
  <r>
    <s v="R"/>
    <x v="331"/>
    <s v="12-2024"/>
    <x v="0"/>
    <s v="Week48"/>
    <x v="10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109"/>
    <n v="109"/>
    <m/>
    <n v="0"/>
    <n v="0"/>
    <n v="0"/>
    <m/>
    <n v="0"/>
    <m/>
    <m/>
    <m/>
  </r>
  <r>
    <m/>
    <x v="332"/>
    <s v="12-2024"/>
    <x v="0"/>
    <s v="Week48"/>
    <x v="10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5384"/>
    <n v="5384"/>
    <m/>
    <n v="0"/>
    <n v="0"/>
    <m/>
    <m/>
    <m/>
    <m/>
    <m/>
    <m/>
  </r>
  <r>
    <m/>
    <x v="332"/>
    <s v="01-2024"/>
    <x v="0"/>
    <s v="Week48"/>
    <x v="10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81"/>
    <n v="81"/>
    <n v="29.25"/>
    <n v="29.25"/>
    <n v="0"/>
    <m/>
    <m/>
    <m/>
    <m/>
    <m/>
    <m/>
  </r>
  <r>
    <m/>
    <x v="332"/>
    <s v="12-2024"/>
    <x v="0"/>
    <s v="Week48"/>
    <x v="10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967"/>
    <n v="967"/>
    <m/>
    <n v="0"/>
    <n v="0"/>
    <m/>
    <n v="1"/>
    <n v="0"/>
    <m/>
    <m/>
    <m/>
  </r>
  <r>
    <m/>
    <x v="333"/>
    <d v="2024-12-16T00:00:00"/>
    <x v="0"/>
    <s v="Week48"/>
    <x v="10"/>
    <s v="DRY240077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74"/>
    <n v="174"/>
    <m/>
    <n v="0"/>
    <n v="0"/>
    <m/>
    <m/>
    <m/>
    <m/>
    <m/>
    <m/>
  </r>
  <r>
    <m/>
    <x v="333"/>
    <d v="2024-12-16T00:00:00"/>
    <x v="0"/>
    <s v="Week48"/>
    <x v="10"/>
    <s v="DRY240077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33"/>
    <d v="2024-12-16T00:00:00"/>
    <x v="0"/>
    <s v="Week48"/>
    <x v="10"/>
    <s v="DRY240077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33"/>
    <d v="2024-12-16T00:00:00"/>
    <x v="0"/>
    <s v="Week48"/>
    <x v="10"/>
    <s v="DRY240077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33"/>
    <d v="2024-12-18T00:00:00"/>
    <x v="0"/>
    <s v="Week48"/>
    <x v="10"/>
    <s v="DRY240078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33"/>
    <d v="2025-01-03T00:00:00"/>
    <x v="0"/>
    <s v="Week48"/>
    <x v="10"/>
    <s v="DRY240076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08"/>
    <n v="408"/>
    <m/>
    <n v="0"/>
    <n v="0"/>
    <m/>
    <m/>
    <m/>
    <m/>
    <m/>
    <m/>
  </r>
  <r>
    <m/>
    <x v="334"/>
    <d v="2025-01-03T00:00:00"/>
    <x v="0"/>
    <s v="Week48"/>
    <x v="10"/>
    <s v="DRY240076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84"/>
    <n v="384"/>
    <m/>
    <n v="0"/>
    <n v="0"/>
    <m/>
    <m/>
    <m/>
    <m/>
    <m/>
    <m/>
  </r>
  <r>
    <m/>
    <x v="334"/>
    <d v="2025-01-08T00:00:00"/>
    <x v="0"/>
    <s v="Week48"/>
    <x v="10"/>
    <s v="DRY240076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34"/>
    <d v="2025-01-08T00:00:00"/>
    <x v="0"/>
    <s v="Week48"/>
    <x v="10"/>
    <s v="DRY240078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34"/>
    <d v="2025-01-08T00:00:00"/>
    <x v="0"/>
    <s v="Week48"/>
    <x v="10"/>
    <s v="DRY240078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34"/>
    <d v="2025-02-01T00:00:00"/>
    <x v="0"/>
    <s v="Week48"/>
    <x v="10"/>
    <s v="DRY240078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13"/>
    <n v="113"/>
    <m/>
    <n v="0"/>
    <n v="0"/>
    <m/>
    <m/>
    <m/>
    <m/>
    <m/>
    <m/>
  </r>
  <r>
    <m/>
    <x v="334"/>
    <d v="2025-01-07T00:00:00"/>
    <x v="0"/>
    <s v="Week48"/>
    <x v="10"/>
    <s v="DRY2400759"/>
    <s v="Denmark"/>
    <s v="CPFNW"/>
    <s v="CPF DENMARK"/>
    <s v="Wonton ND+V+TY"/>
    <x v="1"/>
    <s v="Cooked Wonton ND No Egg with Pumpkin _x000a_+ Vegetable  HC  3 pcs tomyam"/>
    <s v="082SJKW08003P00001"/>
    <s v="309g*8"/>
    <n v="8"/>
    <n v="3"/>
    <n v="7.4999999999999997E-3"/>
    <s v="M"/>
    <s v="Salt"/>
    <s v="TYANSSG+CM"/>
    <n v="3500"/>
    <m/>
    <n v="3500"/>
    <n v="0"/>
    <n v="0"/>
    <m/>
    <n v="3.85E-2"/>
    <n v="0"/>
    <s v="ต้มยำสูตรลดเผ็ดลง 10 %"/>
    <m/>
    <m/>
  </r>
  <r>
    <m/>
    <x v="335"/>
    <m/>
    <x v="0"/>
    <s v="Week48"/>
    <x v="11"/>
    <m/>
    <m/>
    <m/>
    <m/>
    <m/>
    <x v="0"/>
    <m/>
    <m/>
    <m/>
    <m/>
    <m/>
    <m/>
    <m/>
    <m/>
    <m/>
    <m/>
    <m/>
    <m/>
    <m/>
    <m/>
    <m/>
    <m/>
    <m/>
    <m/>
    <m/>
    <m/>
  </r>
  <r>
    <s v="R"/>
    <x v="336"/>
    <d v="2024-12-14T00:00:00"/>
    <x v="0"/>
    <s v="Week49"/>
    <x v="11"/>
    <s v="KL2400029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m/>
    <m/>
  </r>
  <r>
    <s v="R"/>
    <x v="336"/>
    <d v="2024-12-09T00:00:00"/>
    <x v="0"/>
    <s v="Week49"/>
    <x v="11"/>
    <s v="KL2400039"/>
    <s v="China"/>
    <s v="China"/>
    <s v="Charoen Pokphand Import&amp;Export Trading (Shanghai) Co., Ltd"/>
    <s v="R-Wonton no egg"/>
    <x v="2"/>
    <s v="Raw Wonton 20 pcs"/>
    <s v="082I95J16020P00001"/>
    <s v="255g*16in"/>
    <n v="16"/>
    <n v="20"/>
    <n v="6.8100000000000001E-3"/>
    <s v="S"/>
    <s v="STPP"/>
    <s v="ซุปซอง 5g."/>
    <n v="301"/>
    <n v="301"/>
    <m/>
    <n v="0"/>
    <n v="0"/>
    <n v="0"/>
    <n v="3"/>
    <n v="0"/>
    <m/>
    <m/>
    <m/>
  </r>
  <r>
    <s v="R"/>
    <x v="337"/>
    <d v="2024-12-14T00:00:00"/>
    <x v="0"/>
    <s v="Week49"/>
    <x v="11"/>
    <s v="KL2400035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m/>
    <m/>
  </r>
  <r>
    <s v="R"/>
    <x v="337"/>
    <d v="2024-12-09T00:00:00"/>
    <x v="0"/>
    <s v="Week49"/>
    <x v="11"/>
    <s v="KL2400039"/>
    <s v="China"/>
    <s v="China"/>
    <s v="Charoen Pokphand Import&amp;Export Trading (Shanghai) Co., Ltd"/>
    <s v="R-Wonton no egg"/>
    <x v="2"/>
    <s v="Raw Wonton 20 pcs"/>
    <s v="082I95J16020P00001"/>
    <s v="255g*16in"/>
    <n v="16"/>
    <n v="20"/>
    <n v="6.8100000000000001E-3"/>
    <s v="S"/>
    <s v="STPP"/>
    <s v="ซุปซอง 5g."/>
    <n v="312"/>
    <n v="312"/>
    <m/>
    <n v="0"/>
    <n v="0"/>
    <n v="0"/>
    <n v="3"/>
    <n v="0"/>
    <m/>
    <m/>
    <m/>
  </r>
  <r>
    <s v="R"/>
    <x v="338"/>
    <d v="2024-12-19T00:00:00"/>
    <x v="0"/>
    <s v="Week49"/>
    <x v="11"/>
    <s v="KL2400036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m/>
    <m/>
  </r>
  <r>
    <s v="R"/>
    <x v="338"/>
    <d v="2024-12-09T00:00:00"/>
    <x v="0"/>
    <s v="Week49"/>
    <x v="11"/>
    <s v="KL2400039"/>
    <s v="China"/>
    <s v="China"/>
    <s v="Charoen Pokphand Import&amp;Export Trading (Shanghai) Co., Ltd"/>
    <s v="R-Wonton no egg"/>
    <x v="2"/>
    <s v="Raw Wonton 20 pcs"/>
    <s v="082I95J16020P00001"/>
    <s v="255g*16in"/>
    <n v="16"/>
    <n v="20"/>
    <n v="6.8100000000000001E-3"/>
    <s v="S"/>
    <s v="STPP"/>
    <s v="ซุปซอง 5g."/>
    <n v="297"/>
    <n v="297"/>
    <m/>
    <n v="0"/>
    <n v="0"/>
    <n v="0"/>
    <n v="3"/>
    <n v="0"/>
    <m/>
    <m/>
    <m/>
  </r>
  <r>
    <m/>
    <x v="339"/>
    <m/>
    <x v="0"/>
    <s v="Week49"/>
    <x v="11"/>
    <m/>
    <m/>
    <m/>
    <m/>
    <m/>
    <x v="0"/>
    <m/>
    <m/>
    <m/>
    <m/>
    <m/>
    <m/>
    <m/>
    <m/>
    <m/>
    <m/>
    <m/>
    <m/>
    <m/>
    <m/>
    <m/>
    <m/>
    <m/>
    <m/>
    <m/>
    <m/>
  </r>
  <r>
    <s v="STKตุษจีน"/>
    <x v="340"/>
    <s v="12-2024"/>
    <x v="0"/>
    <s v="Week49"/>
    <x v="11"/>
    <s v="ขายภายใน"/>
    <s v=".7-11"/>
    <s v="CPFGS"/>
    <s v="ถ้วยขาวพิมพ์ STKตุษจีน"/>
    <s v="Wonton"/>
    <x v="1"/>
    <s v="Cooked Wonton No Egg .7-11"/>
    <s v="082S81A24005P06001"/>
    <s v="130g*24"/>
    <n v="24"/>
    <n v="5"/>
    <n v="6.1999999999999998E-3"/>
    <s v="SS"/>
    <s v="STPP"/>
    <s v="Regular"/>
    <n v="3707"/>
    <n v="3707"/>
    <m/>
    <n v="0"/>
    <n v="0"/>
    <m/>
    <m/>
    <m/>
    <s v="STKตุษจีน"/>
    <m/>
    <m/>
  </r>
  <r>
    <m/>
    <x v="341"/>
    <d v="2025-01-07T00:00:00"/>
    <x v="0"/>
    <s v="Week49"/>
    <x v="11"/>
    <s v="DRY2400743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  <s v="ใช้ package ที่เป็น หมึกพิมพ์ใหม่"/>
    <m/>
    <m/>
  </r>
  <r>
    <s v="STKตุษจีน"/>
    <x v="341"/>
    <s v="12-2024"/>
    <x v="0"/>
    <s v="Week49"/>
    <x v="11"/>
    <s v="ขายภายใน"/>
    <s v=".7-11"/>
    <s v="CPFGS"/>
    <s v="ถ้วยขาวพิมพ์ STKตุษจีน"/>
    <s v="Wonton"/>
    <x v="1"/>
    <s v="Cooked Wonton No Egg .7-11"/>
    <s v="082S81A24005P06001"/>
    <s v="130g*24"/>
    <n v="24"/>
    <n v="5"/>
    <n v="6.1999999999999998E-3"/>
    <s v="SS"/>
    <s v="STPP"/>
    <s v="Regular"/>
    <n v="4684"/>
    <n v="4684"/>
    <m/>
    <n v="0"/>
    <n v="0"/>
    <m/>
    <m/>
    <m/>
    <s v="STKตุษจีน"/>
    <m/>
    <m/>
  </r>
  <r>
    <m/>
    <x v="342"/>
    <m/>
    <x v="0"/>
    <s v="Week49"/>
    <x v="11"/>
    <m/>
    <m/>
    <m/>
    <m/>
    <m/>
    <x v="0"/>
    <m/>
    <m/>
    <m/>
    <m/>
    <m/>
    <m/>
    <m/>
    <m/>
    <m/>
    <m/>
    <m/>
    <m/>
    <m/>
    <m/>
    <m/>
    <m/>
    <m/>
    <m/>
    <m/>
    <m/>
  </r>
  <r>
    <m/>
    <x v="343"/>
    <d v="2025-01-08T00:00:00"/>
    <x v="0"/>
    <s v="Week50"/>
    <x v="11"/>
    <s v="DRY2400675"/>
    <s v="SG"/>
    <s v="CPFNW"/>
    <s v="CPI SINGAPORE"/>
    <s v="Wonton ND+Kee Mao"/>
    <x v="1"/>
    <s v="Cooked Wonton Thai Spicy Pumpkin Noodles (Drunken Noodles)"/>
    <s v="082SJ3B24003P04001"/>
    <s v="250g*24"/>
    <n v="24"/>
    <n v="3"/>
    <n v="8.0000000000000002E-3"/>
    <s v="M"/>
    <s v="Salt"/>
    <s v="Kee Mao"/>
    <n v="420"/>
    <n v="420"/>
    <n v="3.8333333333333335"/>
    <n v="3.8333333333333144"/>
    <n v="0"/>
    <m/>
    <m/>
    <m/>
    <m/>
    <m/>
    <m/>
  </r>
  <r>
    <m/>
    <x v="343"/>
    <d v="2024-12-19T00:00:00"/>
    <x v="0"/>
    <s v="Week50"/>
    <x v="11"/>
    <s v="DRY2400627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s v="รอเปลี่ยนNEWPACKAGE"/>
    <m/>
    <m/>
  </r>
  <r>
    <m/>
    <x v="343"/>
    <d v="2024-12-26T00:00:00"/>
    <x v="0"/>
    <s v="Week50"/>
    <x v="11"/>
    <s v="DRY2400769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s v="รอเปลี่ยนNEWPACKAGE"/>
    <m/>
    <m/>
  </r>
  <r>
    <m/>
    <x v="343"/>
    <d v="2024-12-26T00:00:00"/>
    <x v="0"/>
    <s v="Week50"/>
    <x v="11"/>
    <s v="DRY2400770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s v="รอเปลี่ยนNEWPACKAGE"/>
    <m/>
    <m/>
  </r>
  <r>
    <m/>
    <x v="344"/>
    <d v="2025-01-07T00:00:00"/>
    <x v="0"/>
    <s v="Week50"/>
    <x v="11"/>
    <s v="DRY2400744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164"/>
    <n v="124"/>
    <n v="0"/>
    <n v="0"/>
    <m/>
    <m/>
    <m/>
    <s v="ใช้ package ที่เป็น หมึกพิมพ์ใหม่"/>
    <m/>
    <m/>
  </r>
  <r>
    <m/>
    <x v="344"/>
    <d v="2025-02-01T00:00:00"/>
    <x v="0"/>
    <s v="Week50"/>
    <x v="11"/>
    <s v="DRY240078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79"/>
    <n v="679"/>
    <m/>
    <n v="0"/>
    <n v="0"/>
    <m/>
    <m/>
    <m/>
    <m/>
    <m/>
    <m/>
  </r>
  <r>
    <m/>
    <x v="344"/>
    <d v="2025-02-01T00:00:00"/>
    <x v="0"/>
    <s v="Week50"/>
    <x v="11"/>
    <s v="DRY240078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44"/>
    <d v="2025-02-04T00:00:00"/>
    <x v="0"/>
    <s v="Week50"/>
    <x v="11"/>
    <s v="DRY240078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  <m/>
    <m/>
    <m/>
  </r>
  <r>
    <m/>
    <x v="344"/>
    <d v="2025-02-04T00:00:00"/>
    <x v="0"/>
    <s v="Week50"/>
    <x v="11"/>
    <s v="DRY240078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24"/>
    <n v="524"/>
    <m/>
    <n v="0"/>
    <n v="0"/>
    <m/>
    <m/>
    <m/>
    <m/>
    <m/>
    <m/>
  </r>
  <r>
    <s v="cp all audit"/>
    <x v="345"/>
    <s v="12-2024"/>
    <x v="0"/>
    <s v="Week50"/>
    <x v="11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3750"/>
    <n v="3750"/>
    <m/>
    <n v="0"/>
    <n v="0"/>
    <m/>
    <m/>
    <m/>
    <m/>
    <m/>
    <m/>
  </r>
  <r>
    <s v="cp all audit"/>
    <x v="345"/>
    <s v="01-2025"/>
    <x v="0"/>
    <s v="Week50"/>
    <x v="11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1736"/>
    <n v="1736"/>
    <m/>
    <n v="0"/>
    <n v="0"/>
    <m/>
    <m/>
    <m/>
    <m/>
    <m/>
    <m/>
  </r>
  <r>
    <m/>
    <x v="345"/>
    <d v="2025-01-08T00:00:00"/>
    <x v="0"/>
    <s v="Week50"/>
    <x v="11"/>
    <s v="DRY2400681"/>
    <s v="SG"/>
    <s v="CPFNW"/>
    <s v="CPI SINGAPORE"/>
    <s v="Wonton"/>
    <x v="1"/>
    <s v="Cooked Wonton No Egg"/>
    <s v="082S83B24005P07001"/>
    <s v="145g*24"/>
    <n v="24"/>
    <n v="5"/>
    <n v="8.0000000000000002E-3"/>
    <s v="M"/>
    <s v="STPP"/>
    <s v="Regular"/>
    <n v="500"/>
    <n v="500"/>
    <n v="26.166666666666668"/>
    <n v="26.166666666666629"/>
    <n v="0"/>
    <m/>
    <m/>
    <m/>
    <m/>
    <m/>
    <m/>
  </r>
  <r>
    <m/>
    <x v="346"/>
    <d v="2025-01-03T00:00:00"/>
    <x v="0"/>
    <s v="Week50"/>
    <x v="11"/>
    <s v="DRY2400739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m/>
    <m/>
    <m/>
    <s v="รอเปลี่ยนNEWPACKAGE"/>
    <m/>
    <m/>
  </r>
  <r>
    <m/>
    <x v="346"/>
    <d v="2025-01-28T00:00:00"/>
    <x v="0"/>
    <s v="Week50"/>
    <x v="11"/>
    <s v="DRY2400810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45.6666666666665"/>
    <n v="45.666666666666515"/>
    <n v="0"/>
    <m/>
    <m/>
    <m/>
    <s v="รอเปลี่ยนNEWPACKAGE"/>
    <m/>
    <m/>
  </r>
  <r>
    <m/>
    <x v="346"/>
    <d v="2025-01-08T00:00:00"/>
    <x v="0"/>
    <s v="Week50"/>
    <x v="11"/>
    <s v="DRY2400681"/>
    <s v="SG"/>
    <s v="CPFNW"/>
    <s v="CPI Singapore"/>
    <s v="Wonton ND+V"/>
    <x v="1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500"/>
    <n v="500"/>
    <n v="7.541666666666667"/>
    <n v="7.5416666666666856"/>
    <n v="0"/>
    <m/>
    <m/>
    <m/>
    <m/>
    <m/>
    <m/>
  </r>
  <r>
    <s v="R"/>
    <x v="347"/>
    <d v="2024-12-26T00:00:00"/>
    <x v="0"/>
    <s v="Week50"/>
    <x v="11"/>
    <s v="DRY2400771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1282"/>
    <n v="1086"/>
    <n v="196"/>
    <n v="0"/>
    <n v="0"/>
    <n v="0"/>
    <n v="2"/>
    <n v="0"/>
    <s v="ใช้ package new"/>
    <m/>
    <m/>
  </r>
  <r>
    <s v="R"/>
    <x v="348"/>
    <d v="2024-12-26T00:00:00"/>
    <x v="0"/>
    <s v="Week50"/>
    <x v="11"/>
    <s v="DRY2400771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342"/>
    <n v="244"/>
    <n v="98"/>
    <n v="0"/>
    <n v="0"/>
    <n v="0"/>
    <n v="2"/>
    <n v="0"/>
    <s v="ใช้ package new"/>
    <m/>
    <m/>
  </r>
  <r>
    <s v="R"/>
    <x v="348"/>
    <d v="2025-01-04T00:00:00"/>
    <x v="0"/>
    <s v="Week50"/>
    <x v="11"/>
    <s v="DRY2400680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1803"/>
    <n v="1278"/>
    <n v="525"/>
    <n v="0"/>
    <n v="0"/>
    <n v="0"/>
    <n v="2"/>
    <n v="0"/>
    <s v="ห่อแบบสุก"/>
    <m/>
    <m/>
  </r>
  <r>
    <m/>
    <x v="349"/>
    <m/>
    <x v="0"/>
    <s v="Week50"/>
    <x v="11"/>
    <m/>
    <m/>
    <m/>
    <m/>
    <m/>
    <x v="0"/>
    <m/>
    <m/>
    <m/>
    <m/>
    <m/>
    <m/>
    <m/>
    <m/>
    <m/>
    <m/>
    <m/>
    <m/>
    <m/>
    <m/>
    <m/>
    <m/>
    <m/>
    <m/>
    <m/>
    <m/>
  </r>
  <r>
    <m/>
    <x v="350"/>
    <d v="2025-01-21T00:00:00"/>
    <x v="0"/>
    <s v="Week51"/>
    <x v="11"/>
    <s v="DRY2400774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750"/>
    <n v="750"/>
    <n v="15.291666666666666"/>
    <n v="15.291666666666629"/>
    <n v="0"/>
    <m/>
    <m/>
    <m/>
    <m/>
    <m/>
    <m/>
  </r>
  <r>
    <m/>
    <x v="350"/>
    <d v="2024-12-28T00:00:00"/>
    <x v="0"/>
    <s v="Week51"/>
    <x v="11"/>
    <s v="DRY2400432"/>
    <s v="Korea"/>
    <s v="CPFNW"/>
    <s v="Emart"/>
    <s v="Wonton ND"/>
    <x v="1"/>
    <s v="Cooked Wonton ND No Egg with Pumpkin_x000a_"/>
    <s v="082SJEJ36004P00001"/>
    <s v="239g*6c*6in"/>
    <n v="36"/>
    <n v="4"/>
    <n v="7.4999999999999997E-3"/>
    <s v="M"/>
    <s v="Salt"/>
    <s v="Regular"/>
    <n v="874"/>
    <n v="874"/>
    <n v="26.805555555555557"/>
    <n v="26.805555555555543"/>
    <n v="0"/>
    <m/>
    <m/>
    <m/>
    <s v="R/M ต้องตรวจผลก่อนการนำมาผลิต"/>
    <m/>
    <m/>
  </r>
  <r>
    <m/>
    <x v="350"/>
    <d v="2024-12-23T00:00:00"/>
    <x v="0"/>
    <s v="Week51"/>
    <x v="11"/>
    <s v="DRY2400802"/>
    <s v="UK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n v="924"/>
    <m/>
    <n v="0"/>
    <n v="0"/>
    <m/>
    <m/>
    <m/>
    <m/>
    <m/>
    <m/>
  </r>
  <r>
    <m/>
    <x v="350"/>
    <d v="2024-12-23T00:00:00"/>
    <x v="0"/>
    <s v="Week51"/>
    <x v="11"/>
    <s v="DRY2400803"/>
    <s v="UK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n v="924"/>
    <m/>
    <n v="0"/>
    <n v="0"/>
    <m/>
    <m/>
    <m/>
    <m/>
    <m/>
    <m/>
  </r>
  <r>
    <m/>
    <x v="350"/>
    <d v="2024-12-23T00:00:00"/>
    <x v="0"/>
    <s v="Week51"/>
    <x v="11"/>
    <s v="DRY2400808"/>
    <s v="Netherlands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n v="384"/>
    <n v="540"/>
    <n v="0"/>
    <n v="0"/>
    <m/>
    <m/>
    <m/>
    <s v="NEWPACKAGE"/>
    <m/>
    <m/>
  </r>
  <r>
    <s v="repack"/>
    <x v="351"/>
    <d v="2024-12-25T00:00:00"/>
    <x v="0"/>
    <s v="Week51"/>
    <x v="11"/>
    <s v="KL2400042"/>
    <s v="China"/>
    <s v="China"/>
    <s v="Charoen Pokphand Import&amp;Export Trading (Shanghai) Co., Ltd"/>
    <s v="Wonton+TY"/>
    <x v="1"/>
    <s v="Wonton Soup  (Enriched wonton sheet)"/>
    <s v="082S85J36005P00001"/>
    <s v="147g*6c*6in"/>
    <n v="36"/>
    <n v="5"/>
    <n v="7.4999999999999997E-3"/>
    <s v="M"/>
    <s v="Salt"/>
    <s v="TYEX+CO"/>
    <n v="60"/>
    <m/>
    <n v="60"/>
    <n v="0"/>
    <n v="0"/>
    <m/>
    <m/>
    <m/>
    <m/>
    <m/>
    <m/>
  </r>
  <r>
    <m/>
    <x v="351"/>
    <d v="2025-01-03T00:00:00"/>
    <x v="0"/>
    <s v="Week51"/>
    <x v="11"/>
    <s v="DRY2400794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s v="รอเปลี่ยนNEWPACKAGE"/>
    <m/>
    <m/>
  </r>
  <r>
    <m/>
    <x v="351"/>
    <d v="2025-01-03T00:00:00"/>
    <x v="0"/>
    <s v="Week51"/>
    <x v="11"/>
    <s v="DRY2400795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27"/>
    <n v="27"/>
    <m/>
    <n v="0"/>
    <n v="0"/>
    <m/>
    <m/>
    <m/>
    <s v="รอเปลี่ยนNEWPACKAGE"/>
    <m/>
    <m/>
  </r>
  <r>
    <m/>
    <x v="351"/>
    <d v="2025-01-14T00:00:00"/>
    <x v="0"/>
    <s v="Week51"/>
    <x v="11"/>
    <s v="DRY2400580"/>
    <s v="Spain"/>
    <s v="CPFNW"/>
    <s v="Mercadona"/>
    <s v="Wonton ND+V"/>
    <x v="1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  <s v="รวบการผลิตให้เป็นวันเดียวกันตามความต้องการของลูกค้า"/>
    <m/>
    <m/>
  </r>
  <r>
    <m/>
    <x v="351"/>
    <d v="2025-01-07T00:00:00"/>
    <x v="0"/>
    <s v="Week51"/>
    <x v="11"/>
    <s v="DRY2400760"/>
    <s v="Denmark"/>
    <s v="CPFNW"/>
    <s v="CPF DENMARK"/>
    <s v="Minced ND+V+TK"/>
    <x v="1"/>
    <s v="Cooked Minced  ND No Egg with Pumpkin_x000a_+ Yu Choy Tomyum"/>
    <s v="082SJKW08003P01001"/>
    <s v="302g*8"/>
    <n v="8"/>
    <n v="3"/>
    <n v="6.0000000000000001E-3"/>
    <s v="BK"/>
    <s v="Salt"/>
    <s v="Tomkha+CM"/>
    <n v="3500"/>
    <m/>
    <n v="3565.125"/>
    <n v="65.125"/>
    <n v="0"/>
    <m/>
    <m/>
    <m/>
    <s v="Newpackage330x330x234 mm.=2040+238"/>
    <m/>
    <m/>
  </r>
  <r>
    <m/>
    <x v="352"/>
    <s v="12-2024"/>
    <x v="0"/>
    <s v="Week51"/>
    <x v="11"/>
    <s v="ขายภายใน"/>
    <s v="MTFS"/>
    <s v="CPFGS"/>
    <s v="ซีพีเอฟ เทรดดิ้ง"/>
    <s v="E+Wonton NDE"/>
    <x v="1"/>
    <s v="Cooked Wonton ND with egg V-Food"/>
    <s v="082SJ3Q12003P07001"/>
    <s v="226g*12"/>
    <n v="12"/>
    <n v="3"/>
    <n v="8.0000000000000002E-3"/>
    <s v="M"/>
    <s v="STPP"/>
    <s v="Regular"/>
    <n v="342"/>
    <n v="342"/>
    <m/>
    <n v="0"/>
    <n v="0"/>
    <m/>
    <m/>
    <m/>
    <m/>
    <m/>
    <m/>
  </r>
  <r>
    <m/>
    <x v="352"/>
    <s v="01-2025"/>
    <x v="0"/>
    <s v="Week51"/>
    <x v="11"/>
    <s v="ขายภายใน"/>
    <s v="MTFS"/>
    <s v="CPFGS"/>
    <s v="ซีพีเอฟ เทรดดิ้ง"/>
    <s v="E+Wonton NDE"/>
    <x v="1"/>
    <s v="Cooked Wonton ND with egg V-Food"/>
    <s v="082SJ3Q12003P07001"/>
    <s v="226g*12"/>
    <n v="12"/>
    <n v="3"/>
    <n v="8.0000000000000002E-3"/>
    <s v="M"/>
    <s v="STPP"/>
    <s v="Regular"/>
    <n v="125"/>
    <n v="125"/>
    <m/>
    <n v="0"/>
    <n v="0"/>
    <m/>
    <m/>
    <m/>
    <m/>
    <m/>
    <m/>
  </r>
  <r>
    <m/>
    <x v="352"/>
    <s v="12-2024"/>
    <x v="0"/>
    <s v="Week51"/>
    <x v="11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318"/>
    <n v="318"/>
    <m/>
    <n v="0"/>
    <n v="0"/>
    <m/>
    <m/>
    <m/>
    <m/>
    <m/>
    <m/>
  </r>
  <r>
    <m/>
    <x v="352"/>
    <s v="01-2025"/>
    <x v="0"/>
    <s v="Week51"/>
    <x v="11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145"/>
    <n v="145"/>
    <m/>
    <n v="0"/>
    <n v="0"/>
    <m/>
    <m/>
    <m/>
    <m/>
    <m/>
    <m/>
  </r>
  <r>
    <m/>
    <x v="352"/>
    <s v="12-2024"/>
    <x v="0"/>
    <s v="Week51"/>
    <x v="11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262"/>
    <n v="262"/>
    <m/>
    <n v="0"/>
    <n v="0"/>
    <m/>
    <m/>
    <m/>
    <m/>
    <m/>
    <m/>
  </r>
  <r>
    <m/>
    <x v="352"/>
    <s v="01-2025"/>
    <x v="0"/>
    <s v="Week51"/>
    <x v="11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219"/>
    <n v="219"/>
    <m/>
    <n v="0"/>
    <n v="0"/>
    <m/>
    <m/>
    <m/>
    <m/>
    <m/>
    <m/>
  </r>
  <r>
    <s v="CP Laos"/>
    <x v="352"/>
    <s v="12-2024"/>
    <x v="0"/>
    <s v="Week51"/>
    <x v="11"/>
    <s v="LA005/2567"/>
    <s v="Laos"/>
    <s v="Laos"/>
    <s v="บริษัท ปิก้าเทรดดิ้ง จำกัด"/>
    <s v="E+Wonton"/>
    <x v="1"/>
    <s v="เกี๊ยวกุ้งจักรพรรดิ 12x145g."/>
    <s v="082S8L212005P00001"/>
    <s v="145g*12"/>
    <n v="12"/>
    <n v="5"/>
    <n v="8.0000000000000002E-3"/>
    <s v="M"/>
    <s v="STPP"/>
    <s v="Regular"/>
    <n v="200"/>
    <m/>
    <n v="200"/>
    <n v="0"/>
    <n v="0"/>
    <m/>
    <m/>
    <m/>
    <m/>
    <m/>
    <m/>
  </r>
  <r>
    <s v="ชมรมกอล์ฟ ซีพี"/>
    <x v="352"/>
    <s v="01-2025"/>
    <x v="0"/>
    <s v="Week51"/>
    <x v="11"/>
    <s v="ขายภายใน"/>
    <s v="MTFS"/>
    <s v="CPFGS"/>
    <s v="ซีพีเอฟ เทรดดิ้ง"/>
    <s v="E+Wonton"/>
    <x v="1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m/>
    <m/>
    <m/>
    <m/>
    <m/>
    <m/>
  </r>
  <r>
    <m/>
    <x v="352"/>
    <s v="01-2025"/>
    <x v="0"/>
    <s v="Week51"/>
    <x v="11"/>
    <s v="ขายภายใน"/>
    <s v="MTFS"/>
    <s v="CPFGS"/>
    <s v="ซีพีเอฟ เทรดดิ้ง"/>
    <s v="E+Wonton"/>
    <x v="1"/>
    <s v="Cooked Wonton  with egg V-Food"/>
    <s v="082S83Q12005P05001"/>
    <s v="145g*12"/>
    <n v="12"/>
    <n v="5"/>
    <n v="8.0000000000000002E-3"/>
    <s v="M"/>
    <s v="STPP"/>
    <s v="Regular"/>
    <n v="2227"/>
    <n v="2227"/>
    <m/>
    <n v="0"/>
    <n v="0"/>
    <m/>
    <m/>
    <m/>
    <m/>
    <m/>
    <m/>
  </r>
  <r>
    <m/>
    <x v="352"/>
    <s v="12-2024"/>
    <x v="0"/>
    <s v="Week51"/>
    <x v="11"/>
    <s v="ขายภายใน"/>
    <s v="MTFS"/>
    <s v="CPFGS"/>
    <s v="ซีพีเอฟ เทรดดิ้ง"/>
    <s v="E+Wonton TY"/>
    <x v="1"/>
    <s v="Cooked Wonton Tomyum with egg.V-Food TY"/>
    <s v="082S83Q12005P04001"/>
    <s v="115g*12"/>
    <n v="12"/>
    <n v="5"/>
    <n v="8.0000000000000002E-3"/>
    <s v="M"/>
    <s v="STPP"/>
    <s v="TYTB3C 30G"/>
    <n v="274"/>
    <n v="274"/>
    <m/>
    <n v="0"/>
    <n v="0"/>
    <m/>
    <n v="1"/>
    <n v="0"/>
    <s v="เหลือซอส 33,000 ซอง"/>
    <m/>
    <m/>
  </r>
  <r>
    <m/>
    <x v="352"/>
    <s v="01-2025"/>
    <x v="0"/>
    <s v="Week51"/>
    <x v="11"/>
    <s v="ขายภายใน"/>
    <s v="MTFS"/>
    <s v="CPFGS"/>
    <s v="ซีพีเอฟ เทรดดิ้ง"/>
    <s v="E+Wonton TY"/>
    <x v="1"/>
    <s v="Cooked Wonton Tomyum with egg.V-Food TY"/>
    <s v="082S83Q12005P04001"/>
    <s v="115g*12"/>
    <n v="12"/>
    <n v="5"/>
    <n v="8.0000000000000002E-3"/>
    <s v="M"/>
    <s v="STPP"/>
    <s v="TYTB3C 30G"/>
    <n v="342"/>
    <n v="342"/>
    <m/>
    <n v="0"/>
    <n v="0"/>
    <m/>
    <n v="1"/>
    <n v="0"/>
    <s v="เหลือซอส 33,000 ซอง"/>
    <m/>
    <m/>
  </r>
  <r>
    <s v="Cambodia"/>
    <x v="352"/>
    <d v="2024-12-25T00:00:00"/>
    <x v="0"/>
    <s v="Week51"/>
    <x v="11"/>
    <m/>
    <s v="Cambodia"/>
    <s v="Cambodia"/>
    <s v="หจก.คิงฟู้ดส์"/>
    <s v="E+Wonton"/>
    <x v="1"/>
    <s v="Cooked Wonton With Egg .7-11"/>
    <s v="082S81A24005P04001"/>
    <s v="145g*24"/>
    <n v="24"/>
    <n v="5"/>
    <n v="8.0000000000000002E-3"/>
    <s v="M"/>
    <s v="STPP"/>
    <s v="Regular"/>
    <n v="100"/>
    <n v="100"/>
    <m/>
    <n v="0"/>
    <n v="0"/>
    <m/>
    <m/>
    <m/>
    <m/>
    <m/>
    <m/>
  </r>
  <r>
    <m/>
    <x v="352"/>
    <s v="01-2025"/>
    <x v="0"/>
    <s v="Week51"/>
    <x v="11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3213"/>
    <n v="3213"/>
    <m/>
    <n v="0"/>
    <n v="0"/>
    <m/>
    <m/>
    <m/>
    <m/>
    <m/>
    <m/>
  </r>
  <r>
    <s v="CP Laos"/>
    <x v="352"/>
    <s v="12-2024"/>
    <x v="0"/>
    <s v="Week51"/>
    <x v="11"/>
    <s v="LA005/2567"/>
    <s v="Laos"/>
    <s v="Laos"/>
    <s v="บริษัท ปิก้าเทรดดิ้ง จำกัด"/>
    <s v="E+Wonton+หมาล่า"/>
    <x v="1"/>
    <s v="เกี๊ยวกุ้งจักรพรรดิ ซุปหม่าล่า 12x143g."/>
    <s v="082S8L212005P01001"/>
    <s v="143g*12"/>
    <n v="12"/>
    <n v="5"/>
    <n v="6.1999999999999998E-3"/>
    <s v="SS"/>
    <s v="STPP"/>
    <s v="หมาล่า"/>
    <n v="200"/>
    <m/>
    <n v="200"/>
    <n v="0"/>
    <n v="0"/>
    <m/>
    <m/>
    <m/>
    <m/>
    <m/>
    <m/>
  </r>
  <r>
    <s v="Cambodia"/>
    <x v="352"/>
    <d v="2024-12-25T00:00:00"/>
    <x v="0"/>
    <s v="Week51"/>
    <x v="11"/>
    <m/>
    <s v="Cambodia"/>
    <s v="Cambodia"/>
    <s v="หจก.คิงฟู้ดส์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100"/>
    <n v="100"/>
    <m/>
    <n v="0"/>
    <n v="0"/>
    <m/>
    <m/>
    <m/>
    <m/>
    <m/>
    <m/>
  </r>
  <r>
    <m/>
    <x v="353"/>
    <s v="01-2025"/>
    <x v="0"/>
    <s v="Week51"/>
    <x v="11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3043"/>
    <n v="3043"/>
    <m/>
    <n v="0"/>
    <n v="0"/>
    <m/>
    <m/>
    <m/>
    <s v="PK ก่าเสามารถผลิตได้อีก 14,690 กล่อง"/>
    <m/>
    <m/>
  </r>
  <r>
    <m/>
    <x v="353"/>
    <s v="01-2025"/>
    <x v="0"/>
    <s v="Week51"/>
    <x v="11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1706"/>
    <n v="1706"/>
    <m/>
    <n v="0"/>
    <n v="0"/>
    <m/>
    <m/>
    <m/>
    <m/>
    <m/>
    <m/>
  </r>
  <r>
    <m/>
    <x v="353"/>
    <s v="12-2024"/>
    <x v="0"/>
    <s v="Week51"/>
    <x v="11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1000"/>
    <n v="1000"/>
    <m/>
    <n v="0"/>
    <n v="0"/>
    <m/>
    <n v="1"/>
    <n v="0"/>
    <m/>
    <m/>
    <m/>
  </r>
  <r>
    <m/>
    <x v="353"/>
    <s v="01-2025"/>
    <x v="0"/>
    <s v="Week51"/>
    <x v="11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600"/>
    <n v="600"/>
    <m/>
    <n v="0"/>
    <n v="0"/>
    <m/>
    <n v="1"/>
    <n v="0"/>
    <m/>
    <m/>
    <m/>
  </r>
  <r>
    <s v="R"/>
    <x v="354"/>
    <s v="12-2024"/>
    <x v="0"/>
    <s v="Week51"/>
    <x v="11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425"/>
    <n v="425"/>
    <m/>
    <n v="0"/>
    <n v="0"/>
    <n v="0"/>
    <m/>
    <n v="0"/>
    <m/>
    <m/>
    <m/>
  </r>
  <r>
    <s v="R"/>
    <x v="354"/>
    <d v="2025-01-08T00:00:00"/>
    <x v="0"/>
    <s v="Week51"/>
    <x v="11"/>
    <s v="DRY2400681"/>
    <s v="SG"/>
    <s v="CPFNW"/>
    <s v="CPI SINGAPORE"/>
    <s v="R-Wonton egg past"/>
    <x v="2"/>
    <s v="Raw Wonton 8 pcs"/>
    <s v="082I93B20008P00001"/>
    <s v="194g*20in"/>
    <n v="20"/>
    <n v="8"/>
    <n v="1.4999999999999999E-2"/>
    <s v="JB"/>
    <s v="STPP"/>
    <s v="ซุปซอง 5g."/>
    <n v="1000"/>
    <n v="1000"/>
    <n v="27"/>
    <n v="27"/>
    <n v="0"/>
    <n v="0"/>
    <n v="2"/>
    <n v="0"/>
    <s v="ห่อแบบดิบ"/>
    <m/>
    <m/>
  </r>
  <r>
    <s v="R"/>
    <x v="354"/>
    <d v="2024-12-24T00:00:00"/>
    <x v="0"/>
    <s v="Week51"/>
    <x v="11"/>
    <s v="DRY2400761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1400"/>
    <n v="815"/>
    <n v="585"/>
    <n v="0"/>
    <n v="0"/>
    <n v="0"/>
    <n v="1"/>
    <n v="0"/>
    <m/>
    <m/>
    <m/>
  </r>
  <r>
    <s v="R"/>
    <x v="354"/>
    <d v="2024-12-24T00:00:00"/>
    <x v="0"/>
    <s v="Week51"/>
    <x v="11"/>
    <s v="DRY2400761"/>
    <s v="HK"/>
    <s v="CPFNW"/>
    <s v="CPM Hongkong"/>
    <s v="R-Minced egg past"/>
    <x v="2"/>
    <s v="Raw Minced Wonton 8 pcs"/>
    <s v="082ID3G18008P00001"/>
    <s v="90g*18in"/>
    <n v="18"/>
    <n v="8"/>
    <n v="6.0000000000000001E-3"/>
    <s v="BK"/>
    <s v="STPP"/>
    <s v="ซุปซอง 5g."/>
    <n v="500"/>
    <n v="500"/>
    <m/>
    <n v="0"/>
    <n v="0"/>
    <n v="0"/>
    <n v="2"/>
    <n v="0"/>
    <m/>
    <m/>
    <m/>
  </r>
  <r>
    <s v="R"/>
    <x v="355"/>
    <d v="2025-01-08T00:00:00"/>
    <x v="0"/>
    <s v="Week51"/>
    <x v="11"/>
    <s v="DRY2400681"/>
    <s v="SG"/>
    <s v="CPFNW"/>
    <s v="CPI SINGAPORE"/>
    <s v="R-Minced egg past"/>
    <x v="2"/>
    <s v="Raw Minced Wonton 8 pcs"/>
    <s v="082ID3B18008P00001"/>
    <s v="90g*18in"/>
    <n v="18"/>
    <n v="8"/>
    <n v="5.0000000000000001E-3"/>
    <s v="BK"/>
    <s v="STPP"/>
    <s v="ซุปซอง 5g."/>
    <n v="600"/>
    <n v="600"/>
    <n v="21"/>
    <n v="21"/>
    <n v="0"/>
    <n v="0"/>
    <n v="2"/>
    <n v="0"/>
    <m/>
    <m/>
    <m/>
  </r>
  <r>
    <s v="R"/>
    <x v="355"/>
    <d v="2025-01-04T00:00:00"/>
    <x v="0"/>
    <s v="Week51"/>
    <x v="11"/>
    <s v="DRY2400680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1197"/>
    <n v="1197"/>
    <m/>
    <n v="0"/>
    <n v="0"/>
    <n v="0"/>
    <n v="2"/>
    <n v="0"/>
    <s v="ห่อแบบสุก"/>
    <m/>
    <m/>
  </r>
  <r>
    <s v="R"/>
    <x v="355"/>
    <d v="2025-01-08T00:00:00"/>
    <x v="0"/>
    <s v="Week51"/>
    <x v="11"/>
    <s v="DRY2400681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1000"/>
    <n v="384"/>
    <n v="616"/>
    <n v="0"/>
    <n v="0"/>
    <n v="0"/>
    <n v="2"/>
    <n v="0"/>
    <s v="ห่อแบบสุก"/>
    <m/>
    <m/>
  </r>
  <r>
    <m/>
    <x v="356"/>
    <m/>
    <x v="0"/>
    <s v="Week51"/>
    <x v="11"/>
    <m/>
    <m/>
    <m/>
    <m/>
    <m/>
    <x v="0"/>
    <m/>
    <m/>
    <m/>
    <m/>
    <m/>
    <m/>
    <m/>
    <m/>
    <m/>
    <m/>
    <m/>
    <m/>
    <m/>
    <m/>
    <m/>
    <m/>
    <m/>
    <m/>
    <m/>
    <m/>
  </r>
  <r>
    <m/>
    <x v="357"/>
    <d v="2025-01-14T00:00:00"/>
    <x v="0"/>
    <s v="Week52"/>
    <x v="11"/>
    <s v="DRY2400745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  <s v="ใช้ package ที่เป็น หมึกพิมพ์ใหม่"/>
    <m/>
    <m/>
  </r>
  <r>
    <m/>
    <x v="357"/>
    <d v="2025-01-14T00:00:00"/>
    <x v="0"/>
    <s v="Week52"/>
    <x v="11"/>
    <s v="DRY2400815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  <m/>
    <m/>
    <m/>
  </r>
  <r>
    <m/>
    <x v="357"/>
    <s v="01-2025"/>
    <x v="0"/>
    <s v="Week52"/>
    <x v="11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655"/>
    <n v="655"/>
    <m/>
    <n v="0"/>
    <n v="0"/>
    <m/>
    <m/>
    <m/>
    <m/>
    <m/>
    <m/>
  </r>
  <r>
    <m/>
    <x v="357"/>
    <s v="11-2024"/>
    <x v="0"/>
    <s v="Week52"/>
    <x v="11"/>
    <s v="ขายภายใน"/>
    <s v=".7-11"/>
    <s v="CPFGS"/>
    <s v="ซีพีเอฟ เทรดดิ้ง"/>
    <s v="Wonton"/>
    <x v="1"/>
    <s v="เกี๊ยวกุ้งทรัฟเฟิลซุปน้ำดำ CP 143g 7E"/>
    <s v="082S81A24005P0C001"/>
    <s v="143g*24"/>
    <n v="24"/>
    <n v="5"/>
    <n v="6.1999999999999998E-3"/>
    <s v="SS"/>
    <s v="STPP"/>
    <s v="น้ำดำ"/>
    <n v="328"/>
    <n v="328"/>
    <m/>
    <n v="0"/>
    <n v="0"/>
    <m/>
    <m/>
    <m/>
    <m/>
    <m/>
    <m/>
  </r>
  <r>
    <m/>
    <x v="357"/>
    <s v="12-2024"/>
    <x v="0"/>
    <s v="Week52"/>
    <x v="11"/>
    <s v="ขายภายใน"/>
    <s v=".7-11"/>
    <s v="CPFGS"/>
    <s v="ซีพีเอฟ เทรดดิ้ง"/>
    <s v="Wonton"/>
    <x v="1"/>
    <s v="เกี๊ยวกุ้งทรัฟเฟิลซุปน้ำดำ CP 143g 7E"/>
    <s v="082S81A24005P0C001"/>
    <s v="143g*24"/>
    <n v="24"/>
    <n v="5"/>
    <n v="6.1999999999999998E-3"/>
    <s v="SS"/>
    <s v="STPP"/>
    <s v="น้ำดำ"/>
    <n v="655"/>
    <n v="647"/>
    <n v="8"/>
    <n v="0"/>
    <n v="0"/>
    <m/>
    <m/>
    <m/>
    <s v="ขั้นต่ำน้ำซุป 1080 กก / ทำได้ 30,000 ถ้วย"/>
    <m/>
    <m/>
  </r>
  <r>
    <m/>
    <x v="358"/>
    <d v="2025-01-09T00:00:00"/>
    <x v="0"/>
    <s v="Week52"/>
    <x v="11"/>
    <s v="DRY2400762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  <m/>
    <m/>
    <m/>
  </r>
  <r>
    <m/>
    <x v="358"/>
    <d v="2025-01-16T00:00:00"/>
    <x v="0"/>
    <s v="Week52"/>
    <x v="11"/>
    <s v="DRY2400799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561"/>
    <n v="231"/>
    <n v="0"/>
    <n v="0"/>
    <m/>
    <m/>
    <m/>
    <m/>
    <m/>
    <m/>
  </r>
  <r>
    <m/>
    <x v="358"/>
    <d v="2025-01-13T00:00:00"/>
    <x v="0"/>
    <s v="Week52"/>
    <x v="11"/>
    <s v="DRY2400804"/>
    <s v="UK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SG+CO"/>
    <n v="924"/>
    <n v="924"/>
    <m/>
    <n v="0"/>
    <n v="0"/>
    <m/>
    <m/>
    <m/>
    <m/>
    <m/>
    <m/>
  </r>
  <r>
    <m/>
    <x v="358"/>
    <d v="2025-01-20T00:00:00"/>
    <x v="0"/>
    <s v="Week52"/>
    <x v="11"/>
    <s v="DRY2400805"/>
    <s v="UK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SG+CO"/>
    <n v="552"/>
    <n v="552"/>
    <m/>
    <n v="0"/>
    <n v="0"/>
    <m/>
    <m/>
    <m/>
    <m/>
    <m/>
    <m/>
  </r>
  <r>
    <m/>
    <x v="359"/>
    <d v="2025-01-20T00:00:00"/>
    <x v="0"/>
    <s v="Week52"/>
    <x v="11"/>
    <s v="DRY2400805"/>
    <s v="UK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SG+CO"/>
    <n v="372"/>
    <n v="372"/>
    <m/>
    <n v="0"/>
    <n v="0"/>
    <m/>
    <m/>
    <m/>
    <m/>
    <m/>
    <m/>
  </r>
  <r>
    <m/>
    <x v="359"/>
    <d v="2025-01-20T00:00:00"/>
    <x v="0"/>
    <s v="Week52"/>
    <x v="11"/>
    <s v="DRY2400806"/>
    <s v="UK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SG+CO"/>
    <n v="924"/>
    <n v="738"/>
    <n v="186"/>
    <n v="0"/>
    <n v="0"/>
    <m/>
    <m/>
    <m/>
    <s v="NEWPACKAGE"/>
    <m/>
    <m/>
  </r>
  <r>
    <m/>
    <x v="359"/>
    <d v="2025-01-03T00:00:00"/>
    <x v="0"/>
    <s v="Week52"/>
    <x v="11"/>
    <s v="DRY2400795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60"/>
    <n v="1260"/>
    <m/>
    <n v="0"/>
    <n v="0"/>
    <m/>
    <m/>
    <m/>
    <s v="รอเปลี่ยนNEWPACKAGE"/>
    <m/>
    <m/>
  </r>
  <r>
    <m/>
    <x v="359"/>
    <d v="2025-01-10T00:00:00"/>
    <x v="0"/>
    <s v="Week52"/>
    <x v="11"/>
    <s v="DRY2400816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  <s v="รอเปลี่ยนNEWPACKAGE"/>
    <m/>
    <m/>
  </r>
  <r>
    <m/>
    <x v="359"/>
    <d v="2025-01-10T00:00:00"/>
    <x v="0"/>
    <s v="Week52"/>
    <x v="11"/>
    <s v="DRY2400817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25"/>
    <n v="63"/>
    <n v="0"/>
    <n v="0"/>
    <m/>
    <m/>
    <m/>
    <s v="รอเปลี่ยนNEWPACKAGE"/>
    <m/>
    <m/>
  </r>
  <r>
    <m/>
    <x v="360"/>
    <m/>
    <x v="0"/>
    <s v="Week52"/>
    <x v="11"/>
    <m/>
    <m/>
    <m/>
    <m/>
    <m/>
    <x v="0"/>
    <m/>
    <m/>
    <m/>
    <m/>
    <m/>
    <m/>
    <m/>
    <m/>
    <m/>
    <m/>
    <m/>
    <m/>
    <m/>
    <m/>
    <m/>
    <m/>
    <m/>
    <m/>
    <m/>
    <m/>
  </r>
  <r>
    <m/>
    <x v="361"/>
    <m/>
    <x v="0"/>
    <s v="Week52"/>
    <x v="11"/>
    <m/>
    <m/>
    <m/>
    <m/>
    <m/>
    <x v="0"/>
    <m/>
    <m/>
    <m/>
    <m/>
    <m/>
    <m/>
    <m/>
    <m/>
    <m/>
    <m/>
    <m/>
    <m/>
    <m/>
    <m/>
    <m/>
    <m/>
    <m/>
    <m/>
    <m/>
    <m/>
  </r>
  <r>
    <m/>
    <x v="362"/>
    <m/>
    <x v="0"/>
    <s v="Week52"/>
    <x v="11"/>
    <m/>
    <m/>
    <m/>
    <m/>
    <m/>
    <x v="0"/>
    <m/>
    <m/>
    <m/>
    <m/>
    <m/>
    <m/>
    <m/>
    <m/>
    <m/>
    <m/>
    <m/>
    <m/>
    <m/>
    <m/>
    <m/>
    <m/>
    <m/>
    <m/>
    <m/>
    <m/>
  </r>
  <r>
    <m/>
    <x v="363"/>
    <m/>
    <x v="0"/>
    <s v="Week52"/>
    <x v="11"/>
    <m/>
    <m/>
    <m/>
    <m/>
    <m/>
    <x v="0"/>
    <m/>
    <m/>
    <m/>
    <m/>
    <m/>
    <m/>
    <m/>
    <m/>
    <m/>
    <m/>
    <m/>
    <m/>
    <m/>
    <m/>
    <m/>
    <m/>
    <m/>
    <m/>
    <m/>
    <m/>
  </r>
  <r>
    <m/>
    <x v="364"/>
    <m/>
    <x v="0"/>
    <s v="Week53"/>
    <x v="11"/>
    <m/>
    <m/>
    <m/>
    <m/>
    <m/>
    <x v="0"/>
    <m/>
    <m/>
    <m/>
    <m/>
    <m/>
    <m/>
    <m/>
    <m/>
    <m/>
    <m/>
    <m/>
    <m/>
    <m/>
    <m/>
    <m/>
    <m/>
    <m/>
    <m/>
    <m/>
    <m/>
  </r>
  <r>
    <m/>
    <x v="365"/>
    <m/>
    <x v="0"/>
    <s v="Week53"/>
    <x v="11"/>
    <m/>
    <m/>
    <m/>
    <m/>
    <m/>
    <x v="0"/>
    <m/>
    <m/>
    <m/>
    <m/>
    <m/>
    <m/>
    <m/>
    <m/>
    <m/>
    <m/>
    <m/>
    <m/>
    <m/>
    <m/>
    <m/>
    <m/>
    <m/>
    <m/>
    <m/>
    <m/>
  </r>
  <r>
    <m/>
    <x v="366"/>
    <m/>
    <x v="1"/>
    <e v="#N/A"/>
    <x v="0"/>
    <m/>
    <m/>
    <m/>
    <m/>
    <m/>
    <x v="0"/>
    <m/>
    <m/>
    <m/>
    <m/>
    <m/>
    <m/>
    <m/>
    <m/>
    <m/>
    <m/>
    <m/>
    <m/>
    <m/>
    <m/>
    <m/>
    <m/>
    <m/>
    <m/>
    <m/>
    <m/>
  </r>
  <r>
    <m/>
    <x v="367"/>
    <m/>
    <x v="1"/>
    <e v="#N/A"/>
    <x v="0"/>
    <m/>
    <m/>
    <m/>
    <m/>
    <m/>
    <x v="0"/>
    <m/>
    <m/>
    <m/>
    <m/>
    <m/>
    <m/>
    <m/>
    <m/>
    <m/>
    <m/>
    <m/>
    <m/>
    <m/>
    <m/>
    <m/>
    <m/>
    <m/>
    <m/>
    <m/>
    <m/>
  </r>
  <r>
    <m/>
    <x v="368"/>
    <m/>
    <x v="1"/>
    <e v="#N/A"/>
    <x v="0"/>
    <m/>
    <m/>
    <m/>
    <m/>
    <m/>
    <x v="0"/>
    <m/>
    <m/>
    <m/>
    <m/>
    <m/>
    <m/>
    <m/>
    <m/>
    <m/>
    <m/>
    <m/>
    <m/>
    <m/>
    <m/>
    <m/>
    <m/>
    <m/>
    <m/>
    <m/>
    <m/>
  </r>
  <r>
    <m/>
    <x v="369"/>
    <m/>
    <x v="1"/>
    <e v="#N/A"/>
    <x v="0"/>
    <m/>
    <m/>
    <m/>
    <m/>
    <m/>
    <x v="0"/>
    <m/>
    <m/>
    <m/>
    <m/>
    <m/>
    <m/>
    <m/>
    <m/>
    <m/>
    <m/>
    <m/>
    <m/>
    <m/>
    <m/>
    <m/>
    <m/>
    <m/>
    <m/>
    <m/>
    <m/>
  </r>
  <r>
    <m/>
    <x v="370"/>
    <m/>
    <x v="1"/>
    <e v="#N/A"/>
    <x v="0"/>
    <m/>
    <m/>
    <m/>
    <m/>
    <m/>
    <x v="0"/>
    <m/>
    <m/>
    <m/>
    <m/>
    <m/>
    <m/>
    <m/>
    <m/>
    <m/>
    <m/>
    <m/>
    <m/>
    <m/>
    <m/>
    <m/>
    <m/>
    <m/>
    <m/>
    <m/>
    <m/>
  </r>
  <r>
    <s v="R"/>
    <x v="371"/>
    <d v="2025-01-21T00:00:00"/>
    <x v="1"/>
    <e v="#N/A"/>
    <x v="0"/>
    <s v="DRY2400774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00"/>
    <n v="100"/>
    <n v="14"/>
    <n v="14"/>
    <n v="0"/>
    <n v="0"/>
    <n v="6"/>
    <n v="0"/>
    <m/>
    <m/>
    <m/>
  </r>
  <r>
    <s v="R"/>
    <x v="371"/>
    <d v="2025-01-13T00:00:00"/>
    <x v="1"/>
    <e v="#N/A"/>
    <x v="0"/>
    <s v="KL2400038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m/>
    <m/>
  </r>
  <r>
    <s v="R"/>
    <x v="372"/>
    <d v="2025-01-21T00:00:00"/>
    <x v="1"/>
    <e v="#N/A"/>
    <x v="0"/>
    <s v="DRY2400811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1398"/>
    <n v="1398"/>
    <m/>
    <n v="0"/>
    <n v="0"/>
    <n v="0"/>
    <n v="6"/>
    <n v="0"/>
    <m/>
    <m/>
    <m/>
  </r>
  <r>
    <s v="R"/>
    <x v="373"/>
    <d v="2025-01-16T00:00:00"/>
    <x v="1"/>
    <e v="#N/A"/>
    <x v="0"/>
    <s v="KL2400041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m/>
    <m/>
  </r>
  <r>
    <s v="R"/>
    <x v="373"/>
    <s v="01-2024"/>
    <x v="1"/>
    <e v="#N/A"/>
    <x v="0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242"/>
    <n v="242"/>
    <m/>
    <n v="0"/>
    <n v="0"/>
    <n v="0"/>
    <m/>
    <n v="0"/>
    <m/>
    <m/>
    <m/>
  </r>
  <r>
    <s v="R"/>
    <x v="374"/>
    <d v="2025-01-21T00:00:00"/>
    <x v="1"/>
    <e v="#N/A"/>
    <x v="0"/>
    <s v="DRY2400811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58"/>
    <n v="658"/>
    <m/>
    <n v="0"/>
    <n v="0"/>
    <n v="0"/>
    <n v="6"/>
    <n v="0"/>
    <m/>
    <m/>
    <m/>
  </r>
  <r>
    <s v="R"/>
    <x v="374"/>
    <d v="2025-02-10T00:00:00"/>
    <x v="1"/>
    <e v="#N/A"/>
    <x v="0"/>
    <s v="DRY2400814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575"/>
    <n v="533"/>
    <n v="42"/>
    <n v="0"/>
    <n v="0"/>
    <n v="0"/>
    <n v="2"/>
    <n v="0"/>
    <m/>
    <m/>
    <m/>
  </r>
  <r>
    <m/>
    <x v="375"/>
    <d v="2025-01-20T00:00:00"/>
    <x v="1"/>
    <e v="#N/A"/>
    <x v="0"/>
    <s v="DRY2400818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n v="0"/>
    <n v="9.7000000000000003E-3"/>
    <n v="0"/>
    <s v="รอเปลี่ยนNEWPACKAGE"/>
    <m/>
    <m/>
  </r>
  <r>
    <m/>
    <x v="375"/>
    <d v="2025-01-20T00:00:00"/>
    <x v="1"/>
    <e v="#N/A"/>
    <x v="0"/>
    <s v="DRY2400819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114"/>
    <n v="174"/>
    <n v="0"/>
    <n v="0"/>
    <n v="0"/>
    <n v="9.7000000000000003E-3"/>
    <n v="0"/>
    <s v="รอเปลี่ยนNEWPACKAGE"/>
    <m/>
    <m/>
  </r>
  <r>
    <m/>
    <x v="375"/>
    <d v="2025-01-21T00:00:00"/>
    <x v="1"/>
    <e v="#N/A"/>
    <x v="0"/>
    <s v="DRY2400774"/>
    <s v="USA"/>
    <s v="CPFNW"/>
    <s v="Bellisio Foods, Inc."/>
    <s v="Minced ND+V"/>
    <x v="1"/>
    <s v="Cooked Wonton ND No Egg with Pumpkin_x000a_+ Yu Choy Low sodium"/>
    <s v="082SRBW24005P01001"/>
    <s v="308g*4c*6in"/>
    <n v="24"/>
    <n v="5"/>
    <n v="6.0000000000000001E-3"/>
    <s v="BK"/>
    <s v="Salt"/>
    <s v="Y3"/>
    <n v="200"/>
    <n v="200"/>
    <m/>
    <n v="0"/>
    <n v="0"/>
    <n v="0"/>
    <n v="9.7000000000000003E-3"/>
    <n v="0"/>
    <m/>
    <m/>
    <m/>
  </r>
  <r>
    <m/>
    <x v="375"/>
    <d v="2025-02-04T00:00:00"/>
    <x v="1"/>
    <e v="#N/A"/>
    <x v="0"/>
    <s v="DRY240078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68"/>
    <n v="268"/>
    <m/>
    <n v="0"/>
    <n v="0"/>
    <n v="0"/>
    <n v="9.7000000000000003E-3"/>
    <n v="0"/>
    <m/>
    <m/>
    <m/>
  </r>
  <r>
    <m/>
    <x v="375"/>
    <d v="2025-02-05T00:00:00"/>
    <x v="1"/>
    <e v="#N/A"/>
    <x v="0"/>
    <s v="DRY240079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29"/>
    <n v="129"/>
    <m/>
    <n v="0"/>
    <n v="0"/>
    <n v="0"/>
    <n v="9.7000000000000003E-3"/>
    <n v="0"/>
    <m/>
    <m/>
    <m/>
  </r>
  <r>
    <m/>
    <x v="375"/>
    <d v="2025-02-03T00:00:00"/>
    <x v="1"/>
    <e v="#N/A"/>
    <x v="0"/>
    <s v="DRY2400581"/>
    <s v="Spain"/>
    <s v="CPFNW"/>
    <s v="Mercadona"/>
    <s v="Wonton ND+V"/>
    <x v="1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n v="0"/>
    <n v="7.4999999999999997E-3"/>
    <n v="0"/>
    <s v="รวบการผลิตให้เป็นวันเดียวกันตามความต้องการของลูกค้า"/>
    <m/>
    <m/>
  </r>
  <r>
    <m/>
    <x v="376"/>
    <s v="01-2025"/>
    <x v="1"/>
    <e v="#N/A"/>
    <x v="0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3316"/>
    <n v="3316"/>
    <m/>
    <n v="0"/>
    <n v="0"/>
    <n v="0"/>
    <n v="7.4999999999999997E-3"/>
    <n v="0"/>
    <m/>
    <m/>
    <m/>
  </r>
  <r>
    <m/>
    <x v="376"/>
    <s v="02-2025"/>
    <x v="1"/>
    <e v="#N/A"/>
    <x v="0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333"/>
    <n v="333"/>
    <m/>
    <n v="0"/>
    <n v="0"/>
    <n v="0"/>
    <n v="7.4999999999999997E-3"/>
    <n v="0"/>
    <s v="PK ก่าเสามารถผลิตได้อีก 7436 กล่องในยอด FO 02/2025"/>
    <m/>
    <m/>
  </r>
  <r>
    <m/>
    <x v="376"/>
    <d v="2025-01-30T00:00:00"/>
    <x v="1"/>
    <e v="#N/A"/>
    <x v="0"/>
    <s v="DRY2400800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m/>
    <m/>
  </r>
  <r>
    <m/>
    <x v="376"/>
    <d v="2025-01-21T00:00:00"/>
    <x v="1"/>
    <e v="#N/A"/>
    <x v="0"/>
    <s v="DRY2400792"/>
    <s v="Germany"/>
    <s v="CPFNW"/>
    <s v=" CPF Distribution (under Paulsen Food)"/>
    <s v="Minced ND+V+TK"/>
    <x v="1"/>
    <s v="Cooked Minced  ND No Egg with Pumpkin_x000a_+ Yu Choy Tomkha"/>
    <s v="082SR3N12003P01001"/>
    <s v="302g*12"/>
    <n v="12"/>
    <n v="3"/>
    <n v="6.0000000000000001E-3"/>
    <s v="BK"/>
    <s v="Salt"/>
    <s v="Tomkha+CM"/>
    <n v="2278"/>
    <m/>
    <n v="2278"/>
    <n v="0"/>
    <n v="0"/>
    <n v="0"/>
    <n v="5.8823E-2"/>
    <n v="0"/>
    <s v="Newpackage330x330x234 mm.=2040+238"/>
    <m/>
    <m/>
  </r>
  <r>
    <m/>
    <x v="376"/>
    <d v="2025-02-13T00:00:00"/>
    <x v="1"/>
    <e v="#N/A"/>
    <x v="0"/>
    <s v="DRY2400822"/>
    <s v="New Zealand"/>
    <s v="CPFNW"/>
    <s v="Lim Brothers"/>
    <s v="Minced ND+V+TK"/>
    <x v="1"/>
    <s v="Cooked Minced  ND No Egg with Pumpkin_x000a_+ Yu Choy Tomkha"/>
    <s v="082SRN708003P01001"/>
    <s v="302g*8"/>
    <n v="8"/>
    <n v="3"/>
    <n v="6.0000000000000001E-3"/>
    <s v="BK"/>
    <s v="Salt"/>
    <s v="Tomkha+CM"/>
    <n v="378"/>
    <m/>
    <n v="378"/>
    <n v="0"/>
    <n v="0"/>
    <n v="0"/>
    <n v="5.8823E-2"/>
    <n v="0"/>
    <m/>
    <m/>
    <m/>
  </r>
  <r>
    <m/>
    <x v="376"/>
    <d v="2025-02-27T00:00:00"/>
    <x v="1"/>
    <e v="#N/A"/>
    <x v="0"/>
    <s v="DRY2400823"/>
    <s v="New Zealand"/>
    <s v="CPFNW"/>
    <s v="Lim Brothers"/>
    <s v="Minced ND+V+TK"/>
    <x v="1"/>
    <s v="Cooked Minced  ND No Egg with Pumpkin_x000a_+ Yu Choy Tomkha"/>
    <s v="082SRN708003P01001"/>
    <s v="302g*8"/>
    <n v="8"/>
    <n v="3"/>
    <n v="6.0000000000000001E-3"/>
    <s v="BK"/>
    <s v="Salt"/>
    <s v="Tomkha+CM"/>
    <n v="270"/>
    <m/>
    <n v="270"/>
    <n v="0"/>
    <n v="0"/>
    <n v="0"/>
    <n v="5.8823E-2"/>
    <n v="0"/>
    <m/>
    <m/>
    <m/>
  </r>
  <r>
    <m/>
    <x v="377"/>
    <m/>
    <x v="1"/>
    <e v="#N/A"/>
    <x v="0"/>
    <m/>
    <m/>
    <m/>
    <m/>
    <m/>
    <x v="0"/>
    <m/>
    <m/>
    <m/>
    <m/>
    <m/>
    <m/>
    <m/>
    <m/>
    <m/>
    <m/>
    <m/>
    <m/>
    <m/>
    <m/>
    <n v="0"/>
    <m/>
    <n v="0"/>
    <m/>
    <m/>
    <m/>
  </r>
  <r>
    <s v="R"/>
    <x v="378"/>
    <d v="2025-01-18T00:00:00"/>
    <x v="1"/>
    <e v="#N/A"/>
    <x v="0"/>
    <s v="KL2400037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m/>
    <m/>
  </r>
  <r>
    <s v="R"/>
    <x v="379"/>
    <d v="2025-01-20T00:00:00"/>
    <x v="1"/>
    <e v="#N/A"/>
    <x v="0"/>
    <s v="KL2400040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m/>
    <m/>
  </r>
  <r>
    <s v="R"/>
    <x v="380"/>
    <d v="2025-02-10T00:00:00"/>
    <x v="1"/>
    <e v="#N/A"/>
    <x v="0"/>
    <s v="DRY2400814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1049"/>
    <n v="746"/>
    <n v="327"/>
    <n v="24"/>
    <n v="0"/>
    <n v="0"/>
    <n v="2"/>
    <n v="0"/>
    <m/>
    <m/>
    <m/>
  </r>
  <r>
    <m/>
    <x v="381"/>
    <s v="01-2025"/>
    <x v="1"/>
    <e v="#N/A"/>
    <x v="0"/>
    <s v="ขายภายใน"/>
    <s v="MTFS"/>
    <s v="CPFGS"/>
    <s v="ซีพีเอฟ เทรดดิ้ง"/>
    <s v="E+Wonton NDE"/>
    <x v="1"/>
    <s v="Cooked Wonton ND with egg V-Food"/>
    <s v="082SJ3Q12003P07001"/>
    <s v="226g*12"/>
    <n v="12"/>
    <n v="3"/>
    <n v="8.0000000000000002E-3"/>
    <s v="M"/>
    <s v="STPP"/>
    <s v="Regular"/>
    <n v="125"/>
    <n v="125"/>
    <m/>
    <n v="0"/>
    <n v="0"/>
    <n v="0"/>
    <n v="7.4999999999999997E-3"/>
    <n v="0"/>
    <m/>
    <m/>
    <m/>
  </r>
  <r>
    <m/>
    <x v="381"/>
    <s v="02-2025"/>
    <x v="1"/>
    <e v="#N/A"/>
    <x v="0"/>
    <s v="ขายภายใน"/>
    <s v="MTFS"/>
    <s v="CPFGS"/>
    <s v="ซีพีเอฟ เทรดดิ้ง"/>
    <s v="E+Wonton NDE"/>
    <x v="1"/>
    <s v="Cooked Wonton ND with egg V-Food"/>
    <s v="082SJ3Q12003P07001"/>
    <s v="226g*12"/>
    <n v="12"/>
    <n v="3"/>
    <n v="8.0000000000000002E-3"/>
    <s v="M"/>
    <s v="STPP"/>
    <s v="Regular"/>
    <n v="334"/>
    <n v="334"/>
    <m/>
    <n v="0"/>
    <n v="0"/>
    <n v="0"/>
    <n v="7.4999999999999997E-3"/>
    <n v="0"/>
    <m/>
    <m/>
    <m/>
  </r>
  <r>
    <m/>
    <x v="381"/>
    <s v="01-2025"/>
    <x v="1"/>
    <e v="#N/A"/>
    <x v="0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110"/>
    <n v="110"/>
    <m/>
    <n v="0"/>
    <n v="0"/>
    <n v="0"/>
    <n v="7.4999999999999997E-3"/>
    <n v="0"/>
    <m/>
    <m/>
    <m/>
  </r>
  <r>
    <m/>
    <x v="381"/>
    <s v="02-2025"/>
    <x v="1"/>
    <e v="#N/A"/>
    <x v="0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162"/>
    <n v="162"/>
    <m/>
    <n v="0"/>
    <n v="0"/>
    <n v="0"/>
    <n v="7.4999999999999997E-3"/>
    <n v="0"/>
    <m/>
    <m/>
    <m/>
  </r>
  <r>
    <m/>
    <x v="381"/>
    <s v="02-2025"/>
    <x v="1"/>
    <e v="#N/A"/>
    <x v="0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111"/>
    <n v="111"/>
    <m/>
    <n v="0"/>
    <n v="0"/>
    <n v="0"/>
    <n v="7.4999999999999997E-3"/>
    <n v="0"/>
    <m/>
    <m/>
    <m/>
  </r>
  <r>
    <s v="ชมรมกอล์ฟ ซีพี"/>
    <x v="381"/>
    <s v="02-2025"/>
    <x v="1"/>
    <e v="#N/A"/>
    <x v="0"/>
    <s v="ขายภายใน"/>
    <s v="MTFS"/>
    <s v="CPFGS"/>
    <s v="ซีพีเอฟ เทรดดิ้ง"/>
    <s v="E+Wonton"/>
    <x v="1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n v="0"/>
    <n v="7.4999999999999997E-3"/>
    <n v="0"/>
    <m/>
    <m/>
    <m/>
  </r>
  <r>
    <m/>
    <x v="381"/>
    <s v="01-2025"/>
    <x v="1"/>
    <e v="#N/A"/>
    <x v="0"/>
    <s v="ขายภายใน"/>
    <s v="MTFS"/>
    <s v="CPFGS"/>
    <s v="ซีพีเอฟ เทรดดิ้ง"/>
    <s v="E+Wonton"/>
    <x v="1"/>
    <s v="Cooked Wonton  with egg V-Food"/>
    <s v="082S83Q12005P05001"/>
    <s v="145g*12"/>
    <n v="12"/>
    <n v="5"/>
    <n v="8.0000000000000002E-3"/>
    <s v="M"/>
    <s v="STPP"/>
    <s v="Regular"/>
    <n v="1773"/>
    <n v="1773"/>
    <m/>
    <n v="0"/>
    <n v="0"/>
    <n v="0"/>
    <n v="7.4999999999999997E-3"/>
    <n v="0"/>
    <m/>
    <m/>
    <m/>
  </r>
  <r>
    <m/>
    <x v="381"/>
    <s v="02-2025"/>
    <x v="1"/>
    <e v="#N/A"/>
    <x v="0"/>
    <s v="ขายภายใน"/>
    <s v="MTFS"/>
    <s v="CPFGS"/>
    <s v="ซีพีเอฟ เทรดดิ้ง"/>
    <s v="E+Wonton"/>
    <x v="1"/>
    <s v="Cooked Wonton  with egg V-Food"/>
    <s v="082S83Q12005P05001"/>
    <s v="145g*12"/>
    <n v="12"/>
    <n v="5"/>
    <n v="8.0000000000000002E-3"/>
    <s v="M"/>
    <s v="STPP"/>
    <s v="Regular"/>
    <n v="2252"/>
    <n v="2252"/>
    <m/>
    <n v="0"/>
    <n v="0"/>
    <n v="0"/>
    <n v="7.4999999999999997E-3"/>
    <n v="0"/>
    <m/>
    <m/>
    <m/>
  </r>
  <r>
    <m/>
    <x v="381"/>
    <s v="02-2025"/>
    <x v="1"/>
    <e v="#N/A"/>
    <x v="0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2616"/>
    <n v="2616"/>
    <m/>
    <n v="0"/>
    <n v="0"/>
    <n v="0"/>
    <n v="7.4999999999999997E-3"/>
    <n v="0"/>
    <m/>
    <m/>
    <m/>
  </r>
  <r>
    <m/>
    <x v="382"/>
    <s v="01-2025"/>
    <x v="1"/>
    <e v="#N/A"/>
    <x v="0"/>
    <s v="ขายภายใน"/>
    <s v="MTFS"/>
    <s v="CPFGS"/>
    <s v="ซีพีเอฟ เทรดดิ้ง"/>
    <s v="E+Wonton TY"/>
    <x v="1"/>
    <s v="Cooked Wonton Tomyum with egg.V-Food TY"/>
    <s v="082S83Q12005P04001"/>
    <s v="115g*12"/>
    <n v="12"/>
    <n v="5"/>
    <n v="8.0000000000000002E-3"/>
    <s v="M"/>
    <s v="STPP"/>
    <s v="TYTB3C 30G"/>
    <n v="258"/>
    <n v="258"/>
    <m/>
    <n v="0"/>
    <n v="0"/>
    <n v="0"/>
    <n v="1"/>
    <n v="0"/>
    <s v="เหลือซอส 33,000 ซอง"/>
    <m/>
    <m/>
  </r>
  <r>
    <m/>
    <x v="382"/>
    <s v="02-2025"/>
    <x v="1"/>
    <e v="#N/A"/>
    <x v="0"/>
    <s v="ขายภายใน"/>
    <s v="MTFS"/>
    <s v="CPFGS"/>
    <s v="ซีพีเอฟ เทรดดิ้ง"/>
    <s v="E+Wonton TY"/>
    <x v="1"/>
    <s v="Cooked Wonton Tomyum with egg.V-Food TY"/>
    <s v="082S83Q12005P04001"/>
    <s v="115g*12"/>
    <n v="12"/>
    <n v="5"/>
    <n v="8.0000000000000002E-3"/>
    <s v="M"/>
    <s v="STPP"/>
    <s v="TYTB3C 30G"/>
    <n v="412"/>
    <n v="412"/>
    <m/>
    <n v="0"/>
    <n v="0"/>
    <n v="0"/>
    <n v="1"/>
    <n v="0"/>
    <s v="เหลือซอส 33,000 ซอง"/>
    <m/>
    <m/>
  </r>
  <r>
    <m/>
    <x v="382"/>
    <d v="2025-01-23T00:00:00"/>
    <x v="1"/>
    <e v="#N/A"/>
    <x v="0"/>
    <s v="001-25"/>
    <s v="ขายภายใน"/>
    <s v="CPFGS"/>
    <s v="บริษัท อินสยาม ฟู้ด แอนด์ เบฟเวอเรจ จำกัด"/>
    <s v="E+Wonton"/>
    <x v="1"/>
    <s v="Cooked Wonton Multipack  with Egg  270g"/>
    <s v="082S811AA005P00001"/>
    <s v="90g*100B"/>
    <n v="100"/>
    <n v="5"/>
    <n v="8.0000000000000002E-3"/>
    <s v="M"/>
    <s v="STPP"/>
    <s v="ซุปซอง 5g."/>
    <n v="32"/>
    <n v="32"/>
    <m/>
    <n v="0"/>
    <n v="0"/>
    <n v="0"/>
    <n v="1"/>
    <n v="0"/>
    <m/>
    <m/>
    <m/>
  </r>
  <r>
    <m/>
    <x v="382"/>
    <s v="01-2025"/>
    <x v="1"/>
    <e v="#N/A"/>
    <x v="0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400"/>
    <n v="400"/>
    <m/>
    <n v="0"/>
    <n v="0"/>
    <n v="0"/>
    <n v="1"/>
    <n v="0"/>
    <m/>
    <m/>
    <m/>
  </r>
  <r>
    <m/>
    <x v="382"/>
    <s v="02-2025"/>
    <x v="1"/>
    <e v="#N/A"/>
    <x v="0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1035"/>
    <n v="1035"/>
    <m/>
    <n v="0"/>
    <n v="0"/>
    <n v="0"/>
    <n v="1"/>
    <n v="0"/>
    <m/>
    <m/>
    <m/>
  </r>
  <r>
    <m/>
    <x v="382"/>
    <s v="02-2025"/>
    <x v="1"/>
    <e v="#N/A"/>
    <x v="0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4884"/>
    <n v="4884"/>
    <m/>
    <n v="0"/>
    <n v="0"/>
    <n v="0"/>
    <n v="7.4999999999999997E-3"/>
    <n v="0"/>
    <m/>
    <m/>
    <m/>
  </r>
  <r>
    <m/>
    <x v="382"/>
    <s v="01-2025"/>
    <x v="1"/>
    <e v="#N/A"/>
    <x v="0"/>
    <s v="ขายภายใน"/>
    <s v="MTFS"/>
    <s v="CPFGS"/>
    <s v="ซีพีเอฟ เทรดดิ้ง"/>
    <s v="E+Wonton+หมาล่า"/>
    <x v="1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443"/>
    <n v="443"/>
    <m/>
    <n v="0"/>
    <n v="0"/>
    <n v="0"/>
    <n v="1.2999999999999999E-2"/>
    <n v="0"/>
    <m/>
    <m/>
    <m/>
  </r>
  <r>
    <m/>
    <x v="382"/>
    <s v="02-2025"/>
    <x v="1"/>
    <e v="#N/A"/>
    <x v="0"/>
    <s v="ขายภายใน"/>
    <s v="MTFS"/>
    <s v="CPFGS"/>
    <s v="ซีพีเอฟ เทรดดิ้ง"/>
    <s v="E+Wonton+หมาล่า"/>
    <x v="1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272"/>
    <n v="272"/>
    <m/>
    <n v="0"/>
    <n v="0"/>
    <n v="0"/>
    <n v="1.2999999999999999E-2"/>
    <n v="0"/>
    <m/>
    <m/>
    <m/>
  </r>
  <r>
    <s v="T"/>
    <x v="383"/>
    <d v="2025-02-06T00:00:00"/>
    <x v="1"/>
    <e v="#N/A"/>
    <x v="0"/>
    <s v="DRY2400824"/>
    <s v="AUS"/>
    <s v="CPFNW"/>
    <s v="CPF Australia Pty Ltd."/>
    <s v="C-Minced WT in tray no egg"/>
    <x v="1"/>
    <s v="Cooked Minced Wonton in Tray 6 pcs + Sesame Sauce"/>
    <s v="082SK9U16006P00001"/>
    <s v="117*2tray*8in"/>
    <n v="16"/>
    <n v="6"/>
    <n v="6.0000000000000001E-3"/>
    <s v="BK"/>
    <s v="Salt"/>
    <s v=" Sesame 15g"/>
    <n v="120"/>
    <n v="120"/>
    <m/>
    <n v="0"/>
    <n v="0"/>
    <n v="0"/>
    <n v="1"/>
    <n v="0"/>
    <s v="cap 3000 tray/hr. อื่น 8,300 ถ้วย"/>
    <m/>
    <m/>
  </r>
  <r>
    <s v="T"/>
    <x v="383"/>
    <d v="2025-02-13T00:00:00"/>
    <x v="1"/>
    <e v="#N/A"/>
    <x v="0"/>
    <s v="DRY2400822"/>
    <s v="New Zealand"/>
    <s v="CPFNW"/>
    <s v="Lim Brothers"/>
    <s v="C-Minced WT in tray no egg"/>
    <x v="1"/>
    <s v="Cooked Minced Wonton in Tray 6 pcs + Sesame Sauce"/>
    <s v="082SKN716006P00001"/>
    <s v="117*2tray*8in"/>
    <n v="16"/>
    <n v="6"/>
    <n v="6.0000000000000001E-3"/>
    <s v="BK"/>
    <s v="Salt"/>
    <s v=" Sesame 15g"/>
    <n v="216"/>
    <n v="214"/>
    <n v="2"/>
    <n v="0"/>
    <n v="0"/>
    <n v="0"/>
    <n v="1"/>
    <n v="0"/>
    <s v="cap 3000 tray/hr. อื่น 8,300 ถ้วย"/>
    <m/>
    <m/>
  </r>
  <r>
    <s v="T"/>
    <x v="383"/>
    <d v="2025-02-27T00:00:00"/>
    <x v="1"/>
    <e v="#N/A"/>
    <x v="0"/>
    <s v="DRY2400823"/>
    <s v="New Zealand"/>
    <s v="CPFNW"/>
    <s v="Lim Brothers"/>
    <s v="C-Minced WT in tray no egg"/>
    <x v="1"/>
    <s v="Cooked Minced Wonton in Tray 6 pcs + Sesame Sauce"/>
    <s v="082SKN716006P00001"/>
    <s v="117*2tray*8in"/>
    <n v="16"/>
    <n v="6"/>
    <n v="6.0000000000000001E-3"/>
    <s v="BK"/>
    <s v="Salt"/>
    <s v=" Sesame 15g"/>
    <n v="144"/>
    <n v="144"/>
    <n v="5.125"/>
    <n v="5.125"/>
    <n v="0"/>
    <n v="0"/>
    <n v="1"/>
    <n v="0"/>
    <s v="cap 3000 tray/hr. อื่น 8,300 ถ้วย"/>
    <m/>
    <m/>
  </r>
  <r>
    <m/>
    <x v="383"/>
    <d v="2025-02-13T00:00:00"/>
    <x v="1"/>
    <e v="#N/A"/>
    <x v="0"/>
    <s v="DRY2400822"/>
    <s v="New Zealand"/>
    <s v="CPFNW"/>
    <s v="Lim Brothers"/>
    <s v="Minced ND+Kee Mao"/>
    <x v="1"/>
    <s v="Cooked Minced Wonton Thai Spicy Noodles (Kee Mao Noodles)"/>
    <s v="082SRN708003P02001"/>
    <s v="219g*8"/>
    <n v="8"/>
    <n v="3"/>
    <n v="6.0000000000000001E-3"/>
    <s v="BK"/>
    <s v="Salt"/>
    <s v="Kee Mao 50G."/>
    <n v="270"/>
    <m/>
    <n v="270"/>
    <n v="0"/>
    <n v="0"/>
    <n v="0"/>
    <n v="1"/>
    <n v="0"/>
    <s v="NEWPACKAGE"/>
    <m/>
    <m/>
  </r>
  <r>
    <m/>
    <x v="383"/>
    <d v="2025-02-27T00:00:00"/>
    <x v="1"/>
    <e v="#N/A"/>
    <x v="0"/>
    <s v="DRY2400823"/>
    <s v="New Zealand"/>
    <s v="CPFNW"/>
    <s v="Lim Brothers"/>
    <s v="Minced ND+Kee Mao"/>
    <x v="1"/>
    <s v="Cooked Minced Wonton Thai Spicy Noodles (Kee Mao Noodles)"/>
    <s v="082SRN708003P02001"/>
    <s v="219g*8"/>
    <n v="8"/>
    <n v="3"/>
    <n v="6.0000000000000001E-3"/>
    <s v="BK"/>
    <s v="Salt"/>
    <s v="Kee Mao 50G."/>
    <n v="54"/>
    <m/>
    <n v="55"/>
    <n v="1"/>
    <n v="0"/>
    <n v="0"/>
    <n v="1"/>
    <n v="0"/>
    <s v="NEWPACKAGE"/>
    <m/>
    <m/>
  </r>
  <r>
    <m/>
    <x v="383"/>
    <d v="2025-02-20T00:00:00"/>
    <x v="1"/>
    <e v="#N/A"/>
    <x v="0"/>
    <s v="DRY2400801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m/>
    <m/>
  </r>
  <r>
    <m/>
    <x v="383"/>
    <d v="2025-02-06T00:00:00"/>
    <x v="1"/>
    <e v="#N/A"/>
    <x v="0"/>
    <s v="DRY2400824"/>
    <s v="AUS"/>
    <s v="CPFNW"/>
    <s v="CPF Australia Pty Ltd."/>
    <s v="Wonton ND+V"/>
    <x v="1"/>
    <s v="Cooked Wonton ND No Egg with Pumpkin_x000a_+ Yu Choy "/>
    <s v="082SJ9U08004P00001"/>
    <s v="305g*8"/>
    <n v="8"/>
    <n v="4"/>
    <n v="7.4999999999999997E-3"/>
    <s v="HC"/>
    <s v="Salt"/>
    <s v="Regular"/>
    <n v="450"/>
    <m/>
    <n v="450"/>
    <n v="0"/>
    <n v="0"/>
    <n v="0"/>
    <n v="7.4999999999999997E-3"/>
    <n v="0"/>
    <m/>
    <m/>
    <m/>
  </r>
  <r>
    <m/>
    <x v="383"/>
    <d v="2025-02-13T00:00:00"/>
    <x v="1"/>
    <e v="#N/A"/>
    <x v="0"/>
    <s v="DRY2400822"/>
    <s v="New Zealand"/>
    <s v="CPFNW"/>
    <s v="Lim Brothers"/>
    <s v="Wonton ND+V"/>
    <x v="1"/>
    <s v="Cooked Wonton ND No Egg with Pumpkin_x000a_+ Yu Choy "/>
    <s v="082SJN708004P00001"/>
    <s v="305g*8"/>
    <n v="8"/>
    <n v="4"/>
    <n v="7.4999999999999997E-3"/>
    <s v="HC"/>
    <s v="Salt"/>
    <s v="Regular"/>
    <n v="440"/>
    <m/>
    <n v="440"/>
    <n v="0"/>
    <n v="0"/>
    <n v="0"/>
    <n v="7.4999999999999997E-3"/>
    <n v="0"/>
    <m/>
    <m/>
    <m/>
  </r>
  <r>
    <m/>
    <x v="383"/>
    <d v="2025-02-27T00:00:00"/>
    <x v="1"/>
    <e v="#N/A"/>
    <x v="0"/>
    <s v="DRY2400823"/>
    <s v="New Zealand"/>
    <s v="CPFNW"/>
    <s v="Lim Brothers"/>
    <s v="Wonton ND+V"/>
    <x v="1"/>
    <s v="Cooked Wonton ND No Egg with Pumpkin_x000a_+ Yu Choy "/>
    <s v="082SJN708004P00001"/>
    <s v="305g*8"/>
    <n v="8"/>
    <n v="4"/>
    <n v="7.4999999999999997E-3"/>
    <s v="HC"/>
    <s v="Salt"/>
    <s v="Regular"/>
    <n v="760"/>
    <m/>
    <n v="853"/>
    <n v="93"/>
    <n v="0"/>
    <n v="0"/>
    <n v="7.4999999999999997E-3"/>
    <n v="0"/>
    <m/>
    <m/>
    <m/>
  </r>
  <r>
    <m/>
    <x v="383"/>
    <d v="2025-01-27T00:00:00"/>
    <x v="1"/>
    <e v="#N/A"/>
    <x v="0"/>
    <s v="DRY2400809"/>
    <s v="Netherlands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SG+CO"/>
    <n v="924"/>
    <n v="924"/>
    <m/>
    <n v="0"/>
    <n v="0"/>
    <n v="0"/>
    <n v="3.8699999999999998E-2"/>
    <n v="0"/>
    <m/>
    <m/>
    <m/>
  </r>
  <r>
    <m/>
    <x v="383"/>
    <d v="2025-02-11T00:00:00"/>
    <x v="1"/>
    <e v="#N/A"/>
    <x v="0"/>
    <s v="DRY2400807"/>
    <s v="UK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SG+CO"/>
    <n v="924"/>
    <n v="924"/>
    <m/>
    <n v="0"/>
    <n v="0"/>
    <n v="0"/>
    <n v="3.8699999999999998E-2"/>
    <n v="0"/>
    <m/>
    <m/>
    <m/>
  </r>
  <r>
    <m/>
    <x v="383"/>
    <d v="2025-02-06T00:00:00"/>
    <x v="1"/>
    <e v="#N/A"/>
    <x v="0"/>
    <s v="DRY2400824"/>
    <s v="AUS"/>
    <s v="CPFNW"/>
    <s v="CPF Australia Pty Ltd."/>
    <s v="Minced ND+V+TY"/>
    <x v="1"/>
    <s v="Cooked Minced  ND No Egg with Pumpkin_x000a_+ Yu Choy Tomyum"/>
    <s v="082SR9U08003P00001"/>
    <s v="302g*8"/>
    <n v="8"/>
    <n v="3"/>
    <n v="8.0000000000000002E-3"/>
    <s v="BK"/>
    <s v="Salt"/>
    <s v="TYEXSG+CO"/>
    <n v="400"/>
    <m/>
    <n v="420"/>
    <n v="20"/>
    <n v="0"/>
    <n v="0"/>
    <n v="3.8699999999999998E-2"/>
    <n v="0"/>
    <m/>
    <m/>
    <m/>
  </r>
  <r>
    <m/>
    <x v="383"/>
    <d v="2025-02-13T00:00:00"/>
    <x v="1"/>
    <e v="#N/A"/>
    <x v="0"/>
    <s v="DRY2400822"/>
    <s v="New Zealand"/>
    <s v="CPFNW"/>
    <s v="Lim Brothers"/>
    <s v="Minced ND+V+TY"/>
    <x v="1"/>
    <s v="Cooked Minced  ND No Egg with Pumpkin_x000a_+ Yu Choy Tomyum"/>
    <s v="082SRN708003P00001"/>
    <s v="302g*8"/>
    <n v="8"/>
    <n v="3"/>
    <n v="6.0000000000000001E-3"/>
    <s v="BK"/>
    <s v="Salt"/>
    <s v="TYEXSG+CO"/>
    <n v="162"/>
    <m/>
    <n v="162"/>
    <n v="0"/>
    <n v="0"/>
    <n v="0"/>
    <n v="3.8699999999999998E-2"/>
    <n v="0"/>
    <m/>
    <m/>
    <m/>
  </r>
  <r>
    <m/>
    <x v="383"/>
    <d v="2025-02-27T00:00:00"/>
    <x v="1"/>
    <e v="#N/A"/>
    <x v="0"/>
    <s v="DRY2400823"/>
    <s v="New Zealand"/>
    <s v="CPFNW"/>
    <s v="Lim Brothers"/>
    <s v="Minced ND+V+TY"/>
    <x v="1"/>
    <s v="Cooked Minced  ND No Egg with Pumpkin_x000a_+ Yu Choy Tomyum"/>
    <s v="082SRN708003P00001"/>
    <s v="302g*8"/>
    <n v="8"/>
    <n v="3"/>
    <n v="6.0000000000000001E-3"/>
    <s v="BK"/>
    <s v="Salt"/>
    <s v="TYEXSG+CO"/>
    <n v="216"/>
    <m/>
    <n v="352.25"/>
    <n v="136.25"/>
    <n v="0"/>
    <n v="0"/>
    <n v="3.8699999999999998E-2"/>
    <n v="0"/>
    <m/>
    <m/>
    <m/>
  </r>
  <r>
    <m/>
    <x v="384"/>
    <m/>
    <x v="1"/>
    <e v="#N/A"/>
    <x v="0"/>
    <m/>
    <m/>
    <m/>
    <m/>
    <m/>
    <x v="0"/>
    <m/>
    <m/>
    <m/>
    <m/>
    <m/>
    <m/>
    <m/>
    <m/>
    <m/>
    <m/>
    <m/>
    <m/>
    <m/>
    <m/>
    <n v="0"/>
    <m/>
    <n v="0"/>
    <m/>
    <m/>
    <m/>
  </r>
  <r>
    <s v="R"/>
    <x v="385"/>
    <d v="2025-01-23T00:00:00"/>
    <x v="1"/>
    <e v="#N/A"/>
    <x v="0"/>
    <s v="KL2500002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m/>
    <m/>
  </r>
  <r>
    <s v="R"/>
    <x v="385"/>
    <s v="02-2025"/>
    <x v="1"/>
    <e v="#N/A"/>
    <x v="0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237"/>
    <n v="237"/>
    <m/>
    <n v="0"/>
    <n v="0"/>
    <n v="0"/>
    <m/>
    <n v="0"/>
    <m/>
    <m/>
    <m/>
  </r>
  <r>
    <s v="R"/>
    <x v="386"/>
    <d v="2025-01-28T00:00:00"/>
    <x v="1"/>
    <e v="#N/A"/>
    <x v="0"/>
    <s v="KL2500001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141"/>
    <n v="267"/>
    <n v="0"/>
    <n v="0"/>
    <n v="0"/>
    <n v="6"/>
    <n v="0"/>
    <m/>
    <m/>
    <m/>
  </r>
  <r>
    <m/>
    <x v="387"/>
    <d v="2025-02-12T00:00:00"/>
    <x v="1"/>
    <e v="#N/A"/>
    <x v="0"/>
    <s v="DRY2400829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n v="0"/>
    <n v="9.7000000000000003E-3"/>
    <n v="0"/>
    <s v="รอเปลี่ยนNEWPACKAGE"/>
    <m/>
    <m/>
  </r>
  <r>
    <m/>
    <x v="387"/>
    <d v="2025-02-12T00:00:00"/>
    <x v="1"/>
    <e v="#N/A"/>
    <x v="0"/>
    <s v="DRY2400832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n v="0"/>
    <n v="9.7000000000000003E-3"/>
    <n v="0"/>
    <s v="รอเปลี่ยนNEWPACKAGE"/>
    <m/>
    <m/>
  </r>
  <r>
    <m/>
    <x v="387"/>
    <d v="2025-02-19T00:00:00"/>
    <x v="1"/>
    <e v="#N/A"/>
    <x v="0"/>
    <s v="DRY2400830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n v="0"/>
    <n v="9.7000000000000003E-3"/>
    <n v="0"/>
    <s v="รอเปลี่ยนNEWPACKAGE"/>
    <m/>
    <m/>
  </r>
  <r>
    <m/>
    <x v="388"/>
    <d v="2025-01-30T00:00:00"/>
    <x v="1"/>
    <e v="#N/A"/>
    <x v="0"/>
    <s v="DRY2400825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n v="0"/>
    <n v="7.4999999999999997E-3"/>
    <n v="0"/>
    <m/>
    <m/>
    <m/>
  </r>
  <r>
    <m/>
    <x v="388"/>
    <d v="2025-01-30T00:00:00"/>
    <x v="1"/>
    <e v="#N/A"/>
    <x v="0"/>
    <s v="DRY2400826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n v="0"/>
    <n v="7.4999999999999997E-3"/>
    <n v="0"/>
    <m/>
    <m/>
    <m/>
  </r>
  <r>
    <m/>
    <x v="388"/>
    <d v="2025-02-06T00:00:00"/>
    <x v="1"/>
    <e v="#N/A"/>
    <x v="0"/>
    <s v="DRY2400827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n v="0"/>
    <n v="7.4999999999999997E-3"/>
    <n v="0"/>
    <m/>
    <m/>
    <m/>
  </r>
  <r>
    <m/>
    <x v="389"/>
    <d v="2025-02-18T00:00:00"/>
    <x v="1"/>
    <e v="#N/A"/>
    <x v="0"/>
    <s v="DRY2400746"/>
    <s v="Netherlands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ใช้ package ที่เป็น หมึกพิมพ์ใหม่"/>
    <m/>
    <m/>
  </r>
  <r>
    <m/>
    <x v="389"/>
    <d v="2025-02-24T00:00:00"/>
    <x v="1"/>
    <e v="#N/A"/>
    <x v="0"/>
    <s v="DRY2400747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ใช้ package ที่เป็น หมึกพิมพ์ใหม่"/>
    <m/>
    <m/>
  </r>
  <r>
    <m/>
    <x v="389"/>
    <d v="2025-02-24T00:00:00"/>
    <x v="1"/>
    <e v="#N/A"/>
    <x v="0"/>
    <s v="DRY2400748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ใช้ package ที่เป็น หมึกพิมพ์ใหม่"/>
    <m/>
    <m/>
  </r>
  <r>
    <m/>
    <x v="389"/>
    <d v="2025-02-06T00:00:00"/>
    <x v="1"/>
    <e v="#N/A"/>
    <x v="0"/>
    <s v="DRY2400824"/>
    <s v="AUS"/>
    <s v="CPFNW"/>
    <s v="CPF Australia Pty Ltd."/>
    <s v="Minced ND+หมาล่า"/>
    <x v="3"/>
    <s v="Cooked Minced  ND No Egg"/>
    <s v="082SR9U08003P03001"/>
    <s v="300g*8"/>
    <n v="8"/>
    <n v="3"/>
    <n v="6.0000000000000001E-3"/>
    <s v="BK"/>
    <s v="Salt"/>
    <s v="หมาล่า"/>
    <n v="300"/>
    <m/>
    <n v="376.125"/>
    <n v="76.125"/>
    <n v="0"/>
    <n v="0"/>
    <n v="2.4E-2"/>
    <n v="0"/>
    <s v="คุณจั๊กให้สั่ง มาตามขั้นต่ำ ที่เหลือจะเปิดออเดอร์มาเคลียร์"/>
    <m/>
    <m/>
  </r>
  <r>
    <m/>
    <x v="390"/>
    <s v="02-2025"/>
    <x v="1"/>
    <e v="#N/A"/>
    <x v="0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4897"/>
    <n v="4897"/>
    <m/>
    <n v="0"/>
    <n v="0"/>
    <n v="0"/>
    <n v="7.4999999999999997E-3"/>
    <n v="0"/>
    <s v="PK ก่าเสามารถผลิตได้อีก 7436 กล่องในยอด FO 02/2025"/>
    <m/>
    <m/>
  </r>
  <r>
    <m/>
    <x v="390"/>
    <d v="2025-02-18T00:00:00"/>
    <x v="1"/>
    <e v="#N/A"/>
    <x v="0"/>
    <s v="DRY2400793"/>
    <s v="Denmark"/>
    <s v="CPFNW"/>
    <s v="CPF DENMARK"/>
    <s v="Wonton ND+V+TY"/>
    <x v="1"/>
    <s v="Cooked Wonton ND No Egg with Pumpkin _x000a_+ Vegetable  HC  3 pcs tomyam"/>
    <s v="082SJKW08003P00001"/>
    <s v="309g*8"/>
    <n v="8"/>
    <n v="3"/>
    <n v="7.4999999999999997E-3"/>
    <s v="M"/>
    <s v="Salt"/>
    <s v="TYANSSG+CM"/>
    <n v="3500"/>
    <m/>
    <n v="3500"/>
    <n v="0"/>
    <n v="0"/>
    <n v="0"/>
    <n v="3.85E-2"/>
    <n v="0"/>
    <s v="ต้มยำสูตรลดเผ็ดลง 10 %"/>
    <m/>
    <m/>
  </r>
  <r>
    <m/>
    <x v="391"/>
    <m/>
    <x v="1"/>
    <e v="#N/A"/>
    <x v="0"/>
    <m/>
    <m/>
    <m/>
    <m/>
    <m/>
    <x v="0"/>
    <m/>
    <m/>
    <m/>
    <m/>
    <m/>
    <m/>
    <m/>
    <m/>
    <m/>
    <m/>
    <m/>
    <m/>
    <m/>
    <m/>
    <n v="0"/>
    <m/>
    <n v="0"/>
    <m/>
    <m/>
    <m/>
  </r>
  <r>
    <m/>
    <x v="392"/>
    <d v="2025-02-19T00:00:00"/>
    <x v="1"/>
    <e v="#N/A"/>
    <x v="0"/>
    <s v="DRY2400834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n v="0"/>
    <n v="7.4999999999999997E-3"/>
    <n v="0"/>
    <s v="รอเปลี่ยนNEWPACKAGE"/>
    <m/>
    <m/>
  </r>
  <r>
    <m/>
    <x v="392"/>
    <s v="02-2025"/>
    <x v="1"/>
    <e v="#N/A"/>
    <x v="0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2270"/>
    <n v="2270"/>
    <m/>
    <n v="0"/>
    <n v="0"/>
    <n v="0"/>
    <n v="7.4999999999999997E-3"/>
    <n v="0"/>
    <m/>
    <m/>
    <m/>
  </r>
  <r>
    <m/>
    <x v="392"/>
    <s v="03-2025"/>
    <x v="1"/>
    <e v="#N/A"/>
    <x v="0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778"/>
    <n v="778"/>
    <m/>
    <n v="0"/>
    <n v="0"/>
    <n v="0"/>
    <n v="7.4999999999999997E-3"/>
    <n v="0"/>
    <m/>
    <m/>
    <m/>
  </r>
  <r>
    <m/>
    <x v="392"/>
    <d v="2025-02-03T00:00:00"/>
    <x v="1"/>
    <e v="#N/A"/>
    <x v="0"/>
    <s v="KL2400043"/>
    <s v="China"/>
    <s v="China"/>
    <s v="Charoen Pokphand Import&amp;Export Trading (Shanghai) Co., Ltd"/>
    <s v="Wonton+TY"/>
    <x v="1"/>
    <s v="Wonton Soup  (Enriched wonton sheet)"/>
    <s v="082S85J36005P00001"/>
    <s v="147g*6c*6in"/>
    <n v="36"/>
    <n v="5"/>
    <n v="7.4999999999999997E-3"/>
    <s v="M"/>
    <s v="Salt"/>
    <s v="TYEXSG+CO"/>
    <n v="798"/>
    <n v="798"/>
    <n v="35.694444444444443"/>
    <n v="35.694444444444457"/>
    <n v="0"/>
    <n v="0"/>
    <n v="2.2419999999999999E-2"/>
    <n v="0"/>
    <m/>
    <m/>
    <m/>
  </r>
  <r>
    <m/>
    <x v="393"/>
    <d v="2025-02-03T00:00:00"/>
    <x v="1"/>
    <e v="#N/A"/>
    <x v="0"/>
    <s v="KL2400044"/>
    <s v="China"/>
    <s v="China"/>
    <s v="Charoen Pokphand Import&amp;Export Trading (Shanghai) Co., Ltd"/>
    <s v="Wonton ND+V"/>
    <x v="1"/>
    <s v="Cooked Wonton ND No Egg with Pumpkin _x000a_+ Vegetable 5 pcs tomyam"/>
    <s v="082SJ5J36005P00001"/>
    <s v="308g*6c*6in"/>
    <n v="36"/>
    <n v="5"/>
    <n v="7.4999999999999997E-3"/>
    <s v="HC"/>
    <s v="Salt"/>
    <s v="Y3"/>
    <n v="300"/>
    <n v="102"/>
    <n v="202.02777777777777"/>
    <n v="4.0277777777777715"/>
    <n v="0"/>
    <n v="0"/>
    <n v="9.7000000000000003E-3"/>
    <n v="0"/>
    <s v="INNERใหม่ / กล่องใหม่"/>
    <m/>
    <m/>
  </r>
  <r>
    <m/>
    <x v="393"/>
    <d v="2025-02-13T00:00:00"/>
    <x v="1"/>
    <e v="#N/A"/>
    <x v="0"/>
    <s v="DRY240079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63"/>
    <n v="663"/>
    <m/>
    <n v="0"/>
    <n v="0"/>
    <n v="0"/>
    <n v="9.7000000000000003E-3"/>
    <n v="0"/>
    <m/>
    <m/>
    <m/>
  </r>
  <r>
    <m/>
    <x v="393"/>
    <d v="2025-02-13T00:00:00"/>
    <x v="1"/>
    <e v="#N/A"/>
    <x v="0"/>
    <s v="DRY240077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m/>
    <m/>
  </r>
  <r>
    <m/>
    <x v="393"/>
    <d v="2025-02-13T00:00:00"/>
    <x v="1"/>
    <e v="#N/A"/>
    <x v="0"/>
    <s v="DRY250001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60"/>
    <n v="460"/>
    <m/>
    <n v="0"/>
    <n v="0"/>
    <n v="0"/>
    <n v="9.7000000000000003E-3"/>
    <n v="0"/>
    <m/>
    <m/>
    <m/>
  </r>
  <r>
    <m/>
    <x v="393"/>
    <d v="2025-02-14T00:00:00"/>
    <x v="1"/>
    <e v="#N/A"/>
    <x v="0"/>
    <s v="DRY240078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m/>
    <m/>
  </r>
  <r>
    <m/>
    <x v="393"/>
    <d v="2025-02-14T00:00:00"/>
    <x v="1"/>
    <e v="#N/A"/>
    <x v="0"/>
    <s v="DRY240078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67"/>
    <n v="767"/>
    <m/>
    <n v="0"/>
    <n v="0"/>
    <n v="0"/>
    <n v="9.7000000000000003E-3"/>
    <n v="0"/>
    <m/>
    <m/>
    <m/>
  </r>
  <r>
    <m/>
    <x v="394"/>
    <m/>
    <x v="1"/>
    <e v="#N/A"/>
    <x v="0"/>
    <m/>
    <m/>
    <m/>
    <m/>
    <m/>
    <x v="0"/>
    <m/>
    <m/>
    <m/>
    <m/>
    <m/>
    <m/>
    <m/>
    <m/>
    <m/>
    <m/>
    <m/>
    <m/>
    <m/>
    <m/>
    <n v="0"/>
    <m/>
    <n v="0"/>
    <m/>
    <m/>
    <m/>
  </r>
  <r>
    <s v="R"/>
    <x v="395"/>
    <d v="2025-02-05T00:00:00"/>
    <x v="1"/>
    <e v="#N/A"/>
    <x v="0"/>
    <s v="DRY2400821"/>
    <s v="SG"/>
    <s v="CPFNW"/>
    <s v="CPI SINGAPORE"/>
    <s v="R-Wonton egg past"/>
    <x v="2"/>
    <s v="Raw Wonton 12 pcs with sesame"/>
    <s v="082I93B20012P02001"/>
    <s v="204g*20in"/>
    <n v="20"/>
    <n v="12"/>
    <n v="6.8100000000000001E-3"/>
    <s v="S"/>
    <s v="STPP"/>
    <s v=" sesame 30g"/>
    <n v="1200"/>
    <n v="756"/>
    <n v="444"/>
    <n v="0"/>
    <n v="0"/>
    <n v="0"/>
    <n v="2"/>
    <n v="0"/>
    <s v="ห่อแบบดิบ"/>
    <m/>
    <m/>
  </r>
  <r>
    <m/>
    <x v="395"/>
    <d v="2025-03-05T00:00:00"/>
    <x v="1"/>
    <e v="#N/A"/>
    <x v="0"/>
    <s v="DRY2500011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n v="0"/>
    <n v="7.4999999999999997E-3"/>
    <n v="0"/>
    <s v="รอเปลี่ยนNEWPACKAGE"/>
    <m/>
    <m/>
  </r>
  <r>
    <m/>
    <x v="395"/>
    <d v="2025-02-11T00:00:00"/>
    <x v="1"/>
    <e v="#N/A"/>
    <x v="0"/>
    <s v="DRY2500014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1400"/>
    <m/>
    <n v="1400"/>
    <n v="0"/>
    <n v="0"/>
    <n v="0"/>
    <n v="7.4999999999999997E-3"/>
    <n v="0"/>
    <m/>
    <m/>
    <m/>
  </r>
  <r>
    <m/>
    <x v="395"/>
    <d v="2025-02-25T00:00:00"/>
    <x v="1"/>
    <e v="#N/A"/>
    <x v="0"/>
    <s v="DRY2500015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1400"/>
    <m/>
    <n v="1400"/>
    <n v="0"/>
    <n v="0"/>
    <n v="0"/>
    <n v="7.4999999999999997E-3"/>
    <n v="0"/>
    <m/>
    <m/>
    <m/>
  </r>
  <r>
    <m/>
    <x v="396"/>
    <d v="2025-02-14T00:00:00"/>
    <x v="1"/>
    <e v="#N/A"/>
    <x v="0"/>
    <s v="DRY240078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5"/>
    <n v="25"/>
    <m/>
    <n v="0"/>
    <n v="0"/>
    <n v="0"/>
    <n v="9.7000000000000003E-3"/>
    <n v="0"/>
    <m/>
    <m/>
    <m/>
  </r>
  <r>
    <m/>
    <x v="396"/>
    <d v="2025-02-14T00:00:00"/>
    <x v="1"/>
    <e v="#N/A"/>
    <x v="0"/>
    <s v="DRY240078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m/>
    <m/>
  </r>
  <r>
    <m/>
    <x v="396"/>
    <d v="2025-02-14T00:00:00"/>
    <x v="1"/>
    <e v="#N/A"/>
    <x v="0"/>
    <s v="DRY240083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m/>
    <m/>
  </r>
  <r>
    <m/>
    <x v="396"/>
    <d v="2025-02-20T00:00:00"/>
    <x v="1"/>
    <e v="#N/A"/>
    <x v="0"/>
    <s v="DRY240083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m/>
    <m/>
  </r>
  <r>
    <m/>
    <x v="396"/>
    <d v="2025-02-20T00:00:00"/>
    <x v="1"/>
    <e v="#N/A"/>
    <x v="0"/>
    <s v="DRY240083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m/>
    <m/>
  </r>
  <r>
    <m/>
    <x v="396"/>
    <d v="2025-02-21T00:00:00"/>
    <x v="1"/>
    <e v="#N/A"/>
    <x v="0"/>
    <s v="DRY240083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m/>
    <m/>
  </r>
  <r>
    <m/>
    <x v="397"/>
    <d v="2025-02-28T00:00:00"/>
    <x v="1"/>
    <e v="#N/A"/>
    <x v="1"/>
    <s v="DRY240083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7"/>
    <n v="37"/>
    <m/>
    <n v="0"/>
    <n v="0"/>
    <n v="0"/>
    <n v="9.7000000000000003E-3"/>
    <n v="0"/>
    <m/>
    <n v="0"/>
    <n v="0"/>
  </r>
  <r>
    <m/>
    <x v="397"/>
    <d v="2025-02-28T00:00:00"/>
    <x v="1"/>
    <e v="#N/A"/>
    <x v="1"/>
    <s v="DRY240083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55"/>
    <n v="755"/>
    <m/>
    <n v="0"/>
    <n v="0"/>
    <n v="0"/>
    <n v="9.7000000000000003E-3"/>
    <n v="0"/>
    <m/>
    <n v="0"/>
    <n v="0"/>
  </r>
  <r>
    <m/>
    <x v="397"/>
    <d v="2025-02-28T00:00:00"/>
    <x v="1"/>
    <e v="#N/A"/>
    <x v="1"/>
    <s v="DRY240084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397"/>
    <d v="2025-02-28T00:00:00"/>
    <x v="1"/>
    <e v="#N/A"/>
    <x v="1"/>
    <s v="DRY240084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397"/>
    <d v="2025-03-04T00:00:00"/>
    <x v="1"/>
    <e v="#N/A"/>
    <x v="1"/>
    <s v="DRY240084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216"/>
    <n v="576"/>
    <n v="0"/>
    <n v="0"/>
    <n v="0"/>
    <n v="9.7000000000000003E-3"/>
    <n v="0"/>
    <m/>
    <n v="0"/>
    <n v="0"/>
  </r>
  <r>
    <m/>
    <x v="397"/>
    <d v="2025-03-04T00:00:00"/>
    <x v="1"/>
    <e v="#N/A"/>
    <x v="1"/>
    <s v="DRY240084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21"/>
    <m/>
    <n v="321"/>
    <n v="0"/>
    <n v="0"/>
    <n v="0"/>
    <n v="9.7000000000000003E-3"/>
    <n v="0"/>
    <m/>
    <n v="0"/>
    <n v="0"/>
  </r>
  <r>
    <m/>
    <x v="398"/>
    <m/>
    <x v="1"/>
    <e v="#N/A"/>
    <x v="1"/>
    <m/>
    <m/>
    <m/>
    <m/>
    <m/>
    <x v="0"/>
    <m/>
    <m/>
    <m/>
    <m/>
    <m/>
    <m/>
    <m/>
    <m/>
    <m/>
    <m/>
    <m/>
    <m/>
    <m/>
    <m/>
    <n v="0"/>
    <m/>
    <n v="0"/>
    <m/>
    <n v="0"/>
    <n v="0"/>
  </r>
  <r>
    <s v="R"/>
    <x v="399"/>
    <d v="2025-02-08T00:00:00"/>
    <x v="1"/>
    <e v="#N/A"/>
    <x v="1"/>
    <s v="KL2500003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n v="0"/>
    <n v="0"/>
  </r>
  <r>
    <s v="R"/>
    <x v="399"/>
    <s v="02-2025"/>
    <x v="1"/>
    <e v="#N/A"/>
    <x v="1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378"/>
    <n v="378"/>
    <m/>
    <n v="0"/>
    <n v="0"/>
    <n v="0"/>
    <m/>
    <n v="0"/>
    <m/>
    <n v="0"/>
    <n v="0"/>
  </r>
  <r>
    <m/>
    <x v="400"/>
    <d v="2025-03-04T00:00:00"/>
    <x v="1"/>
    <e v="#N/A"/>
    <x v="1"/>
    <s v="DRY240084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71"/>
    <n v="471"/>
    <m/>
    <n v="0"/>
    <n v="0"/>
    <n v="0"/>
    <n v="9.7000000000000003E-3"/>
    <n v="0"/>
    <m/>
    <n v="0"/>
    <n v="0"/>
  </r>
  <r>
    <m/>
    <x v="400"/>
    <d v="2025-03-04T00:00:00"/>
    <x v="1"/>
    <e v="#N/A"/>
    <x v="1"/>
    <s v="DRY240084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400"/>
    <d v="2025-03-04T00:00:00"/>
    <x v="1"/>
    <e v="#N/A"/>
    <x v="1"/>
    <s v="DRY240084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400"/>
    <d v="2025-03-04T00:00:00"/>
    <x v="1"/>
    <e v="#N/A"/>
    <x v="1"/>
    <s v="DRY240084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400"/>
    <d v="2025-03-05T00:00:00"/>
    <x v="1"/>
    <e v="#N/A"/>
    <x v="1"/>
    <s v="DRY240084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359"/>
    <n v="433"/>
    <n v="0"/>
    <n v="0"/>
    <n v="0"/>
    <n v="9.7000000000000003E-3"/>
    <n v="0"/>
    <m/>
    <n v="0"/>
    <n v="0"/>
  </r>
  <r>
    <m/>
    <x v="400"/>
    <d v="2025-03-11T00:00:00"/>
    <x v="1"/>
    <e v="#N/A"/>
    <x v="1"/>
    <s v="DRY240084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93"/>
    <m/>
    <n v="293"/>
    <n v="0"/>
    <n v="0"/>
    <n v="0"/>
    <n v="9.7000000000000003E-3"/>
    <n v="0"/>
    <m/>
    <n v="0"/>
    <n v="0"/>
  </r>
  <r>
    <m/>
    <x v="401"/>
    <d v="2025-03-19T00:00:00"/>
    <x v="1"/>
    <e v="#N/A"/>
    <x v="1"/>
    <s v="DRY2500012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558"/>
    <m/>
    <n v="2558"/>
    <n v="0"/>
    <n v="0"/>
    <n v="0"/>
    <n v="7.4999999999999997E-3"/>
    <n v="0"/>
    <s v="รอเปลี่ยนNEWPACKAGE"/>
    <n v="0"/>
    <n v="0"/>
  </r>
  <r>
    <m/>
    <x v="401"/>
    <s v="02-2025"/>
    <x v="1"/>
    <e v="#N/A"/>
    <x v="1"/>
    <s v="ขายภายใน"/>
    <s v=".7-11"/>
    <s v="CPFGS"/>
    <s v="ซีพีเอฟ เทรดดิ้ง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4000"/>
    <n v="4000"/>
    <m/>
    <n v="0"/>
    <n v="0"/>
    <n v="0"/>
    <n v="1.2999999999999999E-2"/>
    <n v="0"/>
    <m/>
    <n v="0"/>
    <n v="0"/>
  </r>
  <r>
    <m/>
    <x v="401"/>
    <s v="02-2025"/>
    <x v="1"/>
    <e v="#N/A"/>
    <x v="1"/>
    <s v="ขายภายใน"/>
    <s v="MTFS"/>
    <s v="CPFGS"/>
    <s v="ซีพีเอฟ เทรดดิ้ง"/>
    <s v="E+Wonton+หมาล่า"/>
    <x v="1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158"/>
    <n v="158"/>
    <m/>
    <n v="0"/>
    <n v="0"/>
    <n v="0"/>
    <n v="1.2999999999999999E-2"/>
    <n v="0"/>
    <m/>
    <n v="0"/>
    <n v="0"/>
  </r>
  <r>
    <m/>
    <x v="402"/>
    <s v="02-2025"/>
    <x v="1"/>
    <e v="#N/A"/>
    <x v="1"/>
    <s v="ขายภายใน"/>
    <s v="MTFS"/>
    <s v="CPFGS"/>
    <s v="ซีพีเอฟ เทรดดิ้ง"/>
    <s v="E+Wonton NDE"/>
    <x v="1"/>
    <s v="Cooked Wonton ND with egg V-Food"/>
    <s v="082SJ3Q12003P07001"/>
    <s v="226g*12"/>
    <n v="12"/>
    <n v="3"/>
    <n v="8.0000000000000002E-3"/>
    <s v="M"/>
    <s v="STPP"/>
    <s v="Regular"/>
    <n v="616"/>
    <n v="616"/>
    <m/>
    <n v="0"/>
    <n v="0"/>
    <n v="0"/>
    <n v="7.4999999999999997E-3"/>
    <n v="0"/>
    <m/>
    <n v="0"/>
    <n v="0"/>
  </r>
  <r>
    <m/>
    <x v="402"/>
    <s v="02-2025"/>
    <x v="1"/>
    <e v="#N/A"/>
    <x v="1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3750"/>
    <n v="3750"/>
    <m/>
    <n v="0"/>
    <n v="0"/>
    <n v="0"/>
    <n v="7.4999999999999997E-3"/>
    <n v="0"/>
    <m/>
    <n v="0"/>
    <n v="0"/>
  </r>
  <r>
    <m/>
    <x v="402"/>
    <s v="02-2025"/>
    <x v="1"/>
    <e v="#N/A"/>
    <x v="1"/>
    <s v="ขายภายใน"/>
    <s v="MTFS"/>
    <s v="CPFGS"/>
    <s v="ซีพีเอฟ เทรดดิ้ง"/>
    <s v="E+Wonton"/>
    <x v="1"/>
    <s v="Cooked Wonton  with egg V-Food"/>
    <s v="082S83Q12005P05001"/>
    <s v="145g*12"/>
    <n v="12"/>
    <n v="5"/>
    <n v="8.0000000000000002E-3"/>
    <s v="M"/>
    <s v="STPP"/>
    <s v="Regular"/>
    <n v="1111"/>
    <n v="1111"/>
    <m/>
    <n v="0"/>
    <n v="0"/>
    <n v="0"/>
    <n v="7.4999999999999997E-3"/>
    <n v="0"/>
    <m/>
    <n v="0"/>
    <n v="0"/>
  </r>
  <r>
    <m/>
    <x v="403"/>
    <d v="2025-03-11T00:00:00"/>
    <x v="1"/>
    <e v="#N/A"/>
    <x v="1"/>
    <s v="DRY240084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99"/>
    <n v="499"/>
    <m/>
    <n v="0"/>
    <n v="0"/>
    <n v="0"/>
    <n v="9.7000000000000003E-3"/>
    <n v="0"/>
    <m/>
    <n v="0"/>
    <n v="0"/>
  </r>
  <r>
    <m/>
    <x v="403"/>
    <d v="2025-02-28T00:00:00"/>
    <x v="1"/>
    <e v="#N/A"/>
    <x v="1"/>
    <s v="DRY250001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60"/>
    <n v="460"/>
    <m/>
    <n v="0"/>
    <n v="0"/>
    <n v="0"/>
    <n v="9.7000000000000003E-3"/>
    <n v="0"/>
    <m/>
    <n v="0"/>
    <n v="0"/>
  </r>
  <r>
    <m/>
    <x v="403"/>
    <d v="2025-03-25T00:00:00"/>
    <x v="1"/>
    <e v="#N/A"/>
    <x v="1"/>
    <s v="DRY240084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55"/>
    <n v="155"/>
    <m/>
    <n v="0"/>
    <n v="0"/>
    <n v="0"/>
    <n v="9.7000000000000003E-3"/>
    <n v="0"/>
    <m/>
    <n v="0"/>
    <n v="0"/>
  </r>
  <r>
    <m/>
    <x v="403"/>
    <d v="2025-02-27T00:00:00"/>
    <x v="1"/>
    <e v="#N/A"/>
    <x v="1"/>
    <s v="DRY2500008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403"/>
    <d v="2025-03-06T00:00:00"/>
    <x v="1"/>
    <e v="#N/A"/>
    <x v="1"/>
    <s v="DRY2500009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403"/>
    <d v="2025-03-06T00:00:00"/>
    <x v="1"/>
    <e v="#N/A"/>
    <x v="1"/>
    <s v="DRY2500010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s v="R"/>
    <x v="404"/>
    <d v="2025-02-28T00:00:00"/>
    <x v="1"/>
    <e v="#N/A"/>
    <x v="1"/>
    <s v="DRY2400772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278"/>
    <n v="278"/>
    <m/>
    <n v="0"/>
    <n v="0"/>
    <n v="0"/>
    <n v="2"/>
    <n v="0"/>
    <s v="ใช้ package new"/>
    <n v="0"/>
    <n v="0"/>
  </r>
  <r>
    <s v="R"/>
    <x v="404"/>
    <d v="2025-02-28T00:00:00"/>
    <x v="1"/>
    <e v="#N/A"/>
    <x v="1"/>
    <s v="DRY2400796"/>
    <s v="HK"/>
    <s v="CPFNW"/>
    <s v="CPM Hongkong"/>
    <s v="R-Minced egg past"/>
    <x v="2"/>
    <s v="Raw Minced Wonton 8 pcs"/>
    <s v="082ID3G18008P00001"/>
    <s v="90g*18in"/>
    <n v="18"/>
    <n v="8"/>
    <n v="6.0000000000000001E-3"/>
    <s v="BK"/>
    <s v="STPP"/>
    <s v="ซุปซอง 5g."/>
    <n v="300"/>
    <n v="300"/>
    <m/>
    <n v="0"/>
    <n v="0"/>
    <n v="0"/>
    <n v="2"/>
    <n v="0"/>
    <m/>
    <n v="0"/>
    <n v="0"/>
  </r>
  <r>
    <s v="R"/>
    <x v="404"/>
    <d v="2025-02-17T00:00:00"/>
    <x v="1"/>
    <e v="#N/A"/>
    <x v="1"/>
    <s v="DRY2400812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922"/>
    <n v="896"/>
    <n v="26"/>
    <n v="0"/>
    <n v="0"/>
    <n v="0"/>
    <n v="6"/>
    <n v="0"/>
    <m/>
    <n v="0"/>
    <n v="0"/>
  </r>
  <r>
    <m/>
    <x v="405"/>
    <m/>
    <x v="1"/>
    <e v="#N/A"/>
    <x v="1"/>
    <m/>
    <m/>
    <m/>
    <m/>
    <m/>
    <x v="0"/>
    <m/>
    <m/>
    <m/>
    <m/>
    <m/>
    <m/>
    <m/>
    <m/>
    <m/>
    <m/>
    <m/>
    <m/>
    <m/>
    <m/>
    <n v="0"/>
    <m/>
    <n v="0"/>
    <m/>
    <m/>
    <m/>
  </r>
  <r>
    <s v="R"/>
    <x v="406"/>
    <d v="2025-02-17T00:00:00"/>
    <x v="1"/>
    <e v="#N/A"/>
    <x v="1"/>
    <s v="DRY2400812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226"/>
    <n v="226"/>
    <m/>
    <n v="0"/>
    <n v="0"/>
    <n v="0"/>
    <n v="6"/>
    <n v="0"/>
    <m/>
    <n v="0"/>
    <n v="0"/>
  </r>
  <r>
    <s v="R"/>
    <x v="406"/>
    <d v="2025-02-28T00:00:00"/>
    <x v="1"/>
    <e v="#N/A"/>
    <x v="1"/>
    <s v="DRY2400772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1100"/>
    <n v="1100"/>
    <m/>
    <n v="0"/>
    <n v="0"/>
    <n v="0"/>
    <n v="2"/>
    <n v="0"/>
    <s v="ใช้ package new"/>
    <n v="0"/>
    <n v="0"/>
  </r>
  <r>
    <m/>
    <x v="407"/>
    <d v="2025-03-05T00:00:00"/>
    <x v="1"/>
    <e v="#N/A"/>
    <x v="1"/>
    <s v="DRY2400831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n v="0"/>
    <n v="9.7000000000000003E-3"/>
    <n v="0"/>
    <s v="รอเปลี่ยนNEWPACKAGE"/>
    <n v="0"/>
    <n v="0"/>
  </r>
  <r>
    <m/>
    <x v="407"/>
    <d v="2025-03-05T00:00:00"/>
    <x v="1"/>
    <e v="#N/A"/>
    <x v="1"/>
    <s v="DRY2400833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281"/>
    <n v="281"/>
    <m/>
    <n v="0"/>
    <n v="0"/>
    <n v="0"/>
    <n v="9.7000000000000003E-3"/>
    <n v="0"/>
    <s v="รอเปลี่ยนNEWPACKAGE"/>
    <n v="0"/>
    <n v="0"/>
  </r>
  <r>
    <m/>
    <x v="407"/>
    <s v="03-2025"/>
    <x v="1"/>
    <e v="#N/A"/>
    <x v="1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3885"/>
    <n v="3885"/>
    <m/>
    <n v="0"/>
    <n v="0"/>
    <n v="0"/>
    <n v="7.4999999999999997E-3"/>
    <n v="0"/>
    <m/>
    <n v="0"/>
    <n v="0"/>
  </r>
  <r>
    <m/>
    <x v="408"/>
    <m/>
    <x v="1"/>
    <e v="#N/A"/>
    <x v="1"/>
    <m/>
    <m/>
    <m/>
    <m/>
    <m/>
    <x v="0"/>
    <m/>
    <m/>
    <m/>
    <m/>
    <m/>
    <m/>
    <m/>
    <m/>
    <m/>
    <m/>
    <m/>
    <m/>
    <m/>
    <m/>
    <n v="0"/>
    <m/>
    <n v="0"/>
    <m/>
    <m/>
    <m/>
  </r>
  <r>
    <s v="R"/>
    <x v="409"/>
    <d v="2025-02-17T00:00:00"/>
    <x v="1"/>
    <e v="#N/A"/>
    <x v="1"/>
    <s v="DRY2400812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908"/>
    <n v="908"/>
    <m/>
    <n v="0"/>
    <n v="0"/>
    <n v="0"/>
    <n v="6"/>
    <n v="0"/>
    <m/>
    <n v="0"/>
    <n v="0"/>
  </r>
  <r>
    <s v="R"/>
    <x v="409"/>
    <d v="2025-02-28T00:00:00"/>
    <x v="1"/>
    <e v="#N/A"/>
    <x v="1"/>
    <s v="DRY2400772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246"/>
    <n v="242"/>
    <n v="15"/>
    <n v="11"/>
    <n v="0"/>
    <n v="0"/>
    <n v="2"/>
    <n v="0"/>
    <s v="ใช้ package new"/>
    <n v="0"/>
    <n v="0"/>
  </r>
  <r>
    <m/>
    <x v="410"/>
    <d v="2025-03-03T00:00:00"/>
    <x v="1"/>
    <e v="#N/A"/>
    <x v="1"/>
    <s v="DRY2500044"/>
    <s v="Netherlands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ใช้ package ที่เป็น หมึกพิมพ์ใหม่"/>
    <n v="0"/>
    <n v="0"/>
  </r>
  <r>
    <m/>
    <x v="410"/>
    <s v="03-2025"/>
    <x v="1"/>
    <e v="#N/A"/>
    <x v="1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2157"/>
    <n v="2157"/>
    <m/>
    <n v="0"/>
    <n v="0"/>
    <n v="0"/>
    <n v="7.4999999999999997E-3"/>
    <n v="0"/>
    <m/>
    <n v="0"/>
    <n v="0"/>
  </r>
  <r>
    <m/>
    <x v="410"/>
    <s v="03-2025"/>
    <x v="1"/>
    <e v="#N/A"/>
    <x v="1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417"/>
    <n v="417"/>
    <m/>
    <n v="0"/>
    <n v="0"/>
    <n v="0"/>
    <n v="7.4999999999999997E-3"/>
    <n v="0"/>
    <m/>
    <n v="0"/>
    <n v="0"/>
  </r>
  <r>
    <m/>
    <x v="410"/>
    <d v="2025-03-05T00:00:00"/>
    <x v="1"/>
    <e v="#N/A"/>
    <x v="1"/>
    <s v="DRY2400833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007"/>
    <n v="1007"/>
    <m/>
    <n v="0"/>
    <n v="0"/>
    <n v="0"/>
    <n v="9.7000000000000003E-3"/>
    <n v="0"/>
    <s v="รอเปลี่ยนNEWPACKAGE"/>
    <n v="0"/>
    <n v="0"/>
  </r>
  <r>
    <m/>
    <x v="411"/>
    <d v="2025-03-07T00:00:00"/>
    <x v="1"/>
    <e v="#N/A"/>
    <x v="1"/>
    <s v="DRY2500042"/>
    <s v="USA"/>
    <s v="CPFNW"/>
    <s v="Bellisio Foods, Inc."/>
    <s v="Minced ND+V"/>
    <x v="1"/>
    <s v="Cooked Wonton ND No Egg with Pumpkin_x000a_+ Yu Choy Low sodium"/>
    <s v="082SRBW24005P01001"/>
    <s v="308g*4c*6in"/>
    <n v="24"/>
    <n v="5"/>
    <n v="6.0000000000000001E-3"/>
    <s v="BK"/>
    <s v="Salt"/>
    <s v="Y3"/>
    <n v="200"/>
    <n v="200"/>
    <m/>
    <n v="0"/>
    <n v="0"/>
    <n v="0"/>
    <n v="9.7000000000000003E-3"/>
    <n v="0"/>
    <m/>
    <n v="0"/>
    <n v="0"/>
  </r>
  <r>
    <m/>
    <x v="411"/>
    <d v="2025-03-19T00:00:00"/>
    <x v="1"/>
    <e v="#N/A"/>
    <x v="1"/>
    <s v="DRY2500066"/>
    <s v="USA"/>
    <s v="CPFNW"/>
    <s v="Bellisio Foods, Inc."/>
    <s v="Minced ND+V"/>
    <x v="1"/>
    <s v="Cooked Wonton ND No Egg with Pumpkin_x000a_+ Yu Choy Low sodium"/>
    <s v="082SRBW24005P01001"/>
    <s v="308g*4c*6in"/>
    <n v="24"/>
    <n v="5"/>
    <n v="6.0000000000000001E-3"/>
    <s v="BK"/>
    <s v="Salt"/>
    <s v="Y3"/>
    <n v="200"/>
    <n v="135"/>
    <n v="65"/>
    <n v="0"/>
    <n v="0"/>
    <n v="0"/>
    <n v="9.7000000000000003E-3"/>
    <n v="0"/>
    <s v="สำรอง"/>
    <n v="0"/>
    <n v="0"/>
  </r>
  <r>
    <m/>
    <x v="411"/>
    <d v="2025-04-19T00:00:00"/>
    <x v="1"/>
    <e v="#N/A"/>
    <x v="1"/>
    <s v="DRY2500043"/>
    <s v="USA"/>
    <s v="CPFNW"/>
    <s v="Bellisio Foods, Inc."/>
    <s v="Minced ND+V"/>
    <x v="1"/>
    <s v="Cooked Wonton ND No Egg with Pumpkin_x000a_+ Yu Choy Low sodium"/>
    <s v="082SRBW24005P01001"/>
    <s v="308g*4c*6in"/>
    <n v="24"/>
    <n v="5"/>
    <n v="6.0000000000000001E-3"/>
    <s v="BK"/>
    <s v="Salt"/>
    <s v="Y3"/>
    <n v="100"/>
    <m/>
    <n v="109.04166666666667"/>
    <n v="9.0416666666666714"/>
    <n v="0"/>
    <n v="0"/>
    <n v="9.7000000000000003E-3"/>
    <n v="0"/>
    <m/>
    <n v="0"/>
    <n v="0"/>
  </r>
  <r>
    <m/>
    <x v="411"/>
    <d v="2025-03-25T00:00:00"/>
    <x v="1"/>
    <e v="#N/A"/>
    <x v="1"/>
    <s v="DRY240085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411"/>
    <d v="2025-04-01T00:00:00"/>
    <x v="1"/>
    <e v="#N/A"/>
    <x v="1"/>
    <s v="DRY240085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14"/>
    <n v="78"/>
    <n v="0"/>
    <n v="0"/>
    <n v="0"/>
    <n v="9.7000000000000003E-3"/>
    <n v="0"/>
    <m/>
    <n v="0"/>
    <n v="0"/>
  </r>
  <r>
    <m/>
    <x v="411"/>
    <d v="2025-03-03T00:00:00"/>
    <x v="1"/>
    <e v="#N/A"/>
    <x v="1"/>
    <s v="DRY2500001"/>
    <s v="UK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SG+CO"/>
    <n v="924"/>
    <n v="924"/>
    <m/>
    <n v="0"/>
    <n v="0"/>
    <n v="0"/>
    <n v="3.8699999999999998E-2"/>
    <n v="0"/>
    <m/>
    <n v="0"/>
    <n v="0"/>
  </r>
  <r>
    <m/>
    <x v="411"/>
    <d v="2025-03-17T00:00:00"/>
    <x v="1"/>
    <e v="#N/A"/>
    <x v="1"/>
    <s v="DRY2500002"/>
    <s v="UK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SG+CO"/>
    <n v="924"/>
    <n v="903"/>
    <n v="21"/>
    <n v="0"/>
    <n v="0"/>
    <n v="0"/>
    <n v="3.8699999999999998E-2"/>
    <n v="0"/>
    <m/>
    <n v="0"/>
    <n v="0"/>
  </r>
  <r>
    <m/>
    <x v="411"/>
    <d v="2025-03-17T00:00:00"/>
    <x v="1"/>
    <e v="#N/A"/>
    <x v="1"/>
    <s v="DRY2500007"/>
    <s v="Germany"/>
    <s v="CPFNW"/>
    <s v=" CPF Distribution (under Paulsen Food)"/>
    <s v="Minced ND+V+TY"/>
    <x v="1"/>
    <s v="Cooked Minced  ND No Egg with Pumpkin_x000a_+ Yu Choy Tomyum"/>
    <s v="082SR3N12003P00001"/>
    <s v="302g*12"/>
    <n v="12"/>
    <n v="3"/>
    <n v="6.0000000000000001E-3"/>
    <s v="BK"/>
    <s v="Salt"/>
    <s v="TYEXSG+CO"/>
    <n v="2278"/>
    <m/>
    <n v="2449.6666666666665"/>
    <n v="171.66666666666652"/>
    <n v="0"/>
    <n v="0"/>
    <n v="3.8699999999999998E-2"/>
    <n v="0"/>
    <m/>
    <n v="0"/>
    <n v="0"/>
  </r>
  <r>
    <m/>
    <x v="412"/>
    <m/>
    <x v="1"/>
    <e v="#N/A"/>
    <x v="1"/>
    <m/>
    <m/>
    <m/>
    <m/>
    <m/>
    <x v="0"/>
    <m/>
    <m/>
    <m/>
    <m/>
    <m/>
    <m/>
    <m/>
    <m/>
    <m/>
    <m/>
    <m/>
    <m/>
    <m/>
    <m/>
    <n v="0"/>
    <m/>
    <n v="0"/>
    <m/>
    <m/>
    <m/>
  </r>
  <r>
    <s v="R"/>
    <x v="413"/>
    <d v="2025-02-28T00:00:00"/>
    <x v="1"/>
    <e v="#N/A"/>
    <x v="1"/>
    <s v="DRY2400796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1600"/>
    <n v="1082"/>
    <n v="518"/>
    <n v="0"/>
    <n v="0"/>
    <n v="0"/>
    <n v="1"/>
    <n v="0"/>
    <m/>
    <n v="0"/>
    <n v="0"/>
  </r>
  <r>
    <m/>
    <x v="413"/>
    <d v="2025-03-05T00:00:00"/>
    <x v="1"/>
    <e v="#N/A"/>
    <x v="1"/>
    <s v="DRY2400840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900"/>
    <m/>
    <n v="900"/>
    <n v="0"/>
    <n v="0"/>
    <n v="0"/>
    <n v="7.4999999999999997E-3"/>
    <n v="0"/>
    <m/>
    <n v="0"/>
    <n v="0"/>
  </r>
  <r>
    <m/>
    <x v="413"/>
    <d v="2025-03-05T00:00:00"/>
    <x v="1"/>
    <e v="#N/A"/>
    <x v="1"/>
    <s v="DRY2500041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800"/>
    <m/>
    <n v="800"/>
    <n v="0"/>
    <n v="0"/>
    <n v="0"/>
    <n v="7.4999999999999997E-3"/>
    <n v="0"/>
    <m/>
    <n v="0"/>
    <n v="0"/>
  </r>
  <r>
    <m/>
    <x v="413"/>
    <d v="2025-03-07T00:00:00"/>
    <x v="1"/>
    <e v="#N/A"/>
    <x v="1"/>
    <s v="DRY2500042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800"/>
    <m/>
    <n v="800"/>
    <n v="0"/>
    <n v="0"/>
    <n v="0"/>
    <n v="7.4999999999999997E-3"/>
    <n v="0"/>
    <m/>
    <n v="0"/>
    <n v="0"/>
  </r>
  <r>
    <m/>
    <x v="413"/>
    <d v="2025-03-19T00:00:00"/>
    <x v="1"/>
    <e v="#N/A"/>
    <x v="1"/>
    <s v="DRY2500066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700"/>
    <m/>
    <n v="700"/>
    <n v="0"/>
    <n v="0"/>
    <n v="0"/>
    <n v="7.4999999999999997E-3"/>
    <n v="0"/>
    <m/>
    <n v="0"/>
    <n v="0"/>
  </r>
  <r>
    <s v="R"/>
    <x v="414"/>
    <d v="2025-03-10T00:00:00"/>
    <x v="1"/>
    <e v="#N/A"/>
    <x v="1"/>
    <s v="DRY2500039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421"/>
    <n v="324"/>
    <n v="97"/>
    <n v="0"/>
    <n v="0"/>
    <n v="0"/>
    <n v="2"/>
    <n v="0"/>
    <m/>
    <n v="0"/>
    <n v="0"/>
  </r>
  <r>
    <s v="R"/>
    <x v="414"/>
    <d v="2025-03-18T00:00:00"/>
    <x v="1"/>
    <e v="#N/A"/>
    <x v="1"/>
    <s v="DRY2500016"/>
    <s v="Malay"/>
    <s v="CPFNW"/>
    <s v="CPM Malaysia"/>
    <s v="R-Wonton egg past"/>
    <x v="2"/>
    <s v="Raw Wonton 12 pcs"/>
    <s v="082I95I20012P02001"/>
    <s v="154g*20inner"/>
    <n v="20"/>
    <n v="12"/>
    <n v="6.8100000000000001E-3"/>
    <s v="S"/>
    <s v="STPP"/>
    <s v="ซุปซอง 5g."/>
    <n v="500"/>
    <n v="500"/>
    <m/>
    <n v="0"/>
    <n v="0"/>
    <n v="0"/>
    <n v="2"/>
    <n v="0"/>
    <m/>
    <n v="0"/>
    <n v="0"/>
  </r>
  <r>
    <m/>
    <x v="414"/>
    <d v="2025-03-13T00:00:00"/>
    <x v="1"/>
    <e v="#N/A"/>
    <x v="1"/>
    <s v="DRY2400828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m/>
    <n v="1288"/>
    <n v="0"/>
    <n v="0"/>
    <n v="0"/>
    <n v="7.4999999999999997E-3"/>
    <n v="0"/>
    <m/>
    <n v="0"/>
    <n v="0"/>
  </r>
  <r>
    <m/>
    <x v="414"/>
    <d v="2025-03-18T00:00:00"/>
    <x v="1"/>
    <e v="#N/A"/>
    <x v="1"/>
    <s v="DRY2500016"/>
    <s v="Malay"/>
    <s v="CPFNW"/>
    <s v="CPM Malaysia"/>
    <s v="Wonton"/>
    <x v="1"/>
    <s v="Cooked Wonton No Egg  "/>
    <s v="082S85I24005P01001"/>
    <s v="145g*24"/>
    <n v="24"/>
    <n v="5"/>
    <n v="8.0000000000000002E-3"/>
    <s v="M"/>
    <s v="STPP"/>
    <s v="Regular"/>
    <n v="500"/>
    <n v="500"/>
    <n v="2.625"/>
    <n v="2.625"/>
    <n v="0"/>
    <n v="0"/>
    <n v="7.4999999999999997E-3"/>
    <n v="0"/>
    <m/>
    <n v="0"/>
    <n v="0"/>
  </r>
  <r>
    <m/>
    <x v="414"/>
    <d v="2025-03-05T00:00:00"/>
    <x v="1"/>
    <e v="#N/A"/>
    <x v="1"/>
    <s v="DRY2500041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512"/>
    <m/>
    <n v="512"/>
    <n v="0"/>
    <n v="0"/>
    <n v="0"/>
    <n v="7.4999999999999997E-3"/>
    <n v="0"/>
    <m/>
    <n v="0"/>
    <n v="0"/>
  </r>
  <r>
    <m/>
    <x v="414"/>
    <d v="2025-03-07T00:00:00"/>
    <x v="1"/>
    <e v="#N/A"/>
    <x v="1"/>
    <s v="DRY2500042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500"/>
    <m/>
    <n v="500"/>
    <n v="0"/>
    <n v="0"/>
    <n v="0"/>
    <n v="7.4999999999999997E-3"/>
    <n v="0"/>
    <m/>
    <n v="0"/>
    <n v="0"/>
  </r>
  <r>
    <m/>
    <x v="414"/>
    <d v="2025-03-19T00:00:00"/>
    <x v="1"/>
    <e v="#N/A"/>
    <x v="1"/>
    <s v="DRY2500066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300"/>
    <m/>
    <n v="300"/>
    <n v="0"/>
    <n v="0"/>
    <n v="0"/>
    <n v="7.4999999999999997E-3"/>
    <n v="0"/>
    <m/>
    <n v="0"/>
    <n v="0"/>
  </r>
  <r>
    <m/>
    <x v="415"/>
    <s v="03-2025"/>
    <x v="1"/>
    <e v="#N/A"/>
    <x v="1"/>
    <s v="ขายภายใน"/>
    <s v="MTFS"/>
    <s v="CPFGS"/>
    <s v="ซีพีเอฟ เทรดดิ้ง"/>
    <s v="E+Wonton NDE"/>
    <x v="1"/>
    <s v="Cooked Wonton ND with egg V-Food"/>
    <s v="082SJ3Q12003P07001"/>
    <s v="226g*12"/>
    <n v="12"/>
    <n v="3"/>
    <n v="8.0000000000000002E-3"/>
    <s v="M"/>
    <s v="STPP"/>
    <s v="Regular"/>
    <n v="600"/>
    <n v="600"/>
    <m/>
    <n v="0"/>
    <n v="0"/>
    <n v="0"/>
    <n v="7.4999999999999997E-3"/>
    <n v="0"/>
    <m/>
    <n v="0"/>
    <n v="0"/>
  </r>
  <r>
    <m/>
    <x v="415"/>
    <s v="03-2025"/>
    <x v="1"/>
    <e v="#N/A"/>
    <x v="1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250"/>
    <n v="250"/>
    <m/>
    <n v="0"/>
    <n v="0"/>
    <n v="0"/>
    <n v="7.4999999999999997E-3"/>
    <n v="0"/>
    <m/>
    <n v="0"/>
    <n v="0"/>
  </r>
  <r>
    <m/>
    <x v="415"/>
    <s v="03-2025"/>
    <x v="1"/>
    <e v="#N/A"/>
    <x v="1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511"/>
    <n v="511"/>
    <m/>
    <n v="0"/>
    <n v="0"/>
    <n v="0"/>
    <n v="7.4999999999999997E-3"/>
    <n v="0"/>
    <m/>
    <n v="0"/>
    <n v="0"/>
  </r>
  <r>
    <m/>
    <x v="415"/>
    <s v="03-2025"/>
    <x v="1"/>
    <e v="#N/A"/>
    <x v="1"/>
    <s v="ขายภายใน"/>
    <s v="MTFS"/>
    <s v="CPFGS"/>
    <s v="ซีพีเอฟ เทรดดิ้ง"/>
    <s v="E+Wonton TY"/>
    <x v="1"/>
    <s v="Cooked Wonton Tomyum with egg.V-Food TY"/>
    <s v="082S83Q12005P04001"/>
    <s v="115g*12"/>
    <n v="12"/>
    <n v="5"/>
    <n v="8.0000000000000002E-3"/>
    <s v="M"/>
    <s v="STPP"/>
    <s v="TYTB3C 30G"/>
    <n v="300"/>
    <n v="300"/>
    <m/>
    <n v="0"/>
    <n v="0"/>
    <n v="0"/>
    <n v="1"/>
    <n v="0"/>
    <s v="เหลือซอส 33,000 ซอง"/>
    <n v="0"/>
    <n v="0"/>
  </r>
  <r>
    <m/>
    <x v="415"/>
    <s v="03-2025"/>
    <x v="1"/>
    <e v="#N/A"/>
    <x v="1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1100"/>
    <n v="1100"/>
    <m/>
    <n v="0"/>
    <n v="0"/>
    <n v="0"/>
    <n v="1"/>
    <n v="0"/>
    <m/>
    <n v="0"/>
    <n v="0"/>
  </r>
  <r>
    <m/>
    <x v="415"/>
    <s v="02-2025"/>
    <x v="1"/>
    <e v="#N/A"/>
    <x v="1"/>
    <s v="ขายภายใน"/>
    <s v=".7-11"/>
    <s v="CPFGS"/>
    <s v="ซีพีเอฟ เทรดดิ้ง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800"/>
    <n v="800"/>
    <m/>
    <n v="0"/>
    <n v="0"/>
    <n v="0"/>
    <n v="1.2999999999999999E-2"/>
    <n v="0"/>
    <m/>
    <n v="0"/>
    <n v="0"/>
  </r>
  <r>
    <m/>
    <x v="415"/>
    <s v="03-2025"/>
    <x v="1"/>
    <e v="#N/A"/>
    <x v="1"/>
    <s v="ขายภายใน"/>
    <s v=".7-11"/>
    <s v="CPFGS"/>
    <s v="ซีพีเอฟ เทรดดิ้ง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3200"/>
    <n v="3200"/>
    <m/>
    <n v="0"/>
    <n v="0"/>
    <n v="0"/>
    <n v="1.2999999999999999E-2"/>
    <n v="0"/>
    <m/>
    <n v="0"/>
    <n v="0"/>
  </r>
  <r>
    <m/>
    <x v="415"/>
    <s v="02-2025"/>
    <x v="1"/>
    <e v="#N/A"/>
    <x v="1"/>
    <s v="ขายภายใน"/>
    <s v="MTFS"/>
    <s v="CPFGS"/>
    <s v="ซีพีเอฟ เทรดดิ้ง"/>
    <s v="E+Wonton+หมาล่า"/>
    <x v="1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700"/>
    <n v="700"/>
    <m/>
    <n v="0"/>
    <n v="0"/>
    <n v="0"/>
    <n v="1.2999999999999999E-2"/>
    <n v="0"/>
    <m/>
    <n v="0"/>
    <n v="0"/>
  </r>
  <r>
    <m/>
    <x v="415"/>
    <s v="03-2025"/>
    <x v="1"/>
    <e v="#N/A"/>
    <x v="1"/>
    <s v="ขายภายใน"/>
    <s v="MTFS"/>
    <s v="CPFGS"/>
    <s v="ซีพีเอฟ เทรดดิ้ง"/>
    <s v="E+Wonton+หมาล่า"/>
    <x v="1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750"/>
    <n v="750"/>
    <m/>
    <n v="0"/>
    <n v="0"/>
    <n v="0"/>
    <n v="1.2999999999999999E-2"/>
    <n v="0"/>
    <m/>
    <n v="0"/>
    <n v="0"/>
  </r>
  <r>
    <s v="ชมรมกอล์ฟ ซีพี"/>
    <x v="416"/>
    <s v="03-2025"/>
    <x v="1"/>
    <e v="#N/A"/>
    <x v="1"/>
    <s v="ขายภายใน"/>
    <s v="MTFS"/>
    <s v="CPFGS"/>
    <s v="ซีพีเอฟ เทรดดิ้ง"/>
    <s v="E+Wonton"/>
    <x v="1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n v="0"/>
    <n v="7.4999999999999997E-3"/>
    <n v="0"/>
    <m/>
    <n v="0"/>
    <n v="0"/>
  </r>
  <r>
    <m/>
    <x v="416"/>
    <s v="03-2025"/>
    <x v="1"/>
    <e v="#N/A"/>
    <x v="1"/>
    <s v="ขายภายใน"/>
    <s v="MTFS"/>
    <s v="CPFGS"/>
    <s v="ซีพีเอฟ เทรดดิ้ง"/>
    <s v="E+Wonton"/>
    <x v="1"/>
    <s v="Cooked Wonton  with egg V-Food"/>
    <s v="082S83Q12005P05001"/>
    <s v="145g*12"/>
    <n v="12"/>
    <n v="5"/>
    <n v="8.0000000000000002E-3"/>
    <s v="M"/>
    <s v="STPP"/>
    <s v="Regular"/>
    <n v="3500"/>
    <n v="3500"/>
    <m/>
    <n v="0"/>
    <n v="0"/>
    <n v="0"/>
    <n v="7.4999999999999997E-3"/>
    <n v="0"/>
    <m/>
    <n v="0"/>
    <n v="0"/>
  </r>
  <r>
    <m/>
    <x v="416"/>
    <s v="03-2025"/>
    <x v="1"/>
    <e v="#N/A"/>
    <x v="1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4256"/>
    <n v="4256"/>
    <m/>
    <n v="0"/>
    <n v="0"/>
    <n v="0"/>
    <n v="7.4999999999999997E-3"/>
    <n v="0"/>
    <m/>
    <n v="0"/>
    <n v="0"/>
  </r>
  <r>
    <m/>
    <x v="417"/>
    <s v="03-2025"/>
    <x v="1"/>
    <e v="#N/A"/>
    <x v="1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5744"/>
    <n v="5744"/>
    <m/>
    <n v="0"/>
    <n v="0"/>
    <n v="0"/>
    <n v="7.4999999999999997E-3"/>
    <n v="0"/>
    <m/>
    <n v="0"/>
    <n v="0"/>
  </r>
  <r>
    <m/>
    <x v="417"/>
    <s v="04-2025"/>
    <x v="1"/>
    <e v="#N/A"/>
    <x v="1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104"/>
    <n v="104"/>
    <m/>
    <n v="0"/>
    <n v="0"/>
    <n v="0"/>
    <n v="7.4999999999999997E-3"/>
    <n v="0"/>
    <m/>
    <n v="0"/>
    <n v="0"/>
  </r>
  <r>
    <m/>
    <x v="418"/>
    <s v="03-2025"/>
    <x v="1"/>
    <e v="#N/A"/>
    <x v="1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3763"/>
    <n v="3763"/>
    <m/>
    <n v="0"/>
    <n v="0"/>
    <n v="0"/>
    <n v="7.4999999999999997E-3"/>
    <n v="0"/>
    <m/>
    <n v="0"/>
    <n v="0"/>
  </r>
  <r>
    <m/>
    <x v="418"/>
    <s v="03-2025"/>
    <x v="1"/>
    <e v="#N/A"/>
    <x v="1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1058"/>
    <n v="1058"/>
    <m/>
    <n v="0"/>
    <n v="0"/>
    <n v="0"/>
    <n v="7.4999999999999997E-3"/>
    <n v="0"/>
    <m/>
    <n v="0"/>
    <n v="0"/>
  </r>
  <r>
    <m/>
    <x v="418"/>
    <d v="2025-03-20T00:00:00"/>
    <x v="1"/>
    <e v="#N/A"/>
    <x v="1"/>
    <s v="DRY2500018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419"/>
    <m/>
    <x v="1"/>
    <e v="#N/A"/>
    <x v="1"/>
    <m/>
    <m/>
    <m/>
    <m/>
    <m/>
    <x v="0"/>
    <m/>
    <m/>
    <m/>
    <m/>
    <m/>
    <m/>
    <m/>
    <m/>
    <m/>
    <m/>
    <m/>
    <m/>
    <m/>
    <m/>
    <n v="0"/>
    <m/>
    <n v="0"/>
    <m/>
    <m/>
    <m/>
  </r>
  <r>
    <s v="R"/>
    <x v="420"/>
    <d v="2025-03-01T00:00:00"/>
    <x v="1"/>
    <e v="#N/A"/>
    <x v="1"/>
    <s v="KL2500004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n v="0"/>
    <n v="0"/>
  </r>
  <r>
    <s v="R"/>
    <x v="420"/>
    <s v="03-2025"/>
    <x v="1"/>
    <e v="#N/A"/>
    <x v="1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500"/>
    <n v="500"/>
    <m/>
    <n v="0"/>
    <n v="0"/>
    <n v="0"/>
    <m/>
    <n v="0"/>
    <m/>
    <n v="0"/>
    <n v="0"/>
  </r>
  <r>
    <s v="R"/>
    <x v="421"/>
    <d v="2025-03-03T00:00:00"/>
    <x v="1"/>
    <e v="#N/A"/>
    <x v="1"/>
    <s v="KL2500006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n v="0"/>
    <n v="0"/>
  </r>
  <r>
    <s v="R"/>
    <x v="421"/>
    <d v="2025-03-05T00:00:00"/>
    <x v="1"/>
    <e v="#N/A"/>
    <x v="1"/>
    <s v="DRY2500041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200"/>
    <n v="200"/>
    <m/>
    <n v="0"/>
    <n v="0"/>
    <n v="0"/>
    <n v="6"/>
    <n v="0"/>
    <m/>
    <n v="0"/>
    <n v="0"/>
  </r>
  <r>
    <s v="R"/>
    <x v="422"/>
    <d v="2025-03-06T00:00:00"/>
    <x v="1"/>
    <e v="#N/A"/>
    <x v="1"/>
    <s v="KL2500005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n v="0"/>
    <n v="0"/>
  </r>
  <r>
    <s v="R"/>
    <x v="422"/>
    <d v="2025-03-19T00:00:00"/>
    <x v="1"/>
    <e v="#N/A"/>
    <x v="1"/>
    <s v="DRY2500066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  <m/>
    <n v="0"/>
    <n v="0"/>
  </r>
  <r>
    <s v="R"/>
    <x v="423"/>
    <s v="03-2025"/>
    <x v="1"/>
    <e v="#N/A"/>
    <x v="1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453"/>
    <n v="436"/>
    <n v="17"/>
    <n v="0"/>
    <n v="0"/>
    <n v="0"/>
    <m/>
    <n v="0"/>
    <m/>
    <n v="0"/>
    <n v="0"/>
  </r>
  <r>
    <s v="R"/>
    <x v="423"/>
    <d v="2025-03-10T00:00:00"/>
    <x v="1"/>
    <e v="#N/A"/>
    <x v="1"/>
    <s v="DRY2500046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1000"/>
    <n v="476"/>
    <n v="524"/>
    <n v="0"/>
    <n v="0"/>
    <n v="0"/>
    <n v="2"/>
    <n v="0"/>
    <s v="ห่อแบบสุก"/>
    <n v="0"/>
    <n v="0"/>
  </r>
  <r>
    <s v="R"/>
    <x v="423"/>
    <d v="2025-03-10T00:00:00"/>
    <x v="1"/>
    <e v="#N/A"/>
    <x v="1"/>
    <s v="DRY2500046"/>
    <s v="SG"/>
    <s v="CPFNW"/>
    <s v="CPI SINGAPORE"/>
    <s v="R-Wonton egg past"/>
    <x v="2"/>
    <s v="Raw Wonton 8 pcs"/>
    <s v="082I93B20008P00001"/>
    <s v="194g*20in"/>
    <n v="20"/>
    <n v="8"/>
    <n v="1.4999999999999999E-2"/>
    <s v="JB"/>
    <s v="STPP"/>
    <s v="ซุปซอง 5g."/>
    <n v="993"/>
    <n v="993"/>
    <m/>
    <n v="0"/>
    <n v="0"/>
    <n v="0"/>
    <n v="2"/>
    <n v="0"/>
    <s v="ห่อแบบดิบ"/>
    <n v="0"/>
    <n v="0"/>
  </r>
  <r>
    <m/>
    <x v="424"/>
    <d v="2025-04-12T00:00:00"/>
    <x v="1"/>
    <e v="#N/A"/>
    <x v="1"/>
    <s v="DRY240085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51"/>
    <n v="41.611111111111114"/>
    <n v="0.61111111111108585"/>
    <n v="0"/>
    <n v="0"/>
    <n v="9.7000000000000003E-3"/>
    <n v="0"/>
    <m/>
    <n v="0"/>
    <n v="0"/>
  </r>
  <r>
    <m/>
    <x v="424"/>
    <d v="2025-04-12T00:00:00"/>
    <x v="1"/>
    <e v="#N/A"/>
    <x v="1"/>
    <s v="DRY240085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424"/>
    <d v="2025-04-12T00:00:00"/>
    <x v="1"/>
    <e v="#N/A"/>
    <x v="1"/>
    <s v="DRY240085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424"/>
    <d v="2025-04-19T00:00:00"/>
    <x v="1"/>
    <e v="#N/A"/>
    <x v="1"/>
    <s v="DRY250001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424"/>
    <d v="2025-04-22T00:00:00"/>
    <x v="1"/>
    <e v="#N/A"/>
    <x v="1"/>
    <s v="DRY250001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425"/>
    <d v="2025-03-10T00:00:00"/>
    <x v="1"/>
    <e v="#N/A"/>
    <x v="2"/>
    <s v="DRY2500046"/>
    <s v="SG"/>
    <s v="CPFNW"/>
    <s v="CPI SINGAPORE"/>
    <s v="Wonton +TY"/>
    <x v="1"/>
    <s v="Cooked Wonton No Egg"/>
    <s v="082S83B24005P06001"/>
    <s v="115g*24"/>
    <n v="24"/>
    <n v="5"/>
    <n v="8.0000000000000002E-3"/>
    <s v="M"/>
    <s v="STPP"/>
    <s v="TYTB3C 30G"/>
    <n v="500"/>
    <n v="500"/>
    <m/>
    <n v="0"/>
    <n v="0"/>
    <n v="0"/>
    <n v="1"/>
    <n v="0"/>
    <m/>
    <n v="0"/>
    <n v="0"/>
  </r>
  <r>
    <m/>
    <x v="425"/>
    <s v="03-2025"/>
    <x v="1"/>
    <e v="#N/A"/>
    <x v="2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6"/>
    <n v="6"/>
    <m/>
    <n v="0"/>
    <n v="0"/>
    <n v="0"/>
    <n v="7.4999999999999997E-3"/>
    <n v="0"/>
    <m/>
    <n v="0"/>
    <n v="0"/>
  </r>
  <r>
    <m/>
    <x v="426"/>
    <m/>
    <x v="1"/>
    <e v="#N/A"/>
    <x v="2"/>
    <m/>
    <m/>
    <m/>
    <m/>
    <m/>
    <x v="0"/>
    <m/>
    <m/>
    <m/>
    <m/>
    <m/>
    <m/>
    <m/>
    <m/>
    <m/>
    <m/>
    <m/>
    <m/>
    <m/>
    <m/>
    <n v="0"/>
    <m/>
    <n v="0"/>
    <m/>
    <m/>
    <m/>
  </r>
  <r>
    <m/>
    <x v="427"/>
    <d v="2025-03-19T00:00:00"/>
    <x v="1"/>
    <e v="#N/A"/>
    <x v="2"/>
    <s v="DRY2500071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3304.625"/>
    <m/>
    <n v="3304.625"/>
    <n v="0"/>
    <n v="0"/>
    <n v="0"/>
    <n v="7.4999999999999997E-3"/>
    <n v="0"/>
    <m/>
    <n v="0"/>
    <n v="0"/>
  </r>
  <r>
    <m/>
    <x v="427"/>
    <d v="2025-04-02T00:00:00"/>
    <x v="1"/>
    <e v="#N/A"/>
    <x v="2"/>
    <s v="DRY2500063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800"/>
    <n v="800"/>
    <m/>
    <n v="0"/>
    <n v="0"/>
    <n v="0"/>
    <n v="7.4999999999999997E-3"/>
    <n v="0"/>
    <m/>
    <n v="0"/>
    <n v="0"/>
  </r>
  <r>
    <m/>
    <x v="427"/>
    <d v="2025-04-02T00:00:00"/>
    <x v="1"/>
    <e v="#N/A"/>
    <x v="2"/>
    <s v="DRY2500064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155"/>
    <n v="155"/>
    <m/>
    <n v="0"/>
    <n v="0"/>
    <n v="0"/>
    <n v="7.4999999999999997E-3"/>
    <n v="0"/>
    <m/>
    <n v="0"/>
    <n v="0"/>
  </r>
  <r>
    <m/>
    <x v="427"/>
    <s v="03-2025"/>
    <x v="1"/>
    <e v="#N/A"/>
    <x v="2"/>
    <s v="ขายภายใน"/>
    <s v="MTFS"/>
    <s v="CPFGS"/>
    <s v="ซีพีเอฟ เทรดดิ้ง"/>
    <s v="Wonton ND"/>
    <x v="1"/>
    <s v="บะหมี่เกี๊ยวกุ้งซุปสุกี้ CPxMK 227g ND Pumpkin"/>
    <s v="082SJ3Q12003P09001"/>
    <s v="227g*12"/>
    <n v="12"/>
    <n v="3"/>
    <n v="8.0000000000000002E-3"/>
    <s v="SS"/>
    <s v="STPP"/>
    <s v="MK"/>
    <n v="3328"/>
    <n v="3328"/>
    <m/>
    <n v="0"/>
    <n v="0"/>
    <n v="0"/>
    <n v="0.05"/>
    <n v="0"/>
    <m/>
    <n v="0"/>
    <n v="0"/>
  </r>
  <r>
    <m/>
    <x v="428"/>
    <s v="03-2025"/>
    <x v="1"/>
    <e v="#N/A"/>
    <x v="2"/>
    <s v="ขายภายใน"/>
    <s v="MTFS"/>
    <s v="CPFGS"/>
    <s v="ซีพีเอฟ เทรดดิ้ง"/>
    <s v="Wonton ND"/>
    <x v="1"/>
    <s v="บะหมี่เกี๊ยวกุ้งซุปสุกี้ CPxMK 227g ND Pumpkin"/>
    <s v="082SJ3Q12003P09001"/>
    <s v="227g*12"/>
    <n v="12"/>
    <n v="3"/>
    <n v="8.0000000000000002E-3"/>
    <s v="SS"/>
    <s v="STPP"/>
    <s v="MK"/>
    <n v="6472"/>
    <n v="6472"/>
    <m/>
    <n v="0"/>
    <n v="0"/>
    <n v="0"/>
    <n v="0.05"/>
    <n v="0"/>
    <m/>
    <n v="0"/>
    <n v="0"/>
  </r>
  <r>
    <s v="R"/>
    <x v="429"/>
    <d v="2025-03-10T00:00:00"/>
    <x v="1"/>
    <e v="#N/A"/>
    <x v="2"/>
    <s v="DRY2500046"/>
    <s v="SG"/>
    <s v="CPFNW"/>
    <s v="CPI SINGAPORE"/>
    <s v="R-Wonton egg past"/>
    <x v="2"/>
    <s v="Raw Wonton 8 pcs"/>
    <s v="082I93B20008P00001"/>
    <s v="194g*20in"/>
    <n v="20"/>
    <n v="8"/>
    <n v="1.4999999999999999E-2"/>
    <s v="JB"/>
    <s v="STPP"/>
    <s v="ซุปซอง 5g."/>
    <n v="7"/>
    <n v="7"/>
    <m/>
    <n v="0"/>
    <n v="0"/>
    <n v="0"/>
    <n v="2"/>
    <n v="0"/>
    <s v="ห่อแบบดิบ"/>
    <n v="0"/>
    <n v="0"/>
  </r>
  <r>
    <s v="R"/>
    <x v="429"/>
    <d v="2025-03-24T00:00:00"/>
    <x v="1"/>
    <e v="#N/A"/>
    <x v="2"/>
    <s v="DRY2400813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1434"/>
    <n v="1434"/>
    <m/>
    <n v="0"/>
    <n v="0"/>
    <n v="0"/>
    <n v="6"/>
    <n v="0"/>
    <m/>
    <n v="0"/>
    <n v="0"/>
  </r>
  <r>
    <s v="R"/>
    <x v="430"/>
    <d v="2025-03-10T00:00:00"/>
    <x v="1"/>
    <e v="#N/A"/>
    <x v="2"/>
    <s v="DRY2500039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1203"/>
    <n v="1039"/>
    <n v="164"/>
    <n v="0"/>
    <n v="0"/>
    <n v="0"/>
    <n v="2"/>
    <n v="0"/>
    <m/>
    <n v="0"/>
    <n v="0"/>
  </r>
  <r>
    <m/>
    <x v="431"/>
    <s v="03-2025"/>
    <x v="1"/>
    <e v="#N/A"/>
    <x v="2"/>
    <s v="ขายภายใน"/>
    <s v="MTFS"/>
    <s v="CPFGS"/>
    <s v="ซีพีเอฟ เทรดดิ้ง"/>
    <s v="Wonton ND"/>
    <x v="1"/>
    <s v="บะหมี่เกี๊ยวกุ้งซุปสุกี้ CPxMK 227g ND Pumpkin"/>
    <s v="082SJ3Q12003P09001"/>
    <s v="227g*12"/>
    <n v="12"/>
    <n v="3"/>
    <n v="8.0000000000000002E-3"/>
    <s v="SS"/>
    <s v="STPP"/>
    <s v="MK"/>
    <n v="11831"/>
    <n v="11831"/>
    <m/>
    <n v="0"/>
    <n v="0"/>
    <n v="0"/>
    <n v="0.05"/>
    <n v="0"/>
    <m/>
    <n v="0"/>
    <n v="0"/>
  </r>
  <r>
    <s v="R"/>
    <x v="432"/>
    <d v="2025-04-02T00:00:00"/>
    <x v="1"/>
    <e v="#N/A"/>
    <x v="2"/>
    <s v="DRY2400797"/>
    <s v="HK"/>
    <s v="CPFNW"/>
    <s v="CPM Hongkong"/>
    <s v="R-Minced egg past"/>
    <x v="2"/>
    <s v="Raw Minced Wonton 8 pcs"/>
    <s v="082ID3G18008P00001"/>
    <s v="90g*18in"/>
    <n v="18"/>
    <n v="8"/>
    <n v="6.0000000000000001E-3"/>
    <s v="BK"/>
    <s v="STPP"/>
    <s v="ซุปซอง 5g."/>
    <n v="250"/>
    <n v="250"/>
    <m/>
    <n v="0"/>
    <n v="0"/>
    <n v="0"/>
    <n v="2"/>
    <n v="0"/>
    <m/>
    <n v="0"/>
    <n v="0"/>
  </r>
  <r>
    <s v="R"/>
    <x v="432"/>
    <d v="2025-04-02T00:00:00"/>
    <x v="1"/>
    <e v="#N/A"/>
    <x v="2"/>
    <s v="DRY2400797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1650"/>
    <n v="1178"/>
    <n v="472"/>
    <n v="0"/>
    <n v="0"/>
    <n v="0"/>
    <n v="1"/>
    <n v="0"/>
    <m/>
    <n v="0"/>
    <n v="0"/>
  </r>
  <r>
    <m/>
    <x v="432"/>
    <d v="2025-04-07T00:00:00"/>
    <x v="1"/>
    <e v="#N/A"/>
    <x v="2"/>
    <s v="DRY2400749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รอเปลี่ยนNEWPACKAGE/ถ้าว,ฝา สีขาว"/>
    <n v="0"/>
    <n v="0"/>
  </r>
  <r>
    <m/>
    <x v="432"/>
    <d v="2025-03-18T00:00:00"/>
    <x v="1"/>
    <e v="#N/A"/>
    <x v="2"/>
    <s v="DRY2500016"/>
    <s v="Malay"/>
    <s v="CPFNW"/>
    <s v="CPM Malaysia"/>
    <s v="Wonton+TY"/>
    <x v="1"/>
    <s v="Cooked Wonton No Egg  TY"/>
    <s v="082S85I24005P02001"/>
    <s v="115g*24"/>
    <n v="24"/>
    <n v="5"/>
    <n v="8.0000000000000002E-3"/>
    <s v="M"/>
    <s v="STPP"/>
    <s v="TYTB3C 30G"/>
    <n v="1150"/>
    <n v="1150"/>
    <n v="18.958333333333332"/>
    <n v="18.958333333333258"/>
    <n v="0"/>
    <n v="0"/>
    <n v="1"/>
    <n v="0"/>
    <m/>
    <n v="0"/>
    <n v="0"/>
  </r>
  <r>
    <m/>
    <x v="433"/>
    <m/>
    <x v="1"/>
    <e v="#N/A"/>
    <x v="2"/>
    <m/>
    <m/>
    <m/>
    <m/>
    <m/>
    <x v="0"/>
    <m/>
    <m/>
    <m/>
    <m/>
    <m/>
    <m/>
    <m/>
    <m/>
    <m/>
    <m/>
    <m/>
    <m/>
    <m/>
    <m/>
    <n v="0"/>
    <m/>
    <n v="0"/>
    <m/>
    <m/>
    <m/>
  </r>
  <r>
    <s v="R"/>
    <x v="434"/>
    <d v="2025-04-02T00:00:00"/>
    <x v="1"/>
    <e v="#N/A"/>
    <x v="2"/>
    <s v="DRY2500063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  <m/>
    <n v="0"/>
    <n v="0"/>
  </r>
  <r>
    <s v="R"/>
    <x v="434"/>
    <d v="2025-04-02T00:00:00"/>
    <x v="1"/>
    <e v="#N/A"/>
    <x v="2"/>
    <s v="DRY2500064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00"/>
    <n v="25"/>
    <n v="75"/>
    <n v="0"/>
    <n v="0"/>
    <n v="0"/>
    <n v="6"/>
    <n v="0"/>
    <m/>
    <n v="0"/>
    <n v="0"/>
  </r>
  <r>
    <s v="R"/>
    <x v="434"/>
    <d v="2025-04-19T00:00:00"/>
    <x v="1"/>
    <e v="#N/A"/>
    <x v="2"/>
    <s v="DRY2500043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00"/>
    <m/>
    <n v="202"/>
    <n v="102"/>
    <n v="0"/>
    <n v="0"/>
    <n v="6"/>
    <n v="0"/>
    <m/>
    <n v="0"/>
    <n v="0"/>
  </r>
  <r>
    <s v="R"/>
    <x v="434"/>
    <s v="03-2025"/>
    <x v="1"/>
    <e v="#N/A"/>
    <x v="2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47"/>
    <n v="47"/>
    <m/>
    <n v="0"/>
    <n v="0"/>
    <n v="0"/>
    <m/>
    <n v="0"/>
    <m/>
    <n v="0"/>
    <n v="0"/>
  </r>
  <r>
    <s v="R"/>
    <x v="434"/>
    <s v="04-2025"/>
    <x v="1"/>
    <e v="#N/A"/>
    <x v="2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360"/>
    <n v="360"/>
    <m/>
    <n v="0"/>
    <n v="0"/>
    <n v="0"/>
    <m/>
    <n v="0"/>
    <m/>
    <n v="0"/>
    <n v="0"/>
  </r>
  <r>
    <s v="R"/>
    <x v="434"/>
    <d v="2025-03-24T00:00:00"/>
    <x v="1"/>
    <e v="#N/A"/>
    <x v="2"/>
    <s v="DRY2400813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22"/>
    <n v="533"/>
    <n v="91"/>
    <n v="2"/>
    <n v="0"/>
    <n v="0"/>
    <n v="6"/>
    <n v="0"/>
    <m/>
    <n v="0"/>
    <n v="0"/>
  </r>
  <r>
    <s v="ชดเชยกัก"/>
    <x v="435"/>
    <d v="2025-03-18T00:00:00"/>
    <x v="1"/>
    <e v="#N/A"/>
    <x v="2"/>
    <s v="DRY2400833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307"/>
    <n v="307"/>
    <m/>
    <n v="0"/>
    <n v="0"/>
    <n v="0"/>
    <n v="9.7000000000000003E-3"/>
    <n v="0"/>
    <s v="รอเปลี่ยนNEWPACKAGE"/>
    <n v="0"/>
    <n v="0"/>
  </r>
  <r>
    <m/>
    <x v="435"/>
    <d v="2025-03-18T00:00:00"/>
    <x v="1"/>
    <e v="#N/A"/>
    <x v="2"/>
    <s v="DRY2500052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n v="0"/>
    <n v="9.7000000000000003E-3"/>
    <n v="0"/>
    <s v="รอเปลี่ยนNEWPACKAGE"/>
    <n v="0"/>
    <n v="0"/>
  </r>
  <r>
    <m/>
    <x v="435"/>
    <d v="2025-03-18T00:00:00"/>
    <x v="1"/>
    <e v="#N/A"/>
    <x v="2"/>
    <s v="DRY2500053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n v="0"/>
    <n v="9.7000000000000003E-3"/>
    <n v="0"/>
    <s v="รอเปลี่ยนNEWPACKAGE"/>
    <n v="0"/>
    <n v="0"/>
  </r>
  <r>
    <m/>
    <x v="435"/>
    <d v="2025-04-02T00:00:00"/>
    <x v="1"/>
    <e v="#N/A"/>
    <x v="2"/>
    <s v="DRY2500050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352"/>
    <n v="352"/>
    <m/>
    <n v="0"/>
    <n v="0"/>
    <n v="0"/>
    <n v="9.7000000000000003E-3"/>
    <n v="0"/>
    <s v="รอเปลี่ยนNEWPACKAGE"/>
    <n v="0"/>
    <n v="0"/>
  </r>
  <r>
    <m/>
    <x v="435"/>
    <d v="2025-03-19T00:00:00"/>
    <x v="1"/>
    <e v="#N/A"/>
    <x v="2"/>
    <s v="DRY2500071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195.375"/>
    <m/>
    <n v="197.625"/>
    <n v="2.25"/>
    <n v="0"/>
    <n v="0"/>
    <n v="7.4999999999999997E-3"/>
    <n v="0"/>
    <m/>
    <n v="0"/>
    <n v="0"/>
  </r>
  <r>
    <m/>
    <x v="436"/>
    <d v="2025-03-20T00:00:00"/>
    <x v="1"/>
    <e v="#N/A"/>
    <x v="2"/>
    <s v="DRY2500017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SG+CO"/>
    <n v="924"/>
    <n v="924"/>
    <m/>
    <n v="0"/>
    <n v="0"/>
    <n v="0"/>
    <n v="3.8699999999999998E-2"/>
    <n v="0"/>
    <m/>
    <n v="0"/>
    <n v="0"/>
  </r>
  <r>
    <m/>
    <x v="436"/>
    <s v="04-2025"/>
    <x v="1"/>
    <e v="#N/A"/>
    <x v="2"/>
    <s v="ขายภายใน"/>
    <s v="MTFS"/>
    <s v="CPFGS"/>
    <s v="ซีพีเอฟ เทรดดิ้ง"/>
    <s v="E+Wonton TY"/>
    <x v="1"/>
    <s v="Cooked Wonton Tomyum with egg.V-Food TY"/>
    <s v="082S83Q12005P04001"/>
    <s v="115g*12"/>
    <n v="12"/>
    <n v="5"/>
    <n v="8.0000000000000002E-3"/>
    <s v="M"/>
    <s v="STPP"/>
    <s v="TYTB3C 30G"/>
    <n v="400"/>
    <n v="400"/>
    <m/>
    <n v="0"/>
    <n v="0"/>
    <n v="0"/>
    <n v="1"/>
    <n v="0"/>
    <s v="เหลือซอส 33,000 ซอง"/>
    <n v="0"/>
    <n v="0"/>
  </r>
  <r>
    <m/>
    <x v="436"/>
    <s v="03-2025"/>
    <x v="1"/>
    <e v="#N/A"/>
    <x v="2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750"/>
    <n v="750"/>
    <m/>
    <n v="0"/>
    <n v="0"/>
    <n v="0"/>
    <n v="1"/>
    <n v="0"/>
    <m/>
    <n v="0"/>
    <n v="0"/>
  </r>
  <r>
    <m/>
    <x v="436"/>
    <s v="04-2025"/>
    <x v="1"/>
    <e v="#N/A"/>
    <x v="2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500"/>
    <n v="500"/>
    <m/>
    <n v="0"/>
    <n v="0"/>
    <n v="0"/>
    <n v="1"/>
    <n v="0"/>
    <m/>
    <n v="0"/>
    <n v="0"/>
  </r>
  <r>
    <m/>
    <x v="436"/>
    <s v="04-2025"/>
    <x v="1"/>
    <e v="#N/A"/>
    <x v="2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933"/>
    <n v="148"/>
    <n v="785.16666666666663"/>
    <n v="0.16666666666662877"/>
    <n v="0"/>
    <n v="0"/>
    <n v="1"/>
    <n v="0"/>
    <m/>
    <n v="0"/>
    <n v="0"/>
  </r>
  <r>
    <m/>
    <x v="436"/>
    <s v="04-2025"/>
    <x v="1"/>
    <e v="#N/A"/>
    <x v="2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300"/>
    <n v="300"/>
    <m/>
    <n v="0"/>
    <n v="0"/>
    <n v="0"/>
    <n v="7.4999999999999997E-3"/>
    <n v="0"/>
    <m/>
    <n v="0"/>
    <n v="0"/>
  </r>
  <r>
    <s v="ชมรมกอล์ฟ ซีพี"/>
    <x v="436"/>
    <s v="04-2025"/>
    <x v="1"/>
    <e v="#N/A"/>
    <x v="2"/>
    <s v="ขายภายใน"/>
    <s v="MTFS"/>
    <s v="CPFGS"/>
    <s v="ซีพีเอฟ เทรดดิ้ง"/>
    <s v="E+Wonton"/>
    <x v="1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n v="0"/>
    <n v="7.4999999999999997E-3"/>
    <n v="0"/>
    <m/>
    <n v="0"/>
    <n v="0"/>
  </r>
  <r>
    <m/>
    <x v="436"/>
    <s v="04-2025"/>
    <x v="1"/>
    <e v="#N/A"/>
    <x v="2"/>
    <s v="ขายภายใน"/>
    <s v="MTFS"/>
    <s v="CPFGS"/>
    <s v="ซีพีเอฟ เทรดดิ้ง"/>
    <s v="E+Wonton"/>
    <x v="1"/>
    <s v="Cooked Wonton  with egg V-Food"/>
    <s v="082S83Q12005P05001"/>
    <s v="145g*12"/>
    <n v="12"/>
    <n v="5"/>
    <n v="8.0000000000000002E-3"/>
    <s v="M"/>
    <s v="STPP"/>
    <s v="Regular"/>
    <n v="1000"/>
    <n v="1000"/>
    <m/>
    <n v="0"/>
    <n v="0"/>
    <n v="0"/>
    <n v="7.4999999999999997E-3"/>
    <n v="0"/>
    <m/>
    <n v="0"/>
    <n v="0"/>
  </r>
  <r>
    <s v="Cambodia"/>
    <x v="436"/>
    <d v="2025-03-21T00:00:00"/>
    <x v="1"/>
    <e v="#N/A"/>
    <x v="2"/>
    <s v="CB003/2568"/>
    <s v="Cambodia"/>
    <s v="Cambodia"/>
    <s v="หจก.คิงฟู้ดส์"/>
    <s v="E+Wonton"/>
    <x v="1"/>
    <s v="Cooked Wonton With Egg .7-11"/>
    <s v="082S81A24005P04001"/>
    <s v="145g*24"/>
    <n v="24"/>
    <n v="5"/>
    <n v="8.0000000000000002E-3"/>
    <s v="M"/>
    <s v="STPP"/>
    <s v="Regular"/>
    <n v="100"/>
    <n v="100"/>
    <m/>
    <n v="0"/>
    <n v="0"/>
    <n v="0"/>
    <n v="7.4999999999999997E-3"/>
    <n v="0"/>
    <m/>
    <m/>
    <m/>
  </r>
  <r>
    <m/>
    <x v="436"/>
    <s v="04-2025"/>
    <x v="1"/>
    <e v="#N/A"/>
    <x v="2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1495"/>
    <n v="1495"/>
    <m/>
    <n v="0"/>
    <n v="0"/>
    <n v="0"/>
    <n v="7.4999999999999997E-3"/>
    <n v="0"/>
    <m/>
    <n v="0"/>
    <n v="0"/>
  </r>
  <r>
    <m/>
    <x v="437"/>
    <s v="04-2025"/>
    <x v="1"/>
    <e v="#N/A"/>
    <x v="2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400"/>
    <n v="400"/>
    <m/>
    <n v="0"/>
    <n v="0"/>
    <n v="0"/>
    <n v="7.4999999999999997E-3"/>
    <n v="0"/>
    <m/>
    <n v="0"/>
    <n v="0"/>
  </r>
  <r>
    <m/>
    <x v="437"/>
    <s v="04-2025"/>
    <x v="1"/>
    <e v="#N/A"/>
    <x v="2"/>
    <s v="ขายภายใน"/>
    <s v="MTFS"/>
    <s v="CPFGS"/>
    <s v="ซีพีเอฟ เทรดดิ้ง"/>
    <s v="E+Wonton NDE"/>
    <x v="1"/>
    <s v="Cooked Wonton ND with egg V-Food"/>
    <s v="082SJ3Q12003P07001"/>
    <s v="226g*12"/>
    <n v="12"/>
    <n v="3"/>
    <n v="8.0000000000000002E-3"/>
    <s v="M"/>
    <s v="STPP"/>
    <s v="Regular"/>
    <n v="950"/>
    <n v="950"/>
    <m/>
    <n v="0"/>
    <n v="0"/>
    <n v="0"/>
    <n v="7.4999999999999997E-3"/>
    <n v="0"/>
    <m/>
    <n v="0"/>
    <n v="0"/>
  </r>
  <r>
    <m/>
    <x v="437"/>
    <s v="04-2025"/>
    <x v="1"/>
    <e v="#N/A"/>
    <x v="2"/>
    <s v="ขายภายใน"/>
    <s v="MTFS"/>
    <s v="CPFGS"/>
    <s v="ซีพีเอฟ เทรดดิ้ง"/>
    <s v="E+Wonton+หมาล่า"/>
    <x v="1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700"/>
    <n v="700"/>
    <m/>
    <n v="0"/>
    <n v="0"/>
    <n v="0"/>
    <n v="1.2999999999999999E-2"/>
    <n v="0"/>
    <m/>
    <n v="0"/>
    <n v="0"/>
  </r>
  <r>
    <s v="Cambodia"/>
    <x v="437"/>
    <d v="2025-03-21T00:00:00"/>
    <x v="1"/>
    <e v="#N/A"/>
    <x v="2"/>
    <s v="CB003/2568"/>
    <s v="Cambodia"/>
    <s v="Cambodia"/>
    <s v="หจก.คิงฟู้ดส์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100"/>
    <n v="100"/>
    <m/>
    <n v="0"/>
    <n v="0"/>
    <n v="0"/>
    <n v="1.2999999999999999E-2"/>
    <n v="0"/>
    <m/>
    <m/>
    <m/>
  </r>
  <r>
    <m/>
    <x v="437"/>
    <s v="04-2025"/>
    <x v="1"/>
    <e v="#N/A"/>
    <x v="2"/>
    <s v="ขายภายใน"/>
    <s v=".7-11"/>
    <s v="CPFGS"/>
    <s v="ซีพีเอฟ เทรดดิ้ง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4700"/>
    <n v="4700"/>
    <m/>
    <n v="0"/>
    <n v="0"/>
    <n v="0"/>
    <n v="1.2999999999999999E-2"/>
    <n v="0"/>
    <m/>
    <n v="0"/>
    <n v="0"/>
  </r>
  <r>
    <m/>
    <x v="438"/>
    <d v="2025-04-01T00:00:00"/>
    <x v="1"/>
    <e v="#N/A"/>
    <x v="2"/>
    <s v="DRY2400433"/>
    <s v="Korea"/>
    <s v="CPFNW"/>
    <s v="Emart"/>
    <s v="Wonton ND"/>
    <x v="1"/>
    <s v="Cooked Wonton ND No Egg with Pumpkin_x000a_"/>
    <s v="082SJEJ36004P00001"/>
    <s v="239g*6c*6in"/>
    <n v="36"/>
    <n v="4"/>
    <n v="7.4999999999999997E-3"/>
    <s v="M"/>
    <s v="Salt"/>
    <s v="Regular"/>
    <n v="874"/>
    <n v="795"/>
    <n v="79"/>
    <n v="0"/>
    <n v="0"/>
    <n v="0"/>
    <n v="7.4999999999999997E-3"/>
    <n v="0"/>
    <m/>
    <n v="0"/>
    <n v="0"/>
  </r>
  <r>
    <m/>
    <x v="438"/>
    <d v="2025-03-17T00:00:00"/>
    <x v="1"/>
    <e v="#N/A"/>
    <x v="2"/>
    <s v="DRY2500012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42"/>
    <m/>
    <n v="42"/>
    <n v="0"/>
    <n v="0"/>
    <n v="0"/>
    <n v="7.4999999999999997E-3"/>
    <n v="0"/>
    <s v="รอเปลี่ยนNEWPACKAGE"/>
    <n v="0"/>
    <n v="0"/>
  </r>
  <r>
    <m/>
    <x v="438"/>
    <d v="2025-04-03T00:00:00"/>
    <x v="1"/>
    <e v="#N/A"/>
    <x v="2"/>
    <s v="DRY2500048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n v="0"/>
    <n v="7.4999999999999997E-3"/>
    <n v="0"/>
    <s v="รอเปลี่ยนNEWPACKAGE"/>
    <n v="0"/>
    <n v="0"/>
  </r>
  <r>
    <m/>
    <x v="438"/>
    <d v="2025-04-02T00:00:00"/>
    <x v="1"/>
    <e v="#N/A"/>
    <x v="2"/>
    <s v="DRY2500064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545"/>
    <n v="545"/>
    <m/>
    <n v="0"/>
    <n v="0"/>
    <n v="0"/>
    <n v="7.4999999999999997E-3"/>
    <n v="0"/>
    <m/>
    <n v="0"/>
    <n v="0"/>
  </r>
  <r>
    <m/>
    <x v="438"/>
    <s v="04-2025"/>
    <x v="1"/>
    <e v="#N/A"/>
    <x v="2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2520"/>
    <n v="2520"/>
    <m/>
    <n v="0"/>
    <n v="0"/>
    <n v="0"/>
    <n v="7.4999999999999997E-3"/>
    <n v="0"/>
    <m/>
    <n v="0"/>
    <n v="0"/>
  </r>
  <r>
    <m/>
    <x v="439"/>
    <s v="03-2025"/>
    <x v="1"/>
    <e v="#N/A"/>
    <x v="2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2946"/>
    <n v="2946"/>
    <m/>
    <n v="0"/>
    <n v="0"/>
    <n v="0"/>
    <n v="7.4999999999999997E-3"/>
    <n v="0"/>
    <m/>
    <n v="0"/>
    <n v="0"/>
  </r>
  <r>
    <m/>
    <x v="439"/>
    <s v="04-2025"/>
    <x v="1"/>
    <e v="#N/A"/>
    <x v="2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793"/>
    <n v="793"/>
    <m/>
    <n v="0"/>
    <n v="0"/>
    <n v="0"/>
    <n v="7.4999999999999997E-3"/>
    <n v="0"/>
    <m/>
    <n v="0"/>
    <n v="0"/>
  </r>
  <r>
    <m/>
    <x v="439"/>
    <d v="2025-04-02T00:00:00"/>
    <x v="1"/>
    <e v="#N/A"/>
    <x v="2"/>
    <s v="DRY2500063"/>
    <s v="USA"/>
    <s v="CPFNW"/>
    <s v="Bellisio Foods, Inc."/>
    <s v="Minced WT"/>
    <x v="1"/>
    <s v="Cooked Minced Wonton Soup No Egg"/>
    <s v="082SKBW36005P00001"/>
    <s v="145g*6c*6"/>
    <n v="36"/>
    <n v="5"/>
    <n v="6.0000000000000001E-3"/>
    <s v="BK"/>
    <s v="Salt"/>
    <s v="Regular"/>
    <n v="300"/>
    <n v="300"/>
    <m/>
    <n v="0"/>
    <n v="0"/>
    <n v="0"/>
    <n v="7.4999999999999997E-3"/>
    <n v="0"/>
    <m/>
    <n v="0"/>
    <n v="0"/>
  </r>
  <r>
    <m/>
    <x v="439"/>
    <d v="2025-04-02T00:00:00"/>
    <x v="1"/>
    <e v="#N/A"/>
    <x v="2"/>
    <s v="DRY2500064"/>
    <s v="USA"/>
    <s v="CPFNW"/>
    <s v="Bellisio Foods, Inc."/>
    <s v="Minced WT"/>
    <x v="1"/>
    <s v="Cooked Minced Wonton Soup No Egg"/>
    <s v="082SKBW36005P00001"/>
    <s v="145g*6c*6"/>
    <n v="36"/>
    <n v="5"/>
    <n v="6.0000000000000001E-3"/>
    <s v="BK"/>
    <s v="Salt"/>
    <s v="Regular"/>
    <n v="450"/>
    <n v="305"/>
    <n v="145"/>
    <n v="0"/>
    <n v="0"/>
    <n v="0"/>
    <n v="7.4999999999999997E-3"/>
    <n v="0"/>
    <m/>
    <n v="0"/>
    <n v="0"/>
  </r>
  <r>
    <m/>
    <x v="439"/>
    <d v="2025-04-03T00:00:00"/>
    <x v="1"/>
    <e v="#N/A"/>
    <x v="2"/>
    <s v="DRY2500040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22"/>
    <n v="70.277777777777771"/>
    <n v="0.27777777777782831"/>
    <n v="0"/>
    <n v="0"/>
    <n v="7.4999999999999997E-3"/>
    <n v="0"/>
    <m/>
    <n v="0"/>
    <n v="0"/>
  </r>
  <r>
    <m/>
    <x v="440"/>
    <m/>
    <x v="1"/>
    <e v="#N/A"/>
    <x v="2"/>
    <m/>
    <m/>
    <m/>
    <m/>
    <m/>
    <x v="0"/>
    <m/>
    <m/>
    <m/>
    <m/>
    <m/>
    <m/>
    <m/>
    <m/>
    <m/>
    <m/>
    <m/>
    <m/>
    <m/>
    <m/>
    <n v="0"/>
    <m/>
    <n v="0"/>
    <m/>
    <m/>
    <m/>
  </r>
  <r>
    <s v="R"/>
    <x v="441"/>
    <d v="2025-03-25T00:00:00"/>
    <x v="1"/>
    <e v="#N/A"/>
    <x v="2"/>
    <s v="KL2500009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n v="0"/>
    <n v="0"/>
  </r>
  <r>
    <s v="R"/>
    <x v="441"/>
    <s v="04-2025"/>
    <x v="1"/>
    <e v="#N/A"/>
    <x v="2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211"/>
    <n v="211"/>
    <m/>
    <n v="0"/>
    <n v="0"/>
    <n v="0"/>
    <m/>
    <n v="0"/>
    <m/>
    <n v="0"/>
    <n v="0"/>
  </r>
  <r>
    <s v="R"/>
    <x v="442"/>
    <d v="2025-03-27T00:00:00"/>
    <x v="1"/>
    <e v="#N/A"/>
    <x v="2"/>
    <s v="KL2500007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n v="0"/>
    <n v="0"/>
  </r>
  <r>
    <s v="R"/>
    <x v="442"/>
    <s v="04-2025"/>
    <x v="1"/>
    <e v="#N/A"/>
    <x v="2"/>
    <s v="ขายภายใน"/>
    <s v="ขายภายใน"/>
    <s v="CPFGS"/>
    <s v="ซีพีเอฟ เทรดดิ้ง"/>
    <s v="R-Wonton egg past"/>
    <x v="2"/>
    <s v="Raw Wonton 50 pcs OISHI"/>
    <s v="082S01508600G01001"/>
    <s v="600g.*8 packs"/>
    <n v="8"/>
    <n v="50"/>
    <n v="8.1300000000000001E-3"/>
    <s v="M"/>
    <s v="STPP"/>
    <m/>
    <n v="200"/>
    <n v="200"/>
    <m/>
    <n v="0"/>
    <n v="0"/>
    <n v="0"/>
    <m/>
    <n v="0"/>
    <s v="โหลดไม่รอผลเชื้อ  มีบันทึกจากฝ่ายขาย"/>
    <m/>
    <m/>
  </r>
  <r>
    <s v="R"/>
    <x v="442"/>
    <s v="04-2025"/>
    <x v="1"/>
    <e v="#N/A"/>
    <x v="2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177"/>
    <n v="177"/>
    <m/>
    <n v="0"/>
    <n v="0"/>
    <n v="0"/>
    <m/>
    <n v="0"/>
    <m/>
    <n v="0"/>
    <n v="0"/>
  </r>
  <r>
    <s v="R"/>
    <x v="443"/>
    <d v="2025-03-27T00:00:00"/>
    <x v="1"/>
    <e v="#N/A"/>
    <x v="2"/>
    <s v="KL2500010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n v="0"/>
    <n v="0"/>
  </r>
  <r>
    <m/>
    <x v="444"/>
    <d v="2025-04-07T00:00:00"/>
    <x v="1"/>
    <e v="#N/A"/>
    <x v="2"/>
    <s v="DRY2400750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57"/>
    <n v="31"/>
    <n v="0"/>
    <n v="0"/>
    <n v="0"/>
    <n v="7.4999999999999997E-3"/>
    <n v="0"/>
    <s v="รอเปลี่ยนNEWPACKAGE/ถ้าว,ฝา สีขาว"/>
    <n v="0"/>
    <n v="0"/>
  </r>
  <r>
    <m/>
    <x v="444"/>
    <d v="2025-04-03T00:00:00"/>
    <x v="1"/>
    <e v="#N/A"/>
    <x v="2"/>
    <s v="DRY2500074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889"/>
    <n v="889"/>
    <m/>
    <n v="0"/>
    <n v="0"/>
    <n v="0"/>
    <n v="7.4999999999999997E-3"/>
    <n v="0"/>
    <m/>
    <n v="0"/>
    <n v="0"/>
  </r>
  <r>
    <s v="R"/>
    <x v="444"/>
    <d v="2025-03-31T00:00:00"/>
    <x v="1"/>
    <e v="#N/A"/>
    <x v="2"/>
    <s v="KL2500008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732"/>
    <n v="732"/>
    <m/>
    <n v="0"/>
    <n v="0"/>
    <n v="0"/>
    <n v="6"/>
    <n v="0"/>
    <m/>
    <n v="0"/>
    <n v="0"/>
  </r>
  <r>
    <s v="R"/>
    <x v="444"/>
    <s v="04-2025"/>
    <x v="1"/>
    <e v="#N/A"/>
    <x v="2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49"/>
    <n v="49"/>
    <m/>
    <n v="0"/>
    <n v="0"/>
    <n v="0"/>
    <m/>
    <n v="0"/>
    <m/>
    <n v="0"/>
    <n v="0"/>
  </r>
  <r>
    <m/>
    <x v="445"/>
    <d v="2025-04-03T00:00:00"/>
    <x v="1"/>
    <e v="#N/A"/>
    <x v="2"/>
    <s v="DRY2500074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399"/>
    <n v="399"/>
    <m/>
    <n v="0"/>
    <n v="0"/>
    <n v="0"/>
    <n v="7.4999999999999997E-3"/>
    <n v="0"/>
    <m/>
    <n v="0"/>
    <n v="0"/>
  </r>
  <r>
    <m/>
    <x v="445"/>
    <d v="2025-04-03T00:00:00"/>
    <x v="1"/>
    <e v="#N/A"/>
    <x v="2"/>
    <s v="DRY2500075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n v="0"/>
    <n v="7.4999999999999997E-3"/>
    <n v="0"/>
    <m/>
    <n v="0"/>
    <n v="0"/>
  </r>
  <r>
    <m/>
    <x v="445"/>
    <d v="2025-04-03T00:00:00"/>
    <x v="1"/>
    <e v="#N/A"/>
    <x v="2"/>
    <s v="DRY2500049"/>
    <s v="New Zealand"/>
    <s v="CPFNW"/>
    <s v="Lim Brothers"/>
    <s v="Minced ND+V+TK"/>
    <x v="1"/>
    <s v="Cooked Minced  ND No Egg with Pumpkin_x000a_+ Yu Choy Tomkha"/>
    <s v="082SRN708003P01001"/>
    <s v="302g*8"/>
    <n v="8"/>
    <n v="3"/>
    <n v="6.0000000000000001E-3"/>
    <s v="BK"/>
    <s v="Salt"/>
    <s v="Tomkha+CM"/>
    <n v="864"/>
    <m/>
    <n v="899.25"/>
    <n v="35.25"/>
    <n v="0"/>
    <n v="0"/>
    <n v="5.8999999999999997E-2"/>
    <n v="0"/>
    <s v="309 ถ้วยสำรองของ Germany  082SR3N12003P01000"/>
    <n v="0"/>
    <n v="0"/>
  </r>
  <r>
    <s v="R"/>
    <x v="445"/>
    <d v="2025-03-31T00:00:00"/>
    <x v="1"/>
    <e v="#N/A"/>
    <x v="2"/>
    <s v="KL2500008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676"/>
    <n v="676"/>
    <m/>
    <n v="0"/>
    <n v="0"/>
    <n v="0"/>
    <n v="6"/>
    <n v="0"/>
    <m/>
    <n v="0"/>
    <n v="0"/>
  </r>
  <r>
    <s v="T"/>
    <x v="446"/>
    <d v="2025-04-03T00:00:00"/>
    <x v="1"/>
    <e v="#N/A"/>
    <x v="2"/>
    <s v="DRY2500049"/>
    <s v="New Zealand"/>
    <s v="CPFNW"/>
    <s v="Lim Brothers"/>
    <s v="C-Minced WT in tray no egg"/>
    <x v="1"/>
    <s v="Cooked Minced Wonton in Tray 6 pcs + Sesame Sauce"/>
    <s v="082SKN716006P00001"/>
    <s v="117*2tray*8in"/>
    <n v="16"/>
    <n v="6"/>
    <n v="8.1300000000000001E-3"/>
    <s v="BK"/>
    <s v="Salt"/>
    <s v=" Sesame 15g"/>
    <n v="372"/>
    <n v="372"/>
    <m/>
    <n v="0"/>
    <n v="0"/>
    <n v="0"/>
    <n v="1"/>
    <n v="0"/>
    <s v="cap 3000 tray/hr. อื่น 8,300 ถ้วย"/>
    <n v="0"/>
    <n v="0"/>
  </r>
  <r>
    <m/>
    <x v="446"/>
    <d v="2025-04-03T00:00:00"/>
    <x v="1"/>
    <e v="#N/A"/>
    <x v="2"/>
    <s v="DRY2500049"/>
    <s v="New Zealand"/>
    <s v="CPFNW"/>
    <s v="Lim Brothers"/>
    <s v="Minced ND+Kee Mao"/>
    <x v="1"/>
    <s v="Cooked Minced Wonton Thai Spicy Noodles (Kee Mao Noodles)"/>
    <s v="082SRN708003P02001"/>
    <s v="219g*8"/>
    <n v="8"/>
    <n v="3"/>
    <n v="6.0000000000000001E-3"/>
    <s v="BK"/>
    <s v="Salt"/>
    <s v="Kee Mao 50G."/>
    <n v="150"/>
    <m/>
    <n v="184.875"/>
    <n v="34.875"/>
    <n v="0"/>
    <n v="0"/>
    <n v="1"/>
    <n v="0"/>
    <s v="NEWPACKAGE"/>
    <n v="0"/>
    <n v="0"/>
  </r>
  <r>
    <m/>
    <x v="446"/>
    <d v="2025-04-03T00:00:00"/>
    <x v="1"/>
    <e v="#N/A"/>
    <x v="2"/>
    <s v="DRY2500049"/>
    <s v="New Zealand"/>
    <s v="CPFNW"/>
    <s v="Lim Brothers"/>
    <s v="Wonton ND+V"/>
    <x v="1"/>
    <s v="Cooked Wonton ND No Egg with Pumpkin_x000a_+ Yu Choy "/>
    <s v="082SJN708004P00001"/>
    <s v="305g*8"/>
    <n v="8"/>
    <n v="4"/>
    <n v="7.4999999999999997E-3"/>
    <s v="HC"/>
    <s v="Salt"/>
    <s v="Regular"/>
    <n v="1296"/>
    <m/>
    <n v="1328.75"/>
    <n v="32.75"/>
    <n v="0"/>
    <n v="0"/>
    <n v="7.4999999999999997E-3"/>
    <n v="0"/>
    <m/>
    <n v="0"/>
    <n v="0"/>
  </r>
  <r>
    <m/>
    <x v="446"/>
    <d v="2025-04-10T00:00:00"/>
    <x v="1"/>
    <e v="#N/A"/>
    <x v="2"/>
    <s v="DRY2500062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53"/>
    <n v="39.388888888888886"/>
    <n v="0.38888888888891415"/>
    <n v="0"/>
    <n v="0"/>
    <n v="7.4999999999999997E-3"/>
    <n v="0"/>
    <m/>
    <n v="0"/>
    <n v="0"/>
  </r>
  <r>
    <m/>
    <x v="446"/>
    <d v="2025-04-17T00:00:00"/>
    <x v="1"/>
    <e v="#N/A"/>
    <x v="2"/>
    <s v="DRY2500065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474"/>
    <n v="318"/>
    <n v="0"/>
    <n v="0"/>
    <n v="0"/>
    <n v="7.4999999999999997E-3"/>
    <n v="0"/>
    <m/>
    <n v="0"/>
    <n v="0"/>
  </r>
  <r>
    <m/>
    <x v="446"/>
    <d v="2025-04-08T00:00:00"/>
    <x v="1"/>
    <e v="#N/A"/>
    <x v="2"/>
    <s v="DRY2500003"/>
    <s v="UK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SG+CO"/>
    <n v="924"/>
    <n v="89"/>
    <n v="870.83333333333337"/>
    <n v="35.833333333333371"/>
    <n v="0"/>
    <n v="0"/>
    <n v="3.8699999999999998E-2"/>
    <n v="0"/>
    <s v="รอเปลี่ยนNEWPACKAGE/ถ้าว,ฝา สีขาว"/>
    <n v="0"/>
    <n v="0"/>
  </r>
  <r>
    <m/>
    <x v="446"/>
    <d v="2025-04-08T00:00:00"/>
    <x v="1"/>
    <e v="#N/A"/>
    <x v="2"/>
    <s v="DRY2500006"/>
    <s v="Netherlands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SG+CO"/>
    <n v="924"/>
    <m/>
    <n v="924"/>
    <n v="0"/>
    <n v="0"/>
    <n v="0"/>
    <n v="3.8699999999999998E-2"/>
    <n v="0"/>
    <s v="รอเปลี่ยนNEWPACKAGE/ถ้าว,ฝา สีขาว"/>
    <n v="0"/>
    <n v="0"/>
  </r>
  <r>
    <m/>
    <x v="446"/>
    <d v="2025-04-03T00:00:00"/>
    <x v="1"/>
    <e v="#N/A"/>
    <x v="2"/>
    <s v="DRY2500049"/>
    <s v="New Zealand"/>
    <s v="CPFNW"/>
    <s v="Lim Brothers"/>
    <s v="Minced ND+V+TY"/>
    <x v="1"/>
    <s v="Cooked Minced  ND No Egg with Pumpkin_x000a_+ Yu Choy Tomyum"/>
    <s v="082SRN708003P00001"/>
    <s v="302g*8"/>
    <n v="8"/>
    <n v="3"/>
    <n v="6.0000000000000001E-3"/>
    <s v="BK"/>
    <s v="Salt"/>
    <s v="TYEXSG+CO"/>
    <n v="756"/>
    <m/>
    <n v="983.75"/>
    <n v="227.75"/>
    <n v="0"/>
    <n v="0"/>
    <n v="3.8699999999999998E-2"/>
    <n v="0"/>
    <s v="2021 ถ้วยสำรองของ Germany  082SR3N12003P00000"/>
    <n v="0"/>
    <n v="0"/>
  </r>
  <r>
    <m/>
    <x v="447"/>
    <m/>
    <x v="1"/>
    <e v="#N/A"/>
    <x v="2"/>
    <m/>
    <m/>
    <m/>
    <m/>
    <m/>
    <x v="0"/>
    <m/>
    <m/>
    <m/>
    <m/>
    <m/>
    <m/>
    <m/>
    <m/>
    <m/>
    <m/>
    <m/>
    <m/>
    <m/>
    <m/>
    <n v="0"/>
    <m/>
    <n v="0"/>
    <m/>
    <m/>
    <m/>
  </r>
  <r>
    <s v="R"/>
    <x v="448"/>
    <d v="2025-04-07T00:00:00"/>
    <x v="1"/>
    <e v="#N/A"/>
    <x v="2"/>
    <s v="DRY2500055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588"/>
    <n v="581"/>
    <n v="7"/>
    <n v="0"/>
    <n v="0"/>
    <n v="0"/>
    <n v="2"/>
    <n v="0"/>
    <m/>
    <n v="0"/>
    <n v="0"/>
  </r>
  <r>
    <s v="R"/>
    <x v="448"/>
    <d v="2025-04-07T00:00:00"/>
    <x v="1"/>
    <e v="#N/A"/>
    <x v="2"/>
    <s v="DRY2500056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700"/>
    <n v="700"/>
    <m/>
    <n v="0"/>
    <n v="0"/>
    <n v="0"/>
    <n v="6"/>
    <n v="0"/>
    <m/>
    <n v="0"/>
    <n v="0"/>
  </r>
  <r>
    <s v="R"/>
    <x v="449"/>
    <d v="2025-04-07T00:00:00"/>
    <x v="1"/>
    <e v="#N/A"/>
    <x v="2"/>
    <s v="DRY2500055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553"/>
    <n v="553"/>
    <m/>
    <n v="0"/>
    <n v="0"/>
    <n v="0"/>
    <n v="2"/>
    <n v="0"/>
    <m/>
    <n v="0"/>
    <n v="0"/>
  </r>
  <r>
    <s v="R"/>
    <x v="449"/>
    <d v="2025-04-07T00:00:00"/>
    <x v="1"/>
    <e v="#N/A"/>
    <x v="2"/>
    <s v="DRY2500056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85"/>
    <n v="685"/>
    <m/>
    <n v="0"/>
    <n v="0"/>
    <n v="0"/>
    <n v="6"/>
    <n v="0"/>
    <m/>
    <n v="0"/>
    <n v="0"/>
  </r>
  <r>
    <m/>
    <x v="450"/>
    <d v="2025-04-07T00:00:00"/>
    <x v="1"/>
    <e v="#N/A"/>
    <x v="2"/>
    <s v="DRY2500082"/>
    <s v="Korea"/>
    <s v="CPFNW"/>
    <s v="Consumer Package Commerce"/>
    <s v="Wonton"/>
    <x v="1"/>
    <s v="Wonton Soup  (Enriched wonton sheet)"/>
    <s v="082S83U36005P00001"/>
    <s v="145g*6c*6in"/>
    <n v="36"/>
    <n v="5"/>
    <n v="7.4999999999999997E-3"/>
    <s v="HC"/>
    <s v="Salt"/>
    <s v="Y3"/>
    <n v="200"/>
    <n v="200"/>
    <m/>
    <n v="0"/>
    <n v="0"/>
    <n v="0"/>
    <n v="9.7000000000000003E-3"/>
    <n v="0"/>
    <s v="PACKAGE CAN / STK"/>
    <n v="0"/>
    <n v="0"/>
  </r>
  <r>
    <m/>
    <x v="450"/>
    <d v="2025-04-05T00:00:00"/>
    <x v="1"/>
    <e v="#N/A"/>
    <x v="2"/>
    <s v="DRY2500050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936"/>
    <n v="936"/>
    <m/>
    <n v="0"/>
    <n v="0"/>
    <n v="0"/>
    <n v="9.7000000000000003E-3"/>
    <n v="0"/>
    <m/>
    <n v="0"/>
    <n v="0"/>
  </r>
  <r>
    <m/>
    <x v="450"/>
    <d v="2025-04-05T00:00:00"/>
    <x v="1"/>
    <e v="#N/A"/>
    <x v="2"/>
    <s v="DRY2500051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837"/>
    <n v="837"/>
    <m/>
    <n v="0"/>
    <n v="0"/>
    <n v="0"/>
    <n v="9.7000000000000003E-3"/>
    <n v="0"/>
    <m/>
    <n v="0"/>
    <n v="0"/>
  </r>
  <r>
    <m/>
    <x v="450"/>
    <d v="2025-04-07T00:00:00"/>
    <x v="1"/>
    <e v="#N/A"/>
    <x v="2"/>
    <s v="DRY2400820"/>
    <s v="Taiwan"/>
    <s v="CPFNW"/>
    <s v="CP TAIWAN"/>
    <s v="Wonton+TY"/>
    <x v="1"/>
    <s v="Wonton Soup  (Enriched wonton sheet)"/>
    <s v="082S83R36005P00001"/>
    <s v="147g*6c*6in"/>
    <n v="36"/>
    <n v="5"/>
    <n v="7.4999999999999997E-3"/>
    <s v="M"/>
    <s v="Salt"/>
    <s v="TYEXSG+CO"/>
    <n v="1288"/>
    <n v="1288"/>
    <m/>
    <n v="0"/>
    <n v="0"/>
    <n v="0"/>
    <n v="2.2419999999999999E-2"/>
    <n v="0"/>
    <s v="PACKAGE USA  / STK"/>
    <n v="0"/>
    <n v="0"/>
  </r>
  <r>
    <m/>
    <x v="450"/>
    <d v="2025-04-07T00:00:00"/>
    <x v="1"/>
    <e v="#N/A"/>
    <x v="2"/>
    <s v="DRY2500082"/>
    <s v="Korea"/>
    <s v="CPFNW"/>
    <s v="Consumer Package Commerce"/>
    <s v="Wonton+TY"/>
    <x v="1"/>
    <s v="Wonton Soup  (Enriched wonton sheet) tom yum"/>
    <s v="082S83U36005P01001"/>
    <s v="147g*6c*6in"/>
    <n v="36"/>
    <n v="5"/>
    <n v="7.4999999999999997E-3"/>
    <s v="M"/>
    <s v="Salt"/>
    <s v="TYEXSG+CO"/>
    <n v="250"/>
    <n v="250"/>
    <n v="5.0277777777777777"/>
    <n v="5.0277777777777715"/>
    <n v="0"/>
    <n v="0"/>
    <n v="2.2419999999999999E-2"/>
    <n v="0"/>
    <s v="PACKAGE USA  / STK"/>
    <n v="0"/>
    <n v="0"/>
  </r>
  <r>
    <m/>
    <x v="450"/>
    <d v="2025-04-28T00:00:00"/>
    <x v="1"/>
    <e v="#N/A"/>
    <x v="2"/>
    <s v="DRY2500093"/>
    <s v="Belgium"/>
    <s v="CPFNW"/>
    <s v="CPF EUROPE S.A."/>
    <s v="Wonton+TY"/>
    <x v="1"/>
    <s v="Cooked Wonton  No Egg _x000a_+ 4 pcs"/>
    <s v="082S83I08004P01001"/>
    <s v="129g*8"/>
    <n v="8"/>
    <n v="4"/>
    <n v="8.1300000000000001E-3"/>
    <s v="M"/>
    <s v="Salt"/>
    <s v="TYEXSG+CO"/>
    <n v="1360"/>
    <m/>
    <n v="1501.375"/>
    <n v="141.375"/>
    <n v="0"/>
    <n v="0"/>
    <n v="2.2419999999999999E-2"/>
    <n v="0"/>
    <m/>
    <n v="0"/>
    <n v="0"/>
  </r>
  <r>
    <s v="R"/>
    <x v="451"/>
    <d v="2025-04-07T00:00:00"/>
    <x v="1"/>
    <e v="#N/A"/>
    <x v="2"/>
    <s v="DRY2500055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483"/>
    <n v="483"/>
    <m/>
    <n v="0"/>
    <n v="0"/>
    <n v="0"/>
    <n v="2"/>
    <n v="0"/>
    <m/>
    <n v="0"/>
    <n v="0"/>
  </r>
  <r>
    <s v="R"/>
    <x v="451"/>
    <d v="2025-04-21T00:00:00"/>
    <x v="1"/>
    <e v="#N/A"/>
    <x v="2"/>
    <s v="DRY2500057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168"/>
    <n v="168"/>
    <m/>
    <n v="0"/>
    <n v="0"/>
    <n v="0"/>
    <n v="2"/>
    <n v="0"/>
    <m/>
    <n v="0"/>
    <n v="0"/>
  </r>
  <r>
    <s v="R"/>
    <x v="451"/>
    <d v="2025-04-07T00:00:00"/>
    <x v="1"/>
    <e v="#N/A"/>
    <x v="2"/>
    <s v="DRY2500056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71"/>
    <n v="671"/>
    <m/>
    <n v="0"/>
    <n v="0"/>
    <n v="0"/>
    <n v="6"/>
    <n v="0"/>
    <m/>
    <n v="0"/>
    <n v="0"/>
  </r>
  <r>
    <s v="R"/>
    <x v="452"/>
    <d v="2025-04-21T00:00:00"/>
    <x v="1"/>
    <e v="#N/A"/>
    <x v="2"/>
    <s v="DRY2500057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1287"/>
    <n v="1287"/>
    <m/>
    <n v="0"/>
    <n v="0"/>
    <n v="0"/>
    <n v="2"/>
    <n v="0"/>
    <m/>
    <n v="0"/>
    <n v="0"/>
  </r>
  <r>
    <m/>
    <x v="453"/>
    <d v="2025-04-05T00:00:00"/>
    <x v="1"/>
    <e v="#N/A"/>
    <x v="2"/>
    <s v="DRY2500051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451"/>
    <n v="451"/>
    <m/>
    <n v="0"/>
    <n v="0"/>
    <n v="0"/>
    <n v="9.7000000000000003E-3"/>
    <n v="0"/>
    <m/>
    <n v="0"/>
    <n v="0"/>
  </r>
  <r>
    <m/>
    <x v="453"/>
    <d v="2025-04-19T00:00:00"/>
    <x v="1"/>
    <e v="#N/A"/>
    <x v="2"/>
    <s v="DRY2500054"/>
    <s v="CAN "/>
    <s v="CPFNW "/>
    <s v="CP Foods Canada,Inc (CPFC)"/>
    <s v="Wonton"/>
    <x v="1"/>
    <s v="Wonton Soup  (Enriched wonton sheet)"/>
    <s v="082S85336005P00001"/>
    <s v="145g*6c*6in"/>
    <n v="36"/>
    <n v="5"/>
    <n v="7.4999999999999997E-3"/>
    <s v="HC"/>
    <s v="Salt"/>
    <s v="Y3"/>
    <n v="1288"/>
    <n v="1055"/>
    <n v="233.08333333333334"/>
    <n v="8.3333333333257542E-2"/>
    <n v="0"/>
    <n v="0"/>
    <n v="9.7000000000000003E-3"/>
    <n v="0"/>
    <m/>
    <n v="0"/>
    <n v="0"/>
  </r>
  <r>
    <m/>
    <x v="453"/>
    <d v="2025-04-08T00:00:00"/>
    <x v="1"/>
    <e v="#N/A"/>
    <x v="2"/>
    <s v="DRY2500090"/>
    <s v="UK"/>
    <s v="CPFNW"/>
    <s v="Westbridge Foods Limited (One UK)"/>
    <s v="Minced ND"/>
    <x v="1"/>
    <s v="Cooked Minced Wonton Noodle No Egg"/>
    <s v="082SRWE24005P00001"/>
    <s v="258g*4c*6in"/>
    <n v="24"/>
    <n v="5"/>
    <n v="6.0000000000000001E-3"/>
    <s v="BK"/>
    <s v="Salt"/>
    <s v="Regular"/>
    <n v="1176"/>
    <n v="779"/>
    <n v="490.54166666666669"/>
    <n v="93.541666666666742"/>
    <n v="0"/>
    <n v="0"/>
    <n v="7.4999999999999997E-3"/>
    <n v="0"/>
    <m/>
    <n v="0"/>
    <n v="0"/>
  </r>
  <r>
    <m/>
    <x v="453"/>
    <d v="2025-04-24T00:00:00"/>
    <x v="1"/>
    <e v="#N/A"/>
    <x v="2"/>
    <s v="DRY2500083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SG+CO"/>
    <n v="924"/>
    <n v="881"/>
    <n v="111.29166666666667"/>
    <n v="68.291666666666629"/>
    <n v="0"/>
    <n v="0"/>
    <n v="3.8699999999999998E-2"/>
    <n v="0"/>
    <m/>
    <n v="0"/>
    <n v="0"/>
  </r>
  <r>
    <m/>
    <x v="453"/>
    <d v="2025-04-08T00:00:00"/>
    <x v="1"/>
    <e v="#N/A"/>
    <x v="2"/>
    <s v="DRY2500101"/>
    <s v="Netherlands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SG+CO"/>
    <n v="924"/>
    <n v="127"/>
    <n v="825.875"/>
    <n v="28.875"/>
    <n v="0"/>
    <n v="0"/>
    <n v="3.8699999999999998E-2"/>
    <n v="0"/>
    <m/>
    <n v="0"/>
    <n v="0"/>
  </r>
  <r>
    <m/>
    <x v="454"/>
    <m/>
    <x v="1"/>
    <e v="#N/A"/>
    <x v="2"/>
    <m/>
    <m/>
    <m/>
    <m/>
    <m/>
    <x v="0"/>
    <m/>
    <m/>
    <m/>
    <m/>
    <m/>
    <m/>
    <m/>
    <m/>
    <m/>
    <m/>
    <m/>
    <m/>
    <m/>
    <m/>
    <n v="0"/>
    <m/>
    <n v="0"/>
    <m/>
    <m/>
    <m/>
  </r>
  <r>
    <m/>
    <x v="455"/>
    <s v="04-2025"/>
    <x v="1"/>
    <e v="#N/A"/>
    <x v="2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6678"/>
    <n v="6678"/>
    <m/>
    <n v="0"/>
    <n v="0"/>
    <n v="0"/>
    <n v="7.4999999999999997E-3"/>
    <n v="0"/>
    <m/>
    <n v="0"/>
    <n v="0"/>
  </r>
  <r>
    <s v="R"/>
    <x v="456"/>
    <d v="2025-04-10T00:00:00"/>
    <x v="1"/>
    <e v="#N/A"/>
    <x v="3"/>
    <s v="KL2500013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n v="0"/>
    <n v="0"/>
  </r>
  <r>
    <s v="R"/>
    <x v="456"/>
    <d v="2025-04-21T00:00:00"/>
    <x v="1"/>
    <e v="#N/A"/>
    <x v="3"/>
    <s v="DRY2500057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169"/>
    <n v="169"/>
    <m/>
    <n v="0"/>
    <n v="0"/>
    <n v="0"/>
    <n v="2"/>
    <n v="0"/>
    <m/>
    <n v="0"/>
    <n v="0"/>
  </r>
  <r>
    <s v="R"/>
    <x v="457"/>
    <d v="2025-04-10T00:00:00"/>
    <x v="1"/>
    <e v="#N/A"/>
    <x v="3"/>
    <s v="KL2500011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n v="0"/>
    <n v="0"/>
  </r>
  <r>
    <s v="R"/>
    <x v="457"/>
    <d v="2025-04-28T00:00:00"/>
    <x v="1"/>
    <e v="#N/A"/>
    <x v="3"/>
    <s v="DRY2500093"/>
    <s v="Belgium"/>
    <s v="CPFNW"/>
    <s v="CPF EUROPE S.A."/>
    <s v="R-Wonton no egg"/>
    <x v="2"/>
    <s v="Raw Wonton 50 pcs"/>
    <s v="082I93I10050P02001"/>
    <s v="630g*10inner"/>
    <n v="10"/>
    <n v="50"/>
    <n v="8.1300000000000001E-3"/>
    <s v="M"/>
    <s v="Salt"/>
    <s v="ซุปซอง 5g."/>
    <n v="179"/>
    <m/>
    <n v="179"/>
    <n v="0"/>
    <n v="0"/>
    <n v="0"/>
    <n v="6"/>
    <n v="0"/>
    <m/>
    <n v="0"/>
    <n v="0"/>
  </r>
  <r>
    <s v="R"/>
    <x v="458"/>
    <d v="2025-04-11T00:00:00"/>
    <x v="1"/>
    <e v="#N/A"/>
    <x v="3"/>
    <s v="KL2500014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222"/>
    <n v="1222"/>
    <m/>
    <n v="0"/>
    <n v="0"/>
    <n v="0"/>
    <n v="6"/>
    <n v="0"/>
    <m/>
    <n v="0"/>
    <n v="0"/>
  </r>
  <r>
    <s v="R"/>
    <x v="458"/>
    <d v="2025-04-28T00:00:00"/>
    <x v="1"/>
    <e v="#N/A"/>
    <x v="3"/>
    <s v="DRY2500093"/>
    <s v="Belgium"/>
    <s v="CPFNW"/>
    <s v="CPF EUROPE S.A."/>
    <s v="R-Wonton no egg"/>
    <x v="2"/>
    <s v="Raw Wonton 50 pcs"/>
    <s v="082I93I10050P02001"/>
    <s v="630g*10inner"/>
    <n v="10"/>
    <n v="50"/>
    <n v="8.1300000000000001E-3"/>
    <s v="M"/>
    <s v="Salt"/>
    <s v="ซุปซอง 5g."/>
    <n v="321"/>
    <m/>
    <n v="337"/>
    <n v="16"/>
    <n v="0"/>
    <n v="0"/>
    <n v="6"/>
    <n v="0"/>
    <m/>
    <n v="0"/>
    <n v="0"/>
  </r>
  <r>
    <m/>
    <x v="459"/>
    <d v="2025-04-23T00:00:00"/>
    <x v="1"/>
    <e v="#N/A"/>
    <x v="3"/>
    <s v="DRY2500070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n v="0"/>
    <n v="7.4999999999999997E-3"/>
    <n v="0"/>
    <s v="รอเปลี่ยนNEWPACKAGE"/>
    <n v="0"/>
    <n v="0"/>
  </r>
  <r>
    <m/>
    <x v="459"/>
    <s v="04-2025"/>
    <x v="1"/>
    <e v="#N/A"/>
    <x v="3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4638"/>
    <n v="4638"/>
    <m/>
    <n v="0"/>
    <n v="0"/>
    <n v="0"/>
    <n v="7.4999999999999997E-3"/>
    <n v="0"/>
    <m/>
    <n v="0"/>
    <n v="0"/>
  </r>
  <r>
    <m/>
    <x v="460"/>
    <s v="04-2025"/>
    <x v="1"/>
    <e v="#N/A"/>
    <x v="3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1125"/>
    <n v="1125"/>
    <m/>
    <n v="0"/>
    <n v="0"/>
    <n v="0"/>
    <n v="7.4999999999999997E-3"/>
    <n v="0"/>
    <m/>
    <n v="0"/>
    <n v="0"/>
  </r>
  <r>
    <m/>
    <x v="460"/>
    <d v="2025-04-24T00:00:00"/>
    <x v="1"/>
    <e v="#N/A"/>
    <x v="3"/>
    <s v="DRY2500047"/>
    <s v="SG"/>
    <s v="CPFNW"/>
    <s v="CPI SINGAPORE"/>
    <s v="Wonton +TY"/>
    <x v="1"/>
    <s v="Cooked Wonton No Egg"/>
    <s v="082S83B24005P06001"/>
    <s v="115g*24"/>
    <n v="24"/>
    <n v="5"/>
    <n v="8.0000000000000002E-3"/>
    <s v="M"/>
    <s v="STPP"/>
    <s v="TYTB3C 30G"/>
    <n v="500"/>
    <n v="500"/>
    <n v="9.6666666666666661"/>
    <n v="9.6666666666666856"/>
    <n v="0"/>
    <n v="0"/>
    <n v="1"/>
    <n v="0"/>
    <m/>
    <n v="0"/>
    <n v="0"/>
  </r>
  <r>
    <m/>
    <x v="460"/>
    <d v="2025-04-19T00:00:00"/>
    <x v="1"/>
    <e v="#N/A"/>
    <x v="3"/>
    <s v="DRY2500043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400"/>
    <m/>
    <n v="474.5"/>
    <n v="74.5"/>
    <n v="0"/>
    <n v="0"/>
    <n v="7.4999999999999997E-3"/>
    <n v="0"/>
    <m/>
    <n v="0"/>
    <n v="0"/>
  </r>
  <r>
    <m/>
    <x v="460"/>
    <d v="2025-04-28T00:00:00"/>
    <x v="1"/>
    <e v="#N/A"/>
    <x v="3"/>
    <s v="DRY2500093"/>
    <s v="Belgium"/>
    <s v="CPFNW"/>
    <s v="CPF EUROPE S.A."/>
    <s v="Wonton +V"/>
    <x v="1"/>
    <s v="Cooked Wonton  No Egg _x000a_+ Vegetable  HC  4 pcs"/>
    <s v="082S83I08004P00001"/>
    <s v="145g*8"/>
    <n v="8"/>
    <n v="4"/>
    <n v="7.4999999999999997E-3"/>
    <s v="HC"/>
    <s v="Salt"/>
    <s v="Regular"/>
    <n v="1200"/>
    <m/>
    <n v="1508.5"/>
    <n v="308.5"/>
    <n v="0"/>
    <n v="0"/>
    <n v="7.4999999999999997E-3"/>
    <n v="0"/>
    <m/>
    <n v="0"/>
    <n v="0"/>
  </r>
  <r>
    <m/>
    <x v="460"/>
    <s v="03-2025"/>
    <x v="1"/>
    <e v="#N/A"/>
    <x v="3"/>
    <s v="ขายภายใน"/>
    <s v="MTFS"/>
    <s v="CPFGS"/>
    <s v="ซีพีเอฟ เทรดดิ้ง"/>
    <s v="Wonton ND"/>
    <x v="1"/>
    <s v="บะหมี่เกี๊ยวกุ้งซุปสุกี้ CPxMK 227g ND Pumpkin"/>
    <s v="082SJ3Q12003P09001"/>
    <s v="227g*12"/>
    <n v="12"/>
    <n v="3"/>
    <n v="8.0000000000000002E-3"/>
    <s v="SS"/>
    <s v="STPP"/>
    <s v="MK"/>
    <n v="779"/>
    <n v="477"/>
    <n v="302"/>
    <n v="0"/>
    <n v="0"/>
    <n v="0"/>
    <n v="0.05"/>
    <n v="0"/>
    <m/>
    <n v="0"/>
    <n v="0"/>
  </r>
  <r>
    <m/>
    <x v="460"/>
    <s v="04-2025"/>
    <x v="1"/>
    <e v="#N/A"/>
    <x v="3"/>
    <s v="ขายภายใน"/>
    <s v="MTFS"/>
    <s v="CPFGS"/>
    <s v="ซีพีเอฟ เทรดดิ้ง"/>
    <s v="Wonton ND"/>
    <x v="1"/>
    <s v="บะหมี่เกี๊ยวกุ้งซุปสุกี้ CPxMK 227g ND Pumpkin"/>
    <s v="082SJ3Q12003P09001"/>
    <s v="227g*12"/>
    <n v="12"/>
    <n v="3"/>
    <n v="8.0000000000000002E-3"/>
    <s v="SS"/>
    <s v="STPP"/>
    <s v="MK"/>
    <n v="6051"/>
    <n v="6051"/>
    <m/>
    <n v="0"/>
    <n v="0"/>
    <n v="0"/>
    <n v="0.05"/>
    <n v="0"/>
    <m/>
    <n v="0"/>
    <n v="0"/>
  </r>
  <r>
    <m/>
    <x v="461"/>
    <m/>
    <x v="1"/>
    <e v="#N/A"/>
    <x v="3"/>
    <m/>
    <m/>
    <m/>
    <m/>
    <m/>
    <x v="0"/>
    <m/>
    <m/>
    <m/>
    <m/>
    <m/>
    <m/>
    <m/>
    <m/>
    <m/>
    <m/>
    <m/>
    <m/>
    <m/>
    <m/>
    <n v="0"/>
    <m/>
    <n v="0"/>
    <m/>
    <m/>
    <m/>
  </r>
  <r>
    <s v="R"/>
    <x v="462"/>
    <d v="2025-04-11T00:00:00"/>
    <x v="1"/>
    <e v="#N/A"/>
    <x v="3"/>
    <s v="KL2500014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86"/>
    <n v="186"/>
    <m/>
    <n v="0"/>
    <n v="0"/>
    <n v="0"/>
    <n v="6"/>
    <n v="0"/>
    <m/>
    <n v="0"/>
    <n v="0"/>
  </r>
  <r>
    <s v="R"/>
    <x v="462"/>
    <d v="2025-04-11T00:00:00"/>
    <x v="1"/>
    <e v="#N/A"/>
    <x v="3"/>
    <s v="KL2500012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n v="0"/>
    <n v="0"/>
  </r>
  <r>
    <m/>
    <x v="463"/>
    <s v="04-2025"/>
    <x v="1"/>
    <e v="#N/A"/>
    <x v="3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1766"/>
    <n v="1766"/>
    <m/>
    <n v="0"/>
    <n v="0"/>
    <n v="0"/>
    <n v="7.4999999999999997E-3"/>
    <n v="0"/>
    <m/>
    <n v="0"/>
    <n v="0"/>
  </r>
  <r>
    <m/>
    <x v="463"/>
    <s v="05-2025"/>
    <x v="1"/>
    <e v="#N/A"/>
    <x v="3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4546"/>
    <n v="4546"/>
    <m/>
    <n v="0"/>
    <n v="0"/>
    <n v="0"/>
    <n v="7.4999999999999997E-3"/>
    <n v="0"/>
    <s v="คาดการณ์ pk เข้า 21/3"/>
    <n v="0"/>
    <n v="0"/>
  </r>
  <r>
    <m/>
    <x v="464"/>
    <s v="04-2025"/>
    <x v="1"/>
    <e v="#N/A"/>
    <x v="3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27"/>
    <n v="27"/>
    <m/>
    <n v="0"/>
    <n v="0"/>
    <n v="0"/>
    <n v="1"/>
    <n v="0"/>
    <m/>
    <n v="0"/>
    <n v="0"/>
  </r>
  <r>
    <m/>
    <x v="464"/>
    <s v="04-2025"/>
    <x v="1"/>
    <e v="#N/A"/>
    <x v="3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500"/>
    <n v="500"/>
    <m/>
    <n v="0"/>
    <n v="0"/>
    <n v="0"/>
    <n v="1"/>
    <n v="0"/>
    <m/>
    <n v="0"/>
    <n v="0"/>
  </r>
  <r>
    <s v="CP Laos"/>
    <x v="464"/>
    <s v="04-2025"/>
    <x v="1"/>
    <e v="#N/A"/>
    <x v="3"/>
    <s v="LA005/2568"/>
    <s v="Laos"/>
    <s v="Laos"/>
    <s v="บริษัท ปิก้าเทรดดิ้ง จำกัด"/>
    <s v="E+Wonton"/>
    <x v="1"/>
    <s v="เกี๊ยวกุ้งจักรพรรดิ 12x145g."/>
    <s v="082S8L212005P00001"/>
    <s v="145g*12"/>
    <n v="12"/>
    <n v="5"/>
    <n v="8.0000000000000002E-3"/>
    <s v="M"/>
    <s v="STPP"/>
    <s v="Regular"/>
    <n v="100"/>
    <n v="100"/>
    <m/>
    <n v="0"/>
    <n v="0"/>
    <n v="0"/>
    <n v="7.4999999999999997E-3"/>
    <n v="0"/>
    <m/>
    <n v="0"/>
    <n v="0"/>
  </r>
  <r>
    <m/>
    <x v="464"/>
    <s v="04-2025"/>
    <x v="1"/>
    <e v="#N/A"/>
    <x v="3"/>
    <s v="ขายภายใน"/>
    <s v="MTFS"/>
    <s v="CPFGS"/>
    <s v="ซีพีเอฟ เทรดดิ้ง"/>
    <s v="E+Wonton"/>
    <x v="1"/>
    <s v="Cooked Wonton  with egg V-Food"/>
    <s v="082S83Q12005P05001"/>
    <s v="145g*12"/>
    <n v="12"/>
    <n v="5"/>
    <n v="8.0000000000000002E-3"/>
    <s v="M"/>
    <s v="STPP"/>
    <s v="Regular"/>
    <n v="1500"/>
    <n v="1500"/>
    <m/>
    <n v="0"/>
    <n v="0"/>
    <n v="0"/>
    <n v="7.4999999999999997E-3"/>
    <n v="0"/>
    <m/>
    <n v="0"/>
    <n v="0"/>
  </r>
  <r>
    <m/>
    <x v="464"/>
    <s v="04-2025"/>
    <x v="1"/>
    <e v="#N/A"/>
    <x v="3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4374"/>
    <n v="4374"/>
    <m/>
    <n v="0"/>
    <n v="0"/>
    <n v="0"/>
    <n v="7.4999999999999997E-3"/>
    <n v="0"/>
    <m/>
    <n v="0"/>
    <n v="0"/>
  </r>
  <r>
    <s v="CP Laos"/>
    <x v="464"/>
    <s v="04-2025"/>
    <x v="1"/>
    <e v="#N/A"/>
    <x v="3"/>
    <s v="LA005/2568"/>
    <s v="Laos"/>
    <s v="Laos"/>
    <s v="บริษัท ปิก้าเทรดดิ้ง จำกัด"/>
    <s v="E+Wonton+หมาล่า"/>
    <x v="1"/>
    <s v="เกี๊ยวกุ้งจักรพรรดิ ซุปหม่าล่า 12x143g."/>
    <s v="082S8L212005P01001"/>
    <s v="143g*12"/>
    <n v="12"/>
    <n v="5"/>
    <n v="6.1999999999999998E-3"/>
    <s v="SS"/>
    <s v="STPP"/>
    <s v="หมาล่า"/>
    <n v="100"/>
    <n v="100"/>
    <m/>
    <n v="0"/>
    <n v="0"/>
    <n v="0"/>
    <n v="1.2999999999999999E-2"/>
    <n v="0"/>
    <m/>
    <n v="0"/>
    <n v="0"/>
  </r>
  <r>
    <m/>
    <x v="464"/>
    <s v="04-2025"/>
    <x v="1"/>
    <e v="#N/A"/>
    <x v="3"/>
    <s v="ขายภายใน"/>
    <s v="MTFS"/>
    <s v="CPFGS"/>
    <s v="ซีพีเอฟ เทรดดิ้ง"/>
    <s v="E+Wonton+หมาล่า"/>
    <x v="1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900"/>
    <n v="900"/>
    <m/>
    <n v="0"/>
    <n v="0"/>
    <n v="0"/>
    <n v="1.2999999999999999E-2"/>
    <n v="0"/>
    <m/>
    <n v="0"/>
    <n v="0"/>
  </r>
  <r>
    <m/>
    <x v="465"/>
    <d v="2025-04-19T00:00:00"/>
    <x v="1"/>
    <e v="#N/A"/>
    <x v="3"/>
    <s v="KL2500023"/>
    <s v="China"/>
    <s v="China"/>
    <s v="Charoen Pokphand Import&amp;Export Trading (Shanghai) Co., Ltd"/>
    <s v="Wonton ND+V"/>
    <x v="1"/>
    <s v="Cooked Wonton ND No Egg with Pumpkin _x000a_+ Vegetable 5 pcs tomyam"/>
    <s v="082SJ5J36005P00001"/>
    <s v="308g*6c*6in"/>
    <n v="36"/>
    <n v="5"/>
    <n v="7.4999999999999997E-3"/>
    <s v="HC"/>
    <s v="Salt"/>
    <s v="Y3"/>
    <n v="320"/>
    <n v="210"/>
    <n v="122.52777777777777"/>
    <n v="12.527777777777771"/>
    <n v="0"/>
    <n v="0"/>
    <n v="9.7000000000000003E-3"/>
    <n v="0"/>
    <s v="INNERใหม่ / กล่องใหม่"/>
    <n v="0"/>
    <n v="0"/>
  </r>
  <r>
    <m/>
    <x v="465"/>
    <d v="2025-04-24T00:00:00"/>
    <x v="1"/>
    <e v="#N/A"/>
    <x v="3"/>
    <s v="DRY2500078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465"/>
    <d v="2025-05-08T00:00:00"/>
    <x v="1"/>
    <e v="#N/A"/>
    <x v="3"/>
    <s v="DRY2500080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465"/>
    <d v="2025-05-16T00:00:00"/>
    <x v="1"/>
    <e v="#N/A"/>
    <x v="3"/>
    <s v="DRY2500079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465"/>
    <d v="2025-05-22T00:00:00"/>
    <x v="1"/>
    <e v="#N/A"/>
    <x v="3"/>
    <s v="DRY2500095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676"/>
    <n v="116"/>
    <n v="0"/>
    <n v="0"/>
    <n v="0"/>
    <n v="7.4999999999999997E-3"/>
    <n v="0"/>
    <m/>
    <n v="0"/>
    <n v="0"/>
  </r>
  <r>
    <m/>
    <x v="465"/>
    <d v="2025-04-30T00:00:00"/>
    <x v="1"/>
    <e v="#N/A"/>
    <x v="3"/>
    <s v="DRY2500085"/>
    <s v="AUS"/>
    <s v="CPFNW"/>
    <s v="CPF Australia Pty Ltd."/>
    <s v="Wonton ND+V"/>
    <x v="1"/>
    <s v="Cooked Wonton ND No Egg with Pumpkin_x000a_+ Yu Choy "/>
    <s v="082SJ9U08004P00001"/>
    <s v="305g*8"/>
    <n v="8"/>
    <n v="4"/>
    <n v="7.4999999999999997E-3"/>
    <s v="HC"/>
    <s v="Salt"/>
    <s v="Regular"/>
    <n v="400"/>
    <m/>
    <n v="438.5"/>
    <n v="38.5"/>
    <n v="0"/>
    <n v="0"/>
    <n v="7.4999999999999997E-3"/>
    <n v="0"/>
    <m/>
    <n v="0"/>
    <n v="0"/>
  </r>
  <r>
    <m/>
    <x v="465"/>
    <d v="2025-05-15T00:00:00"/>
    <x v="1"/>
    <e v="#N/A"/>
    <x v="3"/>
    <s v="DRY2500068"/>
    <s v="New Zealand"/>
    <s v="CPFNW"/>
    <s v="Lim Brothers"/>
    <s v="Wonton ND+V"/>
    <x v="1"/>
    <s v="Cooked Wonton ND No Egg with Pumpkin_x000a_+ Yu Choy "/>
    <s v="082SJN708004P00001"/>
    <s v="305g*8"/>
    <n v="8"/>
    <n v="4"/>
    <n v="7.4999999999999997E-3"/>
    <s v="HC"/>
    <s v="Salt"/>
    <s v="Regular"/>
    <n v="710"/>
    <m/>
    <n v="710"/>
    <n v="0"/>
    <n v="0"/>
    <n v="0"/>
    <n v="7.4999999999999997E-3"/>
    <n v="0"/>
    <m/>
    <n v="0"/>
    <n v="0"/>
  </r>
  <r>
    <m/>
    <x v="465"/>
    <d v="2025-04-28T00:00:00"/>
    <x v="1"/>
    <e v="#N/A"/>
    <x v="3"/>
    <s v="DRY2500093"/>
    <s v="Belgium"/>
    <s v="CPFNW"/>
    <s v="CPF EUROPE S.A."/>
    <s v="Wonton ND+V"/>
    <x v="1"/>
    <s v="Cooked Wonton ND No Egg with Pumpkin _x000a_+ Vegetable  HC  3 pcs"/>
    <s v="082SJ3I08003P00001"/>
    <s v="309g*8"/>
    <n v="8"/>
    <n v="3"/>
    <n v="7.4999999999999997E-3"/>
    <s v="HC"/>
    <s v="Salt"/>
    <s v="Regular"/>
    <n v="720"/>
    <m/>
    <n v="871"/>
    <n v="151"/>
    <n v="0"/>
    <n v="0"/>
    <n v="7.4999999999999997E-3"/>
    <n v="0"/>
    <m/>
    <n v="0"/>
    <n v="0"/>
  </r>
  <r>
    <m/>
    <x v="465"/>
    <d v="2025-04-30T00:00:00"/>
    <x v="1"/>
    <e v="#N/A"/>
    <x v="3"/>
    <s v="DRY2500085"/>
    <s v="AUS"/>
    <s v="CPFNW"/>
    <s v="CPF Australia Pty Ltd."/>
    <s v="Minced ND+V+TK"/>
    <x v="1"/>
    <s v="Cooked Minced  ND No Egg with Pumpkin_x000a_+ Yu Choy Tomkha"/>
    <s v="082SR9U08003P01001"/>
    <s v="302g*8"/>
    <n v="8"/>
    <n v="3"/>
    <n v="6.0000000000000001E-3"/>
    <s v="BK"/>
    <s v="Salt"/>
    <s v="Tomkha+CM"/>
    <n v="240"/>
    <m/>
    <n v="261"/>
    <n v="21"/>
    <n v="0"/>
    <n v="0"/>
    <n v="5.8823E-2"/>
    <n v="0"/>
    <m/>
    <n v="0"/>
    <n v="0"/>
  </r>
  <r>
    <m/>
    <x v="465"/>
    <d v="2025-05-15T00:00:00"/>
    <x v="1"/>
    <e v="#N/A"/>
    <x v="3"/>
    <s v="DRY2500068"/>
    <s v="New Zealand"/>
    <s v="CPFNW"/>
    <s v="Lim Brothers"/>
    <s v="Minced ND+V+TK"/>
    <x v="1"/>
    <s v="Cooked Minced  ND No Egg with Pumpkin_x000a_+ Yu Choy Tomkha"/>
    <s v="082SRN708003P01001"/>
    <s v="302g*8"/>
    <n v="8"/>
    <n v="3"/>
    <n v="6.0000000000000001E-3"/>
    <s v="BK"/>
    <s v="Salt"/>
    <s v="Tomkha+CM"/>
    <n v="270"/>
    <m/>
    <n v="270"/>
    <n v="0"/>
    <n v="0"/>
    <n v="0"/>
    <n v="5.8823E-2"/>
    <n v="0"/>
    <m/>
    <n v="0"/>
    <n v="0"/>
  </r>
  <r>
    <s v="T"/>
    <x v="466"/>
    <d v="2025-04-30T00:00:00"/>
    <x v="1"/>
    <e v="#N/A"/>
    <x v="3"/>
    <s v="DRY2500085"/>
    <s v="AUS"/>
    <s v="CPFNW"/>
    <s v="CPF Australia Pty Ltd."/>
    <s v="C-Minced WT in tray no egg"/>
    <x v="1"/>
    <s v="Cooked Minced Wonton in Tray 6 pcs + Sesame Sauce"/>
    <s v="082SK9U16006P00001"/>
    <s v="117*2tray*8in"/>
    <n v="16"/>
    <n v="6"/>
    <n v="6.0000000000000001E-3"/>
    <s v="BK"/>
    <s v="Salt"/>
    <s v=" Sesame 15g"/>
    <n v="300"/>
    <n v="300"/>
    <m/>
    <n v="0"/>
    <n v="0"/>
    <n v="0"/>
    <n v="1"/>
    <n v="0"/>
    <s v="cap 3000 tray/hr. อื่น 8,300 ถ้วย"/>
    <n v="0"/>
    <n v="0"/>
  </r>
  <r>
    <s v="T"/>
    <x v="466"/>
    <d v="2025-05-15T00:00:00"/>
    <x v="1"/>
    <e v="#N/A"/>
    <x v="3"/>
    <s v="DRY2500068"/>
    <s v="New Zealand"/>
    <s v="CPFNW"/>
    <s v="Lim Brothers"/>
    <s v="C-Minced WT in tray no egg"/>
    <x v="1"/>
    <s v="Cooked Minced Wonton in Tray 6 pcs + Sesame Sauce"/>
    <s v="082SKN716006P00001"/>
    <s v="117*2tray*8in"/>
    <n v="16"/>
    <n v="6"/>
    <n v="6.0000000000000001E-3"/>
    <s v="BK"/>
    <s v="Salt"/>
    <s v=" Sesame 15g"/>
    <n v="144"/>
    <n v="144"/>
    <m/>
    <n v="0"/>
    <n v="0"/>
    <n v="0"/>
    <n v="1"/>
    <n v="0"/>
    <s v="cap 3000 tray/hr. อื่น 8,300 ถ้วย"/>
    <n v="0"/>
    <n v="0"/>
  </r>
  <r>
    <m/>
    <x v="466"/>
    <d v="2025-04-30T00:00:00"/>
    <x v="1"/>
    <e v="#N/A"/>
    <x v="3"/>
    <s v="DRY2500086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n v="0"/>
    <n v="7.4999999999999997E-3"/>
    <n v="0"/>
    <s v="รอเปลี่ยนNEWPACKAGE"/>
    <n v="0"/>
    <n v="0"/>
  </r>
  <r>
    <m/>
    <x v="466"/>
    <d v="2025-05-14T00:00:00"/>
    <x v="1"/>
    <e v="#N/A"/>
    <x v="3"/>
    <s v="DRY2500160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n v="0"/>
    <n v="7.4999999999999997E-3"/>
    <n v="0"/>
    <s v="รอเปลี่ยนNEWPACKAGE"/>
    <n v="0"/>
    <n v="0"/>
  </r>
  <r>
    <m/>
    <x v="466"/>
    <d v="2025-04-19T00:00:00"/>
    <x v="1"/>
    <e v="#N/A"/>
    <x v="3"/>
    <s v="DRY2500043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800"/>
    <n v="800"/>
    <n v="15.416666666666666"/>
    <n v="15.416666666666629"/>
    <n v="0"/>
    <n v="0"/>
    <n v="7.4999999999999997E-3"/>
    <n v="0"/>
    <m/>
    <n v="0"/>
    <n v="0"/>
  </r>
  <r>
    <m/>
    <x v="466"/>
    <d v="2025-04-22T00:00:00"/>
    <x v="1"/>
    <e v="#N/A"/>
    <x v="3"/>
    <s v="DRY2500067"/>
    <s v="SG"/>
    <s v="CPFNW"/>
    <s v="CPI SINGAPORE"/>
    <s v="Wonton ND+Kee Mao"/>
    <x v="1"/>
    <s v="Cooked Wonton Thai Spicy Pumpkin Noodles (Drunken Noodles)"/>
    <s v="082SJ3B24003P04001"/>
    <s v="250g*24"/>
    <n v="24"/>
    <n v="3"/>
    <n v="8.0000000000000002E-3"/>
    <s v="M"/>
    <s v="Salt"/>
    <s v="Kee Mao"/>
    <n v="420"/>
    <n v="420"/>
    <n v="4.666666666666667"/>
    <n v="4.6666666666666856"/>
    <n v="0"/>
    <n v="0"/>
    <n v="6.5000000000000002E-2"/>
    <n v="0"/>
    <m/>
    <n v="0"/>
    <n v="0"/>
  </r>
  <r>
    <m/>
    <x v="466"/>
    <d v="2025-05-15T00:00:00"/>
    <x v="1"/>
    <e v="#N/A"/>
    <x v="3"/>
    <s v="DRY2500068"/>
    <s v="New Zealand"/>
    <s v="CPFNW"/>
    <s v="Lim Brothers"/>
    <s v="Minced ND+Kee Mao"/>
    <x v="1"/>
    <s v="Cooked Minced Wonton Thai Spicy Noodles (Kee Mao Noodles)"/>
    <s v="082SRN708003P02001"/>
    <s v="219g*8"/>
    <n v="8"/>
    <n v="3"/>
    <n v="6.0000000000000001E-3"/>
    <s v="BK"/>
    <s v="Salt"/>
    <s v="Kee Mao 50G."/>
    <n v="108"/>
    <m/>
    <n v="108"/>
    <n v="0"/>
    <n v="0"/>
    <n v="0"/>
    <n v="1"/>
    <n v="0"/>
    <s v="NEWPACKAGE"/>
    <n v="0"/>
    <n v="0"/>
  </r>
  <r>
    <m/>
    <x v="466"/>
    <d v="2025-06-12T00:00:00"/>
    <x v="1"/>
    <e v="#N/A"/>
    <x v="3"/>
    <s v="DRY2500069"/>
    <s v="New Zealand"/>
    <s v="CPFNW"/>
    <s v="Lim Brothers"/>
    <s v="Minced ND+Kee Mao"/>
    <x v="1"/>
    <s v="Cooked Minced Wonton Thai Spicy Noodles (Kee Mao Noodles)"/>
    <s v="082SRN708003P02001"/>
    <s v="219g*8"/>
    <n v="8"/>
    <n v="3"/>
    <n v="6.0000000000000001E-3"/>
    <s v="BK"/>
    <s v="Salt"/>
    <s v="Kee Mao 50G."/>
    <n v="140"/>
    <m/>
    <n v="160.25"/>
    <n v="20.25"/>
    <n v="0"/>
    <n v="0"/>
    <n v="1"/>
    <n v="0"/>
    <s v="NEWPACKAGE"/>
    <n v="0"/>
    <n v="0"/>
  </r>
  <r>
    <m/>
    <x v="466"/>
    <d v="2025-04-30T00:00:00"/>
    <x v="1"/>
    <e v="#N/A"/>
    <x v="3"/>
    <s v="DRY2500085"/>
    <s v="AUS"/>
    <s v="CPFNW"/>
    <s v="CPF Australia Pty Ltd."/>
    <s v="Minced ND+V+TY"/>
    <x v="1"/>
    <s v="Cooked Minced  ND No Egg with Pumpkin_x000a_+ Yu Choy Tomyum"/>
    <s v="082SR9U08003P00001"/>
    <s v="302g*8"/>
    <n v="8"/>
    <n v="3"/>
    <n v="6.0000000000000001E-3"/>
    <s v="BK"/>
    <s v="Salt"/>
    <s v="TYEXSG+CO"/>
    <n v="370"/>
    <m/>
    <n v="398"/>
    <n v="28"/>
    <n v="0"/>
    <n v="0"/>
    <n v="3.8699999999999998E-2"/>
    <n v="0"/>
    <m/>
    <n v="0"/>
    <n v="0"/>
  </r>
  <r>
    <m/>
    <x v="466"/>
    <d v="2025-05-15T00:00:00"/>
    <x v="1"/>
    <e v="#N/A"/>
    <x v="3"/>
    <s v="DRY2500068"/>
    <s v="New Zealand"/>
    <s v="CPFNW"/>
    <s v="Lim Brothers"/>
    <s v="Minced ND+V+TY"/>
    <x v="1"/>
    <s v="Cooked Minced  ND No Egg with Pumpkin_x000a_+ Yu Choy Tomyum"/>
    <s v="082SRN708003P00001"/>
    <s v="302g*8"/>
    <n v="8"/>
    <n v="3"/>
    <n v="6.0000000000000001E-3"/>
    <s v="BK"/>
    <s v="Salt"/>
    <s v="TYEXSG+CO"/>
    <n v="216"/>
    <m/>
    <n v="216"/>
    <n v="0"/>
    <n v="0"/>
    <n v="0"/>
    <n v="3.8699999999999998E-2"/>
    <n v="0"/>
    <m/>
    <n v="0"/>
    <n v="0"/>
  </r>
  <r>
    <m/>
    <x v="467"/>
    <s v="05-2025"/>
    <x v="1"/>
    <e v="#N/A"/>
    <x v="3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3716"/>
    <n v="3716"/>
    <m/>
    <n v="0"/>
    <n v="0"/>
    <n v="0"/>
    <n v="7.4999999999999997E-3"/>
    <n v="0"/>
    <s v="คาดการณ์ pk เข้า 21/3"/>
    <n v="0"/>
    <n v="0"/>
  </r>
  <r>
    <m/>
    <x v="467"/>
    <s v="04-2025"/>
    <x v="1"/>
    <e v="#N/A"/>
    <x v="3"/>
    <s v="ขายภายใน"/>
    <s v="MTFS"/>
    <s v="CPFGS"/>
    <s v="ซีพีเอฟ เทรดดิ้ง"/>
    <s v="Wonton ND"/>
    <x v="1"/>
    <s v="บะหมี่เกี๊ยวกุ้งซุปสุกี้ CPxMK multi681g"/>
    <s v="082SJ3Q18003P02001"/>
    <s v="681g*6"/>
    <n v="18"/>
    <n v="3"/>
    <n v="8.0000000000000002E-3"/>
    <s v="SS"/>
    <s v="STPP"/>
    <s v="MK"/>
    <n v="1667"/>
    <m/>
    <n v="1667"/>
    <n v="0"/>
    <n v="0"/>
    <n v="0"/>
    <n v="0.05"/>
    <n v="0"/>
    <m/>
    <n v="0"/>
    <n v="0"/>
  </r>
  <r>
    <m/>
    <x v="467"/>
    <s v="04-2025"/>
    <x v="1"/>
    <e v="#N/A"/>
    <x v="3"/>
    <s v="ขายภายใน"/>
    <s v="MTFS"/>
    <s v="CPFGS"/>
    <s v="ซีพีเอฟ เทรดดิ้ง"/>
    <s v="Wonton ND"/>
    <x v="1"/>
    <s v="บะหมี่เกี๊ยวกุ้งซุปสุกี้ CPxMK 227g ND Pumpkin"/>
    <s v="082SJ3Q12003P09001"/>
    <s v="227g*12"/>
    <n v="12"/>
    <n v="3"/>
    <n v="8.0000000000000002E-3"/>
    <s v="SS"/>
    <s v="STPP"/>
    <s v="MK"/>
    <n v="1303"/>
    <n v="1303"/>
    <m/>
    <n v="0"/>
    <n v="0"/>
    <n v="0"/>
    <n v="0.05"/>
    <n v="0"/>
    <m/>
    <n v="0"/>
    <n v="0"/>
  </r>
  <r>
    <m/>
    <x v="468"/>
    <m/>
    <x v="1"/>
    <e v="#N/A"/>
    <x v="3"/>
    <m/>
    <m/>
    <m/>
    <m/>
    <m/>
    <x v="0"/>
    <m/>
    <m/>
    <m/>
    <m/>
    <m/>
    <m/>
    <m/>
    <m/>
    <m/>
    <m/>
    <m/>
    <m/>
    <m/>
    <m/>
    <n v="0"/>
    <m/>
    <n v="0"/>
    <m/>
    <m/>
    <m/>
  </r>
  <r>
    <m/>
    <x v="469"/>
    <m/>
    <x v="1"/>
    <e v="#N/A"/>
    <x v="3"/>
    <m/>
    <m/>
    <m/>
    <m/>
    <m/>
    <x v="0"/>
    <m/>
    <m/>
    <m/>
    <m/>
    <m/>
    <m/>
    <m/>
    <m/>
    <m/>
    <m/>
    <m/>
    <m/>
    <m/>
    <m/>
    <n v="0"/>
    <m/>
    <n v="0"/>
    <m/>
    <m/>
    <m/>
  </r>
  <r>
    <m/>
    <x v="470"/>
    <m/>
    <x v="1"/>
    <e v="#N/A"/>
    <x v="3"/>
    <m/>
    <m/>
    <m/>
    <m/>
    <m/>
    <x v="0"/>
    <m/>
    <m/>
    <m/>
    <m/>
    <m/>
    <m/>
    <m/>
    <m/>
    <m/>
    <m/>
    <m/>
    <m/>
    <m/>
    <m/>
    <n v="0"/>
    <m/>
    <n v="0"/>
    <m/>
    <m/>
    <m/>
  </r>
  <r>
    <m/>
    <x v="471"/>
    <m/>
    <x v="1"/>
    <e v="#N/A"/>
    <x v="3"/>
    <m/>
    <m/>
    <m/>
    <m/>
    <m/>
    <x v="0"/>
    <m/>
    <m/>
    <m/>
    <m/>
    <m/>
    <m/>
    <m/>
    <m/>
    <m/>
    <m/>
    <m/>
    <m/>
    <m/>
    <m/>
    <n v="0"/>
    <m/>
    <n v="0"/>
    <m/>
    <m/>
    <m/>
  </r>
  <r>
    <s v="R"/>
    <x v="472"/>
    <d v="2025-04-24T00:00:00"/>
    <x v="1"/>
    <e v="#N/A"/>
    <x v="3"/>
    <s v="KL2500016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n v="0"/>
    <n v="0"/>
  </r>
  <r>
    <s v="R"/>
    <x v="472"/>
    <s v="04-2025"/>
    <x v="1"/>
    <e v="#N/A"/>
    <x v="3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336"/>
    <n v="336"/>
    <m/>
    <n v="0"/>
    <n v="0"/>
    <n v="0"/>
    <m/>
    <n v="0"/>
    <m/>
    <n v="0"/>
    <n v="0"/>
  </r>
  <r>
    <s v="R"/>
    <x v="473"/>
    <d v="2025-04-24T00:00:00"/>
    <x v="1"/>
    <e v="#N/A"/>
    <x v="3"/>
    <s v="KL2500017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n v="0"/>
    <n v="0"/>
  </r>
  <r>
    <s v="R"/>
    <x v="473"/>
    <d v="2025-04-24T00:00:00"/>
    <x v="1"/>
    <e v="#N/A"/>
    <x v="3"/>
    <s v="DRY2500047"/>
    <s v="SG"/>
    <s v="CPFNW"/>
    <s v="CPI SINGAPORE"/>
    <s v="R-Minced egg past"/>
    <x v="2"/>
    <s v="Raw Minced Wonton 8 pcs"/>
    <s v="082ID3B18008P00001"/>
    <s v="90g*18in"/>
    <n v="18"/>
    <n v="8"/>
    <n v="6.0000000000000001E-3"/>
    <s v="BK"/>
    <s v="STPP"/>
    <s v="ซุปซอง 5g."/>
    <n v="600"/>
    <n v="600"/>
    <m/>
    <n v="0"/>
    <n v="0"/>
    <n v="0"/>
    <n v="2"/>
    <n v="0"/>
    <m/>
    <n v="0"/>
    <n v="0"/>
  </r>
  <r>
    <s v="R"/>
    <x v="474"/>
    <d v="2025-04-24T00:00:00"/>
    <x v="1"/>
    <e v="#N/A"/>
    <x v="3"/>
    <s v="DRY2500047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2000"/>
    <n v="1459"/>
    <n v="541"/>
    <n v="0"/>
    <n v="0"/>
    <n v="0"/>
    <n v="2"/>
    <n v="0"/>
    <s v="ห่อแบบสุก"/>
    <n v="0"/>
    <n v="0"/>
  </r>
  <r>
    <s v="R"/>
    <x v="474"/>
    <d v="2025-05-06T00:00:00"/>
    <x v="1"/>
    <e v="#N/A"/>
    <x v="3"/>
    <s v="DRY2400798"/>
    <s v="HK"/>
    <s v="CPFNW"/>
    <s v="CPM Hongkong"/>
    <s v="R-Minced egg past"/>
    <x v="2"/>
    <s v="Raw Minced Wonton 8 pcs"/>
    <s v="082ID3G18008P00001"/>
    <s v="90g*18in"/>
    <n v="18"/>
    <n v="8"/>
    <n v="6.0000000000000001E-3"/>
    <s v="BK"/>
    <s v="STPP"/>
    <s v="ซุปซอง 5g."/>
    <n v="250"/>
    <n v="250"/>
    <m/>
    <n v="0"/>
    <n v="0"/>
    <n v="0"/>
    <n v="2"/>
    <n v="0"/>
    <m/>
    <n v="0"/>
    <n v="0"/>
  </r>
  <r>
    <s v="R"/>
    <x v="474"/>
    <d v="2025-05-06T00:00:00"/>
    <x v="1"/>
    <e v="#N/A"/>
    <x v="3"/>
    <s v="DRY2400798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689"/>
    <n v="182"/>
    <n v="507"/>
    <n v="0"/>
    <n v="0"/>
    <n v="0"/>
    <n v="1"/>
    <n v="0"/>
    <m/>
    <n v="0"/>
    <n v="0"/>
  </r>
  <r>
    <m/>
    <x v="475"/>
    <m/>
    <x v="1"/>
    <e v="#N/A"/>
    <x v="3"/>
    <m/>
    <m/>
    <m/>
    <m/>
    <m/>
    <x v="0"/>
    <m/>
    <m/>
    <m/>
    <m/>
    <m/>
    <m/>
    <m/>
    <m/>
    <m/>
    <m/>
    <m/>
    <m/>
    <m/>
    <m/>
    <n v="0"/>
    <m/>
    <n v="0"/>
    <m/>
    <m/>
    <m/>
  </r>
  <r>
    <s v="R"/>
    <x v="476"/>
    <d v="2025-05-02T00:00:00"/>
    <x v="1"/>
    <e v="#N/A"/>
    <x v="3"/>
    <s v="KL2500019"/>
    <s v="China"/>
    <s v="China"/>
    <s v="Charoen Pokphand Import&amp;Export Trading (Shanghai) Co., Ltd"/>
    <s v="R-Wonton no egg"/>
    <x v="2"/>
    <s v="Raw Wonton 50 pcs"/>
    <s v="082I95J08050P03001"/>
    <s v="630g*8in"/>
    <n v="8"/>
    <n v="50"/>
    <n v="6.8100000000000001E-3"/>
    <s v="S"/>
    <s v="STPP"/>
    <s v="ซุปซอง 5g."/>
    <n v="441"/>
    <n v="441"/>
    <m/>
    <n v="0"/>
    <n v="0"/>
    <n v="0"/>
    <n v="6"/>
    <n v="0"/>
    <m/>
    <n v="0"/>
    <n v="0"/>
  </r>
  <r>
    <s v="R"/>
    <x v="476"/>
    <d v="2025-05-06T00:00:00"/>
    <x v="1"/>
    <e v="#N/A"/>
    <x v="3"/>
    <s v="DRY2400798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961"/>
    <n v="678"/>
    <n v="311"/>
    <n v="28"/>
    <n v="0"/>
    <n v="0"/>
    <n v="1"/>
    <n v="0"/>
    <m/>
    <n v="0"/>
    <n v="0"/>
  </r>
  <r>
    <s v="R"/>
    <x v="476"/>
    <d v="2025-05-13T00:00:00"/>
    <x v="1"/>
    <e v="#N/A"/>
    <x v="3"/>
    <s v="DRY2500058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614"/>
    <n v="572"/>
    <n v="42"/>
    <n v="0"/>
    <n v="0"/>
    <n v="0"/>
    <n v="2"/>
    <n v="0"/>
    <m/>
    <n v="0"/>
    <n v="0"/>
  </r>
  <r>
    <s v="R"/>
    <x v="477"/>
    <d v="2025-05-02T00:00:00"/>
    <x v="1"/>
    <e v="#N/A"/>
    <x v="3"/>
    <s v="KL2500019"/>
    <s v="China"/>
    <s v="China"/>
    <s v="Charoen Pokphand Import&amp;Export Trading (Shanghai) Co., Ltd"/>
    <s v="R-Wonton no egg"/>
    <x v="2"/>
    <s v="Raw Wonton 50 pcs"/>
    <s v="082I95J08050P03001"/>
    <s v="630g*8in"/>
    <n v="8"/>
    <n v="50"/>
    <n v="6.8100000000000001E-3"/>
    <s v="S"/>
    <s v="STPP"/>
    <s v="ซุปซอง 5g."/>
    <n v="159"/>
    <n v="159"/>
    <m/>
    <n v="0"/>
    <n v="0"/>
    <n v="0"/>
    <n v="6"/>
    <n v="0"/>
    <m/>
    <n v="0"/>
    <n v="0"/>
  </r>
  <r>
    <s v="R"/>
    <x v="477"/>
    <d v="2025-05-02T00:00:00"/>
    <x v="1"/>
    <e v="#N/A"/>
    <x v="3"/>
    <s v="KL2500019"/>
    <s v="China"/>
    <s v="China"/>
    <s v="Charoen Pokphand Import&amp;Export Trading (Shanghai) Co., Ltd"/>
    <s v="R-Wonton no egg"/>
    <x v="2"/>
    <s v="Raw Wonton 12 pcs"/>
    <s v="082I95J20012P04001"/>
    <s v="144g*20in"/>
    <n v="20"/>
    <n v="12"/>
    <n v="6.8100000000000001E-3"/>
    <s v="S"/>
    <s v="STPP"/>
    <s v="ซุปซอง 5g."/>
    <n v="2200"/>
    <n v="2200"/>
    <m/>
    <n v="0"/>
    <n v="0"/>
    <n v="0"/>
    <n v="2"/>
    <n v="0"/>
    <m/>
    <n v="0"/>
    <n v="0"/>
  </r>
  <r>
    <m/>
    <x v="478"/>
    <s v="04-2025"/>
    <x v="1"/>
    <e v="#N/A"/>
    <x v="3"/>
    <s v="ขายภายใน"/>
    <s v="MTFS"/>
    <s v="CPFGS"/>
    <s v="ซีพีเอฟ เทรดดิ้ง"/>
    <s v="E+Wonton NDE"/>
    <x v="1"/>
    <s v="Cooked Wonton ND with egg V-Food"/>
    <s v="082SJ3Q12003P07001"/>
    <s v="226g*12"/>
    <n v="12"/>
    <n v="3"/>
    <n v="8.0000000000000002E-3"/>
    <s v="M"/>
    <s v="STPP"/>
    <s v="Regular"/>
    <n v="150"/>
    <n v="150"/>
    <m/>
    <n v="0"/>
    <n v="0"/>
    <n v="0"/>
    <n v="7.4999999999999997E-3"/>
    <n v="0"/>
    <m/>
    <n v="0"/>
    <n v="0"/>
  </r>
  <r>
    <m/>
    <x v="478"/>
    <s v="05-2025"/>
    <x v="1"/>
    <e v="#N/A"/>
    <x v="3"/>
    <s v="ขายภายใน"/>
    <s v="MTFS"/>
    <s v="CPFGS"/>
    <s v="ซีพีเอฟ เทรดดิ้ง"/>
    <s v="E+Wonton NDE"/>
    <x v="1"/>
    <s v="Cooked Wonton ND with egg V-Food"/>
    <s v="082SJ3Q12003P07001"/>
    <s v="226g*12"/>
    <n v="12"/>
    <n v="3"/>
    <n v="8.0000000000000002E-3"/>
    <s v="M"/>
    <s v="STPP"/>
    <s v="Regular"/>
    <n v="400"/>
    <n v="400"/>
    <m/>
    <n v="0"/>
    <n v="0"/>
    <n v="0"/>
    <n v="7.4999999999999997E-3"/>
    <n v="0"/>
    <m/>
    <n v="0"/>
    <n v="0"/>
  </r>
  <r>
    <m/>
    <x v="478"/>
    <s v="04-2025"/>
    <x v="1"/>
    <e v="#N/A"/>
    <x v="3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200"/>
    <n v="200"/>
    <m/>
    <n v="0"/>
    <n v="0"/>
    <n v="0"/>
    <n v="7.4999999999999997E-3"/>
    <n v="0"/>
    <m/>
    <n v="0"/>
    <n v="0"/>
  </r>
  <r>
    <m/>
    <x v="478"/>
    <s v="05-2025"/>
    <x v="1"/>
    <e v="#N/A"/>
    <x v="3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400"/>
    <n v="408"/>
    <m/>
    <n v="8"/>
    <n v="0"/>
    <n v="0"/>
    <n v="7.4999999999999997E-3"/>
    <n v="0"/>
    <m/>
    <n v="0"/>
    <n v="0"/>
  </r>
  <r>
    <m/>
    <x v="478"/>
    <s v="04-2025"/>
    <x v="1"/>
    <e v="#N/A"/>
    <x v="3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100"/>
    <n v="100"/>
    <m/>
    <n v="0"/>
    <n v="0"/>
    <n v="0"/>
    <n v="7.4999999999999997E-3"/>
    <n v="0"/>
    <m/>
    <n v="0"/>
    <n v="0"/>
  </r>
  <r>
    <m/>
    <x v="478"/>
    <s v="05-2025"/>
    <x v="1"/>
    <e v="#N/A"/>
    <x v="3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300"/>
    <n v="300"/>
    <m/>
    <n v="0"/>
    <n v="0"/>
    <n v="0"/>
    <n v="7.4999999999999997E-3"/>
    <n v="0"/>
    <m/>
    <n v="0"/>
    <n v="0"/>
  </r>
  <r>
    <m/>
    <x v="478"/>
    <s v="04-2025"/>
    <x v="1"/>
    <e v="#N/A"/>
    <x v="3"/>
    <s v="ขายภายใน"/>
    <s v="MTFS"/>
    <s v="CPFGS"/>
    <s v="ซีพีเอฟ เทรดดิ้ง"/>
    <s v="E+Wonton TY"/>
    <x v="1"/>
    <s v="Cooked Wonton Tomyum with egg.V-Food TY"/>
    <s v="082S83Q12005P04001"/>
    <s v="115g*12"/>
    <n v="12"/>
    <n v="5"/>
    <n v="8.0000000000000002E-3"/>
    <s v="M"/>
    <s v="STPP"/>
    <s v="TYTB3C 30G"/>
    <n v="500"/>
    <n v="500"/>
    <m/>
    <n v="0"/>
    <n v="0"/>
    <n v="0"/>
    <n v="1"/>
    <n v="0"/>
    <m/>
    <n v="0"/>
    <n v="0"/>
  </r>
  <r>
    <m/>
    <x v="478"/>
    <s v="05-2025"/>
    <x v="1"/>
    <e v="#N/A"/>
    <x v="3"/>
    <s v="ขายภายใน"/>
    <s v="MTFS"/>
    <s v="CPFGS"/>
    <s v="ซีพีเอฟ เทรดดิ้ง"/>
    <s v="E+Wonton TY"/>
    <x v="1"/>
    <s v="Cooked Wonton Tomyum with egg.V-Food TY"/>
    <s v="082S83Q12005P04001"/>
    <s v="115g*12"/>
    <n v="12"/>
    <n v="5"/>
    <n v="8.0000000000000002E-3"/>
    <s v="M"/>
    <s v="STPP"/>
    <s v="TYTB3C 30G"/>
    <n v="703"/>
    <n v="703"/>
    <m/>
    <n v="0"/>
    <n v="0"/>
    <n v="0"/>
    <n v="1"/>
    <n v="0"/>
    <m/>
    <n v="0"/>
    <n v="0"/>
  </r>
  <r>
    <m/>
    <x v="478"/>
    <s v="04-2025"/>
    <x v="1"/>
    <e v="#N/A"/>
    <x v="3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4016"/>
    <n v="4016"/>
    <m/>
    <n v="0"/>
    <n v="0"/>
    <n v="0"/>
    <n v="7.4999999999999997E-3"/>
    <n v="0"/>
    <m/>
    <n v="0"/>
    <n v="0"/>
  </r>
  <r>
    <m/>
    <x v="478"/>
    <s v="05-2025"/>
    <x v="1"/>
    <e v="#N/A"/>
    <x v="3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458"/>
    <n v="458"/>
    <m/>
    <n v="0"/>
    <n v="0"/>
    <n v="0"/>
    <n v="7.4999999999999997E-3"/>
    <n v="0"/>
    <m/>
    <n v="0"/>
    <n v="0"/>
  </r>
  <r>
    <s v="ชมรมกอล์ฟ ซีพี"/>
    <x v="479"/>
    <s v="05-2025"/>
    <x v="1"/>
    <e v="#N/A"/>
    <x v="3"/>
    <s v="ขายภายใน"/>
    <s v="MTFS"/>
    <s v="CPFGS"/>
    <s v="ซีพีเอฟ เทรดดิ้ง"/>
    <s v="E+Wonton"/>
    <x v="1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n v="0"/>
    <n v="7.4999999999999997E-3"/>
    <n v="0"/>
    <m/>
    <n v="0"/>
    <n v="0"/>
  </r>
  <r>
    <s v="CP Laos"/>
    <x v="479"/>
    <d v="2025-05-10T00:00:00"/>
    <x v="1"/>
    <e v="#N/A"/>
    <x v="3"/>
    <s v="LA006/2568"/>
    <s v="Laos"/>
    <s v="Laos"/>
    <s v="บริษัท ปิก้าเทรดดิ้ง จำกัด"/>
    <s v="E+Wonton"/>
    <x v="1"/>
    <s v="เกี๊ยวกุ้งจักรพรรดิ 12x145g."/>
    <s v="082S8L212005P00001"/>
    <s v="145g*12"/>
    <n v="12"/>
    <n v="5"/>
    <n v="8.0000000000000002E-3"/>
    <s v="M"/>
    <s v="STPP"/>
    <s v="Regular"/>
    <n v="100"/>
    <n v="100"/>
    <m/>
    <n v="0"/>
    <n v="0"/>
    <n v="0"/>
    <n v="7.4999999999999997E-3"/>
    <n v="0"/>
    <m/>
    <n v="0"/>
    <n v="0"/>
  </r>
  <r>
    <m/>
    <x v="479"/>
    <s v="04-2025"/>
    <x v="1"/>
    <e v="#N/A"/>
    <x v="3"/>
    <s v="ขายภายใน"/>
    <s v="MTFS"/>
    <s v="CPFGS"/>
    <s v="ซีพีเอฟ เทรดดิ้ง"/>
    <s v="E+Wonton"/>
    <x v="1"/>
    <s v="Cooked Wonton  with egg V-Food"/>
    <s v="082S83Q12005P05001"/>
    <s v="145g*12"/>
    <n v="12"/>
    <n v="5"/>
    <n v="8.0000000000000002E-3"/>
    <s v="M"/>
    <s v="STPP"/>
    <s v="Regular"/>
    <n v="2700"/>
    <n v="2700"/>
    <m/>
    <n v="0"/>
    <n v="0"/>
    <n v="0"/>
    <n v="7.4999999999999997E-3"/>
    <n v="0"/>
    <m/>
    <n v="0"/>
    <n v="0"/>
  </r>
  <r>
    <m/>
    <x v="479"/>
    <s v="05-2025"/>
    <x v="1"/>
    <e v="#N/A"/>
    <x v="3"/>
    <s v="ขายภายใน"/>
    <s v="MTFS"/>
    <s v="CPFGS"/>
    <s v="ซีพีเอฟ เทรดดิ้ง"/>
    <s v="E+Wonton"/>
    <x v="1"/>
    <s v="Cooked Wonton  with egg V-Food"/>
    <s v="082S83Q12005P05001"/>
    <s v="145g*12"/>
    <n v="12"/>
    <n v="5"/>
    <n v="8.0000000000000002E-3"/>
    <s v="M"/>
    <s v="STPP"/>
    <s v="Regular"/>
    <n v="3509"/>
    <n v="3509"/>
    <m/>
    <n v="0"/>
    <n v="0"/>
    <n v="0"/>
    <n v="7.4999999999999997E-3"/>
    <n v="0"/>
    <m/>
    <n v="0"/>
    <n v="0"/>
  </r>
  <r>
    <s v="Cambodia"/>
    <x v="479"/>
    <d v="2025-05-10T00:00:00"/>
    <x v="1"/>
    <e v="#N/A"/>
    <x v="3"/>
    <s v="CB004/2568"/>
    <s v="Cambodia"/>
    <s v="Cambodia"/>
    <s v="หจก.คิงฟู้ดส์"/>
    <s v="E+Wonton"/>
    <x v="1"/>
    <s v="Cooked Wonton With Egg .7-11"/>
    <s v="082S81A24005P04001"/>
    <s v="145g*24"/>
    <n v="24"/>
    <n v="5"/>
    <n v="8.0000000000000002E-3"/>
    <s v="M"/>
    <s v="STPP"/>
    <s v="Regular"/>
    <n v="50"/>
    <n v="50"/>
    <m/>
    <n v="0"/>
    <n v="0"/>
    <n v="0"/>
    <n v="7.4999999999999997E-3"/>
    <n v="0"/>
    <m/>
    <n v="0"/>
    <n v="0"/>
  </r>
  <r>
    <m/>
    <x v="479"/>
    <s v="05-2025"/>
    <x v="1"/>
    <e v="#N/A"/>
    <x v="3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204"/>
    <n v="204"/>
    <m/>
    <n v="0"/>
    <n v="0"/>
    <n v="0"/>
    <n v="7.4999999999999997E-3"/>
    <n v="0"/>
    <m/>
    <n v="0"/>
    <n v="0"/>
  </r>
  <r>
    <m/>
    <x v="479"/>
    <s v="04-2025"/>
    <x v="1"/>
    <e v="#N/A"/>
    <x v="3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907"/>
    <n v="907"/>
    <m/>
    <n v="0"/>
    <n v="0"/>
    <n v="0"/>
    <n v="1"/>
    <n v="0"/>
    <m/>
    <n v="0"/>
    <n v="0"/>
  </r>
  <r>
    <m/>
    <x v="479"/>
    <s v="05-2025"/>
    <x v="1"/>
    <e v="#N/A"/>
    <x v="3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1200"/>
    <n v="1200"/>
    <m/>
    <n v="0"/>
    <n v="0"/>
    <n v="0"/>
    <n v="1"/>
    <n v="0"/>
    <m/>
    <n v="0"/>
    <n v="0"/>
  </r>
  <r>
    <s v="Cambodia"/>
    <x v="479"/>
    <d v="2025-05-10T00:00:00"/>
    <x v="1"/>
    <e v="#N/A"/>
    <x v="3"/>
    <s v="CB004/2568"/>
    <s v="Cambodia"/>
    <s v="Cambodia"/>
    <s v="หจก.คิงฟู้ดส์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50"/>
    <n v="50"/>
    <m/>
    <n v="0"/>
    <n v="0"/>
    <n v="0"/>
    <n v="1.2999999999999999E-2"/>
    <n v="0"/>
    <m/>
    <n v="0"/>
    <n v="0"/>
  </r>
  <r>
    <s v="Cambodia"/>
    <x v="479"/>
    <d v="2025-06-10T00:00:00"/>
    <x v="1"/>
    <e v="#N/A"/>
    <x v="3"/>
    <s v="CB004/2568"/>
    <s v="Cambodia"/>
    <s v="Cambodia"/>
    <s v="หจก.คิงฟู้ดส์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50"/>
    <n v="50"/>
    <m/>
    <n v="0"/>
    <n v="0"/>
    <n v="0"/>
    <n v="1.2999999999999999E-2"/>
    <n v="0"/>
    <m/>
    <n v="0"/>
    <n v="0"/>
  </r>
  <r>
    <s v="Cambodia"/>
    <x v="479"/>
    <d v="2025-06-15T00:00:00"/>
    <x v="1"/>
    <e v="#N/A"/>
    <x v="3"/>
    <s v="CB006/2568"/>
    <s v="Cambodia"/>
    <s v="Cambodia"/>
    <s v="หจก.คิงฟู้ดส์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100"/>
    <n v="100"/>
    <m/>
    <n v="0"/>
    <n v="0"/>
    <n v="0"/>
    <n v="1.2999999999999999E-2"/>
    <n v="0"/>
    <m/>
    <n v="0"/>
    <n v="0"/>
  </r>
  <r>
    <m/>
    <x v="479"/>
    <s v="04-2025"/>
    <x v="1"/>
    <e v="#N/A"/>
    <x v="3"/>
    <s v="ขายภายใน"/>
    <s v=".7-11"/>
    <s v="CPFGS"/>
    <s v="ซีพีเอฟ เทรดดิ้ง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256"/>
    <n v="256"/>
    <m/>
    <n v="0"/>
    <n v="0"/>
    <n v="0"/>
    <n v="1.2999999999999999E-2"/>
    <n v="0"/>
    <m/>
    <n v="0"/>
    <n v="0"/>
  </r>
  <r>
    <s v="CP Laos"/>
    <x v="479"/>
    <d v="2025-05-10T00:00:00"/>
    <x v="1"/>
    <e v="#N/A"/>
    <x v="3"/>
    <s v="LA006/2568"/>
    <s v="Laos"/>
    <s v="Laos"/>
    <s v="บริษัท ปิก้าเทรดดิ้ง จำกัด"/>
    <s v="E+Wonton+หมาล่า"/>
    <x v="1"/>
    <s v="เกี๊ยวกุ้งจักรพรรดิ ซุปหม่าล่า 12x143g."/>
    <s v="082S8L212005P01001"/>
    <s v="143g*12"/>
    <n v="12"/>
    <n v="5"/>
    <n v="6.1999999999999998E-3"/>
    <s v="SS"/>
    <s v="STPP"/>
    <s v="หมาล่า"/>
    <n v="100"/>
    <n v="100"/>
    <m/>
    <n v="0"/>
    <n v="0"/>
    <n v="0"/>
    <n v="1.2999999999999999E-2"/>
    <n v="0"/>
    <m/>
    <n v="0"/>
    <n v="0"/>
  </r>
  <r>
    <m/>
    <x v="479"/>
    <s v="05-2025"/>
    <x v="1"/>
    <e v="#N/A"/>
    <x v="3"/>
    <s v="ขายภายใน"/>
    <s v="MTFS"/>
    <s v="CPFGS"/>
    <s v="ซีพีเอฟ เทรดดิ้ง"/>
    <s v="E+Wonton+หมาล่า"/>
    <x v="1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905"/>
    <n v="905"/>
    <m/>
    <n v="0"/>
    <n v="0"/>
    <n v="0"/>
    <n v="1.2999999999999999E-2"/>
    <n v="0"/>
    <m/>
    <n v="0"/>
    <n v="0"/>
  </r>
  <r>
    <m/>
    <x v="480"/>
    <d v="2025-05-13T00:00:00"/>
    <x v="1"/>
    <e v="#N/A"/>
    <x v="3"/>
    <s v="DRY2400751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รอเปลี่ยนNEWPACKAGE/ถ้าว,ฝา สีขาว"/>
    <n v="0"/>
    <n v="0"/>
  </r>
  <r>
    <m/>
    <x v="480"/>
    <s v="05-2025"/>
    <x v="1"/>
    <e v="#N/A"/>
    <x v="3"/>
    <s v="ขายภายใน"/>
    <s v=".7-11"/>
    <s v="CPFGS"/>
    <s v="Seven  ถ้วยดำ"/>
    <s v="E+Wonton"/>
    <x v="1"/>
    <s v="Cooked Wonton With Egg .7-11"/>
    <s v="082S81A24005P04001"/>
    <s v="145g*24"/>
    <n v="24"/>
    <n v="5"/>
    <n v="8.0000000000000002E-3"/>
    <s v="M"/>
    <s v="STPP"/>
    <s v="Regular"/>
    <n v="4316"/>
    <n v="4316"/>
    <m/>
    <n v="0"/>
    <n v="0"/>
    <n v="0"/>
    <n v="7.4999999999999997E-3"/>
    <n v="0"/>
    <m/>
    <n v="0"/>
    <n v="0"/>
  </r>
  <r>
    <m/>
    <x v="481"/>
    <s v="05-2025"/>
    <x v="1"/>
    <e v="#N/A"/>
    <x v="3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2710"/>
    <n v="2710"/>
    <m/>
    <n v="0"/>
    <n v="0"/>
    <n v="0"/>
    <n v="7.4999999999999997E-3"/>
    <n v="0"/>
    <s v="คาดการณ์ pk เข้า 21/3"/>
    <n v="0"/>
    <n v="0"/>
  </r>
  <r>
    <m/>
    <x v="481"/>
    <d v="2025-05-13T00:00:00"/>
    <x v="1"/>
    <e v="#N/A"/>
    <x v="3"/>
    <s v="DRY2500099"/>
    <s v="Korea"/>
    <s v="CPFNW"/>
    <s v="Emart"/>
    <s v="Wonton ND"/>
    <x v="1"/>
    <s v="Cooked Wonton ND No Egg with Pumpkin_x000a_"/>
    <s v="082SJEJ36004P00001"/>
    <s v="239g*6c*6in"/>
    <n v="36"/>
    <n v="4"/>
    <n v="7.4999999999999997E-3"/>
    <s v="M"/>
    <s v="Salt"/>
    <s v="Regular"/>
    <n v="874"/>
    <n v="452"/>
    <n v="422"/>
    <n v="0"/>
    <n v="0"/>
    <n v="0"/>
    <n v="7.4999999999999997E-3"/>
    <n v="0"/>
    <m/>
    <n v="0"/>
    <n v="0"/>
  </r>
  <r>
    <m/>
    <x v="481"/>
    <d v="2025-05-08T00:00:00"/>
    <x v="1"/>
    <e v="#N/A"/>
    <x v="3"/>
    <s v="DRY2500084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SG+CO"/>
    <n v="924"/>
    <n v="903"/>
    <n v="21"/>
    <n v="0"/>
    <n v="0"/>
    <n v="0"/>
    <n v="3.8699999999999998E-2"/>
    <n v="0"/>
    <m/>
    <n v="0"/>
    <n v="0"/>
  </r>
  <r>
    <m/>
    <x v="481"/>
    <d v="2025-05-06T00:00:00"/>
    <x v="1"/>
    <e v="#N/A"/>
    <x v="3"/>
    <s v="DRY2500072"/>
    <s v="Denmark"/>
    <s v="CPFNW"/>
    <s v="CPF DENMARK"/>
    <s v="Minced ND+V+TY"/>
    <x v="1"/>
    <s v="Cooked Minced  ND No Egg with Pumpkin_x000a_+ Yu Choy Tomyum"/>
    <s v="082SRRE12003P00001"/>
    <s v="302g*12"/>
    <n v="12"/>
    <n v="3"/>
    <n v="6.0000000000000001E-3"/>
    <s v="BK"/>
    <s v="Salt"/>
    <s v="TYEXSG+CO"/>
    <n v="2520"/>
    <n v="2520"/>
    <m/>
    <n v="0"/>
    <n v="0"/>
    <n v="0"/>
    <n v="3.8699999999999998E-2"/>
    <n v="0"/>
    <s v="rema"/>
    <n v="0"/>
    <n v="0"/>
  </r>
  <r>
    <m/>
    <x v="482"/>
    <m/>
    <x v="1"/>
    <e v="#N/A"/>
    <x v="3"/>
    <m/>
    <m/>
    <m/>
    <m/>
    <m/>
    <x v="0"/>
    <m/>
    <m/>
    <m/>
    <m/>
    <m/>
    <m/>
    <m/>
    <m/>
    <m/>
    <m/>
    <m/>
    <m/>
    <m/>
    <m/>
    <n v="0"/>
    <m/>
    <n v="0"/>
    <m/>
    <m/>
    <m/>
  </r>
  <r>
    <s v="R"/>
    <x v="483"/>
    <s v="05-2025"/>
    <x v="1"/>
    <e v="#N/A"/>
    <x v="3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600"/>
    <n v="600"/>
    <m/>
    <n v="0"/>
    <n v="0"/>
    <n v="0"/>
    <m/>
    <n v="0"/>
    <m/>
    <n v="0"/>
    <n v="0"/>
  </r>
  <r>
    <s v="R"/>
    <x v="483"/>
    <d v="2025-05-13T00:00:00"/>
    <x v="1"/>
    <e v="#N/A"/>
    <x v="3"/>
    <s v="DRY2500058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1010"/>
    <n v="752"/>
    <n v="258"/>
    <n v="0"/>
    <n v="0"/>
    <n v="0"/>
    <n v="2"/>
    <n v="0"/>
    <m/>
    <n v="0"/>
    <n v="0"/>
  </r>
  <r>
    <s v="R"/>
    <x v="483"/>
    <s v="05-2025"/>
    <x v="1"/>
    <e v="#N/A"/>
    <x v="3"/>
    <s v="ขายภายใน"/>
    <s v="ขายภายใน"/>
    <s v="CPFGS"/>
    <s v="ซีพีเอฟ เทรดดิ้ง"/>
    <s v="R-Wonton egg past"/>
    <x v="2"/>
    <s v="Raw Wonton 50 pcs OISHI"/>
    <s v="082S01508600G01001"/>
    <s v="600g.*8 packs"/>
    <n v="8"/>
    <n v="50"/>
    <n v="8.1300000000000001E-3"/>
    <s v="M"/>
    <s v="STPP"/>
    <m/>
    <n v="100"/>
    <n v="100"/>
    <m/>
    <n v="0"/>
    <n v="0"/>
    <n v="0"/>
    <m/>
    <n v="0"/>
    <m/>
    <n v="0"/>
    <n v="0"/>
  </r>
  <r>
    <m/>
    <x v="484"/>
    <d v="2025-05-08T00:00:00"/>
    <x v="1"/>
    <e v="#N/A"/>
    <x v="3"/>
    <s v="DRY240078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172"/>
    <n v="172"/>
    <m/>
    <n v="0"/>
    <n v="0"/>
    <n v="0"/>
    <n v="9.7000000000000003E-3"/>
    <n v="0"/>
    <m/>
    <n v="0"/>
    <n v="0"/>
  </r>
  <r>
    <m/>
    <x v="484"/>
    <d v="2025-05-13T00:00:00"/>
    <x v="1"/>
    <e v="#N/A"/>
    <x v="3"/>
    <s v="DRY2400752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รอเปลี่ยนNEWPACKAGE/ถ้าว,ฝา สีขาว"/>
    <n v="0"/>
    <n v="0"/>
  </r>
  <r>
    <s v="R"/>
    <x v="484"/>
    <d v="2025-05-19T00:00:00"/>
    <x v="1"/>
    <e v="#N/A"/>
    <x v="3"/>
    <s v="DRY2500059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819"/>
    <n v="819"/>
    <m/>
    <n v="0"/>
    <n v="0"/>
    <n v="0"/>
    <n v="6"/>
    <n v="0"/>
    <m/>
    <n v="0"/>
    <n v="0"/>
  </r>
  <r>
    <m/>
    <x v="485"/>
    <d v="2025-05-08T00:00:00"/>
    <x v="1"/>
    <e v="#N/A"/>
    <x v="3"/>
    <s v="DRY240078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620"/>
    <n v="620"/>
    <m/>
    <n v="0"/>
    <n v="0"/>
    <n v="0"/>
    <n v="9.7000000000000003E-3"/>
    <n v="0"/>
    <m/>
    <n v="0"/>
    <n v="0"/>
  </r>
  <r>
    <m/>
    <x v="485"/>
    <d v="2025-05-08T00:00:00"/>
    <x v="1"/>
    <e v="#N/A"/>
    <x v="3"/>
    <s v="DRY240078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343"/>
    <n v="449"/>
    <n v="0"/>
    <n v="0"/>
    <n v="0"/>
    <n v="9.7000000000000003E-3"/>
    <n v="0"/>
    <m/>
    <n v="0"/>
    <n v="0"/>
  </r>
  <r>
    <m/>
    <x v="485"/>
    <d v="2025-05-08T00:00:00"/>
    <x v="1"/>
    <e v="#N/A"/>
    <x v="3"/>
    <s v="DRY240084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40.47222222222217"/>
    <m/>
    <n v="540.47222222222217"/>
    <n v="0"/>
    <n v="0"/>
    <n v="0"/>
    <n v="9.7000000000000003E-3"/>
    <n v="0"/>
    <m/>
    <n v="0"/>
    <n v="0"/>
  </r>
  <r>
    <m/>
    <x v="485"/>
    <s v="04-2025"/>
    <x v="1"/>
    <e v="#N/A"/>
    <x v="3"/>
    <s v="ขายภายใน"/>
    <s v="MTFS"/>
    <s v="CPFGS"/>
    <s v="ซีพีเอฟ เทรดดิ้ง"/>
    <s v="Wonton ND"/>
    <x v="1"/>
    <s v="บะหมี่เกี๊ยวกุ้งซุปสุกี้ CPxMK 227g ND Pumpkin"/>
    <s v="082SJ3Q12003P09001"/>
    <s v="227g*12"/>
    <n v="12"/>
    <n v="3"/>
    <n v="8.0000000000000002E-3"/>
    <s v="SS"/>
    <s v="STPP"/>
    <s v="MK"/>
    <n v="146"/>
    <n v="146"/>
    <m/>
    <n v="0"/>
    <n v="0"/>
    <n v="0"/>
    <n v="0.05"/>
    <n v="0"/>
    <m/>
    <n v="0"/>
    <n v="0"/>
  </r>
  <r>
    <m/>
    <x v="485"/>
    <s v="05-2025"/>
    <x v="1"/>
    <e v="#N/A"/>
    <x v="3"/>
    <s v="ขายภายใน"/>
    <s v="MTFS"/>
    <s v="CPFGS"/>
    <s v="ซีพีเอฟ เทรดดิ้ง"/>
    <s v="Wonton ND"/>
    <x v="1"/>
    <s v="บะหมี่เกี๊ยวกุ้งซุปสุกี้ CPxMK 227g ND Pumpkin"/>
    <s v="082SJ3Q12003P09001"/>
    <s v="227g*12"/>
    <n v="12"/>
    <n v="3"/>
    <n v="8.0000000000000002E-3"/>
    <s v="SS"/>
    <s v="STPP"/>
    <s v="MK"/>
    <n v="5323"/>
    <n v="5323"/>
    <m/>
    <n v="0"/>
    <n v="0"/>
    <n v="0"/>
    <n v="0.05"/>
    <n v="0"/>
    <m/>
    <n v="0"/>
    <n v="0"/>
  </r>
  <r>
    <m/>
    <x v="486"/>
    <m/>
    <x v="1"/>
    <e v="#N/A"/>
    <x v="4"/>
    <m/>
    <m/>
    <m/>
    <m/>
    <m/>
    <x v="0"/>
    <m/>
    <m/>
    <m/>
    <m/>
    <m/>
    <m/>
    <m/>
    <m/>
    <m/>
    <m/>
    <m/>
    <m/>
    <m/>
    <m/>
    <n v="0"/>
    <m/>
    <n v="0"/>
    <m/>
    <m/>
    <m/>
  </r>
  <r>
    <m/>
    <x v="487"/>
    <d v="2025-05-13T00:00:00"/>
    <x v="1"/>
    <e v="#N/A"/>
    <x v="4"/>
    <s v="DRY2500094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3500"/>
    <m/>
    <n v="3610.125"/>
    <n v="110.125"/>
    <n v="0"/>
    <n v="0"/>
    <n v="7.4999999999999997E-3"/>
    <n v="0"/>
    <m/>
    <n v="0"/>
    <n v="0"/>
  </r>
  <r>
    <m/>
    <x v="487"/>
    <d v="2025-05-08T00:00:00"/>
    <x v="1"/>
    <e v="#N/A"/>
    <x v="4"/>
    <s v="DRY240084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51.52777777777777"/>
    <n v="251.52777777777777"/>
    <m/>
    <n v="0"/>
    <n v="0"/>
    <n v="0"/>
    <n v="9.7000000000000003E-3"/>
    <n v="0"/>
    <m/>
    <n v="0"/>
    <n v="0"/>
  </r>
  <r>
    <m/>
    <x v="487"/>
    <d v="2025-05-08T00:00:00"/>
    <x v="1"/>
    <e v="#N/A"/>
    <x v="4"/>
    <s v="DRY240085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487"/>
    <d v="2025-05-08T00:00:00"/>
    <x v="1"/>
    <e v="#N/A"/>
    <x v="4"/>
    <s v="DRY240085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487"/>
    <d v="2025-05-14T00:00:00"/>
    <x v="1"/>
    <e v="#N/A"/>
    <x v="4"/>
    <s v="DRY250002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487"/>
    <d v="2025-05-15T00:00:00"/>
    <x v="1"/>
    <e v="#N/A"/>
    <x v="4"/>
    <s v="DRY250002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26"/>
    <n v="526"/>
    <m/>
    <n v="0"/>
    <n v="0"/>
    <n v="0"/>
    <n v="9.7000000000000003E-3"/>
    <n v="0"/>
    <m/>
    <n v="0"/>
    <n v="0"/>
  </r>
  <r>
    <m/>
    <x v="488"/>
    <d v="2025-05-15T00:00:00"/>
    <x v="1"/>
    <e v="#N/A"/>
    <x v="4"/>
    <s v="DRY250002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66"/>
    <n v="266"/>
    <m/>
    <n v="0"/>
    <n v="0"/>
    <n v="0"/>
    <n v="9.7000000000000003E-3"/>
    <n v="0"/>
    <m/>
    <n v="0"/>
    <n v="0"/>
  </r>
  <r>
    <m/>
    <x v="488"/>
    <d v="2025-05-15T00:00:00"/>
    <x v="1"/>
    <e v="#N/A"/>
    <x v="4"/>
    <s v="DRY250002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488"/>
    <d v="2025-05-15T00:00:00"/>
    <x v="1"/>
    <e v="#N/A"/>
    <x v="4"/>
    <s v="DRY250003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488"/>
    <d v="2025-05-15T00:00:00"/>
    <x v="1"/>
    <e v="#N/A"/>
    <x v="4"/>
    <s v="DRY250003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575"/>
    <n v="504"/>
    <n v="71"/>
    <n v="0"/>
    <n v="0"/>
    <n v="0"/>
    <n v="9.7000000000000003E-3"/>
    <n v="0"/>
    <m/>
    <n v="0"/>
    <n v="0"/>
  </r>
  <r>
    <m/>
    <x v="488"/>
    <d v="2025-05-16T00:00:00"/>
    <x v="1"/>
    <e v="#N/A"/>
    <x v="4"/>
    <s v="DRY2500097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SG+CO"/>
    <n v="907"/>
    <n v="907"/>
    <m/>
    <n v="0"/>
    <n v="0"/>
    <n v="0"/>
    <n v="3.8699999999999998E-2"/>
    <n v="0"/>
    <m/>
    <n v="0"/>
    <n v="0"/>
  </r>
  <r>
    <m/>
    <x v="488"/>
    <d v="2025-05-13T00:00:00"/>
    <x v="1"/>
    <e v="#N/A"/>
    <x v="4"/>
    <s v="DRY2500073"/>
    <s v="Denmark"/>
    <s v="CPFNW"/>
    <s v="CPF DENMARK"/>
    <s v="Minced ND+V+TY"/>
    <x v="1"/>
    <s v="Cooked Minced  ND No Egg with Pumpkin_x000a_+ Yu Choy Tomyum"/>
    <s v="082SRRE12003P00001"/>
    <s v="302g*12"/>
    <n v="12"/>
    <n v="3"/>
    <n v="6.0000000000000001E-3"/>
    <s v="BK"/>
    <s v="Salt"/>
    <s v="TYEXSG+CO"/>
    <n v="2520"/>
    <n v="2520"/>
    <m/>
    <n v="0"/>
    <n v="0"/>
    <n v="0"/>
    <n v="3.8699999999999998E-2"/>
    <n v="0"/>
    <s v="rema"/>
    <n v="0"/>
    <n v="0"/>
  </r>
  <r>
    <m/>
    <x v="489"/>
    <m/>
    <x v="1"/>
    <e v="#N/A"/>
    <x v="4"/>
    <m/>
    <m/>
    <m/>
    <m/>
    <m/>
    <x v="0"/>
    <m/>
    <m/>
    <m/>
    <m/>
    <m/>
    <m/>
    <m/>
    <m/>
    <m/>
    <m/>
    <m/>
    <m/>
    <m/>
    <m/>
    <n v="0"/>
    <m/>
    <n v="0"/>
    <m/>
    <m/>
    <m/>
  </r>
  <r>
    <m/>
    <x v="490"/>
    <d v="2025-05-13T00:00:00"/>
    <x v="1"/>
    <e v="#N/A"/>
    <x v="4"/>
    <s v="DRY2500170"/>
    <s v="USA"/>
    <s v="CPFNW"/>
    <s v="Bellisio Foods, Inc."/>
    <s v="Wonton"/>
    <x v="1"/>
    <s v="Wonton Soup  (Enriched wonton sheet)"/>
    <s v="082S8BW36005P02001"/>
    <s v="145g*6c*6in"/>
    <n v="36"/>
    <n v="5"/>
    <n v="7.4999999999999997E-3"/>
    <s v="HC"/>
    <s v="Salt"/>
    <s v="Y3"/>
    <n v="1288"/>
    <m/>
    <n v="1288"/>
    <n v="0"/>
    <n v="0"/>
    <n v="0"/>
    <n v="9.7000000000000003E-3"/>
    <n v="0"/>
    <m/>
    <n v="0"/>
    <n v="0"/>
  </r>
  <r>
    <m/>
    <x v="490"/>
    <d v="2025-05-13T00:00:00"/>
    <x v="1"/>
    <e v="#N/A"/>
    <x v="4"/>
    <s v="DRY2500171"/>
    <s v="USA"/>
    <s v="CPFNW"/>
    <s v="Bellisio Foods, Inc."/>
    <s v="Wonton"/>
    <x v="1"/>
    <s v="Wonton Soup  (Enriched wonton sheet)"/>
    <s v="082S8BW36005P02001"/>
    <s v="145g*6c*6in"/>
    <n v="36"/>
    <n v="5"/>
    <n v="7.4999999999999997E-3"/>
    <s v="HC"/>
    <s v="Salt"/>
    <s v="Y3"/>
    <n v="1288"/>
    <n v="450"/>
    <n v="838"/>
    <n v="0"/>
    <n v="0"/>
    <n v="0"/>
    <n v="9.7000000000000003E-3"/>
    <n v="0"/>
    <m/>
    <n v="0"/>
    <n v="0"/>
  </r>
  <r>
    <m/>
    <x v="490"/>
    <d v="2025-05-13T00:00:00"/>
    <x v="1"/>
    <e v="#N/A"/>
    <x v="4"/>
    <s v="DRY2500172"/>
    <s v="USA"/>
    <s v="CPFNW"/>
    <s v="Bellisio Foods, Inc."/>
    <s v="Wonton"/>
    <x v="1"/>
    <s v="Wonton Soup  (Enriched wonton sheet)"/>
    <s v="082S8BW36005P02001"/>
    <s v="145g*6c*6in"/>
    <n v="36"/>
    <n v="5"/>
    <n v="7.4999999999999997E-3"/>
    <s v="HC"/>
    <s v="Salt"/>
    <s v="Y3"/>
    <n v="1288"/>
    <n v="1288"/>
    <m/>
    <n v="0"/>
    <n v="0"/>
    <n v="0"/>
    <n v="9.7000000000000003E-3"/>
    <n v="0"/>
    <m/>
    <n v="0"/>
    <n v="0"/>
  </r>
  <r>
    <m/>
    <x v="490"/>
    <d v="2025-05-13T00:00:00"/>
    <x v="1"/>
    <e v="#N/A"/>
    <x v="4"/>
    <s v="DRY2500173"/>
    <s v="USA"/>
    <s v="CPFNW"/>
    <s v="Bellisio Foods, Inc."/>
    <s v="Wonton"/>
    <x v="1"/>
    <s v="Wonton Soup  (Enriched wonton sheet)"/>
    <s v="082S8BW36005P02001"/>
    <s v="145g*6c*6in"/>
    <n v="36"/>
    <n v="5"/>
    <n v="7.4999999999999997E-3"/>
    <s v="HC"/>
    <s v="Salt"/>
    <s v="Y3"/>
    <n v="52"/>
    <n v="52"/>
    <m/>
    <n v="0"/>
    <n v="0"/>
    <n v="0"/>
    <n v="9.7000000000000003E-3"/>
    <n v="0"/>
    <m/>
    <n v="0"/>
    <n v="0"/>
  </r>
  <r>
    <m/>
    <x v="491"/>
    <d v="2025-05-13T00:00:00"/>
    <x v="1"/>
    <e v="#N/A"/>
    <x v="4"/>
    <s v="DRY2500173"/>
    <s v="USA"/>
    <s v="CPFNW"/>
    <s v="Bellisio Foods, Inc."/>
    <s v="Wonton"/>
    <x v="1"/>
    <s v="Wonton Soup  (Enriched wonton sheet)"/>
    <s v="082S8BW36005P02001"/>
    <s v="145g*6c*6in"/>
    <n v="36"/>
    <n v="5"/>
    <n v="7.4999999999999997E-3"/>
    <s v="HC"/>
    <s v="Salt"/>
    <s v="Y3"/>
    <n v="1236"/>
    <n v="1236"/>
    <m/>
    <n v="0"/>
    <n v="0"/>
    <n v="0"/>
    <n v="9.7000000000000003E-3"/>
    <n v="0"/>
    <m/>
    <n v="0"/>
    <n v="0"/>
  </r>
  <r>
    <m/>
    <x v="491"/>
    <d v="2025-05-14T00:00:00"/>
    <x v="1"/>
    <e v="#N/A"/>
    <x v="4"/>
    <s v="DRY2500174"/>
    <s v="USA"/>
    <s v="CPFNW"/>
    <s v="Bellisio Foods, Inc."/>
    <s v="Wonton"/>
    <x v="1"/>
    <s v="Wonton Soup  (Enriched wonton sheet)"/>
    <s v="082S8BW36005P02001"/>
    <s v="145g*6c*6in"/>
    <n v="36"/>
    <n v="5"/>
    <n v="7.4999999999999997E-3"/>
    <s v="HC"/>
    <s v="Salt"/>
    <s v="Y3"/>
    <n v="1288"/>
    <n v="1288"/>
    <m/>
    <n v="0"/>
    <n v="0"/>
    <n v="0"/>
    <n v="9.7000000000000003E-3"/>
    <n v="0"/>
    <m/>
    <n v="0"/>
    <n v="0"/>
  </r>
  <r>
    <m/>
    <x v="491"/>
    <d v="2025-05-20T00:00:00"/>
    <x v="1"/>
    <e v="#N/A"/>
    <x v="4"/>
    <s v="DRY2500175"/>
    <s v="USA"/>
    <s v="CPFNW"/>
    <s v="Bellisio Foods, Inc."/>
    <s v="Wonton"/>
    <x v="1"/>
    <s v="Wonton Soup  (Enriched wonton sheet)"/>
    <s v="082S8BW36005P02001"/>
    <s v="145g*6c*6in"/>
    <n v="36"/>
    <n v="5"/>
    <n v="7.4999999999999997E-3"/>
    <s v="HC"/>
    <s v="Salt"/>
    <s v="Y3"/>
    <n v="1245"/>
    <n v="1245"/>
    <m/>
    <n v="0"/>
    <n v="0"/>
    <n v="0"/>
    <n v="9.7000000000000003E-3"/>
    <n v="0"/>
    <m/>
    <n v="0"/>
    <n v="0"/>
  </r>
  <r>
    <m/>
    <x v="491"/>
    <s v="05-2025"/>
    <x v="1"/>
    <e v="#N/A"/>
    <x v="4"/>
    <s v="ขายภายใน"/>
    <s v="MTFS"/>
    <s v="CPFGS"/>
    <s v="ซีพีเอฟ เทรดดิ้ง"/>
    <s v="Wonton ND"/>
    <x v="1"/>
    <s v="บะหมี่เกี๊ยวกุ้งซุปสุกี้ CPxMK 227g ND Pumpkin"/>
    <s v="082SJ3Q12003P09001"/>
    <s v="227g*12"/>
    <n v="12"/>
    <n v="3"/>
    <n v="8.0000000000000002E-3"/>
    <s v="SS"/>
    <s v="STPP"/>
    <s v="MK"/>
    <n v="677"/>
    <n v="677"/>
    <m/>
    <n v="0"/>
    <n v="0"/>
    <n v="0"/>
    <n v="0.05"/>
    <n v="0"/>
    <m/>
    <n v="0"/>
    <n v="0"/>
  </r>
  <r>
    <m/>
    <x v="491"/>
    <s v="05-2025"/>
    <x v="1"/>
    <e v="#N/A"/>
    <x v="4"/>
    <s v="ขายภายใน"/>
    <s v="MTFS"/>
    <s v="CPFGS"/>
    <s v="ซีพีเอฟ เทรดดิ้ง"/>
    <s v="Wonton ND"/>
    <x v="1"/>
    <s v="บะหมี่เกี๊ยวกุ้งซุปสุกี้ CPxMK 227g ND Pumpkin"/>
    <s v="082SJ3Q12003P09001"/>
    <s v="227g*12"/>
    <n v="12"/>
    <n v="3"/>
    <n v="8.0000000000000002E-3"/>
    <s v="SS"/>
    <s v="STPP"/>
    <s v="MK"/>
    <n v="16"/>
    <n v="16"/>
    <m/>
    <n v="0"/>
    <n v="0"/>
    <n v="0"/>
    <n v="0.05"/>
    <n v="0"/>
    <m/>
    <n v="0"/>
    <n v="0"/>
  </r>
  <r>
    <m/>
    <x v="491"/>
    <s v="05-2025"/>
    <x v="1"/>
    <e v="#N/A"/>
    <x v="4"/>
    <s v="ขายภายใน"/>
    <s v="MTFS"/>
    <s v="CPFGS"/>
    <s v="ซีพีเอฟ เทรดดิ้ง"/>
    <s v="Wonton ND"/>
    <x v="1"/>
    <s v="บะหมี่เกี๊ยวกุ้งซุปสุกี้ CPxMK 227g ND Pumpkin"/>
    <s v="082SJ3Q12003P09001"/>
    <s v="227g*12"/>
    <n v="12"/>
    <n v="3"/>
    <n v="8.0000000000000002E-3"/>
    <s v="SS"/>
    <s v="STPP"/>
    <s v="MK"/>
    <n v="63"/>
    <n v="63"/>
    <m/>
    <n v="0"/>
    <n v="0"/>
    <n v="0"/>
    <n v="0.05"/>
    <n v="0"/>
    <m/>
    <n v="0"/>
    <n v="0"/>
  </r>
  <r>
    <m/>
    <x v="492"/>
    <d v="2025-05-20T00:00:00"/>
    <x v="1"/>
    <e v="#N/A"/>
    <x v="4"/>
    <s v="DRY2500175"/>
    <s v="USA"/>
    <s v="CPFNW"/>
    <s v="Bellisio Foods, Inc."/>
    <s v="Wonton"/>
    <x v="1"/>
    <s v="Wonton Soup  (Enriched wonton sheet)"/>
    <s v="082S8BW36005P02001"/>
    <s v="145g*6c*6in"/>
    <n v="36"/>
    <n v="5"/>
    <n v="7.4999999999999997E-3"/>
    <s v="HC"/>
    <s v="Salt"/>
    <s v="Y3"/>
    <n v="43"/>
    <n v="43"/>
    <m/>
    <n v="0"/>
    <n v="0"/>
    <n v="0"/>
    <n v="9.7000000000000003E-3"/>
    <n v="0"/>
    <m/>
    <n v="0"/>
    <n v="0"/>
  </r>
  <r>
    <m/>
    <x v="492"/>
    <d v="2025-05-20T00:00:00"/>
    <x v="1"/>
    <e v="#N/A"/>
    <x v="4"/>
    <s v="DRY2500176"/>
    <s v="USA"/>
    <s v="CPFNW"/>
    <s v="Bellisio Foods, Inc."/>
    <s v="Wonton"/>
    <x v="1"/>
    <s v="Wonton Soup  (Enriched wonton sheet)"/>
    <s v="082S8BW36005P02001"/>
    <s v="145g*6c*6in"/>
    <n v="36"/>
    <n v="5"/>
    <n v="7.4999999999999997E-3"/>
    <s v="HC"/>
    <s v="Salt"/>
    <s v="Y3"/>
    <n v="1288"/>
    <n v="1288"/>
    <m/>
    <n v="0"/>
    <n v="0"/>
    <n v="0"/>
    <n v="9.7000000000000003E-3"/>
    <n v="0"/>
    <m/>
    <n v="0"/>
    <n v="0"/>
  </r>
  <r>
    <m/>
    <x v="492"/>
    <d v="2025-05-20T00:00:00"/>
    <x v="1"/>
    <e v="#N/A"/>
    <x v="4"/>
    <s v="DRY2500177"/>
    <s v="USA"/>
    <s v="CPFNW"/>
    <s v="Bellisio Foods, Inc."/>
    <s v="Wonton"/>
    <x v="1"/>
    <s v="Wonton Soup  (Enriched wonton sheet)"/>
    <s v="082S8BW36005P02001"/>
    <s v="145g*6c*6in"/>
    <n v="36"/>
    <n v="5"/>
    <n v="7.4999999999999997E-3"/>
    <s v="HC"/>
    <s v="Salt"/>
    <s v="Y3"/>
    <n v="1288"/>
    <n v="1288"/>
    <m/>
    <n v="0"/>
    <n v="0"/>
    <n v="0"/>
    <n v="9.7000000000000003E-3"/>
    <n v="0"/>
    <m/>
    <n v="0"/>
    <n v="0"/>
  </r>
  <r>
    <m/>
    <x v="492"/>
    <d v="2025-05-20T00:00:00"/>
    <x v="1"/>
    <e v="#N/A"/>
    <x v="4"/>
    <s v="DRY2500178"/>
    <s v="USA"/>
    <s v="CPFNW"/>
    <s v="Bellisio Foods, Inc."/>
    <s v="Wonton"/>
    <x v="1"/>
    <s v="Wonton Soup  (Enriched wonton sheet)"/>
    <s v="082S8BW36005P02001"/>
    <s v="145g*6c*6in"/>
    <n v="36"/>
    <n v="5"/>
    <n v="7.4999999999999997E-3"/>
    <s v="HC"/>
    <s v="Salt"/>
    <s v="Y3"/>
    <n v="1288"/>
    <n v="1288"/>
    <n v="11.388888888888889"/>
    <n v="11.388888888888914"/>
    <n v="0"/>
    <n v="0"/>
    <n v="9.7000000000000003E-3"/>
    <n v="0"/>
    <m/>
    <n v="0"/>
    <n v="0"/>
  </r>
  <r>
    <s v="R"/>
    <x v="493"/>
    <d v="2025-05-13T00:00:00"/>
    <x v="1"/>
    <e v="#N/A"/>
    <x v="4"/>
    <s v="DRY2500115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750"/>
    <n v="1750"/>
    <n v="5"/>
    <n v="5"/>
    <n v="0"/>
    <n v="0"/>
    <n v="6"/>
    <n v="0"/>
    <m/>
    <n v="0"/>
    <n v="0"/>
  </r>
  <r>
    <m/>
    <x v="494"/>
    <d v="2025-05-15T00:00:00"/>
    <x v="1"/>
    <e v="#N/A"/>
    <x v="4"/>
    <s v="DRY250003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217"/>
    <n v="217"/>
    <m/>
    <n v="0"/>
    <n v="0"/>
    <n v="0"/>
    <n v="9.7000000000000003E-3"/>
    <n v="0"/>
    <m/>
    <n v="0"/>
    <n v="0"/>
  </r>
  <r>
    <m/>
    <x v="494"/>
    <d v="2025-05-15T00:00:00"/>
    <x v="1"/>
    <e v="#N/A"/>
    <x v="4"/>
    <s v="DRY250003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494"/>
    <d v="2025-05-15T00:00:00"/>
    <x v="1"/>
    <e v="#N/A"/>
    <x v="4"/>
    <s v="DRY250003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494"/>
    <d v="2025-05-15T00:00:00"/>
    <x v="1"/>
    <e v="#N/A"/>
    <x v="4"/>
    <s v="DRY250009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494"/>
    <d v="2025-05-21T00:00:00"/>
    <x v="1"/>
    <e v="#N/A"/>
    <x v="4"/>
    <s v="DRY250009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335"/>
    <n v="335"/>
    <m/>
    <n v="0"/>
    <n v="0"/>
    <n v="0"/>
    <n v="9.7000000000000003E-3"/>
    <n v="0"/>
    <m/>
    <n v="0"/>
    <n v="0"/>
  </r>
  <r>
    <m/>
    <x v="495"/>
    <d v="2025-05-15T00:00:00"/>
    <x v="1"/>
    <e v="#N/A"/>
    <x v="4"/>
    <s v="DRY2500076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n v="0"/>
    <n v="7.4999999999999997E-3"/>
    <n v="0"/>
    <m/>
    <n v="0"/>
    <n v="0"/>
  </r>
  <r>
    <m/>
    <x v="495"/>
    <s v="05-2025"/>
    <x v="1"/>
    <e v="#N/A"/>
    <x v="4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2375"/>
    <n v="2375"/>
    <m/>
    <n v="0"/>
    <n v="0"/>
    <n v="0"/>
    <n v="7.4999999999999997E-3"/>
    <n v="0"/>
    <s v="คาดการณ์ pk เข้า 21/3"/>
    <n v="0"/>
    <n v="0"/>
  </r>
  <r>
    <s v="เก็บตก"/>
    <x v="495"/>
    <d v="2025-05-16T00:00:00"/>
    <x v="1"/>
    <e v="#N/A"/>
    <x v="4"/>
    <s v="DRY2500097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SG+CO"/>
    <n v="17"/>
    <n v="17"/>
    <m/>
    <n v="0"/>
    <n v="0"/>
    <n v="0"/>
    <n v="3.8699999999999998E-2"/>
    <n v="0"/>
    <m/>
    <n v="0"/>
    <n v="0"/>
  </r>
  <r>
    <m/>
    <x v="495"/>
    <d v="2025-05-29T00:00:00"/>
    <x v="1"/>
    <e v="#N/A"/>
    <x v="4"/>
    <s v="DRY2500098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SG+CO"/>
    <n v="924"/>
    <n v="924"/>
    <m/>
    <n v="0"/>
    <n v="0"/>
    <n v="0"/>
    <n v="3.8699999999999998E-2"/>
    <n v="0"/>
    <m/>
    <n v="0"/>
    <n v="0"/>
  </r>
  <r>
    <m/>
    <x v="495"/>
    <d v="2025-06-05T00:00:00"/>
    <x v="1"/>
    <e v="#N/A"/>
    <x v="4"/>
    <s v="DRY2500109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SG+CO"/>
    <n v="924"/>
    <n v="592"/>
    <n v="332"/>
    <n v="0"/>
    <n v="0"/>
    <n v="0"/>
    <n v="3.8699999999999998E-2"/>
    <n v="0"/>
    <m/>
    <n v="0"/>
    <n v="0"/>
  </r>
  <r>
    <m/>
    <x v="496"/>
    <m/>
    <x v="1"/>
    <e v="#N/A"/>
    <x v="4"/>
    <m/>
    <m/>
    <m/>
    <m/>
    <m/>
    <x v="0"/>
    <m/>
    <m/>
    <m/>
    <m/>
    <m/>
    <m/>
    <m/>
    <m/>
    <m/>
    <m/>
    <m/>
    <m/>
    <m/>
    <m/>
    <n v="0"/>
    <m/>
    <n v="0"/>
    <m/>
    <m/>
    <m/>
  </r>
  <r>
    <m/>
    <x v="497"/>
    <m/>
    <x v="1"/>
    <e v="#N/A"/>
    <x v="4"/>
    <m/>
    <m/>
    <m/>
    <m/>
    <m/>
    <x v="0"/>
    <m/>
    <m/>
    <m/>
    <m/>
    <m/>
    <m/>
    <m/>
    <m/>
    <m/>
    <m/>
    <m/>
    <m/>
    <m/>
    <m/>
    <n v="0"/>
    <m/>
    <n v="0"/>
    <m/>
    <m/>
    <m/>
  </r>
  <r>
    <s v="R"/>
    <x v="498"/>
    <d v="2025-05-19T00:00:00"/>
    <x v="1"/>
    <e v="#N/A"/>
    <x v="4"/>
    <s v="DRY2500059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28"/>
    <n v="628"/>
    <m/>
    <n v="0"/>
    <n v="0"/>
    <n v="0"/>
    <n v="6"/>
    <n v="0"/>
    <m/>
    <n v="0"/>
    <n v="0"/>
  </r>
  <r>
    <m/>
    <x v="498"/>
    <d v="2025-05-26T00:00:00"/>
    <x v="1"/>
    <e v="#N/A"/>
    <x v="4"/>
    <s v="ขายภายใน"/>
    <s v="5 Stars"/>
    <s v="5 Stars"/>
    <s v="CPFB"/>
    <s v="EP+Wonton"/>
    <x v="1"/>
    <s v="Cooked Wonton with egg "/>
    <s v="082S81N16020P00001"/>
    <s v="20 pcs*16"/>
    <n v="64"/>
    <n v="5"/>
    <n v="7.0000000000000001E-3"/>
    <s v="S"/>
    <s v="STPP"/>
    <m/>
    <n v="100"/>
    <m/>
    <n v="100"/>
    <n v="0"/>
    <n v="0"/>
    <n v="0"/>
    <m/>
    <m/>
    <m/>
    <m/>
    <m/>
  </r>
  <r>
    <m/>
    <x v="498"/>
    <d v="2025-05-21T00:00:00"/>
    <x v="1"/>
    <e v="#N/A"/>
    <x v="4"/>
    <s v="DRY250009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457"/>
    <n v="457"/>
    <m/>
    <n v="0"/>
    <n v="0"/>
    <n v="0"/>
    <n v="9.7000000000000003E-3"/>
    <n v="0"/>
    <m/>
    <n v="0"/>
    <n v="0"/>
  </r>
  <r>
    <m/>
    <x v="498"/>
    <d v="2025-05-21T00:00:00"/>
    <x v="1"/>
    <e v="#N/A"/>
    <x v="4"/>
    <s v="DRY250017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498"/>
    <d v="2025-05-21T00:00:00"/>
    <x v="1"/>
    <e v="#N/A"/>
    <x v="4"/>
    <s v="DRY250018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14"/>
    <n v="714"/>
    <m/>
    <n v="0"/>
    <n v="0"/>
    <n v="0"/>
    <n v="9.7000000000000003E-3"/>
    <n v="0"/>
    <m/>
    <n v="0"/>
    <n v="0"/>
  </r>
  <r>
    <s v="R"/>
    <x v="499"/>
    <d v="2025-05-19T00:00:00"/>
    <x v="1"/>
    <e v="#N/A"/>
    <x v="4"/>
    <s v="DRY2500059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09"/>
    <n v="609"/>
    <m/>
    <n v="0"/>
    <n v="0"/>
    <n v="0"/>
    <n v="6"/>
    <n v="0"/>
    <m/>
    <n v="0"/>
    <n v="0"/>
  </r>
  <r>
    <s v="R"/>
    <x v="499"/>
    <d v="2025-05-19T00:00:00"/>
    <x v="1"/>
    <e v="#N/A"/>
    <x v="4"/>
    <s v="DRY2500110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724"/>
    <n v="724"/>
    <m/>
    <n v="0"/>
    <n v="0"/>
    <n v="0"/>
    <n v="2"/>
    <n v="0"/>
    <m/>
    <n v="0"/>
    <n v="0"/>
  </r>
  <r>
    <s v="R"/>
    <x v="500"/>
    <d v="2025-05-19T00:00:00"/>
    <x v="1"/>
    <e v="#N/A"/>
    <x v="4"/>
    <s v="DRY2500110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900"/>
    <n v="900"/>
    <m/>
    <n v="0"/>
    <n v="0"/>
    <n v="0"/>
    <n v="2"/>
    <n v="0"/>
    <m/>
    <n v="0"/>
    <n v="0"/>
  </r>
  <r>
    <s v="R"/>
    <x v="500"/>
    <d v="2025-06-10T00:00:00"/>
    <x v="1"/>
    <e v="#N/A"/>
    <x v="4"/>
    <s v="DRY2500102"/>
    <s v="Malay"/>
    <s v="CPFNW"/>
    <s v="CPM Malaysia"/>
    <s v="R-Wonton egg past"/>
    <x v="2"/>
    <s v="Raw Wonton 12 pcs"/>
    <s v="082I95I20012P02001"/>
    <s v="154g*20inner"/>
    <n v="20"/>
    <n v="12"/>
    <n v="6.8100000000000001E-3"/>
    <s v="S"/>
    <s v="STPP"/>
    <s v="ซุปซอง 5g."/>
    <n v="350"/>
    <n v="350"/>
    <m/>
    <n v="0"/>
    <n v="0"/>
    <n v="0"/>
    <n v="2"/>
    <n v="0"/>
    <m/>
    <n v="0"/>
    <n v="0"/>
  </r>
  <r>
    <m/>
    <x v="501"/>
    <d v="2025-05-21T00:00:00"/>
    <x v="1"/>
    <e v="#N/A"/>
    <x v="4"/>
    <s v="DRY250018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8"/>
    <n v="78"/>
    <m/>
    <n v="0"/>
    <n v="0"/>
    <n v="0"/>
    <n v="9.7000000000000003E-3"/>
    <n v="0"/>
    <m/>
    <n v="0"/>
    <n v="0"/>
  </r>
  <r>
    <m/>
    <x v="501"/>
    <d v="2025-05-21T00:00:00"/>
    <x v="1"/>
    <e v="#N/A"/>
    <x v="4"/>
    <s v="DRY250018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501"/>
    <d v="2025-05-21T00:00:00"/>
    <x v="1"/>
    <e v="#N/A"/>
    <x v="4"/>
    <s v="DRY250018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7"/>
    <m/>
    <n v="5"/>
    <n v="0"/>
    <n v="0"/>
    <n v="9.7000000000000003E-3"/>
    <n v="0"/>
    <m/>
    <n v="0"/>
    <n v="0"/>
  </r>
  <r>
    <m/>
    <x v="501"/>
    <d v="2025-05-27T00:00:00"/>
    <x v="1"/>
    <e v="#N/A"/>
    <x v="4"/>
    <s v="DRY2400700"/>
    <s v="New Zealand"/>
    <s v="CPFNW"/>
    <s v="Lim Brothers"/>
    <s v="Wonton ND+V"/>
    <x v="1"/>
    <s v="Cooked Wonton ND No Egg with Pumpkin_x000a_+ Yu Choy "/>
    <s v="082SJN736005P00001"/>
    <s v="308g*6c*6in"/>
    <n v="36"/>
    <n v="5"/>
    <n v="7.4999999999999997E-3"/>
    <s v="HC"/>
    <s v="Salt"/>
    <s v="Regular"/>
    <n v="792"/>
    <n v="784"/>
    <n v="25.444444444444443"/>
    <n v="17.444444444444457"/>
    <n v="0"/>
    <n v="0"/>
    <n v="7.4999999999999997E-3"/>
    <n v="0"/>
    <m/>
    <n v="0"/>
    <n v="0"/>
  </r>
  <r>
    <m/>
    <x v="501"/>
    <d v="2025-05-29T00:00:00"/>
    <x v="1"/>
    <e v="#N/A"/>
    <x v="4"/>
    <s v="DRY2500096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501"/>
    <d v="2025-06-05T00:00:00"/>
    <x v="1"/>
    <e v="#N/A"/>
    <x v="4"/>
    <s v="DRY2500081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582"/>
    <n v="436"/>
    <n v="146.75"/>
    <n v="0.75"/>
    <n v="0"/>
    <n v="0"/>
    <n v="7.4999999999999997E-3"/>
    <n v="0"/>
    <m/>
    <n v="0"/>
    <n v="0"/>
  </r>
  <r>
    <m/>
    <x v="502"/>
    <s v="05-2025"/>
    <x v="1"/>
    <e v="#N/A"/>
    <x v="4"/>
    <s v="ขายภายใน"/>
    <s v=".7-11"/>
    <s v="CPFGS"/>
    <s v="ซีพีเอฟ เทรดดิ้ง"/>
    <s v="Wonton ND"/>
    <x v="1"/>
    <s v="บะหมี่เกี๊ยวกุ้งซุปสุกี้ CPxMK 227g ND Pumpkin"/>
    <s v="082SJ3Q12003P09001"/>
    <s v="227g*12"/>
    <n v="12"/>
    <n v="3"/>
    <n v="8.0000000000000002E-3"/>
    <s v="SS"/>
    <s v="STPP"/>
    <s v="MK"/>
    <n v="3543"/>
    <n v="3543"/>
    <m/>
    <n v="0"/>
    <n v="0"/>
    <n v="0"/>
    <n v="0.05"/>
    <n v="0"/>
    <m/>
    <n v="0"/>
    <n v="0"/>
  </r>
  <r>
    <m/>
    <x v="503"/>
    <m/>
    <x v="1"/>
    <e v="#N/A"/>
    <x v="4"/>
    <m/>
    <m/>
    <m/>
    <m/>
    <m/>
    <x v="0"/>
    <m/>
    <m/>
    <m/>
    <m/>
    <m/>
    <m/>
    <m/>
    <m/>
    <m/>
    <m/>
    <m/>
    <m/>
    <m/>
    <m/>
    <n v="0"/>
    <m/>
    <n v="0"/>
    <m/>
    <m/>
    <m/>
  </r>
  <r>
    <m/>
    <x v="504"/>
    <d v="2025-06-05T00:00:00"/>
    <x v="1"/>
    <e v="#N/A"/>
    <x v="4"/>
    <s v="DRY2500081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210"/>
    <n v="210"/>
    <m/>
    <n v="0"/>
    <n v="0"/>
    <n v="0"/>
    <n v="7.4999999999999997E-3"/>
    <n v="0"/>
    <m/>
    <n v="0"/>
    <n v="0"/>
  </r>
  <r>
    <m/>
    <x v="504"/>
    <d v="2025-05-30T00:00:00"/>
    <x v="1"/>
    <e v="#N/A"/>
    <x v="4"/>
    <s v="DRY2500161"/>
    <s v="Spain"/>
    <s v="CPFNW"/>
    <s v="Mercadona"/>
    <s v="Wonton ND+V"/>
    <x v="1"/>
    <s v="Cooked Wonton ND No Egg with Pumpkin _x000a_+ Vegetable  HC  3 pcs"/>
    <s v="082SJ5T12003P01001"/>
    <s v="309g*12"/>
    <n v="12"/>
    <n v="3"/>
    <n v="7.4999999999999997E-3"/>
    <s v="S"/>
    <s v="Salt"/>
    <s v="Regular"/>
    <n v="2520"/>
    <n v="2520"/>
    <m/>
    <n v="0"/>
    <n v="0"/>
    <n v="0"/>
    <n v="7.4999999999999997E-3"/>
    <n v="0"/>
    <m/>
    <n v="0"/>
    <n v="0"/>
  </r>
  <r>
    <m/>
    <x v="504"/>
    <d v="2025-05-30T00:00:00"/>
    <x v="1"/>
    <e v="#N/A"/>
    <x v="4"/>
    <s v="DRY2500162"/>
    <s v="Spain"/>
    <s v="CPFNW"/>
    <s v="Mercadona"/>
    <s v="Wonton ND+V"/>
    <x v="1"/>
    <s v="Cooked Wonton ND No Egg with Pumpkin _x000a_+ Vegetable  HC  3 pcs"/>
    <s v="082SJ5T12003P01001"/>
    <s v="309g*12"/>
    <n v="12"/>
    <n v="3"/>
    <n v="7.4999999999999997E-3"/>
    <s v="S"/>
    <s v="Salt"/>
    <s v="Regular"/>
    <n v="2520"/>
    <n v="2520"/>
    <m/>
    <n v="0"/>
    <n v="0"/>
    <n v="0"/>
    <n v="7.4999999999999997E-3"/>
    <n v="0"/>
    <m/>
    <n v="0"/>
    <n v="0"/>
  </r>
  <r>
    <m/>
    <x v="504"/>
    <s v="05-2025"/>
    <x v="1"/>
    <e v="#N/A"/>
    <x v="4"/>
    <s v="ขายภายใน"/>
    <s v=".7-11"/>
    <s v="CPFGS"/>
    <s v="ซีพีเอฟ เทรดดิ้ง"/>
    <s v="Wonton ND"/>
    <x v="1"/>
    <s v="บะหมี่เกี๊ยวกุ้งซุปสุกี้ CPxMK 227g ND Pumpkin"/>
    <s v="082SJ3Q12003P09001"/>
    <s v="227g*12"/>
    <n v="12"/>
    <n v="3"/>
    <n v="8.0000000000000002E-3"/>
    <s v="SS"/>
    <s v="STPP"/>
    <s v="MK"/>
    <n v="894"/>
    <n v="894"/>
    <m/>
    <n v="0"/>
    <n v="0"/>
    <n v="0"/>
    <n v="0.05"/>
    <n v="0"/>
    <m/>
    <n v="0"/>
    <n v="0"/>
  </r>
  <r>
    <m/>
    <x v="504"/>
    <s v="05-2025"/>
    <x v="1"/>
    <e v="#N/A"/>
    <x v="4"/>
    <s v="ขายภายใน"/>
    <s v="MTFS"/>
    <s v="CPFGS"/>
    <s v="ซีพีเอฟ เทรดดิ้ง"/>
    <s v="Wonton ND"/>
    <x v="1"/>
    <s v="บะหมี่เกี๊ยวกุ้งซุปสุกี้ CPxMK 227g ND Pumpkin"/>
    <s v="082SJ3Q12003P0A001"/>
    <s v="227g*12"/>
    <n v="12"/>
    <n v="3"/>
    <n v="8.0000000000000002E-3"/>
    <s v="SS"/>
    <s v="STPP"/>
    <s v="MK"/>
    <n v="1500"/>
    <n v="1500"/>
    <m/>
    <n v="0"/>
    <n v="0"/>
    <n v="0"/>
    <n v="0.05"/>
    <n v="0"/>
    <m/>
    <n v="0"/>
    <n v="0"/>
  </r>
  <r>
    <m/>
    <x v="505"/>
    <d v="2025-06-04T00:00:00"/>
    <x v="1"/>
    <e v="#N/A"/>
    <x v="4"/>
    <s v="DRY2500102"/>
    <s v="Malay"/>
    <s v="CPFNW"/>
    <s v="CPM Malaysia"/>
    <s v="Wonton+TY"/>
    <x v="1"/>
    <s v="Cooked Wonton No Egg  TY"/>
    <s v="082S85I24005P02001"/>
    <s v="115g*24"/>
    <n v="24"/>
    <n v="5"/>
    <n v="8.0000000000000002E-3"/>
    <s v="M"/>
    <s v="STPP"/>
    <s v="TYTB3C 30G"/>
    <n v="800"/>
    <n v="800"/>
    <m/>
    <n v="0"/>
    <n v="0"/>
    <n v="0"/>
    <n v="1"/>
    <n v="0"/>
    <s v="232 SG"/>
    <n v="0"/>
    <n v="0"/>
  </r>
  <r>
    <m/>
    <x v="505"/>
    <d v="2025-06-04T00:00:00"/>
    <x v="1"/>
    <e v="#N/A"/>
    <x v="4"/>
    <s v="DRY2500102"/>
    <s v="Malay"/>
    <s v="CPFNW"/>
    <s v="CPM Malaysia"/>
    <s v="Wonton"/>
    <x v="1"/>
    <s v="Cooked Wonton No Egg  "/>
    <s v="082S85I24005P01001"/>
    <s v="145g*24"/>
    <n v="24"/>
    <n v="5"/>
    <n v="8.0000000000000002E-3"/>
    <s v="M"/>
    <s v="STPP"/>
    <s v="Regular"/>
    <n v="1000"/>
    <n v="972"/>
    <n v="28"/>
    <n v="0"/>
    <n v="0"/>
    <n v="0"/>
    <n v="7.4999999999999997E-3"/>
    <n v="0"/>
    <s v="628 SG"/>
    <n v="0"/>
    <n v="0"/>
  </r>
  <r>
    <m/>
    <x v="505"/>
    <d v="2025-06-12T00:00:00"/>
    <x v="1"/>
    <e v="#N/A"/>
    <x v="4"/>
    <s v="DRY2500108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505"/>
    <d v="2025-06-23T00:00:00"/>
    <x v="1"/>
    <e v="#N/A"/>
    <x v="4"/>
    <s v="DRY2500104"/>
    <s v="Germany"/>
    <s v="CPFNW"/>
    <s v=" CPF Distribution (under Paulsen Food)"/>
    <s v="Wonton ND+V"/>
    <x v="1"/>
    <s v="Cooked Wonton ND No Egg with Pumpkin _x000a_+ Vegetable  HC  3 pcs"/>
    <s v="082SJ3N12003P02001"/>
    <s v="309g*12"/>
    <n v="12"/>
    <n v="3"/>
    <n v="6.8100000000000001E-3"/>
    <s v="S"/>
    <s v="Salt"/>
    <s v="Regular"/>
    <n v="2278"/>
    <m/>
    <n v="2293.4166666666665"/>
    <n v="15.416666666666515"/>
    <n v="0"/>
    <n v="0"/>
    <n v="9.7000000000000003E-3"/>
    <n v="0"/>
    <m/>
    <n v="0"/>
    <n v="0"/>
  </r>
  <r>
    <m/>
    <x v="505"/>
    <d v="2025-06-12T00:00:00"/>
    <x v="1"/>
    <e v="#N/A"/>
    <x v="4"/>
    <s v="DRY2500129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SG+CO"/>
    <n v="924"/>
    <n v="804"/>
    <n v="120"/>
    <n v="0"/>
    <n v="0"/>
    <n v="0"/>
    <n v="3.8699999999999998E-2"/>
    <n v="0"/>
    <m/>
    <n v="0"/>
    <n v="0"/>
  </r>
  <r>
    <m/>
    <x v="505"/>
    <d v="2025-06-12T00:00:00"/>
    <x v="1"/>
    <e v="#N/A"/>
    <x v="4"/>
    <s v="DRY2500069"/>
    <s v="New Zealand"/>
    <s v="CPFNW"/>
    <s v="Lim Brothers"/>
    <s v="Minced ND+V+TY"/>
    <x v="1"/>
    <s v="Cooked Minced  ND No Egg with Pumpkin_x000a_+ Yu Choy Tomyum"/>
    <s v="082SRN708003P00001"/>
    <s v="302g*8"/>
    <n v="8"/>
    <n v="3"/>
    <n v="6.0000000000000001E-3"/>
    <s v="BK"/>
    <s v="Salt"/>
    <s v="TYEXSG+CO"/>
    <n v="216"/>
    <m/>
    <n v="216"/>
    <n v="0"/>
    <n v="0"/>
    <n v="0"/>
    <n v="3.8699999999999998E-2"/>
    <n v="0"/>
    <m/>
    <n v="0"/>
    <n v="0"/>
  </r>
  <r>
    <m/>
    <x v="505"/>
    <d v="2025-07-03T00:00:00"/>
    <x v="1"/>
    <e v="#N/A"/>
    <x v="4"/>
    <s v="DRY2500114"/>
    <s v="New Zealand"/>
    <s v="CPFNW"/>
    <s v="Lim Brothers"/>
    <s v="Minced ND+V+TY"/>
    <x v="1"/>
    <s v="Cooked Minced  ND No Egg with Pumpkin_x000a_+ Yu Choy Tomyum"/>
    <s v="082SRN708003P00001"/>
    <s v="302g*8"/>
    <n v="8"/>
    <n v="3"/>
    <n v="6.0000000000000001E-3"/>
    <s v="BK"/>
    <s v="Salt"/>
    <s v="TYEXSG+CO"/>
    <n v="216"/>
    <m/>
    <n v="216"/>
    <n v="0"/>
    <n v="0"/>
    <n v="0"/>
    <n v="3.8699999999999998E-2"/>
    <n v="0"/>
    <m/>
    <n v="0"/>
    <n v="0"/>
  </r>
  <r>
    <m/>
    <x v="505"/>
    <d v="2025-06-14T00:00:00"/>
    <x v="1"/>
    <e v="#N/A"/>
    <x v="4"/>
    <s v="DRY2500188"/>
    <s v="AUS"/>
    <s v="CPFNW"/>
    <s v="CPF Australia Pty Ltd."/>
    <s v="Minced ND+V+TY"/>
    <x v="1"/>
    <s v="Cooked Minced  ND No Egg with Pumpkin_x000a_+ Yu Choy Tomyum"/>
    <s v="082SR9U08003P00001"/>
    <s v="302g*8"/>
    <n v="8"/>
    <n v="3"/>
    <n v="6.0000000000000001E-3"/>
    <s v="BK"/>
    <s v="Salt"/>
    <s v="TYEXSG+CO"/>
    <n v="400"/>
    <m/>
    <n v="400"/>
    <n v="0"/>
    <n v="0"/>
    <n v="0"/>
    <n v="3.8699999999999998E-2"/>
    <n v="0"/>
    <m/>
    <n v="0"/>
    <n v="0"/>
  </r>
  <r>
    <m/>
    <x v="505"/>
    <d v="2025-07-24T00:00:00"/>
    <x v="1"/>
    <e v="#N/A"/>
    <x v="4"/>
    <s v="DRY2500189"/>
    <s v="AUS"/>
    <s v="CPFNW"/>
    <s v="CPF Australia Pty Ltd."/>
    <s v="Minced ND+V+TY"/>
    <x v="1"/>
    <s v="Cooked Minced  ND No Egg with Pumpkin_x000a_+ Yu Choy Tomyum"/>
    <s v="082SR9U08003P00001"/>
    <s v="302g*8"/>
    <n v="8"/>
    <n v="3"/>
    <n v="6.0000000000000001E-3"/>
    <s v="BK"/>
    <s v="Salt"/>
    <s v="TYEXSG+CO"/>
    <n v="200"/>
    <m/>
    <n v="200"/>
    <n v="0"/>
    <n v="0"/>
    <n v="0"/>
    <n v="3.8699999999999998E-2"/>
    <n v="0"/>
    <m/>
    <n v="0"/>
    <n v="0"/>
  </r>
  <r>
    <m/>
    <x v="505"/>
    <d v="2025-07-24T00:00:00"/>
    <x v="1"/>
    <e v="#N/A"/>
    <x v="4"/>
    <s v="DRY2500190"/>
    <s v="AUS"/>
    <s v="CPFNW"/>
    <s v="CPF Australia Pty Ltd."/>
    <s v="Minced ND+V+TY"/>
    <x v="1"/>
    <s v="Cooked Minced  ND No Egg with Pumpkin_x000a_+ Yu Choy Tomyum"/>
    <s v="082SR9U08003P00001"/>
    <s v="302g*8"/>
    <n v="8"/>
    <n v="3"/>
    <n v="6.0000000000000001E-3"/>
    <s v="BK"/>
    <s v="Salt"/>
    <s v="TYEXSG+CO"/>
    <n v="300"/>
    <m/>
    <n v="300"/>
    <n v="0"/>
    <n v="0"/>
    <n v="0"/>
    <n v="3.8699999999999998E-2"/>
    <n v="0"/>
    <m/>
    <n v="0"/>
    <n v="0"/>
  </r>
  <r>
    <m/>
    <x v="505"/>
    <d v="2025-07-24T00:00:00"/>
    <x v="1"/>
    <e v="#N/A"/>
    <x v="4"/>
    <s v="DRY2500191"/>
    <s v="AUS"/>
    <s v="CPFNW"/>
    <s v="CPF Australia Pty Ltd."/>
    <s v="Minced ND+V+TY"/>
    <x v="1"/>
    <s v="Cooked Minced  ND No Egg with Pumpkin_x000a_+ Yu Choy Tomyum"/>
    <s v="082SR9U08003P00001"/>
    <s v="302g*8"/>
    <n v="8"/>
    <n v="3"/>
    <n v="6.0000000000000001E-3"/>
    <s v="BK"/>
    <s v="Salt"/>
    <s v="TYEXSG+CO"/>
    <n v="250"/>
    <m/>
    <n v="250"/>
    <n v="0"/>
    <n v="0"/>
    <n v="0"/>
    <n v="3.8699999999999998E-2"/>
    <n v="0"/>
    <m/>
    <n v="0"/>
    <n v="0"/>
  </r>
  <r>
    <m/>
    <x v="505"/>
    <d v="2025-07-24T00:00:00"/>
    <x v="1"/>
    <e v="#N/A"/>
    <x v="4"/>
    <s v="DRY2500192"/>
    <s v="AUS"/>
    <s v="CPFNW"/>
    <s v="CPF Australia Pty Ltd."/>
    <s v="Minced ND+V+TY"/>
    <x v="1"/>
    <s v="Cooked Minced  ND No Egg with Pumpkin_x000a_+ Yu Choy Tomyum"/>
    <s v="082SR9U08003P00001"/>
    <s v="302g*8"/>
    <n v="8"/>
    <n v="3"/>
    <n v="6.0000000000000001E-3"/>
    <s v="BK"/>
    <s v="Salt"/>
    <s v="TYEXSG+CO"/>
    <n v="250"/>
    <m/>
    <n v="250"/>
    <n v="0"/>
    <n v="0"/>
    <n v="0"/>
    <n v="3.8699999999999998E-2"/>
    <n v="0"/>
    <m/>
    <n v="0"/>
    <n v="0"/>
  </r>
  <r>
    <m/>
    <x v="505"/>
    <d v="2025-08-21T00:00:00"/>
    <x v="1"/>
    <e v="#N/A"/>
    <x v="4"/>
    <s v="DRY2500214"/>
    <s v="AUS"/>
    <s v="CPFNW"/>
    <s v="CPF Australia Pty Ltd."/>
    <s v="Minced ND+V+TY"/>
    <x v="1"/>
    <s v="Cooked Minced  ND No Egg with Pumpkin_x000a_+ Yu Choy Tomyum"/>
    <s v="082SR9U08003P00001"/>
    <s v="302g*8"/>
    <n v="8"/>
    <n v="3"/>
    <n v="6.0000000000000001E-3"/>
    <s v="BK"/>
    <s v="Salt"/>
    <s v="TYEXSG+CO"/>
    <n v="56"/>
    <m/>
    <n v="120.5"/>
    <n v="64.5"/>
    <n v="0"/>
    <n v="0"/>
    <n v="3.8699999999999998E-2"/>
    <n v="0"/>
    <m/>
    <n v="0"/>
    <n v="0"/>
  </r>
  <r>
    <m/>
    <x v="506"/>
    <d v="2025-06-11T00:00:00"/>
    <x v="1"/>
    <e v="#N/A"/>
    <x v="4"/>
    <s v="DRY2500077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n v="0"/>
    <n v="7.4999999999999997E-3"/>
    <n v="0"/>
    <m/>
    <n v="0"/>
    <n v="0"/>
  </r>
  <r>
    <m/>
    <x v="506"/>
    <s v="05-2025"/>
    <x v="1"/>
    <e v="#N/A"/>
    <x v="4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1106"/>
    <n v="1106"/>
    <m/>
    <n v="0"/>
    <n v="0"/>
    <n v="0"/>
    <n v="7.4999999999999997E-3"/>
    <n v="0"/>
    <s v="คาดการณ์ pk เข้า 21/3"/>
    <n v="0"/>
    <n v="0"/>
  </r>
  <r>
    <m/>
    <x v="506"/>
    <s v="06-2025"/>
    <x v="1"/>
    <e v="#N/A"/>
    <x v="4"/>
    <s v="ขายภายใน"/>
    <s v="MTFS"/>
    <s v="CPFGS"/>
    <s v="ซีพีเอฟ เทรดดิ้ง"/>
    <s v="Wonton ND"/>
    <x v="1"/>
    <s v="บะหมี่เกี๊ยวกุ้งซุปสุกี้ CPxMK 227g  MT"/>
    <s v="082SJ3Q12003P0A001"/>
    <s v="227g*12"/>
    <n v="12"/>
    <n v="3"/>
    <n v="8.0000000000000002E-3"/>
    <s v="SS"/>
    <s v="STPP"/>
    <s v="MK"/>
    <n v="1500"/>
    <n v="1500"/>
    <m/>
    <n v="0"/>
    <n v="0"/>
    <n v="0"/>
    <n v="0.05"/>
    <n v="0"/>
    <m/>
    <n v="0"/>
    <n v="0"/>
  </r>
  <r>
    <m/>
    <x v="506"/>
    <s v="06-2025"/>
    <x v="1"/>
    <e v="#N/A"/>
    <x v="4"/>
    <s v="ขายภายใน"/>
    <s v=".7-11"/>
    <s v="CPFGS"/>
    <s v="ซีพีเอฟ เทรดดิ้ง"/>
    <s v="Wonton ND"/>
    <x v="1"/>
    <s v="บะหมี่เกี๊ยวกุ้งซุปสุกี้ CPxMK 227g 7-11"/>
    <s v="082SJ3Q12003P09001"/>
    <s v="227g*12"/>
    <n v="12"/>
    <n v="3"/>
    <n v="8.0000000000000002E-3"/>
    <s v="SS"/>
    <s v="STPP"/>
    <s v="MK"/>
    <n v="4500"/>
    <n v="4500"/>
    <m/>
    <n v="0"/>
    <n v="0"/>
    <n v="0"/>
    <n v="0.05"/>
    <n v="0"/>
    <m/>
    <n v="0"/>
    <n v="0"/>
  </r>
  <r>
    <m/>
    <x v="507"/>
    <d v="2025-06-04T00:00:00"/>
    <x v="1"/>
    <e v="#N/A"/>
    <x v="4"/>
    <s v="DRY2500087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n v="194"/>
    <n v="2406"/>
    <n v="0"/>
    <n v="0"/>
    <n v="0"/>
    <n v="7.4999999999999997E-3"/>
    <n v="0"/>
    <m/>
    <n v="0"/>
    <n v="0"/>
  </r>
  <r>
    <m/>
    <x v="507"/>
    <d v="2025-06-04T00:00:00"/>
    <x v="1"/>
    <e v="#N/A"/>
    <x v="4"/>
    <s v="DRY2500088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n v="0"/>
    <n v="7.4999999999999997E-3"/>
    <n v="0"/>
    <m/>
    <n v="0"/>
    <n v="0"/>
  </r>
  <r>
    <m/>
    <x v="507"/>
    <s v="05-2025"/>
    <x v="1"/>
    <e v="#N/A"/>
    <x v="4"/>
    <s v="ขายภายใน"/>
    <s v=".7-11"/>
    <s v="CPFGS"/>
    <s v="ถ้วยขาวพิมพ์กดสีฟ้า"/>
    <s v="Wonton"/>
    <x v="1"/>
    <s v="Cooked Wonton No Egg .7-11"/>
    <s v="082S81A24005P06001"/>
    <s v="130g*24"/>
    <n v="24"/>
    <n v="5"/>
    <n v="6.1999999999999998E-3"/>
    <s v="SS"/>
    <s v="STPP"/>
    <s v="Regular"/>
    <n v="698"/>
    <n v="698"/>
    <m/>
    <n v="0"/>
    <n v="0"/>
    <n v="0"/>
    <n v="7.4999999999999997E-3"/>
    <n v="0"/>
    <s v="คาดการณ์ pk เข้า 21/3"/>
    <n v="0"/>
    <n v="0"/>
  </r>
  <r>
    <s v="ชมรมกอล์ฟ ซีพี"/>
    <x v="507"/>
    <s v="06-2025"/>
    <x v="1"/>
    <e v="#N/A"/>
    <x v="4"/>
    <s v="ขายภายใน"/>
    <s v="MTFS"/>
    <s v="CPFGS"/>
    <s v="ซีพีเอฟ เทรดดิ้ง"/>
    <s v="E+Wonton"/>
    <x v="1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n v="0"/>
    <n v="7.4999999999999997E-3"/>
    <n v="0"/>
    <m/>
    <n v="0"/>
    <n v="0"/>
  </r>
  <r>
    <s v="CP Laos"/>
    <x v="507"/>
    <d v="2025-06-15T00:00:00"/>
    <x v="1"/>
    <e v="#N/A"/>
    <x v="4"/>
    <s v="LA011/2568"/>
    <s v="Laos"/>
    <s v="Laos"/>
    <s v="บริษัท ปิก้าเทรดดิ้ง จำกัด"/>
    <s v="E+Wonton"/>
    <x v="1"/>
    <s v="เกี๊ยวกุ้งจักรพรรดิ 12x145g."/>
    <s v="082S8L212005P00001"/>
    <s v="145g*12"/>
    <n v="12"/>
    <n v="5"/>
    <n v="8.0000000000000002E-3"/>
    <s v="M"/>
    <s v="STPP"/>
    <s v="Regular"/>
    <n v="100"/>
    <n v="100"/>
    <m/>
    <n v="0"/>
    <n v="0"/>
    <n v="0"/>
    <n v="7.4999999999999997E-3"/>
    <n v="0"/>
    <m/>
    <n v="0"/>
    <n v="0"/>
  </r>
  <r>
    <m/>
    <x v="507"/>
    <s v="06-2025"/>
    <x v="1"/>
    <e v="#N/A"/>
    <x v="4"/>
    <s v="ขายภายใน"/>
    <s v="MTFS"/>
    <s v="CPFGS"/>
    <s v="ซีพีเอฟ เทรดดิ้ง"/>
    <s v="E+Wonton"/>
    <x v="1"/>
    <s v="Cooked Wonton  with egg V-Food"/>
    <s v="082S83Q12005P05001"/>
    <s v="145g*12"/>
    <n v="12"/>
    <n v="5"/>
    <n v="8.0000000000000002E-3"/>
    <s v="M"/>
    <s v="STPP"/>
    <s v="Regular"/>
    <n v="2000"/>
    <n v="2000"/>
    <m/>
    <n v="0"/>
    <n v="0"/>
    <n v="0"/>
    <n v="7.4999999999999997E-3"/>
    <n v="0"/>
    <m/>
    <n v="0"/>
    <n v="0"/>
  </r>
  <r>
    <m/>
    <x v="507"/>
    <s v="06-2025"/>
    <x v="1"/>
    <e v="#N/A"/>
    <x v="4"/>
    <s v="ขายภายใน"/>
    <s v="MTFS"/>
    <s v="CPFGS"/>
    <s v="ซีพีเอฟ เทรดดิ้ง"/>
    <s v="E+Wonton"/>
    <x v="1"/>
    <s v="Cooked Wonton Multipack  with Egg  270g"/>
    <s v="082S83Q18005P05001"/>
    <s v="90g*3B*6B"/>
    <n v="18"/>
    <n v="5"/>
    <n v="8.0000000000000002E-3"/>
    <s v="M"/>
    <s v="STPP"/>
    <s v="ซุปซอง 5g."/>
    <n v="1200"/>
    <n v="1200"/>
    <m/>
    <n v="0"/>
    <n v="0"/>
    <n v="0"/>
    <n v="1"/>
    <n v="0"/>
    <m/>
    <n v="0"/>
    <n v="0"/>
  </r>
  <r>
    <m/>
    <x v="508"/>
    <s v="06-2025"/>
    <x v="1"/>
    <e v="#N/A"/>
    <x v="4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400"/>
    <n v="400"/>
    <m/>
    <n v="0"/>
    <n v="0"/>
    <n v="0"/>
    <n v="7.4999999999999997E-3"/>
    <n v="0"/>
    <m/>
    <n v="0"/>
    <n v="0"/>
  </r>
  <r>
    <s v="Cambodia"/>
    <x v="508"/>
    <d v="2025-06-10T00:00:00"/>
    <x v="1"/>
    <e v="#N/A"/>
    <x v="4"/>
    <s v="CB004/2568"/>
    <s v="Cambodia"/>
    <s v="Cambodia"/>
    <s v="หจก.คิงฟู้ดส์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50"/>
    <n v="50"/>
    <m/>
    <n v="0"/>
    <n v="0"/>
    <n v="0"/>
    <n v="7.4999999999999997E-3"/>
    <n v="0"/>
    <m/>
    <n v="0"/>
    <n v="0"/>
  </r>
  <r>
    <s v="Cambodia"/>
    <x v="508"/>
    <d v="2025-06-15T00:00:00"/>
    <x v="1"/>
    <e v="#N/A"/>
    <x v="4"/>
    <s v="CB006/2568"/>
    <s v="Cambodia"/>
    <s v="Cambodia"/>
    <s v="หจก.คิงฟู้ดส์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100"/>
    <n v="100"/>
    <m/>
    <n v="0"/>
    <n v="0"/>
    <n v="0"/>
    <n v="7.4999999999999997E-3"/>
    <n v="0"/>
    <m/>
    <n v="0"/>
    <n v="0"/>
  </r>
  <r>
    <m/>
    <x v="508"/>
    <s v="05-2025"/>
    <x v="1"/>
    <e v="#N/A"/>
    <x v="4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22"/>
    <n v="22"/>
    <m/>
    <n v="0"/>
    <n v="0"/>
    <n v="0"/>
    <n v="7.4999999999999997E-3"/>
    <n v="0"/>
    <m/>
    <n v="0"/>
    <n v="0"/>
  </r>
  <r>
    <m/>
    <x v="508"/>
    <s v="06-2025"/>
    <x v="1"/>
    <e v="#N/A"/>
    <x v="4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4973"/>
    <n v="4973"/>
    <m/>
    <n v="0"/>
    <n v="0"/>
    <n v="0"/>
    <n v="7.4999999999999997E-3"/>
    <n v="0"/>
    <m/>
    <n v="0"/>
    <n v="0"/>
  </r>
  <r>
    <m/>
    <x v="508"/>
    <s v="06-2025"/>
    <x v="1"/>
    <e v="#N/A"/>
    <x v="4"/>
    <s v="ขายภายใน"/>
    <s v="MTFS"/>
    <s v="CPFGS"/>
    <s v="ซีพีเอฟ เทรดดิ้ง"/>
    <s v="E+Wonton NDE"/>
    <x v="1"/>
    <s v="Cooked Wonton ND with egg V-Food"/>
    <s v="082SJ3Q12003P07001"/>
    <s v="226g*12"/>
    <n v="12"/>
    <n v="3"/>
    <n v="8.0000000000000002E-3"/>
    <s v="M"/>
    <s v="STPP"/>
    <s v="Regular"/>
    <n v="400"/>
    <n v="400"/>
    <m/>
    <n v="0"/>
    <n v="0"/>
    <n v="0"/>
    <n v="7.4999999999999997E-3"/>
    <n v="0"/>
    <m/>
    <n v="0"/>
    <n v="0"/>
  </r>
  <r>
    <m/>
    <x v="509"/>
    <d v="2025-06-17T00:00:00"/>
    <x v="1"/>
    <e v="#N/A"/>
    <x v="4"/>
    <s v="DRY2400753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รอเปลี่ยนNEWPACKAGE/ถ้าว,ฝา สีขาว"/>
    <n v="0"/>
    <n v="0"/>
  </r>
  <r>
    <m/>
    <x v="509"/>
    <d v="2025-06-10T00:00:00"/>
    <x v="1"/>
    <e v="#N/A"/>
    <x v="4"/>
    <s v="DRY2500121"/>
    <s v="SG"/>
    <s v="CPFNW"/>
    <s v="CPI SINGAPORE"/>
    <s v="Minced ND+หมาล่า"/>
    <x v="1"/>
    <s v="Cooked Minced  ND No Egg หมาล่า"/>
    <s v="082SR3B24003P00001"/>
    <s v="300g*24"/>
    <n v="24"/>
    <n v="3"/>
    <n v="6.0000000000000001E-3"/>
    <s v="BK"/>
    <s v="Salt"/>
    <s v="หมาล่า"/>
    <n v="420"/>
    <n v="420"/>
    <m/>
    <n v="0"/>
    <n v="0"/>
    <n v="0"/>
    <n v="2.4E-2"/>
    <n v="0"/>
    <m/>
    <n v="0"/>
    <n v="0"/>
  </r>
  <r>
    <m/>
    <x v="509"/>
    <d v="2025-07-24T00:00:00"/>
    <x v="1"/>
    <e v="#N/A"/>
    <x v="4"/>
    <s v="DRY2500189"/>
    <s v="AUS"/>
    <s v="CPFNW"/>
    <s v="CPF Australia Pty Ltd."/>
    <s v="Minced ND+หมาล่า"/>
    <x v="1"/>
    <s v="Cooked Minced  ND No Egg หมาล่า"/>
    <s v="082SR9U08003P03001"/>
    <s v="300g*8"/>
    <n v="8"/>
    <n v="3"/>
    <n v="6.0000000000000001E-3"/>
    <s v="BK"/>
    <s v="Salt"/>
    <s v="หมาล่า"/>
    <n v="300"/>
    <m/>
    <n v="300"/>
    <n v="0"/>
    <n v="0"/>
    <n v="0"/>
    <n v="2.4E-2"/>
    <n v="0"/>
    <m/>
    <n v="0"/>
    <n v="0"/>
  </r>
  <r>
    <m/>
    <x v="509"/>
    <d v="2025-07-24T00:00:00"/>
    <x v="1"/>
    <e v="#N/A"/>
    <x v="4"/>
    <s v="DRY2500190"/>
    <s v="AUS"/>
    <s v="CPFNW"/>
    <s v="CPF Australia Pty Ltd."/>
    <s v="Minced ND+หมาล่า"/>
    <x v="1"/>
    <s v="Cooked Minced  ND No Egg หมาล่า"/>
    <s v="082SR9U08003P03001"/>
    <s v="300g*8"/>
    <n v="8"/>
    <n v="3"/>
    <n v="6.0000000000000001E-3"/>
    <s v="BK"/>
    <s v="Salt"/>
    <s v="หมาล่า"/>
    <n v="150"/>
    <m/>
    <n v="150"/>
    <n v="0"/>
    <n v="0"/>
    <n v="0"/>
    <n v="2.4E-2"/>
    <n v="0"/>
    <m/>
    <n v="0"/>
    <n v="0"/>
  </r>
  <r>
    <m/>
    <x v="509"/>
    <d v="2025-07-24T00:00:00"/>
    <x v="1"/>
    <e v="#N/A"/>
    <x v="4"/>
    <s v="DRY2500191"/>
    <s v="AUS"/>
    <s v="CPFNW"/>
    <s v="CPF Australia Pty Ltd."/>
    <s v="Minced ND+หมาล่า"/>
    <x v="1"/>
    <s v="Cooked Minced  ND No Egg หมาล่า"/>
    <s v="082SR9U08003P03001"/>
    <s v="300g*8"/>
    <n v="8"/>
    <n v="3"/>
    <n v="6.0000000000000001E-3"/>
    <s v="BK"/>
    <s v="Salt"/>
    <s v="หมาล่า"/>
    <n v="150"/>
    <m/>
    <n v="150"/>
    <n v="0"/>
    <n v="0"/>
    <n v="0"/>
    <n v="2.4E-2"/>
    <n v="0"/>
    <m/>
    <n v="0"/>
    <n v="0"/>
  </r>
  <r>
    <m/>
    <x v="509"/>
    <d v="2025-07-24T00:00:00"/>
    <x v="1"/>
    <e v="#N/A"/>
    <x v="4"/>
    <s v="DRY2500192"/>
    <s v="AUS"/>
    <s v="CPFNW"/>
    <s v="CPF Australia Pty Ltd."/>
    <s v="Minced ND+หมาล่า"/>
    <x v="1"/>
    <s v="Cooked Minced  ND No Egg หมาล่า"/>
    <s v="082SR9U08003P03001"/>
    <s v="300g*8"/>
    <n v="8"/>
    <n v="3"/>
    <n v="6.0000000000000001E-3"/>
    <s v="BK"/>
    <s v="Salt"/>
    <s v="หมาล่า"/>
    <n v="150"/>
    <m/>
    <n v="150"/>
    <n v="0"/>
    <n v="0"/>
    <n v="0"/>
    <n v="2.4E-2"/>
    <n v="0"/>
    <m/>
    <n v="0"/>
    <n v="0"/>
  </r>
  <r>
    <m/>
    <x v="509"/>
    <d v="2025-08-21T00:00:00"/>
    <x v="1"/>
    <e v="#N/A"/>
    <x v="4"/>
    <s v="DRY2500214"/>
    <s v="AUS"/>
    <s v="CPFNW"/>
    <s v="CPF Australia Pty Ltd."/>
    <s v="Minced ND+หมาล่า"/>
    <x v="1"/>
    <s v="Cooked Minced  ND No Egg หมาล่า"/>
    <s v="082SR9U08003P03001"/>
    <s v="300g*8"/>
    <n v="8"/>
    <n v="3"/>
    <n v="6.0000000000000001E-3"/>
    <s v="BK"/>
    <s v="Salt"/>
    <s v="หมาล่า"/>
    <n v="707"/>
    <m/>
    <n v="707"/>
    <n v="0"/>
    <n v="0"/>
    <n v="0"/>
    <n v="2.4E-2"/>
    <n v="0"/>
    <s v="67 ถ้วยจาก SG"/>
    <n v="0"/>
    <n v="0"/>
  </r>
  <r>
    <m/>
    <x v="509"/>
    <d v="2025-06-24T00:00:00"/>
    <x v="1"/>
    <e v="#N/A"/>
    <x v="4"/>
    <s v="DRY2500116"/>
    <s v="Malay"/>
    <s v="CPFNW"/>
    <s v="CPM Malaysia"/>
    <s v="E+Wonton+หมาล่า"/>
    <x v="1"/>
    <s v="Cooked Wonton With Egg หมาล่า "/>
    <s v="082S85I24005P03001"/>
    <s v="143g*24"/>
    <n v="24"/>
    <n v="5"/>
    <n v="6.1999999999999998E-3"/>
    <s v="SS"/>
    <s v="STPP"/>
    <s v="หมาล่า"/>
    <n v="2100"/>
    <n v="2100"/>
    <n v="4.166666666666667"/>
    <n v="4.1666666666665151"/>
    <n v="0"/>
    <n v="0"/>
    <n v="1.2999999999999999E-2"/>
    <n v="0"/>
    <m/>
    <n v="0"/>
    <n v="0"/>
  </r>
  <r>
    <m/>
    <x v="510"/>
    <m/>
    <x v="1"/>
    <e v="#N/A"/>
    <x v="4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511"/>
    <s v="06-2025"/>
    <x v="1"/>
    <e v="#N/A"/>
    <x v="4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400"/>
    <n v="400"/>
    <m/>
    <n v="0"/>
    <n v="0"/>
    <n v="0"/>
    <m/>
    <n v="0"/>
    <m/>
    <n v="0"/>
    <n v="0"/>
  </r>
  <r>
    <s v="R"/>
    <x v="511"/>
    <d v="2025-06-09T00:00:00"/>
    <x v="1"/>
    <e v="#N/A"/>
    <x v="4"/>
    <s v="DRY2500060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578"/>
    <n v="495"/>
    <n v="83"/>
    <n v="0"/>
    <n v="0"/>
    <n v="0"/>
    <n v="2"/>
    <n v="0"/>
    <m/>
    <n v="0"/>
    <n v="0"/>
  </r>
  <r>
    <s v="R"/>
    <x v="511"/>
    <d v="2025-06-09T00:00:00"/>
    <x v="1"/>
    <e v="#N/A"/>
    <x v="4"/>
    <s v="DRY2500061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98"/>
    <n v="698"/>
    <m/>
    <n v="0"/>
    <n v="0"/>
    <n v="0"/>
    <n v="6"/>
    <n v="0"/>
    <m/>
    <n v="0"/>
    <n v="0"/>
  </r>
  <r>
    <s v="R"/>
    <x v="512"/>
    <d v="2025-06-09T00:00:00"/>
    <x v="1"/>
    <e v="#N/A"/>
    <x v="4"/>
    <s v="DRY2500060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581"/>
    <n v="469"/>
    <n v="112"/>
    <n v="0"/>
    <n v="0"/>
    <n v="0"/>
    <n v="2"/>
    <n v="0"/>
    <m/>
    <n v="0"/>
    <n v="0"/>
  </r>
  <r>
    <s v="R"/>
    <x v="512"/>
    <d v="2025-06-09T00:00:00"/>
    <x v="1"/>
    <e v="#N/A"/>
    <x v="4"/>
    <s v="DRY2500061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720"/>
    <n v="720"/>
    <m/>
    <n v="0"/>
    <n v="0"/>
    <n v="0"/>
    <n v="6"/>
    <n v="0"/>
    <m/>
    <n v="0"/>
    <n v="0"/>
  </r>
  <r>
    <s v="R"/>
    <x v="513"/>
    <d v="2025-06-09T00:00:00"/>
    <x v="1"/>
    <e v="#N/A"/>
    <x v="4"/>
    <s v="DRY2500060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465"/>
    <n v="465"/>
    <m/>
    <n v="0"/>
    <n v="0"/>
    <n v="0"/>
    <n v="2"/>
    <n v="0"/>
    <m/>
    <n v="0"/>
    <n v="0"/>
  </r>
  <r>
    <s v="R"/>
    <x v="513"/>
    <d v="2025-06-09T00:00:00"/>
    <x v="1"/>
    <e v="#N/A"/>
    <x v="4"/>
    <s v="DRY2500061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38"/>
    <n v="638"/>
    <m/>
    <n v="0"/>
    <n v="0"/>
    <n v="0"/>
    <n v="6"/>
    <n v="0"/>
    <m/>
    <n v="0"/>
    <n v="0"/>
  </r>
  <r>
    <s v="R"/>
    <x v="513"/>
    <d v="2025-06-16T00:00:00"/>
    <x v="1"/>
    <e v="#N/A"/>
    <x v="4"/>
    <s v="DRY2500111"/>
    <s v="SG"/>
    <s v="CPFNW"/>
    <s v="CPI SINGAPORE"/>
    <s v="R-Wonton egg past"/>
    <x v="2"/>
    <s v="Raw Wonton 12 pcs with sesame"/>
    <s v="082I93B20012P02001"/>
    <s v="204g*20in"/>
    <n v="20"/>
    <n v="12"/>
    <n v="6.8100000000000001E-3"/>
    <s v="S"/>
    <s v="STPP"/>
    <s v=" sesame 30g"/>
    <n v="128"/>
    <m/>
    <n v="128"/>
    <n v="0"/>
    <n v="0"/>
    <n v="0"/>
    <n v="2"/>
    <n v="0"/>
    <s v="ห่อแบบดิบ"/>
    <m/>
    <m/>
  </r>
  <r>
    <m/>
    <x v="514"/>
    <s v="06-2025"/>
    <x v="1"/>
    <e v="#N/A"/>
    <x v="4"/>
    <s v="ขายภายใน"/>
    <s v="MTFS"/>
    <s v="CPFGS"/>
    <s v="ซีพีเอฟ เทรดดิ้ง"/>
    <s v="Wonton ND"/>
    <x v="1"/>
    <s v="บะหมี่เกี๊ยวกุ้งซุปสุกี้ CPxMK 227g  MT"/>
    <s v="082SJ3Q12003P0A001"/>
    <s v="227g*12"/>
    <n v="12"/>
    <n v="3"/>
    <n v="8.0000000000000002E-3"/>
    <s v="SS"/>
    <s v="STPP"/>
    <s v="MK"/>
    <n v="3000"/>
    <n v="3000"/>
    <m/>
    <n v="0"/>
    <n v="0"/>
    <n v="0"/>
    <n v="0.05"/>
    <n v="0"/>
    <s v="เปลี่ยนใช้ผักกวางตุ้งแบบแช่แข็ง"/>
    <n v="0"/>
    <n v="0"/>
  </r>
  <r>
    <m/>
    <x v="514"/>
    <s v="06-2025"/>
    <x v="1"/>
    <e v="#N/A"/>
    <x v="4"/>
    <s v="ขายภายใน"/>
    <s v=".7-11"/>
    <s v="CPFGS"/>
    <s v="ซีพีเอฟ เทรดดิ้ง"/>
    <s v="Wonton ND"/>
    <x v="1"/>
    <s v="บะหมี่เกี๊ยวกุ้งซุปสุกี้ CPxMK 227g  7-11"/>
    <s v="082SJ3Q12003P09001"/>
    <s v="227g*12"/>
    <n v="12"/>
    <n v="3"/>
    <n v="8.0000000000000002E-3"/>
    <s v="SS"/>
    <s v="STPP"/>
    <s v="MK"/>
    <n v="9000"/>
    <n v="8886"/>
    <n v="114"/>
    <n v="0"/>
    <n v="0"/>
    <n v="0"/>
    <n v="0.05"/>
    <n v="0"/>
    <s v="เปลี่ยนใช้ผักกวางตุ้งแบบแช่แข็ง"/>
    <n v="0"/>
    <n v="0"/>
  </r>
  <r>
    <m/>
    <x v="515"/>
    <d v="2025-06-10T00:00:00"/>
    <x v="1"/>
    <e v="#N/A"/>
    <x v="4"/>
    <s v="DRY2500186"/>
    <s v="UK"/>
    <s v="CPFNW"/>
    <s v="Westbridge Foods Limited (One UK)"/>
    <s v="Minced ND"/>
    <x v="1"/>
    <s v="Cooked Minced Wonton Noodle No Egg"/>
    <s v="082SRWE24005P00001"/>
    <s v="258g*4c*6in"/>
    <n v="24"/>
    <n v="5"/>
    <n v="6.0000000000000001E-3"/>
    <s v="BK"/>
    <s v="Salt"/>
    <s v="Regular"/>
    <n v="1176"/>
    <n v="1016"/>
    <n v="177.25"/>
    <n v="17.25"/>
    <n v="0"/>
    <n v="0"/>
    <n v="7.4999999999999997E-3"/>
    <n v="0"/>
    <s v="ห่อแบบพับ"/>
    <n v="0"/>
    <n v="0"/>
  </r>
  <r>
    <m/>
    <x v="515"/>
    <d v="2025-06-10T00:00:00"/>
    <x v="1"/>
    <e v="#N/A"/>
    <x v="4"/>
    <s v="DRY2500089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n v="0"/>
    <n v="7.4999999999999997E-3"/>
    <n v="0"/>
    <m/>
    <n v="0"/>
    <n v="0"/>
  </r>
  <r>
    <m/>
    <x v="515"/>
    <d v="2025-06-19T00:00:00"/>
    <x v="1"/>
    <e v="#N/A"/>
    <x v="4"/>
    <s v="DRY2500124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515"/>
    <d v="2025-06-19T00:00:00"/>
    <x v="1"/>
    <e v="#N/A"/>
    <x v="4"/>
    <s v="DRY2500125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114"/>
    <n v="98"/>
    <n v="16"/>
    <n v="0"/>
    <n v="0"/>
    <n v="0"/>
    <n v="7.4999999999999997E-3"/>
    <n v="0"/>
    <m/>
    <n v="0"/>
    <n v="0"/>
  </r>
  <r>
    <m/>
    <x v="515"/>
    <d v="2025-06-23T00:00:00"/>
    <x v="1"/>
    <e v="#N/A"/>
    <x v="4"/>
    <s v="DRY2500117"/>
    <s v="Denmark"/>
    <s v="CPFNW"/>
    <s v="CPF DENMARK"/>
    <s v="Wonton ND+V+TY"/>
    <x v="1"/>
    <s v="Cooked Wonton ND No Egg with Pumpkin _x000a_+ Vegetable  HC  3 pcs tomyam"/>
    <s v="082SJKW08003P00001"/>
    <s v="309g*8"/>
    <n v="8"/>
    <n v="3"/>
    <n v="7.4999999999999997E-3"/>
    <s v="M"/>
    <s v="Salt"/>
    <s v="TYANSSG+CM"/>
    <n v="3500"/>
    <m/>
    <n v="3500"/>
    <n v="0"/>
    <n v="0"/>
    <n v="0"/>
    <n v="3.85E-2"/>
    <n v="0"/>
    <s v="ต้มยำสูตรลดเผ็ดลง 10 %"/>
    <n v="0"/>
    <n v="0"/>
  </r>
  <r>
    <s v="T"/>
    <x v="516"/>
    <d v="2025-06-12T00:00:00"/>
    <x v="1"/>
    <e v="#N/A"/>
    <x v="4"/>
    <s v="DRY2500069"/>
    <s v="New Zealand"/>
    <s v="CPFNW"/>
    <s v="Lim Brothers"/>
    <s v="C-Minced WT in tray no egg"/>
    <x v="1"/>
    <s v="Cooked Minced Wonton in Tray 6 pcs + Sesame Sauce"/>
    <s v="082SKN716006P00001"/>
    <s v="117*2tray*8in"/>
    <n v="16"/>
    <n v="6"/>
    <n v="6.1999999999999998E-3"/>
    <s v="BK"/>
    <s v="Salt"/>
    <s v=" Sesame 15g"/>
    <n v="144"/>
    <m/>
    <n v="144"/>
    <n v="0"/>
    <n v="0"/>
    <n v="0"/>
    <n v="1"/>
    <n v="0"/>
    <s v="cap 3000 tray/hr. อื่น 8,300 ถ้วย"/>
    <n v="0"/>
    <n v="0"/>
  </r>
  <r>
    <s v="T"/>
    <x v="516"/>
    <d v="2025-07-03T00:00:00"/>
    <x v="1"/>
    <e v="#N/A"/>
    <x v="4"/>
    <s v="DRY2500114"/>
    <s v="New Zealand"/>
    <s v="CPFNW"/>
    <s v="Lim Brothers"/>
    <s v="C-Minced WT in tray no egg"/>
    <x v="1"/>
    <s v="Cooked Minced Wonton in Tray 6 pcs + Sesame Sauce"/>
    <s v="082SKN716006P00001"/>
    <s v="117*2tray*8in"/>
    <n v="16"/>
    <n v="6"/>
    <n v="6.1999999999999998E-3"/>
    <s v="BK"/>
    <s v="Salt"/>
    <s v=" Sesame 15g"/>
    <n v="216"/>
    <m/>
    <n v="231.375"/>
    <n v="15.375"/>
    <n v="0"/>
    <n v="0"/>
    <n v="1"/>
    <n v="0"/>
    <s v="cap 3000 tray/hr. อื่น 8,300 ถ้วย"/>
    <n v="0"/>
    <n v="0"/>
  </r>
  <r>
    <m/>
    <x v="516"/>
    <d v="2025-06-14T00:00:00"/>
    <x v="1"/>
    <e v="#N/A"/>
    <x v="4"/>
    <s v="DRY2500188"/>
    <s v="AUS"/>
    <s v="CPFNW"/>
    <s v="CPF Australia Pty Ltd."/>
    <s v="Minced ND+Kee Mao"/>
    <x v="1"/>
    <s v="Cooked Minced Wonton Thai Spicy Noodles (Kee Mao Noodles)"/>
    <s v="082SR9U08003P02001"/>
    <s v="219g*8"/>
    <n v="8"/>
    <n v="3"/>
    <n v="6.1999999999999998E-3"/>
    <s v="BK"/>
    <s v="Salt"/>
    <s v="Kee Mao 50G."/>
    <n v="120"/>
    <m/>
    <n v="120"/>
    <n v="0"/>
    <n v="0"/>
    <n v="0"/>
    <n v="1"/>
    <n v="0"/>
    <m/>
    <n v="0"/>
    <n v="0"/>
  </r>
  <r>
    <m/>
    <x v="516"/>
    <d v="2025-07-24T00:00:00"/>
    <x v="1"/>
    <e v="#N/A"/>
    <x v="4"/>
    <s v="DRY2500190"/>
    <s v="AUS"/>
    <s v="CPFNW"/>
    <s v="CPF Australia Pty Ltd."/>
    <s v="Minced ND+Kee Mao"/>
    <x v="1"/>
    <s v="Cooked Minced Wonton Thai Spicy Noodles (Kee Mao Noodles)"/>
    <s v="082SR9U08003P02001"/>
    <s v="219g*8"/>
    <n v="8"/>
    <n v="3"/>
    <n v="6.1999999999999998E-3"/>
    <s v="BK"/>
    <s v="Salt"/>
    <s v="Kee Mao 50G."/>
    <n v="150"/>
    <m/>
    <n v="150"/>
    <n v="0"/>
    <n v="0"/>
    <n v="0"/>
    <n v="1"/>
    <n v="0"/>
    <m/>
    <n v="0"/>
    <n v="0"/>
  </r>
  <r>
    <m/>
    <x v="516"/>
    <d v="2025-07-24T00:00:00"/>
    <x v="1"/>
    <e v="#N/A"/>
    <x v="4"/>
    <s v="DRY2500191"/>
    <s v="AUS"/>
    <s v="CPFNW"/>
    <s v="CPF Australia Pty Ltd."/>
    <s v="Minced ND+Kee Mao"/>
    <x v="1"/>
    <s v="Cooked Minced Wonton Thai Spicy Noodles (Kee Mao Noodles)"/>
    <s v="082SR9U08003P02001"/>
    <s v="219g*8"/>
    <n v="8"/>
    <n v="3"/>
    <n v="6.1999999999999998E-3"/>
    <s v="BK"/>
    <s v="Salt"/>
    <s v="Kee Mao 50G."/>
    <n v="150"/>
    <m/>
    <n v="150"/>
    <n v="0"/>
    <n v="0"/>
    <n v="0"/>
    <n v="1"/>
    <n v="0"/>
    <m/>
    <n v="0"/>
    <n v="0"/>
  </r>
  <r>
    <m/>
    <x v="516"/>
    <d v="2025-07-24T00:00:00"/>
    <x v="1"/>
    <e v="#N/A"/>
    <x v="4"/>
    <s v="DRY2500192"/>
    <s v="AUS"/>
    <s v="CPFNW"/>
    <s v="CPF Australia Pty Ltd."/>
    <s v="Minced ND+Kee Mao"/>
    <x v="1"/>
    <s v="Cooked Minced Wonton Thai Spicy Noodles (Kee Mao Noodles)"/>
    <s v="082SR9U08003P02001"/>
    <s v="219g*8"/>
    <n v="8"/>
    <n v="3"/>
    <n v="6.1999999999999998E-3"/>
    <s v="BK"/>
    <s v="Salt"/>
    <s v="Kee Mao 50G."/>
    <n v="150"/>
    <m/>
    <n v="150"/>
    <n v="0"/>
    <n v="0"/>
    <n v="0"/>
    <n v="1"/>
    <n v="0"/>
    <m/>
    <n v="0"/>
    <n v="0"/>
  </r>
  <r>
    <m/>
    <x v="516"/>
    <d v="2025-08-21T00:00:00"/>
    <x v="1"/>
    <e v="#N/A"/>
    <x v="4"/>
    <s v="DRY2500214"/>
    <s v="AUS"/>
    <s v="CPFNW"/>
    <s v="CPF Australia Pty Ltd."/>
    <s v="Minced ND+Kee Mao"/>
    <x v="1"/>
    <s v="Cooked Minced Wonton Thai Spicy Noodles (Kee Mao Noodles)"/>
    <s v="082SR9U08003P02001"/>
    <s v="219g*8"/>
    <n v="8"/>
    <n v="3"/>
    <n v="6.1999999999999998E-3"/>
    <s v="BK"/>
    <s v="Salt"/>
    <s v="Kee Mao 50G."/>
    <n v="887"/>
    <m/>
    <n v="942.25"/>
    <n v="55.25"/>
    <n v="0"/>
    <n v="0"/>
    <n v="1"/>
    <n v="0"/>
    <m/>
    <n v="0"/>
    <n v="0"/>
  </r>
  <r>
    <m/>
    <x v="516"/>
    <d v="2025-06-12T00:00:00"/>
    <x v="1"/>
    <e v="#N/A"/>
    <x v="4"/>
    <s v="DRY2500069"/>
    <s v="New Zealand"/>
    <s v="CPFNW"/>
    <s v="Lim Brothers"/>
    <s v="Wonton ND+V"/>
    <x v="1"/>
    <s v="Cooked Wonton ND No Egg with Pumpkin_x000a_+ Yu Choy "/>
    <s v="082SJN708004P00001"/>
    <s v="305g*8"/>
    <n v="8"/>
    <n v="4"/>
    <n v="7.4999999999999997E-3"/>
    <s v="HC"/>
    <s v="Salt"/>
    <s v="Regular"/>
    <n v="570"/>
    <m/>
    <n v="570"/>
    <n v="0"/>
    <n v="0"/>
    <n v="0"/>
    <n v="7.4999999999999997E-3"/>
    <n v="0"/>
    <m/>
    <n v="0"/>
    <n v="0"/>
  </r>
  <r>
    <m/>
    <x v="516"/>
    <d v="2025-06-14T00:00:00"/>
    <x v="1"/>
    <e v="#N/A"/>
    <x v="4"/>
    <s v="DRY2500188"/>
    <s v="AUS"/>
    <s v="CPFNW"/>
    <s v="CPF Australia Pty Ltd."/>
    <s v="Wonton ND+V"/>
    <x v="1"/>
    <s v="Cooked Wonton ND No Egg with Pumpkin_x000a_+ Yu Choy "/>
    <s v="082SJ9U08004P00001"/>
    <s v="305g*8"/>
    <n v="8"/>
    <n v="4"/>
    <n v="7.4999999999999997E-3"/>
    <s v="HC"/>
    <s v="Salt"/>
    <s v="Regular"/>
    <n v="635"/>
    <m/>
    <n v="635"/>
    <n v="0"/>
    <n v="0"/>
    <n v="0"/>
    <n v="7.4999999999999997E-3"/>
    <n v="0"/>
    <m/>
    <n v="0"/>
    <n v="0"/>
  </r>
  <r>
    <m/>
    <x v="516"/>
    <d v="2025-07-24T00:00:00"/>
    <x v="1"/>
    <e v="#N/A"/>
    <x v="4"/>
    <s v="DRY2500189"/>
    <s v="AUS"/>
    <s v="CPFNW"/>
    <s v="CPF Australia Pty Ltd."/>
    <s v="Wonton ND+V"/>
    <x v="1"/>
    <s v="Cooked Wonton ND No Egg with Pumpkin_x000a_+ Yu Choy "/>
    <s v="082SJ9U08004P00001"/>
    <s v="305g*8"/>
    <n v="8"/>
    <n v="4"/>
    <n v="7.4999999999999997E-3"/>
    <s v="HC"/>
    <s v="Salt"/>
    <s v="Regular"/>
    <n v="450"/>
    <m/>
    <n v="450"/>
    <n v="0"/>
    <n v="0"/>
    <n v="0"/>
    <n v="7.4999999999999997E-3"/>
    <n v="0"/>
    <m/>
    <n v="0"/>
    <n v="0"/>
  </r>
  <r>
    <m/>
    <x v="516"/>
    <d v="2025-07-24T00:00:00"/>
    <x v="1"/>
    <e v="#N/A"/>
    <x v="4"/>
    <s v="DRY2500190"/>
    <s v="AUS"/>
    <s v="CPFNW"/>
    <s v="CPF Australia Pty Ltd."/>
    <s v="Wonton ND+V"/>
    <x v="1"/>
    <s v="Cooked Wonton ND No Egg with Pumpkin_x000a_+ Yu Choy "/>
    <s v="082SJ9U08004P00001"/>
    <s v="305g*8"/>
    <n v="8"/>
    <n v="4"/>
    <n v="7.4999999999999997E-3"/>
    <s v="HC"/>
    <s v="Salt"/>
    <s v="Regular"/>
    <n v="389.75"/>
    <m/>
    <n v="389.75"/>
    <n v="0"/>
    <n v="0"/>
    <n v="0"/>
    <n v="7.4999999999999997E-3"/>
    <n v="0"/>
    <m/>
    <n v="0"/>
    <n v="0"/>
  </r>
  <r>
    <m/>
    <x v="516"/>
    <d v="2025-06-12T00:00:00"/>
    <x v="1"/>
    <e v="#N/A"/>
    <x v="4"/>
    <s v="DRY2500069"/>
    <s v="New Zealand"/>
    <s v="CPFNW"/>
    <s v="Lim Brothers"/>
    <s v="Minced ND+V+TK"/>
    <x v="1"/>
    <s v="Cooked Minced  ND No Egg with Pumpkin_x000a_+ Yu Choy Tomkha"/>
    <s v="082SRN708003P01001"/>
    <s v="302g*8"/>
    <n v="8"/>
    <n v="3"/>
    <n v="6.0000000000000001E-3"/>
    <s v="BK"/>
    <s v="Salt"/>
    <s v="Tomkha+CM"/>
    <n v="378"/>
    <m/>
    <n v="378"/>
    <n v="0"/>
    <n v="0"/>
    <n v="0"/>
    <n v="5.8823E-2"/>
    <n v="0"/>
    <m/>
    <n v="0"/>
    <n v="0"/>
  </r>
  <r>
    <m/>
    <x v="516"/>
    <d v="2025-07-03T00:00:00"/>
    <x v="1"/>
    <e v="#N/A"/>
    <x v="4"/>
    <s v="DRY2500114"/>
    <s v="New Zealand"/>
    <s v="CPFNW"/>
    <s v="Lim Brothers"/>
    <s v="Minced ND+V+TK"/>
    <x v="1"/>
    <s v="Cooked Minced  ND No Egg with Pumpkin_x000a_+ Yu Choy Tomkha"/>
    <s v="082SRN708003P01001"/>
    <s v="302g*8"/>
    <n v="8"/>
    <n v="3"/>
    <n v="6.0000000000000001E-3"/>
    <s v="BK"/>
    <s v="Salt"/>
    <s v="Tomkha+CM"/>
    <n v="550"/>
    <m/>
    <n v="550"/>
    <n v="0"/>
    <n v="0"/>
    <n v="0"/>
    <n v="5.8823E-2"/>
    <n v="0"/>
    <m/>
    <n v="0"/>
    <n v="0"/>
  </r>
  <r>
    <m/>
    <x v="516"/>
    <d v="2025-06-14T00:00:00"/>
    <x v="1"/>
    <e v="#N/A"/>
    <x v="4"/>
    <s v="DRY2500188"/>
    <s v="AUS"/>
    <s v="CPFNW"/>
    <s v="CPF Australia Pty Ltd."/>
    <s v="Minced ND+V+TK"/>
    <x v="1"/>
    <s v="Cooked Minced  ND No Egg with Pumpkin_x000a_+ Yu Choy Tomkha"/>
    <s v="082SR9U08003P01001"/>
    <s v="302g*8"/>
    <n v="8"/>
    <n v="3"/>
    <n v="6.0000000000000001E-3"/>
    <s v="BK"/>
    <s v="Salt"/>
    <s v="Tomkha+CM"/>
    <n v="300"/>
    <m/>
    <n v="300"/>
    <n v="0"/>
    <n v="0"/>
    <n v="0"/>
    <n v="5.8823E-2"/>
    <n v="0"/>
    <m/>
    <n v="0"/>
    <n v="0"/>
  </r>
  <r>
    <m/>
    <x v="516"/>
    <d v="2025-07-24T00:00:00"/>
    <x v="1"/>
    <e v="#N/A"/>
    <x v="4"/>
    <s v="DRY2500190"/>
    <s v="AUS"/>
    <s v="CPFNW"/>
    <s v="CPF Australia Pty Ltd."/>
    <s v="Minced ND+V+TK"/>
    <x v="1"/>
    <s v="Cooked Minced  ND No Egg with Pumpkin_x000a_+ Yu Choy Tomkha"/>
    <s v="082SR9U08003P01001"/>
    <s v="302g*8"/>
    <n v="8"/>
    <n v="3"/>
    <n v="6.0000000000000001E-3"/>
    <s v="BK"/>
    <s v="Salt"/>
    <s v="Tomkha+CM"/>
    <n v="200"/>
    <m/>
    <n v="200"/>
    <n v="0"/>
    <n v="0"/>
    <n v="0"/>
    <n v="5.8823E-2"/>
    <n v="0"/>
    <m/>
    <n v="0"/>
    <n v="0"/>
  </r>
  <r>
    <m/>
    <x v="516"/>
    <d v="2025-07-24T00:00:00"/>
    <x v="1"/>
    <e v="#N/A"/>
    <x v="4"/>
    <s v="DRY2500191"/>
    <s v="AUS"/>
    <s v="CPFNW"/>
    <s v="CPF Australia Pty Ltd."/>
    <s v="Minced ND+V+TK"/>
    <x v="1"/>
    <s v="Cooked Minced  ND No Egg with Pumpkin_x000a_+ Yu Choy Tomkha"/>
    <s v="082SR9U08003P01001"/>
    <s v="302g*8"/>
    <n v="8"/>
    <n v="3"/>
    <n v="6.0000000000000001E-3"/>
    <s v="BK"/>
    <s v="Salt"/>
    <s v="Tomkha+CM"/>
    <n v="200"/>
    <m/>
    <n v="200"/>
    <n v="0"/>
    <n v="0"/>
    <n v="0"/>
    <n v="5.8823E-2"/>
    <n v="0"/>
    <m/>
    <n v="0"/>
    <n v="0"/>
  </r>
  <r>
    <m/>
    <x v="516"/>
    <d v="2025-07-24T00:00:00"/>
    <x v="1"/>
    <e v="#N/A"/>
    <x v="4"/>
    <s v="DRY2500192"/>
    <s v="AUS"/>
    <s v="CPFNW"/>
    <s v="CPF Australia Pty Ltd."/>
    <s v="Minced ND+V+TK"/>
    <x v="1"/>
    <s v="Cooked Minced  ND No Egg with Pumpkin_x000a_+ Yu Choy Tomkha"/>
    <s v="082SR9U08003P01001"/>
    <s v="302g*8"/>
    <n v="8"/>
    <n v="3"/>
    <n v="6.0000000000000001E-3"/>
    <s v="BK"/>
    <s v="Salt"/>
    <s v="Tomkha+CM"/>
    <n v="200"/>
    <m/>
    <n v="200"/>
    <n v="0"/>
    <n v="0"/>
    <n v="0"/>
    <n v="5.8823E-2"/>
    <n v="0"/>
    <m/>
    <n v="0"/>
    <n v="0"/>
  </r>
  <r>
    <m/>
    <x v="516"/>
    <d v="2025-08-21T00:00:00"/>
    <x v="1"/>
    <e v="#N/A"/>
    <x v="4"/>
    <s v="DRY2500214"/>
    <s v="AUS"/>
    <s v="CPFNW"/>
    <s v="CPF Australia Pty Ltd."/>
    <s v="Minced ND+V+TK"/>
    <x v="1"/>
    <s v="Cooked Minced  ND No Egg with Pumpkin_x000a_+ Yu Choy Tomkha"/>
    <s v="082SR9U08003P01001"/>
    <s v="302g*8"/>
    <n v="8"/>
    <n v="3"/>
    <n v="6.0000000000000001E-3"/>
    <s v="BK"/>
    <s v="Salt"/>
    <s v="Tomkha+CM"/>
    <n v="556"/>
    <m/>
    <n v="641"/>
    <n v="85"/>
    <n v="0"/>
    <n v="0"/>
    <n v="5.8823E-2"/>
    <n v="0"/>
    <m/>
    <n v="0"/>
    <n v="0"/>
  </r>
  <r>
    <m/>
    <x v="516"/>
    <d v="2025-06-23T00:00:00"/>
    <x v="1"/>
    <e v="#N/A"/>
    <x v="4"/>
    <s v="DRY2500106"/>
    <s v="Germany"/>
    <s v="CPFNW"/>
    <s v=" CPF Distribution (under Paulsen Food)"/>
    <s v="Minced ND+V+TK"/>
    <x v="1"/>
    <s v="Cooked Minced  ND No Egg with Pumpkin_x000a_+ Yu Choy Tomkha"/>
    <s v="082SR3N12003P01001"/>
    <s v="302g*12"/>
    <n v="12"/>
    <n v="3"/>
    <n v="6.0000000000000001E-3"/>
    <s v="BK"/>
    <s v="Salt"/>
    <s v="Tomkha+CM"/>
    <n v="2278"/>
    <m/>
    <n v="2438.25"/>
    <n v="160.25"/>
    <n v="0"/>
    <n v="0"/>
    <n v="5.8823E-2"/>
    <n v="0"/>
    <m/>
    <n v="0"/>
    <n v="0"/>
  </r>
  <r>
    <m/>
    <x v="517"/>
    <m/>
    <x v="1"/>
    <e v="#N/A"/>
    <x v="5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518"/>
    <d v="2025-06-14T00:00:00"/>
    <x v="1"/>
    <e v="#N/A"/>
    <x v="5"/>
    <s v="KL2500015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n v="0"/>
    <n v="0"/>
  </r>
  <r>
    <s v="R"/>
    <x v="518"/>
    <d v="2025-06-16T00:00:00"/>
    <x v="1"/>
    <e v="#N/A"/>
    <x v="5"/>
    <s v="DRY2500111"/>
    <s v="SG"/>
    <s v="CPFNW"/>
    <s v="CPI SINGAPORE"/>
    <s v="R-Wonton egg past"/>
    <x v="2"/>
    <s v="Raw Wonton 12 pcs with sesame"/>
    <s v="082I93B20012P02001"/>
    <s v="204g*20in"/>
    <n v="20"/>
    <n v="12"/>
    <n v="6.8100000000000001E-3"/>
    <s v="S"/>
    <s v="STPP"/>
    <s v=" sesame 30g"/>
    <n v="234"/>
    <m/>
    <n v="234"/>
    <n v="0"/>
    <n v="0"/>
    <n v="0"/>
    <n v="2"/>
    <n v="0"/>
    <s v="ห่อแบบดิบ"/>
    <m/>
    <m/>
  </r>
  <r>
    <m/>
    <x v="519"/>
    <m/>
    <x v="1"/>
    <e v="#N/A"/>
    <x v="5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520"/>
    <d v="2025-06-16T00:00:00"/>
    <x v="1"/>
    <e v="#N/A"/>
    <x v="5"/>
    <s v="KL2500018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781"/>
    <n v="770"/>
    <n v="11"/>
    <n v="0"/>
    <n v="0"/>
    <n v="0"/>
    <n v="6"/>
    <n v="0"/>
    <m/>
    <n v="0"/>
    <n v="0"/>
  </r>
  <r>
    <m/>
    <x v="520"/>
    <d v="2025-06-24T00:00:00"/>
    <x v="1"/>
    <e v="#N/A"/>
    <x v="5"/>
    <s v="DRY2500197"/>
    <s v="Belgium"/>
    <s v="CPFNW"/>
    <s v="CPF EUROPE S.A."/>
    <s v="Wonton +V"/>
    <x v="1"/>
    <s v="Cooked Wonton  No Egg _x000a_+ Vegetable  HC  4 pcs"/>
    <s v="082S83I08004P00001"/>
    <s v="145g*8"/>
    <n v="8"/>
    <n v="4"/>
    <n v="7.4999999999999997E-3"/>
    <s v="HC"/>
    <s v="Salt"/>
    <s v="Regular"/>
    <n v="1200"/>
    <m/>
    <n v="1200"/>
    <n v="0"/>
    <n v="0"/>
    <n v="0"/>
    <n v="7.4999999999999997E-3"/>
    <n v="0"/>
    <m/>
    <n v="0"/>
    <n v="0"/>
  </r>
  <r>
    <m/>
    <x v="520"/>
    <d v="2025-06-19T00:00:00"/>
    <x v="1"/>
    <e v="#N/A"/>
    <x v="5"/>
    <s v="DRY2500125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678"/>
    <n v="509"/>
    <n v="169"/>
    <n v="0"/>
    <n v="0"/>
    <n v="0"/>
    <n v="7.4999999999999997E-3"/>
    <n v="0"/>
    <m/>
    <n v="0"/>
    <n v="0"/>
  </r>
  <r>
    <m/>
    <x v="520"/>
    <d v="2025-07-03T00:00:00"/>
    <x v="1"/>
    <e v="#N/A"/>
    <x v="5"/>
    <s v="DRY2500114"/>
    <s v="New Zealand"/>
    <s v="CPFNW"/>
    <s v="Lim Brothers"/>
    <s v="Wonton ND+V"/>
    <x v="1"/>
    <s v="Cooked Wonton ND No Egg with Pumpkin_x000a_+ Yu Choy "/>
    <s v="082SJN708004P00001"/>
    <s v="305g*8"/>
    <n v="8"/>
    <n v="4"/>
    <n v="7.4999999999999997E-3"/>
    <s v="HC"/>
    <s v="Salt"/>
    <s v="Regular"/>
    <n v="485"/>
    <m/>
    <n v="485"/>
    <n v="0"/>
    <n v="0"/>
    <n v="0"/>
    <n v="7.4999999999999997E-3"/>
    <n v="0"/>
    <m/>
    <n v="0"/>
    <n v="0"/>
  </r>
  <r>
    <m/>
    <x v="520"/>
    <d v="2025-06-24T00:00:00"/>
    <x v="1"/>
    <e v="#N/A"/>
    <x v="5"/>
    <s v="DRY2500197"/>
    <s v="Belgium"/>
    <s v="CPFNW"/>
    <s v="CPF EUROPE S.A."/>
    <s v="Wonton ND+V"/>
    <x v="1"/>
    <s v="Cooked Wonton ND No Egg with Pumpkin _x000a_+ Vegetable  HC  3 pcs"/>
    <s v="082SJ3I08003P00001"/>
    <s v="309g*8"/>
    <n v="8"/>
    <n v="3"/>
    <n v="7.4999999999999997E-3"/>
    <s v="HC"/>
    <s v="Salt"/>
    <s v="Regular"/>
    <n v="720"/>
    <m/>
    <n v="720"/>
    <n v="0"/>
    <n v="0"/>
    <n v="0"/>
    <n v="7.4999999999999997E-3"/>
    <n v="0"/>
    <m/>
    <n v="0"/>
    <n v="0"/>
  </r>
  <r>
    <m/>
    <x v="520"/>
    <d v="2025-06-26T00:00:00"/>
    <x v="1"/>
    <e v="#N/A"/>
    <x v="5"/>
    <s v="DRY2500163"/>
    <s v="Spain"/>
    <s v="CPFNW"/>
    <s v="Mercadona"/>
    <s v="Wonton ND+V"/>
    <x v="1"/>
    <s v="Cooked Wonton ND No Egg with Pumpkin _x000a_+ Vegetable  HC  3 pcs"/>
    <s v="082SJ5T12003P01001"/>
    <s v="309g*12"/>
    <n v="12"/>
    <n v="3"/>
    <n v="7.4999999999999997E-3"/>
    <s v="S"/>
    <s v="Salt"/>
    <s v="Regular"/>
    <n v="2451"/>
    <n v="2451"/>
    <m/>
    <n v="0"/>
    <n v="0"/>
    <n v="0"/>
    <n v="7.4999999999999997E-3"/>
    <n v="0"/>
    <m/>
    <n v="0"/>
    <n v="0"/>
  </r>
  <r>
    <s v="R"/>
    <x v="521"/>
    <d v="2025-06-16T00:00:00"/>
    <x v="1"/>
    <e v="#N/A"/>
    <x v="5"/>
    <s v="KL2500018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627"/>
    <n v="627"/>
    <m/>
    <n v="0"/>
    <n v="0"/>
    <n v="0"/>
    <n v="6"/>
    <n v="0"/>
    <m/>
    <n v="0"/>
    <n v="0"/>
  </r>
  <r>
    <m/>
    <x v="521"/>
    <s v="06-2025"/>
    <x v="1"/>
    <e v="#N/A"/>
    <x v="5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2197"/>
    <n v="2197"/>
    <m/>
    <n v="0"/>
    <n v="0"/>
    <n v="0"/>
    <n v="7.4999999999999997E-3"/>
    <n v="0"/>
    <s v="คาดการณ์ pk เข้า 30/5"/>
    <n v="0"/>
    <n v="0"/>
  </r>
  <r>
    <m/>
    <x v="522"/>
    <s v="06-2025"/>
    <x v="1"/>
    <e v="#N/A"/>
    <x v="5"/>
    <s v="ขายภายใน"/>
    <s v=".7-11"/>
    <s v="CPFGS"/>
    <s v="ซีพีเอฟ เทรดดิ้ง"/>
    <s v="Wonton ND"/>
    <x v="1"/>
    <s v="บะหมี่เกี๊ยวกุ้งซุปสุกี้ CPxMK 227g ND Pumpkin"/>
    <s v="082SJ3Q12003P09001"/>
    <s v="227g*12"/>
    <n v="12"/>
    <n v="3"/>
    <n v="8.0000000000000002E-3"/>
    <s v="SS"/>
    <s v="STPP"/>
    <s v="MK"/>
    <n v="12000"/>
    <n v="11836"/>
    <n v="164"/>
    <n v="0"/>
    <n v="0"/>
    <n v="0"/>
    <n v="0.05"/>
    <n v="0"/>
    <m/>
    <n v="0"/>
    <n v="0"/>
  </r>
  <r>
    <m/>
    <x v="523"/>
    <s v="06-2025"/>
    <x v="1"/>
    <e v="#N/A"/>
    <x v="5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6669"/>
    <n v="6669"/>
    <m/>
    <n v="0"/>
    <n v="0"/>
    <n v="0"/>
    <n v="7.4999999999999997E-3"/>
    <n v="0"/>
    <m/>
    <n v="0"/>
    <n v="0"/>
  </r>
  <r>
    <m/>
    <x v="524"/>
    <m/>
    <x v="1"/>
    <e v="#N/A"/>
    <x v="5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525"/>
    <d v="2025-06-16T00:00:00"/>
    <x v="1"/>
    <e v="#N/A"/>
    <x v="5"/>
    <s v="DRY2500111"/>
    <s v="SG"/>
    <s v="CPFNW"/>
    <s v="CPI SINGAPORE"/>
    <s v="R-Wonton egg past"/>
    <x v="2"/>
    <s v="Raw Wonton 12 pcs with sesame"/>
    <s v="082I93B20012P02001"/>
    <s v="204g*20in"/>
    <n v="20"/>
    <n v="12"/>
    <n v="6.8100000000000001E-3"/>
    <s v="S"/>
    <s v="STPP"/>
    <s v=" sesame 30g"/>
    <n v="838"/>
    <n v="837"/>
    <n v="10"/>
    <n v="9"/>
    <n v="0"/>
    <n v="0"/>
    <n v="2"/>
    <n v="0"/>
    <s v="ห่อแบบดิบ"/>
    <m/>
    <m/>
  </r>
  <r>
    <m/>
    <x v="525"/>
    <d v="2025-06-26T00:00:00"/>
    <x v="1"/>
    <e v="#N/A"/>
    <x v="5"/>
    <s v="DRY2500126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525"/>
    <d v="2025-06-26T00:00:00"/>
    <x v="1"/>
    <e v="#N/A"/>
    <x v="5"/>
    <s v="DRY2500127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525"/>
    <d v="2025-06-26T00:00:00"/>
    <x v="1"/>
    <e v="#N/A"/>
    <x v="5"/>
    <s v="DRY2500128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s v="R"/>
    <x v="526"/>
    <d v="2025-06-24T00:00:00"/>
    <x v="1"/>
    <e v="#N/A"/>
    <x v="5"/>
    <s v="KL2500022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737"/>
    <n v="737"/>
    <m/>
    <n v="0"/>
    <n v="0"/>
    <n v="0"/>
    <n v="6"/>
    <n v="0"/>
    <m/>
    <n v="0"/>
    <n v="0"/>
  </r>
  <r>
    <m/>
    <x v="526"/>
    <s v="06-2025"/>
    <x v="1"/>
    <e v="#N/A"/>
    <x v="5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997"/>
    <n v="1997"/>
    <m/>
    <n v="0"/>
    <n v="0"/>
    <n v="0"/>
    <n v="7.4999999999999997E-3"/>
    <n v="0"/>
    <s v="คาดการณ์ pk เข้า 30/5"/>
    <n v="0"/>
    <n v="0"/>
  </r>
  <r>
    <m/>
    <x v="526"/>
    <d v="2025-06-23T00:00:00"/>
    <x v="1"/>
    <e v="#N/A"/>
    <x v="5"/>
    <s v="DRY2500118"/>
    <s v="Denmark"/>
    <s v="CPFNW"/>
    <s v="CPF DENMARK"/>
    <s v="Minced ND+V+TK"/>
    <x v="1"/>
    <s v="Cooked Minced  ND No Egg with Pumpkin_x000a_+ Yu Choy Tomyum"/>
    <s v="082SJKW08003P01001"/>
    <s v="302g*8"/>
    <n v="8"/>
    <n v="3"/>
    <n v="6.0000000000000001E-3"/>
    <s v="BK"/>
    <s v="Salt"/>
    <s v="Tomkha+CM"/>
    <n v="3500"/>
    <m/>
    <n v="3500"/>
    <n v="0"/>
    <n v="0"/>
    <n v="0"/>
    <n v="5.8823E-2"/>
    <n v="0"/>
    <m/>
    <n v="0"/>
    <n v="0"/>
  </r>
  <r>
    <s v="R"/>
    <x v="527"/>
    <d v="2025-06-24T00:00:00"/>
    <x v="1"/>
    <e v="#N/A"/>
    <x v="5"/>
    <s v="KL2500022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671"/>
    <n v="671"/>
    <m/>
    <n v="0"/>
    <n v="0"/>
    <n v="0"/>
    <n v="6"/>
    <n v="0"/>
    <m/>
    <n v="0"/>
    <n v="0"/>
  </r>
  <r>
    <m/>
    <x v="527"/>
    <d v="2025-06-24T00:00:00"/>
    <x v="1"/>
    <e v="#N/A"/>
    <x v="5"/>
    <s v="DRY2500206"/>
    <s v="UK"/>
    <s v="CPFNW"/>
    <s v="Westbridge Foods Limited (One UK)"/>
    <s v="Wonton+TY"/>
    <x v="1"/>
    <s v="Cooked Wonton Soup Tomyum"/>
    <s v="082S8KW08005P00001"/>
    <s v="147g*8"/>
    <n v="8"/>
    <n v="5"/>
    <n v="7.4999999999999997E-3"/>
    <s v="M"/>
    <s v="Salt"/>
    <s v="TYEXSG+CO"/>
    <n v="2574"/>
    <n v="517"/>
    <n v="2070.125"/>
    <n v="13.125"/>
    <n v="0"/>
    <n v="0"/>
    <n v="7.4999999999999997E-3"/>
    <n v="0"/>
    <s v="NEWPACKAGE/ถ้าว,ฝา สีขาว  เอาstock ไตหวัน= 72ถ้วย กับเกาหลี=181 ถ้วย จีน 1285 ถ้วย มารีแพ็คด้วย"/>
    <n v="0"/>
    <n v="0"/>
  </r>
  <r>
    <m/>
    <x v="527"/>
    <d v="2025-06-26T00:00:00"/>
    <x v="1"/>
    <e v="#N/A"/>
    <x v="5"/>
    <s v="DRY2500130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SG+CO"/>
    <n v="924"/>
    <n v="924"/>
    <m/>
    <n v="0"/>
    <n v="0"/>
    <n v="0"/>
    <n v="3.8699999999999998E-2"/>
    <n v="0"/>
    <m/>
    <n v="0"/>
    <n v="0"/>
  </r>
  <r>
    <m/>
    <x v="527"/>
    <d v="2025-06-23T00:00:00"/>
    <x v="1"/>
    <e v="#N/A"/>
    <x v="5"/>
    <s v="DRY2500105"/>
    <s v="Germany"/>
    <s v="CPFNW"/>
    <s v=" CPF Distribution (under Paulsen Food)"/>
    <s v="Minced ND+V+TY"/>
    <x v="1"/>
    <s v="Cooked Minced  ND No Egg with Pumpkin_x000a_+ Yu Choy Tomyum"/>
    <s v="082SR3N12003P00001"/>
    <s v="302g*12"/>
    <n v="12"/>
    <n v="3"/>
    <n v="6.0000000000000001E-3"/>
    <s v="BK"/>
    <s v="Salt"/>
    <s v="TYEXSG+CO"/>
    <n v="2278"/>
    <m/>
    <n v="2278"/>
    <n v="0"/>
    <n v="0"/>
    <n v="0"/>
    <n v="3.8699999999999998E-2"/>
    <n v="0"/>
    <m/>
    <n v="0"/>
    <n v="0"/>
  </r>
  <r>
    <m/>
    <x v="527"/>
    <d v="2025-07-24T00:00:00"/>
    <x v="1"/>
    <e v="#N/A"/>
    <x v="5"/>
    <s v="DRY2500210"/>
    <s v="New Zealand"/>
    <s v="CPFNW"/>
    <s v="Lim Brothers"/>
    <s v="Minced ND+V+TY"/>
    <x v="1"/>
    <s v="Cooked Minced  ND No Egg with Pumpkin_x000a_+ Yu Choy Tomyum"/>
    <s v="082SRN708003P00001"/>
    <s v="302g*8"/>
    <n v="8"/>
    <n v="3"/>
    <n v="6.0000000000000001E-3"/>
    <s v="BK"/>
    <s v="Salt"/>
    <s v="TYEXSG+CO"/>
    <n v="190"/>
    <m/>
    <n v="398.5"/>
    <n v="208.5"/>
    <n v="0"/>
    <n v="0"/>
    <n v="3.8699999999999998E-2"/>
    <n v="0"/>
    <s v="2673 ถ้วย เอา Germany มา"/>
    <n v="0"/>
    <n v="0"/>
  </r>
  <r>
    <s v="R"/>
    <x v="528"/>
    <d v="2025-06-27T00:00:00"/>
    <x v="1"/>
    <e v="#N/A"/>
    <x v="5"/>
    <s v="KL2500020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760"/>
    <n v="760"/>
    <m/>
    <n v="0"/>
    <n v="0"/>
    <n v="0"/>
    <n v="6"/>
    <n v="0"/>
    <m/>
    <n v="0"/>
    <n v="0"/>
  </r>
  <r>
    <m/>
    <x v="528"/>
    <d v="2025-06-26T00:00:00"/>
    <x v="1"/>
    <e v="#N/A"/>
    <x v="5"/>
    <s v="DRY2500163"/>
    <s v="Spain"/>
    <s v="CPFNW"/>
    <s v="Mercadona"/>
    <s v="Wonton ND+V"/>
    <x v="1"/>
    <s v="Cooked Wonton ND No Egg with Pumpkin _x000a_+ Vegetable  HC  3 pcs"/>
    <s v="082SJ5T12003P01001"/>
    <s v="309g*12"/>
    <n v="12"/>
    <n v="3"/>
    <n v="7.4999999999999997E-3"/>
    <s v="S"/>
    <s v="Salt"/>
    <s v="Regular"/>
    <n v="69"/>
    <n v="69"/>
    <m/>
    <n v="0"/>
    <n v="0"/>
    <n v="0"/>
    <n v="7.4999999999999997E-3"/>
    <n v="0"/>
    <m/>
    <n v="0"/>
    <n v="0"/>
  </r>
  <r>
    <m/>
    <x v="528"/>
    <d v="2025-07-03T00:00:00"/>
    <x v="1"/>
    <e v="#N/A"/>
    <x v="5"/>
    <s v="DRY2500183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528"/>
    <d v="2025-06-24T00:00:00"/>
    <x v="1"/>
    <e v="#N/A"/>
    <x v="5"/>
    <s v="DRY2500004"/>
    <s v="UK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SG+CO"/>
    <n v="924"/>
    <n v="924"/>
    <m/>
    <n v="0"/>
    <n v="0"/>
    <n v="0"/>
    <n v="3.8699999999999998E-2"/>
    <n v="0"/>
    <m/>
    <n v="0"/>
    <n v="0"/>
  </r>
  <r>
    <m/>
    <x v="528"/>
    <d v="2025-06-24T00:00:00"/>
    <x v="1"/>
    <e v="#N/A"/>
    <x v="5"/>
    <s v="DRY2500005"/>
    <s v="UK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SG+CO"/>
    <n v="924"/>
    <n v="924"/>
    <n v="6.541666666666667"/>
    <n v="6.5416666666666288"/>
    <n v="0"/>
    <n v="0"/>
    <n v="3.8699999999999998E-2"/>
    <n v="0"/>
    <m/>
    <n v="0"/>
    <n v="0"/>
  </r>
  <r>
    <s v="R"/>
    <x v="529"/>
    <d v="2025-06-27T00:00:00"/>
    <x v="1"/>
    <e v="#N/A"/>
    <x v="5"/>
    <s v="KL2500020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648"/>
    <n v="648"/>
    <m/>
    <n v="0"/>
    <n v="0"/>
    <n v="0"/>
    <n v="6"/>
    <n v="0"/>
    <m/>
    <n v="0"/>
    <n v="0"/>
  </r>
  <r>
    <m/>
    <x v="529"/>
    <d v="2025-06-23T00:00:00"/>
    <x v="1"/>
    <e v="#N/A"/>
    <x v="5"/>
    <s v="DRY2500133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529"/>
    <d v="2025-06-23T00:00:00"/>
    <x v="1"/>
    <e v="#N/A"/>
    <x v="5"/>
    <s v="DRY2500134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529"/>
    <d v="2025-06-23T00:00:00"/>
    <x v="1"/>
    <e v="#N/A"/>
    <x v="5"/>
    <s v="DRY2500135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562"/>
    <n v="562"/>
    <m/>
    <n v="0"/>
    <n v="0"/>
    <n v="0"/>
    <n v="9.7000000000000003E-3"/>
    <n v="0"/>
    <m/>
    <n v="0"/>
    <n v="0"/>
  </r>
  <r>
    <s v="R"/>
    <x v="530"/>
    <d v="2025-06-24T00:00:00"/>
    <x v="1"/>
    <e v="#N/A"/>
    <x v="5"/>
    <s v="DRY2500197"/>
    <s v="Belgium"/>
    <s v="CPFNW"/>
    <s v="CPF EUROPE S.A."/>
    <s v="R-Wonton no egg"/>
    <x v="2"/>
    <s v="Raw Wonton 50 pcs"/>
    <s v="082I93I10050P02001"/>
    <s v="630g*10inner"/>
    <n v="10"/>
    <n v="50"/>
    <n v="8.1300000000000001E-3"/>
    <s v="M"/>
    <s v="Salt"/>
    <s v="ซุปซอง 5g."/>
    <n v="500"/>
    <n v="500"/>
    <m/>
    <n v="0"/>
    <n v="0"/>
    <n v="0"/>
    <n v="6"/>
    <n v="0"/>
    <m/>
    <n v="0"/>
    <n v="0"/>
  </r>
  <r>
    <s v="R"/>
    <x v="530"/>
    <d v="2025-07-08T00:00:00"/>
    <x v="1"/>
    <e v="#N/A"/>
    <x v="5"/>
    <s v="DRY2500193"/>
    <s v="Malay"/>
    <s v="CPFNW"/>
    <s v="CPM Malaysia"/>
    <s v="R-Wonton egg past"/>
    <x v="2"/>
    <s v="Raw Wonton 12 pcs"/>
    <s v="082I95I20012P02001"/>
    <s v="154g*20inner"/>
    <n v="20"/>
    <n v="12"/>
    <n v="6.8100000000000001E-3"/>
    <s v="S"/>
    <s v="STPP"/>
    <s v="ซุปซอง 5g."/>
    <n v="350"/>
    <n v="68"/>
    <n v="289"/>
    <n v="7"/>
    <n v="0"/>
    <n v="0"/>
    <n v="2"/>
    <n v="0"/>
    <m/>
    <n v="0"/>
    <n v="0"/>
  </r>
  <r>
    <m/>
    <x v="530"/>
    <s v="06-2025"/>
    <x v="1"/>
    <e v="#N/A"/>
    <x v="5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868"/>
    <n v="868"/>
    <m/>
    <n v="0"/>
    <n v="0"/>
    <n v="0"/>
    <n v="7.4999999999999997E-3"/>
    <n v="0"/>
    <s v="คาดการณ์ pk เข้า 30/5"/>
    <n v="0"/>
    <n v="0"/>
  </r>
  <r>
    <m/>
    <x v="530"/>
    <s v="06-2025"/>
    <x v="1"/>
    <e v="#N/A"/>
    <x v="5"/>
    <s v="ขายภายใน"/>
    <s v=".7-11"/>
    <s v="CPFGS"/>
    <s v="ซีพีเอฟ เทรดดิ้ง"/>
    <s v="Wonton ND"/>
    <x v="1"/>
    <s v="บะหมี่เกี๊ยวกุ้งซุปสุกี้ CPxMK 227g ND Pumpkin"/>
    <s v="082SJ3Q12003P09001"/>
    <s v="227g*12"/>
    <n v="12"/>
    <n v="3"/>
    <n v="8.0000000000000002E-3"/>
    <s v="SS"/>
    <s v="STPP"/>
    <s v="MK"/>
    <n v="3000"/>
    <n v="3000"/>
    <m/>
    <n v="0"/>
    <n v="0"/>
    <n v="0"/>
    <n v="0.05"/>
    <n v="0"/>
    <m/>
    <n v="0"/>
    <n v="0"/>
  </r>
  <r>
    <m/>
    <x v="530"/>
    <s v="07-2025"/>
    <x v="1"/>
    <e v="#N/A"/>
    <x v="5"/>
    <s v="ขายภายใน"/>
    <s v=".7-11"/>
    <s v="CPFGS"/>
    <s v="ซีพีเอฟ เทรดดิ้ง"/>
    <s v="Wonton ND"/>
    <x v="1"/>
    <s v="บะหมี่เกี๊ยวกุ้งซุปสุกี้ CPxMK 227g ND Pumpkin"/>
    <s v="082SJ3Q12003P09001"/>
    <s v="227g*12"/>
    <n v="12"/>
    <n v="3"/>
    <n v="8.0000000000000002E-3"/>
    <s v="SS"/>
    <s v="STPP"/>
    <s v="MK"/>
    <n v="1621"/>
    <n v="1621"/>
    <m/>
    <n v="0"/>
    <n v="0"/>
    <n v="0"/>
    <n v="0.05"/>
    <n v="0"/>
    <m/>
    <n v="0"/>
    <n v="0"/>
  </r>
  <r>
    <m/>
    <x v="531"/>
    <m/>
    <x v="1"/>
    <e v="#N/A"/>
    <x v="5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532"/>
    <d v="2025-06-30T00:00:00"/>
    <x v="1"/>
    <e v="#N/A"/>
    <x v="5"/>
    <s v="KL2500021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828"/>
    <n v="828"/>
    <m/>
    <n v="0"/>
    <n v="0"/>
    <n v="0"/>
    <n v="6"/>
    <n v="0"/>
    <m/>
    <n v="0"/>
    <n v="0"/>
  </r>
  <r>
    <m/>
    <x v="532"/>
    <d v="2025-06-24T00:00:00"/>
    <x v="1"/>
    <e v="#N/A"/>
    <x v="5"/>
    <s v="DRY2500206"/>
    <s v="UK"/>
    <s v="CPFNW"/>
    <s v="Westbridge Foods Limited (One UK)"/>
    <s v="Minced ND+Kee Mao"/>
    <x v="1"/>
    <s v="Cooked Minced Wonton Thai Spicy Noodles (Drunken Noodles)"/>
    <s v="082SRKW06003P00001"/>
    <s v="300g*6"/>
    <n v="6"/>
    <n v="3"/>
    <n v="6.1999999999999998E-3"/>
    <s v="BK"/>
    <s v="Salt"/>
    <s v="Kee Mao"/>
    <n v="4000"/>
    <n v="4000"/>
    <m/>
    <n v="0"/>
    <n v="0"/>
    <n v="0"/>
    <n v="6.5000000000000002E-2"/>
    <n v="0"/>
    <s v="NEWPACKAGE"/>
    <n v="0"/>
    <n v="0"/>
  </r>
  <r>
    <m/>
    <x v="532"/>
    <d v="2025-07-24T00:00:00"/>
    <x v="1"/>
    <e v="#N/A"/>
    <x v="5"/>
    <s v="DRY2500210"/>
    <s v="New Zealand"/>
    <s v="CPFNW"/>
    <s v="Lim Brothers"/>
    <s v="Minced ND+Kee Mao"/>
    <x v="1"/>
    <s v="Cooked Minced Wonton Thai Spicy Noodles (Kee Mao Noodles)"/>
    <s v="082SRN708003P02001"/>
    <s v="219g*8"/>
    <n v="8"/>
    <n v="3"/>
    <n v="6.0000000000000001E-3"/>
    <s v="BK"/>
    <s v="Salt"/>
    <s v="Kee Mao 50G."/>
    <n v="375"/>
    <m/>
    <n v="375"/>
    <n v="0"/>
    <n v="0"/>
    <n v="0"/>
    <n v="1"/>
    <n v="0"/>
    <s v="NEWPACKAGE"/>
    <n v="0"/>
    <n v="0"/>
  </r>
  <r>
    <s v="R"/>
    <x v="533"/>
    <d v="2025-06-30T00:00:00"/>
    <x v="1"/>
    <e v="#N/A"/>
    <x v="5"/>
    <s v="KL2500021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580"/>
    <n v="580"/>
    <m/>
    <n v="0"/>
    <n v="0"/>
    <n v="0"/>
    <n v="6"/>
    <n v="0"/>
    <m/>
    <n v="0"/>
    <n v="0"/>
  </r>
  <r>
    <m/>
    <x v="533"/>
    <d v="2025-06-23T00:00:00"/>
    <x v="1"/>
    <e v="#N/A"/>
    <x v="5"/>
    <s v="DRY2500135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230"/>
    <n v="230"/>
    <m/>
    <n v="0"/>
    <n v="0"/>
    <n v="0"/>
    <n v="9.7000000000000003E-3"/>
    <n v="0"/>
    <m/>
    <n v="0"/>
    <n v="0"/>
  </r>
  <r>
    <m/>
    <x v="533"/>
    <d v="2025-06-23T00:00:00"/>
    <x v="1"/>
    <e v="#N/A"/>
    <x v="5"/>
    <s v="DRY2500153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533"/>
    <d v="2025-06-23T00:00:00"/>
    <x v="1"/>
    <e v="#N/A"/>
    <x v="5"/>
    <s v="DRY2500154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533"/>
    <d v="2025-06-30T00:00:00"/>
    <x v="1"/>
    <e v="#N/A"/>
    <x v="5"/>
    <s v="DRY2500136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24"/>
    <n v="24"/>
    <m/>
    <n v="0"/>
    <n v="0"/>
    <n v="0"/>
    <n v="9.7000000000000003E-3"/>
    <n v="0"/>
    <m/>
    <n v="0"/>
    <n v="0"/>
  </r>
  <r>
    <m/>
    <x v="533"/>
    <d v="2025-07-01T00:00:00"/>
    <x v="1"/>
    <e v="#N/A"/>
    <x v="5"/>
    <s v="DRY2500119"/>
    <s v="Denmark"/>
    <s v="CPFNW"/>
    <s v="CPF DENMARK"/>
    <s v="Wonton ND+V+TY"/>
    <x v="1"/>
    <s v="Cooked Wonton ND No Egg with Pumpkin _x000a_+ Vegetable  HC  3 pcs tomyam"/>
    <s v="082SJKW08003P00001"/>
    <s v="309g*8"/>
    <n v="8"/>
    <n v="3"/>
    <n v="7.4999999999999997E-3"/>
    <s v="M"/>
    <s v="Salt"/>
    <s v="TYANSSG+CM"/>
    <n v="3500"/>
    <m/>
    <n v="3500"/>
    <n v="0"/>
    <n v="0"/>
    <n v="0"/>
    <n v="3.85E-2"/>
    <n v="0"/>
    <s v="ต้มยำสูตรลดเผ็ดลง 10 %"/>
    <n v="0"/>
    <n v="0"/>
  </r>
  <r>
    <m/>
    <x v="534"/>
    <s v="06-2025"/>
    <x v="1"/>
    <e v="#N/A"/>
    <x v="5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769"/>
    <n v="769"/>
    <m/>
    <n v="0"/>
    <n v="0"/>
    <n v="0"/>
    <n v="7.4999999999999997E-3"/>
    <n v="0"/>
    <s v="คาดการณ์ pk เข้า 30/5"/>
    <n v="0"/>
    <n v="0"/>
  </r>
  <r>
    <m/>
    <x v="534"/>
    <s v="07-2025"/>
    <x v="1"/>
    <e v="#N/A"/>
    <x v="5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2211"/>
    <n v="2211"/>
    <m/>
    <n v="0"/>
    <n v="0"/>
    <n v="0"/>
    <n v="7.4999999999999997E-3"/>
    <n v="0"/>
    <m/>
    <n v="0"/>
    <n v="0"/>
  </r>
  <r>
    <m/>
    <x v="534"/>
    <s v="07-2025"/>
    <x v="1"/>
    <e v="#N/A"/>
    <x v="5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450"/>
    <n v="450"/>
    <m/>
    <n v="0"/>
    <n v="0"/>
    <n v="0"/>
    <n v="7.4999999999999997E-3"/>
    <n v="0"/>
    <m/>
    <n v="0"/>
    <n v="0"/>
  </r>
  <r>
    <s v="ชมรมกอล์ฟ ซีพี"/>
    <x v="534"/>
    <s v="07-2025"/>
    <x v="1"/>
    <e v="#N/A"/>
    <x v="5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0"/>
    <s v="145g*12"/>
    <n v="12"/>
    <n v="5"/>
    <n v="8.0000000000000002E-3"/>
    <s v="M"/>
    <s v="STPP"/>
    <s v="Regular"/>
    <n v="12"/>
    <n v="12"/>
    <m/>
    <n v="0"/>
    <n v="0"/>
    <n v="0"/>
    <n v="7.4999999999999997E-3"/>
    <n v="0"/>
    <m/>
    <n v="0"/>
    <n v="0"/>
  </r>
  <r>
    <m/>
    <x v="534"/>
    <s v="07-2025"/>
    <x v="1"/>
    <e v="#N/A"/>
    <x v="5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1"/>
    <s v="145g*12"/>
    <n v="12"/>
    <n v="5"/>
    <n v="8.0000000000000002E-3"/>
    <s v="M"/>
    <s v="STPP"/>
    <s v="Regular"/>
    <n v="2000"/>
    <n v="2000"/>
    <m/>
    <n v="0"/>
    <n v="0"/>
    <n v="0"/>
    <n v="7.4999999999999997E-3"/>
    <n v="0"/>
    <m/>
    <n v="0"/>
    <n v="0"/>
  </r>
  <r>
    <m/>
    <x v="534"/>
    <s v="06-2025"/>
    <x v="1"/>
    <e v="#N/A"/>
    <x v="5"/>
    <s v="ขายภายใน"/>
    <s v="MTFS"/>
    <s v="CPFGS"/>
    <s v="ซีพีเอฟ เทรดดิ้ง"/>
    <s v="E+Wonton TY"/>
    <x v="1"/>
    <s v="เกี๊ยวกุ้งรสต้มยำ ตราซีพี 12x115 กรัม"/>
    <s v="082S83Q12005P04001"/>
    <s v="115g*12"/>
    <n v="12"/>
    <n v="5"/>
    <n v="8.0000000000000002E-3"/>
    <s v="M"/>
    <s v="STPP"/>
    <s v="TYTB3C 30G"/>
    <n v="700"/>
    <n v="700"/>
    <m/>
    <n v="0"/>
    <n v="0"/>
    <n v="0"/>
    <n v="1"/>
    <n v="0"/>
    <m/>
    <n v="0"/>
    <n v="0"/>
  </r>
  <r>
    <m/>
    <x v="534"/>
    <s v="07-2025"/>
    <x v="1"/>
    <e v="#N/A"/>
    <x v="5"/>
    <s v="ขายภายใน"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790"/>
    <n v="790"/>
    <m/>
    <n v="0"/>
    <n v="0"/>
    <n v="0"/>
    <n v="1"/>
    <n v="0"/>
    <m/>
    <n v="0"/>
    <n v="0"/>
  </r>
  <r>
    <m/>
    <x v="534"/>
    <s v="06-2025"/>
    <x v="1"/>
    <e v="#N/A"/>
    <x v="5"/>
    <s v="ขายภายใน"/>
    <s v="MTFS"/>
    <s v="CPFGS"/>
    <s v="ซีพีเอฟ เทรดดิ้ง"/>
    <s v="E+Wonton NDE"/>
    <x v="1"/>
    <s v="บะหมี่เกี๊ยวกุ้ง ตราซีพี 12X226 กรัม"/>
    <s v="082SJ3Q12003P07001"/>
    <s v="226g*12"/>
    <n v="12"/>
    <n v="3"/>
    <n v="8.0000000000000002E-3"/>
    <s v="M"/>
    <s v="STPP"/>
    <s v="Regular"/>
    <n v="500"/>
    <n v="500"/>
    <m/>
    <n v="0"/>
    <n v="0"/>
    <n v="0"/>
    <n v="7.4999999999999997E-3"/>
    <n v="0"/>
    <m/>
    <n v="0"/>
    <n v="0"/>
  </r>
  <r>
    <m/>
    <x v="534"/>
    <s v="07-2025"/>
    <x v="1"/>
    <e v="#N/A"/>
    <x v="5"/>
    <s v="ขายภายใน"/>
    <s v="MTFS"/>
    <s v="CPFGS"/>
    <s v="ซีพีเอฟ เทรดดิ้ง"/>
    <s v="E+Wonton NDE"/>
    <x v="1"/>
    <s v="บะหมี่เกี๊ยวกุ้ง ตราซีพี 12X226 กรัม"/>
    <s v="082SJ3Q12003P07001"/>
    <s v="226g*12"/>
    <n v="12"/>
    <n v="3"/>
    <n v="8.0000000000000002E-3"/>
    <s v="M"/>
    <s v="STPP"/>
    <s v="Regular"/>
    <n v="1200"/>
    <n v="1200"/>
    <m/>
    <n v="0"/>
    <n v="0"/>
    <n v="0"/>
    <n v="7.4999999999999997E-3"/>
    <n v="0"/>
    <m/>
    <n v="0"/>
    <n v="0"/>
  </r>
  <r>
    <m/>
    <x v="535"/>
    <s v="07-2025"/>
    <x v="1"/>
    <e v="#N/A"/>
    <x v="5"/>
    <s v="ขายภายใน"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1910"/>
    <n v="750"/>
    <n v="1160"/>
    <n v="0"/>
    <n v="0"/>
    <n v="0"/>
    <n v="1"/>
    <n v="0"/>
    <m/>
    <n v="0"/>
    <n v="0"/>
  </r>
  <r>
    <m/>
    <x v="535"/>
    <s v="06-2025"/>
    <x v="1"/>
    <e v="#N/A"/>
    <x v="5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2527"/>
    <n v="2527"/>
    <m/>
    <n v="0"/>
    <n v="0"/>
    <n v="0"/>
    <n v="7.4999999999999997E-3"/>
    <n v="0"/>
    <m/>
    <n v="0"/>
    <n v="0"/>
  </r>
  <r>
    <m/>
    <x v="535"/>
    <s v="07-2025"/>
    <x v="1"/>
    <e v="#N/A"/>
    <x v="5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1696"/>
    <n v="1696"/>
    <m/>
    <n v="0"/>
    <n v="0"/>
    <n v="0"/>
    <n v="7.4999999999999997E-3"/>
    <n v="0"/>
    <m/>
    <n v="0"/>
    <n v="0"/>
  </r>
  <r>
    <m/>
    <x v="536"/>
    <s v="06-2025"/>
    <x v="1"/>
    <e v="#N/A"/>
    <x v="5"/>
    <s v="ขายภายใน"/>
    <s v=".7-11"/>
    <s v="CPFGS"/>
    <s v="ซีพีเอฟ เทรดดิ้ง"/>
    <s v="E+Wonton+หมาล่า"/>
    <x v="1"/>
    <s v="เกี๊ยวกุ้งจักรพรรดิซุปหมาล่า CP 143g 7E_LV"/>
    <s v="082S81A24005P0D001"/>
    <s v="143g*24"/>
    <n v="24"/>
    <n v="5"/>
    <n v="6.1999999999999998E-3"/>
    <s v="SS"/>
    <s v="STPP"/>
    <s v="หมาล่า"/>
    <n v="3750"/>
    <n v="3750"/>
    <m/>
    <n v="0"/>
    <n v="0"/>
    <n v="0"/>
    <n v="1.2999999999999999E-2"/>
    <n v="0"/>
    <s v="เปลี่ยนแบบ Package SKU"/>
    <n v="0"/>
    <n v="0"/>
  </r>
  <r>
    <m/>
    <x v="536"/>
    <s v="07-2025"/>
    <x v="1"/>
    <e v="#N/A"/>
    <x v="5"/>
    <s v="ขายภายใน"/>
    <s v=".7-11"/>
    <s v="CPFGS"/>
    <s v="ซีพีเอฟ เทรดดิ้ง"/>
    <s v="E+Wonton+หมาล่า"/>
    <x v="1"/>
    <s v="เกี๊ยวกุ้งจักรพรรดิซุปหมาล่า CP 143g 7E_LV"/>
    <s v="082S81A24005P0D001"/>
    <s v="143g*24"/>
    <n v="24"/>
    <n v="5"/>
    <n v="6.1999999999999998E-3"/>
    <s v="SS"/>
    <s v="STPP"/>
    <s v="หมาล่า"/>
    <n v="2115"/>
    <n v="2115"/>
    <m/>
    <n v="0"/>
    <n v="0"/>
    <n v="0"/>
    <n v="1.2999999999999999E-2"/>
    <n v="0"/>
    <s v="เปลี่ยนแบบ Package SKU"/>
    <n v="0"/>
    <n v="0"/>
  </r>
  <r>
    <m/>
    <x v="537"/>
    <s v="07-2025"/>
    <x v="1"/>
    <e v="#N/A"/>
    <x v="5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280"/>
    <n v="1280"/>
    <m/>
    <n v="0"/>
    <n v="0"/>
    <n v="0"/>
    <n v="7.4999999999999997E-3"/>
    <n v="0"/>
    <m/>
    <n v="0"/>
    <n v="0"/>
  </r>
  <r>
    <m/>
    <x v="537"/>
    <d v="2025-06-30T00:00:00"/>
    <x v="1"/>
    <e v="#N/A"/>
    <x v="5"/>
    <s v="DRY2500136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68"/>
    <n v="768"/>
    <m/>
    <n v="0"/>
    <n v="0"/>
    <n v="0"/>
    <n v="9.7000000000000003E-3"/>
    <n v="0"/>
    <m/>
    <n v="0"/>
    <n v="0"/>
  </r>
  <r>
    <m/>
    <x v="537"/>
    <d v="2025-07-01T00:00:00"/>
    <x v="1"/>
    <e v="#N/A"/>
    <x v="5"/>
    <s v="DRY2500155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537"/>
    <d v="2025-07-07T00:00:00"/>
    <x v="1"/>
    <e v="#N/A"/>
    <x v="5"/>
    <s v="DRY2500137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537"/>
    <d v="2025-07-15T00:00:00"/>
    <x v="1"/>
    <e v="#N/A"/>
    <x v="5"/>
    <s v="DRY2500138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n v="740"/>
    <n v="52"/>
    <n v="0"/>
    <n v="0"/>
    <n v="0"/>
    <n v="9.7000000000000003E-3"/>
    <n v="0"/>
    <m/>
    <n v="0"/>
    <n v="0"/>
  </r>
  <r>
    <m/>
    <x v="538"/>
    <m/>
    <x v="1"/>
    <e v="#N/A"/>
    <x v="5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539"/>
    <d v="2025-07-10T00:00:00"/>
    <x v="1"/>
    <e v="#N/A"/>
    <x v="5"/>
    <s v="DRY2500131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601"/>
    <n v="191.22222222222223"/>
    <n v="0.22222222222217169"/>
    <n v="0"/>
    <n v="0"/>
    <n v="7.4999999999999997E-3"/>
    <n v="0"/>
    <m/>
    <n v="0"/>
    <n v="0"/>
  </r>
  <r>
    <m/>
    <x v="539"/>
    <d v="2025-07-10T00:00:00"/>
    <x v="1"/>
    <e v="#N/A"/>
    <x v="5"/>
    <s v="DRY2500184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539"/>
    <d v="2025-07-17T00:00:00"/>
    <x v="1"/>
    <e v="#N/A"/>
    <x v="5"/>
    <s v="DRY2500185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539"/>
    <d v="2025-07-24T00:00:00"/>
    <x v="1"/>
    <e v="#N/A"/>
    <x v="5"/>
    <s v="DRY2500210"/>
    <s v="New Zealand"/>
    <s v="CPFNW"/>
    <s v="Lim Brothers"/>
    <s v="Wonton ND+V"/>
    <x v="1"/>
    <s v="Cooked Wonton ND No Egg with Pumpkin_x000a_+ Yu Choy "/>
    <s v="082SJN708004P00001"/>
    <s v="305g*8"/>
    <n v="8"/>
    <n v="4"/>
    <n v="7.4999999999999997E-3"/>
    <s v="HC"/>
    <s v="Salt"/>
    <s v="Regular"/>
    <n v="390"/>
    <m/>
    <n v="530.25"/>
    <n v="140.25"/>
    <n v="0"/>
    <n v="0"/>
    <n v="7.4999999999999997E-3"/>
    <n v="0"/>
    <m/>
    <n v="0"/>
    <n v="0"/>
  </r>
  <r>
    <m/>
    <x v="539"/>
    <d v="2025-07-24T00:00:00"/>
    <x v="1"/>
    <e v="#N/A"/>
    <x v="5"/>
    <s v="DRY2500190"/>
    <s v="AUS"/>
    <s v="CPFNW"/>
    <s v="CPF Australia Pty Ltd."/>
    <s v="Wonton ND+V"/>
    <x v="1"/>
    <s v="Cooked Wonton ND No Egg with Pumpkin_x000a_+ Yu Choy "/>
    <s v="082SJ9U08004P00001"/>
    <s v="305g*8"/>
    <n v="8"/>
    <n v="4"/>
    <n v="7.4999999999999997E-3"/>
    <s v="HC"/>
    <s v="Salt"/>
    <s v="Regular"/>
    <n v="60.25"/>
    <m/>
    <n v="60.25"/>
    <n v="0"/>
    <n v="0"/>
    <n v="0"/>
    <n v="7.4999999999999997E-3"/>
    <n v="0"/>
    <m/>
    <n v="0"/>
    <n v="0"/>
  </r>
  <r>
    <m/>
    <x v="539"/>
    <d v="2025-07-24T00:00:00"/>
    <x v="1"/>
    <e v="#N/A"/>
    <x v="5"/>
    <s v="DRY2500191"/>
    <s v="AUS"/>
    <s v="CPFNW"/>
    <s v="CPF Australia Pty Ltd."/>
    <s v="Wonton ND+V"/>
    <x v="1"/>
    <s v="Cooked Wonton ND No Egg with Pumpkin_x000a_+ Yu Choy "/>
    <s v="082SJ9U08004P00001"/>
    <s v="305g*8"/>
    <n v="8"/>
    <n v="4"/>
    <n v="7.4999999999999997E-3"/>
    <s v="HC"/>
    <s v="Salt"/>
    <s v="Regular"/>
    <n v="500"/>
    <m/>
    <n v="500"/>
    <n v="0"/>
    <n v="0"/>
    <n v="0"/>
    <n v="7.4999999999999997E-3"/>
    <n v="0"/>
    <m/>
    <n v="0"/>
    <n v="0"/>
  </r>
  <r>
    <m/>
    <x v="539"/>
    <d v="2025-07-24T00:00:00"/>
    <x v="1"/>
    <e v="#N/A"/>
    <x v="5"/>
    <s v="DRY2500192"/>
    <s v="AUS"/>
    <s v="CPFNW"/>
    <s v="CPF Australia Pty Ltd."/>
    <s v="Wonton ND+V"/>
    <x v="1"/>
    <s v="Cooked Wonton ND No Egg with Pumpkin_x000a_+ Yu Choy "/>
    <s v="082SJ9U08004P00001"/>
    <s v="305g*8"/>
    <n v="8"/>
    <n v="4"/>
    <n v="7.4999999999999997E-3"/>
    <s v="HC"/>
    <s v="Salt"/>
    <s v="Regular"/>
    <n v="500"/>
    <m/>
    <n v="500"/>
    <n v="0"/>
    <n v="0"/>
    <n v="0"/>
    <n v="7.4999999999999997E-3"/>
    <n v="0"/>
    <m/>
    <n v="0"/>
    <n v="0"/>
  </r>
  <r>
    <m/>
    <x v="539"/>
    <d v="2025-08-21T00:00:00"/>
    <x v="1"/>
    <e v="#N/A"/>
    <x v="5"/>
    <s v="DRY2500214"/>
    <s v="AUS"/>
    <s v="CPFNW"/>
    <s v="CPF Australia Pty Ltd."/>
    <s v="Wonton ND+V"/>
    <x v="1"/>
    <s v="Cooked Wonton ND No Egg with Pumpkin_x000a_+ Yu Choy "/>
    <s v="082SJ9U08004P00001"/>
    <s v="305g*8"/>
    <n v="8"/>
    <n v="4"/>
    <n v="7.4999999999999997E-3"/>
    <s v="HC"/>
    <s v="Salt"/>
    <s v="Regular"/>
    <n v="200"/>
    <m/>
    <n v="361.625"/>
    <n v="161.625"/>
    <n v="0"/>
    <n v="0"/>
    <n v="7.4999999999999997E-3"/>
    <n v="0"/>
    <m/>
    <n v="0"/>
    <n v="0"/>
  </r>
  <r>
    <m/>
    <x v="539"/>
    <d v="2025-07-02T00:00:00"/>
    <x v="1"/>
    <e v="#N/A"/>
    <x v="5"/>
    <s v="DRY2500120"/>
    <s v="Denmark"/>
    <s v="CPFNW"/>
    <s v="CPF DENMARK"/>
    <s v="Minced ND+V+TK"/>
    <x v="1"/>
    <s v="Cooked Minced  ND No Egg with Pumpkin_x000a_+ Yu Choy Tomyum"/>
    <s v="082SJKW08003P01001"/>
    <s v="302g*8"/>
    <n v="8"/>
    <n v="3"/>
    <n v="6.0000000000000001E-3"/>
    <s v="BK"/>
    <s v="Salt"/>
    <s v="Tomkha+CM"/>
    <n v="3500"/>
    <m/>
    <n v="3500"/>
    <n v="0"/>
    <n v="0"/>
    <n v="0"/>
    <n v="5.8823E-2"/>
    <n v="0"/>
    <m/>
    <n v="0"/>
    <n v="0"/>
  </r>
  <r>
    <m/>
    <x v="539"/>
    <d v="2025-07-24T00:00:00"/>
    <x v="1"/>
    <e v="#N/A"/>
    <x v="5"/>
    <s v="DRY2500210"/>
    <s v="New Zealand"/>
    <s v="CPFNW"/>
    <s v="Lim Brothers"/>
    <s v="Minced ND+V+TK"/>
    <x v="1"/>
    <s v="Cooked Minced  ND No Egg with Pumpkin_x000a_+ Yu Choy Tomkha"/>
    <s v="082SRN708003P01001"/>
    <s v="302g*8"/>
    <n v="8"/>
    <n v="3"/>
    <n v="6.0000000000000001E-3"/>
    <s v="BK"/>
    <s v="Salt"/>
    <s v="Tomkha+CM"/>
    <n v="500"/>
    <m/>
    <n v="513.875"/>
    <n v="13.875"/>
    <n v="0"/>
    <n v="0"/>
    <n v="5.8823E-2"/>
    <n v="0"/>
    <m/>
    <n v="0"/>
    <n v="0"/>
  </r>
  <r>
    <m/>
    <x v="540"/>
    <d v="2025-07-08T00:00:00"/>
    <x v="1"/>
    <e v="#N/A"/>
    <x v="5"/>
    <s v="DRY2500193"/>
    <s v="Malay"/>
    <s v="CPFNW"/>
    <s v="CPM Malaysia"/>
    <s v="Wonton+TY"/>
    <x v="1"/>
    <s v="Cooked Wonton No Egg  Tomyum"/>
    <s v="082S85I24005P02001"/>
    <s v="115g*24"/>
    <n v="24"/>
    <n v="5"/>
    <n v="8.0000000000000002E-3"/>
    <s v="M"/>
    <s v="STPP"/>
    <s v="TYTB3C 30G"/>
    <n v="900"/>
    <n v="900"/>
    <m/>
    <n v="0"/>
    <n v="0"/>
    <n v="0"/>
    <n v="1"/>
    <n v="0"/>
    <s v="232 SG"/>
    <n v="0"/>
    <n v="0"/>
  </r>
  <r>
    <m/>
    <x v="540"/>
    <d v="2025-07-08T00:00:00"/>
    <x v="1"/>
    <e v="#N/A"/>
    <x v="5"/>
    <s v="DRY2500193"/>
    <s v="Malay"/>
    <s v="CPFNW"/>
    <s v="CPM Malaysia"/>
    <s v="Wonton"/>
    <x v="1"/>
    <s v="Cooked Wonton No Egg  "/>
    <s v="082S85I24005P01001"/>
    <s v="145g*24"/>
    <n v="24"/>
    <n v="5"/>
    <n v="8.0000000000000002E-3"/>
    <s v="M"/>
    <s v="STPP"/>
    <s v="Regular"/>
    <n v="900"/>
    <n v="900"/>
    <m/>
    <n v="0"/>
    <n v="0"/>
    <n v="0"/>
    <n v="7.4999999999999997E-3"/>
    <n v="0"/>
    <s v="628 SG"/>
    <n v="0"/>
    <n v="0"/>
  </r>
  <r>
    <m/>
    <x v="540"/>
    <d v="2025-07-04T00:00:00"/>
    <x v="1"/>
    <e v="#N/A"/>
    <x v="5"/>
    <s v="DRY2500123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n v="0"/>
    <n v="7.4999999999999997E-3"/>
    <n v="0"/>
    <m/>
    <n v="0"/>
    <n v="0"/>
  </r>
  <r>
    <m/>
    <x v="540"/>
    <s v="07-2025"/>
    <x v="1"/>
    <e v="#N/A"/>
    <x v="5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2323"/>
    <n v="2323"/>
    <m/>
    <n v="0"/>
    <n v="0"/>
    <n v="0"/>
    <n v="7.4999999999999997E-3"/>
    <n v="0"/>
    <m/>
    <n v="0"/>
    <n v="0"/>
  </r>
  <r>
    <m/>
    <x v="541"/>
    <s v="07-2025"/>
    <x v="1"/>
    <e v="#N/A"/>
    <x v="5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817"/>
    <n v="1817"/>
    <m/>
    <n v="0"/>
    <n v="0"/>
    <n v="0"/>
    <n v="7.4999999999999997E-3"/>
    <n v="0"/>
    <m/>
    <n v="0"/>
    <n v="0"/>
  </r>
  <r>
    <m/>
    <x v="541"/>
    <s v="07-2025"/>
    <x v="1"/>
    <e v="#N/A"/>
    <x v="5"/>
    <s v="ขายภายใน"/>
    <s v="MTFS"/>
    <s v="CPFGS"/>
    <s v="ซีพีเอฟ เทรดดิ้ง"/>
    <s v="E+Wonton TY"/>
    <x v="1"/>
    <s v="เกี๊ยวกุ้งรสต้มยำ ตราซีพี 12x115 กรัม"/>
    <s v="082S83Q12005P04001"/>
    <s v="115g*12"/>
    <n v="12"/>
    <n v="5"/>
    <n v="8.0000000000000002E-3"/>
    <s v="M"/>
    <s v="STPP"/>
    <s v="TYTB3C 30G"/>
    <n v="536"/>
    <n v="536"/>
    <m/>
    <n v="0"/>
    <n v="0"/>
    <n v="0"/>
    <n v="1"/>
    <n v="0"/>
    <m/>
    <n v="0"/>
    <n v="0"/>
  </r>
  <r>
    <m/>
    <x v="541"/>
    <s v="07-2025"/>
    <x v="1"/>
    <e v="#N/A"/>
    <x v="5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4110"/>
    <n v="3399"/>
    <n v="711.45833333333337"/>
    <n v="0.45833333333303017"/>
    <n v="0"/>
    <n v="0"/>
    <n v="7.4999999999999997E-3"/>
    <n v="0"/>
    <m/>
    <n v="0"/>
    <n v="0"/>
  </r>
  <r>
    <m/>
    <x v="542"/>
    <s v="07-2025"/>
    <x v="1"/>
    <e v="#N/A"/>
    <x v="5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4194"/>
    <n v="4194"/>
    <m/>
    <n v="0"/>
    <n v="0"/>
    <n v="0"/>
    <n v="7.4999999999999997E-3"/>
    <n v="0"/>
    <m/>
    <n v="0"/>
    <n v="0"/>
  </r>
  <r>
    <m/>
    <x v="542"/>
    <s v="08-2025"/>
    <x v="1"/>
    <e v="#N/A"/>
    <x v="5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128"/>
    <n v="128"/>
    <m/>
    <n v="0"/>
    <n v="0"/>
    <n v="0"/>
    <n v="7.4999999999999997E-3"/>
    <n v="0"/>
    <m/>
    <n v="0"/>
    <n v="0"/>
  </r>
  <r>
    <m/>
    <x v="542"/>
    <s v="07-2025"/>
    <x v="1"/>
    <e v="#N/A"/>
    <x v="5"/>
    <s v="ขายภายใน"/>
    <s v=".7-11"/>
    <s v="CPFGS"/>
    <s v="ซีพีเอฟ เทรดดิ้ง"/>
    <s v="E+Wonton+หมาล่า"/>
    <x v="1"/>
    <s v="เกี๊ยวกุ้งจักรพรรดิซุปหมาล่า CP 143g 7E_LV"/>
    <s v="082S81A24005P0D001"/>
    <s v="143g*24"/>
    <n v="24"/>
    <n v="5"/>
    <n v="6.1999999999999998E-3"/>
    <s v="SS"/>
    <s v="STPP"/>
    <s v="หมาล่า"/>
    <n v="1735"/>
    <n v="1735"/>
    <m/>
    <n v="0"/>
    <n v="0"/>
    <n v="0"/>
    <n v="1.2999999999999999E-2"/>
    <n v="0"/>
    <s v="เปลี่ยนแบบ Package SKU"/>
    <n v="0"/>
    <n v="0"/>
  </r>
  <r>
    <s v="T"/>
    <x v="543"/>
    <d v="2025-07-24T00:00:00"/>
    <x v="1"/>
    <e v="#N/A"/>
    <x v="5"/>
    <s v="DRY2500189"/>
    <s v="AUS"/>
    <s v="CPFNW"/>
    <s v="CPF Australia Pty Ltd."/>
    <s v="C-Minced WT in tray no egg"/>
    <x v="1"/>
    <s v="Cooked Minced Wonton in Tray 6 pcs + Sesame Sauce"/>
    <s v="082SK9U16006P00001"/>
    <s v="117*2tray*8in"/>
    <n v="16"/>
    <n v="6"/>
    <n v="6.1999999999999998E-3"/>
    <s v="BK"/>
    <s v="Salt"/>
    <s v=" Sesame 15g"/>
    <n v="600"/>
    <n v="600"/>
    <m/>
    <n v="0"/>
    <n v="0"/>
    <n v="0"/>
    <n v="1"/>
    <n v="0"/>
    <m/>
    <n v="0"/>
    <n v="0"/>
  </r>
  <r>
    <s v="T"/>
    <x v="543"/>
    <d v="2025-07-24T00:00:00"/>
    <x v="1"/>
    <e v="#N/A"/>
    <x v="5"/>
    <s v="DRY2500190"/>
    <s v="AUS"/>
    <s v="CPFNW"/>
    <s v="CPF Australia Pty Ltd."/>
    <s v="C-Minced WT in tray no egg"/>
    <x v="1"/>
    <s v="Cooked Minced Wonton in Tray 6 pcs + Sesame Sauce"/>
    <s v="082SK9U16006P00001"/>
    <s v="117*2tray*8in"/>
    <n v="16"/>
    <n v="6"/>
    <n v="6.1999999999999998E-3"/>
    <s v="BK"/>
    <s v="Salt"/>
    <s v=" Sesame 15g"/>
    <n v="250"/>
    <n v="250"/>
    <m/>
    <n v="0"/>
    <n v="0"/>
    <n v="0"/>
    <n v="1"/>
    <n v="0"/>
    <m/>
    <n v="0"/>
    <n v="0"/>
  </r>
  <r>
    <s v="T"/>
    <x v="543"/>
    <d v="2025-07-24T00:00:00"/>
    <x v="1"/>
    <e v="#N/A"/>
    <x v="5"/>
    <s v="DRY2500191"/>
    <s v="AUS"/>
    <s v="CPFNW"/>
    <s v="CPF Australia Pty Ltd."/>
    <s v="C-Minced WT in tray no egg"/>
    <x v="1"/>
    <s v="Cooked Minced Wonton in Tray 6 pcs + Sesame Sauce"/>
    <s v="082SK9U16006P00001"/>
    <s v="117*2tray*8in"/>
    <n v="16"/>
    <n v="6"/>
    <n v="6.1999999999999998E-3"/>
    <s v="BK"/>
    <s v="Salt"/>
    <s v=" Sesame 15g"/>
    <n v="250"/>
    <n v="250"/>
    <m/>
    <n v="0"/>
    <n v="0"/>
    <n v="0"/>
    <n v="1"/>
    <n v="0"/>
    <m/>
    <n v="0"/>
    <n v="0"/>
  </r>
  <r>
    <s v="T"/>
    <x v="543"/>
    <d v="2025-07-24T00:00:00"/>
    <x v="1"/>
    <e v="#N/A"/>
    <x v="5"/>
    <s v="DRY2500192"/>
    <s v="AUS"/>
    <s v="CPFNW"/>
    <s v="CPF Australia Pty Ltd."/>
    <s v="C-Minced WT in tray no egg"/>
    <x v="1"/>
    <s v="Cooked Minced Wonton in Tray 6 pcs + Sesame Sauce"/>
    <s v="082SK9U16006P00001"/>
    <s v="117*2tray*8in"/>
    <n v="16"/>
    <n v="6"/>
    <n v="6.1999999999999998E-3"/>
    <s v="BK"/>
    <s v="Salt"/>
    <s v=" Sesame 15g"/>
    <n v="250"/>
    <n v="250"/>
    <m/>
    <n v="0"/>
    <n v="0"/>
    <n v="0"/>
    <n v="1"/>
    <n v="0"/>
    <m/>
    <n v="0"/>
    <n v="0"/>
  </r>
  <r>
    <m/>
    <x v="543"/>
    <d v="2025-07-15T00:00:00"/>
    <x v="1"/>
    <e v="#N/A"/>
    <x v="5"/>
    <s v="DRY2500194"/>
    <s v="SG"/>
    <s v="CPFNW"/>
    <s v="CPI SINGAPORE"/>
    <s v="Wonton +TY"/>
    <x v="1"/>
    <s v="Cooked Wonton No Egg Tomyum"/>
    <s v="082S83B24005P06001"/>
    <s v="115g*24"/>
    <n v="24"/>
    <n v="5"/>
    <n v="8.0000000000000002E-3"/>
    <s v="M"/>
    <s v="STPP"/>
    <s v="TYTB3C 30G"/>
    <n v="500"/>
    <n v="500"/>
    <m/>
    <n v="0"/>
    <n v="0"/>
    <n v="0"/>
    <n v="1"/>
    <n v="0"/>
    <m/>
    <n v="0"/>
    <n v="0"/>
  </r>
  <r>
    <m/>
    <x v="543"/>
    <d v="2025-07-15T00:00:00"/>
    <x v="1"/>
    <e v="#N/A"/>
    <x v="5"/>
    <s v="DRY2500194"/>
    <s v="SG"/>
    <s v="CPFNW"/>
    <s v="CPI SINGAPORE"/>
    <s v="Wonton"/>
    <x v="1"/>
    <s v="Cooked Wonton No Egg"/>
    <s v="082S83B24005P07001"/>
    <s v="145g*24"/>
    <n v="24"/>
    <n v="5"/>
    <n v="8.0000000000000002E-3"/>
    <s v="M"/>
    <s v="STPP"/>
    <s v="Regular"/>
    <n v="500"/>
    <n v="500"/>
    <m/>
    <n v="0"/>
    <n v="0"/>
    <n v="0"/>
    <n v="2"/>
    <n v="0"/>
    <m/>
    <n v="0"/>
    <n v="0"/>
  </r>
  <r>
    <m/>
    <x v="543"/>
    <d v="2025-07-24T00:00:00"/>
    <x v="1"/>
    <e v="#N/A"/>
    <x v="5"/>
    <s v="DRY2500164"/>
    <s v="Spain"/>
    <s v="CPFNW"/>
    <s v="Mercadona"/>
    <s v="Wonton ND+V"/>
    <x v="1"/>
    <s v="Cooked Wonton ND No Egg with Pumpkin _x000a_+ Vegetable  HC  3 pcs"/>
    <s v="082SJ5T12003P01001"/>
    <s v="309g*12"/>
    <n v="12"/>
    <n v="3"/>
    <n v="7.4999999999999997E-3"/>
    <s v="S"/>
    <s v="Salt"/>
    <s v="Regular"/>
    <n v="2520"/>
    <n v="2520"/>
    <m/>
    <n v="0"/>
    <n v="0"/>
    <n v="0"/>
    <n v="7.4999999999999997E-3"/>
    <n v="0"/>
    <m/>
    <n v="0"/>
    <n v="0"/>
  </r>
  <r>
    <m/>
    <x v="543"/>
    <d v="2025-07-15T00:00:00"/>
    <x v="1"/>
    <e v="#N/A"/>
    <x v="5"/>
    <s v="DRY2500194"/>
    <s v="SG"/>
    <s v="CPFNW"/>
    <s v="CPI Singapore"/>
    <s v="Wonton ND+V"/>
    <x v="1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500"/>
    <n v="500"/>
    <m/>
    <n v="0"/>
    <n v="0"/>
    <n v="0"/>
    <n v="1"/>
    <n v="0"/>
    <m/>
    <n v="0"/>
    <n v="0"/>
  </r>
  <r>
    <m/>
    <x v="543"/>
    <d v="2025-07-31T00:00:00"/>
    <x v="1"/>
    <e v="#N/A"/>
    <x v="5"/>
    <s v="DRY2500132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SG+CO"/>
    <n v="924"/>
    <n v="924"/>
    <m/>
    <n v="0"/>
    <n v="0"/>
    <n v="0"/>
    <n v="3.8699999999999998E-2"/>
    <n v="0"/>
    <m/>
    <n v="0"/>
    <n v="0"/>
  </r>
  <r>
    <s v="R"/>
    <x v="544"/>
    <s v="07-2025"/>
    <x v="1"/>
    <e v="#N/A"/>
    <x v="5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500"/>
    <n v="500"/>
    <m/>
    <n v="0"/>
    <n v="0"/>
    <n v="0"/>
    <m/>
    <n v="0"/>
    <m/>
    <n v="0"/>
    <n v="0"/>
  </r>
  <r>
    <s v="R"/>
    <x v="544"/>
    <d v="2025-07-15T00:00:00"/>
    <x v="1"/>
    <e v="#N/A"/>
    <x v="5"/>
    <s v="DRY2500194"/>
    <s v="SG"/>
    <s v="CPFNW"/>
    <s v="CPI SINGAPORE"/>
    <s v="R-Minced egg past"/>
    <x v="2"/>
    <s v="Raw Minced Wonton 8 pcs"/>
    <s v="082ID3B18008P00001"/>
    <s v="90g*18in"/>
    <n v="18"/>
    <n v="8"/>
    <n v="6.1999999999999998E-3"/>
    <s v="BK"/>
    <s v="STPP"/>
    <s v="ซุปซอง 5g."/>
    <n v="600"/>
    <n v="600"/>
    <m/>
    <n v="0"/>
    <n v="0"/>
    <n v="0"/>
    <n v="2"/>
    <n v="0"/>
    <m/>
    <n v="0"/>
    <n v="0"/>
  </r>
  <r>
    <s v="R"/>
    <x v="544"/>
    <d v="2025-07-15T00:00:00"/>
    <x v="1"/>
    <e v="#N/A"/>
    <x v="5"/>
    <s v="DRY2500202"/>
    <s v="SG"/>
    <s v="CPFNW"/>
    <s v="CPI SINGAPORE"/>
    <s v="R-Wonton egg past"/>
    <x v="2"/>
    <s v="Raw Wonton 8 pcs (Tomyam 30g.)"/>
    <s v="082I93B18008P01001"/>
    <s v="126g*18in"/>
    <n v="18"/>
    <n v="8"/>
    <n v="6.8100000000000001E-3"/>
    <s v="S"/>
    <s v="STPP"/>
    <s v="TYTB3C 30G"/>
    <n v="500"/>
    <n v="500"/>
    <m/>
    <n v="0"/>
    <n v="0"/>
    <n v="0"/>
    <n v="1"/>
    <n v="0"/>
    <s v="สำรอง PK"/>
    <n v="0"/>
    <n v="0"/>
  </r>
  <r>
    <m/>
    <x v="544"/>
    <s v="07-2025"/>
    <x v="1"/>
    <e v="#N/A"/>
    <x v="5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2755"/>
    <n v="2755"/>
    <m/>
    <n v="0"/>
    <n v="0"/>
    <n v="0"/>
    <n v="7.4999999999999997E-3"/>
    <n v="0"/>
    <m/>
    <n v="0"/>
    <n v="0"/>
  </r>
  <r>
    <m/>
    <x v="544"/>
    <d v="2025-07-07T00:00:00"/>
    <x v="1"/>
    <e v="#N/A"/>
    <x v="5"/>
    <s v="DRY2500211"/>
    <s v="Denmark"/>
    <s v="CPFNW"/>
    <s v="CPF DENMARK"/>
    <s v="Minced ND+V+TY"/>
    <x v="1"/>
    <s v="Cooked Minced  ND No Egg with Pumpkin_x000a_+ Yu Choy Tomyum"/>
    <s v="082SRRE12003P00001"/>
    <s v="302g*12"/>
    <n v="12"/>
    <n v="3"/>
    <n v="6.0000000000000001E-3"/>
    <s v="BK"/>
    <s v="Salt"/>
    <s v="TYEXSG+CO"/>
    <n v="2520"/>
    <n v="2520"/>
    <m/>
    <n v="0"/>
    <n v="0"/>
    <n v="0"/>
    <n v="3.8699999999999998E-2"/>
    <n v="0"/>
    <s v="rema"/>
    <n v="0"/>
    <n v="0"/>
  </r>
  <r>
    <m/>
    <x v="545"/>
    <m/>
    <x v="1"/>
    <e v="#N/A"/>
    <x v="5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546"/>
    <d v="2025-07-15T00:00:00"/>
    <x v="1"/>
    <e v="#N/A"/>
    <x v="5"/>
    <s v="DRY2500194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1000"/>
    <n v="1000"/>
    <m/>
    <n v="0"/>
    <n v="0"/>
    <n v="0"/>
    <n v="2"/>
    <n v="0"/>
    <s v="ห่อแบบสุก"/>
    <n v="0"/>
    <n v="0"/>
  </r>
  <r>
    <m/>
    <x v="546"/>
    <s v="07-2025"/>
    <x v="1"/>
    <e v="#N/A"/>
    <x v="5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2114"/>
    <n v="2114"/>
    <m/>
    <n v="0"/>
    <n v="0"/>
    <n v="0"/>
    <n v="7.4999999999999997E-3"/>
    <n v="0"/>
    <m/>
    <n v="0"/>
    <n v="0"/>
  </r>
  <r>
    <m/>
    <x v="546"/>
    <d v="2025-07-31T00:00:00"/>
    <x v="1"/>
    <e v="#N/A"/>
    <x v="5"/>
    <s v="DRY2500207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547"/>
    <m/>
    <x v="1"/>
    <e v="#N/A"/>
    <x v="6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548"/>
    <m/>
    <x v="1"/>
    <e v="#N/A"/>
    <x v="6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549"/>
    <d v="2025-08-16T00:00:00"/>
    <x v="1"/>
    <e v="#N/A"/>
    <x v="7"/>
    <s v="DRY2500122"/>
    <s v="HK"/>
    <s v="CPFNW"/>
    <s v="CPM Hongkong"/>
    <s v="R-Minced egg past"/>
    <x v="2"/>
    <s v="Raw Minced Wonton 8 pcs"/>
    <s v="082ID3G18008P00001"/>
    <s v="90g*18in"/>
    <n v="18"/>
    <n v="8"/>
    <n v="6.0000000000000001E-3"/>
    <s v="BK"/>
    <s v="STPP"/>
    <s v="ซุปซอง 5g."/>
    <n v="300"/>
    <n v="300"/>
    <m/>
    <n v="0"/>
    <n v="0"/>
    <n v="0"/>
    <n v="2"/>
    <n v="0"/>
    <m/>
    <n v="0"/>
    <n v="0"/>
  </r>
  <r>
    <s v="R"/>
    <x v="549"/>
    <d v="2025-08-16T00:00:00"/>
    <x v="1"/>
    <e v="#N/A"/>
    <x v="7"/>
    <s v="DRY2500122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1600"/>
    <n v="1098"/>
    <n v="502"/>
    <n v="0"/>
    <n v="0"/>
    <n v="0"/>
    <n v="1"/>
    <n v="0"/>
    <m/>
    <n v="0"/>
    <n v="0"/>
  </r>
  <r>
    <m/>
    <x v="549"/>
    <d v="2025-08-13T00:00:00"/>
    <x v="1"/>
    <e v="#N/A"/>
    <x v="7"/>
    <s v="DRY2500232"/>
    <s v="UK"/>
    <s v="CPFNW"/>
    <s v="Westbridge Foods Limited (One UK)"/>
    <s v="Wonton+TY"/>
    <x v="1"/>
    <s v="Cooked Wonton Soup Tomyum"/>
    <s v="082S8KW08005P00001"/>
    <s v="147g*8"/>
    <n v="8"/>
    <n v="5"/>
    <n v="7.4999999999999997E-3"/>
    <s v="M"/>
    <s v="Salt"/>
    <s v="TYEXSG+CO"/>
    <n v="5148"/>
    <n v="1474"/>
    <n v="3707.875"/>
    <n v="33.875"/>
    <n v="0"/>
    <n v="0"/>
    <n v="7.4999999999999997E-3"/>
    <n v="0"/>
    <m/>
    <n v="0"/>
    <n v="0"/>
  </r>
  <r>
    <m/>
    <x v="549"/>
    <d v="2025-08-05T00:00:00"/>
    <x v="1"/>
    <e v="#N/A"/>
    <x v="7"/>
    <s v="KL2500026"/>
    <s v="China"/>
    <s v="China"/>
    <s v="Charoen Pokphand Import&amp;Export Trading (Shanghai) Co., Ltd"/>
    <s v="Minced ND+BC+TY"/>
    <x v="1"/>
    <s v="Cooked Minced  ND No Egg with Pumpkin_x000a_+ Box Choy Tomyum"/>
    <s v="082SR5J16003PA0001"/>
    <s v="302g*2c*8in"/>
    <n v="16"/>
    <n v="3"/>
    <n v="6.0000000000000001E-3"/>
    <s v="BK"/>
    <s v="Salt"/>
    <s v="TYEXSG+CO"/>
    <n v="370"/>
    <n v="370"/>
    <n v="13.3125"/>
    <n v="13.3125"/>
    <n v="0"/>
    <n v="0"/>
    <n v="3.8699999999999998E-2"/>
    <n v="0"/>
    <s v="เร่งผลเชื้อ"/>
    <n v="0"/>
    <n v="0"/>
  </r>
  <r>
    <m/>
    <x v="549"/>
    <d v="2025-08-13T00:00:00"/>
    <x v="1"/>
    <e v="#N/A"/>
    <x v="7"/>
    <s v="DRY2500215"/>
    <s v="Denmark"/>
    <s v="CPFNW"/>
    <s v="CPF DENMARK"/>
    <s v="Minced ND+V+TY"/>
    <x v="1"/>
    <s v="Cooked Minced  ND No Egg with Pumpkin_x000a_+ Yu Choy Tomyum"/>
    <s v="082SRRE12003P00001"/>
    <s v="302g*12"/>
    <n v="12"/>
    <n v="3"/>
    <n v="6.0000000000000001E-3"/>
    <s v="BK"/>
    <s v="Salt"/>
    <s v="TYEXSG+CO"/>
    <n v="2520"/>
    <n v="2520"/>
    <m/>
    <n v="0"/>
    <n v="0"/>
    <n v="0"/>
    <n v="3.8699999999999998E-2"/>
    <n v="0"/>
    <s v="rema"/>
    <n v="0"/>
    <n v="0"/>
  </r>
  <r>
    <m/>
    <x v="550"/>
    <d v="2025-08-11T00:00:00"/>
    <x v="1"/>
    <e v="#N/A"/>
    <x v="7"/>
    <s v="DRY2500219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954"/>
    <n v="334"/>
    <n v="0"/>
    <n v="0"/>
    <n v="0"/>
    <n v="7.4999999999999997E-3"/>
    <n v="0"/>
    <m/>
    <n v="0"/>
    <n v="0"/>
  </r>
  <r>
    <m/>
    <x v="550"/>
    <d v="2025-08-05T00:00:00"/>
    <x v="1"/>
    <e v="#N/A"/>
    <x v="7"/>
    <s v="KL2500026"/>
    <s v="China"/>
    <s v="China"/>
    <s v="Charoen Pokphand Import&amp;Export Trading (Shanghai) Co., Ltd"/>
    <s v="Wonton ND+BC"/>
    <x v="1"/>
    <s v="Cooked Wonton ND No Egg with Pumpkin_x000a_+ Box Choy"/>
    <s v="082SJ5J16004PA0001"/>
    <s v="305g*2c*8in"/>
    <n v="16"/>
    <n v="4"/>
    <n v="6.8100000000000001E-3"/>
    <s v="S"/>
    <s v="Salt"/>
    <s v="Regular"/>
    <n v="300"/>
    <n v="300"/>
    <n v="9"/>
    <n v="9"/>
    <n v="0"/>
    <n v="0"/>
    <n v="7.4999999999999997E-3"/>
    <n v="0"/>
    <s v="เร่งผลเชื้อ"/>
    <n v="0"/>
    <n v="0"/>
  </r>
  <r>
    <m/>
    <x v="550"/>
    <d v="2025-08-14T00:00:00"/>
    <x v="1"/>
    <e v="#N/A"/>
    <x v="7"/>
    <s v="DRY2500208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550"/>
    <d v="2025-08-14T00:00:00"/>
    <x v="1"/>
    <e v="#N/A"/>
    <x v="7"/>
    <s v="DRY2500209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550"/>
    <d v="2025-08-13T00:00:00"/>
    <x v="1"/>
    <e v="#N/A"/>
    <x v="7"/>
    <s v="DRY2500216"/>
    <s v="Denmark"/>
    <s v="CPFNW"/>
    <s v="CPF DENMARK"/>
    <s v="Wonton ND+V+TY"/>
    <x v="1"/>
    <s v="Cooked Wonton ND No Egg with Pumpkin _x000a_+ Vegetable  HC  3 pcs tomyam"/>
    <s v="082SJKW08003P00001"/>
    <s v="309g*8"/>
    <n v="8"/>
    <n v="3"/>
    <n v="7.4999999999999997E-3"/>
    <s v="M"/>
    <s v="Salt"/>
    <s v="TYANSSG+CM"/>
    <n v="3500"/>
    <m/>
    <n v="3509"/>
    <n v="9"/>
    <n v="0"/>
    <n v="0"/>
    <n v="3.85E-2"/>
    <n v="0"/>
    <s v="ต้มยำสูตรลดเผ็ดลง 10 %"/>
    <n v="0"/>
    <n v="0"/>
  </r>
  <r>
    <m/>
    <x v="551"/>
    <m/>
    <x v="1"/>
    <e v="#N/A"/>
    <x v="7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552"/>
    <d v="2025-08-19T00:00:00"/>
    <x v="1"/>
    <e v="#N/A"/>
    <x v="7"/>
    <s v="DRY2500228"/>
    <s v="Malay"/>
    <s v="CPFNW"/>
    <s v="CPM Malaysia"/>
    <s v="Wonton+TY"/>
    <x v="1"/>
    <s v="Cooked Wonton No Egg  Tomyum"/>
    <s v="082S85I24005P02001"/>
    <s v="115g*24"/>
    <n v="24"/>
    <n v="5"/>
    <n v="8.0000000000000002E-3"/>
    <s v="M"/>
    <s v="STPP"/>
    <s v="TYTB3C 30G"/>
    <n v="1250"/>
    <n v="1250"/>
    <m/>
    <n v="0"/>
    <n v="0"/>
    <n v="0"/>
    <n v="1"/>
    <n v="0"/>
    <m/>
    <n v="0"/>
    <n v="0"/>
  </r>
  <r>
    <m/>
    <x v="552"/>
    <d v="2025-08-19T00:00:00"/>
    <x v="1"/>
    <e v="#N/A"/>
    <x v="7"/>
    <s v="DRY2500228"/>
    <s v="Malay"/>
    <s v="CPFNW"/>
    <s v="CPM Malaysia"/>
    <s v="Wonton"/>
    <x v="1"/>
    <s v="Cooked Wonton No Egg  "/>
    <s v="082S85I24005P01001"/>
    <s v="145g*24"/>
    <n v="24"/>
    <n v="5"/>
    <n v="8.0000000000000002E-3"/>
    <s v="M"/>
    <s v="STPP"/>
    <s v="Regular"/>
    <n v="900"/>
    <n v="900"/>
    <m/>
    <n v="0"/>
    <n v="0"/>
    <n v="0"/>
    <n v="7.4999999999999997E-3"/>
    <n v="0"/>
    <m/>
    <n v="0"/>
    <n v="0"/>
  </r>
  <r>
    <m/>
    <x v="552"/>
    <d v="2025-08-19T00:00:00"/>
    <x v="1"/>
    <e v="#N/A"/>
    <x v="7"/>
    <s v="DRY2500236"/>
    <s v="UK"/>
    <s v="CPFNW"/>
    <s v="Westbridge Foods Limited"/>
    <s v="Minced ND+V+TY"/>
    <x v="1"/>
    <s v="Cooked Minced Wonton Noodles Yu Choy Tomyum"/>
    <s v="082SRWE24005P01001"/>
    <s v="258g*4c*6in"/>
    <n v="24"/>
    <n v="5"/>
    <n v="6.0000000000000001E-3"/>
    <s v="BK"/>
    <s v="Salt"/>
    <s v="TYEXSG+CO"/>
    <n v="1176"/>
    <n v="1176"/>
    <m/>
    <n v="0"/>
    <n v="0"/>
    <n v="0"/>
    <n v="3.8699999999999998E-2"/>
    <n v="0"/>
    <s v="Ireland"/>
    <n v="0"/>
    <n v="0"/>
  </r>
  <r>
    <m/>
    <x v="552"/>
    <d v="2025-08-19T00:00:00"/>
    <x v="1"/>
    <e v="#N/A"/>
    <x v="7"/>
    <s v="DRY2500234"/>
    <s v="Netherlands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SG+CO"/>
    <n v="645"/>
    <n v="256"/>
    <n v="389"/>
    <n v="0"/>
    <n v="0"/>
    <n v="0"/>
    <n v="3.8699999999999998E-2"/>
    <n v="0"/>
    <m/>
    <n v="0"/>
    <n v="0"/>
  </r>
  <r>
    <m/>
    <x v="552"/>
    <d v="2025-08-19T00:00:00"/>
    <x v="1"/>
    <e v="#N/A"/>
    <x v="7"/>
    <s v="DRY2500233"/>
    <s v="UK"/>
    <s v="CPFNW"/>
    <s v="Westbridge Foods Limited (One UK)"/>
    <s v="Minced ND+Kee Mao"/>
    <x v="1"/>
    <s v="Cooked Minced Wonton Thai Spicy Noodles (Drunken Noodles)"/>
    <s v="082SRKW06003P00001"/>
    <s v="300g*6"/>
    <n v="6"/>
    <n v="3"/>
    <n v="6.1999999999999998E-3"/>
    <s v="BK"/>
    <s v="Salt"/>
    <s v="Kee Mao"/>
    <n v="1319"/>
    <n v="1218"/>
    <n v="101.33333333333333"/>
    <n v="0.33333333333325754"/>
    <n v="0"/>
    <n v="0"/>
    <n v="6.5000000000000002E-2"/>
    <n v="0"/>
    <m/>
    <n v="0"/>
    <n v="0"/>
  </r>
  <r>
    <m/>
    <x v="553"/>
    <d v="2025-08-19T00:00:00"/>
    <x v="1"/>
    <e v="#N/A"/>
    <x v="7"/>
    <s v="DRY2500100"/>
    <s v="Korea"/>
    <s v="CPFNW"/>
    <s v="Emart"/>
    <s v="Wonton ND"/>
    <x v="1"/>
    <s v="Cooked Wonton ND No Egg with Pumpkin_x000a_"/>
    <s v="082SJEJ36004P00001"/>
    <s v="239g*6c*6in"/>
    <n v="36"/>
    <n v="4"/>
    <n v="7.4999999999999997E-3"/>
    <s v="M"/>
    <s v="Salt"/>
    <s v="Regular"/>
    <n v="874"/>
    <n v="874"/>
    <n v="12.083333333333334"/>
    <n v="12.083333333333371"/>
    <n v="0"/>
    <n v="0"/>
    <n v="7.4999999999999997E-3"/>
    <n v="0"/>
    <m/>
    <n v="0"/>
    <n v="0"/>
  </r>
  <r>
    <m/>
    <x v="553"/>
    <d v="2025-08-14T00:00:00"/>
    <x v="1"/>
    <e v="#N/A"/>
    <x v="7"/>
    <s v="DRY2500220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n v="0"/>
    <n v="7.4999999999999997E-3"/>
    <n v="0"/>
    <m/>
    <n v="0"/>
    <n v="0"/>
  </r>
  <r>
    <m/>
    <x v="553"/>
    <d v="2025-08-14T00:00:00"/>
    <x v="1"/>
    <e v="#N/A"/>
    <x v="7"/>
    <s v="DRY2500221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n v="0"/>
    <n v="7.4999999999999997E-3"/>
    <n v="0"/>
    <m/>
    <n v="0"/>
    <n v="0"/>
  </r>
  <r>
    <m/>
    <x v="553"/>
    <d v="2025-08-19T00:00:00"/>
    <x v="1"/>
    <e v="#N/A"/>
    <x v="7"/>
    <s v="DRY2500233"/>
    <s v="UK"/>
    <s v="CPFNW"/>
    <s v="Westbridge Foods Limited (One UK)"/>
    <s v="Minced ND+Kee Mao"/>
    <x v="1"/>
    <s v="Cooked Minced Wonton Thai Spicy Noodles (Drunken Noodles)"/>
    <s v="082SRKW06003P00001"/>
    <s v="300g*6"/>
    <n v="6"/>
    <n v="3"/>
    <n v="6.1999999999999998E-3"/>
    <s v="BK"/>
    <s v="Salt"/>
    <s v="Kee Mao"/>
    <n v="1522"/>
    <n v="1522"/>
    <m/>
    <n v="0"/>
    <n v="0"/>
    <n v="0"/>
    <n v="6.5000000000000002E-2"/>
    <n v="0"/>
    <m/>
    <n v="0"/>
    <n v="0"/>
  </r>
  <r>
    <m/>
    <x v="554"/>
    <d v="2025-08-19T00:00:00"/>
    <x v="1"/>
    <e v="#N/A"/>
    <x v="7"/>
    <s v="DRY2500234"/>
    <s v="Netherlands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385"/>
    <n v="379"/>
    <n v="6"/>
    <n v="0"/>
    <n v="0"/>
    <n v="0"/>
    <n v="7.4999999999999997E-3"/>
    <n v="0"/>
    <s v="ถ้าว,ฝา สีขาว/Halal"/>
    <n v="0"/>
    <n v="0"/>
  </r>
  <r>
    <m/>
    <x v="554"/>
    <s v="08-2025"/>
    <x v="1"/>
    <e v="#N/A"/>
    <x v="7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2687"/>
    <n v="2687"/>
    <m/>
    <n v="0"/>
    <n v="0"/>
    <n v="0"/>
    <n v="7.4999999999999997E-3"/>
    <n v="0"/>
    <m/>
    <n v="0"/>
    <n v="0"/>
  </r>
  <r>
    <m/>
    <x v="554"/>
    <d v="2025-08-19T00:00:00"/>
    <x v="1"/>
    <e v="#N/A"/>
    <x v="7"/>
    <s v="DRY2500235"/>
    <s v="UK"/>
    <s v="CPFNW"/>
    <s v="Westbridge Foods Limited"/>
    <s v="Minced ND+V+TK"/>
    <x v="1"/>
    <s v="Cooked Minced Wonton Noodles Yu Choy Tomkha"/>
    <s v="082SRWE24005P02001"/>
    <s v="258g*4c*6in"/>
    <n v="24"/>
    <n v="5"/>
    <n v="6.0000000000000001E-3"/>
    <s v="BK"/>
    <s v="Salt"/>
    <s v="Tomkha1+CM"/>
    <n v="1176"/>
    <n v="1176"/>
    <m/>
    <n v="0"/>
    <n v="0"/>
    <n v="0"/>
    <n v="5.8823E-2"/>
    <n v="0"/>
    <s v="ถ้าว,ฝา สีขาว"/>
    <n v="0"/>
    <n v="0"/>
  </r>
  <r>
    <m/>
    <x v="554"/>
    <d v="2025-08-19T00:00:00"/>
    <x v="1"/>
    <e v="#N/A"/>
    <x v="7"/>
    <s v="DRY2500233"/>
    <s v="UK"/>
    <s v="CPFNW"/>
    <s v="Westbridge Foods Limited (One UK)"/>
    <s v="Minced ND+Kee Mao"/>
    <x v="1"/>
    <s v="Cooked Minced Wonton Thai Spicy Noodles (Drunken Noodles)"/>
    <s v="082SRKW06003P00001"/>
    <s v="300g*6"/>
    <n v="6"/>
    <n v="3"/>
    <n v="6.1999999999999998E-3"/>
    <s v="BK"/>
    <s v="Salt"/>
    <s v="Kee Mao"/>
    <n v="1232"/>
    <n v="1232"/>
    <m/>
    <n v="0"/>
    <n v="0"/>
    <n v="0"/>
    <n v="6.5000000000000002E-2"/>
    <n v="0"/>
    <m/>
    <n v="0"/>
    <n v="0"/>
  </r>
  <r>
    <m/>
    <x v="555"/>
    <d v="2025-08-21T00:00:00"/>
    <x v="1"/>
    <e v="#N/A"/>
    <x v="7"/>
    <s v="DRY2500227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555"/>
    <d v="2025-08-21T00:00:00"/>
    <x v="1"/>
    <e v="#N/A"/>
    <x v="7"/>
    <s v="DRY2500229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555"/>
    <d v="2025-08-18T00:00:00"/>
    <x v="1"/>
    <e v="#N/A"/>
    <x v="7"/>
    <s v="DRY2500165"/>
    <s v="Spain"/>
    <s v="CPFNW"/>
    <s v="Mercadona"/>
    <s v="Wonton ND+V"/>
    <x v="1"/>
    <s v="Cooked Wonton ND No Egg with Pumpkin _x000a_+ Vegetable  HC  3 pcs"/>
    <s v="082SJ5T12003P01001"/>
    <s v="309g*12"/>
    <n v="12"/>
    <n v="3"/>
    <n v="7.4999999999999997E-3"/>
    <s v="S"/>
    <s v="Salt"/>
    <s v="Regular"/>
    <n v="2520"/>
    <n v="2520"/>
    <m/>
    <n v="0"/>
    <n v="0"/>
    <n v="0"/>
    <n v="7.4999999999999997E-3"/>
    <n v="0"/>
    <m/>
    <n v="0"/>
    <n v="0"/>
  </r>
  <r>
    <m/>
    <x v="555"/>
    <d v="2025-08-19T00:00:00"/>
    <x v="1"/>
    <e v="#N/A"/>
    <x v="7"/>
    <s v="DRY2500233"/>
    <s v="UK"/>
    <s v="CPFNW"/>
    <s v="Westbridge Foods Limited (One UK)"/>
    <s v="Minced ND+Kee Mao"/>
    <x v="1"/>
    <s v="Cooked Minced Wonton Thai Spicy Noodles (Drunken Noodles)"/>
    <s v="082SRKW06003P00001"/>
    <s v="300g*6"/>
    <n v="6"/>
    <n v="3"/>
    <n v="6.1999999999999998E-3"/>
    <s v="BK"/>
    <s v="Salt"/>
    <s v="Kee Mao"/>
    <n v="1467"/>
    <n v="1467"/>
    <m/>
    <n v="0"/>
    <n v="0"/>
    <n v="0"/>
    <n v="6.5000000000000002E-2"/>
    <n v="0"/>
    <m/>
    <n v="0"/>
    <n v="0"/>
  </r>
  <r>
    <m/>
    <x v="556"/>
    <s v="08-2025"/>
    <x v="1"/>
    <e v="#N/A"/>
    <x v="7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2502"/>
    <n v="2502"/>
    <m/>
    <n v="0"/>
    <n v="0"/>
    <n v="0"/>
    <n v="7.4999999999999997E-3"/>
    <n v="0"/>
    <m/>
    <n v="0"/>
    <n v="0"/>
  </r>
  <r>
    <m/>
    <x v="556"/>
    <d v="2025-08-18T00:00:00"/>
    <x v="1"/>
    <e v="#N/A"/>
    <x v="7"/>
    <s v="DRY2500195"/>
    <s v="SG"/>
    <s v="CPFNW"/>
    <s v="CPI SINGAPORE"/>
    <s v="Wonton"/>
    <x v="1"/>
    <s v="Cooked Wonton No Egg"/>
    <s v="082S83B24005P07001"/>
    <s v="145g*24"/>
    <n v="24"/>
    <n v="5"/>
    <n v="8.0000000000000002E-3"/>
    <s v="M"/>
    <s v="STPP"/>
    <s v="Regular"/>
    <n v="250"/>
    <n v="250"/>
    <m/>
    <n v="0"/>
    <n v="0"/>
    <n v="0"/>
    <n v="2"/>
    <n v="0"/>
    <m/>
    <n v="0"/>
    <n v="0"/>
  </r>
  <r>
    <m/>
    <x v="556"/>
    <d v="2025-08-18T00:00:00"/>
    <x v="1"/>
    <e v="#N/A"/>
    <x v="7"/>
    <s v="DRY2500195"/>
    <s v="SG"/>
    <s v="CPFNW"/>
    <s v="CPI SINGAPORE"/>
    <s v="Wonton +TY"/>
    <x v="1"/>
    <s v="Cooked Wonton No Egg"/>
    <s v="082S83B24005P06001"/>
    <s v="115g*24"/>
    <n v="24"/>
    <n v="5"/>
    <n v="8.0000000000000002E-3"/>
    <s v="M"/>
    <s v="STPP"/>
    <s v="TYTB3C 30G"/>
    <n v="250"/>
    <n v="250"/>
    <m/>
    <n v="0"/>
    <n v="0"/>
    <n v="0"/>
    <n v="1"/>
    <n v="0"/>
    <m/>
    <n v="0"/>
    <n v="0"/>
  </r>
  <r>
    <m/>
    <x v="556"/>
    <d v="2025-08-19T00:00:00"/>
    <x v="1"/>
    <e v="#N/A"/>
    <x v="7"/>
    <s v="DRY2500233"/>
    <s v="UK"/>
    <s v="CPFNW"/>
    <s v="Westbridge Foods Limited (One UK)"/>
    <s v="Minced ND+Kee Mao"/>
    <x v="1"/>
    <s v="Cooked Minced Wonton Thai Spicy Noodles (Drunken Noodles)"/>
    <s v="082SRKW06003P00001"/>
    <s v="300g*6"/>
    <n v="6"/>
    <n v="3"/>
    <n v="6.1999999999999998E-3"/>
    <s v="BK"/>
    <s v="Salt"/>
    <s v="Kee Mao"/>
    <n v="2460"/>
    <n v="2482"/>
    <n v="27.666666666666668"/>
    <n v="49.666666666666515"/>
    <n v="0"/>
    <n v="0"/>
    <n v="6.5000000000000002E-2"/>
    <n v="0"/>
    <m/>
    <n v="0"/>
    <n v="0"/>
  </r>
  <r>
    <m/>
    <x v="556"/>
    <s v="08-2025"/>
    <x v="1"/>
    <e v="#N/A"/>
    <x v="7"/>
    <s v="ขายภายใน"/>
    <s v="MTFS"/>
    <s v="CPFGS"/>
    <s v="ซีพีเอฟ เทรดดิ้ง"/>
    <s v="E+Wonton NDE"/>
    <x v="1"/>
    <s v="บะหมี่เกี๊ยวกุ้ง ตราซีพี 12X226 กรัม"/>
    <s v="082SJ3Q12003P07001"/>
    <s v="226g*12"/>
    <n v="12"/>
    <n v="3"/>
    <n v="8.0000000000000002E-3"/>
    <s v="M"/>
    <s v="STPP"/>
    <s v="Regular"/>
    <n v="500"/>
    <n v="500"/>
    <m/>
    <n v="0"/>
    <n v="0"/>
    <n v="0"/>
    <n v="7.4999999999999997E-3"/>
    <n v="0"/>
    <m/>
    <n v="0"/>
    <n v="0"/>
  </r>
  <r>
    <m/>
    <x v="556"/>
    <s v="08-2025"/>
    <x v="1"/>
    <e v="#N/A"/>
    <x v="7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200"/>
    <n v="200"/>
    <m/>
    <n v="0"/>
    <n v="0"/>
    <n v="0"/>
    <n v="7.4999999999999997E-3"/>
    <n v="0"/>
    <m/>
    <n v="0"/>
    <n v="0"/>
  </r>
  <r>
    <m/>
    <x v="556"/>
    <s v="08-2025"/>
    <x v="1"/>
    <e v="#N/A"/>
    <x v="7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350"/>
    <n v="350"/>
    <m/>
    <n v="0"/>
    <n v="0"/>
    <n v="0"/>
    <n v="7.4999999999999997E-3"/>
    <n v="0"/>
    <m/>
    <n v="0"/>
    <n v="0"/>
  </r>
  <r>
    <m/>
    <x v="556"/>
    <s v="08-2025"/>
    <x v="1"/>
    <e v="#N/A"/>
    <x v="7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150"/>
    <n v="150"/>
    <m/>
    <n v="0"/>
    <n v="0"/>
    <n v="0"/>
    <n v="7.4999999999999997E-3"/>
    <n v="0"/>
    <m/>
    <n v="0"/>
    <n v="0"/>
  </r>
  <r>
    <m/>
    <x v="556"/>
    <s v="08-2025"/>
    <x v="1"/>
    <e v="#N/A"/>
    <x v="7"/>
    <s v="ขายภายใน"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1200"/>
    <n v="1200"/>
    <m/>
    <n v="0"/>
    <n v="0"/>
    <n v="0"/>
    <n v="1"/>
    <n v="0"/>
    <m/>
    <n v="0"/>
    <n v="0"/>
  </r>
  <r>
    <m/>
    <x v="557"/>
    <s v="08-2025"/>
    <x v="1"/>
    <e v="#N/A"/>
    <x v="7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6122"/>
    <n v="6122"/>
    <m/>
    <n v="0"/>
    <n v="0"/>
    <n v="0"/>
    <n v="7.4999999999999997E-3"/>
    <n v="0"/>
    <m/>
    <n v="0"/>
    <n v="0"/>
  </r>
  <r>
    <m/>
    <x v="558"/>
    <m/>
    <x v="1"/>
    <e v="#N/A"/>
    <x v="7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559"/>
    <d v="2025-08-18T00:00:00"/>
    <x v="1"/>
    <e v="#N/A"/>
    <x v="7"/>
    <s v="DRY2500195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1000"/>
    <n v="1000"/>
    <m/>
    <n v="0"/>
    <n v="0"/>
    <n v="0"/>
    <n v="2"/>
    <n v="0"/>
    <s v="ห่อแบบสุก"/>
    <n v="0"/>
    <n v="0"/>
  </r>
  <r>
    <s v="T"/>
    <x v="559"/>
    <d v="2025-08-21T00:00:00"/>
    <x v="1"/>
    <e v="#N/A"/>
    <x v="7"/>
    <s v="DRY2500214"/>
    <s v="AUS"/>
    <s v="CPFNW"/>
    <s v="CPF Australia Pty Ltd."/>
    <s v="C-Minced WT in tray no egg"/>
    <x v="1"/>
    <s v="Cooked Minced Wonton in Tray 6 pcs + Sesame Sauce"/>
    <s v="082SK9U16006P00001"/>
    <s v="117*2tray*8in"/>
    <n v="16"/>
    <n v="6"/>
    <n v="6.1999999999999998E-3"/>
    <s v="BK"/>
    <s v="Salt"/>
    <s v=" Sesame 15g"/>
    <n v="750"/>
    <m/>
    <n v="756.875"/>
    <n v="6.875"/>
    <n v="0"/>
    <n v="0"/>
    <n v="1"/>
    <n v="0"/>
    <s v="ซอส 15,159 ซอง"/>
    <n v="0"/>
    <n v="0"/>
  </r>
  <r>
    <s v="T"/>
    <x v="559"/>
    <d v="2025-09-11T00:00:00"/>
    <x v="1"/>
    <e v="#N/A"/>
    <x v="7"/>
    <s v="DRY2500251"/>
    <s v="New Zealand"/>
    <s v="CPFNW"/>
    <s v="Lim Brothers"/>
    <s v="C-Minced WT in tray no egg"/>
    <x v="1"/>
    <s v="Cooked Minced Wonton in Tray 6 pcs + Sesame Sauce"/>
    <s v="082SKN716006P00001"/>
    <s v="117*2tray*8in"/>
    <n v="16"/>
    <n v="6"/>
    <n v="6.1999999999999998E-3"/>
    <s v="BK"/>
    <s v="Salt"/>
    <s v=" Sesame 15g"/>
    <n v="500"/>
    <m/>
    <n v="535.625"/>
    <n v="35.625"/>
    <n v="0"/>
    <n v="0"/>
    <n v="1"/>
    <n v="0"/>
    <s v="cap 3000 tray/hr. อื่น 8,300 ถ้วย"/>
    <n v="0"/>
    <n v="0"/>
  </r>
  <r>
    <m/>
    <x v="559"/>
    <d v="2025-08-18T00:00:00"/>
    <x v="1"/>
    <e v="#N/A"/>
    <x v="7"/>
    <s v="DRY2500195"/>
    <s v="SG"/>
    <s v="CPFNW"/>
    <s v="CPI Singapore"/>
    <s v="Wonton ND+V"/>
    <x v="1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250"/>
    <n v="250"/>
    <m/>
    <n v="0"/>
    <n v="0"/>
    <n v="0"/>
    <n v="1"/>
    <n v="0"/>
    <m/>
    <n v="0"/>
    <n v="0"/>
  </r>
  <r>
    <m/>
    <x v="559"/>
    <d v="2025-08-20T00:00:00"/>
    <x v="1"/>
    <e v="#N/A"/>
    <x v="7"/>
    <s v="DRY2500113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n v="0"/>
    <n v="7.4999999999999997E-3"/>
    <n v="0"/>
    <m/>
    <n v="0"/>
    <n v="0"/>
  </r>
  <r>
    <m/>
    <x v="560"/>
    <m/>
    <x v="1"/>
    <e v="#N/A"/>
    <x v="7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561"/>
    <d v="2025-08-20T00:00:00"/>
    <x v="1"/>
    <e v="#N/A"/>
    <x v="7"/>
    <s v="DRY2500218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561"/>
    <n v="550"/>
    <n v="11"/>
    <n v="0"/>
    <n v="0"/>
    <n v="0"/>
    <n v="2"/>
    <n v="0"/>
    <m/>
    <n v="0"/>
    <n v="0"/>
  </r>
  <r>
    <m/>
    <x v="561"/>
    <s v="08-2025"/>
    <x v="1"/>
    <e v="#N/A"/>
    <x v="7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3790"/>
    <n v="3790"/>
    <m/>
    <n v="0"/>
    <n v="0"/>
    <n v="0"/>
    <n v="7.4999999999999997E-3"/>
    <n v="0"/>
    <m/>
    <n v="0"/>
    <n v="0"/>
  </r>
  <r>
    <s v="R"/>
    <x v="562"/>
    <d v="2025-08-20T00:00:00"/>
    <x v="1"/>
    <e v="#N/A"/>
    <x v="7"/>
    <s v="DRY2500218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560"/>
    <n v="560"/>
    <m/>
    <n v="0"/>
    <n v="0"/>
    <n v="0"/>
    <n v="2"/>
    <n v="0"/>
    <m/>
    <n v="0"/>
    <n v="0"/>
  </r>
  <r>
    <m/>
    <x v="562"/>
    <d v="2025-08-26T00:00:00"/>
    <x v="1"/>
    <e v="#N/A"/>
    <x v="7"/>
    <s v="DRY2500280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ถ้าว,ฝา สีขาว"/>
    <n v="0"/>
    <n v="0"/>
  </r>
  <r>
    <m/>
    <x v="562"/>
    <d v="2025-08-26T00:00:00"/>
    <x v="1"/>
    <e v="#N/A"/>
    <x v="7"/>
    <s v="DRY2500217"/>
    <s v="Denmark"/>
    <s v="CPFNW"/>
    <s v="CPF DENMARK"/>
    <s v="Minced ND+V+TK"/>
    <x v="1"/>
    <s v="Cooked Minced  ND No Egg with Pumpkin_x000a_+ Yu Choy Tomyum"/>
    <s v="082SJKW08003P01001"/>
    <s v="302g*8"/>
    <n v="8"/>
    <n v="3"/>
    <n v="6.0000000000000001E-3"/>
    <s v="BK"/>
    <s v="Salt"/>
    <s v="Tomkha+CM"/>
    <n v="3500"/>
    <m/>
    <n v="3591.75"/>
    <n v="91.75"/>
    <n v="0"/>
    <n v="0"/>
    <n v="5.8823E-2"/>
    <n v="0"/>
    <m/>
    <n v="0"/>
    <n v="0"/>
  </r>
  <r>
    <m/>
    <x v="562"/>
    <d v="2025-09-11T00:00:00"/>
    <x v="1"/>
    <e v="#N/A"/>
    <x v="7"/>
    <s v="DRY2500251"/>
    <s v="New Zealand"/>
    <s v="CPFNW"/>
    <s v="Lim Brothers"/>
    <s v="Minced ND+V+TK"/>
    <x v="1"/>
    <s v="Cooked Minced  ND No Egg with Pumpkin_x000a_+ Yu Choy Tomkha"/>
    <s v="082SRN708003P01001"/>
    <s v="302g*8"/>
    <n v="8"/>
    <n v="3"/>
    <n v="6.0000000000000001E-3"/>
    <s v="BK"/>
    <s v="Salt"/>
    <s v="Tomkha+CM"/>
    <n v="550"/>
    <m/>
    <n v="550"/>
    <n v="0"/>
    <n v="0"/>
    <n v="0"/>
    <n v="5.8823E-2"/>
    <n v="0"/>
    <m/>
    <n v="0"/>
    <n v="0"/>
  </r>
  <r>
    <s v="R"/>
    <x v="563"/>
    <d v="2025-08-20T00:00:00"/>
    <x v="1"/>
    <e v="#N/A"/>
    <x v="7"/>
    <s v="DRY2500218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503"/>
    <n v="503"/>
    <m/>
    <n v="0"/>
    <n v="0"/>
    <n v="0"/>
    <n v="2"/>
    <n v="0"/>
    <m/>
    <n v="0"/>
    <n v="0"/>
  </r>
  <r>
    <m/>
    <x v="563"/>
    <d v="2025-08-26T00:00:00"/>
    <x v="1"/>
    <e v="#N/A"/>
    <x v="7"/>
    <s v="DRY2500281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ถ้าว,ฝา สีขาว/Halal"/>
    <n v="0"/>
    <n v="0"/>
  </r>
  <r>
    <m/>
    <x v="563"/>
    <d v="2025-08-26T00:00:00"/>
    <x v="1"/>
    <e v="#N/A"/>
    <x v="7"/>
    <s v="DRY2500282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74"/>
    <n v="14"/>
    <n v="0"/>
    <n v="0"/>
    <n v="0"/>
    <n v="7.4999999999999997E-3"/>
    <n v="0"/>
    <s v="ถ้าว,ฝา สีขาว/Halal"/>
    <n v="0"/>
    <n v="0"/>
  </r>
  <r>
    <s v="R"/>
    <x v="564"/>
    <d v="2025-09-02T00:00:00"/>
    <x v="1"/>
    <e v="#N/A"/>
    <x v="7"/>
    <s v="DRY2500198"/>
    <s v="Belgium"/>
    <s v="CPFNW"/>
    <s v="CPF EUROPE S.A."/>
    <s v="R-Wonton no egg"/>
    <x v="2"/>
    <s v="Raw Wonton 50 pcs"/>
    <s v="082I93I10050P02001"/>
    <s v="630g*10inner"/>
    <n v="10"/>
    <n v="50"/>
    <n v="8.1300000000000001E-3"/>
    <s v="M"/>
    <s v="Salt"/>
    <s v="ซุปซอง 5g."/>
    <n v="525"/>
    <n v="525"/>
    <m/>
    <n v="0"/>
    <n v="0"/>
    <n v="0"/>
    <n v="6"/>
    <n v="0"/>
    <m/>
    <n v="0"/>
    <n v="0"/>
  </r>
  <r>
    <m/>
    <x v="564"/>
    <d v="2025-09-04T00:00:00"/>
    <x v="1"/>
    <e v="#N/A"/>
    <x v="7"/>
    <s v="DRY2500238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564"/>
    <d v="2025-09-04T00:00:00"/>
    <x v="1"/>
    <e v="#N/A"/>
    <x v="7"/>
    <s v="DRY2500239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564"/>
    <d v="2025-09-04T00:00:00"/>
    <x v="1"/>
    <e v="#N/A"/>
    <x v="7"/>
    <s v="DRY2500230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SG+CO"/>
    <n v="924"/>
    <n v="924"/>
    <m/>
    <n v="0"/>
    <n v="0"/>
    <n v="0"/>
    <n v="3.8699999999999998E-2"/>
    <n v="0"/>
    <m/>
    <n v="0"/>
    <n v="0"/>
  </r>
  <r>
    <m/>
    <x v="564"/>
    <d v="2025-09-11T00:00:00"/>
    <x v="1"/>
    <e v="#N/A"/>
    <x v="7"/>
    <s v="DRY2500251"/>
    <s v="New Zealand"/>
    <s v="CPFNW"/>
    <s v="Lim Brothers"/>
    <s v="Minced ND+V+TY"/>
    <x v="1"/>
    <s v="Cooked Minced  ND No Egg with Pumpkin_x000a_+ Yu Choy Tomyum"/>
    <s v="082SRN708003P00001"/>
    <s v="302g*8"/>
    <n v="8"/>
    <n v="3"/>
    <n v="6.0000000000000001E-3"/>
    <s v="BK"/>
    <s v="Salt"/>
    <s v="TYEXSG+CO"/>
    <n v="650"/>
    <m/>
    <n v="650"/>
    <n v="0"/>
    <n v="0"/>
    <n v="0"/>
    <n v="3.8699999999999998E-2"/>
    <n v="0"/>
    <s v="2673 ถ้วย เอา Germany มา"/>
    <n v="0"/>
    <n v="0"/>
  </r>
  <r>
    <m/>
    <x v="565"/>
    <m/>
    <x v="1"/>
    <e v="#N/A"/>
    <x v="7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566"/>
    <d v="2025-08-28T00:00:00"/>
    <x v="1"/>
    <e v="#N/A"/>
    <x v="7"/>
    <s v="DRY2500200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583"/>
    <n v="583"/>
    <m/>
    <n v="0"/>
    <n v="0"/>
    <n v="0"/>
    <n v="2"/>
    <n v="0"/>
    <m/>
    <n v="0"/>
    <n v="0"/>
  </r>
  <r>
    <m/>
    <x v="566"/>
    <s v="08-2025"/>
    <x v="1"/>
    <e v="#N/A"/>
    <x v="7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999"/>
    <n v="999"/>
    <m/>
    <n v="0"/>
    <n v="0"/>
    <n v="0"/>
    <n v="7.4999999999999997E-3"/>
    <n v="0"/>
    <m/>
    <n v="0"/>
    <n v="0"/>
  </r>
  <r>
    <m/>
    <x v="566"/>
    <d v="2025-09-02T00:00:00"/>
    <x v="1"/>
    <e v="#N/A"/>
    <x v="7"/>
    <s v="DRY2500261"/>
    <s v="UK"/>
    <s v="CPFNW"/>
    <s v="Food Fellas"/>
    <s v="Wonton"/>
    <x v="1"/>
    <s v="Cooked Wonton  No Egg_x000a_HC  5 pcs"/>
    <s v="082S85L08005P03001"/>
    <s v="145g*8"/>
    <n v="8"/>
    <n v="5"/>
    <n v="7.4999999999999997E-3"/>
    <s v="HC"/>
    <s v="Salt"/>
    <s v="Regular"/>
    <n v="1900"/>
    <m/>
    <n v="1900"/>
    <n v="0"/>
    <n v="0"/>
    <n v="0"/>
    <n v="7.4999999999999997E-3"/>
    <n v="0"/>
    <s v="ถ้าว,ฝา สีขาว"/>
    <m/>
    <m/>
  </r>
  <r>
    <m/>
    <x v="566"/>
    <d v="2025-09-02T00:00:00"/>
    <x v="1"/>
    <e v="#N/A"/>
    <x v="7"/>
    <s v="DRY2500198"/>
    <s v="Belgium"/>
    <s v="CPFNW"/>
    <s v="CPF EUROPE S.A."/>
    <s v="Wonton +V"/>
    <x v="1"/>
    <s v="Cooked Wonton  No Egg _x000a_+ Vegetable  HC  4 pcs"/>
    <s v="082S83I08004P00001"/>
    <s v="145g*8"/>
    <n v="8"/>
    <n v="4"/>
    <n v="7.4999999999999997E-3"/>
    <s v="HC"/>
    <s v="Salt"/>
    <s v="Regular"/>
    <n v="3000"/>
    <m/>
    <n v="3000"/>
    <n v="0"/>
    <n v="0"/>
    <n v="0"/>
    <n v="7.4999999999999997E-3"/>
    <n v="0"/>
    <m/>
    <n v="0"/>
    <n v="0"/>
  </r>
  <r>
    <s v="R"/>
    <x v="567"/>
    <d v="2025-08-28T00:00:00"/>
    <x v="1"/>
    <e v="#N/A"/>
    <x v="7"/>
    <s v="DRY2500200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588"/>
    <n v="588"/>
    <m/>
    <n v="0"/>
    <n v="0"/>
    <n v="0"/>
    <n v="2"/>
    <n v="0"/>
    <m/>
    <n v="0"/>
    <n v="0"/>
  </r>
  <r>
    <m/>
    <x v="567"/>
    <d v="2025-09-11T00:00:00"/>
    <x v="1"/>
    <e v="#N/A"/>
    <x v="7"/>
    <s v="DRY2500251"/>
    <s v="New Zealand"/>
    <s v="CPFNW"/>
    <s v="Lim Brothers"/>
    <s v="Minced ND+Kee Mao"/>
    <x v="1"/>
    <s v="Cooked Minced Wonton Thai Spicy Noodles (Kee Mao Noodles)"/>
    <s v="082SRN708003P03001"/>
    <s v="242g*8"/>
    <n v="8"/>
    <n v="3"/>
    <n v="6.1999999999999998E-3"/>
    <s v="BK"/>
    <s v="Salt"/>
    <s v="Kee Mao"/>
    <n v="350"/>
    <m/>
    <n v="370"/>
    <n v="20"/>
    <n v="0"/>
    <n v="0"/>
    <n v="1"/>
    <n v="0"/>
    <s v="NEWPACKAGE"/>
    <n v="0"/>
    <n v="0"/>
  </r>
  <r>
    <m/>
    <x v="567"/>
    <d v="2025-09-08T00:00:00"/>
    <x v="1"/>
    <e v="#N/A"/>
    <x v="7"/>
    <s v="DRY2500240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n v="0"/>
    <n v="7.4999999999999997E-3"/>
    <n v="0"/>
    <s v="new package (ลบโลโก้ Facebook)"/>
    <n v="0"/>
    <n v="0"/>
  </r>
  <r>
    <m/>
    <x v="567"/>
    <d v="2025-09-02T00:00:00"/>
    <x v="1"/>
    <e v="#N/A"/>
    <x v="7"/>
    <s v="DRY2500261"/>
    <s v="UK"/>
    <s v="CPFNW"/>
    <s v="Food Fellas"/>
    <s v="Wonton ND"/>
    <x v="1"/>
    <s v="Cooked Wonton ND No Egg with _x000a_HC  5 pcs"/>
    <s v="082SJ5L08005P03001"/>
    <s v="258g*8"/>
    <n v="8"/>
    <n v="5"/>
    <n v="7.4999999999999997E-3"/>
    <s v="HC"/>
    <s v="Salt"/>
    <s v="Regular"/>
    <n v="1700"/>
    <m/>
    <n v="1778.5"/>
    <n v="78.5"/>
    <n v="0"/>
    <n v="0"/>
    <n v="7.4999999999999997E-3"/>
    <n v="0"/>
    <s v="ถ้าว,ฝา สีขาว"/>
    <m/>
    <m/>
  </r>
  <r>
    <m/>
    <x v="567"/>
    <d v="2025-09-11T00:00:00"/>
    <x v="1"/>
    <e v="#N/A"/>
    <x v="7"/>
    <s v="DRY2500251"/>
    <s v="New Zealand"/>
    <s v="CPFNW"/>
    <s v="Lim Brothers"/>
    <s v="Wonton ND+V"/>
    <x v="1"/>
    <s v="Cooked Wonton ND No Egg with Pumpkin_x000a_+ Yu Choy "/>
    <s v="082SJN708004P00001"/>
    <s v="305g*8"/>
    <n v="8"/>
    <n v="4"/>
    <n v="7.4999999999999997E-3"/>
    <s v="HC"/>
    <s v="Salt"/>
    <s v="Regular"/>
    <n v="1450"/>
    <m/>
    <n v="1450"/>
    <n v="0"/>
    <n v="0"/>
    <n v="0"/>
    <n v="7.4999999999999997E-3"/>
    <n v="0"/>
    <m/>
    <n v="0"/>
    <n v="0"/>
  </r>
  <r>
    <s v="R"/>
    <x v="568"/>
    <d v="2025-08-28T00:00:00"/>
    <x v="1"/>
    <e v="#N/A"/>
    <x v="7"/>
    <s v="DRY2500201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715"/>
    <n v="715"/>
    <m/>
    <n v="0"/>
    <n v="0"/>
    <n v="0"/>
    <n v="6"/>
    <n v="0"/>
    <m/>
    <n v="0"/>
    <n v="0"/>
  </r>
  <r>
    <m/>
    <x v="568"/>
    <s v="09-2025"/>
    <x v="1"/>
    <e v="#N/A"/>
    <x v="7"/>
    <s v="ขายภายใน"/>
    <s v="MTFS"/>
    <s v="CPFGS"/>
    <s v="ซีพีเอฟ เทรดดิ้ง"/>
    <s v="E+Wonton NDE"/>
    <x v="1"/>
    <s v="บะหมี่เกี๊ยวกุ้ง ตราซีพี 12X226 กรัม"/>
    <s v="082SJ3Q12003P07001"/>
    <s v="226g*12"/>
    <n v="12"/>
    <n v="3"/>
    <n v="8.0000000000000002E-3"/>
    <s v="M"/>
    <s v="STPP"/>
    <s v="Regular"/>
    <n v="500"/>
    <n v="500"/>
    <m/>
    <n v="0"/>
    <n v="0"/>
    <n v="0"/>
    <n v="7.4999999999999997E-3"/>
    <n v="0"/>
    <m/>
    <n v="0"/>
    <n v="0"/>
  </r>
  <r>
    <m/>
    <x v="568"/>
    <s v="09-2025"/>
    <x v="1"/>
    <e v="#N/A"/>
    <x v="7"/>
    <s v="ขายภายใน"/>
    <s v="MTFS"/>
    <s v="CPFGS"/>
    <s v="ซีพีเอฟ เทรดดิ้ง"/>
    <s v="E+Wonton NDE"/>
    <x v="1"/>
    <s v="บะหมี่เกี๊ยวกุ้ง ตราซีพี 12X226 กรัม"/>
    <s v="082SJ3Q12003P07001"/>
    <s v="226g*12"/>
    <n v="12"/>
    <n v="3"/>
    <n v="8.0000000000000002E-3"/>
    <s v="M"/>
    <s v="STPP"/>
    <s v="Regular"/>
    <n v="200"/>
    <n v="200"/>
    <m/>
    <n v="0"/>
    <n v="0"/>
    <n v="0"/>
    <n v="7.4999999999999997E-3"/>
    <n v="0"/>
    <m/>
    <n v="0"/>
    <n v="0"/>
  </r>
  <r>
    <m/>
    <x v="568"/>
    <s v="09-2025"/>
    <x v="1"/>
    <e v="#N/A"/>
    <x v="7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350"/>
    <n v="350"/>
    <m/>
    <n v="0"/>
    <n v="0"/>
    <n v="0"/>
    <n v="7.4999999999999997E-3"/>
    <n v="0"/>
    <m/>
    <n v="0"/>
    <n v="0"/>
  </r>
  <r>
    <m/>
    <x v="568"/>
    <s v="09-2025"/>
    <x v="1"/>
    <e v="#N/A"/>
    <x v="7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50"/>
    <n v="50"/>
    <m/>
    <n v="0"/>
    <n v="0"/>
    <n v="0"/>
    <n v="7.4999999999999997E-3"/>
    <n v="0"/>
    <m/>
    <n v="0"/>
    <n v="0"/>
  </r>
  <r>
    <m/>
    <x v="568"/>
    <s v="09-2025"/>
    <x v="1"/>
    <e v="#N/A"/>
    <x v="7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400"/>
    <n v="400"/>
    <m/>
    <n v="0"/>
    <n v="0"/>
    <n v="0"/>
    <n v="7.4999999999999997E-3"/>
    <n v="0"/>
    <m/>
    <n v="0"/>
    <n v="0"/>
  </r>
  <r>
    <s v="ชมรมกอล์ฟ ซีพี"/>
    <x v="568"/>
    <s v="09-2025"/>
    <x v="1"/>
    <e v="#N/A"/>
    <x v="7"/>
    <s v="ขายภายใน"/>
    <s v="MTFS"/>
    <s v="CPFGS"/>
    <s v="ซีพีเอฟ เทรดดิ้ง"/>
    <s v="E+Wonton"/>
    <x v="1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n v="0"/>
    <n v="7.4999999999999997E-3"/>
    <n v="0"/>
    <m/>
    <n v="0"/>
    <n v="0"/>
  </r>
  <r>
    <m/>
    <x v="568"/>
    <s v="09-2025"/>
    <x v="1"/>
    <e v="#N/A"/>
    <x v="7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1"/>
    <s v="145g*12"/>
    <n v="12"/>
    <n v="5"/>
    <n v="8.0000000000000002E-3"/>
    <s v="M"/>
    <s v="STPP"/>
    <s v="Regular"/>
    <n v="1250"/>
    <n v="1250"/>
    <m/>
    <n v="0"/>
    <n v="0"/>
    <n v="0"/>
    <n v="7.4999999999999997E-3"/>
    <n v="0"/>
    <m/>
    <n v="0"/>
    <n v="0"/>
  </r>
  <r>
    <m/>
    <x v="568"/>
    <s v="09-2025"/>
    <x v="1"/>
    <e v="#N/A"/>
    <x v="7"/>
    <s v="ขายภายใน"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1200"/>
    <n v="1200"/>
    <m/>
    <n v="0"/>
    <n v="0"/>
    <n v="0"/>
    <n v="1"/>
    <n v="0"/>
    <m/>
    <n v="0"/>
    <n v="0"/>
  </r>
  <r>
    <m/>
    <x v="568"/>
    <s v="09-2025"/>
    <x v="1"/>
    <e v="#N/A"/>
    <x v="7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1037"/>
    <n v="1037"/>
    <m/>
    <n v="0"/>
    <n v="0"/>
    <n v="0"/>
    <n v="7.4999999999999997E-3"/>
    <n v="0"/>
    <m/>
    <n v="0"/>
    <n v="0"/>
  </r>
  <r>
    <s v="R"/>
    <x v="569"/>
    <d v="2025-08-28T00:00:00"/>
    <x v="1"/>
    <e v="#N/A"/>
    <x v="7"/>
    <s v="DRY2500200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453"/>
    <n v="453"/>
    <m/>
    <n v="0"/>
    <n v="0"/>
    <n v="0"/>
    <n v="2"/>
    <n v="0"/>
    <m/>
    <n v="0"/>
    <n v="0"/>
  </r>
  <r>
    <s v="R"/>
    <x v="569"/>
    <d v="2025-08-28T00:00:00"/>
    <x v="1"/>
    <e v="#N/A"/>
    <x v="7"/>
    <s v="DRY2500201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101"/>
    <n v="101"/>
    <m/>
    <n v="0"/>
    <n v="0"/>
    <n v="0"/>
    <n v="6"/>
    <n v="0"/>
    <m/>
    <n v="0"/>
    <n v="0"/>
  </r>
  <r>
    <s v="cpall audit"/>
    <x v="569"/>
    <s v="09-2025"/>
    <x v="1"/>
    <e v="#N/A"/>
    <x v="7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3507"/>
    <n v="3507"/>
    <m/>
    <n v="0"/>
    <n v="0"/>
    <n v="0"/>
    <n v="7.4999999999999997E-3"/>
    <n v="0"/>
    <m/>
    <n v="0"/>
    <n v="0"/>
  </r>
  <r>
    <s v="R"/>
    <x v="570"/>
    <s v="09-2025"/>
    <x v="1"/>
    <e v="#N/A"/>
    <x v="7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500"/>
    <n v="500"/>
    <m/>
    <n v="0"/>
    <n v="0"/>
    <n v="0"/>
    <m/>
    <n v="0"/>
    <m/>
    <n v="0"/>
    <n v="0"/>
  </r>
  <r>
    <s v="R"/>
    <x v="570"/>
    <s v="09-2025"/>
    <x v="1"/>
    <e v="#N/A"/>
    <x v="7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500"/>
    <n v="500"/>
    <m/>
    <n v="0"/>
    <n v="0"/>
    <n v="0"/>
    <m/>
    <n v="0"/>
    <m/>
    <n v="0"/>
    <n v="0"/>
  </r>
  <r>
    <s v="R"/>
    <x v="570"/>
    <s v="09-2025"/>
    <x v="1"/>
    <e v="#N/A"/>
    <x v="7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200"/>
    <n v="200"/>
    <m/>
    <n v="0"/>
    <n v="0"/>
    <n v="0"/>
    <m/>
    <n v="0"/>
    <m/>
    <n v="0"/>
    <n v="0"/>
  </r>
  <r>
    <m/>
    <x v="570"/>
    <s v="09-2025"/>
    <x v="1"/>
    <e v="#N/A"/>
    <x v="7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2956"/>
    <n v="2956"/>
    <m/>
    <n v="0"/>
    <n v="0"/>
    <n v="0"/>
    <n v="7.4999999999999997E-3"/>
    <n v="0"/>
    <m/>
    <n v="0"/>
    <n v="0"/>
  </r>
  <r>
    <m/>
    <x v="570"/>
    <s v="10-2025"/>
    <x v="1"/>
    <e v="#N/A"/>
    <x v="7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334"/>
    <n v="154"/>
    <n v="180"/>
    <n v="0"/>
    <n v="0"/>
    <n v="0"/>
    <n v="7.4999999999999997E-3"/>
    <n v="0"/>
    <m/>
    <n v="0"/>
    <n v="0"/>
  </r>
  <r>
    <m/>
    <x v="570"/>
    <s v="09-2025"/>
    <x v="1"/>
    <e v="#N/A"/>
    <x v="7"/>
    <s v="ขายภายใน"/>
    <s v="MTFS"/>
    <s v="CPFGS"/>
    <s v="ซีพีเอฟ เทรดดิ้ง"/>
    <s v="E+Wonton TY"/>
    <x v="1"/>
    <s v="เกี๊ยวกุ้งรสต้มยำ ตราซีพี 12x115 กรัม"/>
    <s v="082S83Q12005P04001"/>
    <s v="115g*12"/>
    <n v="12"/>
    <n v="5"/>
    <n v="8.0000000000000002E-3"/>
    <s v="M"/>
    <s v="STPP"/>
    <s v="TYTB3C 30G"/>
    <n v="250"/>
    <n v="250"/>
    <m/>
    <n v="0"/>
    <n v="0"/>
    <n v="0"/>
    <n v="1"/>
    <n v="0"/>
    <m/>
    <n v="0"/>
    <n v="0"/>
  </r>
  <r>
    <s v="R"/>
    <x v="571"/>
    <d v="2025-08-28T00:00:00"/>
    <x v="1"/>
    <e v="#N/A"/>
    <x v="7"/>
    <s v="DRY2500201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731"/>
    <n v="731"/>
    <m/>
    <n v="0"/>
    <n v="0"/>
    <n v="0"/>
    <n v="6"/>
    <n v="0"/>
    <m/>
    <n v="0"/>
    <n v="0"/>
  </r>
  <r>
    <m/>
    <x v="571"/>
    <d v="2025-08-27T00:00:00"/>
    <x v="1"/>
    <e v="#N/A"/>
    <x v="7"/>
    <s v="DRY2500139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571"/>
    <d v="2025-08-27T00:00:00"/>
    <x v="1"/>
    <e v="#N/A"/>
    <x v="7"/>
    <s v="DRY2500140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571"/>
    <d v="2025-09-03T00:00:00"/>
    <x v="1"/>
    <e v="#N/A"/>
    <x v="7"/>
    <s v="DRY2500141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37"/>
    <n v="37"/>
    <m/>
    <n v="0"/>
    <n v="0"/>
    <n v="0"/>
    <n v="9.7000000000000003E-3"/>
    <n v="0"/>
    <m/>
    <n v="0"/>
    <n v="0"/>
  </r>
  <r>
    <m/>
    <x v="571"/>
    <d v="2025-09-01T00:00:00"/>
    <x v="1"/>
    <e v="#N/A"/>
    <x v="7"/>
    <s v="DRY2500250"/>
    <s v="SG"/>
    <s v="CPFNW"/>
    <s v="CPI SINGAPORE"/>
    <s v="Minced ND+หมาล่า"/>
    <x v="1"/>
    <s v="Cooked Minced  ND No Egg หมาล่า"/>
    <s v="082SR3B24003P00001"/>
    <s v="300g*24"/>
    <n v="24"/>
    <n v="3"/>
    <n v="6.0000000000000001E-3"/>
    <s v="BK"/>
    <s v="Salt"/>
    <s v="หมาล่า"/>
    <n v="420"/>
    <n v="420"/>
    <m/>
    <n v="0"/>
    <n v="0"/>
    <n v="0"/>
    <n v="2.4E-2"/>
    <n v="0"/>
    <m/>
    <n v="0"/>
    <n v="0"/>
  </r>
  <r>
    <m/>
    <x v="572"/>
    <m/>
    <x v="1"/>
    <e v="#N/A"/>
    <x v="7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573"/>
    <d v="2025-08-28T00:00:00"/>
    <x v="1"/>
    <e v="#N/A"/>
    <x v="7"/>
    <s v="DRY2500201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509"/>
    <n v="509"/>
    <m/>
    <n v="0"/>
    <n v="0"/>
    <n v="0"/>
    <n v="6"/>
    <n v="0"/>
    <m/>
    <n v="0"/>
    <n v="0"/>
  </r>
  <r>
    <m/>
    <x v="573"/>
    <s v="09-2025"/>
    <x v="1"/>
    <e v="#N/A"/>
    <x v="7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3749"/>
    <n v="3749"/>
    <m/>
    <n v="0"/>
    <n v="0"/>
    <n v="0"/>
    <n v="7.4999999999999997E-3"/>
    <n v="0"/>
    <m/>
    <n v="0"/>
    <n v="0"/>
  </r>
  <r>
    <s v="R"/>
    <x v="574"/>
    <d v="2025-09-02T00:00:00"/>
    <x v="1"/>
    <e v="#N/A"/>
    <x v="7"/>
    <s v="KL2500025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724"/>
    <n v="724"/>
    <m/>
    <n v="0"/>
    <n v="0"/>
    <n v="0"/>
    <n v="6"/>
    <n v="0"/>
    <m/>
    <n v="0"/>
    <n v="0"/>
  </r>
  <r>
    <m/>
    <x v="574"/>
    <d v="2025-09-03T00:00:00"/>
    <x v="1"/>
    <e v="#N/A"/>
    <x v="7"/>
    <s v="DRY2500141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55"/>
    <n v="755"/>
    <m/>
    <n v="0"/>
    <n v="0"/>
    <n v="0"/>
    <n v="9.7000000000000003E-3"/>
    <n v="0"/>
    <m/>
    <n v="0"/>
    <n v="0"/>
  </r>
  <r>
    <m/>
    <x v="574"/>
    <d v="2025-09-03T00:00:00"/>
    <x v="1"/>
    <e v="#N/A"/>
    <x v="7"/>
    <s v="DRY2500142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574"/>
    <d v="2025-09-03T00:00:00"/>
    <x v="1"/>
    <e v="#N/A"/>
    <x v="7"/>
    <s v="DRY2500143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574"/>
    <d v="2025-09-03T00:00:00"/>
    <x v="1"/>
    <e v="#N/A"/>
    <x v="7"/>
    <s v="DRY2500156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106"/>
    <n v="106"/>
    <m/>
    <n v="0"/>
    <n v="0"/>
    <n v="0"/>
    <n v="9.7000000000000003E-3"/>
    <n v="0"/>
    <m/>
    <n v="0"/>
    <n v="0"/>
  </r>
  <r>
    <s v="R"/>
    <x v="575"/>
    <d v="2025-09-02T00:00:00"/>
    <x v="1"/>
    <e v="#N/A"/>
    <x v="7"/>
    <s v="KL2500025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684"/>
    <n v="684"/>
    <m/>
    <n v="0"/>
    <n v="0"/>
    <n v="0"/>
    <n v="6"/>
    <n v="0"/>
    <m/>
    <n v="0"/>
    <n v="0"/>
  </r>
  <r>
    <m/>
    <x v="575"/>
    <d v="2025-09-03T00:00:00"/>
    <x v="1"/>
    <e v="#N/A"/>
    <x v="7"/>
    <s v="DRY2500156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686"/>
    <n v="686"/>
    <m/>
    <n v="0"/>
    <n v="0"/>
    <n v="0"/>
    <n v="9.7000000000000003E-3"/>
    <n v="0"/>
    <m/>
    <n v="0"/>
    <n v="0"/>
  </r>
  <r>
    <m/>
    <x v="575"/>
    <d v="2025-09-03T00:00:00"/>
    <x v="1"/>
    <e v="#N/A"/>
    <x v="7"/>
    <s v="DRY2500157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575"/>
    <d v="2025-09-03T00:00:00"/>
    <x v="1"/>
    <e v="#N/A"/>
    <x v="7"/>
    <s v="DRY2500158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575"/>
    <d v="2025-09-11T00:00:00"/>
    <x v="1"/>
    <e v="#N/A"/>
    <x v="7"/>
    <s v="DRY2500159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117"/>
    <n v="117"/>
    <m/>
    <n v="0"/>
    <n v="0"/>
    <n v="0"/>
    <n v="9.7000000000000003E-3"/>
    <n v="0"/>
    <m/>
    <n v="0"/>
    <n v="0"/>
  </r>
  <r>
    <s v="R"/>
    <x v="576"/>
    <d v="2025-09-02T00:00:00"/>
    <x v="1"/>
    <e v="#N/A"/>
    <x v="7"/>
    <s v="KL2500027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727"/>
    <n v="727"/>
    <m/>
    <n v="0"/>
    <n v="0"/>
    <n v="0"/>
    <n v="6"/>
    <n v="0"/>
    <m/>
    <n v="0"/>
    <n v="0"/>
  </r>
  <r>
    <m/>
    <x v="576"/>
    <d v="2025-09-09T00:00:00"/>
    <x v="1"/>
    <e v="#N/A"/>
    <x v="7"/>
    <s v="DRY2500045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37"/>
    <n v="51"/>
    <n v="0"/>
    <n v="0"/>
    <n v="0"/>
    <n v="7.4999999999999997E-3"/>
    <n v="0"/>
    <s v="ถ้าว,ฝา สีขาว/Halal"/>
    <n v="0"/>
    <n v="0"/>
  </r>
  <r>
    <m/>
    <x v="576"/>
    <d v="2025-09-29T00:00:00"/>
    <x v="1"/>
    <e v="#N/A"/>
    <x v="7"/>
    <s v="DRY2500252"/>
    <s v="Denmark"/>
    <s v="CPFNW"/>
    <s v="CPF DENMARK"/>
    <s v="Minced ND+V+TY"/>
    <x v="1"/>
    <s v="Cooked Minced  ND No Egg with Pumpkin_x000a_+ Yu Choy Tomyum"/>
    <s v="082SRRE12003P00001"/>
    <s v="302g*12"/>
    <n v="12"/>
    <n v="3"/>
    <n v="6.0000000000000001E-3"/>
    <s v="BK"/>
    <s v="Salt"/>
    <s v="TYEXSG+CO"/>
    <n v="2520"/>
    <n v="2520"/>
    <m/>
    <n v="0"/>
    <n v="0"/>
    <n v="0"/>
    <n v="3.8699999999999998E-2"/>
    <n v="0"/>
    <s v="rema"/>
    <n v="0"/>
    <n v="0"/>
  </r>
  <r>
    <s v="R"/>
    <x v="577"/>
    <d v="2025-09-02T00:00:00"/>
    <x v="1"/>
    <e v="#N/A"/>
    <x v="7"/>
    <s v="KL2500027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681"/>
    <n v="681"/>
    <m/>
    <n v="0"/>
    <n v="0"/>
    <n v="0"/>
    <n v="6"/>
    <n v="0"/>
    <m/>
    <n v="0"/>
    <n v="0"/>
  </r>
  <r>
    <m/>
    <x v="577"/>
    <d v="2025-09-09T00:00:00"/>
    <x v="1"/>
    <e v="#N/A"/>
    <x v="7"/>
    <s v="DRY2500196"/>
    <s v="SG"/>
    <s v="CPFNW"/>
    <s v="CPI SINGAPORE"/>
    <s v="Wonton +TY"/>
    <x v="1"/>
    <s v="Cooked Wonton No Egg"/>
    <s v="082S83B24005P06001"/>
    <s v="115g*24"/>
    <n v="24"/>
    <n v="5"/>
    <n v="8.0000000000000002E-3"/>
    <s v="M"/>
    <s v="STPP"/>
    <s v="TYTB3C 30G"/>
    <n v="250"/>
    <n v="250"/>
    <m/>
    <n v="0"/>
    <n v="0"/>
    <n v="0"/>
    <n v="1"/>
    <n v="0"/>
    <m/>
    <n v="0"/>
    <n v="0"/>
  </r>
  <r>
    <m/>
    <x v="577"/>
    <d v="2025-09-09T00:00:00"/>
    <x v="1"/>
    <e v="#N/A"/>
    <x v="7"/>
    <s v="DRY2500187"/>
    <s v="UK"/>
    <s v="CPFNW"/>
    <s v="Westbridge Foods Limited (One UK)"/>
    <s v="Minced ND"/>
    <x v="1"/>
    <s v="Cooked Minced Wonton Noodle No Egg"/>
    <s v="082SRWE24005P00001"/>
    <s v="258g*4c*6in"/>
    <n v="24"/>
    <n v="5"/>
    <n v="6.0000000000000001E-3"/>
    <s v="BK"/>
    <s v="Salt"/>
    <s v="Regular"/>
    <n v="705"/>
    <n v="705"/>
    <n v="29"/>
    <n v="29"/>
    <n v="0"/>
    <n v="0"/>
    <n v="7.4999999999999997E-3"/>
    <n v="0"/>
    <s v="package new ถ้วยสีขาว"/>
    <n v="0"/>
    <n v="0"/>
  </r>
  <r>
    <m/>
    <x v="577"/>
    <d v="2025-09-09T00:00:00"/>
    <x v="1"/>
    <e v="#N/A"/>
    <x v="7"/>
    <s v="DRY2500196"/>
    <s v="SG"/>
    <s v="CPFNW"/>
    <s v="CPI Singapore"/>
    <s v="Wonton ND+V"/>
    <x v="1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500"/>
    <n v="500"/>
    <m/>
    <n v="0"/>
    <n v="0"/>
    <n v="0"/>
    <n v="1"/>
    <n v="0"/>
    <m/>
    <n v="0"/>
    <n v="0"/>
  </r>
  <r>
    <m/>
    <x v="577"/>
    <d v="2025-09-29T00:00:00"/>
    <x v="1"/>
    <e v="#N/A"/>
    <x v="7"/>
    <s v="DRY2500253"/>
    <s v="Denmark"/>
    <s v="CPFNW"/>
    <s v="CPF DENMARK"/>
    <s v="Wonton ND+V+TY"/>
    <x v="1"/>
    <s v="Cooked Wonton ND No Egg with Pumpkin _x000a_+ Vegetable  HC  3 pcs tomyam"/>
    <s v="082SJKW08003P00001"/>
    <s v="309g*8"/>
    <n v="8"/>
    <n v="3"/>
    <n v="7.4999999999999997E-3"/>
    <s v="M"/>
    <s v="Salt"/>
    <s v="TYANSSG+CM"/>
    <n v="3500"/>
    <m/>
    <n v="3500"/>
    <n v="0"/>
    <n v="0"/>
    <n v="0"/>
    <n v="3.85E-2"/>
    <n v="0"/>
    <s v="ต้มยำสูตรลดเผ็ดลง 10 %"/>
    <n v="0"/>
    <n v="0"/>
  </r>
  <r>
    <s v="R"/>
    <x v="578"/>
    <d v="2025-09-06T00:00:00"/>
    <x v="1"/>
    <e v="#N/A"/>
    <x v="7"/>
    <s v="KL2500028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716"/>
    <n v="716"/>
    <m/>
    <n v="0"/>
    <n v="0"/>
    <n v="0"/>
    <n v="6"/>
    <n v="0"/>
    <m/>
    <n v="0"/>
    <n v="0"/>
  </r>
  <r>
    <m/>
    <x v="578"/>
    <s v="09-2025"/>
    <x v="1"/>
    <e v="#N/A"/>
    <x v="7"/>
    <s v="ขายภายใน"/>
    <s v="MTFS"/>
    <s v="CPFGS"/>
    <s v="ซีพีเอฟ เทรดดิ้ง"/>
    <s v="Wonton ND"/>
    <x v="1"/>
    <s v="บะหมี่เกี๊ยวกุ้งซุปสุกี้ CPxMK 227g  MT"/>
    <s v="082SJ3Q12003P0A001"/>
    <s v="227g*12"/>
    <n v="12"/>
    <n v="3"/>
    <n v="8.0000000000000002E-3"/>
    <s v="SS"/>
    <s v="STPP"/>
    <s v="MK"/>
    <n v="250"/>
    <n v="250"/>
    <m/>
    <n v="0"/>
    <n v="0"/>
    <n v="0"/>
    <n v="0.05"/>
    <n v="0"/>
    <s v="เปลี่ยนใช้ผักกวางตุ้งแบบแช่แข็ง"/>
    <n v="0"/>
    <n v="0"/>
  </r>
  <r>
    <m/>
    <x v="578"/>
    <s v="09-2025"/>
    <x v="1"/>
    <e v="#N/A"/>
    <x v="7"/>
    <s v="ขายภายใน"/>
    <s v=".7-11"/>
    <s v="CPFGS"/>
    <s v="ซีพีเอฟ เทรดดิ้ง"/>
    <s v="Wonton ND"/>
    <x v="1"/>
    <s v="บะหมี่เกี๊ยวกุ้งซุปสุกี้ CPxMK 227g ND Pumpkin"/>
    <s v="082SJ3Q12003P09001"/>
    <s v="227g*12"/>
    <n v="12"/>
    <n v="3"/>
    <n v="8.0000000000000002E-3"/>
    <s v="SS"/>
    <s v="STPP"/>
    <s v="MK"/>
    <n v="5450"/>
    <n v="5450"/>
    <m/>
    <n v="0"/>
    <n v="0"/>
    <n v="0"/>
    <n v="0.05"/>
    <n v="0"/>
    <m/>
    <n v="0"/>
    <n v="0"/>
  </r>
  <r>
    <m/>
    <x v="578"/>
    <s v="10-2025"/>
    <x v="1"/>
    <e v="#N/A"/>
    <x v="7"/>
    <s v="ขายภายใน"/>
    <s v=".7-11"/>
    <s v="CPFGS"/>
    <s v="ซีพีเอฟ เทรดดิ้ง"/>
    <s v="Wonton ND"/>
    <x v="1"/>
    <s v="บะหมี่เกี๊ยวกุ้งซุปสุกี้ CPxMK 227g ND Pumpkin"/>
    <s v="082SJ3Q12003P09001"/>
    <s v="227g*12"/>
    <n v="12"/>
    <n v="3"/>
    <n v="8.0000000000000002E-3"/>
    <s v="SS"/>
    <s v="STPP"/>
    <s v="MK"/>
    <n v="2770"/>
    <n v="2770"/>
    <m/>
    <n v="0"/>
    <n v="0"/>
    <n v="0"/>
    <n v="0.05"/>
    <n v="0"/>
    <m/>
    <n v="0"/>
    <n v="0"/>
  </r>
  <r>
    <m/>
    <x v="579"/>
    <m/>
    <x v="1"/>
    <e v="#N/A"/>
    <x v="7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580"/>
    <d v="2025-09-06T00:00:00"/>
    <x v="1"/>
    <e v="#N/A"/>
    <x v="8"/>
    <s v="KL2500028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692"/>
    <m/>
    <n v="692"/>
    <n v="0"/>
    <n v="0"/>
    <n v="0"/>
    <n v="6"/>
    <n v="0"/>
    <m/>
    <n v="0"/>
    <n v="0"/>
  </r>
  <r>
    <m/>
    <x v="580"/>
    <d v="2025-09-08T00:00:00"/>
    <x v="1"/>
    <e v="#N/A"/>
    <x v="8"/>
    <s v="DRY2500285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1400"/>
    <m/>
    <n v="1400"/>
    <n v="0"/>
    <n v="0"/>
    <n v="0"/>
    <n v="7.4999999999999997E-3"/>
    <n v="0"/>
    <m/>
    <n v="0"/>
    <n v="0"/>
  </r>
  <r>
    <m/>
    <x v="580"/>
    <d v="2025-09-12T00:00:00"/>
    <x v="1"/>
    <e v="#N/A"/>
    <x v="8"/>
    <s v="DRY2500286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1400"/>
    <m/>
    <n v="1400"/>
    <n v="0"/>
    <n v="0"/>
    <n v="0"/>
    <n v="7.4999999999999997E-3"/>
    <n v="0"/>
    <m/>
    <n v="0"/>
    <n v="0"/>
  </r>
  <r>
    <m/>
    <x v="580"/>
    <d v="2025-09-27T00:00:00"/>
    <x v="1"/>
    <e v="#N/A"/>
    <x v="8"/>
    <s v="DRY2500245"/>
    <s v="Malay"/>
    <s v="CPFNW"/>
    <s v="CPM Malaysia"/>
    <s v="Wonton"/>
    <x v="1"/>
    <s v="Cooked Wonton No Egg  "/>
    <s v="082S85I24005P01001"/>
    <s v="145g*24"/>
    <n v="24"/>
    <n v="5"/>
    <n v="8.0000000000000002E-3"/>
    <s v="M"/>
    <s v="STPP"/>
    <s v="Regular"/>
    <n v="600"/>
    <n v="600"/>
    <m/>
    <n v="0"/>
    <n v="0"/>
    <n v="0"/>
    <n v="7.4999999999999997E-3"/>
    <n v="0"/>
    <m/>
    <n v="0"/>
    <n v="0"/>
  </r>
  <r>
    <m/>
    <x v="580"/>
    <s v="09-2025"/>
    <x v="1"/>
    <e v="#N/A"/>
    <x v="8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2044"/>
    <n v="2044"/>
    <m/>
    <n v="0"/>
    <n v="0"/>
    <n v="0"/>
    <n v="7.4999999999999997E-3"/>
    <n v="0"/>
    <m/>
    <n v="0"/>
    <n v="0"/>
  </r>
  <r>
    <s v="R"/>
    <x v="581"/>
    <s v="09-2025"/>
    <x v="1"/>
    <e v="#N/A"/>
    <x v="8"/>
    <s v="ขายภายใน"/>
    <s v="ขายภายใน"/>
    <s v="CPFGS"/>
    <s v="ซีพีเอฟ เทรดดิ้ง"/>
    <s v="R-Wonton egg past"/>
    <x v="2"/>
    <s v="Raw Wonton 50 pcs OISHI"/>
    <s v="082S01508600G01001"/>
    <s v="600g.*8 packs"/>
    <n v="8"/>
    <n v="50"/>
    <n v="8.1300000000000001E-3"/>
    <s v="M"/>
    <s v="STPP"/>
    <m/>
    <n v="200"/>
    <n v="200"/>
    <m/>
    <n v="0"/>
    <n v="0"/>
    <n v="0"/>
    <m/>
    <n v="0"/>
    <m/>
    <n v="0"/>
    <n v="0"/>
  </r>
  <r>
    <s v="R"/>
    <x v="581"/>
    <d v="2025-09-27T00:00:00"/>
    <x v="1"/>
    <e v="#N/A"/>
    <x v="8"/>
    <s v="DRY2500245"/>
    <s v="Malay"/>
    <s v="CPFNW"/>
    <s v="CPM Malaysia"/>
    <s v="R-Wonton egg past"/>
    <x v="2"/>
    <s v="Raw Wonton 12 pcs"/>
    <s v="082I95I20012P02001"/>
    <s v="154g*20inner"/>
    <n v="20"/>
    <n v="12"/>
    <n v="6.8100000000000001E-3"/>
    <s v="S"/>
    <s v="STPP"/>
    <s v="ซุปซอง 5g."/>
    <n v="350"/>
    <n v="36"/>
    <n v="314"/>
    <n v="0"/>
    <n v="0"/>
    <n v="0"/>
    <n v="2"/>
    <n v="0"/>
    <m/>
    <n v="0"/>
    <n v="0"/>
  </r>
  <r>
    <s v="R"/>
    <x v="581"/>
    <d v="2025-09-09T00:00:00"/>
    <x v="1"/>
    <e v="#N/A"/>
    <x v="8"/>
    <s v="DRY2500196"/>
    <s v="SG"/>
    <s v="CPFNW"/>
    <s v="CPI SINGAPORE"/>
    <s v="R-Minced egg past"/>
    <x v="2"/>
    <s v="Raw Minced Wonton 8 pcs"/>
    <s v="082ID3B18008P00001"/>
    <s v="90g*18in"/>
    <n v="18"/>
    <n v="8"/>
    <n v="6.1999999999999998E-3"/>
    <s v="BK"/>
    <s v="STPP"/>
    <s v="ซุปซอง 5g."/>
    <n v="600"/>
    <n v="600"/>
    <m/>
    <n v="0"/>
    <n v="0"/>
    <n v="0"/>
    <n v="2"/>
    <n v="0"/>
    <m/>
    <n v="0"/>
    <n v="0"/>
  </r>
  <r>
    <m/>
    <x v="581"/>
    <d v="2025-09-27T00:00:00"/>
    <x v="1"/>
    <e v="#N/A"/>
    <x v="8"/>
    <s v="DRY2500245"/>
    <s v="Malay"/>
    <s v="CPFNW"/>
    <s v="CPM Malaysia"/>
    <s v="Wonton+TY"/>
    <x v="1"/>
    <s v="Cooked Wonton No Egg  Tomyum"/>
    <s v="082S85I24005P02001"/>
    <s v="115g*24"/>
    <n v="24"/>
    <n v="5"/>
    <n v="8.0000000000000002E-3"/>
    <s v="M"/>
    <s v="STPP"/>
    <s v="TYTB3C 30G"/>
    <n v="1150"/>
    <n v="1150"/>
    <m/>
    <n v="0"/>
    <n v="0"/>
    <n v="0"/>
    <n v="1"/>
    <n v="0"/>
    <m/>
    <n v="0"/>
    <n v="0"/>
  </r>
  <r>
    <m/>
    <x v="581"/>
    <d v="2025-09-08T00:00:00"/>
    <x v="1"/>
    <e v="#N/A"/>
    <x v="8"/>
    <s v="DRY2500285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2400"/>
    <m/>
    <n v="2400"/>
    <n v="0"/>
    <n v="0"/>
    <n v="0"/>
    <n v="7.4999999999999997E-3"/>
    <n v="0"/>
    <m/>
    <n v="0"/>
    <n v="0"/>
  </r>
  <r>
    <m/>
    <x v="581"/>
    <d v="2025-09-12T00:00:00"/>
    <x v="1"/>
    <e v="#N/A"/>
    <x v="8"/>
    <s v="DRY2500286"/>
    <s v="USA"/>
    <s v="CPFNW"/>
    <s v="Bellisio Foods, Inc."/>
    <s v="Minced ND"/>
    <x v="1"/>
    <s v="Cooked Minced Wonton Noodle No Egg"/>
    <s v="082SRBW08005P00001"/>
    <s v="258g*8"/>
    <n v="8"/>
    <n v="5"/>
    <n v="6.0000000000000001E-3"/>
    <s v="BK"/>
    <s v="Salt"/>
    <s v="Regular"/>
    <n v="2400"/>
    <m/>
    <n v="2515.75"/>
    <n v="115.75"/>
    <n v="0"/>
    <n v="0"/>
    <n v="7.4999999999999997E-3"/>
    <n v="0"/>
    <m/>
    <n v="0"/>
    <n v="0"/>
  </r>
  <r>
    <s v="R"/>
    <x v="582"/>
    <d v="2025-09-09T00:00:00"/>
    <x v="1"/>
    <e v="#N/A"/>
    <x v="8"/>
    <s v="DRY2500196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1000"/>
    <n v="1000"/>
    <m/>
    <n v="0"/>
    <n v="0"/>
    <n v="0"/>
    <n v="2"/>
    <n v="0"/>
    <s v="ห่อแบบสุก"/>
    <n v="0"/>
    <n v="0"/>
  </r>
  <r>
    <s v="R"/>
    <x v="582"/>
    <d v="2025-09-09T00:00:00"/>
    <x v="1"/>
    <e v="#N/A"/>
    <x v="8"/>
    <s v="DRY2500267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230"/>
    <n v="230"/>
    <m/>
    <n v="0"/>
    <n v="0"/>
    <n v="0"/>
    <n v="2"/>
    <n v="0"/>
    <s v="ห่อแบบสุก"/>
    <n v="0"/>
    <n v="0"/>
  </r>
  <r>
    <m/>
    <x v="582"/>
    <s v="09-2025"/>
    <x v="1"/>
    <e v="#N/A"/>
    <x v="8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977"/>
    <n v="1977"/>
    <m/>
    <n v="0"/>
    <n v="0"/>
    <n v="0"/>
    <n v="7.4999999999999997E-3"/>
    <n v="0"/>
    <m/>
    <n v="0"/>
    <n v="0"/>
  </r>
  <r>
    <m/>
    <x v="582"/>
    <d v="2025-09-11T00:00:00"/>
    <x v="1"/>
    <e v="#N/A"/>
    <x v="8"/>
    <s v="DRY2500222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68"/>
    <n v="20.333333333333332"/>
    <n v="0.33333333333325754"/>
    <n v="0"/>
    <n v="0"/>
    <n v="7.4999999999999997E-3"/>
    <n v="0"/>
    <m/>
    <n v="0"/>
    <n v="0"/>
  </r>
  <r>
    <s v="R"/>
    <x v="583"/>
    <d v="2025-09-09T00:00:00"/>
    <x v="1"/>
    <e v="#N/A"/>
    <x v="8"/>
    <s v="DRY2500267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170"/>
    <n v="170"/>
    <m/>
    <n v="0"/>
    <n v="0"/>
    <n v="0"/>
    <n v="2"/>
    <n v="0"/>
    <s v="ห่อแบบสุก"/>
    <n v="0"/>
    <n v="0"/>
  </r>
  <r>
    <s v="R"/>
    <x v="583"/>
    <d v="2025-09-09T00:00:00"/>
    <x v="1"/>
    <e v="#N/A"/>
    <x v="8"/>
    <s v="DRY2500271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992"/>
    <n v="992"/>
    <m/>
    <n v="0"/>
    <n v="0"/>
    <n v="0"/>
    <n v="2"/>
    <n v="0"/>
    <s v="ห่อแบบสุก"/>
    <n v="0"/>
    <n v="0"/>
  </r>
  <r>
    <m/>
    <x v="583"/>
    <d v="2025-09-11T00:00:00"/>
    <x v="1"/>
    <e v="#N/A"/>
    <x v="8"/>
    <s v="DRY2500159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675"/>
    <n v="675"/>
    <m/>
    <n v="0"/>
    <n v="0"/>
    <n v="0"/>
    <n v="9.7000000000000003E-3"/>
    <n v="0"/>
    <m/>
    <n v="0"/>
    <n v="0"/>
  </r>
  <r>
    <m/>
    <x v="583"/>
    <m/>
    <x v="1"/>
    <e v="#N/A"/>
    <x v="8"/>
    <s v="DRY2500144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117"/>
    <n v="117"/>
    <m/>
    <n v="0"/>
    <n v="0"/>
    <n v="0"/>
    <n v="9.7000000000000003E-3"/>
    <n v="0"/>
    <m/>
    <n v="0"/>
    <n v="0"/>
  </r>
  <r>
    <m/>
    <x v="583"/>
    <d v="2025-10-02T00:00:00"/>
    <x v="1"/>
    <e v="#N/A"/>
    <x v="8"/>
    <s v="DRY2500299"/>
    <s v="New Zealand"/>
    <s v="CPFNW"/>
    <s v="Lim Brothers"/>
    <s v="Wonton ND+V"/>
    <x v="1"/>
    <s v="Cooked Wonton ND No Egg with Pumpkin_x000a_+ Yu Choy "/>
    <s v="082SJN708004P00001"/>
    <s v="305g*8"/>
    <n v="8"/>
    <n v="4"/>
    <n v="7.4999999999999997E-3"/>
    <s v="HC"/>
    <s v="Salt"/>
    <s v="Regular"/>
    <n v="646"/>
    <m/>
    <n v="685.375"/>
    <n v="39.375"/>
    <n v="0"/>
    <n v="0"/>
    <n v="7.4999999999999997E-3"/>
    <n v="0"/>
    <m/>
    <n v="0"/>
    <n v="0"/>
  </r>
  <r>
    <m/>
    <x v="583"/>
    <d v="2025-10-28T00:00:00"/>
    <x v="1"/>
    <e v="#N/A"/>
    <x v="8"/>
    <s v="DRY2500199"/>
    <s v="Belgium"/>
    <s v="CPFNW"/>
    <s v="CPF EUROPE S.A."/>
    <s v="Wonton ND+V"/>
    <x v="1"/>
    <s v="Cooked Wonton ND No Egg with Pumpkin _x000a_+ Vegetable  HC  3 pcs"/>
    <s v="082SJ3I08003P00001"/>
    <s v="309g*8"/>
    <n v="8"/>
    <n v="3"/>
    <n v="7.4999999999999997E-3"/>
    <s v="HC"/>
    <s v="Salt"/>
    <s v="Regular"/>
    <n v="600"/>
    <m/>
    <n v="618.75"/>
    <n v="18.75"/>
    <n v="0"/>
    <n v="0"/>
    <n v="7.4999999999999997E-3"/>
    <n v="0"/>
    <m/>
    <n v="0"/>
    <n v="0"/>
  </r>
  <r>
    <m/>
    <x v="583"/>
    <d v="2025-09-19T00:00:00"/>
    <x v="1"/>
    <e v="#N/A"/>
    <x v="8"/>
    <s v="DRY2500283"/>
    <s v="New Zealand"/>
    <s v="CPFNW"/>
    <s v="Lim Brothers"/>
    <s v="Wonton ND+V+TY"/>
    <x v="1"/>
    <s v="Cooked Wonton ND No Egg with Pumpkin _x000a_+ Vegetable 5 pcs tomyam"/>
    <s v="082SJN724005P00001"/>
    <s v="307g*4c*6in"/>
    <n v="24"/>
    <n v="5"/>
    <n v="7.4999999999999997E-3"/>
    <s v="M"/>
    <s v="Salt"/>
    <s v="TYEXSG+CO"/>
    <n v="390"/>
    <n v="321"/>
    <n v="69"/>
    <n v="0"/>
    <n v="0"/>
    <n v="0"/>
    <n v="3.8699999999999998E-2"/>
    <n v="0"/>
    <s v="Stock Aus192 ถ้วย"/>
    <m/>
    <m/>
  </r>
  <r>
    <m/>
    <x v="583"/>
    <d v="2025-10-02T00:00:00"/>
    <x v="1"/>
    <e v="#N/A"/>
    <x v="8"/>
    <s v="DRY2500299"/>
    <s v="New Zealand"/>
    <s v="CPFNW"/>
    <s v="Lim Brothers"/>
    <s v="Minced ND+V+TY"/>
    <x v="1"/>
    <s v="Cooked Minced  ND No Egg with Pumpkin_x000a_+ Yu Choy Tomyum"/>
    <s v="082SRN708003P00001"/>
    <s v="302g*8"/>
    <n v="8"/>
    <n v="3"/>
    <n v="6.0000000000000001E-3"/>
    <s v="BK"/>
    <s v="Salt"/>
    <s v="TYEXSG+CO"/>
    <n v="324"/>
    <m/>
    <n v="324"/>
    <n v="0"/>
    <n v="0"/>
    <n v="0"/>
    <n v="3.8699999999999998E-2"/>
    <n v="0"/>
    <s v="104 ถ้วย เอา Germany มา"/>
    <n v="0"/>
    <n v="0"/>
  </r>
  <r>
    <m/>
    <x v="583"/>
    <d v="2025-09-30T00:00:00"/>
    <x v="1"/>
    <e v="#N/A"/>
    <x v="8"/>
    <s v="DRY2500237"/>
    <s v="UK"/>
    <s v="CPFNW"/>
    <s v="Westbridge Foods Limited"/>
    <s v="Minced ND+V+TY"/>
    <x v="1"/>
    <s v="Cooked Minced Wonton Noodles Yu Choy Tomyum"/>
    <s v="082SRWE24005P01001"/>
    <s v="258g*4c*6in"/>
    <n v="24"/>
    <n v="5"/>
    <n v="6.0000000000000001E-3"/>
    <s v="BK"/>
    <s v="Salt"/>
    <s v="TYEXSG+CO"/>
    <n v="588"/>
    <n v="582"/>
    <n v="8.5416666666666661"/>
    <n v="2.5416666666666288"/>
    <n v="0"/>
    <n v="0"/>
    <n v="3.8699999999999998E-2"/>
    <n v="0"/>
    <s v="Ireland"/>
    <n v="0"/>
    <n v="0"/>
  </r>
  <r>
    <s v="R"/>
    <x v="584"/>
    <d v="2025-09-09T00:00:00"/>
    <x v="1"/>
    <e v="#N/A"/>
    <x v="8"/>
    <s v="DRY2500271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308"/>
    <n v="308"/>
    <m/>
    <n v="0"/>
    <n v="0"/>
    <n v="0"/>
    <n v="2"/>
    <n v="0"/>
    <s v="ห่อแบบสุก"/>
    <n v="0"/>
    <n v="0"/>
  </r>
  <r>
    <s v="R"/>
    <x v="584"/>
    <d v="2025-09-09T00:00:00"/>
    <x v="1"/>
    <e v="#N/A"/>
    <x v="8"/>
    <s v="DRY2500267"/>
    <s v="SG"/>
    <s v="CPFNW"/>
    <s v="CPI SINGAPORE"/>
    <s v="R-Wonton egg past"/>
    <x v="2"/>
    <s v="Raw Wonton 12 pcs with sesame"/>
    <s v="082I93B20012P02001"/>
    <s v="204g*20in"/>
    <n v="20"/>
    <n v="12"/>
    <n v="6.8100000000000001E-3"/>
    <s v="S"/>
    <s v="STPP"/>
    <s v=" sesame 30g"/>
    <n v="800"/>
    <n v="793"/>
    <n v="7"/>
    <n v="0"/>
    <n v="0"/>
    <n v="0"/>
    <n v="2"/>
    <n v="0"/>
    <s v="ห่อแบบดิบ"/>
    <m/>
    <m/>
  </r>
  <r>
    <m/>
    <x v="584"/>
    <d v="2025-09-18T00:00:00"/>
    <x v="1"/>
    <e v="#N/A"/>
    <x v="8"/>
    <s v="DRY2500246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584"/>
    <d v="2025-09-18T00:00:00"/>
    <x v="1"/>
    <e v="#N/A"/>
    <x v="8"/>
    <s v="DRY2500247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584"/>
    <d v="2025-09-22T00:00:00"/>
    <x v="1"/>
    <e v="#N/A"/>
    <x v="8"/>
    <s v="DRY2500249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53"/>
    <n v="753"/>
    <m/>
    <n v="0"/>
    <n v="0"/>
    <n v="0"/>
    <n v="7.4999999999999997E-3"/>
    <n v="0"/>
    <m/>
    <n v="0"/>
    <n v="0"/>
  </r>
  <r>
    <s v="R"/>
    <x v="585"/>
    <d v="2025-09-20T00:00:00"/>
    <x v="1"/>
    <e v="#N/A"/>
    <x v="8"/>
    <s v="KL2500024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697"/>
    <n v="691"/>
    <n v="6"/>
    <n v="0"/>
    <n v="0"/>
    <n v="0"/>
    <n v="6"/>
    <n v="0"/>
    <m/>
    <n v="0"/>
    <n v="0"/>
  </r>
  <r>
    <m/>
    <x v="585"/>
    <d v="2025-09-22T00:00:00"/>
    <x v="1"/>
    <e v="#N/A"/>
    <x v="8"/>
    <s v="DRY2500305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n v="0"/>
    <n v="7.4999999999999997E-3"/>
    <n v="0"/>
    <s v="new package (ลบโลโก้ Facebook)"/>
    <n v="0"/>
    <n v="0"/>
  </r>
  <r>
    <m/>
    <x v="585"/>
    <s v="09-2025"/>
    <x v="1"/>
    <e v="#N/A"/>
    <x v="8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515"/>
    <n v="1515"/>
    <m/>
    <n v="0"/>
    <n v="0"/>
    <n v="0"/>
    <n v="7.4999999999999997E-3"/>
    <n v="0"/>
    <m/>
    <n v="0"/>
    <n v="0"/>
  </r>
  <r>
    <s v="CP Laos"/>
    <x v="585"/>
    <d v="2025-09-12T00:00:00"/>
    <x v="1"/>
    <e v="#N/A"/>
    <x v="8"/>
    <s v="LA021/2568"/>
    <s v="Laos"/>
    <s v="Laos"/>
    <s v="บริษัท ปิก้าเทรดดิ้ง จำกัด"/>
    <s v="E+Wonton"/>
    <x v="1"/>
    <s v="เกี๊ยวกุ้งจักรพรรดิ 12x145g."/>
    <s v="082S8L212005P00001"/>
    <s v="145g*12"/>
    <n v="12"/>
    <n v="5"/>
    <n v="8.0000000000000002E-3"/>
    <s v="M"/>
    <s v="STPP"/>
    <s v="Regular"/>
    <n v="150"/>
    <n v="150"/>
    <m/>
    <n v="0"/>
    <n v="0"/>
    <n v="0"/>
    <n v="7.4999999999999997E-3"/>
    <n v="0"/>
    <s v="repack จาก กัมพูชา"/>
    <n v="0"/>
    <n v="0"/>
  </r>
  <r>
    <s v="CP Laos"/>
    <x v="585"/>
    <d v="2025-10-05T00:00:00"/>
    <x v="1"/>
    <e v="#N/A"/>
    <x v="8"/>
    <s v="LA021/2568"/>
    <s v="Laos"/>
    <s v="Laos"/>
    <s v="บริษัท ปิก้าเทรดดิ้ง จำกัด"/>
    <s v="E+Wonton"/>
    <x v="1"/>
    <s v="เกี๊ยวกุ้งจักรพรรดิ 12x145g."/>
    <s v="082S8L212005P00001"/>
    <s v="145g*12"/>
    <n v="12"/>
    <n v="5"/>
    <n v="8.0000000000000002E-3"/>
    <s v="M"/>
    <s v="STPP"/>
    <s v="Regular"/>
    <n v="70"/>
    <n v="70"/>
    <m/>
    <n v="0"/>
    <n v="0"/>
    <n v="0"/>
    <n v="7.4999999999999997E-3"/>
    <n v="0"/>
    <s v="repack จาก กัมพูชา"/>
    <n v="0"/>
    <n v="0"/>
  </r>
  <r>
    <m/>
    <x v="586"/>
    <m/>
    <x v="1"/>
    <e v="#N/A"/>
    <x v="8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587"/>
    <d v="2025-10-01T00:00:00"/>
    <x v="1"/>
    <e v="#N/A"/>
    <x v="8"/>
    <s v="DRY2500241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n v="0"/>
    <n v="7.4999999999999997E-3"/>
    <n v="0"/>
    <s v="new package (ลบโลโก้ Facebook)"/>
    <n v="0"/>
    <n v="0"/>
  </r>
  <r>
    <m/>
    <x v="587"/>
    <s v="09-2025"/>
    <x v="1"/>
    <e v="#N/A"/>
    <x v="8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714"/>
    <n v="714"/>
    <m/>
    <n v="0"/>
    <n v="0"/>
    <n v="0"/>
    <n v="7.4999999999999997E-3"/>
    <n v="0"/>
    <m/>
    <n v="0"/>
    <n v="0"/>
  </r>
  <r>
    <m/>
    <x v="587"/>
    <s v="10-2025"/>
    <x v="1"/>
    <e v="#N/A"/>
    <x v="8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950"/>
    <n v="950"/>
    <m/>
    <n v="0"/>
    <n v="0"/>
    <n v="0"/>
    <n v="7.4999999999999997E-3"/>
    <n v="0"/>
    <m/>
    <n v="0"/>
    <n v="0"/>
  </r>
  <r>
    <m/>
    <x v="587"/>
    <d v="2025-09-18T00:00:00"/>
    <x v="1"/>
    <e v="#N/A"/>
    <x v="8"/>
    <s v="DRY2500223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56"/>
    <n v="1256"/>
    <m/>
    <n v="0"/>
    <n v="0"/>
    <n v="0"/>
    <n v="7.4999999999999997E-3"/>
    <n v="0"/>
    <m/>
    <n v="0"/>
    <n v="0"/>
  </r>
  <r>
    <m/>
    <x v="587"/>
    <d v="2025-10-28T00:00:00"/>
    <x v="1"/>
    <e v="#N/A"/>
    <x v="8"/>
    <s v="DRY2500199"/>
    <s v="Belgium"/>
    <s v="CPFNW"/>
    <s v="CPF EUROPE S.A."/>
    <s v="Wonton +V"/>
    <x v="1"/>
    <s v="Cooked Wonton  No Egg _x000a_+ Vegetable  HC  4 pcs"/>
    <s v="082S83I08004P00001"/>
    <s v="145g*8"/>
    <n v="8"/>
    <n v="4"/>
    <n v="7.4999999999999997E-3"/>
    <s v="HC"/>
    <s v="Salt"/>
    <s v="Regular"/>
    <n v="2400"/>
    <m/>
    <n v="2429.75"/>
    <n v="29.75"/>
    <n v="0"/>
    <n v="0"/>
    <n v="7.4999999999999997E-3"/>
    <n v="0"/>
    <m/>
    <n v="0"/>
    <n v="0"/>
  </r>
  <r>
    <m/>
    <x v="588"/>
    <d v="2025-09-23T00:00:00"/>
    <x v="1"/>
    <e v="#N/A"/>
    <x v="8"/>
    <s v="DRY2500256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ถ้าว,ฝา สีขาว/Halal"/>
    <n v="0"/>
    <n v="0"/>
  </r>
  <r>
    <m/>
    <x v="588"/>
    <d v="2025-09-30T00:00:00"/>
    <x v="1"/>
    <e v="#N/A"/>
    <x v="8"/>
    <s v="DRY2500212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64"/>
    <n v="720"/>
    <n v="544"/>
    <n v="0"/>
    <n v="0"/>
    <n v="0"/>
    <n v="7.4999999999999997E-3"/>
    <n v="0"/>
    <s v="ถ้าว,ฝา สีขาว/Halal"/>
    <n v="0"/>
    <n v="0"/>
  </r>
  <r>
    <m/>
    <x v="588"/>
    <d v="2025-10-01T00:00:00"/>
    <x v="1"/>
    <e v="#N/A"/>
    <x v="8"/>
    <s v="DRY2500308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5000"/>
    <m/>
    <n v="5000"/>
    <n v="0"/>
    <n v="0"/>
    <n v="0"/>
    <n v="7.4999999999999997E-3"/>
    <n v="0"/>
    <m/>
    <n v="0"/>
    <n v="0"/>
  </r>
  <r>
    <s v="R"/>
    <x v="589"/>
    <d v="2025-09-15T00:00:00"/>
    <x v="1"/>
    <e v="#N/A"/>
    <x v="8"/>
    <s v="DRY2500231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1650"/>
    <n v="1254"/>
    <n v="396"/>
    <n v="0"/>
    <n v="0"/>
    <n v="0"/>
    <n v="1"/>
    <n v="0"/>
    <m/>
    <n v="0"/>
    <n v="0"/>
  </r>
  <r>
    <s v="R"/>
    <x v="589"/>
    <d v="2025-09-15T00:00:00"/>
    <x v="1"/>
    <e v="#N/A"/>
    <x v="8"/>
    <s v="DRY2500231"/>
    <s v="HK"/>
    <s v="CPFNW"/>
    <s v="CPM Hongkong"/>
    <s v="R-Minced egg past"/>
    <x v="2"/>
    <s v="Raw Minced Wonton 8 pcs"/>
    <s v="082ID3G18008P00001"/>
    <s v="90g*18in"/>
    <n v="18"/>
    <n v="8"/>
    <n v="6.0000000000000001E-3"/>
    <s v="BK"/>
    <s v="STPP"/>
    <s v="ซุปซอง 5g."/>
    <n v="250"/>
    <n v="250"/>
    <m/>
    <n v="0"/>
    <n v="0"/>
    <n v="0"/>
    <n v="2"/>
    <n v="0"/>
    <m/>
    <n v="0"/>
    <n v="0"/>
  </r>
  <r>
    <m/>
    <x v="589"/>
    <d v="2025-09-18T00:00:00"/>
    <x v="1"/>
    <e v="#N/A"/>
    <x v="8"/>
    <s v="DRY2500223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32"/>
    <n v="32"/>
    <m/>
    <n v="0"/>
    <n v="0"/>
    <n v="0"/>
    <n v="7.4999999999999997E-3"/>
    <n v="0"/>
    <m/>
    <n v="0"/>
    <n v="0"/>
  </r>
  <r>
    <m/>
    <x v="589"/>
    <d v="2025-09-25T00:00:00"/>
    <x v="1"/>
    <e v="#N/A"/>
    <x v="8"/>
    <s v="DRY2500224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n v="0"/>
    <n v="7.4999999999999997E-3"/>
    <n v="0"/>
    <m/>
    <n v="0"/>
    <n v="0"/>
  </r>
  <r>
    <m/>
    <x v="589"/>
    <d v="2025-09-22T00:00:00"/>
    <x v="1"/>
    <e v="#N/A"/>
    <x v="8"/>
    <s v="DRY2500249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39"/>
    <n v="39"/>
    <m/>
    <n v="0"/>
    <n v="0"/>
    <n v="0"/>
    <n v="7.4999999999999997E-3"/>
    <n v="0"/>
    <m/>
    <n v="0"/>
    <n v="0"/>
  </r>
  <r>
    <m/>
    <x v="589"/>
    <d v="2025-09-22T00:00:00"/>
    <x v="1"/>
    <e v="#N/A"/>
    <x v="8"/>
    <s v="DRY2500262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589"/>
    <d v="2025-09-20T00:00:00"/>
    <x v="1"/>
    <e v="#N/A"/>
    <x v="8"/>
    <s v="KL2500033"/>
    <s v="China"/>
    <s v="China"/>
    <s v="Charoen Pokphand Import&amp;Export Trading (Shanghai) Co., Ltd"/>
    <s v="Wonton ND+V"/>
    <x v="1"/>
    <s v="Cooked Wonton ND No Egg with Pumpkin _x000a_+ Vegetable 5 pcs tomyam"/>
    <s v="082SJ5J36005P00001"/>
    <s v="308g*6c*6in"/>
    <n v="36"/>
    <n v="5"/>
    <n v="7.4999999999999997E-3"/>
    <s v="HC"/>
    <s v="Salt"/>
    <s v="Y3"/>
    <n v="320"/>
    <n v="296"/>
    <n v="24"/>
    <n v="0"/>
    <n v="0"/>
    <n v="0"/>
    <n v="9.7000000000000003E-3"/>
    <n v="0"/>
    <s v="INNERใหม่ / กล่องใหม่  รีแพ็คจาก usa กล่องจริง 5 กล่อง สำรอง 33 ถ้วย"/>
    <n v="0"/>
    <n v="0"/>
  </r>
  <r>
    <s v="R"/>
    <x v="590"/>
    <s v="10-2025"/>
    <x v="1"/>
    <e v="#N/A"/>
    <x v="8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700"/>
    <n v="700"/>
    <m/>
    <n v="0"/>
    <n v="0"/>
    <n v="0"/>
    <m/>
    <n v="0"/>
    <m/>
    <n v="0"/>
    <n v="0"/>
  </r>
  <r>
    <s v="R"/>
    <x v="590"/>
    <s v="10-2025"/>
    <x v="1"/>
    <e v="#N/A"/>
    <x v="8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500"/>
    <n v="500"/>
    <m/>
    <n v="0"/>
    <n v="0"/>
    <n v="0"/>
    <m/>
    <n v="0"/>
    <m/>
    <n v="0"/>
    <n v="0"/>
  </r>
  <r>
    <m/>
    <x v="590"/>
    <d v="2025-09-30T00:00:00"/>
    <x v="1"/>
    <e v="#N/A"/>
    <x v="8"/>
    <s v="DRY2500212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24"/>
    <n v="24"/>
    <m/>
    <n v="0"/>
    <n v="0"/>
    <n v="0"/>
    <n v="7.4999999999999997E-3"/>
    <n v="0"/>
    <s v="ถ้าว,ฝา สีขาว/Halal"/>
    <n v="0"/>
    <n v="0"/>
  </r>
  <r>
    <m/>
    <x v="590"/>
    <d v="2025-10-07T00:00:00"/>
    <x v="1"/>
    <e v="#N/A"/>
    <x v="8"/>
    <s v="DRY2500257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ถ้าว,ฝา สีขาว/Halal"/>
    <n v="0"/>
    <n v="0"/>
  </r>
  <r>
    <m/>
    <x v="590"/>
    <s v="10-2025"/>
    <x v="1"/>
    <e v="#N/A"/>
    <x v="8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852"/>
    <n v="1852"/>
    <m/>
    <n v="0"/>
    <n v="0"/>
    <n v="0"/>
    <n v="7.4999999999999997E-3"/>
    <n v="0"/>
    <m/>
    <n v="0"/>
    <n v="0"/>
  </r>
  <r>
    <s v="R"/>
    <x v="591"/>
    <d v="2025-09-20T00:00:00"/>
    <x v="1"/>
    <e v="#N/A"/>
    <x v="8"/>
    <s v="KL2500024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711"/>
    <n v="711"/>
    <m/>
    <n v="0"/>
    <n v="0"/>
    <n v="0"/>
    <n v="6"/>
    <n v="0"/>
    <m/>
    <n v="0"/>
    <n v="0"/>
  </r>
  <r>
    <m/>
    <x v="591"/>
    <s v="10-2025"/>
    <x v="1"/>
    <e v="#N/A"/>
    <x v="8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2259"/>
    <n v="2259"/>
    <m/>
    <n v="0"/>
    <n v="0"/>
    <n v="0"/>
    <n v="7.4999999999999997E-3"/>
    <n v="0"/>
    <m/>
    <n v="0"/>
    <n v="0"/>
  </r>
  <r>
    <m/>
    <x v="591"/>
    <d v="2025-09-22T00:00:00"/>
    <x v="1"/>
    <e v="#N/A"/>
    <x v="8"/>
    <s v="DRY2500263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s v="R"/>
    <x v="592"/>
    <d v="2025-09-20T00:00:00"/>
    <x v="1"/>
    <e v="#N/A"/>
    <x v="8"/>
    <s v="KL2500029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750"/>
    <n v="750"/>
    <m/>
    <n v="0"/>
    <n v="0"/>
    <n v="0"/>
    <n v="6"/>
    <n v="0"/>
    <m/>
    <n v="0"/>
    <n v="0"/>
  </r>
  <r>
    <m/>
    <x v="592"/>
    <d v="2025-10-06T00:00:00"/>
    <x v="1"/>
    <e v="#N/A"/>
    <x v="8"/>
    <s v="DRY2500264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592"/>
    <d v="2025-10-06T00:00:00"/>
    <x v="1"/>
    <e v="#N/A"/>
    <x v="8"/>
    <s v="DRY2500265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592"/>
    <d v="2025-10-06T00:00:00"/>
    <x v="1"/>
    <e v="#N/A"/>
    <x v="8"/>
    <s v="DRY2500266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s v="CP Laos"/>
    <x v="592"/>
    <d v="2025-09-15T00:00:00"/>
    <x v="1"/>
    <e v="#N/A"/>
    <x v="8"/>
    <s v="LA022/2568"/>
    <s v="Laos"/>
    <s v="Laos"/>
    <s v="บริษัท ปิก้าเทรดดิ้ง จำกัด"/>
    <s v="E+Wonton+หมาล่า"/>
    <x v="1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120"/>
    <m/>
    <n v="120"/>
    <n v="0"/>
    <n v="0"/>
    <n v="0"/>
    <n v="1.2999999999999999E-2"/>
    <n v="0"/>
    <s v="repack จาก กัมพูชา ติด stk ก้นถ้วย (stk เข้า 12/9)"/>
    <n v="0"/>
    <n v="0"/>
  </r>
  <r>
    <m/>
    <x v="593"/>
    <m/>
    <x v="1"/>
    <e v="#N/A"/>
    <x v="8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594"/>
    <d v="2025-09-20T00:00:00"/>
    <x v="1"/>
    <e v="#N/A"/>
    <x v="8"/>
    <s v="KL2500029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658"/>
    <n v="428"/>
    <n v="230"/>
    <n v="0"/>
    <n v="0"/>
    <n v="0"/>
    <n v="6"/>
    <n v="0"/>
    <m/>
    <n v="0"/>
    <n v="0"/>
  </r>
  <r>
    <m/>
    <x v="595"/>
    <s v="10-2025"/>
    <x v="1"/>
    <e v="#N/A"/>
    <x v="8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954"/>
    <n v="954"/>
    <m/>
    <n v="0"/>
    <n v="0"/>
    <n v="0"/>
    <n v="7.4999999999999997E-3"/>
    <n v="0"/>
    <m/>
    <n v="0"/>
    <n v="0"/>
  </r>
  <r>
    <m/>
    <x v="595"/>
    <d v="2025-10-25T00:00:00"/>
    <x v="1"/>
    <e v="#N/A"/>
    <x v="8"/>
    <s v="DRY2500254"/>
    <s v="Korea"/>
    <s v="CPFNW"/>
    <s v="Emart"/>
    <s v="Minced ND+V+TK"/>
    <x v="1"/>
    <s v="Cooked Minced  ND No Egg with Pumpkin_x000a_+ Yu Choy Tomkha"/>
    <s v="082SREJ36003P00001"/>
    <s v="302g*6c*6in"/>
    <n v="36"/>
    <n v="3"/>
    <n v="6.0000000000000001E-3"/>
    <s v="BK"/>
    <s v="Salt"/>
    <s v="Tomkha1+CM"/>
    <n v="792"/>
    <n v="792"/>
    <m/>
    <n v="0"/>
    <n v="0"/>
    <n v="0"/>
    <n v="5.8823E-2"/>
    <n v="0"/>
    <m/>
    <n v="0"/>
    <n v="0"/>
  </r>
  <r>
    <m/>
    <x v="595"/>
    <d v="2025-09-30T00:00:00"/>
    <x v="1"/>
    <e v="#N/A"/>
    <x v="8"/>
    <s v="DRY2500237"/>
    <s v="UK"/>
    <s v="CPFNW"/>
    <s v="Westbridge Foods Limited"/>
    <s v="Minced ND+V+TK"/>
    <x v="1"/>
    <s v="Cooked Minced Wonton Noodles Yu Choy Tomkha"/>
    <s v="082SRWE24005P02001"/>
    <s v="258g*4c*6in"/>
    <n v="24"/>
    <n v="5"/>
    <n v="6.0000000000000001E-3"/>
    <s v="BK"/>
    <s v="Salt"/>
    <s v="Tomkha1+CM"/>
    <n v="588"/>
    <m/>
    <n v="614.79166666666663"/>
    <n v="26.791666666666629"/>
    <n v="0"/>
    <n v="0"/>
    <n v="5.8823E-2"/>
    <n v="0"/>
    <s v="ถ้าว,ฝา สีขาว"/>
    <n v="0"/>
    <n v="0"/>
  </r>
  <r>
    <m/>
    <x v="595"/>
    <d v="2025-10-02T00:00:00"/>
    <x v="1"/>
    <e v="#N/A"/>
    <x v="8"/>
    <s v="DRY2500299"/>
    <s v="New Zealand"/>
    <s v="CPFNW"/>
    <s v="Lim Brothers"/>
    <s v="Minced ND+V+TK"/>
    <x v="1"/>
    <s v="Cooked Minced  ND No Egg with Pumpkin_x000a_+ Yu Choy Tomkha"/>
    <s v="082SRN708003P01001"/>
    <s v="302g*8"/>
    <n v="8"/>
    <n v="3"/>
    <n v="6.0000000000000001E-3"/>
    <s v="BK"/>
    <s v="Salt"/>
    <s v="Tomkha+CM"/>
    <n v="486"/>
    <m/>
    <n v="486"/>
    <n v="0"/>
    <n v="0"/>
    <n v="0"/>
    <n v="5.8823E-2"/>
    <n v="0"/>
    <s v="stock Aus 678 cup /  Denmark 1678 cup"/>
    <n v="0"/>
    <n v="0"/>
  </r>
  <r>
    <m/>
    <x v="595"/>
    <d v="2025-11-01T00:00:00"/>
    <x v="1"/>
    <e v="#N/A"/>
    <x v="8"/>
    <s v="DRY2500309"/>
    <s v="New Zealand"/>
    <s v="CPFNW"/>
    <s v="Lim Brothers"/>
    <s v="Minced ND+V+TK"/>
    <x v="1"/>
    <s v="Cooked Minced  ND No Egg with Pumpkin_x000a_+ Yu Choy Tomkha"/>
    <s v="082SRN708003P01001"/>
    <s v="302g*8"/>
    <n v="8"/>
    <n v="3"/>
    <n v="6.0000000000000001E-3"/>
    <s v="BK"/>
    <s v="Salt"/>
    <s v="Tomkha+CM"/>
    <n v="865"/>
    <m/>
    <n v="865"/>
    <n v="0"/>
    <n v="0"/>
    <n v="0"/>
    <n v="5.8823E-2"/>
    <n v="0"/>
    <s v="stock Denmark 740 cup"/>
    <n v="0"/>
    <n v="0"/>
  </r>
  <r>
    <m/>
    <x v="596"/>
    <s v="10-2025"/>
    <x v="1"/>
    <e v="#N/A"/>
    <x v="8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3439"/>
    <n v="3439"/>
    <m/>
    <n v="0"/>
    <n v="0"/>
    <n v="0"/>
    <n v="7.4999999999999997E-3"/>
    <n v="0"/>
    <m/>
    <n v="0"/>
    <n v="0"/>
  </r>
  <r>
    <m/>
    <x v="597"/>
    <s v="10-2025"/>
    <x v="1"/>
    <e v="#N/A"/>
    <x v="8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150"/>
    <n v="150"/>
    <m/>
    <n v="0"/>
    <n v="0"/>
    <n v="0"/>
    <n v="7.4999999999999997E-3"/>
    <n v="0"/>
    <m/>
    <n v="0"/>
    <n v="0"/>
  </r>
  <r>
    <m/>
    <x v="597"/>
    <s v="10-2025"/>
    <x v="1"/>
    <e v="#N/A"/>
    <x v="8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800"/>
    <n v="800"/>
    <m/>
    <n v="0"/>
    <n v="0"/>
    <n v="0"/>
    <n v="7.4999999999999997E-3"/>
    <n v="0"/>
    <m/>
    <n v="0"/>
    <n v="0"/>
  </r>
  <r>
    <s v="ชมรมกอล์ฟ ซีพี"/>
    <x v="597"/>
    <s v="10-2025"/>
    <x v="1"/>
    <e v="#N/A"/>
    <x v="8"/>
    <s v="ขายภายใน"/>
    <s v="MTFS"/>
    <s v="CPFGS"/>
    <s v="ซีพีเอฟ เทรดดิ้ง"/>
    <s v="E+Wonton"/>
    <x v="1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n v="0"/>
    <n v="7.4999999999999997E-3"/>
    <n v="0"/>
    <m/>
    <n v="0"/>
    <n v="0"/>
  </r>
  <r>
    <s v="CP Laos"/>
    <x v="597"/>
    <d v="2025-10-05T00:00:00"/>
    <x v="1"/>
    <e v="#N/A"/>
    <x v="8"/>
    <s v="LA021/2568"/>
    <s v="Laos"/>
    <s v="Laos"/>
    <s v="บริษัท ปิก้าเทรดดิ้ง จำกัด"/>
    <s v="E+Wonton"/>
    <x v="1"/>
    <s v="เกี๊ยวกุ้งจักรพรรดิ 12x145g."/>
    <s v="082S8L212005P00001"/>
    <s v="145g*12"/>
    <n v="12"/>
    <n v="5"/>
    <n v="8.0000000000000002E-3"/>
    <s v="M"/>
    <s v="STPP"/>
    <s v="Regular"/>
    <n v="80"/>
    <n v="80"/>
    <m/>
    <n v="0"/>
    <n v="0"/>
    <n v="0"/>
    <n v="7.4999999999999997E-3"/>
    <n v="0"/>
    <m/>
    <n v="0"/>
    <n v="0"/>
  </r>
  <r>
    <m/>
    <x v="597"/>
    <s v="10-2025"/>
    <x v="1"/>
    <e v="#N/A"/>
    <x v="8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1"/>
    <s v="145g*12"/>
    <n v="12"/>
    <n v="5"/>
    <n v="8.0000000000000002E-3"/>
    <s v="M"/>
    <s v="STPP"/>
    <s v="Regular"/>
    <n v="1250"/>
    <n v="1250"/>
    <m/>
    <n v="0"/>
    <n v="0"/>
    <n v="0"/>
    <n v="7.4999999999999997E-3"/>
    <n v="0"/>
    <m/>
    <n v="0"/>
    <n v="0"/>
  </r>
  <r>
    <m/>
    <x v="597"/>
    <s v="10-2025"/>
    <x v="1"/>
    <e v="#N/A"/>
    <x v="8"/>
    <s v="ขายภายใน"/>
    <s v="MTFS"/>
    <s v="CPFGS"/>
    <s v="ซีพีเอฟ เทรดดิ้ง"/>
    <s v="E+Wonton TY"/>
    <x v="1"/>
    <s v="เกี๊ยวกุ้งรสต้มยำ ตราซีพี 12x115 กรัม"/>
    <s v="082S83Q12005P04001"/>
    <s v="115g*12"/>
    <n v="12"/>
    <n v="5"/>
    <n v="8.0000000000000002E-3"/>
    <s v="M"/>
    <s v="STPP"/>
    <s v="TYTB3C 30G"/>
    <n v="400"/>
    <n v="400"/>
    <m/>
    <n v="0"/>
    <n v="0"/>
    <n v="0"/>
    <n v="1"/>
    <n v="0"/>
    <m/>
    <n v="0"/>
    <n v="0"/>
  </r>
  <r>
    <m/>
    <x v="597"/>
    <s v="10-2025"/>
    <x v="1"/>
    <e v="#N/A"/>
    <x v="8"/>
    <s v="ขายภายใน"/>
    <s v="MTFS"/>
    <s v="CPFGS"/>
    <s v="ซีพีเอฟ เทรดดิ้ง"/>
    <s v="E+Wonton TY"/>
    <x v="1"/>
    <s v="เกี๊ยวกุ้งรสต้มยำ ตราซีพี 12x115 กรัม"/>
    <s v="082S83Q12005P04001"/>
    <s v="115g*12"/>
    <n v="12"/>
    <n v="5"/>
    <n v="8.0000000000000002E-3"/>
    <s v="M"/>
    <s v="STPP"/>
    <s v="TYTB3C 30G"/>
    <n v="170"/>
    <n v="170"/>
    <n v="8.4583333333333339"/>
    <n v="8.4583333333333428"/>
    <n v="0"/>
    <n v="0"/>
    <n v="1"/>
    <n v="0"/>
    <m/>
    <n v="0"/>
    <n v="0"/>
  </r>
  <r>
    <m/>
    <x v="597"/>
    <s v="10-2025"/>
    <x v="1"/>
    <e v="#N/A"/>
    <x v="8"/>
    <s v="ขายภายใน"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1200"/>
    <n v="1200"/>
    <m/>
    <n v="0"/>
    <n v="0"/>
    <n v="0"/>
    <n v="1"/>
    <n v="0"/>
    <m/>
    <n v="0"/>
    <n v="0"/>
  </r>
  <r>
    <m/>
    <x v="597"/>
    <s v="10-2025"/>
    <x v="1"/>
    <e v="#N/A"/>
    <x v="8"/>
    <s v="ขายภายใน"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1200"/>
    <n v="1200"/>
    <m/>
    <n v="0"/>
    <n v="0"/>
    <n v="0"/>
    <n v="1"/>
    <n v="0"/>
    <m/>
    <n v="0"/>
    <n v="0"/>
  </r>
  <r>
    <m/>
    <x v="598"/>
    <s v="10-2025"/>
    <x v="1"/>
    <e v="#N/A"/>
    <x v="8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2927"/>
    <n v="2617"/>
    <n v="310"/>
    <n v="0"/>
    <n v="0"/>
    <n v="0"/>
    <n v="7.4999999999999997E-3"/>
    <n v="0"/>
    <m/>
    <n v="0"/>
    <n v="0"/>
  </r>
  <r>
    <m/>
    <x v="598"/>
    <s v="11-2025"/>
    <x v="1"/>
    <e v="#N/A"/>
    <x v="8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195"/>
    <m/>
    <n v="195"/>
    <n v="0"/>
    <n v="0"/>
    <n v="0"/>
    <n v="7.4999999999999997E-3"/>
    <n v="0"/>
    <m/>
    <n v="0"/>
    <n v="0"/>
  </r>
  <r>
    <m/>
    <x v="599"/>
    <s v="10-2025"/>
    <x v="1"/>
    <e v="#N/A"/>
    <x v="8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174"/>
    <n v="1174"/>
    <m/>
    <n v="0"/>
    <n v="0"/>
    <n v="0"/>
    <n v="7.4999999999999997E-3"/>
    <n v="0"/>
    <m/>
    <n v="0"/>
    <n v="0"/>
  </r>
  <r>
    <m/>
    <x v="599"/>
    <d v="2025-10-15T00:00:00"/>
    <x v="1"/>
    <e v="#N/A"/>
    <x v="8"/>
    <s v="DRY2500242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n v="0"/>
    <n v="7.4999999999999997E-3"/>
    <n v="0"/>
    <s v="new package (ลบโลโก้ Facebook)"/>
    <n v="0"/>
    <n v="0"/>
  </r>
  <r>
    <m/>
    <x v="599"/>
    <d v="2025-10-14T00:00:00"/>
    <x v="1"/>
    <e v="#N/A"/>
    <x v="8"/>
    <s v="DRY2500314"/>
    <s v="Denmark"/>
    <s v="CPFNW"/>
    <s v="CPF DENMARK"/>
    <s v="Minced ND+หมาล่า"/>
    <x v="1"/>
    <s v="Cooked Minced  ND No Egg หมาล่า"/>
    <s v="082SRKW08003P01001"/>
    <s v="300g*8"/>
    <n v="8"/>
    <n v="3"/>
    <n v="6.1999999999999998E-3"/>
    <s v="BK"/>
    <s v="Salt"/>
    <s v="หมาล่า"/>
    <n v="3500"/>
    <n v="3500"/>
    <m/>
    <n v="0"/>
    <n v="0"/>
    <n v="0"/>
    <n v="1.2999999999999999E-2"/>
    <n v="0"/>
    <m/>
    <n v="0"/>
    <n v="0"/>
  </r>
  <r>
    <m/>
    <x v="600"/>
    <m/>
    <x v="1"/>
    <e v="#N/A"/>
    <x v="8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601"/>
    <d v="2025-09-30T00:00:00"/>
    <x v="1"/>
    <e v="#N/A"/>
    <x v="8"/>
    <s v="DRY2500204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618"/>
    <n v="618"/>
    <m/>
    <n v="0"/>
    <n v="0"/>
    <n v="0"/>
    <n v="2"/>
    <n v="0"/>
    <m/>
    <n v="0"/>
    <n v="0"/>
  </r>
  <r>
    <s v="กรมประมง audit"/>
    <x v="602"/>
    <d v="2025-10-14T00:00:00"/>
    <x v="1"/>
    <e v="#N/A"/>
    <x v="8"/>
    <s v="DRY2500268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s v="กรมประมง audit"/>
    <x v="602"/>
    <d v="2025-10-14T00:00:00"/>
    <x v="1"/>
    <e v="#N/A"/>
    <x v="8"/>
    <s v="DRY2500269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s v="กรมประมง audit"/>
    <x v="602"/>
    <d v="2025-10-14T00:00:00"/>
    <x v="1"/>
    <e v="#N/A"/>
    <x v="8"/>
    <s v="DRY2500270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s v="R"/>
    <x v="603"/>
    <d v="2025-09-30T00:00:00"/>
    <x v="1"/>
    <e v="#N/A"/>
    <x v="8"/>
    <s v="DRY2500204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613"/>
    <n v="613"/>
    <m/>
    <n v="0"/>
    <n v="0"/>
    <n v="0"/>
    <n v="2"/>
    <n v="0"/>
    <m/>
    <n v="0"/>
    <n v="0"/>
  </r>
  <r>
    <s v="R"/>
    <x v="604"/>
    <d v="2025-09-30T00:00:00"/>
    <x v="1"/>
    <e v="#N/A"/>
    <x v="8"/>
    <s v="DRY2500204"/>
    <s v="Korea"/>
    <s v="CPFNW"/>
    <s v="Consumer Package Commerce"/>
    <s v="R-Wonton egg past"/>
    <x v="2"/>
    <s v="Raw Wonton 12 pcs"/>
    <s v="082I93U40012P01001"/>
    <s v="154g*40in"/>
    <n v="40"/>
    <n v="12"/>
    <n v="6.8100000000000001E-3"/>
    <s v="S"/>
    <s v="STPP"/>
    <s v="ซุปซอง 5g."/>
    <n v="393"/>
    <n v="393"/>
    <m/>
    <n v="0"/>
    <n v="0"/>
    <n v="0"/>
    <n v="2"/>
    <n v="0"/>
    <m/>
    <n v="0"/>
    <n v="0"/>
  </r>
  <r>
    <s v="R"/>
    <x v="604"/>
    <d v="2025-10-07T00:00:00"/>
    <x v="1"/>
    <e v="#N/A"/>
    <x v="8"/>
    <s v="DRY2500205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246"/>
    <n v="246"/>
    <m/>
    <n v="0"/>
    <n v="0"/>
    <n v="0"/>
    <n v="6"/>
    <n v="0"/>
    <m/>
    <n v="0"/>
    <n v="0"/>
  </r>
  <r>
    <s v="R"/>
    <x v="605"/>
    <d v="2025-10-07T00:00:00"/>
    <x v="1"/>
    <e v="#N/A"/>
    <x v="8"/>
    <s v="DRY2500205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728"/>
    <n v="728"/>
    <m/>
    <n v="0"/>
    <n v="0"/>
    <n v="0"/>
    <n v="6"/>
    <n v="0"/>
    <m/>
    <n v="0"/>
    <n v="0"/>
  </r>
  <r>
    <m/>
    <x v="606"/>
    <d v="2025-10-02T00:00:00"/>
    <x v="1"/>
    <e v="#N/A"/>
    <x v="8"/>
    <s v="DRY2500313"/>
    <s v="USA"/>
    <s v="CPFNW"/>
    <s v="Bellisio Foods, Inc."/>
    <s v="Minced WT"/>
    <x v="1"/>
    <s v="Cooked Minced Wonton Soup No Egg"/>
    <s v="082SKBW36005P00001"/>
    <s v="145g*6c*6"/>
    <n v="36"/>
    <n v="5"/>
    <n v="6.0000000000000001E-3"/>
    <s v="BK"/>
    <s v="Salt"/>
    <s v="Regular"/>
    <n v="300"/>
    <n v="300"/>
    <m/>
    <n v="0"/>
    <n v="0"/>
    <n v="0"/>
    <n v="7.4999999999999997E-3"/>
    <n v="0"/>
    <s v="STOCK USA Pack 8x148g."/>
    <n v="0"/>
    <n v="0"/>
  </r>
  <r>
    <m/>
    <x v="606"/>
    <d v="2025-10-03T00:00:00"/>
    <x v="1"/>
    <e v="#N/A"/>
    <x v="8"/>
    <s v="DRY2500314"/>
    <s v="USA"/>
    <s v="CPFNW"/>
    <s v="Bellisio Foods, Inc."/>
    <s v="Minced WT"/>
    <x v="1"/>
    <s v="Cooked Minced Wonton Soup No Egg"/>
    <s v="082SKBW36005P00001"/>
    <s v="145g*6c*6"/>
    <n v="36"/>
    <n v="5"/>
    <n v="6.0000000000000001E-3"/>
    <s v="BK"/>
    <s v="Salt"/>
    <s v="Regular"/>
    <n v="450"/>
    <n v="450"/>
    <m/>
    <n v="0"/>
    <n v="0"/>
    <n v="0"/>
    <n v="7.4999999999999997E-3"/>
    <n v="0"/>
    <m/>
    <n v="0"/>
    <n v="0"/>
  </r>
  <r>
    <m/>
    <x v="606"/>
    <d v="2025-10-02T00:00:00"/>
    <x v="1"/>
    <e v="#N/A"/>
    <x v="8"/>
    <s v="DRY2500313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800"/>
    <m/>
    <n v="800"/>
    <n v="0"/>
    <n v="0"/>
    <n v="0"/>
    <n v="7.4999999999999997E-3"/>
    <n v="0"/>
    <s v="STOCK USA Pack 8x258g."/>
    <n v="0"/>
    <n v="0"/>
  </r>
  <r>
    <m/>
    <x v="606"/>
    <d v="2025-10-03T00:00:00"/>
    <x v="1"/>
    <e v="#N/A"/>
    <x v="8"/>
    <s v="DRY2500314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700"/>
    <m/>
    <n v="709.875"/>
    <n v="9.875"/>
    <n v="0"/>
    <n v="0"/>
    <n v="7.4999999999999997E-3"/>
    <n v="0"/>
    <m/>
    <n v="0"/>
    <n v="0"/>
  </r>
  <r>
    <m/>
    <x v="606"/>
    <d v="2025-11-01T00:00:00"/>
    <x v="1"/>
    <e v="#N/A"/>
    <x v="8"/>
    <s v="DRY2500309"/>
    <s v="New Zealand"/>
    <s v="CPFNW"/>
    <s v="Lim Brothers"/>
    <s v="Wonton ND+V"/>
    <x v="1"/>
    <s v="Cooked Wonton ND No Egg with Pumpkin_x000a_+ Yu Choy "/>
    <s v="082SJN708004P00001"/>
    <s v="305g*8"/>
    <n v="8"/>
    <n v="4"/>
    <n v="7.4999999999999997E-3"/>
    <s v="HC"/>
    <s v="Salt"/>
    <s v="Regular"/>
    <n v="1450"/>
    <m/>
    <n v="1461.5"/>
    <n v="11.5"/>
    <n v="0"/>
    <n v="0"/>
    <n v="7.4999999999999997E-3"/>
    <n v="0"/>
    <m/>
    <n v="0"/>
    <n v="0"/>
  </r>
  <r>
    <m/>
    <x v="607"/>
    <m/>
    <x v="1"/>
    <e v="#N/A"/>
    <x v="8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608"/>
    <d v="2025-10-02T00:00:00"/>
    <x v="1"/>
    <e v="#N/A"/>
    <x v="8"/>
    <s v="DRY2500313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  <m/>
    <n v="0"/>
    <n v="0"/>
  </r>
  <r>
    <s v="R"/>
    <x v="608"/>
    <d v="2025-10-03T00:00:00"/>
    <x v="1"/>
    <e v="#N/A"/>
    <x v="8"/>
    <s v="DRY2500314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00"/>
    <n v="100"/>
    <n v="3"/>
    <n v="3"/>
    <n v="0"/>
    <n v="0"/>
    <n v="6"/>
    <n v="0"/>
    <m/>
    <n v="0"/>
    <n v="0"/>
  </r>
  <r>
    <s v="R"/>
    <x v="608"/>
    <d v="2025-10-07T00:00:00"/>
    <x v="1"/>
    <e v="#N/A"/>
    <x v="8"/>
    <s v="DRY2500205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405"/>
    <n v="405"/>
    <m/>
    <n v="0"/>
    <n v="0"/>
    <n v="0"/>
    <n v="6"/>
    <n v="0"/>
    <m/>
    <n v="0"/>
    <n v="0"/>
  </r>
  <r>
    <s v="R"/>
    <x v="609"/>
    <d v="2025-10-07T00:00:00"/>
    <x v="1"/>
    <e v="#N/A"/>
    <x v="8"/>
    <s v="DRY2500205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77"/>
    <n v="677"/>
    <m/>
    <n v="0"/>
    <n v="0"/>
    <n v="0"/>
    <n v="6"/>
    <n v="0"/>
    <m/>
    <n v="0"/>
    <n v="0"/>
  </r>
  <r>
    <s v="R"/>
    <x v="609"/>
    <d v="2025-10-04T00:00:00"/>
    <x v="1"/>
    <e v="#N/A"/>
    <x v="8"/>
    <s v="DRY2500287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120"/>
    <n v="120"/>
    <m/>
    <n v="0"/>
    <n v="0"/>
    <n v="0"/>
    <n v="2"/>
    <n v="0"/>
    <s v="ห่อแบบสุก"/>
    <n v="0"/>
    <n v="0"/>
  </r>
  <r>
    <s v="R"/>
    <x v="610"/>
    <d v="2025-10-04T00:00:00"/>
    <x v="1"/>
    <e v="#N/A"/>
    <x v="9"/>
    <s v="DRY2500272"/>
    <s v="SG"/>
    <s v="CPFNW"/>
    <s v="CPI SINGAPORE"/>
    <s v="R-Wonton egg past"/>
    <x v="2"/>
    <s v="Raw Wonton 8 pcs"/>
    <s v="082I93B20008P00001"/>
    <s v="194g*20in"/>
    <n v="20"/>
    <n v="8"/>
    <n v="1.4999999999999999E-2"/>
    <s v="JB"/>
    <s v="STPP"/>
    <s v="ซุปซอง 5g."/>
    <n v="250"/>
    <n v="250"/>
    <m/>
    <n v="0"/>
    <n v="0"/>
    <n v="0"/>
    <n v="2"/>
    <n v="0"/>
    <s v="ห่อแบบดิบ"/>
    <n v="0"/>
    <n v="0"/>
  </r>
  <r>
    <s v="R"/>
    <x v="610"/>
    <d v="2025-10-04T00:00:00"/>
    <x v="1"/>
    <e v="#N/A"/>
    <x v="9"/>
    <s v="DRY2500272"/>
    <s v="SG"/>
    <s v="CPFNW"/>
    <s v="CPI SINGAPORE"/>
    <s v="R-Minced egg past"/>
    <x v="2"/>
    <s v="Raw Minced Wonton 8 pcs"/>
    <s v="082ID3B18008P00001"/>
    <s v="90g*18in"/>
    <n v="18"/>
    <n v="8"/>
    <n v="6.1999999999999998E-3"/>
    <s v="BK"/>
    <s v="STPP"/>
    <s v="ซุปซอง 5g."/>
    <n v="600"/>
    <n v="600"/>
    <m/>
    <n v="0"/>
    <n v="0"/>
    <n v="0"/>
    <n v="2"/>
    <n v="0"/>
    <m/>
    <n v="0"/>
    <n v="0"/>
  </r>
  <r>
    <s v="R"/>
    <x v="610"/>
    <d v="2025-10-04T00:00:00"/>
    <x v="1"/>
    <e v="#N/A"/>
    <x v="9"/>
    <s v="DRY2500287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330"/>
    <n v="330"/>
    <m/>
    <n v="0"/>
    <n v="0"/>
    <n v="0"/>
    <n v="2"/>
    <n v="0"/>
    <s v="ห่อแบบสุก"/>
    <n v="0"/>
    <n v="0"/>
  </r>
  <r>
    <s v="R"/>
    <x v="610"/>
    <d v="2025-10-20T00:00:00"/>
    <x v="1"/>
    <e v="#N/A"/>
    <x v="9"/>
    <s v="DRY2500273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274"/>
    <n v="33"/>
    <n v="241"/>
    <n v="0"/>
    <n v="0"/>
    <n v="0"/>
    <n v="2"/>
    <n v="0"/>
    <s v="ห่อแบบสุก"/>
    <n v="0"/>
    <n v="0"/>
  </r>
  <r>
    <s v="R"/>
    <x v="611"/>
    <d v="2025-10-09T00:00:00"/>
    <x v="1"/>
    <e v="#N/A"/>
    <x v="9"/>
    <s v="KL2500030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806"/>
    <n v="806"/>
    <m/>
    <n v="0"/>
    <n v="0"/>
    <n v="0"/>
    <n v="6"/>
    <n v="0"/>
    <m/>
    <n v="0"/>
    <n v="0"/>
  </r>
  <r>
    <s v="R"/>
    <x v="612"/>
    <d v="2025-10-09T00:00:00"/>
    <x v="1"/>
    <e v="#N/A"/>
    <x v="9"/>
    <s v="KL2500030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602"/>
    <n v="447"/>
    <n v="155"/>
    <n v="0"/>
    <n v="0"/>
    <n v="0"/>
    <n v="6"/>
    <n v="0"/>
    <m/>
    <n v="0"/>
    <n v="0"/>
  </r>
  <r>
    <s v="R"/>
    <x v="612"/>
    <d v="2025-10-11T00:00:00"/>
    <x v="1"/>
    <e v="#N/A"/>
    <x v="9"/>
    <s v="KL2500031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67"/>
    <m/>
    <n v="167"/>
    <n v="0"/>
    <n v="0"/>
    <n v="0"/>
    <n v="6"/>
    <n v="0"/>
    <m/>
    <n v="0"/>
    <n v="0"/>
  </r>
  <r>
    <m/>
    <x v="613"/>
    <d v="2025-10-20T00:00:00"/>
    <x v="1"/>
    <e v="#N/A"/>
    <x v="9"/>
    <s v="DRY2500277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613"/>
    <d v="2025-10-20T00:00:00"/>
    <x v="1"/>
    <e v="#N/A"/>
    <x v="9"/>
    <s v="DRY2500278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613"/>
    <d v="2025-10-20T00:00:00"/>
    <x v="1"/>
    <e v="#N/A"/>
    <x v="9"/>
    <s v="DRY2500279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686"/>
    <n v="106"/>
    <n v="0"/>
    <n v="0"/>
    <n v="0"/>
    <n v="7.4999999999999997E-3"/>
    <n v="0"/>
    <m/>
    <n v="0"/>
    <n v="0"/>
  </r>
  <r>
    <m/>
    <x v="614"/>
    <m/>
    <x v="1"/>
    <e v="#N/A"/>
    <x v="9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615"/>
    <d v="2025-10-11T00:00:00"/>
    <x v="1"/>
    <e v="#N/A"/>
    <x v="9"/>
    <s v="KL2500031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809"/>
    <n v="809"/>
    <m/>
    <n v="0"/>
    <n v="0"/>
    <n v="0"/>
    <n v="6"/>
    <n v="0"/>
    <m/>
    <n v="0"/>
    <n v="0"/>
  </r>
  <r>
    <s v="R"/>
    <x v="616"/>
    <d v="2025-10-11T00:00:00"/>
    <x v="1"/>
    <e v="#N/A"/>
    <x v="9"/>
    <s v="KL2500031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432"/>
    <n v="432"/>
    <m/>
    <n v="0"/>
    <n v="0"/>
    <n v="0"/>
    <n v="6"/>
    <n v="0"/>
    <m/>
    <n v="0"/>
    <n v="0"/>
  </r>
  <r>
    <s v="R"/>
    <x v="616"/>
    <d v="2025-10-17T00:00:00"/>
    <x v="1"/>
    <e v="#N/A"/>
    <x v="9"/>
    <s v="KL2500032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391"/>
    <n v="391"/>
    <m/>
    <n v="0"/>
    <n v="0"/>
    <n v="0"/>
    <n v="6"/>
    <n v="0"/>
    <m/>
    <n v="0"/>
    <n v="0"/>
  </r>
  <r>
    <m/>
    <x v="617"/>
    <m/>
    <x v="1"/>
    <e v="#N/A"/>
    <x v="9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618"/>
    <d v="2025-10-17T00:00:00"/>
    <x v="1"/>
    <e v="#N/A"/>
    <x v="9"/>
    <s v="KL2500032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814"/>
    <n v="814"/>
    <m/>
    <n v="0"/>
    <n v="0"/>
    <n v="0"/>
    <n v="6"/>
    <n v="0"/>
    <m/>
    <n v="0"/>
    <n v="0"/>
  </r>
  <r>
    <s v="R"/>
    <x v="619"/>
    <d v="2025-10-17T00:00:00"/>
    <x v="1"/>
    <e v="#N/A"/>
    <x v="9"/>
    <s v="KL2500032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203"/>
    <n v="203"/>
    <m/>
    <n v="0"/>
    <n v="0"/>
    <n v="0"/>
    <n v="6"/>
    <n v="0"/>
    <m/>
    <n v="0"/>
    <n v="0"/>
  </r>
  <r>
    <s v="R"/>
    <x v="619"/>
    <d v="2025-10-28T00:00:00"/>
    <x v="1"/>
    <e v="#N/A"/>
    <x v="9"/>
    <s v="DRY2500199"/>
    <s v="Belgium"/>
    <s v="CPFNW"/>
    <s v="CPF EUROPE S.A."/>
    <s v="R-Wonton no egg"/>
    <x v="2"/>
    <s v="Raw Wonton 50 pcs"/>
    <s v="082I93I10050P02001"/>
    <s v="630g*10inner"/>
    <n v="10"/>
    <n v="50"/>
    <n v="8.1300000000000001E-3"/>
    <s v="M"/>
    <s v="Salt"/>
    <s v="ซุปซอง 5g."/>
    <n v="500"/>
    <n v="500"/>
    <m/>
    <n v="0"/>
    <n v="0"/>
    <n v="0"/>
    <n v="6"/>
    <n v="0"/>
    <m/>
    <n v="0"/>
    <n v="0"/>
  </r>
  <r>
    <m/>
    <x v="620"/>
    <s v="10-2025"/>
    <x v="1"/>
    <e v="#N/A"/>
    <x v="9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977"/>
    <n v="1977"/>
    <m/>
    <n v="0"/>
    <n v="0"/>
    <n v="0"/>
    <n v="7.4999999999999997E-3"/>
    <n v="0"/>
    <m/>
    <n v="0"/>
    <n v="0"/>
  </r>
  <r>
    <m/>
    <x v="620"/>
    <d v="2025-10-16T00:00:00"/>
    <x v="1"/>
    <e v="#N/A"/>
    <x v="9"/>
    <s v="KL2500039"/>
    <s v="China"/>
    <s v="China"/>
    <s v="Charoen Pokphand Import&amp;Export Trading (Shanghai) Co., Ltd"/>
    <s v="Wonton+TY"/>
    <x v="1"/>
    <s v="Wonton Soup  (Enriched wonton sheet)"/>
    <s v="082S85J36005P00001"/>
    <s v="147g*6c*6in"/>
    <n v="36"/>
    <n v="5"/>
    <n v="7.4999999999999997E-3"/>
    <s v="M"/>
    <s v="Salt"/>
    <s v="TYEXSG+CO"/>
    <n v="390"/>
    <n v="390"/>
    <n v="6.5"/>
    <n v="6.5"/>
    <n v="0"/>
    <n v="0"/>
    <n v="2.2419999999999999E-2"/>
    <n v="0"/>
    <s v="stock 1275 ถ้วย สินค้าผลิตเดือน 1/2025, korea 181 / taiwan 64"/>
    <n v="0"/>
    <n v="0"/>
  </r>
  <r>
    <m/>
    <x v="620"/>
    <d v="2025-11-20T00:00:00"/>
    <x v="1"/>
    <e v="#N/A"/>
    <x v="9"/>
    <s v="DRY2500248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SG+CO"/>
    <n v="924"/>
    <n v="890"/>
    <n v="82.625"/>
    <n v="48.625"/>
    <n v="0"/>
    <n v="0"/>
    <n v="3.8699999999999998E-2"/>
    <n v="0"/>
    <s v="1436 ถ้วย NZ"/>
    <n v="0"/>
    <n v="0"/>
  </r>
  <r>
    <m/>
    <x v="620"/>
    <d v="2025-11-01T00:00:00"/>
    <x v="1"/>
    <e v="#N/A"/>
    <x v="9"/>
    <s v="DRY2500309"/>
    <s v="New Zealand"/>
    <s v="CPFNW"/>
    <s v="Lim Brothers"/>
    <s v="Minced ND+V+TY"/>
    <x v="1"/>
    <s v="Cooked Minced  ND No Egg with Pumpkin_x000a_+ Yu Choy Tomyum"/>
    <s v="082SRN708003P00001"/>
    <s v="302g*8"/>
    <n v="8"/>
    <n v="3"/>
    <n v="6.0000000000000001E-3"/>
    <s v="BK"/>
    <s v="Salt"/>
    <s v="TYEXSG+CO"/>
    <n v="650"/>
    <m/>
    <n v="650"/>
    <n v="0"/>
    <n v="0"/>
    <n v="0"/>
    <n v="3.8699999999999998E-2"/>
    <n v="0"/>
    <s v="2058 ถ้วย เอา Germany มา"/>
    <n v="0"/>
    <n v="0"/>
  </r>
  <r>
    <m/>
    <x v="621"/>
    <m/>
    <x v="1"/>
    <e v="#N/A"/>
    <x v="9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622"/>
    <m/>
    <x v="1"/>
    <e v="#N/A"/>
    <x v="9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623"/>
    <s v="11-2025"/>
    <x v="1"/>
    <e v="#N/A"/>
    <x v="9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500"/>
    <n v="500"/>
    <m/>
    <n v="0"/>
    <n v="0"/>
    <n v="0"/>
    <m/>
    <n v="0"/>
    <m/>
    <n v="0"/>
    <n v="0"/>
  </r>
  <r>
    <s v="R"/>
    <x v="623"/>
    <s v="11-2025"/>
    <x v="1"/>
    <e v="#N/A"/>
    <x v="9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m/>
    <n v="309"/>
    <n v="309"/>
    <m/>
    <n v="0"/>
    <n v="0"/>
    <n v="0"/>
    <m/>
    <n v="0"/>
    <m/>
    <n v="0"/>
    <n v="0"/>
  </r>
  <r>
    <s v="R"/>
    <x v="623"/>
    <d v="2025-10-20T00:00:00"/>
    <x v="1"/>
    <e v="#N/A"/>
    <x v="9"/>
    <s v="DRY2500203"/>
    <s v="SG"/>
    <s v="CPFNW"/>
    <s v="CPI SINGAPORE"/>
    <s v="R-Wonton egg past"/>
    <x v="2"/>
    <s v="Raw Wonton 8 pcs (Tomyam 30g.)"/>
    <s v="082I93B18008P01001"/>
    <s v="126g*18in"/>
    <n v="18"/>
    <n v="8"/>
    <n v="6.8100000000000001E-3"/>
    <s v="S"/>
    <s v="STPP"/>
    <s v="TYTB3C 30G"/>
    <n v="500"/>
    <n v="498"/>
    <m/>
    <n v="-2"/>
    <n v="36"/>
    <n v="288"/>
    <n v="1"/>
    <n v="36"/>
    <m/>
    <n v="1.9612799999999997E-3"/>
    <n v="3.6319999999999994E-3"/>
  </r>
  <r>
    <s v="R"/>
    <x v="623"/>
    <d v="2025-10-20T00:00:00"/>
    <x v="1"/>
    <e v="#N/A"/>
    <x v="9"/>
    <s v="DRY2500273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926"/>
    <n v="634"/>
    <n v="292"/>
    <n v="0"/>
    <n v="0"/>
    <n v="0"/>
    <n v="2"/>
    <n v="0"/>
    <s v="ห่อแบบสุก"/>
    <n v="0"/>
    <n v="0"/>
  </r>
  <r>
    <s v="R"/>
    <x v="623"/>
    <d v="2025-11-04T00:00:00"/>
    <x v="1"/>
    <e v="#N/A"/>
    <x v="9"/>
    <s v="DRY2500303"/>
    <s v="Malay"/>
    <s v="CPFNW"/>
    <s v="CPM Malaysia"/>
    <s v="R-Wonton egg past"/>
    <x v="2"/>
    <s v="Raw Wonton 12 pcs"/>
    <s v="082I95I20012P02001"/>
    <s v="154g*20inner"/>
    <n v="20"/>
    <n v="12"/>
    <n v="6.8100000000000001E-3"/>
    <s v="S"/>
    <s v="STPP"/>
    <s v="ซุปซอง 5g."/>
    <n v="350"/>
    <n v="350"/>
    <m/>
    <n v="0"/>
    <n v="0"/>
    <n v="0"/>
    <n v="2"/>
    <n v="0"/>
    <m/>
    <n v="0"/>
    <n v="0"/>
  </r>
  <r>
    <m/>
    <x v="624"/>
    <s v="10-2025"/>
    <x v="1"/>
    <e v="#N/A"/>
    <x v="9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835"/>
    <n v="835"/>
    <m/>
    <n v="0"/>
    <n v="0"/>
    <n v="0"/>
    <n v="7.4999999999999997E-3"/>
    <n v="0"/>
    <m/>
    <n v="0"/>
    <n v="0"/>
  </r>
  <r>
    <m/>
    <x v="624"/>
    <s v="11-2025"/>
    <x v="1"/>
    <e v="#N/A"/>
    <x v="9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0000000000000001E-3"/>
    <s v="SS"/>
    <s v="STPP"/>
    <s v="Regular"/>
    <n v="124"/>
    <n v="124"/>
    <m/>
    <n v="0"/>
    <n v="0"/>
    <n v="0"/>
    <n v="7.4999999999999997E-3"/>
    <n v="0"/>
    <m/>
    <n v="0"/>
    <n v="0"/>
  </r>
  <r>
    <m/>
    <x v="624"/>
    <d v="2025-11-04T00:00:00"/>
    <x v="1"/>
    <e v="#N/A"/>
    <x v="9"/>
    <s v="DRY2500303"/>
    <s v="Malay"/>
    <s v="CPFNW"/>
    <s v="CPM Malaysia"/>
    <s v="Wonton"/>
    <x v="1"/>
    <s v="Cooked Wonton No Egg  "/>
    <s v="082S85I24005P01001"/>
    <s v="145g*24"/>
    <n v="24"/>
    <n v="5"/>
    <n v="8.0000000000000002E-3"/>
    <s v="M"/>
    <s v="STPP"/>
    <s v="Regular"/>
    <n v="925"/>
    <n v="925"/>
    <m/>
    <n v="0"/>
    <n v="0"/>
    <n v="0"/>
    <n v="7.4999999999999997E-3"/>
    <n v="0"/>
    <m/>
    <n v="0"/>
    <n v="0"/>
  </r>
  <r>
    <m/>
    <x v="624"/>
    <d v="2025-11-26T00:00:00"/>
    <x v="1"/>
    <e v="#N/A"/>
    <x v="9"/>
    <s v="DRY2500276"/>
    <s v="SG"/>
    <s v="CPFNW"/>
    <s v="CPI Singapore"/>
    <s v="Wonton ND+V"/>
    <x v="1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250"/>
    <n v="250"/>
    <m/>
    <n v="0"/>
    <n v="0"/>
    <n v="0"/>
    <n v="1"/>
    <n v="0"/>
    <m/>
    <n v="0"/>
    <n v="0"/>
  </r>
  <r>
    <m/>
    <x v="624"/>
    <d v="2025-11-05T00:00:00"/>
    <x v="1"/>
    <e v="#N/A"/>
    <x v="9"/>
    <s v="DRY2500310"/>
    <s v="HK"/>
    <s v="CPFNW"/>
    <s v="CPM Hongkong"/>
    <s v="Wonton ND+V"/>
    <x v="1"/>
    <s v="Cooked Wonton ND No Egg with Pumpkin _x000a_+ Vegetable  HC  3 pcs"/>
    <s v="082SJ3G24003P02001"/>
    <s v="219g*24"/>
    <n v="24"/>
    <n v="3"/>
    <n v="7.4999999999999997E-3"/>
    <s v="HC"/>
    <s v="STPP"/>
    <s v="ซุปซอง 10g."/>
    <n v="10"/>
    <m/>
    <n v="10.375"/>
    <n v="0.375"/>
    <n v="0"/>
    <n v="0"/>
    <n v="1"/>
    <n v="0"/>
    <m/>
    <n v="0"/>
    <n v="0"/>
  </r>
  <r>
    <m/>
    <x v="624"/>
    <d v="2025-11-04T00:00:00"/>
    <x v="1"/>
    <e v="#N/A"/>
    <x v="9"/>
    <s v="DRY2500316"/>
    <s v="Denmark"/>
    <s v="CPFNW"/>
    <s v="CPF DENMARK"/>
    <s v="Minced ND+V+TK"/>
    <x v="1"/>
    <s v="Cooked Minced  ND No Egg with Pumpkin_x000a_+ Yu Choy Tomyum"/>
    <s v="082SJKW08003P01001"/>
    <s v="302g*8"/>
    <n v="8"/>
    <n v="3"/>
    <n v="6.0000000000000001E-3"/>
    <s v="BK"/>
    <s v="Salt"/>
    <s v="Tomkha+CM"/>
    <n v="3500"/>
    <m/>
    <n v="3494"/>
    <n v="-6"/>
    <n v="48"/>
    <n v="144"/>
    <n v="5.8823E-2"/>
    <n v="2.8235039999999998"/>
    <m/>
    <n v="8.6400000000000008E-4"/>
    <n v="1.6000000000000001E-3"/>
  </r>
  <r>
    <s v="R"/>
    <x v="625"/>
    <d v="2025-10-21T00:00:00"/>
    <x v="1"/>
    <e v="#N/A"/>
    <x v="9"/>
    <s v="KL2500034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n v="0"/>
    <n v="0"/>
  </r>
  <r>
    <m/>
    <x v="626"/>
    <d v="2025-11-04T00:00:00"/>
    <x v="1"/>
    <e v="#N/A"/>
    <x v="9"/>
    <s v="DRY2500303"/>
    <s v="Malay"/>
    <s v="CPFNW"/>
    <s v="CPM Malaysia"/>
    <s v="Wonton+TY"/>
    <x v="1"/>
    <s v="Cooked Wonton No Egg  Tomyum"/>
    <s v="082S85I24005P02001"/>
    <s v="115g*24"/>
    <n v="24"/>
    <n v="5"/>
    <n v="8.0000000000000002E-3"/>
    <s v="M"/>
    <s v="STPP"/>
    <s v="TYTB3C 30G"/>
    <n v="875"/>
    <n v="875"/>
    <m/>
    <n v="0"/>
    <n v="0"/>
    <n v="0"/>
    <n v="1"/>
    <n v="0"/>
    <m/>
    <n v="0"/>
    <n v="0"/>
  </r>
  <r>
    <m/>
    <x v="626"/>
    <d v="2025-11-26T00:00:00"/>
    <x v="1"/>
    <e v="#N/A"/>
    <x v="9"/>
    <s v="DRY2500276"/>
    <s v="SG"/>
    <s v="CPFNW"/>
    <s v="CPI SINGAPORE"/>
    <s v="Wonton +TY"/>
    <x v="1"/>
    <s v="Cooked Wonton No Egg"/>
    <s v="082S83B24005P06001"/>
    <s v="115g*24"/>
    <n v="24"/>
    <n v="5"/>
    <n v="8.0000000000000002E-3"/>
    <s v="M"/>
    <s v="STPP"/>
    <s v="TYTB3C 30G"/>
    <n v="250"/>
    <n v="250"/>
    <m/>
    <n v="0"/>
    <n v="0"/>
    <n v="0"/>
    <n v="1"/>
    <n v="0"/>
    <m/>
    <n v="0"/>
    <n v="0"/>
  </r>
  <r>
    <m/>
    <x v="626"/>
    <d v="2025-11-05T00:00:00"/>
    <x v="1"/>
    <e v="#N/A"/>
    <x v="9"/>
    <s v="DRY2500310"/>
    <s v="HK"/>
    <s v="CPFNW"/>
    <s v="CPM Hongkong"/>
    <s v="Wonton +TY"/>
    <x v="1"/>
    <s v="Cooked Wonton No Egg"/>
    <s v="082S83G24005P05001"/>
    <s v="115g*24"/>
    <n v="24"/>
    <n v="5"/>
    <n v="8.0000000000000002E-3"/>
    <s v="M"/>
    <s v="STPP"/>
    <s v="TYTB3C 30G"/>
    <n v="15"/>
    <m/>
    <n v="15"/>
    <n v="0"/>
    <n v="0"/>
    <n v="0"/>
    <n v="1"/>
    <n v="0"/>
    <m/>
    <n v="0"/>
    <n v="0"/>
  </r>
  <r>
    <m/>
    <x v="626"/>
    <s v="10-2025"/>
    <x v="1"/>
    <e v="#N/A"/>
    <x v="9"/>
    <s v="ขายภายใน"/>
    <s v=".7-11"/>
    <s v="CPFGS"/>
    <s v="ซีพีเอฟ เทรดดิ้ง"/>
    <s v="Wonton ND"/>
    <x v="1"/>
    <s v="บะหมี่เกี๊ยวกุ้งซุปสุกี้ CPxMK 227g ND Pumpkin"/>
    <s v="082SJ3Q12003P09001"/>
    <s v="227g*12"/>
    <n v="12"/>
    <n v="3"/>
    <n v="8.0000000000000002E-3"/>
    <s v="SS"/>
    <s v="STPP"/>
    <s v="MK"/>
    <n v="3030"/>
    <n v="3030"/>
    <n v="10"/>
    <n v="10"/>
    <n v="0"/>
    <n v="0"/>
    <n v="0.05"/>
    <n v="0"/>
    <m/>
    <n v="0"/>
    <n v="0"/>
  </r>
  <r>
    <m/>
    <x v="626"/>
    <s v="11-2025"/>
    <x v="1"/>
    <e v="#N/A"/>
    <x v="9"/>
    <s v="ขายภายใน"/>
    <s v="MTFS"/>
    <s v="CPFGS"/>
    <s v="ซีพีเอฟ เทรดดิ้ง"/>
    <s v="Wonton ND"/>
    <x v="1"/>
    <s v="บะหมี่เกี๊ยวกุ้งซุปสุกี้ CPxMK 227g MT"/>
    <s v="082SJ3Q12003P0A001"/>
    <s v="227g*12"/>
    <n v="12"/>
    <n v="3"/>
    <n v="8.0000000000000002E-3"/>
    <s v="SS"/>
    <s v="STPP"/>
    <s v="MK"/>
    <n v="500"/>
    <n v="500"/>
    <m/>
    <n v="0"/>
    <n v="0"/>
    <n v="0"/>
    <n v="0.05"/>
    <n v="0"/>
    <s v="เปลี่ยนใช้ผักกวางตุ้งแบบแช่แข็ง"/>
    <n v="0"/>
    <n v="0"/>
  </r>
  <r>
    <m/>
    <x v="627"/>
    <d v="2025-10-22T00:00:00"/>
    <x v="1"/>
    <e v="#N/A"/>
    <x v="9"/>
    <s v="ขายภายใน"/>
    <s v="MTFS"/>
    <s v="CPFGS"/>
    <s v="ซีพีเอฟ เทรดดิ้ง"/>
    <s v="E+Wonton NDE"/>
    <x v="1"/>
    <s v="CPบะหมี่เกี๊ยวกุ้งจักรพรรดิ 678g  (Multi Pack)"/>
    <s v="082SJ3Q18003P03001"/>
    <s v="226g*3ถ้วย*6ถุง"/>
    <n v="18"/>
    <n v="3"/>
    <n v="8.0000000000000002E-3"/>
    <s v="M"/>
    <s v="STPP"/>
    <s v="Regular"/>
    <n v="2500"/>
    <n v="563"/>
    <n v="1936.8333333333333"/>
    <n v="-0.16666666666696983"/>
    <n v="3.000000000007276"/>
    <n v="9.0000000000218279"/>
    <n v="7.4999999999999997E-3"/>
    <n v="2.250000000005457E-2"/>
    <m/>
    <n v="7.2000000000174613E-5"/>
    <n v="1.3333333333365668E-4"/>
  </r>
  <r>
    <m/>
    <x v="627"/>
    <d v="2025-10-22T00:00:00"/>
    <x v="1"/>
    <e v="#N/A"/>
    <x v="9"/>
    <s v="ขายภายใน"/>
    <s v="MTFS"/>
    <s v="CPFGS"/>
    <s v="ซีพีเอฟ เทรดดิ้ง"/>
    <s v="E+Minced WT"/>
    <x v="1"/>
    <s v="CPเกี๊ยวกุ้งสับ 405g (Multi Pack)"/>
    <s v="082SK3Q18005P00001"/>
    <s v="135g*3ถ้วย*6ถุง"/>
    <n v="18"/>
    <n v="5"/>
    <n v="6.0000000000000001E-3"/>
    <s v="BK"/>
    <s v="STPP"/>
    <s v="Regular"/>
    <n v="2500"/>
    <m/>
    <n v="2546.2222222222222"/>
    <n v="46.222222222222172"/>
    <n v="0"/>
    <n v="0"/>
    <n v="7.4999999999999997E-3"/>
    <n v="0"/>
    <m/>
    <n v="0"/>
    <n v="0"/>
  </r>
  <r>
    <m/>
    <x v="628"/>
    <m/>
    <x v="1"/>
    <e v="#N/A"/>
    <x v="9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629"/>
    <d v="2025-10-27T00:00:00"/>
    <x v="1"/>
    <e v="#N/A"/>
    <x v="9"/>
    <s v="DRY2500243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n v="0"/>
    <n v="7.4999999999999997E-3"/>
    <n v="0"/>
    <s v="new package (ลบโลโก้ Facebook)"/>
    <n v="0"/>
    <n v="0"/>
  </r>
  <r>
    <m/>
    <x v="629"/>
    <d v="2025-11-03T00:00:00"/>
    <x v="1"/>
    <e v="#N/A"/>
    <x v="9"/>
    <s v="DRY2500300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420"/>
    <n v="372"/>
    <n v="0"/>
    <n v="0"/>
    <n v="0"/>
    <n v="7.4999999999999997E-3"/>
    <n v="0"/>
    <m/>
    <n v="0"/>
    <n v="0"/>
  </r>
  <r>
    <m/>
    <x v="629"/>
    <d v="2025-11-03T00:00:00"/>
    <x v="1"/>
    <e v="#N/A"/>
    <x v="9"/>
    <s v="DRY2500301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m/>
    <n v="794.11111111111109"/>
    <n v="2.1111111111110858"/>
    <n v="0"/>
    <n v="0"/>
    <n v="7.4999999999999997E-3"/>
    <n v="0"/>
    <m/>
    <n v="0"/>
    <n v="0"/>
  </r>
  <r>
    <s v="R"/>
    <x v="630"/>
    <d v="2025-10-25T00:00:00"/>
    <x v="1"/>
    <e v="#N/A"/>
    <x v="9"/>
    <s v="KL2500035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n v="0"/>
    <n v="0"/>
  </r>
  <r>
    <s v="R"/>
    <x v="630"/>
    <d v="2025-10-27T00:00:00"/>
    <x v="1"/>
    <e v="#N/A"/>
    <x v="9"/>
    <s v="KL2500036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75"/>
    <n v="75"/>
    <m/>
    <n v="0"/>
    <n v="0"/>
    <n v="0"/>
    <n v="6"/>
    <n v="0"/>
    <m/>
    <n v="0"/>
    <n v="0"/>
  </r>
  <r>
    <s v="R"/>
    <x v="631"/>
    <d v="2025-10-27T00:00:00"/>
    <x v="1"/>
    <e v="#N/A"/>
    <x v="9"/>
    <s v="KL2500036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333"/>
    <n v="1333"/>
    <m/>
    <n v="0"/>
    <n v="0"/>
    <n v="0"/>
    <n v="6"/>
    <n v="0"/>
    <m/>
    <n v="0"/>
    <n v="0"/>
  </r>
  <r>
    <m/>
    <x v="632"/>
    <s v="11-2025"/>
    <x v="1"/>
    <e v="#N/A"/>
    <x v="9"/>
    <s v="ขายภายใน"/>
    <s v="MTFS"/>
    <s v="CPFGS"/>
    <s v="ซีพีเอฟ เทรดดิ้ง"/>
    <s v="E+Wonton NDE"/>
    <x v="1"/>
    <s v="บะหมี่เกี๊ยวกุ้ง ตราซีพี 12X226 กรัม"/>
    <s v="082SJ3Q12003P07001"/>
    <s v="226g*12"/>
    <n v="12"/>
    <n v="3"/>
    <n v="8.0000000000000002E-3"/>
    <s v="M"/>
    <s v="STPP"/>
    <s v="Regular"/>
    <n v="713"/>
    <n v="713"/>
    <m/>
    <n v="0"/>
    <n v="0"/>
    <n v="0"/>
    <n v="7.4999999999999997E-3"/>
    <n v="0"/>
    <m/>
    <n v="0"/>
    <n v="0"/>
  </r>
  <r>
    <m/>
    <x v="632"/>
    <s v="11-2025"/>
    <x v="1"/>
    <e v="#N/A"/>
    <x v="9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200"/>
    <n v="200"/>
    <m/>
    <n v="0"/>
    <n v="0"/>
    <n v="0"/>
    <n v="7.4999999999999997E-3"/>
    <n v="0"/>
    <m/>
    <n v="0"/>
    <n v="0"/>
  </r>
  <r>
    <s v="ชมรมกอล์ฟ ซีพี"/>
    <x v="632"/>
    <s v="11-2025"/>
    <x v="1"/>
    <e v="#N/A"/>
    <x v="9"/>
    <s v="ขายภายใน"/>
    <s v="MTFS"/>
    <s v="CPFGS"/>
    <s v="ซีพีเอฟ เทรดดิ้ง"/>
    <s v="E+Wonton"/>
    <x v="1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n v="0"/>
    <n v="7.4999999999999997E-3"/>
    <n v="0"/>
    <m/>
    <n v="0"/>
    <n v="0"/>
  </r>
  <r>
    <m/>
    <x v="632"/>
    <s v="11-2025"/>
    <x v="1"/>
    <e v="#N/A"/>
    <x v="9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1"/>
    <s v="145g*12"/>
    <n v="12"/>
    <n v="5"/>
    <n v="8.0000000000000002E-3"/>
    <s v="M"/>
    <s v="STPP"/>
    <s v="Regular"/>
    <n v="1250"/>
    <n v="1250"/>
    <m/>
    <n v="0"/>
    <n v="0"/>
    <n v="0"/>
    <n v="7.4999999999999997E-3"/>
    <n v="0"/>
    <m/>
    <n v="0"/>
    <n v="0"/>
  </r>
  <r>
    <m/>
    <x v="632"/>
    <s v="11-2025"/>
    <x v="1"/>
    <e v="#N/A"/>
    <x v="9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920"/>
    <n v="920"/>
    <m/>
    <n v="0"/>
    <n v="0"/>
    <n v="0"/>
    <n v="7.4999999999999997E-3"/>
    <n v="0"/>
    <m/>
    <n v="0"/>
    <n v="0"/>
  </r>
  <r>
    <m/>
    <x v="632"/>
    <s v="11-2025"/>
    <x v="1"/>
    <e v="#N/A"/>
    <x v="9"/>
    <s v="ขายภายใน"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1200"/>
    <n v="1200"/>
    <m/>
    <n v="0"/>
    <n v="0"/>
    <n v="0"/>
    <n v="1"/>
    <n v="0"/>
    <m/>
    <n v="0"/>
    <n v="0"/>
  </r>
  <r>
    <m/>
    <x v="632"/>
    <s v="11-2025"/>
    <x v="1"/>
    <e v="#N/A"/>
    <x v="9"/>
    <s v="ขายภายใน"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1200"/>
    <n v="1200"/>
    <m/>
    <n v="0"/>
    <n v="0"/>
    <n v="0"/>
    <n v="1"/>
    <n v="0"/>
    <m/>
    <n v="0"/>
    <n v="0"/>
  </r>
  <r>
    <s v="R"/>
    <x v="633"/>
    <d v="2025-11-04T00:00:00"/>
    <x v="1"/>
    <e v="#N/A"/>
    <x v="9"/>
    <s v="DRY2500339"/>
    <s v="Japan"/>
    <s v="CPFNW"/>
    <s v="CPF JAPAN"/>
    <s v="R-Minced"/>
    <x v="2"/>
    <s v="Raw Minced Wonton 50 pcs Warabeya"/>
    <s v="082ID5710050P01001"/>
    <s v="500g*10inner"/>
    <n v="10"/>
    <n v="50"/>
    <n v="6.0000000000000001E-3"/>
    <s v="BK"/>
    <s v="Salt"/>
    <s v="-"/>
    <n v="20"/>
    <m/>
    <n v="20"/>
    <n v="0"/>
    <n v="0"/>
    <n v="0"/>
    <n v="6"/>
    <n v="0"/>
    <m/>
    <n v="0"/>
    <n v="0"/>
  </r>
  <r>
    <s v="R"/>
    <x v="633"/>
    <d v="2025-10-31T00:00:00"/>
    <x v="1"/>
    <e v="#N/A"/>
    <x v="9"/>
    <s v="DRY2500326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218"/>
    <n v="218"/>
    <m/>
    <n v="0"/>
    <n v="0"/>
    <n v="0"/>
    <n v="6"/>
    <n v="0"/>
    <m/>
    <n v="0"/>
    <n v="0"/>
  </r>
  <r>
    <s v="R"/>
    <x v="634"/>
    <d v="2025-10-31T00:00:00"/>
    <x v="1"/>
    <e v="#N/A"/>
    <x v="9"/>
    <s v="DRY2500326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134"/>
    <n v="134"/>
    <m/>
    <n v="0"/>
    <n v="0"/>
    <n v="0"/>
    <n v="6"/>
    <n v="0"/>
    <m/>
    <n v="0"/>
    <n v="0"/>
  </r>
  <r>
    <s v="T"/>
    <x v="634"/>
    <d v="2025-11-01T00:00:00"/>
    <x v="1"/>
    <e v="#N/A"/>
    <x v="9"/>
    <s v="DRY2500309"/>
    <s v="New Zealand"/>
    <s v="CPFNW"/>
    <s v="Lim Brothers"/>
    <s v="C-Minced WT in tray no egg"/>
    <x v="1"/>
    <s v="Cooked Minced Wonton in Tray 6 pcs + Sesame Sauce"/>
    <s v="082SKN716006P00001"/>
    <s v="117*2tray*8in"/>
    <n v="16"/>
    <n v="6"/>
    <n v="6.0000000000000001E-3"/>
    <s v="BK"/>
    <s v="Salt"/>
    <s v=" Sesame 15g"/>
    <n v="425"/>
    <m/>
    <n v="456.625"/>
    <n v="31.625"/>
    <n v="0"/>
    <n v="0"/>
    <n v="1"/>
    <n v="0"/>
    <s v="ซอสเข้า 22/10"/>
    <n v="0"/>
    <n v="0"/>
  </r>
  <r>
    <m/>
    <x v="634"/>
    <s v="11-2025"/>
    <x v="1"/>
    <e v="#N/A"/>
    <x v="9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0000000000000001E-3"/>
    <s v="SS"/>
    <s v="STPP"/>
    <s v="Regular"/>
    <n v="1458"/>
    <n v="1458"/>
    <m/>
    <n v="0"/>
    <n v="0"/>
    <n v="0"/>
    <n v="7.4999999999999997E-3"/>
    <n v="0"/>
    <m/>
    <n v="0"/>
    <n v="0"/>
  </r>
  <r>
    <m/>
    <x v="634"/>
    <d v="2025-11-01T00:00:00"/>
    <x v="1"/>
    <e v="#N/A"/>
    <x v="9"/>
    <s v="DRY2500309"/>
    <s v="New Zealand"/>
    <s v="CPFNW"/>
    <s v="Lim Brothers"/>
    <s v="Minced ND+Kee Mao"/>
    <x v="1"/>
    <s v="Cooked Minced Wonton Thai Spicy Noodles (Kee Mao Noodles)"/>
    <s v="082SRN708003P03001"/>
    <s v="242g*8"/>
    <n v="8"/>
    <n v="3"/>
    <n v="6.0000000000000001E-3"/>
    <s v="BK"/>
    <s v="Salt"/>
    <s v="Kee Mao"/>
    <n v="440"/>
    <m/>
    <n v="440"/>
    <n v="0"/>
    <n v="0"/>
    <n v="0"/>
    <n v="1"/>
    <n v="0"/>
    <s v="NEWPACKAGE"/>
    <n v="0"/>
    <n v="0"/>
  </r>
  <r>
    <m/>
    <x v="634"/>
    <d v="2025-12-18T00:00:00"/>
    <x v="1"/>
    <e v="#N/A"/>
    <x v="9"/>
    <s v="DRY2500328"/>
    <s v="New Zealand"/>
    <s v="CPFNW"/>
    <s v="Lim Brothers"/>
    <s v="Minced ND+Kee Mao"/>
    <x v="1"/>
    <s v="Cooked Minced Wonton Thai Spicy Noodles (Kee Mao Noodles)"/>
    <s v="082SRN708003P03001"/>
    <s v="242g*8"/>
    <n v="8"/>
    <n v="3"/>
    <n v="6.0000000000000001E-3"/>
    <s v="BK"/>
    <s v="Salt"/>
    <s v="Kee Mao"/>
    <n v="54"/>
    <m/>
    <n v="62.25"/>
    <n v="8.25"/>
    <n v="0"/>
    <n v="0"/>
    <n v="1"/>
    <n v="0"/>
    <s v="NEWPACKAGE"/>
    <n v="0"/>
    <n v="0"/>
  </r>
  <r>
    <m/>
    <x v="634"/>
    <d v="2025-11-10T00:00:00"/>
    <x v="1"/>
    <e v="#N/A"/>
    <x v="9"/>
    <s v="DRY2500274"/>
    <s v="SG"/>
    <s v="CPFNW"/>
    <s v="CPI SINGAPORE"/>
    <s v="Minced ND+หมาล่า"/>
    <x v="1"/>
    <s v="Cooked Minced  ND No Egg หมาล่า"/>
    <s v="082SR3B24003P00001"/>
    <s v="300g*24"/>
    <n v="24"/>
    <n v="3"/>
    <n v="6.0000000000000001E-3"/>
    <s v="BK"/>
    <s v="Salt"/>
    <s v="หมาล่า"/>
    <n v="210"/>
    <n v="210"/>
    <m/>
    <n v="0"/>
    <n v="0"/>
    <n v="0"/>
    <n v="2.4E-2"/>
    <n v="0"/>
    <s v="stock 631 ถ้วยจาก denmark"/>
    <n v="0"/>
    <n v="0"/>
  </r>
  <r>
    <m/>
    <x v="634"/>
    <d v="2025-11-05T00:00:00"/>
    <x v="1"/>
    <e v="#N/A"/>
    <x v="9"/>
    <s v="DRY2500310"/>
    <s v="HK"/>
    <s v="CPFNW"/>
    <s v="CPM Hongkong"/>
    <s v="Minced ND+หมาล่า"/>
    <x v="1"/>
    <s v="Cooked Minced  ND No Egg หมาล่า"/>
    <s v="082SR3G24003P04001"/>
    <s v="300g*24"/>
    <n v="24"/>
    <n v="3"/>
    <n v="6.0000000000000001E-3"/>
    <s v="BK"/>
    <s v="Salt"/>
    <s v="หมาล่า"/>
    <n v="10"/>
    <m/>
    <n v="10"/>
    <n v="0"/>
    <n v="0"/>
    <n v="0"/>
    <n v="1.2999999999999999E-2"/>
    <n v="0"/>
    <s v="stock 631 ถ้วยจาก denmark"/>
    <n v="0"/>
    <n v="0"/>
  </r>
  <r>
    <m/>
    <x v="635"/>
    <m/>
    <x v="1"/>
    <e v="#N/A"/>
    <x v="9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636"/>
    <d v="2025-10-31T00:00:00"/>
    <x v="1"/>
    <e v="#N/A"/>
    <x v="9"/>
    <s v="KL2500042"/>
    <s v="China"/>
    <s v="China"/>
    <s v="Charoen Pokphand Import&amp;Export Trading (Shanghai) Co., Ltd"/>
    <s v="R-Wonton no egg"/>
    <x v="2"/>
    <s v="Raw Wonton 50 pcs"/>
    <s v="082I95J08050P03001"/>
    <s v="630g*8in"/>
    <n v="8"/>
    <n v="50"/>
    <n v="6.8100000000000001E-3"/>
    <s v="S"/>
    <s v="STPP"/>
    <s v="ซุปซอง 5g."/>
    <n v="924"/>
    <n v="924"/>
    <m/>
    <n v="0"/>
    <n v="0"/>
    <n v="0"/>
    <n v="6"/>
    <n v="0"/>
    <m/>
    <n v="0"/>
    <n v="0"/>
  </r>
  <r>
    <s v="R"/>
    <x v="636"/>
    <d v="2025-11-05T00:00:00"/>
    <x v="1"/>
    <e v="#N/A"/>
    <x v="9"/>
    <s v="DRY2500289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1322"/>
    <n v="775"/>
    <n v="547"/>
    <n v="0"/>
    <n v="0"/>
    <n v="0"/>
    <n v="1"/>
    <n v="0"/>
    <s v="new package"/>
    <n v="0"/>
    <n v="0"/>
  </r>
  <r>
    <s v="R"/>
    <x v="637"/>
    <d v="2025-11-05T00:00:00"/>
    <x v="1"/>
    <e v="#N/A"/>
    <x v="9"/>
    <s v="DRY2500289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328"/>
    <n v="328"/>
    <m/>
    <n v="0"/>
    <n v="0"/>
    <n v="0"/>
    <n v="1"/>
    <n v="0"/>
    <s v="new package"/>
    <n v="0"/>
    <n v="0"/>
  </r>
  <r>
    <m/>
    <x v="637"/>
    <s v="11-2025"/>
    <x v="1"/>
    <e v="#N/A"/>
    <x v="9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2346"/>
    <n v="2346"/>
    <m/>
    <n v="0"/>
    <n v="0"/>
    <n v="0"/>
    <n v="7.4999999999999997E-3"/>
    <n v="0"/>
    <m/>
    <n v="0"/>
    <n v="0"/>
  </r>
  <r>
    <m/>
    <x v="637"/>
    <s v="11-2025"/>
    <x v="1"/>
    <e v="#N/A"/>
    <x v="9"/>
    <s v="ขายภายใน"/>
    <s v="MTFS"/>
    <s v="CPFGS"/>
    <s v="ซีพีเอฟ เทรดดิ้ง"/>
    <s v="Wonton ND"/>
    <x v="1"/>
    <s v="บะหมี่เกี๊ยวกุ้งซุปสุกี้ CPxMK 227g MT"/>
    <s v="082SJ3Q12003P0A001"/>
    <s v="227g*12"/>
    <n v="12"/>
    <n v="3"/>
    <n v="8.0000000000000002E-3"/>
    <s v="SS"/>
    <s v="STPP"/>
    <s v="MK"/>
    <n v="2000"/>
    <n v="2000"/>
    <m/>
    <n v="0"/>
    <n v="0"/>
    <n v="0"/>
    <n v="0.05"/>
    <n v="0"/>
    <s v="เปลี่ยนใช้ผักกวางตุ้งแบบแช่แข็ง"/>
    <n v="0"/>
    <n v="0"/>
  </r>
  <r>
    <s v="R"/>
    <x v="638"/>
    <d v="2025-11-03T00:00:00"/>
    <x v="1"/>
    <e v="#N/A"/>
    <x v="9"/>
    <s v="KL2500037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n v="0"/>
    <n v="0"/>
  </r>
  <r>
    <s v="R"/>
    <x v="638"/>
    <d v="2025-11-05T00:00:00"/>
    <x v="1"/>
    <e v="#N/A"/>
    <x v="9"/>
    <s v="DRY2500289"/>
    <s v="HK"/>
    <s v="CPFNW"/>
    <s v="CPM Hongkong"/>
    <s v="R-Minced egg past"/>
    <x v="2"/>
    <s v="Raw Minced Wonton 8 pcs"/>
    <s v="082ID3G18008P00001"/>
    <s v="90g*18in"/>
    <n v="18"/>
    <n v="8"/>
    <n v="6.0000000000000001E-3"/>
    <s v="BK"/>
    <s v="STPP"/>
    <s v="ซุปซอง 5g."/>
    <n v="250"/>
    <n v="250"/>
    <m/>
    <n v="0"/>
    <n v="0"/>
    <n v="0"/>
    <n v="2"/>
    <n v="0"/>
    <m/>
    <n v="0"/>
    <n v="0"/>
  </r>
  <r>
    <m/>
    <x v="639"/>
    <d v="2025-11-10T00:00:00"/>
    <x v="1"/>
    <e v="#N/A"/>
    <x v="9"/>
    <s v="DRY2500244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n v="0"/>
    <n v="7.4999999999999997E-3"/>
    <n v="0"/>
    <s v="new package (ลบโลโก้ Facebook)"/>
    <n v="0"/>
    <n v="0"/>
  </r>
  <r>
    <m/>
    <x v="639"/>
    <s v="11-2025"/>
    <x v="1"/>
    <e v="#N/A"/>
    <x v="9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1371"/>
    <n v="1371"/>
    <m/>
    <n v="0"/>
    <n v="0"/>
    <n v="0"/>
    <n v="7.4999999999999997E-3"/>
    <n v="0"/>
    <m/>
    <n v="0"/>
    <n v="0"/>
  </r>
  <r>
    <m/>
    <x v="639"/>
    <s v="11-2025"/>
    <x v="1"/>
    <e v="#N/A"/>
    <x v="9"/>
    <s v="ขายภายใน"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1200"/>
    <n v="1200"/>
    <m/>
    <n v="0"/>
    <n v="0"/>
    <n v="0"/>
    <n v="1"/>
    <n v="0"/>
    <m/>
    <n v="0"/>
    <n v="0"/>
  </r>
  <r>
    <s v="R"/>
    <x v="640"/>
    <d v="2025-11-07T00:00:00"/>
    <x v="1"/>
    <e v="#N/A"/>
    <x v="9"/>
    <s v="KL2500038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  <m/>
    <n v="0"/>
    <n v="0"/>
  </r>
  <r>
    <s v="R"/>
    <x v="640"/>
    <d v="2025-11-05T00:00:00"/>
    <x v="1"/>
    <e v="#N/A"/>
    <x v="9"/>
    <s v="DRY2500310"/>
    <s v="HK"/>
    <s v="CPFNW"/>
    <s v="CPM Hongkong"/>
    <s v="R-Wonton egg past"/>
    <x v="2"/>
    <s v="Raw Wonton 8 pcs"/>
    <s v="082I93G20008P01001"/>
    <s v="194g*20in"/>
    <n v="20"/>
    <n v="8"/>
    <n v="1.4999999999999999E-2"/>
    <s v="JB"/>
    <s v="STPP"/>
    <s v="ซุปซอง 5g."/>
    <n v="10"/>
    <m/>
    <n v="10"/>
    <n v="0"/>
    <n v="0"/>
    <n v="0"/>
    <n v="2"/>
    <n v="0"/>
    <s v="ห่อแบบดิบ"/>
    <n v="0"/>
    <n v="0"/>
  </r>
  <r>
    <s v="R"/>
    <x v="640"/>
    <d v="2025-11-10T00:00:00"/>
    <x v="1"/>
    <e v="#N/A"/>
    <x v="9"/>
    <s v="DRY2500274"/>
    <s v="SG"/>
    <s v="CPFNW"/>
    <s v="CPI SINGAPORE"/>
    <s v="R-Wonton egg past"/>
    <x v="2"/>
    <s v="Raw Wonton 8 pcs"/>
    <s v="082I93B20008P00001"/>
    <s v="194g*20in"/>
    <n v="20"/>
    <n v="8"/>
    <n v="1.4999999999999999E-2"/>
    <s v="JB"/>
    <s v="STPP"/>
    <s v="ซุปซอง 5g."/>
    <n v="250"/>
    <n v="173"/>
    <n v="77"/>
    <n v="0"/>
    <n v="0"/>
    <n v="0"/>
    <n v="2"/>
    <n v="0"/>
    <s v="ห่อแบบดิบ"/>
    <n v="0"/>
    <n v="0"/>
  </r>
  <r>
    <s v="R"/>
    <x v="640"/>
    <d v="2025-11-10T00:00:00"/>
    <x v="1"/>
    <e v="#N/A"/>
    <x v="9"/>
    <s v="DRY2500288"/>
    <s v="SG"/>
    <s v="CPFNW"/>
    <s v="CPI SINGAPORE"/>
    <s v="R-Wonton egg past"/>
    <x v="2"/>
    <s v="Raw Wonton 8 pcs"/>
    <s v="082I93B20008P00001"/>
    <s v="194g*20in"/>
    <n v="20"/>
    <n v="8"/>
    <n v="1.4999999999999999E-2"/>
    <s v="JB"/>
    <s v="STPP"/>
    <s v="ซุปซอง 5g."/>
    <n v="150"/>
    <m/>
    <n v="150"/>
    <n v="0"/>
    <n v="0"/>
    <n v="0"/>
    <n v="2"/>
    <n v="0"/>
    <s v="ห่อแบบดิบ"/>
    <n v="0"/>
    <n v="0"/>
  </r>
  <r>
    <m/>
    <x v="641"/>
    <s v="11-2025"/>
    <x v="1"/>
    <e v="#N/A"/>
    <x v="10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913"/>
    <n v="1913"/>
    <m/>
    <n v="0"/>
    <n v="0"/>
    <n v="0"/>
    <n v="7.4999999999999997E-3"/>
    <n v="0"/>
    <m/>
    <n v="0"/>
    <n v="0"/>
  </r>
  <r>
    <m/>
    <x v="641"/>
    <d v="2025-11-13T00:00:00"/>
    <x v="1"/>
    <e v="#N/A"/>
    <x v="10"/>
    <s v="DRY2500225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42"/>
    <n v="1242"/>
    <m/>
    <n v="0"/>
    <n v="0"/>
    <n v="0"/>
    <n v="7.4999999999999997E-3"/>
    <n v="0"/>
    <m/>
    <n v="0"/>
    <n v="0"/>
  </r>
  <r>
    <m/>
    <x v="642"/>
    <m/>
    <x v="1"/>
    <e v="#N/A"/>
    <x v="10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643"/>
    <d v="2025-11-17T00:00:00"/>
    <x v="1"/>
    <e v="#N/A"/>
    <x v="10"/>
    <s v="DRY2500317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07"/>
    <n v="592"/>
    <n v="15"/>
    <n v="0"/>
    <n v="0"/>
    <n v="0"/>
    <n v="6"/>
    <n v="0"/>
    <n v="40000"/>
    <n v="0"/>
    <n v="0"/>
  </r>
  <r>
    <m/>
    <x v="643"/>
    <s v="11-2025"/>
    <x v="1"/>
    <e v="#N/A"/>
    <x v="10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3682"/>
    <n v="3682"/>
    <m/>
    <n v="0"/>
    <n v="0"/>
    <n v="0"/>
    <n v="7.4999999999999997E-3"/>
    <n v="0"/>
    <m/>
    <n v="0"/>
    <n v="0"/>
  </r>
  <r>
    <s v="R"/>
    <x v="644"/>
    <d v="2025-11-17T00:00:00"/>
    <x v="1"/>
    <e v="#N/A"/>
    <x v="10"/>
    <s v="DRY2500317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18"/>
    <n v="618"/>
    <m/>
    <n v="0"/>
    <n v="0"/>
    <n v="0"/>
    <n v="6"/>
    <n v="0"/>
    <n v="40000"/>
    <n v="0"/>
    <n v="0"/>
  </r>
  <r>
    <m/>
    <x v="644"/>
    <d v="2025-11-12T00:00:00"/>
    <x v="1"/>
    <e v="#N/A"/>
    <x v="10"/>
    <s v="DRY2500144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675"/>
    <n v="675"/>
    <m/>
    <n v="0"/>
    <n v="0"/>
    <n v="0"/>
    <n v="9.7000000000000003E-3"/>
    <n v="0"/>
    <m/>
    <n v="0"/>
    <n v="0"/>
  </r>
  <r>
    <m/>
    <x v="644"/>
    <d v="2025-11-12T00:00:00"/>
    <x v="1"/>
    <e v="#N/A"/>
    <x v="10"/>
    <s v="DRY2500145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644"/>
    <d v="2025-11-12T00:00:00"/>
    <x v="1"/>
    <e v="#N/A"/>
    <x v="10"/>
    <s v="DRY2500146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644"/>
    <d v="2025-11-28T00:00:00"/>
    <x v="1"/>
    <e v="#N/A"/>
    <x v="10"/>
    <s v="DRY2500147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36"/>
    <n v="36"/>
    <m/>
    <n v="0"/>
    <n v="0"/>
    <n v="0"/>
    <n v="9.7000000000000003E-3"/>
    <n v="0"/>
    <s v="รอผัก"/>
    <n v="0"/>
    <n v="0"/>
  </r>
  <r>
    <s v="R"/>
    <x v="645"/>
    <d v="2025-11-17T00:00:00"/>
    <x v="1"/>
    <e v="#N/A"/>
    <x v="10"/>
    <s v="DRY2500317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06"/>
    <n v="606"/>
    <m/>
    <n v="0"/>
    <n v="0"/>
    <n v="0"/>
    <n v="6"/>
    <n v="0"/>
    <n v="40000"/>
    <n v="0"/>
    <n v="0"/>
  </r>
  <r>
    <m/>
    <x v="645"/>
    <d v="2025-11-20T00:00:00"/>
    <x v="1"/>
    <e v="#N/A"/>
    <x v="10"/>
    <s v="DRY2500302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645"/>
    <d v="2025-11-27T00:00:00"/>
    <x v="1"/>
    <e v="#N/A"/>
    <x v="10"/>
    <s v="DRY2500311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645"/>
    <d v="2025-12-04T00:00:00"/>
    <x v="1"/>
    <e v="#N/A"/>
    <x v="10"/>
    <s v="DRY2500312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89"/>
    <n v="3"/>
    <n v="0"/>
    <n v="0"/>
    <n v="0"/>
    <n v="7.4999999999999997E-3"/>
    <n v="0"/>
    <m/>
    <n v="0"/>
    <n v="0"/>
  </r>
  <r>
    <s v="R"/>
    <x v="646"/>
    <d v="2025-11-17T00:00:00"/>
    <x v="1"/>
    <e v="#N/A"/>
    <x v="10"/>
    <s v="DRY2500317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225"/>
    <n v="225"/>
    <m/>
    <n v="0"/>
    <n v="0"/>
    <n v="0"/>
    <n v="6"/>
    <n v="0"/>
    <m/>
    <n v="0"/>
    <n v="0"/>
  </r>
  <r>
    <s v="R"/>
    <x v="646"/>
    <d v="2025-11-24T00:00:00"/>
    <x v="1"/>
    <e v="#N/A"/>
    <x v="10"/>
    <s v="DRY2500275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673"/>
    <n v="659"/>
    <n v="14"/>
    <n v="0"/>
    <n v="0"/>
    <n v="0"/>
    <n v="2"/>
    <n v="0"/>
    <s v="ห่อแบบสุก"/>
    <n v="0"/>
    <n v="0"/>
  </r>
  <r>
    <m/>
    <x v="646"/>
    <s v="11-2025"/>
    <x v="1"/>
    <e v="#N/A"/>
    <x v="10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3507"/>
    <n v="3507"/>
    <m/>
    <n v="0"/>
    <n v="0"/>
    <n v="0"/>
    <n v="7.4999999999999997E-3"/>
    <n v="0"/>
    <m/>
    <n v="0"/>
    <n v="0"/>
  </r>
  <r>
    <s v="R"/>
    <x v="647"/>
    <d v="2025-11-24T00:00:00"/>
    <x v="1"/>
    <e v="#N/A"/>
    <x v="10"/>
    <s v="DRY2500275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1127"/>
    <n v="954"/>
    <n v="173"/>
    <n v="0"/>
    <n v="0"/>
    <n v="0"/>
    <n v="2"/>
    <n v="0"/>
    <s v="ห่อแบบสุก"/>
    <n v="0"/>
    <n v="0"/>
  </r>
  <r>
    <m/>
    <x v="647"/>
    <s v="11-2025"/>
    <x v="1"/>
    <e v="#N/A"/>
    <x v="10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075"/>
    <n v="1075"/>
    <m/>
    <n v="0"/>
    <n v="0"/>
    <n v="0"/>
    <n v="7.4999999999999997E-3"/>
    <n v="0"/>
    <m/>
    <n v="0"/>
    <n v="0"/>
  </r>
  <r>
    <m/>
    <x v="647"/>
    <s v="11-2024"/>
    <x v="1"/>
    <e v="#N/A"/>
    <x v="10"/>
    <s v="ขายภายใน"/>
    <s v=".7-11"/>
    <s v="CPFGS"/>
    <s v="ซีพีเอฟ เทรดดิ้ง"/>
    <s v="Wonton ND+V+TY"/>
    <x v="1"/>
    <s v="บะหมี่เกี๊ยวกุ้งซุปต้มยำชีส ตราซีพี 211 g x24pack 7-11"/>
    <s v="082SJ1A24003P01001"/>
    <s v="211g*24"/>
    <n v="24"/>
    <n v="3"/>
    <n v="6.1999999999999998E-3"/>
    <s v="SS"/>
    <s v="STPP"/>
    <s v="TYNSF"/>
    <n v="2841"/>
    <m/>
    <n v="2841"/>
    <n v="0"/>
    <n v="0"/>
    <n v="0"/>
    <n v="1.6E-2"/>
    <n v="0"/>
    <s v="ซอสรอร้านแจ้ง ,  Package รอร้านตอบกลับ (ร้านยังไม่ได้แบบ)"/>
    <n v="0"/>
    <n v="0"/>
  </r>
  <r>
    <m/>
    <x v="648"/>
    <s v="11-2025"/>
    <x v="1"/>
    <e v="#N/A"/>
    <x v="10"/>
    <s v="ขายภายใน"/>
    <s v="MTFS"/>
    <s v="CPFGS"/>
    <s v="ซีพีเอฟ เทรดดิ้ง"/>
    <s v="Minced+ND+V+น้ำราดเป็ด"/>
    <x v="1"/>
    <s v="บะหมี่เกี๊ยวกุ้งสไตล์ฮ่องกง ตราซีพี 235 กรัม"/>
    <s v="082SR3Q12003P01001"/>
    <s v="235g*12"/>
    <n v="12"/>
    <n v="3"/>
    <n v="6.1999999999999998E-3"/>
    <s v="BK"/>
    <s v="STPP"/>
    <s v="น้ำราดเป็ด"/>
    <n v="2400"/>
    <n v="2400"/>
    <m/>
    <n v="0"/>
    <n v="0"/>
    <n v="0"/>
    <m/>
    <n v="0"/>
    <s v="ซอสเข้า 30/10 ,  Package รอร้านตอบกลับ (ร้านยังไม่ได้แบบ)"/>
    <n v="0"/>
    <n v="0"/>
  </r>
  <r>
    <m/>
    <x v="648"/>
    <s v="11-2025"/>
    <x v="1"/>
    <e v="#N/A"/>
    <x v="10"/>
    <s v="ขายภายใน"/>
    <s v="MTFS"/>
    <s v="CPFGS"/>
    <s v="ซีพีเอฟ เทรดดิ้ง"/>
    <s v="Minced+ND+Kee Mao แห้ง"/>
    <x v="1"/>
    <s v="บะหมี่เกี๊ยวกุ้งขี้เมา ตราซีพี 235 กรัม"/>
    <s v="082SR3Q12003P02001"/>
    <s v="235g*12"/>
    <n v="12"/>
    <n v="3"/>
    <n v="6.1999999999999998E-3"/>
    <s v="BK"/>
    <s v="STPP"/>
    <s v="Kee Mao"/>
    <n v="2400"/>
    <n v="2400"/>
    <m/>
    <n v="0"/>
    <n v="0"/>
    <n v="0"/>
    <m/>
    <n v="0"/>
    <s v="ซอสเข้า 28/10 , Package รอร้านตอบกลับ (ร้านยังไม่ได้แบบ)"/>
    <n v="0"/>
    <n v="0"/>
  </r>
  <r>
    <m/>
    <x v="648"/>
    <s v="11-2024"/>
    <x v="1"/>
    <e v="#N/A"/>
    <x v="10"/>
    <s v="ขายภายใน"/>
    <s v=".7-11"/>
    <s v="CPFGS"/>
    <s v="ซีพีเอฟ เทรดดิ้ง"/>
    <s v="Wonton ND+V+TY"/>
    <x v="1"/>
    <s v="บะหมี่เกี๊ยวกุ้งซุปต้มยำชีส ตราซีพี 211 g x24pack 7-11"/>
    <s v="082SJ1A24003P01001"/>
    <s v="211g*24"/>
    <n v="24"/>
    <n v="3"/>
    <n v="6.1999999999999998E-3"/>
    <s v="SS"/>
    <s v="STPP"/>
    <s v="TYNSF"/>
    <n v="3116"/>
    <n v="3116"/>
    <m/>
    <n v="0"/>
    <n v="0"/>
    <n v="0"/>
    <n v="1.6E-2"/>
    <n v="0"/>
    <s v="ซอสรอร้านแจ้ง ,  Package รอร้านตอบกลับ (ร้านยังไม่ได้แบบ)"/>
    <n v="0"/>
    <n v="0"/>
  </r>
  <r>
    <m/>
    <x v="649"/>
    <m/>
    <x v="1"/>
    <e v="#N/A"/>
    <x v="10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650"/>
    <d v="2025-12-09T00:00:00"/>
    <x v="1"/>
    <e v="#N/A"/>
    <x v="10"/>
    <s v="DRY2500259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574"/>
    <n v="413"/>
    <n v="161"/>
    <n v="0"/>
    <n v="0"/>
    <n v="0"/>
    <n v="2"/>
    <n v="0"/>
    <m/>
    <n v="0"/>
    <n v="0"/>
  </r>
  <r>
    <m/>
    <x v="650"/>
    <s v="11-2025"/>
    <x v="1"/>
    <e v="#N/A"/>
    <x v="10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084"/>
    <n v="1084"/>
    <m/>
    <n v="0"/>
    <n v="0"/>
    <n v="0"/>
    <n v="7.4999999999999997E-3"/>
    <n v="0"/>
    <m/>
    <n v="0"/>
    <n v="0"/>
  </r>
  <r>
    <m/>
    <x v="650"/>
    <d v="2025-11-18T00:00:00"/>
    <x v="1"/>
    <e v="#N/A"/>
    <x v="10"/>
    <s v="DRY2500340"/>
    <s v="Korea"/>
    <s v="CPFNW"/>
    <s v="Consumer Package Commerce"/>
    <s v="Minced ND"/>
    <x v="1"/>
    <s v="Cooked Minced Wonton Noodle"/>
    <s v="082SR3U12004P00001"/>
    <s v="231g*12"/>
    <n v="12"/>
    <n v="4"/>
    <n v="6.0000000000000001E-3"/>
    <s v="BK"/>
    <s v="Salt"/>
    <s v="Regular"/>
    <n v="37"/>
    <n v="37"/>
    <m/>
    <n v="0"/>
    <n v="0"/>
    <n v="0"/>
    <n v="7.4999999999999997E-3"/>
    <n v="0"/>
    <m/>
    <n v="0"/>
    <n v="0"/>
  </r>
  <r>
    <m/>
    <x v="650"/>
    <d v="2025-11-17T00:00:00"/>
    <x v="1"/>
    <e v="#N/A"/>
    <x v="10"/>
    <s v="DRY2500318"/>
    <s v="Korea"/>
    <s v="CPFNW"/>
    <s v="Consumer Package Commerce"/>
    <s v="Minced ND"/>
    <x v="1"/>
    <s v="Cooked Minced Wonton Noodle"/>
    <s v="082SR3U12004P00001"/>
    <s v="231g*12"/>
    <n v="12"/>
    <n v="4"/>
    <n v="6.0000000000000001E-3"/>
    <s v="BK"/>
    <s v="Salt"/>
    <s v="Regular"/>
    <n v="2500"/>
    <n v="2500"/>
    <n v="7.083333333333333"/>
    <n v="7.0833333333334849"/>
    <n v="0"/>
    <n v="0"/>
    <n v="7.4999999999999997E-3"/>
    <n v="0"/>
    <m/>
    <n v="0"/>
    <n v="0"/>
  </r>
  <r>
    <m/>
    <x v="650"/>
    <d v="2025-11-17T00:00:00"/>
    <x v="1"/>
    <e v="#N/A"/>
    <x v="10"/>
    <s v="DRY2500255"/>
    <s v="Korea"/>
    <s v="CPFNW"/>
    <s v="Emart"/>
    <s v="Minced ND+V+TK"/>
    <x v="1"/>
    <s v="Cooked Minced  ND No Egg with Pumpkin_x000a_+ Yu Choy Tomkha"/>
    <s v="082SREJ36003P00001"/>
    <s v="302g*6c*6in"/>
    <n v="36"/>
    <n v="3"/>
    <n v="6.0000000000000001E-3"/>
    <s v="BK"/>
    <s v="Salt"/>
    <s v="Tomkha1+CM"/>
    <n v="792"/>
    <n v="782"/>
    <n v="10"/>
    <n v="0"/>
    <n v="0"/>
    <n v="0"/>
    <n v="5.8823E-2"/>
    <n v="0"/>
    <m/>
    <n v="0"/>
    <n v="0"/>
  </r>
  <r>
    <s v="R"/>
    <x v="651"/>
    <d v="2025-12-09T00:00:00"/>
    <x v="1"/>
    <e v="#N/A"/>
    <x v="10"/>
    <s v="DRY2500259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569"/>
    <n v="543"/>
    <n v="26"/>
    <n v="0"/>
    <n v="0"/>
    <n v="0"/>
    <n v="2"/>
    <n v="0"/>
    <m/>
    <n v="0"/>
    <n v="0"/>
  </r>
  <r>
    <m/>
    <x v="651"/>
    <s v="11-2025"/>
    <x v="1"/>
    <e v="#N/A"/>
    <x v="10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2386"/>
    <n v="2386"/>
    <m/>
    <n v="0"/>
    <n v="0"/>
    <n v="0"/>
    <n v="7.4999999999999997E-3"/>
    <n v="0"/>
    <m/>
    <n v="0"/>
    <n v="0"/>
  </r>
  <r>
    <m/>
    <x v="651"/>
    <d v="2025-12-26T00:00:00"/>
    <x v="1"/>
    <e v="#N/A"/>
    <x v="10"/>
    <s v="DRY2500306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n v="0"/>
    <n v="7.4999999999999997E-3"/>
    <n v="0"/>
    <s v="new package (ลบโลโก้ Facebook)"/>
    <n v="0"/>
    <n v="0"/>
  </r>
  <r>
    <s v="R"/>
    <x v="652"/>
    <d v="2025-12-09T00:00:00"/>
    <x v="1"/>
    <e v="#N/A"/>
    <x v="10"/>
    <s v="DRY2500259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481"/>
    <n v="481"/>
    <m/>
    <n v="0"/>
    <n v="0"/>
    <n v="0"/>
    <n v="2"/>
    <n v="0"/>
    <m/>
    <n v="0"/>
    <n v="0"/>
  </r>
  <r>
    <m/>
    <x v="652"/>
    <d v="2025-11-24T00:00:00"/>
    <x v="1"/>
    <e v="#N/A"/>
    <x v="10"/>
    <s v="DRY2500213"/>
    <s v="Netherlands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m/>
    <x v="652"/>
    <s v="11-2025"/>
    <x v="1"/>
    <e v="#N/A"/>
    <x v="10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932"/>
    <n v="932"/>
    <m/>
    <n v="0"/>
    <n v="0"/>
    <n v="0"/>
    <n v="7.4999999999999997E-3"/>
    <n v="0"/>
    <m/>
    <n v="0"/>
    <n v="0"/>
  </r>
  <r>
    <m/>
    <x v="652"/>
    <s v="12-2025"/>
    <x v="1"/>
    <e v="#N/A"/>
    <x v="10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629"/>
    <n v="629"/>
    <m/>
    <n v="0"/>
    <n v="0"/>
    <n v="0"/>
    <n v="7.4999999999999997E-3"/>
    <n v="0"/>
    <m/>
    <n v="0"/>
    <n v="0"/>
  </r>
  <r>
    <s v="R"/>
    <x v="653"/>
    <d v="2025-11-24T00:00:00"/>
    <x v="1"/>
    <e v="#N/A"/>
    <x v="10"/>
    <s v="DRY2500343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130"/>
    <n v="130"/>
    <m/>
    <n v="0"/>
    <n v="0"/>
    <n v="0"/>
    <n v="6"/>
    <n v="0"/>
    <m/>
    <n v="0"/>
    <n v="0"/>
  </r>
  <r>
    <s v="ชมรมกอล์ฟ ซีพี"/>
    <x v="653"/>
    <s v="12-2025"/>
    <x v="1"/>
    <e v="#N/A"/>
    <x v="10"/>
    <s v="ขายภายใน"/>
    <s v="MTFS"/>
    <s v="CPFGS"/>
    <s v="ซีพีเอฟ เทรดดิ้ง"/>
    <s v="E+Wonton"/>
    <x v="1"/>
    <s v="Cooked Wonton  with egg V-Food"/>
    <s v="082S83Q12005P05000"/>
    <s v="145g*12"/>
    <n v="12"/>
    <n v="5"/>
    <n v="8.0000000000000002E-3"/>
    <s v="M"/>
    <s v="STPP"/>
    <s v="Regular"/>
    <n v="20"/>
    <n v="20.333333333333332"/>
    <m/>
    <n v="0.33333333333333215"/>
    <n v="0"/>
    <n v="0"/>
    <n v="7.4999999999999997E-3"/>
    <n v="0"/>
    <m/>
    <n v="0"/>
    <n v="0"/>
  </r>
  <r>
    <m/>
    <x v="653"/>
    <s v="11-2025"/>
    <x v="1"/>
    <e v="#N/A"/>
    <x v="10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1"/>
    <s v="145g*12"/>
    <n v="12"/>
    <n v="5"/>
    <n v="8.0000000000000002E-3"/>
    <s v="M"/>
    <s v="STPP"/>
    <s v="Regular"/>
    <n v="1250"/>
    <n v="1250"/>
    <m/>
    <n v="0"/>
    <n v="0"/>
    <n v="0"/>
    <n v="7.4999999999999997E-3"/>
    <n v="0"/>
    <m/>
    <n v="0"/>
    <n v="0"/>
  </r>
  <r>
    <m/>
    <x v="653"/>
    <s v="11-2025"/>
    <x v="1"/>
    <e v="#N/A"/>
    <x v="10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1"/>
    <s v="145g*12"/>
    <n v="12"/>
    <n v="5"/>
    <n v="8.0000000000000002E-3"/>
    <s v="M"/>
    <s v="STPP"/>
    <s v="Regular"/>
    <n v="1250"/>
    <n v="1250"/>
    <m/>
    <n v="0"/>
    <n v="0"/>
    <n v="0"/>
    <n v="7.4999999999999997E-3"/>
    <n v="0"/>
    <m/>
    <n v="0"/>
    <n v="0"/>
  </r>
  <r>
    <m/>
    <x v="653"/>
    <s v="11-2025"/>
    <x v="1"/>
    <e v="#N/A"/>
    <x v="10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1622"/>
    <n v="1622"/>
    <m/>
    <n v="0"/>
    <n v="0"/>
    <n v="0"/>
    <n v="7.4999999999999997E-3"/>
    <n v="0"/>
    <m/>
    <n v="0"/>
    <n v="0"/>
  </r>
  <r>
    <m/>
    <x v="653"/>
    <s v="11-2025"/>
    <x v="1"/>
    <e v="#N/A"/>
    <x v="10"/>
    <s v="ขายภายใน"/>
    <s v="MTFS"/>
    <s v="CPFGS"/>
    <s v="ซีพีเอฟ เทรดดิ้ง"/>
    <s v="E+Wonton TY"/>
    <x v="1"/>
    <s v="เกี๊ยวกุ้งจักรพรรดิซุปต้มยำ LV CP 143g"/>
    <s v="082S83Q12005P09001"/>
    <s v="143g*12"/>
    <n v="12"/>
    <n v="5"/>
    <n v="8.0000000000000002E-3"/>
    <s v="SS"/>
    <s v="STPP"/>
    <s v="TYNSF"/>
    <n v="1200"/>
    <n v="1193"/>
    <n v="7"/>
    <n v="0"/>
    <n v="0"/>
    <n v="0"/>
    <n v="8.9999999999999993E-3"/>
    <n v="0"/>
    <s v="ซอสรอร้านแจ้ง (และมีติดส่วนผสม 1 ตัว ยังไม่ทราบวันเข้า) ,  Package รอร้านตอบกลับ (ร้านยังไม่ได้แบบ)"/>
    <n v="0"/>
    <n v="0"/>
  </r>
  <r>
    <s v="R"/>
    <x v="654"/>
    <d v="2025-11-24T00:00:00"/>
    <x v="1"/>
    <e v="#N/A"/>
    <x v="10"/>
    <s v="DRY2500343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159"/>
    <n v="159"/>
    <m/>
    <n v="0"/>
    <n v="0"/>
    <n v="0"/>
    <n v="6"/>
    <n v="0"/>
    <m/>
    <n v="0"/>
    <n v="0"/>
  </r>
  <r>
    <m/>
    <x v="654"/>
    <s v="11-2025"/>
    <x v="1"/>
    <e v="#N/A"/>
    <x v="10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2371"/>
    <n v="2371"/>
    <m/>
    <n v="0"/>
    <n v="0"/>
    <n v="0"/>
    <n v="7.4999999999999997E-3"/>
    <n v="0"/>
    <m/>
    <n v="0"/>
    <n v="0"/>
  </r>
  <r>
    <m/>
    <x v="654"/>
    <s v="12-2025"/>
    <x v="1"/>
    <e v="#N/A"/>
    <x v="10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942"/>
    <n v="942"/>
    <m/>
    <n v="0"/>
    <n v="0"/>
    <n v="0"/>
    <n v="7.4999999999999997E-3"/>
    <n v="0"/>
    <m/>
    <n v="0"/>
    <n v="0"/>
  </r>
  <r>
    <m/>
    <x v="654"/>
    <d v="2025-11-24T00:00:00"/>
    <x v="1"/>
    <e v="#N/A"/>
    <x v="10"/>
    <s v="ขายภายใน"/>
    <s v="5 Stars"/>
    <s v="5 Stars"/>
    <s v="CPFRF"/>
    <s v="EP+Wonton"/>
    <x v="1"/>
    <s v="Cooked Wonton with egg "/>
    <s v="082S81N16020P00001"/>
    <s v="20 pcs*16"/>
    <n v="64"/>
    <n v="5"/>
    <n v="7.0000000000000001E-3"/>
    <s v="S"/>
    <s v="STPP"/>
    <m/>
    <n v="100"/>
    <n v="100"/>
    <n v="3.5"/>
    <n v="3.5"/>
    <n v="0"/>
    <n v="0"/>
    <m/>
    <m/>
    <m/>
    <m/>
    <m/>
  </r>
  <r>
    <s v="R"/>
    <x v="655"/>
    <d v="2025-11-24T00:00:00"/>
    <x v="1"/>
    <e v="#N/A"/>
    <x v="10"/>
    <s v="DRY2500343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164"/>
    <n v="164"/>
    <m/>
    <n v="0"/>
    <n v="0"/>
    <n v="0"/>
    <n v="6"/>
    <n v="0"/>
    <m/>
    <n v="0"/>
    <n v="0"/>
  </r>
  <r>
    <m/>
    <x v="655"/>
    <s v="12-2025"/>
    <x v="1"/>
    <e v="#N/A"/>
    <x v="10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764"/>
    <n v="764"/>
    <m/>
    <n v="0"/>
    <n v="0"/>
    <n v="0"/>
    <n v="7.4999999999999997E-3"/>
    <n v="0"/>
    <m/>
    <n v="0"/>
    <n v="0"/>
  </r>
  <r>
    <m/>
    <x v="655"/>
    <s v="11-2025"/>
    <x v="1"/>
    <e v="#N/A"/>
    <x v="10"/>
    <s v="ขายภายใน"/>
    <s v="MTFS"/>
    <s v="CPFGS"/>
    <s v="ซีพีเอฟ เทรดดิ้ง"/>
    <s v="Minced+ND+Kee Mao แห้ง"/>
    <x v="1"/>
    <s v="บะหมี่เกี๊ยวกุ้งขี้เมา ตราซีพี 235 กรัม"/>
    <s v="082SR3Q12003P02001"/>
    <s v="235g*12"/>
    <n v="12"/>
    <n v="3"/>
    <n v="6.1999999999999998E-3"/>
    <s v="BK"/>
    <s v="STPP"/>
    <s v="Kee Mao"/>
    <n v="2500"/>
    <n v="2500"/>
    <m/>
    <n v="0"/>
    <n v="0"/>
    <n v="0"/>
    <m/>
    <n v="0"/>
    <m/>
    <n v="0"/>
    <n v="0"/>
  </r>
  <r>
    <m/>
    <x v="655"/>
    <s v="11-2025"/>
    <x v="1"/>
    <e v="#N/A"/>
    <x v="10"/>
    <s v="ขายภายใน"/>
    <s v="MTFS"/>
    <s v="CPFGS"/>
    <s v="ซีพีเอฟ เทรดดิ้ง"/>
    <s v="Minced+ND+V+น้ำราดเป็ด"/>
    <x v="1"/>
    <s v="บะหมี่เกี๊ยวกุ้งสไตล์ฮ่องกง ตราซีพี 235 กรัม"/>
    <s v="082SR3Q12003P01001"/>
    <s v="235g*12"/>
    <n v="12"/>
    <n v="3"/>
    <n v="6.1999999999999998E-3"/>
    <s v="BK"/>
    <s v="STPP"/>
    <s v="น้ำราดเป็ด"/>
    <n v="2500"/>
    <n v="2500"/>
    <m/>
    <n v="0"/>
    <n v="0"/>
    <n v="0"/>
    <m/>
    <n v="0"/>
    <m/>
    <n v="0"/>
    <n v="0"/>
  </r>
  <r>
    <m/>
    <x v="656"/>
    <m/>
    <x v="1"/>
    <e v="#N/A"/>
    <x v="10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657"/>
    <d v="2025-11-24T00:00:00"/>
    <x v="1"/>
    <e v="#N/A"/>
    <x v="10"/>
    <s v="DRY2500343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289"/>
    <n v="289"/>
    <m/>
    <n v="0"/>
    <n v="0"/>
    <n v="0"/>
    <n v="6"/>
    <n v="0"/>
    <m/>
    <n v="0"/>
    <n v="0"/>
  </r>
  <r>
    <s v="R"/>
    <x v="658"/>
    <d v="2025-11-24T00:00:00"/>
    <x v="1"/>
    <e v="#N/A"/>
    <x v="10"/>
    <s v="DRY2500343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298"/>
    <n v="298"/>
    <m/>
    <n v="0"/>
    <n v="0"/>
    <n v="0"/>
    <n v="6"/>
    <n v="0"/>
    <m/>
    <n v="0"/>
    <n v="0"/>
  </r>
  <r>
    <s v="R"/>
    <x v="659"/>
    <d v="2025-12-02T00:00:00"/>
    <x v="1"/>
    <e v="#N/A"/>
    <x v="10"/>
    <s v="DRY2500344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178"/>
    <n v="178"/>
    <m/>
    <n v="0"/>
    <n v="0"/>
    <n v="0"/>
    <n v="6"/>
    <n v="0"/>
    <m/>
    <n v="0"/>
    <n v="0"/>
  </r>
  <r>
    <m/>
    <x v="659"/>
    <s v="12-2025"/>
    <x v="1"/>
    <e v="#N/A"/>
    <x v="10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2558"/>
    <n v="2558"/>
    <m/>
    <n v="0"/>
    <n v="0"/>
    <n v="0"/>
    <n v="7.4999999999999997E-3"/>
    <n v="0"/>
    <m/>
    <n v="0"/>
    <n v="0"/>
  </r>
  <r>
    <m/>
    <x v="659"/>
    <s v="12-2025"/>
    <x v="1"/>
    <e v="#N/A"/>
    <x v="10"/>
    <s v="ขายภายใน"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1131"/>
    <n v="1131"/>
    <m/>
    <n v="0"/>
    <n v="0"/>
    <n v="0"/>
    <n v="1"/>
    <n v="0"/>
    <m/>
    <n v="0"/>
    <n v="0"/>
  </r>
  <r>
    <s v="R"/>
    <x v="660"/>
    <d v="2025-12-02T00:00:00"/>
    <x v="1"/>
    <e v="#N/A"/>
    <x v="10"/>
    <s v="DRY2500344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179"/>
    <n v="179"/>
    <m/>
    <n v="0"/>
    <n v="0"/>
    <n v="0"/>
    <n v="6"/>
    <n v="0"/>
    <m/>
    <n v="0"/>
    <n v="0"/>
  </r>
  <r>
    <m/>
    <x v="660"/>
    <s v="12-2025"/>
    <x v="1"/>
    <e v="#N/A"/>
    <x v="10"/>
    <s v="ขายภายใน"/>
    <s v="MTFS"/>
    <s v="CPFGS"/>
    <s v="ซีพีเอฟ เทรดดิ้ง"/>
    <s v="E+Minced NDE"/>
    <x v="1"/>
    <s v="CPบะหมี่เกี๊ยวกุ้งสับ 573g (Multi Pack)"/>
    <s v="082SR3Q18003P00001"/>
    <s v="191g*3ถ้วย*6ถุง"/>
    <n v="18"/>
    <n v="3"/>
    <n v="6.0000000000000001E-3"/>
    <s v="BK"/>
    <s v="STPP"/>
    <s v="Regular"/>
    <n v="2350"/>
    <m/>
    <n v="2350"/>
    <n v="0"/>
    <n v="0"/>
    <n v="0"/>
    <n v="7.4999999999999997E-3"/>
    <n v="0"/>
    <m/>
    <n v="0"/>
    <n v="0"/>
  </r>
  <r>
    <m/>
    <x v="660"/>
    <s v="11-2025"/>
    <x v="1"/>
    <e v="#N/A"/>
    <x v="10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200"/>
    <n v="200"/>
    <m/>
    <n v="0"/>
    <n v="0"/>
    <n v="0"/>
    <n v="7.4999999999999997E-3"/>
    <n v="0"/>
    <m/>
    <n v="0"/>
    <n v="0"/>
  </r>
  <r>
    <m/>
    <x v="660"/>
    <s v="11-2025"/>
    <x v="1"/>
    <e v="#N/A"/>
    <x v="10"/>
    <s v="ขายภายใน"/>
    <s v="MTFS"/>
    <s v="CPFGS"/>
    <s v="ซีพีเอฟ เทรดดิ้ง"/>
    <s v="E+Wonton NDE"/>
    <x v="1"/>
    <s v="บะหมี่เกี๊ยวกุ้ง ตราซีพี 12X226 กรัม"/>
    <s v="082SJ3Q12003P07001"/>
    <s v="226g*12"/>
    <n v="12"/>
    <n v="3"/>
    <n v="8.0000000000000002E-3"/>
    <s v="M"/>
    <s v="STPP"/>
    <s v="Regular"/>
    <n v="800"/>
    <n v="800"/>
    <m/>
    <n v="0"/>
    <n v="0"/>
    <n v="0"/>
    <n v="7.4999999999999997E-3"/>
    <n v="0"/>
    <m/>
    <n v="0"/>
    <n v="0"/>
  </r>
  <r>
    <m/>
    <x v="660"/>
    <s v="12-2025"/>
    <x v="1"/>
    <e v="#N/A"/>
    <x v="10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1"/>
    <s v="145g*12"/>
    <n v="12"/>
    <n v="5"/>
    <n v="8.0000000000000002E-3"/>
    <s v="M"/>
    <s v="STPP"/>
    <s v="Regular"/>
    <n v="1250"/>
    <n v="1250"/>
    <m/>
    <n v="0"/>
    <n v="0"/>
    <n v="0"/>
    <n v="7.4999999999999997E-3"/>
    <n v="0"/>
    <m/>
    <n v="0"/>
    <n v="0"/>
  </r>
  <r>
    <m/>
    <x v="660"/>
    <s v="12-2025"/>
    <x v="1"/>
    <e v="#N/A"/>
    <x v="10"/>
    <s v="ขายภายใน"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1226"/>
    <n v="1226"/>
    <m/>
    <n v="0"/>
    <n v="0"/>
    <n v="0"/>
    <n v="1"/>
    <n v="0"/>
    <m/>
    <n v="0"/>
    <n v="0"/>
  </r>
  <r>
    <s v="R"/>
    <x v="661"/>
    <d v="2025-12-02T00:00:00"/>
    <x v="1"/>
    <e v="#N/A"/>
    <x v="10"/>
    <s v="DRY2500344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203"/>
    <n v="203"/>
    <m/>
    <n v="0"/>
    <n v="0"/>
    <n v="0"/>
    <n v="6"/>
    <n v="0"/>
    <m/>
    <n v="0"/>
    <n v="0"/>
  </r>
  <r>
    <m/>
    <x v="661"/>
    <d v="2025-12-16T00:00:00"/>
    <x v="1"/>
    <e v="#N/A"/>
    <x v="10"/>
    <s v="DRY2500334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400"/>
    <m/>
    <n v="400"/>
    <n v="0"/>
    <n v="0"/>
    <n v="0"/>
    <n v="7.4999999999999997E-3"/>
    <n v="0"/>
    <m/>
    <n v="0"/>
    <n v="0"/>
  </r>
  <r>
    <m/>
    <x v="661"/>
    <d v="2026-01-07T00:00:00"/>
    <x v="1"/>
    <e v="#N/A"/>
    <x v="10"/>
    <s v="DRY2500335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300"/>
    <m/>
    <n v="301.625"/>
    <n v="1.625"/>
    <n v="0"/>
    <n v="0"/>
    <n v="7.4999999999999997E-3"/>
    <n v="0"/>
    <m/>
    <n v="0"/>
    <n v="0"/>
  </r>
  <r>
    <m/>
    <x v="661"/>
    <s v="11-2024"/>
    <x v="1"/>
    <e v="#N/A"/>
    <x v="10"/>
    <s v="ขายภายใน"/>
    <s v=".7-11"/>
    <s v="CPFGS"/>
    <s v="ซีพีเอฟ เทรดดิ้ง"/>
    <s v="Wonton ND+V+TY"/>
    <x v="1"/>
    <s v="บะหมี่เกี๊ยวกุ้งซุปต้มยำชีส ตราซีพี 211 g x24pack 7-11"/>
    <s v="082SJ1A24003P01001"/>
    <s v="211g*24"/>
    <n v="24"/>
    <n v="3"/>
    <n v="6.1999999999999998E-3"/>
    <s v="SS"/>
    <s v="STPP"/>
    <s v="TYNSF"/>
    <n v="47"/>
    <n v="47"/>
    <m/>
    <n v="0"/>
    <n v="0"/>
    <n v="0"/>
    <n v="1.6E-2"/>
    <n v="0"/>
    <s v="ซอสรอร้านแจ้ง ,  Package รอร้านตอบกลับ (ร้านยังไม่ได้แบบ)"/>
    <n v="0"/>
    <n v="0"/>
  </r>
  <r>
    <m/>
    <x v="661"/>
    <s v="12-2025"/>
    <x v="1"/>
    <e v="#N/A"/>
    <x v="10"/>
    <s v="ขายภายใน"/>
    <s v=".7-11"/>
    <s v="CPFGS"/>
    <s v="ซีพีเอฟ เทรดดิ้ง"/>
    <s v="Wonton ND+V+TY"/>
    <x v="1"/>
    <s v="บะหมี่เกี๊ยวกุ้งซุปต้มยำชีส ตราซีพี 211 g x24pack 7-11"/>
    <s v="082SJ1A24003P01001"/>
    <s v="211g*24"/>
    <n v="24"/>
    <n v="3"/>
    <n v="6.1999999999999998E-3"/>
    <s v="SS"/>
    <s v="STPP"/>
    <s v="TYNSF"/>
    <n v="2760"/>
    <n v="2760"/>
    <n v="66.166666666666671"/>
    <n v="66.166666666666515"/>
    <n v="0"/>
    <n v="0"/>
    <n v="1.6E-2"/>
    <n v="0"/>
    <m/>
    <n v="0"/>
    <n v="0"/>
  </r>
  <r>
    <s v="R"/>
    <x v="662"/>
    <d v="2025-12-01T00:00:00"/>
    <x v="1"/>
    <e v="#N/A"/>
    <x v="10"/>
    <s v="DRY2500337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707"/>
    <n v="707"/>
    <m/>
    <n v="0"/>
    <n v="0"/>
    <n v="0"/>
    <n v="6"/>
    <n v="0"/>
    <m/>
    <n v="0"/>
    <n v="0"/>
  </r>
  <r>
    <m/>
    <x v="662"/>
    <s v="12-2025"/>
    <x v="1"/>
    <e v="#N/A"/>
    <x v="10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2594"/>
    <n v="2594"/>
    <m/>
    <n v="0"/>
    <n v="0"/>
    <n v="0"/>
    <n v="7.4999999999999997E-3"/>
    <n v="0"/>
    <m/>
    <n v="0"/>
    <n v="0"/>
  </r>
  <r>
    <m/>
    <x v="662"/>
    <s v="12-2025"/>
    <x v="1"/>
    <e v="#N/A"/>
    <x v="10"/>
    <s v="ขายภายใน"/>
    <s v="MTFS"/>
    <s v="CPFGS"/>
    <s v="ซีพีเอฟ เทรดดิ้ง"/>
    <s v="Wonton ND"/>
    <x v="1"/>
    <s v="บะหมี่เกี๊ยวกุ้งซุปสุกี้ CPxMK 227g MT"/>
    <s v="082SJ3Q12003P0A001"/>
    <s v="227g*12"/>
    <n v="12"/>
    <n v="3"/>
    <n v="8.0000000000000002E-3"/>
    <s v="SS"/>
    <s v="STPP"/>
    <s v="MK"/>
    <n v="2000"/>
    <n v="2000"/>
    <m/>
    <n v="0"/>
    <n v="0"/>
    <n v="0"/>
    <n v="0.05"/>
    <n v="0"/>
    <s v="เปลี่ยนใช้ผักกวางตุ้งแบบแช่แข็ง"/>
    <n v="0"/>
    <n v="0"/>
  </r>
  <r>
    <m/>
    <x v="663"/>
    <m/>
    <x v="1"/>
    <e v="#N/A"/>
    <x v="10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664"/>
    <d v="2025-12-01T00:00:00"/>
    <x v="1"/>
    <e v="#N/A"/>
    <x v="10"/>
    <s v="DRY2500337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89"/>
    <n v="689"/>
    <m/>
    <n v="0"/>
    <n v="0"/>
    <n v="0"/>
    <n v="6"/>
    <n v="0"/>
    <m/>
    <n v="0"/>
    <n v="0"/>
  </r>
  <r>
    <m/>
    <x v="664"/>
    <d v="2025-12-09T00:00:00"/>
    <x v="1"/>
    <e v="#N/A"/>
    <x v="10"/>
    <s v="DRY2500258"/>
    <s v="UK"/>
    <s v="CPFNW.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m/>
    <x v="664"/>
    <d v="2025-12-01T00:00:00"/>
    <x v="1"/>
    <e v="#N/A"/>
    <x v="10"/>
    <s v="DRY2500226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n v="0"/>
    <n v="7.4999999999999997E-3"/>
    <n v="0"/>
    <m/>
    <n v="0"/>
    <n v="0"/>
  </r>
  <r>
    <s v="R"/>
    <x v="665"/>
    <d v="2025-12-01T00:00:00"/>
    <x v="1"/>
    <e v="#N/A"/>
    <x v="10"/>
    <s v="DRY2500337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60"/>
    <n v="660"/>
    <m/>
    <n v="0"/>
    <n v="0"/>
    <n v="0"/>
    <n v="6"/>
    <n v="0"/>
    <m/>
    <n v="0"/>
    <n v="0"/>
  </r>
  <r>
    <m/>
    <x v="665"/>
    <s v="12-2025"/>
    <x v="1"/>
    <e v="#N/A"/>
    <x v="10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2613"/>
    <n v="2613"/>
    <m/>
    <n v="0"/>
    <n v="0"/>
    <n v="0"/>
    <n v="7.4999999999999997E-3"/>
    <n v="0"/>
    <m/>
    <n v="0"/>
    <n v="0"/>
  </r>
  <r>
    <m/>
    <x v="665"/>
    <s v="12-2025"/>
    <x v="1"/>
    <e v="#N/A"/>
    <x v="10"/>
    <s v="ขายภายใน"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43"/>
    <n v="43"/>
    <m/>
    <n v="0"/>
    <n v="0"/>
    <n v="0"/>
    <n v="1"/>
    <n v="0"/>
    <m/>
    <n v="0"/>
    <n v="0"/>
  </r>
  <r>
    <m/>
    <x v="665"/>
    <s v="12-2025"/>
    <x v="1"/>
    <e v="#N/A"/>
    <x v="10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1"/>
    <s v="145g*12"/>
    <n v="12"/>
    <n v="5"/>
    <n v="8.0000000000000002E-3"/>
    <s v="M"/>
    <s v="STPP"/>
    <s v="Regular"/>
    <n v="1250"/>
    <n v="1250"/>
    <m/>
    <n v="0"/>
    <n v="0"/>
    <n v="0"/>
    <n v="7.4999999999999997E-3"/>
    <n v="0"/>
    <m/>
    <n v="0"/>
    <n v="0"/>
  </r>
  <r>
    <m/>
    <x v="665"/>
    <s v="12-2025"/>
    <x v="1"/>
    <e v="#N/A"/>
    <x v="10"/>
    <s v="ขายภายใน"/>
    <s v="MTFS"/>
    <s v="CPFGS"/>
    <s v="ซีพีเอฟ เทรดดิ้ง"/>
    <s v="E+Wonton TY"/>
    <x v="1"/>
    <s v="เกี๊ยวกุ้งจักรพรรดิซุปต้มยำ LV CP 143g"/>
    <s v="082S83Q12005P09001"/>
    <s v="143g*12"/>
    <n v="12"/>
    <n v="5"/>
    <n v="8.0000000000000002E-3"/>
    <s v="SS"/>
    <s v="STPP"/>
    <s v="TYNSF"/>
    <n v="800"/>
    <n v="800"/>
    <m/>
    <n v="0"/>
    <n v="0"/>
    <n v="0"/>
    <n v="8.9999999999999993E-3"/>
    <n v="0"/>
    <m/>
    <n v="0"/>
    <n v="0"/>
  </r>
  <r>
    <m/>
    <x v="665"/>
    <s v="12-2025"/>
    <x v="1"/>
    <e v="#N/A"/>
    <x v="10"/>
    <s v="ขายภายใน"/>
    <s v="MTFS"/>
    <s v="CPFGS"/>
    <s v="ซีพีเอฟ เทรดดิ้ง"/>
    <s v="E+Wonton TY"/>
    <x v="1"/>
    <s v="เกี๊ยวกุ้งจักรพรรดิซุปต้มยำ LV CP 143g"/>
    <s v="082S83Q12005P09001"/>
    <s v="143g*12"/>
    <n v="12"/>
    <n v="5"/>
    <n v="8.0000000000000002E-3"/>
    <s v="SS"/>
    <s v="STPP"/>
    <s v="TYNSF"/>
    <n v="200"/>
    <n v="200"/>
    <m/>
    <n v="0"/>
    <n v="0"/>
    <n v="0"/>
    <n v="8.9999999999999993E-3"/>
    <n v="0"/>
    <m/>
    <n v="0"/>
    <n v="0"/>
  </r>
  <r>
    <s v="R"/>
    <x v="666"/>
    <d v="2025-12-02T00:00:00"/>
    <x v="1"/>
    <e v="#N/A"/>
    <x v="10"/>
    <s v="DRY2500344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176"/>
    <n v="176"/>
    <m/>
    <n v="0"/>
    <n v="0"/>
    <n v="0"/>
    <n v="6"/>
    <n v="0"/>
    <m/>
    <n v="0"/>
    <n v="0"/>
  </r>
  <r>
    <m/>
    <x v="666"/>
    <s v="12-2025"/>
    <x v="1"/>
    <e v="#N/A"/>
    <x v="10"/>
    <s v="ขายภายใน"/>
    <s v="MTFS"/>
    <s v="CPFGS"/>
    <s v="ซีพีเอฟ เทรดดิ้ง"/>
    <s v="E+Wonton NDE"/>
    <x v="1"/>
    <s v="บะหมี่เกี๊ยวกุ้ง ตราซีพี 12X226 กรัม"/>
    <s v="082SJ3Q12003P07001"/>
    <s v="226g*12"/>
    <n v="12"/>
    <n v="3"/>
    <n v="8.0000000000000002E-3"/>
    <s v="M"/>
    <s v="STPP"/>
    <s v="Regular"/>
    <n v="500"/>
    <n v="500"/>
    <m/>
    <n v="0"/>
    <n v="0"/>
    <n v="0"/>
    <n v="7.4999999999999997E-3"/>
    <n v="0"/>
    <m/>
    <n v="0"/>
    <n v="0"/>
  </r>
  <r>
    <m/>
    <x v="666"/>
    <s v="12-2025"/>
    <x v="1"/>
    <e v="#N/A"/>
    <x v="10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200"/>
    <n v="200"/>
    <m/>
    <n v="0"/>
    <n v="0"/>
    <n v="0"/>
    <n v="7.4999999999999997E-3"/>
    <n v="0"/>
    <m/>
    <n v="0"/>
    <n v="0"/>
  </r>
  <r>
    <m/>
    <x v="666"/>
    <s v="12-2025"/>
    <x v="1"/>
    <e v="#N/A"/>
    <x v="10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300"/>
    <n v="300"/>
    <m/>
    <n v="0"/>
    <n v="0"/>
    <n v="0"/>
    <n v="7.4999999999999997E-3"/>
    <n v="0"/>
    <m/>
    <n v="0"/>
    <n v="0"/>
  </r>
  <r>
    <m/>
    <x v="666"/>
    <s v="12-2025"/>
    <x v="1"/>
    <e v="#N/A"/>
    <x v="10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3413"/>
    <n v="3413"/>
    <m/>
    <n v="0"/>
    <n v="0"/>
    <n v="0"/>
    <n v="7.4999999999999997E-3"/>
    <n v="0"/>
    <m/>
    <n v="0"/>
    <n v="0"/>
  </r>
  <r>
    <s v="R"/>
    <x v="667"/>
    <d v="2025-12-02T00:00:00"/>
    <x v="1"/>
    <e v="#N/A"/>
    <x v="10"/>
    <s v="DRY2500344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175"/>
    <n v="175"/>
    <m/>
    <n v="0"/>
    <n v="0"/>
    <n v="0"/>
    <n v="6"/>
    <n v="0"/>
    <m/>
    <n v="0"/>
    <n v="0"/>
  </r>
  <r>
    <m/>
    <x v="667"/>
    <s v="12-2025"/>
    <x v="1"/>
    <e v="#N/A"/>
    <x v="10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3037"/>
    <n v="3037"/>
    <m/>
    <n v="0"/>
    <n v="0"/>
    <n v="0"/>
    <n v="7.4999999999999997E-3"/>
    <n v="0"/>
    <m/>
    <n v="0"/>
    <n v="0"/>
  </r>
  <r>
    <m/>
    <x v="667"/>
    <d v="2025-12-08T00:00:00"/>
    <x v="1"/>
    <e v="#N/A"/>
    <x v="10"/>
    <s v="ขายภายใน"/>
    <s v="MTFS"/>
    <s v="CPFGS"/>
    <s v="ซีพีเอฟ เทรดดิ้ง"/>
    <s v="E+Wonton"/>
    <x v="1"/>
    <s v="ซีพี เกี๊ยวกุ้งจักรพรรดิ 270 ก. Sready"/>
    <s v="082S83Q18005P09001"/>
    <s v="270g*3B*6B"/>
    <n v="18"/>
    <n v="5"/>
    <n v="8.0000000000000002E-3"/>
    <s v="M"/>
    <s v="STPP"/>
    <s v="ซุปซอง 5g."/>
    <n v="1000"/>
    <m/>
    <n v="1000"/>
    <n v="0"/>
    <n v="0"/>
    <n v="0"/>
    <n v="1"/>
    <n v="0"/>
    <s v="กล่องใหม่"/>
    <n v="0"/>
    <n v="0"/>
  </r>
  <r>
    <s v="R"/>
    <x v="668"/>
    <d v="2025-12-16T00:00:00"/>
    <x v="1"/>
    <e v="#N/A"/>
    <x v="10"/>
    <s v="DRY2500334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  <m/>
    <n v="0"/>
    <n v="0"/>
  </r>
  <r>
    <s v="R"/>
    <x v="668"/>
    <d v="2025-12-02T00:00:00"/>
    <x v="1"/>
    <e v="#N/A"/>
    <x v="10"/>
    <s v="DRY2500344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129"/>
    <n v="129"/>
    <m/>
    <n v="0"/>
    <n v="0"/>
    <n v="0"/>
    <n v="6"/>
    <n v="0"/>
    <m/>
    <n v="0"/>
    <n v="0"/>
  </r>
  <r>
    <s v="R"/>
    <x v="669"/>
    <d v="2025-12-13T00:00:00"/>
    <x v="1"/>
    <e v="#N/A"/>
    <x v="10"/>
    <s v="KL2500040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83"/>
    <n v="83"/>
    <m/>
    <n v="0"/>
    <n v="0"/>
    <n v="0"/>
    <n v="6"/>
    <n v="0"/>
    <m/>
    <n v="0"/>
    <n v="0"/>
  </r>
  <r>
    <s v="cpall audit"/>
    <x v="668"/>
    <s v="12-2025"/>
    <x v="1"/>
    <e v="#N/A"/>
    <x v="10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3313"/>
    <n v="3313"/>
    <m/>
    <n v="0"/>
    <n v="0"/>
    <n v="0"/>
    <n v="7.4999999999999997E-3"/>
    <n v="0"/>
    <m/>
    <n v="0"/>
    <n v="0"/>
  </r>
  <r>
    <m/>
    <x v="668"/>
    <d v="2025-12-11T00:00:00"/>
    <x v="1"/>
    <e v="#N/A"/>
    <x v="10"/>
    <s v="DRY2500347"/>
    <s v="SG"/>
    <s v="CPFNW"/>
    <s v="CPI SINGAPORE"/>
    <s v="Minced ND+หมาล่า"/>
    <x v="1"/>
    <s v="Cooked Minced  ND No Egg หมาล่า"/>
    <s v="082SR3B24003P00001"/>
    <s v="300g*24"/>
    <n v="24"/>
    <n v="3"/>
    <n v="6.0000000000000001E-3"/>
    <s v="BK"/>
    <s v="Salt"/>
    <s v="หมาล่า"/>
    <n v="210"/>
    <n v="217"/>
    <n v="1.875"/>
    <n v="8.875"/>
    <n v="0"/>
    <n v="0"/>
    <n v="2.4E-2"/>
    <n v="0"/>
    <s v="stock 631 ถ้วยจาก denmark"/>
    <n v="0"/>
    <n v="0"/>
  </r>
  <r>
    <s v="R"/>
    <x v="669"/>
    <d v="2025-12-08T00:00:00"/>
    <x v="1"/>
    <e v="#N/A"/>
    <x v="10"/>
    <s v="ขายภายใน"/>
    <s v="MTFS"/>
    <s v="CPFGS"/>
    <s v="ซีพีเอฟ เทรดดิ้ง"/>
    <s v="R-Wonton no egg"/>
    <x v="2"/>
    <s v="ซีพี เกี๊ยวกุ้งจักรพรรดิดิบ 220ก. Sready"/>
    <s v="082I93Q12020P02001"/>
    <s v="220g*12in"/>
    <n v="12"/>
    <n v="20"/>
    <n v="6.1999999999999998E-3"/>
    <s v="SS"/>
    <s v="STPP"/>
    <m/>
    <n v="1000"/>
    <m/>
    <n v="1000"/>
    <n v="0"/>
    <n v="0"/>
    <n v="0"/>
    <m/>
    <n v="0"/>
    <s v="กล่องใหม่"/>
    <n v="0"/>
    <n v="0"/>
  </r>
  <r>
    <s v="R"/>
    <x v="669"/>
    <d v="2025-12-13T00:00:00"/>
    <x v="1"/>
    <e v="#N/A"/>
    <x v="10"/>
    <s v="KL2500040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819"/>
    <n v="819"/>
    <m/>
    <n v="0"/>
    <n v="0"/>
    <n v="0"/>
    <n v="6"/>
    <n v="0"/>
    <m/>
    <n v="0"/>
    <n v="0"/>
  </r>
  <r>
    <m/>
    <x v="670"/>
    <m/>
    <x v="1"/>
    <e v="#N/A"/>
    <x v="10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671"/>
    <d v="2025-12-13T00:00:00"/>
    <x v="1"/>
    <e v="#N/A"/>
    <x v="11"/>
    <s v="KL2500040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506"/>
    <n v="506"/>
    <m/>
    <n v="0"/>
    <n v="0"/>
    <n v="0"/>
    <n v="6"/>
    <n v="0"/>
    <m/>
    <n v="0"/>
    <n v="0"/>
  </r>
  <r>
    <s v="R"/>
    <x v="671"/>
    <d v="2025-12-15T00:00:00"/>
    <x v="1"/>
    <e v="#N/A"/>
    <x v="11"/>
    <s v="KL2500041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1146"/>
    <n v="1146"/>
    <m/>
    <n v="0"/>
    <n v="0"/>
    <n v="0"/>
    <n v="6"/>
    <n v="0"/>
    <m/>
    <n v="0"/>
    <n v="0"/>
  </r>
  <r>
    <s v="R"/>
    <x v="672"/>
    <d v="2025-12-15T00:00:00"/>
    <x v="1"/>
    <e v="#N/A"/>
    <x v="11"/>
    <s v="KL2500041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262"/>
    <n v="262"/>
    <m/>
    <n v="0"/>
    <n v="0"/>
    <n v="0"/>
    <n v="6"/>
    <n v="0"/>
    <m/>
    <n v="0"/>
    <n v="0"/>
  </r>
  <r>
    <s v="R"/>
    <x v="672"/>
    <s v="12-2025"/>
    <x v="1"/>
    <e v="#N/A"/>
    <x v="11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s v="-"/>
    <n v="800"/>
    <n v="682"/>
    <n v="165"/>
    <n v="47"/>
    <n v="0"/>
    <n v="0"/>
    <m/>
    <n v="0"/>
    <m/>
    <n v="0"/>
    <n v="0"/>
  </r>
  <r>
    <s v="R"/>
    <x v="672"/>
    <d v="2025-12-11T00:00:00"/>
    <x v="1"/>
    <e v="#N/A"/>
    <x v="11"/>
    <s v="DRY2500290"/>
    <s v="SG"/>
    <s v="CPFNW"/>
    <s v="CPI SINGAPORE"/>
    <s v="R-Wonton egg past"/>
    <x v="2"/>
    <s v="Raw Wonton 8 pcs"/>
    <s v="082I93B20008P00001"/>
    <s v="194g*20in"/>
    <n v="20"/>
    <n v="8"/>
    <n v="1.4999999999999999E-2"/>
    <s v="JB"/>
    <s v="STPP"/>
    <s v="ซุปซอง 5g."/>
    <n v="1000"/>
    <n v="773"/>
    <n v="227"/>
    <n v="0"/>
    <n v="0"/>
    <n v="0"/>
    <n v="2"/>
    <n v="0"/>
    <s v="ห่อแบบดิบ"/>
    <n v="0"/>
    <n v="0"/>
  </r>
  <r>
    <s v="R"/>
    <x v="673"/>
    <d v="2025-12-11T00:00:00"/>
    <x v="1"/>
    <e v="#N/A"/>
    <x v="11"/>
    <s v="DRY2500276"/>
    <s v="SG"/>
    <s v="CPFNW"/>
    <s v="CPI SINGAPORE"/>
    <s v="R-Minced egg past"/>
    <x v="2"/>
    <s v="Raw Minced Wonton 8 pcs"/>
    <s v="082ID3B18008P00001"/>
    <s v="90g*18in"/>
    <n v="18"/>
    <n v="8"/>
    <n v="6.0000000000000001E-3"/>
    <s v="BK"/>
    <s v="STPP"/>
    <s v="ซุปซอง 5g."/>
    <n v="600"/>
    <n v="600"/>
    <m/>
    <n v="0"/>
    <n v="0"/>
    <n v="0"/>
    <n v="2"/>
    <n v="0"/>
    <s v="new package"/>
    <n v="0"/>
    <n v="0"/>
  </r>
  <r>
    <s v="R"/>
    <x v="673"/>
    <d v="2025-12-23T00:00:00"/>
    <x v="1"/>
    <e v="#N/A"/>
    <x v="11"/>
    <s v="DRY2500304"/>
    <s v="Malay"/>
    <s v="CPFNW"/>
    <s v="CPM Malaysia"/>
    <s v="R-Wonton egg past"/>
    <x v="2"/>
    <s v="Raw Wonton 12 pcs"/>
    <s v="082I95I20012P02001"/>
    <s v="154g*20inner"/>
    <n v="20"/>
    <n v="12"/>
    <n v="6.8100000000000001E-3"/>
    <s v="S"/>
    <s v="STPP"/>
    <s v="ซุปซอง 5g."/>
    <n v="400"/>
    <n v="400"/>
    <m/>
    <n v="0"/>
    <n v="0"/>
    <n v="0"/>
    <n v="2"/>
    <n v="0"/>
    <m/>
    <n v="0"/>
    <n v="0"/>
  </r>
  <r>
    <m/>
    <x v="673"/>
    <s v="12-2025"/>
    <x v="1"/>
    <e v="#N/A"/>
    <x v="11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3635"/>
    <n v="3635"/>
    <m/>
    <n v="0"/>
    <n v="0"/>
    <n v="0"/>
    <n v="7.4999999999999997E-3"/>
    <n v="0"/>
    <m/>
    <n v="0"/>
    <n v="0"/>
  </r>
  <r>
    <s v="R"/>
    <x v="674"/>
    <d v="2025-12-22T00:00:00"/>
    <x v="1"/>
    <e v="#N/A"/>
    <x v="11"/>
    <s v="DRY2500292"/>
    <s v="SG"/>
    <s v="CPFNW"/>
    <s v="CPI SINGAPORE"/>
    <s v="R-Wonton egg past"/>
    <x v="2"/>
    <s v="Raw Wonton 12 pcs with sesame"/>
    <s v="082I93B20012P02001"/>
    <s v="204g*20in"/>
    <n v="20"/>
    <n v="12"/>
    <n v="6.8100000000000001E-3"/>
    <s v="S"/>
    <s v="STPP"/>
    <s v=" sesame 30g"/>
    <n v="255"/>
    <n v="255"/>
    <m/>
    <n v="0"/>
    <n v="0"/>
    <n v="0"/>
    <n v="2"/>
    <n v="0"/>
    <s v="ห่อแบบดิบ"/>
    <m/>
    <m/>
  </r>
  <r>
    <s v="R"/>
    <x v="674"/>
    <d v="2026-01-05T00:00:00"/>
    <x v="1"/>
    <e v="#N/A"/>
    <x v="11"/>
    <s v="DRY2500291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1022"/>
    <n v="619"/>
    <n v="403"/>
    <n v="0"/>
    <n v="0"/>
    <n v="0"/>
    <n v="2"/>
    <n v="0"/>
    <s v="ห่อแบบสุก"/>
    <n v="0"/>
    <n v="0"/>
  </r>
  <r>
    <m/>
    <x v="674"/>
    <d v="2025-12-18T00:00:00"/>
    <x v="1"/>
    <e v="#N/A"/>
    <x v="11"/>
    <s v="DRY2500327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674"/>
    <d v="2025-12-18T00:00:00"/>
    <x v="1"/>
    <e v="#N/A"/>
    <x v="11"/>
    <s v="DRY2500336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674"/>
    <d v="2025-12-18T00:00:00"/>
    <x v="1"/>
    <e v="#N/A"/>
    <x v="11"/>
    <s v="DRY2500357"/>
    <s v="AUS"/>
    <s v="CPFNW"/>
    <s v="CPF Australia Pty Ltd."/>
    <s v="Wonton ND+V"/>
    <x v="1"/>
    <s v="Cooked Wonton ND No Egg with Pumpkin_x000a_+ Yu Choy "/>
    <s v="082SJ9U08004P00001"/>
    <s v="305g*8"/>
    <n v="8"/>
    <n v="4"/>
    <n v="7.4999999999999997E-3"/>
    <s v="HC"/>
    <s v="Salt"/>
    <s v="Regular"/>
    <n v="950"/>
    <m/>
    <n v="962.375"/>
    <n v="12.375"/>
    <n v="0"/>
    <n v="0"/>
    <n v="7.4999999999999997E-3"/>
    <n v="0"/>
    <m/>
    <n v="0"/>
    <n v="0"/>
  </r>
  <r>
    <m/>
    <x v="674"/>
    <d v="2025-12-18T00:00:00"/>
    <x v="1"/>
    <e v="#N/A"/>
    <x v="11"/>
    <s v="DRY2500328"/>
    <s v="New Zealand"/>
    <s v="CPFNW"/>
    <s v="Lim Brothers"/>
    <s v="Wonton ND+V"/>
    <x v="1"/>
    <s v="Cooked Wonton ND No Egg with Pumpkin_x000a_+ Yu Choy "/>
    <s v="082SJN708004P00001"/>
    <s v="305g*8"/>
    <n v="8"/>
    <n v="4"/>
    <n v="7.4999999999999997E-3"/>
    <s v="HC"/>
    <s v="Salt"/>
    <s v="Regular"/>
    <n v="432"/>
    <n v="45"/>
    <n v="387"/>
    <n v="0"/>
    <n v="0"/>
    <n v="0"/>
    <n v="7.4999999999999997E-3"/>
    <n v="0"/>
    <m/>
    <n v="0"/>
    <n v="0"/>
  </r>
  <r>
    <m/>
    <x v="674"/>
    <d v="2025-12-25T00:00:00"/>
    <x v="1"/>
    <e v="#N/A"/>
    <x v="11"/>
    <s v="DRY2500368"/>
    <s v="New Zealand"/>
    <s v="CPFNW"/>
    <s v="Shore Mariner Limited"/>
    <s v="Wonton ND+V"/>
    <x v="1"/>
    <s v="Cooked Wonton ND No Egg with Pumpkin_x000a_+ Yu Choy "/>
    <s v="082SJSF08004P00001"/>
    <s v="305g*8"/>
    <n v="8"/>
    <n v="4"/>
    <n v="7.4999999999999997E-3"/>
    <s v="HC"/>
    <s v="Salt"/>
    <s v="Regular"/>
    <n v="260"/>
    <m/>
    <n v="291.375"/>
    <n v="31.375"/>
    <n v="0"/>
    <n v="0"/>
    <n v="7.4999999999999997E-3"/>
    <n v="0"/>
    <m/>
    <n v="0"/>
    <n v="0"/>
  </r>
  <r>
    <m/>
    <x v="674"/>
    <d v="2025-12-18T00:00:00"/>
    <x v="1"/>
    <e v="#N/A"/>
    <x v="11"/>
    <s v="DRY2500357"/>
    <s v="AUS"/>
    <s v="CPFNW"/>
    <s v="CPF Australia Pty Ltd."/>
    <s v="Minced ND+V+TY"/>
    <x v="1"/>
    <s v="Cooked Minced  ND No Egg with Pumpkin_x000a_+ Yu Choy Tomyum"/>
    <s v="082SR9U08003P00001"/>
    <s v="302g*8"/>
    <n v="8"/>
    <n v="3"/>
    <n v="6.0000000000000001E-3"/>
    <s v="BK"/>
    <s v="Salt"/>
    <s v="TYEXSG+CO"/>
    <n v="500"/>
    <m/>
    <n v="513"/>
    <n v="13"/>
    <n v="0"/>
    <n v="0"/>
    <n v="3.8699999999999998E-2"/>
    <n v="0"/>
    <m/>
    <n v="0"/>
    <n v="0"/>
  </r>
  <r>
    <m/>
    <x v="674"/>
    <d v="2025-12-18T00:00:00"/>
    <x v="1"/>
    <e v="#N/A"/>
    <x v="11"/>
    <s v="DRY2500328"/>
    <s v="New Zealand"/>
    <s v="CPFNW"/>
    <s v="Lim Brothers"/>
    <s v="Minced ND+V+TY"/>
    <x v="1"/>
    <s v="Cooked Minced  ND No Egg with Pumpkin_x000a_+ Yu Choy Tomyum"/>
    <s v="082SRN708003P00001"/>
    <s v="302g*8"/>
    <n v="8"/>
    <n v="3"/>
    <n v="6.0000000000000001E-3"/>
    <s v="BK"/>
    <s v="Salt"/>
    <s v="TYEXSG+CO"/>
    <n v="216"/>
    <m/>
    <n v="216"/>
    <n v="0"/>
    <n v="0"/>
    <n v="0"/>
    <n v="3.8699999999999998E-2"/>
    <n v="0"/>
    <m/>
    <n v="0"/>
    <n v="0"/>
  </r>
  <r>
    <m/>
    <x v="674"/>
    <d v="2025-12-25T00:00:00"/>
    <x v="1"/>
    <e v="#N/A"/>
    <x v="11"/>
    <s v="DRY2500368"/>
    <s v="New Zealand"/>
    <s v="CPFNW"/>
    <s v="Shore Mariner Limited"/>
    <s v="Minced ND+V+TY"/>
    <x v="1"/>
    <s v="Cooked Minced  ND No Egg with Pumpkin_x000a_+ Yu Choy Tomyum"/>
    <s v="082SRSF08003P00001"/>
    <s v="302g*8"/>
    <n v="8"/>
    <n v="3"/>
    <n v="6.0000000000000001E-3"/>
    <s v="BK"/>
    <s v="Salt"/>
    <s v="TYEXSG+CO"/>
    <n v="260"/>
    <m/>
    <n v="260"/>
    <n v="0"/>
    <n v="0"/>
    <n v="0"/>
    <n v="3.8699999999999998E-2"/>
    <n v="0"/>
    <m/>
    <n v="0"/>
    <n v="0"/>
  </r>
  <r>
    <m/>
    <x v="675"/>
    <m/>
    <x v="1"/>
    <e v="#N/A"/>
    <x v="11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676"/>
    <d v="2025-12-22T00:00:00"/>
    <x v="1"/>
    <e v="#N/A"/>
    <x v="11"/>
    <s v="DRY2500292"/>
    <s v="SG"/>
    <s v="CPFNW"/>
    <s v="CPI SINGAPORE"/>
    <s v="R-Wonton egg past"/>
    <x v="2"/>
    <s v="Raw Wonton 12 pcs with sesame"/>
    <s v="082I93B20012P02001"/>
    <s v="204g*20in"/>
    <n v="20"/>
    <n v="12"/>
    <n v="6.8100000000000001E-3"/>
    <s v="S"/>
    <s v="STPP"/>
    <s v=" sesame 30g"/>
    <n v="945"/>
    <n v="935"/>
    <n v="13"/>
    <n v="3"/>
    <n v="0"/>
    <n v="0"/>
    <n v="2"/>
    <n v="0"/>
    <s v="ห่อแบบดิบ"/>
    <m/>
    <m/>
  </r>
  <r>
    <s v="R"/>
    <x v="676"/>
    <d v="2026-01-06T00:00:00"/>
    <x v="1"/>
    <e v="#N/A"/>
    <x v="11"/>
    <s v="DRY2500331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1650"/>
    <m/>
    <n v="1650"/>
    <n v="0"/>
    <n v="0"/>
    <n v="0"/>
    <n v="1"/>
    <n v="0"/>
    <m/>
    <n v="0"/>
    <n v="0"/>
  </r>
  <r>
    <s v="R"/>
    <x v="676"/>
    <d v="2026-01-06T00:00:00"/>
    <x v="1"/>
    <e v="#N/A"/>
    <x v="11"/>
    <s v="DRY2500331"/>
    <s v="HK"/>
    <s v="CPFNW"/>
    <s v="CPM Hongkong"/>
    <s v="R-Minced egg past"/>
    <x v="2"/>
    <s v="Raw Minced Wonton 8 pcs"/>
    <s v="082ID3G18008P00001"/>
    <s v="90g*18in"/>
    <n v="18"/>
    <n v="8"/>
    <n v="6.0000000000000001E-3"/>
    <s v="BK"/>
    <s v="STPP"/>
    <s v="ซุปซอง 5g."/>
    <n v="250"/>
    <n v="250"/>
    <m/>
    <n v="0"/>
    <n v="0"/>
    <n v="0"/>
    <n v="2"/>
    <n v="0"/>
    <s v="new package"/>
    <n v="0"/>
    <n v="0"/>
  </r>
  <r>
    <m/>
    <x v="677"/>
    <m/>
    <x v="1"/>
    <e v="#N/A"/>
    <x v="11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678"/>
    <d v="2025-12-22T00:00:00"/>
    <x v="1"/>
    <e v="#N/A"/>
    <x v="11"/>
    <s v="DRY2500345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171"/>
    <n v="167"/>
    <n v="4"/>
    <n v="0"/>
    <n v="0"/>
    <n v="0"/>
    <n v="6"/>
    <n v="0"/>
    <m/>
    <n v="0"/>
    <n v="0"/>
  </r>
  <r>
    <s v="T"/>
    <x v="678"/>
    <d v="2025-12-18T00:00:00"/>
    <x v="1"/>
    <e v="#N/A"/>
    <x v="11"/>
    <s v="DRY2500328"/>
    <s v="New Zealand"/>
    <s v="CPFNW"/>
    <s v="Lim Brothers"/>
    <s v="C-Minced WT in tray no egg"/>
    <x v="1"/>
    <s v="Cooked Minced Wonton in Tray 6 pcs + Sesame Sauce"/>
    <s v="082SKN716006P00001"/>
    <s v="117*2tray*8in"/>
    <n v="16"/>
    <n v="6"/>
    <n v="6.0000000000000001E-3"/>
    <s v="BK"/>
    <s v="Salt"/>
    <s v=" Sesame 15g"/>
    <n v="216"/>
    <m/>
    <n v="224"/>
    <n v="8"/>
    <n v="0"/>
    <n v="0"/>
    <n v="1"/>
    <n v="0"/>
    <s v="ซอสเข้า 22/10"/>
    <n v="0"/>
    <n v="0"/>
  </r>
  <r>
    <m/>
    <x v="678"/>
    <d v="2026-01-07T00:00:00"/>
    <x v="1"/>
    <e v="#N/A"/>
    <x v="11"/>
    <s v="DRY2500341"/>
    <s v="USA"/>
    <s v="CPFNW"/>
    <s v="Bellisio Foods, Inc."/>
    <s v="Minced WT"/>
    <x v="1"/>
    <s v="Cooked Minced Wonton Soup No Egg"/>
    <s v="082SKBW36005P00001"/>
    <s v="145g*6c*6"/>
    <n v="36"/>
    <n v="5"/>
    <n v="6.0000000000000001E-3"/>
    <s v="BK"/>
    <s v="Salt"/>
    <s v="Regular"/>
    <n v="300"/>
    <n v="300"/>
    <m/>
    <n v="0"/>
    <n v="0"/>
    <n v="0"/>
    <n v="7.4999999999999997E-3"/>
    <n v="0"/>
    <m/>
    <n v="0"/>
    <n v="0"/>
  </r>
  <r>
    <m/>
    <x v="678"/>
    <d v="2026-01-07T00:00:00"/>
    <x v="1"/>
    <e v="#N/A"/>
    <x v="11"/>
    <s v="DRY2500342"/>
    <s v="USA"/>
    <s v="CPFNW"/>
    <s v="Bellisio Foods, Inc."/>
    <s v="Minced WT"/>
    <x v="1"/>
    <s v="Cooked Minced Wonton Soup No Egg"/>
    <s v="082SKBW36005P00001"/>
    <s v="145g*6c*6"/>
    <n v="36"/>
    <n v="5"/>
    <n v="6.0000000000000001E-3"/>
    <s v="BK"/>
    <s v="Salt"/>
    <s v="Regular"/>
    <n v="450"/>
    <n v="450"/>
    <n v="22.888888888888889"/>
    <n v="22.888888888888914"/>
    <n v="0"/>
    <n v="0"/>
    <n v="7.4999999999999997E-3"/>
    <n v="0"/>
    <m/>
    <n v="0"/>
    <n v="0"/>
  </r>
  <r>
    <m/>
    <x v="678"/>
    <d v="2025-12-23T00:00:00"/>
    <x v="1"/>
    <e v="#N/A"/>
    <x v="11"/>
    <s v="DRY2500304"/>
    <s v="Malay"/>
    <s v="CPFNW"/>
    <s v="CPM Malaysia"/>
    <s v="Wonton"/>
    <x v="1"/>
    <s v="Cooked Wonton No Egg  "/>
    <s v="082S85I24005P01001"/>
    <s v="145g*24"/>
    <n v="24"/>
    <n v="5"/>
    <n v="8.0000000000000002E-3"/>
    <s v="M"/>
    <s v="STPP"/>
    <s v="Regular"/>
    <n v="900"/>
    <n v="900"/>
    <m/>
    <n v="0"/>
    <n v="0"/>
    <n v="0"/>
    <n v="7.4999999999999997E-3"/>
    <n v="0"/>
    <m/>
    <n v="0"/>
    <n v="0"/>
  </r>
  <r>
    <m/>
    <x v="678"/>
    <d v="2025-12-23T00:00:00"/>
    <x v="1"/>
    <e v="#N/A"/>
    <x v="11"/>
    <s v="DRY2500304"/>
    <s v="Malay"/>
    <s v="CPFNW"/>
    <s v="CPM Malaysia"/>
    <s v="Wonton+TY"/>
    <x v="1"/>
    <s v="Cooked Wonton No Egg  Tomyum"/>
    <s v="082S85I24005P02001"/>
    <s v="115g*24"/>
    <n v="24"/>
    <n v="5"/>
    <n v="8.0000000000000002E-3"/>
    <s v="M"/>
    <s v="STPP"/>
    <s v="TYTB3C 30G"/>
    <n v="850"/>
    <n v="850"/>
    <m/>
    <n v="0"/>
    <n v="0"/>
    <n v="0"/>
    <n v="1"/>
    <n v="0"/>
    <m/>
    <n v="0"/>
    <n v="0"/>
  </r>
  <r>
    <s v="R"/>
    <x v="679"/>
    <d v="2025-12-22T00:00:00"/>
    <x v="1"/>
    <e v="#N/A"/>
    <x v="11"/>
    <s v="DRY2500345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177"/>
    <n v="177"/>
    <m/>
    <n v="0"/>
    <n v="0"/>
    <n v="0"/>
    <n v="6"/>
    <n v="0"/>
    <m/>
    <n v="0"/>
    <n v="0"/>
  </r>
  <r>
    <m/>
    <x v="679"/>
    <d v="2025-12-16T00:00:00"/>
    <x v="1"/>
    <e v="#N/A"/>
    <x v="11"/>
    <s v="DRY2500334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800"/>
    <n v="800"/>
    <m/>
    <n v="0"/>
    <n v="0"/>
    <n v="0"/>
    <n v="7.4999999999999997E-3"/>
    <n v="0"/>
    <m/>
    <n v="0"/>
    <n v="0"/>
  </r>
  <r>
    <m/>
    <x v="679"/>
    <d v="2026-01-07T00:00:00"/>
    <x v="1"/>
    <e v="#N/A"/>
    <x v="11"/>
    <s v="DRY2500335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800"/>
    <n v="800"/>
    <m/>
    <n v="0"/>
    <n v="0"/>
    <n v="0"/>
    <n v="7.4999999999999997E-3"/>
    <n v="0"/>
    <m/>
    <n v="0"/>
    <n v="0"/>
  </r>
  <r>
    <m/>
    <x v="679"/>
    <s v="12-2025"/>
    <x v="1"/>
    <e v="#N/A"/>
    <x v="11"/>
    <s v="ขายภายใน"/>
    <s v="MTFS"/>
    <s v="CPFGS"/>
    <s v="ซีพีเอฟ เทรดดิ้ง"/>
    <s v="Wonton ND"/>
    <x v="1"/>
    <s v="บะหมี่เกี๊ยวกุ้งซุปสุกี้ CPxMK 227g MT"/>
    <s v="082SJ3Q12003P0A001"/>
    <s v="227g*12"/>
    <n v="12"/>
    <n v="3"/>
    <n v="8.0000000000000002E-3"/>
    <s v="SS"/>
    <s v="STPP"/>
    <s v="MK"/>
    <n v="3200"/>
    <n v="3200"/>
    <m/>
    <n v="0"/>
    <n v="0"/>
    <n v="0"/>
    <n v="0.05"/>
    <n v="0"/>
    <s v="เปลี่ยนใช้ผักกวางตุ้งแบบแช่แข็ง"/>
    <n v="0"/>
    <n v="0"/>
  </r>
  <r>
    <m/>
    <x v="679"/>
    <s v="01-2026"/>
    <x v="1"/>
    <e v="#N/A"/>
    <x v="11"/>
    <s v="ขายภายใน"/>
    <s v="MTFS"/>
    <s v="CPFGS"/>
    <s v="ซีพีเอฟ เทรดดิ้ง"/>
    <s v="Wonton ND"/>
    <x v="1"/>
    <s v="บะหมี่เกี๊ยวกุ้งซุปสุกี้ CPxMK 227g MT"/>
    <s v="082SJ3Q12003P0A001"/>
    <s v="227g*12"/>
    <n v="12"/>
    <n v="3"/>
    <n v="8.0000000000000002E-3"/>
    <s v="SS"/>
    <s v="STPP"/>
    <s v="MK"/>
    <n v="884"/>
    <n v="773"/>
    <n v="155.25"/>
    <n v="44.25"/>
    <n v="0"/>
    <n v="0"/>
    <n v="0.05"/>
    <n v="0"/>
    <s v="เปลี่ยนใช้ผักกวางตุ้งแบบแช่แข็ง"/>
    <n v="0"/>
    <n v="0"/>
  </r>
  <r>
    <s v="R"/>
    <x v="680"/>
    <d v="2025-12-22T00:00:00"/>
    <x v="1"/>
    <e v="#N/A"/>
    <x v="11"/>
    <s v="DRY2500345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173"/>
    <n v="173"/>
    <m/>
    <n v="0"/>
    <n v="0"/>
    <n v="0"/>
    <n v="6"/>
    <n v="0"/>
    <m/>
    <n v="0"/>
    <n v="0"/>
  </r>
  <r>
    <m/>
    <x v="680"/>
    <s v="12-2025"/>
    <x v="1"/>
    <e v="#N/A"/>
    <x v="11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996"/>
    <n v="1996"/>
    <m/>
    <n v="0"/>
    <n v="0"/>
    <n v="0"/>
    <n v="7.4999999999999997E-3"/>
    <n v="0"/>
    <m/>
    <n v="0"/>
    <n v="0"/>
  </r>
  <r>
    <s v="กัก"/>
    <x v="680"/>
    <d v="2025-12-26T00:00:00"/>
    <x v="1"/>
    <e v="#N/A"/>
    <x v="11"/>
    <s v="DRY2500307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9.9166666666665"/>
    <n v="9.9166666666665151"/>
    <n v="0"/>
    <n v="0"/>
    <n v="7.4999999999999997E-3"/>
    <n v="0"/>
    <s v="new package (ลบโลโก้ Facebook)"/>
    <n v="0"/>
    <n v="0"/>
  </r>
  <r>
    <m/>
    <x v="680"/>
    <d v="2026-01-12T00:00:00"/>
    <x v="1"/>
    <e v="#N/A"/>
    <x v="11"/>
    <s v="DRY2500351"/>
    <s v="SG"/>
    <s v="CPFNW"/>
    <s v="CPI SINGAPORE"/>
    <s v="Minced ND+หมาล่า"/>
    <x v="1"/>
    <s v="Cooked Minced  ND No Egg หมาล่า"/>
    <s v="082SR3B24003P00001"/>
    <s v="300g*24"/>
    <n v="24"/>
    <n v="3"/>
    <n v="6.0000000000000001E-3"/>
    <s v="BK"/>
    <s v="Salt"/>
    <s v="หมาล่า"/>
    <n v="210"/>
    <n v="210"/>
    <n v="1.75"/>
    <n v="1.75"/>
    <n v="0"/>
    <n v="0"/>
    <n v="2.4E-2"/>
    <n v="0"/>
    <m/>
    <n v="0"/>
    <n v="0"/>
  </r>
  <r>
    <s v="R"/>
    <x v="681"/>
    <d v="2025-12-22T00:00:00"/>
    <x v="1"/>
    <e v="#N/A"/>
    <x v="11"/>
    <s v="DRY2500345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181"/>
    <n v="181"/>
    <m/>
    <n v="0"/>
    <n v="0"/>
    <n v="0"/>
    <n v="6"/>
    <n v="0"/>
    <m/>
    <n v="0"/>
    <n v="0"/>
  </r>
  <r>
    <m/>
    <x v="681"/>
    <s v="12-2025"/>
    <x v="1"/>
    <e v="#N/A"/>
    <x v="11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706"/>
    <n v="706"/>
    <m/>
    <n v="0"/>
    <n v="0"/>
    <n v="0"/>
    <n v="7.4999999999999997E-3"/>
    <n v="0"/>
    <m/>
    <n v="0"/>
    <n v="0"/>
  </r>
  <r>
    <m/>
    <x v="681"/>
    <d v="2026-01-07T00:00:00"/>
    <x v="1"/>
    <e v="#N/A"/>
    <x v="11"/>
    <s v="DRY2500341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800"/>
    <n v="800"/>
    <m/>
    <n v="0"/>
    <n v="0"/>
    <n v="0"/>
    <n v="7.4999999999999997E-3"/>
    <n v="0"/>
    <m/>
    <n v="0"/>
    <n v="0"/>
  </r>
  <r>
    <m/>
    <x v="681"/>
    <d v="2026-01-07T00:00:00"/>
    <x v="1"/>
    <e v="#N/A"/>
    <x v="11"/>
    <s v="DRY2500342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700"/>
    <n v="700"/>
    <m/>
    <n v="0"/>
    <n v="0"/>
    <n v="0"/>
    <n v="7.4999999999999997E-3"/>
    <n v="0"/>
    <m/>
    <n v="0"/>
    <n v="0"/>
  </r>
  <r>
    <m/>
    <x v="681"/>
    <d v="2025-12-16T00:00:00"/>
    <x v="1"/>
    <e v="#N/A"/>
    <x v="11"/>
    <s v="DRY2500334"/>
    <s v="USA"/>
    <s v="CPFNW"/>
    <s v="Bellisio Foods, Inc."/>
    <s v="Minced ND+V"/>
    <x v="1"/>
    <s v="Cooked Wonton ND No Egg with Pumpkin_x000a_+ Yu Choy Low sodium"/>
    <s v="082SRBW24005P01001"/>
    <s v="308g*4c*6in"/>
    <n v="24"/>
    <n v="5"/>
    <n v="6.0000000000000001E-3"/>
    <s v="BK"/>
    <s v="Salt"/>
    <s v="Y3"/>
    <n v="150"/>
    <n v="150"/>
    <m/>
    <n v="0"/>
    <n v="0"/>
    <n v="0"/>
    <n v="9.7000000000000003E-3"/>
    <n v="0"/>
    <m/>
    <n v="0"/>
    <n v="0"/>
  </r>
  <r>
    <m/>
    <x v="681"/>
    <d v="2026-01-07T00:00:00"/>
    <x v="1"/>
    <e v="#N/A"/>
    <x v="11"/>
    <s v="DRY2500335"/>
    <s v="USA"/>
    <s v="CPFNW"/>
    <s v="Bellisio Foods, Inc."/>
    <s v="Minced ND+V"/>
    <x v="1"/>
    <s v="Cooked Wonton ND No Egg with Pumpkin_x000a_+ Yu Choy Low sodium"/>
    <s v="082SRBW24005P01001"/>
    <s v="308g*4c*6in"/>
    <n v="24"/>
    <n v="5"/>
    <n v="6.0000000000000001E-3"/>
    <s v="BK"/>
    <s v="Salt"/>
    <s v="Y3"/>
    <n v="170"/>
    <n v="170"/>
    <n v="11.944444444444445"/>
    <n v="11.944444444444457"/>
    <n v="0"/>
    <n v="0"/>
    <n v="9.7000000000000003E-3"/>
    <n v="0"/>
    <m/>
    <n v="0"/>
    <n v="0"/>
  </r>
  <r>
    <m/>
    <x v="681"/>
    <d v="2025-12-19T00:00:00"/>
    <x v="1"/>
    <e v="#N/A"/>
    <x v="11"/>
    <s v="DRY2500147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611"/>
    <n v="611"/>
    <m/>
    <n v="0"/>
    <n v="0"/>
    <n v="0"/>
    <n v="9.7000000000000003E-3"/>
    <n v="0"/>
    <m/>
    <n v="0"/>
    <n v="0"/>
  </r>
  <r>
    <s v="R"/>
    <x v="682"/>
    <d v="2025-12-22T00:00:00"/>
    <x v="1"/>
    <e v="#N/A"/>
    <x v="11"/>
    <s v="DRY2500345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183"/>
    <n v="183"/>
    <m/>
    <n v="0"/>
    <n v="0"/>
    <n v="0"/>
    <n v="6"/>
    <n v="0"/>
    <m/>
    <n v="0"/>
    <n v="0"/>
  </r>
  <r>
    <s v="กัก"/>
    <x v="682"/>
    <d v="2026-01-06T00:00:00"/>
    <x v="1"/>
    <e v="#N/A"/>
    <x v="11"/>
    <s v="DRY2500284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s v="กัก"/>
    <x v="682"/>
    <d v="2026-01-06T00:00:00"/>
    <x v="1"/>
    <e v="#N/A"/>
    <x v="11"/>
    <s v="DRY2500319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50"/>
    <n v="1250"/>
    <m/>
    <n v="0"/>
    <n v="0"/>
    <n v="0"/>
    <n v="7.4999999999999997E-3"/>
    <n v="0"/>
    <s v="ถ้าว,ฝา สีขาว/Halal/ New Design"/>
    <n v="0"/>
    <n v="0"/>
  </r>
  <r>
    <s v="R"/>
    <x v="683"/>
    <d v="2025-12-22T00:00:00"/>
    <x v="1"/>
    <e v="#N/A"/>
    <x v="11"/>
    <s v="DRY2500345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155"/>
    <n v="155"/>
    <m/>
    <n v="0"/>
    <n v="0"/>
    <n v="0"/>
    <n v="6"/>
    <n v="0"/>
    <m/>
    <n v="0"/>
    <n v="0"/>
  </r>
  <r>
    <m/>
    <x v="683"/>
    <d v="2026-01-12T00:00:00"/>
    <x v="1"/>
    <e v="#N/A"/>
    <x v="11"/>
    <s v="DRY2500351"/>
    <s v="SG"/>
    <s v="CPFNW"/>
    <s v="CPI Singapore"/>
    <s v="Wonton ND+V"/>
    <x v="1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500"/>
    <n v="500"/>
    <m/>
    <n v="0"/>
    <n v="0"/>
    <n v="0"/>
    <n v="1"/>
    <n v="0"/>
    <m/>
    <n v="0"/>
    <n v="0"/>
  </r>
  <r>
    <m/>
    <x v="683"/>
    <d v="2025-12-26T00:00:00"/>
    <x v="1"/>
    <e v="#N/A"/>
    <x v="11"/>
    <s v="DRY2500358"/>
    <s v="New Zealand"/>
    <s v="CPFNW"/>
    <s v="Lim Brothers"/>
    <s v="Wonton ND+V"/>
    <x v="1"/>
    <s v="Cooked Wonton ND No Egg with Pumpkin_x000a_+ Yu Choy "/>
    <s v="082SJN736005P00001"/>
    <s v="308g*6c*6in"/>
    <n v="36"/>
    <n v="5"/>
    <n v="7.4999999999999997E-3"/>
    <s v="HC"/>
    <s v="Salt"/>
    <s v="Regular"/>
    <n v="320"/>
    <n v="320"/>
    <n v="18.388888888888889"/>
    <n v="18.388888888888914"/>
    <n v="0"/>
    <n v="0"/>
    <n v="7.4999999999999997E-3"/>
    <n v="0"/>
    <m/>
    <n v="0"/>
    <n v="0"/>
  </r>
  <r>
    <m/>
    <x v="683"/>
    <d v="2025-01-08T00:00:00"/>
    <x v="1"/>
    <e v="#N/A"/>
    <x v="11"/>
    <s v="DRY2500338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683"/>
    <d v="2025-12-18T00:00:00"/>
    <x v="1"/>
    <e v="#N/A"/>
    <x v="11"/>
    <s v="DRY2500328"/>
    <s v="New Zealand"/>
    <s v="CPFNW"/>
    <s v="Lim Brothers"/>
    <s v="Minced ND+V+TK"/>
    <x v="1"/>
    <s v="Cooked Minced  ND No Egg with Pumpkin_x000a_+ Yu Choy Tomkha"/>
    <s v="082SRN708003P01001"/>
    <s v="302g*8"/>
    <n v="8"/>
    <n v="3"/>
    <n v="6.0000000000000001E-3"/>
    <s v="BK"/>
    <s v="Salt"/>
    <s v="Tomkha+CM"/>
    <n v="540"/>
    <m/>
    <n v="540"/>
    <n v="0"/>
    <n v="0"/>
    <n v="0"/>
    <n v="5.8823E-2"/>
    <n v="0"/>
    <m/>
    <n v="0"/>
    <n v="0"/>
  </r>
  <r>
    <m/>
    <x v="683"/>
    <d v="2025-12-25T00:00:00"/>
    <x v="1"/>
    <e v="#N/A"/>
    <x v="11"/>
    <s v="DRY2500368"/>
    <s v="New Zealand"/>
    <s v="CPFNW"/>
    <s v="Shore Mariner Limited"/>
    <s v="Minced ND+V+TK"/>
    <x v="1"/>
    <s v="Cooked Minced  ND No Egg with Pumpkin_x000a_+ Yu Choy Tomkha"/>
    <s v="082SRSF08003P01001"/>
    <s v="302g*8"/>
    <n v="8"/>
    <n v="3"/>
    <n v="6.0000000000000001E-3"/>
    <s v="BK"/>
    <s v="Salt"/>
    <s v="Tomkha+CM"/>
    <n v="260"/>
    <m/>
    <n v="303.375"/>
    <n v="43.375"/>
    <n v="0"/>
    <n v="0"/>
    <n v="5.8823E-2"/>
    <n v="0"/>
    <m/>
    <n v="0"/>
    <n v="0"/>
  </r>
  <r>
    <m/>
    <x v="683"/>
    <d v="2026-01-13T00:00:00"/>
    <x v="1"/>
    <e v="#N/A"/>
    <x v="11"/>
    <s v="DRY2500330"/>
    <s v="Denmark"/>
    <s v="CPFNW"/>
    <s v="CPF DENMARK"/>
    <s v="Minced ND+V+TK"/>
    <x v="1"/>
    <s v="Cooked Minced  ND No Egg with Pumpkin_x000a_+ Yu Choy Tomyum"/>
    <s v="082SJKW08003P01001"/>
    <s v="302g*8"/>
    <n v="8"/>
    <n v="3"/>
    <n v="6.0000000000000001E-3"/>
    <s v="BK"/>
    <s v="Salt"/>
    <s v="Tomkha+CM"/>
    <n v="3500"/>
    <m/>
    <n v="3500"/>
    <n v="0"/>
    <n v="0"/>
    <n v="0"/>
    <n v="5.8823E-2"/>
    <n v="0"/>
    <m/>
    <n v="0"/>
    <n v="0"/>
  </r>
  <r>
    <m/>
    <x v="684"/>
    <m/>
    <x v="1"/>
    <e v="#N/A"/>
    <x v="11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685"/>
    <d v="2025-12-24T00:00:00"/>
    <x v="1"/>
    <e v="#N/A"/>
    <x v="11"/>
    <s v="DRY2500260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606"/>
    <n v="594"/>
    <n v="12"/>
    <n v="0"/>
    <n v="0"/>
    <n v="0"/>
    <n v="2"/>
    <n v="0"/>
    <m/>
    <n v="0"/>
    <n v="0"/>
  </r>
  <r>
    <m/>
    <x v="685"/>
    <d v="2025-12-19T00:00:00"/>
    <x v="1"/>
    <e v="#N/A"/>
    <x v="11"/>
    <s v="DRY2500147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147"/>
    <n v="147"/>
    <m/>
    <n v="0"/>
    <n v="0"/>
    <n v="0"/>
    <n v="9.7000000000000003E-3"/>
    <n v="0"/>
    <s v="รอผัก"/>
    <n v="0"/>
    <n v="0"/>
  </r>
  <r>
    <m/>
    <x v="685"/>
    <d v="2025-12-19T00:00:00"/>
    <x v="1"/>
    <e v="#N/A"/>
    <x v="11"/>
    <s v="DRY2500148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s v="รอผัก"/>
    <n v="0"/>
    <n v="0"/>
  </r>
  <r>
    <m/>
    <x v="685"/>
    <d v="2025-12-19T00:00:00"/>
    <x v="1"/>
    <e v="#N/A"/>
    <x v="11"/>
    <s v="DRY2500149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s v="รอผัก"/>
    <n v="0"/>
    <n v="0"/>
  </r>
  <r>
    <m/>
    <x v="685"/>
    <d v="2025-12-19T00:00:00"/>
    <x v="1"/>
    <e v="#N/A"/>
    <x v="11"/>
    <s v="DRY2500150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n v="792"/>
    <m/>
    <n v="0"/>
    <n v="0"/>
    <n v="0"/>
    <n v="1"/>
    <n v="0"/>
    <m/>
    <n v="0"/>
    <n v="0"/>
  </r>
  <r>
    <m/>
    <x v="685"/>
    <d v="2026-01-06T00:00:00"/>
    <x v="1"/>
    <e v="#N/A"/>
    <x v="11"/>
    <s v="DRY2500151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30"/>
    <n v="30"/>
    <m/>
    <n v="0"/>
    <n v="0"/>
    <n v="0"/>
    <n v="9.7000000000000003E-3"/>
    <n v="0"/>
    <m/>
    <n v="0"/>
    <n v="0"/>
  </r>
  <r>
    <s v="R"/>
    <x v="686"/>
    <d v="2025-12-24T00:00:00"/>
    <x v="1"/>
    <e v="#N/A"/>
    <x v="11"/>
    <s v="DRY2500260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622"/>
    <n v="517"/>
    <n v="105"/>
    <n v="0"/>
    <n v="0"/>
    <n v="0"/>
    <n v="2"/>
    <n v="0"/>
    <m/>
    <n v="0"/>
    <n v="0"/>
  </r>
  <r>
    <m/>
    <x v="686"/>
    <d v="2026-01-06T00:00:00"/>
    <x v="1"/>
    <e v="#N/A"/>
    <x v="11"/>
    <s v="DRY2500350"/>
    <s v="SG"/>
    <s v="CPFNW"/>
    <s v="CPI SINGAPORE"/>
    <s v="Wonton"/>
    <x v="1"/>
    <s v="Cooked Wonton No Egg"/>
    <s v="082S83B24005P07001"/>
    <s v="145g*24"/>
    <n v="24"/>
    <n v="5"/>
    <n v="8.0000000000000002E-3"/>
    <s v="M"/>
    <s v="STPP"/>
    <s v="Regular"/>
    <n v="500"/>
    <n v="500"/>
    <m/>
    <n v="0"/>
    <n v="0"/>
    <n v="0"/>
    <n v="1"/>
    <n v="0"/>
    <m/>
    <n v="0"/>
    <n v="0"/>
  </r>
  <r>
    <s v="กัก"/>
    <x v="686"/>
    <d v="2026-01-06T00:00:00"/>
    <x v="1"/>
    <e v="#N/A"/>
    <x v="11"/>
    <s v="DRY2500350"/>
    <s v="SG"/>
    <s v="CPFNW"/>
    <s v="CPI SINGAPORE"/>
    <s v="Wonton +TY"/>
    <x v="1"/>
    <s v="Cooked Wonton No Egg"/>
    <s v="082S83B24005P06001"/>
    <s v="115g*24"/>
    <n v="24"/>
    <n v="5"/>
    <n v="8.0000000000000002E-3"/>
    <s v="M"/>
    <s v="STPP"/>
    <s v="TYTB3C 30G"/>
    <n v="500"/>
    <n v="500"/>
    <m/>
    <n v="0"/>
    <n v="0"/>
    <n v="0"/>
    <n v="1"/>
    <n v="0"/>
    <m/>
    <n v="0"/>
    <n v="0"/>
  </r>
  <r>
    <m/>
    <x v="686"/>
    <d v="2025-12-25T00:00:00"/>
    <x v="1"/>
    <e v="#N/A"/>
    <x v="11"/>
    <s v="DRY2500368"/>
    <s v="New Zealand"/>
    <s v="CPFNW"/>
    <s v="Shore Mariner Limited"/>
    <s v="Minced ND+Kee Mao"/>
    <x v="1"/>
    <s v="Cooked Minced Wonton Thai Spicy Noodles (Kee Mao Noodles)"/>
    <s v="082SRSF08003P02001"/>
    <s v="242g*8"/>
    <n v="8"/>
    <n v="3"/>
    <n v="6.0000000000000001E-3"/>
    <s v="BK"/>
    <s v="Salt"/>
    <s v="Kee Mao"/>
    <n v="260"/>
    <m/>
    <n v="303.625"/>
    <n v="43.625"/>
    <n v="0"/>
    <n v="0"/>
    <n v="1"/>
    <n v="0"/>
    <s v="NEWPACKAGE"/>
    <n v="0"/>
    <n v="0"/>
  </r>
  <r>
    <m/>
    <x v="686"/>
    <d v="2026-01-12T00:00:00"/>
    <x v="1"/>
    <e v="#N/A"/>
    <x v="11"/>
    <s v="DRY2500351"/>
    <s v="SG"/>
    <s v="CPFNW"/>
    <s v="CPI SINGAPORE"/>
    <s v="Wonton ND+Kee Mao"/>
    <x v="1"/>
    <s v="Cooked Wonton Thai Spicy Pumpkin Noodles (Drunken Noodles)"/>
    <s v="082SJ3B24003P04001"/>
    <s v="250g*24"/>
    <n v="24"/>
    <n v="3"/>
    <n v="8.0000000000000002E-3"/>
    <s v="M"/>
    <s v="Salt"/>
    <s v="Kee Mao"/>
    <n v="420"/>
    <n v="420"/>
    <n v="6.583333333333333"/>
    <n v="6.5833333333333144"/>
    <n v="0"/>
    <n v="0"/>
    <n v="6.5000000000000002E-2"/>
    <n v="0"/>
    <m/>
    <n v="0"/>
    <n v="0"/>
  </r>
  <r>
    <m/>
    <x v="686"/>
    <s v="12-2025"/>
    <x v="1"/>
    <e v="#N/A"/>
    <x v="11"/>
    <s v="ขายภายใน"/>
    <s v="MTFS"/>
    <s v="CPFGS"/>
    <s v="ซีพีเอฟ เทรดดิ้ง"/>
    <s v="Minced+ND+Kee Mao แห้ง"/>
    <x v="1"/>
    <s v="บะหมี่เกี๊ยวกุ้งขี้เมา ตราซีพี 235 กรัม"/>
    <s v="082SR3Q12003P02001"/>
    <s v="235g*12"/>
    <n v="12"/>
    <n v="3"/>
    <n v="6.1999999999999998E-3"/>
    <s v="BK"/>
    <s v="STPP"/>
    <s v="Kee Mao"/>
    <n v="1000"/>
    <n v="1000"/>
    <m/>
    <n v="0"/>
    <n v="0"/>
    <n v="0"/>
    <m/>
    <n v="0"/>
    <m/>
    <n v="0"/>
    <n v="0"/>
  </r>
  <r>
    <m/>
    <x v="686"/>
    <s v="01-2026"/>
    <x v="1"/>
    <e v="#N/A"/>
    <x v="11"/>
    <s v="ขายภายใน"/>
    <s v="MTFS"/>
    <s v="CPFGS"/>
    <s v="ซีพีเอฟ เทรดดิ้ง"/>
    <s v="Minced+ND+Kee Mao แห้ง"/>
    <x v="1"/>
    <s v="บะหมี่เกี๊ยวกุ้งขี้เมา ตราซีพี 235 กรัม"/>
    <s v="082SR3Q12003P02001"/>
    <s v="235g*12"/>
    <n v="12"/>
    <n v="3"/>
    <n v="6.1999999999999998E-3"/>
    <s v="BK"/>
    <s v="STPP"/>
    <s v="Kee Mao"/>
    <n v="500"/>
    <n v="504"/>
    <m/>
    <n v="4"/>
    <n v="0"/>
    <n v="0"/>
    <m/>
    <n v="0"/>
    <m/>
    <n v="0"/>
    <n v="0"/>
  </r>
  <r>
    <m/>
    <x v="686"/>
    <s v="12-2025"/>
    <x v="1"/>
    <e v="#N/A"/>
    <x v="11"/>
    <s v="ขายภายใน"/>
    <s v="MTFS"/>
    <s v="CPFGS"/>
    <s v="ซีพีเอฟ เทรดดิ้ง"/>
    <s v="Minced+ND+V+น้ำราดเป็ด"/>
    <x v="1"/>
    <s v="บะหมี่เกี๊ยวกุ้งสไตล์ฮ่องกง ตราซีพี 235 กรัม"/>
    <s v="082SR3Q12003P01001"/>
    <s v="235g*12"/>
    <n v="12"/>
    <n v="3"/>
    <n v="6.1999999999999998E-3"/>
    <s v="BK"/>
    <s v="STPP"/>
    <s v="น้ำราดเป็ด"/>
    <n v="1000"/>
    <n v="1000"/>
    <m/>
    <n v="0"/>
    <n v="0"/>
    <n v="0"/>
    <m/>
    <n v="0"/>
    <m/>
    <n v="0"/>
    <n v="0"/>
  </r>
  <r>
    <m/>
    <x v="686"/>
    <s v="01-2026"/>
    <x v="1"/>
    <e v="#N/A"/>
    <x v="11"/>
    <s v="ขายภายใน"/>
    <s v="MTFS"/>
    <s v="CPFGS"/>
    <s v="ซีพีเอฟ เทรดดิ้ง"/>
    <s v="Minced+ND+V+น้ำราดเป็ด"/>
    <x v="1"/>
    <s v="บะหมี่เกี๊ยวกุ้งสไตล์ฮ่องกง ตราซีพี 235 กรัม"/>
    <s v="082SR3Q12003P01001"/>
    <s v="235g*12"/>
    <n v="12"/>
    <n v="3"/>
    <n v="6.1999999999999998E-3"/>
    <s v="BK"/>
    <s v="STPP"/>
    <s v="น้ำราดเป็ด"/>
    <n v="500"/>
    <n v="505"/>
    <m/>
    <n v="5"/>
    <n v="0"/>
    <n v="0"/>
    <m/>
    <n v="0"/>
    <m/>
    <n v="0"/>
    <n v="0"/>
  </r>
  <r>
    <s v="R"/>
    <x v="687"/>
    <d v="2026-01-05T00:00:00"/>
    <x v="1"/>
    <e v="#N/A"/>
    <x v="11"/>
    <s v="DRY2500291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1023"/>
    <n v="1023"/>
    <m/>
    <n v="0"/>
    <n v="0"/>
    <n v="0"/>
    <n v="2"/>
    <n v="0"/>
    <s v="ห่อแบบสุก"/>
    <n v="0"/>
    <n v="0"/>
  </r>
  <r>
    <s v="กัก 1559"/>
    <x v="687"/>
    <s v="12-2025"/>
    <x v="1"/>
    <e v="#N/A"/>
    <x v="11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50"/>
    <n v="50"/>
    <m/>
    <n v="0"/>
    <n v="0"/>
    <n v="0"/>
    <n v="7.4999999999999997E-3"/>
    <n v="0"/>
    <m/>
    <n v="0"/>
    <n v="0"/>
  </r>
  <r>
    <s v="กัก 1559"/>
    <x v="687"/>
    <s v="01-2026"/>
    <x v="1"/>
    <e v="#N/A"/>
    <x v="11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3723"/>
    <n v="3723"/>
    <m/>
    <n v="0"/>
    <n v="0"/>
    <n v="0"/>
    <n v="7.4999999999999997E-3"/>
    <n v="0"/>
    <m/>
    <n v="0"/>
    <n v="0"/>
  </r>
  <r>
    <s v="R"/>
    <x v="688"/>
    <d v="2025-12-24T00:00:00"/>
    <x v="1"/>
    <e v="#N/A"/>
    <x v="11"/>
    <s v="DRY2500260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396"/>
    <n v="396"/>
    <n v="6"/>
    <n v="6"/>
    <n v="0"/>
    <n v="0"/>
    <n v="2"/>
    <n v="0"/>
    <m/>
    <n v="0"/>
    <n v="0"/>
  </r>
  <r>
    <s v="R"/>
    <x v="688"/>
    <d v="2026-01-07T00:00:00"/>
    <x v="1"/>
    <e v="#N/A"/>
    <x v="11"/>
    <s v="DRY2500335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  <m/>
    <n v="0"/>
    <n v="0"/>
  </r>
  <r>
    <s v="R"/>
    <x v="688"/>
    <d v="2026-01-07T00:00:00"/>
    <x v="1"/>
    <e v="#N/A"/>
    <x v="11"/>
    <s v="DRY2500341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  <m/>
    <n v="0"/>
    <n v="0"/>
  </r>
  <r>
    <s v="R"/>
    <x v="688"/>
    <d v="2026-01-07T00:00:00"/>
    <x v="1"/>
    <e v="#N/A"/>
    <x v="11"/>
    <s v="DRY2500342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00"/>
    <n v="100"/>
    <n v="2"/>
    <n v="2"/>
    <n v="0"/>
    <n v="0"/>
    <n v="6"/>
    <n v="0"/>
    <m/>
    <n v="0"/>
    <n v="0"/>
  </r>
  <r>
    <m/>
    <x v="688"/>
    <s v="12-2025"/>
    <x v="1"/>
    <e v="#N/A"/>
    <x v="11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1"/>
    <s v="145g*12"/>
    <n v="12"/>
    <n v="5"/>
    <n v="8.0000000000000002E-3"/>
    <s v="M"/>
    <s v="STPP"/>
    <s v="Regular"/>
    <n v="1250"/>
    <n v="1250"/>
    <m/>
    <n v="0"/>
    <n v="0"/>
    <n v="0"/>
    <n v="7.4999999999999997E-3"/>
    <n v="0"/>
    <m/>
    <n v="0"/>
    <n v="0"/>
  </r>
  <r>
    <m/>
    <x v="688"/>
    <s v="01-2026"/>
    <x v="1"/>
    <e v="#N/A"/>
    <x v="11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1"/>
    <s v="145g*12"/>
    <n v="12"/>
    <n v="5"/>
    <n v="8.0000000000000002E-3"/>
    <s v="M"/>
    <s v="STPP"/>
    <s v="Regular"/>
    <n v="1498"/>
    <n v="1498"/>
    <m/>
    <n v="0"/>
    <n v="0"/>
    <n v="0"/>
    <n v="7.4999999999999997E-3"/>
    <n v="0"/>
    <m/>
    <n v="0"/>
    <n v="0"/>
  </r>
  <r>
    <m/>
    <x v="688"/>
    <s v="01-2026"/>
    <x v="1"/>
    <e v="#N/A"/>
    <x v="11"/>
    <s v="ขายภายใน"/>
    <s v="MTFS"/>
    <s v="CPFGS"/>
    <s v="ซีพีเอฟ เทรดดิ้ง"/>
    <s v="E+Wonton TY"/>
    <x v="1"/>
    <s v="เกี๊ยวกุ้งจักรพรรดิซุปต้มยำ LV CP 143g"/>
    <s v="082S83Q12005P09001"/>
    <s v="143g*12"/>
    <n v="12"/>
    <n v="5"/>
    <n v="8.0000000000000002E-3"/>
    <s v="SS"/>
    <s v="STPP"/>
    <s v="TYNSF"/>
    <n v="600"/>
    <n v="600"/>
    <m/>
    <n v="0"/>
    <n v="0"/>
    <n v="0"/>
    <n v="8.9999999999999993E-3"/>
    <n v="0"/>
    <s v="กล่อง เหลือ 240/Stk 21,000"/>
    <n v="0"/>
    <n v="0"/>
  </r>
  <r>
    <s v="กัก"/>
    <x v="688"/>
    <s v="12-2025"/>
    <x v="1"/>
    <e v="#N/A"/>
    <x v="11"/>
    <s v="ขายภายใน"/>
    <s v="MTFS"/>
    <s v="CPFGS"/>
    <s v="ซีพีเอฟ เทรดดิ้ง"/>
    <s v="E+Wonton TY"/>
    <x v="1"/>
    <s v="CPเกี๊ยวกุ้งจักรพรรดิซุปต้มยำ 429g (Multi Pack)"/>
    <s v="082S83Q18005P08001"/>
    <s v="143g*3ถ้วย*6ถุง"/>
    <n v="18"/>
    <n v="5"/>
    <n v="8.0000000000000002E-3"/>
    <s v="SS"/>
    <s v="STPP"/>
    <s v="TYNSF"/>
    <n v="2500"/>
    <m/>
    <n v="2500"/>
    <n v="0"/>
    <n v="0"/>
    <n v="0"/>
    <n v="8.9999999999999993E-3"/>
    <n v="0"/>
    <s v="ผ่าน 750 กล่อง"/>
    <n v="0"/>
    <n v="0"/>
  </r>
  <r>
    <s v="R"/>
    <x v="689"/>
    <d v="2025-12-25T00:00:00"/>
    <x v="1"/>
    <e v="#N/A"/>
    <x v="11"/>
    <s v="KL2500043"/>
    <s v="China"/>
    <s v="China"/>
    <s v="Charoen Pokphand Import&amp;Export Trading (Shanghai) Co., Ltd"/>
    <s v="R-Wonton no egg"/>
    <x v="2"/>
    <s v="Raw Wonton 12 pcs"/>
    <s v="082I95J20012P05001"/>
    <s v="154g*20in"/>
    <n v="20"/>
    <n v="12"/>
    <n v="6.8100000000000001E-3"/>
    <s v="S"/>
    <s v="Salt"/>
    <s v="ซุปซอง 5g."/>
    <n v="1386"/>
    <n v="1386"/>
    <n v="16"/>
    <n v="16"/>
    <n v="0"/>
    <n v="0"/>
    <n v="2"/>
    <n v="0"/>
    <m/>
    <n v="0"/>
    <n v="0"/>
  </r>
  <r>
    <m/>
    <x v="689"/>
    <s v="01-2026"/>
    <x v="1"/>
    <e v="#N/A"/>
    <x v="11"/>
    <s v="ขายภายใน"/>
    <s v="MTFS"/>
    <s v="CPFGS"/>
    <s v="ซีพีเอฟ เทรดดิ้ง"/>
    <s v="E+Wonton NDE"/>
    <x v="1"/>
    <s v="บะหมี่เกี๊ยวกุ้ง ตราซีพี 12X226 กรัม"/>
    <s v="082SJ3Q12003P07001"/>
    <s v="226g*12"/>
    <n v="12"/>
    <n v="3"/>
    <n v="8.0000000000000002E-3"/>
    <s v="M"/>
    <s v="STPP"/>
    <s v="Regular"/>
    <n v="500"/>
    <n v="500"/>
    <m/>
    <n v="0"/>
    <n v="0"/>
    <n v="0"/>
    <n v="7.4999999999999997E-3"/>
    <n v="0"/>
    <m/>
    <n v="0"/>
    <n v="0"/>
  </r>
  <r>
    <s v="กัก"/>
    <x v="689"/>
    <s v="01-2026"/>
    <x v="1"/>
    <e v="#N/A"/>
    <x v="11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200"/>
    <n v="200"/>
    <m/>
    <n v="0"/>
    <n v="0"/>
    <n v="0"/>
    <n v="7.4999999999999997E-3"/>
    <n v="0"/>
    <s v="กล่องเหลือ 285/STK เหลืออย่างละ 260 ดวง"/>
    <n v="0"/>
    <n v="0"/>
  </r>
  <r>
    <s v="กัก"/>
    <x v="689"/>
    <s v="01-2026"/>
    <x v="1"/>
    <e v="#N/A"/>
    <x v="11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200"/>
    <n v="200"/>
    <m/>
    <n v="0"/>
    <n v="0"/>
    <n v="0"/>
    <n v="7.4999999999999997E-3"/>
    <n v="0"/>
    <s v="กล่องเหลือ 83/Stkติดฝา 156 ดวง/Stk ติดถ้วย 990"/>
    <n v="0"/>
    <n v="0"/>
  </r>
  <r>
    <s v="ชมรมกอล์ฟ ซีพี"/>
    <x v="689"/>
    <s v="01-2026"/>
    <x v="1"/>
    <e v="#N/A"/>
    <x v="11"/>
    <s v="ขายภายใน"/>
    <s v="MTFS"/>
    <s v="CPFGS"/>
    <s v="ซีพีเอฟ เทรดดิ้ง"/>
    <s v="E+Wonton"/>
    <x v="1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n v="0"/>
    <n v="7.4999999999999997E-3"/>
    <n v="0"/>
    <m/>
    <n v="0"/>
    <n v="0"/>
  </r>
  <r>
    <s v="กัก"/>
    <x v="689"/>
    <s v="01-2026"/>
    <x v="1"/>
    <e v="#N/A"/>
    <x v="11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1"/>
    <s v="145g*12"/>
    <n v="12"/>
    <n v="5"/>
    <n v="8.0000000000000002E-3"/>
    <s v="M"/>
    <s v="STPP"/>
    <s v="Regular"/>
    <n v="2220"/>
    <n v="2220"/>
    <m/>
    <n v="0"/>
    <n v="0"/>
    <n v="0"/>
    <n v="7.4999999999999997E-3"/>
    <n v="0"/>
    <m/>
    <n v="0"/>
    <n v="0"/>
  </r>
  <r>
    <s v="กัก"/>
    <x v="689"/>
    <s v="01-2026"/>
    <x v="1"/>
    <e v="#N/A"/>
    <x v="11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1136"/>
    <n v="1136"/>
    <m/>
    <n v="0"/>
    <n v="0"/>
    <n v="0"/>
    <n v="7.4999999999999997E-3"/>
    <n v="0"/>
    <m/>
    <n v="0"/>
    <n v="0"/>
  </r>
  <r>
    <s v="กัก"/>
    <x v="689"/>
    <s v="01-2026"/>
    <x v="1"/>
    <e v="#N/A"/>
    <x v="11"/>
    <s v="ขายภายใน"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1200"/>
    <m/>
    <n v="1278"/>
    <n v="78"/>
    <n v="0"/>
    <n v="0"/>
    <n v="1"/>
    <n v="0"/>
    <m/>
    <n v="0"/>
    <n v="0"/>
  </r>
  <r>
    <s v="R"/>
    <x v="690"/>
    <d v="2026-01-05T00:00:00"/>
    <x v="1"/>
    <e v="#N/A"/>
    <x v="11"/>
    <s v="DRY2500291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955"/>
    <n v="955"/>
    <m/>
    <n v="0"/>
    <n v="0"/>
    <n v="0"/>
    <n v="2"/>
    <n v="0"/>
    <s v="ห่อแบบสุก"/>
    <n v="0"/>
    <n v="0"/>
  </r>
  <r>
    <s v="R"/>
    <x v="690"/>
    <d v="2026-01-07T00:00:00"/>
    <x v="1"/>
    <e v="#N/A"/>
    <x v="11"/>
    <s v="DRY2500293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98"/>
    <n v="98"/>
    <m/>
    <n v="0"/>
    <n v="0"/>
    <n v="0"/>
    <n v="2"/>
    <n v="0"/>
    <s v="ห่อแบบสุก"/>
    <n v="0"/>
    <n v="0"/>
  </r>
  <r>
    <s v="ชดเชยกัก/แล้วกักอีก"/>
    <x v="690"/>
    <d v="2026-01-06T00:00:00"/>
    <x v="1"/>
    <e v="#N/A"/>
    <x v="11"/>
    <s v="DRY2500284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s v="ชดเชยกัก/แล้วกักอีก"/>
    <x v="690"/>
    <d v="2026-01-06T00:00:00"/>
    <x v="1"/>
    <e v="#N/A"/>
    <x v="11"/>
    <s v="DRY2500319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m/>
    <x v="691"/>
    <m/>
    <x v="1"/>
    <e v="#N/A"/>
    <x v="11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692"/>
    <d v="2026-01-07T00:00:00"/>
    <x v="1"/>
    <e v="#N/A"/>
    <x v="11"/>
    <s v="DRY2500293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2425"/>
    <n v="2031"/>
    <n v="394"/>
    <n v="0"/>
    <n v="0"/>
    <n v="0"/>
    <n v="2"/>
    <n v="0"/>
    <s v="ห่อแบบสุก"/>
    <n v="0"/>
    <n v="0"/>
  </r>
  <r>
    <s v="R"/>
    <x v="693"/>
    <d v="2026-01-07T00:00:00"/>
    <x v="1"/>
    <e v="#N/A"/>
    <x v="11"/>
    <s v="DRY2500293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477"/>
    <n v="371"/>
    <n v="106"/>
    <n v="0"/>
    <n v="0"/>
    <n v="0"/>
    <n v="2"/>
    <n v="0"/>
    <s v="ห่อแบบสุก"/>
    <n v="0"/>
    <n v="0"/>
  </r>
  <r>
    <s v="R"/>
    <x v="693"/>
    <d v="2026-01-06T00:00:00"/>
    <x v="1"/>
    <e v="#N/A"/>
    <x v="11"/>
    <s v="DRY2500349"/>
    <s v="SG"/>
    <s v="CPFNW"/>
    <s v="CPI SINGAPORE"/>
    <s v="R-Minced egg past"/>
    <x v="2"/>
    <s v="Raw Minced Wonton 8 pcs"/>
    <s v="082ID3B18008P00001"/>
    <s v="90g*18in"/>
    <n v="18"/>
    <n v="8"/>
    <n v="6.0000000000000001E-3"/>
    <s v="BK"/>
    <s v="STPP"/>
    <s v="ซุปซอง 5g."/>
    <n v="400"/>
    <n v="400"/>
    <m/>
    <n v="0"/>
    <n v="0"/>
    <n v="0"/>
    <n v="2"/>
    <n v="0"/>
    <m/>
    <n v="0"/>
    <n v="0"/>
  </r>
  <r>
    <s v="R"/>
    <x v="693"/>
    <d v="2026-01-12T00:00:00"/>
    <x v="1"/>
    <e v="#N/A"/>
    <x v="11"/>
    <s v="DRY2500295"/>
    <s v="SG"/>
    <s v="CPFNW"/>
    <s v="CPI SINGAPORE"/>
    <s v="R-Minced egg past"/>
    <x v="2"/>
    <s v="Raw Minced Wonton 8 pcs"/>
    <s v="082ID3B18008P00001"/>
    <s v="90g*18in"/>
    <n v="18"/>
    <n v="8"/>
    <n v="6.0000000000000001E-3"/>
    <s v="BK"/>
    <s v="STPP"/>
    <s v="ซุปซอง 5g."/>
    <n v="398"/>
    <n v="398"/>
    <m/>
    <n v="0"/>
    <n v="0"/>
    <n v="0"/>
    <n v="2"/>
    <n v="0"/>
    <m/>
    <n v="0"/>
    <n v="0"/>
  </r>
  <r>
    <s v="กัก"/>
    <x v="693"/>
    <d v="2026-01-06T00:00:00"/>
    <x v="1"/>
    <e v="#N/A"/>
    <x v="11"/>
    <s v="DRY2500284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s v="กัก"/>
    <x v="693"/>
    <d v="2026-01-06T00:00:00"/>
    <x v="1"/>
    <e v="#N/A"/>
    <x v="11"/>
    <s v="DRY2500319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s v="R"/>
    <x v="694"/>
    <d v="2026-01-12T00:00:00"/>
    <x v="1"/>
    <e v="#N/A"/>
    <x v="11"/>
    <s v="DRY2500295"/>
    <s v="SG"/>
    <s v="CPFNW"/>
    <s v="CPI SINGAPORE"/>
    <s v="R-Minced egg past"/>
    <x v="2"/>
    <s v="Raw Minced Wonton 8 pcs"/>
    <s v="082ID3B18008P00001"/>
    <s v="90g*18in"/>
    <n v="18"/>
    <n v="8"/>
    <n v="6.0000000000000001E-3"/>
    <s v="BK"/>
    <s v="STPP"/>
    <s v="ซุปซอง 5g."/>
    <n v="202"/>
    <n v="202"/>
    <n v="44"/>
    <n v="44"/>
    <n v="0"/>
    <n v="0"/>
    <n v="2"/>
    <n v="0"/>
    <m/>
    <n v="0"/>
    <n v="0"/>
  </r>
  <r>
    <s v="R"/>
    <x v="694"/>
    <d v="2026-01-12T00:00:00"/>
    <x v="1"/>
    <e v="#N/A"/>
    <x v="11"/>
    <s v="DRY2500294"/>
    <s v="SG"/>
    <s v="CPFNW"/>
    <s v="CPI SINGAPORE"/>
    <s v="R-Wonton egg past"/>
    <x v="2"/>
    <s v="Raw Wonton 8 pcs"/>
    <s v="082I93B20008P00001"/>
    <s v="194g*20in"/>
    <n v="20"/>
    <n v="8"/>
    <n v="1.4999999999999999E-2"/>
    <s v="JB"/>
    <s v="STPP"/>
    <s v="ซุปซอง 5g."/>
    <n v="1000"/>
    <n v="1000"/>
    <m/>
    <n v="0"/>
    <n v="0"/>
    <n v="0"/>
    <n v="2"/>
    <n v="0"/>
    <s v="ห่อแบบดิบ"/>
    <n v="0"/>
    <n v="0"/>
  </r>
  <r>
    <s v="รีเช็คผ่าน"/>
    <x v="694"/>
    <d v="2025-12-26T00:00:00"/>
    <x v="1"/>
    <e v="#N/A"/>
    <x v="11"/>
    <s v="DRY2500307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765"/>
    <m/>
    <n v="823"/>
    <n v="58"/>
    <n v="0"/>
    <n v="0"/>
    <n v="7.4999999999999997E-3"/>
    <n v="0"/>
    <s v="new package (ลบโลโก้ Facebook)"/>
    <n v="0"/>
    <n v="0"/>
  </r>
  <r>
    <m/>
    <x v="694"/>
    <d v="2025-12-26T00:00:00"/>
    <x v="1"/>
    <e v="#N/A"/>
    <x v="11"/>
    <s v="KL2500047"/>
    <s v="China"/>
    <s v="China"/>
    <s v="Charoen Pokphand Import&amp;Export Trading (Shanghai) Co., Ltd"/>
    <s v="Wonton+TY"/>
    <x v="1"/>
    <s v="Wonton Soup  (Enriched wonton sheet)"/>
    <s v="082S85J36005P00001"/>
    <s v="147g*6c*6in"/>
    <n v="36"/>
    <n v="5"/>
    <n v="7.4999999999999997E-3"/>
    <s v="M"/>
    <s v="Salt"/>
    <s v="TYEXSG+CO"/>
    <n v="550"/>
    <n v="550"/>
    <n v="17.666666666666668"/>
    <n v="17.666666666666629"/>
    <n v="0"/>
    <n v="0"/>
    <n v="2.2419999999999999E-2"/>
    <n v="0"/>
    <m/>
    <m/>
    <m/>
  </r>
  <r>
    <s v="กัก"/>
    <x v="694"/>
    <d v="2026-01-13T00:00:00"/>
    <x v="1"/>
    <e v="#N/A"/>
    <x v="11"/>
    <s v="DRY2500329"/>
    <s v="Denmark"/>
    <s v="CPFNW"/>
    <s v="CPF DENMARK"/>
    <s v="Minced ND+V+TY"/>
    <x v="1"/>
    <s v="Cooked Minced  ND No Egg with Pumpkin_x000a_+ Yu Choy Tomyum"/>
    <s v="082SRRE12003P00001"/>
    <s v="302g*12"/>
    <n v="12"/>
    <n v="3"/>
    <n v="6.0000000000000001E-3"/>
    <s v="BK"/>
    <s v="Salt"/>
    <s v="TYEXSG+CO"/>
    <n v="2520"/>
    <n v="2520"/>
    <n v="25.583333333333332"/>
    <n v="25.583333333333485"/>
    <n v="0"/>
    <n v="0"/>
    <n v="3.8699999999999998E-2"/>
    <n v="0"/>
    <s v="rema"/>
    <n v="0"/>
    <n v="0"/>
  </r>
  <r>
    <s v="R"/>
    <x v="695"/>
    <d v="2026-01-16T00:00:00"/>
    <x v="1"/>
    <e v="#N/A"/>
    <x v="11"/>
    <s v="DRY2500296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1196"/>
    <n v="751"/>
    <n v="445"/>
    <n v="0"/>
    <n v="0"/>
    <n v="0"/>
    <n v="2"/>
    <n v="0"/>
    <s v="ห่อแบบสุก"/>
    <n v="0"/>
    <n v="0"/>
  </r>
  <r>
    <s v="กัก"/>
    <x v="695"/>
    <d v="2025-12-26T00:00:00"/>
    <x v="1"/>
    <e v="#N/A"/>
    <x v="11"/>
    <s v="KL2500046"/>
    <s v="China"/>
    <s v="China"/>
    <s v="Charoen Pokphand Import&amp;Export Trading (Shanghai) Co., Ltd"/>
    <s v="Wonton ND+V"/>
    <x v="1"/>
    <s v="Cooked Wonton ND No Egg with Pumpkin _x000a_+ Vegetable 5 pcs tomyam"/>
    <s v="082SJ5J36005P00001"/>
    <s v="308g*6c*6in"/>
    <n v="36"/>
    <n v="5"/>
    <n v="7.4999999999999997E-3"/>
    <s v="HC"/>
    <s v="Salt"/>
    <s v="Y3"/>
    <n v="450"/>
    <n v="450"/>
    <m/>
    <n v="0"/>
    <n v="0"/>
    <n v="0"/>
    <n v="9.7000000000000003E-3"/>
    <n v="0"/>
    <s v="INNERใหม่ / กล่องใหม่"/>
    <m/>
    <m/>
  </r>
  <r>
    <s v="รีเช็คผ่าน"/>
    <x v="695"/>
    <d v="2026-01-22T00:00:00"/>
    <x v="1"/>
    <e v="#N/A"/>
    <x v="11"/>
    <s v="DRY2500353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s v="รีเช็คผ่าน186"/>
    <x v="695"/>
    <d v="2026-01-29T00:00:00"/>
    <x v="1"/>
    <e v="#N/A"/>
    <x v="11"/>
    <s v="DRY2500355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62"/>
    <n v="30"/>
    <n v="0"/>
    <n v="0"/>
    <n v="0"/>
    <n v="7.4999999999999997E-3"/>
    <n v="0"/>
    <m/>
    <n v="0"/>
    <n v="0"/>
  </r>
  <r>
    <s v="กัก"/>
    <x v="695"/>
    <d v="2026-01-15T00:00:00"/>
    <x v="1"/>
    <e v="#N/A"/>
    <x v="11"/>
    <s v="DRY2500354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SG+CO"/>
    <n v="924"/>
    <n v="924"/>
    <n v="31.416666666666668"/>
    <n v="31.416666666666629"/>
    <n v="0"/>
    <n v="0"/>
    <n v="3.8699999999999998E-2"/>
    <n v="0"/>
    <s v="1436 ถ้วย NZ"/>
    <n v="0"/>
    <n v="0"/>
  </r>
  <r>
    <s v="R"/>
    <x v="696"/>
    <d v="2026-01-16T00:00:00"/>
    <x v="1"/>
    <e v="#N/A"/>
    <x v="11"/>
    <s v="DRY2500296"/>
    <s v="SG"/>
    <s v="CPFNW"/>
    <s v="CPI SINGAPORE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804"/>
    <n v="717"/>
    <n v="87"/>
    <n v="0"/>
    <n v="0"/>
    <n v="0"/>
    <n v="2"/>
    <n v="0"/>
    <s v="ห่อแบบสุก"/>
    <n v="0"/>
    <n v="0"/>
  </r>
  <r>
    <s v="กัก 2328"/>
    <x v="696"/>
    <s v="01-2026"/>
    <x v="1"/>
    <e v="#N/A"/>
    <x v="11"/>
    <s v="ขายภายใน"/>
    <s v=".7-11"/>
    <s v="CPFGS"/>
    <s v="STK ตรุษจีน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3778"/>
    <n v="3778"/>
    <m/>
    <n v="0"/>
    <n v="0"/>
    <n v="0"/>
    <n v="7.4999999999999997E-3"/>
    <n v="0"/>
    <s v="104500 ถ้วย"/>
    <n v="0"/>
    <n v="0"/>
  </r>
  <r>
    <m/>
    <x v="697"/>
    <m/>
    <x v="1"/>
    <e v="#N/A"/>
    <x v="11"/>
    <m/>
    <m/>
    <m/>
    <m/>
    <m/>
    <x v="0"/>
    <s v="กิจกรรมปลูกป่า ความปลอดภัย"/>
    <m/>
    <m/>
    <m/>
    <m/>
    <m/>
    <m/>
    <m/>
    <m/>
    <m/>
    <m/>
    <m/>
    <m/>
    <m/>
    <n v="0"/>
    <m/>
    <m/>
    <m/>
    <m/>
    <m/>
  </r>
  <r>
    <m/>
    <x v="698"/>
    <m/>
    <x v="1"/>
    <e v="#N/A"/>
    <x v="11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699"/>
    <m/>
    <x v="1"/>
    <e v="#N/A"/>
    <x v="11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700"/>
    <m/>
    <x v="1"/>
    <e v="#N/A"/>
    <x v="11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701"/>
    <m/>
    <x v="1"/>
    <e v="#N/A"/>
    <x v="11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702"/>
    <m/>
    <x v="2"/>
    <e v="#N/A"/>
    <x v="0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703"/>
    <m/>
    <x v="2"/>
    <e v="#N/A"/>
    <x v="0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704"/>
    <m/>
    <x v="2"/>
    <e v="#N/A"/>
    <x v="0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705"/>
    <m/>
    <x v="2"/>
    <e v="#N/A"/>
    <x v="0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706"/>
    <d v="2026-01-15T00:00:00"/>
    <x v="2"/>
    <e v="#N/A"/>
    <x v="0"/>
    <s v="DRY2500346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349"/>
    <n v="339"/>
    <n v="10"/>
    <n v="0"/>
    <n v="0"/>
    <n v="0"/>
    <n v="6"/>
    <n v="0"/>
    <m/>
    <n v="0"/>
    <n v="0"/>
  </r>
  <r>
    <s v="R"/>
    <x v="707"/>
    <d v="2026-01-15T00:00:00"/>
    <x v="2"/>
    <e v="#N/A"/>
    <x v="0"/>
    <s v="DRY2500346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354"/>
    <n v="354"/>
    <m/>
    <n v="0"/>
    <n v="0"/>
    <n v="0"/>
    <n v="6"/>
    <n v="0"/>
    <m/>
    <n v="0"/>
    <n v="0"/>
  </r>
  <r>
    <s v="R"/>
    <x v="708"/>
    <d v="2026-01-15T00:00:00"/>
    <x v="2"/>
    <e v="#N/A"/>
    <x v="0"/>
    <s v="DRY2500346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337"/>
    <n v="337"/>
    <m/>
    <n v="0"/>
    <n v="0"/>
    <n v="0"/>
    <n v="6"/>
    <n v="0"/>
    <m/>
    <n v="0"/>
    <n v="0"/>
  </r>
  <r>
    <s v="R"/>
    <x v="708"/>
    <d v="2026-01-16T00:00:00"/>
    <x v="2"/>
    <e v="#N/A"/>
    <x v="0"/>
    <s v="DRY2500298"/>
    <s v="SG"/>
    <s v="CPFNW"/>
    <s v="CP FOODS SINGAPORE PTE. LTD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275"/>
    <n v="238"/>
    <n v="37"/>
    <n v="0"/>
    <n v="0"/>
    <n v="0"/>
    <n v="2"/>
    <n v="0"/>
    <s v="ห่อแบบสุก"/>
    <n v="0"/>
    <n v="0"/>
  </r>
  <r>
    <s v="R"/>
    <x v="709"/>
    <d v="2026-01-16T00:00:00"/>
    <x v="2"/>
    <e v="#N/A"/>
    <x v="0"/>
    <s v="DRY2500298"/>
    <s v="SG"/>
    <s v="CPFNW"/>
    <s v="CP FOODS SINGAPORE PTE. LTD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725"/>
    <n v="504"/>
    <n v="221"/>
    <n v="0"/>
    <n v="0"/>
    <n v="0"/>
    <n v="2"/>
    <n v="0"/>
    <s v="ห่อแบบสุก"/>
    <n v="0"/>
    <n v="0"/>
  </r>
  <r>
    <s v="R"/>
    <x v="709"/>
    <d v="2026-01-14T00:00:00"/>
    <x v="2"/>
    <e v="#N/A"/>
    <x v="0"/>
    <s v="DRY2500297"/>
    <s v="SG"/>
    <s v="CPFNW"/>
    <s v="CP FOODS SINGAPORE PTE. LTD"/>
    <s v="R-Wonton egg past"/>
    <x v="2"/>
    <s v="Raw Wonton 12 pcs with sesame"/>
    <s v="082I93B20012P02001"/>
    <s v="204g*20in"/>
    <n v="20"/>
    <n v="12"/>
    <n v="6.8100000000000001E-3"/>
    <s v="S"/>
    <s v="STPP"/>
    <s v=" sesame 30g"/>
    <n v="1200"/>
    <n v="425"/>
    <n v="778"/>
    <n v="3"/>
    <n v="0"/>
    <n v="0"/>
    <n v="2"/>
    <n v="0"/>
    <s v="ห่อแบบดิบ"/>
    <m/>
    <m/>
  </r>
  <r>
    <s v="R"/>
    <x v="709"/>
    <d v="2026-02-18T00:00:00"/>
    <x v="2"/>
    <e v="#N/A"/>
    <x v="0"/>
    <s v="DRY2500348"/>
    <s v="SG"/>
    <s v="CPFNW"/>
    <s v="CP FOODS SINGAPORE PTE. LTD"/>
    <s v="R-Wonton egg past"/>
    <x v="2"/>
    <s v="Raw Wonton 8 pcs (Tomyam 30g.)"/>
    <s v="082I93B18008P01001"/>
    <s v="126g*18in"/>
    <n v="18"/>
    <n v="8"/>
    <n v="6.8100000000000001E-3"/>
    <s v="S"/>
    <s v="STPP"/>
    <s v="TYTB3C 30G"/>
    <n v="500"/>
    <n v="500"/>
    <m/>
    <n v="0"/>
    <n v="0"/>
    <n v="0"/>
    <n v="1"/>
    <n v="0"/>
    <m/>
    <n v="0"/>
    <n v="0"/>
  </r>
  <r>
    <s v="R"/>
    <x v="710"/>
    <s v="01-2026"/>
    <x v="2"/>
    <e v="#N/A"/>
    <x v="0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s v="-"/>
    <n v="700"/>
    <n v="700"/>
    <m/>
    <n v="0"/>
    <n v="0"/>
    <n v="0"/>
    <m/>
    <n v="0"/>
    <m/>
    <n v="0"/>
    <n v="0"/>
  </r>
  <r>
    <s v="ชดเชยกัก"/>
    <x v="711"/>
    <d v="2026-01-14T00:00:00"/>
    <x v="2"/>
    <e v="#N/A"/>
    <x v="0"/>
    <s v="DRY2500350"/>
    <s v="SG"/>
    <s v="CPFNW"/>
    <s v="CP FOODS SINGAPORE PTE. LTD"/>
    <s v="Wonton +TY"/>
    <x v="1"/>
    <s v="Cooked Wonton No Egg"/>
    <s v="082S83B24005P06001"/>
    <s v="115g*24"/>
    <n v="24"/>
    <n v="5"/>
    <n v="8.0000000000000002E-3"/>
    <s v="M"/>
    <s v="STPP"/>
    <s v="TYTB3C 30G"/>
    <n v="500"/>
    <m/>
    <n v="500"/>
    <n v="0"/>
    <n v="0"/>
    <n v="0"/>
    <n v="1"/>
    <n v="0"/>
    <m/>
    <n v="0"/>
    <n v="0"/>
  </r>
  <r>
    <s v="ชดเชยกัก"/>
    <x v="711"/>
    <d v="2026-01-13T00:00:00"/>
    <x v="2"/>
    <e v="#N/A"/>
    <x v="0"/>
    <s v="DRY2500284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830"/>
    <n v="458"/>
    <n v="0"/>
    <n v="0"/>
    <n v="0"/>
    <n v="7.4999999999999997E-3"/>
    <n v="0"/>
    <s v="ถ้าว,ฝา สีขาว/Halal/ New Design   สวมผลิต 05/01/26"/>
    <n v="0"/>
    <n v="0"/>
  </r>
  <r>
    <s v="ชดเชยกัก"/>
    <x v="711"/>
    <d v="2026-01-13T00:00:00"/>
    <x v="2"/>
    <e v="#N/A"/>
    <x v="0"/>
    <s v="DRY2500319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749"/>
    <m/>
    <n v="749"/>
    <n v="0"/>
    <n v="0"/>
    <n v="0"/>
    <n v="7.4999999999999997E-3"/>
    <n v="0"/>
    <s v="ถ้าว,ฝา สีขาว/Halal/ New Design   สวมผลิต 05/01/26"/>
    <n v="0"/>
    <n v="0"/>
  </r>
  <r>
    <s v="ชดเชยกัก"/>
    <x v="712"/>
    <d v="2026-01-13T00:00:00"/>
    <x v="2"/>
    <e v="#N/A"/>
    <x v="0"/>
    <s v="DRY2500319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539"/>
    <n v="500"/>
    <n v="39"/>
    <n v="0"/>
    <n v="0"/>
    <n v="0"/>
    <n v="7.4999999999999997E-3"/>
    <n v="0"/>
    <s v="ถ้าว,ฝา สีขาว/Halal/ New Design   สวมผลิต 05/01/26"/>
    <n v="0"/>
    <n v="0"/>
  </r>
  <r>
    <s v="ชดเชยกัก"/>
    <x v="712"/>
    <d v="2026-01-13T00:00:00"/>
    <x v="2"/>
    <e v="#N/A"/>
    <x v="0"/>
    <s v="DRY2500320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ถ้าว,ฝา สีขาว/Halal/ New Design   สวมผลิต 06/01/26"/>
    <n v="0"/>
    <n v="0"/>
  </r>
  <r>
    <s v="ชดเชยกัก"/>
    <x v="712"/>
    <d v="2026-01-13T00:00:00"/>
    <x v="2"/>
    <e v="#N/A"/>
    <x v="0"/>
    <s v="DRY2500321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297"/>
    <n v="297"/>
    <m/>
    <n v="0"/>
    <n v="0"/>
    <n v="0"/>
    <n v="7.4999999999999997E-3"/>
    <n v="0"/>
    <s v="ถ้าว,ฝา สีขาว/Halal/ New Design   สวมผลิต 06/01/26"/>
    <n v="0"/>
    <n v="0"/>
  </r>
  <r>
    <s v="R"/>
    <x v="713"/>
    <d v="2026-01-20T00:00:00"/>
    <x v="2"/>
    <e v="#N/A"/>
    <x v="0"/>
    <s v="KL2500044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791"/>
    <n v="791"/>
    <m/>
    <n v="0"/>
    <n v="0"/>
    <n v="0"/>
    <n v="6"/>
    <n v="0"/>
    <m/>
    <n v="0"/>
    <n v="0"/>
  </r>
  <r>
    <s v="ชดเชยกัก"/>
    <x v="713"/>
    <d v="2026-01-13T00:00:00"/>
    <x v="2"/>
    <e v="#N/A"/>
    <x v="0"/>
    <s v="DRY2500321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991"/>
    <n v="991"/>
    <m/>
    <n v="0"/>
    <n v="0"/>
    <n v="0"/>
    <n v="7.4999999999999997E-3"/>
    <n v="0"/>
    <s v="ถ้าว,ฝา สีขาว/Halal/ New Design   สวมผลิต 06/01/26"/>
    <n v="0"/>
    <n v="0"/>
  </r>
  <r>
    <s v="ชดเชยกัก"/>
    <x v="713"/>
    <d v="2026-01-13T00:00:00"/>
    <x v="2"/>
    <e v="#N/A"/>
    <x v="0"/>
    <s v="DRY2500284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87"/>
    <n v="87"/>
    <m/>
    <n v="0"/>
    <n v="0"/>
    <n v="0"/>
    <n v="7.4999999999999997E-3"/>
    <n v="0"/>
    <s v="ถ้าว,ฝา สีขาว/Halal/ New Design   สวมผลิต 05/01/26"/>
    <n v="0"/>
    <n v="0"/>
  </r>
  <r>
    <s v="ชดเชยกัก"/>
    <x v="713"/>
    <s v="01-2026"/>
    <x v="2"/>
    <e v="#N/A"/>
    <x v="0"/>
    <s v="ขายภายใน"/>
    <s v=".7-11"/>
    <s v="CPFGS"/>
    <s v="STK ตรุษจีน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988"/>
    <n v="877"/>
    <n v="111"/>
    <n v="0"/>
    <n v="0"/>
    <n v="0"/>
    <n v="7.4999999999999997E-3"/>
    <n v="0"/>
    <s v="104500 ถ้วย"/>
    <n v="0"/>
    <n v="0"/>
  </r>
  <r>
    <s v="R"/>
    <x v="714"/>
    <d v="2026-01-20T00:00:00"/>
    <x v="2"/>
    <e v="#N/A"/>
    <x v="0"/>
    <s v="KL2500044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617"/>
    <n v="617"/>
    <m/>
    <n v="0"/>
    <n v="0"/>
    <n v="0"/>
    <n v="6"/>
    <n v="0"/>
    <m/>
    <n v="0"/>
    <n v="0"/>
  </r>
  <r>
    <s v="ชดเชยกัก"/>
    <x v="713"/>
    <d v="2026-01-13T00:00:00"/>
    <x v="2"/>
    <e v="#N/A"/>
    <x v="0"/>
    <s v="DRY2500284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63"/>
    <n v="163"/>
    <m/>
    <n v="0"/>
    <n v="0"/>
    <n v="0"/>
    <n v="7.4999999999999997E-3"/>
    <n v="0"/>
    <s v="ถ้าว,ฝา สีขาว/Halal/ New Design   สวมผลิต 06/01/26"/>
    <n v="0"/>
    <n v="0"/>
  </r>
  <r>
    <m/>
    <x v="714"/>
    <d v="2026-01-22T00:00:00"/>
    <x v="2"/>
    <e v="#N/A"/>
    <x v="0"/>
    <s v="DRY2500369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85"/>
    <n v="41.861111111111114"/>
    <n v="38.861111111111086"/>
    <n v="0"/>
    <n v="0"/>
    <n v="7.4999999999999997E-3"/>
    <n v="0"/>
    <m/>
    <n v="0"/>
    <n v="0"/>
  </r>
  <r>
    <m/>
    <x v="714"/>
    <d v="2026-01-22T00:00:00"/>
    <x v="2"/>
    <e v="#N/A"/>
    <x v="0"/>
    <s v="DRY2500378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5000"/>
    <m/>
    <n v="5255"/>
    <n v="255"/>
    <n v="0"/>
    <n v="0"/>
    <n v="7.4999999999999997E-3"/>
    <n v="0"/>
    <s v="816 ถ้วยของ pack36"/>
    <n v="0"/>
    <n v="0"/>
  </r>
  <r>
    <s v="R"/>
    <x v="715"/>
    <d v="2026-01-23T00:00:00"/>
    <x v="2"/>
    <e v="#N/A"/>
    <x v="0"/>
    <s v="KL2500045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824"/>
    <n v="808"/>
    <n v="16"/>
    <n v="0"/>
    <n v="0"/>
    <n v="0"/>
    <n v="6"/>
    <n v="0"/>
    <m/>
    <n v="0"/>
    <n v="0"/>
  </r>
  <r>
    <s v="ชดเชยกัก"/>
    <x v="715"/>
    <d v="2026-01-19T00:00:00"/>
    <x v="2"/>
    <e v="#N/A"/>
    <x v="0"/>
    <s v="DRY2500307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765"/>
    <m/>
    <n v="813.33333333333337"/>
    <n v="48.333333333333371"/>
    <n v="0"/>
    <n v="0"/>
    <n v="7.4999999999999997E-3"/>
    <n v="0"/>
    <s v="new package (ลบโลโก้ Facebook)"/>
    <n v="0"/>
    <n v="0"/>
  </r>
  <r>
    <m/>
    <x v="715"/>
    <d v="2026-01-23T00:00:00"/>
    <x v="2"/>
    <e v="#N/A"/>
    <x v="0"/>
    <s v="DRY2500151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62"/>
    <n v="762"/>
    <m/>
    <n v="0"/>
    <n v="0"/>
    <n v="0"/>
    <n v="9.7000000000000003E-3"/>
    <n v="0"/>
    <s v="580 ถ้วย"/>
    <n v="0"/>
    <n v="0"/>
  </r>
  <r>
    <m/>
    <x v="715"/>
    <d v="2026-01-23T00:00:00"/>
    <x v="2"/>
    <e v="#N/A"/>
    <x v="0"/>
    <s v="DRY2500152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s v="ชดเชยกัก"/>
    <x v="715"/>
    <d v="2026-01-21T00:00:00"/>
    <x v="2"/>
    <e v="#N/A"/>
    <x v="0"/>
    <s v="KL2600001"/>
    <s v="China"/>
    <s v="China"/>
    <s v="Charoen Pokphand Import&amp;Export Trading (Shanghai) Co., Ltd"/>
    <s v="Wonton ND+V"/>
    <x v="1"/>
    <s v="Cooked Wonton ND No Egg with Pumpkin _x000a_+ Vegetable 5 pcs tomyam"/>
    <s v="082SJ5J36005P00001"/>
    <s v="308g*6c*6in"/>
    <n v="36"/>
    <n v="5"/>
    <n v="7.4999999999999997E-3"/>
    <s v="HC"/>
    <s v="Salt"/>
    <s v="Y3"/>
    <n v="320"/>
    <m/>
    <n v="348.75"/>
    <n v="28.75"/>
    <n v="0"/>
    <n v="0"/>
    <n v="9.7000000000000003E-3"/>
    <n v="0"/>
    <s v="INNERใหม่ / กล่องใหม่"/>
    <m/>
    <m/>
  </r>
  <r>
    <s v="R"/>
    <x v="716"/>
    <d v="2026-01-23T00:00:00"/>
    <x v="2"/>
    <e v="#N/A"/>
    <x v="0"/>
    <s v="KL2500045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584"/>
    <n v="584"/>
    <m/>
    <n v="0"/>
    <n v="0"/>
    <n v="0"/>
    <n v="6"/>
    <n v="0"/>
    <m/>
    <n v="0"/>
    <n v="0"/>
  </r>
  <r>
    <s v="ชดเชยกัก"/>
    <x v="716"/>
    <s v="01-2026"/>
    <x v="2"/>
    <e v="#N/A"/>
    <x v="0"/>
    <s v="ขายภายใน"/>
    <s v=".7-11"/>
    <s v="CPFGS"/>
    <s v="STK ตรุษจีน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340"/>
    <n v="1340"/>
    <m/>
    <n v="0"/>
    <n v="0"/>
    <n v="0"/>
    <n v="7.4999999999999997E-3"/>
    <n v="0"/>
    <s v="104500 ถ้วย"/>
    <n v="0"/>
    <n v="0"/>
  </r>
  <r>
    <m/>
    <x v="716"/>
    <s v="01-2026"/>
    <x v="2"/>
    <e v="#N/A"/>
    <x v="0"/>
    <s v="ขายภายใน"/>
    <s v=".7-11"/>
    <s v="CPFGS"/>
    <s v="STK ตรุษจีน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035"/>
    <n v="1035"/>
    <m/>
    <n v="0"/>
    <n v="0"/>
    <n v="0"/>
    <n v="7.4999999999999997E-3"/>
    <n v="0"/>
    <m/>
    <n v="0"/>
    <n v="0"/>
  </r>
  <r>
    <s v="ชดเชยกัก"/>
    <x v="717"/>
    <s v="01-2026"/>
    <x v="2"/>
    <e v="#N/A"/>
    <x v="0"/>
    <s v="ขายภายใน"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1200"/>
    <m/>
    <n v="1271.6666666666667"/>
    <n v="71.666666666666742"/>
    <n v="0"/>
    <n v="0"/>
    <n v="1"/>
    <n v="0"/>
    <m/>
    <n v="0"/>
    <n v="0"/>
  </r>
  <r>
    <s v="ชดเชยกัก"/>
    <x v="717"/>
    <s v="01-2026"/>
    <x v="2"/>
    <e v="#N/A"/>
    <x v="0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1136"/>
    <n v="1136"/>
    <m/>
    <n v="0"/>
    <n v="0"/>
    <n v="0"/>
    <n v="7.4999999999999997E-3"/>
    <n v="0"/>
    <m/>
    <n v="0"/>
    <n v="0"/>
  </r>
  <r>
    <s v="ชดเชยกัก"/>
    <x v="717"/>
    <s v="01-2026"/>
    <x v="2"/>
    <e v="#N/A"/>
    <x v="0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704"/>
    <n v="704"/>
    <m/>
    <n v="0"/>
    <n v="0"/>
    <n v="0"/>
    <n v="7.4999999999999997E-3"/>
    <n v="0"/>
    <m/>
    <n v="0"/>
    <n v="0"/>
  </r>
  <r>
    <s v="ชดเชยกัก"/>
    <x v="717"/>
    <s v="12-2025"/>
    <x v="2"/>
    <e v="#N/A"/>
    <x v="0"/>
    <s v="ขายภายใน"/>
    <s v="MTFS"/>
    <s v="CPFGS"/>
    <s v="ซีพีเอฟ เทรดดิ้ง"/>
    <s v="E+Wonton TY"/>
    <x v="1"/>
    <s v="CPเกี๊ยวกุ้งจักรพรรดิซุปต้มยำ 429g (Multi Pack)"/>
    <s v="082S83Q18005P08001"/>
    <s v="143g*3ถ้วย*6ถุง"/>
    <n v="18"/>
    <n v="5"/>
    <n v="8.0000000000000002E-3"/>
    <s v="SS"/>
    <s v="STPP"/>
    <s v="TYNSF"/>
    <n v="1750"/>
    <m/>
    <n v="1750"/>
    <n v="0"/>
    <n v="0"/>
    <n v="0"/>
    <n v="8.9999999999999993E-3"/>
    <n v="0"/>
    <s v="ผ่าน 750 กล่อง"/>
    <n v="0"/>
    <n v="0"/>
  </r>
  <r>
    <s v="ชดเชยกัก"/>
    <x v="718"/>
    <d v="2026-01-20T00:00:00"/>
    <x v="2"/>
    <e v="#N/A"/>
    <x v="0"/>
    <s v="DRY2500322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ถ้าว,ฝา สีขาว/Halal/ New Design   สวมผลิต 12/01/26"/>
    <n v="0"/>
    <n v="0"/>
  </r>
  <r>
    <s v="ชดเชยกัก"/>
    <x v="718"/>
    <d v="2026-01-20T00:00:00"/>
    <x v="2"/>
    <e v="#N/A"/>
    <x v="0"/>
    <s v="DRY2500323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777"/>
    <n v="673.16666666666663"/>
    <n v="162.16666666666652"/>
    <n v="0"/>
    <n v="0"/>
    <n v="7.4999999999999997E-3"/>
    <n v="0"/>
    <s v="ถ้าว,ฝา สีขาว/Halal/ New Design   สวมผลิต 12/01/26"/>
    <n v="0"/>
    <n v="0"/>
  </r>
  <r>
    <s v="ชดเชยกัก"/>
    <x v="718"/>
    <s v="01-2026"/>
    <x v="2"/>
    <e v="#N/A"/>
    <x v="0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1"/>
    <s v="145g*12"/>
    <n v="12"/>
    <n v="5"/>
    <n v="8.0000000000000002E-3"/>
    <s v="M"/>
    <s v="STPP"/>
    <s v="Regular"/>
    <n v="2220"/>
    <n v="2220"/>
    <m/>
    <n v="0"/>
    <n v="0"/>
    <n v="0"/>
    <n v="7.4999999999999997E-3"/>
    <n v="0"/>
    <m/>
    <n v="0"/>
    <n v="0"/>
  </r>
  <r>
    <m/>
    <x v="718"/>
    <s v="01-2026"/>
    <x v="2"/>
    <e v="#N/A"/>
    <x v="0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1"/>
    <s v="145g*12"/>
    <n v="12"/>
    <n v="5"/>
    <n v="8.0000000000000002E-3"/>
    <s v="M"/>
    <s v="STPP"/>
    <s v="Regular"/>
    <n v="32"/>
    <n v="32"/>
    <m/>
    <n v="0"/>
    <n v="0"/>
    <n v="0"/>
    <n v="7.4999999999999997E-3"/>
    <n v="0"/>
    <m/>
    <n v="0"/>
    <n v="0"/>
  </r>
  <r>
    <s v="ชดเชยกัก"/>
    <x v="718"/>
    <s v="01-2026"/>
    <x v="2"/>
    <e v="#N/A"/>
    <x v="0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855"/>
    <n v="855"/>
    <m/>
    <n v="0"/>
    <n v="0"/>
    <n v="0"/>
    <n v="7.4999999999999997E-3"/>
    <n v="0"/>
    <m/>
    <n v="0"/>
    <n v="0"/>
  </r>
  <r>
    <m/>
    <x v="718"/>
    <s v="01-2026"/>
    <x v="2"/>
    <e v="#N/A"/>
    <x v="0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654"/>
    <n v="654"/>
    <m/>
    <n v="0"/>
    <n v="0"/>
    <n v="0"/>
    <n v="7.4999999999999997E-3"/>
    <n v="0"/>
    <s v="กล่อง 1000/Stk 23,900"/>
    <n v="0"/>
    <n v="0"/>
  </r>
  <r>
    <m/>
    <x v="718"/>
    <s v="01-2026"/>
    <x v="2"/>
    <e v="#N/A"/>
    <x v="0"/>
    <s v="ขายภายใน"/>
    <s v="MTFS"/>
    <s v="CPFGS"/>
    <s v="ซีพีเอฟ เทรดดิ้ง"/>
    <s v="E+Wonton NDE"/>
    <x v="1"/>
    <s v="บะหมี่เกี๊ยวกุ้ง ตราซีพี 12X226 กรัม"/>
    <s v="082SJ3Q12003P07001"/>
    <s v="226g*12"/>
    <n v="12"/>
    <n v="3"/>
    <n v="8.0000000000000002E-3"/>
    <s v="M"/>
    <s v="STPP"/>
    <s v="Regular"/>
    <n v="500"/>
    <n v="500"/>
    <m/>
    <n v="0"/>
    <n v="0"/>
    <n v="0"/>
    <n v="7.4999999999999997E-3"/>
    <n v="0"/>
    <m/>
    <n v="0"/>
    <n v="0"/>
  </r>
  <r>
    <m/>
    <x v="719"/>
    <m/>
    <x v="2"/>
    <e v="#N/A"/>
    <x v="0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720"/>
    <s v="01-2026"/>
    <x v="2"/>
    <e v="#N/A"/>
    <x v="0"/>
    <s v="ขายภายใน"/>
    <s v=".7-11"/>
    <s v="CPFGS"/>
    <s v="STK ตรุษจีน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868"/>
    <n v="868"/>
    <m/>
    <n v="0"/>
    <n v="0"/>
    <n v="0"/>
    <n v="7.4999999999999997E-3"/>
    <n v="0"/>
    <m/>
    <n v="0"/>
    <n v="0"/>
  </r>
  <r>
    <s v="ชดเชยกัก"/>
    <x v="720"/>
    <d v="2026-01-29T00:00:00"/>
    <x v="2"/>
    <e v="#N/A"/>
    <x v="0"/>
    <s v="DRY2500353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m/>
    <n v="792.30555555555554"/>
    <n v="0.30555555555554292"/>
    <n v="0"/>
    <n v="0"/>
    <n v="7.4999999999999997E-3"/>
    <n v="0"/>
    <m/>
    <n v="0"/>
    <n v="0"/>
  </r>
  <r>
    <m/>
    <x v="720"/>
    <d v="2026-02-10T00:00:00"/>
    <x v="2"/>
    <e v="#N/A"/>
    <x v="0"/>
    <s v="DRY2500385"/>
    <s v="Germany"/>
    <s v="CPFNW"/>
    <s v=" CPF Distribution (under Paulsen Food)"/>
    <s v="Wonton ND+V"/>
    <x v="1"/>
    <s v="Cooked Wonton ND No Egg with Pumpkin _x000a_+ Vegetable  HC  3 pcs"/>
    <s v="082SJ3N12003P02001"/>
    <s v="309g*12"/>
    <n v="12"/>
    <n v="3"/>
    <n v="6.8100000000000001E-3"/>
    <s v="S"/>
    <s v="Salt"/>
    <s v="Regular"/>
    <n v="2278"/>
    <m/>
    <n v="2374.3333333333335"/>
    <n v="96.333333333333485"/>
    <n v="0"/>
    <n v="0"/>
    <n v="9.7000000000000003E-3"/>
    <n v="0"/>
    <s v="NEWPACKAGE"/>
    <n v="0"/>
    <n v="0"/>
  </r>
  <r>
    <m/>
    <x v="720"/>
    <d v="2026-02-03T00:00:00"/>
    <x v="2"/>
    <e v="#N/A"/>
    <x v="0"/>
    <s v="DRY2500356"/>
    <s v="Denmark"/>
    <s v="CPFNW"/>
    <s v="CPF DENMARK"/>
    <s v="Minced ND+V+TK"/>
    <x v="1"/>
    <s v="Cooked Minced  ND No Egg with Pumpkin_x000a_+ Yu Choy Tomyum"/>
    <s v="082SJKW08003P01001"/>
    <s v="302g*8"/>
    <n v="8"/>
    <n v="3"/>
    <n v="6.0000000000000001E-3"/>
    <s v="BK"/>
    <s v="Salt"/>
    <s v="Tomkha+CM"/>
    <n v="3500"/>
    <m/>
    <n v="3509.5"/>
    <n v="9.5"/>
    <n v="0"/>
    <n v="0"/>
    <n v="5.8823E-2"/>
    <n v="0"/>
    <m/>
    <n v="0"/>
    <n v="0"/>
  </r>
  <r>
    <m/>
    <x v="720"/>
    <d v="2026-02-11T00:00:00"/>
    <x v="2"/>
    <e v="#N/A"/>
    <x v="0"/>
    <s v="DRY2500386"/>
    <s v="Germany"/>
    <s v="CPFNW"/>
    <s v=" CPF Distribution (under Paulsen Food)"/>
    <s v="Minced ND+V+TK"/>
    <x v="1"/>
    <s v="Cooked Minced  ND No Egg with Pumpkin_x000a_+ Yu Choy Tomkha"/>
    <s v="082SR3N12003P01001"/>
    <s v="302g*12"/>
    <n v="12"/>
    <n v="3"/>
    <n v="6.0000000000000001E-3"/>
    <s v="BK"/>
    <s v="Salt"/>
    <s v="Tomkha+CM"/>
    <n v="1139"/>
    <m/>
    <n v="1139"/>
    <n v="0"/>
    <n v="0"/>
    <n v="0"/>
    <n v="5.8823E-2"/>
    <n v="0"/>
    <s v="NEWPACKAGE"/>
    <n v="0"/>
    <n v="0"/>
  </r>
  <r>
    <m/>
    <x v="721"/>
    <d v="2026-01-29T00:00:00"/>
    <x v="2"/>
    <e v="#N/A"/>
    <x v="0"/>
    <s v="DRY2500370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n v="0"/>
    <n v="7.4999999999999997E-3"/>
    <n v="0"/>
    <m/>
    <n v="0"/>
    <n v="0"/>
  </r>
  <r>
    <m/>
    <x v="721"/>
    <s v="01-2026"/>
    <x v="2"/>
    <e v="#N/A"/>
    <x v="0"/>
    <s v="ขายภายใน"/>
    <s v=".7-11"/>
    <s v="CPFGS"/>
    <s v="STK ตรุษจีน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444"/>
    <n v="1444"/>
    <m/>
    <n v="0"/>
    <n v="0"/>
    <n v="0"/>
    <n v="7.4999999999999997E-3"/>
    <n v="0"/>
    <m/>
    <n v="0"/>
    <n v="0"/>
  </r>
  <r>
    <s v="ชดเชยกัก"/>
    <x v="721"/>
    <d v="2026-01-27T00:00:00"/>
    <x v="2"/>
    <e v="#N/A"/>
    <x v="0"/>
    <s v="DRY2500329"/>
    <s v="Denmark"/>
    <s v="CPFNW"/>
    <s v="CPF DENMARK"/>
    <s v="Minced ND+V+TY"/>
    <x v="1"/>
    <s v="Cooked Minced  ND No Egg with Pumpkin_x000a_+ Yu Choy Tomyum"/>
    <s v="082SRRE12003P00001"/>
    <s v="302g*12"/>
    <n v="12"/>
    <n v="3"/>
    <n v="6.0000000000000001E-3"/>
    <s v="BK"/>
    <s v="Salt"/>
    <s v="TYEXSG+CO"/>
    <n v="2520"/>
    <n v="1979"/>
    <n v="556.16666666666663"/>
    <n v="15.166666666666515"/>
    <n v="0"/>
    <n v="0"/>
    <n v="3.8699999999999998E-2"/>
    <n v="0"/>
    <s v="rema  T683580303  ของรีแพ็ค"/>
    <n v="0"/>
    <n v="0"/>
  </r>
  <r>
    <s v="ชดเชยกัก"/>
    <x v="721"/>
    <d v="2026-01-29T00:00:00"/>
    <x v="2"/>
    <e v="#N/A"/>
    <x v="0"/>
    <s v="DRY2500354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SG+CO"/>
    <n v="133"/>
    <m/>
    <n v="133.54166666666666"/>
    <n v="0.54166666666665719"/>
    <n v="0"/>
    <n v="0"/>
    <n v="3.8699999999999998E-2"/>
    <n v="0"/>
    <s v="1436 ถ้วย NZ"/>
    <n v="0"/>
    <n v="0"/>
  </r>
  <r>
    <m/>
    <x v="722"/>
    <s v="01-2026"/>
    <x v="2"/>
    <e v="#N/A"/>
    <x v="0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742"/>
    <n v="742"/>
    <m/>
    <n v="0"/>
    <n v="0"/>
    <n v="0"/>
    <n v="7.4999999999999997E-3"/>
    <n v="0"/>
    <s v="กล่อง 1000/Stk 23,900"/>
    <n v="0"/>
    <n v="0"/>
  </r>
  <r>
    <m/>
    <x v="722"/>
    <s v="02-2026"/>
    <x v="2"/>
    <e v="#N/A"/>
    <x v="0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861"/>
    <n v="861"/>
    <m/>
    <n v="0"/>
    <n v="0"/>
    <n v="0"/>
    <n v="7.4999999999999997E-3"/>
    <n v="0"/>
    <s v="กล่อง 1000/Stk 23,900"/>
    <n v="0"/>
    <n v="0"/>
  </r>
  <r>
    <m/>
    <x v="722"/>
    <s v="01-2026"/>
    <x v="2"/>
    <e v="#N/A"/>
    <x v="0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"/>
    <s v="082SG1A24003P00001"/>
    <s v="250g*24"/>
    <n v="24"/>
    <n v="3"/>
    <n v="6.1999999999999998E-3"/>
    <s v="SS"/>
    <s v="STPP"/>
    <s v="หมาล่า"/>
    <n v="1861"/>
    <n v="1861"/>
    <m/>
    <n v="0"/>
    <n v="0"/>
    <n v="0"/>
    <n v="1.83E-2"/>
    <n v="0"/>
    <m/>
    <n v="0"/>
    <n v="0"/>
  </r>
  <r>
    <m/>
    <x v="723"/>
    <s v="02-2026"/>
    <x v="2"/>
    <e v="#N/A"/>
    <x v="0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1706"/>
    <n v="1706"/>
    <m/>
    <n v="0"/>
    <n v="0"/>
    <n v="0"/>
    <n v="7.4999999999999997E-3"/>
    <n v="0"/>
    <s v="กล่อง 1000/Stk 23,900"/>
    <n v="0"/>
    <n v="0"/>
  </r>
  <r>
    <m/>
    <x v="723"/>
    <s v="01-2026"/>
    <x v="2"/>
    <e v="#N/A"/>
    <x v="0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"/>
    <s v="082SG1A24003P00001"/>
    <s v="250g*24"/>
    <n v="24"/>
    <n v="3"/>
    <n v="6.1999999999999998E-3"/>
    <s v="SS"/>
    <s v="STPP"/>
    <s v="หมาล่า"/>
    <n v="2034"/>
    <n v="2034"/>
    <m/>
    <n v="0"/>
    <n v="0"/>
    <n v="0"/>
    <n v="1.83E-2"/>
    <n v="0"/>
    <m/>
    <n v="0"/>
    <n v="0"/>
  </r>
  <r>
    <m/>
    <x v="724"/>
    <s v="02-2026"/>
    <x v="2"/>
    <e v="#N/A"/>
    <x v="0"/>
    <s v="ขายภายใน"/>
    <s v="MTFS"/>
    <s v="CPFGS"/>
    <s v="ซีพีเอฟ เทรดดิ้ง"/>
    <s v="E+Wonton NDE"/>
    <x v="1"/>
    <s v="บะหมี่เกี๊ยวกุ้ง ตราซีพี 12X226 กรัม"/>
    <s v="082SJ3Q12003P07001"/>
    <s v="226g*12"/>
    <n v="12"/>
    <n v="3"/>
    <n v="8.0000000000000002E-3"/>
    <s v="M"/>
    <s v="STPP"/>
    <s v="Regular"/>
    <n v="500"/>
    <n v="500"/>
    <m/>
    <n v="0"/>
    <n v="0"/>
    <n v="0"/>
    <n v="7.4999999999999997E-3"/>
    <n v="0"/>
    <m/>
    <n v="0"/>
    <n v="0"/>
  </r>
  <r>
    <s v="ชดเชยกัก"/>
    <x v="724"/>
    <s v="01-2026"/>
    <x v="2"/>
    <e v="#N/A"/>
    <x v="0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114"/>
    <n v="114"/>
    <m/>
    <n v="0"/>
    <n v="0"/>
    <n v="0"/>
    <n v="7.4999999999999997E-3"/>
    <n v="0"/>
    <s v="กล่องเหลือ 285/STK เหลืออย่างละ 260 ดวง"/>
    <n v="0"/>
    <n v="0"/>
  </r>
  <r>
    <m/>
    <x v="724"/>
    <s v="02-2026"/>
    <x v="2"/>
    <e v="#N/A"/>
    <x v="0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200"/>
    <n v="200"/>
    <m/>
    <n v="0"/>
    <n v="0"/>
    <n v="0"/>
    <n v="7.4999999999999997E-3"/>
    <n v="0"/>
    <s v="กล่องเหลือ 285/STK เหลืออย่างละ 260 ดวง"/>
    <n v="0"/>
    <n v="0"/>
  </r>
  <r>
    <s v="ชดเชยกัก"/>
    <x v="724"/>
    <s v="01-2026"/>
    <x v="2"/>
    <e v="#N/A"/>
    <x v="0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123"/>
    <n v="123"/>
    <m/>
    <n v="0"/>
    <n v="0"/>
    <n v="0"/>
    <n v="7.4999999999999997E-3"/>
    <n v="0"/>
    <s v="กล่องเหลือ 83/Stkติดฝา 156 ดวง/Stk ติดถ้วย 990"/>
    <n v="0"/>
    <n v="0"/>
  </r>
  <r>
    <m/>
    <x v="724"/>
    <s v="02-2026"/>
    <x v="2"/>
    <e v="#N/A"/>
    <x v="0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200"/>
    <n v="200"/>
    <m/>
    <n v="0"/>
    <n v="0"/>
    <n v="0"/>
    <n v="7.4999999999999997E-3"/>
    <n v="0"/>
    <s v="กล่องเหลือ 83/Stkติดฝา 156 ดวง/Stk ติดถ้วย 990"/>
    <n v="0"/>
    <n v="0"/>
  </r>
  <r>
    <s v="ชมรมกอล์ฟ ซีพี"/>
    <x v="724"/>
    <s v="02-2026"/>
    <x v="2"/>
    <e v="#N/A"/>
    <x v="0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0"/>
    <s v="145g*12"/>
    <n v="12"/>
    <n v="5"/>
    <n v="8.0000000000000002E-3"/>
    <s v="M"/>
    <s v="STPP"/>
    <s v="Regular"/>
    <n v="12"/>
    <n v="12"/>
    <m/>
    <n v="0"/>
    <n v="0"/>
    <n v="0"/>
    <n v="7.4999999999999997E-3"/>
    <n v="0"/>
    <m/>
    <n v="0"/>
    <n v="0"/>
  </r>
  <r>
    <m/>
    <x v="724"/>
    <s v="02-2026"/>
    <x v="2"/>
    <e v="#N/A"/>
    <x v="0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1"/>
    <s v="145g*12"/>
    <n v="12"/>
    <n v="5"/>
    <n v="8.0000000000000002E-3"/>
    <s v="M"/>
    <s v="STPP"/>
    <s v="Regular"/>
    <n v="1250"/>
    <n v="1250"/>
    <m/>
    <n v="0"/>
    <n v="0"/>
    <n v="0"/>
    <n v="7.4999999999999997E-3"/>
    <n v="0"/>
    <m/>
    <n v="0"/>
    <n v="0"/>
  </r>
  <r>
    <s v="CP Laos"/>
    <x v="724"/>
    <d v="2026-02-15T00:00:00"/>
    <x v="2"/>
    <e v="#N/A"/>
    <x v="0"/>
    <s v="LA001/2569"/>
    <s v="Laos"/>
    <s v="Laos"/>
    <s v="บริษัท ปิก้าเทรดดิ้ง จำกัด"/>
    <s v="E+Wonton"/>
    <x v="1"/>
    <s v="เกี๊ยวกุ้งจักรพรรดิ 12x145g."/>
    <s v="082S8L212005P00001"/>
    <s v="145g*12"/>
    <n v="12"/>
    <n v="5"/>
    <n v="8.0000000000000002E-3"/>
    <s v="M"/>
    <s v="STPP"/>
    <s v="Regular"/>
    <n v="100"/>
    <n v="100"/>
    <m/>
    <n v="0"/>
    <n v="0"/>
    <n v="0"/>
    <n v="7.4999999999999997E-3"/>
    <n v="0"/>
    <m/>
    <n v="0"/>
    <n v="0"/>
  </r>
  <r>
    <m/>
    <x v="724"/>
    <s v="01-2026"/>
    <x v="2"/>
    <e v="#N/A"/>
    <x v="0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"/>
    <s v="082SG1A24003P00001"/>
    <s v="250g*24"/>
    <n v="24"/>
    <n v="3"/>
    <n v="6.1999999999999998E-3"/>
    <s v="SS"/>
    <s v="STPP"/>
    <s v="หมาล่า"/>
    <n v="1705"/>
    <n v="1705"/>
    <m/>
    <n v="0"/>
    <n v="0"/>
    <n v="0"/>
    <n v="1.83E-2"/>
    <n v="0"/>
    <m/>
    <n v="0"/>
    <n v="0"/>
  </r>
  <r>
    <s v="R"/>
    <x v="725"/>
    <d v="2026-02-11T00:00:00"/>
    <x v="2"/>
    <e v="#N/A"/>
    <x v="0"/>
    <s v="DRY2600002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430"/>
    <m/>
    <n v="430"/>
    <n v="0"/>
    <n v="0"/>
    <n v="0"/>
    <n v="2"/>
    <n v="0"/>
    <m/>
    <n v="0"/>
    <n v="0"/>
  </r>
  <r>
    <s v="R"/>
    <x v="725"/>
    <d v="2026-02-19T00:00:00"/>
    <x v="2"/>
    <e v="#N/A"/>
    <x v="0"/>
    <s v="DRY2500387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200"/>
    <m/>
    <n v="200"/>
    <n v="0"/>
    <n v="0"/>
    <n v="0"/>
    <n v="6"/>
    <n v="0"/>
    <m/>
    <n v="0"/>
    <n v="0"/>
  </r>
  <r>
    <m/>
    <x v="726"/>
    <m/>
    <x v="2"/>
    <e v="#N/A"/>
    <x v="0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727"/>
    <s v="01-2026"/>
    <x v="2"/>
    <e v="#N/A"/>
    <x v="0"/>
    <s v="ขายภายใน"/>
    <s v=".7-11"/>
    <s v="CPFGS"/>
    <s v="STK ตรุษจีน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211"/>
    <n v="1211"/>
    <m/>
    <n v="0"/>
    <n v="0"/>
    <n v="0"/>
    <n v="7.4999999999999997E-3"/>
    <n v="0"/>
    <m/>
    <n v="0"/>
    <n v="0"/>
  </r>
  <r>
    <s v="ชดเชยกัก"/>
    <x v="727"/>
    <d v="2026-02-05T00:00:00"/>
    <x v="2"/>
    <e v="#N/A"/>
    <x v="0"/>
    <s v="DRY2500355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12"/>
    <n v="80"/>
    <n v="0"/>
    <n v="0"/>
    <n v="0"/>
    <n v="7.4999999999999997E-3"/>
    <n v="0"/>
    <m/>
    <n v="0"/>
    <n v="0"/>
  </r>
  <r>
    <m/>
    <x v="727"/>
    <d v="2026-02-05T00:00:00"/>
    <x v="2"/>
    <e v="#N/A"/>
    <x v="0"/>
    <s v="DRY2500374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599"/>
    <n v="193"/>
    <n v="0"/>
    <n v="0"/>
    <n v="0"/>
    <n v="7.4999999999999997E-3"/>
    <n v="0"/>
    <m/>
    <n v="0"/>
    <n v="0"/>
  </r>
  <r>
    <s v="ชดเชยกัก"/>
    <x v="727"/>
    <d v="2026-01-30T00:00:00"/>
    <x v="2"/>
    <e v="#N/A"/>
    <x v="0"/>
    <s v="DRY2500354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SG+CO"/>
    <n v="791"/>
    <n v="791"/>
    <m/>
    <n v="0"/>
    <n v="0"/>
    <n v="0"/>
    <n v="3.8699999999999998E-2"/>
    <n v="0"/>
    <s v="สวมผลิต 20/01/26"/>
    <n v="0"/>
    <n v="0"/>
  </r>
  <r>
    <m/>
    <x v="727"/>
    <d v="2026-02-05T00:00:00"/>
    <x v="2"/>
    <e v="#N/A"/>
    <x v="0"/>
    <s v="DRY2500359"/>
    <s v="New Zealand"/>
    <s v="CPFNW"/>
    <s v="Lim Brothers Import&amp;Export Co.,Ltd."/>
    <s v="Wonton ND+V+TY"/>
    <x v="1"/>
    <s v="Cooked Wonton ND No Egg with Pumpkin _x000a_+ Vegetable 5 pcs tomyam"/>
    <s v="082SJN724005P00001"/>
    <s v="307g*4c*6in"/>
    <n v="24"/>
    <n v="5"/>
    <n v="7.4999999999999997E-3"/>
    <s v="M"/>
    <s v="Salt"/>
    <s v="TYEXSG+CO"/>
    <n v="390"/>
    <n v="390"/>
    <m/>
    <n v="0"/>
    <n v="0"/>
    <n v="0"/>
    <n v="3.8699999999999998E-2"/>
    <n v="0"/>
    <s v="Stock Aus192 ถ้วย"/>
    <m/>
    <m/>
  </r>
  <r>
    <m/>
    <x v="727"/>
    <d v="2026-02-11T00:00:00"/>
    <x v="2"/>
    <e v="#N/A"/>
    <x v="0"/>
    <s v="DRY2500386"/>
    <s v="Germany"/>
    <s v="CPFNW"/>
    <s v=" CPF Distribution (under Paulsen Food)"/>
    <s v="Minced ND+V+TY"/>
    <x v="1"/>
    <s v="Cooked Minced  ND No Egg with Pumpkin_x000a_+ Yu Choy Tomyum"/>
    <s v="082SR3N12003P00001"/>
    <s v="302g*12"/>
    <n v="12"/>
    <n v="3"/>
    <n v="6.0000000000000001E-3"/>
    <s v="BK"/>
    <s v="Salt"/>
    <s v="TYEXSG+CO"/>
    <n v="1139"/>
    <m/>
    <n v="1195.5"/>
    <n v="56.5"/>
    <n v="0"/>
    <n v="0"/>
    <n v="3.8699999999999998E-2"/>
    <n v="0"/>
    <s v="NEWPACKAGE"/>
    <n v="0"/>
    <n v="0"/>
  </r>
  <r>
    <s v="R"/>
    <x v="728"/>
    <d v="2026-02-19T00:00:00"/>
    <x v="2"/>
    <e v="#N/A"/>
    <x v="0"/>
    <s v="DRY2500387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166"/>
    <m/>
    <n v="166"/>
    <n v="0"/>
    <n v="0"/>
    <n v="0"/>
    <n v="6"/>
    <n v="0"/>
    <m/>
    <n v="0"/>
    <n v="0"/>
  </r>
  <r>
    <m/>
    <x v="728"/>
    <d v="2026-02-05T00:00:00"/>
    <x v="2"/>
    <e v="#N/A"/>
    <x v="0"/>
    <s v="DRY2500371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n v="0"/>
    <n v="7.4999999999999997E-3"/>
    <n v="0"/>
    <m/>
    <n v="0"/>
    <n v="0"/>
  </r>
  <r>
    <m/>
    <x v="728"/>
    <s v="01-2026"/>
    <x v="2"/>
    <e v="#N/A"/>
    <x v="0"/>
    <s v="ขายภายใน"/>
    <s v=".7-11"/>
    <s v="CPFGS"/>
    <s v="STK ตรุษจีน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420"/>
    <n v="1420"/>
    <m/>
    <n v="0"/>
    <n v="0"/>
    <n v="0"/>
    <n v="7.4999999999999997E-3"/>
    <n v="0"/>
    <s v="ทำให้หมด stk ตรุษจีน"/>
    <n v="0"/>
    <n v="0"/>
  </r>
  <r>
    <s v="R"/>
    <x v="729"/>
    <d v="2026-02-19T00:00:00"/>
    <x v="2"/>
    <e v="#N/A"/>
    <x v="0"/>
    <s v="DRY2500387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177"/>
    <n v="177"/>
    <m/>
    <n v="0"/>
    <n v="0"/>
    <n v="0"/>
    <n v="6"/>
    <n v="0"/>
    <m/>
    <n v="0"/>
    <n v="0"/>
  </r>
  <r>
    <m/>
    <x v="729"/>
    <s v="02-2026"/>
    <x v="2"/>
    <e v="#N/A"/>
    <x v="0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2477"/>
    <n v="2477"/>
    <m/>
    <n v="0"/>
    <n v="0"/>
    <n v="0"/>
    <n v="7.4999999999999997E-3"/>
    <n v="0"/>
    <s v="กล่อง 1000/Stk 23,900"/>
    <n v="0"/>
    <n v="0"/>
  </r>
  <r>
    <m/>
    <x v="729"/>
    <s v="02-2026"/>
    <x v="2"/>
    <e v="#N/A"/>
    <x v="0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"/>
    <s v="082SG1A24003P00001"/>
    <s v="250g*24"/>
    <n v="24"/>
    <n v="3"/>
    <n v="6.1999999999999998E-3"/>
    <s v="SS"/>
    <s v="STPP"/>
    <s v="หมาล่า"/>
    <n v="1315"/>
    <n v="1315"/>
    <m/>
    <n v="0"/>
    <n v="0"/>
    <n v="0"/>
    <n v="1.83E-2"/>
    <n v="0"/>
    <m/>
    <n v="0"/>
    <n v="0"/>
  </r>
  <r>
    <s v="R"/>
    <x v="730"/>
    <d v="2026-02-19T00:00:00"/>
    <x v="2"/>
    <e v="#N/A"/>
    <x v="0"/>
    <s v="DRY2500387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181"/>
    <n v="181"/>
    <m/>
    <n v="0"/>
    <n v="0"/>
    <n v="0"/>
    <n v="6"/>
    <n v="0"/>
    <m/>
    <n v="0"/>
    <n v="0"/>
  </r>
  <r>
    <m/>
    <x v="730"/>
    <s v="02-2026"/>
    <x v="2"/>
    <e v="#N/A"/>
    <x v="0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2488"/>
    <n v="2488"/>
    <m/>
    <n v="0"/>
    <n v="0"/>
    <n v="0"/>
    <n v="7.4999999999999997E-3"/>
    <n v="0"/>
    <s v="กล่อง 1000/Stk 23,900"/>
    <n v="0"/>
    <n v="0"/>
  </r>
  <r>
    <m/>
    <x v="730"/>
    <s v="02-2026"/>
    <x v="2"/>
    <e v="#N/A"/>
    <x v="0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"/>
    <s v="082SG1A24003P00001"/>
    <s v="250g*24"/>
    <n v="24"/>
    <n v="3"/>
    <n v="6.1999999999999998E-3"/>
    <s v="SS"/>
    <s v="STPP"/>
    <s v="หมาล่า"/>
    <n v="1419"/>
    <n v="1383"/>
    <n v="36"/>
    <n v="0"/>
    <n v="0"/>
    <n v="0"/>
    <n v="1.83E-2"/>
    <n v="0"/>
    <m/>
    <n v="0"/>
    <n v="0"/>
  </r>
  <r>
    <s v="R"/>
    <x v="731"/>
    <d v="2026-02-19T00:00:00"/>
    <x v="2"/>
    <e v="#N/A"/>
    <x v="0"/>
    <s v="DRY2500387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172"/>
    <n v="172"/>
    <m/>
    <n v="0"/>
    <n v="0"/>
    <n v="0"/>
    <n v="6"/>
    <n v="0"/>
    <m/>
    <n v="0"/>
    <n v="0"/>
  </r>
  <r>
    <m/>
    <x v="731"/>
    <d v="2026-02-04T00:00:00"/>
    <x v="2"/>
    <e v="#N/A"/>
    <x v="0"/>
    <s v="DRY2600001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1100"/>
    <n v="1029"/>
    <n v="120"/>
    <n v="49"/>
    <n v="0"/>
    <n v="0"/>
    <n v="7.4999999999999997E-3"/>
    <n v="0"/>
    <m/>
    <n v="0"/>
    <n v="0"/>
  </r>
  <r>
    <m/>
    <x v="731"/>
    <d v="2026-02-04T00:00:00"/>
    <x v="2"/>
    <e v="#N/A"/>
    <x v="0"/>
    <s v="DRY2600001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300"/>
    <m/>
    <n v="300"/>
    <n v="0"/>
    <n v="0"/>
    <n v="0"/>
    <n v="7.4999999999999997E-3"/>
    <n v="0"/>
    <m/>
    <n v="0"/>
    <n v="0"/>
  </r>
  <r>
    <m/>
    <x v="731"/>
    <s v="02-2026"/>
    <x v="2"/>
    <e v="#N/A"/>
    <x v="0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2280"/>
    <n v="2280"/>
    <m/>
    <n v="0"/>
    <n v="0"/>
    <n v="0"/>
    <n v="7.4999999999999997E-3"/>
    <n v="0"/>
    <m/>
    <n v="0"/>
    <n v="0"/>
  </r>
  <r>
    <m/>
    <x v="732"/>
    <s v="02-2026"/>
    <x v="2"/>
    <e v="#N/A"/>
    <x v="0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2119"/>
    <n v="2119"/>
    <m/>
    <n v="0"/>
    <n v="0"/>
    <n v="0"/>
    <n v="7.4999999999999997E-3"/>
    <n v="0"/>
    <m/>
    <n v="0"/>
    <n v="0"/>
  </r>
  <r>
    <m/>
    <x v="732"/>
    <d v="2026-02-12T00:00:00"/>
    <x v="2"/>
    <e v="#N/A"/>
    <x v="0"/>
    <s v="DRY2500375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12"/>
    <n v="80"/>
    <n v="0"/>
    <n v="0"/>
    <n v="0"/>
    <n v="7.4999999999999997E-3"/>
    <n v="0"/>
    <m/>
    <n v="0"/>
    <n v="0"/>
  </r>
  <r>
    <m/>
    <x v="732"/>
    <d v="2026-02-14T00:00:00"/>
    <x v="2"/>
    <e v="#N/A"/>
    <x v="0"/>
    <s v="DRY2500379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12"/>
    <n v="80"/>
    <n v="0"/>
    <n v="0"/>
    <n v="0"/>
    <n v="7.4999999999999997E-3"/>
    <n v="0"/>
    <m/>
    <n v="0"/>
    <n v="0"/>
  </r>
  <r>
    <m/>
    <x v="732"/>
    <d v="2026-02-16T00:00:00"/>
    <x v="2"/>
    <e v="#N/A"/>
    <x v="0"/>
    <s v="DRY2500376"/>
    <s v="Denmark"/>
    <s v="CPFNW"/>
    <s v="CPF DENMARK"/>
    <s v="Wonton ND+V+TY"/>
    <x v="1"/>
    <s v="Cooked Wonton ND No Egg with Pumpkin _x000a_+ Vegetable  HC  3 pcs tomyam"/>
    <s v="082SJKW08003P00001"/>
    <s v="309g*8"/>
    <n v="8"/>
    <n v="3"/>
    <n v="7.4999999999999997E-3"/>
    <s v="M"/>
    <s v="Salt"/>
    <s v="TYANSSG+CM"/>
    <n v="3500"/>
    <m/>
    <n v="3568.5"/>
    <n v="68.5"/>
    <n v="0"/>
    <n v="0"/>
    <n v="3.85E-2"/>
    <n v="0"/>
    <s v="ต้มยำสูตรลดเผ็ดลง 10 %"/>
    <n v="0"/>
    <n v="0"/>
  </r>
  <r>
    <m/>
    <x v="733"/>
    <m/>
    <x v="2"/>
    <e v="#N/A"/>
    <x v="1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734"/>
    <d v="2026-02-19T00:00:00"/>
    <x v="2"/>
    <e v="#N/A"/>
    <x v="1"/>
    <s v="DRY2500387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144"/>
    <n v="144"/>
    <m/>
    <n v="0"/>
    <n v="0"/>
    <n v="0"/>
    <n v="6"/>
    <n v="0"/>
    <m/>
    <n v="0"/>
    <n v="0"/>
  </r>
  <r>
    <s v="R"/>
    <x v="734"/>
    <s v="02-2026"/>
    <x v="2"/>
    <e v="#N/A"/>
    <x v="1"/>
    <s v="ขายภายใน"/>
    <s v="ขายภายใน"/>
    <s v="CPFGS"/>
    <s v="ซีพีเอฟ เทรดดิ้ง"/>
    <s v="R-Wonton egg past"/>
    <x v="2"/>
    <s v="Raw Wonton 50 pcs OISHI"/>
    <s v="082S01508600G01001"/>
    <s v="600g.*8 packs"/>
    <n v="8"/>
    <n v="50"/>
    <n v="8.1300000000000001E-3"/>
    <s v="M"/>
    <s v="STPP"/>
    <m/>
    <n v="200"/>
    <n v="200"/>
    <m/>
    <n v="0"/>
    <n v="0"/>
    <n v="0"/>
    <m/>
    <n v="0"/>
    <m/>
    <n v="0"/>
    <n v="0"/>
  </r>
  <r>
    <s v="R"/>
    <x v="734"/>
    <d v="2026-02-12T00:00:00"/>
    <x v="2"/>
    <e v="#N/A"/>
    <x v="1"/>
    <s v="DRY2500364"/>
    <s v="Malay"/>
    <s v="CPFNW"/>
    <s v="CPM Malaysia"/>
    <s v="R-Wonton egg past"/>
    <x v="2"/>
    <s v="Raw Wonton 12 pcs"/>
    <s v="082I95I20012P02001"/>
    <s v="154g*20inner"/>
    <n v="20"/>
    <n v="12"/>
    <n v="6.8100000000000001E-3"/>
    <s v="S"/>
    <s v="STPP"/>
    <s v="ซุปซอง 5g."/>
    <n v="300"/>
    <n v="300"/>
    <m/>
    <n v="0"/>
    <n v="0"/>
    <n v="0"/>
    <n v="2"/>
    <n v="0"/>
    <m/>
    <n v="0"/>
    <n v="0"/>
  </r>
  <r>
    <s v="R"/>
    <x v="734"/>
    <d v="2026-02-11T00:00:00"/>
    <x v="2"/>
    <e v="#N/A"/>
    <x v="1"/>
    <s v="DRY2500365"/>
    <s v="SG"/>
    <s v="CPFNW"/>
    <s v="CP FOODS SINGAPORE PTE. LTD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800"/>
    <n v="800"/>
    <m/>
    <n v="0"/>
    <n v="0"/>
    <n v="0"/>
    <n v="2"/>
    <n v="0"/>
    <s v="ห่อแบบสุก"/>
    <n v="0"/>
    <n v="0"/>
  </r>
  <r>
    <s v="R"/>
    <x v="735"/>
    <d v="2026-02-11T00:00:00"/>
    <x v="2"/>
    <e v="#N/A"/>
    <x v="1"/>
    <s v="DRY2500366"/>
    <s v="SG"/>
    <s v="CPFNW"/>
    <s v="CP FOODS SINGAPORE PTE. LTD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1100"/>
    <n v="1100"/>
    <m/>
    <n v="0"/>
    <n v="0"/>
    <n v="0"/>
    <n v="2"/>
    <n v="0"/>
    <s v="ห่อแบบสุก"/>
    <n v="0"/>
    <n v="0"/>
  </r>
  <r>
    <m/>
    <x v="735"/>
    <d v="2026-02-11T00:00:00"/>
    <x v="2"/>
    <e v="#N/A"/>
    <x v="1"/>
    <s v="DRY2500324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m/>
    <x v="735"/>
    <d v="2026-02-12T00:00:00"/>
    <x v="2"/>
    <e v="#N/A"/>
    <x v="1"/>
    <s v="DRY2500364"/>
    <s v="Malay"/>
    <s v="CPFNW"/>
    <s v="CPM Malaysia"/>
    <s v="Wonton"/>
    <x v="1"/>
    <s v="Cooked Wonton No Egg  "/>
    <s v="082S85I24005P01001"/>
    <s v="145g*24"/>
    <n v="24"/>
    <n v="5"/>
    <n v="8.0000000000000002E-3"/>
    <s v="M"/>
    <s v="STPP"/>
    <s v="Regular"/>
    <n v="1250"/>
    <n v="1250"/>
    <m/>
    <n v="0"/>
    <n v="0"/>
    <n v="0"/>
    <n v="7.4999999999999997E-3"/>
    <n v="0"/>
    <m/>
    <n v="0"/>
    <n v="0"/>
  </r>
  <r>
    <m/>
    <x v="735"/>
    <d v="2026-02-12T00:00:00"/>
    <x v="2"/>
    <e v="#N/A"/>
    <x v="1"/>
    <s v="DRY2500364"/>
    <s v="Malay"/>
    <s v="CPFNW"/>
    <s v="CPM Malaysia"/>
    <s v="Wonton+TY"/>
    <x v="1"/>
    <s v="Cooked Wonton No Egg  Tomyum"/>
    <s v="082S85I24005P02001"/>
    <s v="115g*24"/>
    <n v="24"/>
    <n v="5"/>
    <n v="8.0000000000000002E-3"/>
    <s v="M"/>
    <s v="STPP"/>
    <s v="TYTB3C 30G"/>
    <n v="600"/>
    <n v="600"/>
    <m/>
    <n v="0"/>
    <n v="0"/>
    <n v="0"/>
    <n v="1"/>
    <n v="0"/>
    <m/>
    <n v="0"/>
    <n v="0"/>
  </r>
  <r>
    <s v="R"/>
    <x v="736"/>
    <d v="2026-02-25T00:00:00"/>
    <x v="2"/>
    <e v="#N/A"/>
    <x v="1"/>
    <s v="DRY2500360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1900"/>
    <n v="1269"/>
    <n v="631"/>
    <n v="0"/>
    <n v="0"/>
    <n v="0"/>
    <n v="1"/>
    <n v="0"/>
    <m/>
    <n v="0"/>
    <n v="0"/>
  </r>
  <r>
    <m/>
    <x v="736"/>
    <s v="02-2026"/>
    <x v="2"/>
    <e v="#N/A"/>
    <x v="1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2419"/>
    <n v="2419"/>
    <m/>
    <n v="0"/>
    <n v="0"/>
    <n v="0"/>
    <n v="7.4999999999999997E-3"/>
    <n v="0"/>
    <m/>
    <n v="0"/>
    <n v="0"/>
  </r>
  <r>
    <m/>
    <x v="736"/>
    <d v="2026-02-11T00:00:00"/>
    <x v="2"/>
    <e v="#N/A"/>
    <x v="1"/>
    <s v="DRY2500382"/>
    <s v="SG"/>
    <s v="CPFNW"/>
    <s v="CP FOODS SINGAPORE PTE. LTD"/>
    <s v="Wonton"/>
    <x v="1"/>
    <s v="Cooked Wonton No Egg"/>
    <s v="082S83B24005P07001"/>
    <s v="145g*24"/>
    <n v="24"/>
    <n v="5"/>
    <n v="8.0000000000000002E-3"/>
    <s v="M"/>
    <s v="STPP"/>
    <s v="Regular"/>
    <n v="200"/>
    <n v="200"/>
    <m/>
    <n v="0"/>
    <n v="0"/>
    <n v="0"/>
    <n v="1"/>
    <n v="0"/>
    <m/>
    <n v="0"/>
    <n v="0"/>
  </r>
  <r>
    <m/>
    <x v="736"/>
    <d v="2026-02-11T00:00:00"/>
    <x v="2"/>
    <e v="#N/A"/>
    <x v="1"/>
    <s v="DRY2500382"/>
    <s v="SG"/>
    <s v="CPFNW"/>
    <s v="CP FOODS SINGAPORE PTE. LTD"/>
    <s v="Minced ND+หมาล่า"/>
    <x v="1"/>
    <s v="Cooked Minced  ND No Egg หมาล่า"/>
    <s v="082SR3B24003P00001"/>
    <s v="300g*24"/>
    <n v="24"/>
    <n v="3"/>
    <n v="6.0000000000000001E-3"/>
    <s v="BK"/>
    <s v="Salt"/>
    <s v="หมาล่า"/>
    <n v="210"/>
    <n v="210"/>
    <m/>
    <n v="0"/>
    <n v="0"/>
    <n v="0"/>
    <n v="2.4E-2"/>
    <n v="0"/>
    <m/>
    <n v="0"/>
    <n v="0"/>
  </r>
  <r>
    <s v="R"/>
    <x v="737"/>
    <d v="2026-02-18T00:00:00"/>
    <x v="2"/>
    <e v="#N/A"/>
    <x v="1"/>
    <s v="DRY2600002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606"/>
    <n v="508"/>
    <n v="98"/>
    <n v="0"/>
    <n v="0"/>
    <n v="0"/>
    <n v="2"/>
    <n v="0"/>
    <m/>
    <n v="0"/>
    <n v="0"/>
  </r>
  <r>
    <m/>
    <x v="737"/>
    <d v="2026-02-12T00:00:00"/>
    <x v="2"/>
    <e v="#N/A"/>
    <x v="1"/>
    <s v="DRY2500372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n v="0"/>
    <n v="7.4999999999999997E-3"/>
    <n v="0"/>
    <m/>
    <n v="0"/>
    <n v="0"/>
  </r>
  <r>
    <m/>
    <x v="737"/>
    <d v="2026-02-26T00:00:00"/>
    <x v="2"/>
    <e v="#N/A"/>
    <x v="1"/>
    <s v="DRY2500373"/>
    <s v="Japan"/>
    <s v="CPFNW"/>
    <s v="CPF JAPAN"/>
    <s v="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n v="0"/>
    <n v="7.4999999999999997E-3"/>
    <n v="0"/>
    <m/>
    <n v="0"/>
    <n v="0"/>
  </r>
  <r>
    <m/>
    <x v="737"/>
    <s v="02-2026"/>
    <x v="2"/>
    <e v="#N/A"/>
    <x v="1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667"/>
    <n v="667"/>
    <m/>
    <n v="0"/>
    <n v="0"/>
    <n v="0"/>
    <n v="7.4999999999999997E-3"/>
    <n v="0"/>
    <m/>
    <n v="0"/>
    <n v="0"/>
  </r>
  <r>
    <s v="R"/>
    <x v="738"/>
    <d v="2026-02-19T00:00:00"/>
    <x v="2"/>
    <e v="#N/A"/>
    <x v="1"/>
    <s v="DRY2600002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588"/>
    <n v="588"/>
    <n v="11"/>
    <n v="11"/>
    <n v="0"/>
    <n v="0"/>
    <n v="2"/>
    <n v="0"/>
    <m/>
    <n v="0"/>
    <n v="0"/>
  </r>
  <r>
    <m/>
    <x v="738"/>
    <s v="02-2026"/>
    <x v="2"/>
    <e v="#N/A"/>
    <x v="1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2077"/>
    <n v="2077"/>
    <m/>
    <n v="0"/>
    <n v="0"/>
    <n v="0"/>
    <n v="7.4999999999999997E-3"/>
    <n v="0"/>
    <m/>
    <n v="0"/>
    <n v="0"/>
  </r>
  <r>
    <m/>
    <x v="738"/>
    <d v="2026-02-24T00:00:00"/>
    <x v="2"/>
    <e v="#N/A"/>
    <x v="1"/>
    <s v="DRY2500377"/>
    <s v="UK"/>
    <s v="CPFNW"/>
    <s v="Food Fellas"/>
    <s v="Wonton +TY"/>
    <x v="1"/>
    <s v="Cooked Wonton Tomyum"/>
    <s v="082S8T208005P00001"/>
    <s v="147g*8"/>
    <n v="8"/>
    <n v="5"/>
    <n v="6.8100000000000001E-3"/>
    <s v="M"/>
    <s v="Salt"/>
    <s v="TYEXSG+CO"/>
    <n v="500"/>
    <m/>
    <n v="573.375"/>
    <n v="73.375"/>
    <n v="0"/>
    <n v="0"/>
    <n v="7.4999999999999997E-3"/>
    <n v="0"/>
    <s v="ถ้าว,ฝา สีขาว"/>
    <n v="0"/>
    <n v="0"/>
  </r>
  <r>
    <m/>
    <x v="738"/>
    <d v="2026-02-24T00:00:00"/>
    <x v="2"/>
    <e v="#N/A"/>
    <x v="1"/>
    <s v="DRY2500377"/>
    <s v="UK"/>
    <s v="CPFNW"/>
    <s v="Food Fellas"/>
    <s v="Wonton ND+BC+TY"/>
    <x v="1"/>
    <s v="Cooked Wonton Noodles Bok Choy Tomyum"/>
    <s v="082SJT208005P00001"/>
    <s v="307g*8"/>
    <n v="8"/>
    <n v="5"/>
    <n v="6.8100000000000001E-3"/>
    <s v="M"/>
    <s v="Salt"/>
    <s v="TYEXSG+CO"/>
    <n v="500"/>
    <m/>
    <n v="569.875"/>
    <n v="69.875"/>
    <n v="0"/>
    <n v="0"/>
    <n v="3.8699999999999998E-2"/>
    <n v="0"/>
    <s v="ถ้าว,ฝา สีขาว"/>
    <n v="0"/>
    <n v="0"/>
  </r>
  <r>
    <m/>
    <x v="738"/>
    <d v="2026-03-10T00:00:00"/>
    <x v="2"/>
    <e v="#N/A"/>
    <x v="1"/>
    <s v="DRY2500333"/>
    <s v="Netherlands"/>
    <s v="CPFNW"/>
    <s v="Westbridge Foods Limited"/>
    <s v="Wonton ND+V+TY"/>
    <x v="1"/>
    <s v="Cooked Wonton ND No Egg with Pumpkin _x000a_+ Vegetable 5 pcs tomyam"/>
    <s v="082SJWE24005P00001"/>
    <s v="307g*4c*6in"/>
    <n v="24"/>
    <n v="5"/>
    <n v="7.4999999999999997E-3"/>
    <s v="M"/>
    <s v="Salt"/>
    <s v="TYEXSG+CO"/>
    <n v="924"/>
    <n v="924"/>
    <m/>
    <n v="0"/>
    <n v="0"/>
    <n v="0"/>
    <n v="3.8699999999999998E-2"/>
    <n v="0"/>
    <s v="ถ้าว,ฝา สีขาว/ New Design"/>
    <n v="0"/>
    <n v="0"/>
  </r>
  <r>
    <m/>
    <x v="739"/>
    <s v="02-2026"/>
    <x v="2"/>
    <e v="#N/A"/>
    <x v="1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5543"/>
    <n v="5543"/>
    <m/>
    <n v="0"/>
    <n v="0"/>
    <n v="0"/>
    <n v="7.4999999999999997E-3"/>
    <n v="0"/>
    <m/>
    <n v="0"/>
    <n v="0"/>
  </r>
  <r>
    <m/>
    <x v="739"/>
    <d v="2026-02-24T00:00:00"/>
    <x v="2"/>
    <e v="#N/A"/>
    <x v="1"/>
    <s v="DRY2500377"/>
    <s v="UK"/>
    <s v="CPFNW"/>
    <s v="Food Fellas"/>
    <s v="Wonton"/>
    <x v="1"/>
    <s v="Cooked Wonton  No Egg_x000a_HC  5 pcs"/>
    <s v="082S85L08005P03001"/>
    <s v="145g*8"/>
    <n v="8"/>
    <n v="5"/>
    <n v="7.4999999999999997E-3"/>
    <s v="HC"/>
    <s v="Salt"/>
    <s v="Regular"/>
    <n v="400"/>
    <m/>
    <n v="400"/>
    <n v="0"/>
    <n v="0"/>
    <n v="0"/>
    <n v="7.4999999999999997E-3"/>
    <n v="0"/>
    <s v="ถ้าว,ฝา สีขาว"/>
    <m/>
    <m/>
  </r>
  <r>
    <m/>
    <x v="739"/>
    <d v="2026-02-24T00:00:00"/>
    <x v="2"/>
    <e v="#N/A"/>
    <x v="1"/>
    <s v="DRY2500377"/>
    <s v="UK"/>
    <s v="CPFNW"/>
    <s v="Food Fellas"/>
    <s v="Wonton +LS"/>
    <x v="1"/>
    <s v="Cooked Wonton Laksa"/>
    <s v="082S8T208005P01001"/>
    <s v="147g*8"/>
    <n v="8"/>
    <n v="5"/>
    <n v="6.8100000000000001E-3"/>
    <s v="M"/>
    <s v="Salt"/>
    <s v="Laksa"/>
    <n v="500"/>
    <m/>
    <n v="548.5"/>
    <n v="48.5"/>
    <n v="0"/>
    <n v="0"/>
    <n v="7.4999999999999997E-3"/>
    <n v="0"/>
    <s v="ถ้าว,ฝา สีขาว"/>
    <n v="0"/>
    <n v="0"/>
  </r>
  <r>
    <m/>
    <x v="739"/>
    <d v="2026-02-24T00:00:00"/>
    <x v="2"/>
    <e v="#N/A"/>
    <x v="1"/>
    <s v="DRY2500377"/>
    <s v="UK"/>
    <s v="CPFNW"/>
    <s v="Food Fellas"/>
    <s v="Minced ND+BC+LS"/>
    <x v="1"/>
    <s v="Cooked Minced Wonton Noodles Bok Choy Laksa"/>
    <s v="082SRT208003P00001"/>
    <s v="315g*8"/>
    <n v="8"/>
    <n v="3"/>
    <n v="6.0000000000000001E-3"/>
    <s v="BK"/>
    <s v="Salt"/>
    <s v="Laksa"/>
    <n v="500"/>
    <m/>
    <n v="581.625"/>
    <n v="81.625"/>
    <n v="0"/>
    <n v="0"/>
    <n v="3.8699999999999998E-2"/>
    <n v="0"/>
    <s v="ถ้าว,ฝา สีขาว"/>
    <n v="0"/>
    <n v="0"/>
  </r>
  <r>
    <m/>
    <x v="740"/>
    <m/>
    <x v="2"/>
    <e v="#N/A"/>
    <x v="1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741"/>
    <d v="2026-02-23T00:00:00"/>
    <x v="2"/>
    <e v="#N/A"/>
    <x v="1"/>
    <s v="KL2600006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753"/>
    <n v="729"/>
    <n v="24"/>
    <n v="0"/>
    <n v="0"/>
    <n v="0"/>
    <n v="6"/>
    <n v="0"/>
    <m/>
    <n v="0"/>
    <n v="0"/>
  </r>
  <r>
    <m/>
    <x v="741"/>
    <s v="02-2026"/>
    <x v="2"/>
    <e v="#N/A"/>
    <x v="1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850"/>
    <n v="850"/>
    <m/>
    <n v="0"/>
    <n v="0"/>
    <n v="0"/>
    <n v="7.4999999999999997E-3"/>
    <n v="0"/>
    <m/>
    <n v="0"/>
    <n v="0"/>
  </r>
  <r>
    <m/>
    <x v="741"/>
    <d v="2026-02-23T00:00:00"/>
    <x v="2"/>
    <e v="#N/A"/>
    <x v="1"/>
    <s v="DRY2500381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n v="0"/>
    <n v="7.4999999999999997E-3"/>
    <n v="0"/>
    <s v="new package (ลบโลโก้ Facebook)"/>
    <n v="0"/>
    <n v="0"/>
  </r>
  <r>
    <m/>
    <x v="741"/>
    <d v="2026-02-13T00:00:00"/>
    <x v="2"/>
    <e v="#N/A"/>
    <x v="1"/>
    <s v="KL2600005"/>
    <s v="China"/>
    <s v="China"/>
    <s v="Charoen Pokphand Import&amp;Export Trading (Shanghai) Co., Ltd"/>
    <s v="Wonton ND+V"/>
    <x v="1"/>
    <s v="Cooked Wonton ND No Egg with Pumpkin _x000a_+ Vegetable 5 pcs tomyam"/>
    <s v="082SJ5J36005P00001"/>
    <s v="308g*6c*6in"/>
    <n v="36"/>
    <n v="5"/>
    <n v="7.4999999999999997E-3"/>
    <s v="HC"/>
    <s v="Salt"/>
    <s v="Y3"/>
    <n v="200"/>
    <n v="200"/>
    <m/>
    <n v="0"/>
    <n v="0"/>
    <n v="0"/>
    <n v="9.7000000000000003E-3"/>
    <n v="0"/>
    <s v="INNERใหม่ / กล่องใหม่"/>
    <m/>
    <m/>
  </r>
  <r>
    <m/>
    <x v="741"/>
    <d v="2026-02-18T00:00:00"/>
    <x v="2"/>
    <e v="#N/A"/>
    <x v="1"/>
    <s v="KL2600004"/>
    <s v="China"/>
    <s v="China"/>
    <s v="Charoen Pokphand Import&amp;Export Trading (Shanghai) Co., Ltd"/>
    <s v="Wonton ND+V"/>
    <x v="1"/>
    <s v="Cooked Wonton ND No Egg with Pumpkin _x000a_+ Vegetable 5 pcs tomyam"/>
    <s v="082SJ5J36005P00001"/>
    <s v="308g*6c*6in"/>
    <n v="36"/>
    <n v="5"/>
    <n v="7.4999999999999997E-3"/>
    <s v="HC"/>
    <s v="Salt"/>
    <s v="Y3"/>
    <n v="792"/>
    <n v="8"/>
    <n v="802.11111111111109"/>
    <n v="18.111111111111086"/>
    <n v="0"/>
    <n v="0"/>
    <n v="9.7000000000000003E-3"/>
    <n v="0"/>
    <s v="INNERใหม่ / กล่องใหม่"/>
    <m/>
    <m/>
  </r>
  <r>
    <s v="R"/>
    <x v="742"/>
    <d v="2026-02-23T00:00:00"/>
    <x v="2"/>
    <e v="#N/A"/>
    <x v="1"/>
    <s v="KL2600006"/>
    <s v="China"/>
    <s v="China"/>
    <s v="Sam's (Shanghai) Investment Co., Ltd."/>
    <s v="R-Wonton no egg"/>
    <x v="2"/>
    <s v="Raw Wonton 60 pcs"/>
    <s v="082I9WN08060P00001"/>
    <s v="750g*8in"/>
    <n v="8"/>
    <n v="60"/>
    <n v="6.8100000000000001E-3"/>
    <s v="S"/>
    <s v="STPP"/>
    <s v="ซุปซอง 5g."/>
    <n v="655"/>
    <n v="655"/>
    <m/>
    <n v="0"/>
    <n v="0"/>
    <n v="0"/>
    <n v="6"/>
    <n v="0"/>
    <m/>
    <n v="0"/>
    <n v="0"/>
  </r>
  <r>
    <m/>
    <x v="742"/>
    <s v="02-2026"/>
    <x v="2"/>
    <e v="#N/A"/>
    <x v="1"/>
    <s v="ขายภายใน"/>
    <s v="MTFS"/>
    <s v="CPFGS"/>
    <s v="ซีพีเอฟ เทรดดิ้ง"/>
    <s v="Minced+ND+Kee Mao แห้ง"/>
    <x v="1"/>
    <s v="บะหมี่เกี๊ยวกุ้งขี้เมา ตราซีพี 705g (Multi Pack)"/>
    <s v="082SR3Q18003P02001"/>
    <s v="235g*3ถ้วย*6ถุง"/>
    <n v="18"/>
    <n v="3"/>
    <n v="6.1999999999999998E-3"/>
    <s v="BK"/>
    <s v="STPP"/>
    <s v="Kee Mao"/>
    <n v="2334"/>
    <m/>
    <n v="2350.6111111111113"/>
    <n v="16.611111111111313"/>
    <n v="0"/>
    <n v="0"/>
    <m/>
    <n v="0"/>
    <m/>
    <n v="0"/>
    <n v="0"/>
  </r>
  <r>
    <m/>
    <x v="742"/>
    <s v="02-2026"/>
    <x v="2"/>
    <e v="#N/A"/>
    <x v="1"/>
    <s v="ขายภายใน"/>
    <s v="MTFS"/>
    <s v="CPFGS"/>
    <s v="ซีพีเอฟ เทรดดิ้ง"/>
    <s v="Minced+ND+V+น้ำราดเป็ด"/>
    <x v="1"/>
    <s v="บะหมี่เกี๊ยวกุ้งสไตล์ฮ่องกง ตราซีพี 705g (Multi Pack)"/>
    <s v="082SR3Q18003P01001"/>
    <s v="235g*3ถ้วย*6ถุง"/>
    <n v="18"/>
    <n v="3"/>
    <n v="6.1999999999999998E-3"/>
    <s v="BK"/>
    <s v="STPP"/>
    <s v="น้ำราดเป็ด"/>
    <n v="2334"/>
    <m/>
    <n v="2338.8333333333335"/>
    <n v="4.8333333333334849"/>
    <n v="0"/>
    <n v="0"/>
    <m/>
    <n v="0"/>
    <m/>
    <n v="0"/>
    <n v="0"/>
  </r>
  <r>
    <s v="R"/>
    <x v="743"/>
    <d v="2026-02-23T00:00:00"/>
    <x v="2"/>
    <e v="#N/A"/>
    <x v="1"/>
    <s v="DRY2500388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184"/>
    <n v="184"/>
    <m/>
    <n v="0"/>
    <n v="0"/>
    <n v="0"/>
    <n v="6"/>
    <n v="0"/>
    <m/>
    <n v="0"/>
    <n v="0"/>
  </r>
  <r>
    <m/>
    <x v="743"/>
    <d v="2026-02-24T00:00:00"/>
    <x v="2"/>
    <e v="#N/A"/>
    <x v="1"/>
    <s v="DRY2500377"/>
    <s v="UK"/>
    <s v="CPFNW"/>
    <s v="Food Fellas"/>
    <s v="Wonton ND"/>
    <x v="1"/>
    <s v="Cooked Wonton ND No Egg with _x000a_HC  5 pcs"/>
    <s v="082SJ5L08005P03001"/>
    <s v="258g*8"/>
    <n v="8"/>
    <n v="5"/>
    <n v="7.4999999999999997E-3"/>
    <s v="HC"/>
    <s v="Salt"/>
    <s v="Regular"/>
    <n v="1000"/>
    <m/>
    <n v="1087.125"/>
    <n v="87.125"/>
    <n v="0"/>
    <n v="0"/>
    <n v="7.4999999999999997E-3"/>
    <n v="0"/>
    <s v="ถ้าว,ฝา สีขาว"/>
    <m/>
    <m/>
  </r>
  <r>
    <m/>
    <x v="743"/>
    <s v="03-2026"/>
    <x v="2"/>
    <e v="#N/A"/>
    <x v="1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200"/>
    <n v="200"/>
    <m/>
    <n v="0"/>
    <n v="0"/>
    <n v="0"/>
    <n v="7.4999999999999997E-3"/>
    <n v="0"/>
    <s v="กล่องเหลือ 285/STK เหลืออย่างละ 260 ดวง"/>
    <n v="0"/>
    <n v="0"/>
  </r>
  <r>
    <m/>
    <x v="743"/>
    <s v="03-2026"/>
    <x v="2"/>
    <e v="#N/A"/>
    <x v="1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50"/>
    <n v="50"/>
    <m/>
    <n v="0"/>
    <n v="0"/>
    <n v="0"/>
    <n v="7.4999999999999997E-3"/>
    <n v="0"/>
    <s v="กล่องเหลือ 285/STK เหลืออย่างละ 260 ดวง"/>
    <n v="0"/>
    <n v="0"/>
  </r>
  <r>
    <m/>
    <x v="743"/>
    <s v="03-2026"/>
    <x v="2"/>
    <e v="#N/A"/>
    <x v="1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200"/>
    <n v="200"/>
    <m/>
    <n v="0"/>
    <n v="0"/>
    <n v="0"/>
    <n v="7.4999999999999997E-3"/>
    <n v="0"/>
    <s v="กล่องเหลือ 83/Stkติดฝา 156 ดวง/Stk ติดถ้วย 990"/>
    <n v="0"/>
    <n v="0"/>
  </r>
  <r>
    <m/>
    <x v="743"/>
    <s v="03-2026"/>
    <x v="2"/>
    <e v="#N/A"/>
    <x v="1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200"/>
    <n v="200"/>
    <m/>
    <n v="0"/>
    <n v="0"/>
    <n v="0"/>
    <n v="7.4999999999999997E-3"/>
    <n v="0"/>
    <s v="กล่องเหลือ 83/Stkติดฝา 156 ดวง/Stk ติดถ้วย 990"/>
    <n v="0"/>
    <n v="0"/>
  </r>
  <r>
    <s v="addเพิ่ม"/>
    <x v="743"/>
    <s v="03-2026"/>
    <x v="2"/>
    <e v="#N/A"/>
    <x v="1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200"/>
    <n v="200"/>
    <m/>
    <n v="0"/>
    <n v="0"/>
    <n v="0"/>
    <n v="7.4999999999999997E-3"/>
    <n v="0"/>
    <s v="กล่องเหลือ 83/Stkติดฝา 156 ดวง/Stk ติดถ้วย 990"/>
    <n v="0"/>
    <n v="0"/>
  </r>
  <r>
    <s v="CP Laos"/>
    <x v="743"/>
    <d v="2026-03-15T00:00:00"/>
    <x v="2"/>
    <e v="#N/A"/>
    <x v="1"/>
    <s v="LA001/2569"/>
    <s v="Laos"/>
    <s v="Laos"/>
    <s v="บริษัท ปิก้าเทรดดิ้ง จำกัด"/>
    <s v="E+Wonton"/>
    <x v="1"/>
    <s v="เกี๊ยวกุ้งจักรพรรดิ 12x145g."/>
    <s v="082S8L212005P00001"/>
    <s v="145g*12"/>
    <n v="12"/>
    <n v="5"/>
    <n v="8.0000000000000002E-3"/>
    <s v="M"/>
    <s v="STPP"/>
    <s v="Regular"/>
    <n v="100"/>
    <n v="100"/>
    <m/>
    <n v="0"/>
    <n v="0"/>
    <n v="0"/>
    <n v="7.4999999999999997E-3"/>
    <n v="0"/>
    <m/>
    <n v="0"/>
    <n v="0"/>
  </r>
  <r>
    <s v="CP Laos"/>
    <x v="743"/>
    <d v="2026-03-15T00:00:00"/>
    <x v="2"/>
    <e v="#N/A"/>
    <x v="1"/>
    <s v="LA002/2569"/>
    <s v="Laos"/>
    <s v="Laos"/>
    <s v="บริษัท ปิก้าเทรดดิ้ง จำกัด"/>
    <s v="E+Wonton"/>
    <x v="1"/>
    <s v="เกี๊ยวกุ้งจักรพรรดิ 12x145g."/>
    <s v="082S8L212005P00001"/>
    <s v="145g*12"/>
    <n v="12"/>
    <n v="5"/>
    <n v="8.0000000000000002E-3"/>
    <s v="M"/>
    <s v="STPP"/>
    <s v="Regular"/>
    <n v="100"/>
    <n v="100"/>
    <m/>
    <n v="0"/>
    <n v="0"/>
    <n v="0"/>
    <n v="7.4999999999999997E-3"/>
    <n v="0"/>
    <m/>
    <n v="0"/>
    <n v="0"/>
  </r>
  <r>
    <s v="ชมรมกอล์ฟ ซีพี"/>
    <x v="743"/>
    <s v="03-2026"/>
    <x v="2"/>
    <e v="#N/A"/>
    <x v="1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0"/>
    <s v="145g*12"/>
    <n v="12"/>
    <n v="5"/>
    <n v="8.0000000000000002E-3"/>
    <s v="M"/>
    <s v="STPP"/>
    <s v="Regular"/>
    <n v="12"/>
    <n v="12"/>
    <m/>
    <n v="0"/>
    <n v="0"/>
    <n v="0"/>
    <n v="7.4999999999999997E-3"/>
    <n v="0"/>
    <m/>
    <n v="0"/>
    <n v="0"/>
  </r>
  <r>
    <m/>
    <x v="743"/>
    <s v="03-2026"/>
    <x v="2"/>
    <e v="#N/A"/>
    <x v="1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1"/>
    <s v="145g*12"/>
    <n v="12"/>
    <n v="5"/>
    <n v="8.0000000000000002E-3"/>
    <s v="M"/>
    <s v="STPP"/>
    <s v="Regular"/>
    <n v="2500"/>
    <n v="2500"/>
    <m/>
    <n v="0"/>
    <n v="0"/>
    <n v="0"/>
    <n v="7.4999999999999997E-3"/>
    <n v="0"/>
    <m/>
    <n v="0"/>
    <n v="0"/>
  </r>
  <r>
    <m/>
    <x v="743"/>
    <s v="02-2026"/>
    <x v="2"/>
    <e v="#N/A"/>
    <x v="1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967"/>
    <n v="967"/>
    <m/>
    <n v="0"/>
    <n v="0"/>
    <n v="0"/>
    <n v="7.4999999999999997E-3"/>
    <n v="0"/>
    <s v="กล่อง 1000/Stk 23,900"/>
    <n v="0"/>
    <n v="0"/>
  </r>
  <r>
    <m/>
    <x v="743"/>
    <s v="03-2026"/>
    <x v="2"/>
    <e v="#N/A"/>
    <x v="1"/>
    <s v="ขายภายใน"/>
    <s v="MTFS"/>
    <s v="CPFGS"/>
    <s v="ซีพีเอฟ เทรดดิ้ง"/>
    <s v="E+Wonton TY"/>
    <x v="1"/>
    <s v="เกี๊ยวกุ้งจักรพรรดิซุปต้มยำ LV CP 143g"/>
    <s v="082S83Q12005P09001"/>
    <s v="143g*12"/>
    <n v="12"/>
    <n v="5"/>
    <n v="8.0000000000000002E-3"/>
    <s v="SS"/>
    <s v="STPP"/>
    <s v="TYNSF"/>
    <n v="600"/>
    <n v="499"/>
    <n v="101"/>
    <n v="0"/>
    <n v="0"/>
    <n v="0"/>
    <n v="8.9999999999999993E-3"/>
    <n v="0"/>
    <s v="กล่อง เหลือ 240/Stk 21,000"/>
    <n v="0"/>
    <n v="0"/>
  </r>
  <r>
    <s v="R"/>
    <x v="744"/>
    <d v="2026-02-23T00:00:00"/>
    <x v="2"/>
    <e v="#N/A"/>
    <x v="1"/>
    <s v="DRY2500388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172"/>
    <n v="172"/>
    <m/>
    <n v="0"/>
    <n v="0"/>
    <n v="0"/>
    <n v="6"/>
    <n v="0"/>
    <m/>
    <n v="0"/>
    <n v="0"/>
  </r>
  <r>
    <m/>
    <x v="744"/>
    <s v="02-2026"/>
    <x v="2"/>
    <e v="#N/A"/>
    <x v="1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4005"/>
    <n v="4005"/>
    <m/>
    <n v="0"/>
    <n v="0"/>
    <n v="0"/>
    <n v="7.4999999999999997E-3"/>
    <n v="0"/>
    <s v="กล่อง 1000/Stk 23,900"/>
    <n v="0"/>
    <n v="0"/>
  </r>
  <r>
    <m/>
    <x v="744"/>
    <s v="03-2026"/>
    <x v="2"/>
    <e v="#N/A"/>
    <x v="1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52"/>
    <n v="52"/>
    <m/>
    <n v="0"/>
    <n v="0"/>
    <n v="0"/>
    <n v="7.4999999999999997E-3"/>
    <n v="0"/>
    <m/>
    <n v="0"/>
    <n v="0"/>
  </r>
  <r>
    <s v="R"/>
    <x v="745"/>
    <d v="2026-02-23T00:00:00"/>
    <x v="2"/>
    <e v="#N/A"/>
    <x v="1"/>
    <s v="DRY2500388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174"/>
    <n v="174"/>
    <m/>
    <n v="0"/>
    <n v="0"/>
    <n v="0"/>
    <n v="6"/>
    <n v="0"/>
    <m/>
    <n v="0"/>
    <n v="0"/>
  </r>
  <r>
    <m/>
    <x v="745"/>
    <s v="02-2026"/>
    <x v="2"/>
    <e v="#N/A"/>
    <x v="1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545"/>
    <n v="1545"/>
    <m/>
    <n v="0"/>
    <n v="0"/>
    <n v="0"/>
    <n v="7.4999999999999997E-3"/>
    <n v="0"/>
    <m/>
    <n v="0"/>
    <n v="0"/>
  </r>
  <r>
    <m/>
    <x v="745"/>
    <s v="03-2026"/>
    <x v="2"/>
    <e v="#N/A"/>
    <x v="1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56"/>
    <n v="56"/>
    <m/>
    <n v="0"/>
    <n v="0"/>
    <n v="0"/>
    <n v="7.4999999999999997E-3"/>
    <n v="0"/>
    <m/>
    <n v="0"/>
    <n v="0"/>
  </r>
  <r>
    <m/>
    <x v="745"/>
    <s v="03-2026"/>
    <x v="2"/>
    <e v="#N/A"/>
    <x v="1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2095"/>
    <n v="2095"/>
    <m/>
    <n v="0"/>
    <n v="0"/>
    <n v="0"/>
    <n v="7.4999999999999997E-3"/>
    <n v="0"/>
    <m/>
    <n v="0"/>
    <n v="0"/>
  </r>
  <r>
    <s v="R"/>
    <x v="746"/>
    <d v="2026-02-23T00:00:00"/>
    <x v="2"/>
    <e v="#N/A"/>
    <x v="1"/>
    <s v="DRY2500388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177"/>
    <n v="177"/>
    <m/>
    <n v="0"/>
    <n v="0"/>
    <n v="0"/>
    <n v="6"/>
    <n v="0"/>
    <m/>
    <n v="0"/>
    <n v="0"/>
  </r>
  <r>
    <m/>
    <x v="746"/>
    <s v="03-2026"/>
    <x v="2"/>
    <e v="#N/A"/>
    <x v="1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724"/>
    <n v="1724"/>
    <m/>
    <n v="0"/>
    <n v="0"/>
    <n v="0"/>
    <n v="7.4999999999999997E-3"/>
    <n v="0"/>
    <m/>
    <n v="0"/>
    <n v="0"/>
  </r>
  <r>
    <m/>
    <x v="746"/>
    <d v="2026-03-05T00:00:00"/>
    <x v="2"/>
    <e v="#N/A"/>
    <x v="1"/>
    <s v="DRY2500391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692"/>
    <n v="100"/>
    <n v="0"/>
    <n v="0"/>
    <n v="0"/>
    <n v="7.4999999999999997E-3"/>
    <n v="0"/>
    <s v="ถ้าว,ฝา สีขาว New Package   662 stock NZ"/>
    <n v="0"/>
    <n v="0"/>
  </r>
  <r>
    <m/>
    <x v="746"/>
    <d v="2026-03-12T00:00:00"/>
    <x v="2"/>
    <e v="#N/A"/>
    <x v="1"/>
    <s v="DRY2600025"/>
    <s v="AUS"/>
    <s v="CPFNW"/>
    <s v="CPF Australia Pty Ltd.(Woolworth)"/>
    <s v="Wonton ND+V"/>
    <x v="1"/>
    <s v="Cooked Wonton ND No Egg with Pumpkin_x000a_+ Yu Choy "/>
    <s v="082SJ9U05004P00001"/>
    <s v="305g*5"/>
    <n v="5"/>
    <n v="4"/>
    <n v="7.4999999999999997E-3"/>
    <s v="HC"/>
    <s v="Salt"/>
    <s v="Regular"/>
    <n v="5000"/>
    <m/>
    <n v="5000"/>
    <n v="0"/>
    <n v="0"/>
    <n v="0"/>
    <n v="7.4999999999999997E-3"/>
    <n v="0"/>
    <s v="ถ้าว,ฝา สีขาว"/>
    <n v="0"/>
    <n v="0"/>
  </r>
  <r>
    <m/>
    <x v="747"/>
    <m/>
    <x v="2"/>
    <e v="#N/A"/>
    <x v="1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748"/>
    <d v="2026-02-23T00:00:00"/>
    <x v="2"/>
    <e v="#N/A"/>
    <x v="1"/>
    <s v="DRY2500388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333"/>
    <n v="333"/>
    <m/>
    <n v="0"/>
    <n v="0"/>
    <n v="0"/>
    <n v="6"/>
    <n v="0"/>
    <m/>
    <n v="0"/>
    <n v="0"/>
  </r>
  <r>
    <s v="R"/>
    <x v="748"/>
    <d v="2026-03-02T00:00:00"/>
    <x v="2"/>
    <e v="#N/A"/>
    <x v="1"/>
    <s v="DRY2500389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30"/>
    <n v="30"/>
    <m/>
    <n v="0"/>
    <n v="0"/>
    <n v="0"/>
    <n v="6"/>
    <n v="0"/>
    <m/>
    <n v="0"/>
    <n v="0"/>
  </r>
  <r>
    <m/>
    <x v="749"/>
    <m/>
    <x v="2"/>
    <e v="#N/A"/>
    <x v="1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750"/>
    <d v="2026-03-02T00:00:00"/>
    <x v="2"/>
    <e v="#N/A"/>
    <x v="1"/>
    <s v="DRY2500389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210"/>
    <n v="210"/>
    <m/>
    <n v="0"/>
    <n v="0"/>
    <n v="0"/>
    <n v="6"/>
    <n v="0"/>
    <m/>
    <n v="0"/>
    <n v="0"/>
  </r>
  <r>
    <m/>
    <x v="750"/>
    <s v="03-2026"/>
    <x v="2"/>
    <e v="#N/A"/>
    <x v="1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954"/>
    <n v="954"/>
    <m/>
    <n v="0"/>
    <n v="0"/>
    <n v="0"/>
    <n v="7.4999999999999997E-3"/>
    <n v="0"/>
    <m/>
    <n v="0"/>
    <n v="0"/>
  </r>
  <r>
    <m/>
    <x v="750"/>
    <s v="03-2026"/>
    <x v="2"/>
    <e v="#N/A"/>
    <x v="1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"/>
    <s v="082SG1A24003P00001"/>
    <s v="250g*24"/>
    <n v="24"/>
    <n v="3"/>
    <n v="6.1999999999999998E-3"/>
    <s v="SS"/>
    <s v="STPP"/>
    <s v="หมาล่า"/>
    <n v="2492"/>
    <n v="2492"/>
    <m/>
    <n v="0"/>
    <n v="0"/>
    <n v="0"/>
    <n v="1.83E-2"/>
    <n v="0"/>
    <m/>
    <n v="0"/>
    <n v="0"/>
  </r>
  <r>
    <s v="R"/>
    <x v="751"/>
    <d v="2026-03-02T00:00:00"/>
    <x v="2"/>
    <e v="#N/A"/>
    <x v="1"/>
    <s v="DRY2500389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217"/>
    <n v="217"/>
    <m/>
    <n v="0"/>
    <n v="0"/>
    <n v="0"/>
    <n v="6"/>
    <n v="0"/>
    <m/>
    <n v="0"/>
    <n v="0"/>
  </r>
  <r>
    <m/>
    <x v="751"/>
    <s v="03-2026"/>
    <x v="2"/>
    <e v="#N/A"/>
    <x v="1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913"/>
    <n v="913"/>
    <m/>
    <n v="0"/>
    <n v="0"/>
    <n v="0"/>
    <n v="7.4999999999999997E-3"/>
    <n v="0"/>
    <m/>
    <n v="0"/>
    <n v="0"/>
  </r>
  <r>
    <m/>
    <x v="751"/>
    <s v="03-2026"/>
    <x v="2"/>
    <e v="#N/A"/>
    <x v="1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"/>
    <s v="082SG1A24003P00001"/>
    <s v="250g*24"/>
    <n v="24"/>
    <n v="3"/>
    <n v="6.1999999999999998E-3"/>
    <s v="SS"/>
    <s v="STPP"/>
    <s v="หมาล่า"/>
    <n v="2505"/>
    <n v="2505"/>
    <m/>
    <n v="0"/>
    <n v="0"/>
    <n v="0"/>
    <n v="1.83E-2"/>
    <n v="0"/>
    <m/>
    <n v="0"/>
    <n v="0"/>
  </r>
  <r>
    <s v="R"/>
    <x v="752"/>
    <d v="2026-03-02T00:00:00"/>
    <x v="2"/>
    <e v="#N/A"/>
    <x v="1"/>
    <s v="DRY2500389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212"/>
    <n v="212"/>
    <m/>
    <n v="0"/>
    <n v="0"/>
    <n v="0"/>
    <n v="6"/>
    <n v="0"/>
    <m/>
    <n v="0"/>
    <n v="0"/>
  </r>
  <r>
    <m/>
    <x v="752"/>
    <s v="03-2026"/>
    <x v="2"/>
    <e v="#N/A"/>
    <x v="1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1260"/>
    <n v="1260"/>
    <m/>
    <n v="0"/>
    <n v="0"/>
    <n v="0"/>
    <n v="1.7000000000000001E-2"/>
    <n v="0"/>
    <m/>
    <n v="0"/>
    <n v="0"/>
  </r>
  <r>
    <m/>
    <x v="752"/>
    <s v="03-2026"/>
    <x v="2"/>
    <e v="#N/A"/>
    <x v="1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2082"/>
    <n v="2082"/>
    <m/>
    <n v="0"/>
    <n v="0"/>
    <n v="0"/>
    <n v="7.4999999999999997E-3"/>
    <n v="0"/>
    <m/>
    <n v="0"/>
    <n v="0"/>
  </r>
  <r>
    <s v="R"/>
    <x v="753"/>
    <d v="2026-03-02T00:00:00"/>
    <x v="2"/>
    <e v="#N/A"/>
    <x v="1"/>
    <s v="DRY2500389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211"/>
    <n v="211"/>
    <m/>
    <n v="0"/>
    <n v="0"/>
    <n v="0"/>
    <n v="6"/>
    <n v="0"/>
    <m/>
    <n v="0"/>
    <n v="0"/>
  </r>
  <r>
    <m/>
    <x v="753"/>
    <s v="03-2026"/>
    <x v="2"/>
    <e v="#N/A"/>
    <x v="1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1334"/>
    <n v="1334"/>
    <m/>
    <n v="0"/>
    <n v="0"/>
    <n v="0"/>
    <n v="1.7000000000000001E-2"/>
    <n v="0"/>
    <m/>
    <n v="0"/>
    <n v="0"/>
  </r>
  <r>
    <m/>
    <x v="753"/>
    <s v="03-2026"/>
    <x v="2"/>
    <e v="#N/A"/>
    <x v="1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1312"/>
    <n v="1312"/>
    <m/>
    <n v="0"/>
    <n v="0"/>
    <n v="0"/>
    <n v="7.4999999999999997E-3"/>
    <n v="0"/>
    <m/>
    <n v="0"/>
    <n v="0"/>
  </r>
  <r>
    <m/>
    <x v="753"/>
    <s v="03-2026"/>
    <x v="2"/>
    <e v="#N/A"/>
    <x v="1"/>
    <s v="ขายภายใน"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875"/>
    <n v="758"/>
    <n v="117"/>
    <n v="0"/>
    <n v="0"/>
    <n v="0"/>
    <n v="1"/>
    <n v="0"/>
    <m/>
    <n v="0"/>
    <n v="0"/>
  </r>
  <r>
    <m/>
    <x v="754"/>
    <m/>
    <x v="2"/>
    <e v="#N/A"/>
    <x v="1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755"/>
    <d v="2026-03-02T00:00:00"/>
    <x v="2"/>
    <e v="#N/A"/>
    <x v="1"/>
    <s v="DRY2500389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160"/>
    <n v="160"/>
    <m/>
    <n v="0"/>
    <n v="0"/>
    <n v="0"/>
    <n v="6"/>
    <n v="0"/>
    <m/>
    <n v="0"/>
    <n v="0"/>
  </r>
  <r>
    <m/>
    <x v="755"/>
    <s v="03-2026"/>
    <x v="2"/>
    <e v="#N/A"/>
    <x v="1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1177"/>
    <n v="1177"/>
    <m/>
    <n v="0"/>
    <n v="0"/>
    <n v="0"/>
    <n v="1.7000000000000001E-2"/>
    <n v="0"/>
    <m/>
    <n v="0"/>
    <n v="0"/>
  </r>
  <r>
    <m/>
    <x v="755"/>
    <d v="2026-03-04T00:00:00"/>
    <x v="2"/>
    <e v="#N/A"/>
    <x v="1"/>
    <s v="DRY2500384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5000"/>
    <m/>
    <n v="5010"/>
    <n v="10"/>
    <n v="0"/>
    <n v="0"/>
    <n v="7.4999999999999997E-3"/>
    <n v="0"/>
    <m/>
    <n v="0"/>
    <n v="0"/>
  </r>
  <r>
    <s v="R"/>
    <x v="756"/>
    <d v="2026-03-10T00:00:00"/>
    <x v="2"/>
    <e v="#N/A"/>
    <x v="1"/>
    <s v="DRY2600022"/>
    <s v="SG"/>
    <s v="CPFNW"/>
    <s v="CP FOODS SINGAPORE PTE. LTD"/>
    <s v="R-Wonton egg past"/>
    <x v="2"/>
    <s v="Raw Wonton 8 pcs"/>
    <s v="082I93B20008P00001"/>
    <s v="194g*20in"/>
    <n v="20"/>
    <n v="8"/>
    <n v="1.4999999999999999E-2"/>
    <s v="JB"/>
    <s v="STPP"/>
    <s v="ซุปซอง 5g."/>
    <n v="250"/>
    <n v="250"/>
    <m/>
    <n v="0"/>
    <n v="0"/>
    <n v="0"/>
    <n v="2"/>
    <n v="0"/>
    <s v="ห่อแบบดิบ"/>
    <n v="0"/>
    <n v="0"/>
  </r>
  <r>
    <s v="R"/>
    <x v="756"/>
    <d v="2026-03-10T00:00:00"/>
    <x v="2"/>
    <e v="#N/A"/>
    <x v="1"/>
    <s v="DRY2500352"/>
    <s v="SG"/>
    <s v="CPFNW"/>
    <s v="CP FOODS SINGAPORE PTE. LTD"/>
    <s v="R-Wonton egg past"/>
    <x v="2"/>
    <s v="Raw Wonton 8 pcs (Tomyam 30g.)"/>
    <s v="082I93B18008P01001"/>
    <s v="126g*18in"/>
    <n v="18"/>
    <n v="8"/>
    <n v="6.8100000000000001E-3"/>
    <s v="S"/>
    <s v="STPP"/>
    <s v="TYTB3C 30G"/>
    <n v="500"/>
    <n v="500"/>
    <m/>
    <n v="0"/>
    <n v="0"/>
    <n v="0"/>
    <n v="1"/>
    <n v="0"/>
    <m/>
    <n v="0"/>
    <n v="0"/>
  </r>
  <r>
    <s v="R"/>
    <x v="756"/>
    <d v="2026-03-10T00:00:00"/>
    <x v="2"/>
    <e v="#N/A"/>
    <x v="1"/>
    <s v="DRY2500367"/>
    <s v="SG"/>
    <s v="CPFNW"/>
    <s v="CP FOODS SINGAPORE PTE. LTD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899"/>
    <n v="255"/>
    <n v="644"/>
    <n v="0"/>
    <n v="0"/>
    <n v="0"/>
    <n v="2"/>
    <n v="0"/>
    <s v="ห่อแบบสุก"/>
    <n v="0"/>
    <n v="0"/>
  </r>
  <r>
    <m/>
    <x v="756"/>
    <s v="03-2026"/>
    <x v="2"/>
    <e v="#N/A"/>
    <x v="1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1302"/>
    <n v="1302"/>
    <m/>
    <n v="0"/>
    <n v="0"/>
    <n v="0"/>
    <n v="1.7000000000000001E-2"/>
    <n v="0"/>
    <m/>
    <n v="0"/>
    <n v="0"/>
  </r>
  <r>
    <m/>
    <x v="756"/>
    <d v="2026-03-12T00:00:00"/>
    <x v="2"/>
    <e v="#N/A"/>
    <x v="1"/>
    <s v="DRY2600026"/>
    <s v="AUS"/>
    <s v="CPFNW"/>
    <s v="CPF Australia Pty Ltd.(Woolworth)"/>
    <s v="Wonton ND+V"/>
    <x v="1"/>
    <s v="Cooked Wonton ND No Egg with Pumpkin_x000a_+ Yu Choy "/>
    <s v="082SJ9U05004P00001"/>
    <s v="305g*5"/>
    <n v="5"/>
    <n v="4"/>
    <n v="7.4999999999999997E-3"/>
    <s v="HC"/>
    <s v="Salt"/>
    <s v="Regular"/>
    <n v="5000"/>
    <m/>
    <n v="5000"/>
    <n v="0"/>
    <n v="0"/>
    <n v="0"/>
    <n v="7.4999999999999997E-3"/>
    <n v="0"/>
    <s v="ถ้าว,ฝา สีขาว"/>
    <n v="0"/>
    <n v="0"/>
  </r>
  <r>
    <m/>
    <x v="756"/>
    <d v="2026-03-19T00:00:00"/>
    <x v="2"/>
    <e v="#N/A"/>
    <x v="1"/>
    <s v="DRY2600027"/>
    <s v="AUS"/>
    <s v="CPFNW"/>
    <s v="CPF Australia Pty Ltd.(Woolworth)"/>
    <s v="Wonton ND+V"/>
    <x v="1"/>
    <s v="Cooked Wonton ND No Egg with Pumpkin_x000a_+ Yu Choy "/>
    <s v="082SJ9U05004P00001"/>
    <s v="305g*5"/>
    <n v="5"/>
    <n v="4"/>
    <n v="7.4999999999999997E-3"/>
    <s v="HC"/>
    <s v="Salt"/>
    <s v="Regular"/>
    <n v="5000"/>
    <m/>
    <n v="5000"/>
    <n v="0"/>
    <n v="0"/>
    <n v="0"/>
    <n v="7.4999999999999997E-3"/>
    <n v="0"/>
    <s v="ถ้าว,ฝา สีขาว"/>
    <n v="0"/>
    <n v="0"/>
  </r>
  <r>
    <s v="R"/>
    <x v="757"/>
    <d v="2026-03-06T00:00:00"/>
    <x v="2"/>
    <e v="#N/A"/>
    <x v="1"/>
    <s v="KL2600007"/>
    <s v="China"/>
    <s v="China"/>
    <s v="Sam's (Shanghai) Investment Co., Ltd."/>
    <s v="R-Wonton egg past"/>
    <x v="2"/>
    <s v="Raw Wonton 60 pcs"/>
    <s v="082I9SC08060P00001"/>
    <s v="770g*8in"/>
    <n v="8"/>
    <n v="60"/>
    <n v="6.8100000000000001E-3"/>
    <s v="S"/>
    <s v="Salt"/>
    <s v="ซุปซอง 5g."/>
    <n v="925"/>
    <m/>
    <n v="925"/>
    <n v="0"/>
    <n v="0"/>
    <n v="0"/>
    <n v="10"/>
    <n v="0"/>
    <m/>
    <n v="0"/>
    <n v="0"/>
  </r>
  <r>
    <m/>
    <x v="757"/>
    <s v="03-2026"/>
    <x v="2"/>
    <e v="#N/A"/>
    <x v="1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1141"/>
    <n v="1141"/>
    <m/>
    <n v="0"/>
    <n v="0"/>
    <n v="0"/>
    <n v="1.7000000000000001E-2"/>
    <n v="0"/>
    <m/>
    <n v="0"/>
    <n v="0"/>
  </r>
  <r>
    <m/>
    <x v="757"/>
    <d v="2026-03-12T00:00:00"/>
    <x v="2"/>
    <e v="#N/A"/>
    <x v="1"/>
    <s v="DRY2600028"/>
    <s v="AUS"/>
    <s v="CPFNW"/>
    <s v="CPF Australia Pty Ltd.(Woolworth)"/>
    <s v="Minced ND+V+TK"/>
    <x v="1"/>
    <s v="Cooked Minced  ND No Egg with Pumpkin_x000a_+ Yu Choy Tomkha"/>
    <s v="082SR9U05003P01001"/>
    <s v="302g*5"/>
    <n v="5"/>
    <n v="3"/>
    <n v="6.0000000000000001E-3"/>
    <s v="BK"/>
    <s v="Salt"/>
    <s v="Tomkha+CM"/>
    <n v="5000"/>
    <m/>
    <n v="5000"/>
    <n v="0"/>
    <n v="0"/>
    <n v="0"/>
    <n v="5.8823E-2"/>
    <n v="0"/>
    <s v="ถ้าว,ฝา สีขาว"/>
    <n v="0"/>
    <n v="0"/>
  </r>
  <r>
    <m/>
    <x v="757"/>
    <d v="2026-03-19T00:00:00"/>
    <x v="2"/>
    <e v="#N/A"/>
    <x v="1"/>
    <s v="DRY2600029"/>
    <s v="AUS"/>
    <s v="CPFNW"/>
    <s v="CPF Australia Pty Ltd.(Woolworth)"/>
    <s v="Minced ND+V+TK"/>
    <x v="1"/>
    <s v="Cooked Minced  ND No Egg with Pumpkin_x000a_+ Yu Choy Tomkha"/>
    <s v="082SR9U05003P01001"/>
    <s v="302g*5"/>
    <n v="5"/>
    <n v="3"/>
    <n v="6.0000000000000001E-3"/>
    <s v="BK"/>
    <s v="Salt"/>
    <s v="Tomkha+CM"/>
    <n v="5000"/>
    <n v="74"/>
    <n v="4934.3999999999996"/>
    <n v="8.3999999999996362"/>
    <n v="0"/>
    <n v="0"/>
    <n v="5.8823E-2"/>
    <n v="0"/>
    <s v="ถ้าว,ฝา สีขาว"/>
    <n v="0"/>
    <n v="0"/>
  </r>
  <r>
    <s v="R"/>
    <x v="758"/>
    <d v="2026-03-06T00:00:00"/>
    <x v="2"/>
    <e v="#N/A"/>
    <x v="1"/>
    <s v="KL2600007"/>
    <s v="China"/>
    <s v="China"/>
    <s v="Sam's (Shanghai) Investment Co., Ltd."/>
    <s v="R-Wonton egg past"/>
    <x v="2"/>
    <s v="Raw Wonton 60 pcs"/>
    <s v="082I9SC08060P00001"/>
    <s v="770g*8in"/>
    <n v="8"/>
    <n v="60"/>
    <n v="6.8100000000000001E-3"/>
    <s v="S"/>
    <s v="Salt"/>
    <s v="ซุปซอง 5g."/>
    <n v="483"/>
    <n v="483"/>
    <m/>
    <n v="0"/>
    <n v="0"/>
    <n v="0"/>
    <n v="10"/>
    <n v="0"/>
    <m/>
    <n v="0"/>
    <n v="0"/>
  </r>
  <r>
    <s v="R"/>
    <x v="758"/>
    <d v="2026-03-09T00:00:00"/>
    <x v="2"/>
    <e v="#N/A"/>
    <x v="1"/>
    <s v="KL2600006"/>
    <s v="China"/>
    <s v="China"/>
    <s v="Sam's (Shanghai) Investment Co., Ltd."/>
    <s v="R-Wonton egg past"/>
    <x v="2"/>
    <s v="Raw Wonton 60 pcs"/>
    <s v="082I9SC08060P00001"/>
    <s v="770g*8in"/>
    <n v="8"/>
    <n v="60"/>
    <n v="6.8100000000000001E-3"/>
    <s v="S"/>
    <s v="Salt"/>
    <s v="ซุปซอง 5g."/>
    <n v="576"/>
    <n v="576"/>
    <m/>
    <n v="0"/>
    <n v="0"/>
    <n v="0"/>
    <n v="10"/>
    <n v="0"/>
    <m/>
    <n v="0"/>
    <n v="0"/>
  </r>
  <r>
    <m/>
    <x v="758"/>
    <s v="03-2026"/>
    <x v="2"/>
    <e v="#N/A"/>
    <x v="1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1231"/>
    <n v="1231"/>
    <m/>
    <n v="0"/>
    <n v="0"/>
    <n v="0"/>
    <n v="1.7000000000000001E-2"/>
    <n v="0"/>
    <m/>
    <n v="0"/>
    <n v="0"/>
  </r>
  <r>
    <s v="ชดเชยของกัก R"/>
    <x v="759"/>
    <d v="2026-03-02T00:00:00"/>
    <x v="2"/>
    <e v="#N/A"/>
    <x v="1"/>
    <s v="DRY2500389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215"/>
    <n v="215"/>
    <m/>
    <n v="0"/>
    <n v="0"/>
    <n v="0"/>
    <n v="6"/>
    <n v="0"/>
    <s v="ชดเชยของกัก"/>
    <n v="0"/>
    <n v="0"/>
  </r>
  <r>
    <s v="R"/>
    <x v="759"/>
    <d v="2026-03-12T00:00:00"/>
    <x v="2"/>
    <e v="#N/A"/>
    <x v="1"/>
    <s v="DRY2500390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8"/>
    <n v="8"/>
    <m/>
    <n v="0"/>
    <n v="0"/>
    <n v="0"/>
    <n v="6"/>
    <n v="0"/>
    <m/>
    <n v="0"/>
    <n v="0"/>
  </r>
  <r>
    <m/>
    <x v="759"/>
    <s v="03-2026"/>
    <x v="2"/>
    <e v="#N/A"/>
    <x v="1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1021"/>
    <n v="1021"/>
    <m/>
    <n v="0"/>
    <n v="0"/>
    <n v="0"/>
    <n v="1.7000000000000001E-2"/>
    <n v="0"/>
    <m/>
    <n v="0"/>
    <n v="0"/>
  </r>
  <r>
    <m/>
    <x v="759"/>
    <d v="2026-03-12T00:00:00"/>
    <x v="2"/>
    <e v="#N/A"/>
    <x v="1"/>
    <s v="DRY2600030"/>
    <s v="AUS"/>
    <s v="CPFNW"/>
    <s v="CPF Australia Pty Ltd.(Woolworth)"/>
    <s v="Minced ND+Kee Mao"/>
    <x v="1"/>
    <s v="Cooked Minced Wonton Thai Spicy Noodles (Kee Mao Noodles)"/>
    <s v="082SR9U05003P00001"/>
    <s v="283g*5"/>
    <n v="5"/>
    <n v="3"/>
    <n v="6.0000000000000001E-3"/>
    <s v="BK"/>
    <s v="Salt"/>
    <s v="Kee Mao"/>
    <n v="5000"/>
    <m/>
    <n v="5000"/>
    <n v="0"/>
    <n v="0"/>
    <n v="0"/>
    <n v="1"/>
    <n v="0"/>
    <s v="ถ้าว,ฝา สีขาว"/>
    <n v="0"/>
    <n v="0"/>
  </r>
  <r>
    <m/>
    <x v="759"/>
    <d v="2026-03-19T00:00:00"/>
    <x v="2"/>
    <e v="#N/A"/>
    <x v="1"/>
    <s v="DRY2600031"/>
    <s v="AUS"/>
    <s v="CPFNW"/>
    <s v="CPF Australia Pty Ltd.(Woolworth)"/>
    <s v="Minced ND+Kee Mao"/>
    <x v="1"/>
    <s v="Cooked Minced Wonton Thai Spicy Noodles (Kee Mao Noodles)"/>
    <s v="082SR9U05003P00001"/>
    <s v="283g*5"/>
    <n v="5"/>
    <n v="3"/>
    <n v="6.0000000000000001E-3"/>
    <s v="BK"/>
    <s v="Salt"/>
    <s v="Kee Mao"/>
    <n v="5000"/>
    <m/>
    <n v="5000"/>
    <n v="0"/>
    <n v="0"/>
    <n v="0"/>
    <n v="1"/>
    <n v="0"/>
    <s v="ถ้าว,ฝา สีขาว"/>
    <n v="0"/>
    <n v="0"/>
  </r>
  <r>
    <s v="R"/>
    <x v="760"/>
    <d v="2026-03-09T00:00:00"/>
    <x v="2"/>
    <e v="#N/A"/>
    <x v="1"/>
    <s v="KL2600006"/>
    <s v="China"/>
    <s v="China"/>
    <s v="Sam's (Shanghai) Investment Co., Ltd."/>
    <s v="R-Wonton egg past"/>
    <x v="2"/>
    <s v="Raw Wonton 60 pcs"/>
    <s v="082I9SC08060P00001"/>
    <s v="770g*8in"/>
    <n v="8"/>
    <n v="60"/>
    <n v="6.8100000000000001E-3"/>
    <s v="S"/>
    <s v="Salt"/>
    <s v="ซุปซอง 5g."/>
    <n v="832"/>
    <n v="832"/>
    <n v="15"/>
    <n v="15"/>
    <n v="0"/>
    <n v="0"/>
    <n v="10"/>
    <n v="0"/>
    <m/>
    <n v="0"/>
    <n v="0"/>
  </r>
  <r>
    <m/>
    <x v="760"/>
    <s v="03-2026"/>
    <x v="2"/>
    <e v="#N/A"/>
    <x v="1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1351"/>
    <n v="1351"/>
    <m/>
    <n v="0"/>
    <n v="0"/>
    <n v="0"/>
    <n v="1.7000000000000001E-2"/>
    <n v="0"/>
    <m/>
    <n v="0"/>
    <n v="0"/>
  </r>
  <r>
    <m/>
    <x v="760"/>
    <d v="2026-03-10T00:00:00"/>
    <x v="2"/>
    <e v="#N/A"/>
    <x v="1"/>
    <s v="DRY2600021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m/>
    <x v="761"/>
    <m/>
    <x v="2"/>
    <e v="#N/A"/>
    <x v="2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762"/>
    <s v="03-2026"/>
    <x v="2"/>
    <e v="#N/A"/>
    <x v="2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s v="-"/>
    <n v="500"/>
    <n v="500"/>
    <m/>
    <n v="0"/>
    <n v="0"/>
    <n v="0"/>
    <m/>
    <n v="0"/>
    <m/>
    <n v="0"/>
    <n v="0"/>
  </r>
  <r>
    <s v="R"/>
    <x v="762"/>
    <s v="03-2026"/>
    <x v="2"/>
    <e v="#N/A"/>
    <x v="2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s v="-"/>
    <n v="256"/>
    <n v="256"/>
    <m/>
    <n v="0"/>
    <n v="0"/>
    <n v="0"/>
    <m/>
    <n v="0"/>
    <m/>
    <n v="0"/>
    <n v="0"/>
  </r>
  <r>
    <s v="R"/>
    <x v="762"/>
    <d v="2026-03-10T00:00:00"/>
    <x v="2"/>
    <e v="#N/A"/>
    <x v="2"/>
    <s v="DRY2500367"/>
    <s v="SG"/>
    <s v="CPFNW"/>
    <s v="CP FOODS SINGAPORE PTE. LTD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601"/>
    <n v="513"/>
    <n v="104"/>
    <n v="16"/>
    <n v="0"/>
    <n v="0"/>
    <n v="2"/>
    <n v="0"/>
    <s v="ห่อแบบสุก"/>
    <n v="0"/>
    <n v="0"/>
  </r>
  <r>
    <m/>
    <x v="762"/>
    <s v="03-2026"/>
    <x v="2"/>
    <e v="#N/A"/>
    <x v="2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1347"/>
    <n v="1347"/>
    <m/>
    <n v="0"/>
    <n v="0"/>
    <n v="0"/>
    <n v="1.7000000000000001E-2"/>
    <n v="0"/>
    <m/>
    <n v="0"/>
    <n v="0"/>
  </r>
  <r>
    <m/>
    <x v="762"/>
    <d v="2026-03-10T00:00:00"/>
    <x v="2"/>
    <e v="#N/A"/>
    <x v="2"/>
    <s v="DRY2500383"/>
    <s v="SG"/>
    <s v="CPFNW"/>
    <s v="CP FOODS SINGAPORE PTE. LTD"/>
    <s v="Wonton ND+V"/>
    <x v="1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250"/>
    <n v="250"/>
    <m/>
    <n v="0"/>
    <n v="0"/>
    <n v="0"/>
    <n v="1"/>
    <n v="0"/>
    <m/>
    <n v="0"/>
    <n v="0"/>
  </r>
  <r>
    <m/>
    <x v="762"/>
    <d v="2026-03-12T00:00:00"/>
    <x v="2"/>
    <e v="#N/A"/>
    <x v="2"/>
    <s v="DRY2600066"/>
    <s v="New Zealand"/>
    <s v="CPFNW"/>
    <s v="Lim Brothers Import&amp;Export Co.,Ltd."/>
    <s v="Wonton ND+V"/>
    <x v="1"/>
    <s v="Cooked Wonton ND No Egg with Pumpkin_x000a_+ Yu Choy "/>
    <s v="082SJN708004P00001"/>
    <s v="305g*8"/>
    <n v="8"/>
    <n v="4"/>
    <n v="7.4999999999999997E-3"/>
    <s v="HC"/>
    <s v="Salt"/>
    <s v="Regular"/>
    <n v="1456"/>
    <m/>
    <n v="1456"/>
    <n v="0"/>
    <n v="0"/>
    <n v="0"/>
    <n v="7.4999999999999997E-3"/>
    <n v="0"/>
    <m/>
    <n v="0"/>
    <n v="0"/>
  </r>
  <r>
    <m/>
    <x v="762"/>
    <d v="2026-03-12T00:00:00"/>
    <x v="2"/>
    <e v="#N/A"/>
    <x v="2"/>
    <s v="DRY2500380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SG+CO"/>
    <n v="924"/>
    <n v="924"/>
    <m/>
    <n v="0"/>
    <n v="0"/>
    <n v="0"/>
    <n v="3.8699999999999998E-2"/>
    <n v="0"/>
    <m/>
    <n v="0"/>
    <n v="0"/>
  </r>
  <r>
    <m/>
    <x v="762"/>
    <d v="2026-03-19T00:00:00"/>
    <x v="2"/>
    <e v="#N/A"/>
    <x v="2"/>
    <s v="DRY2600054"/>
    <s v="AUS"/>
    <s v="CPFNW"/>
    <s v="CPF Australia Pty Ltd."/>
    <s v="Minced ND+V+TY"/>
    <x v="1"/>
    <s v="Cooked Minced  ND No Egg with Pumpkin_x000a_+ Yu Choy Tomyum"/>
    <s v="082SR9U08003P00001"/>
    <s v="302g*8"/>
    <n v="8"/>
    <n v="3"/>
    <n v="6.0000000000000001E-3"/>
    <s v="BK"/>
    <s v="Salt"/>
    <s v="TYEXSG+CO"/>
    <n v="400"/>
    <m/>
    <n v="431.625"/>
    <n v="31.625"/>
    <n v="0"/>
    <n v="0"/>
    <n v="3.8699999999999998E-2"/>
    <n v="0"/>
    <s v="ใช้ Package เก่า  จำนวน 132 กล่อง  โดยจะปิด  Opp Tape  สีแดงไปค่ะ"/>
    <n v="0"/>
    <n v="0"/>
  </r>
  <r>
    <s v="R"/>
    <x v="763"/>
    <d v="2026-03-12T00:00:00"/>
    <x v="2"/>
    <e v="#N/A"/>
    <x v="2"/>
    <s v="DRY2500390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243"/>
    <n v="243"/>
    <m/>
    <n v="0"/>
    <n v="0"/>
    <n v="0"/>
    <n v="6"/>
    <n v="0"/>
    <m/>
    <n v="0"/>
    <n v="0"/>
  </r>
  <r>
    <m/>
    <x v="763"/>
    <s v="03-2026"/>
    <x v="2"/>
    <e v="#N/A"/>
    <x v="2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1329"/>
    <n v="1329"/>
    <m/>
    <n v="0"/>
    <n v="0"/>
    <n v="0"/>
    <n v="1.7000000000000001E-2"/>
    <n v="0"/>
    <m/>
    <n v="0"/>
    <n v="0"/>
  </r>
  <r>
    <m/>
    <x v="763"/>
    <d v="2026-03-10T00:00:00"/>
    <x v="2"/>
    <e v="#N/A"/>
    <x v="2"/>
    <s v="DRY2500383"/>
    <s v="SG"/>
    <s v="CPFNW"/>
    <s v="CP FOODS SINGAPORE PTE. LTD"/>
    <s v="Wonton"/>
    <x v="1"/>
    <s v="Cooked Wonton No Egg"/>
    <s v="082S83B24005P07001"/>
    <s v="145g*24"/>
    <n v="24"/>
    <n v="5"/>
    <n v="8.0000000000000002E-3"/>
    <s v="M"/>
    <s v="STPP"/>
    <s v="Regular"/>
    <n v="250"/>
    <n v="250"/>
    <m/>
    <n v="0"/>
    <n v="0"/>
    <n v="0"/>
    <n v="1"/>
    <n v="0"/>
    <m/>
    <n v="0"/>
    <n v="0"/>
  </r>
  <r>
    <m/>
    <x v="763"/>
    <d v="2026-03-10T00:00:00"/>
    <x v="2"/>
    <e v="#N/A"/>
    <x v="2"/>
    <s v="DRY2500383"/>
    <s v="SG"/>
    <s v="CPFNW"/>
    <s v="CP FOODS SINGAPORE PTE. LTD"/>
    <s v="Wonton +TY"/>
    <x v="1"/>
    <s v="Cooked Wonton No Egg"/>
    <s v="082S83B24005P06001"/>
    <s v="115g*24"/>
    <n v="24"/>
    <n v="5"/>
    <n v="8.0000000000000002E-3"/>
    <s v="M"/>
    <s v="STPP"/>
    <s v="TYTB3C 30G"/>
    <n v="250"/>
    <n v="250"/>
    <m/>
    <n v="0"/>
    <n v="0"/>
    <n v="0"/>
    <n v="1"/>
    <n v="0"/>
    <m/>
    <n v="0"/>
    <n v="0"/>
  </r>
  <r>
    <m/>
    <x v="763"/>
    <d v="2026-03-09T00:00:00"/>
    <x v="2"/>
    <e v="#N/A"/>
    <x v="2"/>
    <s v="DRY2600024"/>
    <s v="Korea"/>
    <s v="CPFNW"/>
    <s v="Consumer Package Commerce"/>
    <s v="Minced ND"/>
    <x v="1"/>
    <s v="Cooked Minced Wonton Noodle"/>
    <s v="082SR3U12004P00001"/>
    <s v="231g*12"/>
    <n v="12"/>
    <n v="4"/>
    <n v="6.0000000000000001E-3"/>
    <s v="BK"/>
    <s v="Salt"/>
    <s v="Regular"/>
    <n v="2500"/>
    <n v="2500"/>
    <m/>
    <n v="0"/>
    <n v="0"/>
    <n v="0"/>
    <n v="7.4999999999999997E-3"/>
    <n v="0"/>
    <m/>
    <n v="0"/>
    <n v="0"/>
  </r>
  <r>
    <s v="R"/>
    <x v="764"/>
    <d v="2026-03-12T00:00:00"/>
    <x v="2"/>
    <e v="#N/A"/>
    <x v="2"/>
    <s v="DRY2500390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243"/>
    <n v="243"/>
    <m/>
    <n v="0"/>
    <n v="0"/>
    <n v="0"/>
    <n v="6"/>
    <n v="0"/>
    <m/>
    <n v="0"/>
    <n v="0"/>
  </r>
  <r>
    <m/>
    <x v="764"/>
    <s v="03-2026"/>
    <x v="2"/>
    <e v="#N/A"/>
    <x v="2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1324"/>
    <n v="1324"/>
    <m/>
    <n v="0"/>
    <n v="0"/>
    <n v="0"/>
    <n v="1.7000000000000001E-2"/>
    <n v="0"/>
    <m/>
    <n v="0"/>
    <n v="0"/>
  </r>
  <r>
    <m/>
    <x v="764"/>
    <s v="03-2026"/>
    <x v="2"/>
    <e v="#N/A"/>
    <x v="2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2553"/>
    <n v="2553"/>
    <m/>
    <n v="0"/>
    <n v="0"/>
    <n v="0"/>
    <n v="7.4999999999999997E-3"/>
    <n v="0"/>
    <m/>
    <n v="0"/>
    <n v="0"/>
  </r>
  <r>
    <s v="R"/>
    <x v="765"/>
    <d v="2026-03-12T00:00:00"/>
    <x v="2"/>
    <e v="#N/A"/>
    <x v="2"/>
    <s v="DRY2500390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242"/>
    <n v="242"/>
    <m/>
    <n v="0"/>
    <n v="0"/>
    <n v="0"/>
    <n v="6"/>
    <n v="0"/>
    <m/>
    <n v="0"/>
    <n v="0"/>
  </r>
  <r>
    <m/>
    <x v="765"/>
    <s v="03-2026"/>
    <x v="2"/>
    <e v="#N/A"/>
    <x v="2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1319"/>
    <n v="1319"/>
    <m/>
    <n v="0"/>
    <n v="0"/>
    <n v="0"/>
    <n v="1.7000000000000001E-2"/>
    <n v="0"/>
    <m/>
    <n v="0"/>
    <n v="0"/>
  </r>
  <r>
    <m/>
    <x v="765"/>
    <s v="03-2026"/>
    <x v="2"/>
    <e v="#N/A"/>
    <x v="2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2428"/>
    <n v="2428"/>
    <m/>
    <n v="0"/>
    <n v="0"/>
    <n v="0"/>
    <n v="7.4999999999999997E-3"/>
    <n v="0"/>
    <m/>
    <n v="0"/>
    <n v="0"/>
  </r>
  <r>
    <s v="R"/>
    <x v="766"/>
    <d v="2026-03-12T00:00:00"/>
    <x v="2"/>
    <e v="#N/A"/>
    <x v="2"/>
    <s v="DRY2500390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243"/>
    <n v="243"/>
    <m/>
    <n v="0"/>
    <n v="0"/>
    <n v="0"/>
    <n v="6"/>
    <n v="0"/>
    <m/>
    <n v="0"/>
    <n v="0"/>
  </r>
  <r>
    <m/>
    <x v="766"/>
    <s v="03-2026"/>
    <x v="2"/>
    <e v="#N/A"/>
    <x v="2"/>
    <s v="ขายภายใน"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325"/>
    <n v="326"/>
    <m/>
    <n v="1"/>
    <n v="0"/>
    <n v="0"/>
    <n v="1"/>
    <n v="0"/>
    <m/>
    <n v="0"/>
    <n v="0"/>
  </r>
  <r>
    <m/>
    <x v="766"/>
    <s v="03-2026"/>
    <x v="2"/>
    <e v="#N/A"/>
    <x v="2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1321"/>
    <n v="1321"/>
    <m/>
    <n v="0"/>
    <n v="0"/>
    <n v="0"/>
    <n v="7.4999999999999997E-3"/>
    <n v="0"/>
    <m/>
    <n v="0"/>
    <n v="0"/>
  </r>
  <r>
    <m/>
    <x v="766"/>
    <s v="03-2026"/>
    <x v="2"/>
    <e v="#N/A"/>
    <x v="2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"/>
    <s v="082SG1A24003P00001"/>
    <s v="250g*24"/>
    <n v="24"/>
    <n v="3"/>
    <n v="6.1999999999999998E-3"/>
    <s v="SS"/>
    <s v="STPP"/>
    <s v="หมาล่า"/>
    <n v="603"/>
    <n v="603"/>
    <m/>
    <n v="0"/>
    <n v="0"/>
    <n v="0"/>
    <n v="1.83E-2"/>
    <n v="0"/>
    <m/>
    <n v="0"/>
    <n v="0"/>
  </r>
  <r>
    <m/>
    <x v="766"/>
    <s v="03-2026"/>
    <x v="2"/>
    <e v="#N/A"/>
    <x v="2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"/>
    <s v="082SG1A24003P00001"/>
    <s v="250g*24"/>
    <n v="24"/>
    <n v="3"/>
    <n v="6.1999999999999998E-3"/>
    <s v="SS"/>
    <s v="STPP"/>
    <s v="หมาล่า"/>
    <n v="2262"/>
    <n v="2262"/>
    <m/>
    <n v="0"/>
    <n v="0"/>
    <n v="0"/>
    <n v="1.83E-2"/>
    <n v="0"/>
    <m/>
    <n v="0"/>
    <n v="0"/>
  </r>
  <r>
    <s v="R"/>
    <x v="767"/>
    <d v="2026-03-12T00:00:00"/>
    <x v="2"/>
    <e v="#N/A"/>
    <x v="2"/>
    <s v="DRY2500390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61"/>
    <n v="61"/>
    <m/>
    <n v="0"/>
    <n v="0"/>
    <n v="0"/>
    <n v="6"/>
    <n v="0"/>
    <m/>
    <n v="0"/>
    <n v="0"/>
  </r>
  <r>
    <s v="R"/>
    <x v="767"/>
    <d v="2026-04-20T00:00:00"/>
    <x v="2"/>
    <e v="#N/A"/>
    <x v="2"/>
    <s v="DRY2500392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169"/>
    <n v="169"/>
    <m/>
    <n v="0"/>
    <n v="0"/>
    <n v="0"/>
    <n v="6"/>
    <n v="0"/>
    <m/>
    <n v="0"/>
    <n v="0"/>
  </r>
  <r>
    <m/>
    <x v="767"/>
    <d v="2026-03-19T00:00:00"/>
    <x v="2"/>
    <e v="#N/A"/>
    <x v="2"/>
    <s v="DRY2600054"/>
    <s v="AUS"/>
    <s v="CPFNW"/>
    <s v="CPF Australia Pty Ltd."/>
    <s v="Wonton ND+V"/>
    <x v="1"/>
    <s v="Cooked Wonton ND No Egg with Pumpkin_x000a_+ Yu Choy "/>
    <s v="082SJ9U08004P00001"/>
    <s v="305g*8"/>
    <n v="8"/>
    <n v="4"/>
    <n v="7.4999999999999997E-3"/>
    <s v="HC"/>
    <s v="Salt"/>
    <s v="Regular"/>
    <n v="1000"/>
    <m/>
    <n v="1082.75"/>
    <n v="82.75"/>
    <n v="0"/>
    <n v="0"/>
    <n v="7.4999999999999997E-3"/>
    <n v="0"/>
    <m/>
    <n v="0"/>
    <n v="0"/>
  </r>
  <r>
    <m/>
    <x v="767"/>
    <d v="2026-03-26T00:00:00"/>
    <x v="2"/>
    <e v="#N/A"/>
    <x v="2"/>
    <s v="DRY2600072"/>
    <s v="New Zealand"/>
    <s v="CPFNW"/>
    <s v="Lim Brothers Import&amp;Export Co.,Ltd."/>
    <s v="Wonton ND+V"/>
    <x v="1"/>
    <s v="Cooked Wonton ND No Egg with Pumpkin_x000a_+ Yu Choy "/>
    <s v="082SJN708004P00001"/>
    <s v="305g*8"/>
    <n v="8"/>
    <n v="4"/>
    <n v="7.4999999999999997E-3"/>
    <s v="HC"/>
    <s v="Salt"/>
    <s v="Regular"/>
    <n v="150"/>
    <n v="150"/>
    <m/>
    <n v="0"/>
    <n v="0"/>
    <n v="0"/>
    <n v="7.4999999999999997E-3"/>
    <n v="0"/>
    <m/>
    <n v="0"/>
    <n v="0"/>
  </r>
  <r>
    <m/>
    <x v="767"/>
    <d v="2026-03-19T00:00:00"/>
    <x v="2"/>
    <e v="#N/A"/>
    <x v="2"/>
    <s v="DRY2600003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767"/>
    <s v="03-2026"/>
    <x v="2"/>
    <e v="#N/A"/>
    <x v="2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1410"/>
    <n v="1410"/>
    <m/>
    <n v="0"/>
    <n v="0"/>
    <n v="0"/>
    <n v="1.7000000000000001E-2"/>
    <n v="0"/>
    <m/>
    <n v="0"/>
    <n v="0"/>
  </r>
  <r>
    <m/>
    <x v="767"/>
    <s v="03-2026"/>
    <x v="2"/>
    <e v="#N/A"/>
    <x v="2"/>
    <s v="ขายภายใน"/>
    <s v="MTFS"/>
    <s v="CPFGS"/>
    <s v="ซีพีเอฟ เทรดดิ้ง"/>
    <s v="Wonton ND"/>
    <x v="1"/>
    <s v="บะหมี่เกี๊ยวกุ้งซุปสุกี้ CPxMK 227g MT"/>
    <s v="082SJ3Q12003P0A001"/>
    <s v="227g*12"/>
    <n v="12"/>
    <n v="3"/>
    <n v="8.0000000000000002E-3"/>
    <s v="SS"/>
    <s v="STPP"/>
    <s v="MK"/>
    <n v="2500"/>
    <n v="2500"/>
    <m/>
    <n v="0"/>
    <n v="0"/>
    <n v="0"/>
    <n v="0.05"/>
    <n v="0"/>
    <s v="เปลี่ยนใช้ผักกวางตุ้งแบบแช่แข็ง"/>
    <n v="0"/>
    <n v="0"/>
  </r>
  <r>
    <m/>
    <x v="768"/>
    <m/>
    <x v="2"/>
    <e v="#N/A"/>
    <x v="2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769"/>
    <d v="2026-04-20T00:00:00"/>
    <x v="2"/>
    <e v="#N/A"/>
    <x v="2"/>
    <s v="DRY2500392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159"/>
    <n v="159"/>
    <m/>
    <n v="0"/>
    <n v="0"/>
    <n v="0"/>
    <n v="6"/>
    <n v="0"/>
    <m/>
    <n v="0"/>
    <n v="0"/>
  </r>
  <r>
    <s v="R"/>
    <x v="769"/>
    <d v="2026-03-16T00:00:00"/>
    <x v="2"/>
    <e v="#N/A"/>
    <x v="2"/>
    <s v="DRY2500363"/>
    <s v="USA"/>
    <s v="CPFNW"/>
    <s v="C.P. Food Products, INC. "/>
    <s v="R-Wonton no egg"/>
    <x v="2"/>
    <s v="Raw Shrimp Wonton 20 pcs. (Enrich No Egg)"/>
    <s v="082I9ZE10020P00001"/>
    <s v="260g*10in"/>
    <n v="10"/>
    <n v="20"/>
    <n v="6.8100000000000001E-3"/>
    <s v="S"/>
    <s v="Salt"/>
    <s v="ซุปซอง 5g."/>
    <n v="730"/>
    <n v="730"/>
    <m/>
    <n v="0"/>
    <n v="0"/>
    <n v="0"/>
    <n v="4"/>
    <n v="0"/>
    <m/>
    <n v="0"/>
    <n v="0"/>
  </r>
  <r>
    <m/>
    <x v="769"/>
    <d v="2026-03-17T00:00:00"/>
    <x v="2"/>
    <e v="#N/A"/>
    <x v="2"/>
    <s v="DRY2600009"/>
    <s v="Netherlands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m/>
    <x v="769"/>
    <s v="03-2026"/>
    <x v="2"/>
    <e v="#N/A"/>
    <x v="2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1314"/>
    <n v="1314"/>
    <m/>
    <n v="0"/>
    <n v="0"/>
    <n v="0"/>
    <n v="1.7000000000000001E-2"/>
    <n v="0"/>
    <m/>
    <n v="0"/>
    <n v="0"/>
  </r>
  <r>
    <s v="R"/>
    <x v="770"/>
    <d v="2026-04-20T00:00:00"/>
    <x v="2"/>
    <e v="#N/A"/>
    <x v="2"/>
    <s v="DRY2500392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272"/>
    <n v="272"/>
    <m/>
    <n v="0"/>
    <n v="0"/>
    <n v="0"/>
    <n v="6"/>
    <n v="0"/>
    <m/>
    <n v="0"/>
    <n v="0"/>
  </r>
  <r>
    <m/>
    <x v="770"/>
    <d v="2026-03-24T00:00:00"/>
    <x v="2"/>
    <e v="#N/A"/>
    <x v="2"/>
    <s v="DRY2500332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m/>
    <x v="770"/>
    <s v="03-2026"/>
    <x v="2"/>
    <e v="#N/A"/>
    <x v="2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1355"/>
    <n v="1355"/>
    <m/>
    <n v="0"/>
    <n v="0"/>
    <n v="0"/>
    <n v="1.7000000000000001E-2"/>
    <n v="0"/>
    <m/>
    <n v="0"/>
    <n v="0"/>
  </r>
  <r>
    <s v="R"/>
    <x v="771"/>
    <d v="2026-04-20T00:00:00"/>
    <x v="2"/>
    <e v="#N/A"/>
    <x v="2"/>
    <s v="DRY2500392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216"/>
    <n v="216"/>
    <m/>
    <n v="0"/>
    <n v="0"/>
    <n v="0"/>
    <n v="6"/>
    <n v="0"/>
    <m/>
    <n v="0"/>
    <n v="0"/>
  </r>
  <r>
    <m/>
    <x v="771"/>
    <s v="03-2026"/>
    <x v="2"/>
    <e v="#N/A"/>
    <x v="2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1271"/>
    <n v="1271"/>
    <m/>
    <n v="0"/>
    <n v="0"/>
    <n v="0"/>
    <n v="7.4999999999999997E-3"/>
    <n v="0"/>
    <m/>
    <n v="0"/>
    <n v="0"/>
  </r>
  <r>
    <m/>
    <x v="771"/>
    <s v="04-2026"/>
    <x v="2"/>
    <e v="#N/A"/>
    <x v="2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1038"/>
    <n v="1038"/>
    <m/>
    <n v="0"/>
    <n v="0"/>
    <n v="0"/>
    <n v="7.4999999999999997E-3"/>
    <n v="0"/>
    <m/>
    <n v="0"/>
    <n v="0"/>
  </r>
  <r>
    <m/>
    <x v="771"/>
    <s v="04-2026"/>
    <x v="2"/>
    <e v="#N/A"/>
    <x v="2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200"/>
    <n v="200"/>
    <m/>
    <n v="0"/>
    <n v="0"/>
    <n v="0"/>
    <n v="7.4999999999999997E-3"/>
    <n v="0"/>
    <m/>
    <n v="0"/>
    <n v="0"/>
  </r>
  <r>
    <m/>
    <x v="771"/>
    <s v="04-2026"/>
    <x v="2"/>
    <e v="#N/A"/>
    <x v="2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50"/>
    <n v="50"/>
    <m/>
    <n v="0"/>
    <n v="0"/>
    <n v="0"/>
    <n v="7.4999999999999997E-3"/>
    <n v="0"/>
    <m/>
    <n v="0"/>
    <n v="0"/>
  </r>
  <r>
    <m/>
    <x v="771"/>
    <s v="04-2026"/>
    <x v="2"/>
    <e v="#N/A"/>
    <x v="2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350"/>
    <n v="350"/>
    <m/>
    <n v="0"/>
    <n v="0"/>
    <n v="0"/>
    <n v="7.4999999999999997E-3"/>
    <n v="0"/>
    <m/>
    <n v="0"/>
    <n v="0"/>
  </r>
  <r>
    <m/>
    <x v="771"/>
    <s v="04-2026"/>
    <x v="2"/>
    <e v="#N/A"/>
    <x v="2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200"/>
    <n v="200"/>
    <m/>
    <n v="0"/>
    <n v="0"/>
    <n v="0"/>
    <n v="7.4999999999999997E-3"/>
    <n v="0"/>
    <m/>
    <n v="0"/>
    <n v="0"/>
  </r>
  <r>
    <m/>
    <x v="771"/>
    <s v="04-2026"/>
    <x v="2"/>
    <e v="#N/A"/>
    <x v="2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50"/>
    <n v="50"/>
    <m/>
    <n v="0"/>
    <n v="0"/>
    <n v="0"/>
    <n v="7.4999999999999997E-3"/>
    <n v="0"/>
    <m/>
    <n v="0"/>
    <n v="0"/>
  </r>
  <r>
    <m/>
    <x v="771"/>
    <s v="03-2026"/>
    <x v="2"/>
    <e v="#N/A"/>
    <x v="2"/>
    <s v="ขายภายใน"/>
    <s v="MTFS"/>
    <s v="CPFGS"/>
    <s v="ซีพีเอฟ เทรดดิ้ง"/>
    <s v="E+Wonton NDE"/>
    <x v="1"/>
    <s v="บะหมี่เกี๊ยวกุ้ง ตราซีพี 12X226 กรัม"/>
    <s v="082SJ3Q12003P07001"/>
    <s v="226g*12"/>
    <n v="12"/>
    <n v="3"/>
    <n v="8.0000000000000002E-3"/>
    <s v="M"/>
    <s v="STPP"/>
    <s v="Regular"/>
    <n v="500"/>
    <n v="500"/>
    <m/>
    <n v="0"/>
    <n v="0"/>
    <n v="0"/>
    <n v="7.4999999999999997E-3"/>
    <n v="0"/>
    <m/>
    <n v="0"/>
    <n v="0"/>
  </r>
  <r>
    <m/>
    <x v="771"/>
    <s v="04-2026"/>
    <x v="2"/>
    <e v="#N/A"/>
    <x v="2"/>
    <s v="ขายภายใน"/>
    <s v="MTFS"/>
    <s v="CPFGS"/>
    <s v="ซีพีเอฟ เทรดดิ้ง"/>
    <s v="E+Wonton NDE"/>
    <x v="1"/>
    <s v="บะหมี่เกี๊ยวกุ้ง ตราซีพี 12X226 กรัม"/>
    <s v="082SJ3Q12003P07001"/>
    <s v="226g*12"/>
    <n v="12"/>
    <n v="3"/>
    <n v="8.0000000000000002E-3"/>
    <s v="M"/>
    <s v="STPP"/>
    <s v="Regular"/>
    <n v="500"/>
    <n v="500"/>
    <m/>
    <n v="0"/>
    <n v="0"/>
    <n v="0"/>
    <n v="7.4999999999999997E-3"/>
    <n v="0"/>
    <m/>
    <n v="0"/>
    <n v="0"/>
  </r>
  <r>
    <m/>
    <x v="771"/>
    <s v="03-2026"/>
    <x v="2"/>
    <e v="#N/A"/>
    <x v="2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s v="SS"/>
    <s v="STPP"/>
    <s v="หมาล่า"/>
    <n v="853"/>
    <n v="453"/>
    <n v="400"/>
    <n v="0"/>
    <n v="0"/>
    <n v="0"/>
    <n v="1.83E-2"/>
    <n v="0"/>
    <m/>
    <n v="0"/>
    <n v="0"/>
  </r>
  <r>
    <s v="R"/>
    <x v="772"/>
    <d v="2026-04-20T00:00:00"/>
    <x v="2"/>
    <e v="#N/A"/>
    <x v="2"/>
    <s v="DRY2500392"/>
    <s v="Japan"/>
    <s v="CPFNW"/>
    <s v="CPF JAPAN"/>
    <s v="R-Minced"/>
    <x v="2"/>
    <s v="Raw Minced Wonton 50 pcs Warabeya"/>
    <s v="082ID5710050P0000B"/>
    <s v="500g*10inner*2C/B"/>
    <n v="20"/>
    <n v="50"/>
    <n v="4.0000000000000001E-3"/>
    <s v="BK"/>
    <s v="Salt"/>
    <s v="-"/>
    <n v="224"/>
    <n v="210"/>
    <n v="20"/>
    <n v="6"/>
    <n v="0"/>
    <n v="0"/>
    <n v="6"/>
    <n v="0"/>
    <m/>
    <n v="0"/>
    <n v="0"/>
  </r>
  <r>
    <m/>
    <x v="772"/>
    <s v="03-2026"/>
    <x v="2"/>
    <e v="#N/A"/>
    <x v="2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2955"/>
    <n v="2955"/>
    <m/>
    <n v="0"/>
    <n v="0"/>
    <n v="0"/>
    <n v="7.4999999999999997E-3"/>
    <n v="0"/>
    <m/>
    <n v="0"/>
    <n v="0"/>
  </r>
  <r>
    <m/>
    <x v="772"/>
    <s v="03-2026"/>
    <x v="2"/>
    <e v="#N/A"/>
    <x v="2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1344"/>
    <n v="1344"/>
    <m/>
    <n v="0"/>
    <n v="0"/>
    <n v="0"/>
    <n v="1.7000000000000001E-2"/>
    <n v="0"/>
    <m/>
    <n v="0"/>
    <n v="0"/>
  </r>
  <r>
    <s v="R"/>
    <x v="773"/>
    <d v="2026-03-24T00:00:00"/>
    <x v="2"/>
    <e v="#N/A"/>
    <x v="2"/>
    <s v="DRY2600007"/>
    <s v="Malay"/>
    <s v="CPFNW"/>
    <s v="CPM Malaysia"/>
    <s v="R-Wonton egg past"/>
    <x v="2"/>
    <s v="Raw Wonton 12 pcs"/>
    <s v="082I95I20012P02001"/>
    <s v="154g*20inner"/>
    <n v="20"/>
    <n v="12"/>
    <n v="6.8100000000000001E-3"/>
    <s v="S"/>
    <s v="STPP"/>
    <s v="ซุปซอง 5g."/>
    <n v="350"/>
    <n v="350"/>
    <m/>
    <n v="0"/>
    <n v="0"/>
    <n v="0"/>
    <n v="2"/>
    <n v="0"/>
    <m/>
    <n v="0"/>
    <n v="0"/>
  </r>
  <r>
    <s v="R"/>
    <x v="773"/>
    <d v="2026-03-23T00:00:00"/>
    <x v="2"/>
    <e v="#N/A"/>
    <x v="2"/>
    <s v="DRY2600056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427"/>
    <n v="427"/>
    <m/>
    <n v="0"/>
    <n v="0"/>
    <n v="0"/>
    <n v="6"/>
    <n v="0"/>
    <m/>
    <n v="0"/>
    <n v="0"/>
  </r>
  <r>
    <m/>
    <x v="773"/>
    <s v="03-2026"/>
    <x v="2"/>
    <e v="#N/A"/>
    <x v="2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2474"/>
    <n v="2474"/>
    <m/>
    <n v="0"/>
    <n v="0"/>
    <n v="0"/>
    <n v="7.4999999999999997E-3"/>
    <n v="0"/>
    <m/>
    <n v="0"/>
    <n v="0"/>
  </r>
  <r>
    <m/>
    <x v="773"/>
    <s v="03-2026"/>
    <x v="2"/>
    <e v="#N/A"/>
    <x v="2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1435"/>
    <n v="1435"/>
    <m/>
    <n v="0"/>
    <n v="0"/>
    <n v="0"/>
    <n v="1.7000000000000001E-2"/>
    <n v="0"/>
    <m/>
    <n v="0"/>
    <n v="0"/>
  </r>
  <r>
    <s v="R"/>
    <x v="774"/>
    <d v="2026-03-23T00:00:00"/>
    <x v="2"/>
    <e v="#N/A"/>
    <x v="2"/>
    <s v="DRY2600056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732"/>
    <n v="732"/>
    <m/>
    <n v="0"/>
    <n v="0"/>
    <n v="0"/>
    <n v="6"/>
    <n v="0"/>
    <m/>
    <n v="0"/>
    <n v="0"/>
  </r>
  <r>
    <m/>
    <x v="774"/>
    <d v="2026-03-24T00:00:00"/>
    <x v="2"/>
    <e v="#N/A"/>
    <x v="2"/>
    <s v="DRY2600007"/>
    <s v="Malay"/>
    <s v="CPFNW"/>
    <s v="CPM Malaysia"/>
    <s v="Wonton+TY"/>
    <x v="1"/>
    <s v="Cooked Wonton No Egg  Tomyum"/>
    <s v="082S85I24005P02001"/>
    <s v="115g*24"/>
    <n v="24"/>
    <n v="5"/>
    <n v="8.0000000000000002E-3"/>
    <s v="M"/>
    <s v="STPP"/>
    <s v="TYTB3C 30G"/>
    <n v="800"/>
    <n v="800"/>
    <m/>
    <n v="0"/>
    <n v="0"/>
    <n v="0"/>
    <n v="1"/>
    <n v="0"/>
    <m/>
    <n v="0"/>
    <n v="0"/>
  </r>
  <r>
    <m/>
    <x v="774"/>
    <d v="2026-03-24T00:00:00"/>
    <x v="2"/>
    <e v="#N/A"/>
    <x v="2"/>
    <s v="DRY2600007"/>
    <s v="Malay"/>
    <s v="CPFNW"/>
    <s v="CPM Malaysia"/>
    <s v="Wonton"/>
    <x v="1"/>
    <s v="Cooked Wonton No Egg  "/>
    <s v="082S85I24005P01001"/>
    <s v="145g*24"/>
    <n v="24"/>
    <n v="5"/>
    <n v="8.0000000000000002E-3"/>
    <s v="M"/>
    <s v="STPP"/>
    <s v="Regular"/>
    <n v="1000"/>
    <n v="1000"/>
    <m/>
    <n v="0"/>
    <n v="0"/>
    <n v="0"/>
    <n v="7.4999999999999997E-3"/>
    <n v="0"/>
    <m/>
    <n v="0"/>
    <n v="0"/>
  </r>
  <r>
    <m/>
    <x v="774"/>
    <s v="03-2026"/>
    <x v="2"/>
    <e v="#N/A"/>
    <x v="2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546"/>
    <n v="1546"/>
    <m/>
    <n v="0"/>
    <n v="0"/>
    <n v="0"/>
    <n v="7.4999999999999997E-3"/>
    <n v="0"/>
    <m/>
    <n v="0"/>
    <n v="0"/>
  </r>
  <r>
    <m/>
    <x v="774"/>
    <d v="2026-03-26T00:00:00"/>
    <x v="2"/>
    <e v="#N/A"/>
    <x v="2"/>
    <s v="DRY2600004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774"/>
    <d v="2026-03-25T00:00:00"/>
    <x v="2"/>
    <e v="#N/A"/>
    <x v="2"/>
    <s v="DRY2600042"/>
    <s v="SG"/>
    <s v="CPFNW"/>
    <s v="CP FOODS SINGAPORE PTE. LTD"/>
    <s v="Wonton ND+V"/>
    <x v="1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250"/>
    <n v="250"/>
    <m/>
    <n v="0"/>
    <n v="0"/>
    <n v="0"/>
    <n v="1"/>
    <n v="0"/>
    <s v="Package ใหม่"/>
    <n v="0"/>
    <n v="0"/>
  </r>
  <r>
    <m/>
    <x v="775"/>
    <m/>
    <x v="2"/>
    <e v="#N/A"/>
    <x v="2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776"/>
    <d v="2026-03-23T00:00:00"/>
    <x v="2"/>
    <e v="#N/A"/>
    <x v="2"/>
    <s v="DRY2600056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742"/>
    <n v="742"/>
    <m/>
    <n v="0"/>
    <n v="0"/>
    <n v="0"/>
    <n v="6"/>
    <n v="0"/>
    <m/>
    <n v="0"/>
    <n v="0"/>
  </r>
  <r>
    <m/>
    <x v="776"/>
    <s v="03-2026"/>
    <x v="2"/>
    <e v="#N/A"/>
    <x v="2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957"/>
    <n v="1957"/>
    <m/>
    <n v="0"/>
    <n v="0"/>
    <n v="0"/>
    <n v="7.4999999999999997E-3"/>
    <n v="0"/>
    <m/>
    <n v="0"/>
    <n v="0"/>
  </r>
  <r>
    <m/>
    <x v="776"/>
    <d v="2026-04-10T00:00:00"/>
    <x v="2"/>
    <e v="#N/A"/>
    <x v="2"/>
    <s v="DRY2600063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n v="0"/>
    <n v="7.4999999999999997E-3"/>
    <n v="0"/>
    <s v="new package (ลบโลโก้ Facebook)"/>
    <n v="0"/>
    <n v="0"/>
  </r>
  <r>
    <s v="R"/>
    <x v="777"/>
    <d v="2026-03-23T00:00:00"/>
    <x v="2"/>
    <e v="#N/A"/>
    <x v="2"/>
    <s v="DRY2600056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155"/>
    <n v="155"/>
    <m/>
    <n v="0"/>
    <n v="0"/>
    <n v="0"/>
    <n v="6"/>
    <n v="0"/>
    <m/>
    <n v="0"/>
    <n v="0"/>
  </r>
  <r>
    <s v="R"/>
    <x v="777"/>
    <d v="2026-04-27T00:00:00"/>
    <x v="2"/>
    <e v="#N/A"/>
    <x v="2"/>
    <s v="DRY2600058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40"/>
    <n v="40"/>
    <m/>
    <n v="0"/>
    <n v="0"/>
    <n v="0"/>
    <n v="6"/>
    <n v="0"/>
    <m/>
    <n v="0"/>
    <n v="0"/>
  </r>
  <r>
    <s v="R"/>
    <x v="777"/>
    <d v="2026-03-24T00:00:00"/>
    <x v="2"/>
    <e v="#N/A"/>
    <x v="2"/>
    <s v="DRY2600023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1200"/>
    <n v="1052"/>
    <n v="148"/>
    <n v="0"/>
    <n v="0"/>
    <n v="0"/>
    <n v="1"/>
    <n v="0"/>
    <m/>
    <n v="0"/>
    <n v="0"/>
  </r>
  <r>
    <m/>
    <x v="777"/>
    <s v="03-2026"/>
    <x v="2"/>
    <e v="#N/A"/>
    <x v="2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807"/>
    <n v="1807"/>
    <m/>
    <n v="0"/>
    <n v="0"/>
    <n v="0"/>
    <n v="7.4999999999999997E-3"/>
    <n v="0"/>
    <m/>
    <n v="0"/>
    <n v="0"/>
  </r>
  <r>
    <m/>
    <x v="777"/>
    <s v="04-2026"/>
    <x v="2"/>
    <e v="#N/A"/>
    <x v="2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05"/>
    <n v="105"/>
    <m/>
    <n v="0"/>
    <n v="0"/>
    <n v="0"/>
    <n v="7.4999999999999997E-3"/>
    <n v="0"/>
    <m/>
    <n v="0"/>
    <n v="0"/>
  </r>
  <r>
    <m/>
    <x v="777"/>
    <s v="04-2026"/>
    <x v="2"/>
    <e v="#N/A"/>
    <x v="2"/>
    <s v="ขายภายใน"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1700"/>
    <n v="1700"/>
    <m/>
    <n v="0"/>
    <n v="0"/>
    <n v="0"/>
    <n v="1"/>
    <n v="0"/>
    <m/>
    <n v="0"/>
    <n v="0"/>
  </r>
  <r>
    <m/>
    <x v="777"/>
    <s v="03-2026"/>
    <x v="2"/>
    <e v="#N/A"/>
    <x v="2"/>
    <s v="ขายภายใน"/>
    <s v="MTFS"/>
    <s v="CPFGS"/>
    <s v="ซีพีเอฟ เทรดดิ้ง"/>
    <s v="E+Wonton TY"/>
    <x v="1"/>
    <s v="เกี๊ยวกุ้งจักรพรรดิซุปต้มยำ LV CP 143g"/>
    <s v="082S83Q12005P09001"/>
    <s v="143g*12"/>
    <n v="12"/>
    <n v="5"/>
    <n v="8.0000000000000002E-3"/>
    <s v="SS"/>
    <s v="STPP"/>
    <s v="TYNSF"/>
    <n v="46"/>
    <n v="46"/>
    <m/>
    <n v="0"/>
    <n v="0"/>
    <n v="0"/>
    <n v="8.9999999999999993E-3"/>
    <n v="0"/>
    <m/>
    <n v="0"/>
    <n v="0"/>
  </r>
  <r>
    <m/>
    <x v="777"/>
    <s v="04-2026"/>
    <x v="2"/>
    <e v="#N/A"/>
    <x v="2"/>
    <s v="ขายภายใน"/>
    <s v="MTFS"/>
    <s v="CPFGS"/>
    <s v="ซีพีเอฟ เทรดดิ้ง"/>
    <s v="E+Wonton TY"/>
    <x v="1"/>
    <s v="เกี๊ยวกุ้งจักรพรรดิซุปต้มยำ LV CP 143g"/>
    <s v="082S83Q12005P09001"/>
    <s v="143g*12"/>
    <n v="12"/>
    <n v="5"/>
    <n v="8.0000000000000002E-3"/>
    <s v="SS"/>
    <s v="STPP"/>
    <s v="TYNSF"/>
    <n v="600"/>
    <n v="600"/>
    <m/>
    <n v="0"/>
    <n v="0"/>
    <n v="0"/>
    <n v="8.9999999999999993E-3"/>
    <n v="0"/>
    <m/>
    <n v="0"/>
    <n v="0"/>
  </r>
  <r>
    <m/>
    <x v="777"/>
    <s v="04-2026"/>
    <x v="2"/>
    <e v="#N/A"/>
    <x v="2"/>
    <s v="ขายภายใน"/>
    <s v="MTFS"/>
    <s v="CPFGS"/>
    <s v="ซีพีเอฟ เทรดดิ้ง"/>
    <s v="E+Wonton TY"/>
    <x v="1"/>
    <s v="เกี๊ยวกุ้งจักรพรรดิซุปต้มยำ LV CP 143g"/>
    <s v="082S83Q12005P09001"/>
    <s v="143g*12"/>
    <n v="12"/>
    <n v="5"/>
    <n v="8.0000000000000002E-3"/>
    <s v="SS"/>
    <s v="STPP"/>
    <s v="TYNSF"/>
    <n v="400"/>
    <n v="400"/>
    <m/>
    <n v="0"/>
    <n v="0"/>
    <n v="0"/>
    <n v="8.9999999999999993E-3"/>
    <n v="0"/>
    <m/>
    <n v="0"/>
    <n v="0"/>
  </r>
  <r>
    <s v="R"/>
    <x v="778"/>
    <d v="2026-03-24T00:00:00"/>
    <x v="2"/>
    <e v="#N/A"/>
    <x v="2"/>
    <s v="DRY2600023"/>
    <s v="HK"/>
    <s v="CPFNW"/>
    <s v="CPM Hongkong"/>
    <s v="R-Minced egg past"/>
    <x v="2"/>
    <s v="Raw Minced Wonton 8 pcs"/>
    <s v="082ID3G18008P00001"/>
    <s v="90g*18in"/>
    <n v="18"/>
    <n v="8"/>
    <n v="6.0000000000000001E-3"/>
    <s v="BK"/>
    <s v="STPP"/>
    <s v="ซุปซอง 5g."/>
    <n v="700"/>
    <n v="700"/>
    <m/>
    <n v="0"/>
    <n v="0"/>
    <n v="0"/>
    <n v="2"/>
    <n v="0"/>
    <s v="new package"/>
    <n v="0"/>
    <n v="0"/>
  </r>
  <r>
    <s v="R"/>
    <x v="778"/>
    <d v="2026-03-25T00:00:00"/>
    <x v="2"/>
    <e v="#N/A"/>
    <x v="2"/>
    <s v="DRY2600041"/>
    <s v="SG"/>
    <s v="CPFNW"/>
    <s v="CP FOODS SINGAPORE PTE. LTD"/>
    <s v="R-Minced egg past"/>
    <x v="2"/>
    <s v="Raw Minced Wonton 8 pcs"/>
    <s v="082ID3B18008P00001"/>
    <s v="90g*18in"/>
    <n v="18"/>
    <n v="8"/>
    <n v="6.0000000000000001E-3"/>
    <s v="BK"/>
    <s v="STPP"/>
    <s v="ซุปซอง 5g."/>
    <n v="1000"/>
    <n v="1000"/>
    <m/>
    <n v="0"/>
    <n v="0"/>
    <n v="0"/>
    <n v="2"/>
    <n v="0"/>
    <m/>
    <n v="0"/>
    <n v="0"/>
  </r>
  <r>
    <s v="R"/>
    <x v="778"/>
    <d v="2026-03-25T00:00:00"/>
    <x v="2"/>
    <e v="#N/A"/>
    <x v="2"/>
    <s v="DRY2600041"/>
    <s v="SG"/>
    <s v="CPFNW"/>
    <s v="CP FOODS SINGAPORE PTE. LTD"/>
    <s v="R-Wonton egg past"/>
    <x v="2"/>
    <s v="Raw Wonton 8 pcs"/>
    <s v="082I93B20008P00001"/>
    <s v="194g*20in"/>
    <n v="20"/>
    <n v="8"/>
    <n v="1.4999999999999999E-2"/>
    <s v="JB"/>
    <s v="STPP"/>
    <s v="ซุปซอง 5g."/>
    <n v="250"/>
    <n v="250"/>
    <m/>
    <n v="0"/>
    <n v="0"/>
    <n v="0"/>
    <n v="2"/>
    <n v="0"/>
    <s v="ห่อแบบดิบ"/>
    <n v="0"/>
    <n v="0"/>
  </r>
  <r>
    <m/>
    <x v="778"/>
    <s v="03-2026"/>
    <x v="2"/>
    <e v="#N/A"/>
    <x v="2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6"/>
    <n v="6"/>
    <m/>
    <n v="0"/>
    <n v="0"/>
    <n v="0"/>
    <n v="1.7000000000000001E-2"/>
    <n v="0"/>
    <m/>
    <n v="0"/>
    <n v="0"/>
  </r>
  <r>
    <m/>
    <x v="778"/>
    <s v="04-2026"/>
    <x v="2"/>
    <e v="#N/A"/>
    <x v="2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607"/>
    <n v="607"/>
    <m/>
    <n v="0"/>
    <n v="0"/>
    <n v="0"/>
    <n v="1.7000000000000001E-2"/>
    <n v="0"/>
    <m/>
    <n v="0"/>
    <n v="0"/>
  </r>
  <r>
    <m/>
    <x v="778"/>
    <s v="04-2026"/>
    <x v="2"/>
    <e v="#N/A"/>
    <x v="2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3513"/>
    <n v="3513"/>
    <m/>
    <n v="0"/>
    <n v="0"/>
    <n v="0"/>
    <n v="7.4999999999999997E-3"/>
    <n v="0"/>
    <m/>
    <n v="0"/>
    <n v="0"/>
  </r>
  <r>
    <s v="R"/>
    <x v="779"/>
    <d v="2026-03-25T00:00:00"/>
    <x v="2"/>
    <e v="#N/A"/>
    <x v="2"/>
    <s v="DRY2600041"/>
    <s v="SG"/>
    <s v="CPFNW"/>
    <s v="CP FOODS SINGAPORE PTE. LTD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1000"/>
    <n v="908"/>
    <n v="96"/>
    <n v="4"/>
    <n v="0"/>
    <n v="0"/>
    <n v="2"/>
    <n v="0"/>
    <s v="ห่อแบบสุก"/>
    <n v="0"/>
    <n v="0"/>
  </r>
  <r>
    <s v="R"/>
    <x v="779"/>
    <d v="2026-04-20T00:00:00"/>
    <x v="2"/>
    <e v="#N/A"/>
    <x v="2"/>
    <s v="DRY2600058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95"/>
    <n v="95"/>
    <m/>
    <n v="0"/>
    <n v="0"/>
    <n v="0"/>
    <n v="6"/>
    <n v="0"/>
    <m/>
    <n v="0"/>
    <n v="0"/>
  </r>
  <r>
    <m/>
    <x v="779"/>
    <s v="04-2026"/>
    <x v="2"/>
    <e v="#N/A"/>
    <x v="2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4819"/>
    <n v="4819"/>
    <m/>
    <n v="0"/>
    <n v="0"/>
    <n v="0"/>
    <n v="7.4999999999999997E-3"/>
    <n v="0"/>
    <m/>
    <n v="0"/>
    <n v="0"/>
  </r>
  <r>
    <s v="R"/>
    <x v="780"/>
    <d v="2026-04-20T00:00:00"/>
    <x v="2"/>
    <e v="#N/A"/>
    <x v="2"/>
    <s v="DRY2600058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729"/>
    <n v="729"/>
    <m/>
    <n v="0"/>
    <n v="0"/>
    <n v="0"/>
    <n v="6"/>
    <n v="0"/>
    <m/>
    <n v="0"/>
    <n v="0"/>
  </r>
  <r>
    <m/>
    <x v="780"/>
    <d v="2026-03-25T00:00:00"/>
    <x v="2"/>
    <e v="#N/A"/>
    <x v="2"/>
    <s v="DRY2600042"/>
    <s v="SG"/>
    <s v="CPFNW"/>
    <s v="CP FOODS SINGAPORE PTE. LTD"/>
    <s v="Minced ND+หมาล่า"/>
    <x v="1"/>
    <s v="Cooked Minced  ND No Egg หมาล่า"/>
    <s v="082SR3B24003P00001"/>
    <s v="300g*24"/>
    <n v="24"/>
    <n v="3"/>
    <n v="6.0000000000000001E-3"/>
    <s v="BK"/>
    <s v="Salt"/>
    <s v="หมาล่า"/>
    <n v="210"/>
    <n v="210"/>
    <m/>
    <n v="0"/>
    <n v="0"/>
    <n v="0"/>
    <n v="2.4E-2"/>
    <n v="0"/>
    <m/>
    <n v="0"/>
    <n v="0"/>
  </r>
  <r>
    <m/>
    <x v="780"/>
    <d v="2026-03-25T00:00:00"/>
    <x v="2"/>
    <e v="#N/A"/>
    <x v="2"/>
    <s v="DRY2600042"/>
    <s v="SG"/>
    <s v="CPFNW"/>
    <s v="CP FOODS SINGAPORE PTE. LTD"/>
    <s v="Wonton"/>
    <x v="1"/>
    <s v="Cooked Wonton No Egg"/>
    <s v="082S83B24005P07001"/>
    <s v="145g*24"/>
    <n v="24"/>
    <n v="5"/>
    <n v="8.0000000000000002E-3"/>
    <s v="M"/>
    <s v="STPP"/>
    <s v="Regular"/>
    <n v="500"/>
    <n v="500"/>
    <m/>
    <n v="0"/>
    <n v="0"/>
    <n v="0"/>
    <n v="1"/>
    <n v="0"/>
    <s v="Package ใหม่"/>
    <n v="0"/>
    <n v="0"/>
  </r>
  <r>
    <m/>
    <x v="780"/>
    <d v="2026-03-25T00:00:00"/>
    <x v="2"/>
    <e v="#N/A"/>
    <x v="2"/>
    <s v="DRY2600042"/>
    <s v="SG"/>
    <s v="CPFNW"/>
    <s v="CP FOODS SINGAPORE PTE. LTD"/>
    <s v="Wonton +TY"/>
    <x v="1"/>
    <s v="Cooked Wonton No Egg"/>
    <s v="082S83B24005P06001"/>
    <s v="115g*24"/>
    <n v="24"/>
    <n v="5"/>
    <n v="8.0000000000000002E-3"/>
    <s v="M"/>
    <s v="STPP"/>
    <s v="TYTB3C 30G"/>
    <n v="260"/>
    <n v="260"/>
    <m/>
    <n v="0"/>
    <n v="0"/>
    <n v="0"/>
    <n v="1"/>
    <n v="0"/>
    <s v="Package เก่า แยกสีเชือก"/>
    <n v="0"/>
    <n v="0"/>
  </r>
  <r>
    <m/>
    <x v="780"/>
    <d v="2026-03-25T00:00:00"/>
    <x v="2"/>
    <e v="#N/A"/>
    <x v="2"/>
    <s v="DRY2600042"/>
    <s v="SG"/>
    <s v="CPFNW"/>
    <s v="CP FOODS SINGAPORE PTE. LTD"/>
    <s v="Wonton +TY"/>
    <x v="1"/>
    <s v="Cooked Wonton No Egg"/>
    <s v="082S83B24005P06001"/>
    <s v="115g*24"/>
    <n v="24"/>
    <n v="5"/>
    <n v="8.0000000000000002E-3"/>
    <s v="M"/>
    <s v="STPP"/>
    <s v="TYTB3C 30G"/>
    <n v="240"/>
    <n v="240"/>
    <m/>
    <n v="0"/>
    <n v="0"/>
    <n v="0"/>
    <n v="1"/>
    <n v="0"/>
    <s v="Package ใหม่"/>
    <n v="0"/>
    <n v="0"/>
  </r>
  <r>
    <m/>
    <x v="780"/>
    <s v="04-2026"/>
    <x v="2"/>
    <e v="#N/A"/>
    <x v="2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3040"/>
    <n v="3040"/>
    <m/>
    <n v="0"/>
    <n v="0"/>
    <n v="0"/>
    <n v="7.4999999999999997E-3"/>
    <n v="0"/>
    <m/>
    <n v="0"/>
    <n v="0"/>
  </r>
  <r>
    <s v="R"/>
    <x v="781"/>
    <d v="2026-04-20T00:00:00"/>
    <x v="2"/>
    <e v="#N/A"/>
    <x v="2"/>
    <s v="DRY2600058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742"/>
    <n v="742"/>
    <m/>
    <n v="0"/>
    <n v="0"/>
    <n v="0"/>
    <n v="6"/>
    <n v="0"/>
    <m/>
    <n v="0"/>
    <n v="0"/>
  </r>
  <r>
    <m/>
    <x v="781"/>
    <s v="04-2026"/>
    <x v="2"/>
    <e v="#N/A"/>
    <x v="2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2794"/>
    <n v="2794"/>
    <m/>
    <n v="0"/>
    <n v="0"/>
    <n v="0"/>
    <n v="7.4999999999999997E-3"/>
    <n v="0"/>
    <m/>
    <n v="0"/>
    <n v="0"/>
  </r>
  <r>
    <m/>
    <x v="781"/>
    <d v="2026-04-02T00:00:00"/>
    <x v="2"/>
    <e v="#N/A"/>
    <x v="2"/>
    <s v="DRY2600008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781"/>
    <d v="2026-03-26T00:00:00"/>
    <x v="2"/>
    <e v="#N/A"/>
    <x v="2"/>
    <s v="DRY2600072"/>
    <s v="New Zealand"/>
    <s v="CPFNW"/>
    <s v="Lim Brothers Import&amp;Export Co.,Ltd."/>
    <s v="Minced ND+V+TK"/>
    <x v="1"/>
    <s v="Cooked Minced  ND No Egg with Pumpkin_x000a_+ Yu Choy Tomkha"/>
    <s v="082SRN708003P01001"/>
    <s v="302g*8"/>
    <n v="8"/>
    <n v="3"/>
    <n v="6.0000000000000001E-3"/>
    <s v="BK"/>
    <s v="Salt"/>
    <s v="Tomkha+CM"/>
    <n v="724"/>
    <m/>
    <n v="743.375"/>
    <n v="19.375"/>
    <n v="0"/>
    <n v="0"/>
    <n v="5.8823E-2"/>
    <n v="0"/>
    <m/>
    <n v="0"/>
    <n v="0"/>
  </r>
  <r>
    <m/>
    <x v="782"/>
    <m/>
    <x v="2"/>
    <e v="#N/A"/>
    <x v="2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783"/>
    <d v="2026-04-08T00:00:00"/>
    <x v="2"/>
    <e v="#N/A"/>
    <x v="2"/>
    <s v="DRY2600067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  <m/>
    <n v="0"/>
    <n v="0"/>
  </r>
  <r>
    <s v="R"/>
    <x v="783"/>
    <d v="2026-04-08T00:00:00"/>
    <x v="2"/>
    <e v="#N/A"/>
    <x v="2"/>
    <s v="DRY2600068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  <m/>
    <n v="0"/>
    <n v="0"/>
  </r>
  <r>
    <s v="R"/>
    <x v="783"/>
    <d v="2026-04-20T00:00:00"/>
    <x v="2"/>
    <e v="#N/A"/>
    <x v="2"/>
    <s v="DRY2600058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450"/>
    <n v="450"/>
    <m/>
    <n v="0"/>
    <n v="0"/>
    <n v="0"/>
    <n v="6"/>
    <n v="0"/>
    <m/>
    <n v="0"/>
    <n v="0"/>
  </r>
  <r>
    <m/>
    <x v="783"/>
    <s v="04-2026"/>
    <x v="2"/>
    <e v="#N/A"/>
    <x v="2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858"/>
    <n v="858"/>
    <m/>
    <n v="0"/>
    <n v="0"/>
    <n v="0"/>
    <n v="7.4999999999999997E-3"/>
    <n v="0"/>
    <m/>
    <n v="0"/>
    <n v="0"/>
  </r>
  <r>
    <m/>
    <x v="783"/>
    <d v="2026-04-08T00:00:00"/>
    <x v="2"/>
    <e v="#N/A"/>
    <x v="2"/>
    <s v="DRY2600071"/>
    <s v="Malay"/>
    <s v="CPFNW"/>
    <s v="CPM Malaysia"/>
    <s v="Wonton"/>
    <x v="1"/>
    <s v="Cooked Wonton No Egg  "/>
    <s v="082S85I24005P01001"/>
    <s v="145g*24"/>
    <n v="24"/>
    <n v="5"/>
    <n v="8.0000000000000002E-3"/>
    <s v="M"/>
    <s v="STPP"/>
    <s v="Regular"/>
    <n v="900"/>
    <n v="900"/>
    <n v="4.625"/>
    <n v="4.625"/>
    <n v="0"/>
    <n v="0"/>
    <n v="7.4999999999999997E-3"/>
    <n v="0"/>
    <s v="new package"/>
    <n v="0"/>
    <n v="0"/>
  </r>
  <r>
    <m/>
    <x v="783"/>
    <d v="2026-04-08T00:00:00"/>
    <x v="2"/>
    <e v="#N/A"/>
    <x v="2"/>
    <s v="DRY2600071"/>
    <s v="Malay"/>
    <s v="CPFNW"/>
    <s v="CPM Malaysia"/>
    <s v="Wonton+TY"/>
    <x v="1"/>
    <s v="Cooked Wonton No Egg  Tomyum"/>
    <s v="082S85I24005P02001"/>
    <s v="115g*24"/>
    <n v="24"/>
    <n v="5"/>
    <n v="8.0000000000000002E-3"/>
    <s v="M"/>
    <s v="STPP"/>
    <s v="TYTB3C 30G"/>
    <n v="800"/>
    <n v="800"/>
    <n v="1.9583333333333333"/>
    <n v="1.9583333333333712"/>
    <n v="0"/>
    <n v="0"/>
    <n v="1"/>
    <n v="0"/>
    <s v="new package"/>
    <n v="0"/>
    <n v="0"/>
  </r>
  <r>
    <m/>
    <x v="783"/>
    <d v="2026-04-07T00:00:00"/>
    <x v="2"/>
    <e v="#N/A"/>
    <x v="2"/>
    <s v="DRY2600005"/>
    <s v="UK"/>
    <s v="CPFNW"/>
    <s v="Westbridge Foods Limited (One UK)"/>
    <s v="Wonton+TY"/>
    <x v="1"/>
    <s v="Cooked Wonton Soup Tomyum"/>
    <s v="082S8KW08005P00001"/>
    <s v="147g*8"/>
    <n v="8"/>
    <n v="5"/>
    <n v="7.4999999999999997E-3"/>
    <s v="M"/>
    <s v="Salt"/>
    <s v="TYEXSG+CO"/>
    <n v="5148"/>
    <m/>
    <n v="5148"/>
    <n v="0"/>
    <n v="0"/>
    <n v="0"/>
    <n v="7.4999999999999997E-3"/>
    <n v="0"/>
    <s v="NEWPACKAGE/ถ้าว,ฝา สีขาว"/>
    <n v="0"/>
    <n v="0"/>
  </r>
  <r>
    <s v="R"/>
    <x v="784"/>
    <d v="2026-04-08T00:00:00"/>
    <x v="2"/>
    <e v="#N/A"/>
    <x v="2"/>
    <s v="DRY2600071"/>
    <s v="Malay"/>
    <s v="CPFNW"/>
    <s v="CPM Malaysia"/>
    <s v="R-Wonton egg past"/>
    <x v="2"/>
    <s v="Raw Wonton 12 pcs"/>
    <s v="082I95I20012P02001"/>
    <s v="154g*20inner"/>
    <n v="20"/>
    <n v="12"/>
    <n v="6.8100000000000001E-3"/>
    <s v="S"/>
    <s v="STPP"/>
    <s v="ซุปซอง 5g."/>
    <n v="350"/>
    <n v="350"/>
    <m/>
    <n v="0"/>
    <n v="0"/>
    <n v="0"/>
    <n v="2"/>
    <n v="0"/>
    <s v="new package"/>
    <n v="0"/>
    <n v="0"/>
  </r>
  <r>
    <s v="R"/>
    <x v="784"/>
    <d v="2026-04-08T00:00:00"/>
    <x v="2"/>
    <e v="#N/A"/>
    <x v="2"/>
    <s v="DRY2600071"/>
    <s v="Malay"/>
    <s v="CPFNW"/>
    <s v="CPM Malaysia"/>
    <s v="R-Wonton egg past"/>
    <x v="2"/>
    <s v="Raw Wonton 8 pcs (Tomyam 30g.)"/>
    <s v="082I95I18008P00001"/>
    <s v="126g*18in"/>
    <n v="18"/>
    <n v="8"/>
    <n v="6.8100000000000001E-3"/>
    <s v="S"/>
    <s v="STPP"/>
    <s v="TYTB3C 30G"/>
    <n v="200"/>
    <n v="200"/>
    <m/>
    <n v="0"/>
    <n v="0"/>
    <n v="0"/>
    <n v="1"/>
    <n v="0"/>
    <s v="new package"/>
    <n v="0"/>
    <n v="0"/>
  </r>
  <r>
    <s v="R"/>
    <x v="784"/>
    <d v="2026-04-01T00:00:00"/>
    <x v="2"/>
    <e v="#N/A"/>
    <x v="2"/>
    <s v="DRY2600057"/>
    <s v="Korea"/>
    <s v="CPFNW"/>
    <s v="Consumer Package Commerce"/>
    <s v="R-Wonton egg past"/>
    <x v="2"/>
    <s v="Raw Wonton 60 pcs"/>
    <s v="082I93U10060P00001"/>
    <s v="750g*10inner"/>
    <n v="10"/>
    <n v="60"/>
    <n v="6.8100000000000001E-3"/>
    <s v="S"/>
    <s v="STPP"/>
    <s v="ซุปซอง 5g."/>
    <n v="357"/>
    <n v="357"/>
    <m/>
    <n v="0"/>
    <n v="0"/>
    <n v="0"/>
    <n v="6"/>
    <n v="0"/>
    <m/>
    <n v="0"/>
    <n v="0"/>
  </r>
  <r>
    <m/>
    <x v="784"/>
    <s v="04-2026"/>
    <x v="2"/>
    <e v="#N/A"/>
    <x v="2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1835"/>
    <n v="1835"/>
    <m/>
    <n v="0"/>
    <n v="0"/>
    <n v="0"/>
    <n v="1.7000000000000001E-2"/>
    <n v="0"/>
    <m/>
    <n v="0"/>
    <n v="0"/>
  </r>
  <r>
    <s v="ชมรมกอล์ฟ ซีพี"/>
    <x v="784"/>
    <s v="04-2026"/>
    <x v="2"/>
    <e v="#N/A"/>
    <x v="2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0"/>
    <s v="145g*12"/>
    <n v="12"/>
    <n v="5"/>
    <n v="8.0000000000000002E-3"/>
    <s v="M"/>
    <s v="STPP"/>
    <s v="Regular"/>
    <n v="12"/>
    <n v="12"/>
    <m/>
    <n v="0"/>
    <n v="0"/>
    <n v="0"/>
    <n v="7.4999999999999997E-3"/>
    <n v="0"/>
    <m/>
    <n v="0"/>
    <n v="0"/>
  </r>
  <r>
    <m/>
    <x v="784"/>
    <s v="04-2026"/>
    <x v="2"/>
    <e v="#N/A"/>
    <x v="2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1"/>
    <s v="145g*12"/>
    <n v="12"/>
    <n v="5"/>
    <n v="8.0000000000000002E-3"/>
    <s v="M"/>
    <s v="STPP"/>
    <s v="Regular"/>
    <n v="3750"/>
    <n v="3750"/>
    <m/>
    <n v="0"/>
    <n v="0"/>
    <n v="0"/>
    <n v="7.4999999999999997E-3"/>
    <n v="0"/>
    <m/>
    <n v="0"/>
    <n v="0"/>
  </r>
  <r>
    <m/>
    <x v="784"/>
    <s v="04-2026"/>
    <x v="2"/>
    <e v="#N/A"/>
    <x v="2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1284"/>
    <n v="1284"/>
    <m/>
    <n v="0"/>
    <n v="0"/>
    <n v="0"/>
    <n v="7.4999999999999997E-3"/>
    <n v="0"/>
    <m/>
    <n v="0"/>
    <n v="0"/>
  </r>
  <r>
    <s v="R"/>
    <x v="785"/>
    <d v="2026-04-01T00:00:00"/>
    <x v="2"/>
    <e v="#N/A"/>
    <x v="2"/>
    <s v="DRY2600057"/>
    <s v="Korea"/>
    <s v="CPFNW"/>
    <s v="Consumer Package Commerce"/>
    <s v="R-Wonton egg past"/>
    <x v="2"/>
    <s v="Raw Wonton 60 pcs"/>
    <s v="082I93U10060P00001"/>
    <s v="750g*10inner"/>
    <n v="10"/>
    <n v="60"/>
    <n v="6.8100000000000001E-3"/>
    <s v="S"/>
    <s v="STPP"/>
    <s v="ซุปซอง 5g."/>
    <n v="618"/>
    <n v="618"/>
    <m/>
    <n v="0"/>
    <n v="0"/>
    <n v="0"/>
    <n v="6"/>
    <n v="0"/>
    <m/>
    <n v="0"/>
    <n v="0"/>
  </r>
  <r>
    <m/>
    <x v="785"/>
    <s v="03-2026"/>
    <x v="2"/>
    <e v="#N/A"/>
    <x v="2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s v="SS"/>
    <s v="STPP"/>
    <s v="หมาล่า"/>
    <n v="885"/>
    <n v="885"/>
    <m/>
    <n v="0"/>
    <n v="0"/>
    <n v="0"/>
    <n v="1.83E-2"/>
    <n v="0"/>
    <m/>
    <n v="0"/>
    <n v="0"/>
  </r>
  <r>
    <m/>
    <x v="785"/>
    <s v="04-2026"/>
    <x v="2"/>
    <e v="#N/A"/>
    <x v="2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s v="SS"/>
    <s v="STPP"/>
    <s v="หมาล่า"/>
    <n v="3314"/>
    <n v="3314"/>
    <m/>
    <n v="0"/>
    <n v="0"/>
    <n v="0"/>
    <n v="1.83E-2"/>
    <n v="0"/>
    <m/>
    <n v="0"/>
    <n v="0"/>
  </r>
  <r>
    <s v="R"/>
    <x v="786"/>
    <d v="2026-04-01T00:00:00"/>
    <x v="2"/>
    <e v="#N/A"/>
    <x v="2"/>
    <s v="DRY2600057"/>
    <s v="Korea"/>
    <s v="CPFNW"/>
    <s v="Consumer Package Commerce"/>
    <s v="R-Wonton egg past"/>
    <x v="2"/>
    <s v="Raw Wonton 60 pcs"/>
    <s v="082I93U10060P00001"/>
    <s v="750g*10inner"/>
    <n v="10"/>
    <n v="60"/>
    <n v="6.8100000000000001E-3"/>
    <s v="S"/>
    <s v="STPP"/>
    <s v="ซุปซอง 5g."/>
    <n v="385"/>
    <n v="303"/>
    <n v="82"/>
    <n v="0"/>
    <n v="0"/>
    <n v="0"/>
    <n v="6"/>
    <n v="0"/>
    <m/>
    <n v="0"/>
    <n v="0"/>
  </r>
  <r>
    <s v="R"/>
    <x v="786"/>
    <d v="2026-04-07T00:00:00"/>
    <x v="2"/>
    <e v="#N/A"/>
    <x v="2"/>
    <s v="DRY2600077"/>
    <s v="Korea"/>
    <s v="CPFNW"/>
    <s v="Consumer Package Commerce"/>
    <s v="R-Wonton egg past"/>
    <x v="2"/>
    <s v="Raw Wonton 60 pcs"/>
    <s v="082I93U10060P00001"/>
    <s v="750g*10inner"/>
    <n v="10"/>
    <n v="60"/>
    <n v="6.8100000000000001E-3"/>
    <s v="S"/>
    <s v="STPP"/>
    <s v="ซุปซอง 5g."/>
    <n v="204"/>
    <m/>
    <n v="204"/>
    <n v="0"/>
    <n v="0"/>
    <n v="0"/>
    <n v="6"/>
    <n v="0"/>
    <m/>
    <n v="0"/>
    <n v="0"/>
  </r>
  <r>
    <m/>
    <x v="786"/>
    <s v="04-2026"/>
    <x v="2"/>
    <e v="#N/A"/>
    <x v="2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s v="SS"/>
    <s v="STPP"/>
    <s v="หมาล่า"/>
    <n v="4097"/>
    <n v="4097"/>
    <m/>
    <n v="0"/>
    <n v="0"/>
    <n v="0"/>
    <n v="1.83E-2"/>
    <n v="0"/>
    <m/>
    <n v="0"/>
    <n v="0"/>
  </r>
  <r>
    <s v="R"/>
    <x v="787"/>
    <d v="2026-04-07T00:00:00"/>
    <x v="2"/>
    <e v="#N/A"/>
    <x v="2"/>
    <s v="DRY2600077"/>
    <s v="Korea"/>
    <s v="CPFNW"/>
    <s v="Consumer Package Commerce"/>
    <s v="R-Wonton egg past"/>
    <x v="2"/>
    <s v="Raw Wonton 60 pcs"/>
    <s v="082I93U10060P00001"/>
    <s v="750g*10inner"/>
    <n v="10"/>
    <n v="60"/>
    <n v="6.8100000000000001E-3"/>
    <s v="S"/>
    <s v="STPP"/>
    <s v="ซุปซอง 5g."/>
    <n v="622"/>
    <n v="622"/>
    <m/>
    <n v="0"/>
    <n v="0"/>
    <n v="0"/>
    <n v="6"/>
    <n v="0"/>
    <m/>
    <n v="0"/>
    <n v="0"/>
  </r>
  <r>
    <m/>
    <x v="787"/>
    <s v="03-2026"/>
    <x v="2"/>
    <e v="#N/A"/>
    <x v="2"/>
    <s v="ขายภายใน"/>
    <s v="MTFS"/>
    <s v="CPFGS"/>
    <s v="CPFGS"/>
    <s v="E+NDเส้นมัน+หมาล่า"/>
    <x v="1"/>
    <s v="เส้นมันเกี๊ยวกุ้งจักรพรรดิซุปหมาล่า  ตราซีพี ซีคิวเค MT"/>
    <s v="082SG3Q12003P00001"/>
    <s v="250g*12"/>
    <n v="12"/>
    <n v="3"/>
    <n v="6.1999999999999998E-3"/>
    <s v="SS"/>
    <s v="STPP"/>
    <s v="หมาล่า"/>
    <n v="1500"/>
    <n v="1500"/>
    <m/>
    <n v="0"/>
    <n v="0"/>
    <n v="0"/>
    <n v="1.83E-2"/>
    <n v="0"/>
    <m/>
    <n v="0"/>
    <n v="0"/>
  </r>
  <r>
    <m/>
    <x v="787"/>
    <s v="04-2026"/>
    <x v="2"/>
    <e v="#N/A"/>
    <x v="2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s v="SS"/>
    <s v="STPP"/>
    <s v="หมาล่า"/>
    <n v="3423"/>
    <n v="3423"/>
    <m/>
    <n v="0"/>
    <n v="0"/>
    <n v="0"/>
    <n v="1.83E-2"/>
    <n v="0"/>
    <s v="STOCK  69,900"/>
    <n v="0"/>
    <n v="0"/>
  </r>
  <r>
    <s v="R"/>
    <x v="788"/>
    <d v="2026-04-07T00:00:00"/>
    <x v="2"/>
    <e v="#N/A"/>
    <x v="2"/>
    <s v="DRY2600077"/>
    <s v="Korea"/>
    <s v="CPFNW"/>
    <s v="Consumer Package Commerce"/>
    <s v="R-Wonton egg past"/>
    <x v="2"/>
    <s v="Raw Wonton 60 pcs"/>
    <s v="082I93U10060P00001"/>
    <s v="750g*10inner"/>
    <n v="10"/>
    <n v="60"/>
    <n v="6.8100000000000001E-3"/>
    <s v="S"/>
    <s v="STPP"/>
    <s v="ซุปซอง 5g."/>
    <n v="534"/>
    <n v="534"/>
    <m/>
    <n v="0"/>
    <n v="0"/>
    <n v="0"/>
    <n v="6"/>
    <n v="0"/>
    <m/>
    <n v="0"/>
    <n v="0"/>
  </r>
  <r>
    <m/>
    <x v="788"/>
    <d v="2026-04-07T00:00:00"/>
    <x v="2"/>
    <e v="#N/A"/>
    <x v="2"/>
    <s v="DRY2600048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12"/>
    <n v="80"/>
    <n v="0"/>
    <n v="0"/>
    <n v="0"/>
    <n v="7.4999999999999997E-3"/>
    <n v="0"/>
    <m/>
    <n v="0"/>
    <n v="0"/>
  </r>
  <r>
    <m/>
    <x v="788"/>
    <d v="2026-04-07T00:00:00"/>
    <x v="2"/>
    <e v="#N/A"/>
    <x v="2"/>
    <s v="DRY2600049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12"/>
    <n v="80"/>
    <n v="0"/>
    <n v="0"/>
    <n v="0"/>
    <n v="7.4999999999999997E-3"/>
    <n v="0"/>
    <m/>
    <n v="0"/>
    <n v="0"/>
  </r>
  <r>
    <m/>
    <x v="788"/>
    <d v="2026-04-07T00:00:00"/>
    <x v="2"/>
    <e v="#N/A"/>
    <x v="2"/>
    <s v="DRY2600050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12"/>
    <n v="80"/>
    <n v="0"/>
    <n v="0"/>
    <n v="0"/>
    <n v="7.4999999999999997E-3"/>
    <n v="0"/>
    <m/>
    <n v="0"/>
    <n v="0"/>
  </r>
  <r>
    <m/>
    <x v="788"/>
    <d v="2026-04-08T00:00:00"/>
    <x v="2"/>
    <e v="#N/A"/>
    <x v="2"/>
    <s v="DRY2600067"/>
    <s v="USA"/>
    <s v="CPFNW"/>
    <s v="Bellisio Foods, Inc."/>
    <s v="Minced ND+V"/>
    <x v="1"/>
    <s v="Cooked Wonton ND No Egg with Pumpkin_x000a_+ Yu Choy Low sodium"/>
    <s v="082SRBW24005P01001"/>
    <s v="308g*4c*6in"/>
    <n v="24"/>
    <n v="5"/>
    <n v="6.0000000000000001E-3"/>
    <s v="BK"/>
    <s v="Salt"/>
    <s v="Y3"/>
    <n v="170"/>
    <n v="120"/>
    <n v="50"/>
    <n v="0"/>
    <n v="0"/>
    <n v="0"/>
    <n v="9.7000000000000003E-3"/>
    <n v="0"/>
    <m/>
    <n v="0"/>
    <n v="0"/>
  </r>
  <r>
    <m/>
    <x v="788"/>
    <d v="2026-04-08T00:00:00"/>
    <x v="2"/>
    <e v="#N/A"/>
    <x v="2"/>
    <s v="DRY2600068"/>
    <s v="USA"/>
    <s v="CPFNW"/>
    <s v="Bellisio Foods, Inc."/>
    <s v="Minced ND+V"/>
    <x v="1"/>
    <s v="Cooked Wonton ND No Egg with Pumpkin_x000a_+ Yu Choy Low sodium"/>
    <s v="082SRBW24005P01001"/>
    <s v="308g*4c*6in"/>
    <n v="24"/>
    <n v="5"/>
    <n v="6.0000000000000001E-3"/>
    <s v="BK"/>
    <s v="Salt"/>
    <s v="Y3"/>
    <n v="170"/>
    <m/>
    <n v="170"/>
    <n v="0"/>
    <n v="0"/>
    <n v="0"/>
    <n v="9.7000000000000003E-3"/>
    <n v="0"/>
    <m/>
    <n v="0"/>
    <n v="0"/>
  </r>
  <r>
    <m/>
    <x v="789"/>
    <m/>
    <x v="2"/>
    <e v="#N/A"/>
    <x v="2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790"/>
    <d v="2026-04-21T00:00:00"/>
    <x v="2"/>
    <e v="#N/A"/>
    <x v="2"/>
    <s v="DRY2600006"/>
    <s v="UK"/>
    <s v="CPFNW"/>
    <s v="Westbridge Foods Limited (One UK)"/>
    <s v="Minced ND+Kee Mao"/>
    <x v="1"/>
    <s v="Cooked Minced Wonton Thai Spicy Noodles (Drunken Noodles)"/>
    <s v="082SRKW06003P00001"/>
    <s v="300g*6"/>
    <n v="6"/>
    <n v="3"/>
    <n v="6.1999999999999998E-3"/>
    <s v="BK"/>
    <s v="Salt"/>
    <s v="Kee Mao"/>
    <n v="2657"/>
    <m/>
    <n v="2657.1666666666665"/>
    <n v="0.16666666666651508"/>
    <n v="0"/>
    <n v="0"/>
    <n v="6.5000000000000002E-2"/>
    <n v="0"/>
    <m/>
    <n v="0"/>
    <n v="0"/>
  </r>
  <r>
    <m/>
    <x v="790"/>
    <s v="04-2026"/>
    <x v="2"/>
    <e v="#N/A"/>
    <x v="2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2122"/>
    <n v="2122"/>
    <m/>
    <n v="0"/>
    <n v="0"/>
    <n v="0"/>
    <n v="7.4999999999999997E-3"/>
    <n v="0"/>
    <m/>
    <n v="0"/>
    <n v="0"/>
  </r>
  <r>
    <m/>
    <x v="790"/>
    <d v="2026-04-07T00:00:00"/>
    <x v="2"/>
    <e v="#N/A"/>
    <x v="2"/>
    <s v="DRY2600067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400"/>
    <n v="400"/>
    <m/>
    <n v="0"/>
    <n v="0"/>
    <n v="0"/>
    <n v="7.4999999999999997E-3"/>
    <n v="0"/>
    <m/>
    <n v="0"/>
    <n v="0"/>
  </r>
  <r>
    <m/>
    <x v="790"/>
    <d v="2026-04-08T00:00:00"/>
    <x v="2"/>
    <e v="#N/A"/>
    <x v="2"/>
    <s v="DRY2600068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400"/>
    <n v="400"/>
    <m/>
    <n v="0"/>
    <n v="0"/>
    <n v="0"/>
    <n v="7.4999999999999997E-3"/>
    <n v="0"/>
    <m/>
    <n v="0"/>
    <n v="0"/>
  </r>
  <r>
    <m/>
    <x v="790"/>
    <d v="2026-04-20T00:00:00"/>
    <x v="2"/>
    <e v="#N/A"/>
    <x v="2"/>
    <s v="DRY2600064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n v="0"/>
    <n v="7.4999999999999997E-3"/>
    <n v="0"/>
    <s v="new package (ลบโลโก้ Facebook)"/>
    <n v="0"/>
    <n v="0"/>
  </r>
  <r>
    <s v="R"/>
    <x v="791"/>
    <d v="2026-04-27T00:00:00"/>
    <x v="2"/>
    <e v="#N/A"/>
    <x v="2"/>
    <s v="DRY2600059"/>
    <s v="Korea"/>
    <s v="CPFNW"/>
    <s v="Consumer Package Commerce"/>
    <s v="R-Wonton egg past"/>
    <x v="2"/>
    <s v="Raw Wonton 60 pcs"/>
    <s v="082I93U10060P00001"/>
    <s v="750g*10inner"/>
    <n v="10"/>
    <n v="60"/>
    <n v="6.8100000000000001E-3"/>
    <s v="S"/>
    <s v="STPP"/>
    <s v="ซุปซอง 5g."/>
    <n v="550"/>
    <n v="430"/>
    <n v="120"/>
    <n v="0"/>
    <n v="0"/>
    <n v="0"/>
    <n v="6"/>
    <n v="0"/>
    <m/>
    <n v="0"/>
    <n v="0"/>
  </r>
  <r>
    <m/>
    <x v="791"/>
    <d v="2026-04-21T00:00:00"/>
    <x v="2"/>
    <e v="#N/A"/>
    <x v="2"/>
    <s v="DRY2600006"/>
    <s v="UK"/>
    <s v="CPFNW"/>
    <s v="Westbridge Foods Limited (One UK)"/>
    <s v="Minced ND+Kee Mao"/>
    <x v="1"/>
    <s v="Cooked Minced Wonton Thai Spicy Noodles (Drunken Noodles)"/>
    <s v="082SRKW06003P00001"/>
    <s v="300g*6"/>
    <n v="6"/>
    <n v="3"/>
    <n v="6.1999999999999998E-3"/>
    <s v="BK"/>
    <s v="Salt"/>
    <s v="Kee Mao"/>
    <n v="2672"/>
    <m/>
    <n v="2672"/>
    <n v="0"/>
    <n v="0"/>
    <n v="0"/>
    <n v="6.5000000000000002E-2"/>
    <n v="0"/>
    <m/>
    <n v="0"/>
    <n v="0"/>
  </r>
  <r>
    <m/>
    <x v="791"/>
    <d v="2026-04-07T00:00:00"/>
    <x v="2"/>
    <e v="#N/A"/>
    <x v="2"/>
    <s v="DRY2600047"/>
    <s v="Korea"/>
    <s v="CPFNW"/>
    <s v="Consumer Package Commerce"/>
    <s v="Minced ND"/>
    <x v="1"/>
    <s v="Cooked Minced Wonton Noodle"/>
    <s v="082SR3U12004P00001"/>
    <s v="231g*12"/>
    <n v="12"/>
    <n v="4"/>
    <n v="6.0000000000000001E-3"/>
    <s v="BK"/>
    <s v="Salt"/>
    <s v="Regular"/>
    <n v="2500"/>
    <n v="2500"/>
    <m/>
    <n v="0"/>
    <n v="0"/>
    <n v="0"/>
    <n v="7.4999999999999997E-3"/>
    <n v="0"/>
    <m/>
    <n v="0"/>
    <n v="0"/>
  </r>
  <r>
    <m/>
    <x v="791"/>
    <s v="04-2026"/>
    <x v="2"/>
    <e v="#N/A"/>
    <x v="2"/>
    <s v="ขายภายใน"/>
    <s v="MTFS"/>
    <s v="CPFGS"/>
    <s v="ซีพีเอฟ เทรดดิ้ง"/>
    <s v="Wonton ND"/>
    <x v="1"/>
    <s v="บะหมี่เกี๊ยวกุ้งซุปสุกี้ CPxMK 227g MT"/>
    <s v="082SJ3Q12003P0A001"/>
    <s v="227g*12"/>
    <n v="12"/>
    <n v="3"/>
    <n v="8.0000000000000002E-3"/>
    <s v="SS"/>
    <s v="STPP"/>
    <s v="MK"/>
    <n v="2500"/>
    <n v="2500"/>
    <m/>
    <n v="0"/>
    <n v="0"/>
    <n v="0"/>
    <n v="0.05"/>
    <n v="0"/>
    <s v="เปลี่ยนใช้ผักกวางตุ้งแบบแช่แข็ง"/>
    <n v="0"/>
    <n v="0"/>
  </r>
  <r>
    <s v="R"/>
    <x v="792"/>
    <d v="2026-04-27T00:00:00"/>
    <x v="2"/>
    <e v="#N/A"/>
    <x v="3"/>
    <s v="DRY2600059"/>
    <s v="Korea"/>
    <s v="CPFNW"/>
    <s v="Consumer Package Commerce"/>
    <s v="R-Wonton egg past"/>
    <x v="2"/>
    <s v="Raw Wonton 60 pcs"/>
    <s v="082I93U10060P00001"/>
    <s v="750g*10inner"/>
    <n v="10"/>
    <n v="60"/>
    <n v="6.8100000000000001E-3"/>
    <s v="S"/>
    <s v="STPP"/>
    <s v="ซุปซอง 5g."/>
    <n v="522"/>
    <n v="522"/>
    <m/>
    <n v="0"/>
    <n v="0"/>
    <n v="0"/>
    <n v="6"/>
    <n v="0"/>
    <m/>
    <n v="0"/>
    <n v="0"/>
  </r>
  <r>
    <m/>
    <x v="792"/>
    <d v="2026-04-21T00:00:00"/>
    <x v="2"/>
    <e v="#N/A"/>
    <x v="3"/>
    <s v="DRY2600006"/>
    <s v="UK"/>
    <s v="CPFNW"/>
    <s v="Westbridge Foods Limited (One UK)"/>
    <s v="Minced ND+Kee Mao"/>
    <x v="1"/>
    <s v="Cooked Minced Wonton Thai Spicy Noodles (Drunken Noodles)"/>
    <s v="082SRKW06003P00001"/>
    <s v="300g*6"/>
    <n v="6"/>
    <n v="3"/>
    <n v="6.1999999999999998E-3"/>
    <s v="BK"/>
    <s v="Salt"/>
    <s v="Kee Mao"/>
    <n v="2671"/>
    <n v="97"/>
    <n v="2925.5"/>
    <n v="351.5"/>
    <n v="0"/>
    <n v="0"/>
    <n v="6.5000000000000002E-2"/>
    <n v="0"/>
    <m/>
    <n v="0"/>
    <n v="0"/>
  </r>
  <r>
    <m/>
    <x v="792"/>
    <s v="04-2026"/>
    <x v="2"/>
    <e v="#N/A"/>
    <x v="3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856"/>
    <n v="856"/>
    <m/>
    <n v="0"/>
    <n v="0"/>
    <n v="0"/>
    <n v="7.4999999999999997E-3"/>
    <n v="0"/>
    <m/>
    <n v="0"/>
    <n v="0"/>
  </r>
  <r>
    <s v="ชมรมกอล์ฟ ซีพี"/>
    <x v="792"/>
    <s v="05-2026"/>
    <x v="2"/>
    <e v="#N/A"/>
    <x v="3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0"/>
    <s v="145g*12"/>
    <n v="12"/>
    <n v="5"/>
    <n v="8.0000000000000002E-3"/>
    <s v="M"/>
    <s v="STPP"/>
    <s v="Regular"/>
    <n v="12"/>
    <n v="12"/>
    <m/>
    <n v="0"/>
    <n v="0"/>
    <n v="0"/>
    <n v="7.4999999999999997E-3"/>
    <n v="0"/>
    <m/>
    <n v="0"/>
    <n v="0"/>
  </r>
  <r>
    <s v="CP Laos"/>
    <x v="792"/>
    <d v="2026-04-27T00:00:00"/>
    <x v="2"/>
    <e v="#N/A"/>
    <x v="3"/>
    <s v="LA005/2569"/>
    <s v="Laos"/>
    <s v="Laos"/>
    <s v="บริษัท ปิก้าเทรดดิ้ง จำกัด"/>
    <s v="E+Wonton"/>
    <x v="1"/>
    <s v="เกี๊ยวกุ้งจักรพรรดิ 12x145g."/>
    <s v="082S8L212005P00001"/>
    <s v="145g*12"/>
    <n v="12"/>
    <n v="5"/>
    <n v="8.0000000000000002E-3"/>
    <s v="M"/>
    <s v="STPP"/>
    <s v="Regular"/>
    <n v="100"/>
    <n v="100"/>
    <m/>
    <n v="0"/>
    <n v="0"/>
    <n v="0"/>
    <n v="7.4999999999999997E-3"/>
    <n v="0"/>
    <m/>
    <n v="0"/>
    <n v="0"/>
  </r>
  <r>
    <m/>
    <x v="792"/>
    <s v="05-2026"/>
    <x v="2"/>
    <e v="#N/A"/>
    <x v="3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1"/>
    <s v="145g*12"/>
    <n v="12"/>
    <n v="5"/>
    <n v="8.0000000000000002E-3"/>
    <s v="M"/>
    <s v="STPP"/>
    <s v="Regular"/>
    <n v="2500"/>
    <n v="2500"/>
    <m/>
    <n v="0"/>
    <n v="0"/>
    <n v="0"/>
    <n v="7.4999999999999997E-3"/>
    <n v="0"/>
    <m/>
    <n v="0"/>
    <n v="0"/>
  </r>
  <r>
    <s v="R"/>
    <x v="793"/>
    <d v="2026-05-05T00:00:00"/>
    <x v="2"/>
    <e v="#N/A"/>
    <x v="3"/>
    <s v="DRY2600073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  <m/>
    <n v="0"/>
    <n v="0"/>
  </r>
  <r>
    <s v="R"/>
    <x v="793"/>
    <d v="2026-05-05T00:00:00"/>
    <x v="2"/>
    <e v="#N/A"/>
    <x v="3"/>
    <s v="DRY2600074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00"/>
    <n v="100"/>
    <n v="12"/>
    <n v="12"/>
    <n v="0"/>
    <n v="0"/>
    <n v="6"/>
    <n v="0"/>
    <m/>
    <n v="0"/>
    <n v="0"/>
  </r>
  <r>
    <s v="R"/>
    <x v="793"/>
    <s v="04-2026"/>
    <x v="2"/>
    <e v="#N/A"/>
    <x v="3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s v="-"/>
    <n v="500"/>
    <n v="500"/>
    <m/>
    <n v="0"/>
    <n v="0"/>
    <n v="0"/>
    <m/>
    <n v="0"/>
    <m/>
    <n v="0"/>
    <n v="0"/>
  </r>
  <r>
    <s v="R"/>
    <x v="793"/>
    <d v="2026-04-27T00:00:00"/>
    <x v="2"/>
    <e v="#N/A"/>
    <x v="3"/>
    <s v="DRY2600059"/>
    <s v="Korea"/>
    <s v="CPFNW"/>
    <s v="Consumer Package Commerce"/>
    <s v="R-Wonton egg past"/>
    <x v="2"/>
    <s v="Raw Wonton 60 pcs"/>
    <s v="082I93U10060P00001"/>
    <s v="750g*10inner"/>
    <n v="10"/>
    <n v="60"/>
    <n v="6.8100000000000001E-3"/>
    <s v="S"/>
    <s v="STPP"/>
    <s v="ซุปซอง 5g."/>
    <n v="195"/>
    <n v="195"/>
    <m/>
    <n v="0"/>
    <n v="0"/>
    <n v="0"/>
    <n v="6"/>
    <n v="0"/>
    <m/>
    <n v="0"/>
    <n v="0"/>
  </r>
  <r>
    <m/>
    <x v="793"/>
    <s v="05-2026"/>
    <x v="2"/>
    <e v="#N/A"/>
    <x v="3"/>
    <s v="ขายภายใน"/>
    <s v="MTFS"/>
    <s v="CPFGS"/>
    <s v="ซีพีเอฟ เทรดดิ้ง"/>
    <s v="E+Wonton NDE"/>
    <x v="1"/>
    <s v="บะหมี่เกี๊ยวกุ้ง ตราซีพี 12X226 กรัม"/>
    <s v="082SJ3Q12003P07001"/>
    <s v="226g*12"/>
    <n v="12"/>
    <n v="3"/>
    <n v="8.0000000000000002E-3"/>
    <s v="M"/>
    <s v="STPP"/>
    <s v="Regular"/>
    <n v="500"/>
    <n v="500"/>
    <m/>
    <n v="0"/>
    <n v="0"/>
    <n v="0"/>
    <n v="7.4999999999999997E-3"/>
    <n v="0"/>
    <m/>
    <n v="0"/>
    <n v="0"/>
  </r>
  <r>
    <m/>
    <x v="793"/>
    <s v="05-2026"/>
    <x v="2"/>
    <e v="#N/A"/>
    <x v="3"/>
    <s v="ขายภายใน"/>
    <s v="MTFS"/>
    <s v="CPFGS"/>
    <s v="ซีพีเอฟ เทรดดิ้ง"/>
    <s v="E+Wonton NDE"/>
    <x v="1"/>
    <s v="บะหมี่เกี๊ยวกุ้ง ตราซีพี 12X226 กรัม"/>
    <s v="082SJ3Q12003P07001"/>
    <s v="226g*12"/>
    <n v="12"/>
    <n v="3"/>
    <n v="8.0000000000000002E-3"/>
    <s v="M"/>
    <s v="STPP"/>
    <s v="Regular"/>
    <n v="500"/>
    <n v="500"/>
    <m/>
    <n v="0"/>
    <n v="0"/>
    <n v="0"/>
    <n v="7.4999999999999997E-3"/>
    <n v="0"/>
    <m/>
    <n v="0"/>
    <n v="0"/>
  </r>
  <r>
    <m/>
    <x v="793"/>
    <s v="04-2026"/>
    <x v="2"/>
    <e v="#N/A"/>
    <x v="3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200"/>
    <n v="200"/>
    <m/>
    <n v="0"/>
    <n v="0"/>
    <n v="0"/>
    <n v="7.4999999999999997E-3"/>
    <n v="0"/>
    <m/>
    <n v="0"/>
    <n v="0"/>
  </r>
  <r>
    <m/>
    <x v="793"/>
    <s v="05-2026"/>
    <x v="2"/>
    <e v="#N/A"/>
    <x v="3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200"/>
    <n v="200"/>
    <m/>
    <n v="0"/>
    <n v="0"/>
    <n v="0"/>
    <n v="7.4999999999999997E-3"/>
    <n v="0"/>
    <m/>
    <n v="0"/>
    <n v="0"/>
  </r>
  <r>
    <m/>
    <x v="793"/>
    <s v="05-2026"/>
    <x v="2"/>
    <e v="#N/A"/>
    <x v="3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70"/>
    <n v="70"/>
    <m/>
    <n v="0"/>
    <n v="0"/>
    <n v="0"/>
    <n v="7.4999999999999997E-3"/>
    <n v="0"/>
    <m/>
    <n v="0"/>
    <n v="0"/>
  </r>
  <r>
    <m/>
    <x v="793"/>
    <s v="04-2026"/>
    <x v="2"/>
    <e v="#N/A"/>
    <x v="3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300"/>
    <n v="300"/>
    <m/>
    <n v="0"/>
    <n v="0"/>
    <n v="0"/>
    <n v="7.4999999999999997E-3"/>
    <n v="0"/>
    <m/>
    <n v="0"/>
    <n v="0"/>
  </r>
  <r>
    <m/>
    <x v="793"/>
    <s v="04-2026"/>
    <x v="2"/>
    <e v="#N/A"/>
    <x v="3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1846"/>
    <n v="1846"/>
    <m/>
    <n v="0"/>
    <n v="0"/>
    <n v="0"/>
    <n v="7.4999999999999997E-3"/>
    <n v="0"/>
    <m/>
    <n v="0"/>
    <n v="0"/>
  </r>
  <r>
    <m/>
    <x v="793"/>
    <s v="05-2026"/>
    <x v="2"/>
    <e v="#N/A"/>
    <x v="3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19"/>
    <n v="19"/>
    <m/>
    <n v="0"/>
    <n v="0"/>
    <n v="0"/>
    <n v="7.4999999999999997E-3"/>
    <n v="0"/>
    <m/>
    <n v="0"/>
    <n v="0"/>
  </r>
  <r>
    <m/>
    <x v="793"/>
    <s v="04-2026"/>
    <x v="2"/>
    <e v="#N/A"/>
    <x v="3"/>
    <s v="ขายภายใน"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1200"/>
    <n v="897"/>
    <n v="303"/>
    <n v="0"/>
    <n v="0"/>
    <n v="0"/>
    <n v="1"/>
    <n v="0"/>
    <m/>
    <n v="0"/>
    <n v="0"/>
  </r>
  <r>
    <s v="R"/>
    <x v="794"/>
    <d v="2026-04-27T00:00:00"/>
    <x v="2"/>
    <e v="#N/A"/>
    <x v="3"/>
    <s v="DRY2600059"/>
    <s v="Korea"/>
    <s v="CPFNW"/>
    <s v="Consumer Package Commerce"/>
    <s v="R-Wonton egg past"/>
    <x v="2"/>
    <s v="Raw Wonton 60 pcs"/>
    <s v="082I93U10060P00001"/>
    <s v="750g*10inner"/>
    <n v="10"/>
    <n v="60"/>
    <n v="6.8100000000000001E-3"/>
    <s v="S"/>
    <s v="STPP"/>
    <s v="ซุปซอง 5g."/>
    <n v="93"/>
    <n v="93"/>
    <m/>
    <n v="0"/>
    <n v="0"/>
    <n v="0"/>
    <n v="6"/>
    <n v="0"/>
    <m/>
    <n v="0"/>
    <n v="0"/>
  </r>
  <r>
    <s v="R"/>
    <x v="794"/>
    <d v="2026-04-22T00:00:00"/>
    <x v="2"/>
    <e v="#N/A"/>
    <x v="3"/>
    <s v="DRY2600102"/>
    <s v="HK"/>
    <s v="CPFNW"/>
    <s v="CPM Hongkong"/>
    <s v="R-Wonton egg past"/>
    <x v="2"/>
    <s v="Raw Wonton 8 pcs"/>
    <s v="082I93G20008P01001"/>
    <s v="194g*20in"/>
    <n v="20"/>
    <n v="8"/>
    <n v="1.4999999999999999E-2"/>
    <s v="JB"/>
    <s v="STPP"/>
    <s v="ซุปซอง 5g."/>
    <n v="5"/>
    <n v="5"/>
    <m/>
    <n v="0"/>
    <n v="0"/>
    <n v="0"/>
    <n v="2"/>
    <n v="0"/>
    <s v="ห่อแบบดิบ"/>
    <n v="0"/>
    <n v="0"/>
  </r>
  <r>
    <s v="R"/>
    <x v="794"/>
    <d v="2026-04-29T00:00:00"/>
    <x v="2"/>
    <e v="#N/A"/>
    <x v="3"/>
    <s v="DRY2600043"/>
    <s v="SG"/>
    <s v="CPFNW"/>
    <s v="CP FOODS SINGAPORE PTE. LTD"/>
    <s v="R-Wonton egg past"/>
    <x v="2"/>
    <s v="Raw Wonton 8 pcs"/>
    <s v="082I93B20008P00001"/>
    <s v="194g*20in"/>
    <n v="20"/>
    <n v="8"/>
    <n v="1.4999999999999999E-2"/>
    <s v="JB"/>
    <s v="STPP"/>
    <s v="ซุปซอง 5g."/>
    <n v="250"/>
    <n v="250"/>
    <m/>
    <n v="0"/>
    <n v="0"/>
    <n v="0"/>
    <n v="2"/>
    <n v="0"/>
    <s v="ห่อแบบดิบ"/>
    <n v="0"/>
    <n v="0"/>
  </r>
  <r>
    <s v="R"/>
    <x v="794"/>
    <d v="2026-04-29T00:00:00"/>
    <x v="2"/>
    <e v="#N/A"/>
    <x v="3"/>
    <s v="DRY2600043"/>
    <s v="SG"/>
    <s v="CPFNW"/>
    <s v="CP FOODS SINGAPORE PTE. LTD"/>
    <s v="R-Minced egg past"/>
    <x v="2"/>
    <s v="Raw Minced Wonton 8 pcs"/>
    <s v="082ID3B18008P00001"/>
    <s v="90g*18in"/>
    <n v="18"/>
    <n v="8"/>
    <n v="6.0000000000000001E-3"/>
    <s v="BK"/>
    <s v="STPP"/>
    <s v="ซุปซอง 5g."/>
    <n v="350"/>
    <n v="350"/>
    <m/>
    <n v="0"/>
    <n v="0"/>
    <n v="0"/>
    <n v="2"/>
    <n v="0"/>
    <m/>
    <n v="0"/>
    <n v="0"/>
  </r>
  <r>
    <s v="R"/>
    <x v="794"/>
    <d v="2026-04-22T00:00:00"/>
    <x v="2"/>
    <e v="#N/A"/>
    <x v="3"/>
    <s v="DRY2600070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309"/>
    <m/>
    <n v="309"/>
    <n v="0"/>
    <n v="0"/>
    <n v="0"/>
    <n v="1"/>
    <n v="0"/>
    <m/>
    <n v="0"/>
    <n v="0"/>
  </r>
  <r>
    <m/>
    <x v="794"/>
    <d v="2026-04-08T00:00:00"/>
    <x v="2"/>
    <e v="#N/A"/>
    <x v="3"/>
    <s v="DRY2600067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800"/>
    <n v="751"/>
    <n v="49"/>
    <n v="0"/>
    <n v="0"/>
    <n v="0"/>
    <n v="7.4999999999999997E-3"/>
    <n v="0"/>
    <m/>
    <n v="0"/>
    <n v="0"/>
  </r>
  <r>
    <m/>
    <x v="794"/>
    <d v="2026-04-08T00:00:00"/>
    <x v="2"/>
    <e v="#N/A"/>
    <x v="3"/>
    <s v="DRY2600068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800"/>
    <n v="789"/>
    <n v="11"/>
    <n v="0"/>
    <n v="0"/>
    <n v="0"/>
    <n v="7.4999999999999997E-3"/>
    <n v="0"/>
    <m/>
    <n v="0"/>
    <n v="0"/>
  </r>
  <r>
    <m/>
    <x v="794"/>
    <s v="04-2026"/>
    <x v="2"/>
    <e v="#N/A"/>
    <x v="3"/>
    <s v="ขายภายใน"/>
    <s v="MTFS"/>
    <s v="CPFGS"/>
    <s v="CPFGS"/>
    <s v="E+NDเส้นมัน+หมาล่า"/>
    <x v="1"/>
    <s v="เส้นมันเกี๊ยวกุ้งจักรพรรดิซุปหมาล่า  ตราซีพี ซีคิวเค MT"/>
    <s v="082SG3Q12003P00001"/>
    <s v="250g*12"/>
    <n v="12"/>
    <n v="3"/>
    <n v="6.1999999999999998E-3"/>
    <s v="SS"/>
    <s v="STPP"/>
    <s v="หมาล่า"/>
    <n v="500"/>
    <n v="500"/>
    <m/>
    <n v="0"/>
    <n v="0"/>
    <n v="0"/>
    <n v="1.83E-2"/>
    <n v="0"/>
    <s v="รอ ผงไก่ จะเข้าวันไหน"/>
    <n v="0"/>
    <n v="0"/>
  </r>
  <r>
    <m/>
    <x v="794"/>
    <s v="04-2026"/>
    <x v="2"/>
    <e v="#N/A"/>
    <x v="3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s v="SS"/>
    <s v="STPP"/>
    <s v="หมาล่า"/>
    <n v="1749"/>
    <n v="1749"/>
    <m/>
    <n v="0"/>
    <n v="0"/>
    <n v="0"/>
    <n v="1.83E-2"/>
    <n v="0"/>
    <m/>
    <n v="0"/>
    <n v="0"/>
  </r>
  <r>
    <s v="R"/>
    <x v="795"/>
    <d v="2026-04-22T00:00:00"/>
    <x v="2"/>
    <e v="#N/A"/>
    <x v="3"/>
    <s v="DRY2600070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1491"/>
    <n v="570"/>
    <n v="924"/>
    <n v="3"/>
    <n v="0"/>
    <n v="0"/>
    <n v="1"/>
    <n v="0"/>
    <m/>
    <n v="0"/>
    <n v="0"/>
  </r>
  <r>
    <m/>
    <x v="795"/>
    <s v="04-2026"/>
    <x v="2"/>
    <e v="#N/A"/>
    <x v="3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466"/>
    <n v="1466"/>
    <m/>
    <n v="0"/>
    <n v="0"/>
    <n v="0"/>
    <n v="7.4999999999999997E-3"/>
    <n v="0"/>
    <m/>
    <n v="0"/>
    <n v="0"/>
  </r>
  <r>
    <m/>
    <x v="795"/>
    <d v="2026-04-22T00:00:00"/>
    <x v="2"/>
    <e v="#N/A"/>
    <x v="3"/>
    <s v="DRY2600102"/>
    <s v="HK"/>
    <s v="CPFNW"/>
    <s v="CPM Hongkong"/>
    <s v="Wonton ND+V"/>
    <x v="1"/>
    <s v="Cooked Wonton ND No Egg with Pumpkin _x000a_+ Vegetable  HC  3 pcs"/>
    <s v="082SJ3G24003P02001"/>
    <s v="219g*24"/>
    <n v="24"/>
    <n v="3"/>
    <n v="7.4999999999999997E-3"/>
    <s v="HC"/>
    <s v="STPP"/>
    <s v="ซุปซอง 10g."/>
    <n v="15"/>
    <n v="15"/>
    <m/>
    <n v="0"/>
    <n v="0"/>
    <n v="0"/>
    <n v="1"/>
    <n v="0"/>
    <m/>
    <n v="0"/>
    <n v="0"/>
  </r>
  <r>
    <m/>
    <x v="795"/>
    <d v="2026-04-29T00:00:00"/>
    <x v="2"/>
    <e v="#N/A"/>
    <x v="3"/>
    <s v="DRY2600044"/>
    <s v="SG"/>
    <s v="CPFNW"/>
    <s v="CP FOODS SINGAPORE PTE. LTD"/>
    <s v="Wonton ND+V"/>
    <x v="1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250"/>
    <n v="250"/>
    <m/>
    <n v="0"/>
    <n v="0"/>
    <n v="0"/>
    <n v="1"/>
    <n v="0"/>
    <m/>
    <n v="0"/>
    <n v="0"/>
  </r>
  <r>
    <m/>
    <x v="795"/>
    <d v="2026-04-23T00:00:00"/>
    <x v="2"/>
    <e v="#N/A"/>
    <x v="3"/>
    <s v="DRY2600051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699"/>
    <n v="93"/>
    <n v="0"/>
    <n v="0"/>
    <n v="0"/>
    <n v="7.4999999999999997E-3"/>
    <n v="0"/>
    <m/>
    <n v="0"/>
    <n v="0"/>
  </r>
  <r>
    <m/>
    <x v="795"/>
    <d v="2026-04-23T00:00:00"/>
    <x v="2"/>
    <e v="#N/A"/>
    <x v="3"/>
    <s v="DRY2600055"/>
    <s v="New Zealand"/>
    <s v="CPFNW"/>
    <s v="Lim Brothers Import&amp;Export Co.,Ltd."/>
    <s v="Wonton ND+V"/>
    <x v="1"/>
    <s v="Cooked Wonton ND No Egg with Pumpkin_x000a_+ Yu Choy "/>
    <s v="082SJN708004P00001"/>
    <s v="305g*8"/>
    <n v="8"/>
    <n v="4"/>
    <n v="7.4999999999999997E-3"/>
    <s v="HC"/>
    <s v="Salt"/>
    <s v="Regular"/>
    <n v="420"/>
    <m/>
    <n v="429.25"/>
    <n v="9.25"/>
    <n v="0"/>
    <n v="0"/>
    <n v="7.4999999999999997E-3"/>
    <n v="0"/>
    <s v="662 Stock Aus"/>
    <n v="0"/>
    <n v="0"/>
  </r>
  <r>
    <m/>
    <x v="795"/>
    <d v="2026-04-23T00:00:00"/>
    <x v="2"/>
    <e v="#N/A"/>
    <x v="3"/>
    <s v="DRY2600061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SG+CO"/>
    <n v="390"/>
    <n v="390"/>
    <m/>
    <n v="0"/>
    <n v="0"/>
    <n v="0"/>
    <n v="3.8699999999999998E-2"/>
    <n v="0"/>
    <m/>
    <n v="0"/>
    <n v="0"/>
  </r>
  <r>
    <m/>
    <x v="795"/>
    <d v="2026-05-07T00:00:00"/>
    <x v="2"/>
    <e v="#N/A"/>
    <x v="3"/>
    <s v="DRY2600062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SG+CO"/>
    <n v="390"/>
    <n v="390"/>
    <m/>
    <n v="0"/>
    <n v="0"/>
    <n v="0"/>
    <n v="3.8699999999999998E-2"/>
    <n v="0"/>
    <m/>
    <n v="0"/>
    <n v="0"/>
  </r>
  <r>
    <m/>
    <x v="796"/>
    <m/>
    <x v="2"/>
    <e v="#N/A"/>
    <x v="3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797"/>
    <d v="2026-04-16T00:00:00"/>
    <x v="2"/>
    <e v="#N/A"/>
    <x v="3"/>
    <s v="KL2600009"/>
    <s v="China"/>
    <s v="China"/>
    <s v="Charoen Pokphand Import&amp;Export Trading (Shanghai) Co., Ltd"/>
    <s v="R-Wonton no egg"/>
    <x v="2"/>
    <s v="Raw Wonton 50 pcs"/>
    <s v="082I95J08050P03001"/>
    <s v="630g*8in"/>
    <n v="8"/>
    <n v="50"/>
    <n v="6.8100000000000001E-3"/>
    <s v="S"/>
    <s v="STPP"/>
    <s v="ซุปซอง 5g."/>
    <n v="924"/>
    <n v="482"/>
    <n v="450"/>
    <n v="8"/>
    <n v="0"/>
    <n v="0"/>
    <n v="6"/>
    <n v="0"/>
    <m/>
    <n v="0"/>
    <n v="0"/>
  </r>
  <r>
    <m/>
    <x v="797"/>
    <s v="04-2026"/>
    <x v="2"/>
    <e v="#N/A"/>
    <x v="3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1414"/>
    <n v="1414"/>
    <m/>
    <n v="0"/>
    <n v="0"/>
    <n v="0"/>
    <n v="1.7000000000000001E-2"/>
    <n v="0"/>
    <d v="2026-03-30T00:00:00"/>
    <n v="0"/>
    <n v="0"/>
  </r>
  <r>
    <m/>
    <x v="797"/>
    <d v="2026-05-05T00:00:00"/>
    <x v="2"/>
    <e v="#N/A"/>
    <x v="3"/>
    <s v="DRY2600010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m/>
    <x v="797"/>
    <d v="2026-04-29T00:00:00"/>
    <x v="2"/>
    <e v="#N/A"/>
    <x v="3"/>
    <s v="DRY2600044"/>
    <s v="SG"/>
    <s v="CPFNW"/>
    <s v="CP FOODS SINGAPORE PTE. LTD"/>
    <s v="Wonton"/>
    <x v="1"/>
    <s v="Cooked Wonton No Egg"/>
    <s v="082S83B24005P07001"/>
    <s v="145g*24"/>
    <n v="24"/>
    <n v="5"/>
    <n v="8.0000000000000002E-3"/>
    <s v="M"/>
    <s v="STPP"/>
    <s v="Regular"/>
    <n v="250"/>
    <n v="250"/>
    <m/>
    <n v="0"/>
    <n v="0"/>
    <n v="0"/>
    <n v="1"/>
    <n v="0"/>
    <m/>
    <n v="0"/>
    <n v="0"/>
  </r>
  <r>
    <s v="R"/>
    <x v="798"/>
    <d v="2026-04-16T00:00:00"/>
    <x v="2"/>
    <e v="#N/A"/>
    <x v="3"/>
    <s v="DRY2500361"/>
    <s v="Korea"/>
    <s v="CPFNW"/>
    <s v="Consumer Package Commerce"/>
    <s v="R-Minced no egg"/>
    <x v="2"/>
    <s v="Raw Minced Wonton 50 pcs"/>
    <s v="082ID3U10050P00001"/>
    <s v="530g*10inner"/>
    <n v="10"/>
    <n v="50"/>
    <n v="4.0000000000000001E-3"/>
    <s v="BK"/>
    <s v="STPP"/>
    <s v="ซุปซอง 5g."/>
    <n v="555"/>
    <n v="555"/>
    <m/>
    <n v="0"/>
    <n v="0"/>
    <n v="0"/>
    <n v="6"/>
    <n v="0"/>
    <m/>
    <n v="0"/>
    <n v="0"/>
  </r>
  <r>
    <m/>
    <x v="798"/>
    <s v="04-2026"/>
    <x v="2"/>
    <e v="#N/A"/>
    <x v="3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1378"/>
    <n v="1378"/>
    <m/>
    <n v="0"/>
    <n v="0"/>
    <n v="0"/>
    <n v="1.7000000000000001E-2"/>
    <n v="0"/>
    <d v="2026-04-02T00:00:00"/>
    <n v="0"/>
    <n v="0"/>
  </r>
  <r>
    <m/>
    <x v="798"/>
    <d v="2026-04-22T00:00:00"/>
    <x v="2"/>
    <e v="#N/A"/>
    <x v="3"/>
    <s v="DRY2600102"/>
    <s v="HK"/>
    <s v="CPFNW"/>
    <s v="CPM Hongkong"/>
    <s v="Wonton +TY"/>
    <x v="1"/>
    <s v="Cooked Wonton No Egg"/>
    <s v="082S83G24005P05001"/>
    <s v="115g*24"/>
    <n v="24"/>
    <n v="5"/>
    <n v="8.0000000000000002E-3"/>
    <s v="M"/>
    <s v="STPP"/>
    <s v="TYTB3C 30G"/>
    <n v="15"/>
    <n v="15"/>
    <m/>
    <n v="0"/>
    <n v="0"/>
    <n v="0"/>
    <n v="1"/>
    <n v="0"/>
    <m/>
    <n v="0"/>
    <n v="0"/>
  </r>
  <r>
    <m/>
    <x v="798"/>
    <d v="2026-04-29T00:00:00"/>
    <x v="2"/>
    <e v="#N/A"/>
    <x v="3"/>
    <s v="DRY2600044"/>
    <s v="SG"/>
    <s v="CPFNW"/>
    <s v="CP FOODS SINGAPORE PTE. LTD"/>
    <s v="Wonton +TY"/>
    <x v="1"/>
    <s v="Cooked Wonton No Egg"/>
    <s v="082S83B24005P06001"/>
    <s v="115g*24"/>
    <n v="24"/>
    <n v="5"/>
    <n v="8.0000000000000002E-3"/>
    <s v="M"/>
    <s v="STPP"/>
    <s v="TYTB3C 30G"/>
    <n v="250"/>
    <n v="250"/>
    <m/>
    <n v="0"/>
    <n v="0"/>
    <n v="0"/>
    <n v="1"/>
    <n v="0"/>
    <m/>
    <n v="0"/>
    <n v="0"/>
  </r>
  <r>
    <m/>
    <x v="798"/>
    <s v="04-2026"/>
    <x v="2"/>
    <e v="#N/A"/>
    <x v="3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614"/>
    <n v="1614"/>
    <m/>
    <n v="0"/>
    <n v="0"/>
    <n v="0"/>
    <n v="7.4999999999999997E-3"/>
    <n v="0"/>
    <m/>
    <n v="0"/>
    <n v="0"/>
  </r>
  <r>
    <s v="R"/>
    <x v="799"/>
    <d v="2026-04-16T00:00:00"/>
    <x v="2"/>
    <e v="#N/A"/>
    <x v="3"/>
    <s v="DRY2500361"/>
    <s v="Korea"/>
    <s v="CPFNW"/>
    <s v="Consumer Package Commerce"/>
    <s v="R-Minced no egg"/>
    <x v="2"/>
    <s v="Raw Minced Wonton 50 pcs"/>
    <s v="082ID3U10050P00001"/>
    <s v="530g*10inner"/>
    <n v="10"/>
    <n v="50"/>
    <n v="4.0000000000000001E-3"/>
    <s v="BK"/>
    <s v="STPP"/>
    <s v="ซุปซอง 5g."/>
    <n v="523"/>
    <n v="523"/>
    <m/>
    <n v="0"/>
    <n v="0"/>
    <n v="0"/>
    <n v="6"/>
    <n v="0"/>
    <m/>
    <n v="0"/>
    <n v="0"/>
  </r>
  <r>
    <m/>
    <x v="799"/>
    <s v="04-2026"/>
    <x v="2"/>
    <e v="#N/A"/>
    <x v="3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1410"/>
    <n v="1410"/>
    <m/>
    <n v="0"/>
    <n v="0"/>
    <n v="0"/>
    <n v="1.7000000000000001E-2"/>
    <n v="0"/>
    <m/>
    <n v="0"/>
    <n v="0"/>
  </r>
  <r>
    <m/>
    <x v="799"/>
    <s v="04-2026"/>
    <x v="2"/>
    <e v="#N/A"/>
    <x v="3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2145"/>
    <n v="2145"/>
    <m/>
    <n v="0"/>
    <n v="0"/>
    <n v="0"/>
    <n v="7.4999999999999997E-3"/>
    <n v="0"/>
    <m/>
    <n v="0"/>
    <n v="0"/>
  </r>
  <r>
    <m/>
    <x v="799"/>
    <s v="05-2026"/>
    <x v="2"/>
    <e v="#N/A"/>
    <x v="3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66"/>
    <n v="66"/>
    <m/>
    <n v="0"/>
    <n v="0"/>
    <n v="0"/>
    <n v="7.4999999999999997E-3"/>
    <n v="0"/>
    <m/>
    <n v="0"/>
    <n v="0"/>
  </r>
  <r>
    <m/>
    <x v="799"/>
    <d v="2026-04-22T00:00:00"/>
    <x v="2"/>
    <e v="#N/A"/>
    <x v="3"/>
    <s v="DRY2600102"/>
    <s v="HK"/>
    <s v="CPFNW"/>
    <s v="CPM Hongkong"/>
    <s v="Minced ND+หมาล่า"/>
    <x v="1"/>
    <s v="Cooked Minced  ND No Egg หมาล่า"/>
    <s v="082SR3G24003P04001"/>
    <s v="300g*24"/>
    <n v="24"/>
    <n v="3"/>
    <n v="6.0000000000000001E-3"/>
    <s v="BK"/>
    <s v="Salt"/>
    <s v="หมาล่า"/>
    <n v="15"/>
    <n v="15"/>
    <m/>
    <n v="0"/>
    <n v="0"/>
    <n v="0"/>
    <n v="1.2999999999999999E-2"/>
    <n v="0"/>
    <s v="stock 631 ถ้วยจาก denmark"/>
    <n v="0"/>
    <n v="0"/>
  </r>
  <r>
    <m/>
    <x v="799"/>
    <d v="2026-04-29T00:00:00"/>
    <x v="2"/>
    <e v="#N/A"/>
    <x v="3"/>
    <s v="DRY2600044"/>
    <s v="SG"/>
    <s v="CPFNW"/>
    <s v="CP FOODS SINGAPORE PTE. LTD"/>
    <s v="Minced ND+หมาล่า"/>
    <x v="1"/>
    <s v="Cooked Minced  ND No Egg หมาล่า"/>
    <s v="082SR3B24003P00001"/>
    <s v="300g*24"/>
    <n v="24"/>
    <n v="3"/>
    <n v="6.0000000000000001E-3"/>
    <s v="BK"/>
    <s v="Salt"/>
    <s v="หมาล่า"/>
    <n v="145"/>
    <n v="132"/>
    <n v="15.75"/>
    <n v="2.75"/>
    <n v="0"/>
    <n v="0"/>
    <n v="2.4E-2"/>
    <n v="0"/>
    <m/>
    <n v="0"/>
    <n v="0"/>
  </r>
  <r>
    <s v="R"/>
    <x v="800"/>
    <d v="2026-04-16T00:00:00"/>
    <x v="2"/>
    <e v="#N/A"/>
    <x v="3"/>
    <s v="DRY2500361"/>
    <s v="Korea"/>
    <s v="CPFNW"/>
    <s v="Consumer Package Commerce"/>
    <s v="R-Minced no egg"/>
    <x v="2"/>
    <s v="Raw Minced Wonton 50 pcs"/>
    <s v="082ID3U10050P00001"/>
    <s v="530g*10inner"/>
    <n v="10"/>
    <n v="50"/>
    <n v="4.0000000000000001E-3"/>
    <s v="BK"/>
    <s v="STPP"/>
    <s v="ซุปซอง 5g."/>
    <n v="508"/>
    <n v="508"/>
    <m/>
    <n v="0"/>
    <n v="0"/>
    <n v="0"/>
    <n v="6"/>
    <n v="0"/>
    <m/>
    <n v="0"/>
    <n v="0"/>
  </r>
  <r>
    <m/>
    <x v="800"/>
    <s v="04-2026"/>
    <x v="2"/>
    <e v="#N/A"/>
    <x v="3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1355"/>
    <n v="1355"/>
    <m/>
    <n v="0"/>
    <n v="0"/>
    <n v="0"/>
    <n v="1.7000000000000001E-2"/>
    <n v="0"/>
    <m/>
    <n v="0"/>
    <n v="0"/>
  </r>
  <r>
    <m/>
    <x v="800"/>
    <s v="05-2026"/>
    <x v="2"/>
    <e v="#N/A"/>
    <x v="3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59"/>
    <n v="59"/>
    <m/>
    <n v="0"/>
    <n v="0"/>
    <n v="0"/>
    <n v="1.7000000000000001E-2"/>
    <n v="0"/>
    <m/>
    <n v="0"/>
    <n v="0"/>
  </r>
  <r>
    <m/>
    <x v="800"/>
    <s v="04-2026"/>
    <x v="2"/>
    <e v="#N/A"/>
    <x v="3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s v="SS"/>
    <s v="STPP"/>
    <s v="หมาล่า"/>
    <n v="2061"/>
    <n v="2061"/>
    <m/>
    <n v="0"/>
    <n v="0"/>
    <n v="0"/>
    <n v="1.83E-2"/>
    <n v="0"/>
    <m/>
    <n v="0"/>
    <n v="0"/>
  </r>
  <r>
    <s v="R"/>
    <x v="801"/>
    <d v="2026-04-16T00:00:00"/>
    <x v="2"/>
    <e v="#N/A"/>
    <x v="3"/>
    <s v="DRY2500361"/>
    <s v="Korea"/>
    <s v="CPFNW"/>
    <s v="Consumer Package Commerce"/>
    <s v="R-Minced no egg"/>
    <x v="2"/>
    <s v="Raw Minced Wonton 50 pcs"/>
    <s v="082ID3U10050P00001"/>
    <s v="530g*10inner"/>
    <n v="10"/>
    <n v="50"/>
    <n v="4.0000000000000001E-3"/>
    <s v="BK"/>
    <s v="STPP"/>
    <s v="ซุปซอง 5g."/>
    <n v="470"/>
    <n v="404"/>
    <n v="71"/>
    <n v="5"/>
    <n v="0"/>
    <n v="0"/>
    <n v="6"/>
    <n v="0"/>
    <m/>
    <n v="0"/>
    <n v="0"/>
  </r>
  <r>
    <m/>
    <x v="801"/>
    <s v="05-2026"/>
    <x v="2"/>
    <e v="#N/A"/>
    <x v="3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1379"/>
    <n v="1379"/>
    <m/>
    <n v="0"/>
    <n v="0"/>
    <n v="0"/>
    <n v="1.7000000000000001E-2"/>
    <n v="0"/>
    <m/>
    <n v="0"/>
    <n v="0"/>
  </r>
  <r>
    <m/>
    <x v="801"/>
    <s v="04-2026"/>
    <x v="2"/>
    <e v="#N/A"/>
    <x v="3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s v="SS"/>
    <s v="STPP"/>
    <s v="หมาล่า"/>
    <n v="2047"/>
    <n v="2047"/>
    <m/>
    <n v="0"/>
    <n v="0"/>
    <n v="0"/>
    <n v="1.83E-2"/>
    <n v="0"/>
    <m/>
    <n v="0"/>
    <n v="0"/>
  </r>
  <r>
    <s v="R"/>
    <x v="802"/>
    <d v="2026-04-29T00:00:00"/>
    <x v="2"/>
    <e v="#N/A"/>
    <x v="3"/>
    <s v="DRY2600043"/>
    <s v="SG"/>
    <s v="CPFNW"/>
    <s v="CP FOODS SINGAPORE PTE. LTD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1000"/>
    <n v="826"/>
    <n v="174"/>
    <n v="0"/>
    <n v="0"/>
    <n v="0"/>
    <n v="2"/>
    <n v="0"/>
    <s v="ห่อแบบสุก"/>
    <n v="0"/>
    <n v="0"/>
  </r>
  <r>
    <m/>
    <x v="802"/>
    <s v="04-2026"/>
    <x v="2"/>
    <e v="#N/A"/>
    <x v="3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s v="SS"/>
    <s v="STPP"/>
    <s v="หมาล่า"/>
    <n v="3369"/>
    <n v="3369"/>
    <m/>
    <n v="0"/>
    <n v="0"/>
    <n v="0"/>
    <n v="1.83E-2"/>
    <n v="0"/>
    <m/>
    <n v="0"/>
    <n v="0"/>
  </r>
  <r>
    <m/>
    <x v="803"/>
    <m/>
    <x v="2"/>
    <e v="#N/A"/>
    <x v="3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804"/>
    <m/>
    <x v="2"/>
    <e v="#N/A"/>
    <x v="3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805"/>
    <m/>
    <x v="2"/>
    <e v="#N/A"/>
    <x v="3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806"/>
    <m/>
    <x v="2"/>
    <e v="#N/A"/>
    <x v="3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807"/>
    <d v="2026-04-28T00:00:00"/>
    <x v="2"/>
    <e v="#N/A"/>
    <x v="3"/>
    <s v="DRY2600084"/>
    <s v="UK"/>
    <s v="CPFNW"/>
    <s v="Westbridge Foods Limited (One UK)"/>
    <s v="Minced ND"/>
    <x v="1"/>
    <s v="Cooked Minced Wonton Noodle No Egg"/>
    <s v="082SRWE24005P00001"/>
    <s v="258g*4c*6in"/>
    <n v="24"/>
    <n v="5"/>
    <n v="6.0000000000000001E-3"/>
    <s v="BK"/>
    <s v="Salt"/>
    <s v="Regular"/>
    <n v="705"/>
    <n v="415"/>
    <n v="291.08333333333331"/>
    <n v="1.0833333333332575"/>
    <n v="0"/>
    <n v="0"/>
    <n v="7.4999999999999997E-3"/>
    <n v="0"/>
    <s v="package new ถ้วยสีขาว"/>
    <n v="0"/>
    <n v="0"/>
  </r>
  <r>
    <m/>
    <x v="807"/>
    <d v="2026-05-05T00:00:00"/>
    <x v="2"/>
    <e v="#N/A"/>
    <x v="3"/>
    <s v="DRY2600073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800"/>
    <n v="683"/>
    <n v="117.58333333333333"/>
    <n v="0.58333333333337123"/>
    <n v="0"/>
    <n v="0"/>
    <n v="7.4999999999999997E-3"/>
    <n v="0"/>
    <s v="New Package"/>
    <n v="0"/>
    <n v="0"/>
  </r>
  <r>
    <m/>
    <x v="807"/>
    <d v="2026-05-05T00:00:00"/>
    <x v="2"/>
    <e v="#N/A"/>
    <x v="3"/>
    <s v="DRY2600074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700"/>
    <n v="688"/>
    <n v="12"/>
    <n v="0"/>
    <n v="0"/>
    <n v="0"/>
    <n v="7.4999999999999997E-3"/>
    <n v="0"/>
    <s v="New Package"/>
    <n v="0"/>
    <n v="0"/>
  </r>
  <r>
    <m/>
    <x v="807"/>
    <d v="2026-05-12T00:00:00"/>
    <x v="2"/>
    <e v="#N/A"/>
    <x v="3"/>
    <s v="DRY2600069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n v="0"/>
    <n v="7.4999999999999997E-3"/>
    <n v="0"/>
    <s v="new package (ลบโลโก้ Facebook)"/>
    <n v="0"/>
    <n v="0"/>
  </r>
  <r>
    <s v="T"/>
    <x v="808"/>
    <d v="2026-05-28T00:00:00"/>
    <x v="2"/>
    <e v="#N/A"/>
    <x v="3"/>
    <s v="DRY2600110"/>
    <s v="New Zealand"/>
    <s v="CPFNW"/>
    <s v="Lim Brothers"/>
    <s v="C-Minced WT in tray no egg"/>
    <x v="1"/>
    <s v="Cooked Minced Wonton in Tray 6 pcs + Sesame Sauce"/>
    <s v="082SKN716006P00001"/>
    <s v="117*2tray*8in"/>
    <n v="16"/>
    <n v="6"/>
    <n v="6.0000000000000001E-3"/>
    <s v="BK"/>
    <s v="Salt"/>
    <s v=" Sesame 15g"/>
    <n v="216"/>
    <m/>
    <n v="233.375"/>
    <n v="17.375"/>
    <n v="0"/>
    <n v="0"/>
    <n v="1"/>
    <n v="0"/>
    <m/>
    <n v="0"/>
    <n v="0"/>
  </r>
  <r>
    <m/>
    <x v="808"/>
    <s v="05-2026"/>
    <x v="2"/>
    <e v="#N/A"/>
    <x v="3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082"/>
    <n v="1082"/>
    <m/>
    <n v="0"/>
    <n v="0"/>
    <n v="0"/>
    <n v="7.4999999999999997E-3"/>
    <n v="0"/>
    <m/>
    <n v="0"/>
    <n v="0"/>
  </r>
  <r>
    <m/>
    <x v="808"/>
    <d v="2026-04-27T00:00:00"/>
    <x v="2"/>
    <e v="#N/A"/>
    <x v="3"/>
    <s v="DRY2600044"/>
    <s v="SG"/>
    <s v="CPFNW"/>
    <s v="CP FOODS SINGAPORE PTE. LTD"/>
    <s v="Wonton ND+Kee Mao"/>
    <x v="1"/>
    <s v="Cooked Wonton Thai Spicy Pumpkin Noodles (Drunken Noodles)"/>
    <s v="082SJ3B24003P04001"/>
    <s v="250g*24"/>
    <n v="24"/>
    <n v="3"/>
    <n v="8.0000000000000002E-3"/>
    <s v="M"/>
    <s v="Salt"/>
    <s v="Kee Mao"/>
    <n v="420"/>
    <n v="419"/>
    <n v="7.083333333333333"/>
    <n v="6.0833333333333144"/>
    <n v="0"/>
    <n v="0"/>
    <n v="6.5000000000000002E-2"/>
    <n v="0"/>
    <m/>
    <n v="0"/>
    <n v="0"/>
  </r>
  <r>
    <m/>
    <x v="808"/>
    <d v="2026-05-06T00:00:00"/>
    <x v="2"/>
    <e v="#N/A"/>
    <x v="3"/>
    <s v="DRY2600033"/>
    <s v="AUS"/>
    <s v="CPFNW"/>
    <s v="CPF Australia Pty Ltd.(Woolworth)"/>
    <s v="Minced ND+Kee Mao"/>
    <x v="1"/>
    <s v="Cooked Minced Wonton Thai Spicy Noodles (Kee Mao Noodles)"/>
    <s v="082SR9U05003P00001"/>
    <s v="283g*5"/>
    <n v="5"/>
    <n v="3"/>
    <n v="6.0000000000000001E-3"/>
    <s v="BK"/>
    <s v="Salt"/>
    <s v="Kee Mao"/>
    <n v="5000"/>
    <m/>
    <n v="5026.6000000000004"/>
    <n v="26.600000000000364"/>
    <n v="0"/>
    <n v="0"/>
    <n v="1"/>
    <n v="0"/>
    <s v="ถ้าว,ฝา สีขาว"/>
    <n v="0"/>
    <n v="0"/>
  </r>
  <r>
    <m/>
    <x v="808"/>
    <d v="2026-04-23T00:00:00"/>
    <x v="2"/>
    <e v="#N/A"/>
    <x v="3"/>
    <s v="DRY2600055"/>
    <s v="New Zealand"/>
    <s v="CPFNW"/>
    <s v="Lim Brothers Import&amp;Export Co.,Ltd."/>
    <s v="Minced ND+V+TK"/>
    <x v="1"/>
    <s v="Cooked Minced  ND No Egg with Pumpkin_x000a_+ Yu Choy Tomkha"/>
    <s v="082SRN708003P01001"/>
    <s v="302g*8"/>
    <n v="8"/>
    <n v="3"/>
    <n v="6.0000000000000001E-3"/>
    <s v="BK"/>
    <s v="Salt"/>
    <s v="Tomkha+CM"/>
    <n v="600"/>
    <m/>
    <n v="600"/>
    <n v="0"/>
    <n v="0"/>
    <n v="0"/>
    <n v="5.8823E-2"/>
    <n v="0"/>
    <m/>
    <n v="0"/>
    <n v="0"/>
  </r>
  <r>
    <m/>
    <x v="808"/>
    <d v="2026-05-28T00:00:00"/>
    <x v="2"/>
    <e v="#N/A"/>
    <x v="3"/>
    <s v="DRY2600110"/>
    <s v="New Zealand"/>
    <s v="CPFNW"/>
    <s v="Lim Brothers Import&amp;Export Co.,Ltd."/>
    <s v="Minced ND+V+TK"/>
    <x v="1"/>
    <s v="Cooked Minced  ND No Egg with Pumpkin_x000a_+ Yu Choy Tomkha"/>
    <s v="082SRN708003P01001"/>
    <s v="302g*8"/>
    <n v="8"/>
    <n v="3"/>
    <n v="6.0000000000000001E-3"/>
    <s v="BK"/>
    <s v="Salt"/>
    <s v="Tomkha+CM"/>
    <n v="560"/>
    <m/>
    <n v="560"/>
    <n v="0"/>
    <n v="0"/>
    <n v="0"/>
    <n v="5.8823E-2"/>
    <n v="0"/>
    <m/>
    <n v="0"/>
    <n v="0"/>
  </r>
  <r>
    <m/>
    <x v="808"/>
    <d v="2026-05-06T00:00:00"/>
    <x v="2"/>
    <e v="#N/A"/>
    <x v="3"/>
    <s v="DRY2600034"/>
    <s v="AUS"/>
    <s v="CPFNW"/>
    <s v="CPF Australia Pty Ltd.(Woolworth)"/>
    <s v="Minced ND+V+TK"/>
    <x v="1"/>
    <s v="Cooked Minced  ND No Egg with Pumpkin_x000a_+ Yu Choy Tomkha"/>
    <s v="082SR9U05003P01001"/>
    <s v="302g*5"/>
    <n v="5"/>
    <n v="3"/>
    <n v="6.0000000000000001E-3"/>
    <s v="BK"/>
    <s v="Salt"/>
    <s v="Tomkha+CM"/>
    <n v="5000"/>
    <m/>
    <n v="5038.6000000000004"/>
    <n v="38.600000000000364"/>
    <n v="0"/>
    <n v="0"/>
    <n v="5.8823E-2"/>
    <n v="0"/>
    <s v="ถ้าว,ฝา สีขาว"/>
    <n v="0"/>
    <n v="0"/>
  </r>
  <r>
    <m/>
    <x v="808"/>
    <d v="2026-05-12T00:00:00"/>
    <x v="2"/>
    <e v="#N/A"/>
    <x v="3"/>
    <s v="DRY2600078"/>
    <s v="Denmark"/>
    <s v="CPFNW"/>
    <s v="CPF DENMARK"/>
    <s v="Minced ND+V+TK"/>
    <x v="1"/>
    <s v="Cooked Minced  ND No Egg with Pumpkin_x000a_+ Yu Choy Tomkha"/>
    <s v="082SJKW08003P01001"/>
    <s v="302g*8"/>
    <n v="8"/>
    <n v="3"/>
    <n v="6.0000000000000001E-3"/>
    <s v="BK"/>
    <s v="Salt"/>
    <s v="Tomkha+CM"/>
    <n v="1750"/>
    <m/>
    <n v="1758.375"/>
    <n v="8.375"/>
    <n v="0"/>
    <n v="0"/>
    <n v="5.8823E-2"/>
    <n v="0"/>
    <m/>
    <n v="0"/>
    <n v="0"/>
  </r>
  <r>
    <m/>
    <x v="809"/>
    <s v="05-2026"/>
    <x v="2"/>
    <e v="#N/A"/>
    <x v="3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553"/>
    <n v="1553"/>
    <m/>
    <n v="0"/>
    <n v="0"/>
    <n v="0"/>
    <n v="7.4999999999999997E-3"/>
    <n v="0"/>
    <m/>
    <n v="0"/>
    <n v="0"/>
  </r>
  <r>
    <m/>
    <x v="809"/>
    <d v="2026-04-23T00:00:00"/>
    <x v="2"/>
    <e v="#N/A"/>
    <x v="3"/>
    <s v="DRY2600080"/>
    <s v="New Zealand"/>
    <s v="CPFNW"/>
    <s v="Lim Brothers Import&amp;Export Co.,Ltd."/>
    <s v="Wonton ND+V"/>
    <x v="1"/>
    <s v="Cooked Wonton ND No Egg with Pumpkin_x000a_+ Yu Choy "/>
    <s v="082SJN7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s v="ถ้าว,ฝา สีขาว New Package"/>
    <n v="0"/>
    <n v="0"/>
  </r>
  <r>
    <m/>
    <x v="809"/>
    <d v="2026-04-30T00:00:00"/>
    <x v="2"/>
    <e v="#N/A"/>
    <x v="3"/>
    <s v="DRY2600052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34"/>
    <n v="58"/>
    <n v="0"/>
    <n v="0"/>
    <n v="0"/>
    <n v="7.4999999999999997E-3"/>
    <n v="0"/>
    <s v="ถ้าว,ฝา สีขาว New Package"/>
    <n v="0"/>
    <n v="0"/>
  </r>
  <r>
    <m/>
    <x v="809"/>
    <d v="2026-05-06T00:00:00"/>
    <x v="2"/>
    <e v="#N/A"/>
    <x v="3"/>
    <s v="DRY2600032"/>
    <s v="AUS"/>
    <s v="CPFNW"/>
    <s v="CPF Australia Pty Ltd.(Woolworth)"/>
    <s v="Wonton ND+V"/>
    <x v="4"/>
    <s v="Cooked Wonton ND No Egg with Pumpkin_x000a_+ Yu Choy "/>
    <s v="082SJ9U05004P00001"/>
    <s v="305g*5"/>
    <n v="5"/>
    <n v="4"/>
    <n v="7.4999999999999997E-3"/>
    <s v="HC"/>
    <s v="Salt"/>
    <s v="Regular"/>
    <n v="5000"/>
    <m/>
    <n v="5000"/>
    <n v="0"/>
    <n v="0"/>
    <n v="0"/>
    <n v="7.4999999999999997E-3"/>
    <n v="0"/>
    <s v="ถ้าว,ฝา สีขาว"/>
    <n v="0"/>
    <n v="0"/>
  </r>
  <r>
    <m/>
    <x v="810"/>
    <m/>
    <x v="2"/>
    <e v="#N/A"/>
    <x v="3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811"/>
    <d v="2026-05-12T00:00:00"/>
    <x v="2"/>
    <e v="#N/A"/>
    <x v="3"/>
    <s v="DRY2600011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m/>
    <x v="811"/>
    <d v="2026-05-19T00:00:00"/>
    <x v="2"/>
    <e v="#N/A"/>
    <x v="3"/>
    <s v="DRY2600012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m/>
    <x v="811"/>
    <s v="05-2026"/>
    <x v="2"/>
    <e v="#N/A"/>
    <x v="3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061"/>
    <n v="1061"/>
    <m/>
    <n v="0"/>
    <n v="0"/>
    <n v="0"/>
    <n v="7.4999999999999997E-3"/>
    <n v="0"/>
    <m/>
    <n v="0"/>
    <n v="0"/>
  </r>
  <r>
    <m/>
    <x v="812"/>
    <s v="04-2026"/>
    <x v="2"/>
    <e v="#N/A"/>
    <x v="3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s v="SS"/>
    <s v="STPP"/>
    <s v="หมาล่า"/>
    <n v="2440"/>
    <n v="2440"/>
    <m/>
    <n v="0"/>
    <n v="0"/>
    <n v="0"/>
    <n v="1.83E-2"/>
    <n v="0"/>
    <m/>
    <n v="0"/>
    <n v="0"/>
  </r>
  <r>
    <m/>
    <x v="812"/>
    <s v="05-2026"/>
    <x v="2"/>
    <e v="#N/A"/>
    <x v="3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s v="SS"/>
    <s v="STPP"/>
    <s v="หมาล่า"/>
    <n v="2500"/>
    <n v="1894"/>
    <n v="606"/>
    <n v="0"/>
    <n v="0"/>
    <n v="0"/>
    <n v="1.83E-2"/>
    <n v="0"/>
    <m/>
    <n v="0"/>
    <n v="0"/>
  </r>
  <r>
    <m/>
    <x v="813"/>
    <s v="05-2026"/>
    <x v="2"/>
    <e v="#N/A"/>
    <x v="3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5088"/>
    <n v="5088"/>
    <m/>
    <n v="0"/>
    <n v="0"/>
    <n v="0"/>
    <n v="7.4999999999999997E-3"/>
    <n v="0"/>
    <m/>
    <n v="0"/>
    <n v="0"/>
  </r>
  <r>
    <m/>
    <x v="814"/>
    <s v="05-2026"/>
    <x v="2"/>
    <e v="#N/A"/>
    <x v="3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1804"/>
    <n v="1804"/>
    <m/>
    <n v="0"/>
    <n v="0"/>
    <n v="0"/>
    <n v="1.7000000000000001E-2"/>
    <n v="0"/>
    <m/>
    <n v="0"/>
    <n v="0"/>
  </r>
  <r>
    <m/>
    <x v="814"/>
    <s v="06-2026"/>
    <x v="2"/>
    <e v="#N/A"/>
    <x v="3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300"/>
    <n v="300"/>
    <m/>
    <n v="0"/>
    <n v="0"/>
    <n v="0"/>
    <n v="7.4999999999999997E-3"/>
    <n v="0"/>
    <m/>
    <n v="0"/>
    <n v="0"/>
  </r>
  <r>
    <m/>
    <x v="814"/>
    <s v="08-2026"/>
    <x v="2"/>
    <e v="#N/A"/>
    <x v="3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27"/>
    <n v="27"/>
    <m/>
    <n v="0"/>
    <n v="0"/>
    <n v="0"/>
    <n v="7.4999999999999997E-3"/>
    <n v="0"/>
    <s v="Add Potassium"/>
    <n v="0"/>
    <n v="0"/>
  </r>
  <r>
    <s v="CP Laos"/>
    <x v="814"/>
    <d v="2026-05-15T00:00:00"/>
    <x v="2"/>
    <e v="#N/A"/>
    <x v="3"/>
    <s v="LA006/2569"/>
    <s v="Laos"/>
    <s v="Laos"/>
    <s v="บริษัท ปิก้าเทรดดิ้ง จำกัด"/>
    <s v="E+Wonton"/>
    <x v="1"/>
    <s v="เกี๊ยวกุ้งจักรพรรดิ 12x145g."/>
    <s v="082S8L212005P00001"/>
    <s v="145g*12"/>
    <n v="12"/>
    <n v="5"/>
    <n v="8.0000000000000002E-3"/>
    <s v="M"/>
    <s v="STPP"/>
    <s v="Regular"/>
    <n v="100"/>
    <n v="100"/>
    <m/>
    <n v="0"/>
    <n v="0"/>
    <n v="0"/>
    <n v="7.4999999999999997E-3"/>
    <n v="0"/>
    <m/>
    <n v="0"/>
    <n v="0"/>
  </r>
  <r>
    <m/>
    <x v="814"/>
    <s v="05-2026"/>
    <x v="2"/>
    <e v="#N/A"/>
    <x v="3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2393"/>
    <n v="2393"/>
    <m/>
    <n v="0"/>
    <n v="0"/>
    <n v="0"/>
    <n v="7.4999999999999997E-3"/>
    <n v="0"/>
    <m/>
    <n v="0"/>
    <n v="0"/>
  </r>
  <r>
    <m/>
    <x v="814"/>
    <s v="05-2026"/>
    <x v="2"/>
    <e v="#N/A"/>
    <x v="3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251"/>
    <n v="251"/>
    <m/>
    <n v="0"/>
    <n v="0"/>
    <n v="0"/>
    <n v="7.4999999999999997E-3"/>
    <n v="0"/>
    <m/>
    <n v="0"/>
    <n v="0"/>
  </r>
  <r>
    <m/>
    <x v="815"/>
    <s v="05-2026"/>
    <x v="2"/>
    <e v="#N/A"/>
    <x v="3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1516"/>
    <n v="1516"/>
    <m/>
    <n v="0"/>
    <n v="0"/>
    <n v="0"/>
    <n v="1.7000000000000001E-2"/>
    <n v="0"/>
    <m/>
    <n v="0"/>
    <n v="0"/>
  </r>
  <r>
    <m/>
    <x v="815"/>
    <d v="2026-05-21T00:00:00"/>
    <x v="2"/>
    <e v="#N/A"/>
    <x v="3"/>
    <s v="DRY2600053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s v="ถ้าว,ฝา สีขาว New Package"/>
    <n v="0"/>
    <n v="0"/>
  </r>
  <r>
    <m/>
    <x v="815"/>
    <d v="2026-05-21T00:00:00"/>
    <x v="2"/>
    <e v="#N/A"/>
    <x v="3"/>
    <s v="DRY2600090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s v="ถ้าว,ฝา สีขาว New Package"/>
    <n v="0"/>
    <n v="0"/>
  </r>
  <r>
    <m/>
    <x v="815"/>
    <d v="2026-05-27T00:00:00"/>
    <x v="2"/>
    <e v="#N/A"/>
    <x v="3"/>
    <s v="DRY2600091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1"/>
    <n v="1"/>
    <n v="0"/>
    <n v="0"/>
    <n v="0"/>
    <n v="7.4999999999999997E-3"/>
    <n v="0"/>
    <s v="ถ้าว,ฝา สีขาว New Package"/>
    <n v="0"/>
    <n v="0"/>
  </r>
  <r>
    <m/>
    <x v="816"/>
    <s v="05-2026"/>
    <x v="2"/>
    <e v="#N/A"/>
    <x v="3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089"/>
    <n v="1089"/>
    <m/>
    <n v="0"/>
    <n v="0"/>
    <n v="0"/>
    <n v="7.4999999999999997E-3"/>
    <n v="0"/>
    <m/>
    <n v="0"/>
    <n v="0"/>
  </r>
  <r>
    <m/>
    <x v="817"/>
    <m/>
    <x v="2"/>
    <e v="#N/A"/>
    <x v="3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818"/>
    <d v="2026-05-18T00:00:00"/>
    <x v="2"/>
    <e v="#N/A"/>
    <x v="3"/>
    <s v="DRY2600079"/>
    <s v="SG"/>
    <s v="CPFNW"/>
    <s v="CP FOODS SINGAPORE PTE. LTD"/>
    <s v="R-Wonton egg past"/>
    <x v="2"/>
    <s v="Raw Wonton 12 pcs with sesame"/>
    <s v="082I93B20012P02001"/>
    <s v="204g*20in"/>
    <n v="20"/>
    <n v="12"/>
    <n v="6.8100000000000001E-3"/>
    <s v="S"/>
    <s v="STPP"/>
    <s v=" sesame 30g"/>
    <n v="1200"/>
    <n v="653"/>
    <n v="551"/>
    <n v="4"/>
    <n v="0"/>
    <n v="0"/>
    <n v="2"/>
    <n v="0"/>
    <s v="ห่อแบบดิบ"/>
    <n v="0"/>
    <n v="0"/>
  </r>
  <r>
    <m/>
    <x v="819"/>
    <d v="2026-06-08T00:00:00"/>
    <x v="2"/>
    <e v="#N/A"/>
    <x v="3"/>
    <s v="DRY2600082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n v="0"/>
    <n v="7.4999999999999997E-3"/>
    <n v="0"/>
    <s v="new package (ลบโลโก้ Facebook)"/>
    <n v="0"/>
    <n v="0"/>
  </r>
  <r>
    <m/>
    <x v="819"/>
    <d v="2026-05-21T00:00:00"/>
    <x v="2"/>
    <e v="#N/A"/>
    <x v="3"/>
    <s v="DRY2600081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SG+CO"/>
    <n v="390"/>
    <n v="390"/>
    <m/>
    <n v="0"/>
    <n v="0"/>
    <n v="0"/>
    <n v="3.8699999999999998E-2"/>
    <n v="0"/>
    <m/>
    <n v="0"/>
    <n v="0"/>
  </r>
  <r>
    <m/>
    <x v="819"/>
    <d v="2026-05-27T00:00:00"/>
    <x v="2"/>
    <e v="#N/A"/>
    <x v="3"/>
    <s v="DRY2600065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SG+CO"/>
    <n v="390"/>
    <n v="89"/>
    <n v="301"/>
    <n v="0"/>
    <n v="0"/>
    <n v="0"/>
    <n v="3.8699999999999998E-2"/>
    <n v="0"/>
    <m/>
    <n v="0"/>
    <n v="0"/>
  </r>
  <r>
    <m/>
    <x v="819"/>
    <d v="2026-05-28T00:00:00"/>
    <x v="2"/>
    <e v="#N/A"/>
    <x v="3"/>
    <s v="DRY2600110"/>
    <s v="New Zealand"/>
    <s v="CPFNW"/>
    <s v="Lim Brothers Import&amp;Export Co.,Ltd."/>
    <s v="Minced ND+V+TY"/>
    <x v="1"/>
    <s v="Cooked Minced  ND No Egg with Pumpkin_x000a_+ Yu Choy Tomyum"/>
    <s v="082SRN708003P00001"/>
    <s v="302g*8"/>
    <n v="8"/>
    <n v="3"/>
    <n v="6.0000000000000001E-3"/>
    <s v="BK"/>
    <s v="Salt"/>
    <s v="TYEXSG+CO"/>
    <n v="60"/>
    <m/>
    <n v="60"/>
    <n v="0"/>
    <n v="0"/>
    <n v="0"/>
    <n v="3.8699999999999998E-2"/>
    <n v="0"/>
    <m/>
    <n v="0"/>
    <n v="0"/>
  </r>
  <r>
    <m/>
    <x v="819"/>
    <d v="2026-05-12T00:00:00"/>
    <x v="2"/>
    <e v="#N/A"/>
    <x v="3"/>
    <s v="DRY2600078"/>
    <s v="Denmark"/>
    <s v="CPFNW"/>
    <s v="CPF DENMARK"/>
    <s v="Wonton ND+V+TY"/>
    <x v="1"/>
    <s v="Cooked Wonton ND No Egg with Pumpkin _x000a_+ Vegetable  HC  3 pcs tomyam"/>
    <s v="082SJKW08003P00001"/>
    <s v="309g*8"/>
    <n v="8"/>
    <n v="3"/>
    <n v="7.4999999999999997E-3"/>
    <s v="M"/>
    <s v="Salt"/>
    <s v="TYANSSG+CM"/>
    <n v="1750"/>
    <m/>
    <n v="1773.5"/>
    <n v="23.5"/>
    <n v="0"/>
    <n v="0"/>
    <n v="3.85E-2"/>
    <n v="0"/>
    <s v="ต้มยำสูตรลดเผ็ดลง 10 %"/>
    <n v="0"/>
    <n v="0"/>
  </r>
  <r>
    <m/>
    <x v="820"/>
    <s v="05-2026"/>
    <x v="2"/>
    <e v="#N/A"/>
    <x v="3"/>
    <s v="ขายภายใน"/>
    <s v="MTFS"/>
    <s v="CPFGS"/>
    <s v="ซีพีเอฟ เทรดดิ้ง"/>
    <s v="Minced+ND+Kee Mao แห้ง"/>
    <x v="1"/>
    <s v="บะหมี่เกี๊ยวกุ้งขี้เมา ตราซีพี 235 กรัม"/>
    <s v="082SR3Q12003P02001"/>
    <s v="235g*12"/>
    <n v="12"/>
    <n v="3"/>
    <n v="6.1999999999999998E-3"/>
    <s v="BK"/>
    <s v="STPP"/>
    <s v="Kee Mao"/>
    <n v="1667"/>
    <n v="1676"/>
    <n v="5.416666666666667"/>
    <n v="14.416666666666742"/>
    <n v="0"/>
    <n v="0"/>
    <m/>
    <n v="0"/>
    <m/>
    <n v="0"/>
    <n v="0"/>
  </r>
  <r>
    <m/>
    <x v="820"/>
    <s v="05-2026"/>
    <x v="2"/>
    <e v="#N/A"/>
    <x v="3"/>
    <s v="ขายภายใน"/>
    <s v="MTFS"/>
    <s v="CPFGS"/>
    <s v="ซีพีเอฟ เทรดดิ้ง"/>
    <s v="Minced+ND+V+น้ำราดเป็ด"/>
    <x v="1"/>
    <s v="บะหมี่เกี๊ยวกุ้งสไตล์ฮ่องกง ตราซีพี 235 กรัม"/>
    <s v="082SR3Q12003P01001"/>
    <s v="235g*12"/>
    <n v="12"/>
    <n v="3"/>
    <n v="6.1999999999999998E-3"/>
    <s v="BK"/>
    <s v="STPP"/>
    <s v="น้ำราดเป็ด"/>
    <n v="1667"/>
    <n v="1523"/>
    <n v="148.41666666666666"/>
    <n v="4.4166666666667425"/>
    <n v="0"/>
    <n v="0"/>
    <m/>
    <n v="0"/>
    <m/>
    <n v="0"/>
    <n v="0"/>
  </r>
  <r>
    <m/>
    <x v="820"/>
    <d v="2026-05-05T00:00:00"/>
    <x v="2"/>
    <e v="#N/A"/>
    <x v="3"/>
    <s v="DRY2600074"/>
    <s v="USA"/>
    <s v="CPFNW"/>
    <s v="Bellisio Foods, Inc."/>
    <s v="Minced WT"/>
    <x v="1"/>
    <s v="Cooked Minced Wonton Soup No Egg"/>
    <s v="082SKBW36005P00001"/>
    <s v="145g*6c*6"/>
    <n v="36"/>
    <n v="5"/>
    <n v="6.0000000000000001E-3"/>
    <s v="BK"/>
    <s v="Salt"/>
    <s v="Regular"/>
    <n v="450"/>
    <n v="450"/>
    <m/>
    <n v="0"/>
    <n v="0"/>
    <n v="0"/>
    <n v="7.4999999999999997E-3"/>
    <n v="0"/>
    <s v="old Package"/>
    <n v="0"/>
    <n v="0"/>
  </r>
  <r>
    <m/>
    <x v="820"/>
    <s v="05-2026"/>
    <x v="2"/>
    <e v="#N/A"/>
    <x v="3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2249"/>
    <n v="480"/>
    <n v="1769"/>
    <n v="0"/>
    <n v="0"/>
    <n v="0"/>
    <n v="7.4999999999999997E-3"/>
    <n v="0"/>
    <s v="old Package"/>
    <n v="0"/>
    <n v="0"/>
  </r>
  <r>
    <m/>
    <x v="821"/>
    <d v="2026-06-02T00:00:00"/>
    <x v="2"/>
    <e v="#N/A"/>
    <x v="3"/>
    <s v="DRY2600013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m/>
    <x v="821"/>
    <d v="2026-05-06T00:00:00"/>
    <x v="2"/>
    <e v="#N/A"/>
    <x v="3"/>
    <s v="DRY2600073"/>
    <s v="USA"/>
    <s v="CPFNW"/>
    <s v="Bellisio Foods, Inc."/>
    <s v="Minced WT"/>
    <x v="1"/>
    <s v="Cooked Minced Wonton Soup No Egg"/>
    <s v="082SKBW36005P00001"/>
    <s v="145g*6c*6"/>
    <n v="36"/>
    <n v="5"/>
    <n v="6.0000000000000001E-3"/>
    <s v="BK"/>
    <s v="Salt"/>
    <s v="Regular"/>
    <n v="300"/>
    <n v="300"/>
    <n v="2.0277777777777777"/>
    <n v="2.0277777777777715"/>
    <n v="0"/>
    <n v="0"/>
    <n v="7.4999999999999997E-3"/>
    <n v="0"/>
    <s v="New Package"/>
    <n v="0"/>
    <n v="0"/>
  </r>
  <r>
    <m/>
    <x v="821"/>
    <d v="2026-06-08T00:00:00"/>
    <x v="2"/>
    <e v="#N/A"/>
    <x v="3"/>
    <s v="DRY2600076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5000"/>
    <m/>
    <n v="5104.75"/>
    <n v="104.75"/>
    <n v="0"/>
    <n v="0"/>
    <n v="7.4999999999999997E-3"/>
    <n v="0"/>
    <s v="ใช้คำว่า “Best if Used By” แทนคำว่า Best by Date"/>
    <n v="0"/>
    <n v="0"/>
  </r>
  <r>
    <m/>
    <x v="821"/>
    <s v="05-2026"/>
    <x v="2"/>
    <e v="#N/A"/>
    <x v="3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237"/>
    <n v="1237"/>
    <m/>
    <n v="0"/>
    <n v="0"/>
    <n v="0"/>
    <n v="7.4999999999999997E-3"/>
    <n v="0"/>
    <m/>
    <n v="0"/>
    <n v="0"/>
  </r>
  <r>
    <m/>
    <x v="822"/>
    <m/>
    <x v="2"/>
    <e v="#N/A"/>
    <x v="4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823"/>
    <m/>
    <x v="2"/>
    <e v="#N/A"/>
    <x v="4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824"/>
    <m/>
    <x v="2"/>
    <e v="#N/A"/>
    <x v="4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825"/>
    <m/>
    <x v="2"/>
    <e v="#N/A"/>
    <x v="4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826"/>
    <s v="05-2026"/>
    <x v="2"/>
    <e v="#N/A"/>
    <x v="4"/>
    <s v="ขายภายใน"/>
    <s v="ขายภายใน"/>
    <s v="CPFGS"/>
    <s v="ซีพีเอฟ เทรดดิ้ง"/>
    <s v="R-Wonton egg past"/>
    <x v="2"/>
    <s v="Raw Wonton 50 pcs OISHI"/>
    <s v="082S01508600G01001"/>
    <s v="600g.*8 packs"/>
    <n v="8"/>
    <n v="50"/>
    <n v="8.1300000000000001E-3"/>
    <s v="M"/>
    <s v="STPP"/>
    <m/>
    <n v="200"/>
    <n v="200"/>
    <m/>
    <n v="0"/>
    <n v="0"/>
    <n v="0"/>
    <m/>
    <n v="0"/>
    <m/>
    <n v="0"/>
    <n v="0"/>
  </r>
  <r>
    <s v="R"/>
    <x v="826"/>
    <d v="2026-05-27T00:00:00"/>
    <x v="2"/>
    <e v="#N/A"/>
    <x v="4"/>
    <s v="DRY2600096"/>
    <s v="Malay"/>
    <s v="CPFNW"/>
    <s v="CPM Malaysia"/>
    <s v="R-Wonton egg past"/>
    <x v="2"/>
    <s v="Raw Wonton 12 pcs"/>
    <s v="082I95I20012P02001"/>
    <s v="154g*20inner"/>
    <n v="20"/>
    <n v="12"/>
    <n v="6.8100000000000001E-3"/>
    <s v="S"/>
    <s v="STPP"/>
    <s v="ซุปซอง 5g."/>
    <n v="100"/>
    <n v="100"/>
    <m/>
    <n v="0"/>
    <n v="0"/>
    <n v="0"/>
    <n v="2"/>
    <n v="0"/>
    <s v="new package"/>
    <n v="0"/>
    <n v="0"/>
  </r>
  <r>
    <s v="R"/>
    <x v="826"/>
    <d v="2026-05-27T00:00:00"/>
    <x v="2"/>
    <e v="#N/A"/>
    <x v="4"/>
    <s v="DRY2600096"/>
    <s v="Malay"/>
    <s v="CPFNW"/>
    <s v="CPM Malaysia"/>
    <s v="R-Wonton egg past"/>
    <x v="2"/>
    <s v="Raw Wonton 8 pcs (Tomyam 30g.)"/>
    <s v="082I95I18008P00001"/>
    <s v="126g*18in"/>
    <n v="18"/>
    <n v="8"/>
    <n v="6.8100000000000001E-3"/>
    <s v="S"/>
    <s v="STPP"/>
    <s v="TYTB3C 30G"/>
    <n v="100"/>
    <n v="100"/>
    <m/>
    <n v="0"/>
    <n v="0"/>
    <n v="0"/>
    <n v="1"/>
    <n v="0"/>
    <s v="new package"/>
    <n v="0"/>
    <n v="0"/>
  </r>
  <r>
    <s v="R"/>
    <x v="826"/>
    <d v="2026-06-01T00:00:00"/>
    <x v="2"/>
    <e v="#N/A"/>
    <x v="4"/>
    <s v="DRY2600060"/>
    <s v="Korea"/>
    <s v="CPFNW"/>
    <s v="Consumer Package Commerce"/>
    <s v="R-Wonton egg past"/>
    <x v="2"/>
    <s v="Raw Wonton 60 pcs"/>
    <s v="082I93U10060P00001"/>
    <s v="750g*10inner"/>
    <n v="10"/>
    <n v="60"/>
    <n v="6.8100000000000001E-3"/>
    <s v="S"/>
    <s v="STPP"/>
    <s v="ซุปซอง 5g."/>
    <n v="775"/>
    <n v="775"/>
    <m/>
    <n v="0"/>
    <n v="0"/>
    <n v="0"/>
    <n v="6"/>
    <n v="0"/>
    <m/>
    <n v="0"/>
    <n v="0"/>
  </r>
  <r>
    <s v="R"/>
    <x v="827"/>
    <d v="2026-06-01T00:00:00"/>
    <x v="2"/>
    <e v="#N/A"/>
    <x v="4"/>
    <s v="DRY2600060"/>
    <s v="Korea"/>
    <s v="CPFNW"/>
    <s v="Consumer Package Commerce"/>
    <s v="R-Wonton egg past"/>
    <x v="2"/>
    <s v="Raw Wonton 60 pcs"/>
    <s v="082I93U10060P00001"/>
    <s v="750g*10inner"/>
    <n v="10"/>
    <n v="60"/>
    <n v="6.8100000000000001E-3"/>
    <s v="S"/>
    <s v="STPP"/>
    <s v="ซุปซอง 5g."/>
    <n v="585"/>
    <n v="585"/>
    <m/>
    <n v="0"/>
    <n v="0"/>
    <n v="0"/>
    <n v="6"/>
    <n v="0"/>
    <m/>
    <n v="0"/>
    <n v="0"/>
  </r>
  <r>
    <s v="R"/>
    <x v="827"/>
    <d v="2026-06-01T00:00:00"/>
    <x v="2"/>
    <e v="#N/A"/>
    <x v="4"/>
    <s v="DRY2600075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766"/>
    <n v="738"/>
    <n v="28"/>
    <n v="0"/>
    <n v="0"/>
    <n v="0"/>
    <n v="6"/>
    <n v="0"/>
    <m/>
    <n v="0"/>
    <n v="0"/>
  </r>
  <r>
    <s v="R"/>
    <x v="828"/>
    <d v="2026-06-01T00:00:00"/>
    <x v="2"/>
    <e v="#N/A"/>
    <x v="4"/>
    <s v="DRY2600075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1290"/>
    <n v="1203"/>
    <n v="126"/>
    <n v="39"/>
    <n v="0"/>
    <n v="0"/>
    <n v="6"/>
    <n v="0"/>
    <m/>
    <n v="0"/>
    <n v="0"/>
  </r>
  <r>
    <m/>
    <x v="829"/>
    <d v="2026-05-27T00:00:00"/>
    <x v="2"/>
    <e v="#N/A"/>
    <x v="4"/>
    <s v="DRY2600096"/>
    <s v="Malay"/>
    <s v="CPFNW"/>
    <s v="CPM Malaysia"/>
    <s v="Wonton"/>
    <x v="1"/>
    <s v="Cooked Wonton No Egg  "/>
    <s v="082S85I24005P01001"/>
    <s v="145g*24"/>
    <n v="24"/>
    <n v="5"/>
    <n v="8.0000000000000002E-3"/>
    <s v="M"/>
    <s v="STPP"/>
    <s v="Regular"/>
    <n v="1000"/>
    <n v="1000"/>
    <m/>
    <n v="0"/>
    <n v="0"/>
    <n v="0"/>
    <n v="7.4999999999999997E-3"/>
    <n v="0"/>
    <s v="new package"/>
    <n v="0"/>
    <n v="0"/>
  </r>
  <r>
    <m/>
    <x v="829"/>
    <d v="2026-05-27T00:00:00"/>
    <x v="2"/>
    <e v="#N/A"/>
    <x v="4"/>
    <s v="DRY2600096"/>
    <s v="Malay"/>
    <s v="CPFNW"/>
    <s v="CPM Malaysia"/>
    <s v="Wonton+TY"/>
    <x v="1"/>
    <s v="Cooked Wonton No Egg  Tomyum"/>
    <s v="082S85I24005P02001"/>
    <s v="115g*24"/>
    <n v="24"/>
    <n v="5"/>
    <n v="8.0000000000000002E-3"/>
    <s v="M"/>
    <s v="STPP"/>
    <s v="TYTB3C 30G"/>
    <n v="950"/>
    <n v="950"/>
    <m/>
    <n v="0"/>
    <n v="0"/>
    <n v="0"/>
    <n v="1"/>
    <n v="0"/>
    <s v="new package"/>
    <n v="0"/>
    <n v="0"/>
  </r>
  <r>
    <m/>
    <x v="829"/>
    <d v="2026-05-25T00:00:00"/>
    <x v="2"/>
    <e v="#N/A"/>
    <x v="4"/>
    <s v="DRY2600114"/>
    <s v="Korea"/>
    <s v="CPFNW"/>
    <s v="Consumer Package Commerce"/>
    <s v="Minced ND"/>
    <x v="1"/>
    <s v="Cooked Minced Wonton Noodle"/>
    <s v="082SR3U12004P00001"/>
    <s v="231g*12"/>
    <n v="12"/>
    <n v="4"/>
    <n v="6.0000000000000001E-3"/>
    <s v="BK"/>
    <s v="Salt"/>
    <s v="Regular"/>
    <n v="2500"/>
    <n v="2500"/>
    <n v="21"/>
    <n v="21"/>
    <n v="0"/>
    <n v="0"/>
    <n v="7.4999999999999997E-3"/>
    <n v="0"/>
    <m/>
    <n v="0"/>
    <n v="0"/>
  </r>
  <r>
    <m/>
    <x v="829"/>
    <s v="05-2026"/>
    <x v="2"/>
    <e v="#N/A"/>
    <x v="4"/>
    <s v="ขายภายใน"/>
    <s v="MTFS"/>
    <s v="CPFGS"/>
    <s v="CPFGS"/>
    <s v="E+NDเส้นมัน+หมาล่า"/>
    <x v="1"/>
    <s v="เส้นมันเกี๊ยวกุ้งจักรพรรดิซุปหมาล่า  ตราซีพี ซีคิวเค 750g (Multi Pack)"/>
    <s v="082SG3Q18003P00001"/>
    <s v="250g*3ถ้วย*6ถุง"/>
    <n v="18"/>
    <n v="3"/>
    <n v="6.1999999999999998E-3"/>
    <s v="SS"/>
    <s v="STPP"/>
    <s v="หมาล่า"/>
    <n v="2500"/>
    <n v="25"/>
    <n v="2475.3333333333335"/>
    <n v="0.33333333333348492"/>
    <n v="0"/>
    <n v="0"/>
    <n v="1.83E-2"/>
    <n v="0"/>
    <m/>
    <n v="0"/>
    <n v="0"/>
  </r>
  <r>
    <m/>
    <x v="830"/>
    <s v="05-2026"/>
    <x v="2"/>
    <e v="#N/A"/>
    <x v="4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80"/>
    <n v="180"/>
    <m/>
    <n v="0"/>
    <n v="0"/>
    <n v="0"/>
    <n v="7.4999999999999997E-3"/>
    <n v="0"/>
    <m/>
    <n v="0"/>
    <n v="0"/>
  </r>
  <r>
    <m/>
    <x v="830"/>
    <s v="06-2026"/>
    <x v="2"/>
    <e v="#N/A"/>
    <x v="4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2464"/>
    <n v="2464"/>
    <m/>
    <n v="0"/>
    <n v="0"/>
    <n v="0"/>
    <n v="7.4999999999999997E-3"/>
    <n v="0"/>
    <m/>
    <n v="0"/>
    <n v="0"/>
  </r>
  <r>
    <m/>
    <x v="830"/>
    <d v="2026-05-28T00:00:00"/>
    <x v="2"/>
    <e v="#N/A"/>
    <x v="4"/>
    <s v="DRY2600110"/>
    <s v="New Zealand"/>
    <s v="CPFNW"/>
    <s v="Lim Brothers Import&amp;Export Co.,Ltd."/>
    <s v="Wonton ND+V"/>
    <x v="1"/>
    <s v="Cooked Wonton ND No Egg with Pumpkin_x000a_+ Yu Choy "/>
    <s v="082SJN708004P00001"/>
    <s v="305g*8"/>
    <n v="8"/>
    <n v="4"/>
    <n v="7.4999999999999997E-3"/>
    <s v="HC"/>
    <s v="Salt"/>
    <s v="Regular"/>
    <n v="650"/>
    <m/>
    <n v="698.625"/>
    <n v="48.625"/>
    <n v="0"/>
    <n v="0"/>
    <n v="7.4999999999999997E-3"/>
    <n v="0"/>
    <s v="662 Stock Aus"/>
    <n v="0"/>
    <n v="0"/>
  </r>
  <r>
    <m/>
    <x v="830"/>
    <d v="2026-05-28T00:00:00"/>
    <x v="2"/>
    <e v="#N/A"/>
    <x v="4"/>
    <s v="DRY2600035"/>
    <s v="AUS"/>
    <s v="CPFNW"/>
    <s v="CPF Australia Pty Ltd.(Woolworth)"/>
    <s v="Wonton ND+V"/>
    <x v="1"/>
    <s v="Cooked Wonton ND No Egg with Pumpkin_x000a_+ Yu Choy "/>
    <s v="082SJ9U05004P00001"/>
    <s v="305g*5"/>
    <n v="5"/>
    <n v="4"/>
    <n v="7.4999999999999997E-3"/>
    <s v="HC"/>
    <s v="Salt"/>
    <s v="Regular"/>
    <n v="5076"/>
    <m/>
    <n v="5076"/>
    <n v="0"/>
    <n v="0"/>
    <n v="0"/>
    <n v="7.4999999999999997E-3"/>
    <n v="0"/>
    <s v="ถ้าว,ฝา สีขาว"/>
    <n v="0"/>
    <n v="0"/>
  </r>
  <r>
    <m/>
    <x v="830"/>
    <d v="2026-05-28T00:00:00"/>
    <x v="2"/>
    <e v="#N/A"/>
    <x v="4"/>
    <s v="DRY2600036"/>
    <s v="AUS"/>
    <s v="CPFNW"/>
    <s v="CPF Australia Pty Ltd.(Woolworth)"/>
    <s v="Minced ND+V+TK"/>
    <x v="1"/>
    <s v="Cooked Minced  ND No Egg with Pumpkin_x000a_+ Yu Choy Tomkha"/>
    <s v="082SR9U05003P01001"/>
    <s v="302g*5"/>
    <n v="5"/>
    <n v="3"/>
    <n v="6.0000000000000001E-3"/>
    <s v="BK"/>
    <s v="Salt"/>
    <s v="Tomkha+CM"/>
    <n v="5076"/>
    <m/>
    <n v="5076"/>
    <n v="0"/>
    <n v="0"/>
    <n v="0"/>
    <n v="5.8823E-2"/>
    <n v="0"/>
    <s v="ถ้าว,ฝา สีขาว"/>
    <n v="0"/>
    <n v="0"/>
  </r>
  <r>
    <m/>
    <x v="831"/>
    <m/>
    <x v="2"/>
    <e v="#N/A"/>
    <x v="4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832"/>
    <s v="05-2026"/>
    <x v="2"/>
    <e v="#N/A"/>
    <x v="4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1242"/>
    <n v="1242"/>
    <m/>
    <n v="0"/>
    <n v="0"/>
    <n v="0"/>
    <n v="1.7000000000000001E-2"/>
    <n v="0"/>
    <m/>
    <n v="0"/>
    <n v="0"/>
  </r>
  <r>
    <m/>
    <x v="832"/>
    <s v="06-2026"/>
    <x v="2"/>
    <e v="#N/A"/>
    <x v="4"/>
    <s v="ขายภายใน"/>
    <s v=".7-11"/>
    <s v="CPFGS"/>
    <s v="CPFGS"/>
    <s v="Wonton ND+เย็นตาโฟ"/>
    <x v="1"/>
    <s v="บะหมี่เย็นตาโฟแห้ง CP นายอ้วน 225g 7E"/>
    <s v="082SR1A12002P00001"/>
    <s v="225g*12"/>
    <n v="12"/>
    <n v="2"/>
    <n v="6.0000000000000001E-3"/>
    <s v="BK"/>
    <s v="STPP"/>
    <s v="เย็นตาโฟ"/>
    <n v="250"/>
    <n v="250"/>
    <m/>
    <n v="0"/>
    <n v="0"/>
    <n v="0"/>
    <n v="1.7000000000000001E-2"/>
    <n v="0"/>
    <m/>
    <n v="0"/>
    <n v="0"/>
  </r>
  <r>
    <m/>
    <x v="832"/>
    <s v="06-2026"/>
    <x v="2"/>
    <e v="#N/A"/>
    <x v="4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867"/>
    <n v="1826"/>
    <n v="41.208333333333336"/>
    <n v="0.20833333333325754"/>
    <n v="0"/>
    <n v="0"/>
    <n v="7.4999999999999997E-3"/>
    <n v="0"/>
    <m/>
    <n v="0"/>
    <n v="0"/>
  </r>
  <r>
    <m/>
    <x v="832"/>
    <d v="2026-05-26T00:00:00"/>
    <x v="2"/>
    <e v="#N/A"/>
    <x v="4"/>
    <s v="DRY2600087"/>
    <s v="Denmark"/>
    <s v="CPFNW"/>
    <s v="CPF DENMARK"/>
    <s v="Minced ND+หมาล่า"/>
    <x v="1"/>
    <s v="Cooked Minced Wonton 1 pcs Noodle (Pumpkin)_x000a_with &quot;Mala&quot;"/>
    <s v="082SRKW12001P02001"/>
    <s v="130g*12ถ้วย"/>
    <n v="12"/>
    <n v="1"/>
    <n v="6.1999999999999998E-3"/>
    <s v="BK"/>
    <s v="Salt"/>
    <s v="หมาล่า"/>
    <n v="4080"/>
    <n v="294"/>
    <n v="3794.4166666666665"/>
    <n v="8.4166666666665151"/>
    <n v="0"/>
    <n v="0"/>
    <n v="4.0000000000000001E-3"/>
    <n v="0"/>
    <s v="ถ้าว,ฝา สีขาว New Package"/>
    <n v="0"/>
    <n v="0"/>
  </r>
  <r>
    <m/>
    <x v="833"/>
    <d v="2026-07-09T00:00:00"/>
    <x v="2"/>
    <e v="#N/A"/>
    <x v="4"/>
    <s v="DRY2600038"/>
    <s v="AUS"/>
    <s v="CPFNW"/>
    <s v="CPF Australia Pty Ltd.(Woolworth)"/>
    <s v="Wonton ND+V"/>
    <x v="1"/>
    <s v="Cooked Wonton ND No Egg with Pumpkin_x000a_+ Yu Choy "/>
    <s v="082SJ9U05004P00001"/>
    <s v="305g*5"/>
    <n v="5"/>
    <n v="4"/>
    <n v="7.4999999999999997E-3"/>
    <s v="HC"/>
    <s v="Salt"/>
    <s v="Regular"/>
    <n v="5076"/>
    <m/>
    <n v="5126"/>
    <n v="50"/>
    <n v="0"/>
    <n v="0"/>
    <n v="7.4999999999999997E-3"/>
    <n v="0"/>
    <s v="ถ้าว,ฝา สีขาว"/>
    <n v="0"/>
    <n v="0"/>
  </r>
  <r>
    <m/>
    <x v="833"/>
    <d v="2026-06-04T00:00:00"/>
    <x v="2"/>
    <e v="#N/A"/>
    <x v="4"/>
    <s v="DRY2600099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78"/>
    <n v="14"/>
    <n v="0"/>
    <n v="0"/>
    <n v="0"/>
    <n v="7.4999999999999997E-3"/>
    <n v="0"/>
    <m/>
    <n v="0"/>
    <n v="0"/>
  </r>
  <r>
    <m/>
    <x v="833"/>
    <d v="2026-06-11T00:00:00"/>
    <x v="2"/>
    <e v="#N/A"/>
    <x v="4"/>
    <s v="DRY2600100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833"/>
    <d v="2026-06-18T00:00:00"/>
    <x v="2"/>
    <e v="#N/A"/>
    <x v="4"/>
    <s v="DRY2600101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834"/>
    <d v="2026-05-26T00:00:00"/>
    <x v="2"/>
    <e v="#N/A"/>
    <x v="4"/>
    <s v="DRY2600086"/>
    <s v="Denmark"/>
    <s v="CPFNW"/>
    <s v="CPF DENMARK"/>
    <s v="Minced ND+TK"/>
    <x v="1"/>
    <s v="Cooked Minced Wonton 1 pcs Noodle (Pumpkin)_x000a_with &quot;Tomka&quot;"/>
    <s v="082SRKW12001P01001"/>
    <s v="130g*12ถ้วย"/>
    <n v="12"/>
    <n v="1"/>
    <n v="6.1999999999999998E-3"/>
    <s v="BK"/>
    <s v="Salt"/>
    <s v="Tomkha+CM"/>
    <n v="4080"/>
    <n v="4080"/>
    <n v="11.916666666666666"/>
    <n v="11.916666666666515"/>
    <n v="0"/>
    <n v="0"/>
    <n v="5.8823E-2"/>
    <n v="0"/>
    <s v="ถ้าว,ฝา สีขาว New Package"/>
    <n v="0"/>
    <n v="0"/>
  </r>
  <r>
    <m/>
    <x v="834"/>
    <d v="2026-06-09T00:00:00"/>
    <x v="2"/>
    <e v="#N/A"/>
    <x v="4"/>
    <s v="DRY2600089"/>
    <s v="Denmark"/>
    <s v="CPFNW"/>
    <s v="CPF DENMARK"/>
    <s v="Minced ND+V+TK"/>
    <x v="1"/>
    <s v="Cooked Minced Wonton 3 pcs Noodle (Pumpkin)_x000a_with &quot;Tomka&quot;+Yu Choy"/>
    <s v="082SRKW12003P01001"/>
    <s v="240g*12ถ้วย"/>
    <n v="12"/>
    <n v="3"/>
    <n v="6.1999999999999998E-3"/>
    <s v="BK"/>
    <s v="Salt"/>
    <s v="Tomkha+CM"/>
    <n v="2660"/>
    <m/>
    <n v="2660"/>
    <n v="0"/>
    <n v="0"/>
    <n v="0"/>
    <n v="5.8823E-2"/>
    <n v="0"/>
    <s v="ถ้าว,ฝา สีขาว New Package"/>
    <n v="0"/>
    <n v="0"/>
  </r>
  <r>
    <m/>
    <x v="834"/>
    <d v="2026-06-16T00:00:00"/>
    <x v="2"/>
    <e v="#N/A"/>
    <x v="4"/>
    <s v="DRY2600094"/>
    <s v="Denmark"/>
    <s v="CPFNW"/>
    <s v="CPF DENMARK"/>
    <s v="Minced ND+V+TK"/>
    <x v="1"/>
    <s v="Cooked Minced Wonton 3 pcs Noodle (Pumpkin)_x000a_with &quot;Tomka&quot;+Yu Choy"/>
    <s v="082SRKW12003P01001"/>
    <s v="240g*12ถ้วย"/>
    <n v="12"/>
    <n v="3"/>
    <n v="6.1999999999999998E-3"/>
    <s v="BK"/>
    <s v="Salt"/>
    <s v="Tomkha+CM"/>
    <n v="2660"/>
    <m/>
    <n v="2660"/>
    <n v="0"/>
    <n v="0"/>
    <n v="0"/>
    <n v="5.8823E-2"/>
    <n v="0"/>
    <s v="ถ้าว,ฝา สีขาว New Package"/>
    <n v="0"/>
    <n v="0"/>
  </r>
  <r>
    <m/>
    <x v="835"/>
    <s v="06-2026"/>
    <x v="2"/>
    <e v="#N/A"/>
    <x v="4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3858"/>
    <n v="3858"/>
    <m/>
    <n v="0"/>
    <n v="0"/>
    <n v="0"/>
    <n v="7.4999999999999997E-3"/>
    <n v="0"/>
    <m/>
    <n v="0"/>
    <n v="0"/>
  </r>
  <r>
    <s v="ชมรมกอล์ฟ ซีพี"/>
    <x v="835"/>
    <s v="06-2026"/>
    <x v="2"/>
    <e v="#N/A"/>
    <x v="4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0"/>
    <s v="145g*12"/>
    <n v="12"/>
    <n v="5"/>
    <n v="8.0000000000000002E-3"/>
    <s v="M"/>
    <s v="STPP"/>
    <s v="Regular"/>
    <n v="12"/>
    <n v="12"/>
    <m/>
    <n v="0"/>
    <n v="0"/>
    <n v="0"/>
    <n v="7.4999999999999997E-3"/>
    <n v="0"/>
    <m/>
    <n v="0"/>
    <n v="0"/>
  </r>
  <r>
    <m/>
    <x v="835"/>
    <s v="06-2026"/>
    <x v="2"/>
    <e v="#N/A"/>
    <x v="4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1"/>
    <s v="145g*12"/>
    <n v="12"/>
    <n v="5"/>
    <n v="8.0000000000000002E-3"/>
    <s v="M"/>
    <s v="STPP"/>
    <s v="Regular"/>
    <n v="3100"/>
    <n v="3100"/>
    <m/>
    <n v="0"/>
    <n v="0"/>
    <n v="0"/>
    <n v="7.4999999999999997E-3"/>
    <n v="0"/>
    <m/>
    <n v="0"/>
    <n v="0"/>
  </r>
  <r>
    <m/>
    <x v="836"/>
    <s v="06-2026"/>
    <x v="2"/>
    <e v="#N/A"/>
    <x v="4"/>
    <s v="ขายภายใน"/>
    <s v="MTFS"/>
    <s v="CPFGS"/>
    <s v="ซีพีเอฟ เทรดดิ้ง"/>
    <s v="E+Wonton NDE"/>
    <x v="1"/>
    <s v="บะหมี่เกี๊ยวกุ้ง ตราซีพี 12X226 กรัม"/>
    <s v="082SJ3Q12003P07001"/>
    <s v="226g*12"/>
    <n v="12"/>
    <n v="3"/>
    <n v="8.0000000000000002E-3"/>
    <s v="M"/>
    <s v="STPP"/>
    <s v="Regular"/>
    <n v="500"/>
    <n v="500"/>
    <m/>
    <n v="0"/>
    <n v="0"/>
    <n v="0"/>
    <n v="7.4999999999999997E-3"/>
    <n v="0"/>
    <m/>
    <n v="0"/>
    <n v="0"/>
  </r>
  <r>
    <m/>
    <x v="836"/>
    <s v="06-2026"/>
    <x v="2"/>
    <e v="#N/A"/>
    <x v="4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5100"/>
    <n v="5096"/>
    <n v="4.333333333333333"/>
    <n v="0.33333333333303017"/>
    <n v="0"/>
    <n v="0"/>
    <n v="7.4999999999999997E-3"/>
    <n v="0"/>
    <s v="กล่อง 1000/Stk 23,900"/>
    <n v="0"/>
    <n v="0"/>
  </r>
  <r>
    <m/>
    <x v="837"/>
    <d v="2026-05-26T00:00:00"/>
    <x v="2"/>
    <e v="#N/A"/>
    <x v="4"/>
    <s v="DRY2600085"/>
    <s v="Denmark"/>
    <s v="CPFNW"/>
    <s v="CPF DENMARK"/>
    <s v="Minced ND+TY"/>
    <x v="1"/>
    <s v="Cooked Minced Wonton 1 pcs Noodle (Pumpkin)_x000a_with &quot;Tomyum&quot;"/>
    <s v="082SRKW12001P00001"/>
    <s v="130g*12ถ้วย"/>
    <n v="12"/>
    <n v="1"/>
    <n v="6.1999999999999998E-3"/>
    <s v="BK"/>
    <s v="Salt"/>
    <s v="TYANSSG+CM"/>
    <n v="4080"/>
    <n v="4050"/>
    <n v="39.083333333333336"/>
    <n v="9.0833333333334849"/>
    <n v="0"/>
    <n v="0"/>
    <n v="3.85E-2"/>
    <n v="0"/>
    <s v="ถ้าว,ฝา สีขาว New Package"/>
    <n v="0"/>
    <n v="0"/>
  </r>
  <r>
    <m/>
    <x v="837"/>
    <d v="2026-06-09T00:00:00"/>
    <x v="2"/>
    <e v="#N/A"/>
    <x v="4"/>
    <s v="DRY2600088"/>
    <s v="Denmark"/>
    <s v="CPFNW"/>
    <s v="CPF DENMARK"/>
    <s v="Minced ND+V+TY"/>
    <x v="1"/>
    <s v="Cooked Minced Wonton 3 pcs Noodle (Pumpkin)_x000a_with &quot;Tomyum&quot;+Yu Choy"/>
    <s v="082SRKW12003P00001"/>
    <s v="240g*12ถ้วย"/>
    <n v="12"/>
    <n v="3"/>
    <n v="6.1999999999999998E-3"/>
    <s v="BK"/>
    <s v="Salt"/>
    <s v="TYANSSG+CM"/>
    <n v="2660"/>
    <m/>
    <n v="2660"/>
    <n v="0"/>
    <n v="0"/>
    <n v="0"/>
    <n v="3.85E-2"/>
    <n v="0"/>
    <s v="ถ้าว,ฝา สีขาว New Package"/>
    <n v="0"/>
    <n v="0"/>
  </r>
  <r>
    <m/>
    <x v="837"/>
    <d v="2026-06-16T00:00:00"/>
    <x v="2"/>
    <e v="#N/A"/>
    <x v="4"/>
    <s v="DRY2600093"/>
    <s v="Denmark"/>
    <s v="CPFNW"/>
    <s v="CPF DENMARK"/>
    <s v="Minced ND+V+TY"/>
    <x v="1"/>
    <s v="Cooked Minced Wonton 3 pcs Noodle (Pumpkin)_x000a_with &quot;Tomyum&quot;+Yu Choy"/>
    <s v="082SRKW12003P00001"/>
    <s v="240g*12ถ้วย"/>
    <n v="12"/>
    <n v="3"/>
    <n v="6.1999999999999998E-3"/>
    <s v="BK"/>
    <s v="Salt"/>
    <s v="TYANSSG+CM"/>
    <n v="2660"/>
    <m/>
    <n v="2660"/>
    <n v="0"/>
    <n v="0"/>
    <n v="0"/>
    <n v="3.85E-2"/>
    <n v="0"/>
    <s v="ถ้าว,ฝา สีขาว New Package"/>
    <n v="0"/>
    <n v="0"/>
  </r>
  <r>
    <m/>
    <x v="838"/>
    <m/>
    <x v="2"/>
    <e v="#N/A"/>
    <x v="4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839"/>
    <d v="2026-05-25T00:00:00"/>
    <x v="2"/>
    <e v="#N/A"/>
    <x v="4"/>
    <s v="DRY2600120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1302"/>
    <n v="672"/>
    <n v="630"/>
    <n v="0"/>
    <n v="0"/>
    <n v="0"/>
    <n v="2"/>
    <n v="0"/>
    <m/>
    <n v="0"/>
    <n v="0"/>
  </r>
  <r>
    <m/>
    <x v="840"/>
    <s v="05-2026"/>
    <x v="2"/>
    <e v="#N/A"/>
    <x v="4"/>
    <s v="ขายภายใน"/>
    <s v="MTFS"/>
    <s v="CPFGS"/>
    <s v="CPFGS"/>
    <s v="Wonton ND+เย็นตาโฟ"/>
    <x v="1"/>
    <s v="บะหมี่เย็นตาโฟแห้ง CP นายอ้วน 225g MT"/>
    <s v="082SR3Q12002P00001"/>
    <s v="225g*12"/>
    <n v="12"/>
    <n v="2"/>
    <n v="6.0000000000000001E-3"/>
    <s v="BK"/>
    <s v="STPP"/>
    <s v="เย็นตาโฟ"/>
    <n v="1500"/>
    <n v="439"/>
    <n v="1061"/>
    <n v="0"/>
    <n v="0"/>
    <n v="0"/>
    <n v="1.7000000000000001E-2"/>
    <n v="0"/>
    <m/>
    <n v="0"/>
    <n v="0"/>
  </r>
  <r>
    <m/>
    <x v="840"/>
    <s v="06-2026"/>
    <x v="2"/>
    <e v="#N/A"/>
    <x v="4"/>
    <s v="ขายภายใน"/>
    <s v="MTFS"/>
    <s v="CPFGS"/>
    <s v="CPFGS"/>
    <s v="Wonton ND+เย็นตาโฟ"/>
    <x v="1"/>
    <s v="บะหมี่เย็นตาโฟแห้ง CP นายอ้วน 225g MT"/>
    <s v="082SR3Q12002P00001"/>
    <s v="225g*12"/>
    <n v="12"/>
    <n v="2"/>
    <n v="6.0000000000000001E-3"/>
    <s v="BK"/>
    <s v="STPP"/>
    <s v="เย็นตาโฟ"/>
    <n v="118"/>
    <m/>
    <n v="118"/>
    <n v="0"/>
    <n v="0"/>
    <n v="0"/>
    <n v="1.7000000000000001E-2"/>
    <n v="0"/>
    <m/>
    <n v="0"/>
    <n v="0"/>
  </r>
  <r>
    <m/>
    <x v="840"/>
    <d v="2026-06-16T00:00:00"/>
    <x v="2"/>
    <e v="#N/A"/>
    <x v="4"/>
    <s v="DRY2600014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m/>
    <x v="840"/>
    <d v="2026-06-16T00:00:00"/>
    <x v="2"/>
    <e v="#N/A"/>
    <x v="4"/>
    <s v="DRY2600095"/>
    <s v="Germany"/>
    <s v="CPFNW"/>
    <s v=" CPF Distribution (under Paulsen Food)"/>
    <s v="Minced ND+V+TY"/>
    <x v="1"/>
    <s v="Cooked Minced  ND No Egg with Pumpkin_x000a_+ Yu Choy Tomyum"/>
    <s v="082SR3N12003P00001"/>
    <s v="302g*12"/>
    <n v="12"/>
    <n v="3"/>
    <n v="6.0000000000000001E-3"/>
    <s v="BK"/>
    <s v="Salt"/>
    <s v="TYEXSG+CO"/>
    <n v="1139"/>
    <m/>
    <n v="1245.75"/>
    <n v="106.75"/>
    <n v="0"/>
    <n v="0"/>
    <n v="3.8699999999999998E-2"/>
    <n v="0"/>
    <s v="NEWPACKAGE"/>
    <n v="0"/>
    <n v="0"/>
  </r>
  <r>
    <m/>
    <x v="840"/>
    <d v="2026-06-18T00:00:00"/>
    <x v="2"/>
    <e v="#N/A"/>
    <x v="4"/>
    <s v="DRY2600092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SG+CO"/>
    <n v="390"/>
    <n v="384"/>
    <n v="6"/>
    <n v="0"/>
    <n v="0"/>
    <n v="0"/>
    <n v="3.8699999999999998E-2"/>
    <n v="0"/>
    <m/>
    <n v="0"/>
    <n v="0"/>
  </r>
  <r>
    <m/>
    <x v="840"/>
    <d v="2026-07-02T00:00:00"/>
    <x v="2"/>
    <e v="#N/A"/>
    <x v="4"/>
    <s v="DRY2600109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SG+CO"/>
    <n v="390"/>
    <n v="390"/>
    <m/>
    <n v="0"/>
    <n v="0"/>
    <n v="0"/>
    <n v="3.8699999999999998E-2"/>
    <n v="0"/>
    <m/>
    <n v="0"/>
    <n v="0"/>
  </r>
  <r>
    <m/>
    <x v="840"/>
    <d v="2026-06-16T00:00:00"/>
    <x v="2"/>
    <e v="#N/A"/>
    <x v="4"/>
    <s v="DRY2600097"/>
    <s v="Ireland"/>
    <s v="CPFNW"/>
    <s v="Westbridge Foods Limited (One UK)"/>
    <s v="Wonton+TY"/>
    <x v="1"/>
    <s v="Cooked Wonton Soup Tomyum"/>
    <s v="082S8KW08005P01001"/>
    <s v="147g*8"/>
    <n v="8"/>
    <n v="5"/>
    <n v="7.4999999999999997E-3"/>
    <s v="M"/>
    <s v="Salt"/>
    <s v="TYEXSG+CO"/>
    <n v="1100"/>
    <m/>
    <n v="1100"/>
    <n v="0"/>
    <n v="0"/>
    <n v="0"/>
    <n v="7.4999999999999997E-3"/>
    <n v="0"/>
    <s v="NEWPACKAGE"/>
    <n v="0"/>
    <n v="0"/>
  </r>
  <r>
    <s v="R"/>
    <x v="841"/>
    <d v="2026-05-25T00:00:00"/>
    <x v="2"/>
    <e v="#N/A"/>
    <x v="4"/>
    <s v="DRY2600120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322"/>
    <n v="278"/>
    <n v="63"/>
    <n v="19"/>
    <n v="0"/>
    <n v="0"/>
    <n v="2"/>
    <n v="0"/>
    <m/>
    <n v="0"/>
    <n v="0"/>
  </r>
  <r>
    <s v="R"/>
    <x v="841"/>
    <d v="2026-06-23T00:00:00"/>
    <x v="2"/>
    <e v="#N/A"/>
    <x v="4"/>
    <s v="DRY2600045"/>
    <s v="SG"/>
    <s v="CPFNW"/>
    <s v="CP FOODS SINGAPORE PTE. LTD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1000"/>
    <n v="381"/>
    <n v="619"/>
    <n v="0"/>
    <n v="0"/>
    <n v="0"/>
    <n v="2"/>
    <n v="0"/>
    <s v="ห่อแบบสุก"/>
    <n v="0"/>
    <n v="0"/>
  </r>
  <r>
    <s v="R"/>
    <x v="841"/>
    <d v="2026-06-23T00:00:00"/>
    <x v="2"/>
    <e v="#N/A"/>
    <x v="4"/>
    <s v="DRY2600045"/>
    <s v="SG"/>
    <s v="CPFNW"/>
    <s v="CP FOODS SINGAPORE PTE. LTD"/>
    <s v="R-Wonton egg past"/>
    <x v="2"/>
    <s v="Raw Wonton 8 pcs"/>
    <s v="082I93B20008P00001"/>
    <s v="194g*20in"/>
    <n v="20"/>
    <n v="8"/>
    <n v="1.4999999999999999E-2"/>
    <s v="JB"/>
    <s v="STPP"/>
    <s v="ซุปซอง 5g."/>
    <n v="250"/>
    <n v="250"/>
    <m/>
    <n v="0"/>
    <n v="0"/>
    <n v="0"/>
    <n v="2"/>
    <n v="0"/>
    <s v="ห่อแบบดิบ"/>
    <n v="0"/>
    <n v="0"/>
  </r>
  <r>
    <s v="R"/>
    <x v="841"/>
    <d v="2026-06-23T00:00:00"/>
    <x v="2"/>
    <e v="#N/A"/>
    <x v="4"/>
    <s v="DRY2600045"/>
    <s v="SG"/>
    <s v="CPFNW"/>
    <s v="CP FOODS SINGAPORE PTE. LTD"/>
    <s v="R-Wonton egg past"/>
    <x v="2"/>
    <s v="Raw Wonton 8 pcs (Tomyam 30g.)"/>
    <s v="082I93B18008P01001"/>
    <s v="126g*18in"/>
    <n v="18"/>
    <n v="8"/>
    <n v="6.8100000000000001E-3"/>
    <s v="S"/>
    <s v="STPP"/>
    <s v="TYTB3C 30G"/>
    <n v="400"/>
    <n v="400"/>
    <n v="4"/>
    <n v="4"/>
    <n v="0"/>
    <n v="0"/>
    <n v="1"/>
    <n v="0"/>
    <m/>
    <n v="0"/>
    <n v="0"/>
  </r>
  <r>
    <s v="R"/>
    <x v="841"/>
    <d v="2026-06-23T00:00:00"/>
    <x v="2"/>
    <e v="#N/A"/>
    <x v="4"/>
    <s v="DRY2600045"/>
    <s v="SG"/>
    <s v="CPFNW"/>
    <s v="CP FOODS SINGAPORE PTE. LTD"/>
    <s v="R-Minced egg past"/>
    <x v="2"/>
    <s v="Raw Minced Wonton 8 pcs"/>
    <s v="082ID3B18008P00001"/>
    <s v="90g*18in"/>
    <n v="18"/>
    <n v="8"/>
    <n v="6.0000000000000001E-3"/>
    <s v="BK"/>
    <s v="STPP"/>
    <s v="ซุปซอง 5g."/>
    <n v="500"/>
    <n v="500"/>
    <m/>
    <n v="0"/>
    <n v="0"/>
    <n v="0"/>
    <n v="2"/>
    <n v="0"/>
    <s v="new package"/>
    <n v="0"/>
    <n v="0"/>
  </r>
  <r>
    <s v="CP Laos"/>
    <x v="842"/>
    <d v="2026-06-10T00:00:00"/>
    <x v="2"/>
    <e v="#N/A"/>
    <x v="4"/>
    <s v="LA009/2569"/>
    <s v="Laos"/>
    <s v="Laos"/>
    <s v="บริษัท ปิก้าเทรดดิ้ง จำกัด"/>
    <s v="E+Wonton"/>
    <x v="1"/>
    <s v="เกี๊ยวกุ้งจักรพรรดิ 12x145g."/>
    <s v="082S8L212005P00001"/>
    <s v="145g*12"/>
    <n v="12"/>
    <n v="5"/>
    <n v="8.0000000000000002E-3"/>
    <s v="M"/>
    <s v="STPP"/>
    <s v="Regular"/>
    <n v="200"/>
    <n v="200"/>
    <n v="4.583333333333333"/>
    <n v="4.5833333333333428"/>
    <n v="0"/>
    <n v="0"/>
    <n v="7.4999999999999997E-3"/>
    <n v="0"/>
    <m/>
    <n v="0"/>
    <n v="0"/>
  </r>
  <r>
    <m/>
    <x v="842"/>
    <s v="06-2026"/>
    <x v="2"/>
    <e v="#N/A"/>
    <x v="4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4900"/>
    <n v="4900"/>
    <m/>
    <n v="0"/>
    <n v="0"/>
    <n v="0"/>
    <n v="7.4999999999999997E-3"/>
    <n v="0"/>
    <s v="กล่อง 1000/Stk 23,900"/>
    <n v="0"/>
    <n v="0"/>
  </r>
  <r>
    <m/>
    <x v="842"/>
    <s v="06-2026"/>
    <x v="2"/>
    <e v="#N/A"/>
    <x v="4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65"/>
    <n v="65"/>
    <m/>
    <n v="0"/>
    <n v="0"/>
    <n v="0"/>
    <n v="7.4999999999999997E-3"/>
    <n v="0"/>
    <s v="กล่อง 1000/Stk 23,900"/>
    <n v="0"/>
    <n v="0"/>
  </r>
  <r>
    <m/>
    <x v="843"/>
    <d v="2026-06-16T00:00:00"/>
    <x v="2"/>
    <e v="#N/A"/>
    <x v="4"/>
    <s v="DRY2600124"/>
    <s v="Denmark"/>
    <s v="CPFNW"/>
    <s v="CPF DENMARK"/>
    <s v="Minced ND+หมาล่า"/>
    <x v="1"/>
    <s v="Cooked Minced Wonton 3 pcs Noodle (Pumpkin)_x000a_with &quot;Mala&quot;"/>
    <s v="082SRKW12003P02001"/>
    <s v="240g*12ถ้วย"/>
    <n v="12"/>
    <n v="3"/>
    <n v="6.1999999999999998E-3"/>
    <s v="BK"/>
    <s v="Salt"/>
    <s v="หมาล่า"/>
    <n v="2660"/>
    <m/>
    <n v="2660"/>
    <n v="0"/>
    <n v="0"/>
    <n v="0"/>
    <m/>
    <n v="0"/>
    <s v="ถ้าว,ฝา สีขาว New Package"/>
    <n v="0"/>
    <n v="0"/>
  </r>
  <r>
    <m/>
    <x v="843"/>
    <s v="05-2026"/>
    <x v="2"/>
    <e v="#N/A"/>
    <x v="4"/>
    <s v="ขายภายใน"/>
    <s v="MTFS"/>
    <s v="CPFGS"/>
    <s v="CPFGS"/>
    <s v="E+NDเส้นมัน+หมาล่า"/>
    <x v="1"/>
    <s v="เส้นมันเกี๊ยวกุ้งจักรพรรดิซุปหมาล่า  ตราซีพี ซีคิวเค MT"/>
    <s v="082SG3Q12003P00001"/>
    <s v="250g*12"/>
    <n v="12"/>
    <n v="3"/>
    <n v="6.1999999999999998E-3"/>
    <s v="SS"/>
    <s v="STPP"/>
    <s v="หมาล่า"/>
    <n v="800"/>
    <n v="800"/>
    <m/>
    <n v="0"/>
    <n v="0"/>
    <n v="0"/>
    <n v="1.83E-2"/>
    <n v="0"/>
    <m/>
    <n v="0"/>
    <n v="0"/>
  </r>
  <r>
    <m/>
    <x v="843"/>
    <s v="06-2026"/>
    <x v="2"/>
    <e v="#N/A"/>
    <x v="4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s v="SS"/>
    <s v="STPP"/>
    <s v="หมาล่า"/>
    <n v="2400"/>
    <n v="2400"/>
    <m/>
    <n v="0"/>
    <n v="0"/>
    <n v="0"/>
    <n v="1.83E-2"/>
    <n v="0"/>
    <m/>
    <n v="0"/>
    <n v="0"/>
  </r>
  <r>
    <m/>
    <x v="844"/>
    <d v="2026-06-16T00:00:00"/>
    <x v="2"/>
    <e v="#N/A"/>
    <x v="4"/>
    <s v="DRY2600097"/>
    <s v="Ireland"/>
    <s v="CPFNW"/>
    <s v="Westbridge Foods Limited (One UK)"/>
    <s v="Minced ND+Kee Mao"/>
    <x v="1"/>
    <s v="Cooked Minced Wonton Thai Spicy Noodles (Drunken Noodles)"/>
    <s v="082SRKW06003P01001"/>
    <s v="300g*6"/>
    <n v="6"/>
    <n v="3"/>
    <n v="6.1999999999999998E-3"/>
    <s v="BK"/>
    <s v="Salt"/>
    <s v="Kee Mao"/>
    <n v="1300"/>
    <m/>
    <n v="1504.5"/>
    <n v="204.5"/>
    <n v="0"/>
    <n v="0"/>
    <n v="6.5000000000000002E-2"/>
    <n v="0"/>
    <m/>
    <n v="0"/>
    <n v="0"/>
  </r>
  <r>
    <m/>
    <x v="844"/>
    <d v="2026-06-18T00:00:00"/>
    <x v="2"/>
    <e v="#N/A"/>
    <x v="4"/>
    <s v="DRY2600037"/>
    <s v="AUS"/>
    <s v="CPFNW"/>
    <s v="CPF Australia Pty Ltd.(Woolworth)"/>
    <s v="Minced ND+Kee Mao"/>
    <x v="1"/>
    <s v="Cooked Minced Wonton Thai Spicy Noodles (Kee Mao Noodles)"/>
    <s v="082SR9U05003P00001"/>
    <s v="283g*5"/>
    <n v="5"/>
    <n v="3"/>
    <n v="6.0000000000000001E-3"/>
    <s v="BK"/>
    <s v="Salt"/>
    <s v="Kee Mao"/>
    <n v="5076"/>
    <m/>
    <n v="5076"/>
    <n v="0"/>
    <n v="0"/>
    <n v="0"/>
    <n v="1"/>
    <n v="0"/>
    <s v="ถ้าว,ฝา สีขาว"/>
    <n v="0"/>
    <n v="0"/>
  </r>
  <r>
    <m/>
    <x v="844"/>
    <d v="2026-07-27T00:00:00"/>
    <x v="2"/>
    <e v="#N/A"/>
    <x v="4"/>
    <s v="DRY2600125"/>
    <s v="UK"/>
    <s v="CPFNW"/>
    <s v="Food Fellas"/>
    <s v="Wonton ND"/>
    <x v="1"/>
    <s v="Cooked Wonton ND No Egg with _x000a_HC  5 pcs"/>
    <s v="082SJ5L08005P03001"/>
    <s v="258g*8"/>
    <n v="8"/>
    <n v="5"/>
    <n v="7.4999999999999997E-3"/>
    <s v="HC"/>
    <s v="Salt"/>
    <s v="Regular"/>
    <n v="900"/>
    <m/>
    <n v="920.75"/>
    <n v="20.75"/>
    <n v="0"/>
    <n v="0"/>
    <n v="7.4999999999999997E-3"/>
    <n v="0"/>
    <s v="ถ้าว,ฝา สีขาว"/>
    <m/>
    <m/>
  </r>
  <r>
    <m/>
    <x v="844"/>
    <d v="2026-06-23T00:00:00"/>
    <x v="2"/>
    <e v="#N/A"/>
    <x v="4"/>
    <s v="DRY2600046"/>
    <s v="SG"/>
    <s v="CPFNW"/>
    <s v="CP FOODS SINGAPORE PTE. LTD"/>
    <s v="Wonton ND+V"/>
    <x v="1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250"/>
    <n v="250"/>
    <m/>
    <n v="0"/>
    <n v="0"/>
    <n v="0"/>
    <n v="1"/>
    <n v="0"/>
    <m/>
    <n v="0"/>
    <n v="0"/>
  </r>
  <r>
    <m/>
    <x v="844"/>
    <d v="2026-07-16T00:00:00"/>
    <x v="2"/>
    <e v="#N/A"/>
    <x v="4"/>
    <s v="DRY2600121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844"/>
    <d v="2026-06-16T00:00:00"/>
    <x v="2"/>
    <e v="#N/A"/>
    <x v="4"/>
    <s v="DRY2600095"/>
    <s v="Germany"/>
    <s v="CPFNW"/>
    <s v=" CPF Distribution (under Paulsen Food)"/>
    <s v="Minced ND+V+TK"/>
    <x v="1"/>
    <s v="Cooked Minced  ND No Egg with Pumpkin_x000a_+ Yu Choy Tomkha"/>
    <s v="082SR3N12003P01001"/>
    <s v="302g*12"/>
    <n v="12"/>
    <n v="3"/>
    <n v="6.0000000000000001E-3"/>
    <s v="BK"/>
    <s v="Salt"/>
    <s v="Tomkha+CM"/>
    <n v="1139"/>
    <m/>
    <n v="1190.1666666666667"/>
    <n v="51.166666666666742"/>
    <n v="0"/>
    <n v="0"/>
    <n v="5.8823E-2"/>
    <n v="0"/>
    <s v="NEWPACKAGE"/>
    <n v="0"/>
    <n v="0"/>
  </r>
  <r>
    <m/>
    <x v="844"/>
    <d v="2026-06-25T00:00:00"/>
    <x v="2"/>
    <e v="#N/A"/>
    <x v="4"/>
    <s v="DRY2600039"/>
    <s v="AUS"/>
    <s v="CPFNW"/>
    <s v="CPF Australia Pty Ltd.(Woolworth)"/>
    <s v="Minced ND+V+TK"/>
    <x v="1"/>
    <s v="Cooked Minced  ND No Egg with Pumpkin_x000a_+ Yu Choy Tomkha"/>
    <s v="082SR9U05003P01001"/>
    <s v="302g*5"/>
    <n v="5"/>
    <n v="3"/>
    <n v="6.0000000000000001E-3"/>
    <s v="BK"/>
    <s v="Salt"/>
    <s v="Tomkha+CM"/>
    <n v="5076"/>
    <m/>
    <n v="5076"/>
    <n v="0"/>
    <n v="0"/>
    <n v="0"/>
    <n v="5.8823E-2"/>
    <n v="0"/>
    <s v="ถ้าว,ฝา สีขาว"/>
    <n v="0"/>
    <n v="0"/>
  </r>
  <r>
    <m/>
    <x v="845"/>
    <m/>
    <x v="2"/>
    <e v="#N/A"/>
    <x v="4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846"/>
    <m/>
    <x v="2"/>
    <e v="#N/A"/>
    <x v="4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847"/>
    <m/>
    <x v="2"/>
    <e v="#N/A"/>
    <x v="5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848"/>
    <m/>
    <x v="2"/>
    <e v="#N/A"/>
    <x v="5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849"/>
    <m/>
    <x v="2"/>
    <e v="#N/A"/>
    <x v="5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850"/>
    <d v="2026-06-24T00:00:00"/>
    <x v="2"/>
    <e v="#N/A"/>
    <x v="5"/>
    <s v="KL2600011"/>
    <s v="China"/>
    <s v="China"/>
    <s v="CP Global Supply Chain (Guangdong) Co., Ltd."/>
    <s v="R-Wonton no egg"/>
    <x v="2"/>
    <s v="Raw Wonton 12 pcs"/>
    <s v="082I9CO20012P00001"/>
    <s v="154g*20in"/>
    <n v="20"/>
    <n v="12"/>
    <n v="6.8100000000000001E-3"/>
    <s v="S"/>
    <s v="Salt"/>
    <s v="ซุปซอง 5g."/>
    <n v="1386"/>
    <n v="1386"/>
    <m/>
    <n v="0"/>
    <n v="0"/>
    <n v="0"/>
    <n v="2"/>
    <n v="0"/>
    <m/>
    <n v="0"/>
    <n v="0"/>
  </r>
  <r>
    <m/>
    <x v="850"/>
    <d v="2026-06-25T00:00:00"/>
    <x v="2"/>
    <e v="#N/A"/>
    <x v="5"/>
    <s v="DRY2600134"/>
    <s v="UK"/>
    <s v="CPFNW"/>
    <s v="Westbridge Foods Limited (One UK)"/>
    <s v="Minced ND+V+น้ำราดเป็ด"/>
    <x v="1"/>
    <s v="Cooked Minced Wonton Garlic &amp; Soy Noodles+Yu Choy &quot;Kitchen Joy&quot;"/>
    <s v="082SRKW12003P03001"/>
    <s v="320g*12ถ้วย"/>
    <n v="12"/>
    <n v="3"/>
    <n v="6.1999999999999998E-3"/>
    <s v="BK"/>
    <s v="Salt"/>
    <s v="น้ำราดเป็ด"/>
    <n v="2278"/>
    <n v="60"/>
    <n v="2271.25"/>
    <n v="53.25"/>
    <n v="0"/>
    <n v="0"/>
    <m/>
    <n v="0"/>
    <s v="ถ้าว,ฝา สีขาว New Package"/>
    <n v="0"/>
    <n v="0"/>
  </r>
  <r>
    <m/>
    <x v="850"/>
    <s v="06-2026"/>
    <x v="2"/>
    <e v="#N/A"/>
    <x v="5"/>
    <s v="ขายภายใน"/>
    <s v="MTFS"/>
    <s v="CPFGS"/>
    <s v="ซีพีเอฟ เทรดดิ้ง"/>
    <s v="Wonton ND"/>
    <x v="1"/>
    <s v="บะหมี่เกี๊ยวกุ้งซุปสุกี้ CPxMK 227g MT"/>
    <s v="082SJ3Q12003P0A001"/>
    <s v="227g*12"/>
    <n v="12"/>
    <n v="3"/>
    <n v="8.0000000000000002E-3"/>
    <s v="SS"/>
    <s v="STPP"/>
    <s v="MK"/>
    <n v="2432"/>
    <n v="2432"/>
    <m/>
    <n v="0"/>
    <n v="0"/>
    <n v="0"/>
    <n v="0.05"/>
    <n v="0"/>
    <s v="เปลี่ยนใช้ผักกวางตุ้งแบบแช่แข็ง"/>
    <n v="0"/>
    <n v="0"/>
  </r>
  <r>
    <s v="R"/>
    <x v="851"/>
    <d v="2026-06-30T00:00:00"/>
    <x v="2"/>
    <e v="#N/A"/>
    <x v="5"/>
    <s v="DRY2600113"/>
    <s v="Belgium"/>
    <s v="CPFNW"/>
    <s v="CPF EUROPE S.A."/>
    <s v="R-Wonton no egg"/>
    <x v="2"/>
    <s v="Raw Wonton 50 pcs"/>
    <s v="082I93I10050P02001"/>
    <s v="630g*10inner"/>
    <n v="10"/>
    <n v="50"/>
    <n v="8.1300000000000001E-3"/>
    <s v="M"/>
    <s v="Salt"/>
    <s v="ซุปซอง 5g."/>
    <n v="600"/>
    <n v="600"/>
    <m/>
    <n v="0"/>
    <n v="0"/>
    <n v="0"/>
    <n v="6"/>
    <n v="0"/>
    <m/>
    <n v="0"/>
    <n v="0"/>
  </r>
  <r>
    <m/>
    <x v="851"/>
    <s v="06-2026"/>
    <x v="2"/>
    <e v="#N/A"/>
    <x v="5"/>
    <s v="ขายภายใน"/>
    <s v="MTFS"/>
    <s v="CPFGS"/>
    <s v="CPFGS"/>
    <s v="Wonton ND+เย็นตาโฟ"/>
    <x v="1"/>
    <s v="บะหมี่เย็นตาโฟแห้ง CP นายอ้วน 225g MT"/>
    <s v="082SR3Q12002P00001"/>
    <s v="225g*12"/>
    <n v="12"/>
    <n v="2"/>
    <n v="6.0000000000000001E-3"/>
    <s v="BK"/>
    <s v="STPP"/>
    <s v="เย็นตาโฟ"/>
    <n v="682"/>
    <n v="682"/>
    <m/>
    <n v="0"/>
    <n v="0"/>
    <n v="0"/>
    <n v="1.7000000000000001E-2"/>
    <n v="0"/>
    <m/>
    <n v="0"/>
    <n v="0"/>
  </r>
  <r>
    <m/>
    <x v="851"/>
    <d v="2026-06-23T00:00:00"/>
    <x v="2"/>
    <e v="#N/A"/>
    <x v="5"/>
    <s v="DRY2600046"/>
    <s v="SG"/>
    <s v="CPFNW"/>
    <s v="CP FOODS SINGAPORE PTE. LTD"/>
    <s v="Wonton +TY"/>
    <x v="1"/>
    <s v="Cooked Wonton No Egg"/>
    <s v="082S83B24005P06001"/>
    <s v="115g*24"/>
    <n v="24"/>
    <n v="5"/>
    <n v="8.0000000000000002E-3"/>
    <s v="M"/>
    <s v="STPP"/>
    <s v="TYTB3C 30G"/>
    <n v="250"/>
    <n v="250"/>
    <m/>
    <n v="0"/>
    <n v="0"/>
    <n v="0"/>
    <n v="1"/>
    <n v="0"/>
    <m/>
    <n v="0"/>
    <n v="0"/>
  </r>
  <r>
    <m/>
    <x v="851"/>
    <s v="06-2026"/>
    <x v="2"/>
    <e v="#N/A"/>
    <x v="5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45"/>
    <n v="145"/>
    <m/>
    <n v="0"/>
    <n v="0"/>
    <n v="0"/>
    <n v="7.4999999999999997E-3"/>
    <n v="0"/>
    <m/>
    <n v="0"/>
    <n v="0"/>
  </r>
  <r>
    <m/>
    <x v="851"/>
    <s v="06-2026"/>
    <x v="2"/>
    <e v="#N/A"/>
    <x v="5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1243"/>
    <n v="1243"/>
    <m/>
    <n v="0"/>
    <n v="0"/>
    <n v="0"/>
    <n v="7.4999999999999997E-3"/>
    <n v="0"/>
    <m/>
    <n v="0"/>
    <n v="0"/>
  </r>
  <r>
    <s v="R"/>
    <x v="852"/>
    <d v="2026-07-07T00:00:00"/>
    <x v="2"/>
    <e v="#N/A"/>
    <x v="5"/>
    <s v="DRY2600138"/>
    <s v="Malay"/>
    <s v="CPFNW"/>
    <s v="CPM Malaysia"/>
    <s v="R-Wonton egg past"/>
    <x v="2"/>
    <s v="Raw Wonton 8 pcs (Tomyam 30g.)"/>
    <s v="082I95I18008P00001"/>
    <s v="126g*18in"/>
    <n v="18"/>
    <n v="8"/>
    <n v="6.8100000000000001E-3"/>
    <s v="S"/>
    <s v="STPP"/>
    <s v="TYTB3C 30G"/>
    <n v="150"/>
    <n v="150"/>
    <m/>
    <n v="0"/>
    <n v="0"/>
    <n v="0"/>
    <n v="1"/>
    <n v="0"/>
    <s v="new package"/>
    <n v="0"/>
    <n v="0"/>
  </r>
  <r>
    <s v="R"/>
    <x v="852"/>
    <d v="2026-07-07T00:00:00"/>
    <x v="2"/>
    <e v="#N/A"/>
    <x v="5"/>
    <s v="DRY2600138"/>
    <s v="Malay"/>
    <s v="CPFNW"/>
    <s v="CPM Malaysia"/>
    <s v="R-Wonton egg past"/>
    <x v="2"/>
    <s v="Raw Wonton 12 pcs"/>
    <s v="082I95I20012P02001"/>
    <s v="154g*20inner"/>
    <n v="20"/>
    <n v="12"/>
    <n v="6.8100000000000001E-3"/>
    <s v="S"/>
    <s v="STPP"/>
    <s v="ซุปซอง 5g."/>
    <n v="150"/>
    <n v="150"/>
    <m/>
    <n v="0"/>
    <n v="0"/>
    <n v="0"/>
    <n v="2"/>
    <n v="0"/>
    <s v="new package"/>
    <n v="0"/>
    <n v="0"/>
  </r>
  <r>
    <s v="R"/>
    <x v="852"/>
    <d v="2026-07-06T00:00:00"/>
    <x v="2"/>
    <e v="#N/A"/>
    <x v="5"/>
    <s v="DRY2600103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564"/>
    <n v="564"/>
    <m/>
    <n v="0"/>
    <n v="0"/>
    <n v="0"/>
    <n v="6"/>
    <n v="0"/>
    <m/>
    <n v="0"/>
    <n v="0"/>
  </r>
  <r>
    <m/>
    <x v="852"/>
    <s v="06-2026"/>
    <x v="2"/>
    <e v="#N/A"/>
    <x v="5"/>
    <s v="ขายภายใน"/>
    <s v=".7-11"/>
    <s v="CPFGS"/>
    <s v="ถ้วยใหม่"/>
    <s v="Wonton"/>
    <x v="1"/>
    <s v="เกี๊ยวกุ้ง ตรา อีซี่ โก 24x5 PCS"/>
    <s v="082S81A24005P06001"/>
    <s v="130g*24"/>
    <n v="24"/>
    <n v="5"/>
    <n v="6.1999999999999998E-3"/>
    <s v="SS"/>
    <s v="STPP"/>
    <s v="Regular"/>
    <n v="835"/>
    <n v="835"/>
    <m/>
    <n v="0"/>
    <n v="0"/>
    <n v="0"/>
    <n v="7.4999999999999997E-3"/>
    <n v="0"/>
    <m/>
    <n v="0"/>
    <n v="0"/>
  </r>
  <r>
    <s v="hold&gt;&gt;mix"/>
    <x v="852"/>
    <d v="2026-07-27T00:00:00"/>
    <x v="2"/>
    <e v="#N/A"/>
    <x v="5"/>
    <s v="DRY2600125"/>
    <s v="UK"/>
    <s v="CPFNW"/>
    <s v="Food Fellas"/>
    <s v="Wonton +TY"/>
    <x v="1"/>
    <s v="Cooked Wonton Tomyum"/>
    <s v="082S8T208005P00001"/>
    <s v="147g*8"/>
    <n v="8"/>
    <n v="5"/>
    <n v="6.8100000000000001E-3"/>
    <s v="M"/>
    <s v="Salt"/>
    <s v="TYEXSG+CO"/>
    <n v="600"/>
    <m/>
    <n v="659.5"/>
    <n v="59.5"/>
    <n v="0"/>
    <n v="0"/>
    <n v="7.4999999999999997E-3"/>
    <n v="0"/>
    <s v="ถ้าว,ฝา สีขาว"/>
    <n v="0"/>
    <n v="0"/>
  </r>
  <r>
    <m/>
    <x v="852"/>
    <d v="2026-07-04T00:00:00"/>
    <x v="2"/>
    <e v="#N/A"/>
    <x v="5"/>
    <s v="DRY2600098"/>
    <s v="UK"/>
    <s v="CPFNW"/>
    <s v="Westbridge Foods Limited (One UK)"/>
    <s v="Wonton+TY"/>
    <x v="1"/>
    <s v="Cooked Wonton Soup Tomyum"/>
    <s v="082S8KW08005P00001"/>
    <s v="147g*8"/>
    <n v="8"/>
    <n v="5"/>
    <n v="7.4999999999999997E-3"/>
    <s v="M"/>
    <s v="Salt"/>
    <s v="TYEXSG+CO"/>
    <n v="5148"/>
    <m/>
    <n v="5148"/>
    <n v="0"/>
    <n v="0"/>
    <n v="0"/>
    <n v="7.4999999999999997E-3"/>
    <n v="0"/>
    <s v="stock icr"/>
    <n v="0"/>
    <n v="0"/>
  </r>
  <r>
    <m/>
    <x v="852"/>
    <d v="2026-07-27T00:00:00"/>
    <x v="2"/>
    <e v="#N/A"/>
    <x v="5"/>
    <s v="DRY2600125"/>
    <s v="UK"/>
    <s v="CPFNW"/>
    <s v="Food Fellas"/>
    <s v="Wonton ND+BC+TY"/>
    <x v="1"/>
    <s v="Cooked Wonton Noodles Bok Choy Tomyum"/>
    <s v="082SJT208005P00001"/>
    <s v="307g*8"/>
    <n v="8"/>
    <n v="5"/>
    <n v="6.8100000000000001E-3"/>
    <s v="M"/>
    <s v="Salt"/>
    <s v="TYEXSG+CO"/>
    <n v="650"/>
    <m/>
    <n v="773.5"/>
    <n v="123.5"/>
    <n v="0"/>
    <n v="0"/>
    <n v="3.8699999999999998E-2"/>
    <n v="0"/>
    <s v="ถ้าว,ฝา สีขาว"/>
    <n v="0"/>
    <n v="0"/>
  </r>
  <r>
    <m/>
    <x v="852"/>
    <d v="2026-07-16T00:00:00"/>
    <x v="2"/>
    <e v="#N/A"/>
    <x v="5"/>
    <s v="DRY2600131"/>
    <s v="AUS"/>
    <s v="CPFNW"/>
    <s v="CPF Australia Pty Ltd."/>
    <s v="Wonton ND+V+TY"/>
    <x v="1"/>
    <s v="Cooked Wonton ND No Egg with Pumpkin _x000a_+ Vegetable 5 pcs tomyam"/>
    <s v="082SJ9U24005P00001"/>
    <s v="307g*4c*6in"/>
    <n v="24"/>
    <n v="5"/>
    <n v="7.4999999999999997E-3"/>
    <s v="M"/>
    <s v="Salt"/>
    <s v="TYEXSG+CO"/>
    <n v="390"/>
    <n v="390"/>
    <m/>
    <n v="0"/>
    <n v="0"/>
    <n v="0"/>
    <n v="3.8699999999999998E-2"/>
    <n v="0"/>
    <m/>
    <n v="0"/>
    <n v="0"/>
  </r>
  <r>
    <m/>
    <x v="852"/>
    <d v="2026-06-30T00:00:00"/>
    <x v="2"/>
    <e v="#N/A"/>
    <x v="5"/>
    <s v="DRY2600142"/>
    <s v="AUS"/>
    <s v="CPFNW"/>
    <s v="CPF Australia Pty Ltd."/>
    <s v="Minced ND+V+TY"/>
    <x v="1"/>
    <s v="Cooked Minced  ND No Egg with Pumpkin_x000a_+ Yu Choy Tomyum"/>
    <s v="082SR9U08003P00001"/>
    <s v="302g*8"/>
    <n v="8"/>
    <n v="3"/>
    <n v="6.0000000000000001E-3"/>
    <s v="BK"/>
    <s v="Salt"/>
    <s v="TYEXSG+CO"/>
    <n v="400"/>
    <m/>
    <n v="424.125"/>
    <n v="24.125"/>
    <n v="0"/>
    <n v="0"/>
    <n v="3.8699999999999998E-2"/>
    <n v="0"/>
    <s v="ใช้ Package เก่า  จำนวน 132 กล่อง  โดยจะปิด  Opp Tape  สีแดงไปค่ะ"/>
    <n v="0"/>
    <n v="0"/>
  </r>
  <r>
    <m/>
    <x v="852"/>
    <d v="2026-07-30T00:00:00"/>
    <x v="2"/>
    <e v="#N/A"/>
    <x v="5"/>
    <s v="DRY2600161"/>
    <s v="New Zealand"/>
    <s v="CPFNW"/>
    <s v="Lim Brothers Import&amp;Export Co.,Ltd."/>
    <s v="Minced ND+V+TY"/>
    <x v="1"/>
    <s v="Cooked Minced  ND No Egg with Pumpkin_x000a_+ Yu Choy Tomyum"/>
    <s v="082SRN708003P00001"/>
    <s v="302g*8"/>
    <n v="8"/>
    <n v="3"/>
    <n v="6.0000000000000001E-3"/>
    <s v="BK"/>
    <s v="Salt"/>
    <s v="TYEXSG+CO"/>
    <n v="80"/>
    <m/>
    <n v="80"/>
    <n v="0"/>
    <n v="0"/>
    <n v="0"/>
    <n v="3.8699999999999998E-2"/>
    <n v="0"/>
    <m/>
    <n v="0"/>
    <n v="0"/>
  </r>
  <r>
    <s v="R"/>
    <x v="853"/>
    <d v="2026-07-06T00:00:00"/>
    <x v="2"/>
    <e v="#N/A"/>
    <x v="5"/>
    <s v="DRY2600103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46"/>
    <n v="646"/>
    <m/>
    <n v="0"/>
    <n v="0"/>
    <n v="0"/>
    <n v="6"/>
    <n v="0"/>
    <m/>
    <n v="0"/>
    <n v="0"/>
  </r>
  <r>
    <m/>
    <x v="853"/>
    <d v="2026-07-01T00:00:00"/>
    <x v="2"/>
    <e v="#N/A"/>
    <x v="5"/>
    <s v="DRY2600132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n v="0"/>
    <n v="7.4999999999999997E-3"/>
    <n v="0"/>
    <s v="new package (ลบโลโก้ Facebook)"/>
    <n v="0"/>
    <n v="0"/>
  </r>
  <r>
    <m/>
    <x v="853"/>
    <s v="07-2026"/>
    <x v="2"/>
    <e v="#N/A"/>
    <x v="5"/>
    <s v="ขายภายใน"/>
    <s v="MTFS"/>
    <s v="CPFGS"/>
    <s v="ซีพีเอฟ เทรดดิ้ง"/>
    <s v="E+Wonton NDE"/>
    <x v="1"/>
    <s v="บะหมี่เกี๊ยวกุ้ง ตราซีพี 12X226 กรัม"/>
    <s v="082SJ3Q12003P07001"/>
    <s v="226g*12"/>
    <n v="12"/>
    <n v="3"/>
    <n v="8.0000000000000002E-3"/>
    <s v="M"/>
    <s v="STPP"/>
    <s v="Regular"/>
    <n v="500"/>
    <n v="500"/>
    <m/>
    <n v="0"/>
    <n v="0"/>
    <n v="0"/>
    <n v="7.4999999999999997E-3"/>
    <n v="0"/>
    <m/>
    <n v="0"/>
    <n v="0"/>
  </r>
  <r>
    <m/>
    <x v="853"/>
    <s v="06-2026"/>
    <x v="2"/>
    <e v="#N/A"/>
    <x v="5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250"/>
    <n v="250"/>
    <m/>
    <n v="0"/>
    <n v="0"/>
    <n v="0"/>
    <n v="7.4999999999999997E-3"/>
    <n v="0"/>
    <m/>
    <n v="0"/>
    <n v="0"/>
  </r>
  <r>
    <m/>
    <x v="853"/>
    <s v="07-2026"/>
    <x v="2"/>
    <e v="#N/A"/>
    <x v="5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200"/>
    <n v="200"/>
    <m/>
    <n v="0"/>
    <n v="0"/>
    <n v="0"/>
    <n v="7.4999999999999997E-3"/>
    <n v="0"/>
    <m/>
    <n v="0"/>
    <n v="0"/>
  </r>
  <r>
    <m/>
    <x v="853"/>
    <s v="08-2026"/>
    <x v="2"/>
    <e v="#N/A"/>
    <x v="5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32"/>
    <m/>
    <n v="32.75"/>
    <n v="0.75"/>
    <n v="0"/>
    <n v="0"/>
    <n v="7.4999999999999997E-3"/>
    <n v="0"/>
    <s v="Add Potassium"/>
    <n v="0"/>
    <n v="0"/>
  </r>
  <r>
    <m/>
    <x v="853"/>
    <s v="06-2026"/>
    <x v="2"/>
    <e v="#N/A"/>
    <x v="5"/>
    <s v="ขายภายใน"/>
    <s v="MTFS"/>
    <s v="CPFGS"/>
    <s v="CPFGS"/>
    <s v="E+NDเส้นมัน+หมาล่า"/>
    <x v="1"/>
    <s v="เส้นมันเกี๊ยวกุ้งจักรพรรดิซุปหมาล่า  ตราซีพี ซีคิวเค MT"/>
    <s v="082SG3Q12003P00001"/>
    <s v="250g*12"/>
    <n v="12"/>
    <n v="3"/>
    <n v="6.1999999999999998E-3"/>
    <s v="SS"/>
    <s v="STPP"/>
    <s v="หมาล่า"/>
    <n v="1000"/>
    <n v="1000"/>
    <m/>
    <n v="0"/>
    <n v="0"/>
    <n v="0"/>
    <n v="1.83E-2"/>
    <n v="0"/>
    <m/>
    <n v="0"/>
    <n v="0"/>
  </r>
  <r>
    <m/>
    <x v="853"/>
    <s v="06-2026"/>
    <x v="2"/>
    <e v="#N/A"/>
    <x v="5"/>
    <s v="ขายภายใน"/>
    <s v="MTFS"/>
    <s v="CPFGS"/>
    <s v="CPFGS"/>
    <s v="E+NDเส้นมัน+หมาล่า"/>
    <x v="1"/>
    <s v="เส้นมันเกี๊ยวกุ้งจักรพรรดิซุปหมาล่า  ตราซีพี ซีคิวเค MT"/>
    <s v="082SG3Q12003P00001"/>
    <s v="250g*12"/>
    <n v="12"/>
    <n v="3"/>
    <n v="6.1999999999999998E-3"/>
    <s v="SS"/>
    <s v="STPP"/>
    <s v="หมาล่า"/>
    <n v="500"/>
    <n v="500"/>
    <m/>
    <n v="0"/>
    <n v="0"/>
    <n v="0"/>
    <n v="1.83E-2"/>
    <n v="0"/>
    <m/>
    <n v="0"/>
    <n v="0"/>
  </r>
  <r>
    <m/>
    <x v="853"/>
    <s v="07-2026"/>
    <x v="2"/>
    <e v="#N/A"/>
    <x v="5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s v="SS"/>
    <s v="STPP"/>
    <s v="หมาล่า"/>
    <n v="405"/>
    <n v="405"/>
    <m/>
    <n v="0"/>
    <n v="0"/>
    <n v="0"/>
    <n v="1.83E-2"/>
    <n v="0"/>
    <m/>
    <n v="0"/>
    <n v="0"/>
  </r>
  <r>
    <s v="R"/>
    <x v="854"/>
    <d v="2026-07-06T00:00:00"/>
    <x v="2"/>
    <e v="#N/A"/>
    <x v="5"/>
    <s v="DRY2600103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26"/>
    <n v="626"/>
    <m/>
    <n v="0"/>
    <n v="0"/>
    <n v="0"/>
    <n v="6"/>
    <n v="0"/>
    <m/>
    <n v="0"/>
    <n v="0"/>
  </r>
  <r>
    <m/>
    <x v="854"/>
    <d v="2026-07-06T00:00:00"/>
    <x v="2"/>
    <e v="#N/A"/>
    <x v="5"/>
    <s v="DRY2600083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n v="0"/>
    <n v="7.4999999999999997E-3"/>
    <n v="0"/>
    <s v="new package (ลบโลโก้ Facebook)"/>
    <n v="0"/>
    <n v="0"/>
  </r>
  <r>
    <m/>
    <x v="854"/>
    <d v="2026-07-20T00:00:00"/>
    <x v="2"/>
    <e v="#N/A"/>
    <x v="5"/>
    <s v="DRY2600133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024.5"/>
    <m/>
    <n v="2024.5"/>
    <n v="0"/>
    <n v="0"/>
    <n v="0"/>
    <n v="7.4999999999999997E-3"/>
    <n v="0"/>
    <s v="new package (ลบโลโก้ Facebook)"/>
    <n v="0"/>
    <n v="0"/>
  </r>
  <r>
    <m/>
    <x v="854"/>
    <d v="2026-07-27T00:00:00"/>
    <x v="2"/>
    <e v="#N/A"/>
    <x v="5"/>
    <s v="DRY2600125"/>
    <s v="UK"/>
    <s v="CPFNW"/>
    <s v="Food Fellas"/>
    <s v="Minced ND+BC+LS"/>
    <x v="1"/>
    <s v="Cooked Minced Wonton Noodles Bok Choy Laksa"/>
    <s v="082SRT208003P00001"/>
    <s v="315g*8"/>
    <n v="8"/>
    <n v="3"/>
    <n v="6.0000000000000001E-3"/>
    <s v="BK"/>
    <s v="Salt"/>
    <s v="Laksa"/>
    <n v="400"/>
    <m/>
    <n v="433.875"/>
    <n v="33.875"/>
    <n v="0"/>
    <n v="0"/>
    <n v="3.8699999999999998E-2"/>
    <n v="0"/>
    <s v="ถ้าว,ฝา สีขาว"/>
    <n v="0"/>
    <n v="0"/>
  </r>
  <r>
    <s v="hold&gt;&gt;recheck Hold"/>
    <x v="854"/>
    <d v="2026-07-27T00:00:00"/>
    <x v="2"/>
    <e v="#N/A"/>
    <x v="5"/>
    <s v="DRY2600125"/>
    <s v="UK"/>
    <s v="CPFNW"/>
    <s v="Food Fellas"/>
    <s v="Wonton +LS"/>
    <x v="1"/>
    <s v="Cooked Wonton Laksa"/>
    <s v="082S8T208005P01001"/>
    <s v="147g*8"/>
    <n v="8"/>
    <n v="5"/>
    <n v="6.8100000000000001E-3"/>
    <s v="M"/>
    <s v="Salt"/>
    <s v="Laksa"/>
    <n v="400"/>
    <m/>
    <n v="467.625"/>
    <n v="67.625"/>
    <n v="0"/>
    <n v="0"/>
    <n v="7.4999999999999997E-3"/>
    <n v="0"/>
    <s v="ถ้าว,ฝา สีขาว"/>
    <n v="0"/>
    <n v="0"/>
  </r>
  <r>
    <s v="hold"/>
    <x v="855"/>
    <d v="2026-07-27T00:00:00"/>
    <x v="2"/>
    <e v="#N/A"/>
    <x v="5"/>
    <s v="DRY2600125"/>
    <s v="UK"/>
    <s v="CPFNW"/>
    <s v="Food Fellas"/>
    <s v="Wonton"/>
    <x v="1"/>
    <s v="Cooked Wonton No Egg _x000a_HC  5 pcs"/>
    <s v="082S85L08005P03001"/>
    <s v="145g*8"/>
    <n v="8"/>
    <n v="5"/>
    <n v="7.4999999999999997E-3"/>
    <s v="HC"/>
    <s v="Salt"/>
    <s v="Regular"/>
    <n v="900"/>
    <m/>
    <n v="946.25"/>
    <n v="46.25"/>
    <n v="0"/>
    <n v="0"/>
    <n v="7.4999999999999997E-3"/>
    <n v="0"/>
    <s v="ถ้าว,ฝา สีขาว"/>
    <m/>
    <m/>
  </r>
  <r>
    <m/>
    <x v="855"/>
    <d v="2026-07-07T00:00:00"/>
    <x v="2"/>
    <e v="#N/A"/>
    <x v="5"/>
    <s v="DRY2600138"/>
    <s v="Malay"/>
    <s v="CPFNW"/>
    <s v="CPM Malaysia"/>
    <s v="Wonton"/>
    <x v="1"/>
    <s v="Cooked Wonton No Egg  "/>
    <s v="082S85I24005P01001"/>
    <s v="145g*24"/>
    <n v="24"/>
    <n v="5"/>
    <n v="8.0000000000000002E-3"/>
    <s v="M"/>
    <s v="STPP"/>
    <s v="Regular"/>
    <n v="800"/>
    <n v="800"/>
    <m/>
    <n v="0"/>
    <n v="0"/>
    <n v="0"/>
    <n v="7.4999999999999997E-3"/>
    <n v="0"/>
    <s v="new package"/>
    <n v="0"/>
    <n v="0"/>
  </r>
  <r>
    <m/>
    <x v="855"/>
    <d v="2026-06-30T00:00:00"/>
    <x v="2"/>
    <e v="#N/A"/>
    <x v="5"/>
    <s v="DRY2600142"/>
    <s v="AUS"/>
    <s v="CPFNW"/>
    <s v="CPF Australia Pty Ltd."/>
    <s v="Wonton ND+V"/>
    <x v="1"/>
    <s v="Cooked Wonton ND No Egg with Pumpkin_x000a_+ Yu Choy "/>
    <s v="082SJ9U08004P00001"/>
    <s v="305g*8"/>
    <n v="8"/>
    <n v="4"/>
    <n v="7.4999999999999997E-3"/>
    <s v="HC"/>
    <s v="Salt"/>
    <s v="Regular"/>
    <n v="800"/>
    <m/>
    <n v="887.5"/>
    <n v="87.5"/>
    <n v="0"/>
    <n v="0"/>
    <n v="7.4999999999999997E-3"/>
    <n v="0"/>
    <m/>
    <n v="0"/>
    <n v="0"/>
  </r>
  <r>
    <m/>
    <x v="855"/>
    <d v="2026-07-30T00:00:00"/>
    <x v="2"/>
    <e v="#N/A"/>
    <x v="5"/>
    <s v="DRY2600161"/>
    <s v="New Zealand"/>
    <s v="CPFNW"/>
    <s v="Lim Brothers Import&amp;Export Co.,Ltd."/>
    <s v="Wonton ND+V"/>
    <x v="1"/>
    <s v="Cooked Wonton ND No Egg with Pumpkin_x000a_+ Yu Choy "/>
    <s v="082SJN708004P00001"/>
    <s v="305g*8"/>
    <n v="8"/>
    <n v="4"/>
    <n v="7.4999999999999997E-3"/>
    <s v="HC"/>
    <s v="Salt"/>
    <s v="Regular"/>
    <n v="956"/>
    <m/>
    <n v="956"/>
    <n v="0"/>
    <n v="0"/>
    <n v="0"/>
    <n v="7.4999999999999997E-3"/>
    <n v="0"/>
    <m/>
    <n v="0"/>
    <n v="0"/>
  </r>
  <r>
    <m/>
    <x v="855"/>
    <d v="2026-06-30T00:00:00"/>
    <x v="2"/>
    <e v="#N/A"/>
    <x v="5"/>
    <s v="DRY2600113"/>
    <s v="Belgium"/>
    <s v="CPFNW"/>
    <s v="CPF EUROPE S.A."/>
    <s v="Wonton ND+V"/>
    <x v="1"/>
    <s v="Cooked Wonton ND No Egg with Pumpkin _x000a_+ Vegetable  HC  3 pcs"/>
    <s v="082SJ3I08003P00001"/>
    <s v="309g*8"/>
    <n v="8"/>
    <n v="3"/>
    <n v="7.4999999999999997E-3"/>
    <s v="HC"/>
    <s v="Salt"/>
    <s v="Regular"/>
    <n v="1200"/>
    <m/>
    <n v="1385.625"/>
    <n v="185.625"/>
    <n v="0"/>
    <n v="0"/>
    <n v="7.4999999999999997E-3"/>
    <n v="0"/>
    <m/>
    <n v="0"/>
    <n v="0"/>
  </r>
  <r>
    <m/>
    <x v="855"/>
    <d v="2026-06-30T00:00:00"/>
    <x v="2"/>
    <e v="#N/A"/>
    <x v="5"/>
    <s v="DRY2600126"/>
    <s v="Germany"/>
    <s v="CPFNW"/>
    <s v=" CPF Distribution (under Paulsen Food)"/>
    <s v="Wonton ND+V"/>
    <x v="1"/>
    <s v="Cooked Wonton ND No Egg with Pumpkin _x000a_+ Vegetable  HC  3 pcs"/>
    <s v="082SJ3N12003P02001"/>
    <s v="309g*12"/>
    <n v="12"/>
    <n v="3"/>
    <n v="6.8100000000000001E-3"/>
    <s v="S"/>
    <s v="Salt"/>
    <s v="Regular"/>
    <n v="2278"/>
    <m/>
    <n v="2298.25"/>
    <n v="20.25"/>
    <n v="0"/>
    <n v="0"/>
    <n v="9.7000000000000003E-3"/>
    <n v="0"/>
    <m/>
    <n v="0"/>
    <n v="0"/>
  </r>
  <r>
    <m/>
    <x v="855"/>
    <d v="2026-06-30T00:00:00"/>
    <x v="2"/>
    <e v="#N/A"/>
    <x v="5"/>
    <s v="DRY2600142"/>
    <s v="AUS"/>
    <s v="CPFNW"/>
    <s v="CPF Australia Pty Ltd."/>
    <s v="Minced ND+V+TK"/>
    <x v="1"/>
    <s v="Cooked Minced  ND No Egg with Pumpkin_x000a_+ Yu Choy Tomkha"/>
    <s v="082SR9U08003P01001"/>
    <s v="302g*8"/>
    <n v="8"/>
    <n v="3"/>
    <n v="6.0000000000000001E-3"/>
    <s v="BK"/>
    <s v="Salt"/>
    <s v="Tomkha+CM"/>
    <n v="250"/>
    <m/>
    <n v="306.375"/>
    <n v="56.375"/>
    <n v="0"/>
    <n v="0"/>
    <n v="5.8823E-2"/>
    <n v="0"/>
    <m/>
    <n v="0"/>
    <n v="0"/>
  </r>
  <r>
    <m/>
    <x v="855"/>
    <d v="2026-07-30T00:00:00"/>
    <x v="2"/>
    <e v="#N/A"/>
    <x v="5"/>
    <s v="DRY2600161"/>
    <s v="New Zealand"/>
    <s v="CPFNW"/>
    <s v="Lim Brothers Import&amp;Export Co.,Ltd."/>
    <s v="Minced ND+V+TK"/>
    <x v="1"/>
    <s v="Cooked Minced  ND No Egg with Pumpkin_x000a_+ Yu Choy Tomkha"/>
    <s v="082SRN708003P01001"/>
    <s v="302g*8"/>
    <n v="8"/>
    <n v="3"/>
    <n v="6.0000000000000001E-3"/>
    <s v="BK"/>
    <s v="Salt"/>
    <s v="Tomkha+CM"/>
    <n v="420"/>
    <m/>
    <n v="420"/>
    <n v="0"/>
    <n v="0"/>
    <n v="0"/>
    <n v="5.8823E-2"/>
    <n v="0"/>
    <m/>
    <n v="0"/>
    <n v="0"/>
  </r>
  <r>
    <m/>
    <x v="855"/>
    <d v="2026-07-07T00:00:00"/>
    <x v="2"/>
    <e v="#N/A"/>
    <x v="5"/>
    <s v="DRY2600127"/>
    <s v="Denmark"/>
    <s v="CPFNW"/>
    <s v="CPF DENMARK"/>
    <s v="Minced ND+V+TK"/>
    <x v="1"/>
    <s v="Cooked Minced Wonton 3 pcs Noodle (Pumpkin)_x000a_with &quot;Tomka&quot;+Yu Choy"/>
    <s v="082SRKW12003P01001"/>
    <s v="240g*12ถ้วย"/>
    <n v="12"/>
    <n v="3"/>
    <n v="6.1999999999999998E-3"/>
    <s v="BK"/>
    <s v="Salt"/>
    <s v="Tomkha+CM"/>
    <n v="2660"/>
    <m/>
    <n v="2660"/>
    <n v="0"/>
    <n v="0"/>
    <n v="0"/>
    <n v="5.8823E-2"/>
    <n v="0"/>
    <s v="ถ้าว,ฝา สีขาว New Package"/>
    <n v="0"/>
    <n v="0"/>
  </r>
  <r>
    <m/>
    <x v="856"/>
    <m/>
    <x v="2"/>
    <e v="#N/A"/>
    <x v="5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857"/>
    <d v="2026-07-06T00:00:00"/>
    <x v="2"/>
    <e v="#N/A"/>
    <x v="5"/>
    <s v="DRY2600103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220"/>
    <n v="220"/>
    <m/>
    <n v="0"/>
    <n v="0"/>
    <n v="0"/>
    <n v="6"/>
    <n v="0"/>
    <m/>
    <n v="0"/>
    <n v="0"/>
  </r>
  <r>
    <s v="R"/>
    <x v="857"/>
    <d v="2026-07-13T00:00:00"/>
    <x v="2"/>
    <e v="#N/A"/>
    <x v="5"/>
    <s v="DRY2600143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404"/>
    <n v="404"/>
    <m/>
    <n v="0"/>
    <n v="0"/>
    <n v="0"/>
    <n v="6"/>
    <n v="0"/>
    <m/>
    <n v="0"/>
    <n v="0"/>
  </r>
  <r>
    <s v="hold"/>
    <x v="857"/>
    <d v="2026-07-06T00:00:00"/>
    <x v="2"/>
    <e v="#N/A"/>
    <x v="5"/>
    <s v="DRY2600015"/>
    <s v="Netherlands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m/>
    <x v="857"/>
    <d v="2026-07-07T00:00:00"/>
    <x v="2"/>
    <e v="#N/A"/>
    <x v="5"/>
    <s v="DRY2600138"/>
    <s v="Malay"/>
    <s v="CPFNW"/>
    <s v="CPM Malaysia"/>
    <s v="Wonton+TY"/>
    <x v="1"/>
    <s v="Cooked Wonton No Egg  Tomyum"/>
    <s v="082S85I24005P02001"/>
    <s v="115g*24"/>
    <n v="24"/>
    <n v="5"/>
    <n v="8.0000000000000002E-3"/>
    <s v="M"/>
    <s v="STPP"/>
    <s v="TYTB3C 30G"/>
    <n v="950"/>
    <n v="950"/>
    <m/>
    <n v="0"/>
    <n v="0"/>
    <n v="0"/>
    <n v="1"/>
    <n v="0"/>
    <m/>
    <n v="0"/>
    <n v="0"/>
  </r>
  <r>
    <s v="R"/>
    <x v="858"/>
    <d v="2026-07-13T00:00:00"/>
    <x v="2"/>
    <e v="#N/A"/>
    <x v="5"/>
    <s v="DRY2600143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32"/>
    <n v="632"/>
    <m/>
    <n v="0"/>
    <n v="0"/>
    <n v="0"/>
    <n v="6"/>
    <n v="0"/>
    <m/>
    <n v="0"/>
    <n v="0"/>
  </r>
  <r>
    <s v="hold"/>
    <x v="858"/>
    <d v="2026-07-27T00:00:00"/>
    <x v="2"/>
    <e v="#N/A"/>
    <x v="5"/>
    <s v="DRY2600016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2"/>
    <n v="6"/>
    <n v="0"/>
    <n v="0"/>
    <n v="0"/>
    <n v="7.4999999999999997E-3"/>
    <n v="0"/>
    <s v="ถ้าว,ฝา สีขาว/Halal/ New Design"/>
    <n v="0"/>
    <n v="0"/>
  </r>
  <r>
    <m/>
    <x v="858"/>
    <d v="2026-07-22T00:00:00"/>
    <x v="2"/>
    <e v="#N/A"/>
    <x v="5"/>
    <s v="DRY2600141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4200"/>
    <m/>
    <n v="4200"/>
    <n v="0"/>
    <n v="0"/>
    <n v="0"/>
    <n v="7.4999999999999997E-3"/>
    <n v="0"/>
    <s v="ใช้คำว่า “Best if Used By” แทนคำว่า Best by Date"/>
    <n v="0"/>
    <n v="0"/>
  </r>
  <r>
    <m/>
    <x v="858"/>
    <d v="2026-07-08T00:00:00"/>
    <x v="2"/>
    <e v="#N/A"/>
    <x v="5"/>
    <s v="DRY2600165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400"/>
    <m/>
    <n v="400"/>
    <n v="0"/>
    <n v="0"/>
    <n v="0"/>
    <n v="7.4999999999999997E-3"/>
    <n v="0"/>
    <s v="ใช้คำว่า “Best if Used By” แทนคำว่า Best by Date"/>
    <n v="0"/>
    <n v="0"/>
  </r>
  <r>
    <m/>
    <x v="858"/>
    <d v="2026-08-04T00:00:00"/>
    <x v="2"/>
    <e v="#N/A"/>
    <x v="5"/>
    <s v="DRY2600166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300"/>
    <m/>
    <n v="438.75"/>
    <n v="138.75"/>
    <n v="0"/>
    <n v="0"/>
    <n v="7.4999999999999997E-3"/>
    <n v="0"/>
    <s v="ใช้คำว่า “Best if Used By” แทนคำว่า Best by Date"/>
    <n v="0"/>
    <n v="0"/>
  </r>
  <r>
    <s v="R"/>
    <x v="859"/>
    <d v="2026-07-13T00:00:00"/>
    <x v="2"/>
    <e v="#N/A"/>
    <x v="5"/>
    <s v="DRY2600143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38"/>
    <n v="638"/>
    <m/>
    <n v="0"/>
    <n v="0"/>
    <n v="0"/>
    <n v="6"/>
    <n v="0"/>
    <m/>
    <n v="0"/>
    <n v="0"/>
  </r>
  <r>
    <s v="กรมประมง Audit 24-25"/>
    <x v="859"/>
    <d v="2026-07-23T00:00:00"/>
    <x v="2"/>
    <e v="#N/A"/>
    <x v="5"/>
    <s v="DRY2600122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s v="กรมประมง Audit 24-25"/>
    <x v="859"/>
    <d v="2026-07-30T00:00:00"/>
    <x v="2"/>
    <e v="#N/A"/>
    <x v="5"/>
    <s v="DRY2600123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s v="กรมประมง Audit 24-25"/>
    <x v="859"/>
    <d v="2026-07-07T00:00:00"/>
    <x v="2"/>
    <e v="#N/A"/>
    <x v="5"/>
    <s v="DRY2600112"/>
    <s v="SG"/>
    <s v="CPFNW"/>
    <s v="CP FOODS SINGAPORE PTE. LTD"/>
    <s v="Wonton ND+V"/>
    <x v="1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250"/>
    <n v="250"/>
    <m/>
    <n v="0"/>
    <n v="0"/>
    <n v="0"/>
    <n v="1"/>
    <n v="0"/>
    <m/>
    <n v="0"/>
    <n v="0"/>
  </r>
  <r>
    <s v="R"/>
    <x v="860"/>
    <d v="2026-07-13T00:00:00"/>
    <x v="2"/>
    <e v="#N/A"/>
    <x v="5"/>
    <s v="DRY2600143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382"/>
    <n v="382"/>
    <m/>
    <n v="0"/>
    <n v="0"/>
    <n v="0"/>
    <n v="6"/>
    <n v="0"/>
    <m/>
    <n v="0"/>
    <n v="0"/>
  </r>
  <r>
    <m/>
    <x v="860"/>
    <d v="2026-07-01T00:00:00"/>
    <x v="2"/>
    <e v="#N/A"/>
    <x v="5"/>
    <s v="ขายภายใน"/>
    <s v="5 Stars"/>
    <s v="5 Stars"/>
    <s v="CPFRF"/>
    <s v="EP+Wonton"/>
    <x v="1"/>
    <s v="Cooked Wonton with egg "/>
    <s v="082S81N16020P00001"/>
    <s v="20 pcs*16"/>
    <n v="64"/>
    <n v="5"/>
    <n v="7.0000000000000001E-3"/>
    <s v="S"/>
    <s v="STPP"/>
    <m/>
    <n v="92"/>
    <n v="92"/>
    <m/>
    <n v="0"/>
    <n v="0"/>
    <n v="0"/>
    <m/>
    <m/>
    <m/>
    <m/>
    <m/>
  </r>
  <r>
    <s v="กรมประมง Audit 24-25"/>
    <x v="860"/>
    <s v="06-2026"/>
    <x v="2"/>
    <e v="#N/A"/>
    <x v="5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1185"/>
    <n v="1185"/>
    <m/>
    <n v="0"/>
    <n v="0"/>
    <n v="0"/>
    <n v="7.4999999999999997E-3"/>
    <n v="0"/>
    <m/>
    <n v="0"/>
    <n v="0"/>
  </r>
  <r>
    <s v="กรมประมง Audit 24-25"/>
    <x v="860"/>
    <s v="07-2026"/>
    <x v="2"/>
    <e v="#N/A"/>
    <x v="5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3106"/>
    <n v="3106"/>
    <m/>
    <n v="0"/>
    <n v="0"/>
    <n v="0"/>
    <n v="7.4999999999999997E-3"/>
    <n v="0"/>
    <m/>
    <n v="0"/>
    <n v="0"/>
  </r>
  <r>
    <s v="ชมรมกอล์ฟ ซีพี"/>
    <x v="861"/>
    <s v="07-2026"/>
    <x v="2"/>
    <e v="#N/A"/>
    <x v="5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0"/>
    <s v="145g*12"/>
    <n v="12"/>
    <n v="5"/>
    <n v="8.0000000000000002E-3"/>
    <s v="M"/>
    <s v="STPP"/>
    <s v="Regular"/>
    <n v="12"/>
    <n v="12"/>
    <m/>
    <n v="0"/>
    <n v="0"/>
    <n v="0"/>
    <n v="7.4999999999999997E-3"/>
    <n v="0"/>
    <m/>
    <n v="0"/>
    <n v="0"/>
  </r>
  <r>
    <m/>
    <x v="861"/>
    <s v="07-2026"/>
    <x v="2"/>
    <e v="#N/A"/>
    <x v="5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1"/>
    <s v="145g*12"/>
    <n v="12"/>
    <n v="5"/>
    <n v="8.0000000000000002E-3"/>
    <s v="M"/>
    <s v="STPP"/>
    <s v="Regular"/>
    <n v="2500"/>
    <n v="2500"/>
    <m/>
    <n v="0"/>
    <n v="0"/>
    <n v="0"/>
    <n v="7.4999999999999997E-3"/>
    <n v="0"/>
    <m/>
    <n v="0"/>
    <n v="0"/>
  </r>
  <r>
    <m/>
    <x v="861"/>
    <s v="07-2026"/>
    <x v="2"/>
    <e v="#N/A"/>
    <x v="5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1631"/>
    <n v="1631"/>
    <m/>
    <n v="0"/>
    <n v="0"/>
    <n v="0"/>
    <n v="7.4999999999999997E-3"/>
    <n v="0"/>
    <m/>
    <n v="0"/>
    <n v="0"/>
  </r>
  <r>
    <m/>
    <x v="861"/>
    <s v="07-2026"/>
    <x v="2"/>
    <e v="#N/A"/>
    <x v="5"/>
    <s v="ขายภายใน"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1000"/>
    <n v="1000"/>
    <m/>
    <n v="0"/>
    <n v="0"/>
    <n v="0"/>
    <n v="1"/>
    <n v="0"/>
    <s v="package เก่า"/>
    <n v="0"/>
    <n v="0"/>
  </r>
  <r>
    <m/>
    <x v="861"/>
    <s v="07-2026"/>
    <x v="2"/>
    <e v="#N/A"/>
    <x v="5"/>
    <s v="ขายภายใน"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1000"/>
    <n v="1000"/>
    <m/>
    <n v="0"/>
    <n v="0"/>
    <n v="0"/>
    <n v="1"/>
    <n v="0"/>
    <s v="package เก่า"/>
    <n v="0"/>
    <n v="0"/>
  </r>
  <r>
    <m/>
    <x v="861"/>
    <s v="07-2026"/>
    <x v="2"/>
    <e v="#N/A"/>
    <x v="5"/>
    <s v="ขายภายใน"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444"/>
    <n v="444"/>
    <m/>
    <n v="0"/>
    <n v="0"/>
    <n v="0"/>
    <n v="1"/>
    <n v="0"/>
    <s v="package เก่า"/>
    <n v="0"/>
    <n v="0"/>
  </r>
  <r>
    <m/>
    <x v="862"/>
    <d v="2026-07-09T00:00:00"/>
    <x v="2"/>
    <e v="#N/A"/>
    <x v="5"/>
    <s v="DRY2600157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n v="766"/>
    <n v="26.777777777777779"/>
    <n v="0.77777777777782831"/>
    <n v="0"/>
    <n v="0"/>
    <n v="9.7000000000000003E-3"/>
    <n v="0"/>
    <m/>
    <n v="0"/>
    <n v="0"/>
  </r>
  <r>
    <m/>
    <x v="862"/>
    <d v="2026-07-09T00:00:00"/>
    <x v="2"/>
    <e v="#N/A"/>
    <x v="5"/>
    <s v="DRY2600158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862"/>
    <d v="2026-07-09T00:00:00"/>
    <x v="2"/>
    <e v="#N/A"/>
    <x v="5"/>
    <s v="DRY2600159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862"/>
    <d v="2026-07-09T00:00:00"/>
    <x v="2"/>
    <e v="#N/A"/>
    <x v="5"/>
    <s v="DRY2600160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287"/>
    <n v="287"/>
    <m/>
    <n v="0"/>
    <n v="0"/>
    <n v="0"/>
    <n v="9.7000000000000003E-3"/>
    <n v="0"/>
    <m/>
    <n v="0"/>
    <n v="0"/>
  </r>
  <r>
    <m/>
    <x v="863"/>
    <m/>
    <x v="2"/>
    <e v="#N/A"/>
    <x v="5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864"/>
    <d v="2026-08-03T00:00:00"/>
    <x v="2"/>
    <e v="#N/A"/>
    <x v="5"/>
    <s v="DRY2600105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1261"/>
    <n v="1220"/>
    <n v="41"/>
    <n v="0"/>
    <n v="0"/>
    <n v="0"/>
    <n v="6"/>
    <n v="0"/>
    <m/>
    <n v="0"/>
    <n v="0"/>
  </r>
  <r>
    <s v="R"/>
    <x v="865"/>
    <d v="2026-07-08T00:00:00"/>
    <x v="2"/>
    <e v="#N/A"/>
    <x v="5"/>
    <s v="DRY2600165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  <m/>
    <n v="0"/>
    <n v="0"/>
  </r>
  <r>
    <s v="R"/>
    <x v="865"/>
    <d v="2026-08-04T00:00:00"/>
    <x v="2"/>
    <e v="#N/A"/>
    <x v="5"/>
    <s v="DRY2600166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  <m/>
    <n v="0"/>
    <n v="0"/>
  </r>
  <r>
    <s v="R"/>
    <x v="865"/>
    <d v="2026-08-03T00:00:00"/>
    <x v="2"/>
    <e v="#N/A"/>
    <x v="5"/>
    <s v="DRY2600105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795"/>
    <n v="795"/>
    <m/>
    <n v="0"/>
    <n v="0"/>
    <n v="0"/>
    <n v="6"/>
    <n v="0"/>
    <m/>
    <n v="0"/>
    <n v="0"/>
  </r>
  <r>
    <m/>
    <x v="866"/>
    <d v="2026-07-08T00:00:00"/>
    <x v="2"/>
    <e v="#N/A"/>
    <x v="6"/>
    <s v="DRY2600165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945"/>
    <n v="945"/>
    <m/>
    <n v="0"/>
    <n v="0"/>
    <n v="0"/>
    <n v="7.4999999999999997E-3"/>
    <n v="0"/>
    <s v="New Package"/>
    <n v="0"/>
    <n v="0"/>
  </r>
  <r>
    <m/>
    <x v="866"/>
    <d v="2026-08-04T00:00:00"/>
    <x v="2"/>
    <e v="#N/A"/>
    <x v="6"/>
    <s v="DRY2600166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1000"/>
    <n v="952"/>
    <n v="57.25"/>
    <n v="9.25"/>
    <n v="0"/>
    <n v="0"/>
    <n v="7.4999999999999997E-3"/>
    <n v="0"/>
    <s v="New Package"/>
    <n v="0"/>
    <n v="0"/>
  </r>
  <r>
    <m/>
    <x v="866"/>
    <d v="2026-07-20T00:00:00"/>
    <x v="2"/>
    <e v="#N/A"/>
    <x v="6"/>
    <s v="DRY2600133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575.5"/>
    <m/>
    <n v="575.5"/>
    <n v="0"/>
    <n v="0"/>
    <n v="0"/>
    <n v="7.4999999999999997E-3"/>
    <n v="0"/>
    <s v="new package (ลบโลโก้ Facebook)"/>
    <n v="0"/>
    <n v="0"/>
  </r>
  <r>
    <m/>
    <x v="866"/>
    <d v="2026-07-07T00:00:00"/>
    <x v="2"/>
    <e v="#N/A"/>
    <x v="6"/>
    <s v="DRY2600046"/>
    <s v="SG"/>
    <s v="CPFNW"/>
    <s v="CP FOODS SINGAPORE PTE. LTD"/>
    <s v="Wonton"/>
    <x v="1"/>
    <s v="Cooked Wonton No Egg"/>
    <s v="082S83B24005P07001"/>
    <s v="145g*24"/>
    <n v="24"/>
    <n v="5"/>
    <n v="8.0000000000000002E-3"/>
    <s v="M"/>
    <s v="STPP"/>
    <s v="Regular"/>
    <n v="250"/>
    <n v="248"/>
    <n v="2.125"/>
    <n v="0.125"/>
    <n v="0"/>
    <n v="0"/>
    <n v="1"/>
    <n v="0"/>
    <m/>
    <n v="0"/>
    <n v="0"/>
  </r>
  <r>
    <s v="ชดเชยของกัก"/>
    <x v="866"/>
    <d v="2026-07-27T00:00:00"/>
    <x v="2"/>
    <e v="#N/A"/>
    <x v="6"/>
    <s v="DRY2600125"/>
    <s v="UK"/>
    <s v="CPFNW"/>
    <s v="Food Fellas"/>
    <s v="Wonton +LS"/>
    <x v="1"/>
    <s v="Cooked Wonton Laksa"/>
    <s v="082S8T208005P01001"/>
    <s v="147g*8"/>
    <n v="8"/>
    <n v="5"/>
    <n v="6.8100000000000001E-3"/>
    <s v="M"/>
    <s v="Salt"/>
    <s v="Laksa"/>
    <n v="400"/>
    <m/>
    <n v="406.625"/>
    <n v="6.625"/>
    <n v="0"/>
    <n v="0"/>
    <n v="7.4999999999999997E-3"/>
    <n v="0"/>
    <s v="ถ้าว,ฝา สีขาว"/>
    <n v="0"/>
    <n v="0"/>
  </r>
  <r>
    <s v="R"/>
    <x v="867"/>
    <d v="2026-08-07T00:00:00"/>
    <x v="2"/>
    <e v="#N/A"/>
    <x v="6"/>
    <s v="DRY2600111"/>
    <s v="SG"/>
    <s v="CPFNW"/>
    <s v="CP FOODS SINGAPORE PTE. LTD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1200"/>
    <n v="664"/>
    <n v="536"/>
    <n v="0"/>
    <n v="0"/>
    <n v="0"/>
    <n v="2"/>
    <n v="0"/>
    <s v="ห่อแบบสุก"/>
    <n v="0"/>
    <n v="0"/>
  </r>
  <r>
    <m/>
    <x v="867"/>
    <d v="2026-07-09T00:00:00"/>
    <x v="2"/>
    <e v="#N/A"/>
    <x v="6"/>
    <s v="DRY2600160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505"/>
    <n v="396"/>
    <n v="109"/>
    <n v="0"/>
    <n v="0"/>
    <n v="0"/>
    <n v="9.7000000000000003E-3"/>
    <n v="0"/>
    <m/>
    <n v="0"/>
    <n v="0"/>
  </r>
  <r>
    <m/>
    <x v="867"/>
    <d v="2026-08-13T00:00:00"/>
    <x v="2"/>
    <e v="#N/A"/>
    <x v="6"/>
    <s v="DRY2600172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n v="0"/>
    <n v="7.4999999999999997E-3"/>
    <n v="0"/>
    <m/>
    <n v="0"/>
    <n v="0"/>
  </r>
  <r>
    <m/>
    <x v="867"/>
    <d v="2026-07-14T00:00:00"/>
    <x v="2"/>
    <e v="#N/A"/>
    <x v="6"/>
    <s v="DRY2600128"/>
    <s v="Denmark"/>
    <s v="CPFNW"/>
    <s v="CPF DENMARK"/>
    <s v="Minced ND+V+TY"/>
    <x v="1"/>
    <s v="Cooked Minced Wonton 3 pcs Noodle (Pumpkin)_x000a_with &quot;Tomyum&quot;+Yu Choy"/>
    <s v="082SRKW12003P00001"/>
    <s v="240g*12ถ้วย"/>
    <n v="12"/>
    <n v="3"/>
    <n v="6.1999999999999998E-3"/>
    <s v="BK"/>
    <s v="Salt"/>
    <s v="TYANSSG+CM"/>
    <n v="2660"/>
    <m/>
    <n v="2660"/>
    <n v="0"/>
    <n v="0"/>
    <n v="0"/>
    <n v="3.85E-2"/>
    <n v="0"/>
    <s v="ถ้าว,ฝา สีขาว New Package"/>
    <n v="0"/>
    <n v="0"/>
  </r>
  <r>
    <m/>
    <x v="868"/>
    <s v="07-2026"/>
    <x v="2"/>
    <e v="#N/A"/>
    <x v="6"/>
    <s v="ขายภายใน"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5182"/>
    <n v="5182"/>
    <m/>
    <n v="0"/>
    <n v="0"/>
    <n v="0"/>
    <n v="7.4999999999999997E-3"/>
    <n v="0"/>
    <m/>
    <n v="0"/>
    <n v="0"/>
  </r>
  <r>
    <m/>
    <x v="869"/>
    <s v="07-2026"/>
    <x v="2"/>
    <e v="#N/A"/>
    <x v="6"/>
    <s v="ขายภายใน"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3612"/>
    <n v="3612"/>
    <m/>
    <n v="0"/>
    <n v="0"/>
    <n v="0"/>
    <n v="7.4999999999999997E-3"/>
    <n v="0"/>
    <m/>
    <n v="0"/>
    <n v="0"/>
  </r>
  <r>
    <m/>
    <x v="869"/>
    <s v="07-2026"/>
    <x v="2"/>
    <e v="#N/A"/>
    <x v="6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s v="SS"/>
    <s v="STPP"/>
    <s v="หมาล่า"/>
    <n v="1995"/>
    <n v="1995"/>
    <m/>
    <n v="0"/>
    <n v="0"/>
    <n v="0"/>
    <n v="1.83E-2"/>
    <n v="0"/>
    <m/>
    <n v="0"/>
    <n v="0"/>
  </r>
  <r>
    <m/>
    <x v="870"/>
    <m/>
    <x v="2"/>
    <e v="#N/A"/>
    <x v="6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871"/>
    <d v="2026-08-07T00:00:00"/>
    <x v="2"/>
    <e v="#N/A"/>
    <x v="6"/>
    <s v="DRY2600111"/>
    <s v="SG"/>
    <s v="CPFNW"/>
    <s v="CP FOODS SINGAPORE PTE. LTD"/>
    <s v="R-Minced egg past"/>
    <x v="2"/>
    <s v="Raw Minced Wonton 8 pcs"/>
    <s v="082ID3B18008P00001"/>
    <s v="90g*18in"/>
    <n v="18"/>
    <n v="8"/>
    <n v="6.0000000000000001E-3"/>
    <s v="BK"/>
    <s v="STPP"/>
    <s v="ซุปซอง 5g."/>
    <n v="500"/>
    <n v="76"/>
    <n v="424"/>
    <n v="0"/>
    <n v="0"/>
    <n v="0"/>
    <n v="2"/>
    <n v="0"/>
    <s v="new package"/>
    <n v="0"/>
    <n v="0"/>
  </r>
  <r>
    <s v="R"/>
    <x v="871"/>
    <d v="2026-08-10T00:00:00"/>
    <x v="2"/>
    <e v="#N/A"/>
    <x v="6"/>
    <s v="DRY2600144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903"/>
    <n v="872"/>
    <n v="31"/>
    <n v="0"/>
    <n v="0"/>
    <n v="0"/>
    <n v="6"/>
    <n v="0"/>
    <m/>
    <n v="0"/>
    <n v="0"/>
  </r>
  <r>
    <s v="R"/>
    <x v="871"/>
    <d v="2026-08-07T00:00:00"/>
    <x v="2"/>
    <e v="#N/A"/>
    <x v="6"/>
    <s v="DRY2600111"/>
    <s v="SG"/>
    <s v="CPFNW"/>
    <s v="CP FOODS SINGAPORE PTE. LTD"/>
    <s v="R-Wonton egg past"/>
    <x v="2"/>
    <s v="Raw Wonton 8 pcs"/>
    <s v="082I93B20008P00001"/>
    <s v="194g*20in"/>
    <n v="20"/>
    <n v="8"/>
    <n v="1.4999999999999999E-2"/>
    <s v="JB"/>
    <s v="STPP"/>
    <s v="ซุปซอง 5g."/>
    <n v="250"/>
    <n v="250"/>
    <m/>
    <n v="0"/>
    <n v="0"/>
    <n v="0"/>
    <n v="2"/>
    <n v="0"/>
    <s v="ห่อแบบดิบ"/>
    <n v="0"/>
    <n v="0"/>
  </r>
  <r>
    <s v="R"/>
    <x v="872"/>
    <d v="2026-08-10T00:00:00"/>
    <x v="2"/>
    <e v="#N/A"/>
    <x v="6"/>
    <s v="DRY2600144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1153"/>
    <n v="1153"/>
    <m/>
    <n v="0"/>
    <n v="0"/>
    <n v="0"/>
    <n v="6"/>
    <n v="0"/>
    <m/>
    <n v="0"/>
    <n v="0"/>
  </r>
  <r>
    <s v="ชดเชยของกัก"/>
    <x v="873"/>
    <d v="2026-07-09T00:00:00"/>
    <x v="2"/>
    <e v="#N/A"/>
    <x v="6"/>
    <s v="DRY2600160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172.38888888888889"/>
    <m/>
    <n v="172.38888888888889"/>
    <n v="0"/>
    <n v="0"/>
    <n v="0"/>
    <n v="9.7000000000000003E-3"/>
    <n v="0"/>
    <m/>
    <n v="0"/>
    <n v="0"/>
  </r>
  <r>
    <m/>
    <x v="873"/>
    <d v="2026-08-04T00:00:00"/>
    <x v="2"/>
    <e v="#N/A"/>
    <x v="6"/>
    <s v="DRY2600139"/>
    <s v="UK"/>
    <s v="CPFNW"/>
    <s v="Westbridge Foods Limited (One UK)"/>
    <s v="Minced ND+Kee Mao"/>
    <x v="1"/>
    <s v="Cooked Minced Wonton Thai Spicy Noodles (Drunken Noodles)"/>
    <s v="082SRKW06003P00001"/>
    <s v="300g*6"/>
    <n v="6"/>
    <n v="3"/>
    <n v="6.1999999999999998E-3"/>
    <s v="BK"/>
    <s v="Salt"/>
    <s v="Kee Mao"/>
    <n v="2975"/>
    <m/>
    <n v="2975.8333333333335"/>
    <n v="0.83333333333348492"/>
    <n v="0"/>
    <n v="0"/>
    <n v="6.5000000000000002E-2"/>
    <n v="0"/>
    <m/>
    <n v="0"/>
    <n v="0"/>
  </r>
  <r>
    <m/>
    <x v="873"/>
    <s v="07-2026"/>
    <x v="2"/>
    <e v="#N/A"/>
    <x v="6"/>
    <s v="ขายภายใน"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2665"/>
    <n v="2665"/>
    <m/>
    <n v="0"/>
    <n v="0"/>
    <n v="0"/>
    <n v="7.4999999999999997E-3"/>
    <n v="0"/>
    <m/>
    <n v="0"/>
    <n v="0"/>
  </r>
  <r>
    <m/>
    <x v="874"/>
    <d v="2026-08-04T00:00:00"/>
    <x v="2"/>
    <e v="#N/A"/>
    <x v="6"/>
    <s v="DRY2600139"/>
    <s v="UK"/>
    <s v="CPFNW"/>
    <s v="Westbridge Foods Limited (One UK)"/>
    <s v="Minced ND+Kee Mao"/>
    <x v="1"/>
    <s v="Cooked Minced Wonton Thai Spicy Noodles (Drunken Noodles)"/>
    <s v="082SRKW06003P00001"/>
    <s v="300g*6"/>
    <n v="6"/>
    <n v="3"/>
    <n v="6.1999999999999998E-3"/>
    <s v="BK"/>
    <s v="Salt"/>
    <s v="Kee Mao"/>
    <n v="2695"/>
    <m/>
    <n v="2695.8333333333335"/>
    <n v="0.83333333333348492"/>
    <n v="0"/>
    <n v="0"/>
    <n v="6.5000000000000002E-2"/>
    <n v="0"/>
    <m/>
    <n v="0"/>
    <n v="0"/>
  </r>
  <r>
    <m/>
    <x v="874"/>
    <s v="07-2026"/>
    <x v="2"/>
    <e v="#N/A"/>
    <x v="6"/>
    <s v="ขายภายใน"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2530"/>
    <n v="2530"/>
    <m/>
    <n v="0"/>
    <n v="0"/>
    <n v="0"/>
    <n v="7.4999999999999997E-3"/>
    <n v="0"/>
    <m/>
    <n v="0"/>
    <n v="0"/>
  </r>
  <r>
    <m/>
    <x v="875"/>
    <d v="2026-08-04T00:00:00"/>
    <x v="2"/>
    <e v="#N/A"/>
    <x v="6"/>
    <s v="DRY2600139"/>
    <s v="UK"/>
    <s v="CPFNW"/>
    <s v="Westbridge Foods Limited (One UK)"/>
    <s v="Minced ND+Kee Mao"/>
    <x v="1"/>
    <s v="Cooked Minced Wonton Thai Spicy Noodles (Drunken Noodles)"/>
    <s v="082SRKW06003P00001"/>
    <s v="300g*6"/>
    <n v="6"/>
    <n v="3"/>
    <n v="6.1999999999999998E-3"/>
    <s v="BK"/>
    <s v="Salt"/>
    <s v="Kee Mao"/>
    <n v="2330"/>
    <m/>
    <n v="2330"/>
    <n v="0"/>
    <n v="0"/>
    <n v="0"/>
    <n v="6.5000000000000002E-2"/>
    <n v="0"/>
    <m/>
    <n v="0"/>
    <n v="0"/>
  </r>
  <r>
    <m/>
    <x v="875"/>
    <s v="07-2026"/>
    <x v="2"/>
    <e v="#N/A"/>
    <x v="6"/>
    <s v="ขายภายใน"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1296"/>
    <n v="1296"/>
    <m/>
    <n v="0"/>
    <n v="0"/>
    <n v="0"/>
    <n v="7.4999999999999997E-3"/>
    <n v="0"/>
    <m/>
    <n v="0"/>
    <n v="0"/>
  </r>
  <r>
    <m/>
    <x v="876"/>
    <d v="2026-07-24T00:00:00"/>
    <x v="2"/>
    <e v="#N/A"/>
    <x v="6"/>
    <s v="DRY2600155"/>
    <s v="UK"/>
    <s v="CPFNW"/>
    <s v="Westbridge Foods Limited (One UK)"/>
    <s v="Minced ND+BC"/>
    <x v="1"/>
    <s v="Cooked Minced Wonton Noodle  (Low Sodium)+Bok Choy"/>
    <s v="082SRWE12005PA0001"/>
    <s v="258g*12"/>
    <n v="12"/>
    <n v="5"/>
    <n v="6.0000000000000001E-3"/>
    <s v="BK"/>
    <s v="Salt"/>
    <s v="Regular"/>
    <n v="2600"/>
    <m/>
    <n v="2873.4166666666665"/>
    <n v="273.41666666666652"/>
    <n v="0"/>
    <n v="0"/>
    <n v="7.4999999999999997E-3"/>
    <n v="0"/>
    <s v="ถ้าว,ฝา สีขาว New Package"/>
    <n v="0"/>
    <n v="0"/>
  </r>
  <r>
    <m/>
    <x v="876"/>
    <d v="2026-07-23T00:00:00"/>
    <x v="2"/>
    <e v="#N/A"/>
    <x v="6"/>
    <s v="DRY2600184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876"/>
    <d v="2026-07-30T00:00:00"/>
    <x v="2"/>
    <e v="#N/A"/>
    <x v="6"/>
    <s v="DRY2600185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m/>
    <n v="0"/>
    <n v="0"/>
  </r>
  <r>
    <m/>
    <x v="876"/>
    <d v="2026-08-20T00:00:00"/>
    <x v="2"/>
    <e v="#N/A"/>
    <x v="6"/>
    <s v="DRY2600186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129"/>
    <n v="129"/>
    <m/>
    <n v="0"/>
    <n v="0"/>
    <n v="0"/>
    <n v="9.7000000000000003E-3"/>
    <n v="0"/>
    <m/>
    <n v="0"/>
    <n v="0"/>
  </r>
  <r>
    <m/>
    <x v="877"/>
    <m/>
    <x v="2"/>
    <e v="#N/A"/>
    <x v="6"/>
    <m/>
    <m/>
    <m/>
    <m/>
    <m/>
    <x v="0"/>
    <m/>
    <m/>
    <m/>
    <m/>
    <m/>
    <m/>
    <m/>
    <m/>
    <m/>
    <m/>
    <m/>
    <m/>
    <m/>
    <m/>
    <n v="0"/>
    <m/>
    <m/>
    <m/>
    <m/>
    <m/>
  </r>
  <r>
    <s v="ชดเชยของกัก"/>
    <x v="878"/>
    <d v="2026-07-21T00:00:00"/>
    <x v="2"/>
    <e v="#N/A"/>
    <x v="6"/>
    <s v="DRY2600015"/>
    <s v="Netherlands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s v="ชดเชยของกัก"/>
    <x v="878"/>
    <d v="2026-07-27T00:00:00"/>
    <x v="2"/>
    <e v="#N/A"/>
    <x v="6"/>
    <s v="DRY2600016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s v="ชดเชยของกัก"/>
    <x v="878"/>
    <d v="2026-07-27T00:00:00"/>
    <x v="2"/>
    <e v="#N/A"/>
    <x v="6"/>
    <s v="DRY2600125"/>
    <s v="UK"/>
    <s v="CPFNW"/>
    <s v="Food Fellas"/>
    <s v="Wonton"/>
    <x v="1"/>
    <s v="Cooked Wonton No Egg _x000a_HC  5 pcs"/>
    <s v="082S85L08005P03001"/>
    <s v="145g*8"/>
    <n v="8"/>
    <n v="5"/>
    <n v="7.4999999999999997E-3"/>
    <s v="HC"/>
    <s v="Salt"/>
    <s v="Regular"/>
    <n v="900"/>
    <m/>
    <n v="916.25"/>
    <n v="16.25"/>
    <n v="0"/>
    <n v="0"/>
    <n v="7.4999999999999997E-3"/>
    <n v="0"/>
    <s v="ถ้าว,ฝา สีขาว"/>
    <m/>
    <m/>
  </r>
  <r>
    <m/>
    <x v="878"/>
    <d v="2026-08-04T00:00:00"/>
    <x v="2"/>
    <e v="#N/A"/>
    <x v="6"/>
    <s v="DRY2600163"/>
    <s v="Malay"/>
    <s v="CPFNW"/>
    <s v="CPM Malaysia"/>
    <s v="Wonton"/>
    <x v="1"/>
    <s v="Cooked Wonton No Egg  "/>
    <s v="082S85I24005P01001"/>
    <s v="145g*24"/>
    <n v="24"/>
    <n v="5"/>
    <n v="8.0000000000000002E-3"/>
    <s v="M"/>
    <s v="STPP"/>
    <s v="Regular"/>
    <n v="1050"/>
    <n v="1047"/>
    <n v="3"/>
    <n v="0"/>
    <n v="0"/>
    <n v="0"/>
    <n v="7.4999999999999997E-3"/>
    <n v="0"/>
    <s v="new package"/>
    <n v="0"/>
    <n v="0"/>
  </r>
  <r>
    <m/>
    <x v="879"/>
    <d v="2026-08-06T00:00:00"/>
    <x v="2"/>
    <e v="#N/A"/>
    <x v="6"/>
    <s v="DRY2600115"/>
    <s v="AUS"/>
    <s v="CPFNW"/>
    <s v="CPF Australia Pty Ltd.(Woolworth)"/>
    <s v="Wonton ND+V"/>
    <x v="1"/>
    <s v="Cooked Wonton ND No Egg with Pumpkin_x000a_+ Yu Choy "/>
    <s v="082SJ9U05004P00001"/>
    <s v="305g*5"/>
    <n v="5"/>
    <n v="4"/>
    <n v="7.4999999999999997E-3"/>
    <s v="HC"/>
    <s v="Salt"/>
    <s v="Regular"/>
    <n v="5076"/>
    <m/>
    <n v="5076"/>
    <n v="0"/>
    <n v="0"/>
    <n v="0"/>
    <n v="7.4999999999999997E-3"/>
    <n v="0"/>
    <s v="ถ้าว,ฝา สีขาว"/>
    <n v="0"/>
    <n v="0"/>
  </r>
  <r>
    <m/>
    <x v="879"/>
    <d v="2026-08-20T00:00:00"/>
    <x v="2"/>
    <e v="#N/A"/>
    <x v="6"/>
    <s v="DRY2600183"/>
    <s v="New Zealand"/>
    <s v="CPFNW"/>
    <s v="Lim Brothers Import&amp;Export Co.,Ltd."/>
    <s v="Wonton ND+V"/>
    <x v="1"/>
    <s v="Cooked Wonton ND No Egg with Pumpkin_x000a_+ Yu Choy "/>
    <s v="082SJN708004P00001"/>
    <s v="305g*8"/>
    <n v="8"/>
    <n v="4"/>
    <n v="7.4999999999999997E-3"/>
    <s v="HC"/>
    <s v="Salt"/>
    <s v="Regular"/>
    <n v="796"/>
    <m/>
    <n v="848.875"/>
    <n v="52.875"/>
    <n v="0"/>
    <n v="0"/>
    <n v="7.4999999999999997E-3"/>
    <n v="0"/>
    <m/>
    <n v="0"/>
    <n v="0"/>
  </r>
  <r>
    <m/>
    <x v="879"/>
    <d v="2026-08-06T00:00:00"/>
    <x v="2"/>
    <e v="#N/A"/>
    <x v="6"/>
    <s v="DRY2600129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879"/>
    <d v="2026-08-13T00:00:00"/>
    <x v="2"/>
    <e v="#N/A"/>
    <x v="6"/>
    <s v="DRY2600130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480"/>
    <n v="480"/>
    <m/>
    <n v="0"/>
    <n v="0"/>
    <n v="0"/>
    <n v="7.4999999999999997E-3"/>
    <n v="0"/>
    <m/>
    <n v="0"/>
    <n v="0"/>
  </r>
  <r>
    <m/>
    <x v="879"/>
    <s v="06-2026"/>
    <x v="2"/>
    <e v="#N/A"/>
    <x v="6"/>
    <s v="ขายภายใน"/>
    <s v="MTFS"/>
    <s v="CPFGS"/>
    <s v="ซีพีเอฟ เทรดดิ้ง"/>
    <s v="Wonton ND"/>
    <x v="1"/>
    <s v="บะหมี่เกี๊ยวกุ้งซุปสุกี้ CPxMK 227g MT"/>
    <s v="082SJ3Q12003P0A001"/>
    <s v="227g*12"/>
    <n v="12"/>
    <n v="3"/>
    <n v="8.0000000000000002E-3"/>
    <s v="SS"/>
    <s v="STPP"/>
    <s v="MK"/>
    <n v="68"/>
    <n v="68"/>
    <m/>
    <n v="0"/>
    <n v="0"/>
    <n v="0"/>
    <n v="0.05"/>
    <n v="0"/>
    <s v="เปลี่ยนใช้ผักกวางตุ้งแบบแช่แข็ง"/>
    <n v="0"/>
    <n v="0"/>
  </r>
  <r>
    <m/>
    <x v="879"/>
    <s v="07-2026"/>
    <x v="2"/>
    <e v="#N/A"/>
    <x v="6"/>
    <s v="ขายภายใน"/>
    <s v="MTFS"/>
    <s v="CPFGS"/>
    <s v="ซีพีเอฟ เทรดดิ้ง"/>
    <s v="Wonton ND"/>
    <x v="1"/>
    <s v="บะหมี่เกี๊ยวกุ้งซุปสุกี้ CPxMK 227g MT"/>
    <s v="082SJ3Q12003P0A001"/>
    <s v="227g*12"/>
    <n v="12"/>
    <n v="3"/>
    <n v="8.0000000000000002E-3"/>
    <s v="SS"/>
    <s v="STPP"/>
    <s v="MK"/>
    <n v="2500"/>
    <n v="2505"/>
    <m/>
    <n v="5"/>
    <n v="0"/>
    <n v="0"/>
    <n v="0.05"/>
    <n v="0"/>
    <s v="เปลี่ยนใช้ผักกวางตุ้งแบบแช่แข็ง"/>
    <n v="0"/>
    <n v="0"/>
  </r>
  <r>
    <m/>
    <x v="880"/>
    <s v="07-2026"/>
    <x v="2"/>
    <e v="#N/A"/>
    <x v="6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263"/>
    <n v="263"/>
    <m/>
    <n v="0"/>
    <n v="0"/>
    <n v="0"/>
    <n v="7.4999999999999997E-3"/>
    <n v="0"/>
    <s v="ทำให้หมด Package เก่า"/>
    <n v="0"/>
    <n v="0"/>
  </r>
  <r>
    <m/>
    <x v="880"/>
    <s v="08-2026"/>
    <x v="2"/>
    <e v="#N/A"/>
    <x v="6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4438"/>
    <n v="4438"/>
    <m/>
    <n v="0"/>
    <n v="0"/>
    <n v="0"/>
    <n v="7.4999999999999997E-3"/>
    <n v="0"/>
    <s v="ทำให้หมด Package เก่า"/>
    <n v="0"/>
    <n v="0"/>
  </r>
  <r>
    <s v="CP Laos"/>
    <x v="881"/>
    <d v="2026-08-03T00:00:00"/>
    <x v="2"/>
    <e v="#N/A"/>
    <x v="6"/>
    <s v="LA012/2569"/>
    <s v="Laos"/>
    <s v="Laos"/>
    <s v="บริษัท ปิก้าเทรดดิ้ง จำกัด"/>
    <s v="E+Wonton"/>
    <x v="1"/>
    <s v="เกี๊ยวกุ้งจักรพรรดิ 12x145g."/>
    <s v="082S8L212005P00001"/>
    <s v="145g*12"/>
    <n v="12"/>
    <n v="5"/>
    <n v="8.0000000000000002E-3"/>
    <s v="M"/>
    <s v="STPP"/>
    <s v="Regular"/>
    <n v="200"/>
    <n v="200"/>
    <m/>
    <n v="0"/>
    <n v="0"/>
    <n v="0"/>
    <n v="7.4999999999999997E-3"/>
    <n v="0"/>
    <s v="ทำให้หมด Package เก่า"/>
    <n v="0"/>
    <n v="0"/>
  </r>
  <r>
    <m/>
    <x v="881"/>
    <s v="08-2026"/>
    <x v="2"/>
    <e v="#N/A"/>
    <x v="6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1"/>
    <s v="145g*12"/>
    <n v="12"/>
    <n v="5"/>
    <n v="8.0000000000000002E-3"/>
    <s v="M"/>
    <s v="STPP"/>
    <s v="Regular"/>
    <n v="1473"/>
    <n v="1473"/>
    <m/>
    <n v="0"/>
    <n v="0"/>
    <n v="0"/>
    <n v="7.4999999999999997E-3"/>
    <n v="0"/>
    <s v="ทำให้หมด Package เก่า"/>
    <n v="0"/>
    <n v="0"/>
  </r>
  <r>
    <m/>
    <x v="881"/>
    <s v="08-2026"/>
    <x v="2"/>
    <e v="#N/A"/>
    <x v="6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1181"/>
    <n v="1181"/>
    <m/>
    <n v="0"/>
    <n v="0"/>
    <n v="0"/>
    <n v="7.4999999999999997E-3"/>
    <n v="0"/>
    <s v="ทำให้หมด Package เก่า"/>
    <n v="0"/>
    <n v="0"/>
  </r>
  <r>
    <m/>
    <x v="881"/>
    <s v="07-2026"/>
    <x v="2"/>
    <e v="#N/A"/>
    <x v="6"/>
    <s v="ขายภายใน"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3359"/>
    <n v="3359"/>
    <m/>
    <n v="0"/>
    <n v="0"/>
    <n v="0"/>
    <n v="7.4999999999999997E-3"/>
    <n v="0"/>
    <m/>
    <n v="0"/>
    <n v="0"/>
  </r>
  <r>
    <m/>
    <x v="882"/>
    <d v="2026-08-17T00:00:00"/>
    <x v="2"/>
    <e v="#N/A"/>
    <x v="6"/>
    <s v="DRY2600167"/>
    <s v="Korea"/>
    <s v="CPFNW"/>
    <s v="Consumer Package Commerce"/>
    <s v="Minced ND"/>
    <x v="1"/>
    <s v="Cooked Minced Wonton Noodle"/>
    <s v="082SR3U12004P00001"/>
    <s v="231g*12"/>
    <n v="12"/>
    <n v="4"/>
    <n v="6.0000000000000001E-3"/>
    <s v="BK"/>
    <s v="Salt"/>
    <s v="Regular"/>
    <n v="2500"/>
    <n v="2500"/>
    <n v="31.916666666666668"/>
    <n v="31.916666666666515"/>
    <n v="0"/>
    <n v="0"/>
    <n v="7.4999999999999997E-3"/>
    <n v="0"/>
    <m/>
    <n v="0"/>
    <n v="0"/>
  </r>
  <r>
    <m/>
    <x v="882"/>
    <d v="2026-08-04T00:00:00"/>
    <x v="2"/>
    <e v="#N/A"/>
    <x v="6"/>
    <s v="DRY2600169"/>
    <s v="Denmark"/>
    <s v="CPFNW"/>
    <s v="CPF DENMARK"/>
    <s v="Minced ND+TK"/>
    <x v="1"/>
    <s v="Cooked Minced Wonton 1 pcs Noodle (Pumpkin)_x000a_with &quot;Tomka&quot;"/>
    <s v="082SRKW12001P01001"/>
    <s v="130g*12ถ้วย"/>
    <n v="12"/>
    <n v="1"/>
    <n v="6.1999999999999998E-3"/>
    <s v="BK"/>
    <s v="Salt"/>
    <s v="Tomkha+CM"/>
    <n v="4352"/>
    <n v="4025"/>
    <n v="331.08333333333331"/>
    <n v="4.0833333333330302"/>
    <n v="0"/>
    <n v="0"/>
    <n v="5.8823E-2"/>
    <n v="0"/>
    <s v="ถ้าว,ฝา สีขาว New Package"/>
    <n v="0"/>
    <n v="0"/>
  </r>
  <r>
    <m/>
    <x v="882"/>
    <d v="2026-08-11T00:00:00"/>
    <x v="2"/>
    <e v="#N/A"/>
    <x v="6"/>
    <s v="DRY2600179"/>
    <s v="Denmark"/>
    <s v="CPFNW"/>
    <s v="CPF DENMARK"/>
    <s v="Minced ND+V+TK"/>
    <x v="1"/>
    <s v="Cooked Minced Wonton 3 pcs Noodle (Pumpkin)_x000a_with &quot;Tomka&quot;+Yu Choy"/>
    <s v="082SRKW12003P01001"/>
    <s v="240g*12ถ้วย"/>
    <n v="12"/>
    <n v="3"/>
    <n v="6.1999999999999998E-3"/>
    <s v="BK"/>
    <s v="Salt"/>
    <s v="Tomkha+CM"/>
    <n v="2660"/>
    <m/>
    <n v="2684.6666666666665"/>
    <n v="24.666666666666515"/>
    <n v="0"/>
    <n v="0"/>
    <n v="5.8823E-2"/>
    <n v="0"/>
    <s v="ถ้าว,ฝา สีขาว New Package"/>
    <n v="0"/>
    <n v="0"/>
  </r>
  <r>
    <m/>
    <x v="882"/>
    <d v="2026-08-20T00:00:00"/>
    <x v="2"/>
    <e v="#N/A"/>
    <x v="6"/>
    <s v="DRY2600183"/>
    <s v="New Zealand"/>
    <s v="CPFNW"/>
    <s v="Lim Brothers Import&amp;Export Co.,Ltd."/>
    <s v="Minced ND+V+TK"/>
    <x v="1"/>
    <s v="Cooked Minced  ND No Egg with Pumpkin_x000a_+ Yu Choy Tomkha"/>
    <s v="082SRN708003P01001"/>
    <s v="302g*8"/>
    <n v="8"/>
    <n v="3"/>
    <n v="6.0000000000000001E-3"/>
    <s v="BK"/>
    <s v="Salt"/>
    <s v="Tomkha+CM"/>
    <n v="500"/>
    <m/>
    <n v="500"/>
    <n v="0"/>
    <n v="0"/>
    <n v="0"/>
    <n v="5.8823E-2"/>
    <n v="0"/>
    <m/>
    <n v="0"/>
    <n v="0"/>
  </r>
  <r>
    <m/>
    <x v="883"/>
    <d v="2026-08-04T00:00:00"/>
    <x v="2"/>
    <e v="#N/A"/>
    <x v="6"/>
    <s v="DRY2600163"/>
    <s v="Malay"/>
    <s v="CPFNW"/>
    <s v="CPM Malaysia"/>
    <s v="Wonton+TY"/>
    <x v="1"/>
    <s v="Cooked Wonton No Egg  Tomyum"/>
    <s v="082S85I24005P02001"/>
    <s v="115g*24"/>
    <n v="24"/>
    <n v="5"/>
    <n v="8.0000000000000002E-3"/>
    <s v="M"/>
    <s v="STPP"/>
    <s v="TYTB3C 30G"/>
    <n v="1050"/>
    <n v="1050"/>
    <m/>
    <n v="0"/>
    <n v="0"/>
    <n v="0"/>
    <n v="1"/>
    <n v="0"/>
    <s v="new package"/>
    <n v="0"/>
    <n v="0"/>
  </r>
  <r>
    <m/>
    <x v="883"/>
    <d v="2026-08-07T00:00:00"/>
    <x v="2"/>
    <e v="#N/A"/>
    <x v="6"/>
    <s v="DRY2600112"/>
    <s v="SG"/>
    <s v="CPFNW"/>
    <s v="CP FOODS SINGAPORE PTE. LTD"/>
    <s v="Wonton +TY"/>
    <x v="1"/>
    <s v="Cooked Wonton No Egg"/>
    <s v="082S83B24005P06001"/>
    <s v="115g*24"/>
    <n v="24"/>
    <n v="5"/>
    <n v="8.0000000000000002E-3"/>
    <s v="M"/>
    <s v="STPP"/>
    <s v="TYTB3C 30G"/>
    <n v="250"/>
    <n v="250"/>
    <m/>
    <n v="0"/>
    <n v="0"/>
    <n v="0"/>
    <n v="1"/>
    <n v="0"/>
    <m/>
    <n v="0"/>
    <n v="0"/>
  </r>
  <r>
    <m/>
    <x v="883"/>
    <d v="2026-08-13T00:00:00"/>
    <x v="2"/>
    <e v="#N/A"/>
    <x v="6"/>
    <s v="DRY2600130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312"/>
    <n v="312"/>
    <m/>
    <n v="0"/>
    <n v="0"/>
    <n v="0"/>
    <n v="7.4999999999999997E-3"/>
    <n v="0"/>
    <m/>
    <n v="0"/>
    <n v="0"/>
  </r>
  <r>
    <m/>
    <x v="883"/>
    <d v="2026-08-04T00:00:00"/>
    <x v="2"/>
    <e v="#N/A"/>
    <x v="6"/>
    <s v="DRY2600170"/>
    <s v="Denmark"/>
    <s v="CPFNW"/>
    <s v="CPF DENMARK"/>
    <s v="Minced ND+V+TY"/>
    <x v="1"/>
    <s v="Cooked Minced  ND No Egg with Pumpkin_x000a_+ Yu Choy Tomyum"/>
    <s v="082SRRE12003P00001"/>
    <s v="302g*12"/>
    <n v="12"/>
    <n v="3"/>
    <n v="6.0000000000000001E-3"/>
    <s v="BK"/>
    <s v="Salt"/>
    <s v="TYEXSG+CO"/>
    <n v="2520"/>
    <n v="2372"/>
    <n v="148"/>
    <n v="0"/>
    <n v="0"/>
    <n v="0"/>
    <n v="3.8699999999999998E-2"/>
    <n v="0"/>
    <s v="ASC"/>
    <n v="0"/>
    <n v="0"/>
  </r>
  <r>
    <m/>
    <x v="884"/>
    <m/>
    <x v="2"/>
    <e v="#N/A"/>
    <x v="6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885"/>
    <d v="2026-08-11T00:00:00"/>
    <x v="2"/>
    <e v="#N/A"/>
    <x v="6"/>
    <s v="DRY2600017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m/>
    <x v="885"/>
    <s v="08-2026"/>
    <x v="2"/>
    <e v="#N/A"/>
    <x v="6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1881"/>
    <n v="1881"/>
    <m/>
    <n v="0"/>
    <n v="0"/>
    <n v="0"/>
    <n v="7.4999999999999997E-3"/>
    <n v="0"/>
    <s v="Add Potassium"/>
    <n v="0"/>
    <n v="0"/>
  </r>
  <r>
    <m/>
    <x v="885"/>
    <s v="09-2026"/>
    <x v="2"/>
    <e v="#N/A"/>
    <x v="6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33"/>
    <n v="33"/>
    <m/>
    <n v="0"/>
    <n v="0"/>
    <n v="0"/>
    <n v="7.4999999999999997E-3"/>
    <n v="0"/>
    <s v="Add Potassium"/>
    <n v="0"/>
    <n v="0"/>
  </r>
  <r>
    <s v="ชมรมกอล์ฟ ซีพี"/>
    <x v="885"/>
    <s v="08-2026"/>
    <x v="2"/>
    <e v="#N/A"/>
    <x v="6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0"/>
    <s v="145g*12"/>
    <n v="12"/>
    <n v="5"/>
    <n v="8.0000000000000002E-3"/>
    <s v="M"/>
    <s v="STPP"/>
    <s v="Regular"/>
    <n v="12"/>
    <n v="12"/>
    <m/>
    <n v="0"/>
    <n v="0"/>
    <n v="0"/>
    <n v="7.4999999999999997E-3"/>
    <n v="0"/>
    <s v="Add Potassium"/>
    <n v="0"/>
    <n v="0"/>
  </r>
  <r>
    <m/>
    <x v="885"/>
    <s v="08-2026"/>
    <x v="2"/>
    <e v="#N/A"/>
    <x v="6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1"/>
    <s v="145g*12"/>
    <n v="12"/>
    <n v="5"/>
    <n v="8.0000000000000002E-3"/>
    <s v="M"/>
    <s v="STPP"/>
    <s v="Regular"/>
    <n v="1027"/>
    <n v="1027"/>
    <m/>
    <n v="0"/>
    <n v="0"/>
    <n v="0"/>
    <n v="7.4999999999999997E-3"/>
    <n v="0"/>
    <s v="Add Potassium"/>
    <n v="0"/>
    <n v="0"/>
  </r>
  <r>
    <m/>
    <x v="885"/>
    <s v="08-2026"/>
    <x v="2"/>
    <e v="#N/A"/>
    <x v="6"/>
    <s v="ขายภายใน"/>
    <s v="MTFS"/>
    <s v="CPFGS"/>
    <s v="ซีพีเอฟ เทรดดิ้ง"/>
    <s v="E+Wonton TY"/>
    <x v="1"/>
    <s v="เกี๊ยวกุ้งจักรพรรดิซุปต้มยำ LV CP 143g"/>
    <s v="082S83Q12005P09001"/>
    <s v="143g*12"/>
    <n v="12"/>
    <n v="5"/>
    <n v="8.0000000000000002E-3"/>
    <s v="SS"/>
    <s v="STPP"/>
    <s v="TYNSF"/>
    <n v="300"/>
    <n v="300"/>
    <m/>
    <n v="0"/>
    <n v="0"/>
    <n v="0"/>
    <n v="8.9999999999999993E-3"/>
    <n v="0"/>
    <m/>
    <n v="0"/>
    <n v="0"/>
  </r>
  <r>
    <m/>
    <x v="885"/>
    <s v="08-2026"/>
    <x v="2"/>
    <e v="#N/A"/>
    <x v="6"/>
    <s v="ขายภายใน"/>
    <s v="MTFS"/>
    <s v="CPFGS"/>
    <s v="ซีพีเอฟ เทรดดิ้ง"/>
    <s v="E+Wonton TY"/>
    <x v="1"/>
    <s v="เกี๊ยวกุ้งจักรพรรดิซุปต้มยำ LV CP 143g"/>
    <s v="082S83Q12005P09001"/>
    <s v="143g*12"/>
    <n v="12"/>
    <n v="5"/>
    <n v="8.0000000000000002E-3"/>
    <s v="SS"/>
    <s v="STPP"/>
    <s v="TYNSF"/>
    <n v="309"/>
    <n v="309"/>
    <m/>
    <n v="0"/>
    <n v="0"/>
    <n v="0"/>
    <n v="8.9999999999999993E-3"/>
    <n v="0"/>
    <m/>
    <n v="0"/>
    <n v="0"/>
  </r>
  <r>
    <m/>
    <x v="886"/>
    <s v="07-2026"/>
    <x v="2"/>
    <e v="#N/A"/>
    <x v="6"/>
    <s v="ขายภายใน"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556"/>
    <n v="556"/>
    <m/>
    <n v="0"/>
    <n v="0"/>
    <n v="0"/>
    <n v="1"/>
    <n v="0"/>
    <s v="ทำให้หมด Package เก่า"/>
    <n v="0"/>
    <n v="0"/>
  </r>
  <r>
    <m/>
    <x v="886"/>
    <s v="08-2026"/>
    <x v="2"/>
    <e v="#N/A"/>
    <x v="6"/>
    <s v="ขายภายใน"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800"/>
    <n v="810"/>
    <n v="11.166666666666666"/>
    <n v="21.166666666666629"/>
    <n v="0"/>
    <n v="0"/>
    <n v="1"/>
    <n v="0"/>
    <s v="ทำให้หมด Package เก่า"/>
    <n v="0"/>
    <n v="0"/>
  </r>
  <r>
    <m/>
    <x v="886"/>
    <s v="07-2026"/>
    <x v="2"/>
    <e v="#N/A"/>
    <x v="6"/>
    <s v="ขายภายใน"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1356"/>
    <n v="1356"/>
    <m/>
    <n v="0"/>
    <n v="0"/>
    <n v="0"/>
    <n v="7.4999999999999997E-3"/>
    <n v="0"/>
    <m/>
    <n v="0"/>
    <n v="0"/>
  </r>
  <r>
    <m/>
    <x v="886"/>
    <s v="08-2026"/>
    <x v="2"/>
    <e v="#N/A"/>
    <x v="6"/>
    <s v="ขายภายใน"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3089"/>
    <n v="3089"/>
    <m/>
    <n v="0"/>
    <n v="0"/>
    <n v="0"/>
    <n v="7.4999999999999997E-3"/>
    <n v="0"/>
    <m/>
    <n v="0"/>
    <n v="0"/>
  </r>
  <r>
    <m/>
    <x v="887"/>
    <s v="08-2026"/>
    <x v="2"/>
    <e v="#N/A"/>
    <x v="6"/>
    <s v="ขายภายใน"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3602"/>
    <n v="3602"/>
    <m/>
    <n v="0"/>
    <n v="0"/>
    <n v="0"/>
    <n v="7.4999999999999997E-3"/>
    <n v="0"/>
    <m/>
    <n v="0"/>
    <n v="0"/>
  </r>
  <r>
    <m/>
    <x v="887"/>
    <s v="07-2026"/>
    <x v="2"/>
    <e v="#N/A"/>
    <x v="6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s v="SS"/>
    <s v="STPP"/>
    <s v="หมาล่า"/>
    <n v="127"/>
    <n v="127"/>
    <m/>
    <n v="0"/>
    <n v="0"/>
    <n v="0"/>
    <n v="1.83E-2"/>
    <n v="0"/>
    <m/>
    <n v="0"/>
    <n v="0"/>
  </r>
  <r>
    <m/>
    <x v="887"/>
    <s v="09-2026"/>
    <x v="2"/>
    <e v="#N/A"/>
    <x v="6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s v="SS"/>
    <s v="STPP"/>
    <s v="หมาล่า"/>
    <n v="1200"/>
    <n v="1089"/>
    <n v="111"/>
    <n v="0"/>
    <n v="0"/>
    <n v="0"/>
    <n v="1.83E-2"/>
    <n v="0"/>
    <m/>
    <n v="0"/>
    <n v="0"/>
  </r>
  <r>
    <s v="ชดเชยของกัก"/>
    <x v="888"/>
    <d v="2026-07-24T00:00:00"/>
    <x v="2"/>
    <e v="#N/A"/>
    <x v="6"/>
    <s v="DRY2600155"/>
    <s v="UK"/>
    <s v="CPFNW"/>
    <s v="Westbridge Foods Limited (One UK)"/>
    <s v="Minced ND+BC"/>
    <x v="1"/>
    <s v="Cooked Minced Wonton Noodle  (Low Sodium)+Bok Choy"/>
    <s v="082SRWE12005PA0001"/>
    <s v="258g*12"/>
    <n v="12"/>
    <n v="5"/>
    <n v="6.0000000000000001E-3"/>
    <s v="BK"/>
    <s v="Salt"/>
    <s v="Regular"/>
    <n v="2600"/>
    <m/>
    <n v="2786.0833333333335"/>
    <n v="186.08333333333348"/>
    <n v="0"/>
    <n v="0"/>
    <n v="7.4999999999999997E-3"/>
    <n v="0"/>
    <s v="ถ้าว,ฝา สีขาว New Package"/>
    <n v="0"/>
    <n v="0"/>
  </r>
  <r>
    <m/>
    <x v="888"/>
    <d v="2026-08-04T00:00:00"/>
    <x v="2"/>
    <e v="#N/A"/>
    <x v="6"/>
    <s v="DRY2600168"/>
    <s v="Denmark"/>
    <s v="CPFNW"/>
    <s v="CPF DENMARK"/>
    <s v="Minced ND+TY"/>
    <x v="1"/>
    <s v="Cooked Minced Wonton 1 pcs Noodle (Pumpkin)_x000a_with &quot;Tomyum&quot;"/>
    <s v="082SRKW12001P00001"/>
    <s v="130g*12ถ้วย"/>
    <n v="12"/>
    <n v="1"/>
    <n v="6.1999999999999998E-3"/>
    <s v="BK"/>
    <s v="Salt"/>
    <s v="TYANSSG+CM"/>
    <n v="4352"/>
    <n v="4316"/>
    <n v="40.333333333333336"/>
    <n v="4.3333333333330302"/>
    <n v="0"/>
    <n v="0"/>
    <n v="3.85E-2"/>
    <n v="0"/>
    <s v="ถ้าว,ฝา สีขาว New Package"/>
    <n v="0"/>
    <n v="0"/>
  </r>
  <r>
    <m/>
    <x v="888"/>
    <d v="2026-08-11T00:00:00"/>
    <x v="2"/>
    <e v="#N/A"/>
    <x v="6"/>
    <s v="DRY2600178"/>
    <s v="Denmark"/>
    <s v="CPFNW"/>
    <s v="CPF DENMARK"/>
    <s v="Minced ND+V+TY"/>
    <x v="1"/>
    <s v="Cooked Minced Wonton 3 pcs Noodle (Pumpkin)_x000a_with &quot;Tomyum&quot;+Yu Choy"/>
    <s v="082SRKW12003P00001"/>
    <s v="240g*12ถ้วย"/>
    <n v="12"/>
    <n v="3"/>
    <n v="6.1999999999999998E-3"/>
    <s v="BK"/>
    <s v="Salt"/>
    <s v="TYANSSG+CM"/>
    <n v="2660"/>
    <m/>
    <n v="2712.25"/>
    <n v="52.25"/>
    <n v="0"/>
    <n v="0"/>
    <n v="3.85E-2"/>
    <n v="0"/>
    <s v="ถ้าว,ฝา สีขาว New Package"/>
    <n v="0"/>
    <n v="0"/>
  </r>
  <r>
    <s v="R"/>
    <x v="889"/>
    <d v="2026-08-05T00:00:00"/>
    <x v="2"/>
    <e v="#N/A"/>
    <x v="6"/>
    <s v="KL2600012"/>
    <s v="China"/>
    <s v="China"/>
    <s v="CP Global Supply Chain (Guangdong) Co., Ltd."/>
    <s v="R-Wonton no egg"/>
    <x v="2"/>
    <s v="Raw Wonton 50 pcs"/>
    <s v="082I9CO08050P00001"/>
    <s v="630g*8in"/>
    <n v="8"/>
    <n v="50"/>
    <n v="6.8100000000000001E-3"/>
    <s v="S"/>
    <s v="STPP"/>
    <s v="ซุปซอง 5g."/>
    <n v="924"/>
    <n v="924"/>
    <n v="21.75"/>
    <n v="21.75"/>
    <n v="0"/>
    <n v="0"/>
    <n v="6"/>
    <n v="0"/>
    <m/>
    <n v="0"/>
    <n v="0"/>
  </r>
  <r>
    <m/>
    <x v="889"/>
    <s v="08-2026"/>
    <x v="2"/>
    <e v="#N/A"/>
    <x v="6"/>
    <s v="ขายภายใน"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2600"/>
    <n v="2600"/>
    <m/>
    <n v="0"/>
    <n v="0"/>
    <n v="0"/>
    <n v="7.4999999999999997E-3"/>
    <n v="0"/>
    <m/>
    <n v="0"/>
    <n v="0"/>
  </r>
  <r>
    <m/>
    <x v="890"/>
    <d v="2026-08-18T00:00:00"/>
    <x v="2"/>
    <e v="#N/A"/>
    <x v="6"/>
    <s v="DRY2600116"/>
    <s v="AUS"/>
    <s v="CPFNW"/>
    <s v="CPF Australia Pty Ltd.(Woolworth)"/>
    <s v="Wonton ND+V"/>
    <x v="1"/>
    <s v="Cooked Wonton ND No Egg with Pumpkin_x000a_+ Yu Choy "/>
    <s v="082SJ9U05004P00001"/>
    <s v="305g*5"/>
    <n v="5"/>
    <n v="4"/>
    <n v="7.4999999999999997E-3"/>
    <s v="HC"/>
    <s v="Salt"/>
    <s v="Regular"/>
    <n v="5076"/>
    <m/>
    <n v="5076"/>
    <n v="0"/>
    <n v="0"/>
    <n v="0"/>
    <n v="7.4999999999999997E-3"/>
    <n v="0"/>
    <s v="ถ้าว,ฝา สีขาว"/>
    <n v="0"/>
    <n v="0"/>
  </r>
  <r>
    <m/>
    <x v="890"/>
    <d v="2026-08-24T00:00:00"/>
    <x v="2"/>
    <e v="#N/A"/>
    <x v="6"/>
    <s v="DRY2600162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890"/>
    <d v="2026-08-31T00:00:00"/>
    <x v="2"/>
    <e v="#N/A"/>
    <x v="6"/>
    <s v="DRY2600164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890"/>
    <d v="2026-09-09T00:00:00"/>
    <x v="2"/>
    <e v="#N/A"/>
    <x v="6"/>
    <s v="DRY2600173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87"/>
    <n v="5"/>
    <n v="0"/>
    <n v="0"/>
    <n v="0"/>
    <n v="7.4999999999999997E-3"/>
    <n v="0"/>
    <m/>
    <n v="0"/>
    <n v="0"/>
  </r>
  <r>
    <m/>
    <x v="891"/>
    <m/>
    <x v="2"/>
    <e v="#N/A"/>
    <x v="6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892"/>
    <m/>
    <x v="2"/>
    <e v="#N/A"/>
    <x v="6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893"/>
    <m/>
    <x v="2"/>
    <e v="#N/A"/>
    <x v="6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894"/>
    <m/>
    <x v="2"/>
    <e v="#N/A"/>
    <x v="6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895"/>
    <m/>
    <x v="2"/>
    <e v="#N/A"/>
    <x v="6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896"/>
    <m/>
    <x v="2"/>
    <e v="#N/A"/>
    <x v="6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897"/>
    <m/>
    <x v="2"/>
    <e v="#N/A"/>
    <x v="7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898"/>
    <m/>
    <x v="2"/>
    <e v="#N/A"/>
    <x v="7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899"/>
    <m/>
    <x v="2"/>
    <e v="#N/A"/>
    <x v="7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900"/>
    <m/>
    <x v="2"/>
    <e v="#N/A"/>
    <x v="7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901"/>
    <d v="2026-08-31T00:00:00"/>
    <x v="2"/>
    <e v="#N/A"/>
    <x v="7"/>
    <s v="DRY2600136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1342"/>
    <n v="791"/>
    <n v="551.33333333333337"/>
    <n v="0.33333333333348492"/>
    <n v="0"/>
    <n v="0"/>
    <n v="1"/>
    <n v="0"/>
    <m/>
    <n v="0"/>
    <n v="0"/>
  </r>
  <r>
    <m/>
    <x v="901"/>
    <d v="2026-09-01T00:00:00"/>
    <x v="2"/>
    <e v="#N/A"/>
    <x v="7"/>
    <s v="DRY2600019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n v="0"/>
    <n v="7.4999999999999997E-3"/>
    <n v="0"/>
    <s v="ถ้าว,ฝา สีขาว/Halal/ New Design"/>
    <n v="0"/>
    <n v="0"/>
  </r>
  <r>
    <m/>
    <x v="901"/>
    <d v="2026-09-07T00:00:00"/>
    <x v="2"/>
    <e v="#N/A"/>
    <x v="7"/>
    <s v="DRY2600140"/>
    <s v="SG"/>
    <s v="CPFNW"/>
    <s v="CP FOODS SINGAPORE PTE. LTD"/>
    <s v="Wonton +TY"/>
    <x v="1"/>
    <s v="Cooked Wonton No Egg"/>
    <s v="082S83B24005P06001"/>
    <s v="115g*24"/>
    <n v="24"/>
    <n v="5"/>
    <n v="8.0000000000000002E-3"/>
    <s v="M"/>
    <s v="STPP"/>
    <s v="TYTB3C 30G"/>
    <n v="200"/>
    <n v="200"/>
    <m/>
    <n v="0"/>
    <n v="0"/>
    <n v="0"/>
    <n v="1"/>
    <n v="0"/>
    <m/>
    <n v="0"/>
    <n v="0"/>
  </r>
  <r>
    <s v="R"/>
    <x v="902"/>
    <d v="2026-08-31T00:00:00"/>
    <x v="2"/>
    <e v="#N/A"/>
    <x v="7"/>
    <s v="DRY2600136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558"/>
    <n v="194"/>
    <n v="364"/>
    <n v="0"/>
    <n v="0"/>
    <n v="0"/>
    <n v="1"/>
    <n v="0"/>
    <m/>
    <n v="0"/>
    <n v="0"/>
  </r>
  <r>
    <s v="R"/>
    <x v="902"/>
    <d v="2026-09-01T00:00:00"/>
    <x v="2"/>
    <e v="#N/A"/>
    <x v="7"/>
    <s v="DRY2600187"/>
    <s v="Malay"/>
    <s v="CPFNW"/>
    <s v="CPM Malaysia"/>
    <s v="R-Wonton egg past"/>
    <x v="2"/>
    <s v="Raw Wonton 8 pcs (Tomyam 30g.)"/>
    <s v="082I95I18008P00001"/>
    <s v="126g*18in"/>
    <n v="18"/>
    <n v="8"/>
    <n v="6.8100000000000001E-3"/>
    <s v="S"/>
    <s v="STPP"/>
    <s v="TYTB3C 30G"/>
    <n v="150"/>
    <n v="150"/>
    <m/>
    <n v="0"/>
    <n v="0"/>
    <n v="0"/>
    <n v="1"/>
    <n v="0"/>
    <s v="new package"/>
    <n v="0"/>
    <n v="0"/>
  </r>
  <r>
    <s v="R"/>
    <x v="902"/>
    <d v="2026-09-07T00:00:00"/>
    <x v="2"/>
    <e v="#N/A"/>
    <x v="7"/>
    <s v="DRY2600140"/>
    <s v="SG"/>
    <s v="CPFNW"/>
    <s v="CP FOODS SINGAPORE PTE. LTD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579"/>
    <n v="72"/>
    <n v="507"/>
    <n v="0"/>
    <n v="0"/>
    <n v="0"/>
    <n v="2"/>
    <n v="0"/>
    <s v="ห่อแบบสุก"/>
    <n v="0"/>
    <n v="0"/>
  </r>
  <r>
    <m/>
    <x v="902"/>
    <d v="2026-09-01T00:00:00"/>
    <x v="2"/>
    <e v="#N/A"/>
    <x v="7"/>
    <s v="DRY2600187"/>
    <s v="Malay"/>
    <s v="CPFNW"/>
    <s v="CPM Malaysia"/>
    <s v="Wonton+TY"/>
    <x v="1"/>
    <s v="Cooked Wonton No Egg  Tomyum"/>
    <s v="082S85I24005P02001"/>
    <s v="115g*24"/>
    <n v="24"/>
    <n v="5"/>
    <n v="8.0000000000000002E-3"/>
    <s v="M"/>
    <s v="STPP"/>
    <s v="TYTB3C 30G"/>
    <n v="950"/>
    <n v="869"/>
    <n v="84.541666666666671"/>
    <n v="3.5416666666666288"/>
    <n v="0"/>
    <n v="0"/>
    <n v="1"/>
    <n v="0"/>
    <s v="new package"/>
    <n v="0"/>
    <n v="0"/>
  </r>
  <r>
    <m/>
    <x v="902"/>
    <d v="2026-09-01T00:00:00"/>
    <x v="2"/>
    <e v="#N/A"/>
    <x v="7"/>
    <s v="DRY2600187"/>
    <s v="Malay"/>
    <s v="CPFNW"/>
    <s v="CPM Malaysia"/>
    <s v="Wonton"/>
    <x v="1"/>
    <s v="Cooked Wonton No Egg  "/>
    <s v="082S85I24005P01001"/>
    <s v="145g*24"/>
    <n v="24"/>
    <n v="5"/>
    <n v="8.0000000000000002E-3"/>
    <s v="M"/>
    <s v="STPP"/>
    <s v="Regular"/>
    <n v="900"/>
    <n v="900"/>
    <n v="11.666666666666666"/>
    <n v="11.666666666666629"/>
    <n v="0"/>
    <n v="0"/>
    <n v="7.4999999999999997E-3"/>
    <n v="0"/>
    <s v="new package"/>
    <n v="0"/>
    <n v="0"/>
  </r>
  <r>
    <m/>
    <x v="902"/>
    <d v="2026-09-07T00:00:00"/>
    <x v="2"/>
    <e v="#N/A"/>
    <x v="7"/>
    <s v="DRY2600112"/>
    <s v="SG"/>
    <s v="CPFNW"/>
    <s v="CP FOODS SINGAPORE PTE. LTD"/>
    <s v="Wonton"/>
    <x v="1"/>
    <s v="Cooked Wonton No Egg"/>
    <s v="082S83B24005P07001"/>
    <s v="145g*24"/>
    <n v="24"/>
    <n v="5"/>
    <n v="8.0000000000000002E-3"/>
    <s v="M"/>
    <s v="STPP"/>
    <s v="Regular"/>
    <n v="250"/>
    <n v="250"/>
    <m/>
    <n v="0"/>
    <n v="0"/>
    <n v="0"/>
    <n v="1"/>
    <n v="0"/>
    <m/>
    <n v="0"/>
    <n v="0"/>
  </r>
  <r>
    <m/>
    <x v="902"/>
    <d v="2026-08-24T00:00:00"/>
    <x v="2"/>
    <e v="#N/A"/>
    <x v="7"/>
    <s v="DRY2600174"/>
    <s v="Korea"/>
    <s v="CPFNW"/>
    <s v="Emart"/>
    <s v="Minced WT"/>
    <x v="1"/>
    <s v="Cooked Minced Wonton"/>
    <s v="082SKEJ36006P00001"/>
    <s v="191g*6c*6in"/>
    <n v="36"/>
    <n v="5"/>
    <n v="6.0000000000000001E-3"/>
    <s v="BK"/>
    <s v="Salt"/>
    <s v="Regular"/>
    <n v="874"/>
    <n v="874"/>
    <m/>
    <n v="0"/>
    <n v="0"/>
    <n v="0"/>
    <n v="7.4999999999999997E-3"/>
    <n v="0"/>
    <s v="RM &amp; FG ต้องตรวจตามข้อกำหนดลูกค้า"/>
    <n v="0"/>
    <n v="0"/>
  </r>
  <r>
    <s v="R"/>
    <x v="903"/>
    <d v="2026-09-07T00:00:00"/>
    <x v="2"/>
    <e v="#N/A"/>
    <x v="7"/>
    <s v="DRY2600140"/>
    <s v="SG"/>
    <s v="CPFNW"/>
    <s v="CP FOODS SINGAPORE PTE. LTD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921"/>
    <n v="487"/>
    <n v="434"/>
    <n v="0"/>
    <n v="0"/>
    <n v="0"/>
    <n v="2"/>
    <n v="0"/>
    <s v="ห่อแบบสุก"/>
    <n v="0"/>
    <n v="0"/>
  </r>
  <r>
    <s v="R"/>
    <x v="903"/>
    <d v="2026-09-07T00:00:00"/>
    <x v="2"/>
    <e v="#N/A"/>
    <x v="7"/>
    <s v="DRY2600140"/>
    <s v="SG"/>
    <s v="CPFNW"/>
    <s v="CP FOODS SINGAPORE PTE. LTD"/>
    <s v="R-Minced egg past"/>
    <x v="2"/>
    <s v="Raw Minced Wonton 8 pcs"/>
    <s v="082ID3B18008P00001"/>
    <s v="90g*18in"/>
    <n v="18"/>
    <n v="8"/>
    <n v="6.0000000000000001E-3"/>
    <s v="BK"/>
    <s v="STPP"/>
    <s v="ซุปซอง 5g."/>
    <n v="300"/>
    <n v="300"/>
    <n v="40.5"/>
    <n v="40.5"/>
    <n v="0"/>
    <n v="0"/>
    <n v="2"/>
    <n v="0"/>
    <s v="new package"/>
    <n v="0"/>
    <n v="0"/>
  </r>
  <r>
    <m/>
    <x v="903"/>
    <d v="2026-09-08T00:00:00"/>
    <x v="2"/>
    <e v="#N/A"/>
    <x v="7"/>
    <s v="DRY2600171"/>
    <s v="UK"/>
    <s v="CPFNW"/>
    <s v="Westbridge Foods Limited (One UK)"/>
    <s v="Minced ND+Kee Mao"/>
    <x v="1"/>
    <s v="Cooked Minced Wonton Thai Spicy Noodles (Drunken Noodles)"/>
    <s v="082SRKW06003P00001"/>
    <s v="300g*6"/>
    <n v="6"/>
    <n v="3"/>
    <n v="6.1999999999999998E-3"/>
    <s v="BK"/>
    <s v="Salt"/>
    <s v="Kee Mao"/>
    <n v="3364"/>
    <m/>
    <n v="3364.1666666666665"/>
    <n v="0.16666666666651508"/>
    <n v="0"/>
    <n v="0"/>
    <n v="6.5000000000000002E-2"/>
    <n v="0"/>
    <s v="&quot;may contain egg เเละ Allergen Update&quot; "/>
    <n v="0"/>
    <n v="0"/>
  </r>
  <r>
    <m/>
    <x v="903"/>
    <d v="2026-08-18T00:00:00"/>
    <x v="2"/>
    <e v="#N/A"/>
    <x v="7"/>
    <s v="DRY2600156"/>
    <s v="UK"/>
    <s v="CPFNW"/>
    <s v="Westbridge Foods Limited"/>
    <s v="Minced ND+V+TY"/>
    <x v="1"/>
    <s v="Cooked Minced Wonton Noodles Yu Choy Tomyum"/>
    <s v="082SRWE24005P01001"/>
    <s v="258g*4c*6in"/>
    <n v="24"/>
    <n v="5"/>
    <n v="6.0000000000000001E-3"/>
    <s v="BK"/>
    <s v="Salt"/>
    <s v="TYEXSG+CO"/>
    <n v="705"/>
    <n v="290"/>
    <n v="416.33333333333331"/>
    <n v="1.3333333333332575"/>
    <n v="0"/>
    <n v="0"/>
    <n v="3.8699999999999998E-2"/>
    <n v="0"/>
    <s v="Ireland"/>
    <n v="0"/>
    <n v="0"/>
  </r>
  <r>
    <m/>
    <x v="903"/>
    <d v="2026-08-20T00:00:00"/>
    <x v="2"/>
    <e v="#N/A"/>
    <x v="7"/>
    <s v="DRY2600183"/>
    <s v="New Zealand"/>
    <s v="CPFNW"/>
    <s v="Lim Brothers Import&amp;Export Co.,Ltd."/>
    <s v="Minced ND+V+TY"/>
    <x v="1"/>
    <s v="Cooked Minced  ND No Egg with Pumpkin_x000a_+ Yu Choy Tomyum"/>
    <s v="082SRN708003P00001"/>
    <s v="302g*8"/>
    <n v="8"/>
    <n v="3"/>
    <n v="6.0000000000000001E-3"/>
    <s v="BK"/>
    <s v="Salt"/>
    <s v="TYEXSG+CO"/>
    <n v="160"/>
    <m/>
    <n v="160"/>
    <n v="0"/>
    <n v="0"/>
    <n v="0"/>
    <n v="3.8699999999999998E-2"/>
    <n v="0"/>
    <m/>
    <n v="0"/>
    <n v="0"/>
  </r>
  <r>
    <m/>
    <x v="903"/>
    <d v="2026-09-07T00:00:00"/>
    <x v="2"/>
    <e v="#N/A"/>
    <x v="7"/>
    <s v="DRY2600214"/>
    <s v="New Zealand"/>
    <s v="CPFNW"/>
    <s v="Lim Brothers Import&amp;Export Co.,Ltd."/>
    <s v="Minced ND+V+TY"/>
    <x v="1"/>
    <s v="Cooked Minced  ND No Egg with Pumpkin_x000a_+ Yu Choy Tomyum"/>
    <s v="082SRN708003P00001"/>
    <s v="302g*8"/>
    <n v="8"/>
    <n v="3"/>
    <n v="6.0000000000000001E-3"/>
    <s v="BK"/>
    <s v="Salt"/>
    <s v="TYEXSG+CO"/>
    <n v="108"/>
    <m/>
    <n v="109.375"/>
    <n v="1.375"/>
    <n v="0"/>
    <n v="0"/>
    <n v="3.8699999999999998E-2"/>
    <n v="0"/>
    <m/>
    <n v="0"/>
    <n v="0"/>
  </r>
  <r>
    <s v="R"/>
    <x v="904"/>
    <d v="2026-09-01T00:00:00"/>
    <x v="2"/>
    <e v="#N/A"/>
    <x v="7"/>
    <s v="DRY2600187"/>
    <s v="Malay"/>
    <s v="CPFNW"/>
    <s v="CPM Malaysia"/>
    <s v="R-Wonton egg past"/>
    <x v="2"/>
    <s v="Raw Wonton 12 pcs"/>
    <s v="082I95I20012P02001"/>
    <s v="154g*20inner"/>
    <n v="20"/>
    <n v="12"/>
    <n v="6.8100000000000001E-3"/>
    <s v="S"/>
    <s v="STPP"/>
    <s v="ซุปซอง 5g."/>
    <n v="150"/>
    <n v="150"/>
    <m/>
    <n v="0"/>
    <n v="0"/>
    <n v="0"/>
    <n v="2"/>
    <n v="0"/>
    <s v="new package"/>
    <n v="0"/>
    <n v="0"/>
  </r>
  <r>
    <s v="R"/>
    <x v="904"/>
    <d v="2026-09-07T00:00:00"/>
    <x v="2"/>
    <e v="#N/A"/>
    <x v="7"/>
    <s v="DRY2600107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33"/>
    <n v="603"/>
    <n v="30"/>
    <n v="0"/>
    <n v="0"/>
    <n v="0"/>
    <n v="6"/>
    <n v="0"/>
    <m/>
    <n v="0"/>
    <n v="0"/>
  </r>
  <r>
    <m/>
    <x v="904"/>
    <d v="2026-09-08T00:00:00"/>
    <x v="2"/>
    <e v="#N/A"/>
    <x v="7"/>
    <s v="DRY2600171"/>
    <s v="UK"/>
    <s v="CPFNW"/>
    <s v="Westbridge Foods Limited (One UK)"/>
    <s v="Minced ND+Kee Mao"/>
    <x v="1"/>
    <s v="Cooked Minced Wonton Thai Spicy Noodles (Drunken Noodles)"/>
    <s v="082SRKW06003P00001"/>
    <s v="300g*6"/>
    <n v="6"/>
    <n v="3"/>
    <n v="6.1999999999999998E-3"/>
    <s v="BK"/>
    <s v="Salt"/>
    <s v="Kee Mao"/>
    <n v="1679"/>
    <m/>
    <n v="1679.1666666666667"/>
    <n v="0.16666666666674246"/>
    <n v="0"/>
    <n v="0"/>
    <n v="6.5000000000000002E-2"/>
    <n v="0"/>
    <s v="&quot;may contain egg เเละ Allergen Update&quot; "/>
    <n v="0"/>
    <n v="0"/>
  </r>
  <r>
    <m/>
    <x v="904"/>
    <d v="2026-08-20T00:00:00"/>
    <x v="2"/>
    <e v="#N/A"/>
    <x v="7"/>
    <s v="DRY2600186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663"/>
    <n v="663"/>
    <m/>
    <n v="0"/>
    <n v="0"/>
    <n v="0"/>
    <n v="9.7000000000000003E-3"/>
    <n v="0"/>
    <m/>
    <n v="0"/>
    <n v="0"/>
  </r>
  <r>
    <m/>
    <x v="904"/>
    <d v="2026-08-27T00:00:00"/>
    <x v="2"/>
    <e v="#N/A"/>
    <x v="7"/>
    <s v="DRY2600190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511"/>
    <n v="511"/>
    <m/>
    <n v="0"/>
    <n v="0"/>
    <n v="0"/>
    <n v="9.7000000000000003E-3"/>
    <n v="0"/>
    <s v="สั่งซุป"/>
    <n v="0"/>
    <n v="0"/>
  </r>
  <r>
    <s v="R"/>
    <x v="905"/>
    <d v="2026-09-07T00:00:00"/>
    <x v="2"/>
    <e v="#N/A"/>
    <x v="7"/>
    <s v="DRY2600107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55"/>
    <n v="655"/>
    <m/>
    <n v="0"/>
    <n v="0"/>
    <n v="0"/>
    <n v="6"/>
    <n v="0"/>
    <m/>
    <n v="0"/>
    <n v="0"/>
  </r>
  <r>
    <m/>
    <x v="905"/>
    <d v="2026-09-08T00:00:00"/>
    <x v="2"/>
    <e v="#N/A"/>
    <x v="7"/>
    <s v="DRY2600171"/>
    <s v="UK"/>
    <s v="CPFNW"/>
    <s v="Westbridge Foods Limited (One UK)"/>
    <s v="Minced ND+Kee Mao"/>
    <x v="1"/>
    <s v="Cooked Minced Wonton Thai Spicy Noodles (Drunken Noodles)"/>
    <s v="082SRKW06003P00001"/>
    <s v="300g*6"/>
    <n v="6"/>
    <n v="3"/>
    <n v="6.1999999999999998E-3"/>
    <s v="BK"/>
    <s v="Salt"/>
    <s v="Kee Mao"/>
    <n v="2957"/>
    <m/>
    <n v="3281.3333333333335"/>
    <n v="324.33333333333348"/>
    <n v="0"/>
    <n v="0"/>
    <n v="6.5000000000000002E-2"/>
    <n v="0"/>
    <s v="&quot;may contain egg เเละ Allergen Update&quot; "/>
    <n v="0"/>
    <n v="0"/>
  </r>
  <r>
    <m/>
    <x v="905"/>
    <s v="09-2026"/>
    <x v="2"/>
    <e v="#N/A"/>
    <x v="7"/>
    <s v="ขายภายใน"/>
    <s v="MTFS"/>
    <s v="CPFGS"/>
    <s v="ซีพีเอฟ เทรดดิ้ง"/>
    <s v="E+Wonton NDE"/>
    <x v="1"/>
    <s v="บะหมี่เกี๊ยวกุ้ง ตราซีพี 12X226 กรัม"/>
    <s v="082SJ3Q12003P07001"/>
    <s v="226g*12"/>
    <n v="12"/>
    <n v="3"/>
    <n v="8.0000000000000002E-3"/>
    <s v="M"/>
    <s v="STPP"/>
    <s v="Regular"/>
    <n v="512"/>
    <n v="512"/>
    <m/>
    <n v="0"/>
    <n v="0"/>
    <n v="0"/>
    <n v="7.4999999999999997E-3"/>
    <n v="0"/>
    <s v="Add Potassium"/>
    <n v="0"/>
    <n v="0"/>
  </r>
  <r>
    <m/>
    <x v="905"/>
    <s v="08-2026"/>
    <x v="2"/>
    <e v="#N/A"/>
    <x v="7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203"/>
    <n v="203"/>
    <m/>
    <n v="0"/>
    <n v="0"/>
    <n v="0"/>
    <n v="7.4999999999999997E-3"/>
    <n v="0"/>
    <s v="Add Potassium"/>
    <n v="0"/>
    <n v="0"/>
  </r>
  <r>
    <m/>
    <x v="905"/>
    <s v="08-2026"/>
    <x v="2"/>
    <e v="#N/A"/>
    <x v="7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300"/>
    <n v="300"/>
    <m/>
    <n v="0"/>
    <n v="0"/>
    <n v="0"/>
    <n v="7.4999999999999997E-3"/>
    <n v="0"/>
    <s v="Add Potassium"/>
    <n v="0"/>
    <n v="0"/>
  </r>
  <r>
    <m/>
    <x v="905"/>
    <s v="09-2026"/>
    <x v="2"/>
    <e v="#N/A"/>
    <x v="7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316"/>
    <n v="316"/>
    <m/>
    <n v="0"/>
    <n v="0"/>
    <n v="0"/>
    <n v="7.4999999999999997E-3"/>
    <n v="0"/>
    <s v="Add Potassium"/>
    <n v="0"/>
    <n v="0"/>
  </r>
  <r>
    <m/>
    <x v="905"/>
    <s v="08-2026"/>
    <x v="2"/>
    <e v="#N/A"/>
    <x v="7"/>
    <s v="ขายภายใน"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800"/>
    <n v="800"/>
    <m/>
    <n v="0"/>
    <n v="0"/>
    <n v="0"/>
    <n v="1"/>
    <n v="0"/>
    <s v="Add Potassium"/>
    <n v="0"/>
    <n v="0"/>
  </r>
  <r>
    <m/>
    <x v="905"/>
    <s v="09-2026"/>
    <x v="2"/>
    <e v="#N/A"/>
    <x v="7"/>
    <s v="ขายภายใน"/>
    <s v="MTFS"/>
    <s v="CPFGS"/>
    <s v="ซีพีเอฟ เทรดดิ้ง"/>
    <s v="E+Wonton TY"/>
    <x v="1"/>
    <s v="เกี๊ยวกุ้งจักรพรรดิซุปต้มยำ LV CP 143g"/>
    <s v="082S83Q12005P09001"/>
    <s v="143g*12"/>
    <n v="12"/>
    <n v="5"/>
    <n v="8.0000000000000002E-3"/>
    <s v="SS"/>
    <s v="STPP"/>
    <s v="TYNSF"/>
    <n v="439"/>
    <n v="439"/>
    <m/>
    <n v="0"/>
    <n v="0"/>
    <n v="0"/>
    <n v="8.9999999999999993E-3"/>
    <n v="0"/>
    <s v="ทำให้หมดผงซุป tynsf"/>
    <n v="0"/>
    <n v="0"/>
  </r>
  <r>
    <m/>
    <x v="906"/>
    <m/>
    <x v="2"/>
    <e v="#N/A"/>
    <x v="7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907"/>
    <m/>
    <x v="2"/>
    <e v="#N/A"/>
    <x v="7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908"/>
    <m/>
    <x v="2"/>
    <e v="#N/A"/>
    <x v="7"/>
    <m/>
    <m/>
    <m/>
    <m/>
    <m/>
    <x v="0"/>
    <m/>
    <m/>
    <m/>
    <m/>
    <m/>
    <m/>
    <m/>
    <m/>
    <m/>
    <m/>
    <m/>
    <m/>
    <m/>
    <m/>
    <n v="0"/>
    <m/>
    <m/>
    <m/>
    <m/>
    <m/>
  </r>
  <r>
    <s v="air"/>
    <x v="909"/>
    <d v="2026-08-25T00:00:00"/>
    <x v="2"/>
    <e v="#N/A"/>
    <x v="7"/>
    <s v="DRY2600239"/>
    <s v="UK"/>
    <s v="CPFNW"/>
    <s v="Westbridge Foods Limited (One UK)"/>
    <s v="Noodles+BC"/>
    <x v="1"/>
    <s v="Crispy Chilli Oil Biang Biang Noodles+BC &quot;Kitchen Joy&quot;"/>
    <s v="082SLKW12310G00001"/>
    <s v="310g*12ถ้วย"/>
    <n v="12"/>
    <n v="3"/>
    <n v="0.01"/>
    <s v="Aubergine"/>
    <s v="-"/>
    <s v="Soy Sauce"/>
    <n v="580"/>
    <n v="580"/>
    <m/>
    <n v="0"/>
    <n v="0"/>
    <n v="0"/>
    <m/>
    <n v="0"/>
    <s v="ถ้าว,ฝา สีขาว New Package 1,800/HR"/>
    <n v="0"/>
    <n v="0"/>
  </r>
  <r>
    <s v="air"/>
    <x v="909"/>
    <d v="2026-08-26T00:00:00"/>
    <x v="2"/>
    <e v="#N/A"/>
    <x v="7"/>
    <s v="DRY2600240"/>
    <s v="UK"/>
    <s v="CPFNW"/>
    <s v="Westbridge Foods Limited (One UK)"/>
    <s v="Noodles+BC"/>
    <x v="1"/>
    <s v="Crispy Chilli Oil Biang Biang Noodles+BC &quot;Kitchen Joy&quot;"/>
    <s v="082SLKW12310G00001"/>
    <s v="310g*12ถ้วย"/>
    <n v="12"/>
    <n v="3"/>
    <n v="0.01"/>
    <s v="Aubergine"/>
    <s v="-"/>
    <s v="Soy Sauce"/>
    <n v="570"/>
    <n v="570"/>
    <m/>
    <n v="0"/>
    <n v="0"/>
    <n v="0"/>
    <m/>
    <n v="0"/>
    <s v="ถ้าว,ฝา สีขาว New Package 1,800/HR"/>
    <n v="0"/>
    <n v="0"/>
  </r>
  <r>
    <s v="air"/>
    <x v="910"/>
    <d v="2026-08-26T00:00:00"/>
    <x v="2"/>
    <e v="#N/A"/>
    <x v="7"/>
    <s v="DRY2600240"/>
    <s v="UK"/>
    <s v="CPFNW"/>
    <s v="Westbridge Foods Limited (One UK)"/>
    <s v="Noodles+BC"/>
    <x v="1"/>
    <s v="Crispy Chilli Oil Biang Biang Noodles+BC &quot;Kitchen Joy&quot;"/>
    <s v="082SLKW12310G00001"/>
    <s v="310g*12ถ้วย"/>
    <n v="12"/>
    <n v="3"/>
    <n v="0.01"/>
    <s v="Aubergine"/>
    <s v="-"/>
    <s v="Soy Sauce"/>
    <n v="10"/>
    <n v="10"/>
    <m/>
    <n v="0"/>
    <n v="0"/>
    <n v="0"/>
    <m/>
    <n v="0"/>
    <s v="ถ้าว,ฝา สีขาว New Package 1,800/HR"/>
    <n v="0"/>
    <n v="0"/>
  </r>
  <r>
    <s v="sea"/>
    <x v="910"/>
    <d v="2026-08-21T00:00:00"/>
    <x v="2"/>
    <e v="#N/A"/>
    <x v="7"/>
    <s v="DRY2600135"/>
    <s v="UK"/>
    <s v="CPFNW"/>
    <s v="Westbridge Foods Limited (One UK)"/>
    <s v="Noodles+BC"/>
    <x v="1"/>
    <s v="Crispy Chilli Oil Biang Biang Noodles+BC &quot;Kitchen Joy&quot;"/>
    <s v="082SLKW12310G00001"/>
    <s v="310g*12ถ้วย"/>
    <n v="12"/>
    <n v="3"/>
    <n v="0.01"/>
    <s v="Aubergine"/>
    <s v="-"/>
    <s v="Soy Sauce"/>
    <n v="1118"/>
    <n v="1118"/>
    <m/>
    <n v="0"/>
    <n v="0"/>
    <n v="0"/>
    <m/>
    <n v="0"/>
    <s v="ถ้าว,ฝา สีขาว New Package 1,800/HR"/>
    <n v="0"/>
    <n v="0"/>
  </r>
  <r>
    <s v="R"/>
    <x v="911"/>
    <d v="2026-09-07T00:00:00"/>
    <x v="2"/>
    <e v="#N/A"/>
    <x v="7"/>
    <s v="DRY2600107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76"/>
    <n v="676"/>
    <m/>
    <n v="0"/>
    <n v="0"/>
    <n v="0"/>
    <n v="6"/>
    <n v="0"/>
    <m/>
    <n v="0"/>
    <n v="0"/>
  </r>
  <r>
    <m/>
    <x v="911"/>
    <d v="2026-08-27T00:00:00"/>
    <x v="2"/>
    <e v="#N/A"/>
    <x v="7"/>
    <s v="DRY2600190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281"/>
    <n v="281"/>
    <m/>
    <n v="0"/>
    <n v="0"/>
    <n v="0"/>
    <n v="9.7000000000000003E-3"/>
    <n v="0"/>
    <s v="สั่งซุป"/>
    <n v="0"/>
    <n v="0"/>
  </r>
  <r>
    <m/>
    <x v="911"/>
    <d v="2026-08-27T00:00:00"/>
    <x v="2"/>
    <e v="#N/A"/>
    <x v="7"/>
    <s v="DRY2600191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677"/>
    <n v="677"/>
    <m/>
    <n v="0"/>
    <n v="0"/>
    <n v="0"/>
    <n v="9.7000000000000003E-3"/>
    <n v="0"/>
    <s v="สั่งซุป"/>
    <n v="0"/>
    <n v="0"/>
  </r>
  <r>
    <m/>
    <x v="911"/>
    <d v="2026-08-31T00:00:00"/>
    <x v="2"/>
    <e v="#N/A"/>
    <x v="7"/>
    <s v="DRY2600205"/>
    <s v="Denmark"/>
    <s v="CPFNW"/>
    <s v="CPF DENMARK"/>
    <s v="Minced ND+V+TY"/>
    <x v="1"/>
    <s v="Cooked Minced  ND No Egg with Pumpkin_x000a_+ Yu Choy Tomyum"/>
    <s v="082SRRE12003P00001"/>
    <s v="302g*12"/>
    <n v="12"/>
    <n v="3"/>
    <n v="6.0000000000000001E-3"/>
    <s v="BK"/>
    <s v="Salt"/>
    <s v="TYEXSG+CO"/>
    <n v="2520"/>
    <n v="2422"/>
    <n v="98"/>
    <n v="0"/>
    <n v="0"/>
    <n v="0"/>
    <n v="3.8699999999999998E-2"/>
    <n v="0"/>
    <s v="ASC"/>
    <n v="0"/>
    <n v="0"/>
  </r>
  <r>
    <m/>
    <x v="911"/>
    <d v="2026-09-16T00:00:00"/>
    <x v="2"/>
    <e v="#N/A"/>
    <x v="7"/>
    <s v="DRY2600224"/>
    <s v="AUS"/>
    <s v="CPFNW"/>
    <s v="CPF Australia Pty Ltd."/>
    <s v="Minced ND+V+TY"/>
    <x v="1"/>
    <s v="Cooked Minced  ND No Egg with Pumpkin_x000a_+ Yu Choy Tomyum"/>
    <s v="082SR9U08003P00001"/>
    <s v="302g*8"/>
    <n v="8"/>
    <n v="3"/>
    <n v="6.0000000000000001E-3"/>
    <s v="BK"/>
    <s v="Salt"/>
    <s v="TYEXSG+CO"/>
    <n v="300"/>
    <m/>
    <n v="384.125"/>
    <n v="84.125"/>
    <n v="0"/>
    <n v="0"/>
    <n v="3.8699999999999998E-2"/>
    <n v="0"/>
    <m/>
    <n v="0"/>
    <n v="0"/>
  </r>
  <r>
    <s v="R"/>
    <x v="912"/>
    <d v="2026-09-07T00:00:00"/>
    <x v="2"/>
    <e v="#N/A"/>
    <x v="7"/>
    <s v="DRY2600107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92"/>
    <n v="92"/>
    <m/>
    <n v="0"/>
    <n v="0"/>
    <n v="0"/>
    <n v="6"/>
    <n v="0"/>
    <m/>
    <n v="0"/>
    <n v="0"/>
  </r>
  <r>
    <s v="R"/>
    <x v="912"/>
    <d v="2026-09-14T00:00:00"/>
    <x v="2"/>
    <e v="#N/A"/>
    <x v="7"/>
    <s v="DRY2600145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568"/>
    <n v="568"/>
    <m/>
    <n v="0"/>
    <n v="0"/>
    <n v="0"/>
    <n v="6"/>
    <n v="0"/>
    <m/>
    <n v="0"/>
    <n v="0"/>
  </r>
  <r>
    <m/>
    <x v="912"/>
    <d v="2026-08-27T00:00:00"/>
    <x v="2"/>
    <e v="#N/A"/>
    <x v="7"/>
    <s v="DRY2600191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115"/>
    <n v="115"/>
    <m/>
    <n v="0"/>
    <n v="0"/>
    <n v="0"/>
    <n v="9.7000000000000003E-3"/>
    <n v="0"/>
    <s v="สั่งซุป"/>
    <n v="0"/>
    <n v="0"/>
  </r>
  <r>
    <m/>
    <x v="912"/>
    <d v="2026-09-08T00:00:00"/>
    <x v="2"/>
    <e v="#N/A"/>
    <x v="7"/>
    <s v="DRY2600192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s v="สั่งซุป"/>
    <n v="0"/>
    <n v="0"/>
  </r>
  <r>
    <m/>
    <x v="912"/>
    <d v="2026-09-15T00:00:00"/>
    <x v="2"/>
    <e v="#N/A"/>
    <x v="7"/>
    <s v="DRY2600193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48"/>
    <n v="48"/>
    <m/>
    <n v="0"/>
    <n v="0"/>
    <n v="0"/>
    <n v="9.7000000000000003E-3"/>
    <n v="0"/>
    <s v="สั่งซุป"/>
    <n v="0"/>
    <n v="0"/>
  </r>
  <r>
    <m/>
    <x v="912"/>
    <d v="2026-09-01T00:00:00"/>
    <x v="2"/>
    <e v="#N/A"/>
    <x v="7"/>
    <s v="DRY2600188"/>
    <s v="Denmark"/>
    <s v="CPFNW"/>
    <s v="CPF DENMARK"/>
    <s v="Minced ND+V+TY"/>
    <x v="1"/>
    <s v="Cooked Minced Wonton 3 pcs Noodle (Pumpkin)_x000a_with &quot;Tomyum&quot;+Yu Choy"/>
    <s v="082SRKW12003P00001"/>
    <s v="240g*12ถ้วย"/>
    <n v="12"/>
    <n v="3"/>
    <n v="6.1999999999999998E-3"/>
    <s v="BK"/>
    <s v="Salt"/>
    <s v="TYANSSG+CM"/>
    <n v="2660"/>
    <m/>
    <n v="2660"/>
    <n v="0"/>
    <n v="0"/>
    <n v="0"/>
    <n v="3.85E-2"/>
    <n v="0"/>
    <s v="ถ้าว,ฝา สีขาว New Package"/>
    <n v="0"/>
    <n v="0"/>
  </r>
  <r>
    <m/>
    <x v="913"/>
    <m/>
    <x v="2"/>
    <e v="#N/A"/>
    <x v="7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914"/>
    <m/>
    <x v="2"/>
    <e v="#N/A"/>
    <x v="7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915"/>
    <d v="2026-09-14T00:00:00"/>
    <x v="2"/>
    <e v="#N/A"/>
    <x v="7"/>
    <s v="DRY2600145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76"/>
    <n v="676"/>
    <m/>
    <n v="0"/>
    <n v="0"/>
    <n v="0"/>
    <n v="6"/>
    <n v="0"/>
    <m/>
    <n v="0"/>
    <n v="0"/>
  </r>
  <r>
    <m/>
    <x v="915"/>
    <s v="08-2026"/>
    <x v="2"/>
    <e v="#N/A"/>
    <x v="7"/>
    <s v="ขายภายใน"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709"/>
    <n v="709"/>
    <m/>
    <n v="0"/>
    <n v="0"/>
    <n v="0"/>
    <n v="7.4999999999999997E-3"/>
    <n v="0"/>
    <m/>
    <n v="0"/>
    <n v="0"/>
  </r>
  <r>
    <m/>
    <x v="915"/>
    <s v="09-2026"/>
    <x v="2"/>
    <e v="#N/A"/>
    <x v="7"/>
    <s v="ขายภายใน"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2189"/>
    <n v="2189"/>
    <m/>
    <n v="0"/>
    <n v="0"/>
    <n v="0"/>
    <n v="7.4999999999999997E-3"/>
    <n v="0"/>
    <m/>
    <n v="0"/>
    <n v="0"/>
  </r>
  <r>
    <s v="R"/>
    <x v="916"/>
    <d v="2026-09-14T00:00:00"/>
    <x v="2"/>
    <e v="#N/A"/>
    <x v="7"/>
    <s v="DRY2600145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68"/>
    <n v="668"/>
    <m/>
    <n v="0"/>
    <n v="0"/>
    <n v="0"/>
    <n v="6"/>
    <n v="0"/>
    <m/>
    <n v="0"/>
    <n v="0"/>
  </r>
  <r>
    <s v="ชมรมกอล์ฟ ซีพี"/>
    <x v="916"/>
    <s v="09-2026"/>
    <x v="2"/>
    <e v="#N/A"/>
    <x v="7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0"/>
    <s v="145g*12"/>
    <n v="12"/>
    <n v="5"/>
    <n v="8.0000000000000002E-3"/>
    <s v="M"/>
    <s v="STPP"/>
    <s v="Regular"/>
    <n v="12"/>
    <n v="12"/>
    <m/>
    <n v="0"/>
    <n v="0"/>
    <n v="0"/>
    <n v="7.4999999999999997E-3"/>
    <n v="0"/>
    <s v="Add Potassium"/>
    <n v="0"/>
    <n v="0"/>
  </r>
  <r>
    <m/>
    <x v="916"/>
    <s v="09-2026"/>
    <x v="2"/>
    <e v="#N/A"/>
    <x v="7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1"/>
    <s v="145g*12"/>
    <n v="12"/>
    <n v="5"/>
    <n v="8.0000000000000002E-3"/>
    <s v="M"/>
    <s v="STPP"/>
    <s v="Regular"/>
    <n v="2561"/>
    <n v="2561"/>
    <m/>
    <n v="0"/>
    <n v="0"/>
    <n v="0"/>
    <n v="7.4999999999999997E-3"/>
    <n v="0"/>
    <s v="Add Potassium"/>
    <n v="0"/>
    <n v="0"/>
  </r>
  <r>
    <m/>
    <x v="916"/>
    <s v="09-2026"/>
    <x v="2"/>
    <e v="#N/A"/>
    <x v="7"/>
    <s v="ขายภายใน"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2000"/>
    <m/>
    <n v="2000"/>
    <n v="0"/>
    <n v="0"/>
    <n v="0"/>
    <n v="1"/>
    <n v="0"/>
    <s v="Add Potassium"/>
    <n v="0"/>
    <n v="0"/>
  </r>
  <r>
    <s v="R"/>
    <x v="917"/>
    <d v="2026-09-14T00:00:00"/>
    <x v="2"/>
    <e v="#N/A"/>
    <x v="7"/>
    <s v="DRY2600145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144"/>
    <n v="144"/>
    <m/>
    <n v="0"/>
    <n v="0"/>
    <n v="0"/>
    <n v="6"/>
    <n v="0"/>
    <m/>
    <n v="0"/>
    <n v="0"/>
  </r>
  <r>
    <s v="R"/>
    <x v="917"/>
    <s v="09-2026"/>
    <x v="2"/>
    <e v="#N/A"/>
    <x v="7"/>
    <s v="ขายภายใน"/>
    <s v="ขายภายใน"/>
    <s v="CPFGS"/>
    <s v="ซีพีเอฟ เทรดดิ้ง"/>
    <s v="R-Wonton egg past"/>
    <x v="2"/>
    <s v="Raw Wonton 50 pcs OISHI"/>
    <s v="082S01508600G01001"/>
    <s v="600g.*8 packs"/>
    <n v="8"/>
    <n v="50"/>
    <n v="8.1300000000000001E-3"/>
    <s v="M"/>
    <s v="STPP"/>
    <m/>
    <n v="200"/>
    <n v="200"/>
    <m/>
    <n v="0"/>
    <n v="0"/>
    <n v="0"/>
    <m/>
    <n v="0"/>
    <m/>
    <n v="0"/>
    <n v="0"/>
  </r>
  <r>
    <m/>
    <x v="917"/>
    <s v="09-2026"/>
    <x v="2"/>
    <e v="#N/A"/>
    <x v="7"/>
    <s v="ขายภายใน"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2958"/>
    <n v="2958"/>
    <m/>
    <n v="0"/>
    <n v="0"/>
    <n v="0"/>
    <n v="7.4999999999999997E-3"/>
    <n v="0"/>
    <m/>
    <n v="0"/>
    <n v="0"/>
  </r>
  <r>
    <m/>
    <x v="918"/>
    <d v="2026-09-07T00:00:00"/>
    <x v="2"/>
    <e v="#N/A"/>
    <x v="7"/>
    <s v="DRY2600180"/>
    <s v="SG"/>
    <s v="CPFNW"/>
    <s v="CP FOODS SINGAPORE PTE. LTD"/>
    <s v="Wonton ND+V"/>
    <x v="1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200"/>
    <n v="200"/>
    <m/>
    <n v="0"/>
    <n v="0"/>
    <n v="0"/>
    <n v="1"/>
    <n v="0"/>
    <m/>
    <n v="0"/>
    <n v="0"/>
  </r>
  <r>
    <m/>
    <x v="918"/>
    <d v="2026-09-07T00:00:00"/>
    <x v="2"/>
    <e v="#N/A"/>
    <x v="7"/>
    <s v="DRY2600214"/>
    <s v="New Zealand"/>
    <s v="CPFNW"/>
    <s v="Lim Brothers Import&amp;Export Co.,Ltd."/>
    <s v="Wonton ND+V"/>
    <x v="1"/>
    <s v="Cooked Wonton ND No Egg with Pumpkin_x000a_+ Yu Choy "/>
    <s v="082SJN708004P00001"/>
    <s v="305g*8"/>
    <n v="8"/>
    <n v="4"/>
    <n v="7.4999999999999997E-3"/>
    <s v="HC"/>
    <s v="Salt"/>
    <s v="Regular"/>
    <n v="756"/>
    <m/>
    <n v="802.875"/>
    <n v="46.875"/>
    <n v="0"/>
    <n v="0"/>
    <n v="7.4999999999999997E-3"/>
    <n v="0"/>
    <m/>
    <n v="0"/>
    <n v="0"/>
  </r>
  <r>
    <m/>
    <x v="918"/>
    <d v="2026-09-16T00:00:00"/>
    <x v="2"/>
    <e v="#N/A"/>
    <x v="7"/>
    <s v="DRY2600224"/>
    <s v="AUS"/>
    <s v="CPFNW"/>
    <s v="CPF Australia Pty Ltd."/>
    <s v="Wonton ND+V"/>
    <x v="1"/>
    <s v="Cooked Wonton ND No Egg with Pumpkin_x000a_+ Yu Choy "/>
    <s v="082SJ9U08004P00001"/>
    <s v="305g*8"/>
    <n v="8"/>
    <n v="4"/>
    <n v="7.4999999999999997E-3"/>
    <s v="HC"/>
    <s v="Salt"/>
    <s v="Regular"/>
    <n v="856"/>
    <m/>
    <n v="856.375"/>
    <n v="0.375"/>
    <n v="0"/>
    <n v="0"/>
    <n v="7.4999999999999997E-3"/>
    <n v="0"/>
    <m/>
    <n v="0"/>
    <n v="0"/>
  </r>
  <r>
    <m/>
    <x v="918"/>
    <d v="2026-09-07T00:00:00"/>
    <x v="2"/>
    <e v="#N/A"/>
    <x v="7"/>
    <s v="DRY2600117"/>
    <s v="AUS"/>
    <s v="CPFNW"/>
    <s v="CPF Australia Pty Ltd.(Woolworth)"/>
    <s v="Wonton ND+V"/>
    <x v="1"/>
    <s v="Cooked Wonton ND No Egg with Pumpkin_x000a_+ Yu Choy "/>
    <s v="082SJ9U05004P00001"/>
    <s v="305g*5"/>
    <n v="5"/>
    <n v="4"/>
    <n v="7.4999999999999997E-3"/>
    <s v="HC"/>
    <s v="Salt"/>
    <s v="Regular"/>
    <n v="5076"/>
    <m/>
    <n v="5076"/>
    <n v="0"/>
    <n v="0"/>
    <n v="0"/>
    <n v="7.4999999999999997E-3"/>
    <n v="0"/>
    <s v="ถ้าว,ฝา สีขาว"/>
    <n v="0"/>
    <n v="0"/>
  </r>
  <r>
    <m/>
    <x v="918"/>
    <d v="2026-09-01T00:00:00"/>
    <x v="2"/>
    <e v="#N/A"/>
    <x v="7"/>
    <s v="DRY2600189"/>
    <s v="Denmark"/>
    <s v="CPFNW"/>
    <s v="CPF DENMARK"/>
    <s v="Minced ND+V+TK"/>
    <x v="1"/>
    <s v="Cooked Minced Wonton 3 pcs Noodle (Pumpkin)_x000a_with &quot;Tomka&quot;+Yu Choy"/>
    <s v="082SRKW12003P01001"/>
    <s v="240g*12ถ้วย"/>
    <n v="12"/>
    <n v="3"/>
    <n v="6.1999999999999998E-3"/>
    <s v="BK"/>
    <s v="Salt"/>
    <s v="Tomkha+CM"/>
    <n v="2660"/>
    <m/>
    <n v="2660"/>
    <n v="0"/>
    <n v="0"/>
    <n v="0"/>
    <n v="5.8823E-2"/>
    <n v="0"/>
    <s v="ถ้าว,ฝา สีขาว New Package"/>
    <n v="0"/>
    <n v="0"/>
  </r>
  <r>
    <s v="มีบันทึกจองซุป"/>
    <x v="918"/>
    <d v="2026-09-07T00:00:00"/>
    <x v="2"/>
    <e v="#N/A"/>
    <x v="7"/>
    <s v="DRY2600223"/>
    <s v="AUS"/>
    <s v="CPFNW"/>
    <s v="CPF Australia Pty Ltd."/>
    <s v="Minced ND+V+TK"/>
    <x v="1"/>
    <s v="Cooked Minced Wonton ND No Egg with Pumpkin _x000a_+ Vegetable 5 pcs Tomka"/>
    <s v="082SR9U24003P00001"/>
    <s v="302g*4c*6in"/>
    <n v="24"/>
    <n v="3"/>
    <n v="6.0000000000000001E-3"/>
    <s v="BK"/>
    <s v="Salt"/>
    <s v="Tomkha+CM"/>
    <n v="700"/>
    <n v="375"/>
    <n v="325"/>
    <n v="0"/>
    <n v="0"/>
    <n v="0"/>
    <n v="3.8699999999999998E-2"/>
    <n v="0"/>
    <s v="ถ้าว,ฝา สีขาว"/>
    <n v="0"/>
    <n v="0"/>
  </r>
  <r>
    <m/>
    <x v="918"/>
    <d v="2026-09-07T00:00:00"/>
    <x v="2"/>
    <e v="#N/A"/>
    <x v="7"/>
    <s v="DRY2600214"/>
    <s v="New Zealand"/>
    <s v="CPFNW"/>
    <s v="Lim Brothers Import&amp;Export Co.,Ltd."/>
    <s v="Minced ND+V+TK"/>
    <x v="1"/>
    <s v="Cooked Minced  ND No Egg with Pumpkin_x000a_+ Yu Choy Tomkha"/>
    <s v="082SRN708003P01001"/>
    <s v="302g*8"/>
    <n v="8"/>
    <n v="3"/>
    <n v="6.0000000000000001E-3"/>
    <s v="BK"/>
    <s v="Salt"/>
    <s v="Tomkha+CM"/>
    <n v="324"/>
    <m/>
    <n v="378.5"/>
    <n v="54.5"/>
    <n v="0"/>
    <n v="0"/>
    <n v="5.8823E-2"/>
    <n v="0"/>
    <m/>
    <n v="0"/>
    <n v="0"/>
  </r>
  <r>
    <m/>
    <x v="918"/>
    <d v="2026-09-16T00:00:00"/>
    <x v="2"/>
    <e v="#N/A"/>
    <x v="7"/>
    <s v="DRY2600224"/>
    <s v="AUS"/>
    <s v="CPFNW"/>
    <s v="CPF Australia Pty Ltd."/>
    <s v="Minced ND+V+TK"/>
    <x v="1"/>
    <s v="Cooked Minced  ND No Egg with Pumpkin_x000a_+ Yu Choy Tomkha"/>
    <s v="082SR9U08003P01001"/>
    <s v="302g*8"/>
    <n v="8"/>
    <n v="3"/>
    <n v="6.0000000000000001E-3"/>
    <s v="BK"/>
    <s v="Salt"/>
    <s v="Tomkha+CM"/>
    <n v="300"/>
    <m/>
    <n v="330.25"/>
    <n v="30.25"/>
    <n v="0"/>
    <n v="0"/>
    <n v="5.8823E-2"/>
    <n v="0"/>
    <m/>
    <n v="0"/>
    <n v="0"/>
  </r>
  <r>
    <m/>
    <x v="919"/>
    <d v="2026-09-09T00:00:00"/>
    <x v="2"/>
    <e v="#N/A"/>
    <x v="7"/>
    <s v="DRY2600177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919"/>
    <d v="2026-09-16T00:00:00"/>
    <x v="2"/>
    <e v="#N/A"/>
    <x v="7"/>
    <s v="DRY2600201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919"/>
    <d v="2026-09-16T00:00:00"/>
    <x v="2"/>
    <e v="#N/A"/>
    <x v="7"/>
    <s v="DRY2600202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919"/>
    <d v="2026-09-15T00:00:00"/>
    <x v="2"/>
    <e v="#N/A"/>
    <x v="7"/>
    <s v="DRY2600176"/>
    <s v="UK"/>
    <s v="CPFNW"/>
    <s v="Westbridge Foods Limited (One UK)"/>
    <s v="Minced ND+V+น้ำราดเป็ด"/>
    <x v="1"/>
    <s v="Cooked Minced Wonton Garlic &amp; Soy Noodles+Yu Choy &quot;Kitchen Joy&quot;"/>
    <s v="082SRKW12003P03001"/>
    <s v="320g*12ถ้วย"/>
    <n v="12"/>
    <n v="3"/>
    <n v="6.1999999999999998E-3"/>
    <s v="BK"/>
    <s v="Salt"/>
    <s v="น้ำราดเป็ด"/>
    <n v="2278"/>
    <m/>
    <n v="2337.1666666666665"/>
    <n v="59.166666666666515"/>
    <n v="0"/>
    <n v="0"/>
    <m/>
    <n v="0"/>
    <s v="ถ้าว,ฝา สีขาว New Package"/>
    <n v="0"/>
    <n v="0"/>
  </r>
  <r>
    <m/>
    <x v="920"/>
    <m/>
    <x v="2"/>
    <e v="#N/A"/>
    <x v="7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921"/>
    <m/>
    <x v="2"/>
    <e v="#N/A"/>
    <x v="7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922"/>
    <d v="2026-09-08T00:00:00"/>
    <x v="2"/>
    <e v="#N/A"/>
    <x v="7"/>
    <s v="DRY2600146"/>
    <s v="Netherlands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n v="1254"/>
    <n v="34"/>
    <n v="0"/>
    <n v="0"/>
    <n v="0"/>
    <n v="7.4999999999999997E-3"/>
    <n v="0"/>
    <s v="ถ้าว,ฝา สีขาว/Halal/ New Design"/>
    <n v="0"/>
    <n v="0"/>
  </r>
  <r>
    <m/>
    <x v="922"/>
    <d v="2026-09-22T00:00:00"/>
    <x v="2"/>
    <e v="#N/A"/>
    <x v="7"/>
    <s v="DRY2600196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n v="0"/>
    <n v="7.4999999999999997E-3"/>
    <n v="0"/>
    <m/>
    <n v="0"/>
    <n v="0"/>
  </r>
  <r>
    <m/>
    <x v="922"/>
    <d v="2026-09-15T00:00:00"/>
    <x v="2"/>
    <e v="#N/A"/>
    <x v="7"/>
    <s v="DRY2600193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44"/>
    <n v="744"/>
    <m/>
    <n v="0"/>
    <n v="0"/>
    <n v="0"/>
    <n v="9.7000000000000003E-3"/>
    <n v="0"/>
    <s v="สั่งซุป"/>
    <n v="0"/>
    <n v="0"/>
  </r>
  <r>
    <m/>
    <x v="922"/>
    <d v="2026-10-01T00:00:00"/>
    <x v="2"/>
    <e v="#N/A"/>
    <x v="7"/>
    <s v="DRY2600197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"/>
    <n v="7"/>
    <m/>
    <n v="0"/>
    <n v="0"/>
    <n v="0"/>
    <n v="9.7000000000000003E-3"/>
    <n v="0"/>
    <s v="สั่งซุป &amp; ingredient"/>
    <n v="0"/>
    <n v="0"/>
  </r>
  <r>
    <m/>
    <x v="923"/>
    <s v="09-2026"/>
    <x v="2"/>
    <e v="#N/A"/>
    <x v="7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4899"/>
    <n v="4899"/>
    <m/>
    <n v="0"/>
    <n v="0"/>
    <n v="0"/>
    <n v="7.4999999999999997E-3"/>
    <n v="0"/>
    <s v="Add Potassium"/>
    <n v="0"/>
    <n v="0"/>
  </r>
  <r>
    <m/>
    <x v="924"/>
    <s v="09-2026"/>
    <x v="2"/>
    <e v="#N/A"/>
    <x v="7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2568"/>
    <n v="2568"/>
    <m/>
    <n v="0"/>
    <n v="0"/>
    <n v="0"/>
    <n v="7.4999999999999997E-3"/>
    <n v="0"/>
    <s v="Add Potassium"/>
    <n v="0"/>
    <n v="0"/>
  </r>
  <r>
    <m/>
    <x v="924"/>
    <s v="10-2026"/>
    <x v="2"/>
    <e v="#N/A"/>
    <x v="7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136"/>
    <n v="136"/>
    <m/>
    <n v="0"/>
    <n v="0"/>
    <n v="0"/>
    <n v="7.4999999999999997E-3"/>
    <n v="0"/>
    <s v="Add Potassium"/>
    <n v="0"/>
    <n v="0"/>
  </r>
  <r>
    <m/>
    <x v="924"/>
    <s v="09-2026"/>
    <x v="2"/>
    <e v="#N/A"/>
    <x v="7"/>
    <s v="ขายภายใน"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1915"/>
    <n v="1915"/>
    <m/>
    <n v="0"/>
    <n v="0"/>
    <n v="0"/>
    <n v="7.4999999999999997E-3"/>
    <n v="0"/>
    <m/>
    <n v="0"/>
    <n v="0"/>
  </r>
  <r>
    <m/>
    <x v="925"/>
    <d v="2026-10-06T00:00:00"/>
    <x v="2"/>
    <e v="#N/A"/>
    <x v="7"/>
    <s v="DRY2600216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n v="0"/>
    <n v="7.4999999999999997E-3"/>
    <n v="0"/>
    <m/>
    <n v="0"/>
    <n v="0"/>
  </r>
  <r>
    <m/>
    <x v="925"/>
    <s v="09-2026"/>
    <x v="2"/>
    <e v="#N/A"/>
    <x v="7"/>
    <s v="ขายภายใน"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3288"/>
    <n v="3288"/>
    <m/>
    <n v="0"/>
    <n v="0"/>
    <n v="0"/>
    <n v="7.4999999999999997E-3"/>
    <n v="0"/>
    <m/>
    <n v="0"/>
    <n v="0"/>
  </r>
  <r>
    <m/>
    <x v="925"/>
    <s v="10-2026"/>
    <x v="2"/>
    <e v="#N/A"/>
    <x v="7"/>
    <s v="ขายภายใน"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193"/>
    <n v="193"/>
    <m/>
    <n v="0"/>
    <n v="0"/>
    <n v="0"/>
    <n v="7.4999999999999997E-3"/>
    <n v="0"/>
    <m/>
    <n v="0"/>
    <n v="0"/>
  </r>
  <r>
    <m/>
    <x v="926"/>
    <d v="2026-09-24T00:00:00"/>
    <x v="2"/>
    <e v="#N/A"/>
    <x v="7"/>
    <s v="DRY2600203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926"/>
    <d v="2026-09-24T00:00:00"/>
    <x v="2"/>
    <e v="#N/A"/>
    <x v="7"/>
    <s v="DRY2600204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594"/>
    <n v="198"/>
    <n v="0"/>
    <n v="0"/>
    <n v="0"/>
    <n v="7.4999999999999997E-3"/>
    <n v="0"/>
    <m/>
    <n v="0"/>
    <n v="0"/>
  </r>
  <r>
    <s v="มีบันทึกจองซุป"/>
    <x v="926"/>
    <d v="2026-09-17T00:00:00"/>
    <x v="2"/>
    <e v="#N/A"/>
    <x v="7"/>
    <s v="DRY2600232"/>
    <s v="AUS"/>
    <s v="CPFNW"/>
    <s v="CPF Australia Pty Ltd."/>
    <s v="Minced ND+V+TK"/>
    <x v="1"/>
    <s v="Cooked Minced Wonton ND No Egg with Pumpkin _x000a_+ Vegetable 5 pcs Tomka"/>
    <s v="082SR9U24003P00001"/>
    <s v="302g*4c*6in"/>
    <n v="24"/>
    <n v="3"/>
    <n v="6.0000000000000001E-3"/>
    <s v="BK"/>
    <s v="Salt"/>
    <s v="Tomkha+CM"/>
    <n v="700"/>
    <n v="607"/>
    <n v="14.416666666666666"/>
    <n v="-78.583333333333371"/>
    <n v="1886"/>
    <n v="5658"/>
    <n v="3.8699999999999998E-2"/>
    <n v="72.988199999999992"/>
    <s v="ถ้าว,ฝา สีขาว"/>
    <n v="3.3948000000000006E-2"/>
    <n v="6.2866666666666668E-2"/>
  </r>
  <r>
    <m/>
    <x v="926"/>
    <d v="2026-09-29T00:00:00"/>
    <x v="2"/>
    <e v="#N/A"/>
    <x v="7"/>
    <s v="DRY2600215"/>
    <s v="Germany"/>
    <s v="CPFNW"/>
    <s v=" CPF Distribution (under Paulsen Food)"/>
    <s v="Minced ND+V+TK"/>
    <x v="1"/>
    <s v="Cooked Minced  ND No Egg with Pumpkin_x000a_+ Yu Choy Tomkha"/>
    <s v="082SR3N12003P01001"/>
    <s v="302g*12"/>
    <n v="12"/>
    <n v="3"/>
    <n v="6.0000000000000001E-3"/>
    <s v="BK"/>
    <s v="Salt"/>
    <s v="Tomkha+CM"/>
    <n v="2278"/>
    <m/>
    <n v="2523.8333333333335"/>
    <n v="245.83333333333348"/>
    <n v="0"/>
    <n v="0"/>
    <n v="5.8823E-2"/>
    <n v="0"/>
    <m/>
    <n v="0"/>
    <n v="0"/>
  </r>
  <r>
    <m/>
    <x v="927"/>
    <m/>
    <x v="2"/>
    <e v="#N/A"/>
    <x v="7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928"/>
    <m/>
    <x v="2"/>
    <e v="#N/A"/>
    <x v="8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929"/>
    <d v="2026-10-05T00:00:00"/>
    <x v="2"/>
    <e v="#N/A"/>
    <x v="8"/>
    <s v="DRY2600182"/>
    <s v="SG"/>
    <s v="CPFNW"/>
    <s v="CP FOODS SINGAPORE PTE. LTD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1200"/>
    <m/>
    <n v="1228"/>
    <n v="28"/>
    <n v="0"/>
    <n v="0"/>
    <n v="2"/>
    <n v="0"/>
    <s v="ห่อแบบสุก"/>
    <n v="0"/>
    <n v="0"/>
  </r>
  <r>
    <s v="T"/>
    <x v="929"/>
    <d v="2026-09-22T00:00:00"/>
    <x v="2"/>
    <e v="#N/A"/>
    <x v="8"/>
    <s v="DRY2600194"/>
    <s v="Malay"/>
    <s v="CPFNW"/>
    <s v="CPM Malaysia"/>
    <s v="C-Minced WT in tray no egg"/>
    <x v="1"/>
    <s v="VA GYOZA KC TRAY HOTPOT MYS CP 24x4 PCS"/>
    <s v="082SM5I24004P00001"/>
    <s v="98g*24tray"/>
    <n v="24"/>
    <n v="4"/>
    <n v="6.0000000000000001E-3"/>
    <s v="BK"/>
    <s v="Salt"/>
    <s v=" HOTPOT 10g"/>
    <n v="925"/>
    <n v="925"/>
    <m/>
    <n v="0"/>
    <n v="0"/>
    <n v="0"/>
    <n v="1"/>
    <n v="0"/>
    <m/>
    <n v="0"/>
    <n v="0"/>
  </r>
  <r>
    <s v="R"/>
    <x v="930"/>
    <d v="2026-10-05T00:00:00"/>
    <x v="2"/>
    <e v="#N/A"/>
    <x v="8"/>
    <s v="DRY2600209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473"/>
    <n v="463"/>
    <n v="10"/>
    <n v="0"/>
    <n v="0"/>
    <n v="0"/>
    <n v="6"/>
    <n v="0"/>
    <m/>
    <n v="0"/>
    <n v="0"/>
  </r>
  <r>
    <s v="T"/>
    <x v="930"/>
    <d v="2026-09-22T00:00:00"/>
    <x v="2"/>
    <e v="#N/A"/>
    <x v="8"/>
    <s v="DRY2600194"/>
    <s v="Malay"/>
    <s v="CPFNW"/>
    <s v="CPM Malaysia"/>
    <s v="C-Minced WT in tray no egg"/>
    <x v="1"/>
    <s v="VA GYOZA KC TRAY HOTPOT MYS CP 24x4 PCS"/>
    <s v="082SM5I24004P00001"/>
    <s v="98g*24tray"/>
    <n v="24"/>
    <n v="4"/>
    <n v="6.0000000000000001E-3"/>
    <s v="BK"/>
    <s v="Salt"/>
    <s v=" HOTPOT 10g"/>
    <n v="1366"/>
    <n v="1366"/>
    <m/>
    <n v="0"/>
    <n v="0"/>
    <n v="0"/>
    <n v="1"/>
    <n v="0"/>
    <m/>
    <n v="0"/>
    <n v="0"/>
  </r>
  <r>
    <s v="R"/>
    <x v="931"/>
    <d v="2026-10-05T00:00:00"/>
    <x v="2"/>
    <e v="#N/A"/>
    <x v="8"/>
    <s v="DRY2600209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782"/>
    <n v="782"/>
    <m/>
    <n v="0"/>
    <n v="0"/>
    <n v="0"/>
    <n v="6"/>
    <n v="0"/>
    <m/>
    <n v="0"/>
    <n v="0"/>
  </r>
  <r>
    <s v="T"/>
    <x v="931"/>
    <d v="2026-09-22T00:00:00"/>
    <x v="2"/>
    <e v="#N/A"/>
    <x v="8"/>
    <s v="DRY2600194"/>
    <s v="Malay"/>
    <s v="CPFNW"/>
    <s v="CPM Malaysia"/>
    <s v="C-Minced WT in tray no egg"/>
    <x v="1"/>
    <s v="VA GYOZA KC TRAY HOTPOT MYS CP 24x4 PCS"/>
    <s v="082SM5I24004P00001"/>
    <s v="98g*24tray"/>
    <n v="24"/>
    <n v="4"/>
    <n v="6.0000000000000001E-3"/>
    <s v="BK"/>
    <s v="Salt"/>
    <s v=" HOTPOT 10g"/>
    <n v="209"/>
    <n v="209"/>
    <m/>
    <n v="0"/>
    <n v="0"/>
    <n v="0"/>
    <n v="1"/>
    <n v="0"/>
    <m/>
    <n v="0"/>
    <n v="0"/>
  </r>
  <r>
    <m/>
    <x v="931"/>
    <d v="2026-10-05T00:00:00"/>
    <x v="2"/>
    <e v="#N/A"/>
    <x v="8"/>
    <s v="DRY2600230"/>
    <s v="Korea"/>
    <s v="CPFNW"/>
    <s v="Emart"/>
    <s v="Minced WT"/>
    <x v="1"/>
    <s v="Cooked Minced Wonton"/>
    <s v="082SKEJ36006P00001"/>
    <s v="191g*6c*6in"/>
    <n v="36"/>
    <n v="5"/>
    <n v="6.0000000000000001E-3"/>
    <s v="BK"/>
    <s v="Salt"/>
    <s v="Regular"/>
    <n v="874"/>
    <n v="872"/>
    <n v="54.027777777777779"/>
    <n v="52.027777777777828"/>
    <n v="0"/>
    <n v="0"/>
    <n v="7.4999999999999997E-3"/>
    <n v="0"/>
    <s v="RM &amp; FG ต้องตรวจตามข้อกำหนดลูกค้า"/>
    <n v="0"/>
    <n v="0"/>
  </r>
  <r>
    <m/>
    <x v="931"/>
    <s v="10-2026"/>
    <x v="2"/>
    <e v="#N/A"/>
    <x v="8"/>
    <s v="ขายภายใน"/>
    <s v="MTFS"/>
    <s v="CPFGS"/>
    <s v="ซีพีเอฟ เทรดดิ้ง"/>
    <s v="Wonton ND"/>
    <x v="1"/>
    <s v="บะหมี่เกี๊ยวกุ้งซุปสุกี้ CPxMK 227g MT"/>
    <s v="082SJ3Q12003P0A001"/>
    <s v="227g*12"/>
    <n v="12"/>
    <n v="3"/>
    <n v="8.0000000000000002E-3"/>
    <s v="SS"/>
    <s v="STPP"/>
    <s v="MK"/>
    <n v="2500"/>
    <n v="2502"/>
    <n v="36.666666666666664"/>
    <n v="38.666666666666515"/>
    <n v="0"/>
    <n v="0"/>
    <n v="0.05"/>
    <n v="0"/>
    <s v="เปลี่ยนใช้ผักกวางตุ้งแบบแช่แข็ง"/>
    <n v="0"/>
    <n v="0"/>
  </r>
  <r>
    <s v="R"/>
    <x v="932"/>
    <d v="2026-10-05T00:00:00"/>
    <x v="2"/>
    <e v="#N/A"/>
    <x v="8"/>
    <s v="DRY2600209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801"/>
    <n v="801"/>
    <m/>
    <n v="0"/>
    <n v="0"/>
    <n v="0"/>
    <n v="6"/>
    <n v="0"/>
    <m/>
    <n v="0"/>
    <n v="0"/>
  </r>
  <r>
    <m/>
    <x v="932"/>
    <d v="2026-10-01T00:00:00"/>
    <x v="2"/>
    <e v="#N/A"/>
    <x v="8"/>
    <s v="DRY2600197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85"/>
    <n v="785"/>
    <m/>
    <n v="0"/>
    <n v="0"/>
    <n v="0"/>
    <n v="9.7000000000000003E-3"/>
    <n v="0"/>
    <s v="สั่งซุป &amp; ingredient"/>
    <n v="0"/>
    <n v="0"/>
  </r>
  <r>
    <m/>
    <x v="932"/>
    <d v="2026-10-01T00:00:00"/>
    <x v="2"/>
    <e v="#N/A"/>
    <x v="8"/>
    <s v="DRY2600198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s v="สั่งซุป &amp; ingredient"/>
    <n v="0"/>
    <n v="0"/>
  </r>
  <r>
    <m/>
    <x v="932"/>
    <d v="2026-10-08T00:00:00"/>
    <x v="2"/>
    <e v="#N/A"/>
    <x v="8"/>
    <s v="DRY2600199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n v="792"/>
    <m/>
    <n v="0"/>
    <n v="0"/>
    <n v="0"/>
    <n v="9.7000000000000003E-3"/>
    <n v="0"/>
    <s v="สั่งซุป &amp; ingredient"/>
    <n v="0"/>
    <n v="0"/>
  </r>
  <r>
    <m/>
    <x v="932"/>
    <d v="2026-10-15T00:00:00"/>
    <x v="2"/>
    <e v="#N/A"/>
    <x v="8"/>
    <s v="DRY2600200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11"/>
    <n v="11"/>
    <m/>
    <n v="0"/>
    <n v="0"/>
    <n v="0"/>
    <n v="9.7000000000000003E-3"/>
    <n v="0"/>
    <s v="สั่งซุป &amp; ingredient"/>
    <n v="0"/>
    <n v="0"/>
  </r>
  <r>
    <m/>
    <x v="933"/>
    <d v="2026-09-24T00:00:00"/>
    <x v="2"/>
    <e v="#N/A"/>
    <x v="8"/>
    <s v="DRY2600207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933"/>
    <d v="2026-10-01T00:00:00"/>
    <x v="2"/>
    <e v="#N/A"/>
    <x v="8"/>
    <s v="DRY2600208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n v="0"/>
    <n v="7.4999999999999997E-3"/>
    <n v="0"/>
    <m/>
    <n v="0"/>
    <n v="0"/>
  </r>
  <r>
    <m/>
    <x v="933"/>
    <d v="2026-10-01T00:00:00"/>
    <x v="2"/>
    <e v="#N/A"/>
    <x v="8"/>
    <s v="DRY2600213"/>
    <s v="AUS"/>
    <s v="CPFNW"/>
    <s v="CPF Australia Pty Ltd.(Woolworth)"/>
    <s v="Wonton ND+V"/>
    <x v="1"/>
    <s v="Cooked Wonton ND No Egg with Pumpkin_x000a_+ Yu Choy "/>
    <s v="082SJ9U05004P00001"/>
    <s v="305g*5"/>
    <n v="5"/>
    <n v="4"/>
    <n v="7.4999999999999997E-3"/>
    <s v="HC"/>
    <s v="Salt"/>
    <s v="Regular"/>
    <n v="5076"/>
    <m/>
    <n v="5076"/>
    <n v="0"/>
    <n v="0"/>
    <n v="0"/>
    <n v="7.4999999999999997E-3"/>
    <n v="0"/>
    <s v="ถ้าว,ฝา สีขาว"/>
    <n v="0"/>
    <n v="0"/>
  </r>
  <r>
    <m/>
    <x v="933"/>
    <d v="2026-10-05T00:00:00"/>
    <x v="2"/>
    <e v="#N/A"/>
    <x v="8"/>
    <s v="DRY2600181"/>
    <s v="SG"/>
    <s v="CPFNW"/>
    <s v="CP FOODS SINGAPORE PTE. LTD"/>
    <s v="Wonton ND+V"/>
    <x v="1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200"/>
    <n v="183"/>
    <m/>
    <n v="-17"/>
    <n v="408"/>
    <n v="1224"/>
    <n v="1"/>
    <n v="408"/>
    <m/>
    <n v="9.1799999999999989E-3"/>
    <n v="1.6999999999999998E-2"/>
  </r>
  <r>
    <m/>
    <x v="933"/>
    <d v="2026-10-05T00:00:00"/>
    <x v="2"/>
    <e v="#N/A"/>
    <x v="8"/>
    <s v="DRY2600206"/>
    <s v="SG"/>
    <s v="CPFNW"/>
    <s v="CP FOODS SINGAPORE PTE. LTD"/>
    <s v="Wonton ND+V"/>
    <x v="1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250"/>
    <n v="250"/>
    <m/>
    <n v="0"/>
    <n v="0"/>
    <n v="0"/>
    <n v="1"/>
    <n v="0"/>
    <m/>
    <n v="0"/>
    <n v="0"/>
  </r>
  <r>
    <m/>
    <x v="934"/>
    <m/>
    <x v="2"/>
    <e v="#N/A"/>
    <x v="8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935"/>
    <m/>
    <x v="2"/>
    <e v="#N/A"/>
    <x v="8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936"/>
    <s v="10-2026"/>
    <x v="2"/>
    <e v="#N/A"/>
    <x v="8"/>
    <s v="ขายภายใน"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1500"/>
    <m/>
    <n v="80.666666666666671"/>
    <n v="-1419.3333333333333"/>
    <n v="25548"/>
    <n v="127740"/>
    <n v="1"/>
    <n v="25548"/>
    <s v="Add Potassium"/>
    <n v="1.0219200000000002"/>
    <n v="1.8924444444444446"/>
  </r>
  <r>
    <s v="CP Laos"/>
    <x v="936"/>
    <d v="2026-10-05T00:00:00"/>
    <x v="2"/>
    <e v="#N/A"/>
    <x v="8"/>
    <s v="LA016/2569"/>
    <s v="Laos"/>
    <s v="Laos"/>
    <s v="บริษัท ปิก้าเทรดดิ้ง จำกัด"/>
    <s v="E+Wonton"/>
    <x v="1"/>
    <s v="เกี๊ยวกุ้งจักรพรรดิ 12x145g."/>
    <s v="082S8L212005P00001"/>
    <s v="145g*12"/>
    <n v="12"/>
    <n v="5"/>
    <n v="8.0000000000000002E-3"/>
    <s v="M"/>
    <s v="STPP"/>
    <s v="Regular"/>
    <n v="200"/>
    <m/>
    <m/>
    <n v="-200"/>
    <n v="2400"/>
    <n v="12000"/>
    <n v="7.4999999999999997E-3"/>
    <n v="18"/>
    <s v="Add Potassium"/>
    <n v="9.6000000000000002E-2"/>
    <n v="0.17777777777777776"/>
  </r>
  <r>
    <s v="ชมรมกอล์ฟ ซีพี"/>
    <x v="936"/>
    <s v="10-2026"/>
    <x v="2"/>
    <e v="#N/A"/>
    <x v="8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0"/>
    <s v="145g*12"/>
    <n v="12"/>
    <n v="5"/>
    <n v="8.0000000000000002E-3"/>
    <s v="M"/>
    <s v="STPP"/>
    <s v="Regular"/>
    <n v="12"/>
    <m/>
    <m/>
    <n v="-12"/>
    <n v="144"/>
    <n v="720"/>
    <n v="7.4999999999999997E-3"/>
    <n v="1.08"/>
    <s v="Add Potassium"/>
    <n v="5.7599999999999995E-3"/>
    <n v="1.0666666666666665E-2"/>
  </r>
  <r>
    <m/>
    <x v="936"/>
    <s v="10-2026"/>
    <x v="2"/>
    <e v="#N/A"/>
    <x v="8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1"/>
    <s v="145g*12"/>
    <n v="12"/>
    <n v="5"/>
    <n v="8.0000000000000002E-3"/>
    <s v="M"/>
    <s v="STPP"/>
    <s v="Regular"/>
    <n v="2500"/>
    <m/>
    <m/>
    <n v="-2500"/>
    <n v="30000"/>
    <n v="150000"/>
    <n v="7.4999999999999997E-3"/>
    <n v="225"/>
    <s v="Add Potassium"/>
    <n v="1.2"/>
    <n v="2.2222222222222219"/>
  </r>
  <r>
    <m/>
    <x v="936"/>
    <s v="10-2026"/>
    <x v="2"/>
    <e v="#N/A"/>
    <x v="8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300"/>
    <m/>
    <m/>
    <n v="-300"/>
    <n v="3600"/>
    <n v="18000"/>
    <n v="7.4999999999999997E-3"/>
    <n v="27"/>
    <s v="Add Potassium"/>
    <n v="0.108"/>
    <n v="0.19999999999999998"/>
  </r>
  <r>
    <m/>
    <x v="936"/>
    <s v="09-2026"/>
    <x v="2"/>
    <e v="#N/A"/>
    <x v="8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200"/>
    <m/>
    <m/>
    <n v="-200"/>
    <n v="2400"/>
    <n v="7200"/>
    <n v="7.4999999999999997E-3"/>
    <n v="18"/>
    <s v="Add Potassium"/>
    <n v="4.3200000000000002E-2"/>
    <n v="0.08"/>
  </r>
  <r>
    <m/>
    <x v="936"/>
    <s v="10-2026"/>
    <x v="2"/>
    <e v="#N/A"/>
    <x v="8"/>
    <s v="ขายภายใน"/>
    <s v="MTFS"/>
    <s v="CPFGS"/>
    <s v="ซีพีเอฟ เทรดดิ้ง"/>
    <s v="E+Wonton NDE"/>
    <x v="1"/>
    <s v="บะหมี่เกี๊ยวกุ้ง ตราซีพี 12X226 กรัม"/>
    <s v="082SJ3Q12003P07001"/>
    <s v="226g*12"/>
    <n v="12"/>
    <n v="3"/>
    <n v="8.0000000000000002E-3"/>
    <s v="M"/>
    <s v="STPP"/>
    <s v="Regular"/>
    <n v="500"/>
    <m/>
    <m/>
    <n v="-500"/>
    <n v="6000"/>
    <n v="18000"/>
    <n v="7.4999999999999997E-3"/>
    <n v="45"/>
    <s v="Add Potassium"/>
    <n v="0.14399999999999999"/>
    <n v="0.26666666666666661"/>
  </r>
  <r>
    <m/>
    <x v="936"/>
    <s v="10-2026"/>
    <x v="2"/>
    <e v="#N/A"/>
    <x v="8"/>
    <s v="ขายภายใน"/>
    <s v="MTFS"/>
    <s v="CPFGS"/>
    <s v="ซีพีเอฟ เทรดดิ้ง"/>
    <s v="E+Wonton NDE"/>
    <x v="1"/>
    <s v="บะหมี่เกี๊ยวกุ้ง ตราซีพี 12X226 กรัม"/>
    <s v="082SJ3Q12003P07001"/>
    <s v="226g*12"/>
    <n v="12"/>
    <n v="3"/>
    <n v="8.0000000000000002E-3"/>
    <s v="M"/>
    <s v="STPP"/>
    <s v="Regular"/>
    <n v="500"/>
    <m/>
    <m/>
    <n v="-500"/>
    <n v="6000"/>
    <n v="18000"/>
    <n v="7.4999999999999997E-3"/>
    <n v="45"/>
    <s v="Add Potassium"/>
    <n v="0.14399999999999999"/>
    <n v="0.26666666666666661"/>
  </r>
  <r>
    <m/>
    <x v="936"/>
    <s v="10-2026"/>
    <x v="2"/>
    <e v="#N/A"/>
    <x v="8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s v="SS"/>
    <s v="STPP"/>
    <s v="หมาล่า"/>
    <n v="1200"/>
    <m/>
    <n v="64"/>
    <n v="-1136"/>
    <n v="27264"/>
    <n v="81792"/>
    <n v="1.83E-2"/>
    <n v="498.93119999999999"/>
    <m/>
    <n v="0.50711039999999996"/>
    <n v="0.93909333333333322"/>
  </r>
  <r>
    <m/>
    <x v="937"/>
    <s v="10-2026"/>
    <x v="2"/>
    <e v="#N/A"/>
    <x v="8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4842"/>
    <m/>
    <m/>
    <n v="-4842"/>
    <n v="116208"/>
    <n v="581040"/>
    <n v="7.4999999999999997E-3"/>
    <n v="871.56"/>
    <m/>
    <n v="4.64832"/>
    <n v="8.6079999999999988"/>
  </r>
  <r>
    <m/>
    <x v="938"/>
    <s v="10-2026"/>
    <x v="2"/>
    <e v="#N/A"/>
    <x v="8"/>
    <s v="ขายภายใน"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4842"/>
    <m/>
    <m/>
    <n v="-4842"/>
    <n v="116208"/>
    <n v="581040"/>
    <n v="7.4999999999999997E-3"/>
    <n v="871.56"/>
    <m/>
    <n v="3.6024479999999999"/>
    <n v="6.6711999999999989"/>
  </r>
  <r>
    <m/>
    <x v="939"/>
    <s v="10-2026"/>
    <x v="2"/>
    <e v="#N/A"/>
    <x v="8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4842"/>
    <m/>
    <m/>
    <n v="-4842"/>
    <n v="116208"/>
    <n v="581040"/>
    <n v="7.4999999999999997E-3"/>
    <n v="871.56"/>
    <m/>
    <n v="4.64832"/>
    <n v="8.6079999999999988"/>
  </r>
  <r>
    <m/>
    <x v="940"/>
    <d v="2026-10-08T00:00:00"/>
    <x v="2"/>
    <e v="#N/A"/>
    <x v="8"/>
    <s v="DRY2600219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m/>
    <n v="35.305555555555557"/>
    <n v="-756.69444444444446"/>
    <n v="27241"/>
    <n v="136205"/>
    <n v="7.4999999999999997E-3"/>
    <n v="204.3075"/>
    <m/>
    <n v="1.0215375"/>
    <n v="1.8917361111111111"/>
  </r>
  <r>
    <m/>
    <x v="940"/>
    <d v="2026-10-08T00:00:00"/>
    <x v="2"/>
    <e v="#N/A"/>
    <x v="8"/>
    <s v="DRY2600220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m/>
    <m/>
    <n v="-792"/>
    <n v="28512"/>
    <n v="142560"/>
    <n v="7.4999999999999997E-3"/>
    <n v="213.84"/>
    <m/>
    <n v="1.0692000000000002"/>
    <n v="1.9800000000000002"/>
  </r>
  <r>
    <m/>
    <x v="940"/>
    <d v="2026-10-08T00:00:00"/>
    <x v="2"/>
    <e v="#N/A"/>
    <x v="8"/>
    <s v="DRY2600221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m/>
    <m/>
    <n v="-792"/>
    <n v="28512"/>
    <n v="142560"/>
    <n v="7.4999999999999997E-3"/>
    <n v="213.84"/>
    <m/>
    <n v="1.0692000000000002"/>
    <n v="1.9800000000000002"/>
  </r>
  <r>
    <m/>
    <x v="940"/>
    <d v="2026-10-15T00:00:00"/>
    <x v="2"/>
    <e v="#N/A"/>
    <x v="8"/>
    <s v="DRY2600234"/>
    <s v="AUS"/>
    <s v="CPFNW"/>
    <s v="CPF Australia Pty Ltd.(Woolworth)"/>
    <s v="Wonton ND+V"/>
    <x v="1"/>
    <s v="Cooked Wonton ND No Egg with Pumpkin_x000a_+ Yu Choy "/>
    <s v="082SJ9U05004P00001"/>
    <s v="305g*5"/>
    <n v="5"/>
    <n v="4"/>
    <n v="7.4999999999999997E-3"/>
    <s v="HC"/>
    <s v="Salt"/>
    <s v="Regular"/>
    <n v="5076"/>
    <m/>
    <n v="22.6"/>
    <n v="-5053.3999999999996"/>
    <n v="25267"/>
    <n v="101068"/>
    <n v="7.4999999999999997E-3"/>
    <n v="189.5025"/>
    <s v="ถ้าว,ฝา สีขาว"/>
    <n v="0.75800999999999996"/>
    <n v="1.4037222222222221"/>
  </r>
  <r>
    <m/>
    <x v="941"/>
    <m/>
    <x v="2"/>
    <e v="#N/A"/>
    <x v="8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942"/>
    <m/>
    <x v="2"/>
    <e v="#N/A"/>
    <x v="8"/>
    <m/>
    <m/>
    <m/>
    <m/>
    <m/>
    <x v="0"/>
    <m/>
    <m/>
    <m/>
    <m/>
    <m/>
    <m/>
    <m/>
    <m/>
    <m/>
    <m/>
    <m/>
    <m/>
    <m/>
    <m/>
    <n v="0"/>
    <m/>
    <m/>
    <m/>
    <m/>
    <m/>
  </r>
  <r>
    <s v="retort 11/09/26"/>
    <x v="943"/>
    <d v="2026-09-29T00:00:00"/>
    <x v="2"/>
    <e v="#N/A"/>
    <x v="8"/>
    <s v="DRY2600175"/>
    <s v="UK"/>
    <s v="CPFNW"/>
    <s v="Westbridge Foods Limited (One UK)"/>
    <s v="Noodles+BC"/>
    <x v="1"/>
    <s v="Crispy Chilli Oil Biang Biang Noodles+BC &quot;Kitchen Joy&quot;"/>
    <s v="082SLKW12310G00001"/>
    <s v="310g*12ถ้วย"/>
    <n v="12"/>
    <n v="3"/>
    <n v="0.01"/>
    <s v="Aubergine"/>
    <s v="-"/>
    <s v="Soy Sauce"/>
    <n v="2278"/>
    <m/>
    <m/>
    <n v="-2278"/>
    <n v="27336"/>
    <n v="82008"/>
    <m/>
    <n v="0"/>
    <s v="ถ้าว,ฝา สีขาว New Package 1,800/HR"/>
    <n v="0.82007999999999992"/>
    <n v="1.5186666666666664"/>
  </r>
  <r>
    <s v="R"/>
    <x v="944"/>
    <s v="09-2026"/>
    <x v="2"/>
    <e v="#N/A"/>
    <x v="8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s v="-"/>
    <n v="400"/>
    <m/>
    <m/>
    <n v="-400"/>
    <n v="4800"/>
    <n v="96000"/>
    <m/>
    <n v="0"/>
    <m/>
    <n v="0.59520000000000006"/>
    <n v="1.1022222222222222"/>
  </r>
  <r>
    <s v="R"/>
    <x v="944"/>
    <d v="2026-10-01T00:00:00"/>
    <x v="2"/>
    <e v="#N/A"/>
    <x v="8"/>
    <s v="DRY2600249"/>
    <s v="Malay"/>
    <s v="CPFNW"/>
    <s v="CPM Malaysia"/>
    <s v="R-Wonton egg past"/>
    <x v="2"/>
    <s v="Raw Wonton 8 pcs (Tomyam 30g.)"/>
    <s v="082I95I18008P00001"/>
    <s v="126g*18in"/>
    <n v="18"/>
    <n v="8"/>
    <n v="6.8100000000000001E-3"/>
    <s v="S"/>
    <s v="STPP"/>
    <s v="TYTB3C 30G"/>
    <n v="100"/>
    <m/>
    <m/>
    <n v="-100"/>
    <n v="1800"/>
    <n v="14400"/>
    <n v="1"/>
    <n v="1800"/>
    <s v="new package"/>
    <n v="9.8064000000000012E-2"/>
    <n v="0.18160000000000001"/>
  </r>
  <r>
    <s v="R"/>
    <x v="944"/>
    <d v="2026-10-14T00:00:00"/>
    <x v="2"/>
    <e v="#N/A"/>
    <x v="8"/>
    <s v="DRY2600253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30"/>
    <m/>
    <m/>
    <n v="-130"/>
    <n v="1300"/>
    <n v="65000"/>
    <n v="6"/>
    <n v="7800"/>
    <s v="ใช้คำว่า “Best if Used By” แทนคำว่า Best by Date"/>
    <n v="0.44265000000000004"/>
    <n v="0.81972222222222224"/>
  </r>
  <r>
    <s v="R"/>
    <x v="944"/>
    <d v="2026-10-26T00:00:00"/>
    <x v="2"/>
    <e v="#N/A"/>
    <x v="8"/>
    <s v="DRY2600254"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150"/>
    <m/>
    <m/>
    <n v="-150"/>
    <n v="1500"/>
    <n v="75000"/>
    <n v="6"/>
    <n v="9000"/>
    <s v="ใช้คำว่า “Best if Used By” แทนคำว่า Best by Date"/>
    <n v="0.51075000000000004"/>
    <n v="0.9458333333333333"/>
  </r>
  <r>
    <s v="R"/>
    <x v="944"/>
    <d v="2026-10-01T00:00:00"/>
    <x v="2"/>
    <e v="#N/A"/>
    <x v="8"/>
    <s v="DRY2600249"/>
    <s v="Malay"/>
    <s v="CPFNW"/>
    <s v="CPM Malaysia"/>
    <s v="R-Wonton egg past"/>
    <x v="2"/>
    <s v="Raw Wonton 12 pcs"/>
    <s v="082I95I20012P02001"/>
    <s v="154g*20inner"/>
    <n v="20"/>
    <n v="12"/>
    <n v="6.8100000000000001E-3"/>
    <s v="S"/>
    <s v="STPP"/>
    <s v="ซุปซอง 5g."/>
    <n v="300"/>
    <m/>
    <m/>
    <n v="-300"/>
    <n v="6000"/>
    <n v="72000"/>
    <n v="2"/>
    <n v="12000"/>
    <s v="new package"/>
    <n v="0.49031999999999998"/>
    <n v="0.90799999999999992"/>
  </r>
  <r>
    <s v="T"/>
    <x v="944"/>
    <d v="2026-10-14T00:00:00"/>
    <x v="2"/>
    <e v="#N/A"/>
    <x v="8"/>
    <s v="DRY2600195"/>
    <s v="Malay"/>
    <s v="CPFNW"/>
    <s v="CPM Malaysia"/>
    <s v="C-Minced WT in tray no egg"/>
    <x v="1"/>
    <s v="VA GYOZA KC TRAY HOTPOT MYS CP 24x4 PCS"/>
    <s v="082SM5I24004P00001"/>
    <s v="98g*24tray"/>
    <n v="24"/>
    <n v="4"/>
    <n v="6.0000000000000001E-3"/>
    <s v="BK"/>
    <s v="Salt"/>
    <s v=" HOTPOT 10g"/>
    <n v="1250"/>
    <m/>
    <m/>
    <n v="-1250"/>
    <n v="30000"/>
    <n v="120000"/>
    <n v="1"/>
    <n v="30000"/>
    <m/>
    <n v="0.72"/>
    <n v="1.3333333333333333"/>
  </r>
  <r>
    <s v="R"/>
    <x v="945"/>
    <d v="2026-10-12T00:00:00"/>
    <x v="2"/>
    <e v="#N/A"/>
    <x v="8"/>
    <s v="DRY2600233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1900"/>
    <m/>
    <m/>
    <n v="-1900"/>
    <n v="34200"/>
    <n v="273600"/>
    <n v="1"/>
    <n v="34200"/>
    <m/>
    <n v="1.8632160000000002"/>
    <n v="3.4504000000000001"/>
  </r>
  <r>
    <s v="T"/>
    <x v="945"/>
    <d v="2026-10-14T00:00:00"/>
    <x v="2"/>
    <e v="#N/A"/>
    <x v="8"/>
    <s v="DRY2600195"/>
    <s v="Malay"/>
    <s v="CPFNW"/>
    <s v="CPM Malaysia"/>
    <s v="C-Minced WT in tray no egg"/>
    <x v="1"/>
    <s v="VA GYOZA KC TRAY HOTPOT MYS CP 24x4 PCS"/>
    <s v="082SM5I24004P00001"/>
    <s v="98g*24tray"/>
    <n v="24"/>
    <n v="4"/>
    <n v="6.0000000000000001E-3"/>
    <s v="BK"/>
    <s v="Salt"/>
    <s v=" HOTPOT 10g"/>
    <n v="1250"/>
    <m/>
    <m/>
    <n v="-1250"/>
    <n v="30000"/>
    <n v="120000"/>
    <n v="1"/>
    <n v="30000"/>
    <m/>
    <n v="0.72"/>
    <n v="1.3333333333333333"/>
  </r>
  <r>
    <m/>
    <x v="946"/>
    <d v="2026-10-01T00:00:00"/>
    <x v="2"/>
    <e v="#N/A"/>
    <x v="8"/>
    <s v="DRY2600249"/>
    <s v="Malay"/>
    <s v="CPFNW"/>
    <s v="CPM Malaysia"/>
    <s v="Wonton+TY"/>
    <x v="1"/>
    <s v="Cooked Wonton No Egg  Tomyum"/>
    <s v="082S85I24005P02001"/>
    <s v="115g*24"/>
    <n v="24"/>
    <n v="5"/>
    <n v="8.0000000000000002E-3"/>
    <s v="M"/>
    <s v="STPP"/>
    <s v="TYTB3C 30G"/>
    <n v="850"/>
    <m/>
    <n v="84.541666666666671"/>
    <n v="-765.45833333333337"/>
    <n v="18371"/>
    <n v="91855"/>
    <n v="1"/>
    <n v="18371"/>
    <s v="new package"/>
    <n v="0.73484000000000005"/>
    <n v="1.3608148148148149"/>
  </r>
  <r>
    <m/>
    <x v="946"/>
    <d v="2026-10-05T00:00:00"/>
    <x v="2"/>
    <e v="#N/A"/>
    <x v="8"/>
    <s v="DRY2600181"/>
    <s v="SG"/>
    <s v="CPFNW"/>
    <s v="CP FOODS SINGAPORE PTE. LTD"/>
    <s v="Wonton +TY"/>
    <x v="1"/>
    <s v="Cooked Wonton No Egg"/>
    <s v="082S83B24005P06001"/>
    <s v="115g*24"/>
    <n v="24"/>
    <n v="5"/>
    <n v="8.0000000000000002E-3"/>
    <s v="M"/>
    <s v="STPP"/>
    <s v="TYTB3C 30G"/>
    <n v="200"/>
    <m/>
    <n v="6.375"/>
    <n v="-193.625"/>
    <n v="4647"/>
    <n v="23235"/>
    <n v="1"/>
    <n v="4647"/>
    <m/>
    <n v="0.18587999999999999"/>
    <n v="0.34422222222222221"/>
  </r>
  <r>
    <m/>
    <x v="946"/>
    <d v="2026-10-01T00:00:00"/>
    <x v="2"/>
    <e v="#N/A"/>
    <x v="8"/>
    <s v="DRY2600249"/>
    <s v="Malay"/>
    <s v="CPFNW"/>
    <s v="CPM Malaysia"/>
    <s v="Wonton"/>
    <x v="1"/>
    <s v="Cooked Wonton No Egg  "/>
    <s v="082S85I24005P01001"/>
    <s v="145g*24"/>
    <n v="24"/>
    <n v="5"/>
    <n v="8.0000000000000002E-3"/>
    <s v="M"/>
    <s v="STPP"/>
    <s v="Regular"/>
    <n v="900"/>
    <m/>
    <n v="11.666666666666666"/>
    <n v="-888.33333333333337"/>
    <n v="21320"/>
    <n v="106600"/>
    <n v="7.4999999999999997E-3"/>
    <n v="159.9"/>
    <s v="new package"/>
    <n v="0.85280000000000011"/>
    <n v="1.5792592592592594"/>
  </r>
  <r>
    <m/>
    <x v="946"/>
    <d v="2026-10-05T00:00:00"/>
    <x v="2"/>
    <e v="#N/A"/>
    <x v="8"/>
    <s v="DRY2600181"/>
    <s v="SG"/>
    <s v="CPFNW"/>
    <s v="CP FOODS SINGAPORE PTE. LTD"/>
    <s v="Wonton"/>
    <x v="1"/>
    <s v="Cooked Wonton No Egg"/>
    <s v="082S83B24005P07001"/>
    <s v="145g*24"/>
    <n v="24"/>
    <n v="5"/>
    <n v="8.0000000000000002E-3"/>
    <s v="M"/>
    <s v="STPP"/>
    <s v="Regular"/>
    <n v="200"/>
    <m/>
    <n v="1.5833333333333333"/>
    <n v="-198.41666666666666"/>
    <n v="4762"/>
    <n v="23810"/>
    <n v="1"/>
    <n v="4762"/>
    <m/>
    <n v="0.19047999999999998"/>
    <n v="0.35274074074074069"/>
  </r>
  <r>
    <m/>
    <x v="946"/>
    <d v="2026-10-01T00:00:00"/>
    <x v="2"/>
    <e v="#N/A"/>
    <x v="8"/>
    <s v="DRY2600238"/>
    <s v="New Zealand"/>
    <s v="CPFNW"/>
    <s v="Lim Brothers Import&amp;Export Co.,Ltd."/>
    <s v="Wonton ND+V"/>
    <x v="1"/>
    <s v="Cooked Wonton ND No Egg with Pumpkin_x000a_+ Yu Choy "/>
    <s v="082SJN736005P00001"/>
    <s v="308g*6c*6in"/>
    <n v="36"/>
    <n v="5"/>
    <n v="7.4999999999999997E-3"/>
    <s v="HC"/>
    <s v="Salt"/>
    <s v="Regular"/>
    <n v="792"/>
    <m/>
    <m/>
    <n v="-792"/>
    <n v="28512"/>
    <n v="142560"/>
    <n v="7.4999999999999997E-3"/>
    <n v="213.84"/>
    <m/>
    <n v="1.0692000000000002"/>
    <n v="1.9800000000000002"/>
  </r>
  <r>
    <m/>
    <x v="946"/>
    <d v="2026-10-12T00:00:00"/>
    <x v="2"/>
    <e v="#N/A"/>
    <x v="8"/>
    <s v="DRY2600237"/>
    <s v="Denmark"/>
    <s v="CPFNW"/>
    <s v="CPF DENMARK"/>
    <s v="Minced ND+V+TK"/>
    <x v="1"/>
    <s v="Cooked Minced Wonton 3 pcs Noodle (Pumpkin)_x000a_with &quot;Tomka&quot;+Yu Choy"/>
    <s v="082SRKW12003P01001"/>
    <s v="240g*12ถ้วย"/>
    <n v="12"/>
    <n v="3"/>
    <n v="6.1999999999999998E-3"/>
    <s v="BK"/>
    <s v="Salt"/>
    <s v="Tomkha+CM"/>
    <n v="2660"/>
    <m/>
    <n v="24"/>
    <n v="-2636"/>
    <n v="31632"/>
    <n v="94896"/>
    <n v="5.8823E-2"/>
    <n v="1860.689136"/>
    <s v="ถ้าว,ฝา สีขาว New Package"/>
    <n v="0.58835519999999997"/>
    <n v="1.0895466666666664"/>
  </r>
  <r>
    <m/>
    <x v="947"/>
    <d v="2026-10-15T00:00:00"/>
    <x v="2"/>
    <e v="#N/A"/>
    <x v="8"/>
    <s v="DRY2600222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m/>
    <m/>
    <n v="-792"/>
    <n v="28512"/>
    <n v="142560"/>
    <n v="7.4999999999999997E-3"/>
    <n v="213.84"/>
    <m/>
    <n v="1.0692000000000002"/>
    <n v="1.9800000000000002"/>
  </r>
  <r>
    <m/>
    <x v="947"/>
    <d v="2026-10-22T00:00:00"/>
    <x v="2"/>
    <e v="#N/A"/>
    <x v="8"/>
    <s v="DRY2600241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m/>
    <m/>
    <n v="-792"/>
    <n v="28512"/>
    <n v="142560"/>
    <n v="7.4999999999999997E-3"/>
    <n v="213.84"/>
    <m/>
    <n v="1.0692000000000002"/>
    <n v="1.9800000000000002"/>
  </r>
  <r>
    <m/>
    <x v="947"/>
    <d v="2026-10-22T00:00:00"/>
    <x v="2"/>
    <e v="#N/A"/>
    <x v="8"/>
    <s v="DRY2600242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m/>
    <m/>
    <n v="-792"/>
    <n v="28512"/>
    <n v="142560"/>
    <n v="7.4999999999999997E-3"/>
    <n v="213.84"/>
    <m/>
    <n v="1.0692000000000002"/>
    <n v="1.9800000000000002"/>
  </r>
  <r>
    <m/>
    <x v="947"/>
    <d v="2026-10-05T00:00:00"/>
    <x v="2"/>
    <e v="#N/A"/>
    <x v="8"/>
    <s v="DRY2600236"/>
    <s v="Denmark"/>
    <s v="CPFNW"/>
    <s v="CPF DENMARK"/>
    <s v="Minced ND+V+TY"/>
    <x v="1"/>
    <s v="Cooked Minced Wonton 3 pcs Noodle (Pumpkin)_x000a_with &quot;Tomyum&quot;+Yu Choy"/>
    <s v="082SRKW12003P00001"/>
    <s v="240g*12ถ้วย"/>
    <n v="12"/>
    <n v="3"/>
    <n v="6.1999999999999998E-3"/>
    <s v="BK"/>
    <s v="Salt"/>
    <s v="TYANSSG+CM"/>
    <n v="2660"/>
    <m/>
    <n v="131.5"/>
    <n v="-2528.5"/>
    <n v="30342"/>
    <n v="91026"/>
    <n v="3.85E-2"/>
    <n v="1168.1669999999999"/>
    <s v="ถ้าว,ฝา สีขาว New Package"/>
    <n v="0.5643611999999999"/>
    <n v="1.0451133333333331"/>
  </r>
  <r>
    <m/>
    <x v="948"/>
    <m/>
    <x v="2"/>
    <e v="#N/A"/>
    <x v="8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949"/>
    <m/>
    <x v="2"/>
    <e v="#N/A"/>
    <x v="8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950"/>
    <d v="2026-10-17T00:00:00"/>
    <x v="2"/>
    <e v="#N/A"/>
    <x v="8"/>
    <s v="DRY2600210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85"/>
    <m/>
    <n v="14"/>
    <n v="-671"/>
    <n v="6710"/>
    <n v="335500"/>
    <n v="6"/>
    <n v="40260"/>
    <m/>
    <n v="2.2847550000000001"/>
    <n v="4.2310277777777774"/>
  </r>
  <r>
    <m/>
    <x v="950"/>
    <d v="2026-10-20T00:00:00"/>
    <x v="2"/>
    <e v="#N/A"/>
    <x v="8"/>
    <s v="DRY2600020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m/>
    <n v="47.888888888888886"/>
    <n v="-1240.1111111111111"/>
    <n v="44644"/>
    <n v="223220"/>
    <n v="7.4999999999999997E-3"/>
    <n v="334.83"/>
    <s v="ถ้าว,ฝา สีขาว/Halal/ New Design"/>
    <n v="1.6741499999999998"/>
    <n v="3.100277777777777"/>
  </r>
  <r>
    <m/>
    <x v="950"/>
    <d v="2026-10-28T00:00:00"/>
    <x v="2"/>
    <e v="#N/A"/>
    <x v="8"/>
    <s v="DRY2600218"/>
    <s v="SG"/>
    <s v="CPFNW"/>
    <s v="CP FOODS SINGAPORE PTE. LTD"/>
    <s v="Minced ND+หมาล่า"/>
    <x v="1"/>
    <s v="Cooked Minced  ND No Egg หมาล่า"/>
    <s v="082SR3B24003P00001"/>
    <s v="300g*24"/>
    <n v="24"/>
    <n v="3"/>
    <n v="6.0000000000000001E-3"/>
    <s v="BK"/>
    <s v="Salt"/>
    <s v="หมาล่า"/>
    <n v="210"/>
    <m/>
    <m/>
    <n v="-210"/>
    <n v="5040"/>
    <n v="15120"/>
    <n v="2.4E-2"/>
    <n v="120.96000000000001"/>
    <m/>
    <n v="9.0720000000000009E-2"/>
    <n v="0.16800000000000001"/>
  </r>
  <r>
    <m/>
    <x v="950"/>
    <s v="10-2026"/>
    <x v="2"/>
    <e v="#N/A"/>
    <x v="8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s v="SS"/>
    <s v="STPP"/>
    <s v="หมาล่า"/>
    <n v="1200"/>
    <m/>
    <m/>
    <n v="-1200"/>
    <n v="28800"/>
    <n v="86400"/>
    <n v="1.83E-2"/>
    <n v="527.04"/>
    <m/>
    <n v="0.53567999999999993"/>
    <n v="0.99199999999999977"/>
  </r>
  <r>
    <s v="R"/>
    <x v="951"/>
    <d v="2026-10-17T00:00:00"/>
    <x v="2"/>
    <e v="#N/A"/>
    <x v="8"/>
    <s v="DRY2600210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85"/>
    <m/>
    <m/>
    <n v="-685"/>
    <n v="6850"/>
    <n v="342500"/>
    <n v="6"/>
    <n v="41100"/>
    <m/>
    <n v="2.3324250000000002"/>
    <n v="4.3193055555555553"/>
  </r>
  <r>
    <m/>
    <x v="951"/>
    <s v="10-2026"/>
    <x v="2"/>
    <e v="#N/A"/>
    <x v="8"/>
    <s v="ขายภายใน"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2767"/>
    <m/>
    <m/>
    <n v="-2767"/>
    <n v="66408"/>
    <n v="332040"/>
    <n v="7.4999999999999997E-3"/>
    <n v="498.06"/>
    <m/>
    <n v="2.0586480000000003"/>
    <n v="3.8123111111111112"/>
  </r>
  <r>
    <s v="R"/>
    <x v="952"/>
    <d v="2026-10-17T00:00:00"/>
    <x v="2"/>
    <e v="#N/A"/>
    <x v="8"/>
    <s v="DRY2600210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86"/>
    <m/>
    <m/>
    <n v="-686"/>
    <n v="6860"/>
    <n v="343000"/>
    <n v="6"/>
    <n v="41160"/>
    <m/>
    <n v="2.3358300000000005"/>
    <n v="4.3256111111111117"/>
  </r>
  <r>
    <m/>
    <x v="952"/>
    <s v="10-2026"/>
    <x v="2"/>
    <e v="#N/A"/>
    <x v="8"/>
    <s v="ขายภายใน"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2767"/>
    <m/>
    <m/>
    <n v="-2767"/>
    <n v="66408"/>
    <n v="332040"/>
    <n v="7.4999999999999997E-3"/>
    <n v="498.06"/>
    <m/>
    <n v="2.0586480000000003"/>
    <n v="3.8123111111111112"/>
  </r>
  <r>
    <m/>
    <x v="953"/>
    <d v="2026-10-15T00:00:00"/>
    <x v="2"/>
    <e v="#N/A"/>
    <x v="8"/>
    <s v="DRY2600200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81"/>
    <m/>
    <m/>
    <n v="-781"/>
    <n v="28116"/>
    <n v="140580"/>
    <n v="9.7000000000000003E-3"/>
    <n v="272.72520000000003"/>
    <s v="สั่งซุป &amp; ingredient"/>
    <n v="1.0543499999999999"/>
    <n v="1.9524999999999997"/>
  </r>
  <r>
    <m/>
    <x v="953"/>
    <d v="2026-10-22T00:00:00"/>
    <x v="2"/>
    <e v="#N/A"/>
    <x v="8"/>
    <s v="DRY2600226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s v="สั่งซุป &amp; ingredient"/>
    <n v="1.0692000000000002"/>
    <n v="1.9800000000000002"/>
  </r>
  <r>
    <m/>
    <x v="953"/>
    <d v="2026-10-29T00:00:00"/>
    <x v="2"/>
    <e v="#N/A"/>
    <x v="8"/>
    <s v="DRY2600227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s v="สั่งซุป &amp; ingredient"/>
    <n v="1.0692000000000002"/>
    <n v="1.9800000000000002"/>
  </r>
  <r>
    <m/>
    <x v="953"/>
    <d v="2026-11-04T00:00:00"/>
    <x v="2"/>
    <e v="#N/A"/>
    <x v="8"/>
    <s v="DRY2600247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s v="สั่ง Package แล้ว"/>
    <n v="1.0692000000000002"/>
    <n v="1.9800000000000002"/>
  </r>
  <r>
    <m/>
    <x v="954"/>
    <d v="2026-10-20T00:00:00"/>
    <x v="2"/>
    <e v="#N/A"/>
    <x v="8"/>
    <s v="DRY2600217"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155"/>
    <n v="-2445"/>
    <n v="29340"/>
    <n v="146700"/>
    <n v="7.4999999999999997E-3"/>
    <n v="220.04999999999998"/>
    <m/>
    <n v="0.88019999999999998"/>
    <n v="1.63"/>
  </r>
  <r>
    <m/>
    <x v="954"/>
    <d v="2026-10-22T00:00:00"/>
    <x v="2"/>
    <e v="#N/A"/>
    <x v="8"/>
    <s v="DRY2600255"/>
    <s v="AUS"/>
    <s v="CPFNW"/>
    <s v="CPF Australia Pty Ltd."/>
    <s v="Wonton ND+V"/>
    <x v="1"/>
    <s v="Cooked Wonton ND No Egg with Pumpkin_x000a_+ Yu Choy "/>
    <s v="082SJ9U08004P00001"/>
    <s v="305g*8"/>
    <n v="8"/>
    <n v="4"/>
    <n v="7.4999999999999997E-3"/>
    <s v="HC"/>
    <s v="Salt"/>
    <s v="Regular"/>
    <n v="1456"/>
    <m/>
    <m/>
    <n v="-1456"/>
    <n v="11648"/>
    <n v="46592"/>
    <n v="7.4999999999999997E-3"/>
    <n v="87.36"/>
    <m/>
    <n v="0.34943999999999997"/>
    <n v="0.64711111111111097"/>
  </r>
  <r>
    <m/>
    <x v="954"/>
    <d v="2026-10-29T00:00:00"/>
    <x v="2"/>
    <e v="#N/A"/>
    <x v="8"/>
    <s v="DRY2600245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m/>
    <m/>
    <n v="-792"/>
    <n v="28512"/>
    <n v="142560"/>
    <n v="7.4999999999999997E-3"/>
    <n v="213.84"/>
    <m/>
    <n v="1.0692000000000002"/>
    <n v="1.9800000000000002"/>
  </r>
  <r>
    <m/>
    <x v="954"/>
    <d v="2026-10-28T00:00:00"/>
    <x v="2"/>
    <e v="#N/A"/>
    <x v="8"/>
    <s v="DRY2600218"/>
    <s v="SG"/>
    <s v="CPFNW"/>
    <s v="CP FOODS SINGAPORE PTE. LTD"/>
    <s v="Wonton ND+V"/>
    <x v="1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200"/>
    <m/>
    <n v="8.0833333333333339"/>
    <n v="-191.91666666666666"/>
    <n v="4606"/>
    <n v="13818"/>
    <n v="1"/>
    <n v="4606"/>
    <m/>
    <n v="0.10363499999999999"/>
    <n v="0.19191666666666662"/>
  </r>
  <r>
    <m/>
    <x v="954"/>
    <d v="2026-10-22T00:00:00"/>
    <x v="2"/>
    <e v="#N/A"/>
    <x v="8"/>
    <s v="DRY2600244"/>
    <s v="AUS"/>
    <s v="CPFNW"/>
    <s v="CPF Australia Pty Ltd."/>
    <s v="Minced ND+V+TK"/>
    <x v="1"/>
    <s v="Cooked Minced Wonton ND No Egg with Pumpkin _x000a_+ Vegetable 5 pcs Tomka"/>
    <s v="082SR9U24003P00001"/>
    <s v="302g*4c*6in"/>
    <n v="24"/>
    <n v="3"/>
    <n v="6.0000000000000001E-3"/>
    <s v="BK"/>
    <s v="Salt"/>
    <s v="Tomkha+CM"/>
    <n v="700"/>
    <m/>
    <m/>
    <n v="-700"/>
    <n v="16800"/>
    <n v="50400"/>
    <n v="3.8699999999999998E-2"/>
    <n v="650.16"/>
    <s v="ถ้าว,ฝา สีขาว"/>
    <n v="0.30240000000000006"/>
    <n v="0.56000000000000005"/>
  </r>
  <r>
    <m/>
    <x v="954"/>
    <d v="2026-10-15T00:00:00"/>
    <x v="2"/>
    <e v="#N/A"/>
    <x v="8"/>
    <s v="DRY2600118"/>
    <s v="AUS"/>
    <s v="CPFNW"/>
    <s v="CPF Australia Pty Ltd.(Woolworth)"/>
    <s v="Minced ND+V+TK"/>
    <x v="1"/>
    <s v="Cooked Minced  ND No Egg with Pumpkin_x000a_+ Yu Choy Tomkha"/>
    <s v="082SR9U05003P01001"/>
    <s v="302g*5"/>
    <n v="5"/>
    <n v="3"/>
    <n v="6.0000000000000001E-3"/>
    <s v="BK"/>
    <s v="Salt"/>
    <s v="Tomkha+CM"/>
    <n v="5076"/>
    <m/>
    <n v="24.8"/>
    <n v="-5051.2"/>
    <n v="25256"/>
    <n v="75768"/>
    <n v="5.8823E-2"/>
    <n v="1485.6336880000001"/>
    <s v="ถ้าว,ฝา สีขาว"/>
    <n v="0.45460800000000007"/>
    <n v="0.84186666666666676"/>
  </r>
  <r>
    <m/>
    <x v="955"/>
    <m/>
    <x v="2"/>
    <e v="#N/A"/>
    <x v="8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956"/>
    <m/>
    <x v="2"/>
    <e v="#N/A"/>
    <x v="8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957"/>
    <d v="2026-10-05T00:00:00"/>
    <x v="2"/>
    <e v="#N/A"/>
    <x v="8"/>
    <s v="DRY2600259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603"/>
    <m/>
    <n v="19"/>
    <n v="-584"/>
    <n v="23360"/>
    <n v="280320"/>
    <n v="2"/>
    <n v="46720"/>
    <m/>
    <n v="2.2790016"/>
    <n v="4.2203733333333329"/>
  </r>
  <r>
    <m/>
    <x v="957"/>
    <d v="2026-10-26T00:00:00"/>
    <x v="2"/>
    <e v="#N/A"/>
    <x v="8"/>
    <s v="DRY2600147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m/>
    <m/>
    <n v="-1288"/>
    <n v="46368"/>
    <n v="231840"/>
    <n v="7.4999999999999997E-3"/>
    <n v="347.76"/>
    <s v="ถ้าว,ฝา สีขาว/Halal/ New Design"/>
    <n v="1.7387999999999999"/>
    <n v="3.2199999999999998"/>
  </r>
  <r>
    <m/>
    <x v="957"/>
    <d v="2026-10-14T00:00:00"/>
    <x v="2"/>
    <e v="#N/A"/>
    <x v="8"/>
    <s v="DRY2600253"/>
    <s v="USA"/>
    <s v="CPFNW"/>
    <s v="Bellisio Foods, Inc."/>
    <s v="Minced WT"/>
    <x v="1"/>
    <s v="Cooked Minced Wonton Soup No Egg"/>
    <s v="082SKBW36005P00001"/>
    <s v="145g*6c*6"/>
    <n v="36"/>
    <n v="5"/>
    <n v="6.0000000000000001E-3"/>
    <s v="BK"/>
    <s v="Salt"/>
    <s v="Regular"/>
    <n v="600"/>
    <m/>
    <m/>
    <n v="-600"/>
    <n v="21600"/>
    <n v="108000"/>
    <n v="7.4999999999999997E-3"/>
    <n v="162"/>
    <s v="ใช้คำว่า “Best if Used By” แทนคำว่า Best by Date"/>
    <n v="0.64800000000000002"/>
    <n v="1.2"/>
  </r>
  <r>
    <s v="R"/>
    <x v="958"/>
    <d v="2026-10-05T00:00:00"/>
    <x v="2"/>
    <e v="#N/A"/>
    <x v="9"/>
    <s v="DRY2600259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584"/>
    <m/>
    <m/>
    <n v="-584"/>
    <n v="23360"/>
    <n v="280320"/>
    <n v="2"/>
    <n v="46720"/>
    <m/>
    <n v="2.2790016"/>
    <n v="4.2203733333333329"/>
  </r>
  <r>
    <m/>
    <x v="958"/>
    <d v="2026-11-03T00:00:00"/>
    <x v="2"/>
    <e v="#N/A"/>
    <x v="9"/>
    <s v="DRY2600148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m/>
    <m/>
    <n v="-1288"/>
    <n v="46368"/>
    <n v="231840"/>
    <n v="7.4999999999999997E-3"/>
    <n v="347.76"/>
    <s v="New Design"/>
    <n v="1.7387999999999999"/>
    <n v="3.2199999999999998"/>
  </r>
  <r>
    <m/>
    <x v="958"/>
    <d v="2026-10-06T00:00:00"/>
    <x v="2"/>
    <e v="#N/A"/>
    <x v="9"/>
    <s v="DRY2600252"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750"/>
    <m/>
    <m/>
    <n v="-750"/>
    <n v="6000"/>
    <n v="30000"/>
    <n v="7.4999999999999997E-3"/>
    <n v="45"/>
    <s v="ใช้คำว่า “Best if Used By” แทนคำว่า Best by Date"/>
    <n v="0.18"/>
    <n v="0.33333333333333331"/>
  </r>
  <r>
    <m/>
    <x v="958"/>
    <d v="2026-10-28T00:00:00"/>
    <x v="2"/>
    <e v="#N/A"/>
    <x v="9"/>
    <s v="DRY2600218"/>
    <s v="SG"/>
    <s v="CPFNW"/>
    <s v="CP FOODS SINGAPORE PTE. LTD"/>
    <s v="Wonton"/>
    <x v="1"/>
    <s v="Cooked Wonton No Egg"/>
    <s v="082S83B24005P07001"/>
    <s v="145g*24"/>
    <n v="24"/>
    <n v="5"/>
    <n v="8.0000000000000002E-3"/>
    <s v="M"/>
    <s v="STPP"/>
    <s v="Regular"/>
    <n v="250"/>
    <m/>
    <m/>
    <n v="-250"/>
    <n v="6000"/>
    <n v="30000"/>
    <n v="1"/>
    <n v="6000"/>
    <m/>
    <n v="0.24"/>
    <n v="0.44444444444444442"/>
  </r>
  <r>
    <m/>
    <x v="958"/>
    <d v="2026-10-28T00:00:00"/>
    <x v="2"/>
    <e v="#N/A"/>
    <x v="9"/>
    <s v="DRY2600218"/>
    <s v="SG"/>
    <s v="CPFNW"/>
    <s v="CP FOODS SINGAPORE PTE. LTD"/>
    <s v="Wonton +TY"/>
    <x v="1"/>
    <s v="Cooked Wonton No Egg"/>
    <s v="082S83B24005P06001"/>
    <s v="115g*24"/>
    <n v="24"/>
    <n v="5"/>
    <n v="8.0000000000000002E-3"/>
    <s v="M"/>
    <s v="STPP"/>
    <s v="TYTB3C 30G"/>
    <n v="200"/>
    <m/>
    <m/>
    <n v="-200"/>
    <n v="4800"/>
    <n v="24000"/>
    <n v="1"/>
    <n v="4800"/>
    <m/>
    <n v="0.192"/>
    <n v="0.35555555555555551"/>
  </r>
  <r>
    <s v="R"/>
    <x v="959"/>
    <d v="2026-10-05T00:00:00"/>
    <x v="2"/>
    <e v="#N/A"/>
    <x v="9"/>
    <s v="DRY2600259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437"/>
    <m/>
    <m/>
    <n v="-437"/>
    <n v="17480"/>
    <n v="209760"/>
    <n v="2"/>
    <n v="34960"/>
    <m/>
    <n v="1.7053488000000001"/>
    <n v="3.1580533333333332"/>
  </r>
  <r>
    <s v="R"/>
    <x v="959"/>
    <s v="10-2026"/>
    <x v="2"/>
    <e v="#N/A"/>
    <x v="9"/>
    <s v="ขายภายใน"/>
    <s v="MTFS"/>
    <s v="CPFGS"/>
    <s v="ซีพีเอฟ เทรดดิ้ง"/>
    <s v="R-Wonton no egg"/>
    <x v="2"/>
    <s v="Raw Wonton 20 pcs"/>
    <s v="082I93Q12020P01001"/>
    <s v="220g*12in"/>
    <n v="12"/>
    <n v="20"/>
    <n v="6.1999999999999998E-3"/>
    <s v="SS"/>
    <s v="STPP"/>
    <s v="-"/>
    <n v="400"/>
    <m/>
    <m/>
    <n v="-400"/>
    <n v="4800"/>
    <n v="96000"/>
    <m/>
    <n v="0"/>
    <m/>
    <n v="0.59520000000000006"/>
    <n v="1.1022222222222222"/>
  </r>
  <r>
    <m/>
    <x v="959"/>
    <d v="2026-11-10T00:00:00"/>
    <x v="2"/>
    <e v="#N/A"/>
    <x v="9"/>
    <s v="DRY2600149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m/>
    <m/>
    <n v="-1288"/>
    <n v="46368"/>
    <n v="231840"/>
    <n v="7.4999999999999997E-3"/>
    <n v="347.76"/>
    <s v="New Design"/>
    <n v="1.7387999999999999"/>
    <n v="3.2199999999999998"/>
  </r>
  <r>
    <m/>
    <x v="959"/>
    <d v="2026-10-06T00:00:00"/>
    <x v="2"/>
    <e v="#N/A"/>
    <x v="9"/>
    <s v="DRY2600252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900"/>
    <m/>
    <m/>
    <n v="-900"/>
    <n v="21600"/>
    <n v="108000"/>
    <n v="7.4999999999999997E-3"/>
    <n v="162"/>
    <s v="ใช้คำว่า “Best if Used By” แทนคำว่า Best by Date"/>
    <n v="0.64800000000000002"/>
    <n v="1.2"/>
  </r>
  <r>
    <m/>
    <x v="960"/>
    <s v="10-2026"/>
    <x v="2"/>
    <e v="#N/A"/>
    <x v="9"/>
    <s v="ขายภายใน"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1614"/>
    <m/>
    <m/>
    <n v="-1614"/>
    <n v="38736"/>
    <n v="193680"/>
    <n v="7.4999999999999997E-3"/>
    <n v="290.52"/>
    <m/>
    <n v="1.2008160000000001"/>
    <n v="2.2237333333333336"/>
  </r>
  <r>
    <m/>
    <x v="960"/>
    <s v="10-2026"/>
    <x v="2"/>
    <e v="#N/A"/>
    <x v="9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2680"/>
    <m/>
    <m/>
    <n v="-2680"/>
    <n v="64320"/>
    <n v="321600"/>
    <n v="7.4999999999999997E-3"/>
    <n v="482.4"/>
    <m/>
    <n v="2.5728"/>
    <n v="4.764444444444444"/>
  </r>
  <r>
    <m/>
    <x v="960"/>
    <s v="10-2026"/>
    <x v="2"/>
    <e v="#N/A"/>
    <x v="9"/>
    <s v="ขายภายใน"/>
    <s v="MTFS"/>
    <s v="CPFGS"/>
    <s v="ซีพีเอฟ เทรดดิ้ง"/>
    <s v="E+Wonton TY"/>
    <x v="1"/>
    <s v="เกี๊ยวกุ้งจักรพรรดิซุปต้มยำ LV CP 143g"/>
    <s v="082S83Q12005P09001"/>
    <s v="143g*12"/>
    <n v="12"/>
    <n v="5"/>
    <n v="8.0000000000000002E-3"/>
    <s v="SS"/>
    <s v="STPP"/>
    <s v="TYNSF"/>
    <n v="560"/>
    <m/>
    <m/>
    <n v="-560"/>
    <n v="6720"/>
    <n v="33600"/>
    <n v="8.9999999999999993E-3"/>
    <n v="60.48"/>
    <m/>
    <n v="0.26880000000000004"/>
    <n v="0.49777777777777782"/>
  </r>
  <r>
    <m/>
    <x v="961"/>
    <d v="2026-10-26T00:00:00"/>
    <x v="2"/>
    <e v="#N/A"/>
    <x v="9"/>
    <s v="DRY2600254"/>
    <s v="USA"/>
    <s v="CPFNW"/>
    <s v="Bellisio Foods, Inc."/>
    <s v="Minced WT"/>
    <x v="1"/>
    <s v="Cooked Minced Wonton Soup No Egg"/>
    <s v="082SKBW36005P00001"/>
    <s v="145g*6c*6"/>
    <n v="36"/>
    <n v="5"/>
    <n v="6.0000000000000001E-3"/>
    <s v="BK"/>
    <s v="Salt"/>
    <s v="Regular"/>
    <n v="700"/>
    <m/>
    <m/>
    <n v="-700"/>
    <n v="25200"/>
    <n v="126000"/>
    <n v="7.4999999999999997E-3"/>
    <n v="189"/>
    <s v="ใช้คำว่า “Best if Used By” แทนคำว่า Best by Date"/>
    <n v="0.75600000000000001"/>
    <n v="1.4"/>
  </r>
  <r>
    <m/>
    <x v="961"/>
    <d v="2026-10-14T00:00:00"/>
    <x v="2"/>
    <e v="#N/A"/>
    <x v="9"/>
    <s v="DRY2600253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520"/>
    <m/>
    <m/>
    <n v="-520"/>
    <n v="12480"/>
    <n v="62400"/>
    <n v="7.4999999999999997E-3"/>
    <n v="93.6"/>
    <s v="ใช้คำว่า “Best if Used By” แทนคำว่า Best by Date"/>
    <n v="0.37439999999999996"/>
    <n v="0.69333333333333325"/>
  </r>
  <r>
    <m/>
    <x v="961"/>
    <d v="2026-10-26T00:00:00"/>
    <x v="2"/>
    <e v="#N/A"/>
    <x v="9"/>
    <s v="DRY2600254"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400"/>
    <m/>
    <m/>
    <n v="-400"/>
    <n v="9600"/>
    <n v="48000"/>
    <n v="7.4999999999999997E-3"/>
    <n v="72"/>
    <s v="ใช้คำว่า “Best if Used By” แทนคำว่า Best by Date"/>
    <n v="0.28799999999999998"/>
    <n v="0.53333333333333321"/>
  </r>
  <r>
    <m/>
    <x v="961"/>
    <d v="2026-11-05T00:00:00"/>
    <x v="2"/>
    <e v="#N/A"/>
    <x v="9"/>
    <s v="DRY2600246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m/>
    <m/>
    <n v="-792"/>
    <n v="28512"/>
    <n v="142560"/>
    <n v="7.4999999999999997E-3"/>
    <n v="213.84"/>
    <m/>
    <n v="1.0692000000000002"/>
    <n v="1.9800000000000002"/>
  </r>
  <r>
    <m/>
    <x v="961"/>
    <d v="2026-11-05T00:00:00"/>
    <x v="2"/>
    <e v="#N/A"/>
    <x v="9"/>
    <s v="DRY2600235"/>
    <s v="AUS"/>
    <s v="CPFNW"/>
    <s v="CPF Australia Pty Ltd.(Woolworth)"/>
    <s v="Wonton ND+V"/>
    <x v="1"/>
    <s v="Cooked Wonton ND No Egg with Pumpkin_x000a_+ Yu Choy "/>
    <s v="082SJ9U05004P00001"/>
    <s v="305g*5"/>
    <n v="5"/>
    <n v="4"/>
    <n v="7.4999999999999997E-3"/>
    <s v="HC"/>
    <s v="Salt"/>
    <s v="Regular"/>
    <n v="5076"/>
    <m/>
    <m/>
    <n v="-5076"/>
    <n v="25380"/>
    <n v="101520"/>
    <n v="7.4999999999999997E-3"/>
    <n v="190.35"/>
    <s v="ถ้าว,ฝา สีขาว"/>
    <n v="0.76139999999999997"/>
    <n v="1.41"/>
  </r>
  <r>
    <m/>
    <x v="961"/>
    <d v="2026-11-12T00:00:00"/>
    <x v="2"/>
    <e v="#N/A"/>
    <x v="9"/>
    <s v="DRY2600243"/>
    <s v="AUS"/>
    <s v="CPFNW"/>
    <s v="CPF Australia Pty Ltd."/>
    <s v="Minced ND+V+TK"/>
    <x v="1"/>
    <s v="Cooked Minced Wonton ND No Egg with Pumpkin _x000a_+ Vegetable 5 pcs Tomka"/>
    <s v="082SR9U24003P00001"/>
    <s v="302g*4c*6in"/>
    <n v="24"/>
    <n v="3"/>
    <n v="6.0000000000000001E-3"/>
    <s v="BK"/>
    <s v="Salt"/>
    <s v="Tomkha+CM"/>
    <n v="700"/>
    <m/>
    <m/>
    <n v="-700"/>
    <n v="16800"/>
    <n v="50400"/>
    <n v="3.8699999999999998E-2"/>
    <n v="650.16"/>
    <s v="ถ้าว,ฝา สีขาว"/>
    <n v="0.30240000000000006"/>
    <n v="0.56000000000000005"/>
  </r>
  <r>
    <m/>
    <x v="962"/>
    <m/>
    <x v="2"/>
    <e v="#N/A"/>
    <x v="9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963"/>
    <m/>
    <x v="2"/>
    <e v="#N/A"/>
    <x v="9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964"/>
    <d v="2026-11-02T00:00:00"/>
    <x v="2"/>
    <e v="#N/A"/>
    <x v="9"/>
    <s v="DRY2600211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85"/>
    <m/>
    <m/>
    <n v="-685"/>
    <n v="6850"/>
    <n v="342500"/>
    <n v="6"/>
    <n v="41100"/>
    <m/>
    <n v="2.3324250000000002"/>
    <n v="4.3193055555555553"/>
  </r>
  <r>
    <m/>
    <x v="964"/>
    <d v="2026-11-17T00:00:00"/>
    <x v="2"/>
    <e v="#N/A"/>
    <x v="9"/>
    <s v="DRY2600151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m/>
    <m/>
    <n v="-1288"/>
    <n v="46368"/>
    <n v="231840"/>
    <n v="7.4999999999999997E-3"/>
    <n v="347.76"/>
    <s v="New Design"/>
    <n v="1.7387999999999999"/>
    <n v="3.2199999999999998"/>
  </r>
  <r>
    <m/>
    <x v="964"/>
    <s v="11-2026"/>
    <x v="2"/>
    <e v="#N/A"/>
    <x v="9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s v="SS"/>
    <s v="STPP"/>
    <s v="หมาล่า"/>
    <n v="1200"/>
    <m/>
    <m/>
    <n v="-1200"/>
    <n v="28800"/>
    <n v="86400"/>
    <n v="1.83E-2"/>
    <n v="527.04"/>
    <m/>
    <n v="0.53567999999999993"/>
    <n v="0.99199999999999977"/>
  </r>
  <r>
    <s v="R"/>
    <x v="965"/>
    <d v="2026-11-02T00:00:00"/>
    <x v="2"/>
    <e v="#N/A"/>
    <x v="9"/>
    <s v="DRY2600211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85"/>
    <m/>
    <m/>
    <n v="-685"/>
    <n v="6850"/>
    <n v="342500"/>
    <n v="6"/>
    <n v="41100"/>
    <m/>
    <n v="2.3324250000000002"/>
    <n v="4.3193055555555553"/>
  </r>
  <r>
    <m/>
    <x v="965"/>
    <s v="11-2026"/>
    <x v="2"/>
    <e v="#N/A"/>
    <x v="9"/>
    <s v="ขายภายใน"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2367"/>
    <m/>
    <m/>
    <n v="-2367"/>
    <n v="56808"/>
    <n v="284040"/>
    <n v="7.4999999999999997E-3"/>
    <n v="426.06"/>
    <m/>
    <n v="1.7610479999999999"/>
    <n v="3.2611999999999997"/>
  </r>
  <r>
    <m/>
    <x v="965"/>
    <s v="10-2026"/>
    <x v="2"/>
    <e v="#N/A"/>
    <x v="9"/>
    <s v="ขายภายใน"/>
    <s v="MTFS"/>
    <s v="CPFGS"/>
    <s v="ซีพีเอฟ เทรดดิ้ง"/>
    <s v="E+Wonton TY"/>
    <x v="1"/>
    <s v="เกี๊ยวกุ้งจักรพรรดิซุปต้มยำ LV CP 143g"/>
    <s v="082S83Q12005P09001"/>
    <s v="143g*12"/>
    <n v="12"/>
    <n v="5"/>
    <n v="8.0000000000000002E-3"/>
    <s v="SS"/>
    <s v="STPP"/>
    <s v="TYNSF"/>
    <n v="340"/>
    <m/>
    <m/>
    <n v="-340"/>
    <n v="4080"/>
    <n v="20400"/>
    <n v="8.9999999999999993E-3"/>
    <n v="36.72"/>
    <m/>
    <n v="0.16320000000000001"/>
    <n v="0.30222222222222223"/>
  </r>
  <r>
    <m/>
    <x v="965"/>
    <s v="11-2026"/>
    <x v="2"/>
    <e v="#N/A"/>
    <x v="9"/>
    <s v="ขายภายใน"/>
    <s v="MTFS"/>
    <s v="CPFGS"/>
    <s v="ซีพีเอฟ เทรดดิ้ง"/>
    <s v="E+Wonton TY"/>
    <x v="1"/>
    <s v="เกี๊ยวกุ้งจักรพรรดิซุปต้มยำ LV CP 143g"/>
    <s v="082S83Q12005P09001"/>
    <s v="143g*12"/>
    <n v="12"/>
    <n v="5"/>
    <n v="8.0000000000000002E-3"/>
    <s v="SS"/>
    <s v="STPP"/>
    <s v="TYNSF"/>
    <n v="459"/>
    <m/>
    <m/>
    <n v="-459"/>
    <n v="5508"/>
    <n v="27540"/>
    <n v="8.9999999999999993E-3"/>
    <n v="49.571999999999996"/>
    <m/>
    <n v="0.22031999999999999"/>
    <n v="0.40799999999999997"/>
  </r>
  <r>
    <s v="R"/>
    <x v="966"/>
    <d v="2026-11-02T00:00:00"/>
    <x v="2"/>
    <e v="#N/A"/>
    <x v="9"/>
    <s v="DRY2600211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86"/>
    <m/>
    <m/>
    <n v="-686"/>
    <n v="6860"/>
    <n v="343000"/>
    <n v="6"/>
    <n v="41160"/>
    <m/>
    <n v="2.3358300000000005"/>
    <n v="4.3256111111111117"/>
  </r>
  <r>
    <m/>
    <x v="966"/>
    <s v="11-2026"/>
    <x v="2"/>
    <e v="#N/A"/>
    <x v="9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2767"/>
    <m/>
    <m/>
    <n v="-2767"/>
    <n v="66408"/>
    <n v="332040"/>
    <n v="7.4999999999999997E-3"/>
    <n v="498.06"/>
    <m/>
    <n v="2.65632"/>
    <n v="4.9191111111111105"/>
  </r>
  <r>
    <s v="R"/>
    <x v="967"/>
    <d v="2026-11-05T00:00:00"/>
    <x v="2"/>
    <e v="#N/A"/>
    <x v="9"/>
    <s v="DRY2600250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1900"/>
    <m/>
    <m/>
    <n v="-1900"/>
    <n v="34200"/>
    <n v="273600"/>
    <n v="1"/>
    <n v="34200"/>
    <m/>
    <n v="1.8632160000000002"/>
    <n v="3.4504000000000001"/>
  </r>
  <r>
    <m/>
    <x v="967"/>
    <s v="11-2026"/>
    <x v="2"/>
    <e v="#N/A"/>
    <x v="9"/>
    <s v="ขายภายใน"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2767"/>
    <m/>
    <m/>
    <n v="-2767"/>
    <n v="66408"/>
    <n v="332040"/>
    <n v="7.4999999999999997E-3"/>
    <n v="498.06"/>
    <m/>
    <n v="2.0586480000000003"/>
    <n v="3.8123111111111112"/>
  </r>
  <r>
    <m/>
    <x v="968"/>
    <d v="2026-11-12T00:00:00"/>
    <x v="2"/>
    <e v="#N/A"/>
    <x v="9"/>
    <s v="DRY2600228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s v="สั่งซุป &amp; ingredient"/>
    <n v="1.0692000000000002"/>
    <n v="1.9800000000000002"/>
  </r>
  <r>
    <m/>
    <x v="968"/>
    <d v="2026-11-19T00:00:00"/>
    <x v="2"/>
    <e v="#N/A"/>
    <x v="9"/>
    <s v="DRY2600229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s v="สั่งซุป &amp; ingredient"/>
    <n v="1.0692000000000002"/>
    <n v="1.9800000000000002"/>
  </r>
  <r>
    <m/>
    <x v="968"/>
    <d v="2026-11-24T00:00:00"/>
    <x v="2"/>
    <e v="#N/A"/>
    <x v="9"/>
    <s v="DRY2600248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s v="สั่ง Package แล้ว"/>
    <n v="1.0692000000000002"/>
    <n v="1.9800000000000002"/>
  </r>
  <r>
    <m/>
    <x v="968"/>
    <d v="2026-11-19T00:00:00"/>
    <x v="2"/>
    <e v="#N/A"/>
    <x v="9"/>
    <s v="DRY2600256"/>
    <s v="AUS"/>
    <s v="CPFNW"/>
    <s v="CPF Australia Pty Ltd.(Woolworth)"/>
    <s v="Wonton ND+V"/>
    <x v="1"/>
    <s v="Cooked Wonton ND No Egg with Pumpkin_x000a_+ Yu Choy "/>
    <s v="082SJ9U05004P00001"/>
    <s v="305g*5"/>
    <n v="5"/>
    <n v="4"/>
    <n v="7.4999999999999997E-3"/>
    <s v="HC"/>
    <s v="Salt"/>
    <s v="Regular"/>
    <n v="5076"/>
    <m/>
    <m/>
    <n v="-5076"/>
    <n v="25380"/>
    <n v="101520"/>
    <n v="7.4999999999999997E-3"/>
    <n v="190.35"/>
    <s v="ถ้าว,ฝา สีขาว"/>
    <n v="0.76139999999999997"/>
    <n v="1.41"/>
  </r>
  <r>
    <m/>
    <x v="969"/>
    <m/>
    <x v="2"/>
    <e v="#N/A"/>
    <x v="9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970"/>
    <m/>
    <x v="2"/>
    <e v="#N/A"/>
    <x v="9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971"/>
    <s v="11-2026"/>
    <x v="2"/>
    <e v="#N/A"/>
    <x v="9"/>
    <s v="ขายภายใน"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1500"/>
    <m/>
    <m/>
    <n v="-1500"/>
    <n v="27000"/>
    <n v="135000"/>
    <n v="1"/>
    <n v="27000"/>
    <s v="Add Potassium"/>
    <n v="1.08"/>
    <n v="2"/>
  </r>
  <r>
    <s v="CP Laos"/>
    <x v="971"/>
    <d v="2026-12-15T00:00:00"/>
    <x v="2"/>
    <e v="#N/A"/>
    <x v="9"/>
    <s v="LA016/2569"/>
    <s v="Laos"/>
    <s v="Laos"/>
    <s v="บริษัท ปิก้าเทรดดิ้ง จำกัด"/>
    <s v="E+Wonton"/>
    <x v="1"/>
    <s v="เกี๊ยวกุ้งจักรพรรดิ 12x145g."/>
    <s v="082S8L212005P00001"/>
    <s v="145g*12"/>
    <n v="12"/>
    <n v="5"/>
    <n v="8.0000000000000002E-3"/>
    <s v="M"/>
    <s v="STPP"/>
    <s v="Regular"/>
    <n v="200"/>
    <m/>
    <m/>
    <n v="-200"/>
    <n v="2400"/>
    <n v="12000"/>
    <n v="7.4999999999999997E-3"/>
    <n v="18"/>
    <s v="Add Potassium"/>
    <n v="9.6000000000000002E-2"/>
    <n v="0.17777777777777776"/>
  </r>
  <r>
    <s v="ชมรมกอล์ฟ ซีพี"/>
    <x v="971"/>
    <s v="11-2026"/>
    <x v="2"/>
    <e v="#N/A"/>
    <x v="9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0"/>
    <s v="145g*12"/>
    <n v="12"/>
    <n v="5"/>
    <n v="8.0000000000000002E-3"/>
    <s v="M"/>
    <s v="STPP"/>
    <s v="Regular"/>
    <n v="12"/>
    <m/>
    <m/>
    <n v="-12"/>
    <n v="144"/>
    <n v="720"/>
    <n v="7.4999999999999997E-3"/>
    <n v="1.08"/>
    <s v="Add Potassium"/>
    <n v="5.7599999999999995E-3"/>
    <n v="1.0666666666666665E-2"/>
  </r>
  <r>
    <m/>
    <x v="971"/>
    <s v="11-2026"/>
    <x v="2"/>
    <e v="#N/A"/>
    <x v="9"/>
    <s v="ขายภายใน"/>
    <s v="MTFS"/>
    <s v="CPFGS"/>
    <s v="ซีพีเอฟ เทรดดิ้ง"/>
    <s v="E+Wonton"/>
    <x v="1"/>
    <s v="เกี๊ยวกุ้งจักรพรรดิ ตราซีพี 12x145 กรัม"/>
    <s v="082S83Q12005P05001"/>
    <s v="145g*12"/>
    <n v="12"/>
    <n v="5"/>
    <n v="8.0000000000000002E-3"/>
    <s v="M"/>
    <s v="STPP"/>
    <s v="Regular"/>
    <n v="2500"/>
    <m/>
    <m/>
    <n v="-2500"/>
    <n v="30000"/>
    <n v="150000"/>
    <n v="7.4999999999999997E-3"/>
    <n v="225"/>
    <s v="Add Potassium"/>
    <n v="1.2"/>
    <n v="2.2222222222222219"/>
  </r>
  <r>
    <m/>
    <x v="971"/>
    <s v="11-2026"/>
    <x v="2"/>
    <e v="#N/A"/>
    <x v="9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300"/>
    <m/>
    <m/>
    <n v="-300"/>
    <n v="3600"/>
    <n v="18000"/>
    <n v="7.4999999999999997E-3"/>
    <n v="27"/>
    <s v="Add Potassium"/>
    <n v="0.108"/>
    <n v="0.19999999999999998"/>
  </r>
  <r>
    <m/>
    <x v="971"/>
    <s v="11-2026"/>
    <x v="2"/>
    <e v="#N/A"/>
    <x v="9"/>
    <s v="ขายภายใน"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1965"/>
    <m/>
    <m/>
    <n v="-1965"/>
    <n v="47160"/>
    <n v="235800"/>
    <n v="7.4999999999999997E-3"/>
    <n v="353.7"/>
    <m/>
    <n v="1.4619599999999999"/>
    <n v="2.7073333333333331"/>
  </r>
  <r>
    <m/>
    <x v="972"/>
    <s v="11-2026"/>
    <x v="2"/>
    <e v="#N/A"/>
    <x v="9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4842"/>
    <m/>
    <m/>
    <n v="-4842"/>
    <n v="116208"/>
    <n v="581040"/>
    <n v="7.4999999999999997E-3"/>
    <n v="871.56"/>
    <m/>
    <n v="4.64832"/>
    <n v="8.6079999999999988"/>
  </r>
  <r>
    <m/>
    <x v="973"/>
    <s v="11-2026"/>
    <x v="2"/>
    <e v="#N/A"/>
    <x v="9"/>
    <s v="ขายภายใน"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4842"/>
    <m/>
    <m/>
    <n v="-4842"/>
    <n v="116208"/>
    <n v="581040"/>
    <n v="7.4999999999999997E-3"/>
    <n v="871.56"/>
    <m/>
    <n v="3.6024479999999999"/>
    <n v="6.6711999999999989"/>
  </r>
  <r>
    <m/>
    <x v="974"/>
    <s v="11-2026"/>
    <x v="2"/>
    <e v="#N/A"/>
    <x v="9"/>
    <s v="ขายภายใน"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1859"/>
    <m/>
    <m/>
    <n v="-1859"/>
    <n v="44616"/>
    <n v="223080"/>
    <n v="7.4999999999999997E-3"/>
    <n v="334.62"/>
    <m/>
    <n v="1.3830960000000001"/>
    <n v="2.5612888888888889"/>
  </r>
  <r>
    <m/>
    <x v="974"/>
    <s v="11-2026"/>
    <x v="2"/>
    <e v="#N/A"/>
    <x v="9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2391"/>
    <m/>
    <m/>
    <n v="-2391"/>
    <n v="57384"/>
    <n v="286920"/>
    <n v="7.4999999999999997E-3"/>
    <n v="430.38"/>
    <m/>
    <n v="2.2953600000000001"/>
    <n v="4.2506666666666666"/>
  </r>
  <r>
    <m/>
    <x v="974"/>
    <s v="11-2026"/>
    <x v="2"/>
    <e v="#N/A"/>
    <x v="9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s v="SS"/>
    <s v="STPP"/>
    <s v="หมาล่า"/>
    <n v="1200"/>
    <m/>
    <m/>
    <n v="-1200"/>
    <n v="28800"/>
    <n v="86400"/>
    <n v="1.83E-2"/>
    <n v="527.04"/>
    <m/>
    <n v="0.53567999999999993"/>
    <n v="0.99199999999999977"/>
  </r>
  <r>
    <m/>
    <x v="975"/>
    <d v="2026-11-19T00:00:00"/>
    <x v="2"/>
    <e v="#N/A"/>
    <x v="9"/>
    <s v="DRY2600266"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792"/>
    <m/>
    <m/>
    <n v="-792"/>
    <n v="28512"/>
    <n v="142560"/>
    <n v="7.4999999999999997E-3"/>
    <n v="213.84"/>
    <m/>
    <n v="1.0692000000000002"/>
    <n v="1.9800000000000002"/>
  </r>
  <r>
    <m/>
    <x v="975"/>
    <d v="2026-12-17T00:00:00"/>
    <x v="2"/>
    <e v="#N/A"/>
    <x v="9"/>
    <s v="DRY2600267"/>
    <s v="AUS"/>
    <s v="CPFNW"/>
    <s v="CPF Australia Pty Ltd.(Woolworth)"/>
    <s v="Wonton ND+V"/>
    <x v="1"/>
    <s v="Cooked Wonton ND No Egg with Pumpkin_x000a_+ Yu Choy "/>
    <s v="082SJ9U05004P00001"/>
    <s v="305g*5"/>
    <n v="5"/>
    <n v="4"/>
    <n v="7.4999999999999997E-3"/>
    <s v="HC"/>
    <s v="Salt"/>
    <s v="Regular"/>
    <n v="5076"/>
    <m/>
    <m/>
    <n v="-5076"/>
    <n v="25380"/>
    <n v="101520"/>
    <n v="7.4999999999999997E-3"/>
    <n v="190.35"/>
    <s v="ถ้าว,ฝา สีขาว"/>
    <n v="0.76139999999999997"/>
    <n v="1.41"/>
  </r>
  <r>
    <m/>
    <x v="975"/>
    <d v="2026-11-27T00:00:00"/>
    <x v="2"/>
    <e v="#N/A"/>
    <x v="9"/>
    <s v="DRY2600251"/>
    <s v="SG"/>
    <s v="CPFNW"/>
    <s v="CP FOODS SINGAPORE PTE. LTD"/>
    <s v="Wonton ND+V"/>
    <x v="1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200"/>
    <m/>
    <m/>
    <n v="-200"/>
    <n v="4800"/>
    <n v="14400"/>
    <n v="1"/>
    <n v="4800"/>
    <m/>
    <n v="0.108"/>
    <n v="0.19999999999999998"/>
  </r>
  <r>
    <m/>
    <x v="975"/>
    <d v="2026-12-03T00:00:00"/>
    <x v="2"/>
    <e v="#N/A"/>
    <x v="9"/>
    <s v="DRY2600119"/>
    <s v="AUS"/>
    <s v="CPFNW"/>
    <s v="CPF Australia Pty Ltd.(Woolworth)"/>
    <s v="Minced ND+V+TK"/>
    <x v="1"/>
    <s v="Cooked Minced  ND No Egg with Pumpkin_x000a_+ Yu Choy Tomkha"/>
    <s v="082SR9U05003P01001"/>
    <s v="302g*5"/>
    <n v="5"/>
    <n v="3"/>
    <n v="6.0000000000000001E-3"/>
    <s v="BK"/>
    <s v="Salt"/>
    <s v="Tomkha+CM"/>
    <n v="5076"/>
    <m/>
    <m/>
    <n v="-5076"/>
    <n v="25380"/>
    <n v="76140"/>
    <n v="5.8823E-2"/>
    <n v="1492.9277400000001"/>
    <s v="ถ้าว,ฝา สีขาว"/>
    <n v="0.45684000000000002"/>
    <n v="0.84599999999999997"/>
  </r>
  <r>
    <m/>
    <x v="976"/>
    <m/>
    <x v="2"/>
    <e v="#N/A"/>
    <x v="9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977"/>
    <m/>
    <x v="2"/>
    <e v="#N/A"/>
    <x v="9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978"/>
    <d v="2026-11-30T00:00:00"/>
    <x v="2"/>
    <e v="#N/A"/>
    <x v="9"/>
    <s v="DRY2600137"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1900"/>
    <m/>
    <m/>
    <n v="-1900"/>
    <n v="34200"/>
    <n v="273600"/>
    <n v="1"/>
    <n v="34200"/>
    <m/>
    <n v="1.8632160000000002"/>
    <n v="3.4504000000000001"/>
  </r>
  <r>
    <m/>
    <x v="978"/>
    <d v="2026-12-08T00:00:00"/>
    <x v="2"/>
    <e v="#N/A"/>
    <x v="9"/>
    <s v="DRY2600153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m/>
    <m/>
    <n v="-1288"/>
    <n v="46368"/>
    <n v="231840"/>
    <n v="7.4999999999999997E-3"/>
    <n v="347.76"/>
    <s v="New Design"/>
    <n v="1.7387999999999999"/>
    <n v="3.2199999999999998"/>
  </r>
  <r>
    <m/>
    <x v="978"/>
    <d v="2026-11-27T00:00:00"/>
    <x v="2"/>
    <e v="#N/A"/>
    <x v="9"/>
    <s v="DRY2600251"/>
    <s v="SG"/>
    <s v="CPFNW"/>
    <s v="CP FOODS SINGAPORE PTE. LTD"/>
    <s v="Wonton"/>
    <x v="1"/>
    <s v="Cooked Wonton No Egg"/>
    <s v="082S83B24005P07001"/>
    <s v="145g*24"/>
    <n v="24"/>
    <n v="5"/>
    <n v="8.0000000000000002E-3"/>
    <s v="M"/>
    <s v="STPP"/>
    <s v="Regular"/>
    <n v="250"/>
    <m/>
    <m/>
    <n v="-250"/>
    <n v="6000"/>
    <n v="30000"/>
    <n v="1"/>
    <n v="6000"/>
    <m/>
    <n v="0.24"/>
    <n v="0.44444444444444442"/>
  </r>
  <r>
    <m/>
    <x v="978"/>
    <d v="2026-11-27T00:00:00"/>
    <x v="2"/>
    <e v="#N/A"/>
    <x v="9"/>
    <s v="DRY2600251"/>
    <s v="SG"/>
    <s v="CPFNW"/>
    <s v="CP FOODS SINGAPORE PTE. LTD"/>
    <s v="Wonton +TY"/>
    <x v="1"/>
    <s v="Cooked Wonton No Egg"/>
    <s v="082S83B24005P06001"/>
    <s v="115g*24"/>
    <n v="24"/>
    <n v="5"/>
    <n v="8.0000000000000002E-3"/>
    <s v="M"/>
    <s v="STPP"/>
    <s v="TYTB3C 30G"/>
    <n v="120"/>
    <m/>
    <m/>
    <n v="-120"/>
    <n v="2880"/>
    <n v="14400"/>
    <n v="1"/>
    <n v="2880"/>
    <m/>
    <n v="0.1152"/>
    <n v="0.21333333333333332"/>
  </r>
  <r>
    <m/>
    <x v="978"/>
    <d v="2026-11-27T00:00:00"/>
    <x v="2"/>
    <e v="#N/A"/>
    <x v="9"/>
    <s v="DRY2600251"/>
    <s v="SG"/>
    <s v="CPFNW"/>
    <s v="CP FOODS SINGAPORE PTE. LTD"/>
    <s v="Minced ND+หมาล่า"/>
    <x v="1"/>
    <s v="Cooked Minced  ND No Egg หมาล่า"/>
    <s v="082SR3B24003P00001"/>
    <s v="300g*24"/>
    <n v="24"/>
    <n v="3"/>
    <n v="6.0000000000000001E-3"/>
    <s v="BK"/>
    <s v="Salt"/>
    <s v="หมาล่า"/>
    <n v="210"/>
    <m/>
    <m/>
    <n v="-210"/>
    <n v="5040"/>
    <n v="15120"/>
    <n v="2.4E-2"/>
    <n v="120.96000000000001"/>
    <m/>
    <n v="9.0720000000000009E-2"/>
    <n v="0.16800000000000001"/>
  </r>
  <r>
    <s v="R"/>
    <x v="979"/>
    <d v="2026-12-03T00:00:00"/>
    <x v="2"/>
    <e v="#N/A"/>
    <x v="9"/>
    <s v="DRY2600212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85"/>
    <m/>
    <m/>
    <n v="-685"/>
    <n v="6850"/>
    <n v="342500"/>
    <n v="6"/>
    <n v="41100"/>
    <m/>
    <n v="2.3324250000000002"/>
    <n v="4.3193055555555553"/>
  </r>
  <r>
    <m/>
    <x v="979"/>
    <s v="12-2026"/>
    <x v="2"/>
    <e v="#N/A"/>
    <x v="9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2767"/>
    <m/>
    <m/>
    <n v="-2767"/>
    <n v="66408"/>
    <n v="332040"/>
    <n v="7.4999999999999997E-3"/>
    <n v="498.06"/>
    <m/>
    <n v="2.65632"/>
    <n v="4.9191111111111105"/>
  </r>
  <r>
    <s v="R"/>
    <x v="980"/>
    <d v="2026-12-03T00:00:00"/>
    <x v="2"/>
    <e v="#N/A"/>
    <x v="9"/>
    <s v="DRY2600212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85"/>
    <m/>
    <m/>
    <n v="-685"/>
    <n v="6850"/>
    <n v="342500"/>
    <n v="6"/>
    <n v="41100"/>
    <m/>
    <n v="2.3324250000000002"/>
    <n v="4.3193055555555553"/>
  </r>
  <r>
    <m/>
    <x v="980"/>
    <s v="12-2026"/>
    <x v="2"/>
    <e v="#N/A"/>
    <x v="9"/>
    <s v="ขายภายใน"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2767"/>
    <m/>
    <m/>
    <n v="-2767"/>
    <n v="66408"/>
    <n v="332040"/>
    <n v="7.4999999999999997E-3"/>
    <n v="498.06"/>
    <m/>
    <n v="2.0586480000000003"/>
    <n v="3.8123111111111112"/>
  </r>
  <r>
    <s v="R"/>
    <x v="981"/>
    <d v="2026-12-03T00:00:00"/>
    <x v="2"/>
    <e v="#N/A"/>
    <x v="9"/>
    <s v="DRY2600212"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686"/>
    <m/>
    <m/>
    <n v="-686"/>
    <n v="6860"/>
    <n v="343000"/>
    <n v="6"/>
    <n v="41160"/>
    <m/>
    <n v="2.3358300000000005"/>
    <n v="4.3256111111111117"/>
  </r>
  <r>
    <m/>
    <x v="981"/>
    <s v="12-2026"/>
    <x v="2"/>
    <e v="#N/A"/>
    <x v="9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2767"/>
    <m/>
    <m/>
    <n v="-2767"/>
    <n v="66408"/>
    <n v="332040"/>
    <n v="7.4999999999999997E-3"/>
    <n v="498.06"/>
    <m/>
    <n v="2.65632"/>
    <n v="4.9191111111111105"/>
  </r>
  <r>
    <s v="R"/>
    <x v="982"/>
    <d v="2026-12-22T00:00:00"/>
    <x v="2"/>
    <e v="#N/A"/>
    <x v="9"/>
    <s v="DRY2600260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541"/>
    <m/>
    <m/>
    <n v="-541"/>
    <n v="21640"/>
    <n v="259680"/>
    <n v="2"/>
    <n v="43280"/>
    <m/>
    <n v="2.1111984000000001"/>
    <n v="3.9096266666666666"/>
  </r>
  <r>
    <m/>
    <x v="982"/>
    <s v="12-2026"/>
    <x v="2"/>
    <e v="#N/A"/>
    <x v="9"/>
    <s v="ขายภายใน"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2767"/>
    <m/>
    <m/>
    <n v="-2767"/>
    <n v="66408"/>
    <n v="332040"/>
    <n v="7.4999999999999997E-3"/>
    <n v="498.06"/>
    <m/>
    <n v="2.0586480000000003"/>
    <n v="3.8123111111111112"/>
  </r>
  <r>
    <m/>
    <x v="983"/>
    <m/>
    <x v="2"/>
    <e v="#N/A"/>
    <x v="9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984"/>
    <m/>
    <x v="2"/>
    <e v="#N/A"/>
    <x v="9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985"/>
    <d v="2026-12-22T00:00:00"/>
    <x v="2"/>
    <e v="#N/A"/>
    <x v="9"/>
    <s v="DRY2600260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541"/>
    <m/>
    <m/>
    <n v="-541"/>
    <n v="21640"/>
    <n v="259680"/>
    <n v="2"/>
    <n v="43280"/>
    <m/>
    <n v="2.1111984000000001"/>
    <n v="3.9096266666666666"/>
  </r>
  <r>
    <m/>
    <x v="985"/>
    <s v="12-2026"/>
    <x v="2"/>
    <e v="#N/A"/>
    <x v="9"/>
    <s v="ขายภายใน"/>
    <s v="MTFS"/>
    <s v="CPFGS"/>
    <s v="ซีพีเอฟ เทรดดิ้ง"/>
    <s v="E+Wonton NDE"/>
    <x v="1"/>
    <s v="บะหมี่เกี๊ยวกุ้ง ตราซีพี 12X226 กรัม"/>
    <s v="082SJ3Q12003P07001"/>
    <s v="226g*12"/>
    <n v="12"/>
    <n v="3"/>
    <n v="8.0000000000000002E-3"/>
    <s v="M"/>
    <s v="STPP"/>
    <s v="Regular"/>
    <n v="500"/>
    <m/>
    <m/>
    <n v="-500"/>
    <n v="6000"/>
    <n v="18000"/>
    <n v="7.4999999999999997E-3"/>
    <n v="45"/>
    <s v="Add Potassium"/>
    <n v="0.14399999999999999"/>
    <n v="0.26666666666666661"/>
  </r>
  <r>
    <m/>
    <x v="985"/>
    <s v="12-2026"/>
    <x v="2"/>
    <e v="#N/A"/>
    <x v="9"/>
    <s v="ขายภายใน"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200"/>
    <m/>
    <m/>
    <n v="-200"/>
    <n v="2400"/>
    <n v="7200"/>
    <n v="7.4999999999999997E-3"/>
    <n v="18"/>
    <s v="Add Potassium"/>
    <n v="4.3200000000000002E-2"/>
    <n v="0.08"/>
  </r>
  <r>
    <m/>
    <x v="985"/>
    <s v="12-2026"/>
    <x v="2"/>
    <e v="#N/A"/>
    <x v="9"/>
    <s v="ขายภายใน"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300"/>
    <m/>
    <m/>
    <n v="-300"/>
    <n v="3600"/>
    <n v="18000"/>
    <n v="7.4999999999999997E-3"/>
    <n v="27"/>
    <s v="Add Potassium"/>
    <n v="0.108"/>
    <n v="0.19999999999999998"/>
  </r>
  <r>
    <m/>
    <x v="985"/>
    <s v="12-2026"/>
    <x v="2"/>
    <e v="#N/A"/>
    <x v="9"/>
    <s v="ขายภายใน"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1500"/>
    <m/>
    <m/>
    <n v="-1500"/>
    <n v="27000"/>
    <n v="135000"/>
    <n v="1"/>
    <n v="27000"/>
    <s v="Add Potassium"/>
    <n v="1.08"/>
    <n v="2"/>
  </r>
  <r>
    <m/>
    <x v="985"/>
    <s v="12-2026"/>
    <x v="2"/>
    <e v="#N/A"/>
    <x v="9"/>
    <s v="ขายภายใน"/>
    <s v="MTFS"/>
    <s v="CPFGS"/>
    <s v="ซีพีเอฟ เทรดดิ้ง"/>
    <s v="E+Wonton TY"/>
    <x v="1"/>
    <s v="เกี๊ยวกุ้งจักรพรรดิซุปต้มยำ LV CP 143g"/>
    <s v="082S83Q12005P09001"/>
    <s v="143g*12"/>
    <n v="12"/>
    <n v="5"/>
    <n v="8.0000000000000002E-3"/>
    <s v="SS"/>
    <s v="STPP"/>
    <s v="TYNSF"/>
    <n v="400"/>
    <m/>
    <m/>
    <n v="-400"/>
    <n v="4800"/>
    <n v="24000"/>
    <n v="8.9999999999999993E-3"/>
    <n v="43.199999999999996"/>
    <m/>
    <n v="0.192"/>
    <n v="0.35555555555555551"/>
  </r>
  <r>
    <m/>
    <x v="985"/>
    <s v="12-2026"/>
    <x v="2"/>
    <e v="#N/A"/>
    <x v="9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s v="SS"/>
    <s v="STPP"/>
    <s v="หมาล่า"/>
    <n v="1200"/>
    <m/>
    <m/>
    <n v="-1200"/>
    <n v="28800"/>
    <n v="86400"/>
    <n v="1.83E-2"/>
    <n v="527.04"/>
    <m/>
    <n v="0.53567999999999993"/>
    <n v="0.99199999999999977"/>
  </r>
  <r>
    <s v="R"/>
    <x v="986"/>
    <d v="2026-12-22T00:00:00"/>
    <x v="2"/>
    <e v="#N/A"/>
    <x v="9"/>
    <s v="DRY2600260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542"/>
    <m/>
    <m/>
    <n v="-542"/>
    <n v="21680"/>
    <n v="260160"/>
    <n v="2"/>
    <n v="43360"/>
    <m/>
    <n v="2.1151008"/>
    <n v="3.9168533333333331"/>
  </r>
  <r>
    <m/>
    <x v="986"/>
    <s v="12-2026"/>
    <x v="2"/>
    <e v="#N/A"/>
    <x v="9"/>
    <s v="ขายภายใน"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2767"/>
    <m/>
    <m/>
    <n v="-2767"/>
    <n v="66408"/>
    <n v="332040"/>
    <n v="7.4999999999999997E-3"/>
    <n v="498.06"/>
    <m/>
    <n v="2.0586480000000003"/>
    <n v="3.8123111111111112"/>
  </r>
  <r>
    <m/>
    <x v="987"/>
    <s v="12-2026"/>
    <x v="2"/>
    <e v="#N/A"/>
    <x v="9"/>
    <s v="ขายภายใน"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5499"/>
    <m/>
    <m/>
    <n v="-5499"/>
    <n v="131976"/>
    <n v="659880"/>
    <n v="7.4999999999999997E-3"/>
    <n v="989.81999999999994"/>
    <m/>
    <n v="4.0912559999999996"/>
    <n v="7.5763999999999987"/>
  </r>
  <r>
    <m/>
    <x v="988"/>
    <s v="12-2026"/>
    <x v="2"/>
    <e v="#N/A"/>
    <x v="9"/>
    <s v="ขายภายใน"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4466"/>
    <m/>
    <m/>
    <n v="-4466"/>
    <n v="107184"/>
    <n v="535920"/>
    <n v="7.4999999999999997E-3"/>
    <n v="803.88"/>
    <m/>
    <n v="4.2873599999999996"/>
    <n v="7.9395555555555539"/>
  </r>
  <r>
    <m/>
    <x v="988"/>
    <s v="12-2026"/>
    <x v="2"/>
    <e v="#N/A"/>
    <x v="9"/>
    <s v="ขายภายใน"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s v="SS"/>
    <s v="STPP"/>
    <s v="หมาล่า"/>
    <n v="1200"/>
    <m/>
    <m/>
    <n v="-1200"/>
    <n v="28800"/>
    <n v="86400"/>
    <n v="1.83E-2"/>
    <n v="527.04"/>
    <m/>
    <n v="0.53567999999999993"/>
    <n v="0.99199999999999977"/>
  </r>
  <r>
    <m/>
    <x v="989"/>
    <m/>
    <x v="2"/>
    <e v="#N/A"/>
    <x v="10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990"/>
    <m/>
    <x v="2"/>
    <e v="#N/A"/>
    <x v="10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991"/>
    <m/>
    <x v="2"/>
    <e v="#N/A"/>
    <x v="10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992"/>
    <m/>
    <x v="2"/>
    <e v="#N/A"/>
    <x v="10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993"/>
    <m/>
    <x v="2"/>
    <e v="#N/A"/>
    <x v="10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994"/>
    <m/>
    <x v="2"/>
    <e v="#N/A"/>
    <x v="10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995"/>
    <m/>
    <x v="2"/>
    <e v="#N/A"/>
    <x v="10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996"/>
    <m/>
    <x v="2"/>
    <e v="#N/A"/>
    <x v="10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997"/>
    <m/>
    <x v="2"/>
    <e v="#N/A"/>
    <x v="10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998"/>
    <m/>
    <x v="2"/>
    <e v="#N/A"/>
    <x v="11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999"/>
    <d v="2026-12-22T00:00:00"/>
    <x v="2"/>
    <e v="#N/A"/>
    <x v="11"/>
    <s v="DRY2600261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541"/>
    <m/>
    <m/>
    <n v="-541"/>
    <n v="21640"/>
    <n v="259680"/>
    <n v="2"/>
    <n v="43280"/>
    <m/>
    <n v="2.1111984000000001"/>
    <n v="3.9096266666666666"/>
  </r>
  <r>
    <s v="R"/>
    <x v="1000"/>
    <d v="2026-12-22T00:00:00"/>
    <x v="2"/>
    <e v="#N/A"/>
    <x v="11"/>
    <s v="DRY2600261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541"/>
    <m/>
    <m/>
    <n v="-541"/>
    <n v="21640"/>
    <n v="259680"/>
    <n v="2"/>
    <n v="43280"/>
    <m/>
    <n v="2.1111984000000001"/>
    <n v="3.9096266666666666"/>
  </r>
  <r>
    <s v="R"/>
    <x v="1001"/>
    <d v="2026-12-22T00:00:00"/>
    <x v="2"/>
    <e v="#N/A"/>
    <x v="11"/>
    <s v="DRY2600261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542"/>
    <m/>
    <m/>
    <n v="-542"/>
    <n v="21680"/>
    <n v="260160"/>
    <n v="2"/>
    <n v="43360"/>
    <m/>
    <n v="2.1151008"/>
    <n v="3.9168533333333331"/>
  </r>
  <r>
    <m/>
    <x v="1002"/>
    <m/>
    <x v="2"/>
    <e v="#N/A"/>
    <x v="11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1003"/>
    <d v="2027-01-05T00:00:00"/>
    <x v="2"/>
    <e v="#N/A"/>
    <x v="11"/>
    <s v="DRY2600262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541"/>
    <m/>
    <m/>
    <n v="-541"/>
    <n v="21640"/>
    <n v="259680"/>
    <n v="2"/>
    <n v="43280"/>
    <m/>
    <n v="2.1111984000000001"/>
    <n v="3.9096266666666666"/>
  </r>
  <r>
    <m/>
    <x v="1004"/>
    <m/>
    <x v="2"/>
    <e v="#N/A"/>
    <x v="11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1005"/>
    <m/>
    <x v="2"/>
    <e v="#N/A"/>
    <x v="11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1006"/>
    <d v="2027-01-05T00:00:00"/>
    <x v="2"/>
    <e v="#N/A"/>
    <x v="11"/>
    <s v="DRY2600262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541"/>
    <m/>
    <m/>
    <n v="-541"/>
    <n v="21640"/>
    <n v="259680"/>
    <n v="2"/>
    <n v="43280"/>
    <m/>
    <n v="2.1111984000000001"/>
    <n v="3.9096266666666666"/>
  </r>
  <r>
    <m/>
    <x v="1006"/>
    <d v="2027-01-05T00:00:00"/>
    <x v="2"/>
    <e v="#N/A"/>
    <x v="11"/>
    <s v="DRY2600150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m/>
    <m/>
    <n v="-1288"/>
    <n v="46368"/>
    <n v="231840"/>
    <n v="7.4999999999999997E-3"/>
    <n v="347.76"/>
    <s v="New Design"/>
    <n v="1.7387999999999999"/>
    <n v="3.2199999999999998"/>
  </r>
  <r>
    <s v="R"/>
    <x v="1007"/>
    <d v="2027-01-05T00:00:00"/>
    <x v="2"/>
    <e v="#N/A"/>
    <x v="11"/>
    <s v="DRY2600262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542"/>
    <m/>
    <m/>
    <n v="-542"/>
    <n v="21680"/>
    <n v="260160"/>
    <n v="2"/>
    <n v="43360"/>
    <m/>
    <n v="2.1151008"/>
    <n v="3.9168533333333331"/>
  </r>
  <r>
    <s v="R"/>
    <x v="1008"/>
    <d v="2007-01-05T00:00:00"/>
    <x v="2"/>
    <e v="#N/A"/>
    <x v="11"/>
    <s v="DRY2600263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541"/>
    <m/>
    <m/>
    <n v="-541"/>
    <n v="21640"/>
    <n v="259680"/>
    <n v="2"/>
    <n v="43280"/>
    <m/>
    <n v="2.1111984000000001"/>
    <n v="3.9096266666666666"/>
  </r>
  <r>
    <s v="R"/>
    <x v="1009"/>
    <d v="2007-01-05T00:00:00"/>
    <x v="2"/>
    <e v="#N/A"/>
    <x v="11"/>
    <s v="DRY2600263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541"/>
    <m/>
    <m/>
    <n v="-541"/>
    <n v="21640"/>
    <n v="259680"/>
    <n v="2"/>
    <n v="43280"/>
    <m/>
    <n v="2.1111984000000001"/>
    <n v="3.9096266666666666"/>
  </r>
  <r>
    <s v="R"/>
    <x v="1010"/>
    <d v="2007-01-05T00:00:00"/>
    <x v="2"/>
    <e v="#N/A"/>
    <x v="11"/>
    <s v="DRY2600263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542"/>
    <m/>
    <m/>
    <n v="-542"/>
    <n v="21680"/>
    <n v="260160"/>
    <n v="2"/>
    <n v="43360"/>
    <m/>
    <n v="2.1151008"/>
    <n v="3.9168533333333331"/>
  </r>
  <r>
    <m/>
    <x v="1011"/>
    <m/>
    <x v="2"/>
    <e v="#N/A"/>
    <x v="11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1012"/>
    <m/>
    <x v="2"/>
    <e v="#N/A"/>
    <x v="11"/>
    <m/>
    <m/>
    <m/>
    <m/>
    <m/>
    <x v="0"/>
    <m/>
    <m/>
    <m/>
    <m/>
    <m/>
    <m/>
    <m/>
    <m/>
    <m/>
    <m/>
    <m/>
    <m/>
    <m/>
    <m/>
    <n v="0"/>
    <m/>
    <m/>
    <m/>
    <m/>
    <m/>
  </r>
  <r>
    <s v="รอยืนยันเรื่องกล่อง"/>
    <x v="1013"/>
    <d v="2027-01-06T00:00:00"/>
    <x v="2"/>
    <e v="#N/A"/>
    <x v="11"/>
    <s v="DRY2600231"/>
    <s v="UK"/>
    <s v="CPFNW"/>
    <s v="Westbridge Foods Limited (One UK)"/>
    <s v="Noodles+BC"/>
    <x v="1"/>
    <s v="Crispy Chilli Oil Biang Biang Noodles+BC &quot;Kitchen Joy&quot;"/>
    <s v="082SLKW12310G00001"/>
    <s v="310g*12ถ้วย"/>
    <n v="12"/>
    <n v="3"/>
    <n v="0.01"/>
    <s v="Aubergine"/>
    <s v="-"/>
    <s v="Soy Sauce"/>
    <n v="2278"/>
    <m/>
    <m/>
    <n v="-2278"/>
    <n v="27336"/>
    <n v="82008"/>
    <m/>
    <n v="0"/>
    <s v="ถ้าว,ฝา สีขาว New Package 1,800/HR"/>
    <n v="0.82007999999999992"/>
    <n v="1.5186666666666664"/>
  </r>
  <r>
    <m/>
    <x v="1014"/>
    <m/>
    <x v="2"/>
    <e v="#N/A"/>
    <x v="11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1015"/>
    <m/>
    <x v="2"/>
    <e v="#N/A"/>
    <x v="11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1016"/>
    <m/>
    <x v="2"/>
    <e v="#N/A"/>
    <x v="11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1017"/>
    <m/>
    <x v="2"/>
    <e v="#N/A"/>
    <x v="11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1018"/>
    <m/>
    <x v="2"/>
    <e v="#N/A"/>
    <x v="11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1019"/>
    <m/>
    <x v="2"/>
    <e v="#N/A"/>
    <x v="11"/>
    <m/>
    <m/>
    <m/>
    <m/>
    <m/>
    <x v="0"/>
    <m/>
    <m/>
    <m/>
    <m/>
    <m/>
    <m/>
    <m/>
    <m/>
    <m/>
    <m/>
    <m/>
    <m/>
    <m/>
    <m/>
    <n v="0"/>
    <m/>
    <m/>
    <m/>
    <m/>
    <m/>
  </r>
  <r>
    <s v="R"/>
    <x v="1020"/>
    <d v="2007-01-05T00:00:00"/>
    <x v="3"/>
    <e v="#N/A"/>
    <x v="0"/>
    <s v="DRY2600264"/>
    <s v="Taiwan"/>
    <s v="CPFNW"/>
    <s v="CP TAIWAN"/>
    <s v="R-Wonton no egg"/>
    <x v="2"/>
    <s v="Raw Wonton 12 pcs"/>
    <s v="082I93R40012P03001"/>
    <s v="154g*40inner"/>
    <n v="40"/>
    <n v="12"/>
    <n v="8.1300000000000001E-3"/>
    <s v="M"/>
    <s v="Salt"/>
    <s v="ซุปซอง 5g."/>
    <n v="1624"/>
    <m/>
    <m/>
    <n v="-1624"/>
    <n v="64960"/>
    <n v="779520"/>
    <n v="2"/>
    <n v="129920"/>
    <m/>
    <n v="6.3374976000000007"/>
    <n v="11.736106666666668"/>
  </r>
  <r>
    <m/>
    <x v="1020"/>
    <d v="2027-02-02T00:00:00"/>
    <x v="3"/>
    <e v="#N/A"/>
    <x v="0"/>
    <s v="DRY2600152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m/>
    <m/>
    <n v="-1288"/>
    <n v="46368"/>
    <n v="231840"/>
    <n v="7.4999999999999997E-3"/>
    <n v="347.76"/>
    <s v="New Design"/>
    <n v="1.7387999999999999"/>
    <n v="3.2199999999999998"/>
  </r>
  <r>
    <m/>
    <x v="1021"/>
    <d v="2027-02-23T00:00:00"/>
    <x v="3"/>
    <e v="#N/A"/>
    <x v="1"/>
    <s v="DRY2600154"/>
    <s v="UK"/>
    <s v="CPFNW"/>
    <s v="Westbridge Foods Limited (One UK)"/>
    <s v="Wonton"/>
    <x v="1"/>
    <s v="Wonton Soup No Egg  "/>
    <s v="082S85L36005P04001"/>
    <s v="148g*6c*6in"/>
    <n v="36"/>
    <n v="5"/>
    <n v="7.4999999999999997E-3"/>
    <s v="HC"/>
    <s v="Salt"/>
    <s v="Regular"/>
    <n v="1288"/>
    <m/>
    <m/>
    <n v="-1288"/>
    <n v="46368"/>
    <n v="231840"/>
    <n v="7.4999999999999997E-3"/>
    <n v="347.76"/>
    <s v="New Design"/>
    <n v="1.7387999999999999"/>
    <n v="3.2199999999999998"/>
  </r>
  <r>
    <m/>
    <x v="1022"/>
    <m/>
    <x v="4"/>
    <e v="#N/A"/>
    <x v="12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1022"/>
    <s v="09-2026"/>
    <x v="4"/>
    <e v="#N/A"/>
    <x v="12"/>
    <s v="ขายภายใน"/>
    <s v="MTFS"/>
    <s v="CPFGS"/>
    <s v="CPFGS"/>
    <s v="Wonton ND+เย็นตาโฟ"/>
    <x v="1"/>
    <s v="บะหมี่เย็นตาโฟแห้ง CP นายอ้วน 675g Multi"/>
    <s v="082SR3Q18002P00001"/>
    <s v="225g*3ถ้วย*6ถุง/ctn"/>
    <n v="18"/>
    <n v="2"/>
    <n v="6.0000000000000001E-3"/>
    <s v="BK"/>
    <s v="STPP"/>
    <s v="เย็นตาโฟ"/>
    <n v="2500"/>
    <m/>
    <m/>
    <n v="-2500"/>
    <n v="45000"/>
    <n v="90000"/>
    <n v="1.7000000000000001E-2"/>
    <n v="765"/>
    <s v="รอเคลียร์ Package  ถ้วยกระดาษ"/>
    <n v="0.54"/>
    <n v="1"/>
  </r>
  <r>
    <s v="Budget R"/>
    <x v="998"/>
    <d v="2026-12-01T00:00:00"/>
    <x v="2"/>
    <e v="#N/A"/>
    <x v="11"/>
    <m/>
    <s v="Belgium"/>
    <s v="CPFNW"/>
    <s v="CPF EUROPE S.A."/>
    <s v="R-Wonton no egg"/>
    <x v="2"/>
    <s v="Raw Wonton 50 pcs"/>
    <s v="082I93I10050P02001"/>
    <s v="630g*10inner"/>
    <n v="10"/>
    <n v="50"/>
    <n v="8.1300000000000001E-3"/>
    <s v="M"/>
    <s v="Salt"/>
    <s v="ซุปซอง 5g."/>
    <n v="300"/>
    <m/>
    <m/>
    <n v="-300"/>
    <n v="3000"/>
    <n v="150000"/>
    <n v="6"/>
    <n v="18000"/>
    <m/>
    <n v="1.2195"/>
    <n v="2.2583333333333333"/>
  </r>
  <r>
    <s v="Budget R"/>
    <x v="998"/>
    <d v="2026-12-01T00:00:00"/>
    <x v="2"/>
    <e v="#N/A"/>
    <x v="11"/>
    <m/>
    <s v="Malay"/>
    <s v="CPFNW"/>
    <s v="CPM Malaysia"/>
    <s v="R-Wonton egg past"/>
    <x v="2"/>
    <s v="Raw Wonton 12 pcs"/>
    <s v="082I95I20012P02001"/>
    <s v="154g*20inner"/>
    <n v="20"/>
    <n v="12"/>
    <n v="6.8100000000000001E-3"/>
    <s v="S"/>
    <s v="STPP"/>
    <s v="ซุปซอง 5g."/>
    <n v="200"/>
    <m/>
    <m/>
    <n v="-200"/>
    <n v="4000"/>
    <n v="48000"/>
    <n v="2"/>
    <n v="8000"/>
    <m/>
    <n v="0.32688"/>
    <n v="0.60533333333333328"/>
  </r>
  <r>
    <s v="Budget R"/>
    <x v="1023"/>
    <d v="2027-01-01T00:00:00"/>
    <x v="3"/>
    <e v="#N/A"/>
    <x v="0"/>
    <m/>
    <s v="Malay"/>
    <s v="CPFNW"/>
    <s v="CPM Malaysia"/>
    <s v="R-Wonton egg past"/>
    <x v="2"/>
    <s v="Raw Wonton 12 pcs"/>
    <s v="082I95I20012P02001"/>
    <s v="154g*20inner"/>
    <n v="20"/>
    <n v="12"/>
    <n v="6.8100000000000001E-3"/>
    <s v="S"/>
    <s v="STPP"/>
    <s v="ซุปซอง 5g."/>
    <n v="178"/>
    <m/>
    <m/>
    <n v="-178"/>
    <n v="3560"/>
    <n v="42720"/>
    <n v="2"/>
    <n v="7120"/>
    <m/>
    <n v="0.29092319999999999"/>
    <n v="0.5387466666666666"/>
  </r>
  <r>
    <s v="Budget R"/>
    <x v="998"/>
    <d v="2026-12-01T00:00:00"/>
    <x v="2"/>
    <e v="#N/A"/>
    <x v="11"/>
    <m/>
    <s v="Malay"/>
    <s v="CPFNW"/>
    <s v="CPM Malaysia"/>
    <s v="R-Wonton egg past"/>
    <x v="2"/>
    <s v="Raw Wonton 8 pcs (Tomyam 30g.)"/>
    <s v="082I95I18008P00001"/>
    <s v="126g*18in"/>
    <n v="18"/>
    <n v="8"/>
    <n v="6.8100000000000001E-3"/>
    <s v="S"/>
    <s v="STPP"/>
    <s v="TYTB3C 30G"/>
    <n v="150"/>
    <m/>
    <m/>
    <n v="-150"/>
    <n v="2700"/>
    <n v="21600"/>
    <n v="1"/>
    <n v="2700"/>
    <m/>
    <n v="0.147096"/>
    <n v="0.27239999999999998"/>
  </r>
  <r>
    <s v="Budget R"/>
    <x v="1023"/>
    <d v="2027-01-01T00:00:00"/>
    <x v="3"/>
    <e v="#N/A"/>
    <x v="0"/>
    <m/>
    <s v="Malay"/>
    <s v="CPFNW"/>
    <s v="CPM Malaysia"/>
    <s v="R-Wonton egg past"/>
    <x v="2"/>
    <s v="Raw Wonton 8 pcs (Tomyam 30g.)"/>
    <s v="082I95I18008P00001"/>
    <s v="126g*18in"/>
    <n v="18"/>
    <n v="8"/>
    <n v="6.8100000000000001E-3"/>
    <s v="S"/>
    <s v="STPP"/>
    <s v="TYTB3C 30G"/>
    <n v="132"/>
    <m/>
    <m/>
    <n v="-132"/>
    <n v="2376"/>
    <n v="19008"/>
    <n v="1"/>
    <n v="2376"/>
    <m/>
    <n v="0.12944448"/>
    <n v="0.23971199999999998"/>
  </r>
  <r>
    <s v="Budget R"/>
    <x v="998"/>
    <d v="2026-12-01T00:00:00"/>
    <x v="2"/>
    <e v="#N/A"/>
    <x v="11"/>
    <m/>
    <s v="SG"/>
    <s v="CPFNW"/>
    <s v="CP FOODS SINGAPORE PTE. LTD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2400"/>
    <m/>
    <m/>
    <n v="-2400"/>
    <n v="48000"/>
    <n v="576000"/>
    <n v="2"/>
    <n v="96000"/>
    <m/>
    <n v="3.9225599999999998"/>
    <n v="7.2639999999999993"/>
  </r>
  <r>
    <s v="Budget R"/>
    <x v="1023"/>
    <d v="2027-01-01T00:00:00"/>
    <x v="3"/>
    <e v="#N/A"/>
    <x v="0"/>
    <m/>
    <s v="SG"/>
    <s v="CPFNW"/>
    <s v="CP FOODS SINGAPORE PTE. LTD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9500"/>
    <m/>
    <m/>
    <n v="-9500"/>
    <n v="190000"/>
    <n v="2280000"/>
    <n v="2"/>
    <n v="380000"/>
    <m/>
    <n v="15.526800000000001"/>
    <n v="28.753333333333334"/>
  </r>
  <r>
    <s v="Budget R"/>
    <x v="1024"/>
    <d v="2027-02-01T00:00:00"/>
    <x v="3"/>
    <e v="#N/A"/>
    <x v="1"/>
    <m/>
    <s v="SG"/>
    <s v="CPFNW"/>
    <s v="CP FOODS SINGAPORE PTE. LTD"/>
    <s v="R-Wonton egg past"/>
    <x v="2"/>
    <s v="Raw Wonton 12 pcs"/>
    <s v="082I93B20012P06001"/>
    <s v="154g*20in"/>
    <n v="20"/>
    <n v="12"/>
    <n v="6.8100000000000001E-3"/>
    <s v="S"/>
    <s v="STPP"/>
    <s v="ซุปซอง 5g."/>
    <n v="1000"/>
    <m/>
    <m/>
    <n v="-1000"/>
    <n v="20000"/>
    <n v="240000"/>
    <n v="2"/>
    <n v="40000"/>
    <m/>
    <n v="1.6344000000000001"/>
    <n v="3.0266666666666664"/>
  </r>
  <r>
    <s v="Budget R"/>
    <x v="998"/>
    <d v="2026-12-01T00:00:00"/>
    <x v="2"/>
    <e v="#N/A"/>
    <x v="11"/>
    <m/>
    <s v="SG"/>
    <s v="CPFNW"/>
    <s v="CP FOODS SINGAPORE PTE. LTD"/>
    <s v="R-Minced egg past"/>
    <x v="2"/>
    <s v="Raw Minced Wonton 8 pcs"/>
    <s v="082ID3B18008P00001"/>
    <s v="90g*18in"/>
    <n v="18"/>
    <n v="8"/>
    <n v="6.0000000000000001E-3"/>
    <s v="BK"/>
    <s v="STPP"/>
    <s v="ซุปซอง 5g."/>
    <n v="300"/>
    <m/>
    <m/>
    <n v="-300"/>
    <n v="5400"/>
    <n v="43200"/>
    <n v="2"/>
    <n v="10800"/>
    <m/>
    <n v="0.25919999999999999"/>
    <n v="0.47999999999999993"/>
  </r>
  <r>
    <s v="Budget R"/>
    <x v="1023"/>
    <d v="2027-01-01T00:00:00"/>
    <x v="3"/>
    <e v="#N/A"/>
    <x v="0"/>
    <m/>
    <s v="SG"/>
    <s v="CPFNW"/>
    <s v="CP FOODS SINGAPORE PTE. LTD"/>
    <s v="R-Minced egg past"/>
    <x v="2"/>
    <s v="Raw Minced Wonton 8 pcs"/>
    <s v="082ID3B18008P00001"/>
    <s v="90g*18in"/>
    <n v="18"/>
    <n v="8"/>
    <n v="6.0000000000000001E-3"/>
    <s v="BK"/>
    <s v="STPP"/>
    <s v="ซุปซอง 5g."/>
    <n v="780"/>
    <m/>
    <m/>
    <n v="-780"/>
    <n v="14040"/>
    <n v="112320"/>
    <n v="2"/>
    <n v="28080"/>
    <m/>
    <n v="0.67391999999999996"/>
    <n v="1.2479999999999998"/>
  </r>
  <r>
    <s v="Budget R"/>
    <x v="1024"/>
    <d v="2027-02-01T00:00:00"/>
    <x v="3"/>
    <e v="#N/A"/>
    <x v="1"/>
    <m/>
    <s v="SG"/>
    <s v="CPFNW"/>
    <s v="CP FOODS SINGAPORE PTE. LTD"/>
    <s v="R-Minced egg past"/>
    <x v="2"/>
    <s v="Raw Minced Wonton 8 pcs"/>
    <s v="082ID3B18008P00001"/>
    <s v="90g*18in"/>
    <n v="18"/>
    <n v="8"/>
    <n v="6.0000000000000001E-3"/>
    <s v="BK"/>
    <s v="STPP"/>
    <s v="ซุปซอง 5g."/>
    <n v="300"/>
    <m/>
    <m/>
    <n v="-300"/>
    <n v="5400"/>
    <n v="43200"/>
    <n v="2"/>
    <n v="10800"/>
    <m/>
    <n v="0.25919999999999999"/>
    <n v="0.47999999999999993"/>
  </r>
  <r>
    <s v="Budget R"/>
    <x v="1023"/>
    <d v="2027-01-01T00:00:00"/>
    <x v="3"/>
    <e v="#N/A"/>
    <x v="0"/>
    <m/>
    <s v="SG"/>
    <s v="CPFNW"/>
    <s v="CP FOODS SINGAPORE PTE. LTD"/>
    <s v="R-Wonton egg past"/>
    <x v="2"/>
    <s v="Raw Wonton 8 pcs"/>
    <s v="082I93B20008P00001"/>
    <s v="194g*20in"/>
    <n v="20"/>
    <n v="8"/>
    <n v="1.4999999999999999E-2"/>
    <s v="JB"/>
    <s v="STPP"/>
    <s v="ซุปซอง 5g."/>
    <n v="2400"/>
    <m/>
    <m/>
    <n v="-2400"/>
    <n v="48000"/>
    <n v="384000"/>
    <n v="2"/>
    <n v="96000"/>
    <s v="ห่อแบบดิบ"/>
    <n v="5.76"/>
    <n v="10.666666666666666"/>
  </r>
  <r>
    <s v="Budget R"/>
    <x v="1023"/>
    <d v="2027-01-01T00:00:00"/>
    <x v="3"/>
    <e v="#N/A"/>
    <x v="0"/>
    <m/>
    <s v="SG"/>
    <s v="CPFNW"/>
    <s v="CP FOODS SINGAPORE PTE. LTD"/>
    <s v="R-Wonton egg past"/>
    <x v="2"/>
    <s v="Raw Wonton 12 pcs with sesame"/>
    <s v="082I93B20012P02001"/>
    <s v="204g*20in"/>
    <n v="20"/>
    <n v="12"/>
    <n v="6.8100000000000001E-3"/>
    <s v="S"/>
    <s v="STPP"/>
    <s v=" sesame 30g"/>
    <n v="2400"/>
    <m/>
    <m/>
    <n v="-2400"/>
    <n v="48000"/>
    <n v="576000"/>
    <n v="2"/>
    <n v="96000"/>
    <s v="ห่อแบบดิบ"/>
    <n v="3.9225599999999998"/>
    <n v="7.2639999999999993"/>
  </r>
  <r>
    <s v="Budget R"/>
    <x v="1023"/>
    <d v="2027-01-01T00:00:00"/>
    <x v="3"/>
    <e v="#N/A"/>
    <x v="0"/>
    <m/>
    <s v="SG"/>
    <s v="CPFNW"/>
    <s v="CP FOODS SINGAPORE PTE. LTD"/>
    <s v="R-Wonton egg past"/>
    <x v="2"/>
    <s v="Raw Wonton 8 pcs (Tomyam 30g.)"/>
    <s v="082I93B18008P01001"/>
    <s v="126g*18in"/>
    <n v="18"/>
    <n v="8"/>
    <n v="6.8100000000000001E-3"/>
    <s v="S"/>
    <s v="STPP"/>
    <s v="TYTB3C 30G"/>
    <n v="250"/>
    <m/>
    <m/>
    <n v="-250"/>
    <n v="4500"/>
    <n v="36000"/>
    <n v="1"/>
    <n v="4500"/>
    <m/>
    <n v="0.24515999999999999"/>
    <n v="0.45399999999999996"/>
  </r>
  <r>
    <s v="Budget R"/>
    <x v="1023"/>
    <d v="2027-01-01T00:00:00"/>
    <x v="3"/>
    <e v="#N/A"/>
    <x v="0"/>
    <m/>
    <s v="HK"/>
    <s v="CPFNW"/>
    <s v="CPM Hongkong"/>
    <s v="R-Wonton egg past"/>
    <x v="2"/>
    <s v="Raw Wonton 8 pcs"/>
    <s v="082I93G18008P00001"/>
    <s v="101g*18in"/>
    <n v="18"/>
    <n v="8"/>
    <n v="6.8100000000000001E-3"/>
    <s v="S"/>
    <s v="STPP"/>
    <s v="ซุปซอง 5g."/>
    <n v="1900"/>
    <m/>
    <m/>
    <n v="-1900"/>
    <n v="34200"/>
    <n v="273600"/>
    <n v="1"/>
    <n v="34200"/>
    <m/>
    <n v="1.8632160000000002"/>
    <n v="3.4504000000000001"/>
  </r>
  <r>
    <s v="Budget R"/>
    <x v="1023"/>
    <d v="2027-01-01T00:00:00"/>
    <x v="3"/>
    <e v="#N/A"/>
    <x v="0"/>
    <m/>
    <s v="USA"/>
    <s v="CPFNW"/>
    <s v="Bellisio Foods, Inc."/>
    <s v="R-Wonton no egg"/>
    <x v="2"/>
    <s v="Raw Wonton 50 pcs"/>
    <s v="082I9BW10050P00001"/>
    <s v="580g*10in"/>
    <n v="10"/>
    <n v="50"/>
    <n v="6.8100000000000001E-3"/>
    <s v="S"/>
    <s v="Salt"/>
    <s v="ซุปซอง 5g."/>
    <n v="300"/>
    <m/>
    <m/>
    <n v="-300"/>
    <n v="3000"/>
    <n v="150000"/>
    <n v="6"/>
    <n v="18000"/>
    <s v="ใช้คำว่า “Best if Used By” แทนคำว่า Best by Date"/>
    <n v="1.0215000000000001"/>
    <n v="1.8916666666666666"/>
  </r>
  <r>
    <s v="Budget R"/>
    <x v="1023"/>
    <d v="2027-01-01T00:00:00"/>
    <x v="3"/>
    <e v="#N/A"/>
    <x v="0"/>
    <m/>
    <s v="Korea"/>
    <s v="CPFNW"/>
    <s v="Consumer Package Commerce"/>
    <s v="R-Wonton egg past"/>
    <x v="2"/>
    <s v="Raw Wonton 50 pcs"/>
    <s v="082I93U10050P01001"/>
    <s v="630g*10inner"/>
    <n v="10"/>
    <n v="50"/>
    <n v="6.8100000000000001E-3"/>
    <s v="S"/>
    <s v="STPP"/>
    <s v="ซุปซอง 5g."/>
    <n v="2056"/>
    <m/>
    <m/>
    <n v="-2056"/>
    <n v="20560"/>
    <n v="1028000"/>
    <n v="6"/>
    <n v="123360"/>
    <m/>
    <n v="7.00068"/>
    <n v="12.964222222222221"/>
  </r>
  <r>
    <s v="Budget"/>
    <x v="998"/>
    <d v="2026-12-01T00:00:00"/>
    <x v="2"/>
    <e v="#N/A"/>
    <x v="11"/>
    <m/>
    <s v="AUS"/>
    <s v="CPFNW"/>
    <s v="CPF Australia Pty Ltd."/>
    <s v="Wonton ND+V"/>
    <x v="1"/>
    <s v="Cooked Wonton ND No Egg with Pumpkin_x000a_+ Yu Choy "/>
    <s v="082SJ9U08004P00001"/>
    <s v="305g*8"/>
    <n v="8"/>
    <n v="4"/>
    <n v="7.4999999999999997E-3"/>
    <s v="HC"/>
    <s v="Salt"/>
    <s v="Regular"/>
    <n v="775"/>
    <m/>
    <m/>
    <n v="-775"/>
    <n v="6200"/>
    <n v="24800"/>
    <n v="7.4999999999999997E-3"/>
    <n v="46.5"/>
    <m/>
    <n v="0.186"/>
    <n v="0.34444444444444444"/>
  </r>
  <r>
    <s v="Budget"/>
    <x v="998"/>
    <d v="2026-12-01T00:00:00"/>
    <x v="2"/>
    <e v="#N/A"/>
    <x v="11"/>
    <m/>
    <s v="AUS"/>
    <s v="CPFNW"/>
    <s v="CPF Australia Pty Ltd."/>
    <s v="Minced ND+V+TY"/>
    <x v="1"/>
    <s v="Cooked Minced  ND No Egg with Pumpkin_x000a_+ Yu Choy Tomyum"/>
    <s v="082SR9U08003P00001"/>
    <s v="302g*8"/>
    <n v="8"/>
    <n v="3"/>
    <n v="6.0000000000000001E-3"/>
    <s v="BK"/>
    <s v="Salt"/>
    <s v="TYEXSG+CO"/>
    <n v="606"/>
    <m/>
    <m/>
    <n v="-606"/>
    <n v="4848"/>
    <n v="14544"/>
    <n v="3.8699999999999998E-2"/>
    <n v="187.61759999999998"/>
    <m/>
    <n v="8.7264000000000008E-2"/>
    <n v="0.16159999999999999"/>
  </r>
  <r>
    <s v="Budget"/>
    <x v="998"/>
    <d v="2026-12-01T00:00:00"/>
    <x v="2"/>
    <e v="#N/A"/>
    <x v="11"/>
    <m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2376"/>
    <m/>
    <m/>
    <n v="-2376"/>
    <n v="85536"/>
    <n v="427680"/>
    <n v="7.4999999999999997E-3"/>
    <n v="641.52"/>
    <m/>
    <n v="3.2075999999999998"/>
    <n v="5.9399999999999995"/>
  </r>
  <r>
    <s v="Budget"/>
    <x v="1023"/>
    <d v="2027-01-01T00:00:00"/>
    <x v="3"/>
    <e v="#N/A"/>
    <x v="0"/>
    <m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1584"/>
    <m/>
    <m/>
    <n v="-1584"/>
    <n v="57024"/>
    <n v="285120"/>
    <n v="7.4999999999999997E-3"/>
    <n v="427.68"/>
    <m/>
    <n v="2.1384000000000003"/>
    <n v="3.9600000000000004"/>
  </r>
  <r>
    <s v="Budget"/>
    <x v="1024"/>
    <d v="2027-02-01T00:00:00"/>
    <x v="3"/>
    <e v="#N/A"/>
    <x v="1"/>
    <m/>
    <s v="AUS"/>
    <s v="CPFNW"/>
    <s v="CPF Australia Pty Ltd."/>
    <s v="Wonton ND+V"/>
    <x v="1"/>
    <s v="Cooked Wonton ND No Egg with Pumpkin_x000a_+ Yu Choy "/>
    <s v="082SJ9U36005P00001"/>
    <s v="308g*6c*6in"/>
    <n v="36"/>
    <n v="5"/>
    <n v="7.4999999999999997E-3"/>
    <s v="HC"/>
    <s v="Salt"/>
    <s v="Regular"/>
    <n v="2376"/>
    <m/>
    <m/>
    <n v="-2376"/>
    <n v="85536"/>
    <n v="427680"/>
    <n v="7.4999999999999997E-3"/>
    <n v="641.52"/>
    <m/>
    <n v="3.2075999999999998"/>
    <n v="5.9399999999999995"/>
  </r>
  <r>
    <s v="Budget"/>
    <x v="1023"/>
    <d v="2027-01-01T00:00:00"/>
    <x v="3"/>
    <e v="#N/A"/>
    <x v="0"/>
    <m/>
    <s v="AUS"/>
    <s v="CPFNW"/>
    <s v="CPF Australia Pty Ltd."/>
    <s v="Minced ND+V+TK"/>
    <x v="1"/>
    <s v="Cooked Minced Wonton ND No Egg with Pumpkin _x000a_+ Vegetable 5 pcs Tomka"/>
    <s v="082SR9U24003P00001"/>
    <s v="302g*4c*6in"/>
    <n v="24"/>
    <n v="3"/>
    <n v="6.0000000000000001E-3"/>
    <s v="BK"/>
    <s v="Salt"/>
    <s v="Tomkha+CM"/>
    <n v="700"/>
    <m/>
    <m/>
    <n v="-700"/>
    <n v="16800"/>
    <n v="50400"/>
    <n v="3.8699999999999998E-2"/>
    <n v="650.16"/>
    <s v="ถ้าว,ฝา สีขาว"/>
    <n v="0.30240000000000006"/>
    <n v="0.56000000000000005"/>
  </r>
  <r>
    <s v="Budget"/>
    <x v="1024"/>
    <d v="2027-02-01T00:00:00"/>
    <x v="3"/>
    <e v="#N/A"/>
    <x v="1"/>
    <m/>
    <s v="AUS"/>
    <s v="CPFNW"/>
    <s v="CPF Australia Pty Ltd."/>
    <s v="Minced ND+V+TK"/>
    <x v="1"/>
    <s v="Cooked Minced Wonton ND No Egg with Pumpkin _x000a_+ Vegetable 5 pcs Tomka"/>
    <s v="082SR9U24003P00001"/>
    <s v="302g*4c*6in"/>
    <n v="24"/>
    <n v="3"/>
    <n v="6.0000000000000001E-3"/>
    <s v="BK"/>
    <s v="Salt"/>
    <s v="Tomkha+CM"/>
    <n v="700"/>
    <m/>
    <m/>
    <n v="-700"/>
    <n v="16800"/>
    <n v="50400"/>
    <n v="3.8699999999999998E-2"/>
    <n v="650.16"/>
    <s v="ถ้าว,ฝา สีขาว"/>
    <n v="0.30240000000000006"/>
    <n v="0.56000000000000005"/>
  </r>
  <r>
    <s v="Budget"/>
    <x v="1023"/>
    <d v="2027-01-01T00:00:00"/>
    <x v="3"/>
    <e v="#N/A"/>
    <x v="0"/>
    <m/>
    <s v="AUS"/>
    <s v="CPFNW"/>
    <s v="CPF Australia Pty Ltd.(Woolworth)"/>
    <s v="Wonton ND+V"/>
    <x v="1"/>
    <s v="Cooked Wonton ND No Egg with Pumpkin_x000a_+ Yu Choy "/>
    <s v="082SJ9U05004P00001"/>
    <s v="305g*5"/>
    <n v="5"/>
    <n v="4"/>
    <n v="7.4999999999999997E-3"/>
    <s v="HC"/>
    <s v="Salt"/>
    <s v="Regular"/>
    <n v="10152"/>
    <m/>
    <m/>
    <n v="-10152"/>
    <n v="50760"/>
    <n v="203040"/>
    <n v="7.4999999999999997E-3"/>
    <n v="380.7"/>
    <s v="ถ้าว,ฝา สีขาว"/>
    <n v="1.5227999999999999"/>
    <n v="2.82"/>
  </r>
  <r>
    <s v="Budget"/>
    <x v="1024"/>
    <d v="2027-02-01T00:00:00"/>
    <x v="3"/>
    <e v="#N/A"/>
    <x v="1"/>
    <m/>
    <s v="AUS"/>
    <s v="CPFNW"/>
    <s v="CPF Australia Pty Ltd.(Woolworth)"/>
    <s v="Wonton ND+V"/>
    <x v="1"/>
    <s v="Cooked Wonton ND No Egg with Pumpkin_x000a_+ Yu Choy "/>
    <s v="082SJ9U05004P00001"/>
    <s v="305g*5"/>
    <n v="5"/>
    <n v="4"/>
    <n v="7.4999999999999997E-3"/>
    <s v="HC"/>
    <s v="Salt"/>
    <s v="Regular"/>
    <n v="5076"/>
    <m/>
    <m/>
    <n v="-5076"/>
    <n v="25380"/>
    <n v="101520"/>
    <n v="7.4999999999999997E-3"/>
    <n v="190.35"/>
    <s v="ถ้าว,ฝา สีขาว"/>
    <n v="0.76139999999999997"/>
    <n v="1.41"/>
  </r>
  <r>
    <s v="Budget"/>
    <x v="1023"/>
    <d v="2027-01-01T00:00:00"/>
    <x v="3"/>
    <e v="#N/A"/>
    <x v="0"/>
    <m/>
    <s v="AUS"/>
    <s v="CPFNW"/>
    <s v="CPF Australia Pty Ltd.(Woolworth)"/>
    <s v="Minced ND+V+TK"/>
    <x v="1"/>
    <s v="Cooked Minced  ND No Egg with Pumpkin_x000a_+ Yu Choy Tomkha"/>
    <s v="082SR9U05003P01001"/>
    <s v="302g*5"/>
    <n v="5"/>
    <n v="3"/>
    <n v="6.0000000000000001E-3"/>
    <s v="BK"/>
    <s v="Salt"/>
    <s v="Tomkha+CM"/>
    <n v="5076"/>
    <m/>
    <m/>
    <n v="-5076"/>
    <n v="25380"/>
    <n v="76140"/>
    <n v="5.8823E-2"/>
    <n v="1492.9277400000001"/>
    <s v="ถ้าว,ฝา สีขาว"/>
    <n v="0.45684000000000002"/>
    <n v="0.84599999999999997"/>
  </r>
  <r>
    <s v="Budget"/>
    <x v="1024"/>
    <d v="2027-02-01T00:00:00"/>
    <x v="3"/>
    <e v="#N/A"/>
    <x v="1"/>
    <m/>
    <s v="AUS"/>
    <s v="CPFNW"/>
    <s v="CPF Australia Pty Ltd.(Woolworth)"/>
    <s v="Minced ND+Kee Mao"/>
    <x v="1"/>
    <s v="Cooked Minced Wonton Thai Spicy Noodles (Kee Mao Noodles)"/>
    <s v="082SR9U05003P00001"/>
    <s v="283g*5"/>
    <n v="5"/>
    <n v="3"/>
    <n v="6.0000000000000001E-3"/>
    <s v="BK"/>
    <s v="Salt"/>
    <s v="Kee Mao"/>
    <n v="5076"/>
    <m/>
    <m/>
    <n v="-5076"/>
    <n v="25380"/>
    <n v="76140"/>
    <n v="1"/>
    <n v="25380"/>
    <s v="ถ้าว,ฝา สีขาว"/>
    <n v="0.45684000000000002"/>
    <n v="0.84599999999999997"/>
  </r>
  <r>
    <s v="Budget"/>
    <x v="998"/>
    <d v="2026-12-01T00:00:00"/>
    <x v="2"/>
    <e v="#N/A"/>
    <x v="11"/>
    <m/>
    <s v="Belgium"/>
    <s v="CPFNW"/>
    <s v="CPF EUROPE S.A."/>
    <s v="Wonton ND+V"/>
    <x v="1"/>
    <s v="Cooked Wonton ND No Egg with Pumpkin _x000a_+ Vegetable  HC  3 pcs"/>
    <s v="082SJ3I08003P00001"/>
    <s v="309g*8"/>
    <n v="8"/>
    <n v="3"/>
    <n v="7.4999999999999997E-3"/>
    <s v="HC"/>
    <s v="Salt"/>
    <s v="Regular"/>
    <n v="600"/>
    <m/>
    <m/>
    <n v="-600"/>
    <n v="4800"/>
    <n v="14400"/>
    <n v="7.4999999999999997E-3"/>
    <n v="36"/>
    <m/>
    <n v="0.108"/>
    <n v="0.19999999999999998"/>
  </r>
  <r>
    <s v="Budget"/>
    <x v="998"/>
    <d v="2026-12-01T00:00:00"/>
    <x v="2"/>
    <e v="#N/A"/>
    <x v="11"/>
    <m/>
    <s v="Belgium"/>
    <s v="CPFNW"/>
    <s v="CPF EUROPE S.A."/>
    <s v="Wonton+TY"/>
    <x v="1"/>
    <s v="Cooked Wonton  No Egg _x000a_+ 4 pcs"/>
    <s v="082S83I08004P01001"/>
    <s v="129g*8"/>
    <n v="8"/>
    <n v="4"/>
    <n v="8.1300000000000001E-3"/>
    <s v="M"/>
    <s v="Salt"/>
    <s v="TYEXSG+CO"/>
    <n v="350"/>
    <m/>
    <m/>
    <n v="-350"/>
    <n v="2800"/>
    <n v="11200"/>
    <n v="2.2419999999999999E-2"/>
    <n v="62.775999999999996"/>
    <m/>
    <n v="9.1055999999999998E-2"/>
    <n v="0.1686222222222222"/>
  </r>
  <r>
    <s v="Budget"/>
    <x v="998"/>
    <d v="2026-12-03T00:00:00"/>
    <x v="2"/>
    <e v="#N/A"/>
    <x v="11"/>
    <n v="22"/>
    <s v="CAN "/>
    <s v="CPFNW "/>
    <s v="Bellisio Foods Canada"/>
    <s v="Wonton ND+BC"/>
    <x v="1"/>
    <s v="Cooked Wonton ND No Egg with Pumpkin_x000a_+ Bok Choy Low sodium Enriched"/>
    <s v="082SJ5336005PA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s v="สั่ง Package แล้ว"/>
    <n v="1.0692000000000002"/>
    <n v="1.9800000000000002"/>
  </r>
  <r>
    <s v="Budget"/>
    <x v="998"/>
    <d v="2026-12-01T00:00:00"/>
    <x v="2"/>
    <e v="#N/A"/>
    <x v="11"/>
    <m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m/>
    <n v="-2600"/>
    <n v="31200"/>
    <n v="156000"/>
    <n v="7.4999999999999997E-3"/>
    <n v="234"/>
    <m/>
    <n v="0.93600000000000005"/>
    <n v="1.7333333333333334"/>
  </r>
  <r>
    <s v="Budget"/>
    <x v="1023"/>
    <d v="2027-01-01T00:00:00"/>
    <x v="3"/>
    <e v="#N/A"/>
    <x v="0"/>
    <m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m/>
    <n v="-2600"/>
    <n v="31200"/>
    <n v="156000"/>
    <n v="7.4999999999999997E-3"/>
    <n v="234"/>
    <m/>
    <n v="0.93600000000000005"/>
    <n v="1.7333333333333334"/>
  </r>
  <r>
    <s v="Budget"/>
    <x v="1024"/>
    <d v="2027-02-01T00:00:00"/>
    <x v="3"/>
    <e v="#N/A"/>
    <x v="1"/>
    <m/>
    <s v="CAN "/>
    <s v="CPFNW "/>
    <s v="Bellisio Foods Canada"/>
    <s v="Minced ND"/>
    <x v="1"/>
    <s v="Cooked Minced Wonton Noodle (Enriched wonton sheet&amp;noodles)"/>
    <s v="082SR5312005P00001"/>
    <s v="258g*12"/>
    <n v="12"/>
    <n v="5"/>
    <n v="6.0000000000000001E-3"/>
    <s v="BK"/>
    <s v="Salt"/>
    <s v="Regular"/>
    <n v="5200"/>
    <m/>
    <m/>
    <n v="-5200"/>
    <n v="62400"/>
    <n v="312000"/>
    <n v="7.4999999999999997E-3"/>
    <n v="468"/>
    <m/>
    <n v="1.8720000000000001"/>
    <n v="3.4666666666666668"/>
  </r>
  <r>
    <s v="Budget"/>
    <x v="1025"/>
    <d v="2026-11-01T00:00:00"/>
    <x v="2"/>
    <e v="#N/A"/>
    <x v="10"/>
    <m/>
    <s v="Denmark"/>
    <s v="CPFNW"/>
    <s v="CPF DENMARK"/>
    <s v="Minced ND+V+TY"/>
    <x v="1"/>
    <s v="Cooked Minced Wonton 3 pcs Noodle (Pumpkin)_x000a_with &quot;Tomyum&quot;+Yu Choy"/>
    <s v="082SRKW12003P00001"/>
    <s v="240g*12ถ้วย"/>
    <n v="12"/>
    <n v="3"/>
    <n v="6.1999999999999998E-3"/>
    <s v="BK"/>
    <s v="Salt"/>
    <s v="TYANSSG+CM"/>
    <n v="2660"/>
    <m/>
    <m/>
    <n v="-2660"/>
    <n v="31920"/>
    <n v="95760"/>
    <n v="3.85E-2"/>
    <n v="1228.92"/>
    <s v="ถ้าว,ฝา สีขาว New Package"/>
    <n v="0.59371200000000002"/>
    <n v="1.0994666666666666"/>
  </r>
  <r>
    <s v="Budget"/>
    <x v="1023"/>
    <d v="2027-01-01T00:00:00"/>
    <x v="3"/>
    <e v="#N/A"/>
    <x v="0"/>
    <m/>
    <s v="Denmark"/>
    <s v="CPFNW"/>
    <s v="CPF DENMARK"/>
    <s v="Minced ND+V+TY"/>
    <x v="1"/>
    <s v="Cooked Minced Wonton 3 pcs Noodle (Pumpkin)_x000a_with &quot;Tomyum&quot;+Yu Choy"/>
    <s v="082SRKW12003P00001"/>
    <s v="240g*12ถ้วย"/>
    <n v="12"/>
    <n v="3"/>
    <n v="6.1999999999999998E-3"/>
    <s v="BK"/>
    <s v="Salt"/>
    <s v="TYANSSG+CM"/>
    <n v="2660"/>
    <m/>
    <m/>
    <n v="-2660"/>
    <n v="31920"/>
    <n v="95760"/>
    <n v="3.85E-2"/>
    <n v="1228.92"/>
    <s v="ถ้าว,ฝา สีขาว New Package"/>
    <n v="0.59371200000000002"/>
    <n v="1.0994666666666666"/>
  </r>
  <r>
    <s v="Budget"/>
    <x v="1025"/>
    <d v="2026-11-01T00:00:00"/>
    <x v="2"/>
    <e v="#N/A"/>
    <x v="10"/>
    <m/>
    <s v="Denmark"/>
    <s v="CPFNW"/>
    <s v="CPF DENMARK"/>
    <s v="Minced ND+V+TK"/>
    <x v="1"/>
    <s v="Cooked Minced Wonton 3 pcs Noodle (Pumpkin)_x000a_with &quot;Tomka&quot;+Yu Choy"/>
    <s v="082SRKW12003P01001"/>
    <s v="240g*12ถ้วย"/>
    <n v="12"/>
    <n v="3"/>
    <n v="6.1999999999999998E-3"/>
    <s v="BK"/>
    <s v="Salt"/>
    <s v="Tomkha+CM"/>
    <n v="2660"/>
    <m/>
    <m/>
    <n v="-2660"/>
    <n v="31920"/>
    <n v="95760"/>
    <n v="5.8823E-2"/>
    <n v="1877.6301599999999"/>
    <s v="ถ้าว,ฝา สีขาว New Package"/>
    <n v="0.59371200000000002"/>
    <n v="1.0994666666666666"/>
  </r>
  <r>
    <s v="Budget"/>
    <x v="1023"/>
    <d v="2027-01-01T00:00:00"/>
    <x v="3"/>
    <e v="#N/A"/>
    <x v="0"/>
    <m/>
    <s v="Denmark"/>
    <s v="CPFNW"/>
    <s v="CPF DENMARK"/>
    <s v="Minced ND+V+TK"/>
    <x v="1"/>
    <s v="Cooked Minced Wonton 3 pcs Noodle (Pumpkin)_x000a_with &quot;Tomka&quot;+Yu Choy"/>
    <s v="082SRKW12003P01001"/>
    <s v="240g*12ถ้วย"/>
    <n v="12"/>
    <n v="3"/>
    <n v="6.1999999999999998E-3"/>
    <s v="BK"/>
    <s v="Salt"/>
    <s v="Tomkha+CM"/>
    <n v="2660"/>
    <m/>
    <m/>
    <n v="-2660"/>
    <n v="31920"/>
    <n v="95760"/>
    <n v="5.8823E-2"/>
    <n v="1877.6301599999999"/>
    <s v="ถ้าว,ฝา สีขาว New Package"/>
    <n v="0.59371200000000002"/>
    <n v="1.0994666666666666"/>
  </r>
  <r>
    <s v="Budget"/>
    <x v="998"/>
    <d v="2026-12-01T00:00:00"/>
    <x v="2"/>
    <e v="#N/A"/>
    <x v="11"/>
    <m/>
    <s v="Korea"/>
    <s v="CPFNW"/>
    <s v="Consumer Package Commerce"/>
    <s v="Minced ND"/>
    <x v="1"/>
    <s v="Cooked Minced Wonton Noodle"/>
    <s v="082SR3U12004P00001"/>
    <s v="231g*12"/>
    <n v="12"/>
    <n v="4"/>
    <n v="6.0000000000000001E-3"/>
    <s v="BK"/>
    <s v="Salt"/>
    <s v="Regular"/>
    <n v="2500"/>
    <m/>
    <m/>
    <n v="-2500"/>
    <n v="30000"/>
    <n v="120000"/>
    <n v="7.4999999999999997E-3"/>
    <n v="225"/>
    <m/>
    <n v="0.72"/>
    <n v="1.3333333333333333"/>
  </r>
  <r>
    <s v="Budget"/>
    <x v="1023"/>
    <d v="2027-01-01T00:00:00"/>
    <x v="3"/>
    <e v="#N/A"/>
    <x v="0"/>
    <m/>
    <s v="Korea"/>
    <s v="CPFNW"/>
    <s v="Consumer Package Commerce"/>
    <s v="Minced ND"/>
    <x v="1"/>
    <s v="Cooked Minced Wonton Noodle"/>
    <s v="082SR3U12004P00001"/>
    <s v="231g*12"/>
    <n v="12"/>
    <n v="4"/>
    <n v="6.0000000000000001E-3"/>
    <s v="BK"/>
    <s v="Salt"/>
    <s v="Regular"/>
    <n v="2500"/>
    <m/>
    <m/>
    <n v="-2500"/>
    <n v="30000"/>
    <n v="120000"/>
    <n v="7.4999999999999997E-3"/>
    <n v="225"/>
    <m/>
    <n v="0.72"/>
    <n v="1.3333333333333333"/>
  </r>
  <r>
    <s v="Budget"/>
    <x v="1023"/>
    <d v="2027-01-01T00:00:00"/>
    <x v="3"/>
    <e v="#N/A"/>
    <x v="0"/>
    <m/>
    <s v="Korea"/>
    <s v="CPFNW"/>
    <s v="Emart"/>
    <s v="Minced WT"/>
    <x v="1"/>
    <s v="Cooked Minced Wonton"/>
    <s v="082SKEJ36006P00001"/>
    <s v="191g*6c*6in"/>
    <n v="36"/>
    <n v="5"/>
    <n v="6.0000000000000001E-3"/>
    <s v="BK"/>
    <s v="Salt"/>
    <s v="Regular"/>
    <n v="874"/>
    <m/>
    <m/>
    <n v="-874"/>
    <n v="31464"/>
    <n v="157320"/>
    <n v="7.4999999999999997E-3"/>
    <n v="235.98"/>
    <s v="RM &amp; FG ต้องตรวจตามข้อกำหนดลูกค้า"/>
    <n v="0.94391999999999998"/>
    <n v="1.7479999999999998"/>
  </r>
  <r>
    <s v="Budget"/>
    <x v="998"/>
    <d v="2026-12-01T00:00:00"/>
    <x v="2"/>
    <e v="#N/A"/>
    <x v="11"/>
    <m/>
    <s v="Malay"/>
    <s v="CPFNW"/>
    <s v="CPM Malaysia"/>
    <s v="Wonton"/>
    <x v="1"/>
    <s v="Cooked Wonton No Egg  "/>
    <s v="082S85I24005P01001"/>
    <s v="145g*24"/>
    <n v="24"/>
    <n v="5"/>
    <n v="8.0000000000000002E-3"/>
    <s v="M"/>
    <s v="STPP"/>
    <s v="Regular"/>
    <n v="950"/>
    <m/>
    <m/>
    <n v="-950"/>
    <n v="22800"/>
    <n v="114000"/>
    <n v="7.4999999999999997E-3"/>
    <n v="171"/>
    <m/>
    <n v="0.91200000000000003"/>
    <n v="1.6888888888888889"/>
  </r>
  <r>
    <s v="Budget"/>
    <x v="1023"/>
    <d v="2027-01-01T00:00:00"/>
    <x v="3"/>
    <e v="#N/A"/>
    <x v="0"/>
    <m/>
    <s v="Malay"/>
    <s v="CPFNW"/>
    <s v="CPM Malaysia"/>
    <s v="Wonton"/>
    <x v="1"/>
    <s v="Cooked Wonton No Egg  "/>
    <s v="082S85I24005P01001"/>
    <s v="145g*24"/>
    <n v="24"/>
    <n v="5"/>
    <n v="8.0000000000000002E-3"/>
    <s v="M"/>
    <s v="STPP"/>
    <s v="Regular"/>
    <n v="876"/>
    <m/>
    <m/>
    <n v="-876"/>
    <n v="21024"/>
    <n v="105120"/>
    <n v="7.4999999999999997E-3"/>
    <n v="157.68"/>
    <m/>
    <n v="0.84096000000000004"/>
    <n v="1.5573333333333332"/>
  </r>
  <r>
    <s v="Budget"/>
    <x v="1024"/>
    <d v="2027-02-01T00:00:00"/>
    <x v="3"/>
    <e v="#N/A"/>
    <x v="1"/>
    <m/>
    <s v="Malay"/>
    <s v="CPFNW"/>
    <s v="CPM Malaysia"/>
    <s v="Wonton"/>
    <x v="1"/>
    <s v="Cooked Wonton No Egg  "/>
    <s v="082S85I24005P01001"/>
    <s v="145g*24"/>
    <n v="24"/>
    <n v="5"/>
    <n v="8.0000000000000002E-3"/>
    <s v="M"/>
    <s v="STPP"/>
    <s v="Regular"/>
    <n v="876"/>
    <m/>
    <m/>
    <n v="-876"/>
    <n v="21024"/>
    <n v="105120"/>
    <n v="7.4999999999999997E-3"/>
    <n v="157.68"/>
    <m/>
    <n v="0.84096000000000004"/>
    <n v="1.5573333333333332"/>
  </r>
  <r>
    <s v="Budget"/>
    <x v="998"/>
    <d v="2026-12-01T00:00:00"/>
    <x v="2"/>
    <e v="#N/A"/>
    <x v="11"/>
    <m/>
    <s v="Malay"/>
    <s v="CPFNW"/>
    <s v="CPM Malaysia"/>
    <s v="Wonton+TY"/>
    <x v="1"/>
    <s v="Cooked Wonton No Egg  Tomyum"/>
    <s v="082S85I24005P02001"/>
    <s v="115g*24"/>
    <n v="24"/>
    <n v="5"/>
    <n v="8.0000000000000002E-3"/>
    <s v="M"/>
    <s v="STPP"/>
    <s v="TYTB3C 30G"/>
    <n v="850"/>
    <m/>
    <m/>
    <n v="-850"/>
    <n v="20400"/>
    <n v="102000"/>
    <n v="1"/>
    <n v="20400"/>
    <m/>
    <n v="0.81599999999999995"/>
    <n v="1.5111111111111108"/>
  </r>
  <r>
    <s v="Budget"/>
    <x v="1023"/>
    <d v="2027-01-01T00:00:00"/>
    <x v="3"/>
    <e v="#N/A"/>
    <x v="0"/>
    <m/>
    <s v="Malay"/>
    <s v="CPFNW"/>
    <s v="CPM Malaysia"/>
    <s v="Wonton+TY"/>
    <x v="1"/>
    <s v="Cooked Wonton No Egg  Tomyum"/>
    <s v="082S85I24005P02001"/>
    <s v="115g*24"/>
    <n v="24"/>
    <n v="5"/>
    <n v="8.0000000000000002E-3"/>
    <s v="M"/>
    <s v="STPP"/>
    <s v="TYTB3C 30G"/>
    <n v="468"/>
    <m/>
    <m/>
    <n v="-468"/>
    <n v="11232"/>
    <n v="56160"/>
    <n v="1"/>
    <n v="11232"/>
    <m/>
    <n v="0.44928000000000001"/>
    <n v="0.83199999999999996"/>
  </r>
  <r>
    <s v="Budget"/>
    <x v="1024"/>
    <d v="2027-02-01T00:00:00"/>
    <x v="3"/>
    <e v="#N/A"/>
    <x v="1"/>
    <m/>
    <s v="Malay"/>
    <s v="CPFNW"/>
    <s v="CPM Malaysia"/>
    <s v="Wonton+TY"/>
    <x v="1"/>
    <s v="Cooked Wonton No Egg  Tomyum"/>
    <s v="082S85I24005P02001"/>
    <s v="115g*24"/>
    <n v="24"/>
    <n v="5"/>
    <n v="8.0000000000000002E-3"/>
    <s v="M"/>
    <s v="STPP"/>
    <s v="TYTB3C 30G"/>
    <n v="882"/>
    <m/>
    <m/>
    <n v="-882"/>
    <n v="21168"/>
    <n v="105840"/>
    <n v="1"/>
    <n v="21168"/>
    <m/>
    <n v="0.84672000000000003"/>
    <n v="1.5679999999999998"/>
  </r>
  <r>
    <s v="Budget"/>
    <x v="998"/>
    <d v="2026-12-01T00:00:00"/>
    <x v="2"/>
    <e v="#N/A"/>
    <x v="11"/>
    <m/>
    <s v="New Zealand"/>
    <s v="CPFNW"/>
    <s v="Lim Brothers Import&amp;Export Co.,Ltd."/>
    <s v="Wonton ND+V"/>
    <x v="1"/>
    <s v="Cooked Wonton ND No Egg with Pumpkin_x000a_+ Yu Choy "/>
    <s v="082SJN708004P00001"/>
    <s v="305g*8"/>
    <n v="8"/>
    <n v="4"/>
    <n v="7.4999999999999997E-3"/>
    <s v="HC"/>
    <s v="Salt"/>
    <s v="Regular"/>
    <n v="400"/>
    <m/>
    <m/>
    <n v="-400"/>
    <n v="3200"/>
    <n v="12800"/>
    <n v="7.4999999999999997E-3"/>
    <n v="24"/>
    <m/>
    <n v="9.6000000000000002E-2"/>
    <n v="0.17777777777777776"/>
  </r>
  <r>
    <s v="Budget"/>
    <x v="1024"/>
    <d v="2027-02-01T00:00:00"/>
    <x v="3"/>
    <e v="#N/A"/>
    <x v="1"/>
    <m/>
    <s v="New Zealand"/>
    <s v="CPFNW"/>
    <s v="Lim Brothers Import&amp;Export Co.,Ltd."/>
    <s v="Wonton ND+V"/>
    <x v="1"/>
    <s v="Cooked Wonton ND No Egg with Pumpkin_x000a_+ Yu Choy "/>
    <s v="082SJN708004P00001"/>
    <s v="305g*8"/>
    <n v="8"/>
    <n v="4"/>
    <n v="7.4999999999999997E-3"/>
    <s v="HC"/>
    <s v="Salt"/>
    <s v="Regular"/>
    <n v="1456"/>
    <m/>
    <m/>
    <n v="-1456"/>
    <n v="11648"/>
    <n v="46592"/>
    <n v="7.4999999999999997E-3"/>
    <n v="87.36"/>
    <m/>
    <n v="0.34943999999999997"/>
    <n v="0.64711111111111097"/>
  </r>
  <r>
    <s v="Budget"/>
    <x v="998"/>
    <d v="2026-12-01T00:00:00"/>
    <x v="2"/>
    <e v="#N/A"/>
    <x v="11"/>
    <m/>
    <s v="New Zealand"/>
    <s v="CPFNW"/>
    <s v="Lim Brothers Import&amp;Export Co.,Ltd."/>
    <s v="Minced ND+V+TK"/>
    <x v="1"/>
    <s v="Cooked Minced  ND No Egg with Pumpkin_x000a_+ Yu Choy Tomkha"/>
    <s v="082SRN708003P01001"/>
    <s v="302g*8"/>
    <n v="8"/>
    <n v="3"/>
    <n v="6.0000000000000001E-3"/>
    <s v="BK"/>
    <s v="Salt"/>
    <s v="Tomkha+CM"/>
    <n v="324"/>
    <m/>
    <m/>
    <n v="-324"/>
    <n v="2592"/>
    <n v="7776"/>
    <n v="5.8823E-2"/>
    <n v="152.46921599999999"/>
    <m/>
    <n v="4.6656000000000003E-2"/>
    <n v="8.6400000000000005E-2"/>
  </r>
  <r>
    <s v="Budget"/>
    <x v="1024"/>
    <d v="2027-02-01T00:00:00"/>
    <x v="3"/>
    <e v="#N/A"/>
    <x v="1"/>
    <m/>
    <s v="New Zealand"/>
    <s v="CPFNW"/>
    <s v="Lim Brothers Import&amp;Export Co.,Ltd."/>
    <s v="Minced ND+V+TY"/>
    <x v="1"/>
    <s v="Cooked Minced  ND No Egg with Pumpkin_x000a_+ Yu Choy Tomyum"/>
    <s v="082SRN708003P00001"/>
    <s v="302g*8"/>
    <n v="8"/>
    <n v="3"/>
    <n v="6.0000000000000001E-3"/>
    <s v="BK"/>
    <s v="Salt"/>
    <s v="TYEXSG+CO"/>
    <n v="80"/>
    <m/>
    <m/>
    <n v="-80"/>
    <n v="640"/>
    <n v="1920"/>
    <n v="3.8699999999999998E-2"/>
    <n v="24.768000000000001"/>
    <m/>
    <n v="1.1520000000000001E-2"/>
    <n v="2.1333333333333333E-2"/>
  </r>
  <r>
    <s v="Budget"/>
    <x v="998"/>
    <d v="2026-12-01T00:00:00"/>
    <x v="2"/>
    <e v="#N/A"/>
    <x v="11"/>
    <m/>
    <s v="SG"/>
    <s v="CPFNW"/>
    <s v="CP FOODS SINGAPORE PTE. LTD"/>
    <s v="Wonton ND+Kee Mao"/>
    <x v="1"/>
    <s v="Cooked Wonton Thai Spicy Pumpkin Noodles (Drunken Noodles)"/>
    <s v="082SJ3B24003P04001"/>
    <s v="250g*24"/>
    <n v="24"/>
    <n v="3"/>
    <n v="8.0000000000000002E-3"/>
    <s v="M"/>
    <s v="Salt"/>
    <s v="Kee Mao"/>
    <n v="120"/>
    <m/>
    <m/>
    <n v="-120"/>
    <n v="2880"/>
    <n v="8640"/>
    <n v="6.5000000000000002E-2"/>
    <n v="187.20000000000002"/>
    <m/>
    <n v="6.9120000000000001E-2"/>
    <n v="0.128"/>
  </r>
  <r>
    <s v="Budget"/>
    <x v="1023"/>
    <d v="2027-01-01T00:00:00"/>
    <x v="3"/>
    <e v="#N/A"/>
    <x v="0"/>
    <m/>
    <s v="SG"/>
    <s v="CPFNW"/>
    <s v="CP FOODS SINGAPORE PTE. LTD"/>
    <s v="Wonton ND+Kee Mao"/>
    <x v="1"/>
    <s v="Cooked Wonton Thai Spicy Pumpkin Noodles (Drunken Noodles)"/>
    <s v="082SJ3B24003P04001"/>
    <s v="250g*24"/>
    <n v="24"/>
    <n v="3"/>
    <n v="8.0000000000000002E-3"/>
    <s v="M"/>
    <s v="Salt"/>
    <s v="Kee Mao"/>
    <n v="420"/>
    <m/>
    <m/>
    <n v="-420"/>
    <n v="10080"/>
    <n v="30240"/>
    <n v="6.5000000000000002E-2"/>
    <n v="655.20000000000005"/>
    <m/>
    <n v="0.24192000000000002"/>
    <n v="0.44800000000000001"/>
  </r>
  <r>
    <s v="Budget"/>
    <x v="1023"/>
    <d v="2027-01-01T00:00:00"/>
    <x v="3"/>
    <e v="#N/A"/>
    <x v="0"/>
    <m/>
    <s v="SG"/>
    <s v="CPFNW"/>
    <s v="CP FOODS SINGAPORE PTE. LTD"/>
    <s v="Wonton"/>
    <x v="1"/>
    <s v="Cooked Wonton No Egg"/>
    <s v="082S83B24005P07001"/>
    <s v="145g*24"/>
    <n v="24"/>
    <n v="5"/>
    <n v="8.0000000000000002E-3"/>
    <s v="M"/>
    <s v="STPP"/>
    <s v="Regular"/>
    <n v="300"/>
    <m/>
    <m/>
    <n v="-300"/>
    <n v="7200"/>
    <n v="36000"/>
    <n v="1"/>
    <n v="7200"/>
    <m/>
    <n v="0.28799999999999998"/>
    <n v="0.53333333333333321"/>
  </r>
  <r>
    <s v="Budget"/>
    <x v="1024"/>
    <d v="2027-02-01T00:00:00"/>
    <x v="3"/>
    <e v="#N/A"/>
    <x v="1"/>
    <m/>
    <s v="SG"/>
    <s v="CPFNW"/>
    <s v="CP FOODS SINGAPORE PTE. LTD"/>
    <s v="Wonton"/>
    <x v="1"/>
    <s v="Cooked Wonton No Egg"/>
    <s v="082S83B24005P07001"/>
    <s v="145g*24"/>
    <n v="24"/>
    <n v="5"/>
    <n v="8.0000000000000002E-3"/>
    <s v="M"/>
    <s v="STPP"/>
    <s v="Regular"/>
    <n v="300"/>
    <m/>
    <m/>
    <n v="-300"/>
    <n v="7200"/>
    <n v="36000"/>
    <n v="1"/>
    <n v="7200"/>
    <m/>
    <n v="0.28799999999999998"/>
    <n v="0.53333333333333321"/>
  </r>
  <r>
    <s v="Budget"/>
    <x v="1023"/>
    <d v="2027-01-01T00:00:00"/>
    <x v="3"/>
    <e v="#N/A"/>
    <x v="0"/>
    <m/>
    <s v="SG"/>
    <s v="CPFNW"/>
    <s v="CP FOODS SINGAPORE PTE. LTD"/>
    <s v="Wonton +TY"/>
    <x v="1"/>
    <s v="Cooked Wonton No Egg"/>
    <s v="082S83B24005P06001"/>
    <s v="115g*24"/>
    <n v="24"/>
    <n v="5"/>
    <n v="8.0000000000000002E-3"/>
    <s v="M"/>
    <s v="STPP"/>
    <s v="TYTB3C 30G"/>
    <n v="250"/>
    <m/>
    <m/>
    <n v="-250"/>
    <n v="6000"/>
    <n v="30000"/>
    <n v="1"/>
    <n v="6000"/>
    <m/>
    <n v="0.24"/>
    <n v="0.44444444444444442"/>
  </r>
  <r>
    <s v="Budget"/>
    <x v="1024"/>
    <d v="2027-02-01T00:00:00"/>
    <x v="3"/>
    <e v="#N/A"/>
    <x v="1"/>
    <m/>
    <s v="SG"/>
    <s v="CPFNW"/>
    <s v="CP FOODS SINGAPORE PTE. LTD"/>
    <s v="Wonton +TY"/>
    <x v="1"/>
    <s v="Cooked Wonton No Egg"/>
    <s v="082S83B24005P06001"/>
    <s v="115g*24"/>
    <n v="24"/>
    <n v="5"/>
    <n v="8.0000000000000002E-3"/>
    <s v="M"/>
    <s v="STPP"/>
    <s v="TYTB3C 30G"/>
    <n v="200"/>
    <m/>
    <m/>
    <n v="-200"/>
    <n v="4800"/>
    <n v="24000"/>
    <n v="1"/>
    <n v="4800"/>
    <m/>
    <n v="0.192"/>
    <n v="0.35555555555555551"/>
  </r>
  <r>
    <s v="Budget"/>
    <x v="1023"/>
    <d v="2027-01-01T00:00:00"/>
    <x v="3"/>
    <e v="#N/A"/>
    <x v="0"/>
    <m/>
    <s v="SG"/>
    <s v="CPFNW"/>
    <s v="CP FOODS SINGAPORE PTE. LTD"/>
    <s v="Wonton ND+V"/>
    <x v="1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200"/>
    <m/>
    <m/>
    <n v="-200"/>
    <n v="4800"/>
    <n v="14400"/>
    <n v="1"/>
    <n v="4800"/>
    <m/>
    <n v="0.108"/>
    <n v="0.19999999999999998"/>
  </r>
  <r>
    <s v="Budget"/>
    <x v="1024"/>
    <d v="2027-02-01T00:00:00"/>
    <x v="3"/>
    <e v="#N/A"/>
    <x v="1"/>
    <m/>
    <s v="SG"/>
    <s v="CPFNW"/>
    <s v="CP FOODS SINGAPORE PTE. LTD"/>
    <s v="Wonton ND+V"/>
    <x v="1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200"/>
    <m/>
    <m/>
    <n v="-200"/>
    <n v="4800"/>
    <n v="14400"/>
    <n v="1"/>
    <n v="4800"/>
    <m/>
    <n v="0.108"/>
    <n v="0.19999999999999998"/>
  </r>
  <r>
    <s v="Budget"/>
    <x v="1023"/>
    <d v="2027-01-01T00:00:00"/>
    <x v="3"/>
    <e v="#N/A"/>
    <x v="0"/>
    <m/>
    <s v="SG"/>
    <s v="CPFNW"/>
    <s v="CP FOODS SINGAPORE PTE. LTD"/>
    <s v="Minced ND+หมาล่า"/>
    <x v="1"/>
    <s v="Cooked Minced  ND No Egg หมาล่า"/>
    <s v="082SR3B24003P00001"/>
    <s v="300g*24"/>
    <n v="24"/>
    <n v="3"/>
    <n v="6.0000000000000001E-3"/>
    <s v="BK"/>
    <s v="Salt"/>
    <s v="หมาล่า"/>
    <n v="210"/>
    <m/>
    <m/>
    <n v="-210"/>
    <n v="5040"/>
    <n v="15120"/>
    <n v="2.4E-2"/>
    <n v="120.96000000000001"/>
    <m/>
    <n v="9.0720000000000009E-2"/>
    <n v="0.16800000000000001"/>
  </r>
  <r>
    <s v="Budget"/>
    <x v="1024"/>
    <d v="2027-02-01T00:00:00"/>
    <x v="3"/>
    <e v="#N/A"/>
    <x v="1"/>
    <m/>
    <s v="SG"/>
    <s v="CPFNW"/>
    <s v="CP FOODS SINGAPORE PTE. LTD"/>
    <s v="Minced ND+หมาล่า"/>
    <x v="1"/>
    <s v="Cooked Minced  ND No Egg หมาล่า"/>
    <s v="082SR3B24003P00001"/>
    <s v="300g*24"/>
    <n v="24"/>
    <n v="3"/>
    <n v="6.0000000000000001E-3"/>
    <s v="BK"/>
    <s v="Salt"/>
    <s v="หมาล่า"/>
    <n v="210"/>
    <m/>
    <m/>
    <n v="-210"/>
    <n v="5040"/>
    <n v="15120"/>
    <n v="2.4E-2"/>
    <n v="120.96000000000001"/>
    <m/>
    <n v="9.0720000000000009E-2"/>
    <n v="0.16800000000000001"/>
  </r>
  <r>
    <s v="Budget"/>
    <x v="1025"/>
    <d v="2026-11-01T00:00:00"/>
    <x v="2"/>
    <e v="#N/A"/>
    <x v="10"/>
    <m/>
    <s v="UK"/>
    <s v="CPFNW"/>
    <s v="Westbridge Foods Limited (One UK)"/>
    <s v="Minced ND+BC"/>
    <x v="1"/>
    <s v="Cooked Minced Wonton Noodle  (Low Sodium)+Bok Choy"/>
    <s v="082SRWE12005PA0001"/>
    <s v="258g*12"/>
    <n v="12"/>
    <n v="5"/>
    <n v="6.0000000000000001E-3"/>
    <s v="BK"/>
    <s v="Salt"/>
    <s v="Regular"/>
    <n v="1410"/>
    <m/>
    <m/>
    <n v="-1410"/>
    <n v="16920"/>
    <n v="84600"/>
    <n v="7.4999999999999997E-3"/>
    <n v="126.89999999999999"/>
    <s v="ถ้าว,ฝา สีขาว New Package"/>
    <n v="0.50759999999999994"/>
    <n v="0.93999999999999984"/>
  </r>
  <r>
    <s v="Budget"/>
    <x v="998"/>
    <d v="2026-12-01T00:00:00"/>
    <x v="2"/>
    <e v="#N/A"/>
    <x v="11"/>
    <m/>
    <s v="UK"/>
    <s v="CPFNW"/>
    <s v="Westbridge Foods Limited (One UK)"/>
    <s v="Minced ND+BC"/>
    <x v="1"/>
    <s v="Cooked Minced Wonton Noodle  (Low Sodium)+Bok Choy"/>
    <s v="082SRWE12005PA0001"/>
    <s v="258g*12"/>
    <n v="12"/>
    <n v="5"/>
    <n v="6.0000000000000001E-3"/>
    <s v="BK"/>
    <s v="Salt"/>
    <s v="Regular"/>
    <n v="1176"/>
    <m/>
    <m/>
    <n v="-1176"/>
    <n v="14112"/>
    <n v="70560"/>
    <n v="7.4999999999999997E-3"/>
    <n v="105.83999999999999"/>
    <s v="ถ้าว,ฝา สีขาว New Package"/>
    <n v="0.42335999999999996"/>
    <n v="0.78399999999999992"/>
  </r>
  <r>
    <s v="Budget"/>
    <x v="998"/>
    <d v="2026-12-01T00:00:00"/>
    <x v="2"/>
    <e v="#N/A"/>
    <x v="11"/>
    <m/>
    <s v="UK"/>
    <s v="CPFNW"/>
    <s v="Westbridge Foods Limited"/>
    <s v="Minced ND+V+TY"/>
    <x v="1"/>
    <s v="Cooked Minced Wonton Noodles Yu Choy Tomyum"/>
    <s v="082SRWE24005P01001"/>
    <s v="258g*4c*6in"/>
    <n v="24"/>
    <n v="5"/>
    <n v="6.0000000000000001E-3"/>
    <s v="BK"/>
    <s v="Salt"/>
    <s v="TYEXSG+CO"/>
    <n v="588"/>
    <m/>
    <m/>
    <n v="-588"/>
    <n v="14112"/>
    <n v="70560"/>
    <n v="3.8699999999999998E-2"/>
    <n v="546.13440000000003"/>
    <s v="Ireland"/>
    <n v="0.42335999999999996"/>
    <n v="0.78399999999999992"/>
  </r>
  <r>
    <s v="Budget"/>
    <x v="1024"/>
    <d v="2027-02-01T00:00:00"/>
    <x v="3"/>
    <e v="#N/A"/>
    <x v="1"/>
    <m/>
    <s v="UK"/>
    <s v="CPFNW"/>
    <s v="Food Fellas"/>
    <s v="Wonton"/>
    <x v="1"/>
    <s v="Cooked Wonton No Egg _x000a_HC  5 pcs"/>
    <s v="082S85L08005P03001"/>
    <s v="145g*8"/>
    <n v="8"/>
    <n v="5"/>
    <n v="7.4999999999999997E-3"/>
    <s v="HC"/>
    <s v="Salt"/>
    <s v="Regular"/>
    <n v="400"/>
    <m/>
    <m/>
    <n v="-400"/>
    <n v="3200"/>
    <n v="16000"/>
    <n v="7.4999999999999997E-3"/>
    <n v="24"/>
    <s v="ถ้าว,ฝา สีขาว"/>
    <m/>
    <m/>
  </r>
  <r>
    <s v="Budget"/>
    <x v="1024"/>
    <d v="2027-02-01T00:00:00"/>
    <x v="3"/>
    <e v="#N/A"/>
    <x v="1"/>
    <m/>
    <s v="UK"/>
    <s v="CPFNW"/>
    <s v="Food Fellas"/>
    <s v="Wonton ND"/>
    <x v="1"/>
    <s v="Cooked Wonton ND No Egg with _x000a_HC  5 pcs"/>
    <s v="082SJ5L08005P03001"/>
    <s v="258g*8"/>
    <n v="8"/>
    <n v="5"/>
    <n v="7.4999999999999997E-3"/>
    <s v="HC"/>
    <s v="Salt"/>
    <s v="Regular"/>
    <n v="1000"/>
    <m/>
    <m/>
    <n v="-1000"/>
    <n v="8000"/>
    <n v="40000"/>
    <n v="7.4999999999999997E-3"/>
    <n v="60"/>
    <s v="ถ้าว,ฝา สีขาว"/>
    <m/>
    <m/>
  </r>
  <r>
    <s v="Budget"/>
    <x v="1024"/>
    <d v="2027-02-01T00:00:00"/>
    <x v="3"/>
    <e v="#N/A"/>
    <x v="1"/>
    <m/>
    <s v="UK"/>
    <s v="CPFNW"/>
    <s v="Food Fellas"/>
    <s v="Wonton +TY"/>
    <x v="1"/>
    <s v="Cooked Wonton Tomyum"/>
    <s v="082S8T208005P00001"/>
    <s v="147g*8"/>
    <n v="8"/>
    <n v="5"/>
    <n v="6.8100000000000001E-3"/>
    <s v="M"/>
    <s v="Salt"/>
    <s v="TYEXSG+CO"/>
    <n v="500"/>
    <m/>
    <m/>
    <n v="-500"/>
    <n v="4000"/>
    <n v="20000"/>
    <n v="7.4999999999999997E-3"/>
    <n v="30"/>
    <s v="ถ้าว,ฝา สีขาว"/>
    <n v="0.13619999999999999"/>
    <n v="0.25222222222222218"/>
  </r>
  <r>
    <s v="Budget"/>
    <x v="1024"/>
    <d v="2027-02-01T00:00:00"/>
    <x v="3"/>
    <e v="#N/A"/>
    <x v="1"/>
    <m/>
    <s v="UK"/>
    <s v="CPFNW"/>
    <s v="Food Fellas"/>
    <s v="Wonton ND+BC+TY"/>
    <x v="1"/>
    <s v="Cooked Wonton Noodles Bok Choy Tomyum"/>
    <s v="082SJT208005P00001"/>
    <s v="307g*8"/>
    <n v="8"/>
    <n v="5"/>
    <n v="6.8100000000000001E-3"/>
    <s v="M"/>
    <s v="Salt"/>
    <s v="TYEXSG+CO"/>
    <n v="500"/>
    <m/>
    <m/>
    <n v="-500"/>
    <n v="4000"/>
    <n v="20000"/>
    <n v="3.8699999999999998E-2"/>
    <n v="154.79999999999998"/>
    <s v="ถ้าว,ฝา สีขาว"/>
    <n v="0.13619999999999999"/>
    <n v="0.25222222222222218"/>
  </r>
  <r>
    <s v="Budget"/>
    <x v="1024"/>
    <d v="2027-02-01T00:00:00"/>
    <x v="3"/>
    <e v="#N/A"/>
    <x v="1"/>
    <m/>
    <s v="UK"/>
    <s v="CPFNW"/>
    <s v="Food Fellas"/>
    <s v="Wonton +LS"/>
    <x v="1"/>
    <s v="Cooked Wonton Laksa"/>
    <s v="082S8T208005P01001"/>
    <s v="147g*8"/>
    <n v="8"/>
    <n v="5"/>
    <n v="6.8100000000000001E-3"/>
    <s v="M"/>
    <s v="Salt"/>
    <s v="Laksa"/>
    <n v="500"/>
    <m/>
    <m/>
    <n v="-500"/>
    <n v="4000"/>
    <n v="20000"/>
    <n v="7.4999999999999997E-3"/>
    <n v="30"/>
    <s v="ถ้าว,ฝา สีขาว"/>
    <n v="0.13619999999999999"/>
    <n v="0.25222222222222218"/>
  </r>
  <r>
    <s v="Budget"/>
    <x v="1024"/>
    <d v="2027-02-01T00:00:00"/>
    <x v="3"/>
    <e v="#N/A"/>
    <x v="1"/>
    <m/>
    <s v="UK"/>
    <s v="CPFNW"/>
    <s v="Food Fellas"/>
    <s v="Minced ND+BC+LS"/>
    <x v="1"/>
    <s v="Cooked Minced Wonton Noodles Bok Choy Laksa"/>
    <s v="082SRT208003P00001"/>
    <s v="315g*8"/>
    <n v="8"/>
    <n v="3"/>
    <n v="6.0000000000000001E-3"/>
    <s v="BK"/>
    <s v="Salt"/>
    <s v="Laksa"/>
    <n v="500"/>
    <m/>
    <m/>
    <n v="-500"/>
    <n v="4000"/>
    <n v="12000"/>
    <n v="3.8699999999999998E-2"/>
    <n v="154.79999999999998"/>
    <s v="ถ้าว,ฝา สีขาว"/>
    <n v="7.2000000000000008E-2"/>
    <n v="0.13333333333333333"/>
  </r>
  <r>
    <s v="Budget"/>
    <x v="1023"/>
    <d v="2027-01-01T00:00:00"/>
    <x v="3"/>
    <e v="#N/A"/>
    <x v="0"/>
    <m/>
    <s v="UK"/>
    <s v="CPFNW"/>
    <s v="Westbridge Foods Limited (One UK)"/>
    <s v="Minced ND+Kee Mao"/>
    <x v="1"/>
    <s v="Cooked Minced Wonton Thai Spicy Noodles (Drunken Noodles)"/>
    <s v="082SRKW06003P00001"/>
    <s v="300g*6"/>
    <n v="6"/>
    <n v="3"/>
    <n v="6.1999999999999998E-3"/>
    <s v="BK"/>
    <s v="Salt"/>
    <s v="Kee Mao"/>
    <n v="8000"/>
    <m/>
    <m/>
    <n v="-8000"/>
    <n v="48000"/>
    <n v="144000"/>
    <n v="6.5000000000000002E-2"/>
    <n v="3120"/>
    <s v="&quot;may contain egg เเละ Allergen Update&quot; "/>
    <n v="0.89279999999999993"/>
    <n v="1.6533333333333331"/>
  </r>
  <r>
    <s v="Budget"/>
    <x v="1025"/>
    <d v="2026-11-01T00:00:00"/>
    <x v="2"/>
    <e v="#N/A"/>
    <x v="10"/>
    <m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800"/>
    <m/>
    <m/>
    <n v="-800"/>
    <n v="6400"/>
    <n v="32000"/>
    <n v="7.4999999999999997E-3"/>
    <n v="48"/>
    <s v="ใช้คำว่า “Best if Used By” แทนคำว่า Best by Date"/>
    <n v="0.192"/>
    <n v="0.35555555555555551"/>
  </r>
  <r>
    <s v="Budget"/>
    <x v="998"/>
    <d v="2026-12-01T00:00:00"/>
    <x v="2"/>
    <e v="#N/A"/>
    <x v="11"/>
    <m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600"/>
    <m/>
    <m/>
    <n v="-600"/>
    <n v="4800"/>
    <n v="24000"/>
    <n v="7.4999999999999997E-3"/>
    <n v="36"/>
    <s v="ใช้คำว่า “Best if Used By” แทนคำว่า Best by Date"/>
    <n v="0.14399999999999999"/>
    <n v="0.26666666666666661"/>
  </r>
  <r>
    <s v="Budget"/>
    <x v="1023"/>
    <d v="2027-01-01T00:00:00"/>
    <x v="3"/>
    <e v="#N/A"/>
    <x v="0"/>
    <m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5300"/>
    <m/>
    <m/>
    <n v="-5300"/>
    <n v="42400"/>
    <n v="212000"/>
    <n v="7.4999999999999997E-3"/>
    <n v="318"/>
    <s v="ใช้คำว่า “Best if Used By” แทนคำว่า Best by Date"/>
    <n v="1.272"/>
    <n v="2.3555555555555556"/>
  </r>
  <r>
    <s v="Budget"/>
    <x v="1024"/>
    <d v="2027-02-01T00:00:00"/>
    <x v="3"/>
    <e v="#N/A"/>
    <x v="1"/>
    <m/>
    <s v="USA"/>
    <s v="CPFNW"/>
    <s v="Bellisio Foods, Inc."/>
    <s v="Minced WT"/>
    <x v="1"/>
    <s v="Cooked Minced Wonton No Egg"/>
    <s v="082SKBW08005P00001"/>
    <s v="145g*8"/>
    <n v="8"/>
    <n v="5"/>
    <n v="6.0000000000000001E-3"/>
    <s v="BK"/>
    <s v="Salt"/>
    <s v="Regular"/>
    <n v="300"/>
    <m/>
    <m/>
    <n v="-300"/>
    <n v="2400"/>
    <n v="12000"/>
    <n v="7.4999999999999997E-3"/>
    <n v="18"/>
    <s v="ใช้คำว่า “Best if Used By” แทนคำว่า Best by Date"/>
    <n v="7.1999999999999995E-2"/>
    <n v="0.1333333333333333"/>
  </r>
  <r>
    <s v="Budget"/>
    <x v="998"/>
    <d v="2026-12-01T00:00:00"/>
    <x v="2"/>
    <e v="#N/A"/>
    <x v="11"/>
    <m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2200"/>
    <m/>
    <m/>
    <n v="-2200"/>
    <n v="52800"/>
    <n v="264000"/>
    <n v="7.4999999999999997E-3"/>
    <n v="396"/>
    <s v="ใช้คำว่า “Best if Used By” แทนคำว่า Best by Date"/>
    <n v="1.5840000000000001"/>
    <n v="2.9333333333333331"/>
  </r>
  <r>
    <s v="Budget"/>
    <x v="1023"/>
    <d v="2027-01-01T00:00:00"/>
    <x v="3"/>
    <e v="#N/A"/>
    <x v="0"/>
    <m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2300"/>
    <m/>
    <m/>
    <n v="-2300"/>
    <n v="55200"/>
    <n v="276000"/>
    <n v="7.4999999999999997E-3"/>
    <n v="414"/>
    <s v="ใช้คำว่า “Best if Used By” แทนคำว่า Best by Date"/>
    <n v="1.6559999999999999"/>
    <n v="3.0666666666666664"/>
  </r>
  <r>
    <s v="Budget"/>
    <x v="1024"/>
    <d v="2027-02-01T00:00:00"/>
    <x v="3"/>
    <e v="#N/A"/>
    <x v="1"/>
    <m/>
    <s v="USA"/>
    <s v="CPFNW"/>
    <s v="Bellisio Foods, Inc."/>
    <s v="Minced ND"/>
    <x v="1"/>
    <s v="Cooked Minced Wonton Noodle No Egg"/>
    <s v="082SRBW24005P00001"/>
    <s v="258g*4c*6in"/>
    <n v="24"/>
    <n v="5"/>
    <n v="6.0000000000000001E-3"/>
    <s v="BK"/>
    <s v="Salt"/>
    <s v="Regular"/>
    <n v="1100"/>
    <m/>
    <m/>
    <n v="-1100"/>
    <n v="26400"/>
    <n v="132000"/>
    <n v="7.4999999999999997E-3"/>
    <n v="198"/>
    <s v="ใช้คำว่า “Best if Used By” แทนคำว่า Best by Date"/>
    <n v="0.79200000000000004"/>
    <n v="1.4666666666666666"/>
  </r>
  <r>
    <s v="Budget"/>
    <x v="1025"/>
    <d v="2026-11-01T00:00:00"/>
    <x v="2"/>
    <e v="#N/A"/>
    <x v="10"/>
    <m/>
    <s v="USA"/>
    <s v="CPFNW"/>
    <s v="Bellisio Foods, Inc."/>
    <s v="Minced WT"/>
    <x v="1"/>
    <s v="Cooked Minced Wonton Soup No Egg"/>
    <s v="082SKBW36005P00001"/>
    <s v="145g*6c*6"/>
    <n v="36"/>
    <n v="5"/>
    <n v="6.0000000000000001E-3"/>
    <s v="BK"/>
    <s v="Salt"/>
    <s v="Regular"/>
    <n v="600"/>
    <m/>
    <m/>
    <n v="-600"/>
    <n v="21600"/>
    <n v="108000"/>
    <n v="7.4999999999999997E-3"/>
    <n v="162"/>
    <s v="ใช้คำว่า “Best if Used By” แทนคำว่า Best by Date"/>
    <n v="0.64800000000000002"/>
    <n v="1.2"/>
  </r>
  <r>
    <s v="Budget"/>
    <x v="1023"/>
    <d v="2027-01-01T00:00:00"/>
    <x v="3"/>
    <e v="#N/A"/>
    <x v="0"/>
    <m/>
    <s v="USA"/>
    <s v="CPFNW"/>
    <s v="Bellisio Foods, Inc."/>
    <s v="Minced WT"/>
    <x v="1"/>
    <s v="Cooked Minced Wonton Soup No Egg"/>
    <s v="082SKBW36005P00001"/>
    <s v="145g*6c*6"/>
    <n v="36"/>
    <n v="5"/>
    <n v="6.0000000000000001E-3"/>
    <s v="BK"/>
    <s v="Salt"/>
    <s v="Regular"/>
    <n v="750"/>
    <m/>
    <m/>
    <n v="-750"/>
    <n v="27000"/>
    <n v="135000"/>
    <n v="7.4999999999999997E-3"/>
    <n v="202.5"/>
    <s v="ใช้คำว่า “Best if Used By” แทนคำว่า Best by Date"/>
    <n v="0.81"/>
    <n v="1.5"/>
  </r>
  <r>
    <s v="Budget"/>
    <x v="1023"/>
    <d v="2027-01-01T00:00:00"/>
    <x v="3"/>
    <e v="#N/A"/>
    <x v="0"/>
    <m/>
    <s v="USA"/>
    <s v="CPFNW"/>
    <s v="Bellisio Foods, Inc."/>
    <s v="Minced ND+V"/>
    <x v="1"/>
    <s v="Cooked Wonton ND No Egg with Pumpkin_x000a_+ Yu Choy Low sodium"/>
    <s v="082SRBW24005P01001"/>
    <s v="308g*4c*6in"/>
    <n v="24"/>
    <n v="5"/>
    <n v="6.0000000000000001E-3"/>
    <s v="BK"/>
    <s v="Salt"/>
    <s v="Y3"/>
    <n v="170"/>
    <m/>
    <m/>
    <n v="-170"/>
    <n v="4080"/>
    <n v="20400"/>
    <n v="9.7000000000000003E-3"/>
    <n v="39.576000000000001"/>
    <m/>
    <n v="0.12239999999999999"/>
    <n v="0.22666666666666666"/>
  </r>
  <r>
    <s v="Budget"/>
    <x v="998"/>
    <d v="2027-01-01T00:00:00"/>
    <x v="2"/>
    <e v="#N/A"/>
    <x v="11"/>
    <m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12500"/>
    <m/>
    <m/>
    <n v="-12500"/>
    <n v="300000"/>
    <n v="1500000"/>
    <n v="7.4999999999999997E-3"/>
    <n v="2250"/>
    <m/>
    <n v="9.3000000000000007"/>
    <n v="17.222222222222221"/>
  </r>
  <r>
    <s v="Budget"/>
    <x v="1023"/>
    <d v="2027-02-01T00:00:00"/>
    <x v="3"/>
    <e v="#N/A"/>
    <x v="0"/>
    <m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12500"/>
    <m/>
    <m/>
    <n v="-12500"/>
    <n v="300000"/>
    <n v="1500000"/>
    <n v="7.4999999999999997E-3"/>
    <n v="2250"/>
    <m/>
    <n v="9.3000000000000007"/>
    <n v="17.222222222222221"/>
  </r>
  <r>
    <s v="Budget"/>
    <x v="1024"/>
    <d v="2027-03-01T00:00:00"/>
    <x v="3"/>
    <e v="#N/A"/>
    <x v="1"/>
    <m/>
    <s v=".7-11"/>
    <s v="CPFGS"/>
    <s v="ถ้วยใหม่"/>
    <s v="E+Wonton"/>
    <x v="1"/>
    <s v="เกี๊ยวกุ้ง ตรา อีซี่ โก 24x5 PCS"/>
    <s v="082S81A24005P0E001"/>
    <s v="135g*24"/>
    <n v="24"/>
    <n v="5"/>
    <n v="6.1999999999999998E-3"/>
    <s v="SS"/>
    <s v="STPP"/>
    <s v="Regular"/>
    <n v="12500"/>
    <m/>
    <m/>
    <n v="-12500"/>
    <n v="300000"/>
    <n v="1500000"/>
    <n v="7.4999999999999997E-3"/>
    <n v="2250"/>
    <m/>
    <n v="9.3000000000000007"/>
    <n v="17.222222222222221"/>
  </r>
  <r>
    <s v="Budget"/>
    <x v="998"/>
    <d v="2027-01-01T00:00:00"/>
    <x v="2"/>
    <e v="#N/A"/>
    <x v="11"/>
    <m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10000"/>
    <m/>
    <m/>
    <n v="-10000"/>
    <n v="240000"/>
    <n v="1200000"/>
    <n v="7.4999999999999997E-3"/>
    <n v="1800"/>
    <m/>
    <n v="9.6"/>
    <n v="17.777777777777775"/>
  </r>
  <r>
    <s v="Budget"/>
    <x v="1023"/>
    <d v="2027-02-01T00:00:00"/>
    <x v="3"/>
    <e v="#N/A"/>
    <x v="0"/>
    <m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10000"/>
    <m/>
    <m/>
    <n v="-10000"/>
    <n v="240000"/>
    <n v="1200000"/>
    <n v="7.4999999999999997E-3"/>
    <n v="1800"/>
    <m/>
    <n v="9.6"/>
    <n v="17.777777777777775"/>
  </r>
  <r>
    <s v="Budget"/>
    <x v="1024"/>
    <d v="2027-03-01T00:00:00"/>
    <x v="3"/>
    <e v="#N/A"/>
    <x v="1"/>
    <m/>
    <s v=".7-11"/>
    <s v="CPFGS"/>
    <s v="Seven  ถ้วยดำ"/>
    <s v="E+Wonton"/>
    <x v="1"/>
    <s v="เกี๊ยวกุ้ง_ตราซีพี_(145กรัมx24)(7-11)"/>
    <s v="082S81A24005P04001"/>
    <s v="145g*24"/>
    <n v="24"/>
    <n v="5"/>
    <n v="8.0000000000000002E-3"/>
    <s v="M"/>
    <s v="STPP"/>
    <s v="Regular"/>
    <n v="10000"/>
    <m/>
    <m/>
    <n v="-10000"/>
    <n v="240000"/>
    <n v="1200000"/>
    <n v="7.4999999999999997E-3"/>
    <n v="1800"/>
    <m/>
    <n v="9.6"/>
    <n v="17.777777777777775"/>
  </r>
  <r>
    <s v="Budget"/>
    <x v="998"/>
    <d v="2027-01-01T00:00:00"/>
    <x v="2"/>
    <e v="#N/A"/>
    <x v="11"/>
    <m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s v="SS"/>
    <s v="STPP"/>
    <s v="หมาล่า"/>
    <n v="2400"/>
    <m/>
    <m/>
    <n v="-2400"/>
    <n v="57600"/>
    <n v="172800"/>
    <n v="1.83E-2"/>
    <n v="1054.08"/>
    <m/>
    <n v="1.0713599999999999"/>
    <n v="1.9839999999999995"/>
  </r>
  <r>
    <s v="Budget"/>
    <x v="1023"/>
    <d v="2027-02-01T00:00:00"/>
    <x v="3"/>
    <e v="#N/A"/>
    <x v="0"/>
    <m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s v="SS"/>
    <s v="STPP"/>
    <s v="หมาล่า"/>
    <n v="2400"/>
    <m/>
    <m/>
    <n v="-2400"/>
    <n v="57600"/>
    <n v="172800"/>
    <n v="1.83E-2"/>
    <n v="1054.08"/>
    <m/>
    <n v="1.0713599999999999"/>
    <n v="1.9839999999999995"/>
  </r>
  <r>
    <s v="Budget"/>
    <x v="1024"/>
    <d v="2027-03-01T00:00:00"/>
    <x v="3"/>
    <e v="#N/A"/>
    <x v="1"/>
    <m/>
    <s v=".7-11"/>
    <s v="CPFGS"/>
    <s v="CPFGS"/>
    <s v="E+NDเส้นมัน+หมาล่า"/>
    <x v="1"/>
    <s v="เส้นมันเกี๊ยวกุ้งจักรพรรดิซุปหมาล่า  ตราซีพี ซีคิวเค 7-11"/>
    <s v="082SG1A24003P00001"/>
    <s v="250g*24"/>
    <n v="24"/>
    <n v="3"/>
    <n v="6.1999999999999998E-3"/>
    <s v="SS"/>
    <s v="STPP"/>
    <s v="หมาล่า"/>
    <n v="2400"/>
    <m/>
    <m/>
    <n v="-2400"/>
    <n v="57600"/>
    <n v="172800"/>
    <n v="1.83E-2"/>
    <n v="1054.08"/>
    <m/>
    <n v="1.0713599999999999"/>
    <n v="1.9839999999999995"/>
  </r>
  <r>
    <s v="Budget"/>
    <x v="998"/>
    <d v="2027-01-01T00:00:00"/>
    <x v="2"/>
    <e v="#N/A"/>
    <x v="11"/>
    <m/>
    <s v="MTFS"/>
    <s v="CPFGS"/>
    <s v="ซีพีเอฟ เทรดดิ้ง"/>
    <s v="E+Wonton"/>
    <x v="1"/>
    <s v="เกี๊ยวกุ้งจักรพรรดิ ตราซีพี 12x145 กรัม"/>
    <s v="082S83Q12005P05001"/>
    <s v="145g*12"/>
    <n v="12"/>
    <n v="5"/>
    <n v="8.0000000000000002E-3"/>
    <s v="M"/>
    <s v="STPP"/>
    <s v="Regular"/>
    <n v="1750"/>
    <m/>
    <m/>
    <n v="-1750"/>
    <n v="21000"/>
    <n v="105000"/>
    <n v="7.4999999999999997E-3"/>
    <n v="157.5"/>
    <m/>
    <n v="0.84"/>
    <n v="1.5555555555555554"/>
  </r>
  <r>
    <s v="Budget"/>
    <x v="1023"/>
    <d v="2027-02-01T00:00:00"/>
    <x v="3"/>
    <e v="#N/A"/>
    <x v="0"/>
    <m/>
    <s v="MTFS"/>
    <s v="CPFGS"/>
    <s v="ซีพีเอฟ เทรดดิ้ง"/>
    <s v="E+Wonton"/>
    <x v="1"/>
    <s v="เกี๊ยวกุ้งจักรพรรดิ ตราซีพี 12x145 กรัม"/>
    <s v="082S83Q12005P05001"/>
    <s v="145g*12"/>
    <n v="12"/>
    <n v="5"/>
    <n v="8.0000000000000002E-3"/>
    <s v="M"/>
    <s v="STPP"/>
    <s v="Regular"/>
    <n v="1750"/>
    <m/>
    <m/>
    <n v="-1750"/>
    <n v="21000"/>
    <n v="105000"/>
    <n v="7.4999999999999997E-3"/>
    <n v="157.5"/>
    <m/>
    <n v="0.84"/>
    <n v="1.5555555555555554"/>
  </r>
  <r>
    <s v="Budget"/>
    <x v="1024"/>
    <d v="2027-03-01T00:00:00"/>
    <x v="3"/>
    <e v="#N/A"/>
    <x v="1"/>
    <m/>
    <s v="MTFS"/>
    <s v="CPFGS"/>
    <s v="ซีพีเอฟ เทรดดิ้ง"/>
    <s v="E+Wonton"/>
    <x v="1"/>
    <s v="เกี๊ยวกุ้งจักรพรรดิ ตราซีพี 12x145 กรัม"/>
    <s v="082S83Q12005P05001"/>
    <s v="145g*12"/>
    <n v="12"/>
    <n v="5"/>
    <n v="8.0000000000000002E-3"/>
    <s v="M"/>
    <s v="STPP"/>
    <s v="Regular"/>
    <n v="1750"/>
    <m/>
    <m/>
    <n v="-1750"/>
    <n v="21000"/>
    <n v="105000"/>
    <n v="7.4999999999999997E-3"/>
    <n v="157.5"/>
    <m/>
    <n v="0.84"/>
    <n v="1.5555555555555554"/>
  </r>
  <r>
    <s v="Budget"/>
    <x v="998"/>
    <d v="2027-01-01T00:00:00"/>
    <x v="2"/>
    <e v="#N/A"/>
    <x v="11"/>
    <m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800"/>
    <m/>
    <m/>
    <n v="-800"/>
    <n v="14400"/>
    <n v="72000"/>
    <n v="1"/>
    <n v="14400"/>
    <m/>
    <n v="0.57599999999999996"/>
    <n v="1.0666666666666664"/>
  </r>
  <r>
    <s v="Budget"/>
    <x v="1023"/>
    <d v="2027-02-01T00:00:00"/>
    <x v="3"/>
    <e v="#N/A"/>
    <x v="0"/>
    <m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800"/>
    <m/>
    <m/>
    <n v="-800"/>
    <n v="14400"/>
    <n v="72000"/>
    <n v="1"/>
    <n v="14400"/>
    <m/>
    <n v="0.57599999999999996"/>
    <n v="1.0666666666666664"/>
  </r>
  <r>
    <s v="Budget"/>
    <x v="1024"/>
    <d v="2027-03-01T00:00:00"/>
    <x v="3"/>
    <e v="#N/A"/>
    <x v="1"/>
    <m/>
    <s v="MTFS"/>
    <s v="CPFGS"/>
    <s v="ซีพีเอฟ เทรดดิ้ง"/>
    <s v="E+Wonton"/>
    <x v="1"/>
    <s v="เกี๊ยวกุ้งจักรพรรดิแพ็คสุดคุ้มซีพี6x270g"/>
    <s v="082S83Q18005P05001"/>
    <s v="90g*3B*6B"/>
    <n v="18"/>
    <n v="5"/>
    <n v="8.0000000000000002E-3"/>
    <s v="M"/>
    <s v="STPP"/>
    <s v="ซุปซอง 5g."/>
    <n v="800"/>
    <m/>
    <m/>
    <n v="-800"/>
    <n v="14400"/>
    <n v="72000"/>
    <n v="1"/>
    <n v="14400"/>
    <m/>
    <n v="0.57599999999999996"/>
    <n v="1.0666666666666664"/>
  </r>
  <r>
    <s v="Budget"/>
    <x v="998"/>
    <d v="2027-01-01T00:00:00"/>
    <x v="2"/>
    <e v="#N/A"/>
    <x v="11"/>
    <m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250"/>
    <m/>
    <m/>
    <n v="-250"/>
    <n v="3000"/>
    <n v="15000"/>
    <n v="7.4999999999999997E-3"/>
    <n v="22.5"/>
    <m/>
    <n v="0.09"/>
    <n v="0.16666666666666666"/>
  </r>
  <r>
    <s v="Budget"/>
    <x v="1023"/>
    <d v="2027-02-01T00:00:00"/>
    <x v="3"/>
    <e v="#N/A"/>
    <x v="0"/>
    <m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250"/>
    <m/>
    <m/>
    <n v="-250"/>
    <n v="3000"/>
    <n v="15000"/>
    <n v="7.4999999999999997E-3"/>
    <n v="22.5"/>
    <m/>
    <n v="0.09"/>
    <n v="0.16666666666666666"/>
  </r>
  <r>
    <s v="Budget"/>
    <x v="1024"/>
    <d v="2027-03-01T00:00:00"/>
    <x v="3"/>
    <e v="#N/A"/>
    <x v="1"/>
    <m/>
    <s v="MTFS"/>
    <s v="CPFGS"/>
    <s v="ซีพีเอฟ เทรดดิ้ง"/>
    <s v="E+Minced WT"/>
    <x v="1"/>
    <s v="Minced Wonton (5pcs)"/>
    <s v="082SK3Q12005P00001"/>
    <s v="135g*12"/>
    <n v="12"/>
    <n v="5"/>
    <n v="6.0000000000000001E-3"/>
    <s v="BK"/>
    <s v="STPP"/>
    <s v="Regular"/>
    <n v="250"/>
    <m/>
    <m/>
    <n v="-250"/>
    <n v="3000"/>
    <n v="15000"/>
    <n v="7.4999999999999997E-3"/>
    <n v="22.5"/>
    <m/>
    <n v="0.09"/>
    <n v="0.16666666666666666"/>
  </r>
  <r>
    <s v="Budget"/>
    <x v="998"/>
    <d v="2027-01-01T00:00:00"/>
    <x v="2"/>
    <e v="#N/A"/>
    <x v="11"/>
    <m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200"/>
    <m/>
    <m/>
    <n v="-200"/>
    <n v="2400"/>
    <n v="7200"/>
    <n v="7.4999999999999997E-3"/>
    <n v="18"/>
    <m/>
    <n v="4.3200000000000002E-2"/>
    <n v="0.08"/>
  </r>
  <r>
    <s v="Budget"/>
    <x v="1023"/>
    <d v="2027-02-01T00:00:00"/>
    <x v="3"/>
    <e v="#N/A"/>
    <x v="0"/>
    <m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200"/>
    <m/>
    <m/>
    <n v="-200"/>
    <n v="2400"/>
    <n v="7200"/>
    <n v="7.4999999999999997E-3"/>
    <n v="18"/>
    <m/>
    <n v="4.3200000000000002E-2"/>
    <n v="0.08"/>
  </r>
  <r>
    <s v="Budget"/>
    <x v="1024"/>
    <d v="2027-03-01T00:00:00"/>
    <x v="3"/>
    <e v="#N/A"/>
    <x v="1"/>
    <m/>
    <s v="MTFS"/>
    <s v="CPFGS"/>
    <s v="ซีพีเอฟ เทรดดิ้ง"/>
    <s v="E+Minced NDE"/>
    <x v="1"/>
    <s v="Minced Noodle with egg V-Food (3 pcs)"/>
    <s v="082SR3Q12003P00001"/>
    <s v="191g*12"/>
    <n v="12"/>
    <n v="3"/>
    <n v="6.0000000000000001E-3"/>
    <s v="BK"/>
    <s v="STPP"/>
    <s v="Regular"/>
    <n v="200"/>
    <m/>
    <m/>
    <n v="-200"/>
    <n v="2400"/>
    <n v="7200"/>
    <n v="7.4999999999999997E-3"/>
    <n v="18"/>
    <m/>
    <n v="4.3200000000000002E-2"/>
    <n v="0.08"/>
  </r>
  <r>
    <s v="Budget"/>
    <x v="998"/>
    <d v="2027-01-01T00:00:00"/>
    <x v="2"/>
    <e v="#N/A"/>
    <x v="11"/>
    <m/>
    <s v="MTFS"/>
    <s v="CPFGS"/>
    <s v="ซีพีเอฟ เทรดดิ้ง"/>
    <s v="E+Wonton NDE"/>
    <x v="1"/>
    <s v="บะหมี่เกี๊ยวกุ้ง ตราซีพี 12X226 กรัม"/>
    <s v="082SJ3Q12003P07001"/>
    <s v="226g*12"/>
    <n v="12"/>
    <n v="3"/>
    <n v="8.0000000000000002E-3"/>
    <s v="M"/>
    <s v="STPP"/>
    <s v="Regular"/>
    <n v="500"/>
    <m/>
    <m/>
    <n v="-500"/>
    <n v="6000"/>
    <n v="18000"/>
    <n v="7.4999999999999997E-3"/>
    <n v="45"/>
    <m/>
    <n v="0.14399999999999999"/>
    <n v="0.26666666666666661"/>
  </r>
  <r>
    <s v="Budget"/>
    <x v="1023"/>
    <d v="2027-02-01T00:00:00"/>
    <x v="3"/>
    <e v="#N/A"/>
    <x v="0"/>
    <m/>
    <s v="MTFS"/>
    <s v="CPFGS"/>
    <s v="ซีพีเอฟ เทรดดิ้ง"/>
    <s v="E+Wonton NDE"/>
    <x v="1"/>
    <s v="บะหมี่เกี๊ยวกุ้ง ตราซีพี 12X226 กรัม"/>
    <s v="082SJ3Q12003P07001"/>
    <s v="226g*12"/>
    <n v="12"/>
    <n v="3"/>
    <n v="8.0000000000000002E-3"/>
    <s v="M"/>
    <s v="STPP"/>
    <s v="Regular"/>
    <n v="500"/>
    <m/>
    <m/>
    <n v="-500"/>
    <n v="6000"/>
    <n v="18000"/>
    <n v="7.4999999999999997E-3"/>
    <n v="45"/>
    <m/>
    <n v="0.14399999999999999"/>
    <n v="0.26666666666666661"/>
  </r>
  <r>
    <s v="Budget"/>
    <x v="1024"/>
    <d v="2027-03-01T00:00:00"/>
    <x v="3"/>
    <e v="#N/A"/>
    <x v="1"/>
    <m/>
    <s v="MTFS"/>
    <s v="CPFGS"/>
    <s v="ซีพีเอฟ เทรดดิ้ง"/>
    <s v="E+Wonton NDE"/>
    <x v="1"/>
    <s v="บะหมี่เกี๊ยวกุ้ง ตราซีพี 12X226 กรัม"/>
    <s v="082SJ3Q12003P07001"/>
    <s v="226g*12"/>
    <n v="12"/>
    <n v="3"/>
    <n v="8.0000000000000002E-3"/>
    <s v="M"/>
    <s v="STPP"/>
    <s v="Regular"/>
    <n v="500"/>
    <m/>
    <m/>
    <n v="-500"/>
    <n v="6000"/>
    <n v="18000"/>
    <n v="7.4999999999999997E-3"/>
    <n v="45"/>
    <m/>
    <n v="0.14399999999999999"/>
    <n v="0.26666666666666661"/>
  </r>
  <r>
    <m/>
    <x v="1022"/>
    <m/>
    <x v="4"/>
    <e v="#N/A"/>
    <x v="12"/>
    <n v="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s v="มี Package เก่า "/>
    <n v="1.0692000000000002"/>
    <n v="1.9800000000000002"/>
  </r>
  <r>
    <m/>
    <x v="1022"/>
    <m/>
    <x v="4"/>
    <e v="#N/A"/>
    <x v="12"/>
    <n v="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s v="มี Package เก่า "/>
    <n v="1.0692000000000002"/>
    <n v="1.9800000000000002"/>
  </r>
  <r>
    <m/>
    <x v="1022"/>
    <m/>
    <x v="4"/>
    <e v="#N/A"/>
    <x v="12"/>
    <n v="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s v="มี Package เก่า "/>
    <n v="1.0692000000000002"/>
    <n v="1.9800000000000002"/>
  </r>
  <r>
    <m/>
    <x v="1022"/>
    <m/>
    <x v="4"/>
    <e v="#N/A"/>
    <x v="12"/>
    <n v="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s v="มี Package เก่า 3.98 ตู้"/>
    <n v="1.0692000000000002"/>
    <n v="1.9800000000000002"/>
  </r>
  <r>
    <m/>
    <x v="1022"/>
    <m/>
    <x v="4"/>
    <e v="#N/A"/>
    <x v="12"/>
    <n v="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1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1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1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1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1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1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1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1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1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1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2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2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2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2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2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2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26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27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28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29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30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31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32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33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34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n v="35"/>
    <s v="USA"/>
    <s v="CPFNW"/>
    <s v="Bellisio Foods, Inc."/>
    <s v="Wonton ND+V"/>
    <x v="1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n v="142560"/>
    <n v="9.7000000000000003E-3"/>
    <n v="276.56639999999999"/>
    <m/>
    <n v="1.0692000000000002"/>
    <n v="1.9800000000000002"/>
  </r>
  <r>
    <m/>
    <x v="1022"/>
    <m/>
    <x v="4"/>
    <e v="#N/A"/>
    <x v="12"/>
    <m/>
    <m/>
    <m/>
    <m/>
    <m/>
    <x v="0"/>
    <m/>
    <m/>
    <m/>
    <m/>
    <m/>
    <m/>
    <m/>
    <m/>
    <m/>
    <m/>
    <m/>
    <m/>
    <m/>
    <m/>
    <n v="0"/>
    <m/>
    <m/>
    <m/>
    <m/>
    <m/>
  </r>
  <r>
    <m/>
    <x v="1022"/>
    <m/>
    <x v="5"/>
    <m/>
    <x v="13"/>
    <m/>
    <m/>
    <m/>
    <m/>
    <m/>
    <x v="0"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68">
  <r>
    <x v="0"/>
    <m/>
    <s v="Week53"/>
    <d v="2022-01-01T00:00:00"/>
    <m/>
    <m/>
    <m/>
    <m/>
    <m/>
    <x v="0"/>
    <m/>
    <m/>
    <m/>
    <m/>
    <m/>
    <m/>
    <m/>
    <m/>
    <m/>
    <m/>
    <m/>
    <m/>
    <m/>
    <m/>
    <m/>
    <m/>
    <m/>
  </r>
  <r>
    <x v="1"/>
    <m/>
    <s v="Week1"/>
    <d v="2022-01-01T00:00:00"/>
    <m/>
    <m/>
    <m/>
    <m/>
    <m/>
    <x v="0"/>
    <m/>
    <m/>
    <m/>
    <m/>
    <m/>
    <m/>
    <m/>
    <m/>
    <m/>
    <m/>
    <m/>
    <m/>
    <m/>
    <m/>
    <m/>
    <m/>
    <m/>
  </r>
  <r>
    <x v="2"/>
    <d v="2022-01-19T00:00:00"/>
    <s v="Week1"/>
    <d v="2022-01-01T00:00:00"/>
    <s v="DRY2100732"/>
    <s v="UK"/>
    <s v="Food Fellas"/>
    <s v="C-Wonton"/>
    <s v="C-Wonton"/>
    <x v="1"/>
    <s v="Cooked Wonton  No Egg_x000a_HC  5 pcs"/>
    <s v="082S85L08005P03001"/>
    <s v="145g*8"/>
    <n v="8"/>
    <n v="5"/>
    <n v="7.4999999999999997E-3"/>
    <s v="HC"/>
    <s v="Salt"/>
    <s v="Regular"/>
    <n v="1600"/>
    <m/>
    <n v="1703.375"/>
    <n v="103.375"/>
    <n v="0"/>
    <m/>
    <m/>
    <m/>
  </r>
  <r>
    <x v="2"/>
    <d v="2022-01-11T00:00:00"/>
    <s v="Week1"/>
    <d v="2022-01-01T00:00:00"/>
    <s v="DRY2100716"/>
    <s v="SG"/>
    <s v="CPI SINGAPORE"/>
    <s v="C-Wonton"/>
    <s v="C-Wonton"/>
    <x v="1"/>
    <s v="Cooked Wonton No Egg"/>
    <s v="082S83B24005P07001"/>
    <s v="145g*24"/>
    <n v="24"/>
    <n v="5"/>
    <n v="8.0000000000000002E-3"/>
    <s v="M"/>
    <s v="STPP"/>
    <s v="Regular"/>
    <n v="600"/>
    <n v="600"/>
    <m/>
    <n v="0"/>
    <n v="0"/>
    <m/>
    <m/>
    <m/>
  </r>
  <r>
    <x v="2"/>
    <d v="2022-01-11T00:00:00"/>
    <s v="Week1"/>
    <d v="2022-01-01T00:00:00"/>
    <s v="DRY2100717"/>
    <s v="SG"/>
    <s v="CPI SINGAPORE"/>
    <s v="C-Wonton"/>
    <s v="C-Wonton"/>
    <x v="2"/>
    <s v="Cooked Wonton No Egg"/>
    <s v="082S83B24005P06001"/>
    <s v="115g*24"/>
    <n v="24"/>
    <n v="5"/>
    <n v="8.0000000000000002E-3"/>
    <s v="M"/>
    <s v="STPP"/>
    <s v="TYTB3C 30G"/>
    <n v="600"/>
    <n v="600"/>
    <m/>
    <n v="0"/>
    <n v="0"/>
    <m/>
    <n v="1"/>
    <n v="0"/>
  </r>
  <r>
    <x v="2"/>
    <d v="2022-01-25T00:00:00"/>
    <s v="Week1"/>
    <d v="2022-01-01T00:00:00"/>
    <s v="DRY2100745"/>
    <s v="Malay"/>
    <s v="CPM Malaysia"/>
    <s v="C-Wonton"/>
    <s v="C-Wonton"/>
    <x v="1"/>
    <s v="Cooked Wonton No Egg  "/>
    <s v="082S85I24005P01001"/>
    <s v="145g*24"/>
    <n v="24"/>
    <n v="5"/>
    <n v="8.0000000000000002E-3"/>
    <s v="M"/>
    <s v="STPP"/>
    <s v="Regular"/>
    <n v="800"/>
    <n v="800"/>
    <n v="33.541666666666664"/>
    <n v="33.541666666666629"/>
    <n v="0"/>
    <m/>
    <m/>
    <m/>
  </r>
  <r>
    <x v="2"/>
    <d v="2022-01-25T00:00:00"/>
    <s v="Week1"/>
    <d v="2022-01-01T00:00:00"/>
    <s v="DRY2100745"/>
    <s v="Malay"/>
    <s v="CPM Malaysia"/>
    <s v="C-Wonton"/>
    <s v="C-Wonton"/>
    <x v="2"/>
    <s v="Cooked Wonton No Egg  TY"/>
    <s v="082S85I24005P02001"/>
    <s v="115g*24"/>
    <n v="24"/>
    <n v="5"/>
    <n v="8.0000000000000002E-3"/>
    <s v="M"/>
    <s v="STPP"/>
    <s v="TYTB3C 30G"/>
    <n v="800"/>
    <n v="800"/>
    <n v="18.666666666666668"/>
    <n v="18.666666666666629"/>
    <n v="0"/>
    <m/>
    <n v="1"/>
    <n v="0"/>
  </r>
  <r>
    <x v="2"/>
    <d v="2022-01-05T00:00:00"/>
    <s v="Week1"/>
    <d v="2022-01-01T00:00:00"/>
    <s v="DRY2100634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67.875"/>
    <m/>
    <n v="67.875"/>
    <n v="0"/>
    <n v="0"/>
    <m/>
    <m/>
    <m/>
  </r>
  <r>
    <x v="2"/>
    <d v="2022-01-18T00:00:00"/>
    <s v="Week1"/>
    <d v="2022-01-01T00:00:00"/>
    <s v="DRY2100636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1492"/>
    <m/>
    <n v="1492.25"/>
    <n v="0.25"/>
    <n v="0"/>
    <m/>
    <m/>
    <m/>
  </r>
  <r>
    <x v="2"/>
    <d v="2022-01-10T00:00:00"/>
    <s v="Week1"/>
    <d v="2022-01-01T00:00:00"/>
    <s v="DRY2100715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1184"/>
    <n v="1184"/>
    <m/>
    <n v="0"/>
    <n v="0"/>
    <n v="0"/>
    <n v="2"/>
    <n v="0"/>
  </r>
  <r>
    <x v="3"/>
    <d v="2022-01-15T00:00:00"/>
    <s v="Week1"/>
    <d v="2022-01-01T00:00:00"/>
    <s v="DRY210059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82"/>
    <n v="282"/>
    <m/>
    <n v="0"/>
    <n v="0"/>
    <m/>
    <m/>
    <m/>
  </r>
  <r>
    <x v="3"/>
    <d v="2022-01-15T00:00:00"/>
    <s v="Week1"/>
    <d v="2022-01-01T00:00:00"/>
    <s v="DRY210059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"/>
    <d v="2022-01-15T00:00:00"/>
    <s v="Week1"/>
    <d v="2022-01-01T00:00:00"/>
    <s v="DRY210059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"/>
    <d v="2022-01-15T00:00:00"/>
    <s v="Week1"/>
    <d v="2022-01-01T00:00:00"/>
    <s v="DRY210059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"/>
    <d v="2022-01-15T00:00:00"/>
    <s v="Week1"/>
    <d v="2022-01-01T00:00:00"/>
    <s v="DRY210060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54"/>
    <n v="754"/>
    <m/>
    <n v="0"/>
    <n v="0"/>
    <m/>
    <m/>
    <m/>
  </r>
  <r>
    <x v="3"/>
    <d v="2022-01-13T00:00:00"/>
    <s v="Week1"/>
    <d v="2022-01-01T00:00:00"/>
    <s v="DRY2100734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616"/>
    <n v="616"/>
    <m/>
    <n v="0"/>
    <n v="0"/>
    <n v="0"/>
    <n v="6"/>
    <n v="0"/>
  </r>
  <r>
    <x v="4"/>
    <m/>
    <s v="Week1"/>
    <d v="2022-01-01T00:00:00"/>
    <s v="ขายภายใน"/>
    <s v=".7-11"/>
    <s v="Seven+ผัก3สี"/>
    <s v="C-Wonton"/>
    <s v="C-Wonton"/>
    <x v="6"/>
    <s v="Cooked Wonton No Egg .7-11 ผัก3สี"/>
    <s v="082S81B24161G00001"/>
    <s v="161g*24"/>
    <n v="24"/>
    <n v="5"/>
    <n v="8.0000000000000002E-3"/>
    <s v="S"/>
    <s v="STPP"/>
    <s v="Y3-1"/>
    <n v="3416"/>
    <n v="3416"/>
    <m/>
    <n v="0"/>
    <n v="0"/>
    <m/>
    <m/>
    <m/>
  </r>
  <r>
    <x v="4"/>
    <d v="2022-01-06T00:00:00"/>
    <s v="Week1"/>
    <d v="2022-01-01T00:00:00"/>
    <s v="DRY2100635"/>
    <s v="USA"/>
    <s v="Bellisio Foods, Inc."/>
    <s v="C-Wonton"/>
    <s v="C-Wonton ND"/>
    <x v="7"/>
    <s v="Cooked Minced Wonton No Egg"/>
    <s v="082SKBW08005P00001"/>
    <s v="145g*8"/>
    <n v="8"/>
    <n v="5"/>
    <n v="8.0000000000000002E-3"/>
    <s v="BK"/>
    <s v="Salt"/>
    <s v="Regular"/>
    <n v="25"/>
    <n v="25"/>
    <m/>
    <n v="0"/>
    <n v="0"/>
    <m/>
    <m/>
    <m/>
  </r>
  <r>
    <x v="4"/>
    <d v="2022-01-20T00:00:00"/>
    <s v="Week1"/>
    <d v="2022-01-01T00:00:00"/>
    <s v="DRY2100742"/>
    <s v="USA"/>
    <s v="Bellisio Foods, Inc."/>
    <s v="C-Wonton"/>
    <s v="C-Wonton ND"/>
    <x v="7"/>
    <s v="Cooked Minced Wonton No Egg"/>
    <s v="082SKBW08005P00001"/>
    <s v="145g*8"/>
    <n v="8"/>
    <n v="5"/>
    <n v="8.0000000000000002E-3"/>
    <s v="BK"/>
    <s v="Salt"/>
    <s v="Regular"/>
    <n v="3568.25"/>
    <m/>
    <n v="3568.25"/>
    <n v="0"/>
    <n v="0"/>
    <m/>
    <m/>
    <m/>
  </r>
  <r>
    <x v="4"/>
    <d v="2022-01-11T00:00:00"/>
    <s v="Week1"/>
    <d v="2022-01-01T00:00:00"/>
    <s v="DRY2100719"/>
    <s v="SG"/>
    <s v="CPI SINGAPORE"/>
    <s v="R-Wonton"/>
    <s v="R-Wonton"/>
    <x v="4"/>
    <s v="Raw Wonton 8 pcs"/>
    <s v="082I93B20008P00001"/>
    <s v="194g*20in"/>
    <n v="20"/>
    <n v="8"/>
    <n v="1.4999999999999999E-2"/>
    <s v="JB"/>
    <s v="STPP"/>
    <s v="ซุปซอง 5g."/>
    <n v="468"/>
    <n v="468"/>
    <m/>
    <n v="0"/>
    <n v="0"/>
    <n v="0"/>
    <n v="2"/>
    <n v="0"/>
  </r>
  <r>
    <x v="4"/>
    <d v="2022-01-13T00:00:00"/>
    <s v="Week1"/>
    <d v="2022-01-01T00:00:00"/>
    <s v="DRY2100734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430"/>
    <n v="430"/>
    <m/>
    <n v="0"/>
    <n v="0"/>
    <n v="0"/>
    <n v="6"/>
    <n v="0"/>
  </r>
  <r>
    <x v="5"/>
    <m/>
    <s v="Week1"/>
    <d v="2022-01-01T00:00:00"/>
    <s v="ขายภายใน"/>
    <s v=".7-11"/>
    <s v="Seven+ผัก3สี"/>
    <s v="C-Wonton"/>
    <s v="C-Wonton"/>
    <x v="6"/>
    <s v="Cooked Wonton No Egg .7-11 ผัก3สี"/>
    <s v="082S81B24161G00001"/>
    <s v="161g*24"/>
    <n v="24"/>
    <n v="5"/>
    <n v="8.0000000000000002E-3"/>
    <s v="S"/>
    <s v="STPP"/>
    <s v="Y3-1"/>
    <n v="1697"/>
    <n v="1697"/>
    <m/>
    <n v="0"/>
    <n v="0"/>
    <m/>
    <m/>
    <m/>
  </r>
  <r>
    <x v="5"/>
    <m/>
    <s v="Week1"/>
    <d v="2022-01-01T00:00:00"/>
    <s v="ขายภายใน"/>
    <s v="MTFS/FM"/>
    <s v="Seven+ผัก3สี"/>
    <s v="C-Wonton"/>
    <s v="C-Wonton"/>
    <x v="6"/>
    <s v="Cooked Wonton No Egg ผัก3สี"/>
    <s v="082S81B12161G00001"/>
    <s v="161g*12"/>
    <n v="12"/>
    <n v="5"/>
    <n v="8.0000000000000002E-3"/>
    <s v="S"/>
    <s v="STPP"/>
    <s v="Y3-1"/>
    <n v="1000"/>
    <n v="1052"/>
    <m/>
    <n v="52"/>
    <n v="0"/>
    <m/>
    <m/>
    <m/>
  </r>
  <r>
    <x v="5"/>
    <m/>
    <s v="Week1"/>
    <d v="2022-01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1250"/>
    <n v="1334"/>
    <m/>
    <n v="84"/>
    <n v="0"/>
    <m/>
    <m/>
    <m/>
  </r>
  <r>
    <x v="5"/>
    <d v="2022-01-21T00:00:00"/>
    <s v="Week1"/>
    <d v="2022-01-01T00:00:00"/>
    <s v="DRY2100636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2008"/>
    <m/>
    <n v="2008"/>
    <n v="0"/>
    <n v="0"/>
    <m/>
    <m/>
    <m/>
  </r>
  <r>
    <x v="5"/>
    <d v="2022-01-27T00:00:00"/>
    <s v="Week1"/>
    <d v="2022-01-01T00:00:00"/>
    <s v="DRY2100743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349"/>
    <m/>
    <n v="349.125"/>
    <n v="0.125"/>
    <n v="0"/>
    <m/>
    <m/>
    <m/>
  </r>
  <r>
    <x v="5"/>
    <d v="2022-01-11T00:00:00"/>
    <s v="Week1"/>
    <d v="2022-01-01T00:00:00"/>
    <s v="DRY2100719"/>
    <s v="SG"/>
    <s v="CPI SINGAPORE"/>
    <s v="R-Wonton"/>
    <s v="R-Wonton"/>
    <x v="4"/>
    <s v="Raw Wonton 8 pcs"/>
    <s v="082I93B20008P00001"/>
    <s v="194g*20in"/>
    <n v="20"/>
    <n v="8"/>
    <n v="1.4999999999999999E-2"/>
    <s v="JB"/>
    <s v="STPP"/>
    <s v="ซุปซอง 5g."/>
    <n v="532"/>
    <n v="532"/>
    <m/>
    <n v="0"/>
    <n v="0"/>
    <n v="0"/>
    <n v="2"/>
    <n v="0"/>
  </r>
  <r>
    <x v="5"/>
    <d v="2022-01-13T00:00:00"/>
    <s v="Week1"/>
    <d v="2022-01-01T00:00:00"/>
    <s v="DRY2100734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213"/>
    <n v="213"/>
    <m/>
    <n v="0"/>
    <n v="0"/>
    <n v="0"/>
    <n v="6"/>
    <n v="0"/>
  </r>
  <r>
    <x v="6"/>
    <d v="2022-01-27T00:00:00"/>
    <s v="Week1"/>
    <d v="2022-01-01T00:00:00"/>
    <s v="DRY2100743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2800.375"/>
    <m/>
    <n v="2800.375"/>
    <n v="0"/>
    <n v="0"/>
    <m/>
    <m/>
    <m/>
  </r>
  <r>
    <x v="6"/>
    <d v="2022-01-20T00:00:00"/>
    <s v="Week1"/>
    <d v="2022-01-01T00:00:00"/>
    <s v="DRY2100742"/>
    <s v="USA"/>
    <s v="Bellisio Foods, Inc."/>
    <s v="C-Wonton"/>
    <s v="C-Wonton ND"/>
    <x v="7"/>
    <s v="Cooked Minced Wonton No Egg"/>
    <s v="082SKBW08005P00001"/>
    <s v="145g*8"/>
    <n v="8"/>
    <n v="5"/>
    <n v="8.0000000000000002E-3"/>
    <s v="BK"/>
    <s v="Salt"/>
    <s v="Regular"/>
    <n v="1431.75"/>
    <m/>
    <n v="1482.875"/>
    <n v="51.125"/>
    <n v="0"/>
    <m/>
    <m/>
    <m/>
  </r>
  <r>
    <x v="6"/>
    <m/>
    <s v="Week1"/>
    <d v="2022-01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500"/>
    <n v="2618"/>
    <m/>
    <n v="118"/>
    <n v="0"/>
    <m/>
    <m/>
    <m/>
  </r>
  <r>
    <x v="6"/>
    <d v="2022-01-13T00:00:00"/>
    <s v="Week1"/>
    <d v="2022-01-01T00:00:00"/>
    <s v="DRY2100734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621"/>
    <n v="621"/>
    <m/>
    <n v="0"/>
    <n v="0"/>
    <n v="0"/>
    <n v="6"/>
    <n v="0"/>
  </r>
  <r>
    <x v="7"/>
    <d v="2022-01-25T00:00:00"/>
    <s v="Week1"/>
    <d v="2022-01-01T00:00:00"/>
    <s v="DRY2100648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7"/>
    <d v="2022-01-25T00:00:00"/>
    <s v="Week1"/>
    <d v="2022-01-01T00:00:00"/>
    <s v="DRY2100649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7"/>
    <d v="2022-01-25T00:00:00"/>
    <s v="Week1"/>
    <d v="2022-01-01T00:00:00"/>
    <s v="DRY2100652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81"/>
    <n v="11"/>
    <n v="0"/>
    <n v="0"/>
    <m/>
    <m/>
    <m/>
  </r>
  <r>
    <x v="7"/>
    <d v="2022-01-26T00:00:00"/>
    <s v="Week1"/>
    <d v="2022-01-01T00:00:00"/>
    <s v="DRY2100706"/>
    <s v="AUS"/>
    <s v="CPM Australia"/>
    <s v="C-Wonton"/>
    <s v="C-Wonton ND"/>
    <x v="5"/>
    <s v="Cooked Wonton ND No Egg with Pumpkin_x000a_+ Yu Choy "/>
    <s v="082SJ9U08004P00001"/>
    <s v="305g*8"/>
    <n v="8"/>
    <n v="4"/>
    <n v="7.4999999999999997E-3"/>
    <s v="HC"/>
    <s v="Salt"/>
    <s v="Regular"/>
    <n v="656"/>
    <m/>
    <n v="767.875"/>
    <n v="111.875"/>
    <n v="0"/>
    <m/>
    <m/>
    <m/>
  </r>
  <r>
    <x v="7"/>
    <d v="2022-01-18T00:00:00"/>
    <s v="Week1"/>
    <d v="2022-01-01T00:00:00"/>
    <s v="DRY2100721"/>
    <s v="Denmark"/>
    <s v="Paulsen Food"/>
    <s v="C-Wonton ND"/>
    <s v="Wonton ND+V"/>
    <x v="8"/>
    <s v="Cooked Wonton ND No Egg with Pumpkin _x000a_+ Vegetable  HC  3 pcs tomyam"/>
    <s v="082SJKW08003P00001"/>
    <s v="309g*8"/>
    <n v="8"/>
    <n v="3"/>
    <n v="7.4999999999999997E-3"/>
    <s v="M"/>
    <s v="Salt"/>
    <s v="Tomyam"/>
    <n v="3500"/>
    <m/>
    <n v="3526.625"/>
    <n v="26.625"/>
    <n v="0"/>
    <m/>
    <m/>
    <m/>
  </r>
  <r>
    <x v="7"/>
    <d v="2022-01-13T00:00:00"/>
    <s v="Week1"/>
    <d v="2022-01-01T00:00:00"/>
    <s v="DRY2100734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176"/>
    <n v="176"/>
    <m/>
    <n v="0"/>
    <n v="0"/>
    <n v="0"/>
    <n v="6"/>
    <n v="0"/>
  </r>
  <r>
    <x v="7"/>
    <d v="2022-01-13T00:00:00"/>
    <s v="Week1"/>
    <d v="2022-01-01T00:00:00"/>
    <s v="DRY2100715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915"/>
    <n v="915"/>
    <m/>
    <n v="0"/>
    <n v="0"/>
    <n v="0"/>
    <n v="2"/>
    <n v="0"/>
  </r>
  <r>
    <x v="8"/>
    <m/>
    <s v="Week2"/>
    <d v="2022-01-01T00:00:00"/>
    <m/>
    <m/>
    <m/>
    <m/>
    <m/>
    <x v="0"/>
    <m/>
    <m/>
    <m/>
    <m/>
    <m/>
    <m/>
    <m/>
    <m/>
    <m/>
    <m/>
    <m/>
    <m/>
    <m/>
    <m/>
    <m/>
    <m/>
    <m/>
  </r>
  <r>
    <x v="9"/>
    <d v="2022-01-19T00:00:00"/>
    <s v="Week2"/>
    <d v="2022-01-01T00:00:00"/>
    <s v="DRY2100720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9"/>
    <m/>
    <s v="Week2"/>
    <d v="2022-01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3381"/>
    <n v="3381"/>
    <m/>
    <n v="0"/>
    <n v="0"/>
    <m/>
    <m/>
    <m/>
  </r>
  <r>
    <x v="9"/>
    <d v="2022-01-13T00:00:00"/>
    <s v="Week2"/>
    <d v="2022-01-01T00:00:00"/>
    <s v="DRY2100715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301"/>
    <n v="301"/>
    <n v="19"/>
    <n v="19"/>
    <n v="0"/>
    <n v="0"/>
    <n v="2"/>
    <n v="0"/>
  </r>
  <r>
    <x v="9"/>
    <d v="2022-01-19T00:00:00"/>
    <s v="Week2"/>
    <d v="2022-01-01T00:00:00"/>
    <s v="DRY2100733"/>
    <s v="HK"/>
    <s v="CPM Hongkong"/>
    <s v="R-Wonton"/>
    <s v="R-Mince"/>
    <x v="9"/>
    <s v="Raw Minced Wonton 8 pcs"/>
    <s v="082ID3G18008P00001"/>
    <s v="90g*18in"/>
    <n v="18"/>
    <n v="8"/>
    <n v="5.0000000000000001E-3"/>
    <s v="BK"/>
    <s v="STPP"/>
    <s v="ซุปซอง 5g."/>
    <n v="300"/>
    <n v="300"/>
    <m/>
    <n v="0"/>
    <n v="0"/>
    <n v="0"/>
    <n v="2"/>
    <n v="0"/>
  </r>
  <r>
    <x v="9"/>
    <d v="2022-01-19T00:00:00"/>
    <s v="Week2"/>
    <d v="2022-01-01T00:00:00"/>
    <s v="DRY2100733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1057"/>
    <n v="721"/>
    <n v="336"/>
    <n v="0"/>
    <n v="0"/>
    <n v="0"/>
    <n v="1"/>
    <n v="0"/>
  </r>
  <r>
    <x v="10"/>
    <d v="2022-01-14T00:00:00"/>
    <s v="Week2"/>
    <d v="2022-01-01T00:00:00"/>
    <s v="DRY2100728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</r>
  <r>
    <x v="10"/>
    <d v="2022-01-14T00:00:00"/>
    <s v="Week2"/>
    <d v="2022-01-01T00:00:00"/>
    <s v="DRY2100729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40"/>
    <n v="48"/>
    <n v="0"/>
    <n v="0"/>
    <m/>
    <m/>
    <m/>
  </r>
  <r>
    <x v="10"/>
    <d v="2022-01-27T00:00:00"/>
    <s v="Week2"/>
    <d v="2022-01-01T00:00:00"/>
    <s v="DRY2100743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350.625"/>
    <m/>
    <n v="350.625"/>
    <n v="0"/>
    <n v="0"/>
    <m/>
    <m/>
    <m/>
  </r>
  <r>
    <x v="10"/>
    <d v="2022-02-03T00:00:00"/>
    <s v="Week2"/>
    <d v="2022-01-01T00:00:00"/>
    <s v="DRY2100744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1802.375"/>
    <m/>
    <n v="1802.375"/>
    <n v="0"/>
    <n v="0"/>
    <m/>
    <m/>
    <m/>
  </r>
  <r>
    <x v="10"/>
    <d v="2022-01-19T00:00:00"/>
    <s v="Week2"/>
    <d v="2022-01-01T00:00:00"/>
    <s v="DRY2100733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543"/>
    <m/>
    <n v="586"/>
    <n v="43"/>
    <n v="0"/>
    <n v="0"/>
    <n v="1"/>
    <n v="0"/>
  </r>
  <r>
    <x v="10"/>
    <d v="2022-01-19T00:00:00"/>
    <s v="Week2"/>
    <d v="2022-01-01T00:00:00"/>
    <s v="DRY2100709"/>
    <s v="Taiwan"/>
    <s v="CP TAIWAN"/>
    <s v="R-Wonton"/>
    <s v="R-Wonton no egg"/>
    <x v="10"/>
    <s v="Raw Wonton 12 pcs"/>
    <s v="082I93R40012P02001"/>
    <s v="144g*40inner"/>
    <n v="40"/>
    <n v="12"/>
    <n v="8.1300000000000001E-3"/>
    <s v="M"/>
    <s v="Salt"/>
    <s v="ซุปซอง 5g."/>
    <n v="363"/>
    <n v="294"/>
    <n v="69"/>
    <n v="0"/>
    <n v="0"/>
    <n v="0"/>
    <n v="2"/>
    <n v="0"/>
  </r>
  <r>
    <x v="11"/>
    <d v="2022-02-01T00:00:00"/>
    <s v="Week2"/>
    <d v="2022-01-01T00:00:00"/>
    <s v="DRY2100722"/>
    <s v="USA"/>
    <s v="Bellisio Foods, Inc."/>
    <s v="C-Wonton"/>
    <s v="C-Wonton ND"/>
    <x v="5"/>
    <s v="Cooked Wonton ND No Egg with Pumpkin_x000a_+ Yu Choy Low sodium"/>
    <s v="082SJBW24005P01001"/>
    <s v="308g*4c*6in"/>
    <n v="24"/>
    <n v="5"/>
    <n v="7.4999999999999997E-3"/>
    <s v="HC"/>
    <s v="Salt"/>
    <s v="Y3"/>
    <n v="110"/>
    <m/>
    <n v="110.33333333333333"/>
    <n v="0.3333333333333286"/>
    <n v="0"/>
    <m/>
    <m/>
    <m/>
  </r>
  <r>
    <x v="11"/>
    <d v="2022-01-18T00:00:00"/>
    <s v="Week2"/>
    <d v="2022-01-01T00:00:00"/>
    <s v="DRY210060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8"/>
    <n v="38"/>
    <m/>
    <n v="0"/>
    <n v="0"/>
    <m/>
    <m/>
    <m/>
  </r>
  <r>
    <x v="11"/>
    <d v="2022-01-18T00:00:00"/>
    <s v="Week2"/>
    <d v="2022-01-01T00:00:00"/>
    <s v="DRY210060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1"/>
    <d v="2022-01-18T00:00:00"/>
    <s v="Week2"/>
    <d v="2022-01-01T00:00:00"/>
    <s v="DRY210060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1"/>
    <d v="2022-01-18T00:00:00"/>
    <s v="Week2"/>
    <d v="2022-01-01T00:00:00"/>
    <s v="DRY210060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1"/>
    <d v="2022-01-18T00:00:00"/>
    <s v="Week2"/>
    <d v="2022-01-01T00:00:00"/>
    <s v="DRY210060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627"/>
    <n v="165"/>
    <n v="0"/>
    <n v="0"/>
    <m/>
    <m/>
    <m/>
  </r>
  <r>
    <x v="11"/>
    <d v="2022-01-18T00:00:00"/>
    <s v="Week2"/>
    <d v="2022-01-01T00:00:00"/>
    <s v="DRY210060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49"/>
    <m/>
    <n v="149.75"/>
    <n v="0.75"/>
    <n v="0"/>
    <m/>
    <m/>
    <m/>
  </r>
  <r>
    <x v="11"/>
    <d v="2022-01-25T00:00:00"/>
    <s v="Week2"/>
    <d v="2022-01-01T00:00:00"/>
    <s v="DRY2100745"/>
    <s v="Malay"/>
    <s v="CPM Malaysia"/>
    <s v="R-Wonton"/>
    <s v="R-Wonton"/>
    <x v="4"/>
    <s v="Raw Wonton 12 pcs"/>
    <s v="082I95I20012P00001"/>
    <s v="144g*20inner"/>
    <n v="20"/>
    <n v="12"/>
    <n v="6.8100000000000001E-3"/>
    <s v="S"/>
    <s v="STPP"/>
    <s v="ซุปซอง 5g."/>
    <n v="700"/>
    <n v="529"/>
    <n v="256"/>
    <n v="85"/>
    <n v="0"/>
    <n v="0"/>
    <n v="2"/>
    <n v="0"/>
  </r>
  <r>
    <x v="11"/>
    <d v="2022-01-19T00:00:00"/>
    <s v="Week2"/>
    <d v="2022-01-01T00:00:00"/>
    <s v="DRY2100709"/>
    <s v="Taiwan"/>
    <s v="CP TAIWAN"/>
    <s v="R-Wonton"/>
    <s v="R-Wonton no egg"/>
    <x v="10"/>
    <s v="Raw Wonton 12 pcs"/>
    <s v="082I93R40012P02001"/>
    <s v="144g*40inner"/>
    <n v="40"/>
    <n v="12"/>
    <n v="8.1300000000000001E-3"/>
    <s v="M"/>
    <s v="Salt"/>
    <s v="ซุปซอง 5g."/>
    <n v="284"/>
    <n v="284"/>
    <m/>
    <n v="0"/>
    <n v="0"/>
    <n v="0"/>
    <n v="2"/>
    <n v="0"/>
  </r>
  <r>
    <x v="12"/>
    <d v="2022-01-18T00:00:00"/>
    <s v="Week2"/>
    <d v="2022-01-01T00:00:00"/>
    <s v="DRY210060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43"/>
    <n v="643"/>
    <m/>
    <n v="0"/>
    <n v="0"/>
    <m/>
    <m/>
    <m/>
  </r>
  <r>
    <x v="12"/>
    <d v="2022-01-18T00:00:00"/>
    <s v="Week2"/>
    <d v="2022-01-01T00:00:00"/>
    <s v="DRY210060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2"/>
    <d v="2022-01-19T00:00:00"/>
    <s v="Week2"/>
    <d v="2022-01-01T00:00:00"/>
    <s v="DRY210060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2"/>
    <d v="2022-01-19T00:00:00"/>
    <s v="Week2"/>
    <d v="2022-01-01T00:00:00"/>
    <s v="DRY210060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2"/>
    <d v="2022-01-19T00:00:00"/>
    <s v="Week2"/>
    <d v="2022-01-01T00:00:00"/>
    <s v="DRY210060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19"/>
    <n v="419"/>
    <m/>
    <n v="0"/>
    <n v="0"/>
    <m/>
    <m/>
    <m/>
  </r>
  <r>
    <x v="12"/>
    <d v="2022-01-19T00:00:00"/>
    <s v="Week2"/>
    <d v="2022-01-01T00:00:00"/>
    <s v="DRY2100709"/>
    <s v="Taiwan"/>
    <s v="CP TAIWAN"/>
    <s v="R-Wonton"/>
    <s v="R-Wonton no egg"/>
    <x v="10"/>
    <s v="Raw Wonton 12 pcs"/>
    <s v="082I93R40012P02001"/>
    <s v="144g*40inner"/>
    <n v="40"/>
    <n v="12"/>
    <n v="8.1300000000000001E-3"/>
    <s v="M"/>
    <s v="Salt"/>
    <s v="ซุปซอง 5g."/>
    <n v="581"/>
    <n v="581"/>
    <m/>
    <n v="0"/>
    <n v="0"/>
    <n v="0"/>
    <n v="2"/>
    <n v="0"/>
  </r>
  <r>
    <x v="13"/>
    <d v="2022-01-19T00:00:00"/>
    <s v="Week2"/>
    <d v="2022-01-01T00:00:00"/>
    <s v="DRY210060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73"/>
    <n v="373"/>
    <m/>
    <n v="0"/>
    <n v="0"/>
    <m/>
    <m/>
    <m/>
  </r>
  <r>
    <x v="13"/>
    <d v="2022-01-19T00:00:00"/>
    <s v="Week2"/>
    <d v="2022-01-01T00:00:00"/>
    <s v="DRY210061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3"/>
    <d v="2022-01-19T00:00:00"/>
    <s v="Week2"/>
    <d v="2022-01-01T00:00:00"/>
    <s v="DRY210061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3"/>
    <d v="2022-01-20T00:00:00"/>
    <s v="Week2"/>
    <d v="2022-01-01T00:00:00"/>
    <s v="DRY210061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3"/>
    <d v="2022-01-20T00:00:00"/>
    <s v="Week2"/>
    <d v="2022-01-01T00:00:00"/>
    <s v="DRY210061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08"/>
    <n v="608"/>
    <m/>
    <n v="0"/>
    <n v="0"/>
    <m/>
    <m/>
    <m/>
  </r>
  <r>
    <x v="13"/>
    <d v="2022-01-19T00:00:00"/>
    <s v="Week2"/>
    <d v="2022-01-01T00:00:00"/>
    <s v="DRY2100709"/>
    <s v="Taiwan"/>
    <s v="CP TAIWAN"/>
    <s v="R-Wonton"/>
    <s v="R-Wonton no egg"/>
    <x v="10"/>
    <s v="Raw Wonton 12 pcs"/>
    <s v="082I93R40012P02001"/>
    <s v="144g*40inner"/>
    <n v="40"/>
    <n v="12"/>
    <n v="8.1300000000000001E-3"/>
    <s v="M"/>
    <s v="Salt"/>
    <s v="ซุปซอง 5g."/>
    <n v="396"/>
    <n v="194"/>
    <n v="233"/>
    <n v="31"/>
    <n v="0"/>
    <n v="0"/>
    <n v="2"/>
    <n v="0"/>
  </r>
  <r>
    <x v="13"/>
    <d v="2022-01-21T00:00:00"/>
    <s v="Week2"/>
    <d v="2022-01-01T00:00:00"/>
    <s v="DRY2100735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380"/>
    <n v="380"/>
    <m/>
    <n v="0"/>
    <n v="0"/>
    <n v="0"/>
    <n v="2"/>
    <n v="0"/>
  </r>
  <r>
    <x v="14"/>
    <d v="2022-01-17T00:00:00"/>
    <s v="Week2"/>
    <d v="2022-01-01T00:00:00"/>
    <s v="ขายภายใน"/>
    <s v="MTFS"/>
    <s v="ซีพีเอฟ เทรดดิ้ง"/>
    <s v="C-Wonton"/>
    <s v="C-Wonton"/>
    <x v="11"/>
    <s v="Cooked Wonton ND with egg V-Food"/>
    <s v="082SJ3Q12003P07001"/>
    <s v="226g*12"/>
    <n v="12"/>
    <n v="3"/>
    <n v="8.0000000000000002E-3"/>
    <s v="M"/>
    <s v="STPP"/>
    <s v="Regular"/>
    <n v="1000"/>
    <n v="1000"/>
    <m/>
    <n v="0"/>
    <n v="0"/>
    <m/>
    <m/>
    <m/>
  </r>
  <r>
    <x v="14"/>
    <d v="2022-01-17T00:00:00"/>
    <s v="Week2"/>
    <d v="2022-01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2000"/>
    <n v="2000"/>
    <m/>
    <n v="0"/>
    <n v="0"/>
    <m/>
    <m/>
    <m/>
  </r>
  <r>
    <x v="14"/>
    <d v="2022-01-17T00:00:00"/>
    <s v="Week2"/>
    <d v="2022-01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1500"/>
    <n v="1500"/>
    <m/>
    <n v="0"/>
    <n v="0"/>
    <m/>
    <n v="1"/>
    <n v="0"/>
  </r>
  <r>
    <x v="14"/>
    <m/>
    <s v="Week2"/>
    <d v="2022-01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1434"/>
    <n v="1454"/>
    <m/>
    <n v="20"/>
    <n v="0"/>
    <m/>
    <m/>
    <m/>
  </r>
  <r>
    <x v="14"/>
    <d v="2022-01-17T00:00:00"/>
    <s v="Week2"/>
    <d v="2022-01-01T00:00:00"/>
    <s v="ขายภายใน"/>
    <s v="MTFS"/>
    <s v="ซีพีเอฟ เทรดดิ้ง"/>
    <s v="C-Wonton"/>
    <s v="C-Wonton"/>
    <x v="14"/>
    <s v="Minced Wonton (5pcs)"/>
    <s v="082SK3Q12005P00001"/>
    <s v="135g*12"/>
    <n v="12"/>
    <n v="5"/>
    <n v="8.0000000000000002E-3"/>
    <s v="BK"/>
    <s v="STPP"/>
    <s v="Regular"/>
    <n v="500"/>
    <n v="448"/>
    <m/>
    <n v="-52"/>
    <n v="624"/>
    <m/>
    <m/>
    <m/>
  </r>
  <r>
    <x v="14"/>
    <d v="2022-01-18T00:00:00"/>
    <s v="Week2"/>
    <d v="2022-01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1500"/>
    <n v="1580"/>
    <n v="19.333333333333332"/>
    <n v="99.333333333333258"/>
    <n v="0"/>
    <m/>
    <n v="1"/>
    <n v="0"/>
  </r>
  <r>
    <x v="14"/>
    <d v="2022-02-04T00:00:00"/>
    <s v="Week2"/>
    <d v="2022-01-01T00:00:00"/>
    <s v="RD"/>
    <s v="MTFS"/>
    <s v="ชมรมกอล์ฟ"/>
    <s v="C-Wonton"/>
    <s v="C-Wonton"/>
    <x v="12"/>
    <s v="Cooked Wonton  with egg V-Food"/>
    <s v="082S83Q12005P05000"/>
    <s v="145g*12"/>
    <n v="12"/>
    <n v="5"/>
    <n v="8.0000000000000002E-3"/>
    <s v="M"/>
    <s v="STPP"/>
    <s v="Regular"/>
    <n v="12"/>
    <m/>
    <n v="12"/>
    <n v="0"/>
    <n v="0"/>
    <m/>
    <m/>
    <m/>
  </r>
  <r>
    <x v="14"/>
    <d v="2022-01-21T00:00:00"/>
    <s v="Week2"/>
    <d v="2022-01-01T00:00:00"/>
    <s v="DRY2100735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651"/>
    <n v="651"/>
    <m/>
    <n v="0"/>
    <n v="0"/>
    <n v="0"/>
    <n v="2"/>
    <n v="0"/>
  </r>
  <r>
    <x v="15"/>
    <m/>
    <s v="Week3"/>
    <d v="2022-01-01T00:00:00"/>
    <m/>
    <m/>
    <m/>
    <m/>
    <m/>
    <x v="0"/>
    <m/>
    <m/>
    <m/>
    <m/>
    <m/>
    <m/>
    <m/>
    <m/>
    <m/>
    <m/>
    <m/>
    <m/>
    <m/>
    <m/>
    <m/>
    <m/>
    <m/>
  </r>
  <r>
    <x v="16"/>
    <d v="2022-01-26T00:00:00"/>
    <s v="Week3"/>
    <d v="2022-01-01T00:00:00"/>
    <s v="DRY2100750"/>
    <s v="UK"/>
    <s v="Paulsen Food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3"/>
    <n v="5"/>
    <n v="0"/>
    <n v="0"/>
    <m/>
    <m/>
    <m/>
  </r>
  <r>
    <x v="16"/>
    <m/>
    <s v="Week3"/>
    <d v="2022-01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1280"/>
    <n v="1280"/>
    <m/>
    <n v="0"/>
    <n v="0"/>
    <m/>
    <m/>
    <m/>
  </r>
  <r>
    <x v="16"/>
    <d v="2022-02-01T00:00:00"/>
    <s v="Week3"/>
    <d v="2022-01-01T00:00:00"/>
    <s v="DRY2100722"/>
    <s v="USA"/>
    <s v="Bellisio Foods, Inc. (99 RANCH)"/>
    <s v="C-Wonton"/>
    <s v="C-Wonton ND"/>
    <x v="15"/>
    <s v="Cooked Wonton Noodle No Egg"/>
    <s v="082SJBW24005P00001"/>
    <s v="258g*4c*6in"/>
    <n v="24"/>
    <n v="5"/>
    <n v="8.0000000000000002E-3"/>
    <s v="M"/>
    <s v="Salt"/>
    <s v="Regular"/>
    <n v="860"/>
    <n v="727"/>
    <n v="142"/>
    <n v="9"/>
    <n v="0"/>
    <m/>
    <m/>
    <m/>
  </r>
  <r>
    <x v="16"/>
    <d v="2022-02-03T00:00:00"/>
    <s v="Week3"/>
    <d v="2022-01-01T00:00:00"/>
    <s v="DRY2100744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1645.125"/>
    <m/>
    <n v="1645.125"/>
    <n v="0"/>
    <n v="0"/>
    <m/>
    <m/>
    <m/>
  </r>
  <r>
    <x v="16"/>
    <d v="2022-01-21T00:00:00"/>
    <s v="Week3"/>
    <d v="2022-01-01T00:00:00"/>
    <s v="DRY2100735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71"/>
    <n v="571"/>
    <m/>
    <n v="0"/>
    <n v="0"/>
    <n v="0"/>
    <n v="2"/>
    <n v="0"/>
  </r>
  <r>
    <x v="17"/>
    <d v="2022-01-21T00:00:00"/>
    <s v="Week3"/>
    <d v="2022-01-01T00:00:00"/>
    <s v="DRY210061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84"/>
    <n v="184"/>
    <m/>
    <n v="0"/>
    <n v="0"/>
    <m/>
    <m/>
    <m/>
  </r>
  <r>
    <x v="17"/>
    <d v="2022-01-22T00:00:00"/>
    <s v="Week3"/>
    <d v="2022-01-01T00:00:00"/>
    <s v="DRY210061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7"/>
    <d v="2022-01-22T00:00:00"/>
    <s v="Week3"/>
    <d v="2022-01-01T00:00:00"/>
    <s v="DRY210061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7"/>
    <d v="2022-01-24T00:00:00"/>
    <s v="Week3"/>
    <d v="2022-01-01T00:00:00"/>
    <s v="DRY210061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7"/>
    <d v="2022-01-24T00:00:00"/>
    <s v="Week3"/>
    <d v="2022-01-01T00:00:00"/>
    <s v="DRY210061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76"/>
    <n v="776"/>
    <m/>
    <n v="0"/>
    <n v="0"/>
    <m/>
    <m/>
    <m/>
  </r>
  <r>
    <x v="17"/>
    <d v="2022-01-21T00:00:00"/>
    <s v="Week3"/>
    <d v="2022-01-01T00:00:00"/>
    <s v="DRY2100735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22"/>
    <n v="22"/>
    <m/>
    <n v="0"/>
    <n v="0"/>
    <n v="0"/>
    <n v="2"/>
    <n v="0"/>
  </r>
  <r>
    <x v="17"/>
    <d v="2022-01-28T00:00:00"/>
    <s v="Week3"/>
    <d v="2022-01-01T00:00:00"/>
    <s v="DRY2100736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611"/>
    <n v="611"/>
    <m/>
    <n v="0"/>
    <n v="0"/>
    <n v="0"/>
    <n v="2"/>
    <n v="0"/>
  </r>
  <r>
    <x v="18"/>
    <d v="2022-01-24T00:00:00"/>
    <s v="Week3"/>
    <d v="2022-01-01T00:00:00"/>
    <s v="DRY210061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6"/>
    <n v="16"/>
    <m/>
    <n v="0"/>
    <n v="0"/>
    <m/>
    <m/>
    <m/>
  </r>
  <r>
    <x v="18"/>
    <d v="2022-01-24T00:00:00"/>
    <s v="Week3"/>
    <d v="2022-01-01T00:00:00"/>
    <s v="DRY210061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8"/>
    <d v="2022-01-25T00:00:00"/>
    <s v="Week3"/>
    <d v="2022-01-01T00:00:00"/>
    <s v="DRY210061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77"/>
    <n v="577"/>
    <m/>
    <n v="0"/>
    <n v="0"/>
    <m/>
    <m/>
    <m/>
  </r>
  <r>
    <x v="18"/>
    <m/>
    <s v="Week3"/>
    <d v="2022-01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837"/>
    <n v="2837"/>
    <m/>
    <n v="0"/>
    <n v="0"/>
    <m/>
    <m/>
    <m/>
  </r>
  <r>
    <x v="18"/>
    <d v="2022-01-28T00:00:00"/>
    <s v="Week3"/>
    <d v="2022-01-01T00:00:00"/>
    <s v="DRY2100736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634"/>
    <n v="634"/>
    <m/>
    <n v="0"/>
    <n v="0"/>
    <n v="0"/>
    <n v="2"/>
    <n v="0"/>
  </r>
  <r>
    <x v="19"/>
    <m/>
    <s v="Week3"/>
    <d v="2022-01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407"/>
    <n v="2407"/>
    <m/>
    <n v="0"/>
    <n v="0"/>
    <m/>
    <m/>
    <m/>
  </r>
  <r>
    <x v="19"/>
    <d v="2022-01-25T00:00:00"/>
    <s v="Week3"/>
    <d v="2022-01-01T00:00:00"/>
    <s v="DRY210061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15"/>
    <n v="215"/>
    <m/>
    <n v="0"/>
    <n v="0"/>
    <m/>
    <m/>
    <m/>
  </r>
  <r>
    <x v="19"/>
    <d v="2022-01-25T00:00:00"/>
    <s v="Week3"/>
    <d v="2022-01-01T00:00:00"/>
    <s v="DRY210062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9"/>
    <d v="2022-01-25T00:00:00"/>
    <s v="Week3"/>
    <d v="2022-01-01T00:00:00"/>
    <s v="DRY210062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48"/>
    <n v="648"/>
    <m/>
    <n v="0"/>
    <n v="0"/>
    <m/>
    <m/>
    <m/>
  </r>
  <r>
    <x v="19"/>
    <d v="2022-01-28T00:00:00"/>
    <s v="Week3"/>
    <d v="2022-01-01T00:00:00"/>
    <s v="DRY2100736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379"/>
    <n v="379"/>
    <m/>
    <n v="0"/>
    <n v="0"/>
    <n v="0"/>
    <n v="2"/>
    <n v="0"/>
  </r>
  <r>
    <x v="19"/>
    <d v="2022-02-03T00:00:00"/>
    <s v="Week3"/>
    <d v="2022-01-01T00:00:00"/>
    <s v="DRY2100737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304"/>
    <n v="304"/>
    <m/>
    <n v="0"/>
    <n v="0"/>
    <n v="0"/>
    <n v="6"/>
    <n v="0"/>
  </r>
  <r>
    <x v="20"/>
    <d v="2022-01-25T00:00:00"/>
    <s v="Week3"/>
    <d v="2022-01-01T00:00:00"/>
    <s v="DRY210062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44"/>
    <n v="144"/>
    <m/>
    <n v="0"/>
    <n v="0"/>
    <m/>
    <m/>
    <m/>
  </r>
  <r>
    <x v="20"/>
    <d v="2022-01-25T00:00:00"/>
    <s v="Week3"/>
    <d v="2022-01-01T00:00:00"/>
    <s v="DRY210066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0"/>
    <d v="2022-01-26T00:00:00"/>
    <s v="Week3"/>
    <d v="2022-01-01T00:00:00"/>
    <s v="DRY210066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3"/>
    <n v="13"/>
    <m/>
    <n v="0"/>
    <n v="0"/>
    <m/>
    <m/>
    <m/>
  </r>
  <r>
    <x v="20"/>
    <m/>
    <s v="Week3"/>
    <d v="2022-01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3750"/>
    <n v="3741"/>
    <m/>
    <n v="-9"/>
    <n v="216"/>
    <m/>
    <m/>
    <m/>
  </r>
  <r>
    <x v="20"/>
    <d v="2022-02-03T00:00:00"/>
    <s v="Week3"/>
    <d v="2022-01-01T00:00:00"/>
    <s v="DRY2100737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630"/>
    <n v="630"/>
    <m/>
    <n v="0"/>
    <n v="0"/>
    <n v="0"/>
    <n v="6"/>
    <n v="0"/>
  </r>
  <r>
    <x v="21"/>
    <d v="2022-02-05T00:00:00"/>
    <s v="Week3"/>
    <d v="2022-01-01T00:00:00"/>
    <s v="DRY2100650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21"/>
    <d v="2022-02-05T00:00:00"/>
    <s v="Week3"/>
    <d v="2022-01-01T00:00:00"/>
    <s v="DRY2100651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21"/>
    <d v="2022-02-05T00:00:00"/>
    <s v="Week3"/>
    <d v="2022-01-01T00:00:00"/>
    <s v="DRY2100741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320"/>
    <n v="320"/>
    <m/>
    <n v="0"/>
    <n v="0"/>
    <m/>
    <m/>
    <m/>
  </r>
  <r>
    <x v="21"/>
    <d v="2022-02-10T00:00:00"/>
    <s v="Week3"/>
    <d v="2022-01-01T00:00:00"/>
    <s v="DRY2100739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21"/>
    <d v="2022-02-02T00:00:00"/>
    <s v="Week3"/>
    <d v="2022-01-01T00:00:00"/>
    <s v="DRY2100714"/>
    <s v="Spain"/>
    <s v="Paulsen Food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</r>
  <r>
    <x v="21"/>
    <m/>
    <s v="Week3"/>
    <d v="2022-01-01T00:00:00"/>
    <s v="ขายภายใน"/>
    <s v="FM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700"/>
    <n v="700"/>
    <m/>
    <n v="0"/>
    <n v="0"/>
    <n v="0"/>
    <m/>
    <n v="0"/>
  </r>
  <r>
    <x v="21"/>
    <d v="2022-02-03T00:00:00"/>
    <s v="Week3"/>
    <d v="2022-01-01T00:00:00"/>
    <s v="DRY2100737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274"/>
    <n v="274"/>
    <m/>
    <n v="0"/>
    <n v="0"/>
    <n v="0"/>
    <n v="6"/>
    <n v="0"/>
  </r>
  <r>
    <x v="22"/>
    <m/>
    <s v="Week4"/>
    <d v="2022-01-01T00:00:00"/>
    <m/>
    <m/>
    <m/>
    <m/>
    <m/>
    <x v="0"/>
    <m/>
    <m/>
    <m/>
    <m/>
    <m/>
    <m/>
    <m/>
    <m/>
    <m/>
    <m/>
    <m/>
    <m/>
    <m/>
    <m/>
    <m/>
    <m/>
    <m/>
  </r>
  <r>
    <x v="23"/>
    <d v="2022-01-26T00:00:00"/>
    <s v="Week4"/>
    <d v="2022-01-01T00:00:00"/>
    <s v="DRY210066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79"/>
    <n v="779"/>
    <m/>
    <n v="0"/>
    <n v="0"/>
    <m/>
    <m/>
    <m/>
  </r>
  <r>
    <x v="23"/>
    <d v="2022-02-02T00:00:00"/>
    <s v="Week4"/>
    <d v="2022-01-01T00:00:00"/>
    <s v="DRY210066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3"/>
    <d v="2022-02-02T00:00:00"/>
    <s v="Week4"/>
    <d v="2022-01-01T00:00:00"/>
    <s v="DRY210066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3"/>
    <d v="2022-02-07T00:00:00"/>
    <s v="Week4"/>
    <d v="2022-01-01T00:00:00"/>
    <s v="DRY210066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68"/>
    <n v="568"/>
    <m/>
    <n v="0"/>
    <n v="0"/>
    <m/>
    <m/>
    <m/>
  </r>
  <r>
    <x v="23"/>
    <d v="2022-02-03T00:00:00"/>
    <s v="Week4"/>
    <d v="2022-01-01T00:00:00"/>
    <s v="DRY2100737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631"/>
    <n v="631"/>
    <m/>
    <n v="0"/>
    <n v="0"/>
    <n v="0"/>
    <n v="6"/>
    <n v="0"/>
  </r>
  <r>
    <x v="24"/>
    <d v="2022-02-03T00:00:00"/>
    <s v="Week4"/>
    <d v="2022-01-01T00:00:00"/>
    <s v="DRY2100658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35"/>
    <n v="1235"/>
    <m/>
    <n v="0"/>
    <n v="0"/>
    <m/>
    <m/>
    <m/>
  </r>
  <r>
    <x v="24"/>
    <d v="2022-02-03T00:00:00"/>
    <s v="Week4"/>
    <d v="2022-01-01T00:00:00"/>
    <s v="DRY2100659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88"/>
    <n v="1288"/>
    <m/>
    <n v="0"/>
    <n v="0"/>
    <m/>
    <m/>
    <m/>
  </r>
  <r>
    <x v="24"/>
    <d v="2022-02-11T00:00:00"/>
    <s v="Week4"/>
    <d v="2022-01-01T00:00:00"/>
    <s v="DRY2100723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926"/>
    <n v="926"/>
    <m/>
    <n v="0"/>
    <n v="0"/>
    <m/>
    <m/>
    <m/>
  </r>
  <r>
    <x v="24"/>
    <d v="2022-02-03T00:00:00"/>
    <s v="Week4"/>
    <d v="2022-01-01T00:00:00"/>
    <s v="DRY2100737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217"/>
    <n v="217"/>
    <m/>
    <n v="0"/>
    <n v="0"/>
    <n v="0"/>
    <n v="6"/>
    <n v="0"/>
  </r>
  <r>
    <x v="24"/>
    <d v="2022-02-03T00:00:00"/>
    <s v="Week4"/>
    <d v="2022-01-01T00:00:00"/>
    <s v="DRY2100738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329"/>
    <n v="248"/>
    <n v="81"/>
    <n v="0"/>
    <n v="0"/>
    <n v="0"/>
    <n v="2"/>
    <n v="0"/>
  </r>
  <r>
    <x v="24"/>
    <d v="2022-02-01T00:00:00"/>
    <s v="Week4"/>
    <d v="2022-01-01T00:00:00"/>
    <s v="DRY2100722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</r>
  <r>
    <x v="25"/>
    <d v="2022-02-07T00:00:00"/>
    <s v="Week4"/>
    <d v="2022-01-01T00:00:00"/>
    <s v="DRY210066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24"/>
    <n v="224"/>
    <m/>
    <n v="0"/>
    <n v="0"/>
    <m/>
    <m/>
    <m/>
  </r>
  <r>
    <x v="25"/>
    <d v="2022-02-07T00:00:00"/>
    <s v="Week4"/>
    <d v="2022-01-01T00:00:00"/>
    <s v="DRY210066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75"/>
    <n v="775"/>
    <m/>
    <n v="0"/>
    <n v="0"/>
    <m/>
    <m/>
    <m/>
  </r>
  <r>
    <x v="25"/>
    <d v="2022-02-10T00:00:00"/>
    <s v="Week4"/>
    <d v="2022-01-01T00:00:00"/>
    <s v="DRY2100740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25"/>
    <d v="2022-02-10T00:00:00"/>
    <s v="Week4"/>
    <d v="2022-01-01T00:00:00"/>
    <s v="DRY2100768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88"/>
    <n v="4"/>
    <n v="0"/>
    <n v="0"/>
    <m/>
    <m/>
    <m/>
  </r>
  <r>
    <x v="25"/>
    <d v="2022-02-08T00:00:00"/>
    <s v="Week4"/>
    <d v="2022-01-01T00:00:00"/>
    <s v="DRY2100747"/>
    <s v="Spain"/>
    <s v="Paulsen Food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</r>
  <r>
    <x v="25"/>
    <d v="2022-02-03T00:00:00"/>
    <s v="Week4"/>
    <d v="2022-01-01T00:00:00"/>
    <s v="DRY2100738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647"/>
    <n v="442"/>
    <n v="205"/>
    <n v="0"/>
    <n v="0"/>
    <n v="0"/>
    <n v="2"/>
    <n v="0"/>
  </r>
  <r>
    <x v="26"/>
    <d v="2022-02-07T00:00:00"/>
    <s v="Week4"/>
    <d v="2022-01-01T00:00:00"/>
    <s v="ชดเชยของกัก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55"/>
    <n v="455"/>
    <m/>
    <n v="0"/>
    <n v="0"/>
    <m/>
    <m/>
    <m/>
  </r>
  <r>
    <x v="26"/>
    <d v="2022-02-07T00:00:00"/>
    <s v="Week4"/>
    <d v="2022-01-01T00:00:00"/>
    <s v="DRY210066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7"/>
    <n v="17"/>
    <m/>
    <n v="0"/>
    <n v="0"/>
    <m/>
    <m/>
    <m/>
  </r>
  <r>
    <x v="26"/>
    <d v="2022-02-07T00:00:00"/>
    <s v="Week4"/>
    <d v="2022-01-01T00:00:00"/>
    <s v="DRY210066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6"/>
    <d v="2022-02-08T00:00:00"/>
    <s v="Week4"/>
    <d v="2022-01-01T00:00:00"/>
    <s v="DRY210066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6"/>
    <d v="2022-02-09T00:00:00"/>
    <s v="Week4"/>
    <d v="2022-01-01T00:00:00"/>
    <s v="DRY210066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6"/>
    <d v="2022-02-09T00:00:00"/>
    <s v="Week4"/>
    <d v="2022-01-01T00:00:00"/>
    <s v="DRY210067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40"/>
    <n v="140"/>
    <m/>
    <n v="0"/>
    <n v="0"/>
    <m/>
    <m/>
    <m/>
  </r>
  <r>
    <x v="26"/>
    <d v="2022-02-03T00:00:00"/>
    <s v="Week4"/>
    <d v="2022-01-01T00:00:00"/>
    <s v="DRY2100738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377"/>
    <n v="377"/>
    <m/>
    <n v="0"/>
    <n v="0"/>
    <n v="0"/>
    <n v="2"/>
    <n v="0"/>
  </r>
  <r>
    <x v="27"/>
    <d v="2022-02-09T00:00:00"/>
    <s v="Week4"/>
    <d v="2022-01-01T00:00:00"/>
    <s v="DRY210067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52"/>
    <n v="652"/>
    <m/>
    <n v="0"/>
    <n v="0"/>
    <m/>
    <m/>
    <m/>
  </r>
  <r>
    <x v="27"/>
    <d v="2022-02-09T00:00:00"/>
    <s v="Week4"/>
    <d v="2022-01-01T00:00:00"/>
    <s v="DRY210067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7"/>
    <d v="2022-02-09T00:00:00"/>
    <s v="Week4"/>
    <d v="2022-01-01T00:00:00"/>
    <s v="DRY210067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7"/>
    <d v="2022-02-09T00:00:00"/>
    <s v="Week4"/>
    <d v="2022-01-01T00:00:00"/>
    <s v="DRY210067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7"/>
    <d v="2022-02-09T00:00:00"/>
    <s v="Week4"/>
    <d v="2022-01-01T00:00:00"/>
    <s v="DRY210067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65"/>
    <n v="265"/>
    <m/>
    <n v="0"/>
    <n v="0"/>
    <m/>
    <m/>
    <m/>
  </r>
  <r>
    <x v="28"/>
    <d v="2022-02-04T00:00:00"/>
    <s v="Week4"/>
    <d v="2022-01-01T00:00:00"/>
    <s v="DRY2100730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</r>
  <r>
    <x v="28"/>
    <d v="2022-02-11T00:00:00"/>
    <s v="Week4"/>
    <d v="2022-01-01T00:00:00"/>
    <s v="DRY2100731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81"/>
    <n v="7"/>
    <n v="0"/>
    <n v="0"/>
    <m/>
    <m/>
    <m/>
  </r>
  <r>
    <x v="28"/>
    <d v="2022-02-03T00:00:00"/>
    <s v="Week4"/>
    <d v="2022-01-01T00:00:00"/>
    <s v="DRY2100738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271"/>
    <n v="271"/>
    <m/>
    <n v="0"/>
    <n v="0"/>
    <n v="0"/>
    <n v="2"/>
    <n v="0"/>
  </r>
  <r>
    <x v="28"/>
    <d v="2022-02-09T00:00:00"/>
    <s v="Week4"/>
    <d v="2022-01-01T00:00:00"/>
    <s v="DRY2100749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181"/>
    <n v="181"/>
    <m/>
    <n v="0"/>
    <n v="0"/>
    <n v="0"/>
    <n v="2"/>
    <n v="0"/>
  </r>
  <r>
    <x v="28"/>
    <m/>
    <s v="Week4"/>
    <d v="2022-01-01T00:00:00"/>
    <s v="DRY2100754"/>
    <s v="SG"/>
    <s v="CPI SINGAPORE"/>
    <s v="R-Wonton"/>
    <s v="R-Wonton"/>
    <x v="4"/>
    <s v="Raw Wonton 8 pcs"/>
    <s v="082I93B20008P00001"/>
    <s v="194g*20in"/>
    <n v="20"/>
    <n v="8"/>
    <n v="1.4999999999999999E-2"/>
    <s v="JB"/>
    <s v="STPP"/>
    <s v="ซุปซอง 5g."/>
    <n v="500"/>
    <n v="144"/>
    <n v="356"/>
    <n v="0"/>
    <n v="0"/>
    <n v="0"/>
    <n v="2"/>
    <n v="0"/>
  </r>
  <r>
    <x v="29"/>
    <m/>
    <s v="Week5"/>
    <d v="2022-01-01T00:00:00"/>
    <m/>
    <m/>
    <m/>
    <m/>
    <m/>
    <x v="0"/>
    <m/>
    <m/>
    <m/>
    <m/>
    <m/>
    <m/>
    <m/>
    <m/>
    <m/>
    <m/>
    <m/>
    <m/>
    <m/>
    <m/>
    <m/>
    <m/>
    <m/>
  </r>
  <r>
    <x v="30"/>
    <m/>
    <s v="Week5"/>
    <d v="2022-01-01T00:00:00"/>
    <m/>
    <m/>
    <m/>
    <m/>
    <m/>
    <x v="0"/>
    <m/>
    <m/>
    <m/>
    <m/>
    <m/>
    <m/>
    <m/>
    <m/>
    <m/>
    <m/>
    <m/>
    <m/>
    <m/>
    <m/>
    <m/>
    <m/>
    <m/>
  </r>
  <r>
    <x v="31"/>
    <m/>
    <s v="Week5"/>
    <d v="2022-02-01T00:00:00"/>
    <m/>
    <m/>
    <m/>
    <m/>
    <m/>
    <x v="0"/>
    <m/>
    <m/>
    <m/>
    <m/>
    <m/>
    <m/>
    <m/>
    <m/>
    <m/>
    <m/>
    <m/>
    <m/>
    <m/>
    <m/>
    <m/>
    <m/>
    <m/>
  </r>
  <r>
    <x v="32"/>
    <d v="2022-02-23T00:00:00"/>
    <s v="Week5"/>
    <d v="2022-02-01T00:00:00"/>
    <s v="DRY2200036"/>
    <s v="USA"/>
    <s v="Bellisio Foods, Inc."/>
    <s v="C-Wonton"/>
    <s v="C-Wonton ND"/>
    <x v="7"/>
    <s v="Cooked Minced Wonton No Egg"/>
    <s v="082SKBW08005P00001"/>
    <s v="145g*8"/>
    <n v="8"/>
    <n v="5"/>
    <n v="8.0000000000000002E-3"/>
    <s v="BK"/>
    <s v="Salt"/>
    <s v="Regular"/>
    <n v="3031"/>
    <m/>
    <n v="3031"/>
    <n v="0"/>
    <n v="0"/>
    <m/>
    <m/>
    <m/>
  </r>
  <r>
    <x v="32"/>
    <d v="2022-02-01T00:00:00"/>
    <s v="Week5"/>
    <d v="2022-02-01T00:00:00"/>
    <s v="DRY2100722"/>
    <s v="USA"/>
    <s v="Bellisio Foods, Inc."/>
    <s v="C-Wonton"/>
    <s v="C-Wonton"/>
    <x v="1"/>
    <s v="Cooked Wonton Soup No Egg"/>
    <s v="082S8BW08005P00001"/>
    <s v="145g*8"/>
    <n v="8"/>
    <n v="5"/>
    <n v="8.0000000000000002E-3"/>
    <s v="M"/>
    <s v="Salt"/>
    <s v="Regular"/>
    <n v="330"/>
    <m/>
    <n v="368.25"/>
    <n v="38.25"/>
    <n v="0"/>
    <m/>
    <m/>
    <m/>
  </r>
  <r>
    <x v="32"/>
    <m/>
    <s v="Week5"/>
    <d v="2022-02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3417"/>
    <n v="3417"/>
    <m/>
    <n v="0"/>
    <n v="0"/>
    <m/>
    <m/>
    <m/>
  </r>
  <r>
    <x v="32"/>
    <d v="2022-02-08T00:00:00"/>
    <s v="Week5"/>
    <d v="2022-02-01T00:00:00"/>
    <s v="DRY2100756"/>
    <s v="SG"/>
    <s v="CPI SINGAPORE"/>
    <s v="R-Wonton"/>
    <s v="R-Wonton"/>
    <x v="4"/>
    <s v="Raw Wonton 12 pcs with sesame"/>
    <s v="082I93B20012P02001"/>
    <s v="204g*20in"/>
    <n v="20"/>
    <n v="12"/>
    <n v="6.8100000000000001E-3"/>
    <s v="S"/>
    <s v="STPP"/>
    <s v=" sesame 30g"/>
    <n v="1200"/>
    <n v="1070"/>
    <n v="162"/>
    <n v="32"/>
    <n v="0"/>
    <n v="0"/>
    <n v="2"/>
    <n v="0"/>
  </r>
  <r>
    <x v="33"/>
    <d v="2022-02-09T00:00:00"/>
    <s v="Week5"/>
    <d v="2022-02-01T00:00:00"/>
    <s v="DRY210067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27"/>
    <n v="527"/>
    <m/>
    <n v="0"/>
    <n v="0"/>
    <m/>
    <m/>
    <m/>
  </r>
  <r>
    <x v="33"/>
    <d v="2022-02-10T00:00:00"/>
    <s v="Week5"/>
    <d v="2022-02-01T00:00:00"/>
    <s v="DRY210067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3"/>
    <d v="2022-02-10T00:00:00"/>
    <s v="Week5"/>
    <d v="2022-02-01T00:00:00"/>
    <s v="DRY210067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91"/>
    <n v="391"/>
    <m/>
    <n v="0"/>
    <n v="0"/>
    <m/>
    <m/>
    <m/>
  </r>
  <r>
    <x v="33"/>
    <d v="2022-02-09T00:00:00"/>
    <s v="Week5"/>
    <d v="2022-02-01T00:00:00"/>
    <s v="DRY2100746"/>
    <s v="CAN "/>
    <s v="Bellisio Foods Canada"/>
    <s v="C-Wonton"/>
    <s v="C-Wonton ND"/>
    <x v="15"/>
    <s v="Cooked Wonton Noodle (Enriched wonton sheet&amp;noodles)"/>
    <s v="082SJ5312005P01001"/>
    <s v="258g*12"/>
    <n v="12"/>
    <n v="5"/>
    <n v="8.0000000000000002E-3"/>
    <s v="M"/>
    <s v="Salt"/>
    <s v="Regular"/>
    <n v="2600"/>
    <m/>
    <n v="2600"/>
    <n v="0"/>
    <n v="0"/>
    <m/>
    <m/>
    <m/>
  </r>
  <r>
    <x v="33"/>
    <d v="2022-02-03T00:00:00"/>
    <s v="Week5"/>
    <d v="2022-02-01T00:00:00"/>
    <s v="DRY2100744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57"/>
    <m/>
    <n v="57"/>
    <n v="0"/>
    <n v="0"/>
    <m/>
    <m/>
    <m/>
  </r>
  <r>
    <x v="33"/>
    <d v="2022-02-15T00:00:00"/>
    <s v="Week5"/>
    <d v="2022-02-01T00:00:00"/>
    <s v="DRY2200037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2099"/>
    <m/>
    <n v="2099"/>
    <n v="0"/>
    <n v="0"/>
    <m/>
    <m/>
    <m/>
  </r>
  <r>
    <x v="33"/>
    <d v="2022-02-09T00:00:00"/>
    <s v="Week5"/>
    <d v="2022-02-01T00:00:00"/>
    <s v="DRY2100749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642"/>
    <n v="411"/>
    <n v="231"/>
    <n v="0"/>
    <n v="0"/>
    <n v="0"/>
    <n v="2"/>
    <n v="0"/>
  </r>
  <r>
    <x v="34"/>
    <d v="2022-02-11T00:00:00"/>
    <s v="Week5"/>
    <d v="2022-02-01T00:00:00"/>
    <s v="DRY210067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01"/>
    <n v="401"/>
    <m/>
    <n v="0"/>
    <n v="0"/>
    <m/>
    <m/>
    <m/>
  </r>
  <r>
    <x v="34"/>
    <d v="2022-02-12T00:00:00"/>
    <s v="Week5"/>
    <d v="2022-02-01T00:00:00"/>
    <s v="DRY210067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4"/>
    <d v="2022-02-12T00:00:00"/>
    <s v="Week5"/>
    <d v="2022-02-01T00:00:00"/>
    <s v="DRY210067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4"/>
    <d v="2022-02-20T00:00:00"/>
    <s v="Week5"/>
    <d v="2022-02-01T00:00:00"/>
    <s v="DRY210067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528"/>
    <n v="264"/>
    <n v="0"/>
    <n v="0"/>
    <m/>
    <m/>
    <m/>
  </r>
  <r>
    <x v="34"/>
    <d v="2022-02-20T00:00:00"/>
    <s v="Week5"/>
    <d v="2022-02-01T00:00:00"/>
    <s v="DRY210068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28.88888888888889"/>
    <m/>
    <n v="128.88888888888889"/>
    <n v="0"/>
    <n v="0"/>
    <m/>
    <m/>
    <m/>
  </r>
  <r>
    <x v="34"/>
    <d v="2022-02-23T00:00:00"/>
    <s v="Week5"/>
    <d v="2022-02-01T00:00:00"/>
    <s v="DRY2200036"/>
    <s v="USA"/>
    <s v="Bellisio Foods, Inc."/>
    <s v="C-Wonton"/>
    <s v="C-Wonton ND"/>
    <x v="7"/>
    <s v="Cooked Minced Wonton No Egg"/>
    <s v="082SKBW08005P00001"/>
    <s v="145g*8"/>
    <n v="8"/>
    <n v="5"/>
    <n v="8.0000000000000002E-3"/>
    <s v="BK"/>
    <s v="Salt"/>
    <s v="Regular"/>
    <n v="1535"/>
    <m/>
    <n v="1535"/>
    <n v="0"/>
    <n v="0"/>
    <m/>
    <m/>
    <m/>
  </r>
  <r>
    <x v="34"/>
    <d v="2022-02-09T00:00:00"/>
    <s v="Week5"/>
    <d v="2022-02-01T00:00:00"/>
    <s v="DRY2100749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620"/>
    <n v="477"/>
    <n v="143"/>
    <n v="0"/>
    <n v="0"/>
    <n v="0"/>
    <n v="2"/>
    <n v="0"/>
  </r>
  <r>
    <x v="35"/>
    <d v="2022-02-10T00:00:00"/>
    <s v="Week5"/>
    <d v="2022-02-01T00:00:00"/>
    <s v="DRY2100242"/>
    <s v="VIETNAM"/>
    <s v="C.P. VIETNAM CORPORATION"/>
    <s v="C-Wonton"/>
    <s v="C-Wonton"/>
    <x v="11"/>
    <s v="Cooked Wonton ND with egg V-Food"/>
    <s v="082SJ3W24003P00001"/>
    <s v="226g*24"/>
    <n v="24"/>
    <n v="3"/>
    <n v="8.0000000000000002E-3"/>
    <s v="M"/>
    <s v="STPP"/>
    <s v="Regular"/>
    <n v="400"/>
    <n v="400"/>
    <m/>
    <n v="0"/>
    <n v="0"/>
    <m/>
    <m/>
    <m/>
  </r>
  <r>
    <x v="35"/>
    <d v="2022-02-10T00:00:00"/>
    <s v="Week5"/>
    <d v="2022-02-01T00:00:00"/>
    <s v="DRY2100242"/>
    <s v="VIETNAM"/>
    <s v="C.P. VIETNAM CORPORATION"/>
    <s v="C-Wonton"/>
    <s v="C-Wonton"/>
    <x v="12"/>
    <s v="Cooked Wonton  with egg V-Food"/>
    <s v="082S83W24005P00001"/>
    <s v="145g*24"/>
    <n v="24"/>
    <n v="5"/>
    <n v="8.0000000000000002E-3"/>
    <s v="M"/>
    <s v="STPP"/>
    <s v="Regular"/>
    <n v="400"/>
    <n v="400"/>
    <m/>
    <n v="0"/>
    <n v="0"/>
    <m/>
    <m/>
    <m/>
  </r>
  <r>
    <x v="35"/>
    <m/>
    <s v="Week5"/>
    <d v="2022-02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2000"/>
    <n v="2000"/>
    <m/>
    <n v="0"/>
    <n v="0"/>
    <m/>
    <m/>
    <m/>
  </r>
  <r>
    <x v="35"/>
    <d v="2022-02-10T00:00:00"/>
    <s v="Week5"/>
    <d v="2022-02-01T00:00:00"/>
    <s v="DRY2100242"/>
    <s v="VIETNAM"/>
    <s v="C.P. VIETNAM CORPORATION"/>
    <s v="C-Wonton"/>
    <s v="C-Wonton"/>
    <x v="13"/>
    <s v="Cooked Wonton Tomyum with egg.V-Food TY"/>
    <s v="082S83W24005P01001"/>
    <s v="115g*24"/>
    <n v="24"/>
    <n v="5"/>
    <n v="8.0000000000000002E-3"/>
    <s v="M"/>
    <s v="STPP"/>
    <s v="TYTB3C 30G"/>
    <n v="800"/>
    <n v="800"/>
    <m/>
    <n v="0"/>
    <n v="0"/>
    <m/>
    <m/>
    <m/>
  </r>
  <r>
    <x v="35"/>
    <m/>
    <s v="Week5"/>
    <d v="2022-02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774"/>
    <n v="774"/>
    <m/>
    <n v="0"/>
    <n v="0"/>
    <m/>
    <n v="1"/>
    <n v="0"/>
  </r>
  <r>
    <x v="35"/>
    <m/>
    <s v="Week5"/>
    <d v="2022-02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1522"/>
    <n v="1522"/>
    <m/>
    <n v="0"/>
    <n v="0"/>
    <m/>
    <m/>
    <m/>
  </r>
  <r>
    <x v="35"/>
    <d v="2022-02-09T00:00:00"/>
    <s v="Week5"/>
    <d v="2022-02-01T00:00:00"/>
    <s v="ขายภายใน"/>
    <s v="5 Stars"/>
    <s v="CPFB"/>
    <m/>
    <m/>
    <x v="16"/>
    <s v="Cooked Wonton with egg "/>
    <s v="082S81N16020P00001"/>
    <s v="20 pcs*16"/>
    <n v="64"/>
    <n v="5"/>
    <n v="7.0000000000000001E-3"/>
    <s v="S"/>
    <s v="STPP"/>
    <s v="-"/>
    <n v="150"/>
    <n v="150"/>
    <m/>
    <n v="0"/>
    <n v="0"/>
    <m/>
    <m/>
    <m/>
  </r>
  <r>
    <x v="35"/>
    <d v="2022-02-09T00:00:00"/>
    <s v="Week5"/>
    <d v="2022-02-01T00:00:00"/>
    <s v="DRY2100749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181"/>
    <n v="135"/>
    <n v="46"/>
    <n v="0"/>
    <n v="0"/>
    <n v="0"/>
    <n v="2"/>
    <n v="0"/>
  </r>
  <r>
    <x v="35"/>
    <d v="2022-02-10T00:00:00"/>
    <s v="Week5"/>
    <d v="2022-02-01T00:00:00"/>
    <s v="DRY2100242"/>
    <s v="VIETNAM"/>
    <s v="C.P. VIETNAM CORPORATION"/>
    <s v="R-Wonton"/>
    <s v="R-Wonton"/>
    <x v="4"/>
    <s v="Raw Wonton 12 pcs"/>
    <s v="082I93W20012P00001"/>
    <s v="154g*20in"/>
    <n v="20"/>
    <n v="12"/>
    <n v="6.8100000000000001E-3"/>
    <s v="S"/>
    <s v="STPP"/>
    <s v="ซุปซอง 5g."/>
    <n v="200"/>
    <n v="200"/>
    <m/>
    <n v="0"/>
    <n v="0"/>
    <n v="0"/>
    <n v="2"/>
    <n v="0"/>
  </r>
  <r>
    <x v="35"/>
    <d v="2022-02-14T00:00:00"/>
    <s v="Week5"/>
    <d v="2022-02-01T00:00:00"/>
    <s v="DRY2100757"/>
    <s v="HK"/>
    <s v="CPM Hongkong"/>
    <s v="R-Wonton"/>
    <s v="R-Mince"/>
    <x v="9"/>
    <s v="Raw Minced Wonton 8 pcs"/>
    <s v="082ID3G18008P00001"/>
    <s v="90g*18in"/>
    <n v="18"/>
    <n v="8"/>
    <n v="5.0000000000000001E-3"/>
    <s v="BK"/>
    <s v="STPP"/>
    <s v="ซุปซอง 5g."/>
    <n v="500"/>
    <n v="461"/>
    <n v="17.777777777777779"/>
    <n v="-21.222222222222229"/>
    <n v="382"/>
    <n v="3056"/>
    <n v="2"/>
    <n v="764"/>
  </r>
  <r>
    <x v="35"/>
    <d v="2022-02-14T00:00:00"/>
    <s v="Week5"/>
    <d v="2022-02-01T00:00:00"/>
    <s v="DRY2100757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443"/>
    <n v="217"/>
    <n v="226"/>
    <n v="0"/>
    <n v="0"/>
    <n v="0"/>
    <n v="1"/>
    <n v="0"/>
  </r>
  <r>
    <x v="36"/>
    <m/>
    <s v="Week6"/>
    <d v="2022-02-01T00:00:00"/>
    <m/>
    <m/>
    <m/>
    <m/>
    <m/>
    <x v="0"/>
    <m/>
    <m/>
    <m/>
    <m/>
    <m/>
    <m/>
    <m/>
    <m/>
    <m/>
    <m/>
    <m/>
    <m/>
    <m/>
    <m/>
    <m/>
    <m/>
    <m/>
  </r>
  <r>
    <x v="37"/>
    <d v="2022-02-15T00:00:00"/>
    <s v="Week6"/>
    <d v="2022-02-01T00:00:00"/>
    <s v="DRY2200044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37"/>
    <m/>
    <s v="Week6"/>
    <d v="2022-02-01T00:00:00"/>
    <s v="DRY2100753"/>
    <s v="SG"/>
    <s v="CPI SINGAPORE"/>
    <s v="C-Wonton"/>
    <s v="C-Wonton ND"/>
    <x v="5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250"/>
    <n v="250"/>
    <n v="2.4166666666666665"/>
    <n v="2.4166666666666572"/>
    <n v="0"/>
    <m/>
    <m/>
    <m/>
  </r>
  <r>
    <x v="37"/>
    <d v="2022-02-22T00:00:00"/>
    <s v="Week6"/>
    <d v="2022-02-01T00:00:00"/>
    <s v="DRY2100769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37"/>
    <d v="2022-02-24T00:00:00"/>
    <s v="Week6"/>
    <d v="2022-02-01T00:00:00"/>
    <s v="DRY2100770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320"/>
    <n v="320"/>
    <m/>
    <n v="0"/>
    <n v="0"/>
    <m/>
    <m/>
    <m/>
  </r>
  <r>
    <x v="37"/>
    <d v="2022-02-22T00:00:00"/>
    <s v="Week6"/>
    <d v="2022-02-01T00:00:00"/>
    <s v="DRY2100748"/>
    <s v="Spain"/>
    <s v="Paulsen Food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405"/>
    <n v="2405"/>
    <m/>
    <n v="0"/>
    <n v="0"/>
    <m/>
    <m/>
    <m/>
  </r>
  <r>
    <x v="37"/>
    <d v="2022-02-14T00:00:00"/>
    <s v="Week6"/>
    <d v="2022-02-01T00:00:00"/>
    <s v="DRY2100757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957"/>
    <n v="957"/>
    <m/>
    <n v="0"/>
    <n v="0"/>
    <n v="0"/>
    <n v="1"/>
    <n v="0"/>
  </r>
  <r>
    <x v="37"/>
    <d v="2022-02-15T00:00:00"/>
    <s v="Week6"/>
    <d v="2022-02-01T00:00:00"/>
    <n v="10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233"/>
    <n v="233"/>
    <m/>
    <n v="0"/>
    <n v="0"/>
    <n v="0"/>
    <n v="6"/>
    <n v="0"/>
  </r>
  <r>
    <x v="38"/>
    <d v="2022-02-15T00:00:00"/>
    <s v="Week6"/>
    <d v="2022-02-01T00:00:00"/>
    <s v="DRY2200037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1401"/>
    <m/>
    <n v="1401"/>
    <n v="0"/>
    <n v="0"/>
    <m/>
    <m/>
    <m/>
  </r>
  <r>
    <x v="38"/>
    <d v="2022-02-23T00:00:00"/>
    <s v="Week6"/>
    <d v="2022-02-01T00:00:00"/>
    <s v="DRY2200039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852"/>
    <m/>
    <n v="852"/>
    <n v="0"/>
    <n v="0"/>
    <m/>
    <m/>
    <m/>
  </r>
  <r>
    <x v="38"/>
    <d v="2022-02-11T00:00:00"/>
    <s v="Week6"/>
    <d v="2022-02-01T00:00:00"/>
    <s v="DRY2100723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362"/>
    <n v="362"/>
    <m/>
    <n v="0"/>
    <n v="0"/>
    <m/>
    <m/>
    <m/>
  </r>
  <r>
    <x v="38"/>
    <m/>
    <s v="Week6"/>
    <d v="2022-02-01T00:00:00"/>
    <s v="DRY2100724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88"/>
    <n v="1288"/>
    <m/>
    <n v="0"/>
    <n v="0"/>
    <m/>
    <m/>
    <m/>
  </r>
  <r>
    <x v="38"/>
    <m/>
    <s v="Week6"/>
    <d v="2022-02-01T00:00:00"/>
    <s v="DRY2100725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791"/>
    <n v="791"/>
    <m/>
    <n v="0"/>
    <n v="0"/>
    <m/>
    <m/>
    <m/>
  </r>
  <r>
    <x v="38"/>
    <d v="2022-02-15T00:00:00"/>
    <s v="Week6"/>
    <d v="2022-02-01T00:00:00"/>
    <n v="10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658"/>
    <n v="658"/>
    <m/>
    <n v="0"/>
    <n v="0"/>
    <n v="0"/>
    <n v="6"/>
    <n v="0"/>
  </r>
  <r>
    <x v="39"/>
    <d v="2022-02-23T00:00:00"/>
    <s v="Week6"/>
    <d v="2022-02-01T00:00:00"/>
    <s v="DRY2200039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148"/>
    <m/>
    <n v="148"/>
    <n v="0"/>
    <n v="0"/>
    <m/>
    <m/>
    <m/>
  </r>
  <r>
    <x v="39"/>
    <d v="2022-03-09T00:00:00"/>
    <s v="Week6"/>
    <d v="2022-02-01T00:00:00"/>
    <s v="DRY2200038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3403"/>
    <m/>
    <n v="3403"/>
    <n v="0"/>
    <n v="0"/>
    <m/>
    <m/>
    <m/>
  </r>
  <r>
    <x v="39"/>
    <d v="2022-02-20T00:00:00"/>
    <s v="Week6"/>
    <d v="2022-02-01T00:00:00"/>
    <s v="DRY210068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64"/>
    <n v="664"/>
    <m/>
    <n v="0"/>
    <n v="0"/>
    <m/>
    <m/>
    <m/>
  </r>
  <r>
    <x v="39"/>
    <d v="2022-02-23T00:00:00"/>
    <s v="Week6"/>
    <d v="2022-02-01T00:00:00"/>
    <s v="DRY220003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50"/>
    <n v="550"/>
    <m/>
    <n v="0"/>
    <n v="0"/>
    <m/>
    <m/>
    <m/>
  </r>
  <r>
    <x v="39"/>
    <d v="2022-02-20T00:00:00"/>
    <s v="Week6"/>
    <d v="2022-02-01T00:00:00"/>
    <s v="DRY210068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9"/>
    <d v="2022-02-20T00:00:00"/>
    <s v="Week6"/>
    <d v="2022-02-01T00:00:00"/>
    <s v="DRY210068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16"/>
    <n v="116"/>
    <m/>
    <n v="0"/>
    <n v="0"/>
    <m/>
    <m/>
    <m/>
  </r>
  <r>
    <x v="39"/>
    <d v="2022-02-15T00:00:00"/>
    <s v="Week6"/>
    <d v="2022-02-01T00:00:00"/>
    <n v="10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517"/>
    <n v="519"/>
    <m/>
    <n v="2"/>
    <n v="0"/>
    <n v="0"/>
    <n v="6"/>
    <n v="0"/>
  </r>
  <r>
    <x v="39"/>
    <d v="2022-02-15T00:00:00"/>
    <s v="Week6"/>
    <d v="2022-02-01T00:00:00"/>
    <n v="11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19"/>
    <n v="119"/>
    <m/>
    <n v="0"/>
    <n v="0"/>
    <n v="0"/>
    <n v="6"/>
    <n v="0"/>
  </r>
  <r>
    <x v="40"/>
    <d v="2022-02-23T00:00:00"/>
    <s v="Week6"/>
    <d v="2022-02-01T00:00:00"/>
    <s v="DRY210068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76"/>
    <n v="676"/>
    <m/>
    <n v="0"/>
    <n v="0"/>
    <m/>
    <m/>
    <m/>
  </r>
  <r>
    <x v="40"/>
    <d v="2022-02-24T00:00:00"/>
    <s v="Week6"/>
    <d v="2022-02-01T00:00:00"/>
    <s v="DRY210068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40"/>
    <d v="2022-02-24T00:00:00"/>
    <s v="Week6"/>
    <d v="2022-02-01T00:00:00"/>
    <s v="DRY210068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40"/>
    <d v="2022-02-28T00:00:00"/>
    <s v="Week6"/>
    <d v="2022-02-01T00:00:00"/>
    <s v="DRY210068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40"/>
    <d v="2022-02-28T00:00:00"/>
    <s v="Week6"/>
    <d v="2022-02-01T00:00:00"/>
    <s v="DRY210068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04"/>
    <n v="304"/>
    <m/>
    <n v="0"/>
    <n v="0"/>
    <m/>
    <m/>
    <m/>
  </r>
  <r>
    <x v="40"/>
    <d v="2022-02-15T00:00:00"/>
    <s v="Week6"/>
    <d v="2022-02-01T00:00:00"/>
    <n v="11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658"/>
    <n v="658"/>
    <m/>
    <n v="0"/>
    <n v="0"/>
    <n v="0"/>
    <n v="6"/>
    <n v="0"/>
  </r>
  <r>
    <x v="41"/>
    <d v="2022-02-28T00:00:00"/>
    <s v="Week6"/>
    <d v="2022-02-01T00:00:00"/>
    <s v="DRY210068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88"/>
    <n v="488"/>
    <m/>
    <n v="0"/>
    <n v="0"/>
    <m/>
    <m/>
    <m/>
  </r>
  <r>
    <x v="41"/>
    <d v="2022-02-28T00:00:00"/>
    <s v="Week6"/>
    <d v="2022-02-01T00:00:00"/>
    <s v="DRY210068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41"/>
    <m/>
    <s v="Week6"/>
    <d v="2022-02-01T00:00:00"/>
    <s v="DRY210068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45"/>
    <n v="345"/>
    <m/>
    <n v="0"/>
    <n v="0"/>
    <m/>
    <m/>
    <m/>
  </r>
  <r>
    <x v="41"/>
    <d v="2022-02-15T00:00:00"/>
    <s v="Week6"/>
    <d v="2022-02-01T00:00:00"/>
    <n v="11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631"/>
    <n v="633"/>
    <m/>
    <n v="2"/>
    <n v="0"/>
    <n v="0"/>
    <n v="6"/>
    <n v="0"/>
  </r>
  <r>
    <x v="41"/>
    <d v="2022-02-22T00:00:00"/>
    <s v="Week6"/>
    <d v="2022-02-01T00:00:00"/>
    <n v="12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70"/>
    <n v="170"/>
    <m/>
    <n v="0"/>
    <n v="0"/>
    <n v="0"/>
    <n v="6"/>
    <n v="0"/>
  </r>
  <r>
    <x v="42"/>
    <d v="2022-02-24T00:00:00"/>
    <s v="Week6"/>
    <d v="2022-02-01T00:00:00"/>
    <s v="DRY2100771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42"/>
    <d v="2022-02-23T00:00:00"/>
    <s v="Week6"/>
    <d v="2022-02-01T00:00:00"/>
    <s v="DRY2200005"/>
    <s v="Philippines"/>
    <s v="CPF Philippines"/>
    <s v="C-Wonton"/>
    <s v="C-Wonton ND"/>
    <x v="5"/>
    <s v="Cooked Wonton ND No Egg with Pumpkin _x000a_+ Vegetable  HC  3 pcs"/>
    <s v="082SJ5S24003P00001"/>
    <s v="219g*24"/>
    <n v="24"/>
    <n v="3"/>
    <n v="7.4999999999999997E-3"/>
    <s v="HC"/>
    <s v="STPP"/>
    <s v="ซุปซอง 10g."/>
    <n v="130"/>
    <n v="130"/>
    <n v="1.0416666666666667"/>
    <n v="1.0416666666666572"/>
    <n v="0"/>
    <m/>
    <m/>
    <m/>
  </r>
  <r>
    <x v="42"/>
    <d v="2022-02-23T00:00:00"/>
    <s v="Week6"/>
    <d v="2022-02-01T00:00:00"/>
    <s v="DRY2200005"/>
    <s v="Philippines"/>
    <s v="CPF Philippines"/>
    <s v="C-Wonton"/>
    <s v="C-Wonton"/>
    <x v="2"/>
    <s v="Cooked Wonton No Egg"/>
    <s v="082S85S24005P01001"/>
    <s v="115g*24"/>
    <n v="24"/>
    <n v="5"/>
    <n v="8.0000000000000002E-3"/>
    <s v="M"/>
    <s v="STPP"/>
    <s v="TYTB3C 30G"/>
    <n v="215"/>
    <n v="215"/>
    <n v="3"/>
    <n v="3"/>
    <n v="0"/>
    <m/>
    <n v="1"/>
    <n v="0"/>
  </r>
  <r>
    <x v="42"/>
    <d v="2022-03-01T00:00:00"/>
    <s v="Week6"/>
    <d v="2022-02-01T00:00:00"/>
    <s v="DRY2200043"/>
    <s v="Malay"/>
    <s v="CPM Malaysia"/>
    <s v="C-Wonton"/>
    <s v="C-Wonton"/>
    <x v="2"/>
    <s v="Cooked Wonton No Egg  TY"/>
    <s v="082S85I24005P02001"/>
    <s v="115g*24"/>
    <n v="24"/>
    <n v="5"/>
    <n v="8.0000000000000002E-3"/>
    <s v="M"/>
    <s v="STPP"/>
    <s v="TYTB3C 30G"/>
    <n v="700"/>
    <n v="700"/>
    <n v="49.416666666666664"/>
    <n v="49.416666666666629"/>
    <n v="0"/>
    <m/>
    <n v="1"/>
    <n v="0"/>
  </r>
  <r>
    <x v="42"/>
    <d v="2022-02-25T00:00:00"/>
    <s v="Week6"/>
    <d v="2022-02-01T00:00:00"/>
    <s v="DRY2200040"/>
    <s v="HK"/>
    <s v="CPM Hongkong"/>
    <s v="C-Wonton"/>
    <s v="C-Wonton"/>
    <x v="2"/>
    <s v="Cooked Wonton No Egg  TY"/>
    <s v="082S83G12005P03001"/>
    <s v="115g*12"/>
    <n v="12"/>
    <n v="5"/>
    <n v="8.0000000000000002E-3"/>
    <s v="M"/>
    <s v="STPP"/>
    <s v="TYTB3C 30G"/>
    <n v="400"/>
    <n v="400"/>
    <n v="7.333333333333333"/>
    <n v="7.3333333333333144"/>
    <n v="0"/>
    <m/>
    <n v="1"/>
    <n v="0"/>
  </r>
  <r>
    <x v="42"/>
    <m/>
    <s v="Week6"/>
    <d v="2022-02-01T00:00:00"/>
    <s v="DRY2100752"/>
    <s v="SG"/>
    <s v="CPI SINGAPORE"/>
    <s v="C-Wonton"/>
    <s v="C-Wonton"/>
    <x v="2"/>
    <s v="Cooked Wonton No Egg"/>
    <s v="082S83B24005P06001"/>
    <s v="115g*24"/>
    <n v="24"/>
    <n v="5"/>
    <n v="8.0000000000000002E-3"/>
    <s v="M"/>
    <s v="STPP"/>
    <s v="TYTB3C 30G"/>
    <n v="300"/>
    <n v="300"/>
    <n v="1.8333333333333333"/>
    <n v="1.8333333333333144"/>
    <n v="0"/>
    <m/>
    <n v="1"/>
    <n v="0"/>
  </r>
  <r>
    <x v="42"/>
    <d v="2022-03-01T00:00:00"/>
    <s v="Week6"/>
    <d v="2022-02-01T00:00:00"/>
    <s v="DRY2200043"/>
    <s v="Malay"/>
    <s v="CPM Malaysia"/>
    <s v="C-Wonton"/>
    <s v="C-Wonton"/>
    <x v="1"/>
    <s v="Cooked Wonton No Egg  "/>
    <s v="082S85I24005P01001"/>
    <s v="145g*24"/>
    <n v="24"/>
    <n v="5"/>
    <n v="8.0000000000000002E-3"/>
    <s v="M"/>
    <s v="STPP"/>
    <s v="Regular"/>
    <n v="800"/>
    <n v="800"/>
    <n v="6.416666666666667"/>
    <n v="6.4166666666666288"/>
    <n v="0"/>
    <m/>
    <m/>
    <m/>
  </r>
  <r>
    <x v="42"/>
    <d v="2022-02-23T00:00:00"/>
    <s v="Week6"/>
    <d v="2022-02-01T00:00:00"/>
    <s v="DRY2200005"/>
    <s v="Philippines"/>
    <s v="CPF Philippines"/>
    <s v="C-Wonton"/>
    <s v="C-Wonton"/>
    <x v="1"/>
    <s v="Cooked Wonton No Egg"/>
    <s v="082S85S24005P00001"/>
    <s v="145g*24"/>
    <n v="24"/>
    <n v="5"/>
    <n v="8.0000000000000002E-3"/>
    <s v="M"/>
    <s v="STPP"/>
    <s v="Regular"/>
    <n v="215"/>
    <n v="215"/>
    <n v="2.625"/>
    <n v="2.625"/>
    <n v="0"/>
    <m/>
    <m/>
    <m/>
  </r>
  <r>
    <x v="42"/>
    <m/>
    <s v="Week6"/>
    <d v="2022-02-01T00:00:00"/>
    <s v="DRY2100751"/>
    <s v="SG"/>
    <s v="CPI SINGAPORE"/>
    <s v="C-Wonton"/>
    <s v="C-Wonton"/>
    <x v="1"/>
    <s v="Cooked Wonton No Egg"/>
    <s v="082S83B24005P07001"/>
    <s v="145g*24"/>
    <n v="24"/>
    <n v="5"/>
    <n v="8.0000000000000002E-3"/>
    <s v="M"/>
    <s v="STPP"/>
    <s v="Regular"/>
    <n v="300"/>
    <n v="300"/>
    <n v="8.1666666666666661"/>
    <n v="8.1666666666666856"/>
    <n v="0"/>
    <m/>
    <m/>
    <m/>
  </r>
  <r>
    <x v="42"/>
    <d v="2022-02-22T00:00:00"/>
    <s v="Week6"/>
    <d v="2022-02-01T00:00:00"/>
    <n v="12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758"/>
    <n v="758"/>
    <m/>
    <n v="0"/>
    <n v="0"/>
    <n v="0"/>
    <n v="6"/>
    <n v="0"/>
  </r>
  <r>
    <x v="43"/>
    <m/>
    <s v="Week7"/>
    <d v="2022-02-01T00:00:00"/>
    <m/>
    <m/>
    <m/>
    <m/>
    <m/>
    <x v="0"/>
    <m/>
    <m/>
    <m/>
    <m/>
    <m/>
    <m/>
    <m/>
    <m/>
    <m/>
    <m/>
    <m/>
    <m/>
    <m/>
    <m/>
    <m/>
    <m/>
    <m/>
  </r>
  <r>
    <x v="44"/>
    <m/>
    <s v="Week7"/>
    <d v="2022-02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5128"/>
    <n v="5128"/>
    <n v="0.91666666666666663"/>
    <n v="0.91666666666696983"/>
    <n v="0"/>
    <m/>
    <m/>
    <m/>
  </r>
  <r>
    <x v="44"/>
    <d v="2022-02-23T00:00:00"/>
    <s v="Week7"/>
    <d v="2022-02-01T00:00:00"/>
    <s v="DRY2200005"/>
    <s v="Philippines"/>
    <s v="CPF Philippines"/>
    <s v="R-Wonton"/>
    <s v="R-Wonton"/>
    <x v="4"/>
    <s v="Raw Wonton 8 pcs"/>
    <s v="082I95S20008P00001"/>
    <s v="194g*20in"/>
    <n v="20"/>
    <n v="8"/>
    <n v="1.4999999999999999E-2"/>
    <s v="JB"/>
    <s v="STPP"/>
    <s v="ซุปซอง 5g."/>
    <n v="375"/>
    <n v="375"/>
    <n v="36"/>
    <n v="36"/>
    <n v="0"/>
    <n v="0"/>
    <n v="2"/>
    <n v="0"/>
  </r>
  <r>
    <x v="44"/>
    <d v="2022-03-01T00:00:00"/>
    <s v="Week7"/>
    <d v="2022-02-01T00:00:00"/>
    <s v="DRY2200043"/>
    <s v="Malay"/>
    <s v="CPM Malaysia"/>
    <s v="R-Wonton"/>
    <s v="R-Wonton"/>
    <x v="4"/>
    <s v="Raw Wonton 12 pcs"/>
    <s v="082I95I20012P00001"/>
    <s v="144g*20inner"/>
    <n v="20"/>
    <n v="12"/>
    <n v="6.8100000000000001E-3"/>
    <s v="S"/>
    <s v="STPP"/>
    <s v="ซุปซอง 5g."/>
    <n v="800"/>
    <n v="715"/>
    <n v="109"/>
    <n v="24"/>
    <n v="0"/>
    <n v="0"/>
    <n v="2"/>
    <n v="0"/>
  </r>
  <r>
    <x v="45"/>
    <m/>
    <s v="Week7"/>
    <d v="2022-02-01T00:00:00"/>
    <s v="DRY2100725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497"/>
    <n v="497"/>
    <m/>
    <n v="0"/>
    <n v="0"/>
    <m/>
    <m/>
    <m/>
  </r>
  <r>
    <x v="45"/>
    <m/>
    <s v="Week7"/>
    <d v="2022-02-01T00:00:00"/>
    <s v="DRY2100726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979"/>
    <n v="979"/>
    <m/>
    <n v="0"/>
    <n v="0"/>
    <m/>
    <m/>
    <m/>
  </r>
  <r>
    <x v="45"/>
    <m/>
    <s v="Week7"/>
    <d v="2022-02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988"/>
    <n v="2988"/>
    <m/>
    <n v="0"/>
    <n v="0"/>
    <m/>
    <m/>
    <m/>
  </r>
  <r>
    <x v="45"/>
    <d v="2022-02-22T00:00:00"/>
    <s v="Week7"/>
    <d v="2022-02-01T00:00:00"/>
    <n v="12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480"/>
    <n v="482"/>
    <m/>
    <n v="2"/>
    <n v="0"/>
    <n v="0"/>
    <n v="6"/>
    <n v="0"/>
  </r>
  <r>
    <x v="45"/>
    <d v="2022-02-25T00:00:00"/>
    <s v="Week7"/>
    <d v="2022-02-01T00:00:00"/>
    <s v="DRY2200040"/>
    <s v="HK"/>
    <s v="CPM Hongkong"/>
    <s v="R-Wonton"/>
    <s v="R-Mince"/>
    <x v="9"/>
    <s v="Raw Minced Wonton 8 pcs"/>
    <s v="082ID3G18008P00001"/>
    <s v="90g*18in"/>
    <n v="18"/>
    <n v="8"/>
    <n v="5.0000000000000001E-3"/>
    <s v="BK"/>
    <s v="STPP"/>
    <s v="ซุปซอง 5g."/>
    <n v="400"/>
    <n v="366"/>
    <n v="34"/>
    <n v="0"/>
    <n v="0"/>
    <n v="0"/>
    <n v="2"/>
    <n v="0"/>
  </r>
  <r>
    <x v="46"/>
    <m/>
    <s v="Week7"/>
    <d v="2022-02-01T00:00:00"/>
    <m/>
    <m/>
    <m/>
    <m/>
    <m/>
    <x v="0"/>
    <m/>
    <m/>
    <m/>
    <m/>
    <m/>
    <m/>
    <m/>
    <m/>
    <m/>
    <m/>
    <m/>
    <m/>
    <m/>
    <m/>
    <m/>
    <m/>
    <m/>
  </r>
  <r>
    <x v="47"/>
    <m/>
    <s v="Week7"/>
    <d v="2022-02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4563"/>
    <n v="4563"/>
    <m/>
    <n v="0"/>
    <n v="0"/>
    <m/>
    <m/>
    <m/>
  </r>
  <r>
    <x v="47"/>
    <d v="2022-02-23T00:00:00"/>
    <s v="Week7"/>
    <d v="2022-02-01T00:00:00"/>
    <s v="DRY2200036"/>
    <s v="USA"/>
    <s v="Bellisio Foods, Inc."/>
    <s v="C-Wonton"/>
    <s v="C-Wonton ND"/>
    <x v="7"/>
    <s v="Cooked Minced Wonton No Egg"/>
    <s v="082SKBW08005P00001"/>
    <s v="145g*8"/>
    <n v="8"/>
    <n v="5"/>
    <n v="8.0000000000000002E-3"/>
    <s v="BK"/>
    <s v="Salt"/>
    <s v="Regular"/>
    <n v="434"/>
    <m/>
    <n v="434"/>
    <n v="0"/>
    <n v="0"/>
    <m/>
    <m/>
    <m/>
  </r>
  <r>
    <x v="47"/>
    <d v="2022-03-11T00:00:00"/>
    <s v="Week7"/>
    <d v="2022-02-01T00:00:00"/>
    <s v="DRY2200053"/>
    <s v="USA"/>
    <s v="Bellisio Foods, Inc."/>
    <s v="C-Wonton"/>
    <s v="C-Wonton ND"/>
    <x v="7"/>
    <s v="Cooked Minced Wonton No Egg"/>
    <s v="082SKBW08005P00001"/>
    <s v="145g*8"/>
    <n v="8"/>
    <n v="5"/>
    <n v="8.0000000000000002E-3"/>
    <s v="BK"/>
    <s v="Salt"/>
    <s v="Regular"/>
    <n v="400"/>
    <m/>
    <n v="400"/>
    <n v="0"/>
    <n v="0"/>
    <m/>
    <m/>
    <m/>
  </r>
  <r>
    <x v="47"/>
    <d v="2022-03-24T00:00:00"/>
    <s v="Week7"/>
    <d v="2022-02-01T00:00:00"/>
    <s v="DRY2200055"/>
    <s v="USA"/>
    <s v="Bellisio Foods, Inc."/>
    <s v="C-Wonton"/>
    <s v="C-Wonton ND"/>
    <x v="7"/>
    <s v="Cooked Minced Wonton No Egg"/>
    <s v="082SKBW08005P00001"/>
    <s v="145g*8"/>
    <n v="8"/>
    <n v="5"/>
    <n v="8.0000000000000002E-3"/>
    <s v="BK"/>
    <s v="Salt"/>
    <s v="Regular"/>
    <n v="500"/>
    <m/>
    <n v="610.75"/>
    <n v="110.75"/>
    <n v="0"/>
    <m/>
    <m/>
    <m/>
  </r>
  <r>
    <x v="47"/>
    <d v="2022-02-25T00:00:00"/>
    <s v="Week7"/>
    <d v="2022-02-01T00:00:00"/>
    <s v="DRY2200040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1100"/>
    <n v="1100"/>
    <m/>
    <n v="0"/>
    <n v="0"/>
    <n v="0"/>
    <n v="1"/>
    <n v="0"/>
  </r>
  <r>
    <x v="47"/>
    <d v="2022-02-25T00:00:00"/>
    <s v="Week7"/>
    <d v="2022-02-01T00:00:00"/>
    <s v="DRY2200041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849"/>
    <n v="321"/>
    <n v="528"/>
    <n v="0"/>
    <n v="0"/>
    <n v="0"/>
    <n v="1"/>
    <n v="0"/>
  </r>
  <r>
    <x v="48"/>
    <m/>
    <s v="Week7"/>
    <d v="2022-02-01T00:00:00"/>
    <m/>
    <m/>
    <m/>
    <m/>
    <m/>
    <x v="0"/>
    <s v="ไฟฟ้าดับ"/>
    <m/>
    <m/>
    <m/>
    <m/>
    <m/>
    <m/>
    <m/>
    <m/>
    <m/>
    <m/>
    <m/>
    <m/>
    <m/>
    <m/>
    <m/>
    <m/>
  </r>
  <r>
    <x v="49"/>
    <d v="2022-02-25T00:00:00"/>
    <s v="Week7"/>
    <d v="2022-02-01T00:00:00"/>
    <s v="DRY210068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47"/>
    <n v="447"/>
    <m/>
    <n v="0"/>
    <n v="0"/>
    <m/>
    <m/>
    <m/>
  </r>
  <r>
    <x v="49"/>
    <d v="2022-02-28T00:00:00"/>
    <s v="Week7"/>
    <d v="2022-02-01T00:00:00"/>
    <s v="DRY210068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49"/>
    <d v="2022-02-28T00:00:00"/>
    <s v="Week7"/>
    <d v="2022-02-01T00:00:00"/>
    <s v="DRY210069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49"/>
    <d v="2022-02-28T00:00:00"/>
    <s v="Week7"/>
    <d v="2022-02-01T00:00:00"/>
    <s v="DRY210069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96"/>
    <n v="596"/>
    <m/>
    <n v="0"/>
    <n v="0"/>
    <m/>
    <m/>
    <m/>
  </r>
  <r>
    <x v="49"/>
    <d v="2022-03-02T00:00:00"/>
    <s v="Week7"/>
    <d v="2022-02-01T00:00:00"/>
    <s v="DRY2200059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49"/>
    <d v="2022-02-22T00:00:00"/>
    <s v="Week7"/>
    <d v="2022-02-01T00:00:00"/>
    <s v="DRY2100748"/>
    <s v="Spain"/>
    <s v="Paulsen Food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115"/>
    <n v="115"/>
    <m/>
    <n v="0"/>
    <n v="0"/>
    <m/>
    <m/>
    <m/>
  </r>
  <r>
    <x v="49"/>
    <d v="2022-02-25T00:00:00"/>
    <s v="Week7"/>
    <d v="2022-02-01T00:00:00"/>
    <s v="DRY2200041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751"/>
    <n v="751"/>
    <m/>
    <n v="0"/>
    <n v="0"/>
    <n v="0"/>
    <n v="1"/>
    <n v="0"/>
  </r>
  <r>
    <x v="49"/>
    <d v="2022-02-25T00:00:00"/>
    <s v="Week7"/>
    <d v="2022-02-01T00:00:00"/>
    <s v="DRY2200041"/>
    <s v="HK"/>
    <s v="CPM Hongkong"/>
    <s v="R-Wonton"/>
    <s v="R-Mince"/>
    <x v="9"/>
    <s v="Raw Minced Wonton 8 pcs"/>
    <s v="082ID3G18008P00001"/>
    <s v="90g*18in"/>
    <n v="18"/>
    <n v="8"/>
    <n v="5.0000000000000001E-3"/>
    <s v="BK"/>
    <s v="STPP"/>
    <s v="ซุปซอง 5g."/>
    <n v="1000"/>
    <n v="1000"/>
    <m/>
    <n v="0"/>
    <n v="0"/>
    <n v="0"/>
    <n v="2"/>
    <n v="0"/>
  </r>
  <r>
    <x v="50"/>
    <m/>
    <s v="Week8"/>
    <d v="2022-02-01T00:00:00"/>
    <m/>
    <m/>
    <m/>
    <m/>
    <m/>
    <x v="0"/>
    <m/>
    <m/>
    <m/>
    <m/>
    <m/>
    <m/>
    <m/>
    <m/>
    <m/>
    <m/>
    <m/>
    <m/>
    <m/>
    <m/>
    <m/>
    <m/>
    <m/>
  </r>
  <r>
    <x v="51"/>
    <m/>
    <s v="Week8"/>
    <d v="2022-02-01T00:00:00"/>
    <s v="DRY2100726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309"/>
    <n v="309"/>
    <m/>
    <n v="0"/>
    <n v="0"/>
    <m/>
    <m/>
    <m/>
  </r>
  <r>
    <x v="51"/>
    <m/>
    <s v="Week8"/>
    <d v="2022-02-01T00:00:00"/>
    <s v="DRY2100727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88"/>
    <n v="1288"/>
    <m/>
    <n v="0"/>
    <n v="0"/>
    <m/>
    <m/>
    <m/>
  </r>
  <r>
    <x v="51"/>
    <m/>
    <s v="Week8"/>
    <d v="2022-02-01T00:00:00"/>
    <s v="DRY2100758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88"/>
    <n v="1288"/>
    <m/>
    <n v="0"/>
    <n v="0"/>
    <m/>
    <m/>
    <m/>
  </r>
  <r>
    <x v="51"/>
    <m/>
    <s v="Week8"/>
    <d v="2022-02-01T00:00:00"/>
    <s v="DRY2100759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548"/>
    <n v="548"/>
    <m/>
    <n v="0"/>
    <n v="0"/>
    <m/>
    <m/>
    <m/>
  </r>
  <r>
    <x v="51"/>
    <d v="2022-02-25T00:00:00"/>
    <s v="Week8"/>
    <d v="2022-02-01T00:00:00"/>
    <s v="ขายภายใน"/>
    <s v="FM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500"/>
    <n v="500"/>
    <m/>
    <n v="0"/>
    <n v="0"/>
    <n v="0"/>
    <m/>
    <n v="0"/>
  </r>
  <r>
    <x v="51"/>
    <d v="2022-02-22T00:00:00"/>
    <s v="Week8"/>
    <d v="2022-02-01T00:00:00"/>
    <n v="13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438"/>
    <n v="438"/>
    <m/>
    <n v="0"/>
    <n v="0"/>
    <n v="0"/>
    <n v="6"/>
    <n v="0"/>
  </r>
  <r>
    <x v="52"/>
    <d v="2022-02-28T00:00:00"/>
    <s v="Week8"/>
    <d v="2022-02-01T00:00:00"/>
    <s v="DRY210069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96"/>
    <n v="196"/>
    <m/>
    <n v="0"/>
    <n v="0"/>
    <m/>
    <m/>
    <m/>
  </r>
  <r>
    <x v="52"/>
    <d v="2022-03-02T00:00:00"/>
    <s v="Week8"/>
    <d v="2022-02-01T00:00:00"/>
    <s v="DRY210069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2"/>
    <d v="2022-03-02T00:00:00"/>
    <s v="Week8"/>
    <d v="2022-02-01T00:00:00"/>
    <s v="DRY210069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2"/>
    <d v="2022-03-03T00:00:00"/>
    <s v="Week8"/>
    <d v="2022-02-01T00:00:00"/>
    <s v="DRY210069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2"/>
    <d v="2022-03-03T00:00:00"/>
    <s v="Week8"/>
    <d v="2022-02-01T00:00:00"/>
    <s v="DRY210069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2"/>
    <d v="2022-03-08T00:00:00"/>
    <s v="Week8"/>
    <d v="2022-02-01T00:00:00"/>
    <s v="DRY210069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8"/>
    <n v="28"/>
    <m/>
    <n v="0"/>
    <n v="0"/>
    <m/>
    <m/>
    <m/>
  </r>
  <r>
    <x v="52"/>
    <d v="2022-02-22T00:00:00"/>
    <s v="Week8"/>
    <d v="2022-02-01T00:00:00"/>
    <n v="13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632"/>
    <n v="632"/>
    <m/>
    <n v="0"/>
    <n v="0"/>
    <n v="0"/>
    <n v="6"/>
    <n v="0"/>
  </r>
  <r>
    <x v="53"/>
    <d v="2022-03-08T00:00:00"/>
    <s v="Week8"/>
    <d v="2022-02-01T00:00:00"/>
    <s v="DRY210069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64"/>
    <n v="764"/>
    <m/>
    <n v="0"/>
    <n v="0"/>
    <m/>
    <m/>
    <m/>
  </r>
  <r>
    <x v="53"/>
    <d v="2022-03-15T00:00:00"/>
    <s v="Week8"/>
    <d v="2022-02-01T00:00:00"/>
    <s v="DRY210069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3"/>
    <d v="2022-03-19T00:00:00"/>
    <s v="Week8"/>
    <d v="2022-02-01T00:00:00"/>
    <s v="DRY210069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3"/>
    <d v="2022-03-19T00:00:00"/>
    <s v="Week8"/>
    <d v="2022-02-01T00:00:00"/>
    <s v="DRY210069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3"/>
    <d v="2022-03-22T00:00:00"/>
    <s v="Week8"/>
    <d v="2022-02-01T00:00:00"/>
    <s v="DRY210070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90"/>
    <n v="290"/>
    <m/>
    <n v="0"/>
    <n v="0"/>
    <m/>
    <m/>
    <m/>
  </r>
  <r>
    <x v="53"/>
    <d v="2022-02-22T00:00:00"/>
    <s v="Week8"/>
    <d v="2022-02-01T00:00:00"/>
    <n v="13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338"/>
    <n v="340"/>
    <m/>
    <n v="2"/>
    <n v="0"/>
    <n v="0"/>
    <n v="6"/>
    <n v="0"/>
  </r>
  <r>
    <x v="53"/>
    <d v="2022-03-15T00:00:00"/>
    <s v="Week8"/>
    <d v="2022-02-01T00:00:00"/>
    <n v="14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294"/>
    <n v="294"/>
    <m/>
    <n v="0"/>
    <n v="0"/>
    <n v="0"/>
    <n v="6"/>
    <n v="0"/>
  </r>
  <r>
    <x v="54"/>
    <d v="2022-03-22T00:00:00"/>
    <s v="Week8"/>
    <d v="2022-02-01T00:00:00"/>
    <s v="DRY210070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02"/>
    <n v="502"/>
    <m/>
    <n v="0"/>
    <n v="0"/>
    <m/>
    <m/>
    <m/>
  </r>
  <r>
    <x v="54"/>
    <d v="2022-03-22T00:00:00"/>
    <s v="Week8"/>
    <d v="2022-02-01T00:00:00"/>
    <s v="DRY210070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4"/>
    <d v="2022-03-22T00:00:00"/>
    <s v="Week8"/>
    <d v="2022-02-01T00:00:00"/>
    <s v="DRY210070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4"/>
    <m/>
    <s v="Week8"/>
    <d v="2022-02-01T00:00:00"/>
    <s v="DRY210070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4"/>
    <m/>
    <s v="Week8"/>
    <d v="2022-02-01T00:00:00"/>
    <s v="DRY210070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72"/>
    <n v="571"/>
    <n v="1"/>
    <n v="0"/>
    <n v="0"/>
    <m/>
    <m/>
    <m/>
  </r>
  <r>
    <x v="54"/>
    <d v="2022-03-15T00:00:00"/>
    <s v="Week8"/>
    <d v="2022-02-01T00:00:00"/>
    <n v="14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633"/>
    <n v="633"/>
    <m/>
    <n v="0"/>
    <n v="0"/>
    <n v="0"/>
    <n v="6"/>
    <n v="0"/>
  </r>
  <r>
    <x v="55"/>
    <d v="2022-03-04T00:00:00"/>
    <s v="Week8"/>
    <d v="2022-02-01T00:00:00"/>
    <s v="ขายภายใน"/>
    <s v="MTFS/FM"/>
    <s v="Seven+ผัก3สี"/>
    <s v="C-Wonton"/>
    <s v="C-Wonton"/>
    <x v="6"/>
    <s v="Cooked Wonton No Egg ผัก3สี"/>
    <s v="082S81B12161G00001"/>
    <s v="161g*12"/>
    <n v="12"/>
    <n v="5"/>
    <n v="8.0000000000000002E-3"/>
    <s v="S"/>
    <s v="STPP"/>
    <s v="Y3-1"/>
    <n v="800"/>
    <n v="800"/>
    <m/>
    <n v="0"/>
    <n v="0"/>
    <m/>
    <m/>
    <m/>
  </r>
  <r>
    <x v="55"/>
    <d v="2022-03-04T00:00:00"/>
    <s v="Week8"/>
    <d v="2022-02-01T00:00:00"/>
    <s v="ขายภายใน"/>
    <s v=".7-11"/>
    <s v="Seven+ผัก3สี"/>
    <s v="C-Wonton"/>
    <s v="C-Wonton"/>
    <x v="6"/>
    <s v="Cooked Wonton No Egg .7-11 ผัก3สี"/>
    <s v="082S81B24161G00001"/>
    <s v="161g*24"/>
    <n v="24"/>
    <n v="5"/>
    <n v="8.0000000000000002E-3"/>
    <s v="S"/>
    <s v="STPP"/>
    <s v="Y3-1"/>
    <n v="2064"/>
    <n v="2064"/>
    <m/>
    <n v="0"/>
    <n v="0"/>
    <m/>
    <m/>
    <m/>
  </r>
  <r>
    <x v="55"/>
    <d v="2022-03-14T00:00:00"/>
    <s v="Week8"/>
    <d v="2022-02-01T00:00:00"/>
    <s v="DRY2200060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55"/>
    <d v="2022-03-14T00:00:00"/>
    <s v="Week8"/>
    <d v="2022-02-01T00:00:00"/>
    <s v="DRY2200061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320"/>
    <n v="320"/>
    <m/>
    <n v="0"/>
    <n v="0"/>
    <m/>
    <m/>
    <m/>
  </r>
  <r>
    <x v="55"/>
    <d v="2022-03-23T00:00:00"/>
    <s v="Week8"/>
    <d v="2022-02-01T00:00:00"/>
    <s v="DRY2200062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618"/>
    <n v="618"/>
    <m/>
    <n v="0"/>
    <n v="0"/>
    <m/>
    <m/>
    <m/>
  </r>
  <r>
    <x v="55"/>
    <d v="2022-03-15T00:00:00"/>
    <s v="Week8"/>
    <d v="2022-02-01T00:00:00"/>
    <n v="14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481"/>
    <n v="483"/>
    <m/>
    <n v="2"/>
    <n v="0"/>
    <n v="0"/>
    <n v="6"/>
    <n v="0"/>
  </r>
  <r>
    <x v="55"/>
    <d v="2022-04-08T00:00:00"/>
    <s v="Week8"/>
    <d v="2022-02-01T00:00:00"/>
    <s v="DRY2200048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134"/>
    <n v="134"/>
    <m/>
    <n v="0"/>
    <n v="0"/>
    <n v="0"/>
    <n v="6"/>
    <n v="0"/>
  </r>
  <r>
    <x v="56"/>
    <d v="2022-03-23T00:00:00"/>
    <s v="Week8"/>
    <d v="2022-02-01T00:00:00"/>
    <s v="DRY2200062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174"/>
    <n v="174"/>
    <m/>
    <n v="0"/>
    <n v="0"/>
    <m/>
    <m/>
    <m/>
  </r>
  <r>
    <x v="56"/>
    <d v="2022-03-30T00:00:00"/>
    <s v="Week8"/>
    <d v="2022-02-01T00:00:00"/>
    <s v="DRY2200063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n v="17.611111111111111"/>
    <n v="17.611111111111086"/>
    <n v="0"/>
    <m/>
    <m/>
    <m/>
  </r>
  <r>
    <x v="56"/>
    <d v="2022-03-10T00:00:00"/>
    <s v="Week8"/>
    <d v="2022-02-01T00:00:00"/>
    <s v="DRY2200051"/>
    <s v="Spain"/>
    <s v="Paulsen Food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</r>
  <r>
    <x v="56"/>
    <d v="2022-03-24T00:00:00"/>
    <s v="Week8"/>
    <d v="2022-02-01T00:00:00"/>
    <s v="DRY2200052"/>
    <s v="Spain"/>
    <s v="Paulsen Food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</r>
  <r>
    <x v="56"/>
    <d v="2022-03-23T00:00:00"/>
    <s v="Week8"/>
    <d v="2022-02-01T00:00:00"/>
    <s v="DRY2100706"/>
    <s v="AUS"/>
    <s v="CPM Australia"/>
    <s v="C-Wonton"/>
    <s v="C-Wonton ND"/>
    <x v="17"/>
    <s v="Cooked Minced  ND No Egg with Pumpkin_x000a_+ Yu Choy Tomyum"/>
    <s v="082SR9U08003P00001"/>
    <s v="302g*8"/>
    <n v="8"/>
    <n v="3"/>
    <n v="8.0000000000000002E-3"/>
    <s v="BK"/>
    <s v="Salt"/>
    <s v="TYA+CO"/>
    <n v="763.375"/>
    <m/>
    <n v="763.375"/>
    <n v="0"/>
    <n v="0"/>
    <m/>
    <m/>
    <m/>
  </r>
  <r>
    <x v="56"/>
    <d v="2022-04-08T00:00:00"/>
    <s v="Week8"/>
    <d v="2022-02-01T00:00:00"/>
    <s v="DRY2200048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676"/>
    <n v="676"/>
    <m/>
    <n v="0"/>
    <n v="0"/>
    <n v="0"/>
    <n v="6"/>
    <n v="0"/>
  </r>
  <r>
    <x v="57"/>
    <m/>
    <s v="Week9"/>
    <d v="2022-02-01T00:00:00"/>
    <m/>
    <m/>
    <m/>
    <m/>
    <m/>
    <x v="0"/>
    <m/>
    <m/>
    <m/>
    <m/>
    <m/>
    <m/>
    <m/>
    <m/>
    <m/>
    <m/>
    <m/>
    <m/>
    <m/>
    <m/>
    <m/>
    <m/>
    <m/>
  </r>
  <r>
    <x v="58"/>
    <d v="2022-03-15T00:00:00"/>
    <s v="Week9"/>
    <d v="2022-02-01T00:00:00"/>
    <s v="DRY2200045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58"/>
    <d v="2022-03-11T00:00:00"/>
    <s v="Week9"/>
    <d v="2022-02-01T00:00:00"/>
    <s v="DRY2200054"/>
    <s v="USA"/>
    <s v="Bellisio Foods, Inc."/>
    <s v="C-Wonton"/>
    <s v="C-Wonton"/>
    <x v="1"/>
    <s v="Cooked Wonton Soup No Egg"/>
    <s v="082S8BW36005P00001"/>
    <s v="145g*6c*6"/>
    <n v="36"/>
    <n v="5"/>
    <n v="8.0000000000000002E-3"/>
    <s v="M"/>
    <s v="Salt"/>
    <s v="Regular"/>
    <n v="350"/>
    <n v="350"/>
    <m/>
    <n v="0"/>
    <n v="0"/>
    <m/>
    <m/>
    <m/>
  </r>
  <r>
    <x v="58"/>
    <d v="2022-04-05T00:00:00"/>
    <s v="Week9"/>
    <d v="2022-02-01T00:00:00"/>
    <s v="DRY2200056"/>
    <s v="USA"/>
    <s v="Bellisio Foods, Inc."/>
    <s v="C-Wonton"/>
    <s v="C-Wonton"/>
    <x v="1"/>
    <s v="Cooked Wonton Soup No Egg"/>
    <s v="082S8BW36005P00001"/>
    <s v="145g*6c*6"/>
    <n v="36"/>
    <n v="5"/>
    <n v="8.0000000000000002E-3"/>
    <s v="M"/>
    <s v="Salt"/>
    <s v="Regular"/>
    <n v="420"/>
    <n v="420"/>
    <m/>
    <n v="0"/>
    <n v="0"/>
    <m/>
    <m/>
    <m/>
  </r>
  <r>
    <x v="58"/>
    <d v="2022-03-07T00:00:00"/>
    <s v="Week9"/>
    <d v="2022-02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162"/>
    <n v="2162"/>
    <m/>
    <n v="0"/>
    <n v="0"/>
    <m/>
    <m/>
    <m/>
  </r>
  <r>
    <x v="58"/>
    <d v="2022-03-08T00:00:00"/>
    <s v="Week9"/>
    <d v="2022-02-01T00:00:00"/>
    <s v="ขายภายใน"/>
    <s v="FM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1315"/>
    <n v="1315"/>
    <m/>
    <n v="0"/>
    <n v="0"/>
    <n v="0"/>
    <m/>
    <n v="0"/>
  </r>
  <r>
    <x v="59"/>
    <d v="2022-03-09T00:00:00"/>
    <s v="Week9"/>
    <d v="2022-03-01T00:00:00"/>
    <s v="DRY2200046"/>
    <s v="CAN "/>
    <s v="Bellisio Foods Canada"/>
    <s v="C-Wonton"/>
    <s v="C-Wonton ND"/>
    <x v="15"/>
    <s v="Cooked Wonton Noodle (Enriched wonton sheet&amp;noodles)"/>
    <s v="082SJ5312005P01001"/>
    <s v="258g*12"/>
    <n v="12"/>
    <n v="5"/>
    <n v="8.0000000000000002E-3"/>
    <s v="M"/>
    <s v="Salt"/>
    <s v="Regular"/>
    <n v="2600"/>
    <m/>
    <n v="2600"/>
    <n v="0"/>
    <n v="0"/>
    <m/>
    <m/>
    <m/>
  </r>
  <r>
    <x v="59"/>
    <d v="2022-03-11T00:00:00"/>
    <s v="Week9"/>
    <d v="2022-03-01T00:00:00"/>
    <s v="DRY2200053"/>
    <s v="USA"/>
    <s v="Bellisio Foods, Inc."/>
    <s v="C-Wonton"/>
    <s v="C-Wonton ND"/>
    <x v="15"/>
    <s v="Cooked Wonton Noodle No Egg"/>
    <s v="082SJBW24005P00001"/>
    <s v="258g*4c*6in"/>
    <n v="24"/>
    <n v="5"/>
    <n v="8.0000000000000002E-3"/>
    <s v="M"/>
    <s v="Salt"/>
    <s v="Regular"/>
    <n v="700"/>
    <n v="700"/>
    <m/>
    <n v="0"/>
    <n v="0"/>
    <m/>
    <m/>
    <m/>
  </r>
  <r>
    <x v="59"/>
    <d v="2022-03-24T00:00:00"/>
    <s v="Week9"/>
    <d v="2022-03-01T00:00:00"/>
    <s v="DRY2200055"/>
    <s v="USA"/>
    <s v="Bellisio Foods, Inc."/>
    <s v="C-Wonton"/>
    <s v="C-Wonton ND"/>
    <x v="15"/>
    <s v="Cooked Wonton Noodle No Egg"/>
    <s v="082SJBW24005P00001"/>
    <s v="258g*4c*6in"/>
    <n v="24"/>
    <n v="5"/>
    <n v="8.0000000000000002E-3"/>
    <s v="M"/>
    <s v="Salt"/>
    <s v="Regular"/>
    <n v="860"/>
    <n v="860"/>
    <m/>
    <n v="0"/>
    <n v="0"/>
    <m/>
    <m/>
    <m/>
  </r>
  <r>
    <x v="59"/>
    <d v="2022-03-11T00:00:00"/>
    <s v="Week9"/>
    <d v="2022-03-01T00:00:00"/>
    <s v="DRY2200054"/>
    <s v="USA"/>
    <s v="Bellisio Foods, Inc."/>
    <s v="C-Wonton"/>
    <s v="C-Wonton ND"/>
    <x v="15"/>
    <s v="Cooked Wonton Noodle No Egg"/>
    <s v="082SJBW24005P00001"/>
    <s v="258g*4c*6in"/>
    <n v="24"/>
    <n v="5"/>
    <n v="8.0000000000000002E-3"/>
    <s v="M"/>
    <s v="Salt"/>
    <s v="Regular"/>
    <n v="750"/>
    <n v="750"/>
    <m/>
    <n v="0"/>
    <n v="0"/>
    <m/>
    <m/>
    <m/>
  </r>
  <r>
    <x v="59"/>
    <d v="2022-04-05T00:00:00"/>
    <s v="Week9"/>
    <d v="2022-03-01T00:00:00"/>
    <s v="DRY2200056"/>
    <s v="USA"/>
    <s v="Bellisio Foods, Inc."/>
    <s v="C-Wonton"/>
    <s v="C-Wonton ND"/>
    <x v="15"/>
    <s v="Cooked Wonton Noodle No Egg"/>
    <s v="082SJBW24005P00001"/>
    <s v="258g*4c*6in"/>
    <n v="24"/>
    <n v="5"/>
    <n v="8.0000000000000002E-3"/>
    <s v="M"/>
    <s v="Salt"/>
    <s v="Regular"/>
    <n v="680"/>
    <n v="680"/>
    <m/>
    <n v="0"/>
    <n v="0"/>
    <m/>
    <m/>
    <m/>
  </r>
  <r>
    <x v="59"/>
    <d v="2022-03-07T00:00:00"/>
    <s v="Week9"/>
    <d v="2022-03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836"/>
    <n v="836"/>
    <m/>
    <n v="0"/>
    <n v="0"/>
    <m/>
    <m/>
    <m/>
  </r>
  <r>
    <x v="59"/>
    <d v="2022-03-08T00:00:00"/>
    <s v="Week9"/>
    <d v="2022-03-01T00:00:00"/>
    <s v="ขายภายใน"/>
    <s v="FM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685"/>
    <n v="740"/>
    <m/>
    <n v="55"/>
    <n v="0"/>
    <n v="0"/>
    <m/>
    <n v="0"/>
  </r>
  <r>
    <x v="59"/>
    <d v="2022-03-11T00:00:00"/>
    <s v="Week9"/>
    <d v="2022-03-01T00:00:00"/>
    <s v="DRY2200053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</r>
  <r>
    <x v="59"/>
    <d v="2022-03-11T00:00:00"/>
    <s v="Week9"/>
    <d v="2022-03-01T00:00:00"/>
    <s v="DRY2200054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</r>
  <r>
    <x v="59"/>
    <d v="2022-04-05T00:00:00"/>
    <s v="Week9"/>
    <d v="2022-03-01T00:00:00"/>
    <s v="DRY2200056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</r>
  <r>
    <x v="60"/>
    <m/>
    <s v="Week9"/>
    <d v="2022-03-01T00:00:00"/>
    <s v="DRY210070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20"/>
    <n v="220"/>
    <m/>
    <n v="0"/>
    <n v="0"/>
    <m/>
    <m/>
    <m/>
  </r>
  <r>
    <x v="60"/>
    <m/>
    <s v="Week9"/>
    <d v="2022-03-01T00:00:00"/>
    <s v="DRY210070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60"/>
    <m/>
    <s v="Week9"/>
    <d v="2022-03-01T00:00:00"/>
    <s v="DRY220000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60"/>
    <m/>
    <s v="Week9"/>
    <d v="2022-03-01T00:00:00"/>
    <s v="DRY220000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60"/>
    <m/>
    <s v="Week9"/>
    <d v="2022-03-01T00:00:00"/>
    <s v="DRY220000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64"/>
    <n v="464"/>
    <m/>
    <n v="0"/>
    <n v="0"/>
    <m/>
    <m/>
    <m/>
  </r>
  <r>
    <x v="60"/>
    <d v="2022-03-11T00:00:00"/>
    <s v="Week9"/>
    <d v="2022-03-01T00:00:00"/>
    <s v="DRY2200053"/>
    <s v="USA"/>
    <s v="Bellisio Foods, Inc."/>
    <s v="C-Wonton"/>
    <s v="C-Wonton ND"/>
    <x v="5"/>
    <s v="Cooked Wonton ND No Egg with Pumpkin_x000a_+ Yu Choy Low sodium"/>
    <s v="082SJBW24005P01001"/>
    <s v="308g*4c*6in"/>
    <n v="24"/>
    <n v="5"/>
    <n v="7.4999999999999997E-3"/>
    <s v="HC"/>
    <s v="Salt"/>
    <s v="Y3"/>
    <n v="250"/>
    <n v="250"/>
    <m/>
    <n v="0"/>
    <n v="0"/>
    <m/>
    <m/>
    <m/>
  </r>
  <r>
    <x v="60"/>
    <d v="2022-03-24T00:00:00"/>
    <s v="Week9"/>
    <d v="2022-03-01T00:00:00"/>
    <s v="DRY2200055"/>
    <s v="USA"/>
    <s v="Bellisio Foods, Inc."/>
    <s v="C-Wonton"/>
    <s v="C-Wonton ND"/>
    <x v="5"/>
    <s v="Cooked Wonton ND No Egg with Pumpkin_x000a_+ Yu Choy Low sodium"/>
    <s v="082SJBW24005P01001"/>
    <s v="308g*4c*6in"/>
    <n v="24"/>
    <n v="5"/>
    <n v="7.4999999999999997E-3"/>
    <s v="HC"/>
    <s v="Salt"/>
    <s v="Y3"/>
    <n v="150"/>
    <n v="122"/>
    <n v="28.25"/>
    <n v="0.25"/>
    <n v="0"/>
    <m/>
    <m/>
    <m/>
  </r>
  <r>
    <x v="60"/>
    <d v="2022-04-01T00:00:00"/>
    <s v="Week9"/>
    <d v="2022-03-01T00:00:00"/>
    <s v="DRY2200102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150"/>
    <n v="150"/>
    <m/>
    <n v="0"/>
    <n v="0"/>
    <n v="0"/>
    <n v="6"/>
    <n v="0"/>
  </r>
  <r>
    <x v="60"/>
    <d v="2022-04-08T00:00:00"/>
    <s v="Week9"/>
    <d v="2022-03-01T00:00:00"/>
    <s v="DRY2200103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150"/>
    <n v="150"/>
    <n v="3"/>
    <n v="3"/>
    <n v="0"/>
    <n v="0"/>
    <n v="6"/>
    <n v="0"/>
  </r>
  <r>
    <x v="60"/>
    <d v="2022-04-08T00:00:00"/>
    <s v="Week9"/>
    <d v="2022-03-01T00:00:00"/>
    <s v="DRY2200048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285"/>
    <n v="285"/>
    <m/>
    <n v="0"/>
    <n v="0"/>
    <n v="0"/>
    <n v="6"/>
    <n v="0"/>
  </r>
  <r>
    <x v="61"/>
    <d v="2022-03-08T00:00:00"/>
    <s v="Week9"/>
    <d v="2022-03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5043"/>
    <n v="5043"/>
    <m/>
    <n v="0"/>
    <n v="0"/>
    <m/>
    <m/>
    <m/>
  </r>
  <r>
    <x v="61"/>
    <d v="2022-04-08T00:00:00"/>
    <s v="Week9"/>
    <d v="2022-03-01T00:00:00"/>
    <s v="DRY2200048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646"/>
    <n v="646"/>
    <m/>
    <n v="0"/>
    <n v="0"/>
    <n v="0"/>
    <n v="6"/>
    <n v="0"/>
  </r>
  <r>
    <x v="62"/>
    <d v="2022-03-10T00:00:00"/>
    <s v="Week9"/>
    <d v="2022-03-01T00:00:00"/>
    <s v="ขายภายใน"/>
    <s v="MTFS"/>
    <s v="ซีพีเอฟ เทรดดิ้ง"/>
    <s v="C-Wonton"/>
    <s v="C-Wonton"/>
    <x v="11"/>
    <s v="Cooked Wonton ND with egg V-Food"/>
    <s v="082SJ3Q12003P07001"/>
    <s v="226g*12"/>
    <n v="12"/>
    <n v="3"/>
    <n v="8.0000000000000002E-3"/>
    <s v="M"/>
    <s v="STPP"/>
    <s v="Regular"/>
    <n v="1000"/>
    <n v="1035"/>
    <m/>
    <n v="35"/>
    <n v="0"/>
    <m/>
    <m/>
    <m/>
  </r>
  <r>
    <x v="62"/>
    <d v="2022-03-04T00:00:00"/>
    <s v="Week9"/>
    <d v="2022-03-01T00:00:00"/>
    <s v="RD"/>
    <s v="MTFS"/>
    <s v="ชมรมกอล์ฟ"/>
    <s v="C-Wonton"/>
    <s v="C-Wonton"/>
    <x v="12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m/>
    <m/>
    <m/>
  </r>
  <r>
    <x v="62"/>
    <d v="2022-04-01T00:00:00"/>
    <s v="Week9"/>
    <d v="2022-03-01T00:00:00"/>
    <s v="RD"/>
    <s v="MTFS"/>
    <s v="ชมรมกอล์ฟ"/>
    <s v="C-Wonton"/>
    <s v="C-Wonton"/>
    <x v="12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m/>
    <m/>
    <m/>
  </r>
  <r>
    <x v="62"/>
    <d v="2022-03-08T00:00:00"/>
    <s v="Week9"/>
    <d v="2022-03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5000"/>
    <n v="5000"/>
    <m/>
    <n v="0"/>
    <n v="0"/>
    <m/>
    <m/>
    <m/>
  </r>
  <r>
    <x v="62"/>
    <d v="2022-03-09T00:00:00"/>
    <s v="Week9"/>
    <d v="2022-03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226"/>
    <n v="226"/>
    <m/>
    <n v="0"/>
    <n v="0"/>
    <m/>
    <n v="1"/>
    <n v="0"/>
  </r>
  <r>
    <x v="62"/>
    <d v="2022-03-09T00:00:00"/>
    <s v="Week9"/>
    <d v="2022-03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2000"/>
    <n v="2000"/>
    <m/>
    <n v="0"/>
    <n v="0"/>
    <m/>
    <n v="1"/>
    <n v="0"/>
  </r>
  <r>
    <x v="62"/>
    <m/>
    <s v="Week9"/>
    <d v="2022-03-01T00:00:00"/>
    <s v="ขายภายใน"/>
    <s v="MTFS"/>
    <s v="ซีพีเอฟ เทรดดิ้ง"/>
    <s v="C-Wonton"/>
    <s v="C-Wonton"/>
    <x v="14"/>
    <s v="Minced Wonton (5pcs)"/>
    <s v="082SK3Q12005P00001"/>
    <s v="135g*12"/>
    <n v="12"/>
    <n v="5"/>
    <n v="8.0000000000000002E-3"/>
    <s v="BK"/>
    <s v="STPP"/>
    <s v="Regular"/>
    <n v="500"/>
    <n v="646"/>
    <m/>
    <n v="146"/>
    <n v="0"/>
    <m/>
    <m/>
    <m/>
  </r>
  <r>
    <x v="62"/>
    <d v="2022-03-10T00:00:00"/>
    <s v="Week9"/>
    <d v="2022-03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1000"/>
    <n v="1000"/>
    <m/>
    <n v="0"/>
    <n v="0"/>
    <m/>
    <n v="1"/>
    <n v="0"/>
  </r>
  <r>
    <x v="62"/>
    <m/>
    <s v="Week9"/>
    <d v="2022-03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500"/>
    <n v="6"/>
    <n v="494"/>
    <n v="0"/>
    <n v="0"/>
    <m/>
    <n v="1"/>
    <n v="0"/>
  </r>
  <r>
    <x v="62"/>
    <d v="2022-03-28T00:00:00"/>
    <s v="Week9"/>
    <d v="2022-03-01T00:00:00"/>
    <s v="DRY2200071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1100"/>
    <n v="1100"/>
    <m/>
    <n v="0"/>
    <n v="0"/>
    <n v="0"/>
    <n v="1"/>
    <n v="0"/>
  </r>
  <r>
    <x v="62"/>
    <d v="2022-03-28T00:00:00"/>
    <s v="Week9"/>
    <d v="2022-03-01T00:00:00"/>
    <s v="DRY2200071"/>
    <s v="HK"/>
    <s v="CPM Hongkong"/>
    <s v="R-Wonton"/>
    <s v="R-Mince"/>
    <x v="9"/>
    <s v="Raw Minced Wonton 8 pcs"/>
    <s v="082ID3G18008P00001"/>
    <s v="90g*18in"/>
    <n v="18"/>
    <n v="8"/>
    <n v="5.0000000000000001E-3"/>
    <s v="BK"/>
    <s v="STPP"/>
    <s v="ซุปซอง 5g."/>
    <n v="800"/>
    <n v="800"/>
    <m/>
    <n v="0"/>
    <n v="0"/>
    <n v="0"/>
    <n v="2"/>
    <n v="0"/>
  </r>
  <r>
    <x v="63"/>
    <d v="2022-03-15T00:00:00"/>
    <s v="Week9"/>
    <d v="2022-03-01T00:00:00"/>
    <s v="DRY2200042"/>
    <s v="Germany"/>
    <s v=" CPF Distribution (under Paulsen Food)"/>
    <s v="C-Wonton"/>
    <s v="C-Wonton ND"/>
    <x v="5"/>
    <s v="Cooked Wonton ND No Egg with Pumpkin _x000a_+ Vegetable  HC  3 pcs"/>
    <s v="082SJ3N12003P01001"/>
    <s v="309g*12"/>
    <n v="12"/>
    <n v="3"/>
    <n v="7.4999999999999997E-3"/>
    <s v="HC"/>
    <s v="Salt"/>
    <s v="Regular"/>
    <n v="1685"/>
    <n v="1685"/>
    <n v="11.666666666666666"/>
    <n v="11.666666666666742"/>
    <n v="0"/>
    <m/>
    <m/>
    <m/>
  </r>
  <r>
    <x v="63"/>
    <d v="2022-03-15T00:00:00"/>
    <s v="Week9"/>
    <d v="2022-03-01T00:00:00"/>
    <s v="DRY2200042"/>
    <s v="Germany"/>
    <s v=" CPF Distribution (under Paulsen Food)"/>
    <s v="C-Wonton"/>
    <s v="C-Wonton ND"/>
    <x v="17"/>
    <s v="Cooked Minced  ND No Egg with Pumpkin_x000a_+ Yu Choy Tomyum"/>
    <s v="082SR3N12003P00001"/>
    <s v="302g*12"/>
    <n v="12"/>
    <n v="3"/>
    <n v="8.0000000000000002E-3"/>
    <s v="BK"/>
    <s v="Salt"/>
    <s v="TYEX+CO"/>
    <n v="835"/>
    <n v="835"/>
    <n v="10"/>
    <n v="10"/>
    <n v="0"/>
    <m/>
    <m/>
    <m/>
  </r>
  <r>
    <x v="63"/>
    <d v="2022-03-15T00:00:00"/>
    <s v="Week9"/>
    <d v="2022-03-01T00:00:00"/>
    <s v="DRY2200001"/>
    <s v="UK"/>
    <s v="Westbridge Foods Limited"/>
    <s v="C-Wonton ND"/>
    <s v="Wonton ND+V"/>
    <x v="8"/>
    <s v="Cooked Wonton ND No Egg with Pumpkin _x000a_+ Vegetable 5 pcs tomyam"/>
    <s v="082SJWE24005P00001"/>
    <s v="307g*4c*6in"/>
    <n v="24"/>
    <n v="5"/>
    <n v="7.4999999999999997E-3"/>
    <s v="M"/>
    <s v="Salt"/>
    <s v="TYEX"/>
    <n v="924"/>
    <n v="924"/>
    <m/>
    <n v="0"/>
    <n v="0"/>
    <m/>
    <m/>
    <m/>
  </r>
  <r>
    <x v="63"/>
    <d v="2022-03-15T00:00:00"/>
    <s v="Week9"/>
    <d v="2022-03-01T00:00:00"/>
    <s v="DRY2200002"/>
    <s v="UK"/>
    <s v="Westbridge Foods Limited"/>
    <s v="C-Wonton ND"/>
    <s v="Wonton ND+V"/>
    <x v="8"/>
    <s v="Cooked Wonton ND No Egg with Pumpkin _x000a_+ Vegetable 5 pcs tomyam"/>
    <s v="082SJWE24005P00001"/>
    <s v="307g*4c*6in"/>
    <n v="24"/>
    <n v="5"/>
    <n v="7.4999999999999997E-3"/>
    <s v="M"/>
    <s v="Salt"/>
    <s v="TYEX"/>
    <n v="924"/>
    <n v="924"/>
    <m/>
    <n v="0"/>
    <n v="0"/>
    <m/>
    <m/>
    <m/>
  </r>
  <r>
    <x v="63"/>
    <d v="2022-03-22T00:00:00"/>
    <s v="Week9"/>
    <d v="2022-03-01T00:00:00"/>
    <s v="DRY2200003"/>
    <s v="UK"/>
    <s v="Westbridge Foods Limited"/>
    <s v="C-Wonton ND"/>
    <s v="Wonton ND+V"/>
    <x v="8"/>
    <s v="Cooked Wonton ND No Egg with Pumpkin _x000a_+ Vegetable 5 pcs tomyam"/>
    <s v="082SJWE24005P00001"/>
    <s v="307g*4c*6in"/>
    <n v="24"/>
    <n v="5"/>
    <n v="7.4999999999999997E-3"/>
    <s v="M"/>
    <s v="Salt"/>
    <s v="TYEX"/>
    <n v="924"/>
    <n v="924"/>
    <m/>
    <n v="0"/>
    <n v="0"/>
    <m/>
    <m/>
    <m/>
  </r>
  <r>
    <x v="63"/>
    <d v="2022-03-22T00:00:00"/>
    <s v="Week9"/>
    <d v="2022-03-01T00:00:00"/>
    <s v="DRY2200004"/>
    <s v="UK"/>
    <s v="Westbridge Foods Limited"/>
    <s v="C-Wonton ND"/>
    <s v="Wonton ND+V"/>
    <x v="8"/>
    <s v="Cooked Wonton ND No Egg with Pumpkin _x000a_+ Vegetable 5 pcs tomyam"/>
    <s v="082SJWE24005P00001"/>
    <s v="307g*4c*6in"/>
    <n v="24"/>
    <n v="5"/>
    <n v="7.4999999999999997E-3"/>
    <s v="M"/>
    <s v="Salt"/>
    <s v="TYEX"/>
    <n v="924"/>
    <n v="924"/>
    <n v="2.4166666666666665"/>
    <n v="2.4166666666666288"/>
    <n v="0"/>
    <m/>
    <m/>
    <m/>
  </r>
  <r>
    <x v="63"/>
    <d v="2022-04-08T00:00:00"/>
    <s v="Week9"/>
    <d v="2022-03-01T00:00:00"/>
    <s v="DRY2200048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315"/>
    <n v="315"/>
    <n v="20"/>
    <n v="20"/>
    <n v="0"/>
    <n v="0"/>
    <n v="6"/>
    <n v="0"/>
  </r>
  <r>
    <x v="63"/>
    <d v="2022-03-08T00:00:00"/>
    <s v="Week9"/>
    <d v="2022-03-01T00:00:00"/>
    <s v="DRY2200057"/>
    <s v="SG"/>
    <s v="CPI SINGAPORE"/>
    <s v="R-Wonton"/>
    <s v="R-Wonton"/>
    <x v="18"/>
    <s v="Raw Wonton 50 pcs (Fried Sheet)"/>
    <s v="082I93B10050P04001"/>
    <s v="600g*10inner"/>
    <n v="10"/>
    <n v="50"/>
    <n v="6.8100000000000001E-3"/>
    <s v="S"/>
    <s v="STPP"/>
    <s v="-"/>
    <n v="100"/>
    <n v="100"/>
    <m/>
    <n v="0"/>
    <n v="0"/>
    <n v="0"/>
    <m/>
    <n v="0"/>
  </r>
  <r>
    <x v="64"/>
    <m/>
    <s v="Week10"/>
    <d v="2022-03-01T00:00:00"/>
    <m/>
    <m/>
    <m/>
    <m/>
    <m/>
    <x v="0"/>
    <m/>
    <m/>
    <m/>
    <m/>
    <m/>
    <m/>
    <m/>
    <m/>
    <m/>
    <m/>
    <m/>
    <m/>
    <m/>
    <m/>
    <m/>
    <m/>
    <m/>
  </r>
  <r>
    <x v="65"/>
    <d v="2022-03-11T00:00:00"/>
    <s v="Week10"/>
    <d v="2022-03-01T00:00:00"/>
    <s v="DRY2200067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</r>
  <r>
    <x v="65"/>
    <d v="2022-03-18T00:00:00"/>
    <s v="Week10"/>
    <d v="2022-03-01T00:00:00"/>
    <s v="DRY2200068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</r>
  <r>
    <x v="65"/>
    <m/>
    <s v="Week10"/>
    <d v="2022-03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1252"/>
    <n v="1252"/>
    <m/>
    <n v="0"/>
    <n v="0"/>
    <m/>
    <m/>
    <m/>
  </r>
  <r>
    <x v="66"/>
    <m/>
    <s v="Week10"/>
    <d v="2022-03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5056"/>
    <n v="5056"/>
    <m/>
    <n v="0"/>
    <n v="0"/>
    <m/>
    <m/>
    <m/>
  </r>
  <r>
    <x v="67"/>
    <d v="2022-03-09T00:00:00"/>
    <s v="Week10"/>
    <d v="2022-03-01T00:00:00"/>
    <s v="DRY2200038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97"/>
    <n v="97"/>
    <m/>
    <n v="0"/>
    <n v="0"/>
    <m/>
    <m/>
    <m/>
  </r>
  <r>
    <x v="67"/>
    <d v="2022-03-26T00:00:00"/>
    <s v="Week10"/>
    <d v="2022-03-01T00:00:00"/>
    <s v="DRY2200064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3500"/>
    <m/>
    <n v="3500"/>
    <n v="0"/>
    <n v="0"/>
    <m/>
    <m/>
    <m/>
  </r>
  <r>
    <x v="67"/>
    <d v="2022-03-29T00:00:00"/>
    <s v="Week10"/>
    <d v="2022-03-01T00:00:00"/>
    <s v="DRY2200065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258.625"/>
    <m/>
    <n v="258.625"/>
    <n v="0"/>
    <n v="0"/>
    <m/>
    <m/>
    <m/>
  </r>
  <r>
    <x v="67"/>
    <m/>
    <s v="Week10"/>
    <d v="2022-03-01T00:00:00"/>
    <s v="DRY220000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28"/>
    <n v="328"/>
    <m/>
    <n v="0"/>
    <n v="0"/>
    <m/>
    <m/>
    <m/>
  </r>
  <r>
    <x v="67"/>
    <m/>
    <s v="Week10"/>
    <d v="2022-03-01T00:00:00"/>
    <s v="DRY220000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67"/>
    <m/>
    <s v="Week10"/>
    <d v="2022-03-01T00:00:00"/>
    <s v="DRY220001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67"/>
    <m/>
    <s v="Week10"/>
    <d v="2022-03-01T00:00:00"/>
    <s v="DRY220001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30"/>
    <n v="530"/>
    <m/>
    <n v="0"/>
    <n v="0"/>
    <m/>
    <m/>
    <m/>
  </r>
  <r>
    <x v="68"/>
    <d v="2022-03-29T00:00:00"/>
    <s v="Week10"/>
    <d v="2022-03-01T00:00:00"/>
    <s v="DRY2200065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3241.375"/>
    <m/>
    <n v="3241.375"/>
    <n v="0"/>
    <n v="0"/>
    <m/>
    <m/>
    <m/>
  </r>
  <r>
    <x v="68"/>
    <d v="2022-04-20T00:00:00"/>
    <s v="Week10"/>
    <d v="2022-03-01T00:00:00"/>
    <s v="DRY2200110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344.625"/>
    <m/>
    <n v="344.625"/>
    <n v="0"/>
    <n v="0"/>
    <m/>
    <m/>
    <m/>
  </r>
  <r>
    <x v="68"/>
    <m/>
    <s v="Week10"/>
    <d v="2022-03-01T00:00:00"/>
    <s v="DRY220001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62"/>
    <n v="262"/>
    <m/>
    <n v="0"/>
    <n v="0"/>
    <m/>
    <m/>
    <m/>
  </r>
  <r>
    <x v="68"/>
    <m/>
    <s v="Week10"/>
    <d v="2022-03-01T00:00:00"/>
    <s v="DRY220001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68"/>
    <m/>
    <s v="Week10"/>
    <d v="2022-03-01T00:00:00"/>
    <s v="DRY220001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68"/>
    <m/>
    <s v="Week10"/>
    <d v="2022-03-01T00:00:00"/>
    <s v="DRY220001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22"/>
    <n v="722"/>
    <m/>
    <n v="0"/>
    <n v="0"/>
    <m/>
    <m/>
    <m/>
  </r>
  <r>
    <x v="69"/>
    <m/>
    <s v="Week10"/>
    <d v="2022-03-01T00:00:00"/>
    <s v="DRY220001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0"/>
    <n v="70"/>
    <m/>
    <n v="0"/>
    <n v="0"/>
    <m/>
    <m/>
    <m/>
  </r>
  <r>
    <x v="69"/>
    <m/>
    <s v="Week10"/>
    <d v="2022-03-01T00:00:00"/>
    <s v="DRY220001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69"/>
    <m/>
    <s v="Week10"/>
    <d v="2022-03-01T00:00:00"/>
    <s v="DRY220001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69"/>
    <m/>
    <s v="Week10"/>
    <d v="2022-03-01T00:00:00"/>
    <s v="DRY220001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69"/>
    <m/>
    <s v="Week10"/>
    <d v="2022-03-01T00:00:00"/>
    <s v="DRY220001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69"/>
    <m/>
    <s v="Week10"/>
    <d v="2022-03-01T00:00:00"/>
    <s v="DRY220001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36"/>
    <n v="136"/>
    <m/>
    <n v="0"/>
    <n v="0"/>
    <m/>
    <m/>
    <m/>
  </r>
  <r>
    <x v="70"/>
    <d v="2022-03-21T00:00:00"/>
    <s v="Week10"/>
    <d v="2022-03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3000"/>
    <n v="3036"/>
    <m/>
    <n v="36"/>
    <n v="0"/>
    <m/>
    <m/>
    <m/>
  </r>
  <r>
    <x v="70"/>
    <d v="2022-03-17T00:00:00"/>
    <s v="Week10"/>
    <d v="2022-03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3100"/>
    <n v="3087"/>
    <m/>
    <n v="-13"/>
    <n v="156"/>
    <m/>
    <m/>
    <m/>
  </r>
  <r>
    <x v="70"/>
    <d v="2022-03-18T00:00:00"/>
    <s v="Week10"/>
    <d v="2022-03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1000"/>
    <n v="1000"/>
    <m/>
    <n v="0"/>
    <n v="0"/>
    <m/>
    <n v="1"/>
    <n v="0"/>
  </r>
  <r>
    <x v="71"/>
    <m/>
    <s v="Week11"/>
    <d v="2022-03-01T00:00:00"/>
    <m/>
    <m/>
    <m/>
    <m/>
    <m/>
    <x v="0"/>
    <m/>
    <m/>
    <m/>
    <m/>
    <m/>
    <m/>
    <m/>
    <m/>
    <m/>
    <m/>
    <m/>
    <m/>
    <m/>
    <m/>
    <m/>
    <m/>
    <m/>
  </r>
  <r>
    <x v="72"/>
    <m/>
    <s v="Week11"/>
    <d v="2022-03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5131"/>
    <n v="5131"/>
    <m/>
    <n v="0"/>
    <n v="0"/>
    <m/>
    <m/>
    <m/>
  </r>
  <r>
    <x v="73"/>
    <m/>
    <s v="Week11"/>
    <d v="2022-03-01T00:00:00"/>
    <s v="DRY2100759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740"/>
    <n v="740"/>
    <m/>
    <n v="0"/>
    <n v="0"/>
    <m/>
    <m/>
    <m/>
  </r>
  <r>
    <x v="73"/>
    <m/>
    <s v="Week11"/>
    <d v="2022-03-01T00:00:00"/>
    <s v="DRY2100760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88"/>
    <n v="1288"/>
    <m/>
    <n v="0"/>
    <n v="0"/>
    <m/>
    <m/>
    <m/>
  </r>
  <r>
    <x v="73"/>
    <m/>
    <s v="Week11"/>
    <d v="2022-03-01T00:00:00"/>
    <s v="DRY2100761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88"/>
    <n v="1288"/>
    <m/>
    <n v="0"/>
    <n v="0"/>
    <m/>
    <m/>
    <m/>
  </r>
  <r>
    <x v="73"/>
    <m/>
    <s v="Week11"/>
    <d v="2022-03-01T00:00:00"/>
    <s v="DRY2100762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330"/>
    <n v="330"/>
    <m/>
    <n v="0"/>
    <n v="0"/>
    <m/>
    <m/>
    <m/>
  </r>
  <r>
    <x v="74"/>
    <d v="2022-04-01T00:00:00"/>
    <s v="Week11"/>
    <d v="2022-03-01T00:00:00"/>
    <s v="DRY2200102"/>
    <s v="USA"/>
    <s v="Bellisio Foods, Inc."/>
    <s v="C-Wonton"/>
    <s v="C-Wonton"/>
    <x v="1"/>
    <s v="Cooked Wonton Soup No Egg"/>
    <s v="082S8BW36005P00001"/>
    <s v="145g*6c*6"/>
    <n v="36"/>
    <n v="5"/>
    <n v="8.0000000000000002E-3"/>
    <s v="M"/>
    <s v="Salt"/>
    <s v="Regular"/>
    <n v="550"/>
    <n v="550"/>
    <m/>
    <n v="0"/>
    <n v="0"/>
    <m/>
    <m/>
    <m/>
  </r>
  <r>
    <x v="74"/>
    <d v="2022-04-08T00:00:00"/>
    <s v="Week11"/>
    <d v="2022-03-01T00:00:00"/>
    <s v="DRY2200103"/>
    <s v="USA"/>
    <s v="Bellisio Foods, Inc."/>
    <s v="C-Wonton"/>
    <s v="C-Wonton"/>
    <x v="1"/>
    <s v="Cooked Wonton Soup No Egg"/>
    <s v="082S8BW36005P00001"/>
    <s v="145g*6c*6"/>
    <n v="36"/>
    <n v="5"/>
    <n v="8.0000000000000002E-3"/>
    <s v="M"/>
    <s v="Salt"/>
    <s v="Regular"/>
    <n v="550"/>
    <n v="549"/>
    <m/>
    <n v="-1"/>
    <n v="36"/>
    <m/>
    <m/>
    <m/>
  </r>
  <r>
    <x v="74"/>
    <m/>
    <s v="Week11"/>
    <d v="2022-03-01T00:00:00"/>
    <s v="DRY2100762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958"/>
    <n v="958"/>
    <m/>
    <n v="0"/>
    <n v="0"/>
    <m/>
    <m/>
    <m/>
  </r>
  <r>
    <x v="74"/>
    <m/>
    <s v="Week11"/>
    <d v="2022-03-01T00:00:00"/>
    <s v="DRY2100763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88"/>
    <n v="1221"/>
    <n v="67"/>
    <n v="0"/>
    <n v="0"/>
    <m/>
    <m/>
    <m/>
  </r>
  <r>
    <x v="74"/>
    <m/>
    <s v="Week11"/>
    <d v="2022-03-01T00:00:00"/>
    <s v="DRY2100764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305"/>
    <m/>
    <n v="305"/>
    <n v="0"/>
    <n v="0"/>
    <m/>
    <m/>
    <m/>
  </r>
  <r>
    <x v="75"/>
    <d v="2022-04-01T00:00:00"/>
    <s v="Week11"/>
    <d v="2022-03-01T00:00:00"/>
    <s v="DRY2200069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</r>
  <r>
    <x v="75"/>
    <d v="2022-04-08T00:00:00"/>
    <s v="Week11"/>
    <d v="2022-03-01T00:00:00"/>
    <s v="DRY2200070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</r>
  <r>
    <x v="75"/>
    <d v="2022-04-01T00:00:00"/>
    <s v="Week11"/>
    <d v="2022-03-01T00:00:00"/>
    <s v="DRY2200102"/>
    <s v="USA"/>
    <s v="Bellisio Foods, Inc."/>
    <s v="C-Wonton"/>
    <s v="C-Wonton ND"/>
    <x v="15"/>
    <s v="Cooked Wonton Noodle No Egg"/>
    <s v="082SJBW24005P00001"/>
    <s v="258g*4c*6in"/>
    <n v="24"/>
    <n v="5"/>
    <n v="8.0000000000000002E-3"/>
    <s v="M"/>
    <s v="Salt"/>
    <s v="Regular"/>
    <n v="550"/>
    <n v="550"/>
    <m/>
    <n v="0"/>
    <n v="0"/>
    <m/>
    <m/>
    <m/>
  </r>
  <r>
    <x v="75"/>
    <d v="2022-04-08T00:00:00"/>
    <s v="Week11"/>
    <d v="2022-03-01T00:00:00"/>
    <s v="DRY2200103"/>
    <s v="USA"/>
    <s v="Bellisio Foods, Inc."/>
    <s v="C-Wonton"/>
    <s v="C-Wonton ND"/>
    <x v="15"/>
    <s v="Cooked Wonton Noodle No Egg"/>
    <s v="082SJBW24005P00001"/>
    <s v="258g*4c*6in"/>
    <n v="24"/>
    <n v="5"/>
    <n v="8.0000000000000002E-3"/>
    <s v="M"/>
    <s v="Salt"/>
    <s v="Regular"/>
    <n v="550"/>
    <n v="550"/>
    <m/>
    <n v="0"/>
    <n v="0"/>
    <m/>
    <m/>
    <m/>
  </r>
  <r>
    <x v="75"/>
    <d v="2022-04-20T00:00:00"/>
    <s v="Week11"/>
    <d v="2022-03-01T00:00:00"/>
    <s v="DRY2200110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655"/>
    <m/>
    <n v="655"/>
    <n v="0"/>
    <n v="0"/>
    <m/>
    <m/>
    <m/>
  </r>
  <r>
    <x v="75"/>
    <d v="2022-05-05T00:00:00"/>
    <s v="Week11"/>
    <d v="2022-03-01T00:00:00"/>
    <s v="DRY2200108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80.25"/>
    <m/>
    <n v="80.25"/>
    <n v="0"/>
    <n v="0"/>
    <m/>
    <m/>
    <m/>
  </r>
  <r>
    <x v="76"/>
    <d v="2022-04-11T00:00:00"/>
    <s v="Week11"/>
    <d v="2022-03-01T00:00:00"/>
    <s v="DRY220001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56"/>
    <n v="656"/>
    <m/>
    <n v="0"/>
    <n v="0"/>
    <m/>
    <m/>
    <m/>
  </r>
  <r>
    <x v="76"/>
    <d v="2022-04-11T00:00:00"/>
    <s v="Week11"/>
    <d v="2022-03-01T00:00:00"/>
    <s v="DRY220002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6"/>
    <d v="2022-04-11T00:00:00"/>
    <s v="Week11"/>
    <d v="2022-03-01T00:00:00"/>
    <s v="DRY220002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6"/>
    <d v="2022-04-11T00:00:00"/>
    <s v="Week11"/>
    <d v="2022-03-01T00:00:00"/>
    <s v="DRY220002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6"/>
    <d v="2022-04-11T00:00:00"/>
    <s v="Week11"/>
    <d v="2022-03-01T00:00:00"/>
    <s v="DRY220002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76"/>
    <n v="476"/>
    <m/>
    <n v="0"/>
    <n v="0"/>
    <m/>
    <m/>
    <m/>
  </r>
  <r>
    <x v="77"/>
    <m/>
    <s v="Week11"/>
    <d v="2022-03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5159"/>
    <n v="5159"/>
    <m/>
    <n v="0"/>
    <n v="0"/>
    <m/>
    <m/>
    <m/>
  </r>
  <r>
    <x v="77"/>
    <d v="2022-03-23T00:00:00"/>
    <s v="Week11"/>
    <d v="2022-03-01T00:00:00"/>
    <s v="DRY2100706"/>
    <s v="AUS"/>
    <s v="CPM Australia"/>
    <s v="C-Wonton"/>
    <s v="C-Wonton ND"/>
    <x v="17"/>
    <s v="Cooked Minced  ND No Egg with Pumpkin_x000a_+ Yu Choy Tomyum"/>
    <s v="082SR9U08003P00001"/>
    <s v="302g*8"/>
    <n v="8"/>
    <n v="3"/>
    <n v="8.0000000000000002E-3"/>
    <s v="BK"/>
    <s v="Salt"/>
    <s v="TYA+CO"/>
    <n v="36.625"/>
    <m/>
    <n v="70"/>
    <n v="33.375"/>
    <n v="0"/>
    <m/>
    <m/>
    <m/>
  </r>
  <r>
    <x v="78"/>
    <m/>
    <s v="Week12"/>
    <d v="2022-03-01T00:00:00"/>
    <m/>
    <m/>
    <m/>
    <m/>
    <m/>
    <x v="0"/>
    <m/>
    <m/>
    <m/>
    <m/>
    <m/>
    <m/>
    <m/>
    <m/>
    <m/>
    <m/>
    <m/>
    <m/>
    <m/>
    <m/>
    <m/>
    <m/>
    <m/>
  </r>
  <r>
    <x v="79"/>
    <m/>
    <s v="Week12"/>
    <d v="2022-03-01T00:00:00"/>
    <s v="DRY2200106"/>
    <s v="CAN "/>
    <s v="Bellisio Foods Canada"/>
    <s v="C-Wonton"/>
    <s v="C-Wonton ND"/>
    <x v="15"/>
    <s v="Cooked Wonton Noodle (Enriched wonton sheet&amp;noodles)"/>
    <s v="082SJ5312005P01001"/>
    <s v="258g*12"/>
    <n v="12"/>
    <n v="5"/>
    <n v="8.0000000000000002E-3"/>
    <s v="M"/>
    <s v="Salt"/>
    <s v="Regular"/>
    <n v="2600"/>
    <m/>
    <n v="2600"/>
    <n v="0"/>
    <n v="0"/>
    <m/>
    <m/>
    <m/>
  </r>
  <r>
    <x v="79"/>
    <m/>
    <s v="Week12"/>
    <d v="2022-03-01T00:00:00"/>
    <s v="DRY2200107"/>
    <s v="CAN "/>
    <s v="Bellisio Foods Canada"/>
    <s v="C-Wonton"/>
    <s v="C-Wonton ND"/>
    <x v="15"/>
    <s v="Cooked Wonton Noodle (Enriched wonton sheet&amp;noodles)"/>
    <s v="082SJ5312005P01001"/>
    <s v="258g*12"/>
    <n v="12"/>
    <n v="5"/>
    <n v="8.0000000000000002E-3"/>
    <s v="M"/>
    <s v="Salt"/>
    <s v="Regular"/>
    <n v="2600"/>
    <m/>
    <n v="2600"/>
    <n v="0"/>
    <n v="0"/>
    <m/>
    <m/>
    <m/>
  </r>
  <r>
    <x v="79"/>
    <d v="2022-05-05T00:00:00"/>
    <s v="Week12"/>
    <d v="2022-03-01T00:00:00"/>
    <s v="DRY2200108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3420"/>
    <m/>
    <n v="3420"/>
    <n v="0"/>
    <n v="0"/>
    <m/>
    <m/>
    <m/>
  </r>
  <r>
    <x v="79"/>
    <d v="2022-05-18T00:00:00"/>
    <s v="Week12"/>
    <d v="2022-03-01T00:00:00"/>
    <s v="DRY2200109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3382.875"/>
    <m/>
    <n v="3382.875"/>
    <n v="0"/>
    <n v="0"/>
    <m/>
    <m/>
    <m/>
  </r>
  <r>
    <x v="80"/>
    <d v="2022-04-04T00:00:00"/>
    <s v="Week12"/>
    <d v="2022-03-01T00:00:00"/>
    <s v="DRY2200115"/>
    <s v="HK"/>
    <s v="CPM Hongkong"/>
    <s v="C-Wonton"/>
    <s v="C-Wonton ND"/>
    <x v="7"/>
    <s v="Cooked Minced Wonton No Egg  4 pcs"/>
    <s v="082SK3G12004P00001"/>
    <s v="113g*12"/>
    <n v="12"/>
    <n v="4"/>
    <n v="8.0000000000000002E-3"/>
    <s v="BK"/>
    <s v="Salt"/>
    <s v="Regular"/>
    <n v="700"/>
    <n v="700"/>
    <n v="10.916666666666666"/>
    <n v="10.916666666666629"/>
    <n v="0"/>
    <m/>
    <m/>
    <m/>
  </r>
  <r>
    <x v="80"/>
    <m/>
    <s v="Week12"/>
    <d v="2022-03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4654"/>
    <n v="4677"/>
    <m/>
    <n v="23"/>
    <n v="0"/>
    <m/>
    <m/>
    <m/>
  </r>
  <r>
    <x v="80"/>
    <d v="2022-04-04T00:00:00"/>
    <s v="Week12"/>
    <d v="2022-03-01T00:00:00"/>
    <s v="DRY2200115"/>
    <s v="HK"/>
    <s v="CPM Hongkong"/>
    <s v="C-Wonton"/>
    <s v="C-Wonton ND"/>
    <x v="3"/>
    <s v="Cooked Minced Wonton Noodle No Egg 5 pcs"/>
    <s v="082SR3G12005P00001"/>
    <s v="258g*12"/>
    <n v="12"/>
    <n v="5"/>
    <n v="8.0000000000000002E-3"/>
    <s v="BK"/>
    <s v="Salt"/>
    <s v="Regular"/>
    <n v="650"/>
    <n v="650"/>
    <n v="7.166666666666667"/>
    <n v="7.1666666666666288"/>
    <n v="0"/>
    <m/>
    <m/>
    <m/>
  </r>
  <r>
    <x v="80"/>
    <d v="2022-05-18T00:00:00"/>
    <s v="Week12"/>
    <d v="2022-03-01T00:00:00"/>
    <s v="DRY2200109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117.125"/>
    <m/>
    <n v="133.875"/>
    <n v="16.75"/>
    <n v="0"/>
    <m/>
    <m/>
    <m/>
  </r>
  <r>
    <x v="81"/>
    <d v="2022-04-11T00:00:00"/>
    <s v="Week12"/>
    <d v="2022-03-01T00:00:00"/>
    <s v="DRY220002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16"/>
    <n v="316"/>
    <m/>
    <n v="0"/>
    <n v="0"/>
    <m/>
    <m/>
    <m/>
  </r>
  <r>
    <x v="81"/>
    <d v="2022-04-11T00:00:00"/>
    <s v="Week12"/>
    <d v="2022-03-01T00:00:00"/>
    <s v="DRY220002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1"/>
    <d v="2022-04-11T00:00:00"/>
    <s v="Week12"/>
    <d v="2022-03-01T00:00:00"/>
    <s v="DRY220002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1"/>
    <d v="2022-04-11T00:00:00"/>
    <s v="Week12"/>
    <d v="2022-03-01T00:00:00"/>
    <s v="DRY220002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1"/>
    <d v="2022-04-11T00:00:00"/>
    <s v="Week12"/>
    <d v="2022-03-01T00:00:00"/>
    <s v="DRY220002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33"/>
    <n v="133"/>
    <m/>
    <n v="0"/>
    <n v="0"/>
    <m/>
    <m/>
    <m/>
  </r>
  <r>
    <x v="81"/>
    <m/>
    <s v="Week12"/>
    <d v="2022-03-01T00:00:00"/>
    <s v="ขายภายใน"/>
    <s v="FM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1000"/>
    <n v="230"/>
    <n v="850.33333333333337"/>
    <n v="80.333333333333485"/>
    <n v="0"/>
    <n v="0"/>
    <m/>
    <n v="0"/>
  </r>
  <r>
    <x v="82"/>
    <d v="2022-05-24T00:00:00"/>
    <s v="Week12"/>
    <d v="2022-03-01T00:00:00"/>
    <s v="DRY2200152"/>
    <s v="Belgium"/>
    <s v="CPF EUROPE S.A."/>
    <s v="C-Wonton"/>
    <s v="C-Wonton"/>
    <x v="19"/>
    <s v="Cooked Wonton  No Egg _x000a_+ Vegetable  HC  4 pcs"/>
    <s v="082S83I08004P00001"/>
    <s v="145g*8"/>
    <n v="8"/>
    <n v="4"/>
    <n v="7.4999999999999997E-3"/>
    <s v="HC"/>
    <s v="Salt"/>
    <s v="Regular"/>
    <n v="5000"/>
    <m/>
    <n v="4962.375"/>
    <n v="-37.625"/>
    <n v="301"/>
    <m/>
    <m/>
    <m/>
  </r>
  <r>
    <x v="82"/>
    <d v="2022-05-03T00:00:00"/>
    <s v="Week12"/>
    <d v="2022-03-01T00:00:00"/>
    <s v="DRY2200146"/>
    <s v="UK"/>
    <s v="Food Fellas"/>
    <s v="C-Wonton"/>
    <s v="C-Wonton"/>
    <x v="1"/>
    <s v="Cooked Wonton  No Egg_x000a_HC  5 pcs"/>
    <s v="082S85L08005P03001"/>
    <s v="145g*8"/>
    <n v="8"/>
    <n v="5"/>
    <n v="7.4999999999999997E-3"/>
    <s v="HC"/>
    <s v="Salt"/>
    <s v="Regular"/>
    <n v="2200"/>
    <m/>
    <n v="2367"/>
    <n v="167"/>
    <n v="0"/>
    <m/>
    <m/>
    <m/>
  </r>
  <r>
    <x v="82"/>
    <d v="2022-04-11T00:00:00"/>
    <s v="Week12"/>
    <d v="2022-03-01T00:00:00"/>
    <s v="DRY220002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39"/>
    <n v="339"/>
    <m/>
    <n v="0"/>
    <n v="0"/>
    <m/>
    <m/>
    <m/>
  </r>
  <r>
    <x v="83"/>
    <d v="2022-04-20T00:00:00"/>
    <s v="Week12"/>
    <d v="2022-03-01T00:00:00"/>
    <s v="DRY2200104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816"/>
    <n v="3"/>
    <n v="813"/>
    <n v="0"/>
    <n v="0"/>
    <m/>
    <n v="1"/>
    <n v="13056"/>
  </r>
  <r>
    <x v="83"/>
    <m/>
    <s v="Week12"/>
    <d v="2022-03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4500"/>
    <n v="4555"/>
    <m/>
    <n v="55"/>
    <n v="0"/>
    <m/>
    <m/>
    <m/>
  </r>
  <r>
    <x v="83"/>
    <m/>
    <s v="Week12"/>
    <d v="2022-03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1000"/>
    <n v="1044"/>
    <m/>
    <n v="44"/>
    <n v="0"/>
    <m/>
    <n v="1"/>
    <n v="0"/>
  </r>
  <r>
    <x v="83"/>
    <m/>
    <s v="Week12"/>
    <d v="2022-03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1435"/>
    <n v="1480"/>
    <m/>
    <n v="45"/>
    <n v="0"/>
    <m/>
    <m/>
    <m/>
  </r>
  <r>
    <x v="84"/>
    <d v="2022-04-20T00:00:00"/>
    <s v="Week12"/>
    <d v="2022-03-01T00:00:00"/>
    <s v="DRY2200104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883"/>
    <n v="145"/>
    <n v="738.375"/>
    <n v="0.375"/>
    <n v="0"/>
    <m/>
    <n v="1"/>
    <n v="14128"/>
  </r>
  <r>
    <x v="84"/>
    <m/>
    <s v="Week12"/>
    <d v="2022-03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4167"/>
    <n v="4253"/>
    <m/>
    <n v="86"/>
    <n v="0"/>
    <m/>
    <m/>
    <m/>
  </r>
  <r>
    <x v="85"/>
    <m/>
    <s v="Week13"/>
    <d v="2022-03-01T00:00:00"/>
    <m/>
    <m/>
    <m/>
    <m/>
    <m/>
    <x v="0"/>
    <m/>
    <m/>
    <m/>
    <m/>
    <m/>
    <m/>
    <m/>
    <m/>
    <m/>
    <m/>
    <m/>
    <m/>
    <m/>
    <m/>
    <m/>
    <m/>
    <m/>
  </r>
  <r>
    <x v="86"/>
    <d v="2022-04-20T00:00:00"/>
    <s v="Week13"/>
    <d v="2022-03-01T00:00:00"/>
    <s v="DRY2200104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836"/>
    <n v="300"/>
    <n v="535.625"/>
    <n v="-0.375"/>
    <n v="6"/>
    <m/>
    <n v="1"/>
    <n v="13376"/>
  </r>
  <r>
    <x v="86"/>
    <d v="2022-04-11T00:00:00"/>
    <s v="Week13"/>
    <d v="2022-03-01T00:00:00"/>
    <s v="DRY2200111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n v="6.1666666666666714"/>
    <n v="6.1666666666667425"/>
    <n v="0"/>
    <m/>
    <m/>
    <m/>
  </r>
  <r>
    <x v="86"/>
    <d v="2022-04-06T00:00:00"/>
    <s v="Week13"/>
    <d v="2022-03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326"/>
    <n v="2326"/>
    <m/>
    <n v="0"/>
    <n v="0"/>
    <m/>
    <m/>
    <m/>
  </r>
  <r>
    <x v="87"/>
    <d v="2022-04-20T00:00:00"/>
    <s v="Week13"/>
    <d v="2022-03-01T00:00:00"/>
    <s v="DRY2200104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834"/>
    <n v="14"/>
    <n v="820.125"/>
    <n v="0.125"/>
    <n v="0"/>
    <m/>
    <n v="1"/>
    <n v="13344"/>
  </r>
  <r>
    <x v="87"/>
    <m/>
    <s v="Week13"/>
    <d v="2022-03-01T00:00:00"/>
    <s v="ขายภายใน"/>
    <s v="MTFS"/>
    <s v="ซีพีเอฟ เทรดดิ้ง"/>
    <s v="C-Wonton"/>
    <s v="C-Wonton"/>
    <x v="14"/>
    <s v="Minced Wonton (5pcs)"/>
    <s v="082SK3Q12005P00001"/>
    <s v="135g*12"/>
    <n v="12"/>
    <n v="5"/>
    <n v="8.0000000000000002E-3"/>
    <s v="BK"/>
    <s v="STPP"/>
    <s v="Regular"/>
    <n v="800"/>
    <n v="800"/>
    <m/>
    <n v="0"/>
    <n v="0"/>
    <m/>
    <m/>
    <m/>
  </r>
  <r>
    <x v="87"/>
    <m/>
    <s v="Week13"/>
    <d v="2022-03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3946"/>
    <n v="3946"/>
    <m/>
    <n v="0"/>
    <n v="0"/>
    <m/>
    <m/>
    <m/>
  </r>
  <r>
    <x v="88"/>
    <d v="2022-04-20T00:00:00"/>
    <s v="Week13"/>
    <d v="2022-03-01T00:00:00"/>
    <s v="DRY2200104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800"/>
    <m/>
    <n v="800"/>
    <n v="0"/>
    <n v="0"/>
    <m/>
    <n v="1"/>
    <n v="12800"/>
  </r>
  <r>
    <x v="88"/>
    <d v="2022-04-08T00:00:00"/>
    <s v="Week13"/>
    <d v="2022-03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958"/>
    <n v="958"/>
    <m/>
    <n v="0"/>
    <n v="0"/>
    <m/>
    <m/>
    <m/>
  </r>
  <r>
    <x v="88"/>
    <m/>
    <s v="Week13"/>
    <d v="2022-03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2248"/>
    <n v="2248"/>
    <m/>
    <n v="0"/>
    <n v="0"/>
    <m/>
    <m/>
    <m/>
  </r>
  <r>
    <x v="88"/>
    <d v="2022-04-06T00:00:00"/>
    <s v="Week13"/>
    <d v="2022-03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1500"/>
    <n v="1204"/>
    <n v="296"/>
    <n v="0"/>
    <n v="0"/>
    <m/>
    <n v="1"/>
    <n v="0"/>
  </r>
  <r>
    <x v="89"/>
    <d v="2022-04-20T00:00:00"/>
    <s v="Week13"/>
    <d v="2022-03-01T00:00:00"/>
    <s v="DRY2200104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498"/>
    <m/>
    <n v="629.375"/>
    <n v="131.375"/>
    <n v="0"/>
    <m/>
    <n v="1"/>
    <n v="7968"/>
  </r>
  <r>
    <x v="89"/>
    <m/>
    <s v="Week13"/>
    <d v="2022-03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995"/>
    <n v="995"/>
    <m/>
    <n v="0"/>
    <n v="0"/>
    <m/>
    <m/>
    <m/>
  </r>
  <r>
    <x v="89"/>
    <d v="2022-04-08T00:00:00"/>
    <s v="Week13"/>
    <d v="2022-03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3361"/>
    <n v="3361"/>
    <m/>
    <n v="0"/>
    <n v="0"/>
    <m/>
    <m/>
    <m/>
  </r>
  <r>
    <x v="90"/>
    <d v="2022-04-11T00:00:00"/>
    <s v="Week13"/>
    <d v="2022-04-01T00:00:00"/>
    <s v="DRY220002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20"/>
    <n v="320"/>
    <m/>
    <n v="0"/>
    <n v="0"/>
    <m/>
    <m/>
    <m/>
  </r>
  <r>
    <x v="90"/>
    <d v="2022-04-12T00:00:00"/>
    <s v="Week13"/>
    <d v="2022-04-01T00:00:00"/>
    <s v="DRY220002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90"/>
    <d v="2022-04-12T00:00:00"/>
    <s v="Week13"/>
    <d v="2022-04-01T00:00:00"/>
    <s v="DRY220002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90"/>
    <d v="2022-04-12T00:00:00"/>
    <s v="Week13"/>
    <d v="2022-04-01T00:00:00"/>
    <s v="DRY220003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90"/>
    <d v="2022-04-12T00:00:00"/>
    <s v="Week13"/>
    <d v="2022-04-01T00:00:00"/>
    <s v="DRY220003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57"/>
    <n v="157"/>
    <m/>
    <n v="0"/>
    <n v="0"/>
    <m/>
    <m/>
    <m/>
  </r>
  <r>
    <x v="90"/>
    <d v="2022-04-06T00:00:00"/>
    <s v="Week13"/>
    <d v="2022-04-01T00:00:00"/>
    <s v="DRY2200105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900"/>
    <n v="834"/>
    <n v="66"/>
    <n v="0"/>
    <n v="0"/>
    <n v="0"/>
    <n v="1"/>
    <n v="0"/>
  </r>
  <r>
    <x v="90"/>
    <d v="2022-04-06T00:00:00"/>
    <s v="Week13"/>
    <d v="2022-04-01T00:00:00"/>
    <s v="DRY2200105"/>
    <s v="HK"/>
    <s v="CPM Hongkong"/>
    <s v="R-Wonton"/>
    <s v="R-Mince"/>
    <x v="9"/>
    <s v="Raw Minced Wonton 8 pcs"/>
    <s v="082ID3G18008P00001"/>
    <s v="90g*18in"/>
    <n v="18"/>
    <n v="8"/>
    <n v="5.0000000000000001E-3"/>
    <s v="BK"/>
    <s v="STPP"/>
    <s v="ซุปซอง 5g."/>
    <n v="606"/>
    <n v="557"/>
    <n v="49"/>
    <n v="0"/>
    <n v="0"/>
    <n v="0"/>
    <n v="2"/>
    <n v="0"/>
  </r>
  <r>
    <x v="91"/>
    <m/>
    <s v="Week13"/>
    <d v="2022-04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4027"/>
    <n v="4027"/>
    <m/>
    <n v="0"/>
    <n v="0"/>
    <m/>
    <m/>
    <m/>
  </r>
  <r>
    <x v="91"/>
    <d v="2022-04-06T00:00:00"/>
    <s v="Week13"/>
    <d v="2022-04-01T00:00:00"/>
    <s v="DRY2200105"/>
    <s v="HK"/>
    <s v="CPM Hongkong"/>
    <s v="R-Wonton"/>
    <s v="R-Mince"/>
    <x v="9"/>
    <s v="Raw Minced Wonton 8 pcs"/>
    <s v="082ID3G18008P00001"/>
    <s v="90g*18in"/>
    <n v="18"/>
    <n v="8"/>
    <n v="5.0000000000000001E-3"/>
    <s v="BK"/>
    <s v="STPP"/>
    <s v="ซุปซอง 5g."/>
    <n v="594"/>
    <n v="594"/>
    <m/>
    <n v="0"/>
    <n v="0"/>
    <n v="0"/>
    <n v="2"/>
    <n v="0"/>
  </r>
  <r>
    <x v="91"/>
    <d v="2022-04-19T00:00:00"/>
    <s v="Week13"/>
    <d v="2022-04-01T00:00:00"/>
    <s v="DRY2100710"/>
    <s v="Taiwan"/>
    <s v="CP TAIWAN"/>
    <s v="R-Wonton"/>
    <s v="R-Wonton no egg"/>
    <x v="10"/>
    <s v="Raw Wonton 12 pcs"/>
    <s v="082I93R40012P02001"/>
    <s v="144g*40inner"/>
    <n v="40"/>
    <n v="12"/>
    <n v="8.1300000000000001E-3"/>
    <s v="M"/>
    <s v="Salt"/>
    <s v="ซุปซอง 5g."/>
    <n v="266"/>
    <m/>
    <n v="266"/>
    <n v="0"/>
    <n v="0"/>
    <n v="0"/>
    <n v="2"/>
    <n v="0"/>
  </r>
  <r>
    <x v="92"/>
    <m/>
    <s v="Week14"/>
    <d v="2022-04-01T00:00:00"/>
    <m/>
    <m/>
    <m/>
    <m/>
    <m/>
    <x v="0"/>
    <m/>
    <m/>
    <m/>
    <m/>
    <m/>
    <m/>
    <m/>
    <m/>
    <m/>
    <m/>
    <m/>
    <m/>
    <m/>
    <m/>
    <m/>
    <m/>
    <m/>
  </r>
  <r>
    <x v="93"/>
    <d v="2022-05-09T00:00:00"/>
    <s v="Week14"/>
    <d v="2022-04-01T00:00:00"/>
    <s v="DRY2200112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m/>
    <n v="1345.4722222222222"/>
    <n v="57.472222222222172"/>
    <n v="0"/>
    <m/>
    <m/>
    <m/>
  </r>
  <r>
    <x v="93"/>
    <d v="2022-05-03T00:00:00"/>
    <s v="Week14"/>
    <d v="2022-04-01T00:00:00"/>
    <s v="DRY2200146"/>
    <s v="UK"/>
    <s v="Food Fellas"/>
    <s v="C-Wonton"/>
    <s v="C-Wonton ND"/>
    <x v="15"/>
    <s v="Cooked Wonton ND No Egg with _x000a_HC  5 pcs"/>
    <s v="082SJ5L08005P03001"/>
    <s v="258g*8"/>
    <n v="8"/>
    <n v="5"/>
    <n v="7.4999999999999997E-3"/>
    <s v="HC"/>
    <s v="Salt"/>
    <s v="Regular"/>
    <n v="1500"/>
    <m/>
    <n v="1884.25"/>
    <n v="384.25"/>
    <n v="0"/>
    <m/>
    <m/>
    <m/>
  </r>
  <r>
    <x v="93"/>
    <m/>
    <s v="Week14"/>
    <d v="2022-04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1531"/>
    <n v="1531"/>
    <m/>
    <n v="0"/>
    <n v="0"/>
    <m/>
    <m/>
    <m/>
  </r>
  <r>
    <x v="93"/>
    <d v="2022-04-19T00:00:00"/>
    <s v="Week14"/>
    <d v="2022-04-01T00:00:00"/>
    <s v="DRY2100710"/>
    <s v="Taiwan"/>
    <s v="CP TAIWAN"/>
    <s v="R-Wonton"/>
    <s v="R-Wonton no egg"/>
    <x v="10"/>
    <s v="Raw Wonton 12 pcs"/>
    <s v="082I93R40012P02001"/>
    <s v="144g*40inner"/>
    <n v="40"/>
    <n v="12"/>
    <n v="8.1300000000000001E-3"/>
    <s v="M"/>
    <s v="Salt"/>
    <s v="ซุปซอง 5g."/>
    <n v="513"/>
    <m/>
    <n v="513"/>
    <n v="0"/>
    <n v="0"/>
    <n v="0"/>
    <n v="2"/>
    <n v="0"/>
  </r>
  <r>
    <x v="94"/>
    <m/>
    <s v="Week14"/>
    <d v="2022-04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1990"/>
    <n v="1990"/>
    <m/>
    <n v="0"/>
    <n v="0"/>
    <m/>
    <m/>
    <m/>
  </r>
  <r>
    <x v="94"/>
    <d v="2022-05-19T00:00:00"/>
    <s v="Week14"/>
    <d v="2022-04-01T00:00:00"/>
    <s v="DRY2200168"/>
    <s v="CAN "/>
    <s v="Bellisio Foods Canada"/>
    <s v="C-Wonton"/>
    <s v="C-Wonton ND"/>
    <x v="15"/>
    <s v="Cooked Wonton Noodle (Enriched wonton sheet&amp;noodles)"/>
    <s v="082SJ5312005P01001"/>
    <s v="258g*12"/>
    <n v="12"/>
    <n v="5"/>
    <n v="8.0000000000000002E-3"/>
    <s v="M"/>
    <s v="Salt"/>
    <s v="Regular"/>
    <n v="2600"/>
    <m/>
    <n v="2600"/>
    <n v="0"/>
    <n v="0"/>
    <m/>
    <m/>
    <m/>
  </r>
  <r>
    <x v="94"/>
    <d v="2022-05-25T00:00:00"/>
    <s v="Week14"/>
    <d v="2022-04-01T00:00:00"/>
    <s v="DRY2200169"/>
    <s v="CAN "/>
    <s v="Bellisio Foods Canada"/>
    <s v="C-Wonton"/>
    <s v="C-Wonton ND"/>
    <x v="15"/>
    <s v="Cooked Wonton Noodle (Enriched wonton sheet&amp;noodles)"/>
    <s v="082SJ5312005P01001"/>
    <s v="258g*12"/>
    <n v="12"/>
    <n v="5"/>
    <n v="8.0000000000000002E-3"/>
    <s v="M"/>
    <s v="Salt"/>
    <s v="Regular"/>
    <n v="2142.1666666666665"/>
    <m/>
    <n v="2142.1666666666665"/>
    <n v="0"/>
    <n v="0"/>
    <m/>
    <m/>
    <m/>
  </r>
  <r>
    <x v="94"/>
    <d v="2022-05-10T00:00:00"/>
    <s v="Week14"/>
    <d v="2022-04-01T00:00:00"/>
    <s v="DRY2200118"/>
    <s v="Malay"/>
    <s v="CPM Malaysia"/>
    <s v="R-Wonton"/>
    <s v="R-Wonton"/>
    <x v="4"/>
    <s v="Raw Wonton 12 pcs"/>
    <s v="082I95I20012P00001"/>
    <s v="144g*20inner"/>
    <n v="20"/>
    <n v="12"/>
    <n v="6.8100000000000001E-3"/>
    <s v="S"/>
    <s v="STPP"/>
    <s v="ซุปซอง 5g."/>
    <n v="700"/>
    <n v="278"/>
    <n v="422"/>
    <n v="0"/>
    <n v="0"/>
    <n v="0"/>
    <n v="2"/>
    <n v="0"/>
  </r>
  <r>
    <x v="94"/>
    <d v="2022-04-27T00:00:00"/>
    <s v="Week14"/>
    <d v="2022-04-01T00:00:00"/>
    <s v="DRY2200144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422"/>
    <n v="72"/>
    <n v="350"/>
    <n v="0"/>
    <n v="0"/>
    <n v="0"/>
    <n v="1"/>
    <n v="0"/>
  </r>
  <r>
    <x v="95"/>
    <m/>
    <s v="Week14"/>
    <d v="2022-04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4167"/>
    <n v="3871"/>
    <m/>
    <n v="-296"/>
    <n v="7104"/>
    <m/>
    <m/>
    <m/>
  </r>
  <r>
    <x v="95"/>
    <d v="2022-04-27T00:00:00"/>
    <s v="Week14"/>
    <d v="2022-04-01T00:00:00"/>
    <s v="DRY2200144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1155"/>
    <n v="491"/>
    <n v="664.11111111111109"/>
    <n v="0.11111111111108585"/>
    <n v="0"/>
    <n v="0"/>
    <n v="1"/>
    <n v="0"/>
  </r>
  <r>
    <x v="95"/>
    <d v="2022-04-27T00:00:00"/>
    <s v="Week14"/>
    <d v="2022-04-01T00:00:00"/>
    <s v="DRY2200144"/>
    <s v="HK"/>
    <s v="CPM Hongkong"/>
    <s v="R-Wonton"/>
    <s v="R-Mince"/>
    <x v="9"/>
    <s v="Raw Minced Wonton 8 pcs"/>
    <s v="082ID3G18008P00001"/>
    <s v="90g*18in"/>
    <n v="18"/>
    <n v="8"/>
    <n v="5.0000000000000001E-3"/>
    <s v="BK"/>
    <s v="STPP"/>
    <s v="ซุปซอง 5g."/>
    <n v="523"/>
    <n v="523"/>
    <m/>
    <n v="0"/>
    <n v="0"/>
    <n v="0"/>
    <n v="2"/>
    <n v="0"/>
  </r>
  <r>
    <x v="96"/>
    <m/>
    <s v="Week14"/>
    <d v="2022-04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1717"/>
    <n v="1717"/>
    <m/>
    <n v="0"/>
    <n v="0"/>
    <m/>
    <m/>
    <m/>
  </r>
  <r>
    <x v="96"/>
    <d v="2022-05-26T00:00:00"/>
    <s v="Week14"/>
    <d v="2022-04-01T00:00:00"/>
    <s v="DRY2200170"/>
    <s v="USA"/>
    <s v="Bellisio Foods, Inc."/>
    <s v="C-Wonton"/>
    <s v="C-Wonton ND"/>
    <x v="7"/>
    <s v="Cooked Minced Wonton No Egg"/>
    <s v="082SKBW08005P00001"/>
    <s v="145g*8"/>
    <n v="8"/>
    <n v="5"/>
    <n v="8.0000000000000002E-3"/>
    <s v="BK"/>
    <s v="Salt"/>
    <s v="Regular"/>
    <n v="400"/>
    <m/>
    <n v="400"/>
    <n v="0"/>
    <n v="0"/>
    <m/>
    <m/>
    <m/>
  </r>
  <r>
    <x v="96"/>
    <d v="2022-05-26T00:00:00"/>
    <s v="Week14"/>
    <d v="2022-04-01T00:00:00"/>
    <s v="DRY2200171"/>
    <s v="USA"/>
    <s v="Bellisio Foods, Inc."/>
    <s v="C-Wonton"/>
    <s v="C-Wonton ND"/>
    <x v="7"/>
    <s v="Cooked Minced Wonton No Egg"/>
    <s v="082SKBW08005P00001"/>
    <s v="145g*8"/>
    <n v="8"/>
    <n v="5"/>
    <n v="8.0000000000000002E-3"/>
    <s v="BK"/>
    <s v="Salt"/>
    <s v="Regular"/>
    <n v="750"/>
    <m/>
    <n v="760.75"/>
    <n v="10.75"/>
    <n v="0"/>
    <m/>
    <m/>
    <m/>
  </r>
  <r>
    <x v="96"/>
    <d v="2022-04-27T00:00:00"/>
    <s v="Week14"/>
    <d v="2022-04-01T00:00:00"/>
    <s v="DRY2200144"/>
    <s v="HK"/>
    <s v="CPM Hongkong"/>
    <s v="C-Wonton"/>
    <s v="C-Wonton"/>
    <x v="2"/>
    <s v="Cooked Wonton No Egg  TY"/>
    <s v="082S83G12005P03001"/>
    <s v="115g*12"/>
    <n v="12"/>
    <n v="5"/>
    <n v="8.0000000000000002E-3"/>
    <s v="M"/>
    <s v="STPP"/>
    <s v="TYTB3C 30G"/>
    <n v="400"/>
    <n v="400"/>
    <m/>
    <n v="0"/>
    <n v="0"/>
    <m/>
    <n v="1"/>
    <n v="0"/>
  </r>
  <r>
    <x v="96"/>
    <d v="2022-04-28T00:00:00"/>
    <s v="Week14"/>
    <d v="2022-04-01T00:00:00"/>
    <s v="DRY2200145"/>
    <s v="USA"/>
    <s v="Bellisio Foods, Inc."/>
    <s v="C-Wonton"/>
    <s v="C-Wonton"/>
    <x v="1"/>
    <s v="Cooked Wonton Soup No Egg"/>
    <s v="082S8BW36005P00001"/>
    <s v="145g*6c*6"/>
    <n v="36"/>
    <n v="5"/>
    <n v="8.0000000000000002E-3"/>
    <s v="M"/>
    <s v="Salt"/>
    <s v="Regular"/>
    <n v="550"/>
    <n v="292"/>
    <n v="292.75"/>
    <n v="34.75"/>
    <n v="0"/>
    <m/>
    <m/>
    <m/>
  </r>
  <r>
    <x v="96"/>
    <d v="2022-04-28T00:00:00"/>
    <s v="Week14"/>
    <d v="2022-04-01T00:00:00"/>
    <s v="DRY2200145"/>
    <s v="USA"/>
    <s v="Bellisio Foods, Inc."/>
    <s v="C-Wonton"/>
    <s v="C-Wonton ND"/>
    <x v="15"/>
    <s v="Cooked Wonton Noodle No Egg"/>
    <s v="082SJBW24005P00001"/>
    <s v="258g*4c*6in"/>
    <n v="24"/>
    <n v="5"/>
    <n v="8.0000000000000002E-3"/>
    <s v="M"/>
    <s v="Salt"/>
    <s v="Regular"/>
    <n v="550"/>
    <n v="492"/>
    <n v="10.708333333333334"/>
    <n v="-47.291666666666686"/>
    <n v="1135"/>
    <m/>
    <m/>
    <m/>
  </r>
  <r>
    <x v="96"/>
    <d v="2022-05-25T00:00:00"/>
    <s v="Week14"/>
    <d v="2022-04-01T00:00:00"/>
    <s v="DRY2200169"/>
    <s v="CAN "/>
    <s v="Bellisio Foods Canada"/>
    <s v="C-Wonton"/>
    <s v="C-Wonton ND"/>
    <x v="15"/>
    <s v="Cooked Wonton Noodle (Enriched wonton sheet&amp;noodles)"/>
    <s v="082SJ5312005P01001"/>
    <s v="258g*12"/>
    <n v="12"/>
    <n v="5"/>
    <n v="8.0000000000000002E-3"/>
    <s v="M"/>
    <s v="Salt"/>
    <s v="Regular"/>
    <n v="457.83333333333331"/>
    <m/>
    <n v="521.25"/>
    <n v="63.416666666666686"/>
    <n v="0"/>
    <m/>
    <m/>
    <m/>
  </r>
  <r>
    <x v="96"/>
    <d v="2022-04-27T00:00:00"/>
    <s v="Week14"/>
    <d v="2022-04-01T00:00:00"/>
    <s v="DRY2200144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910"/>
    <n v="270"/>
    <n v="640"/>
    <n v="0"/>
    <n v="0"/>
    <n v="0"/>
    <n v="1"/>
    <n v="0"/>
  </r>
  <r>
    <x v="96"/>
    <d v="2022-04-27T00:00:00"/>
    <s v="Week14"/>
    <d v="2022-04-01T00:00:00"/>
    <s v="DRY2200144"/>
    <s v="HK"/>
    <s v="CPM Hongkong"/>
    <s v="R-Wonton"/>
    <s v="R-Mince"/>
    <x v="9"/>
    <s v="Raw Minced Wonton 8 pcs"/>
    <s v="082ID3G18008P00001"/>
    <s v="90g*18in"/>
    <n v="18"/>
    <n v="8"/>
    <n v="5.0000000000000001E-3"/>
    <s v="BK"/>
    <s v="STPP"/>
    <s v="ซุปซอง 5g."/>
    <n v="477"/>
    <n v="477"/>
    <m/>
    <n v="0"/>
    <n v="0"/>
    <n v="0"/>
    <n v="2"/>
    <n v="0"/>
  </r>
  <r>
    <x v="97"/>
    <d v="2022-04-27T00:00:00"/>
    <s v="Week14"/>
    <d v="2022-04-01T00:00:00"/>
    <s v="DRY2200144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513"/>
    <n v="513"/>
    <m/>
    <n v="0"/>
    <n v="0"/>
    <n v="0"/>
    <n v="1"/>
    <n v="0"/>
  </r>
  <r>
    <x v="97"/>
    <d v="2022-04-27T00:00:00"/>
    <s v="Week14"/>
    <d v="2022-04-01T00:00:00"/>
    <s v="DRY2200144"/>
    <s v="HK"/>
    <s v="CPM Hongkong"/>
    <s v="R-Wonton"/>
    <s v="R-Wonton"/>
    <x v="4"/>
    <s v="Raw Wonton 8 pcs"/>
    <s v="082I93G20008P00001"/>
    <s v="194g*20in"/>
    <n v="20"/>
    <n v="8"/>
    <n v="1.4999999999999999E-2"/>
    <s v="JB"/>
    <s v="STPP"/>
    <s v="ซุปซอง 5g."/>
    <n v="250"/>
    <n v="250"/>
    <m/>
    <n v="0"/>
    <n v="0"/>
    <n v="0"/>
    <n v="2"/>
    <n v="0"/>
  </r>
  <r>
    <x v="97"/>
    <d v="2022-04-19T00:00:00"/>
    <s v="Week14"/>
    <d v="2022-04-01T00:00:00"/>
    <s v="DRY2100710"/>
    <s v="Taiwan"/>
    <s v="CP TAIWAN"/>
    <s v="R-Wonton"/>
    <s v="R-Wonton no egg"/>
    <x v="10"/>
    <s v="Raw Wonton 12 pcs"/>
    <s v="082I93R40012P02001"/>
    <s v="144g*40inner"/>
    <n v="40"/>
    <n v="12"/>
    <n v="8.1300000000000001E-3"/>
    <s v="M"/>
    <s v="Salt"/>
    <s v="ซุปซอง 5g."/>
    <n v="452"/>
    <n v="452"/>
    <m/>
    <n v="0"/>
    <n v="0"/>
    <n v="0"/>
    <n v="2"/>
    <n v="0"/>
  </r>
  <r>
    <x v="98"/>
    <d v="2022-04-19T00:00:00"/>
    <s v="Week14"/>
    <d v="2022-04-01T00:00:00"/>
    <s v="DRY2100710"/>
    <s v="Taiwan"/>
    <s v="CP TAIWAN"/>
    <s v="R-Wonton"/>
    <s v="R-Wonton no egg"/>
    <x v="10"/>
    <s v="Raw Wonton 12 pcs"/>
    <s v="082I93R40012P02001"/>
    <s v="144g*40inner"/>
    <n v="40"/>
    <n v="12"/>
    <n v="8.1300000000000001E-3"/>
    <s v="M"/>
    <s v="Salt"/>
    <s v="ซุปซอง 5g."/>
    <n v="393"/>
    <n v="393"/>
    <m/>
    <n v="0"/>
    <n v="0"/>
    <n v="0"/>
    <n v="2"/>
    <n v="0"/>
  </r>
  <r>
    <x v="98"/>
    <d v="2022-04-28T00:00:00"/>
    <s v="Week14"/>
    <d v="2022-04-01T00:00:00"/>
    <s v="DRY2200145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150"/>
    <n v="150"/>
    <m/>
    <n v="0"/>
    <n v="0"/>
    <n v="0"/>
    <n v="6"/>
    <n v="0"/>
  </r>
  <r>
    <x v="99"/>
    <m/>
    <s v="Week15"/>
    <d v="2022-04-01T00:00:00"/>
    <m/>
    <m/>
    <m/>
    <m/>
    <m/>
    <x v="0"/>
    <m/>
    <m/>
    <m/>
    <m/>
    <m/>
    <m/>
    <m/>
    <m/>
    <m/>
    <m/>
    <m/>
    <m/>
    <m/>
    <m/>
    <m/>
    <m/>
    <m/>
  </r>
  <r>
    <x v="100"/>
    <d v="2022-04-28T00:00:00"/>
    <s v="Week15"/>
    <d v="2022-04-01T00:00:00"/>
    <n v="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00"/>
    <d v="2022-04-28T00:00:00"/>
    <s v="Week15"/>
    <d v="2022-04-01T00:00:00"/>
    <n v="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7"/>
    <n v="37"/>
    <m/>
    <n v="0"/>
    <n v="0"/>
    <m/>
    <m/>
    <m/>
  </r>
  <r>
    <x v="100"/>
    <m/>
    <s v="Week15"/>
    <d v="2022-04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1004"/>
    <n v="1004"/>
    <m/>
    <n v="0"/>
    <n v="0"/>
    <m/>
    <m/>
    <m/>
  </r>
  <r>
    <x v="101"/>
    <m/>
    <s v="Week15"/>
    <d v="2022-04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3196"/>
    <n v="3196"/>
    <m/>
    <n v="0"/>
    <n v="0"/>
    <m/>
    <m/>
    <m/>
  </r>
  <r>
    <x v="102"/>
    <m/>
    <s v="Week15"/>
    <d v="2022-04-01T00:00:00"/>
    <m/>
    <m/>
    <m/>
    <m/>
    <m/>
    <x v="0"/>
    <m/>
    <m/>
    <m/>
    <m/>
    <m/>
    <m/>
    <m/>
    <m/>
    <m/>
    <m/>
    <m/>
    <m/>
    <m/>
    <m/>
    <m/>
    <m/>
    <m/>
  </r>
  <r>
    <x v="103"/>
    <m/>
    <s v="Week15"/>
    <d v="2022-04-01T00:00:00"/>
    <m/>
    <m/>
    <m/>
    <m/>
    <m/>
    <x v="0"/>
    <m/>
    <m/>
    <m/>
    <m/>
    <m/>
    <m/>
    <m/>
    <m/>
    <m/>
    <m/>
    <m/>
    <m/>
    <m/>
    <m/>
    <m/>
    <m/>
    <m/>
  </r>
  <r>
    <x v="104"/>
    <m/>
    <s v="Week15"/>
    <d v="2022-04-01T00:00:00"/>
    <m/>
    <m/>
    <m/>
    <m/>
    <m/>
    <x v="0"/>
    <m/>
    <m/>
    <m/>
    <m/>
    <m/>
    <m/>
    <m/>
    <m/>
    <m/>
    <m/>
    <m/>
    <m/>
    <m/>
    <m/>
    <m/>
    <m/>
    <m/>
  </r>
  <r>
    <x v="105"/>
    <m/>
    <s v="Week15"/>
    <d v="2022-04-01T00:00:00"/>
    <m/>
    <m/>
    <m/>
    <m/>
    <m/>
    <x v="0"/>
    <m/>
    <m/>
    <m/>
    <m/>
    <m/>
    <m/>
    <m/>
    <m/>
    <m/>
    <m/>
    <m/>
    <m/>
    <m/>
    <m/>
    <m/>
    <m/>
    <m/>
  </r>
  <r>
    <x v="106"/>
    <m/>
    <s v="Week16"/>
    <d v="2022-04-01T00:00:00"/>
    <m/>
    <m/>
    <m/>
    <m/>
    <m/>
    <x v="0"/>
    <m/>
    <m/>
    <m/>
    <m/>
    <m/>
    <m/>
    <m/>
    <m/>
    <m/>
    <m/>
    <m/>
    <m/>
    <m/>
    <m/>
    <m/>
    <m/>
    <m/>
  </r>
  <r>
    <x v="107"/>
    <d v="2022-04-28T00:00:00"/>
    <s v="Week16"/>
    <d v="2022-04-01T00:00:00"/>
    <n v="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55"/>
    <n v="755"/>
    <m/>
    <n v="0"/>
    <n v="0"/>
    <m/>
    <m/>
    <m/>
  </r>
  <r>
    <x v="107"/>
    <d v="2022-04-28T00:00:00"/>
    <s v="Week16"/>
    <d v="2022-04-01T00:00:00"/>
    <n v="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07"/>
    <n v="107"/>
    <m/>
    <n v="0"/>
    <n v="0"/>
    <m/>
    <m/>
    <m/>
  </r>
  <r>
    <x v="108"/>
    <m/>
    <s v="Week16"/>
    <d v="2022-04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766"/>
    <n v="766"/>
    <m/>
    <n v="0"/>
    <n v="0"/>
    <m/>
    <m/>
    <m/>
  </r>
  <r>
    <x v="108"/>
    <d v="2022-04-28T00:00:00"/>
    <s v="Week16"/>
    <d v="2022-04-01T00:00:00"/>
    <n v="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85"/>
    <n v="685"/>
    <m/>
    <n v="0"/>
    <n v="0"/>
    <m/>
    <m/>
    <m/>
  </r>
  <r>
    <x v="108"/>
    <d v="2022-04-28T00:00:00"/>
    <s v="Week16"/>
    <d v="2022-04-01T00:00:00"/>
    <n v="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85"/>
    <n v="185"/>
    <m/>
    <n v="0"/>
    <n v="0"/>
    <m/>
    <m/>
    <m/>
  </r>
  <r>
    <x v="109"/>
    <m/>
    <s v="Week16"/>
    <d v="2022-04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1788"/>
    <n v="600"/>
    <n v="1188.2916666666667"/>
    <n v="0.29166666666674246"/>
    <n v="0"/>
    <m/>
    <m/>
    <m/>
  </r>
  <r>
    <x v="109"/>
    <d v="2022-04-28T00:00:00"/>
    <s v="Week16"/>
    <d v="2022-04-01T00:00:00"/>
    <n v="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07"/>
    <n v="607"/>
    <m/>
    <n v="0"/>
    <n v="0"/>
    <m/>
    <m/>
    <m/>
  </r>
  <r>
    <x v="109"/>
    <d v="2022-04-28T00:00:00"/>
    <s v="Week16"/>
    <d v="2022-04-01T00:00:00"/>
    <n v="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45"/>
    <n v="245"/>
    <m/>
    <n v="0"/>
    <n v="0"/>
    <m/>
    <m/>
    <m/>
  </r>
  <r>
    <x v="110"/>
    <m/>
    <s v="Week16"/>
    <d v="2022-04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1333"/>
    <n v="1333"/>
    <m/>
    <n v="0"/>
    <n v="0"/>
    <m/>
    <m/>
    <m/>
  </r>
  <r>
    <x v="110"/>
    <d v="2022-04-28T00:00:00"/>
    <s v="Week16"/>
    <d v="2022-04-01T00:00:00"/>
    <n v="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47"/>
    <n v="547"/>
    <m/>
    <n v="0"/>
    <n v="0"/>
    <m/>
    <m/>
    <m/>
  </r>
  <r>
    <x v="110"/>
    <d v="2022-04-28T00:00:00"/>
    <s v="Week16"/>
    <d v="2022-04-01T00:00:00"/>
    <n v="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22"/>
    <n v="322"/>
    <m/>
    <n v="0"/>
    <n v="0"/>
    <m/>
    <m/>
    <m/>
  </r>
  <r>
    <x v="111"/>
    <d v="2022-05-10T00:00:00"/>
    <s v="Week16"/>
    <d v="2022-04-01T00:00:00"/>
    <s v="DRY2200118"/>
    <s v="Malay"/>
    <s v="CPM Malaysia"/>
    <s v="C-Wonton"/>
    <s v="C-Wonton"/>
    <x v="1"/>
    <s v="Cooked Wonton No Egg  "/>
    <s v="082S85I24005P01001"/>
    <s v="145g*24"/>
    <n v="24"/>
    <n v="5"/>
    <n v="8.0000000000000002E-3"/>
    <s v="M"/>
    <s v="STPP"/>
    <s v="Regular"/>
    <n v="800"/>
    <n v="800"/>
    <m/>
    <n v="0"/>
    <n v="0"/>
    <m/>
    <m/>
    <m/>
  </r>
  <r>
    <x v="111"/>
    <d v="2022-05-10T00:00:00"/>
    <s v="Week16"/>
    <d v="2022-04-01T00:00:00"/>
    <s v="DRY2200118"/>
    <s v="Malay"/>
    <s v="CPM Malaysia"/>
    <s v="C-Wonton"/>
    <s v="C-Wonton"/>
    <x v="2"/>
    <s v="Cooked Wonton No Egg  TY"/>
    <s v="082S85I24005P02001"/>
    <s v="115g*24"/>
    <n v="24"/>
    <n v="5"/>
    <n v="8.0000000000000002E-3"/>
    <s v="M"/>
    <s v="STPP"/>
    <s v="TYTB3C 30G"/>
    <n v="800"/>
    <n v="800"/>
    <m/>
    <n v="0"/>
    <n v="0"/>
    <m/>
    <n v="1"/>
    <n v="0"/>
  </r>
  <r>
    <x v="111"/>
    <d v="2022-04-28T00:00:00"/>
    <s v="Week16"/>
    <d v="2022-04-01T00:00:00"/>
    <n v="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70"/>
    <n v="470"/>
    <m/>
    <n v="0"/>
    <n v="0"/>
    <m/>
    <m/>
    <m/>
  </r>
  <r>
    <x v="111"/>
    <d v="2022-04-29T00:00:00"/>
    <s v="Week16"/>
    <d v="2022-04-01T00:00:00"/>
    <n v="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36"/>
    <n v="336"/>
    <m/>
    <n v="0"/>
    <n v="0"/>
    <m/>
    <m/>
    <m/>
  </r>
  <r>
    <x v="112"/>
    <m/>
    <s v="Week16"/>
    <d v="2022-04-01T00:00:00"/>
    <m/>
    <m/>
    <m/>
    <m/>
    <m/>
    <x v="0"/>
    <m/>
    <s v="ฟรีส 1 เสีย"/>
    <m/>
    <m/>
    <m/>
    <m/>
    <m/>
    <m/>
    <m/>
    <m/>
    <m/>
    <m/>
    <m/>
    <m/>
    <m/>
    <m/>
    <m/>
  </r>
  <r>
    <x v="113"/>
    <m/>
    <s v="Week17"/>
    <d v="2022-04-01T00:00:00"/>
    <m/>
    <m/>
    <m/>
    <m/>
    <m/>
    <x v="0"/>
    <m/>
    <m/>
    <m/>
    <m/>
    <m/>
    <m/>
    <m/>
    <m/>
    <m/>
    <m/>
    <m/>
    <m/>
    <m/>
    <m/>
    <m/>
    <m/>
    <m/>
  </r>
  <r>
    <x v="114"/>
    <d v="2022-04-29T00:00:00"/>
    <s v="Week17"/>
    <d v="2022-04-01T00:00:00"/>
    <n v="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56"/>
    <n v="456"/>
    <m/>
    <n v="0"/>
    <n v="0"/>
    <m/>
    <m/>
    <m/>
  </r>
  <r>
    <x v="114"/>
    <d v="2022-04-29T00:00:00"/>
    <s v="Week17"/>
    <d v="2022-04-01T00:00:00"/>
    <n v="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14"/>
    <d v="2022-04-29T00:00:00"/>
    <s v="Week17"/>
    <d v="2022-04-01T00:00:00"/>
    <n v="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14"/>
    <d v="2022-04-29T00:00:00"/>
    <s v="Week17"/>
    <d v="2022-04-01T00:00:00"/>
    <n v="1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14"/>
    <d v="2022-05-05T00:00:00"/>
    <s v="Week17"/>
    <d v="2022-04-01T00:00:00"/>
    <n v="1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06"/>
    <n v="506"/>
    <m/>
    <n v="0"/>
    <n v="0"/>
    <m/>
    <m/>
    <m/>
  </r>
  <r>
    <x v="115"/>
    <m/>
    <s v="Week17"/>
    <d v="2022-04-01T00:00:00"/>
    <m/>
    <m/>
    <m/>
    <m/>
    <m/>
    <x v="0"/>
    <m/>
    <s v="ฟรีส 1 เสีย"/>
    <m/>
    <m/>
    <m/>
    <m/>
    <m/>
    <m/>
    <m/>
    <m/>
    <m/>
    <m/>
    <m/>
    <m/>
    <m/>
    <m/>
    <m/>
  </r>
  <r>
    <x v="116"/>
    <d v="2022-05-11T00:00:00"/>
    <s v="Week17"/>
    <d v="2022-04-01T00:00:00"/>
    <s v="DRY2200113"/>
    <s v="Spain"/>
    <s v="Paulsen Food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</r>
  <r>
    <x v="116"/>
    <d v="2022-05-11T00:00:00"/>
    <s v="Week17"/>
    <d v="2022-04-01T00:00:00"/>
    <s v="DRY2200114"/>
    <s v="Spain"/>
    <s v="Paulsen Food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130"/>
    <n v="130"/>
    <m/>
    <n v="0"/>
    <n v="0"/>
    <m/>
    <m/>
    <m/>
  </r>
  <r>
    <x v="116"/>
    <d v="2022-05-07T00:00:00"/>
    <s v="Week17"/>
    <d v="2022-04-01T00:00:00"/>
    <s v="DRY2200117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320"/>
    <n v="320"/>
    <m/>
    <n v="0"/>
    <n v="0"/>
    <m/>
    <m/>
    <m/>
  </r>
  <r>
    <x v="116"/>
    <d v="2022-05-07T00:00:00"/>
    <s v="Week17"/>
    <d v="2022-04-01T00:00:00"/>
    <s v="DRY2200116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116"/>
    <d v="2022-05-07T00:00:00"/>
    <s v="Week17"/>
    <d v="2022-04-01T00:00:00"/>
    <s v="DRY2200153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117"/>
    <m/>
    <s v="Week17"/>
    <d v="2022-04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178"/>
    <n v="2178"/>
    <m/>
    <n v="0"/>
    <n v="0"/>
    <m/>
    <m/>
    <m/>
  </r>
  <r>
    <x v="117"/>
    <d v="2022-05-11T00:00:00"/>
    <s v="Week17"/>
    <d v="2022-04-01T00:00:00"/>
    <s v="DRY2200114"/>
    <s v="Spain"/>
    <s v="Paulsen Food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390"/>
    <n v="2390"/>
    <m/>
    <n v="0"/>
    <n v="0"/>
    <m/>
    <m/>
    <m/>
  </r>
  <r>
    <x v="117"/>
    <d v="2022-05-05T00:00:00"/>
    <s v="Week17"/>
    <d v="2022-04-01T00:00:00"/>
    <n v="1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86"/>
    <n v="286"/>
    <m/>
    <n v="0"/>
    <n v="0"/>
    <m/>
    <m/>
    <m/>
  </r>
  <r>
    <x v="117"/>
    <d v="2022-05-05T00:00:00"/>
    <s v="Week17"/>
    <d v="2022-04-01T00:00:00"/>
    <n v="1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64"/>
    <n v="164"/>
    <m/>
    <n v="0"/>
    <n v="0"/>
    <m/>
    <m/>
    <m/>
  </r>
  <r>
    <x v="118"/>
    <d v="2022-05-05T00:00:00"/>
    <s v="Week17"/>
    <d v="2022-04-01T00:00:00"/>
    <n v="1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28"/>
    <n v="628"/>
    <m/>
    <n v="0"/>
    <n v="0"/>
    <m/>
    <m/>
    <m/>
  </r>
  <r>
    <x v="118"/>
    <d v="2022-05-05T00:00:00"/>
    <s v="Week17"/>
    <d v="2022-04-01T00:00:00"/>
    <n v="1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18"/>
    <d v="2022-05-05T00:00:00"/>
    <s v="Week17"/>
    <d v="2022-04-01T00:00:00"/>
    <n v="1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18"/>
    <d v="2022-05-05T00:00:00"/>
    <s v="Week17"/>
    <d v="2022-04-01T00:00:00"/>
    <n v="1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25"/>
    <n v="325"/>
    <m/>
    <n v="0"/>
    <n v="0"/>
    <m/>
    <m/>
    <m/>
  </r>
  <r>
    <x v="119"/>
    <d v="2022-05-05T00:00:00"/>
    <s v="Week17"/>
    <d v="2022-04-01T00:00:00"/>
    <n v="1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67"/>
    <n v="467"/>
    <m/>
    <n v="0"/>
    <n v="0"/>
    <m/>
    <m/>
    <m/>
  </r>
  <r>
    <x v="119"/>
    <d v="2022-05-06T00:00:00"/>
    <s v="Week17"/>
    <d v="2022-04-01T00:00:00"/>
    <n v="1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19"/>
    <d v="2022-05-06T00:00:00"/>
    <s v="Week17"/>
    <d v="2022-04-01T00:00:00"/>
    <s v="DRY220003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19"/>
    <d v="2022-05-09T00:00:00"/>
    <s v="Week17"/>
    <d v="2022-04-01T00:00:00"/>
    <s v="DRY220011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65"/>
    <n v="465"/>
    <m/>
    <n v="0"/>
    <n v="0"/>
    <m/>
    <m/>
    <m/>
  </r>
  <r>
    <x v="120"/>
    <m/>
    <s v="Week18"/>
    <d v="2022-05-01T00:00:00"/>
    <m/>
    <m/>
    <m/>
    <m/>
    <m/>
    <x v="0"/>
    <m/>
    <m/>
    <m/>
    <m/>
    <m/>
    <m/>
    <m/>
    <m/>
    <m/>
    <m/>
    <m/>
    <m/>
    <m/>
    <m/>
    <m/>
    <m/>
    <m/>
  </r>
  <r>
    <x v="121"/>
    <m/>
    <s v="Week18"/>
    <d v="2022-05-01T00:00:00"/>
    <m/>
    <m/>
    <m/>
    <m/>
    <m/>
    <x v="0"/>
    <m/>
    <m/>
    <m/>
    <m/>
    <m/>
    <m/>
    <m/>
    <m/>
    <m/>
    <m/>
    <m/>
    <m/>
    <m/>
    <m/>
    <m/>
    <m/>
    <m/>
  </r>
  <r>
    <x v="122"/>
    <d v="2022-05-18T00:00:00"/>
    <s v="Week18"/>
    <d v="2022-05-01T00:00:00"/>
    <s v="DRY2200154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122"/>
    <d v="2022-05-31T00:00:00"/>
    <s v="Week18"/>
    <d v="2022-05-01T00:00:00"/>
    <s v="DRY2200156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331"/>
    <n v="331"/>
    <m/>
    <n v="0"/>
    <n v="0"/>
    <m/>
    <m/>
    <m/>
  </r>
  <r>
    <x v="123"/>
    <d v="2022-05-09T00:00:00"/>
    <s v="Week18"/>
    <d v="2022-05-01T00:00:00"/>
    <s v="DRY220011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85"/>
    <n v="85"/>
    <m/>
    <n v="0"/>
    <n v="0"/>
    <m/>
    <m/>
    <m/>
  </r>
  <r>
    <x v="123"/>
    <d v="2022-05-09T00:00:00"/>
    <s v="Week18"/>
    <d v="2022-05-01T00:00:00"/>
    <s v="DRY220003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23"/>
    <d v="2022-05-09T00:00:00"/>
    <s v="Week18"/>
    <d v="2022-05-01T00:00:00"/>
    <s v="DRY220003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23"/>
    <d v="2022-05-10T00:00:00"/>
    <s v="Week18"/>
    <d v="2022-05-01T00:00:00"/>
    <s v="DRY220003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23"/>
    <d v="2022-05-10T00:00:00"/>
    <s v="Week18"/>
    <d v="2022-05-01T00:00:00"/>
    <s v="DRY220003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"/>
    <n v="6"/>
    <m/>
    <n v="0"/>
    <n v="0"/>
    <m/>
    <m/>
    <m/>
  </r>
  <r>
    <x v="124"/>
    <d v="2022-05-10T00:00:00"/>
    <s v="Week18"/>
    <d v="2022-05-01T00:00:00"/>
    <s v="DRY220003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86"/>
    <n v="786"/>
    <m/>
    <n v="0"/>
    <n v="0"/>
    <m/>
    <m/>
    <m/>
  </r>
  <r>
    <x v="124"/>
    <d v="2022-05-10T00:00:00"/>
    <s v="Week18"/>
    <d v="2022-05-01T00:00:00"/>
    <s v="DRY220007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24"/>
    <d v="2022-05-11T00:00:00"/>
    <s v="Week18"/>
    <d v="2022-05-01T00:00:00"/>
    <s v="DRY220007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24"/>
    <d v="2022-05-11T00:00:00"/>
    <s v="Week18"/>
    <d v="2022-05-01T00:00:00"/>
    <s v="DRY220007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57"/>
    <n v="357"/>
    <m/>
    <n v="0"/>
    <n v="0"/>
    <m/>
    <m/>
    <m/>
  </r>
  <r>
    <x v="125"/>
    <d v="2022-05-11T00:00:00"/>
    <s v="Week18"/>
    <d v="2022-05-01T00:00:00"/>
    <s v="DRY220007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35"/>
    <n v="435"/>
    <m/>
    <n v="0"/>
    <n v="0"/>
    <m/>
    <m/>
    <m/>
  </r>
  <r>
    <x v="125"/>
    <d v="2022-05-11T00:00:00"/>
    <s v="Week18"/>
    <d v="2022-05-01T00:00:00"/>
    <s v="DRY220007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25"/>
    <d v="2022-05-11T00:00:00"/>
    <s v="Week18"/>
    <d v="2022-05-01T00:00:00"/>
    <s v="DRY220007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25"/>
    <d v="2022-05-17T00:00:00"/>
    <s v="Week18"/>
    <d v="2022-05-01T00:00:00"/>
    <s v="DRY220007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68"/>
    <n v="568"/>
    <m/>
    <n v="0"/>
    <n v="0"/>
    <m/>
    <m/>
    <m/>
  </r>
  <r>
    <x v="126"/>
    <m/>
    <s v="Week18"/>
    <d v="2022-05-01T00:00:00"/>
    <s v="ขายภายใน"/>
    <s v="MTFS"/>
    <s v="ซีพีเอฟ เทรดดิ้ง"/>
    <s v="C-Wonton"/>
    <s v="C-Wonton"/>
    <x v="11"/>
    <s v="Cooked Wonton ND with egg V-Food"/>
    <s v="082SJ3Q12003P07001"/>
    <s v="226g*12"/>
    <n v="12"/>
    <n v="3"/>
    <n v="8.0000000000000002E-3"/>
    <s v="M"/>
    <s v="STPP"/>
    <s v="Regular"/>
    <n v="1000"/>
    <n v="1000"/>
    <m/>
    <n v="0"/>
    <n v="0"/>
    <m/>
    <m/>
    <m/>
  </r>
  <r>
    <x v="126"/>
    <m/>
    <s v="Week18"/>
    <d v="2022-05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2000"/>
    <n v="1999"/>
    <m/>
    <n v="-1"/>
    <n v="12"/>
    <m/>
    <m/>
    <m/>
  </r>
  <r>
    <x v="126"/>
    <m/>
    <s v="Week18"/>
    <d v="2022-05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933"/>
    <n v="933"/>
    <m/>
    <n v="0"/>
    <n v="0"/>
    <m/>
    <n v="1"/>
    <n v="0"/>
  </r>
  <r>
    <x v="126"/>
    <m/>
    <s v="Week18"/>
    <d v="2022-05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832"/>
    <n v="832"/>
    <m/>
    <n v="0"/>
    <n v="0"/>
    <m/>
    <n v="1"/>
    <n v="0"/>
  </r>
  <r>
    <x v="126"/>
    <m/>
    <s v="Week18"/>
    <d v="2022-05-01T00:00:00"/>
    <s v="ขายภายใน"/>
    <s v="MTFS"/>
    <s v="ซีพีเอฟ เทรดดิ้ง"/>
    <s v="C-Wonton"/>
    <s v="C-Wonton"/>
    <x v="14"/>
    <s v="Minced Wonton (5pcs)"/>
    <s v="082SK3Q12005P00001"/>
    <s v="135g*12"/>
    <n v="12"/>
    <n v="5"/>
    <n v="8.0000000000000002E-3"/>
    <s v="BK"/>
    <s v="STPP"/>
    <s v="Regular"/>
    <n v="800"/>
    <n v="800"/>
    <m/>
    <n v="0"/>
    <n v="0"/>
    <m/>
    <m/>
    <m/>
  </r>
  <r>
    <x v="126"/>
    <m/>
    <s v="Week18"/>
    <d v="2022-05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1280"/>
    <n v="1280"/>
    <m/>
    <n v="0"/>
    <n v="0"/>
    <m/>
    <m/>
    <m/>
  </r>
  <r>
    <x v="127"/>
    <m/>
    <s v="Week19"/>
    <d v="2022-05-01T00:00:00"/>
    <m/>
    <m/>
    <m/>
    <m/>
    <m/>
    <x v="0"/>
    <m/>
    <m/>
    <m/>
    <m/>
    <m/>
    <m/>
    <m/>
    <m/>
    <m/>
    <m/>
    <m/>
    <m/>
    <m/>
    <m/>
    <m/>
    <m/>
    <m/>
  </r>
  <r>
    <x v="128"/>
    <m/>
    <s v="Week19"/>
    <d v="2022-05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1067"/>
    <n v="1036"/>
    <m/>
    <n v="-31"/>
    <n v="372"/>
    <m/>
    <n v="1"/>
    <n v="372"/>
  </r>
  <r>
    <x v="128"/>
    <d v="2022-05-31T00:00:00"/>
    <s v="Week19"/>
    <d v="2022-05-01T00:00:00"/>
    <s v="DRY2200156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461"/>
    <n v="461"/>
    <m/>
    <n v="0"/>
    <n v="0"/>
    <m/>
    <m/>
    <m/>
  </r>
  <r>
    <x v="128"/>
    <d v="2022-05-24T00:00:00"/>
    <s v="Week19"/>
    <d v="2022-05-01T00:00:00"/>
    <s v="DRY2200155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320"/>
    <n v="320"/>
    <m/>
    <n v="0"/>
    <n v="0"/>
    <m/>
    <m/>
    <m/>
  </r>
  <r>
    <x v="128"/>
    <d v="2022-05-18T00:00:00"/>
    <s v="Week19"/>
    <d v="2022-05-01T00:00:00"/>
    <s v="DRY2200149"/>
    <s v="Spain"/>
    <s v="Paulsen Food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04"/>
    <n v="16.25"/>
    <n v="0.25"/>
    <n v="0"/>
    <m/>
    <m/>
    <m/>
  </r>
  <r>
    <x v="129"/>
    <m/>
    <s v="Week19"/>
    <d v="2022-05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1918"/>
    <n v="1918"/>
    <m/>
    <n v="0"/>
    <n v="0"/>
    <m/>
    <m/>
    <m/>
  </r>
  <r>
    <x v="129"/>
    <d v="2022-05-11T00:00:00"/>
    <s v="Week19"/>
    <d v="2022-05-01T00:00:00"/>
    <s v="DRY2200145"/>
    <s v="USA"/>
    <s v="Bellisio Foods, Inc."/>
    <s v="C-Wonton"/>
    <s v="C-Wonton ND"/>
    <x v="15"/>
    <s v="Cooked Wonton Noodle No Egg"/>
    <s v="082SJBW24005P00001"/>
    <s v="258g*4c*6in"/>
    <n v="24"/>
    <n v="5"/>
    <n v="8.0000000000000002E-3"/>
    <s v="M"/>
    <s v="Salt"/>
    <s v="Regular"/>
    <n v="58"/>
    <n v="58"/>
    <m/>
    <n v="0"/>
    <n v="0"/>
    <m/>
    <m/>
    <m/>
  </r>
  <r>
    <x v="129"/>
    <d v="2022-05-26T00:00:00"/>
    <s v="Week19"/>
    <d v="2022-05-01T00:00:00"/>
    <s v="DRY2200170"/>
    <s v="USA"/>
    <s v="Bellisio Foods, Inc."/>
    <s v="C-Wonton"/>
    <s v="C-Wonton ND"/>
    <x v="15"/>
    <s v="Cooked Wonton Noodle No Egg"/>
    <s v="082SJBW24005P00001"/>
    <s v="258g*4c*6in"/>
    <n v="24"/>
    <n v="5"/>
    <n v="8.0000000000000002E-3"/>
    <s v="M"/>
    <s v="Salt"/>
    <s v="Regular"/>
    <n v="700"/>
    <n v="700"/>
    <m/>
    <n v="0"/>
    <n v="0"/>
    <m/>
    <m/>
    <m/>
  </r>
  <r>
    <x v="129"/>
    <d v="2022-05-26T00:00:00"/>
    <s v="Week19"/>
    <d v="2022-05-01T00:00:00"/>
    <s v="DRY2200171"/>
    <s v="USA"/>
    <s v="Bellisio Foods, Inc."/>
    <s v="C-Wonton"/>
    <s v="C-Wonton ND"/>
    <x v="15"/>
    <s v="Cooked Wonton Noodle No Egg"/>
    <s v="082SJBW24005P00001"/>
    <s v="258g*4c*6in"/>
    <n v="24"/>
    <n v="5"/>
    <n v="8.0000000000000002E-3"/>
    <s v="M"/>
    <s v="Salt"/>
    <s v="Regular"/>
    <n v="772"/>
    <n v="772"/>
    <m/>
    <n v="0"/>
    <n v="0"/>
    <m/>
    <m/>
    <m/>
  </r>
  <r>
    <x v="129"/>
    <d v="2022-05-18T00:00:00"/>
    <s v="Week19"/>
    <d v="2022-05-01T00:00:00"/>
    <s v="DRY2200150"/>
    <s v="Spain"/>
    <s v="Paulsen Food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226"/>
    <n v="2226"/>
    <m/>
    <n v="0"/>
    <n v="0"/>
    <m/>
    <m/>
    <m/>
  </r>
  <r>
    <x v="130"/>
    <d v="2022-05-17T00:00:00"/>
    <s v="Week19"/>
    <d v="2022-05-01T00:00:00"/>
    <s v="DRY220007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24"/>
    <n v="224"/>
    <m/>
    <n v="0"/>
    <n v="0"/>
    <m/>
    <m/>
    <m/>
  </r>
  <r>
    <x v="130"/>
    <d v="2022-05-17T00:00:00"/>
    <s v="Week19"/>
    <d v="2022-05-01T00:00:00"/>
    <s v="DRY220007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30"/>
    <d v="2022-05-17T00:00:00"/>
    <s v="Week19"/>
    <d v="2022-05-01T00:00:00"/>
    <s v="DRY220007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30"/>
    <d v="2022-05-19T00:00:00"/>
    <s v="Week19"/>
    <d v="2022-05-01T00:00:00"/>
    <s v="DRY220008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30"/>
    <d v="2022-05-19T00:00:00"/>
    <s v="Week19"/>
    <d v="2022-05-01T00:00:00"/>
    <s v="DRY220008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15"/>
    <n v="315"/>
    <m/>
    <n v="0"/>
    <n v="0"/>
    <m/>
    <m/>
    <m/>
  </r>
  <r>
    <x v="131"/>
    <m/>
    <s v="Week19"/>
    <d v="2022-05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1821"/>
    <n v="1821"/>
    <m/>
    <n v="0"/>
    <n v="0"/>
    <m/>
    <m/>
    <m/>
  </r>
  <r>
    <x v="131"/>
    <m/>
    <s v="Week19"/>
    <d v="2022-05-01T00:00:00"/>
    <s v="ขายภายใน"/>
    <s v=".7-11"/>
    <s v="ซีพีเอฟ เทรดดิ้ง"/>
    <s v="C-Wonton"/>
    <s v="C-Wonton"/>
    <x v="21"/>
    <s v="Cooked Wonton ND with egg 7-11"/>
    <s v="082SJ1A12003P01001 "/>
    <s v="211g*12"/>
    <n v="12"/>
    <n v="3"/>
    <n v="6.1999999999999998E-3"/>
    <s v="SS"/>
    <s v="STPP"/>
    <s v="TYNSF"/>
    <n v="5000"/>
    <n v="4997"/>
    <m/>
    <n v="-3"/>
    <n v="36"/>
    <m/>
    <m/>
    <m/>
  </r>
  <r>
    <x v="131"/>
    <m/>
    <s v="Week19"/>
    <d v="2022-05-01T00:00:00"/>
    <s v="ขายภายใน"/>
    <s v="FM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471"/>
    <n v="471"/>
    <m/>
    <n v="0"/>
    <n v="0"/>
    <n v="0"/>
    <m/>
    <n v="0"/>
  </r>
  <r>
    <x v="132"/>
    <m/>
    <s v="Week19"/>
    <d v="2022-05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1800"/>
    <n v="1800"/>
    <m/>
    <n v="0"/>
    <n v="0"/>
    <m/>
    <m/>
    <m/>
  </r>
  <r>
    <x v="132"/>
    <m/>
    <s v="Week19"/>
    <d v="2022-05-01T00:00:00"/>
    <s v="ขายภายใน"/>
    <s v=".7-11"/>
    <s v="ซีพีเอฟ เทรดดิ้ง"/>
    <s v="C-Wonton"/>
    <s v="C-Wonton"/>
    <x v="21"/>
    <s v="Cooked Wonton ND with egg 7-11"/>
    <s v="082SJ1A12003P01001 "/>
    <s v="211g*12"/>
    <n v="12"/>
    <n v="3"/>
    <n v="6.1999999999999998E-3"/>
    <s v="SS"/>
    <s v="STPP"/>
    <s v="TYNSF"/>
    <n v="5000"/>
    <n v="4967"/>
    <m/>
    <n v="-33"/>
    <n v="396"/>
    <m/>
    <m/>
    <m/>
  </r>
  <r>
    <x v="132"/>
    <m/>
    <s v="Week19"/>
    <d v="2022-05-01T00:00:00"/>
    <s v="ขายภายใน"/>
    <s v="FM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505"/>
    <n v="505"/>
    <m/>
    <n v="0"/>
    <n v="0"/>
    <n v="0"/>
    <m/>
    <n v="0"/>
  </r>
  <r>
    <x v="133"/>
    <d v="2022-05-19T00:00:00"/>
    <s v="Week19"/>
    <d v="2022-05-01T00:00:00"/>
    <s v="DRY220008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77"/>
    <n v="477"/>
    <m/>
    <n v="0"/>
    <n v="0"/>
    <m/>
    <m/>
    <m/>
  </r>
  <r>
    <x v="133"/>
    <d v="2022-05-19T00:00:00"/>
    <s v="Week19"/>
    <d v="2022-05-01T00:00:00"/>
    <s v="DRY220008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33"/>
    <d v="2022-05-20T00:00:00"/>
    <s v="Week19"/>
    <d v="2022-05-01T00:00:00"/>
    <s v="DRY220008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33"/>
    <d v="2022-05-20T00:00:00"/>
    <s v="Week19"/>
    <d v="2022-05-01T00:00:00"/>
    <s v="DRY220008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59"/>
    <n v="759"/>
    <m/>
    <n v="0"/>
    <n v="0"/>
    <m/>
    <m/>
    <m/>
  </r>
  <r>
    <x v="133"/>
    <d v="2022-05-18T00:00:00"/>
    <s v="Week19"/>
    <d v="2022-05-01T00:00:00"/>
    <s v="DRY2200150"/>
    <s v="Spain"/>
    <s v="Paulsen Food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94"/>
    <n v="248"/>
    <n v="46"/>
    <n v="0"/>
    <n v="0"/>
    <m/>
    <m/>
    <m/>
  </r>
  <r>
    <x v="133"/>
    <m/>
    <s v="Week19"/>
    <d v="2022-05-01T00:00:00"/>
    <s v="ขายภายใน"/>
    <s v="FM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96"/>
    <n v="96"/>
    <n v="96"/>
    <n v="96"/>
    <n v="0"/>
    <n v="0"/>
    <m/>
    <n v="0"/>
  </r>
  <r>
    <x v="134"/>
    <m/>
    <s v="Week20"/>
    <d v="2022-05-01T00:00:00"/>
    <m/>
    <m/>
    <m/>
    <m/>
    <m/>
    <x v="0"/>
    <m/>
    <m/>
    <m/>
    <m/>
    <m/>
    <m/>
    <m/>
    <m/>
    <m/>
    <m/>
    <m/>
    <m/>
    <m/>
    <m/>
    <m/>
    <m/>
    <m/>
  </r>
  <r>
    <x v="135"/>
    <d v="2022-05-20T00:00:00"/>
    <s v="Week20"/>
    <d v="2022-05-01T00:00:00"/>
    <s v="DRY220008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3"/>
    <n v="33"/>
    <m/>
    <n v="0"/>
    <n v="0"/>
    <m/>
    <m/>
    <m/>
  </r>
  <r>
    <x v="135"/>
    <d v="2022-05-21T00:00:00"/>
    <s v="Week20"/>
    <d v="2022-05-01T00:00:00"/>
    <s v="DRY220008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35"/>
    <d v="2022-05-21T00:00:00"/>
    <s v="Week20"/>
    <d v="2022-05-01T00:00:00"/>
    <s v="DRY220008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35"/>
    <d v="2022-05-24T00:00:00"/>
    <s v="Week20"/>
    <d v="2022-05-01T00:00:00"/>
    <s v="DRY220008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35"/>
    <d v="2022-05-24T00:00:00"/>
    <s v="Week20"/>
    <d v="2022-05-01T00:00:00"/>
    <s v="DRY220008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79"/>
    <n v="479"/>
    <m/>
    <n v="0"/>
    <n v="0"/>
    <m/>
    <m/>
    <m/>
  </r>
  <r>
    <x v="136"/>
    <d v="2022-05-24T00:00:00"/>
    <s v="Week20"/>
    <d v="2022-05-01T00:00:00"/>
    <s v="DRY220008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13"/>
    <n v="313"/>
    <m/>
    <n v="0"/>
    <n v="0"/>
    <m/>
    <m/>
    <m/>
  </r>
  <r>
    <x v="136"/>
    <d v="2022-05-24T00:00:00"/>
    <s v="Week20"/>
    <d v="2022-05-01T00:00:00"/>
    <s v="DRY220008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36"/>
    <d v="2022-05-24T00:00:00"/>
    <s v="Week20"/>
    <d v="2022-05-01T00:00:00"/>
    <s v="DRY220009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36"/>
    <d v="2022-05-24T00:00:00"/>
    <s v="Week20"/>
    <d v="2022-05-01T00:00:00"/>
    <s v="DRY220009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36"/>
    <d v="2022-05-24T00:00:00"/>
    <s v="Week20"/>
    <d v="2022-05-01T00:00:00"/>
    <s v="DRY220009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64"/>
    <n v="164"/>
    <m/>
    <n v="0"/>
    <n v="0"/>
    <m/>
    <m/>
    <m/>
  </r>
  <r>
    <x v="137"/>
    <d v="2022-05-24T00:00:00"/>
    <s v="Week20"/>
    <d v="2022-05-01T00:00:00"/>
    <s v="DRY220009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28"/>
    <n v="628"/>
    <m/>
    <n v="0"/>
    <n v="0"/>
    <m/>
    <m/>
    <m/>
  </r>
  <r>
    <x v="137"/>
    <d v="2022-05-25T00:00:00"/>
    <s v="Week20"/>
    <d v="2022-05-01T00:00:00"/>
    <s v="DRY220009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37"/>
    <d v="2022-05-27T00:00:00"/>
    <s v="Week20"/>
    <d v="2022-05-01T00:00:00"/>
    <s v="DRY220009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37"/>
    <d v="2022-05-27T00:00:00"/>
    <s v="Week20"/>
    <d v="2022-05-01T00:00:00"/>
    <s v="DRY220009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48"/>
    <n v="648"/>
    <m/>
    <n v="0"/>
    <n v="0"/>
    <m/>
    <m/>
    <m/>
  </r>
  <r>
    <x v="138"/>
    <d v="2022-05-27T00:00:00"/>
    <s v="Week20"/>
    <d v="2022-05-01T00:00:00"/>
    <s v="DRY220009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44"/>
    <n v="144"/>
    <m/>
    <n v="0"/>
    <n v="0"/>
    <m/>
    <m/>
    <m/>
  </r>
  <r>
    <x v="138"/>
    <d v="2022-05-27T00:00:00"/>
    <s v="Week20"/>
    <d v="2022-05-01T00:00:00"/>
    <s v="DRY220009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38"/>
    <d v="2022-05-28T00:00:00"/>
    <s v="Week20"/>
    <d v="2022-05-01T00:00:00"/>
    <s v="DRY220009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38"/>
    <d v="2022-05-28T00:00:00"/>
    <s v="Week20"/>
    <d v="2022-05-01T00:00:00"/>
    <s v="DRY220009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38"/>
    <d v="2022-05-28T00:00:00"/>
    <s v="Week20"/>
    <d v="2022-05-01T00:00:00"/>
    <s v="DRY220009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43"/>
    <n v="343"/>
    <m/>
    <n v="0"/>
    <n v="0"/>
    <m/>
    <m/>
    <m/>
  </r>
  <r>
    <x v="139"/>
    <d v="2022-06-28T00:00:00"/>
    <s v="Week20"/>
    <d v="2022-05-01T00:00:00"/>
    <s v="DRY2200047"/>
    <s v="Belgium"/>
    <s v="CPF EUROPE S.A."/>
    <s v="C-Wonton ND"/>
    <s v="Wonton ND+V"/>
    <x v="5"/>
    <s v="Cooked Wonton ND No Egg with Pumpkin _x000a_+ Vegetable  HC  3 pcs"/>
    <s v="082SJ3I08003P00001"/>
    <s v="309g*8"/>
    <n v="8"/>
    <n v="3"/>
    <n v="7.4999999999999997E-3"/>
    <s v="HC"/>
    <s v="Salt"/>
    <s v="Regular"/>
    <n v="1700"/>
    <n v="1445"/>
    <n v="378"/>
    <n v="123"/>
    <n v="0"/>
    <m/>
    <m/>
    <m/>
  </r>
  <r>
    <x v="139"/>
    <d v="2022-06-15T00:00:00"/>
    <s v="Week20"/>
    <d v="2022-05-01T00:00:00"/>
    <s v="DRY2200157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139"/>
    <d v="2022-06-10T00:00:00"/>
    <s v="Week20"/>
    <d v="2022-05-01T00:00:00"/>
    <s v="DRY2200288"/>
    <s v="New Zealand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139"/>
    <d v="2022-06-07T00:00:00"/>
    <s v="Week20"/>
    <d v="2022-05-01T00:00:00"/>
    <s v="DRY2200185"/>
    <s v="Spain"/>
    <s v="Paulsen Food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</r>
  <r>
    <x v="140"/>
    <d v="2022-05-26T00:00:00"/>
    <s v="Week20"/>
    <d v="2022-05-01T00:00:00"/>
    <s v="DRY2200170"/>
    <s v="USA"/>
    <s v="Bellisio Foods, Inc."/>
    <s v="C-Wonton"/>
    <s v="C-Wonton ND"/>
    <x v="5"/>
    <s v="Cooked Wonton ND No Egg with Pumpkin_x000a_+ Yu Choy Low sodium"/>
    <s v="082SJBW24005P01001"/>
    <s v="308g*4c*6in"/>
    <n v="24"/>
    <n v="5"/>
    <n v="7.4999999999999997E-3"/>
    <s v="HC"/>
    <s v="Salt"/>
    <s v="Y3"/>
    <n v="250"/>
    <n v="250"/>
    <m/>
    <n v="0"/>
    <n v="0"/>
    <m/>
    <m/>
    <m/>
  </r>
  <r>
    <x v="140"/>
    <d v="2022-05-28T00:00:00"/>
    <s v="Week20"/>
    <d v="2022-05-01T00:00:00"/>
    <s v="DRY220009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49"/>
    <n v="449"/>
    <m/>
    <n v="0"/>
    <n v="0"/>
    <m/>
    <m/>
    <m/>
  </r>
  <r>
    <x v="140"/>
    <d v="2022-06-01T00:00:00"/>
    <s v="Week20"/>
    <d v="2022-05-01T00:00:00"/>
    <s v="DRY220010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40"/>
    <d v="2022-06-01T00:00:00"/>
    <s v="Week20"/>
    <d v="2022-05-01T00:00:00"/>
    <s v="DRY220010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36"/>
    <n v="636"/>
    <m/>
    <n v="0"/>
    <n v="0"/>
    <m/>
    <m/>
    <m/>
  </r>
  <r>
    <x v="140"/>
    <d v="2022-05-31T00:00:00"/>
    <s v="Week20"/>
    <d v="2022-05-01T00:00:00"/>
    <s v="DRY2200148"/>
    <s v="Denmark"/>
    <s v="Paulsen Food"/>
    <s v="C-Wonton ND"/>
    <s v="Wonton ND+V"/>
    <x v="8"/>
    <s v="Cooked Wonton ND No Egg with Pumpkin _x000a_+ Vegetable  HC  3 pcs tomyam"/>
    <s v="082SJKW08003P00001"/>
    <s v="309g*8"/>
    <n v="8"/>
    <n v="3"/>
    <n v="7.4999999999999997E-3"/>
    <s v="M"/>
    <s v="Salt"/>
    <s v="Tomyam"/>
    <n v="3500"/>
    <m/>
    <n v="3500"/>
    <n v="0"/>
    <n v="0"/>
    <m/>
    <m/>
    <m/>
  </r>
  <r>
    <x v="141"/>
    <m/>
    <s v="Week21"/>
    <d v="2022-05-01T00:00:00"/>
    <m/>
    <m/>
    <m/>
    <m/>
    <m/>
    <x v="0"/>
    <m/>
    <m/>
    <m/>
    <m/>
    <m/>
    <m/>
    <m/>
    <m/>
    <m/>
    <m/>
    <m/>
    <m/>
    <m/>
    <m/>
    <m/>
    <m/>
    <m/>
  </r>
  <r>
    <x v="142"/>
    <d v="2022-05-31T00:00:00"/>
    <s v="Week21"/>
    <d v="2022-05-01T00:00:00"/>
    <s v="DRY2200173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53"/>
    <n v="35.472222222222221"/>
    <n v="0.47222222222217169"/>
    <n v="0"/>
    <m/>
    <m/>
    <m/>
  </r>
  <r>
    <x v="142"/>
    <d v="2022-06-06T00:00:00"/>
    <s v="Week21"/>
    <d v="2022-05-01T00:00:00"/>
    <s v="DRY2200160"/>
    <s v="SG"/>
    <s v="CPI SINGAPORE"/>
    <s v="C-Wonton"/>
    <s v="C-Wonton"/>
    <x v="1"/>
    <s v="Cooked Wonton No Egg"/>
    <s v="082S83B24005P07001"/>
    <s v="145g*24"/>
    <n v="24"/>
    <n v="5"/>
    <n v="8.0000000000000002E-3"/>
    <s v="M"/>
    <s v="STPP"/>
    <s v="Regular"/>
    <n v="500"/>
    <n v="500"/>
    <m/>
    <n v="0"/>
    <n v="0"/>
    <m/>
    <m/>
    <m/>
  </r>
  <r>
    <x v="142"/>
    <d v="2022-06-06T00:00:00"/>
    <s v="Week21"/>
    <d v="2022-05-01T00:00:00"/>
    <s v="DRY2200161"/>
    <s v="SG"/>
    <s v="CPI SINGAPORE"/>
    <s v="C-Wonton"/>
    <s v="C-Wonton"/>
    <x v="2"/>
    <s v="Cooked Wonton No Egg"/>
    <s v="082S83B24005P06001"/>
    <s v="115g*24"/>
    <n v="24"/>
    <n v="5"/>
    <n v="8.0000000000000002E-3"/>
    <s v="M"/>
    <s v="STPP"/>
    <s v="TYTB3C 30G"/>
    <n v="500"/>
    <n v="500"/>
    <m/>
    <n v="0"/>
    <n v="0"/>
    <m/>
    <n v="1"/>
    <n v="0"/>
  </r>
  <r>
    <x v="142"/>
    <d v="2022-06-06T00:00:00"/>
    <s v="Week21"/>
    <d v="2022-05-01T00:00:00"/>
    <s v="DRY2200172"/>
    <s v="HK"/>
    <s v="CPM Hongkong"/>
    <s v="C-Wonton"/>
    <s v="C-Wonton"/>
    <x v="2"/>
    <s v="Cooked Wonton No Egg  TY"/>
    <s v="082S83G12005P03001"/>
    <s v="115g*12"/>
    <n v="12"/>
    <n v="5"/>
    <n v="8.0000000000000002E-3"/>
    <s v="M"/>
    <s v="STPP"/>
    <s v="TYTB3C 30G"/>
    <n v="400"/>
    <n v="400"/>
    <n v="17.75"/>
    <n v="17.75"/>
    <n v="0"/>
    <m/>
    <n v="1"/>
    <n v="0"/>
  </r>
  <r>
    <x v="142"/>
    <d v="2022-06-06T00:00:00"/>
    <s v="Week21"/>
    <d v="2022-05-01T00:00:00"/>
    <s v="DRY2200172"/>
    <s v="HK"/>
    <s v="CPM Hongkong"/>
    <s v="C-Wonton"/>
    <s v="C-Wonton ND"/>
    <x v="7"/>
    <s v="Cooked Minced Wonton No Egg  4 pcs"/>
    <s v="082SK3G12004P00001"/>
    <s v="113g*12"/>
    <n v="12"/>
    <n v="4"/>
    <n v="8.0000000000000002E-3"/>
    <s v="BK"/>
    <s v="Salt"/>
    <s v="Regular"/>
    <n v="400"/>
    <n v="400"/>
    <n v="12.25"/>
    <n v="12.25"/>
    <n v="0"/>
    <m/>
    <m/>
    <m/>
  </r>
  <r>
    <x v="142"/>
    <d v="2022-06-02T00:00:00"/>
    <s v="Week21"/>
    <d v="2022-05-01T00:00:00"/>
    <s v="DRY2200174"/>
    <s v="USA"/>
    <s v="Bellisio Foods, Inc."/>
    <s v="C-Wonton"/>
    <s v="C-Wonton ND"/>
    <x v="7"/>
    <s v="Cooked Minced Wonton No Egg"/>
    <s v="082SKBW08005P00001"/>
    <s v="145g*8"/>
    <n v="8"/>
    <n v="5"/>
    <n v="8.0000000000000002E-3"/>
    <s v="BK"/>
    <s v="Salt"/>
    <s v="Regular"/>
    <n v="2000"/>
    <m/>
    <n v="2000.125"/>
    <n v="0.125"/>
    <n v="0"/>
    <m/>
    <m/>
    <m/>
  </r>
  <r>
    <x v="142"/>
    <d v="2022-05-26T00:00:00"/>
    <s v="Week21"/>
    <d v="2022-05-01T00:00:00"/>
    <s v="DRY2200170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</r>
  <r>
    <x v="142"/>
    <d v="2022-05-26T00:00:00"/>
    <s v="Week21"/>
    <d v="2022-05-01T00:00:00"/>
    <s v="DRY2200171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200"/>
    <n v="200"/>
    <m/>
    <n v="0"/>
    <n v="0"/>
    <n v="0"/>
    <n v="6"/>
    <n v="0"/>
  </r>
  <r>
    <x v="142"/>
    <d v="2022-06-06T00:00:00"/>
    <s v="Week21"/>
    <d v="2022-05-01T00:00:00"/>
    <s v="DRY2200172"/>
    <s v="HK"/>
    <s v="CPM Hongkong"/>
    <s v="R-Wonton"/>
    <s v="R-Mince"/>
    <x v="9"/>
    <s v="Raw Minced Wonton 8 pcs"/>
    <s v="082ID3G18008P00001"/>
    <s v="90g*18in"/>
    <n v="18"/>
    <n v="8"/>
    <n v="5.0000000000000001E-3"/>
    <s v="BK"/>
    <s v="STPP"/>
    <s v="ซุปซอง 5g."/>
    <n v="400"/>
    <n v="400"/>
    <n v="13"/>
    <n v="13"/>
    <n v="0"/>
    <n v="0"/>
    <n v="2"/>
    <n v="0"/>
  </r>
  <r>
    <x v="143"/>
    <d v="2022-06-07T00:00:00"/>
    <s v="Week21"/>
    <d v="2022-05-01T00:00:00"/>
    <s v="DRY2200176"/>
    <s v="Malay"/>
    <s v="CPM Malaysia"/>
    <s v="C-Wonton"/>
    <s v="C-Wonton"/>
    <x v="2"/>
    <s v="Cooked Wonton No Egg  TY"/>
    <s v="082S85I24005P02001"/>
    <s v="115g*24"/>
    <n v="24"/>
    <n v="5"/>
    <n v="8.0000000000000002E-3"/>
    <s v="M"/>
    <s v="STPP"/>
    <s v="TYTB3C 30G"/>
    <n v="800"/>
    <n v="800"/>
    <n v="9.5416666666666661"/>
    <n v="9.5416666666666288"/>
    <n v="0"/>
    <m/>
    <n v="1"/>
    <n v="0"/>
  </r>
  <r>
    <x v="143"/>
    <d v="2022-06-07T00:00:00"/>
    <s v="Week21"/>
    <d v="2022-05-01T00:00:00"/>
    <s v="DRY2200176"/>
    <s v="Malay"/>
    <s v="CPM Malaysia"/>
    <s v="C-Wonton"/>
    <s v="C-Wonton"/>
    <x v="1"/>
    <s v="Cooked Wonton No Egg  "/>
    <s v="082S85I24005P01001"/>
    <s v="145g*24"/>
    <n v="24"/>
    <n v="5"/>
    <n v="8.0000000000000002E-3"/>
    <s v="M"/>
    <s v="STPP"/>
    <s v="Regular"/>
    <n v="900"/>
    <n v="900"/>
    <n v="14.75"/>
    <n v="14.75"/>
    <n v="0"/>
    <m/>
    <m/>
    <m/>
  </r>
  <r>
    <x v="143"/>
    <d v="2022-06-13T00:00:00"/>
    <s v="Week21"/>
    <d v="2022-05-01T00:00:00"/>
    <s v="DRY2200178"/>
    <s v="CAN "/>
    <s v="Bellisio Foods Canada"/>
    <s v="C-Wonton"/>
    <s v="C-Wonton ND"/>
    <x v="15"/>
    <s v="Cooked Wonton Noodle (Enriched wonton sheet&amp;noodles)"/>
    <s v="082SJ5312005P01001"/>
    <s v="258g*12"/>
    <n v="12"/>
    <n v="5"/>
    <n v="8.0000000000000002E-3"/>
    <s v="M"/>
    <s v="Salt"/>
    <s v="Regular"/>
    <n v="2600"/>
    <m/>
    <n v="2600"/>
    <n v="0"/>
    <n v="0"/>
    <m/>
    <m/>
    <m/>
  </r>
  <r>
    <x v="143"/>
    <d v="2022-05-26T00:00:00"/>
    <s v="Week21"/>
    <d v="2022-05-01T00:00:00"/>
    <s v="DRY2200171"/>
    <s v="USA"/>
    <s v="Bellisio Foods, Inc."/>
    <s v="C-Wonton"/>
    <s v="C-Wonton ND"/>
    <x v="15"/>
    <s v="Cooked Wonton Noodle No Egg"/>
    <s v="082SJBW24005P00001"/>
    <s v="258g*4c*6in"/>
    <n v="24"/>
    <n v="5"/>
    <n v="8.0000000000000002E-3"/>
    <s v="M"/>
    <s v="Salt"/>
    <s v="Regular"/>
    <n v="28"/>
    <n v="28"/>
    <m/>
    <n v="0"/>
    <n v="0"/>
    <m/>
    <m/>
    <m/>
  </r>
  <r>
    <x v="143"/>
    <d v="2022-06-02T00:00:00"/>
    <s v="Week21"/>
    <d v="2022-05-01T00:00:00"/>
    <s v="DRY2200174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2100"/>
    <m/>
    <n v="2109.625"/>
    <n v="9.625"/>
    <n v="0"/>
    <m/>
    <m/>
    <m/>
  </r>
  <r>
    <x v="143"/>
    <d v="2022-06-06T00:00:00"/>
    <s v="Week21"/>
    <d v="2022-05-01T00:00:00"/>
    <s v="DRY2200172"/>
    <s v="HK"/>
    <s v="CPM Hongkong"/>
    <s v="C-Wonton"/>
    <s v="C-Wonton ND"/>
    <x v="3"/>
    <s v="Cooked Minced Wonton Noodle No Egg 5 pcs"/>
    <s v="082SR3G12005P00001"/>
    <s v="258g*12"/>
    <n v="12"/>
    <n v="5"/>
    <n v="8.0000000000000002E-3"/>
    <s v="BK"/>
    <s v="Salt"/>
    <s v="Regular"/>
    <n v="400"/>
    <n v="400"/>
    <n v="11.166666666666666"/>
    <n v="11.166666666666686"/>
    <n v="0"/>
    <m/>
    <m/>
    <m/>
  </r>
  <r>
    <x v="143"/>
    <d v="2022-06-07T00:00:00"/>
    <s v="Week21"/>
    <d v="2022-05-01T00:00:00"/>
    <s v="DRY2200176"/>
    <s v="Malay"/>
    <s v="CPM Malaysia"/>
    <s v="R-Wonton"/>
    <s v="R-Wonton"/>
    <x v="4"/>
    <s v="Raw Wonton 12 pcs"/>
    <s v="082I95I20012P00001"/>
    <s v="144g*20inner"/>
    <n v="20"/>
    <n v="12"/>
    <n v="6.8100000000000001E-3"/>
    <s v="S"/>
    <s v="STPP"/>
    <s v="ซุปซอง 5g."/>
    <n v="500"/>
    <n v="500"/>
    <n v="66"/>
    <n v="66"/>
    <n v="0"/>
    <n v="0"/>
    <n v="2"/>
    <n v="0"/>
  </r>
  <r>
    <x v="143"/>
    <d v="2022-06-06T00:00:00"/>
    <s v="Week21"/>
    <d v="2022-05-01T00:00:00"/>
    <s v="DRY2200172"/>
    <s v="HK"/>
    <s v="CPM Hongkong"/>
    <s v="R-Wonton"/>
    <s v="R-Wonton"/>
    <x v="4"/>
    <s v="Raw Wonton 8 pcs"/>
    <s v="082I93G20008P00001"/>
    <s v="194g*20in"/>
    <n v="20"/>
    <n v="8"/>
    <n v="1.4999999999999999E-2"/>
    <s v="JB"/>
    <s v="STPP"/>
    <s v="ซุปซอง 5g."/>
    <n v="250"/>
    <n v="250"/>
    <m/>
    <n v="0"/>
    <n v="0"/>
    <n v="0"/>
    <n v="2"/>
    <n v="0"/>
  </r>
  <r>
    <x v="144"/>
    <m/>
    <s v="Week21"/>
    <d v="2022-05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3056"/>
    <n v="3056"/>
    <m/>
    <n v="0"/>
    <n v="0"/>
    <m/>
    <m/>
    <m/>
  </r>
  <r>
    <x v="144"/>
    <m/>
    <s v="Week21"/>
    <d v="2022-05-01T00:00:00"/>
    <s v="ขายภายใน"/>
    <s v="MTFS"/>
    <s v="ซีพีเอฟ เทรดดิ้ง"/>
    <s v="C-Wonton"/>
    <s v="C-Wonton"/>
    <x v="22"/>
    <s v="Minced Noodle with egg V-Food (3 pcs)"/>
    <s v="082SR3Q12003P00001"/>
    <s v="191g*12"/>
    <n v="12"/>
    <n v="3"/>
    <n v="8.0000000000000002E-3"/>
    <s v="BK"/>
    <s v="STPP"/>
    <s v="Regular"/>
    <n v="500"/>
    <n v="500"/>
    <m/>
    <n v="0"/>
    <n v="0"/>
    <m/>
    <m/>
    <m/>
  </r>
  <r>
    <x v="144"/>
    <m/>
    <s v="Week21"/>
    <d v="2022-05-01T00:00:00"/>
    <s v="ขายภายใน"/>
    <s v="MTFS"/>
    <s v="ซีพีเอฟ เทรดดิ้ง"/>
    <s v="C-Wonton"/>
    <s v="C-Wonton"/>
    <x v="21"/>
    <s v="Cooked Wonton ND with egg "/>
    <s v="082SJ3Q12003P08001"/>
    <s v="211g*12"/>
    <n v="12"/>
    <n v="3"/>
    <n v="6.1999999999999998E-3"/>
    <s v="SS"/>
    <s v="STPP"/>
    <s v="TYNSF"/>
    <n v="1667"/>
    <n v="1673"/>
    <m/>
    <n v="6"/>
    <n v="0"/>
    <m/>
    <m/>
    <m/>
  </r>
  <r>
    <x v="144"/>
    <d v="2022-06-06T00:00:00"/>
    <s v="Week21"/>
    <d v="2022-05-01T00:00:00"/>
    <s v="DRY2200172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1600"/>
    <n v="1231"/>
    <n v="451.72222222222223"/>
    <n v="82.722222222222172"/>
    <n v="0"/>
    <n v="0"/>
    <n v="1"/>
    <n v="0"/>
  </r>
  <r>
    <x v="145"/>
    <m/>
    <s v="Week21"/>
    <d v="2022-05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1733"/>
    <n v="1733"/>
    <m/>
    <n v="0"/>
    <n v="0"/>
    <m/>
    <m/>
    <m/>
  </r>
  <r>
    <x v="145"/>
    <m/>
    <s v="Week21"/>
    <d v="2022-05-01T00:00:00"/>
    <s v="ขายภายใน"/>
    <s v=".7-11"/>
    <s v="ซีพีเอฟ เทรดดิ้ง"/>
    <s v="C-Wonton"/>
    <s v="C-Wonton"/>
    <x v="21"/>
    <s v="Cooked Wonton ND with egg 7-11"/>
    <s v="082SJ1A12003P01001 "/>
    <s v="211g*12"/>
    <n v="12"/>
    <n v="3"/>
    <n v="6.1999999999999998E-3"/>
    <s v="SS"/>
    <s v="STPP"/>
    <s v="TYNSF"/>
    <n v="5000"/>
    <n v="4995"/>
    <m/>
    <n v="-5"/>
    <n v="60"/>
    <m/>
    <m/>
    <m/>
  </r>
  <r>
    <x v="145"/>
    <d v="2022-06-06T00:00:00"/>
    <s v="Week21"/>
    <d v="2022-05-01T00:00:00"/>
    <s v="DRY2200058"/>
    <s v="SG"/>
    <s v="CPI SINGAPORE"/>
    <s v="R-Wonton"/>
    <s v="R-Wonton"/>
    <x v="18"/>
    <s v="Raw Wonton 50 pcs (Fried Sheet)"/>
    <s v="082I93B10050P04001"/>
    <s v="600g*10inner"/>
    <n v="10"/>
    <n v="50"/>
    <n v="6.8100000000000001E-3"/>
    <s v="S"/>
    <s v="STPP"/>
    <s v="-"/>
    <n v="100"/>
    <n v="100"/>
    <n v="16"/>
    <n v="16"/>
    <n v="0"/>
    <n v="0"/>
    <m/>
    <n v="0"/>
  </r>
  <r>
    <x v="145"/>
    <d v="2022-06-06T00:00:00"/>
    <s v="Week21"/>
    <d v="2022-05-01T00:00:00"/>
    <s v="DRY2200162"/>
    <s v="SG"/>
    <s v="CPI SINGAPORE"/>
    <s v="R-Wonton"/>
    <s v="R-Wonton"/>
    <x v="4"/>
    <s v="Raw Wonton 8 pcs"/>
    <s v="082I93B20008P00001"/>
    <s v="194g*20in"/>
    <n v="20"/>
    <n v="8"/>
    <n v="1.4999999999999999E-2"/>
    <s v="JB"/>
    <s v="STPP"/>
    <s v="ซุปซอง 5g."/>
    <n v="1100"/>
    <n v="1100"/>
    <m/>
    <n v="0"/>
    <n v="0"/>
    <n v="0"/>
    <n v="2"/>
    <n v="0"/>
  </r>
  <r>
    <x v="146"/>
    <d v="2022-06-01T00:00:00"/>
    <s v="Week21"/>
    <d v="2022-05-01T00:00:00"/>
    <s v="DRY220010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56"/>
    <n v="156"/>
    <m/>
    <n v="0"/>
    <n v="0"/>
    <m/>
    <m/>
    <m/>
  </r>
  <r>
    <x v="146"/>
    <d v="2022-06-01T00:00:00"/>
    <s v="Week21"/>
    <d v="2022-05-01T00:00:00"/>
    <s v="DRY220011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46"/>
    <d v="2022-06-02T00:00:00"/>
    <s v="Week21"/>
    <d v="2022-05-01T00:00:00"/>
    <s v="DRY220012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46"/>
    <d v="2022-06-02T00:00:00"/>
    <s v="Week21"/>
    <d v="2022-05-01T00:00:00"/>
    <s v="DRY220012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52"/>
    <n v="752"/>
    <m/>
    <n v="0"/>
    <n v="0"/>
    <m/>
    <m/>
    <m/>
  </r>
  <r>
    <x v="146"/>
    <d v="2022-06-02T00:00:00"/>
    <s v="Week21"/>
    <d v="2022-05-01T00:00:00"/>
    <s v="DRY220012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0"/>
    <n v="40"/>
    <m/>
    <n v="0"/>
    <n v="0"/>
    <m/>
    <m/>
    <m/>
  </r>
  <r>
    <x v="146"/>
    <d v="2022-06-06T00:00:00"/>
    <s v="Week21"/>
    <d v="2022-05-01T00:00:00"/>
    <s v="DRY220012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10"/>
    <n v="410"/>
    <m/>
    <n v="0"/>
    <n v="0"/>
    <m/>
    <m/>
    <m/>
  </r>
  <r>
    <x v="146"/>
    <d v="2022-06-04T00:00:00"/>
    <s v="Week21"/>
    <d v="2022-05-01T00:00:00"/>
    <s v="REPACK 1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361"/>
    <n v="361"/>
    <m/>
    <n v="0"/>
    <n v="0"/>
    <n v="0"/>
    <m/>
    <n v="0"/>
  </r>
  <r>
    <x v="147"/>
    <d v="2022-06-10T00:00:00"/>
    <s v="Week21"/>
    <d v="2022-05-01T00:00:00"/>
    <s v="DRY2200167"/>
    <s v="AUS"/>
    <s v="CPM Australia"/>
    <s v="C-Wonton"/>
    <s v="C-Wonton"/>
    <x v="23"/>
    <s v="Cooked Minced Wonton in Tray 6 pcs + Sesame Sauce"/>
    <s v="082SK9U16006P00001"/>
    <s v="117*2tray*8in"/>
    <n v="16"/>
    <n v="6"/>
    <n v="8.1300000000000001E-3"/>
    <s v="BK"/>
    <s v="Salt"/>
    <s v=" Sesame 15g"/>
    <n v="750"/>
    <m/>
    <n v="861.625"/>
    <n v="111.625"/>
    <n v="0"/>
    <m/>
    <n v="1"/>
    <n v="12000"/>
  </r>
  <r>
    <x v="147"/>
    <d v="2022-06-27T00:00:00"/>
    <s v="Week21"/>
    <d v="2022-05-01T00:00:00"/>
    <s v="DRY2200165"/>
    <s v="SG"/>
    <s v="CPI SINGAPORE"/>
    <s v="C-Wonton"/>
    <s v="C-Wonton ND"/>
    <x v="5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350"/>
    <n v="350"/>
    <n v="3.375"/>
    <n v="3.375"/>
    <n v="0"/>
    <m/>
    <m/>
    <m/>
  </r>
  <r>
    <x v="147"/>
    <d v="2022-06-06T00:00:00"/>
    <s v="Week21"/>
    <d v="2022-05-01T00:00:00"/>
    <s v="DRY220012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82"/>
    <n v="382"/>
    <m/>
    <n v="0"/>
    <n v="0"/>
    <m/>
    <m/>
    <m/>
  </r>
  <r>
    <x v="147"/>
    <d v="2022-06-08T00:00:00"/>
    <s v="Week21"/>
    <d v="2022-05-01T00:00:00"/>
    <s v="DRY220012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87"/>
    <n v="487"/>
    <m/>
    <n v="0"/>
    <n v="0"/>
    <m/>
    <m/>
    <m/>
  </r>
  <r>
    <x v="147"/>
    <d v="2022-06-10T00:00:00"/>
    <s v="Week21"/>
    <d v="2022-05-01T00:00:00"/>
    <s v="DRY2200167"/>
    <s v="AUS"/>
    <s v="CPM Australia"/>
    <s v="C-Wonton"/>
    <s v="C-Wonton ND"/>
    <x v="5"/>
    <s v="Cooked Wonton ND No Egg with Pumpkin_x000a_+ Yu Choy "/>
    <s v="082SJ9U08004P00001"/>
    <s v="305g*8"/>
    <n v="8"/>
    <n v="4"/>
    <n v="7.4999999999999997E-3"/>
    <s v="HC"/>
    <s v="Salt"/>
    <s v="Regular"/>
    <n v="850"/>
    <m/>
    <n v="850"/>
    <n v="0"/>
    <n v="0"/>
    <m/>
    <m/>
    <m/>
  </r>
  <r>
    <x v="147"/>
    <d v="2022-06-10T00:00:00"/>
    <s v="Week21"/>
    <d v="2022-05-01T00:00:00"/>
    <s v="DRY2200188"/>
    <s v="AUS"/>
    <s v="CPM Australia"/>
    <s v="C-Wonton"/>
    <s v="C-Wonton ND"/>
    <x v="5"/>
    <s v="Cooked Wonton ND No Egg with Pumpkin_x000a_+ Yu Choy "/>
    <s v="082SJ9U08004P00001"/>
    <s v="305g*8"/>
    <n v="8"/>
    <n v="4"/>
    <n v="7.4999999999999997E-3"/>
    <s v="HC"/>
    <s v="Salt"/>
    <s v="Regular"/>
    <n v="1000"/>
    <m/>
    <n v="1000"/>
    <n v="0"/>
    <n v="0"/>
    <m/>
    <m/>
    <m/>
  </r>
  <r>
    <x v="147"/>
    <d v="2022-06-13T00:00:00"/>
    <s v="Week21"/>
    <d v="2022-05-01T00:00:00"/>
    <s v="DRY2200177"/>
    <s v="Germany"/>
    <s v=" CPF Distribution (under Paulsen Food)"/>
    <s v="C-Wonton"/>
    <s v="C-Wonton ND"/>
    <x v="17"/>
    <s v="Cooked Minced  ND No Egg with Pumpkin_x000a_+ Yu Choy Tomyum"/>
    <s v="082SR3N12003P00001"/>
    <s v="302g*12"/>
    <n v="12"/>
    <n v="3"/>
    <n v="8.0000000000000002E-3"/>
    <s v="BK"/>
    <s v="Salt"/>
    <s v="TYEX+CO"/>
    <n v="835"/>
    <n v="835"/>
    <m/>
    <n v="0"/>
    <n v="0"/>
    <m/>
    <m/>
    <m/>
  </r>
  <r>
    <x v="147"/>
    <d v="2022-06-13T00:00:00"/>
    <s v="Week21"/>
    <d v="2022-05-01T00:00:00"/>
    <s v="DRY2200187"/>
    <s v="Germany"/>
    <s v=" CPF Distribution (under Paulsen Food)"/>
    <s v="C-Wonton"/>
    <s v="C-Wonton ND"/>
    <x v="17"/>
    <s v="Cooked Minced  ND No Egg with Pumpkin_x000a_+ Yu Choy Tomyum"/>
    <s v="082SR3N12003P00001"/>
    <s v="302g*12"/>
    <n v="12"/>
    <n v="3"/>
    <n v="8.0000000000000002E-3"/>
    <s v="BK"/>
    <s v="Salt"/>
    <s v="TYEX+CO"/>
    <n v="1685"/>
    <n v="1685"/>
    <m/>
    <n v="0"/>
    <n v="0"/>
    <m/>
    <m/>
    <m/>
  </r>
  <r>
    <x v="147"/>
    <d v="2022-06-10T00:00:00"/>
    <s v="Week21"/>
    <d v="2022-05-01T00:00:00"/>
    <s v="DRY2200188"/>
    <s v="AUS"/>
    <s v="CPM Australia"/>
    <s v="C-Wonton"/>
    <s v="C-Wonton ND"/>
    <x v="17"/>
    <s v="Cooked Minced  ND No Egg with Pumpkin_x000a_+ Yu Choy Tomyum"/>
    <s v="082SR9U08003P00001"/>
    <s v="302g*8"/>
    <n v="8"/>
    <n v="3"/>
    <n v="8.0000000000000002E-3"/>
    <s v="BK"/>
    <s v="Salt"/>
    <s v="TYA+CO"/>
    <n v="465"/>
    <m/>
    <n v="485.25"/>
    <n v="20.25"/>
    <n v="0"/>
    <m/>
    <m/>
    <m/>
  </r>
  <r>
    <x v="147"/>
    <d v="2022-06-04T00:00:00"/>
    <s v="Week21"/>
    <d v="2022-05-01T00:00:00"/>
    <s v="REPACK 1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529"/>
    <n v="529"/>
    <m/>
    <n v="0"/>
    <n v="0"/>
    <n v="0"/>
    <m/>
    <n v="0"/>
  </r>
  <r>
    <x v="148"/>
    <m/>
    <s v="Week22"/>
    <d v="2022-05-01T00:00:00"/>
    <m/>
    <m/>
    <m/>
    <m/>
    <m/>
    <x v="0"/>
    <m/>
    <m/>
    <m/>
    <m/>
    <m/>
    <m/>
    <m/>
    <m/>
    <m/>
    <m/>
    <m/>
    <m/>
    <m/>
    <m/>
    <m/>
    <m/>
    <m/>
  </r>
  <r>
    <x v="149"/>
    <m/>
    <s v="Week22"/>
    <d v="2022-05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5861"/>
    <n v="5861"/>
    <m/>
    <n v="0"/>
    <n v="0"/>
    <m/>
    <m/>
    <m/>
  </r>
  <r>
    <x v="149"/>
    <d v="2022-06-04T00:00:00"/>
    <s v="Week22"/>
    <d v="2022-05-01T00:00:00"/>
    <s v="REPACK 1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518"/>
    <n v="520"/>
    <m/>
    <n v="2"/>
    <n v="0"/>
    <n v="0"/>
    <m/>
    <n v="0"/>
  </r>
  <r>
    <x v="150"/>
    <d v="2022-06-08T00:00:00"/>
    <s v="Week22"/>
    <d v="2022-05-01T00:00:00"/>
    <s v="DRY220012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05"/>
    <n v="305"/>
    <m/>
    <n v="0"/>
    <n v="0"/>
    <m/>
    <m/>
    <m/>
  </r>
  <r>
    <x v="150"/>
    <d v="2022-06-10T00:00:00"/>
    <s v="Week22"/>
    <d v="2022-05-01T00:00:00"/>
    <s v="DRY220012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50"/>
    <d v="2022-06-10T00:00:00"/>
    <s v="Week22"/>
    <d v="2022-05-01T00:00:00"/>
    <s v="DRY220012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50"/>
    <d v="2022-06-10T00:00:00"/>
    <s v="Week22"/>
    <d v="2022-05-01T00:00:00"/>
    <s v="DRY220012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19"/>
    <n v="219"/>
    <m/>
    <n v="0"/>
    <n v="0"/>
    <m/>
    <m/>
    <m/>
  </r>
  <r>
    <x v="150"/>
    <d v="2022-06-13T00:00:00"/>
    <s v="Week22"/>
    <d v="2022-05-01T00:00:00"/>
    <s v="DRY2200177"/>
    <s v="Germany"/>
    <s v=" CPF Distribution (under Paulsen Food)"/>
    <s v="C-Wonton"/>
    <s v="C-Wonton ND"/>
    <x v="5"/>
    <s v="Cooked Wonton ND No Egg with Pumpkin _x000a_+ Vegetable  HC  3 pcs"/>
    <s v="082SJ3N12003P01001"/>
    <s v="309g*12"/>
    <n v="12"/>
    <n v="3"/>
    <n v="7.4999999999999997E-3"/>
    <s v="HC"/>
    <s v="Salt"/>
    <s v="Regular"/>
    <n v="1685"/>
    <n v="1685"/>
    <m/>
    <n v="0"/>
    <n v="0"/>
    <m/>
    <m/>
    <m/>
  </r>
  <r>
    <x v="150"/>
    <d v="2022-06-13T00:00:00"/>
    <s v="Week22"/>
    <d v="2022-05-01T00:00:00"/>
    <s v="DRY2200187"/>
    <s v="Germany"/>
    <s v=" CPF Distribution (under Paulsen Food)"/>
    <s v="C-Wonton"/>
    <s v="C-Wonton ND"/>
    <x v="5"/>
    <s v="Cooked Wonton ND No Egg with Pumpkin _x000a_+ Vegetable  HC  3 pcs"/>
    <s v="082SJ3N12003P01001"/>
    <s v="309g*12"/>
    <n v="12"/>
    <n v="3"/>
    <n v="7.4999999999999997E-3"/>
    <s v="HC"/>
    <s v="Salt"/>
    <s v="Regular"/>
    <n v="835"/>
    <n v="835"/>
    <n v="3.3333333333333335"/>
    <n v="3.3333333333333712"/>
    <n v="0"/>
    <m/>
    <m/>
    <m/>
  </r>
  <r>
    <x v="151"/>
    <m/>
    <s v="Week22"/>
    <d v="2022-06-01T00:00:00"/>
    <s v="ขายภายใน"/>
    <s v="MTFS"/>
    <s v="ซีพีเอฟ เทรดดิ้ง"/>
    <s v="C-Wonton"/>
    <s v="C-Wonton"/>
    <x v="11"/>
    <s v="Cooked Wonton ND with egg V-Food"/>
    <s v="082SJ3Q12003P07001"/>
    <s v="226g*12"/>
    <n v="12"/>
    <n v="3"/>
    <n v="8.0000000000000002E-3"/>
    <s v="M"/>
    <s v="STPP"/>
    <s v="Regular"/>
    <n v="1500"/>
    <n v="1500"/>
    <m/>
    <n v="0"/>
    <n v="0"/>
    <m/>
    <m/>
    <m/>
  </r>
  <r>
    <x v="151"/>
    <m/>
    <s v="Week22"/>
    <d v="2022-06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2000"/>
    <n v="2000"/>
    <m/>
    <n v="0"/>
    <n v="0"/>
    <m/>
    <n v="1"/>
    <n v="0"/>
  </r>
  <r>
    <x v="151"/>
    <d v="2022-06-07T00:00:00"/>
    <s v="Week22"/>
    <d v="2022-06-01T00:00:00"/>
    <s v="ขายภายใน"/>
    <s v="มหาชัย"/>
    <s v="CPFFB"/>
    <s v="C-Wonton"/>
    <s v="C-Wonton"/>
    <x v="14"/>
    <s v="เกี๊ยวกุ้งสับสุก"/>
    <s v="082SK1110080P00001"/>
    <s v="10 *1.12 KG."/>
    <n v="200"/>
    <n v="4"/>
    <n v="6.4999999999999997E-3"/>
    <s v="BK"/>
    <s v="STPP"/>
    <s v="-"/>
    <n v="445"/>
    <n v="445"/>
    <m/>
    <n v="0"/>
    <n v="0"/>
    <m/>
    <m/>
    <m/>
  </r>
  <r>
    <x v="151"/>
    <d v="2022-06-11T00:00:00"/>
    <s v="Week22"/>
    <d v="2022-06-01T00:00:00"/>
    <s v="REPACK 2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481"/>
    <n v="481"/>
    <m/>
    <n v="0"/>
    <n v="0"/>
    <n v="0"/>
    <m/>
    <n v="0"/>
  </r>
  <r>
    <x v="152"/>
    <m/>
    <s v="Week22"/>
    <d v="2022-06-01T00:00:00"/>
    <s v="ขายภายใน"/>
    <s v="MTFS"/>
    <s v="ซีพีเอฟ เทรดดิ้ง"/>
    <s v="C-Wonton"/>
    <s v="C-Wonton"/>
    <x v="14"/>
    <s v="Minced Wonton (5pcs)"/>
    <s v="082SK3Q12005P00001"/>
    <s v="135g*12"/>
    <n v="12"/>
    <n v="5"/>
    <n v="8.0000000000000002E-3"/>
    <s v="BK"/>
    <s v="STPP"/>
    <s v="Regular"/>
    <n v="800"/>
    <n v="800"/>
    <m/>
    <n v="0"/>
    <n v="0"/>
    <m/>
    <m/>
    <m/>
  </r>
  <r>
    <x v="152"/>
    <m/>
    <s v="Week22"/>
    <d v="2022-06-01T00:00:00"/>
    <s v="ขายภายใน"/>
    <s v="MTFS"/>
    <s v="ซีพีเอฟ เทรดดิ้ง"/>
    <s v="C-Wonton"/>
    <s v="C-Wonton"/>
    <x v="12"/>
    <s v="Cooked Wonton  with egg V-Food"/>
    <s v="082S83Q12005P05000"/>
    <s v="145g*12"/>
    <n v="12"/>
    <n v="5"/>
    <n v="8.0000000000000002E-3"/>
    <s v="M"/>
    <s v="STPP"/>
    <s v="Regular"/>
    <n v="83.333333333333329"/>
    <m/>
    <n v="83.333333333333329"/>
    <n v="0"/>
    <n v="0"/>
    <m/>
    <m/>
    <m/>
  </r>
  <r>
    <x v="152"/>
    <m/>
    <s v="Week22"/>
    <d v="2022-06-01T00:00:00"/>
    <s v="ขายภายใน"/>
    <s v="MTFS"/>
    <s v="ซีพีเอฟ เทรดดิ้ง"/>
    <s v="C-Wonton"/>
    <s v="C-Wonton"/>
    <x v="12"/>
    <s v="Cooked Wonton  with egg V-Food"/>
    <s v="082S83Q12005P05000"/>
    <s v="145g*12"/>
    <n v="12"/>
    <n v="5"/>
    <n v="8.0000000000000002E-3"/>
    <s v="M"/>
    <s v="STPP"/>
    <s v="Regular"/>
    <n v="12"/>
    <m/>
    <n v="12"/>
    <n v="0"/>
    <n v="0"/>
    <m/>
    <m/>
    <m/>
  </r>
  <r>
    <x v="152"/>
    <m/>
    <s v="Week22"/>
    <d v="2022-06-01T00:00:00"/>
    <s v="ขายภายใน"/>
    <s v="MTFS"/>
    <s v="ซีพีเอฟ เทรดดิ้ง"/>
    <s v="C-Wonton"/>
    <s v="C-Wonton"/>
    <x v="12"/>
    <s v="Cooked Wonton  with egg V-Food"/>
    <s v="082S83Q12005P05000"/>
    <s v="145g*12"/>
    <n v="12"/>
    <n v="5"/>
    <n v="8.0000000000000002E-3"/>
    <s v="M"/>
    <s v="STPP"/>
    <s v="Regular"/>
    <n v="4.166666666666667"/>
    <m/>
    <n v="4.166666666666667"/>
    <n v="0"/>
    <n v="0"/>
    <m/>
    <m/>
    <m/>
  </r>
  <r>
    <x v="152"/>
    <m/>
    <s v="Week22"/>
    <d v="2022-06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2953"/>
    <n v="2953"/>
    <m/>
    <n v="0"/>
    <n v="0"/>
    <m/>
    <m/>
    <m/>
  </r>
  <r>
    <x v="152"/>
    <m/>
    <s v="Week22"/>
    <d v="2022-06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800"/>
    <n v="10"/>
    <n v="800"/>
    <n v="10"/>
    <n v="0"/>
    <m/>
    <n v="1"/>
    <n v="0"/>
  </r>
  <r>
    <x v="152"/>
    <d v="2022-06-07T00:00:00"/>
    <s v="Week22"/>
    <d v="2022-06-01T00:00:00"/>
    <s v="ขายภายใน"/>
    <s v="มหาชัย"/>
    <s v="CPFFB"/>
    <s v="C-Wonton"/>
    <s v="C-Wonton"/>
    <x v="14"/>
    <s v="เกี๊ยวกุ้งสับสุก"/>
    <s v="082SK1110080P00001"/>
    <s v="10 *1.12 KG."/>
    <n v="200"/>
    <n v="4"/>
    <n v="6.4999999999999997E-3"/>
    <s v="BK"/>
    <s v="STPP"/>
    <s v="-"/>
    <n v="323"/>
    <n v="317"/>
    <m/>
    <n v="-6"/>
    <n v="1200"/>
    <m/>
    <m/>
    <m/>
  </r>
  <r>
    <x v="152"/>
    <d v="2022-06-11T00:00:00"/>
    <s v="Week22"/>
    <d v="2022-06-01T00:00:00"/>
    <s v="REPACK 2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441"/>
    <n v="441"/>
    <m/>
    <n v="0"/>
    <n v="0"/>
    <n v="0"/>
    <m/>
    <n v="0"/>
  </r>
  <r>
    <x v="153"/>
    <m/>
    <s v="Week22"/>
    <d v="2022-06-01T00:00:00"/>
    <m/>
    <m/>
    <m/>
    <m/>
    <m/>
    <x v="0"/>
    <m/>
    <m/>
    <m/>
    <m/>
    <m/>
    <m/>
    <m/>
    <m/>
    <m/>
    <m/>
    <m/>
    <m/>
    <m/>
    <m/>
    <m/>
    <m/>
    <m/>
  </r>
  <r>
    <x v="154"/>
    <d v="2022-06-14T00:00:00"/>
    <s v="Week22"/>
    <d v="2022-06-01T00:00:00"/>
    <s v="DRY2200191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154"/>
    <d v="2022-06-14T00:00:00"/>
    <s v="Week22"/>
    <d v="2022-06-01T00:00:00"/>
    <s v="DRY2200192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46"/>
    <n v="42"/>
    <n v="0"/>
    <n v="0"/>
    <m/>
    <m/>
    <m/>
  </r>
  <r>
    <x v="154"/>
    <d v="2022-06-13T00:00:00"/>
    <s v="Week22"/>
    <d v="2022-06-01T00:00:00"/>
    <s v="DRY2200175"/>
    <s v="Taiwan"/>
    <s v="CP TAIWAN"/>
    <s v="C-Wonton"/>
    <s v="C-Wonton ND"/>
    <x v="7"/>
    <s v="Cooked Minced Wonton No Egg  4 pcs"/>
    <s v="082SKT112004P00001"/>
    <s v="113g*12"/>
    <n v="12"/>
    <n v="4"/>
    <n v="8.0000000000000002E-3"/>
    <s v="BK"/>
    <s v="Salt"/>
    <s v="Regular"/>
    <n v="3900"/>
    <n v="3900"/>
    <m/>
    <n v="0"/>
    <n v="0"/>
    <m/>
    <m/>
    <m/>
  </r>
  <r>
    <x v="154"/>
    <d v="2022-06-11T00:00:00"/>
    <s v="Week22"/>
    <d v="2022-06-01T00:00:00"/>
    <s v="REPACK 2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416"/>
    <n v="416"/>
    <m/>
    <n v="0"/>
    <n v="0"/>
    <n v="0"/>
    <m/>
    <n v="0"/>
  </r>
  <r>
    <x v="155"/>
    <m/>
    <s v="Week23"/>
    <d v="2022-06-01T00:00:00"/>
    <m/>
    <m/>
    <m/>
    <m/>
    <m/>
    <x v="0"/>
    <m/>
    <m/>
    <m/>
    <m/>
    <m/>
    <m/>
    <m/>
    <m/>
    <m/>
    <m/>
    <m/>
    <m/>
    <m/>
    <m/>
    <m/>
    <m/>
    <m/>
  </r>
  <r>
    <x v="156"/>
    <d v="2022-06-13T00:00:00"/>
    <s v="Week23"/>
    <d v="2022-06-01T00:00:00"/>
    <s v="DRY2100764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984"/>
    <n v="984"/>
    <m/>
    <n v="0"/>
    <n v="0"/>
    <m/>
    <m/>
    <m/>
  </r>
  <r>
    <x v="156"/>
    <d v="2022-06-13T00:00:00"/>
    <s v="Week23"/>
    <d v="2022-06-01T00:00:00"/>
    <s v="DRY2100765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88"/>
    <n v="1288"/>
    <m/>
    <n v="0"/>
    <n v="0"/>
    <m/>
    <m/>
    <m/>
  </r>
  <r>
    <x v="156"/>
    <d v="2022-06-16T00:00:00"/>
    <s v="Week23"/>
    <d v="2022-06-01T00:00:00"/>
    <s v="DRY2100766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88"/>
    <n v="1288"/>
    <m/>
    <n v="0"/>
    <n v="0"/>
    <m/>
    <m/>
    <m/>
  </r>
  <r>
    <x v="156"/>
    <d v="2022-06-16T00:00:00"/>
    <s v="Week23"/>
    <d v="2022-06-01T00:00:00"/>
    <s v="DRY2100767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55"/>
    <n v="55"/>
    <m/>
    <n v="0"/>
    <n v="0"/>
    <m/>
    <m/>
    <m/>
  </r>
  <r>
    <x v="156"/>
    <d v="2022-07-07T00:00:00"/>
    <s v="Week23"/>
    <d v="2022-06-01T00:00:00"/>
    <s v="ขายภายใน"/>
    <s v="มหาชัย"/>
    <s v="CPFFB"/>
    <s v="C-Wonton"/>
    <s v="C-Wonton"/>
    <x v="24"/>
    <s v="เส้นบะหมีไข่ดิบ"/>
    <n v="23098903"/>
    <s v="10 *1 KG."/>
    <n v="10"/>
    <n v="1"/>
    <s v="-"/>
    <s v="-"/>
    <s v="STPP"/>
    <s v="-"/>
    <n v="360"/>
    <n v="377"/>
    <m/>
    <n v="17"/>
    <n v="0"/>
    <m/>
    <m/>
    <m/>
  </r>
  <r>
    <x v="156"/>
    <d v="2022-06-11T00:00:00"/>
    <s v="Week23"/>
    <d v="2022-06-01T00:00:00"/>
    <s v="REPACK 2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70"/>
    <n v="72"/>
    <m/>
    <n v="2"/>
    <n v="0"/>
    <n v="0"/>
    <m/>
    <n v="0"/>
  </r>
  <r>
    <x v="156"/>
    <d v="2022-06-11T00:00:00"/>
    <s v="Week23"/>
    <d v="2022-06-01T00:00:00"/>
    <s v="REPACK 3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360"/>
    <n v="360"/>
    <m/>
    <n v="0"/>
    <n v="0"/>
    <n v="0"/>
    <m/>
    <n v="0"/>
  </r>
  <r>
    <x v="157"/>
    <d v="2022-06-16T00:00:00"/>
    <s v="Week23"/>
    <d v="2022-06-01T00:00:00"/>
    <s v="DRY2100767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33"/>
    <n v="1233"/>
    <m/>
    <n v="0"/>
    <n v="0"/>
    <m/>
    <m/>
    <m/>
  </r>
  <r>
    <x v="157"/>
    <d v="2022-06-16T00:00:00"/>
    <s v="Week23"/>
    <d v="2022-06-01T00:00:00"/>
    <s v="DRY2200147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88"/>
    <n v="1261"/>
    <n v="27"/>
    <n v="0"/>
    <n v="0"/>
    <m/>
    <m/>
    <m/>
  </r>
  <r>
    <x v="157"/>
    <m/>
    <s v="Week23"/>
    <d v="2022-06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1281"/>
    <n v="1281"/>
    <m/>
    <n v="0"/>
    <n v="0"/>
    <m/>
    <m/>
    <m/>
  </r>
  <r>
    <x v="157"/>
    <d v="2022-06-11T00:00:00"/>
    <s v="Week23"/>
    <d v="2022-06-01T00:00:00"/>
    <s v="REPACK 3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430"/>
    <n v="430"/>
    <m/>
    <n v="0"/>
    <n v="0"/>
    <n v="0"/>
    <m/>
    <n v="0"/>
  </r>
  <r>
    <x v="158"/>
    <d v="2022-06-17T00:00:00"/>
    <s v="Week23"/>
    <d v="2022-06-01T00:00:00"/>
    <s v="DRY2200179"/>
    <s v="CAN "/>
    <s v="Bellisio Foods Canada"/>
    <s v="C-Wonton"/>
    <s v="C-Wonton ND"/>
    <x v="15"/>
    <s v="Cooked Wonton Noodle (Enriched wonton sheet&amp;noodles)"/>
    <s v="082SJ5312005P01001"/>
    <s v="258g*12"/>
    <n v="12"/>
    <n v="5"/>
    <n v="8.0000000000000002E-3"/>
    <s v="M"/>
    <s v="Salt"/>
    <s v="Regular"/>
    <n v="2600"/>
    <m/>
    <n v="2600"/>
    <n v="0"/>
    <n v="0"/>
    <m/>
    <m/>
    <m/>
  </r>
  <r>
    <x v="158"/>
    <d v="2022-06-10T00:00:00"/>
    <s v="Week23"/>
    <d v="2022-06-01T00:00:00"/>
    <s v="DRY220012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73"/>
    <n v="573"/>
    <m/>
    <n v="0"/>
    <n v="0"/>
    <m/>
    <m/>
    <m/>
  </r>
  <r>
    <x v="158"/>
    <d v="2022-06-11T00:00:00"/>
    <s v="Week23"/>
    <d v="2022-06-01T00:00:00"/>
    <s v="DRY220012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58"/>
    <d v="2022-06-15T00:00:00"/>
    <s v="Week23"/>
    <d v="2022-06-01T00:00:00"/>
    <s v="DRY220012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58"/>
    <d v="2022-06-15T00:00:00"/>
    <s v="Week23"/>
    <d v="2022-06-01T00:00:00"/>
    <s v="DRY220012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3"/>
    <n v="33"/>
    <m/>
    <n v="0"/>
    <n v="0"/>
    <m/>
    <m/>
    <m/>
  </r>
  <r>
    <x v="158"/>
    <d v="2022-06-11T00:00:00"/>
    <s v="Week23"/>
    <d v="2022-06-01T00:00:00"/>
    <s v="REPACK 3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486"/>
    <n v="486"/>
    <m/>
    <n v="0"/>
    <n v="0"/>
    <n v="0"/>
    <m/>
    <n v="0"/>
  </r>
  <r>
    <x v="159"/>
    <d v="2022-06-21T00:00:00"/>
    <s v="Week23"/>
    <d v="2022-06-01T00:00:00"/>
    <s v="DRY2200186"/>
    <s v="Spain"/>
    <s v="Paulsen Food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n v="140.5"/>
    <n v="140.5"/>
    <n v="0"/>
    <m/>
    <m/>
    <m/>
  </r>
  <r>
    <x v="159"/>
    <d v="2022-06-15T00:00:00"/>
    <s v="Week23"/>
    <d v="2022-06-01T00:00:00"/>
    <s v="DRY220012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59"/>
    <n v="759"/>
    <m/>
    <n v="0"/>
    <n v="0"/>
    <m/>
    <m/>
    <m/>
  </r>
  <r>
    <x v="159"/>
    <d v="2022-06-17T00:00:00"/>
    <s v="Week23"/>
    <d v="2022-06-01T00:00:00"/>
    <s v="DRY220013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59"/>
    <d v="2022-06-27T00:00:00"/>
    <s v="Week23"/>
    <d v="2022-06-01T00:00:00"/>
    <s v="DRY220013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47"/>
    <n v="347"/>
    <m/>
    <n v="0"/>
    <n v="0"/>
    <m/>
    <m/>
    <m/>
  </r>
  <r>
    <x v="159"/>
    <d v="2022-06-11T00:00:00"/>
    <s v="Week23"/>
    <d v="2022-06-01T00:00:00"/>
    <s v="REPACK 3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32"/>
    <n v="134"/>
    <m/>
    <n v="2"/>
    <n v="0"/>
    <n v="0"/>
    <m/>
    <n v="0"/>
  </r>
  <r>
    <x v="159"/>
    <d v="2022-06-16T00:00:00"/>
    <s v="Week23"/>
    <d v="2022-06-01T00:00:00"/>
    <s v="ขายภายใน"/>
    <s v="FM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280"/>
    <n v="280"/>
    <m/>
    <n v="0"/>
    <n v="0"/>
    <n v="0"/>
    <m/>
    <n v="0"/>
  </r>
  <r>
    <x v="160"/>
    <m/>
    <s v="Week23"/>
    <d v="2022-06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4233"/>
    <n v="4233"/>
    <m/>
    <n v="0"/>
    <n v="0"/>
    <m/>
    <m/>
    <m/>
  </r>
  <r>
    <x v="160"/>
    <m/>
    <s v="Week23"/>
    <d v="2022-06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1547"/>
    <n v="1530"/>
    <m/>
    <n v="-17"/>
    <n v="204"/>
    <m/>
    <m/>
    <m/>
  </r>
  <r>
    <x v="160"/>
    <d v="2022-06-11T00:00:00"/>
    <s v="Week23"/>
    <d v="2022-06-01T00:00:00"/>
    <s v="ขายภายใน"/>
    <s v="มหาชัย"/>
    <s v="CPFFB"/>
    <s v="C-Wonton"/>
    <s v="C-Wonton"/>
    <x v="24"/>
    <s v="เส้นบะหมีไข่ดิบ"/>
    <n v="23098903"/>
    <s v="10 *1 KG."/>
    <n v="10"/>
    <n v="1"/>
    <s v="-"/>
    <s v="-"/>
    <s v="STPP"/>
    <s v="-"/>
    <n v="550"/>
    <m/>
    <m/>
    <n v="-550"/>
    <n v="5500"/>
    <m/>
    <m/>
    <m/>
  </r>
  <r>
    <x v="160"/>
    <d v="2022-06-16T00:00:00"/>
    <s v="Week23"/>
    <d v="2022-06-01T00:00:00"/>
    <s v="ขายภายใน"/>
    <s v="FM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220"/>
    <n v="220"/>
    <m/>
    <n v="0"/>
    <n v="0"/>
    <n v="0"/>
    <m/>
    <n v="0"/>
  </r>
  <r>
    <x v="160"/>
    <d v="2022-06-18T00:00:00"/>
    <s v="Week23"/>
    <d v="2022-06-01T00:00:00"/>
    <s v="REPACK 4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280"/>
    <n v="280"/>
    <m/>
    <n v="0"/>
    <n v="0"/>
    <n v="0"/>
    <m/>
    <n v="0"/>
  </r>
  <r>
    <x v="161"/>
    <m/>
    <s v="Week23"/>
    <d v="2022-06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511"/>
    <n v="2511"/>
    <m/>
    <n v="0"/>
    <n v="0"/>
    <m/>
    <m/>
    <m/>
  </r>
  <r>
    <x v="161"/>
    <d v="2022-06-22T00:00:00"/>
    <s v="Week23"/>
    <d v="2022-06-01T00:00:00"/>
    <s v="DRY2200158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320"/>
    <n v="320"/>
    <m/>
    <n v="0"/>
    <n v="0"/>
    <m/>
    <m/>
    <m/>
  </r>
  <r>
    <x v="161"/>
    <d v="2022-06-22T00:00:00"/>
    <s v="Week23"/>
    <d v="2022-06-01T00:00:00"/>
    <s v="DRY2200159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161"/>
    <d v="2022-06-29T00:00:00"/>
    <s v="Week23"/>
    <d v="2022-06-01T00:00:00"/>
    <s v="DRY2200289"/>
    <s v="New Zealand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695"/>
    <n v="97.25"/>
    <n v="0.25"/>
    <n v="0"/>
    <m/>
    <m/>
    <m/>
  </r>
  <r>
    <x v="161"/>
    <d v="2022-06-18T00:00:00"/>
    <s v="Week23"/>
    <d v="2022-06-01T00:00:00"/>
    <s v="REPACK 4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850"/>
    <n v="850"/>
    <m/>
    <n v="0"/>
    <n v="0"/>
    <n v="0"/>
    <m/>
    <n v="0"/>
  </r>
  <r>
    <x v="162"/>
    <m/>
    <s v="Week24"/>
    <d v="2022-06-01T00:00:00"/>
    <m/>
    <m/>
    <m/>
    <m/>
    <m/>
    <x v="0"/>
    <m/>
    <m/>
    <m/>
    <m/>
    <m/>
    <m/>
    <m/>
    <m/>
    <m/>
    <m/>
    <m/>
    <m/>
    <m/>
    <m/>
    <m/>
    <m/>
    <m/>
  </r>
  <r>
    <x v="163"/>
    <d v="2022-06-21T00:00:00"/>
    <s v="Week24"/>
    <d v="2022-06-01T00:00:00"/>
    <s v="DRY2200193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171"/>
    <n v="116.94444444444444"/>
    <n v="-5.5555555555656611E-2"/>
    <n v="2"/>
    <m/>
    <m/>
    <m/>
  </r>
  <r>
    <x v="163"/>
    <d v="2022-06-16T00:00:00"/>
    <s v="Week24"/>
    <d v="2022-06-01T00:00:00"/>
    <s v="DRY2200245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88"/>
    <n v="1114"/>
    <n v="173.63888888888889"/>
    <n v="-0.36111111111108585"/>
    <n v="13"/>
    <m/>
    <m/>
    <m/>
  </r>
  <r>
    <x v="163"/>
    <d v="2022-06-23T00:00:00"/>
    <s v="Week24"/>
    <d v="2022-06-01T00:00:00"/>
    <s v="DRY2200246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88"/>
    <n v="1288"/>
    <m/>
    <n v="0"/>
    <n v="0"/>
    <m/>
    <m/>
    <m/>
  </r>
  <r>
    <x v="163"/>
    <d v="2022-06-27T00:00:00"/>
    <s v="Week24"/>
    <d v="2022-06-01T00:00:00"/>
    <s v="DRY2200247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59"/>
    <n v="59"/>
    <m/>
    <n v="0"/>
    <n v="0"/>
    <m/>
    <m/>
    <m/>
  </r>
  <r>
    <x v="163"/>
    <d v="2022-06-11T00:00:00"/>
    <s v="Week24"/>
    <d v="2022-06-01T00:00:00"/>
    <s v="ขายภายใน"/>
    <s v="มหาชัย"/>
    <s v="CPFFB"/>
    <s v="C-Wonton"/>
    <s v="C-Wonton"/>
    <x v="24"/>
    <s v="เส้นบะหมีไข่ดิบ"/>
    <n v="23098903"/>
    <s v="10 *1 KG."/>
    <n v="10"/>
    <n v="1"/>
    <s v="-"/>
    <s v="-"/>
    <s v="STPP"/>
    <s v="-"/>
    <n v="150"/>
    <n v="150"/>
    <m/>
    <n v="0"/>
    <n v="0"/>
    <m/>
    <m/>
    <m/>
  </r>
  <r>
    <x v="163"/>
    <d v="2022-06-18T00:00:00"/>
    <s v="Week24"/>
    <d v="2022-06-01T00:00:00"/>
    <s v="REPACK 4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278"/>
    <n v="280"/>
    <m/>
    <n v="2"/>
    <n v="0"/>
    <n v="0"/>
    <m/>
    <n v="0"/>
  </r>
  <r>
    <x v="163"/>
    <d v="2022-06-18T00:00:00"/>
    <s v="Week24"/>
    <d v="2022-06-01T00:00:00"/>
    <s v="REPACK 5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444"/>
    <n v="444"/>
    <m/>
    <n v="0"/>
    <n v="0"/>
    <n v="0"/>
    <m/>
    <n v="0"/>
  </r>
  <r>
    <x v="164"/>
    <d v="2022-06-23T00:00:00"/>
    <s v="Week24"/>
    <d v="2022-06-01T00:00:00"/>
    <s v="DRY2200198"/>
    <s v="USA"/>
    <s v="Bellisio Foods, Inc."/>
    <s v="C-Wonton"/>
    <s v="C-Wonton ND"/>
    <x v="5"/>
    <s v="Cooked Wonton ND No Egg with Pumpkin_x000a_+ Yu Choy Low sodium"/>
    <s v="082SJBW24005P01001"/>
    <s v="308g*4c*6in"/>
    <n v="24"/>
    <n v="5"/>
    <n v="7.4999999999999997E-3"/>
    <s v="HC"/>
    <s v="Salt"/>
    <s v="Y3"/>
    <n v="250"/>
    <n v="250"/>
    <n v="1.5833333333333333"/>
    <n v="1.5833333333333428"/>
    <n v="0"/>
    <m/>
    <m/>
    <m/>
  </r>
  <r>
    <x v="164"/>
    <d v="2022-06-27T00:00:00"/>
    <s v="Week24"/>
    <d v="2022-06-01T00:00:00"/>
    <s v="DRY220013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45"/>
    <n v="445"/>
    <m/>
    <n v="0"/>
    <n v="0"/>
    <m/>
    <m/>
    <m/>
  </r>
  <r>
    <x v="164"/>
    <d v="2022-06-27T00:00:00"/>
    <s v="Week24"/>
    <d v="2022-06-01T00:00:00"/>
    <s v="DRY220013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64"/>
    <d v="2022-06-27T00:00:00"/>
    <s v="Week24"/>
    <d v="2022-06-01T00:00:00"/>
    <s v="DRY220013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64"/>
    <d v="2022-06-27T00:00:00"/>
    <s v="Week24"/>
    <d v="2022-06-01T00:00:00"/>
    <s v="DRY220013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94"/>
    <n v="694"/>
    <m/>
    <n v="0"/>
    <n v="0"/>
    <m/>
    <m/>
    <m/>
  </r>
  <r>
    <x v="164"/>
    <d v="2022-06-18T00:00:00"/>
    <s v="Week24"/>
    <d v="2022-06-01T00:00:00"/>
    <s v="REPACK 5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636"/>
    <n v="636"/>
    <m/>
    <n v="0"/>
    <n v="0"/>
    <n v="0"/>
    <m/>
    <n v="0"/>
  </r>
  <r>
    <x v="165"/>
    <d v="2022-06-27T00:00:00"/>
    <s v="Week24"/>
    <d v="2022-06-01T00:00:00"/>
    <s v="DRY220013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98"/>
    <n v="98"/>
    <m/>
    <n v="0"/>
    <n v="0"/>
    <m/>
    <m/>
    <m/>
  </r>
  <r>
    <x v="165"/>
    <d v="2022-06-27T00:00:00"/>
    <s v="Week24"/>
    <d v="2022-06-01T00:00:00"/>
    <s v="DRY220013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65"/>
    <d v="2022-06-29T00:00:00"/>
    <s v="Week24"/>
    <d v="2022-06-01T00:00:00"/>
    <s v="DRY220013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65"/>
    <d v="2022-07-04T00:00:00"/>
    <s v="Week24"/>
    <d v="2022-06-01T00:00:00"/>
    <s v="DRY220013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65"/>
    <d v="2022-07-04T00:00:00"/>
    <s v="Week24"/>
    <d v="2022-06-01T00:00:00"/>
    <s v="DRY220013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60"/>
    <n v="260"/>
    <m/>
    <n v="0"/>
    <n v="0"/>
    <m/>
    <m/>
    <m/>
  </r>
  <r>
    <x v="165"/>
    <d v="2022-06-18T00:00:00"/>
    <s v="Week24"/>
    <d v="2022-06-01T00:00:00"/>
    <s v="REPACK 5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328"/>
    <n v="330"/>
    <m/>
    <n v="2"/>
    <n v="0"/>
    <n v="0"/>
    <m/>
    <n v="0"/>
  </r>
  <r>
    <x v="166"/>
    <m/>
    <s v="Week24"/>
    <d v="2022-06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510"/>
    <n v="2510"/>
    <m/>
    <n v="0"/>
    <n v="0"/>
    <m/>
    <m/>
    <m/>
  </r>
  <r>
    <x v="166"/>
    <m/>
    <s v="Week24"/>
    <d v="2022-06-01T00:00:00"/>
    <s v="ขายภายใน"/>
    <s v=".7-11"/>
    <s v="ซีพีเอฟ เทรดดิ้ง"/>
    <s v="C-Wonton"/>
    <s v="C-Wonton"/>
    <x v="21"/>
    <s v="Cooked Wonton ND with egg 7-11"/>
    <s v="082SJ1A12003P01001 "/>
    <s v="211g*12"/>
    <n v="12"/>
    <n v="3"/>
    <n v="6.1999999999999998E-3"/>
    <s v="SS"/>
    <s v="STPP"/>
    <s v="TYNSF"/>
    <n v="5000"/>
    <n v="4985"/>
    <m/>
    <n v="-15"/>
    <n v="180"/>
    <m/>
    <m/>
    <m/>
  </r>
  <r>
    <x v="166"/>
    <d v="2022-06-27T00:00:00"/>
    <s v="Week24"/>
    <d v="2022-06-01T00:00:00"/>
    <s v="DRY2200049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36"/>
    <n v="536"/>
    <m/>
    <n v="0"/>
    <n v="0"/>
    <n v="0"/>
    <n v="2"/>
    <n v="0"/>
  </r>
  <r>
    <x v="167"/>
    <d v="2022-06-23T00:00:00"/>
    <s v="Week24"/>
    <d v="2022-06-01T00:00:00"/>
    <s v="DRY2200198"/>
    <s v="USA"/>
    <s v="Bellisio Foods, Inc."/>
    <s v="C-Wonton"/>
    <s v="C-Wonton ND"/>
    <x v="7"/>
    <s v="Cooked Minced Wonton No Egg"/>
    <s v="082SKBW08005P00001"/>
    <s v="145g*8"/>
    <n v="8"/>
    <n v="5"/>
    <n v="8.0000000000000002E-3"/>
    <s v="BK"/>
    <s v="Salt"/>
    <s v="Regular"/>
    <n v="400"/>
    <m/>
    <n v="400"/>
    <n v="0"/>
    <n v="0"/>
    <m/>
    <m/>
    <m/>
  </r>
  <r>
    <x v="167"/>
    <d v="2022-06-23T00:00:00"/>
    <s v="Week24"/>
    <d v="2022-06-01T00:00:00"/>
    <s v="DRY2200199"/>
    <s v="USA"/>
    <s v="Bellisio Foods, Inc."/>
    <s v="C-Wonton"/>
    <s v="C-Wonton ND"/>
    <x v="7"/>
    <s v="Cooked Minced Wonton No Egg"/>
    <s v="082SKBW08005P00001"/>
    <s v="145g*8"/>
    <n v="8"/>
    <n v="5"/>
    <n v="8.0000000000000002E-3"/>
    <s v="BK"/>
    <s v="Salt"/>
    <s v="Regular"/>
    <n v="750"/>
    <m/>
    <n v="750"/>
    <n v="0"/>
    <n v="0"/>
    <m/>
    <m/>
    <m/>
  </r>
  <r>
    <x v="167"/>
    <d v="2022-07-06T00:00:00"/>
    <s v="Week24"/>
    <d v="2022-06-01T00:00:00"/>
    <s v="DRY2200200"/>
    <s v="USA"/>
    <s v="Bellisio Foods, Inc."/>
    <s v="C-Wonton"/>
    <s v="C-Wonton ND"/>
    <x v="7"/>
    <s v="Cooked Minced Wonton No Egg"/>
    <s v="082SKBW08005P00001"/>
    <s v="145g*8"/>
    <n v="8"/>
    <n v="5"/>
    <n v="8.0000000000000002E-3"/>
    <s v="BK"/>
    <s v="Salt"/>
    <s v="Regular"/>
    <n v="750"/>
    <m/>
    <n v="750"/>
    <n v="0"/>
    <n v="0"/>
    <m/>
    <m/>
    <m/>
  </r>
  <r>
    <x v="167"/>
    <d v="2022-06-23T00:00:00"/>
    <s v="Week24"/>
    <d v="2022-06-01T00:00:00"/>
    <s v="DRY2200198"/>
    <s v="USA"/>
    <s v="Bellisio Foods, Inc."/>
    <s v="C-Wonton"/>
    <s v="C-Wonton ND"/>
    <x v="15"/>
    <s v="Cooked Wonton Noodle No Egg"/>
    <s v="082SJBW24005P00001"/>
    <s v="258g*4c*6in"/>
    <n v="24"/>
    <n v="5"/>
    <n v="8.0000000000000002E-3"/>
    <s v="M"/>
    <s v="Salt"/>
    <s v="Regular"/>
    <n v="700"/>
    <n v="700"/>
    <m/>
    <n v="0"/>
    <n v="0"/>
    <m/>
    <m/>
    <m/>
  </r>
  <r>
    <x v="167"/>
    <d v="2022-06-23T00:00:00"/>
    <s v="Week24"/>
    <d v="2022-06-01T00:00:00"/>
    <s v="DRY2200199"/>
    <s v="USA"/>
    <s v="Bellisio Foods, Inc."/>
    <s v="C-Wonton"/>
    <s v="C-Wonton ND"/>
    <x v="15"/>
    <s v="Cooked Wonton Noodle No Egg"/>
    <s v="082SJBW24005P00001"/>
    <s v="258g*4c*6in"/>
    <n v="24"/>
    <n v="5"/>
    <n v="8.0000000000000002E-3"/>
    <s v="M"/>
    <s v="Salt"/>
    <s v="Regular"/>
    <n v="800"/>
    <n v="800"/>
    <m/>
    <n v="0"/>
    <n v="0"/>
    <m/>
    <m/>
    <m/>
  </r>
  <r>
    <x v="167"/>
    <d v="2022-07-06T00:00:00"/>
    <s v="Week24"/>
    <d v="2022-06-01T00:00:00"/>
    <s v="DRY2200200"/>
    <s v="USA"/>
    <s v="Bellisio Foods, Inc."/>
    <s v="C-Wonton"/>
    <s v="C-Wonton ND"/>
    <x v="15"/>
    <s v="Cooked Wonton Noodle No Egg"/>
    <s v="082SJBW24005P00001"/>
    <s v="258g*4c*6in"/>
    <n v="24"/>
    <n v="5"/>
    <n v="8.0000000000000002E-3"/>
    <s v="M"/>
    <s v="Salt"/>
    <s v="Regular"/>
    <n v="800"/>
    <n v="773"/>
    <n v="61.25"/>
    <n v="34.25"/>
    <n v="0"/>
    <m/>
    <m/>
    <m/>
  </r>
  <r>
    <x v="167"/>
    <d v="2022-06-30T00:00:00"/>
    <s v="Week24"/>
    <d v="2022-06-01T00:00:00"/>
    <s v="DRY2200180"/>
    <s v="CAN "/>
    <s v="Bellisio Foods Canada"/>
    <s v="C-Wonton"/>
    <s v="C-Wonton ND"/>
    <x v="15"/>
    <s v="Cooked Wonton Noodle (Enriched wonton sheet&amp;noodles)"/>
    <s v="082SJ5312005P01001"/>
    <s v="258g*12"/>
    <n v="12"/>
    <n v="5"/>
    <n v="8.0000000000000002E-3"/>
    <s v="M"/>
    <s v="Salt"/>
    <s v="Regular"/>
    <n v="2600"/>
    <m/>
    <n v="2600"/>
    <n v="0"/>
    <n v="0"/>
    <m/>
    <m/>
    <m/>
  </r>
  <r>
    <x v="167"/>
    <d v="2022-06-27T00:00:00"/>
    <s v="Week24"/>
    <d v="2022-06-01T00:00:00"/>
    <s v="DRY2200049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55"/>
    <n v="555"/>
    <m/>
    <n v="0"/>
    <n v="0"/>
    <n v="0"/>
    <n v="2"/>
    <n v="0"/>
  </r>
  <r>
    <x v="168"/>
    <d v="2022-06-28T00:00:00"/>
    <s v="Week24"/>
    <d v="2022-06-01T00:00:00"/>
    <s v="DRY2200194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168"/>
    <d v="2022-06-28T00:00:00"/>
    <s v="Week24"/>
    <d v="2022-06-01T00:00:00"/>
    <s v="DRY2200195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168"/>
    <d v="2022-06-27T00:00:00"/>
    <s v="Week24"/>
    <d v="2022-06-01T00:00:00"/>
    <s v="DRY2200164"/>
    <s v="SG"/>
    <s v="CPI SINGAPORE"/>
    <s v="C-Wonton"/>
    <s v="C-Wonton"/>
    <x v="2"/>
    <s v="Cooked Wonton No Egg"/>
    <s v="082S83B24005P06001"/>
    <s v="115g*24"/>
    <n v="24"/>
    <n v="5"/>
    <n v="8.0000000000000002E-3"/>
    <s v="M"/>
    <s v="STPP"/>
    <s v="TYTB3C 30G"/>
    <n v="400"/>
    <n v="400"/>
    <n v="9.8333333333333339"/>
    <n v="9.8333333333333144"/>
    <n v="0"/>
    <m/>
    <n v="1"/>
    <n v="0"/>
  </r>
  <r>
    <x v="168"/>
    <d v="2022-06-27T00:00:00"/>
    <s v="Week24"/>
    <d v="2022-06-01T00:00:00"/>
    <s v="DRY2200163"/>
    <s v="SG"/>
    <s v="CPI SINGAPORE"/>
    <s v="C-Wonton"/>
    <s v="C-Wonton"/>
    <x v="1"/>
    <s v="Cooked Wonton No Egg"/>
    <s v="082S83B24005P07001"/>
    <s v="145g*24"/>
    <n v="24"/>
    <n v="5"/>
    <n v="8.0000000000000002E-3"/>
    <s v="M"/>
    <s v="STPP"/>
    <s v="Regular"/>
    <n v="500"/>
    <n v="500"/>
    <n v="5.333333333333333"/>
    <n v="5.3333333333333144"/>
    <n v="0"/>
    <m/>
    <m/>
    <m/>
  </r>
  <r>
    <x v="168"/>
    <d v="2022-06-20T00:00:00"/>
    <s v="Week24"/>
    <d v="2022-06-01T00:00:00"/>
    <s v="ขายภายใน"/>
    <s v="มหาชัย"/>
    <s v="CPFFB"/>
    <s v="C-Wonton"/>
    <s v="C-Wonton"/>
    <x v="24"/>
    <s v="เส้นบะหมีไข่ดิบ"/>
    <n v="23098903"/>
    <s v="10 *1 KG."/>
    <n v="10"/>
    <n v="1"/>
    <s v="-"/>
    <s v="-"/>
    <s v="STPP"/>
    <s v="-"/>
    <n v="400"/>
    <n v="400"/>
    <m/>
    <n v="0"/>
    <n v="0"/>
    <m/>
    <m/>
    <m/>
  </r>
  <r>
    <x v="168"/>
    <d v="2022-07-02T00:00:00"/>
    <s v="Week24"/>
    <d v="2022-06-01T00:00:00"/>
    <s v="REPACK 6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721"/>
    <n v="721"/>
    <m/>
    <n v="0"/>
    <n v="0"/>
    <n v="0"/>
    <m/>
    <n v="0"/>
  </r>
  <r>
    <x v="168"/>
    <d v="2022-06-27T00:00:00"/>
    <s v="Week24"/>
    <d v="2022-06-01T00:00:00"/>
    <s v="DRY2200049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74"/>
    <n v="74"/>
    <m/>
    <n v="0"/>
    <n v="0"/>
    <n v="0"/>
    <n v="2"/>
    <n v="0"/>
  </r>
  <r>
    <x v="169"/>
    <m/>
    <s v="Week25"/>
    <d v="2022-06-01T00:00:00"/>
    <m/>
    <m/>
    <m/>
    <m/>
    <m/>
    <x v="0"/>
    <m/>
    <m/>
    <m/>
    <m/>
    <m/>
    <m/>
    <m/>
    <m/>
    <m/>
    <m/>
    <m/>
    <m/>
    <m/>
    <m/>
    <m/>
    <m/>
    <m/>
  </r>
  <r>
    <x v="170"/>
    <m/>
    <s v="Week25"/>
    <d v="2022-06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4972"/>
    <n v="4972"/>
    <m/>
    <n v="0"/>
    <n v="0"/>
    <m/>
    <m/>
    <m/>
  </r>
  <r>
    <x v="170"/>
    <d v="2022-06-23T00:00:00"/>
    <s v="Week25"/>
    <d v="2022-06-01T00:00:00"/>
    <s v="DRY2200198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</r>
  <r>
    <x v="170"/>
    <d v="2022-06-23T00:00:00"/>
    <s v="Week25"/>
    <d v="2022-06-01T00:00:00"/>
    <s v="DRY2200199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200"/>
    <n v="200"/>
    <m/>
    <n v="0"/>
    <n v="0"/>
    <n v="0"/>
    <n v="6"/>
    <n v="0"/>
  </r>
  <r>
    <x v="170"/>
    <d v="2022-07-06T00:00:00"/>
    <s v="Week25"/>
    <d v="2022-06-01T00:00:00"/>
    <s v="DRY2200200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200"/>
    <n v="200"/>
    <m/>
    <n v="0"/>
    <n v="0"/>
    <n v="0"/>
    <n v="6"/>
    <n v="0"/>
  </r>
  <r>
    <x v="171"/>
    <m/>
    <s v="Week25"/>
    <d v="2022-06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4489"/>
    <n v="4489"/>
    <m/>
    <n v="0"/>
    <n v="0"/>
    <m/>
    <m/>
    <m/>
  </r>
  <r>
    <x v="171"/>
    <d v="2022-06-27T00:00:00"/>
    <s v="Week25"/>
    <d v="2022-06-01T00:00:00"/>
    <s v="ขายภายใน"/>
    <s v="MTFS"/>
    <s v="ซีพีเอฟ เทรดดิ้ง"/>
    <s v="C-Wonton"/>
    <s v="C-Wonton"/>
    <x v="21"/>
    <s v="Cooked Wonton ND with egg "/>
    <s v="082SJ3Q12003P08001"/>
    <s v="211g*12"/>
    <n v="12"/>
    <n v="3"/>
    <n v="6.1999999999999998E-3"/>
    <s v="SS"/>
    <s v="STPP"/>
    <s v="TYNSF"/>
    <n v="620"/>
    <n v="623"/>
    <m/>
    <n v="3"/>
    <n v="0"/>
    <m/>
    <m/>
    <m/>
  </r>
  <r>
    <x v="171"/>
    <d v="2022-06-27T00:00:00"/>
    <s v="Week25"/>
    <d v="2022-06-01T00:00:00"/>
    <s v="ขายภายใน"/>
    <s v="Makro"/>
    <s v="ซีพีเอฟ เทรดดิ้ง"/>
    <s v="C-Wonton"/>
    <s v="C-Wonton"/>
    <x v="21"/>
    <s v="Cooked Wonton ND with egg 7-11"/>
    <s v="082SJ3Q18003P01001"/>
    <s v="211g*18"/>
    <n v="18"/>
    <n v="3"/>
    <n v="6.1999999999999998E-3"/>
    <s v="SS"/>
    <s v="STPP"/>
    <s v="TYNSF"/>
    <n v="700"/>
    <m/>
    <n v="700.27777777777783"/>
    <n v="0.27777777777782831"/>
    <n v="0"/>
    <m/>
    <m/>
    <m/>
  </r>
  <r>
    <x v="171"/>
    <d v="2022-06-27T00:00:00"/>
    <s v="Week25"/>
    <d v="2022-06-01T00:00:00"/>
    <s v="DRY2200049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459"/>
    <n v="459"/>
    <m/>
    <n v="0"/>
    <n v="0"/>
    <n v="0"/>
    <n v="2"/>
    <n v="0"/>
  </r>
  <r>
    <x v="172"/>
    <m/>
    <s v="Week25"/>
    <d v="2022-06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6555"/>
    <n v="6555"/>
    <m/>
    <n v="0"/>
    <n v="0"/>
    <m/>
    <m/>
    <m/>
  </r>
  <r>
    <x v="172"/>
    <d v="2022-06-27T00:00:00"/>
    <s v="Week25"/>
    <d v="2022-06-01T00:00:00"/>
    <s v="ขายภายใน"/>
    <s v=".7-11"/>
    <s v="ซีพีเอฟ เทรดดิ้ง"/>
    <s v="C-Wonton"/>
    <s v="C-Wonton"/>
    <x v="21"/>
    <s v="Cooked Wonton ND with egg 7-11"/>
    <s v="082SJ1A12003P01001 "/>
    <s v="211g*12"/>
    <n v="12"/>
    <n v="3"/>
    <n v="6.1999999999999998E-3"/>
    <s v="SS"/>
    <s v="STPP"/>
    <s v="TYNSF"/>
    <n v="4923"/>
    <n v="4923"/>
    <n v="1.6666666666666667"/>
    <n v="1.6666666666669698"/>
    <n v="0"/>
    <m/>
    <m/>
    <m/>
  </r>
  <r>
    <x v="172"/>
    <d v="2022-07-02T00:00:00"/>
    <s v="Week25"/>
    <d v="2022-06-01T00:00:00"/>
    <s v="REPACK 6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687"/>
    <n v="688"/>
    <m/>
    <n v="1"/>
    <n v="0"/>
    <n v="0"/>
    <m/>
    <n v="0"/>
  </r>
  <r>
    <x v="172"/>
    <d v="2022-07-09T00:00:00"/>
    <s v="Week25"/>
    <d v="2022-06-01T00:00:00"/>
    <s v="REPACK 7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73"/>
    <n v="73"/>
    <m/>
    <n v="0"/>
    <n v="0"/>
    <n v="0"/>
    <m/>
    <n v="0"/>
  </r>
  <r>
    <x v="173"/>
    <m/>
    <s v="Week25"/>
    <d v="2022-06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496"/>
    <n v="2496"/>
    <m/>
    <n v="0"/>
    <n v="0"/>
    <m/>
    <m/>
    <m/>
  </r>
  <r>
    <x v="173"/>
    <m/>
    <s v="Week25"/>
    <d v="2022-06-01T00:00:00"/>
    <s v="ขายภายใน"/>
    <s v="MTFS"/>
    <s v="ซีพีเอฟ เทรดดิ้ง"/>
    <s v="C-Wonton"/>
    <s v="C-Wonton"/>
    <x v="11"/>
    <s v="Cooked Wonton ND with egg V-Food"/>
    <s v="082SJ3Q12003P07001"/>
    <s v="226g*12"/>
    <n v="12"/>
    <n v="3"/>
    <n v="8.0000000000000002E-3"/>
    <s v="M"/>
    <s v="STPP"/>
    <s v="Regular"/>
    <n v="1300"/>
    <n v="1306"/>
    <m/>
    <n v="6"/>
    <n v="0"/>
    <m/>
    <m/>
    <m/>
  </r>
  <r>
    <x v="173"/>
    <m/>
    <s v="Week25"/>
    <d v="2022-06-01T00:00:00"/>
    <s v="ขายภายใน"/>
    <s v="MTFS"/>
    <s v="ซีพีเอฟ เทรดดิ้ง"/>
    <s v="C-Wonton"/>
    <s v="C-Wonton"/>
    <x v="22"/>
    <s v="Minced Noodle with egg V-Food (3 pcs)"/>
    <s v="082SR3Q12003P00001"/>
    <s v="191g*12"/>
    <n v="12"/>
    <n v="3"/>
    <n v="8.0000000000000002E-3"/>
    <s v="BK"/>
    <s v="STPP"/>
    <s v="Regular"/>
    <n v="800"/>
    <n v="845"/>
    <m/>
    <n v="45"/>
    <n v="0"/>
    <m/>
    <m/>
    <m/>
  </r>
  <r>
    <x v="173"/>
    <m/>
    <s v="Week25"/>
    <d v="2022-06-01T00:00:00"/>
    <s v="ขายภายใน"/>
    <s v="MTFS"/>
    <s v="ซีพีเอฟ เทรดดิ้ง"/>
    <s v="C-Wonton"/>
    <s v="C-Wonton"/>
    <x v="14"/>
    <s v="Minced Wonton (5pcs)"/>
    <s v="082SK3Q12005P00001"/>
    <s v="135g*12"/>
    <n v="12"/>
    <n v="5"/>
    <n v="8.0000000000000002E-3"/>
    <s v="BK"/>
    <s v="STPP"/>
    <s v="Regular"/>
    <n v="1300"/>
    <n v="1310"/>
    <m/>
    <n v="10"/>
    <n v="0"/>
    <m/>
    <m/>
    <m/>
  </r>
  <r>
    <x v="173"/>
    <m/>
    <s v="Week25"/>
    <d v="2022-06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626"/>
    <n v="550"/>
    <n v="76.833333333333329"/>
    <n v="0.83333333333337123"/>
    <n v="0"/>
    <m/>
    <n v="1"/>
    <n v="0"/>
  </r>
  <r>
    <x v="173"/>
    <d v="2022-07-09T00:00:00"/>
    <s v="Week25"/>
    <d v="2022-06-01T00:00:00"/>
    <s v="REPACK 7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788"/>
    <n v="788"/>
    <m/>
    <n v="0"/>
    <n v="0"/>
    <n v="0"/>
    <m/>
    <n v="0"/>
  </r>
  <r>
    <x v="174"/>
    <d v="2022-06-27T00:00:00"/>
    <s v="Week25"/>
    <d v="2022-06-01T00:00:00"/>
    <s v="DRY2200247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29"/>
    <n v="1229"/>
    <m/>
    <n v="0"/>
    <n v="0"/>
    <m/>
    <m/>
    <m/>
  </r>
  <r>
    <x v="174"/>
    <d v="2022-06-30T00:00:00"/>
    <s v="Week25"/>
    <d v="2022-06-01T00:00:00"/>
    <s v="DRY2200248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88"/>
    <n v="1288"/>
    <m/>
    <n v="0"/>
    <n v="0"/>
    <m/>
    <m/>
    <m/>
  </r>
  <r>
    <x v="174"/>
    <d v="2022-06-30T00:00:00"/>
    <s v="Week25"/>
    <d v="2022-06-01T00:00:00"/>
    <s v="DRY2200249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88"/>
    <n v="1288"/>
    <m/>
    <n v="0"/>
    <n v="0"/>
    <m/>
    <m/>
    <m/>
  </r>
  <r>
    <x v="174"/>
    <d v="2022-07-09T00:00:00"/>
    <s v="Week25"/>
    <d v="2022-06-01T00:00:00"/>
    <s v="REPACK 7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547"/>
    <n v="548"/>
    <m/>
    <n v="1"/>
    <n v="0"/>
    <n v="0"/>
    <m/>
    <n v="0"/>
  </r>
  <r>
    <x v="174"/>
    <m/>
    <s v="Week25"/>
    <d v="2022-06-01T00:00:00"/>
    <s v="ขายภายใน"/>
    <s v="FM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92"/>
    <n v="92"/>
    <m/>
    <n v="0"/>
    <n v="0"/>
    <n v="0"/>
    <m/>
    <n v="0"/>
  </r>
  <r>
    <x v="175"/>
    <d v="2022-06-30T00:00:00"/>
    <s v="Week25"/>
    <d v="2022-06-01T00:00:00"/>
    <s v="DRY2200250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88"/>
    <n v="1288"/>
    <m/>
    <n v="0"/>
    <n v="0"/>
    <m/>
    <m/>
    <m/>
  </r>
  <r>
    <x v="175"/>
    <d v="2022-07-01T00:00:00"/>
    <s v="Week25"/>
    <d v="2022-06-01T00:00:00"/>
    <s v="DRY2200251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88"/>
    <n v="1288"/>
    <m/>
    <n v="0"/>
    <n v="0"/>
    <m/>
    <m/>
    <m/>
  </r>
  <r>
    <x v="175"/>
    <d v="2022-07-01T00:00:00"/>
    <s v="Week25"/>
    <d v="2022-06-01T00:00:00"/>
    <s v="DRY2200252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88"/>
    <n v="1288"/>
    <m/>
    <n v="0"/>
    <n v="0"/>
    <m/>
    <m/>
    <m/>
  </r>
  <r>
    <x v="175"/>
    <m/>
    <s v="Week25"/>
    <d v="2022-06-01T00:00:00"/>
    <s v="ขายภายใน"/>
    <s v="FM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449"/>
    <n v="449"/>
    <m/>
    <n v="0"/>
    <n v="0"/>
    <n v="0"/>
    <m/>
    <n v="0"/>
  </r>
  <r>
    <x v="176"/>
    <m/>
    <s v="Week26"/>
    <d v="2022-06-01T00:00:00"/>
    <m/>
    <m/>
    <m/>
    <m/>
    <m/>
    <x v="0"/>
    <m/>
    <m/>
    <m/>
    <m/>
    <m/>
    <m/>
    <m/>
    <m/>
    <m/>
    <m/>
    <m/>
    <m/>
    <m/>
    <m/>
    <m/>
    <m/>
    <m/>
  </r>
  <r>
    <x v="177"/>
    <d v="2022-07-12T00:00:00"/>
    <s v="Week26"/>
    <d v="2022-06-01T00:00:00"/>
    <s v="DRY2200196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173"/>
    <n v="115"/>
    <n v="0"/>
    <n v="0"/>
    <m/>
    <m/>
    <m/>
  </r>
  <r>
    <x v="177"/>
    <d v="2022-07-01T00:00:00"/>
    <s v="Week26"/>
    <d v="2022-06-01T00:00:00"/>
    <s v="DRY2200255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88"/>
    <n v="1288"/>
    <m/>
    <n v="0"/>
    <n v="0"/>
    <m/>
    <m/>
    <m/>
  </r>
  <r>
    <x v="177"/>
    <d v="2022-07-02T00:00:00"/>
    <s v="Week26"/>
    <d v="2022-06-01T00:00:00"/>
    <s v="DRY2200256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88"/>
    <n v="1288"/>
    <m/>
    <n v="0"/>
    <n v="0"/>
    <m/>
    <m/>
    <m/>
  </r>
  <r>
    <x v="177"/>
    <m/>
    <s v="Week26"/>
    <d v="2022-06-01T00:00:00"/>
    <s v="ขายภายใน"/>
    <s v="FM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508"/>
    <n v="508"/>
    <m/>
    <n v="0"/>
    <n v="0"/>
    <n v="0"/>
    <m/>
    <n v="0"/>
  </r>
  <r>
    <x v="178"/>
    <d v="2022-07-02T00:00:00"/>
    <s v="Week26"/>
    <d v="2022-06-01T00:00:00"/>
    <s v="DRY2200257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88"/>
    <n v="1288"/>
    <m/>
    <n v="0"/>
    <n v="0"/>
    <m/>
    <m/>
    <m/>
  </r>
  <r>
    <x v="178"/>
    <d v="2022-07-02T00:00:00"/>
    <s v="Week26"/>
    <d v="2022-06-01T00:00:00"/>
    <s v="DRY2200258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88"/>
    <n v="1288"/>
    <m/>
    <n v="0"/>
    <n v="0"/>
    <m/>
    <m/>
    <m/>
  </r>
  <r>
    <x v="178"/>
    <d v="2022-07-14T00:00:00"/>
    <s v="Week26"/>
    <d v="2022-06-01T00:00:00"/>
    <s v="DRY2200259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934"/>
    <n v="934"/>
    <m/>
    <n v="0"/>
    <n v="0"/>
    <m/>
    <m/>
    <m/>
  </r>
  <r>
    <x v="178"/>
    <d v="2022-07-21T00:00:00"/>
    <s v="Week26"/>
    <d v="2022-06-01T00:00:00"/>
    <s v="DRY2200287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500"/>
    <n v="500"/>
    <m/>
    <n v="0"/>
    <n v="0"/>
    <n v="0"/>
    <n v="6"/>
    <n v="0"/>
  </r>
  <r>
    <x v="178"/>
    <m/>
    <s v="Week26"/>
    <d v="2022-06-01T00:00:00"/>
    <s v="ขายภายใน"/>
    <s v="FM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49"/>
    <n v="49"/>
    <m/>
    <n v="0"/>
    <n v="0"/>
    <n v="0"/>
    <m/>
    <n v="0"/>
  </r>
  <r>
    <x v="179"/>
    <m/>
    <s v="Week26"/>
    <d v="2022-06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5801"/>
    <n v="5801"/>
    <m/>
    <n v="0"/>
    <n v="0"/>
    <m/>
    <m/>
    <m/>
  </r>
  <r>
    <x v="179"/>
    <m/>
    <s v="Week26"/>
    <d v="2022-06-01T00:00:00"/>
    <s v="ขายภายใน"/>
    <s v="FM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2"/>
    <n v="2"/>
    <m/>
    <n v="0"/>
    <n v="0"/>
    <n v="0"/>
    <m/>
    <n v="0"/>
  </r>
  <r>
    <x v="179"/>
    <d v="2022-09-28T00:00:00"/>
    <s v="Week26"/>
    <d v="2022-06-01T00:00:00"/>
    <s v="DRY2200426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178"/>
    <n v="160"/>
    <n v="3"/>
    <n v="-15"/>
    <n v="150"/>
    <n v="7500"/>
    <n v="6"/>
    <n v="900"/>
  </r>
  <r>
    <x v="179"/>
    <d v="2022-07-19T00:00:00"/>
    <s v="Week26"/>
    <d v="2022-06-01T00:00:00"/>
    <s v="DRY2200151"/>
    <s v="Belgium"/>
    <s v="CPF EUROPE S.A."/>
    <s v="R-Wonton"/>
    <s v="R-Wonton no egg"/>
    <x v="10"/>
    <s v="Raw Wonton 50 pcs"/>
    <s v="082I93I10050P02001"/>
    <s v="630g*10inner"/>
    <n v="10"/>
    <n v="50"/>
    <n v="8.1300000000000001E-3"/>
    <s v="M"/>
    <s v="Salt"/>
    <s v="ซุปซอง 5g."/>
    <n v="377"/>
    <n v="377"/>
    <m/>
    <n v="0"/>
    <n v="0"/>
    <n v="0"/>
    <n v="6"/>
    <n v="0"/>
  </r>
  <r>
    <x v="180"/>
    <d v="2022-07-04T00:00:00"/>
    <s v="Week26"/>
    <d v="2022-06-01T00:00:00"/>
    <s v="DRY220013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32"/>
    <n v="529"/>
    <n v="3.2777777777777777"/>
    <n v="0.27777777777782831"/>
    <n v="0"/>
    <m/>
    <m/>
    <m/>
  </r>
  <r>
    <x v="180"/>
    <d v="2022-07-04T00:00:00"/>
    <s v="Week26"/>
    <d v="2022-06-01T00:00:00"/>
    <s v="DRY220013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80"/>
    <d v="2022-07-06T00:00:00"/>
    <s v="Week26"/>
    <d v="2022-06-01T00:00:00"/>
    <s v="DRY220014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80"/>
    <d v="2022-07-11T00:00:00"/>
    <s v="Week26"/>
    <d v="2022-06-01T00:00:00"/>
    <s v="DRY220014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80"/>
    <d v="2022-07-12T00:00:00"/>
    <s v="Week26"/>
    <d v="2022-06-01T00:00:00"/>
    <s v="DRY220014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16"/>
    <n v="355"/>
    <n v="61"/>
    <n v="0"/>
    <n v="0"/>
    <m/>
    <m/>
    <m/>
  </r>
  <r>
    <x v="180"/>
    <d v="2022-07-14T00:00:00"/>
    <s v="Week26"/>
    <d v="2022-06-01T00:00:00"/>
    <s v="DRY2200166"/>
    <s v="SG"/>
    <s v="CPI SINGAPORE"/>
    <s v="R-Wonton"/>
    <s v="R-Wonton"/>
    <x v="4"/>
    <s v="Raw Wonton 8 pcs"/>
    <s v="082I93B20008P00001"/>
    <s v="194g*20in"/>
    <n v="20"/>
    <n v="8"/>
    <n v="1.4999999999999999E-2"/>
    <s v="JB"/>
    <s v="STPP"/>
    <s v="ซุปซอง 5g."/>
    <n v="750"/>
    <n v="750"/>
    <m/>
    <n v="0"/>
    <n v="0"/>
    <n v="0"/>
    <n v="2"/>
    <n v="0"/>
  </r>
  <r>
    <x v="181"/>
    <m/>
    <s v="Week26"/>
    <d v="2022-07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3374"/>
    <n v="3250"/>
    <m/>
    <n v="-124"/>
    <n v="2232"/>
    <m/>
    <n v="1"/>
    <n v="2232"/>
  </r>
  <r>
    <x v="181"/>
    <m/>
    <s v="Week26"/>
    <d v="2022-07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2726"/>
    <n v="2726"/>
    <m/>
    <n v="0"/>
    <n v="0"/>
    <m/>
    <m/>
    <m/>
  </r>
  <r>
    <x v="181"/>
    <m/>
    <s v="Week26"/>
    <d v="2022-07-01T00:00:00"/>
    <s v="ขายภายใน"/>
    <s v="FM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699"/>
    <n v="699"/>
    <m/>
    <n v="0"/>
    <n v="0"/>
    <n v="0"/>
    <m/>
    <n v="0"/>
  </r>
  <r>
    <x v="182"/>
    <m/>
    <s v="Week26"/>
    <d v="2022-07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5000"/>
    <n v="5000"/>
    <m/>
    <n v="0"/>
    <n v="0"/>
    <m/>
    <n v="1"/>
    <n v="0"/>
  </r>
  <r>
    <x v="182"/>
    <m/>
    <s v="Week26"/>
    <d v="2022-07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2945"/>
    <n v="2945"/>
    <m/>
    <n v="0"/>
    <n v="0"/>
    <m/>
    <m/>
    <m/>
  </r>
  <r>
    <x v="182"/>
    <m/>
    <s v="Week26"/>
    <d v="2022-07-01T00:00:00"/>
    <s v="ขายภายใน"/>
    <s v=".7-11"/>
    <s v="ซีพีเอฟ เทรดดิ้ง"/>
    <s v="C-Wonton"/>
    <s v="C-Wonton"/>
    <x v="21"/>
    <s v="Cooked Wonton ND with egg 7-11"/>
    <s v="082SJ1A12003P01001 "/>
    <s v="211g*12"/>
    <n v="12"/>
    <n v="3"/>
    <n v="6.1999999999999998E-3"/>
    <s v="SS"/>
    <s v="STPP"/>
    <s v="TYNSF"/>
    <n v="2500"/>
    <n v="2477"/>
    <m/>
    <n v="-23"/>
    <n v="276"/>
    <m/>
    <m/>
    <m/>
  </r>
  <r>
    <x v="182"/>
    <m/>
    <s v="Week26"/>
    <d v="2022-07-01T00:00:00"/>
    <s v="ขายภายใน"/>
    <s v="FM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118"/>
    <n v="118"/>
    <m/>
    <n v="0"/>
    <n v="0"/>
    <n v="0"/>
    <m/>
    <n v="0"/>
  </r>
  <r>
    <x v="182"/>
    <m/>
    <s v="Week26"/>
    <d v="2022-07-01T00:00:00"/>
    <s v="ขายภายใน"/>
    <s v="FM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383"/>
    <n v="394"/>
    <m/>
    <n v="11"/>
    <n v="0"/>
    <n v="0"/>
    <m/>
    <n v="0"/>
  </r>
  <r>
    <x v="182"/>
    <d v="2022-07-19T00:00:00"/>
    <s v="Week26"/>
    <d v="2022-07-01T00:00:00"/>
    <s v="DRY2200151"/>
    <s v="Belgium"/>
    <s v="CPF EUROPE S.A."/>
    <s v="R-Wonton"/>
    <s v="R-Wonton no egg"/>
    <x v="10"/>
    <s v="Raw Wonton 50 pcs"/>
    <s v="082I93I10050P02001"/>
    <s v="630g*10inner"/>
    <n v="10"/>
    <n v="50"/>
    <n v="8.1300000000000001E-3"/>
    <s v="M"/>
    <s v="Salt"/>
    <s v="ซุปซอง 5g."/>
    <n v="310"/>
    <n v="310"/>
    <m/>
    <n v="0"/>
    <n v="0"/>
    <n v="0"/>
    <n v="6"/>
    <n v="0"/>
  </r>
  <r>
    <x v="183"/>
    <m/>
    <s v="Week27"/>
    <d v="2022-07-01T00:00:00"/>
    <m/>
    <m/>
    <m/>
    <m/>
    <m/>
    <x v="0"/>
    <m/>
    <m/>
    <m/>
    <m/>
    <m/>
    <m/>
    <m/>
    <m/>
    <m/>
    <m/>
    <m/>
    <m/>
    <m/>
    <m/>
    <m/>
    <m/>
    <m/>
  </r>
  <r>
    <x v="184"/>
    <d v="2022-07-15T00:00:00"/>
    <s v="Week27"/>
    <d v="2022-07-01T00:00:00"/>
    <s v="DRY2200259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354"/>
    <n v="354"/>
    <m/>
    <n v="0"/>
    <n v="0"/>
    <m/>
    <m/>
    <m/>
  </r>
  <r>
    <x v="184"/>
    <d v="2022-07-15T00:00:00"/>
    <s v="Week27"/>
    <d v="2022-07-01T00:00:00"/>
    <s v="DRY2200260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88"/>
    <n v="1288"/>
    <m/>
    <n v="0"/>
    <n v="0"/>
    <m/>
    <m/>
    <m/>
  </r>
  <r>
    <x v="184"/>
    <d v="2022-07-15T00:00:00"/>
    <s v="Week27"/>
    <d v="2022-07-01T00:00:00"/>
    <s v="DRY2200261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88"/>
    <n v="1288"/>
    <m/>
    <n v="0"/>
    <n v="0"/>
    <m/>
    <m/>
    <m/>
  </r>
  <r>
    <x v="184"/>
    <d v="2022-07-15T00:00:00"/>
    <s v="Week27"/>
    <d v="2022-07-01T00:00:00"/>
    <s v="DRY2200262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988"/>
    <n v="988"/>
    <m/>
    <n v="0"/>
    <n v="0"/>
    <m/>
    <m/>
    <m/>
  </r>
  <r>
    <x v="184"/>
    <d v="2022-07-19T00:00:00"/>
    <s v="Week27"/>
    <d v="2022-07-01T00:00:00"/>
    <s v="DRY2200151"/>
    <s v="Belgium"/>
    <s v="CPF EUROPE S.A."/>
    <s v="R-Wonton"/>
    <s v="R-Wonton no egg"/>
    <x v="10"/>
    <s v="Raw Wonton 50 pcs"/>
    <s v="082I93I10050P02001"/>
    <s v="630g*10inner"/>
    <n v="10"/>
    <n v="50"/>
    <n v="8.1300000000000001E-3"/>
    <s v="M"/>
    <s v="Salt"/>
    <s v="ซุปซอง 5g."/>
    <n v="489"/>
    <n v="489"/>
    <m/>
    <n v="0"/>
    <n v="0"/>
    <n v="0"/>
    <n v="6"/>
    <n v="0"/>
  </r>
  <r>
    <x v="185"/>
    <d v="2022-07-15T00:00:00"/>
    <s v="Week27"/>
    <d v="2022-07-01T00:00:00"/>
    <s v="DRY2200262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300"/>
    <n v="300"/>
    <m/>
    <n v="0"/>
    <n v="0"/>
    <m/>
    <m/>
    <m/>
  </r>
  <r>
    <x v="185"/>
    <d v="2022-07-23T00:00:00"/>
    <s v="Week27"/>
    <d v="2022-07-01T00:00:00"/>
    <s v="DRY2200286"/>
    <s v="USA"/>
    <s v="Bellisio Foods, Inc."/>
    <s v="C-Wonton"/>
    <s v="C-Wonton ND"/>
    <x v="7"/>
    <s v="Cooked Minced Wonton No Egg"/>
    <s v="082SKBW08005P00001"/>
    <s v="145g*8"/>
    <n v="8"/>
    <n v="5"/>
    <n v="8.0000000000000002E-3"/>
    <s v="BK"/>
    <s v="Salt"/>
    <s v="Regular"/>
    <n v="5000"/>
    <m/>
    <n v="5000"/>
    <n v="0"/>
    <n v="0"/>
    <m/>
    <m/>
    <m/>
  </r>
  <r>
    <x v="185"/>
    <d v="2022-07-20T00:00:00"/>
    <s v="Week27"/>
    <d v="2022-07-01T00:00:00"/>
    <s v="DRY2200284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3500"/>
    <m/>
    <n v="3500"/>
    <n v="0"/>
    <n v="0"/>
    <m/>
    <m/>
    <m/>
  </r>
  <r>
    <x v="185"/>
    <d v="2022-07-23T00:00:00"/>
    <s v="Week27"/>
    <d v="2022-07-01T00:00:00"/>
    <s v="DRY2200285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1283.625"/>
    <m/>
    <n v="1283.625"/>
    <n v="0"/>
    <n v="0"/>
    <m/>
    <m/>
    <m/>
  </r>
  <r>
    <x v="185"/>
    <d v="2022-08-20T00:00:00"/>
    <s v="Week27"/>
    <d v="2022-07-01T00:00:00"/>
    <s v="DRY2200265"/>
    <s v="CAN "/>
    <s v="Bellisio Foods Canada"/>
    <s v="C-Wonton"/>
    <s v="C-Wonton ND"/>
    <x v="15"/>
    <s v="Cooked Wonton Noodle (Enriched wonton sheet&amp;noodles)"/>
    <s v="082SJ5312005P01001"/>
    <s v="258g*12"/>
    <n v="12"/>
    <n v="5"/>
    <n v="8.0000000000000002E-3"/>
    <s v="M"/>
    <s v="Salt"/>
    <s v="Regular"/>
    <n v="2600"/>
    <m/>
    <n v="2519"/>
    <n v="-81"/>
    <n v="972"/>
    <m/>
    <m/>
    <m/>
  </r>
  <r>
    <x v="185"/>
    <d v="2022-07-19T00:00:00"/>
    <s v="Week27"/>
    <d v="2022-07-01T00:00:00"/>
    <s v="DRY2200151"/>
    <s v="Belgium"/>
    <s v="CPF EUROPE S.A."/>
    <s v="R-Wonton"/>
    <s v="R-Wonton no egg"/>
    <x v="10"/>
    <s v="Raw Wonton 50 pcs"/>
    <s v="082I93I10050P02001"/>
    <s v="630g*10inner"/>
    <n v="10"/>
    <n v="50"/>
    <n v="8.1300000000000001E-3"/>
    <s v="M"/>
    <s v="Salt"/>
    <s v="ซุปซอง 5g."/>
    <n v="424"/>
    <n v="424"/>
    <m/>
    <n v="0"/>
    <n v="0"/>
    <n v="0"/>
    <n v="6"/>
    <n v="0"/>
  </r>
  <r>
    <x v="186"/>
    <m/>
    <s v="Week27"/>
    <d v="2022-07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295"/>
    <n v="2295"/>
    <m/>
    <n v="0"/>
    <n v="0"/>
    <m/>
    <m/>
    <m/>
  </r>
  <r>
    <x v="186"/>
    <d v="2022-07-11T00:00:00"/>
    <s v="Week27"/>
    <d v="2022-07-01T00:00:00"/>
    <s v="DRY2200282"/>
    <s v="Taiwan"/>
    <s v="CP TAIWAN"/>
    <s v="C-Wonton"/>
    <s v="C-Wonton ND"/>
    <x v="7"/>
    <s v="Cooked Minced Wonton No Egg  4 pcs"/>
    <s v="082SKT112004P00001"/>
    <s v="113g*12"/>
    <n v="12"/>
    <n v="4"/>
    <n v="8.0000000000000002E-3"/>
    <s v="BK"/>
    <s v="Salt"/>
    <s v="Regular"/>
    <n v="3900"/>
    <n v="3900"/>
    <m/>
    <n v="0"/>
    <n v="0"/>
    <m/>
    <m/>
    <m/>
  </r>
  <r>
    <x v="186"/>
    <d v="2022-07-23T00:00:00"/>
    <s v="Week27"/>
    <d v="2022-07-01T00:00:00"/>
    <s v="DRY2200285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2216.375"/>
    <m/>
    <n v="2216.375"/>
    <n v="0"/>
    <n v="0"/>
    <m/>
    <m/>
    <m/>
  </r>
  <r>
    <x v="186"/>
    <d v="2022-07-12T00:00:00"/>
    <s v="Week27"/>
    <d v="2022-07-01T00:00:00"/>
    <s v="DRY220014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14"/>
    <n v="114"/>
    <m/>
    <n v="0"/>
    <n v="0"/>
    <m/>
    <m/>
    <m/>
  </r>
  <r>
    <x v="186"/>
    <d v="2022-07-14T00:00:00"/>
    <s v="Week27"/>
    <d v="2022-07-01T00:00:00"/>
    <s v="DRY2200166"/>
    <s v="SG"/>
    <s v="CPI SINGAPORE"/>
    <s v="R-Wonton"/>
    <s v="R-Wonton"/>
    <x v="4"/>
    <s v="Raw Wonton 8 pcs"/>
    <s v="082I93B20008P00001"/>
    <s v="194g*20in"/>
    <n v="20"/>
    <n v="8"/>
    <n v="1.4999999999999999E-2"/>
    <s v="JB"/>
    <s v="STPP"/>
    <s v="ซุปซอง 5g."/>
    <n v="50"/>
    <n v="50"/>
    <n v="3"/>
    <n v="3"/>
    <n v="0"/>
    <n v="0"/>
    <n v="2"/>
    <n v="0"/>
  </r>
  <r>
    <x v="186"/>
    <d v="2022-07-14T00:00:00"/>
    <s v="Week27"/>
    <d v="2022-07-01T00:00:00"/>
    <s v="DRY2200050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88"/>
    <n v="542"/>
    <n v="46"/>
    <n v="0"/>
    <n v="0"/>
    <n v="0"/>
    <n v="2"/>
    <n v="0"/>
  </r>
  <r>
    <x v="187"/>
    <d v="2022-07-12T00:00:00"/>
    <s v="Week27"/>
    <d v="2022-07-01T00:00:00"/>
    <s v="DRY220014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62"/>
    <n v="262"/>
    <m/>
    <n v="0"/>
    <n v="0"/>
    <m/>
    <m/>
    <m/>
  </r>
  <r>
    <x v="187"/>
    <d v="2022-07-14T00:00:00"/>
    <s v="Week27"/>
    <d v="2022-07-01T00:00:00"/>
    <s v="DRY220028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75"/>
    <n v="475"/>
    <m/>
    <n v="0"/>
    <n v="0"/>
    <m/>
    <m/>
    <m/>
  </r>
  <r>
    <x v="187"/>
    <d v="2022-07-14T00:00:00"/>
    <s v="Week27"/>
    <d v="2022-07-01T00:00:00"/>
    <s v="DRY220014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87"/>
    <d v="2022-07-14T00:00:00"/>
    <s v="Week27"/>
    <d v="2022-07-01T00:00:00"/>
    <s v="DRY220020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87"/>
    <d v="2022-07-15T00:00:00"/>
    <s v="Week27"/>
    <d v="2022-07-01T00:00:00"/>
    <s v="DRY220020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87"/>
    <d v="2022-07-15T00:00:00"/>
    <s v="Week27"/>
    <d v="2022-07-01T00:00:00"/>
    <s v="DRY220020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19"/>
    <n v="519"/>
    <m/>
    <n v="0"/>
    <n v="0"/>
    <m/>
    <m/>
    <m/>
  </r>
  <r>
    <x v="187"/>
    <d v="2022-07-14T00:00:00"/>
    <s v="Week27"/>
    <d v="2022-07-01T00:00:00"/>
    <s v="DRY2200050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35"/>
    <n v="535"/>
    <m/>
    <n v="0"/>
    <n v="0"/>
    <n v="0"/>
    <n v="2"/>
    <n v="0"/>
  </r>
  <r>
    <x v="188"/>
    <d v="2022-07-15T00:00:00"/>
    <s v="Week27"/>
    <d v="2022-07-01T00:00:00"/>
    <s v="DRY220020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73"/>
    <n v="273"/>
    <m/>
    <n v="0"/>
    <n v="0"/>
    <m/>
    <m/>
    <m/>
  </r>
  <r>
    <x v="188"/>
    <d v="2022-07-15T00:00:00"/>
    <s v="Week27"/>
    <d v="2022-07-01T00:00:00"/>
    <s v="DRY220020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88"/>
    <d v="2022-07-16T00:00:00"/>
    <s v="Week27"/>
    <d v="2022-07-01T00:00:00"/>
    <s v="DRY220020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04"/>
    <n v="504"/>
    <m/>
    <n v="0"/>
    <n v="0"/>
    <m/>
    <m/>
    <m/>
  </r>
  <r>
    <x v="188"/>
    <d v="2022-07-22T00:00:00"/>
    <s v="Week27"/>
    <d v="2022-07-01T00:00:00"/>
    <s v="DRY2200182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67"/>
    <n v="25"/>
    <n v="0"/>
    <n v="0"/>
    <m/>
    <m/>
    <m/>
  </r>
  <r>
    <x v="188"/>
    <d v="2022-07-22T00:00:00"/>
    <s v="Week27"/>
    <d v="2022-07-01T00:00:00"/>
    <s v="DRY2200183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188"/>
    <d v="2022-07-22T00:00:00"/>
    <s v="Week27"/>
    <d v="2022-07-01T00:00:00"/>
    <s v="DRY2200181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320"/>
    <n v="320"/>
    <m/>
    <n v="0"/>
    <n v="0"/>
    <m/>
    <m/>
    <m/>
  </r>
  <r>
    <x v="188"/>
    <d v="2022-07-14T00:00:00"/>
    <s v="Week27"/>
    <d v="2022-07-01T00:00:00"/>
    <s v="DRY2200050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01"/>
    <n v="501"/>
    <m/>
    <n v="0"/>
    <n v="0"/>
    <n v="0"/>
    <n v="2"/>
    <n v="0"/>
  </r>
  <r>
    <x v="189"/>
    <m/>
    <s v="Week27"/>
    <d v="2022-07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2468"/>
    <n v="2468"/>
    <m/>
    <n v="0"/>
    <n v="0"/>
    <m/>
    <m/>
    <m/>
  </r>
  <r>
    <x v="189"/>
    <d v="2022-07-15T00:00:00"/>
    <s v="Week27"/>
    <d v="2022-07-01T00:00:00"/>
    <s v="ขายภายใน"/>
    <s v="มหาชัย"/>
    <s v="CPFFB"/>
    <s v="C-Wonton"/>
    <s v="C-Wonton"/>
    <x v="14"/>
    <s v="เกี๊ยวกุ้งสับสุก"/>
    <s v="082SK1110080P00001"/>
    <s v="10 *1.12 KG."/>
    <n v="200"/>
    <n v="4"/>
    <n v="6.4999999999999997E-3"/>
    <s v="BK"/>
    <s v="STPP"/>
    <s v="-"/>
    <n v="280"/>
    <n v="280"/>
    <m/>
    <n v="0"/>
    <n v="0"/>
    <m/>
    <m/>
    <m/>
  </r>
  <r>
    <x v="189"/>
    <d v="2022-07-16T00:00:00"/>
    <s v="Week27"/>
    <d v="2022-07-01T00:00:00"/>
    <s v="ขายภายใน"/>
    <s v="MTFS"/>
    <s v="ซีพีเอฟ เทรดดิ้ง"/>
    <s v="C-Wonton"/>
    <s v="C-Wonton"/>
    <x v="21"/>
    <s v="Cooked Wonton ND with egg "/>
    <s v="082SJ3Q12003P08001"/>
    <s v="211g*12"/>
    <n v="12"/>
    <n v="3"/>
    <n v="6.1999999999999998E-3"/>
    <s v="SS"/>
    <s v="STPP"/>
    <s v="TYNSF"/>
    <n v="1171"/>
    <n v="1171"/>
    <m/>
    <n v="0"/>
    <n v="0"/>
    <m/>
    <m/>
    <m/>
  </r>
  <r>
    <x v="189"/>
    <d v="2022-07-22T00:00:00"/>
    <s v="Week27"/>
    <d v="2022-07-01T00:00:00"/>
    <s v="DRY2100711"/>
    <s v="Taiwan"/>
    <s v="CP TAIWAN"/>
    <s v="R-Wonton"/>
    <s v="R-Wonton no egg"/>
    <x v="10"/>
    <s v="Raw Wonton 12 pcs"/>
    <s v="082I93R40012P02001"/>
    <s v="144g*40inner"/>
    <n v="40"/>
    <n v="12"/>
    <n v="8.1300000000000001E-3"/>
    <s v="M"/>
    <s v="Salt"/>
    <s v="ซุปซอง 5g."/>
    <n v="514"/>
    <n v="503"/>
    <n v="11"/>
    <n v="0"/>
    <n v="0"/>
    <n v="0"/>
    <n v="2"/>
    <n v="0"/>
  </r>
  <r>
    <x v="190"/>
    <m/>
    <s v="Week28"/>
    <d v="2022-07-01T00:00:00"/>
    <m/>
    <m/>
    <m/>
    <m/>
    <m/>
    <x v="0"/>
    <m/>
    <m/>
    <m/>
    <m/>
    <m/>
    <m/>
    <m/>
    <m/>
    <m/>
    <m/>
    <m/>
    <m/>
    <m/>
    <m/>
    <m/>
    <m/>
    <m/>
  </r>
  <r>
    <x v="191"/>
    <d v="2022-07-25T00:00:00"/>
    <s v="Week28"/>
    <d v="2022-07-01T00:00:00"/>
    <s v="DRY2200254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195"/>
    <n v="93"/>
    <n v="0"/>
    <n v="0"/>
    <m/>
    <m/>
    <m/>
  </r>
  <r>
    <x v="191"/>
    <d v="2022-07-14T00:00:00"/>
    <s v="Week28"/>
    <d v="2022-07-01T00:00:00"/>
    <s v="DRY2200290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193"/>
    <n v="95"/>
    <n v="0"/>
    <n v="0"/>
    <m/>
    <m/>
    <m/>
  </r>
  <r>
    <x v="191"/>
    <d v="2022-07-15T00:00:00"/>
    <s v="Week28"/>
    <d v="2022-07-01T00:00:00"/>
    <s v="ขายภายใน"/>
    <s v="มหาชัย"/>
    <s v="CPFFB"/>
    <s v="C-Wonton"/>
    <s v="C-Wonton"/>
    <x v="14"/>
    <s v="เกี๊ยวกุ้งสับสุก"/>
    <s v="082SK1110080P00001"/>
    <s v="10 *1.12 KG."/>
    <n v="200"/>
    <n v="4"/>
    <n v="6.4999999999999997E-3"/>
    <s v="BK"/>
    <s v="STPP"/>
    <s v="-"/>
    <n v="100"/>
    <n v="112"/>
    <m/>
    <n v="12"/>
    <n v="0"/>
    <m/>
    <m/>
    <m/>
  </r>
  <r>
    <x v="191"/>
    <d v="2022-07-22T00:00:00"/>
    <s v="Week28"/>
    <d v="2022-07-01T00:00:00"/>
    <s v="DRY2100711"/>
    <s v="Taiwan"/>
    <s v="CP TAIWAN"/>
    <s v="R-Wonton"/>
    <s v="R-Wonton no egg"/>
    <x v="10"/>
    <s v="Raw Wonton 12 pcs"/>
    <s v="082I93R40012P02001"/>
    <s v="144g*40inner"/>
    <n v="40"/>
    <n v="12"/>
    <n v="8.1300000000000001E-3"/>
    <s v="M"/>
    <s v="Salt"/>
    <s v="ซุปซอง 5g."/>
    <n v="448"/>
    <n v="448"/>
    <m/>
    <n v="0"/>
    <n v="0"/>
    <n v="0"/>
    <n v="2"/>
    <n v="0"/>
  </r>
  <r>
    <x v="192"/>
    <d v="2022-07-19T00:00:00"/>
    <s v="Week28"/>
    <d v="2022-07-01T00:00:00"/>
    <s v="DRY2200263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88"/>
    <n v="1288"/>
    <m/>
    <n v="0"/>
    <n v="0"/>
    <m/>
    <m/>
    <m/>
  </r>
  <r>
    <x v="192"/>
    <d v="2022-07-26T00:00:00"/>
    <s v="Week28"/>
    <d v="2022-07-01T00:00:00"/>
    <s v="DRY2200283"/>
    <s v="Malay"/>
    <s v="CPM Malaysia"/>
    <s v="C-Wonton"/>
    <s v="C-Wonton"/>
    <x v="1"/>
    <s v="Cooked Wonton No Egg  "/>
    <s v="082S85I24005P01001"/>
    <s v="145g*24"/>
    <n v="24"/>
    <n v="5"/>
    <n v="8.0000000000000002E-3"/>
    <s v="M"/>
    <s v="STPP"/>
    <s v="Regular"/>
    <n v="800"/>
    <n v="796"/>
    <m/>
    <n v="-4"/>
    <n v="96"/>
    <m/>
    <m/>
    <m/>
  </r>
  <r>
    <x v="192"/>
    <d v="2022-07-26T00:00:00"/>
    <s v="Week28"/>
    <d v="2022-07-01T00:00:00"/>
    <s v="DRY2200283"/>
    <s v="Malay"/>
    <s v="CPM Malaysia"/>
    <s v="C-Wonton"/>
    <s v="C-Wonton"/>
    <x v="2"/>
    <s v="Cooked Wonton No Egg  TY"/>
    <s v="082S85I24005P02001"/>
    <s v="115g*24"/>
    <n v="24"/>
    <n v="5"/>
    <n v="8.0000000000000002E-3"/>
    <s v="M"/>
    <s v="STPP"/>
    <s v="TYTB3C 30G"/>
    <n v="800"/>
    <n v="800"/>
    <n v="13.125"/>
    <n v="13.125"/>
    <n v="0"/>
    <m/>
    <n v="1"/>
    <n v="0"/>
  </r>
  <r>
    <x v="192"/>
    <m/>
    <s v="Week28"/>
    <d v="2022-07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1696"/>
    <n v="1696"/>
    <m/>
    <n v="0"/>
    <n v="0"/>
    <m/>
    <m/>
    <m/>
  </r>
  <r>
    <x v="192"/>
    <d v="2022-07-26T00:00:00"/>
    <s v="Week28"/>
    <d v="2022-07-01T00:00:00"/>
    <s v="DRY2200283"/>
    <s v="Malay"/>
    <s v="CPM Malaysia"/>
    <s v="R-Wonton"/>
    <s v="R-Wonton"/>
    <x v="4"/>
    <s v="Raw Wonton 12 pcs"/>
    <s v="082I95I20012P00001"/>
    <s v="144g*20inner"/>
    <n v="20"/>
    <n v="12"/>
    <n v="6.8100000000000001E-3"/>
    <s v="S"/>
    <s v="STPP"/>
    <s v="ซุปซอง 5g."/>
    <n v="600"/>
    <n v="600"/>
    <m/>
    <n v="0"/>
    <n v="0"/>
    <n v="0"/>
    <n v="2"/>
    <n v="0"/>
  </r>
  <r>
    <x v="192"/>
    <d v="2022-07-29T00:00:00"/>
    <s v="Week28"/>
    <d v="2022-07-01T00:00:00"/>
    <s v="DRY2200267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814"/>
    <m/>
    <n v="814"/>
    <n v="0"/>
    <n v="0"/>
    <n v="0"/>
    <n v="1"/>
    <n v="0"/>
  </r>
  <r>
    <x v="193"/>
    <m/>
    <s v="Week28"/>
    <d v="2022-07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6052"/>
    <n v="6052"/>
    <m/>
    <n v="0"/>
    <n v="0"/>
    <m/>
    <m/>
    <m/>
  </r>
  <r>
    <x v="193"/>
    <m/>
    <s v="Week28"/>
    <d v="2022-07-01T00:00:00"/>
    <s v="ขายภายใน"/>
    <s v="มหาชัย"/>
    <s v="CPFFB"/>
    <s v="C-Wonton"/>
    <s v="C-Wonton"/>
    <x v="24"/>
    <s v="เส้นบะหมีไข่ดิบ"/>
    <n v="23098903"/>
    <s v="10 *1 KG."/>
    <n v="10"/>
    <n v="1"/>
    <s v="-"/>
    <s v="-"/>
    <s v="STPP"/>
    <s v="-"/>
    <n v="267"/>
    <n v="267"/>
    <m/>
    <n v="0"/>
    <n v="0"/>
    <m/>
    <m/>
    <m/>
  </r>
  <r>
    <x v="194"/>
    <d v="2022-07-16T00:00:00"/>
    <s v="Week28"/>
    <d v="2022-07-01T00:00:00"/>
    <s v="DRY220020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88"/>
    <n v="288"/>
    <m/>
    <n v="0"/>
    <n v="0"/>
    <m/>
    <m/>
    <m/>
  </r>
  <r>
    <x v="194"/>
    <d v="2022-07-16T00:00:00"/>
    <s v="Week28"/>
    <d v="2022-07-01T00:00:00"/>
    <s v="DRY220021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94"/>
    <d v="2022-07-20T00:00:00"/>
    <s v="Week28"/>
    <d v="2022-07-01T00:00:00"/>
    <s v="DRY220021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94"/>
    <d v="2022-07-20T00:00:00"/>
    <s v="Week28"/>
    <d v="2022-07-01T00:00:00"/>
    <s v="DRY220021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94"/>
    <d v="2022-07-21T00:00:00"/>
    <s v="Week28"/>
    <d v="2022-07-01T00:00:00"/>
    <s v="DRY220021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94"/>
    <d v="2022-07-21T00:00:00"/>
    <s v="Week28"/>
    <d v="2022-07-01T00:00:00"/>
    <s v="DRY220021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5"/>
    <n v="25"/>
    <m/>
    <n v="0"/>
    <n v="0"/>
    <m/>
    <m/>
    <m/>
  </r>
  <r>
    <x v="194"/>
    <d v="2022-07-21T00:00:00"/>
    <s v="Week28"/>
    <d v="2022-07-01T00:00:00"/>
    <s v="DRY220021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36"/>
    <n v="236"/>
    <m/>
    <n v="0"/>
    <n v="0"/>
    <m/>
    <m/>
    <m/>
  </r>
  <r>
    <x v="194"/>
    <d v="2022-07-29T00:00:00"/>
    <s v="Week28"/>
    <d v="2022-07-01T00:00:00"/>
    <s v="DRY2200267"/>
    <s v="HK"/>
    <s v="CPM Hongkong"/>
    <s v="R-Wonton"/>
    <s v="R-Wonton"/>
    <x v="4"/>
    <s v="Raw Wonton 8 pcs"/>
    <s v="082I93G20008P00001"/>
    <s v="194g*20in"/>
    <n v="20"/>
    <n v="8"/>
    <n v="1.4999999999999999E-2"/>
    <s v="JB"/>
    <s v="STPP"/>
    <s v="ซุปซอง 5g."/>
    <n v="400"/>
    <m/>
    <n v="408"/>
    <n v="8"/>
    <n v="0"/>
    <n v="0"/>
    <n v="2"/>
    <n v="0"/>
  </r>
  <r>
    <x v="194"/>
    <d v="2022-07-29T00:00:00"/>
    <s v="Week28"/>
    <d v="2022-07-01T00:00:00"/>
    <s v="DRY2200267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386"/>
    <m/>
    <n v="387"/>
    <n v="1"/>
    <n v="0"/>
    <n v="0"/>
    <n v="1"/>
    <n v="0"/>
  </r>
  <r>
    <x v="194"/>
    <d v="2022-07-22T00:00:00"/>
    <s v="Week28"/>
    <d v="2022-07-01T00:00:00"/>
    <s v="DRY2100711"/>
    <s v="Taiwan"/>
    <s v="CP TAIWAN"/>
    <s v="R-Wonton"/>
    <s v="R-Wonton no egg"/>
    <x v="10"/>
    <s v="Raw Wonton 12 pcs"/>
    <s v="082I93R40012P02001"/>
    <s v="144g*40inner"/>
    <n v="40"/>
    <n v="12"/>
    <n v="8.1300000000000001E-3"/>
    <s v="M"/>
    <s v="Salt"/>
    <s v="ซุปซอง 5g."/>
    <n v="197"/>
    <n v="197"/>
    <m/>
    <n v="0"/>
    <n v="0"/>
    <n v="0"/>
    <n v="2"/>
    <n v="0"/>
  </r>
  <r>
    <x v="195"/>
    <d v="2022-07-21T00:00:00"/>
    <s v="Week28"/>
    <d v="2022-07-01T00:00:00"/>
    <s v="DRY220021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31"/>
    <n v="531"/>
    <m/>
    <n v="0"/>
    <n v="0"/>
    <m/>
    <m/>
    <m/>
  </r>
  <r>
    <x v="195"/>
    <d v="2022-07-21T00:00:00"/>
    <s v="Week28"/>
    <d v="2022-07-01T00:00:00"/>
    <s v="DRY220021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95"/>
    <d v="2022-07-21T00:00:00"/>
    <s v="Week28"/>
    <d v="2022-07-01T00:00:00"/>
    <s v="DRY220021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95"/>
    <d v="2022-07-21T00:00:00"/>
    <s v="Week28"/>
    <d v="2022-07-01T00:00:00"/>
    <s v="DRY220021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63"/>
    <n v="763"/>
    <m/>
    <n v="0"/>
    <n v="0"/>
    <m/>
    <m/>
    <m/>
  </r>
  <r>
    <x v="195"/>
    <d v="2022-07-21T00:00:00"/>
    <s v="Week28"/>
    <d v="2022-07-01T00:00:00"/>
    <s v="DRY220021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9"/>
    <n v="29"/>
    <m/>
    <n v="0"/>
    <n v="0"/>
    <m/>
    <m/>
    <m/>
  </r>
  <r>
    <x v="195"/>
    <d v="2022-07-23T00:00:00"/>
    <s v="Week28"/>
    <d v="2022-07-01T00:00:00"/>
    <s v="DRY220021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07"/>
    <n v="207"/>
    <m/>
    <n v="0"/>
    <n v="0"/>
    <m/>
    <m/>
    <m/>
  </r>
  <r>
    <x v="195"/>
    <d v="2022-07-22T00:00:00"/>
    <s v="Week28"/>
    <d v="2022-07-01T00:00:00"/>
    <s v="DRY2100711"/>
    <s v="Taiwan"/>
    <s v="CP TAIWAN"/>
    <s v="R-Wonton"/>
    <s v="R-Wonton no egg"/>
    <x v="10"/>
    <s v="Raw Wonton 12 pcs"/>
    <s v="082I93R40012P02001"/>
    <s v="144g*40inner"/>
    <n v="40"/>
    <n v="12"/>
    <n v="8.1300000000000001E-3"/>
    <s v="M"/>
    <s v="Salt"/>
    <s v="ซุปซอง 5g."/>
    <n v="465"/>
    <n v="465"/>
    <m/>
    <n v="0"/>
    <n v="0"/>
    <n v="0"/>
    <n v="2"/>
    <n v="0"/>
  </r>
  <r>
    <x v="196"/>
    <d v="2022-07-27T00:00:00"/>
    <s v="Week28"/>
    <d v="2022-07-01T00:00:00"/>
    <s v="DRY2200202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196"/>
    <d v="2022-07-27T00:00:00"/>
    <s v="Week28"/>
    <d v="2022-07-01T00:00:00"/>
    <s v="DRY2200203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196"/>
    <d v="2022-08-03T00:00:00"/>
    <s v="Week28"/>
    <d v="2022-07-01T00:00:00"/>
    <s v="DRY2200204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196"/>
    <d v="2022-08-03T00:00:00"/>
    <s v="Week28"/>
    <d v="2022-07-01T00:00:00"/>
    <s v="DRY2200184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320"/>
    <n v="187"/>
    <n v="133"/>
    <n v="0"/>
    <n v="0"/>
    <m/>
    <m/>
    <m/>
  </r>
  <r>
    <x v="196"/>
    <d v="2022-07-23T00:00:00"/>
    <s v="Week28"/>
    <d v="2022-07-01T00:00:00"/>
    <s v="DRY220021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85"/>
    <n v="585"/>
    <m/>
    <n v="0"/>
    <n v="0"/>
    <m/>
    <m/>
    <m/>
  </r>
  <r>
    <x v="196"/>
    <d v="2022-07-23T00:00:00"/>
    <s v="Week28"/>
    <d v="2022-07-01T00:00:00"/>
    <s v="DRY220021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42"/>
    <n v="142"/>
    <m/>
    <n v="0"/>
    <n v="0"/>
    <m/>
    <m/>
    <m/>
  </r>
  <r>
    <x v="196"/>
    <d v="2022-07-23T00:00:00"/>
    <s v="Week28"/>
    <d v="2022-07-01T00:00:00"/>
    <s v="DRY220021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36"/>
    <n v="236"/>
    <m/>
    <n v="0"/>
    <n v="0"/>
    <m/>
    <m/>
    <m/>
  </r>
  <r>
    <x v="197"/>
    <m/>
    <s v="Week29"/>
    <d v="2022-07-01T00:00:00"/>
    <m/>
    <m/>
    <m/>
    <m/>
    <m/>
    <x v="0"/>
    <m/>
    <m/>
    <m/>
    <m/>
    <m/>
    <m/>
    <m/>
    <m/>
    <m/>
    <m/>
    <m/>
    <m/>
    <m/>
    <m/>
    <m/>
    <m/>
    <m/>
  </r>
  <r>
    <x v="198"/>
    <d v="2022-07-23T00:00:00"/>
    <s v="Week29"/>
    <d v="2022-07-01T00:00:00"/>
    <s v="DRY220021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14"/>
    <n v="414"/>
    <m/>
    <n v="0"/>
    <n v="0"/>
    <m/>
    <m/>
    <m/>
  </r>
  <r>
    <x v="198"/>
    <d v="2022-07-23T00:00:00"/>
    <s v="Week29"/>
    <d v="2022-07-01T00:00:00"/>
    <s v="DRY220022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98"/>
    <d v="2022-07-23T00:00:00"/>
    <s v="Week29"/>
    <d v="2022-07-01T00:00:00"/>
    <s v="DRY220022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98"/>
    <d v="2022-07-23T00:00:00"/>
    <s v="Week29"/>
    <d v="2022-07-01T00:00:00"/>
    <s v="DRY220022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98"/>
    <d v="2022-07-26T00:00:00"/>
    <s v="Week29"/>
    <d v="2022-07-01T00:00:00"/>
    <s v="DRY220022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88"/>
    <n v="388"/>
    <m/>
    <n v="0"/>
    <n v="0"/>
    <m/>
    <m/>
    <m/>
  </r>
  <r>
    <x v="198"/>
    <d v="2022-07-26T00:00:00"/>
    <s v="Week29"/>
    <d v="2022-07-01T00:00:00"/>
    <s v="DRY220022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36"/>
    <n v="236"/>
    <m/>
    <n v="0"/>
    <n v="0"/>
    <m/>
    <m/>
    <m/>
  </r>
  <r>
    <x v="199"/>
    <d v="2022-07-26T00:00:00"/>
    <s v="Week29"/>
    <d v="2022-07-01T00:00:00"/>
    <s v="DRY220022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68"/>
    <n v="168"/>
    <m/>
    <n v="0"/>
    <n v="0"/>
    <m/>
    <m/>
    <m/>
  </r>
  <r>
    <x v="199"/>
    <d v="2022-07-26T00:00:00"/>
    <s v="Week29"/>
    <d v="2022-07-01T00:00:00"/>
    <s v="DRY220022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99"/>
    <d v="2022-07-26T00:00:00"/>
    <s v="Week29"/>
    <d v="2022-07-01T00:00:00"/>
    <s v="DRY220022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99"/>
    <d v="2022-07-29T00:00:00"/>
    <s v="Week29"/>
    <d v="2022-07-01T00:00:00"/>
    <s v="DRY220022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99"/>
    <d v="2022-07-29T00:00:00"/>
    <s v="Week29"/>
    <d v="2022-07-01T00:00:00"/>
    <s v="DRY220022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199"/>
    <d v="2022-07-29T00:00:00"/>
    <s v="Week29"/>
    <d v="2022-07-01T00:00:00"/>
    <s v="DRY220022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14"/>
    <n v="214"/>
    <m/>
    <n v="0"/>
    <n v="0"/>
    <m/>
    <m/>
    <m/>
  </r>
  <r>
    <x v="199"/>
    <d v="2022-07-29T00:00:00"/>
    <s v="Week29"/>
    <d v="2022-07-01T00:00:00"/>
    <s v="DRY220022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36"/>
    <n v="236"/>
    <m/>
    <n v="0"/>
    <n v="0"/>
    <m/>
    <m/>
    <m/>
  </r>
  <r>
    <x v="200"/>
    <d v="2022-07-29T00:00:00"/>
    <s v="Week29"/>
    <d v="2022-07-01T00:00:00"/>
    <s v="DRY220022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42"/>
    <n v="342"/>
    <m/>
    <n v="0"/>
    <n v="0"/>
    <m/>
    <m/>
    <m/>
  </r>
  <r>
    <x v="200"/>
    <d v="2022-08-01T00:00:00"/>
    <s v="Week29"/>
    <d v="2022-07-01T00:00:00"/>
    <s v="DRY220022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00"/>
    <d v="2022-08-01T00:00:00"/>
    <s v="Week29"/>
    <d v="2022-07-01T00:00:00"/>
    <s v="DRY220023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00"/>
    <d v="2022-08-01T00:00:00"/>
    <s v="Week29"/>
    <d v="2022-07-01T00:00:00"/>
    <s v="DRY220023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00"/>
    <d v="2022-08-04T00:00:00"/>
    <s v="Week29"/>
    <d v="2022-07-01T00:00:00"/>
    <s v="DRY220023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00"/>
    <d v="2022-08-04T00:00:00"/>
    <s v="Week29"/>
    <d v="2022-07-01T00:00:00"/>
    <s v="DRY220023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7"/>
    <n v="77"/>
    <m/>
    <n v="0"/>
    <n v="0"/>
    <m/>
    <m/>
    <m/>
  </r>
  <r>
    <x v="200"/>
    <d v="2022-08-04T00:00:00"/>
    <s v="Week29"/>
    <d v="2022-07-01T00:00:00"/>
    <s v="DRY220023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36"/>
    <n v="236"/>
    <m/>
    <n v="0"/>
    <n v="0"/>
    <m/>
    <m/>
    <m/>
  </r>
  <r>
    <x v="201"/>
    <d v="2022-07-29T00:00:00"/>
    <s v="Week29"/>
    <d v="2022-07-01T00:00:00"/>
    <s v="DRY2200264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88"/>
    <n v="1288"/>
    <m/>
    <n v="0"/>
    <n v="0"/>
    <m/>
    <m/>
    <m/>
  </r>
  <r>
    <x v="201"/>
    <d v="2022-07-29T00:00:00"/>
    <s v="Week29"/>
    <d v="2022-07-01T00:00:00"/>
    <s v="DRY2200268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632"/>
    <n v="632"/>
    <m/>
    <n v="0"/>
    <n v="0"/>
    <m/>
    <m/>
    <m/>
  </r>
  <r>
    <x v="201"/>
    <d v="2022-08-02T00:00:00"/>
    <s v="Week29"/>
    <d v="2022-07-01T00:00:00"/>
    <s v="DRY2200152"/>
    <s v="Belgium"/>
    <s v="CPF EUROPE S.A."/>
    <s v="C-Wonton"/>
    <s v="C-Wonton"/>
    <x v="19"/>
    <s v="Cooked Wonton  No Egg _x000a_+ Vegetable  HC  4 pcs"/>
    <s v="082S83I08004P00001"/>
    <s v="145g*8"/>
    <n v="8"/>
    <n v="4"/>
    <n v="7.4999999999999997E-3"/>
    <s v="HC"/>
    <s v="Salt"/>
    <s v="Regular"/>
    <n v="5000"/>
    <m/>
    <n v="5041.375"/>
    <n v="41.375"/>
    <n v="0"/>
    <m/>
    <m/>
    <m/>
  </r>
  <r>
    <x v="201"/>
    <d v="2022-08-04T00:00:00"/>
    <s v="Week29"/>
    <d v="2022-07-01T00:00:00"/>
    <s v="DRY220023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79"/>
    <n v="479"/>
    <m/>
    <n v="0"/>
    <n v="0"/>
    <m/>
    <m/>
    <m/>
  </r>
  <r>
    <x v="201"/>
    <d v="2022-08-04T00:00:00"/>
    <s v="Week29"/>
    <d v="2022-07-01T00:00:00"/>
    <s v="DRY220023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28"/>
    <n v="128"/>
    <m/>
    <n v="0"/>
    <n v="0"/>
    <m/>
    <m/>
    <m/>
  </r>
  <r>
    <x v="202"/>
    <m/>
    <s v="Week29"/>
    <d v="2022-07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3260"/>
    <n v="3260"/>
    <m/>
    <n v="0"/>
    <n v="0"/>
    <m/>
    <m/>
    <m/>
  </r>
  <r>
    <x v="202"/>
    <d v="2022-07-27T00:00:00"/>
    <s v="Week29"/>
    <d v="2022-07-01T00:00:00"/>
    <s v="ขายภายใน"/>
    <s v=".7-11"/>
    <s v="ซีพีเอฟ เทรดดิ้ง"/>
    <s v="C-Wonton"/>
    <s v="C-Wonton"/>
    <x v="21"/>
    <s v="Cooked Wonton ND with egg 7-11"/>
    <s v="082SJ1A12003P01001 "/>
    <s v="211g*12"/>
    <n v="12"/>
    <n v="3"/>
    <n v="6.1999999999999998E-3"/>
    <s v="SS"/>
    <s v="STPP"/>
    <s v="TYNSF"/>
    <n v="3961"/>
    <n v="3961"/>
    <m/>
    <n v="0"/>
    <n v="0"/>
    <m/>
    <m/>
    <m/>
  </r>
  <r>
    <x v="202"/>
    <d v="2022-08-04T00:00:00"/>
    <s v="Week29"/>
    <d v="2022-07-01T00:00:00"/>
    <s v="DRY2200293"/>
    <s v="Taiwan"/>
    <s v="CP TAIWAN"/>
    <s v="R-Wonton"/>
    <s v="R-Wonton no egg"/>
    <x v="10"/>
    <s v="Raw Wonton 12 pcs"/>
    <s v="082I93R40012P02001"/>
    <s v="144g*40inner"/>
    <n v="40"/>
    <n v="12"/>
    <n v="8.1300000000000001E-3"/>
    <s v="M"/>
    <s v="Salt"/>
    <s v="ซุปซอง 5g."/>
    <n v="512"/>
    <n v="512"/>
    <m/>
    <n v="0"/>
    <n v="0"/>
    <n v="0"/>
    <n v="2"/>
    <n v="0"/>
  </r>
  <r>
    <x v="203"/>
    <m/>
    <s v="Week29"/>
    <d v="2022-07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54"/>
    <n v="254"/>
    <m/>
    <n v="0"/>
    <n v="0"/>
    <m/>
    <m/>
    <m/>
  </r>
  <r>
    <x v="203"/>
    <d v="2022-07-29T00:00:00"/>
    <s v="Week29"/>
    <d v="2022-07-01T00:00:00"/>
    <s v="DRY2200268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656"/>
    <n v="656"/>
    <m/>
    <n v="0"/>
    <n v="0"/>
    <m/>
    <m/>
    <m/>
  </r>
  <r>
    <x v="203"/>
    <d v="2022-07-29T00:00:00"/>
    <s v="Week29"/>
    <d v="2022-07-01T00:00:00"/>
    <s v="DRY2200269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88"/>
    <n v="1288"/>
    <m/>
    <n v="0"/>
    <n v="0"/>
    <m/>
    <m/>
    <m/>
  </r>
  <r>
    <x v="203"/>
    <d v="2022-07-29T00:00:00"/>
    <s v="Week29"/>
    <d v="2022-07-01T00:00:00"/>
    <s v="DRY2200270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695"/>
    <n v="695"/>
    <m/>
    <n v="0"/>
    <n v="0"/>
    <m/>
    <m/>
    <m/>
  </r>
  <r>
    <x v="203"/>
    <m/>
    <s v="Week29"/>
    <d v="2022-07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687"/>
    <n v="687"/>
    <m/>
    <n v="0"/>
    <n v="0"/>
    <m/>
    <n v="1"/>
    <n v="0"/>
  </r>
  <r>
    <x v="203"/>
    <d v="2022-07-25T00:00:00"/>
    <s v="Week29"/>
    <d v="2022-07-01T00:00:00"/>
    <s v="ขายภายใน"/>
    <s v="มหาชัย"/>
    <s v="CPFFB"/>
    <s v="C-Wonton"/>
    <s v="C-Wonton"/>
    <x v="24"/>
    <s v="เส้นบะหมีไข่ดิบ"/>
    <n v="23098903"/>
    <s v="10 *1 KG."/>
    <n v="10"/>
    <n v="1"/>
    <s v="-"/>
    <s v="-"/>
    <s v="STPP"/>
    <s v="-"/>
    <n v="214"/>
    <n v="214"/>
    <m/>
    <n v="0"/>
    <n v="0"/>
    <m/>
    <m/>
    <m/>
  </r>
  <r>
    <x v="204"/>
    <m/>
    <s v="Week30"/>
    <d v="2022-07-01T00:00:00"/>
    <m/>
    <m/>
    <m/>
    <m/>
    <m/>
    <x v="0"/>
    <m/>
    <m/>
    <m/>
    <m/>
    <m/>
    <m/>
    <m/>
    <m/>
    <m/>
    <m/>
    <m/>
    <m/>
    <m/>
    <m/>
    <m/>
    <m/>
    <m/>
  </r>
  <r>
    <x v="205"/>
    <d v="2022-08-02T00:00:00"/>
    <s v="Week30"/>
    <d v="2022-07-01T00:00:00"/>
    <s v="DRY2200197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205"/>
    <d v="2022-08-08T00:00:00"/>
    <s v="Week30"/>
    <d v="2022-07-01T00:00:00"/>
    <s v="DRY2200280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205"/>
    <m/>
    <s v="Week30"/>
    <d v="2022-07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1591"/>
    <n v="1591"/>
    <m/>
    <n v="0"/>
    <n v="0"/>
    <m/>
    <m/>
    <m/>
  </r>
  <r>
    <x v="205"/>
    <d v="2022-08-04T00:00:00"/>
    <s v="Week30"/>
    <d v="2022-07-01T00:00:00"/>
    <s v="DRY2200293"/>
    <s v="Taiwan"/>
    <s v="CP TAIWAN"/>
    <s v="R-Wonton"/>
    <s v="R-Wonton no egg"/>
    <x v="10"/>
    <s v="Raw Wonton 12 pcs"/>
    <s v="082I93R40012P02001"/>
    <s v="144g*40inner"/>
    <n v="40"/>
    <n v="12"/>
    <n v="8.1300000000000001E-3"/>
    <s v="M"/>
    <s v="Salt"/>
    <s v="ซุปซอง 5g."/>
    <n v="518"/>
    <n v="518"/>
    <m/>
    <n v="0"/>
    <n v="0"/>
    <n v="0"/>
    <n v="2"/>
    <n v="0"/>
  </r>
  <r>
    <x v="206"/>
    <d v="2022-07-29T00:00:00"/>
    <s v="Week30"/>
    <d v="2022-07-01T00:00:00"/>
    <s v="DRY2200270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593"/>
    <n v="593"/>
    <m/>
    <n v="0"/>
    <n v="0"/>
    <m/>
    <m/>
    <m/>
  </r>
  <r>
    <x v="206"/>
    <d v="2022-08-06T00:00:00"/>
    <s v="Week30"/>
    <d v="2022-07-01T00:00:00"/>
    <s v="DRY2200271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85"/>
    <n v="185"/>
    <m/>
    <n v="0"/>
    <n v="0"/>
    <m/>
    <m/>
    <m/>
  </r>
  <r>
    <x v="206"/>
    <s v="RD"/>
    <s v="Week30"/>
    <d v="2022-07-01T00:00:00"/>
    <s v="ขายภายใน"/>
    <s v="MTFS"/>
    <s v="ซีพีเอฟ เทรดดิ้ง"/>
    <s v="C-Wonton"/>
    <s v="C-Wonton"/>
    <x v="12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m/>
    <m/>
    <m/>
  </r>
  <r>
    <x v="206"/>
    <m/>
    <s v="Week30"/>
    <d v="2022-07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6096"/>
    <n v="6096"/>
    <m/>
    <n v="0"/>
    <n v="0"/>
    <m/>
    <m/>
    <m/>
  </r>
  <r>
    <x v="206"/>
    <m/>
    <s v="Week30"/>
    <d v="2022-07-01T00:00:00"/>
    <s v="ขายภายใน"/>
    <s v="MTFS"/>
    <s v="ซีพีเอฟ เทรดดิ้ง"/>
    <s v="C-Wonton"/>
    <s v="C-Wonton"/>
    <x v="11"/>
    <s v="Cooked Wonton ND with egg V-Food"/>
    <s v="082SJ3Q12003P07001"/>
    <s v="226g*12"/>
    <n v="12"/>
    <n v="3"/>
    <n v="8.0000000000000002E-3"/>
    <s v="M"/>
    <s v="STPP"/>
    <s v="Regular"/>
    <n v="1234"/>
    <n v="1234"/>
    <m/>
    <n v="0"/>
    <n v="0"/>
    <m/>
    <m/>
    <m/>
  </r>
  <r>
    <x v="206"/>
    <m/>
    <s v="Week30"/>
    <d v="2022-07-01T00:00:00"/>
    <s v="ขายภายใน"/>
    <s v="MTFS"/>
    <s v="ซีพีเอฟ เทรดดิ้ง"/>
    <s v="C-Wonton"/>
    <s v="C-Wonton"/>
    <x v="22"/>
    <s v="Minced Noodle with egg V-Food (3 pcs)"/>
    <s v="082SR3Q12003P00001"/>
    <s v="191g*12"/>
    <n v="12"/>
    <n v="3"/>
    <n v="8.0000000000000002E-3"/>
    <s v="BK"/>
    <s v="STPP"/>
    <s v="Regular"/>
    <n v="818"/>
    <n v="818"/>
    <m/>
    <n v="0"/>
    <n v="0"/>
    <m/>
    <m/>
    <m/>
  </r>
  <r>
    <x v="206"/>
    <m/>
    <s v="Week30"/>
    <d v="2022-07-01T00:00:00"/>
    <s v="ขายภายใน"/>
    <s v="MTFS"/>
    <s v="ซีพีเอฟ เทรดดิ้ง"/>
    <s v="C-Wonton"/>
    <s v="C-Wonton"/>
    <x v="14"/>
    <s v="Minced Wonton (5pcs)"/>
    <s v="082SK3Q12005P00001"/>
    <s v="135g*12"/>
    <n v="12"/>
    <n v="5"/>
    <n v="8.0000000000000002E-3"/>
    <s v="BK"/>
    <s v="STPP"/>
    <s v="Regular"/>
    <n v="613"/>
    <n v="613"/>
    <m/>
    <n v="0"/>
    <n v="0"/>
    <m/>
    <m/>
    <m/>
  </r>
  <r>
    <x v="206"/>
    <d v="2022-08-04T00:00:00"/>
    <s v="Week30"/>
    <d v="2022-07-01T00:00:00"/>
    <s v="DRY2200293"/>
    <s v="Taiwan"/>
    <s v="CP TAIWAN"/>
    <s v="R-Wonton"/>
    <s v="R-Wonton no egg"/>
    <x v="10"/>
    <s v="Raw Wonton 12 pcs"/>
    <s v="082I93R40012P02001"/>
    <s v="144g*40inner"/>
    <n v="40"/>
    <n v="12"/>
    <n v="8.1300000000000001E-3"/>
    <s v="M"/>
    <s v="Salt"/>
    <s v="ซุปซอง 5g."/>
    <n v="471"/>
    <n v="471"/>
    <m/>
    <n v="0"/>
    <n v="0"/>
    <n v="0"/>
    <n v="2"/>
    <n v="0"/>
  </r>
  <r>
    <x v="207"/>
    <m/>
    <s v="Week30"/>
    <d v="2022-07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2020"/>
    <n v="2020"/>
    <m/>
    <n v="0"/>
    <n v="0"/>
    <m/>
    <n v="1"/>
    <n v="0"/>
  </r>
  <r>
    <x v="207"/>
    <m/>
    <s v="Week30"/>
    <d v="2022-07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3786"/>
    <n v="3786"/>
    <m/>
    <n v="0"/>
    <n v="0"/>
    <m/>
    <m/>
    <m/>
  </r>
  <r>
    <x v="207"/>
    <d v="2022-08-03T00:00:00"/>
    <s v="Week30"/>
    <d v="2022-07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1313"/>
    <n v="1313"/>
    <m/>
    <n v="0"/>
    <n v="0"/>
    <m/>
    <n v="1"/>
    <n v="0"/>
  </r>
  <r>
    <x v="207"/>
    <d v="2022-08-15T00:00:00"/>
    <s v="Week30"/>
    <d v="2022-07-01T00:00:00"/>
    <s v="RNE2200158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280"/>
    <n v="280"/>
    <m/>
    <n v="0"/>
    <n v="0"/>
    <n v="0"/>
    <m/>
    <n v="0"/>
  </r>
  <r>
    <x v="208"/>
    <m/>
    <s v="Week30"/>
    <d v="2022-07-01T00:00:00"/>
    <m/>
    <m/>
    <m/>
    <m/>
    <m/>
    <x v="0"/>
    <m/>
    <m/>
    <m/>
    <m/>
    <m/>
    <m/>
    <m/>
    <m/>
    <m/>
    <m/>
    <m/>
    <m/>
    <m/>
    <m/>
    <m/>
    <m/>
    <m/>
  </r>
  <r>
    <x v="209"/>
    <m/>
    <s v="Week30"/>
    <d v="2022-07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5703"/>
    <n v="5703"/>
    <m/>
    <n v="0"/>
    <n v="0"/>
    <m/>
    <m/>
    <m/>
  </r>
  <r>
    <x v="209"/>
    <d v="2022-08-04T00:00:00"/>
    <s v="Week30"/>
    <d v="2022-07-01T00:00:00"/>
    <s v="DRY2200293"/>
    <s v="Taiwan"/>
    <s v="CP TAIWAN"/>
    <s v="R-Wonton"/>
    <s v="R-Wonton no egg"/>
    <x v="10"/>
    <s v="Raw Wonton 12 pcs"/>
    <s v="082I93R40012P02001"/>
    <s v="144g*40inner"/>
    <n v="40"/>
    <n v="12"/>
    <n v="8.1300000000000001E-3"/>
    <s v="M"/>
    <s v="Salt"/>
    <s v="ซุปซอง 5g."/>
    <n v="123"/>
    <n v="123"/>
    <m/>
    <n v="0"/>
    <n v="0"/>
    <n v="0"/>
    <n v="2"/>
    <n v="0"/>
  </r>
  <r>
    <x v="209"/>
    <d v="2022-08-04T00:00:00"/>
    <s v="Week30"/>
    <d v="2022-07-01T00:00:00"/>
    <s v="ขายภายใน"/>
    <s v="FM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500"/>
    <n v="500"/>
    <m/>
    <n v="0"/>
    <n v="0"/>
    <n v="0"/>
    <m/>
    <n v="0"/>
  </r>
  <r>
    <x v="209"/>
    <d v="2022-08-15T00:00:00"/>
    <s v="Week30"/>
    <d v="2022-07-01T00:00:00"/>
    <s v="RNE2200158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39"/>
    <n v="39"/>
    <m/>
    <n v="0"/>
    <n v="0"/>
    <n v="0"/>
    <m/>
    <n v="0"/>
  </r>
  <r>
    <x v="210"/>
    <d v="2022-08-09T00:00:00"/>
    <s v="Week30"/>
    <d v="2022-07-01T00:00:00"/>
    <s v="DRY2200066"/>
    <s v="Belgium"/>
    <s v="CPF EUROPE S.A."/>
    <s v="C-Wonton"/>
    <s v="C-Wonton"/>
    <x v="23"/>
    <s v="Cooked Minced Wonton in Tray 6 pcs + Sesame Sauce"/>
    <s v="082SK3I12006P01001"/>
    <s v="132g.*12Pack"/>
    <n v="12"/>
    <n v="6"/>
    <n v="8.0000000000000002E-3"/>
    <s v="BK"/>
    <s v="Salt"/>
    <s v=" sesame 30g"/>
    <n v="625"/>
    <m/>
    <n v="625"/>
    <n v="0"/>
    <n v="0"/>
    <m/>
    <n v="1"/>
    <n v="7500"/>
  </r>
  <r>
    <x v="210"/>
    <d v="2022-08-09T00:00:00"/>
    <s v="Week30"/>
    <d v="2022-07-01T00:00:00"/>
    <s v="DRY2200066"/>
    <s v="Belgium"/>
    <s v="CPF EUROPE S.A."/>
    <s v="C-Wonton"/>
    <s v="C-Wonton"/>
    <x v="23"/>
    <s v="Cooked Minced Wonton in Tray 6 pcs + Black Vinegar Sauce"/>
    <s v="082SK3I12006P02001"/>
    <s v="132g.*12Pack"/>
    <n v="12"/>
    <n v="6"/>
    <n v="8.0000000000000002E-3"/>
    <s v="BK"/>
    <s v="Salt"/>
    <s v=" Black Vinegar 30g"/>
    <n v="625"/>
    <n v="398"/>
    <n v="202"/>
    <n v="-25"/>
    <n v="300"/>
    <m/>
    <n v="1"/>
    <n v="7500"/>
  </r>
  <r>
    <x v="210"/>
    <d v="2022-08-09T00:00:00"/>
    <s v="Week30"/>
    <d v="2022-07-01T00:00:00"/>
    <s v="DRY2200066"/>
    <s v="Belgium"/>
    <s v="CPF EUROPE S.A."/>
    <s v="C-Wonton"/>
    <s v="C-Wonton"/>
    <x v="23"/>
    <s v="Cooked Minced Wonton in Tray 6 pcs + Sriracha Chilli Sauce"/>
    <s v="082SK3I12006P00001"/>
    <s v="132g.*12Pack"/>
    <n v="12"/>
    <n v="6"/>
    <n v="8.0000000000000002E-3"/>
    <s v="BK"/>
    <s v="Salt"/>
    <s v=" Sriracha Chilli 30g"/>
    <n v="625"/>
    <m/>
    <n v="612.91666666666663"/>
    <n v="-12.083333333333371"/>
    <n v="145"/>
    <m/>
    <n v="1"/>
    <n v="7500"/>
  </r>
  <r>
    <x v="210"/>
    <d v="2022-08-09T00:00:00"/>
    <s v="Week30"/>
    <d v="2022-07-01T00:00:00"/>
    <s v="DRY2200066"/>
    <s v="Belgium"/>
    <s v="CPF EUROPE S.A."/>
    <s v="C-Wonton"/>
    <s v="C-Wonton"/>
    <x v="25"/>
    <s v="Minced Shrimp Wonton 4 pcs with Dry Noodles Oriental Spices Sauce + Vegetable"/>
    <s v="082SR3I08004P00001"/>
    <s v="316g.*8Pack"/>
    <n v="8"/>
    <n v="4"/>
    <n v="8.0000000000000002E-3"/>
    <s v="BK"/>
    <s v="Salt"/>
    <s v="Oriental Spices Sauce flavor"/>
    <n v="625"/>
    <m/>
    <n v="951.125"/>
    <n v="326.125"/>
    <n v="0"/>
    <m/>
    <n v="1"/>
    <n v="5000"/>
  </r>
  <r>
    <x v="210"/>
    <d v="2022-08-13T00:00:00"/>
    <s v="Week30"/>
    <d v="2022-07-01T00:00:00"/>
    <s v="DRY2200253"/>
    <s v="Denmark"/>
    <s v="Paulsen Food"/>
    <s v="C-Wonton ND"/>
    <s v="Wonton ND+V"/>
    <x v="8"/>
    <s v="Cooked Wonton ND No Egg with Pumpkin _x000a_+ Vegetable  HC  3 pcs tomyam"/>
    <s v="082SJKW08003P00001"/>
    <s v="309g*8"/>
    <n v="8"/>
    <n v="3"/>
    <n v="7.4999999999999997E-3"/>
    <s v="M"/>
    <s v="Salt"/>
    <s v="Tomyam"/>
    <n v="308"/>
    <m/>
    <n v="308.25"/>
    <n v="0.25"/>
    <n v="0"/>
    <m/>
    <m/>
    <m/>
  </r>
  <r>
    <x v="210"/>
    <d v="2022-08-13T00:00:00"/>
    <s v="Week30"/>
    <d v="2022-07-01T00:00:00"/>
    <s v="DRY2200253"/>
    <s v="Denmark"/>
    <s v="Paulsen Food"/>
    <s v="C-Wonton ND"/>
    <s v="Wonton ND+V"/>
    <x v="8"/>
    <s v="Cooked Wonton ND No Egg with Pumpkin _x000a_+ Vegetable  HC  3 pcs tomyam"/>
    <s v="082SJKW08003P00001"/>
    <s v="309g*8"/>
    <n v="8"/>
    <n v="3"/>
    <n v="7.4999999999999997E-3"/>
    <s v="M"/>
    <s v="Salt"/>
    <s v="TYANS+CM"/>
    <n v="3192"/>
    <m/>
    <n v="3192"/>
    <n v="0"/>
    <n v="0"/>
    <m/>
    <m/>
    <m/>
  </r>
  <r>
    <x v="210"/>
    <d v="2022-08-13T00:00:00"/>
    <s v="Week30"/>
    <d v="2022-07-01T00:00:00"/>
    <s v="DRY2200342"/>
    <s v="Denmark"/>
    <s v="Paulsen Food"/>
    <s v="C-Wonton ND"/>
    <s v="Wonton ND+V"/>
    <x v="8"/>
    <s v="Cooked Wonton ND No Egg with Pumpkin _x000a_+ Vegetable  HC  3 pcs tomyam"/>
    <s v="082SJKW08003P00001"/>
    <s v="309g*8"/>
    <n v="8"/>
    <n v="3"/>
    <n v="7.4999999999999997E-3"/>
    <s v="M"/>
    <s v="Salt"/>
    <s v="TYANS+CM"/>
    <n v="3500"/>
    <m/>
    <n v="3554"/>
    <n v="54"/>
    <n v="0"/>
    <m/>
    <m/>
    <m/>
  </r>
  <r>
    <x v="210"/>
    <d v="2022-08-15T00:00:00"/>
    <s v="Week30"/>
    <d v="2022-07-01T00:00:00"/>
    <s v="RNE2200158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628"/>
    <n v="628"/>
    <m/>
    <n v="0"/>
    <n v="0"/>
    <n v="0"/>
    <m/>
    <n v="0"/>
  </r>
  <r>
    <x v="211"/>
    <m/>
    <s v="Week31"/>
    <d v="2022-07-01T00:00:00"/>
    <m/>
    <m/>
    <m/>
    <m/>
    <m/>
    <x v="0"/>
    <m/>
    <m/>
    <m/>
    <m/>
    <m/>
    <m/>
    <m/>
    <m/>
    <m/>
    <m/>
    <m/>
    <m/>
    <m/>
    <m/>
    <m/>
    <m/>
    <m/>
  </r>
  <r>
    <x v="212"/>
    <d v="2022-08-06T00:00:00"/>
    <s v="Week31"/>
    <d v="2022-08-01T00:00:00"/>
    <s v="DRY2200271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103"/>
    <n v="1103"/>
    <m/>
    <n v="0"/>
    <n v="0"/>
    <m/>
    <m/>
    <m/>
  </r>
  <r>
    <x v="212"/>
    <d v="2022-08-16T00:00:00"/>
    <s v="Week31"/>
    <d v="2022-08-01T00:00:00"/>
    <s v="DRY2200272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44"/>
    <n v="28"/>
    <n v="16"/>
    <n v="0"/>
    <n v="0"/>
    <m/>
    <m/>
    <m/>
  </r>
  <r>
    <x v="212"/>
    <d v="2022-08-04T00:00:00"/>
    <s v="Week31"/>
    <d v="2022-08-01T00:00:00"/>
    <s v="DRY220023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64"/>
    <n v="664"/>
    <m/>
    <n v="0"/>
    <n v="0"/>
    <m/>
    <m/>
    <m/>
  </r>
  <r>
    <x v="212"/>
    <d v="2022-08-04T00:00:00"/>
    <s v="Week31"/>
    <d v="2022-08-01T00:00:00"/>
    <s v="DRY220023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12"/>
    <d v="2022-08-04T00:00:00"/>
    <s v="Week31"/>
    <d v="2022-08-01T00:00:00"/>
    <s v="DRY220023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12"/>
    <d v="2022-08-04T00:00:00"/>
    <s v="Week31"/>
    <d v="2022-08-01T00:00:00"/>
    <s v="DRY220023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52"/>
    <n v="552"/>
    <m/>
    <n v="0"/>
    <n v="0"/>
    <m/>
    <m/>
    <m/>
  </r>
  <r>
    <x v="212"/>
    <d v="2022-08-15T00:00:00"/>
    <s v="Week31"/>
    <d v="2022-08-01T00:00:00"/>
    <s v="RNE2200158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461"/>
    <n v="461"/>
    <m/>
    <n v="0"/>
    <n v="0"/>
    <n v="0"/>
    <m/>
    <n v="0"/>
  </r>
  <r>
    <x v="213"/>
    <d v="2022-08-04T00:00:00"/>
    <s v="Week31"/>
    <d v="2022-08-01T00:00:00"/>
    <s v="DRY220023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40"/>
    <n v="240"/>
    <m/>
    <n v="0"/>
    <n v="0"/>
    <m/>
    <m/>
    <m/>
  </r>
  <r>
    <x v="213"/>
    <d v="2022-08-05T00:00:00"/>
    <s v="Week31"/>
    <d v="2022-08-01T00:00:00"/>
    <s v="DRY220023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13"/>
    <d v="2022-08-05T00:00:00"/>
    <s v="Week31"/>
    <d v="2022-08-01T00:00:00"/>
    <s v="DRY220023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13"/>
    <d v="2022-08-05T00:00:00"/>
    <s v="Week31"/>
    <d v="2022-08-01T00:00:00"/>
    <s v="DRY220024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13"/>
    <d v="2022-08-05T00:00:00"/>
    <s v="Week31"/>
    <d v="2022-08-01T00:00:00"/>
    <s v="DRY220024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13"/>
    <d v="2022-08-05T00:00:00"/>
    <s v="Week31"/>
    <d v="2022-08-01T00:00:00"/>
    <s v="DRY220024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46"/>
    <n v="446"/>
    <m/>
    <n v="0"/>
    <n v="0"/>
    <m/>
    <m/>
    <m/>
  </r>
  <r>
    <x v="213"/>
    <d v="2022-08-22T00:00:00"/>
    <s v="Week31"/>
    <d v="2022-08-01T00:00:00"/>
    <s v="RNE2200159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428"/>
    <n v="428"/>
    <m/>
    <n v="0"/>
    <n v="0"/>
    <n v="0"/>
    <n v="6"/>
    <n v="0"/>
  </r>
  <r>
    <x v="214"/>
    <d v="2022-08-05T00:00:00"/>
    <s v="Week31"/>
    <d v="2022-08-01T00:00:00"/>
    <s v="DRY220024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46"/>
    <n v="346"/>
    <m/>
    <n v="0"/>
    <n v="0"/>
    <m/>
    <m/>
    <m/>
  </r>
  <r>
    <x v="214"/>
    <d v="2022-08-10T00:00:00"/>
    <s v="Week31"/>
    <d v="2022-08-01T00:00:00"/>
    <s v="DRY220024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14"/>
    <d v="2022-08-11T00:00:00"/>
    <s v="Week31"/>
    <d v="2022-08-01T00:00:00"/>
    <s v="DRY220024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14"/>
    <d v="2022-08-11T00:00:00"/>
    <s v="Week31"/>
    <d v="2022-08-01T00:00:00"/>
    <s v="DRY220029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14"/>
    <d v="2022-08-11T00:00:00"/>
    <s v="Week31"/>
    <d v="2022-08-01T00:00:00"/>
    <s v="DRY220029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14"/>
    <d v="2022-08-11T00:00:00"/>
    <s v="Week31"/>
    <d v="2022-08-01T00:00:00"/>
    <s v="DRY220029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69"/>
    <n v="369"/>
    <m/>
    <n v="0"/>
    <n v="0"/>
    <m/>
    <m/>
    <m/>
  </r>
  <r>
    <x v="214"/>
    <d v="2022-08-22T00:00:00"/>
    <s v="Week31"/>
    <d v="2022-08-01T00:00:00"/>
    <s v="RNE2200159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449"/>
    <n v="449"/>
    <m/>
    <n v="0"/>
    <n v="0"/>
    <n v="0"/>
    <n v="6"/>
    <n v="0"/>
  </r>
  <r>
    <x v="215"/>
    <d v="2022-08-11T00:00:00"/>
    <s v="Week31"/>
    <d v="2022-08-01T00:00:00"/>
    <s v="DRY220029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23"/>
    <n v="423"/>
    <m/>
    <n v="0"/>
    <n v="0"/>
    <m/>
    <m/>
    <m/>
  </r>
  <r>
    <x v="215"/>
    <d v="2022-08-11T00:00:00"/>
    <s v="Week31"/>
    <d v="2022-08-01T00:00:00"/>
    <s v="DRY220029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15"/>
    <d v="2022-08-11T00:00:00"/>
    <s v="Week31"/>
    <d v="2022-08-01T00:00:00"/>
    <s v="DRY220030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15"/>
    <d v="2022-08-11T00:00:00"/>
    <s v="Week31"/>
    <d v="2022-08-01T00:00:00"/>
    <s v="DRY220030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99"/>
    <n v="699"/>
    <m/>
    <n v="0"/>
    <n v="0"/>
    <m/>
    <m/>
    <m/>
  </r>
  <r>
    <x v="215"/>
    <d v="2022-08-22T00:00:00"/>
    <s v="Week31"/>
    <d v="2022-08-01T00:00:00"/>
    <s v="RNE2200159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456"/>
    <n v="456"/>
    <m/>
    <n v="0"/>
    <n v="0"/>
    <n v="0"/>
    <n v="6"/>
    <n v="0"/>
  </r>
  <r>
    <x v="216"/>
    <m/>
    <s v="Week31"/>
    <d v="2022-08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3442.7083333333335"/>
    <n v="3441"/>
    <m/>
    <n v="-1.7083333333334849"/>
    <n v="41"/>
    <m/>
    <m/>
    <m/>
  </r>
  <r>
    <x v="216"/>
    <d v="2022-08-11T00:00:00"/>
    <s v="Week31"/>
    <d v="2022-08-01T00:00:00"/>
    <s v="DRY2200291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</r>
  <r>
    <x v="216"/>
    <d v="2022-09-02T00:00:00"/>
    <s v="Week31"/>
    <d v="2022-08-01T00:00:00"/>
    <s v="DRY2200345"/>
    <s v="USA"/>
    <s v="Bellisio Foods, Inc."/>
    <s v="C-Wonton"/>
    <s v="C-Wonton ND"/>
    <x v="7"/>
    <s v="Cooked Minced Wonton No Egg"/>
    <s v="082SKBW08005P00001"/>
    <s v="145g*8"/>
    <n v="8"/>
    <n v="5"/>
    <n v="8.0000000000000002E-3"/>
    <s v="BK"/>
    <s v="Salt"/>
    <s v="Regular"/>
    <n v="1462.75"/>
    <m/>
    <n v="1462.75"/>
    <n v="0"/>
    <n v="0"/>
    <m/>
    <m/>
    <m/>
  </r>
  <r>
    <x v="216"/>
    <d v="2022-08-22T00:00:00"/>
    <s v="Week31"/>
    <d v="2022-08-01T00:00:00"/>
    <s v="RNE2200159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75"/>
    <n v="75"/>
    <m/>
    <n v="0"/>
    <n v="0"/>
    <n v="0"/>
    <n v="6"/>
    <n v="0"/>
  </r>
  <r>
    <x v="216"/>
    <d v="2022-08-23T00:00:00"/>
    <s v="Week31"/>
    <d v="2022-08-01T00:00:00"/>
    <s v="DRY2200360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363"/>
    <n v="343"/>
    <n v="20"/>
    <n v="0"/>
    <n v="0"/>
    <n v="0"/>
    <n v="6"/>
    <n v="0"/>
  </r>
  <r>
    <x v="217"/>
    <m/>
    <s v="Week31"/>
    <d v="2022-08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3339"/>
    <n v="3339"/>
    <m/>
    <n v="0"/>
    <n v="0"/>
    <m/>
    <m/>
    <m/>
  </r>
  <r>
    <x v="217"/>
    <m/>
    <s v="Week31"/>
    <d v="2022-08-01T00:00:00"/>
    <s v="ขายภายใน"/>
    <s v=".7-11"/>
    <s v="ซีพีเอฟ เทรดดิ้ง"/>
    <s v="C-Wonton"/>
    <s v="C-Wonton"/>
    <x v="21"/>
    <s v="Cooked Wonton ND with egg 7-11"/>
    <s v="082SJ1A12003P01001 "/>
    <s v="211g*12"/>
    <n v="12"/>
    <n v="3"/>
    <n v="6.1999999999999998E-3"/>
    <s v="SS"/>
    <s v="STPP"/>
    <s v="TYNSF"/>
    <n v="5014"/>
    <n v="5014"/>
    <m/>
    <n v="0"/>
    <n v="0"/>
    <m/>
    <m/>
    <m/>
  </r>
  <r>
    <x v="217"/>
    <d v="2022-08-23T00:00:00"/>
    <s v="Week31"/>
    <d v="2022-08-01T00:00:00"/>
    <s v="DRY2200360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431"/>
    <n v="431"/>
    <m/>
    <n v="0"/>
    <n v="0"/>
    <n v="0"/>
    <n v="6"/>
    <n v="0"/>
  </r>
  <r>
    <x v="218"/>
    <m/>
    <s v="Week32"/>
    <d v="2022-08-01T00:00:00"/>
    <m/>
    <m/>
    <m/>
    <m/>
    <m/>
    <x v="0"/>
    <m/>
    <m/>
    <m/>
    <m/>
    <m/>
    <m/>
    <m/>
    <m/>
    <m/>
    <m/>
    <m/>
    <m/>
    <m/>
    <m/>
    <m/>
    <m/>
    <m/>
  </r>
  <r>
    <x v="219"/>
    <m/>
    <s v="Week32"/>
    <d v="2022-08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4623"/>
    <n v="4623"/>
    <m/>
    <n v="0"/>
    <n v="0"/>
    <m/>
    <m/>
    <m/>
  </r>
  <r>
    <x v="219"/>
    <d v="2022-08-17T00:00:00"/>
    <s v="Week32"/>
    <d v="2022-08-01T00:00:00"/>
    <s v="DRY2200343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3500"/>
    <m/>
    <n v="3500"/>
    <n v="0"/>
    <n v="0"/>
    <m/>
    <m/>
    <m/>
  </r>
  <r>
    <x v="219"/>
    <d v="2022-08-23T00:00:00"/>
    <s v="Week32"/>
    <d v="2022-08-01T00:00:00"/>
    <s v="DRY2200360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428"/>
    <n v="428"/>
    <m/>
    <n v="0"/>
    <n v="0"/>
    <n v="0"/>
    <n v="6"/>
    <n v="0"/>
  </r>
  <r>
    <x v="220"/>
    <d v="2022-08-11T00:00:00"/>
    <s v="Week32"/>
    <d v="2022-08-01T00:00:00"/>
    <s v="DRY220030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93"/>
    <n v="93"/>
    <m/>
    <n v="0"/>
    <n v="0"/>
    <m/>
    <m/>
    <m/>
  </r>
  <r>
    <x v="220"/>
    <d v="2022-08-16T00:00:00"/>
    <s v="Week32"/>
    <d v="2022-08-01T00:00:00"/>
    <s v="DRY220030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20"/>
    <d v="2022-08-16T00:00:00"/>
    <s v="Week32"/>
    <d v="2022-08-01T00:00:00"/>
    <s v="DRY220030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20"/>
    <d v="2022-08-16T00:00:00"/>
    <s v="Week32"/>
    <d v="2022-08-01T00:00:00"/>
    <s v="DRY220030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20"/>
    <d v="2022-08-17T00:00:00"/>
    <s v="Week32"/>
    <d v="2022-08-01T00:00:00"/>
    <s v="DRY220030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20"/>
    <d v="2022-08-17T00:00:00"/>
    <s v="Week32"/>
    <d v="2022-08-01T00:00:00"/>
    <s v="DRY220030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52"/>
    <n v="752"/>
    <m/>
    <n v="0"/>
    <n v="0"/>
    <m/>
    <m/>
    <m/>
  </r>
  <r>
    <x v="220"/>
    <d v="2022-08-23T00:00:00"/>
    <s v="Week32"/>
    <d v="2022-08-01T00:00:00"/>
    <s v="DRY2200360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420"/>
    <n v="420"/>
    <m/>
    <n v="0"/>
    <n v="0"/>
    <n v="0"/>
    <n v="6"/>
    <n v="0"/>
  </r>
  <r>
    <x v="221"/>
    <d v="2022-08-17T00:00:00"/>
    <s v="Week32"/>
    <d v="2022-08-01T00:00:00"/>
    <s v="DRY220030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0"/>
    <n v="40"/>
    <m/>
    <n v="0"/>
    <n v="0"/>
    <m/>
    <m/>
    <m/>
  </r>
  <r>
    <x v="221"/>
    <d v="2022-08-17T00:00:00"/>
    <s v="Week32"/>
    <d v="2022-08-01T00:00:00"/>
    <s v="DRY220030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21"/>
    <d v="2022-08-18T00:00:00"/>
    <s v="Week32"/>
    <d v="2022-08-01T00:00:00"/>
    <s v="DRY220030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21"/>
    <d v="2022-08-18T00:00:00"/>
    <s v="Week32"/>
    <d v="2022-08-01T00:00:00"/>
    <s v="DRY220030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21"/>
    <d v="2022-08-19T00:00:00"/>
    <s v="Week32"/>
    <d v="2022-08-01T00:00:00"/>
    <s v="DRY220031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19"/>
    <n v="719"/>
    <m/>
    <n v="0"/>
    <n v="0"/>
    <m/>
    <m/>
    <m/>
  </r>
  <r>
    <x v="221"/>
    <d v="2022-08-22T00:00:00"/>
    <s v="Week32"/>
    <d v="2022-08-01T00:00:00"/>
    <s v="DRY2200189"/>
    <s v="Germany"/>
    <s v=" CPF Distribution (under Paulsen Food)"/>
    <s v="C-Wonton"/>
    <s v="C-Wonton ND"/>
    <x v="5"/>
    <s v="Cooked Wonton ND No Egg with Pumpkin _x000a_+ Vegetable  HC  3 pcs"/>
    <s v="082SJ3N12003P01001"/>
    <s v="309g*12"/>
    <n v="12"/>
    <n v="3"/>
    <n v="7.4999999999999997E-3"/>
    <s v="HC"/>
    <s v="Salt"/>
    <s v="Regular"/>
    <n v="2520"/>
    <n v="2520"/>
    <n v="28.416666666666668"/>
    <n v="28.416666666666515"/>
    <n v="0"/>
    <m/>
    <m/>
    <m/>
  </r>
  <r>
    <x v="221"/>
    <d v="2022-08-23T00:00:00"/>
    <s v="Week32"/>
    <d v="2022-08-01T00:00:00"/>
    <s v="DRY2200360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414"/>
    <n v="414"/>
    <m/>
    <n v="0"/>
    <n v="0"/>
    <n v="0"/>
    <n v="6"/>
    <n v="0"/>
  </r>
  <r>
    <x v="222"/>
    <d v="2022-08-25T00:00:00"/>
    <s v="Week32"/>
    <d v="2022-08-01T00:00:00"/>
    <s v="DRY2200344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1648.375"/>
    <m/>
    <n v="1648.375"/>
    <n v="0"/>
    <n v="0"/>
    <m/>
    <m/>
    <m/>
  </r>
  <r>
    <x v="222"/>
    <d v="2022-08-15T00:00:00"/>
    <s v="Week32"/>
    <d v="2022-08-01T00:00:00"/>
    <s v="DRY2200265"/>
    <s v="CAN "/>
    <s v="Bellisio Foods Canada"/>
    <s v="C-Wonton"/>
    <s v="C-Wonton ND"/>
    <x v="15"/>
    <s v="Cooked Wonton Noodle (Enriched wonton sheet&amp;noodles)"/>
    <s v="082SJ5312005P01001"/>
    <s v="258g*12"/>
    <n v="12"/>
    <n v="5"/>
    <n v="8.0000000000000002E-3"/>
    <s v="M"/>
    <s v="Salt"/>
    <s v="Regular"/>
    <n v="81"/>
    <m/>
    <n v="81"/>
    <n v="0"/>
    <n v="0"/>
    <m/>
    <m/>
    <m/>
  </r>
  <r>
    <x v="222"/>
    <d v="2022-08-23T00:00:00"/>
    <s v="Week32"/>
    <d v="2022-08-01T00:00:00"/>
    <s v="DRY2200266"/>
    <s v="CAN "/>
    <s v="Bellisio Foods Canada"/>
    <s v="C-Wonton"/>
    <s v="C-Wonton ND"/>
    <x v="15"/>
    <s v="Cooked Wonton Noodle (Enriched wonton sheet&amp;noodles)"/>
    <s v="082SJ5312005P01001"/>
    <s v="258g*12"/>
    <n v="12"/>
    <n v="5"/>
    <n v="8.0000000000000002E-3"/>
    <s v="M"/>
    <s v="Salt"/>
    <s v="Regular"/>
    <n v="2600"/>
    <m/>
    <n v="2600"/>
    <n v="0"/>
    <n v="0"/>
    <m/>
    <m/>
    <m/>
  </r>
  <r>
    <x v="222"/>
    <d v="2022-08-23T00:00:00"/>
    <s v="Week32"/>
    <d v="2022-08-01T00:00:00"/>
    <s v="DRY2200338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222"/>
    <d v="2022-08-23T00:00:00"/>
    <s v="Week32"/>
    <d v="2022-08-01T00:00:00"/>
    <s v="DRY2200339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222"/>
    <d v="2022-08-22T00:00:00"/>
    <s v="Week32"/>
    <d v="2022-08-01T00:00:00"/>
    <s v="DRY2200190"/>
    <s v="Germany"/>
    <s v=" CPF Distribution (under Paulsen Food)"/>
    <s v="C-Wonton"/>
    <s v="C-Wonton ND"/>
    <x v="17"/>
    <s v="Cooked Minced  ND No Egg with Pumpkin_x000a_+ Yu Choy Tomyum"/>
    <s v="082SR3N12003P00001"/>
    <s v="302g*12"/>
    <n v="12"/>
    <n v="3"/>
    <n v="8.0000000000000002E-3"/>
    <s v="BK"/>
    <s v="Salt"/>
    <s v="TYEX+CO"/>
    <n v="2520"/>
    <n v="2518"/>
    <m/>
    <n v="-2"/>
    <n v="24"/>
    <m/>
    <m/>
    <m/>
  </r>
  <r>
    <x v="222"/>
    <d v="2022-09-01T00:00:00"/>
    <s v="Week32"/>
    <d v="2022-08-01T00:00:00"/>
    <s v="DRY2200372"/>
    <s v="SG"/>
    <s v="CPI SINGAPORE"/>
    <s v="R-Wonton"/>
    <s v="R-Wonton"/>
    <x v="18"/>
    <s v="Raw Wonton 50 pcs (Fried Sheet)"/>
    <s v="082I93B10050P04001"/>
    <s v="600g*10inner"/>
    <n v="10"/>
    <n v="50"/>
    <n v="6.8100000000000001E-3"/>
    <s v="S"/>
    <s v="STPP"/>
    <s v="-"/>
    <n v="100"/>
    <n v="100"/>
    <m/>
    <n v="0"/>
    <n v="0"/>
    <n v="0"/>
    <m/>
    <n v="0"/>
  </r>
  <r>
    <x v="222"/>
    <d v="2022-09-01T00:00:00"/>
    <s v="Week32"/>
    <d v="2022-08-01T00:00:00"/>
    <s v="DRY2100755"/>
    <s v="SG"/>
    <s v="CPI SINGAPORE"/>
    <s v="R-Wonton"/>
    <s v="R-Mince"/>
    <x v="9"/>
    <s v="Raw Minced Wonton 8 pcs"/>
    <s v="082ID3B18008P00001"/>
    <s v="90g*18in"/>
    <n v="18"/>
    <n v="8"/>
    <n v="5.0000000000000001E-3"/>
    <s v="BK"/>
    <s v="STPP"/>
    <s v="ซุปซอง 5g."/>
    <n v="600"/>
    <n v="600"/>
    <n v="15"/>
    <n v="15"/>
    <n v="0"/>
    <n v="0"/>
    <n v="2"/>
    <n v="0"/>
  </r>
  <r>
    <x v="222"/>
    <d v="2022-08-31T00:00:00"/>
    <s v="Week32"/>
    <d v="2022-08-01T00:00:00"/>
    <s v="RNE2200160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52"/>
    <n v="152"/>
    <m/>
    <n v="0"/>
    <n v="0"/>
    <n v="0"/>
    <n v="6"/>
    <n v="0"/>
  </r>
  <r>
    <x v="223"/>
    <m/>
    <s v="Week32"/>
    <d v="2022-08-01T00:00:00"/>
    <m/>
    <m/>
    <m/>
    <m/>
    <m/>
    <x v="0"/>
    <m/>
    <m/>
    <m/>
    <m/>
    <m/>
    <m/>
    <m/>
    <m/>
    <m/>
    <m/>
    <m/>
    <m/>
    <m/>
    <m/>
    <m/>
    <m/>
    <m/>
  </r>
  <r>
    <x v="224"/>
    <d v="2022-08-22T00:00:00"/>
    <s v="Week32"/>
    <d v="2022-08-01T00:00:00"/>
    <s v="DRY2200281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49"/>
    <n v="39.111111111111114"/>
    <n v="0.11111111111108585"/>
    <n v="0"/>
    <m/>
    <m/>
    <m/>
  </r>
  <r>
    <x v="224"/>
    <d v="2022-08-16T00:00:00"/>
    <s v="Week32"/>
    <d v="2022-08-01T00:00:00"/>
    <s v="DRY2200272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44"/>
    <n v="1244"/>
    <m/>
    <n v="0"/>
    <n v="0"/>
    <m/>
    <m/>
    <m/>
  </r>
  <r>
    <x v="224"/>
    <m/>
    <s v="Week32"/>
    <d v="2022-08-01T00:00:00"/>
    <s v="DRY2200264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88"/>
    <n v="1288"/>
    <m/>
    <n v="0"/>
    <n v="0"/>
    <m/>
    <m/>
    <m/>
  </r>
  <r>
    <x v="224"/>
    <m/>
    <s v="Week32"/>
    <d v="2022-08-01T00:00:00"/>
    <s v="DRY2200353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16"/>
    <n v="114"/>
    <n v="1.6666666666666667"/>
    <n v="-0.3333333333333286"/>
    <n v="12"/>
    <m/>
    <m/>
    <m/>
  </r>
  <r>
    <x v="224"/>
    <d v="2022-08-31T00:00:00"/>
    <s v="Week32"/>
    <d v="2022-08-01T00:00:00"/>
    <s v="RNE2200160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434"/>
    <n v="434"/>
    <m/>
    <n v="0"/>
    <n v="0"/>
    <n v="0"/>
    <n v="6"/>
    <n v="0"/>
  </r>
  <r>
    <x v="225"/>
    <m/>
    <s v="Week33"/>
    <d v="2022-08-01T00:00:00"/>
    <m/>
    <m/>
    <m/>
    <m/>
    <m/>
    <x v="0"/>
    <m/>
    <m/>
    <m/>
    <m/>
    <m/>
    <m/>
    <m/>
    <m/>
    <m/>
    <m/>
    <m/>
    <m/>
    <m/>
    <m/>
    <m/>
    <m/>
    <m/>
  </r>
  <r>
    <x v="226"/>
    <d v="2022-08-19T00:00:00"/>
    <s v="Week33"/>
    <d v="2022-08-01T00:00:00"/>
    <s v="DRY220031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3"/>
    <n v="73"/>
    <m/>
    <n v="0"/>
    <n v="0"/>
    <m/>
    <m/>
    <m/>
  </r>
  <r>
    <x v="226"/>
    <d v="2022-08-19T00:00:00"/>
    <s v="Week33"/>
    <d v="2022-08-01T00:00:00"/>
    <s v="DRY220031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26"/>
    <d v="2022-08-19T00:00:00"/>
    <s v="Week33"/>
    <d v="2022-08-01T00:00:00"/>
    <s v="DRY220031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26"/>
    <d v="2022-08-19T00:00:00"/>
    <s v="Week33"/>
    <d v="2022-08-01T00:00:00"/>
    <s v="DRY220031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26"/>
    <d v="2022-08-19T00:00:00"/>
    <s v="Week33"/>
    <d v="2022-08-01T00:00:00"/>
    <s v="DRY220031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26"/>
    <d v="2022-08-19T00:00:00"/>
    <s v="Week33"/>
    <d v="2022-08-01T00:00:00"/>
    <s v="DRY220031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38"/>
    <n v="738"/>
    <m/>
    <n v="0"/>
    <n v="0"/>
    <m/>
    <m/>
    <m/>
  </r>
  <r>
    <x v="226"/>
    <d v="2022-08-31T00:00:00"/>
    <s v="Week33"/>
    <d v="2022-08-01T00:00:00"/>
    <s v="RNE2200160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457"/>
    <n v="457"/>
    <m/>
    <n v="0"/>
    <n v="0"/>
    <n v="0"/>
    <n v="6"/>
    <n v="0"/>
  </r>
  <r>
    <x v="227"/>
    <m/>
    <s v="Week33"/>
    <d v="2022-08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3254"/>
    <n v="3254"/>
    <m/>
    <n v="0"/>
    <n v="0"/>
    <m/>
    <m/>
    <m/>
  </r>
  <r>
    <x v="227"/>
    <d v="2022-08-19T00:00:00"/>
    <s v="Week33"/>
    <d v="2022-08-01T00:00:00"/>
    <s v="DRY220031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4"/>
    <n v="54"/>
    <m/>
    <n v="0"/>
    <n v="0"/>
    <m/>
    <m/>
    <m/>
  </r>
  <r>
    <x v="227"/>
    <d v="2022-08-23T00:00:00"/>
    <s v="Week33"/>
    <d v="2022-08-01T00:00:00"/>
    <s v="DRY220031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27"/>
    <d v="2022-08-23T00:00:00"/>
    <s v="Week33"/>
    <d v="2022-08-01T00:00:00"/>
    <s v="DRY220031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27"/>
    <d v="2022-08-25T00:00:00"/>
    <s v="Week33"/>
    <d v="2022-08-01T00:00:00"/>
    <s v="DRY220031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05"/>
    <n v="205"/>
    <m/>
    <n v="0"/>
    <n v="0"/>
    <m/>
    <m/>
    <m/>
  </r>
  <r>
    <x v="227"/>
    <d v="2022-08-31T00:00:00"/>
    <s v="Week33"/>
    <d v="2022-08-01T00:00:00"/>
    <s v="RNE2200160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365"/>
    <n v="365"/>
    <m/>
    <n v="0"/>
    <n v="0"/>
    <n v="0"/>
    <n v="6"/>
    <n v="0"/>
  </r>
  <r>
    <x v="228"/>
    <m/>
    <s v="Week33"/>
    <d v="2022-08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4715"/>
    <n v="4715"/>
    <m/>
    <n v="0"/>
    <n v="0"/>
    <m/>
    <m/>
    <m/>
  </r>
  <r>
    <x v="228"/>
    <m/>
    <s v="Week33"/>
    <d v="2022-08-01T00:00:00"/>
    <s v="ขายภายใน"/>
    <s v=".7-11"/>
    <s v="ซีพีเอฟ เทรดดิ้ง"/>
    <s v="C-Wonton"/>
    <s v="C-Wonton"/>
    <x v="21"/>
    <s v="Cooked Wonton ND with egg 7-11"/>
    <s v="082SJ1A12003P01001 "/>
    <s v="211g*12"/>
    <n v="12"/>
    <n v="3"/>
    <n v="6.1999999999999998E-3"/>
    <s v="SS"/>
    <s v="STPP"/>
    <s v="TYNSF"/>
    <n v="2597"/>
    <n v="2597"/>
    <m/>
    <n v="0"/>
    <n v="0"/>
    <m/>
    <m/>
    <m/>
  </r>
  <r>
    <x v="228"/>
    <d v="2022-09-03T00:00:00"/>
    <s v="Week33"/>
    <d v="2022-08-01T00:00:00"/>
    <s v="DRY2200368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1101"/>
    <n v="1101"/>
    <m/>
    <n v="0"/>
    <n v="0"/>
    <n v="0"/>
    <n v="2"/>
    <n v="0"/>
  </r>
  <r>
    <x v="229"/>
    <m/>
    <s v="Week33"/>
    <d v="2022-08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4323"/>
    <n v="4323"/>
    <m/>
    <n v="0"/>
    <n v="0"/>
    <m/>
    <m/>
    <m/>
  </r>
  <r>
    <x v="229"/>
    <d v="2022-09-02T00:00:00"/>
    <s v="Week33"/>
    <d v="2022-08-01T00:00:00"/>
    <s v="DRY2200345"/>
    <s v="USA"/>
    <s v="Bellisio Foods, Inc."/>
    <s v="C-Wonton"/>
    <s v="C-Wonton ND"/>
    <x v="7"/>
    <s v="Cooked Minced Wonton No Egg"/>
    <s v="082SKBW08005P00001"/>
    <s v="145g*8"/>
    <n v="8"/>
    <n v="5"/>
    <n v="8.0000000000000002E-3"/>
    <s v="BK"/>
    <s v="Salt"/>
    <s v="Regular"/>
    <n v="3536"/>
    <m/>
    <n v="3536"/>
    <n v="0"/>
    <n v="0"/>
    <m/>
    <m/>
    <m/>
  </r>
  <r>
    <x v="229"/>
    <d v="2022-09-15T00:00:00"/>
    <s v="Week33"/>
    <d v="2022-08-01T00:00:00"/>
    <s v="DRY2200357"/>
    <s v="USA"/>
    <s v="Bellisio Foods, Inc."/>
    <s v="C-Wonton"/>
    <s v="C-Wonton ND"/>
    <x v="7"/>
    <s v="Cooked Minced Wonton No Egg"/>
    <s v="082SKBW08005P00001"/>
    <s v="145g*8"/>
    <n v="8"/>
    <n v="5"/>
    <n v="8.0000000000000002E-3"/>
    <s v="BK"/>
    <s v="Salt"/>
    <s v="Regular"/>
    <n v="1058.5"/>
    <m/>
    <n v="1058.5"/>
    <n v="0"/>
    <n v="0"/>
    <m/>
    <m/>
    <m/>
  </r>
  <r>
    <x v="229"/>
    <d v="2022-08-27T00:00:00"/>
    <s v="Week33"/>
    <d v="2022-08-01T00:00:00"/>
    <s v="RNE2200196"/>
    <s v="China"/>
    <s v="Charoen Pokphand Import&amp;Export Trading (Shanghai) Co., Ltd"/>
    <s v="R-Wonton"/>
    <s v="R-Wonton"/>
    <x v="10"/>
    <s v="Raw Wonton 12 pcs"/>
    <s v="082I95J20012P04001"/>
    <s v="154g*20in"/>
    <n v="20"/>
    <n v="12"/>
    <n v="6.8100000000000001E-3"/>
    <s v="S"/>
    <s v="STPP"/>
    <s v="ซุปซอง 5g."/>
    <n v="1174"/>
    <n v="1174"/>
    <m/>
    <n v="0"/>
    <n v="0"/>
    <n v="0"/>
    <n v="2"/>
    <n v="0"/>
  </r>
  <r>
    <x v="230"/>
    <m/>
    <s v="Week33"/>
    <d v="2022-08-01T00:00:00"/>
    <s v="DRY2200353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172"/>
    <n v="1172"/>
    <m/>
    <n v="0"/>
    <n v="0"/>
    <m/>
    <m/>
    <m/>
  </r>
  <r>
    <x v="230"/>
    <m/>
    <s v="Week33"/>
    <d v="2022-08-01T00:00:00"/>
    <s v="DRY2200354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88"/>
    <n v="1288"/>
    <m/>
    <n v="0"/>
    <n v="0"/>
    <m/>
    <m/>
    <m/>
  </r>
  <r>
    <x v="230"/>
    <d v="2022-08-26T00:00:00"/>
    <s v="Week33"/>
    <d v="2022-08-01T00:00:00"/>
    <s v="DRY2200292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59"/>
    <n v="29"/>
    <n v="0"/>
    <n v="0"/>
    <m/>
    <m/>
    <m/>
  </r>
  <r>
    <x v="230"/>
    <d v="2022-08-27T00:00:00"/>
    <s v="Week33"/>
    <d v="2022-08-01T00:00:00"/>
    <s v="RNE2200196"/>
    <s v="China"/>
    <s v="Charoen Pokphand Import&amp;Export Trading (Shanghai) Co., Ltd"/>
    <s v="R-Wonton"/>
    <s v="R-Wonton"/>
    <x v="10"/>
    <s v="Raw Wonton 12 pcs"/>
    <s v="082I95J20012P04001"/>
    <s v="154g*20in"/>
    <n v="20"/>
    <n v="12"/>
    <n v="6.8100000000000001E-3"/>
    <s v="S"/>
    <s v="STPP"/>
    <s v="ซุปซอง 5g."/>
    <n v="1091"/>
    <n v="1091"/>
    <m/>
    <n v="0"/>
    <n v="0"/>
    <n v="0"/>
    <n v="2"/>
    <n v="0"/>
  </r>
  <r>
    <x v="231"/>
    <m/>
    <s v="Week33"/>
    <d v="2022-08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4358"/>
    <n v="4358"/>
    <m/>
    <n v="0"/>
    <n v="0"/>
    <m/>
    <m/>
    <m/>
  </r>
  <r>
    <x v="231"/>
    <d v="2022-09-03T00:00:00"/>
    <s v="Week33"/>
    <d v="2022-08-01T00:00:00"/>
    <s v="DRY2200369"/>
    <s v="SG"/>
    <s v="CPI SINGAPORE"/>
    <s v="C-Wonton"/>
    <s v="C-Wonton"/>
    <x v="1"/>
    <s v="Cooked Wonton No Egg"/>
    <s v="082S83B24005P07001"/>
    <s v="145g*24"/>
    <n v="24"/>
    <n v="5"/>
    <n v="8.0000000000000002E-3"/>
    <s v="M"/>
    <s v="STPP"/>
    <s v="Regular"/>
    <n v="350"/>
    <n v="350"/>
    <n v="15.5"/>
    <n v="15.5"/>
    <n v="0"/>
    <m/>
    <m/>
    <m/>
  </r>
  <r>
    <x v="231"/>
    <d v="2022-09-03T00:00:00"/>
    <s v="Week33"/>
    <d v="2022-08-01T00:00:00"/>
    <s v="DRY2200370"/>
    <s v="SG"/>
    <s v="CPI SINGAPORE"/>
    <s v="C-Wonton"/>
    <s v="C-Wonton"/>
    <x v="2"/>
    <s v="Cooked Wonton No Egg"/>
    <s v="082S83B24005P06001"/>
    <s v="115g*24"/>
    <n v="24"/>
    <n v="5"/>
    <n v="8.0000000000000002E-3"/>
    <s v="M"/>
    <s v="STPP"/>
    <s v="TYTB3C 30G"/>
    <n v="300"/>
    <n v="300"/>
    <n v="24.416666666666668"/>
    <n v="24.416666666666686"/>
    <n v="0"/>
    <m/>
    <n v="1"/>
    <n v="0"/>
  </r>
  <r>
    <x v="231"/>
    <d v="2022-08-25T00:00:00"/>
    <s v="Week33"/>
    <d v="2022-08-01T00:00:00"/>
    <s v="DRY2200344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1851.625"/>
    <m/>
    <n v="1851.625"/>
    <n v="0"/>
    <n v="0"/>
    <m/>
    <m/>
    <m/>
  </r>
  <r>
    <x v="231"/>
    <d v="2022-08-27T00:00:00"/>
    <s v="Week33"/>
    <d v="2022-08-01T00:00:00"/>
    <s v="RNE2200196"/>
    <s v="China"/>
    <s v="Charoen Pokphand Import&amp;Export Trading (Shanghai) Co., Ltd"/>
    <s v="R-Wonton"/>
    <s v="R-Wonton"/>
    <x v="10"/>
    <s v="Raw Wonton 12 pcs"/>
    <s v="082I95J20012P04001"/>
    <s v="154g*20in"/>
    <n v="20"/>
    <n v="12"/>
    <n v="6.8100000000000001E-3"/>
    <s v="S"/>
    <s v="STPP"/>
    <s v="ซุปซอง 5g."/>
    <n v="493"/>
    <n v="493"/>
    <m/>
    <n v="0"/>
    <n v="0"/>
    <n v="0"/>
    <n v="2"/>
    <n v="0"/>
  </r>
  <r>
    <x v="232"/>
    <m/>
    <s v="Week34"/>
    <d v="2022-08-01T00:00:00"/>
    <m/>
    <m/>
    <m/>
    <m/>
    <m/>
    <x v="0"/>
    <m/>
    <m/>
    <m/>
    <m/>
    <m/>
    <m/>
    <m/>
    <m/>
    <m/>
    <m/>
    <m/>
    <m/>
    <m/>
    <m/>
    <m/>
    <m/>
    <m/>
  </r>
  <r>
    <x v="233"/>
    <d v="2022-08-25T00:00:00"/>
    <s v="Week34"/>
    <d v="2022-08-01T00:00:00"/>
    <s v="DRY220031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87"/>
    <n v="587"/>
    <m/>
    <n v="0"/>
    <n v="0"/>
    <m/>
    <m/>
    <m/>
  </r>
  <r>
    <x v="233"/>
    <d v="2022-08-25T00:00:00"/>
    <s v="Week34"/>
    <d v="2022-08-01T00:00:00"/>
    <s v="DRY220031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33"/>
    <d v="2022-08-26T00:00:00"/>
    <s v="Week34"/>
    <d v="2022-08-01T00:00:00"/>
    <s v="DRY220032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33"/>
    <d v="2022-08-26T00:00:00"/>
    <s v="Week34"/>
    <d v="2022-08-01T00:00:00"/>
    <s v="DRY220032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37"/>
    <n v="437"/>
    <m/>
    <n v="0"/>
    <n v="0"/>
    <m/>
    <m/>
    <m/>
  </r>
  <r>
    <x v="233"/>
    <d v="2022-08-27T00:00:00"/>
    <s v="Week34"/>
    <d v="2022-08-01T00:00:00"/>
    <s v="RNE2200196"/>
    <s v="China"/>
    <s v="Charoen Pokphand Import&amp;Export Trading (Shanghai) Co., Ltd"/>
    <s v="R-Wonton"/>
    <s v="R-Wonton"/>
    <x v="10"/>
    <s v="Raw Wonton 12 pcs"/>
    <s v="082I95J20012P04001"/>
    <s v="154g*20in"/>
    <n v="20"/>
    <n v="12"/>
    <n v="6.8100000000000001E-3"/>
    <s v="S"/>
    <s v="STPP"/>
    <s v="ซุปซอง 5g."/>
    <n v="585"/>
    <n v="585"/>
    <n v="1"/>
    <n v="1"/>
    <n v="0"/>
    <n v="0"/>
    <n v="2"/>
    <n v="0"/>
  </r>
  <r>
    <x v="233"/>
    <d v="2022-08-27T00:00:00"/>
    <s v="Week34"/>
    <d v="2022-08-01T00:00:00"/>
    <s v="RNE2200197"/>
    <s v="China"/>
    <s v="Charoen Pokphand Import&amp;Export Trading (Shanghai) Co., Ltd"/>
    <s v="R-Wonton"/>
    <s v="R-Wonton"/>
    <x v="10"/>
    <s v="Raw Wonton 12 pcs"/>
    <s v="082I95J20012P04001"/>
    <s v="154g*20in"/>
    <n v="20"/>
    <n v="12"/>
    <n v="6.8100000000000001E-3"/>
    <s v="S"/>
    <s v="STPP"/>
    <s v="ซุปซอง 5g."/>
    <n v="446"/>
    <n v="446"/>
    <m/>
    <n v="0"/>
    <n v="0"/>
    <n v="0"/>
    <n v="2"/>
    <n v="0"/>
  </r>
  <r>
    <x v="234"/>
    <d v="2022-08-26T00:00:00"/>
    <s v="Week34"/>
    <d v="2022-08-01T00:00:00"/>
    <s v="DRY220032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55"/>
    <n v="355"/>
    <m/>
    <n v="0"/>
    <n v="0"/>
    <m/>
    <m/>
    <m/>
  </r>
  <r>
    <x v="234"/>
    <d v="2022-08-26T00:00:00"/>
    <s v="Week34"/>
    <d v="2022-08-01T00:00:00"/>
    <s v="DRY220032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34"/>
    <d v="2022-08-29T00:00:00"/>
    <s v="Week34"/>
    <d v="2022-08-01T00:00:00"/>
    <s v="DRY220032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34"/>
    <d v="2022-08-29T00:00:00"/>
    <s v="Week34"/>
    <d v="2022-08-01T00:00:00"/>
    <s v="DRY220032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34"/>
    <d v="2022-08-29T00:00:00"/>
    <s v="Week34"/>
    <d v="2022-08-01T00:00:00"/>
    <s v="DRY220032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34"/>
    <d v="2022-08-30T00:00:00"/>
    <s v="Week34"/>
    <d v="2022-08-01T00:00:00"/>
    <s v="DRY220032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77"/>
    <n v="177"/>
    <m/>
    <n v="0"/>
    <n v="0"/>
    <m/>
    <m/>
    <m/>
  </r>
  <r>
    <x v="234"/>
    <d v="2022-08-27T00:00:00"/>
    <s v="Week34"/>
    <d v="2022-08-01T00:00:00"/>
    <s v="RNE2200197"/>
    <s v="China"/>
    <s v="Charoen Pokphand Import&amp;Export Trading (Shanghai) Co., Ltd"/>
    <s v="R-Wonton"/>
    <s v="R-Wonton"/>
    <x v="10"/>
    <s v="Raw Wonton 12 pcs"/>
    <s v="082I95J20012P04001"/>
    <s v="154g*20in"/>
    <n v="20"/>
    <n v="12"/>
    <n v="6.8100000000000001E-3"/>
    <s v="S"/>
    <s v="STPP"/>
    <s v="ซุปซอง 5g."/>
    <n v="1244"/>
    <n v="1244"/>
    <m/>
    <n v="0"/>
    <n v="0"/>
    <n v="0"/>
    <n v="2"/>
    <n v="0"/>
  </r>
  <r>
    <x v="235"/>
    <m/>
    <s v="Week34"/>
    <d v="2022-08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2761"/>
    <n v="2761"/>
    <m/>
    <n v="0"/>
    <n v="0"/>
    <m/>
    <m/>
    <m/>
  </r>
  <r>
    <x v="235"/>
    <m/>
    <s v="Week34"/>
    <d v="2022-08-01T00:00:00"/>
    <s v="ขายภายใน"/>
    <s v=".7-11"/>
    <s v="ซีพีเอฟ เทรดดิ้ง"/>
    <s v="C-Wonton"/>
    <s v="C-Wonton"/>
    <x v="21"/>
    <s v="Cooked Wonton ND with egg 7-11"/>
    <s v="082SJ1A12003P01001 "/>
    <s v="211g*12"/>
    <n v="12"/>
    <n v="3"/>
    <n v="6.1999999999999998E-3"/>
    <s v="SS"/>
    <s v="STPP"/>
    <s v="TYNSF"/>
    <n v="6068"/>
    <n v="6068"/>
    <m/>
    <n v="0"/>
    <n v="0"/>
    <m/>
    <m/>
    <m/>
  </r>
  <r>
    <x v="235"/>
    <d v="2022-08-27T00:00:00"/>
    <s v="Week34"/>
    <d v="2022-08-01T00:00:00"/>
    <s v="RNE2200197"/>
    <s v="China"/>
    <s v="Charoen Pokphand Import&amp;Export Trading (Shanghai) Co., Ltd"/>
    <s v="R-Wonton"/>
    <s v="R-Wonton"/>
    <x v="10"/>
    <s v="Raw Wonton 12 pcs"/>
    <s v="082I95J20012P04001"/>
    <s v="154g*20in"/>
    <n v="20"/>
    <n v="12"/>
    <n v="6.8100000000000001E-3"/>
    <s v="S"/>
    <s v="STPP"/>
    <s v="ซุปซอง 5g."/>
    <n v="1260"/>
    <n v="1260"/>
    <m/>
    <n v="0"/>
    <n v="0"/>
    <n v="0"/>
    <n v="2"/>
    <n v="0"/>
  </r>
  <r>
    <x v="236"/>
    <d v="2022-09-05T00:00:00"/>
    <s v="Week34"/>
    <d v="2022-08-01T00:00:00"/>
    <s v="DRY2200428"/>
    <s v="New Zealand"/>
    <s v="Seastar Logistics Ltd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236"/>
    <d v="2022-09-05T00:00:00"/>
    <s v="Week34"/>
    <d v="2022-08-01T00:00:00"/>
    <s v="DRY2200340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236"/>
    <d v="2022-09-05T00:00:00"/>
    <s v="Week34"/>
    <d v="2022-08-01T00:00:00"/>
    <s v="DRY2200374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236"/>
    <d v="2022-09-05T00:00:00"/>
    <s v="Week34"/>
    <d v="2022-08-01T00:00:00"/>
    <s v="DRY2200362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236"/>
    <d v="2022-09-05T00:00:00"/>
    <s v="Week34"/>
    <d v="2022-08-01T00:00:00"/>
    <s v="DRY2200364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320"/>
    <n v="269"/>
    <n v="51"/>
    <n v="0"/>
    <n v="0"/>
    <m/>
    <m/>
    <m/>
  </r>
  <r>
    <x v="236"/>
    <d v="2022-08-27T00:00:00"/>
    <s v="Week34"/>
    <d v="2022-08-01T00:00:00"/>
    <s v="RNE2200197"/>
    <s v="China"/>
    <s v="Charoen Pokphand Import&amp;Export Trading (Shanghai) Co., Ltd"/>
    <s v="R-Wonton"/>
    <s v="R-Wonton"/>
    <x v="10"/>
    <s v="Raw Wonton 12 pcs"/>
    <s v="082I95J20012P04001"/>
    <s v="154g*20in"/>
    <n v="20"/>
    <n v="12"/>
    <n v="6.8100000000000001E-3"/>
    <s v="S"/>
    <s v="STPP"/>
    <s v="ซุปซอง 5g."/>
    <n v="314"/>
    <n v="314"/>
    <m/>
    <n v="0"/>
    <n v="0"/>
    <n v="0"/>
    <n v="2"/>
    <n v="0"/>
  </r>
  <r>
    <x v="236"/>
    <d v="2022-08-29T00:00:00"/>
    <s v="Week34"/>
    <d v="2022-08-01T00:00:00"/>
    <s v="RNE2200195"/>
    <s v="China"/>
    <s v="Charoen Pokphand Import&amp;Export Trading (Shanghai) Co., Ltd"/>
    <s v="R-Wonton"/>
    <s v="R-Wonton"/>
    <x v="10"/>
    <s v="Raw Wonton 50 pcs"/>
    <s v="082I95J08050P03001"/>
    <s v="630g*8in"/>
    <n v="8"/>
    <n v="50"/>
    <n v="6.8100000000000001E-3"/>
    <s v="S"/>
    <s v="STPP"/>
    <s v="ซุปซอง 5g."/>
    <n v="2310"/>
    <n v="1448"/>
    <m/>
    <n v="-862"/>
    <n v="6896"/>
    <n v="344800"/>
    <n v="6"/>
    <n v="41376"/>
  </r>
  <r>
    <x v="237"/>
    <d v="2022-09-02T00:00:00"/>
    <s v="Week34"/>
    <d v="2022-08-01T00:00:00"/>
    <s v="DRY2200371"/>
    <s v="SG"/>
    <s v="CPI Singapore"/>
    <s v="C-Wonton"/>
    <s v="C-Wonton ND"/>
    <x v="5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500"/>
    <n v="500"/>
    <m/>
    <n v="0"/>
    <n v="0"/>
    <m/>
    <m/>
    <m/>
  </r>
  <r>
    <x v="237"/>
    <d v="2022-08-30T00:00:00"/>
    <s v="Week34"/>
    <d v="2022-08-01T00:00:00"/>
    <s v="DRY220032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15"/>
    <n v="615"/>
    <m/>
    <n v="0"/>
    <n v="0"/>
    <m/>
    <m/>
    <m/>
  </r>
  <r>
    <x v="237"/>
    <d v="2022-09-06T00:00:00"/>
    <s v="Week34"/>
    <d v="2022-08-01T00:00:00"/>
    <s v="DRY220032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37"/>
    <d v="2022-09-06T00:00:00"/>
    <s v="Week34"/>
    <d v="2022-08-01T00:00:00"/>
    <s v="DRY220032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37"/>
    <d v="2022-09-06T00:00:00"/>
    <s v="Week34"/>
    <d v="2022-08-01T00:00:00"/>
    <s v="DRY220032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37"/>
    <d v="2022-09-06T00:00:00"/>
    <s v="Week34"/>
    <d v="2022-08-01T00:00:00"/>
    <s v="DRY220033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7"/>
    <n v="17"/>
    <m/>
    <n v="0"/>
    <n v="0"/>
    <m/>
    <m/>
    <m/>
  </r>
  <r>
    <x v="237"/>
    <d v="2022-09-03T00:00:00"/>
    <s v="Week34"/>
    <d v="2022-08-01T00:00:00"/>
    <s v="DRY2200368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1121"/>
    <n v="1121"/>
    <m/>
    <n v="0"/>
    <n v="0"/>
    <n v="0"/>
    <n v="2"/>
    <n v="0"/>
  </r>
  <r>
    <x v="238"/>
    <m/>
    <s v="Week34"/>
    <d v="2022-08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742"/>
    <n v="742"/>
    <m/>
    <n v="0"/>
    <n v="0"/>
    <m/>
    <m/>
    <m/>
  </r>
  <r>
    <x v="238"/>
    <d v="2022-09-13T00:00:00"/>
    <s v="Week34"/>
    <d v="2022-08-01T00:00:00"/>
    <s v="DRY2200425"/>
    <s v="Malay"/>
    <s v="CPM Malaysia"/>
    <s v="C-Wonton"/>
    <s v="C-Wonton"/>
    <x v="1"/>
    <s v="Cooked Wonton No Egg  "/>
    <s v="082S85I24005P01001"/>
    <s v="145g*24"/>
    <n v="24"/>
    <n v="5"/>
    <n v="8.0000000000000002E-3"/>
    <s v="M"/>
    <s v="STPP"/>
    <s v="Regular"/>
    <n v="1020"/>
    <n v="1020"/>
    <n v="40.875"/>
    <n v="40.875"/>
    <n v="0"/>
    <m/>
    <m/>
    <m/>
  </r>
  <r>
    <x v="238"/>
    <d v="2022-09-13T00:00:00"/>
    <s v="Week34"/>
    <d v="2022-08-01T00:00:00"/>
    <s v="DRY2200425"/>
    <s v="Malay"/>
    <s v="CPM Malaysia"/>
    <s v="C-Wonton"/>
    <s v="C-Wonton"/>
    <x v="2"/>
    <s v="Cooked Wonton No Egg  TY"/>
    <s v="082S85I24005P02001"/>
    <s v="115g*24"/>
    <n v="24"/>
    <n v="5"/>
    <n v="8.0000000000000002E-3"/>
    <s v="M"/>
    <s v="STPP"/>
    <s v="TYTB3C 30G"/>
    <n v="1020"/>
    <n v="1020"/>
    <n v="1.6666666666666667"/>
    <n v="1.6666666666666288"/>
    <n v="0"/>
    <m/>
    <n v="1"/>
    <n v="0"/>
  </r>
  <r>
    <x v="238"/>
    <d v="2022-09-02T00:00:00"/>
    <s v="Week34"/>
    <d v="2022-08-01T00:00:00"/>
    <s v="DRY2200346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3500"/>
    <m/>
    <n v="3500"/>
    <n v="0"/>
    <n v="0"/>
    <m/>
    <m/>
    <m/>
  </r>
  <r>
    <x v="238"/>
    <d v="2022-09-07T00:00:00"/>
    <s v="Week34"/>
    <d v="2022-08-01T00:00:00"/>
    <s v="DRY2200356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2402.875"/>
    <m/>
    <n v="2402.875"/>
    <n v="0"/>
    <n v="0"/>
    <m/>
    <m/>
    <m/>
  </r>
  <r>
    <x v="238"/>
    <d v="2022-09-01T00:00:00"/>
    <s v="Week34"/>
    <d v="2022-08-01T00:00:00"/>
    <s v="DRY2200368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1078"/>
    <n v="1078"/>
    <m/>
    <n v="0"/>
    <n v="0"/>
    <n v="0"/>
    <n v="2"/>
    <n v="0"/>
  </r>
  <r>
    <x v="239"/>
    <m/>
    <s v="Week35"/>
    <d v="2022-08-01T00:00:00"/>
    <m/>
    <m/>
    <m/>
    <m/>
    <m/>
    <x v="0"/>
    <m/>
    <m/>
    <m/>
    <m/>
    <m/>
    <m/>
    <m/>
    <m/>
    <m/>
    <m/>
    <m/>
    <m/>
    <m/>
    <m/>
    <m/>
    <m/>
    <m/>
  </r>
  <r>
    <x v="240"/>
    <d v="2022-09-13T00:00:00"/>
    <s v="Week35"/>
    <d v="2022-08-01T00:00:00"/>
    <s v="DRY2200341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39"/>
    <n v="53.916666666666664"/>
    <n v="4.9166666666667425"/>
    <n v="0"/>
    <m/>
    <m/>
    <m/>
  </r>
  <r>
    <x v="240"/>
    <d v="2022-09-15T00:00:00"/>
    <s v="Week35"/>
    <d v="2022-08-01T00:00:00"/>
    <s v="DRY2200357"/>
    <s v="USA"/>
    <s v="Bellisio Foods, Inc."/>
    <s v="C-Wonton"/>
    <s v="C-Wonton ND"/>
    <x v="7"/>
    <s v="Cooked Minced Wonton No Egg"/>
    <s v="082SKBW08005P00001"/>
    <s v="145g*8"/>
    <n v="8"/>
    <n v="5"/>
    <n v="8.0000000000000002E-3"/>
    <s v="BK"/>
    <s v="Salt"/>
    <s v="Regular"/>
    <n v="3940.25"/>
    <m/>
    <n v="3940.25"/>
    <n v="0"/>
    <n v="0"/>
    <m/>
    <m/>
    <m/>
  </r>
  <r>
    <x v="240"/>
    <d v="2022-09-13T00:00:00"/>
    <s v="Week35"/>
    <d v="2022-08-01T00:00:00"/>
    <s v="DRY2200363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78"/>
    <n v="14"/>
    <n v="0"/>
    <n v="0"/>
    <m/>
    <m/>
    <m/>
  </r>
  <r>
    <x v="240"/>
    <d v="2022-09-13T00:00:00"/>
    <s v="Week35"/>
    <d v="2022-08-01T00:00:00"/>
    <s v="DRY2200365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240"/>
    <d v="2022-09-02T00:00:00"/>
    <s v="Week35"/>
    <d v="2022-08-01T00:00:00"/>
    <s v="DRY2200373"/>
    <s v="SG"/>
    <s v="CPI SINGAPORE"/>
    <s v="R-Wonton"/>
    <s v="R-Wonton"/>
    <x v="4"/>
    <s v="Raw Wonton 12 pcs with sesame"/>
    <s v="082I93B20012P02001"/>
    <s v="204g*20in"/>
    <n v="20"/>
    <n v="12"/>
    <n v="6.8100000000000001E-3"/>
    <s v="S"/>
    <s v="STPP"/>
    <s v=" sesame 30g"/>
    <n v="873"/>
    <n v="836"/>
    <n v="37"/>
    <n v="0"/>
    <n v="0"/>
    <n v="0"/>
    <n v="2"/>
    <n v="0"/>
  </r>
  <r>
    <x v="241"/>
    <d v="2022-09-06T00:00:00"/>
    <s v="Week35"/>
    <d v="2022-08-01T00:00:00"/>
    <s v="DRY220033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75"/>
    <n v="775"/>
    <m/>
    <n v="0"/>
    <n v="0"/>
    <m/>
    <m/>
    <m/>
  </r>
  <r>
    <x v="241"/>
    <d v="2022-09-07T00:00:00"/>
    <s v="Week35"/>
    <d v="2022-08-01T00:00:00"/>
    <s v="DRY220033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41"/>
    <d v="2022-09-07T00:00:00"/>
    <s v="Week35"/>
    <d v="2022-08-01T00:00:00"/>
    <s v="DRY220033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41"/>
    <d v="2022-09-08T00:00:00"/>
    <s v="Week35"/>
    <d v="2022-08-01T00:00:00"/>
    <s v="DRY220033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41"/>
    <d v="2022-09-08T00:00:00"/>
    <s v="Week35"/>
    <d v="2022-08-01T00:00:00"/>
    <s v="DRY220033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11"/>
    <n v="411"/>
    <m/>
    <n v="0"/>
    <n v="0"/>
    <m/>
    <m/>
    <m/>
  </r>
  <r>
    <x v="241"/>
    <d v="2022-09-02T00:00:00"/>
    <s v="Week35"/>
    <d v="2022-08-01T00:00:00"/>
    <s v="DRY2200373"/>
    <s v="SG"/>
    <s v="CPI SINGAPORE"/>
    <s v="R-Wonton"/>
    <s v="R-Wonton"/>
    <x v="4"/>
    <s v="Raw Wonton 12 pcs with sesame"/>
    <s v="082I93B20012P02001"/>
    <s v="204g*20in"/>
    <n v="20"/>
    <n v="12"/>
    <n v="6.8100000000000001E-3"/>
    <s v="S"/>
    <s v="STPP"/>
    <s v=" sesame 30g"/>
    <n v="327"/>
    <n v="327"/>
    <n v="2"/>
    <n v="2"/>
    <n v="0"/>
    <n v="0"/>
    <n v="2"/>
    <n v="0"/>
  </r>
  <r>
    <x v="241"/>
    <d v="2022-09-05T00:00:00"/>
    <s v="Week35"/>
    <d v="2022-08-01T00:00:00"/>
    <s v="DRY2200336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897"/>
    <n v="897"/>
    <m/>
    <n v="0"/>
    <n v="0"/>
    <n v="0"/>
    <n v="1"/>
    <n v="0"/>
  </r>
  <r>
    <x v="242"/>
    <s v="RD"/>
    <s v="Week35"/>
    <d v="2022-08-01T00:00:00"/>
    <s v="ขายภายใน"/>
    <s v="MTFS"/>
    <s v="ซีพีเอฟ เทรดดิ้ง"/>
    <s v="C-Wonton"/>
    <s v="C-Wonton"/>
    <x v="12"/>
    <s v="Cooked Wonton  with egg V-Food"/>
    <s v="082S83Q12005P05000"/>
    <s v="145g*12"/>
    <n v="12"/>
    <n v="5"/>
    <n v="8.0000000000000002E-3"/>
    <s v="M"/>
    <s v="STPP"/>
    <s v="Regular"/>
    <n v="12"/>
    <m/>
    <n v="12"/>
    <n v="0"/>
    <n v="0"/>
    <m/>
    <m/>
    <m/>
  </r>
  <r>
    <x v="242"/>
    <m/>
    <s v="Week35"/>
    <d v="2022-08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7500"/>
    <n v="7500"/>
    <m/>
    <n v="0"/>
    <n v="0"/>
    <m/>
    <m/>
    <m/>
  </r>
  <r>
    <x v="242"/>
    <m/>
    <s v="Week35"/>
    <d v="2022-08-01T00:00:00"/>
    <s v="ขายภายใน"/>
    <s v="MTFS"/>
    <s v="ซีพีเอฟ เทรดดิ้ง"/>
    <s v="C-Wonton"/>
    <s v="C-Wonton"/>
    <x v="22"/>
    <s v="Minced Noodle with egg V-Food (3 pcs)"/>
    <s v="082SR3Q12003P00001"/>
    <s v="191g*12"/>
    <n v="12"/>
    <n v="3"/>
    <n v="8.0000000000000002E-3"/>
    <s v="BK"/>
    <s v="STPP"/>
    <s v="Regular"/>
    <n v="400"/>
    <n v="400"/>
    <m/>
    <n v="0"/>
    <n v="0"/>
    <m/>
    <m/>
    <m/>
  </r>
  <r>
    <x v="242"/>
    <m/>
    <s v="Week35"/>
    <d v="2022-08-01T00:00:00"/>
    <s v="ขายภายใน"/>
    <s v="MTFS"/>
    <s v="ซีพีเอฟ เทรดดิ้ง"/>
    <s v="C-Wonton"/>
    <s v="C-Wonton"/>
    <x v="21"/>
    <s v="Cooked Wonton ND with egg "/>
    <s v="082SJ3Q12003P08001"/>
    <s v="211g*12"/>
    <n v="12"/>
    <n v="3"/>
    <n v="6.1999999999999998E-3"/>
    <s v="SS"/>
    <s v="STPP"/>
    <s v="TYNSF"/>
    <n v="1820"/>
    <n v="1820"/>
    <m/>
    <n v="0"/>
    <n v="0"/>
    <m/>
    <m/>
    <m/>
  </r>
  <r>
    <x v="242"/>
    <m/>
    <s v="Week35"/>
    <d v="2022-08-01T00:00:00"/>
    <s v="ขายภายใน"/>
    <s v="Makro"/>
    <s v="ซีพีเอฟ เทรดดิ้ง"/>
    <s v="C-Wonton"/>
    <s v="C-Wonton"/>
    <x v="21"/>
    <s v="Cooked Wonton ND with egg"/>
    <s v="082SJ3Q18003P01001"/>
    <s v="211g*18"/>
    <n v="18"/>
    <n v="3"/>
    <n v="6.1999999999999998E-3"/>
    <s v="SS"/>
    <s v="STPP"/>
    <s v="TYNSF"/>
    <n v="600"/>
    <n v="600"/>
    <m/>
    <n v="0"/>
    <n v="0"/>
    <m/>
    <m/>
    <m/>
  </r>
  <r>
    <x v="242"/>
    <d v="2022-09-05T00:00:00"/>
    <s v="Week35"/>
    <d v="2022-08-01T00:00:00"/>
    <s v="DRY2200336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903"/>
    <n v="903"/>
    <m/>
    <n v="0"/>
    <n v="0"/>
    <n v="0"/>
    <n v="1"/>
    <n v="0"/>
  </r>
  <r>
    <x v="242"/>
    <d v="2022-09-08T00:00:00"/>
    <s v="Week35"/>
    <d v="2022-08-01T00:00:00"/>
    <s v="DRY2200294"/>
    <s v="Taiwan"/>
    <s v="CP TAIWAN"/>
    <s v="R-Wonton"/>
    <s v="R-Wonton no egg"/>
    <x v="10"/>
    <s v="Raw Wonton 12 pcs"/>
    <s v="082I93R40012P02001"/>
    <s v="144g*40inner"/>
    <n v="40"/>
    <n v="12"/>
    <n v="8.1300000000000001E-3"/>
    <s v="M"/>
    <s v="Salt"/>
    <s v="ซุปซอง 5g."/>
    <n v="175"/>
    <n v="175"/>
    <m/>
    <n v="0"/>
    <n v="0"/>
    <n v="0"/>
    <n v="2"/>
    <n v="0"/>
  </r>
  <r>
    <x v="243"/>
    <m/>
    <s v="Week35"/>
    <d v="2022-09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1600"/>
    <n v="1600"/>
    <m/>
    <n v="0"/>
    <n v="0"/>
    <m/>
    <n v="1"/>
    <n v="0"/>
  </r>
  <r>
    <x v="243"/>
    <m/>
    <s v="Week35"/>
    <d v="2022-09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1765"/>
    <n v="1765"/>
    <m/>
    <n v="0"/>
    <n v="0"/>
    <m/>
    <m/>
    <m/>
  </r>
  <r>
    <x v="243"/>
    <m/>
    <s v="Week35"/>
    <d v="2022-09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2000"/>
    <n v="1993"/>
    <m/>
    <n v="-7"/>
    <n v="126"/>
    <m/>
    <n v="1"/>
    <n v="126"/>
  </r>
  <r>
    <x v="243"/>
    <m/>
    <s v="Week35"/>
    <d v="2022-09-01T00:00:00"/>
    <s v="ขายภายใน"/>
    <s v=".7-11"/>
    <s v="ซีพีเอฟ เทรดดิ้ง"/>
    <s v="C-Wonton"/>
    <s v="C-Wonton"/>
    <x v="21"/>
    <s v="Cooked Wonton ND with egg 7-11"/>
    <s v="082SJ1A12003P01001 "/>
    <s v="211g*12"/>
    <n v="12"/>
    <n v="3"/>
    <n v="6.1999999999999998E-3"/>
    <s v="SS"/>
    <s v="STPP"/>
    <s v="TYNSF"/>
    <n v="3196"/>
    <n v="3196"/>
    <m/>
    <n v="0"/>
    <n v="0"/>
    <m/>
    <m/>
    <m/>
  </r>
  <r>
    <x v="243"/>
    <d v="2022-09-08T00:00:00"/>
    <s v="Week35"/>
    <d v="2022-09-01T00:00:00"/>
    <s v="DRY2200294"/>
    <s v="Taiwan"/>
    <s v="CP TAIWAN"/>
    <s v="R-Wonton"/>
    <s v="R-Wonton no egg"/>
    <x v="10"/>
    <s v="Raw Wonton 12 pcs"/>
    <s v="082I93R40012P02001"/>
    <s v="144g*40inner"/>
    <n v="40"/>
    <n v="12"/>
    <n v="8.1300000000000001E-3"/>
    <s v="M"/>
    <s v="Salt"/>
    <s v="ซุปซอง 5g."/>
    <n v="501"/>
    <n v="501"/>
    <m/>
    <n v="0"/>
    <n v="0"/>
    <n v="0"/>
    <n v="2"/>
    <n v="0"/>
  </r>
  <r>
    <x v="244"/>
    <m/>
    <s v="Week35"/>
    <d v="2022-09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3779"/>
    <n v="3779"/>
    <m/>
    <n v="0"/>
    <n v="0"/>
    <m/>
    <m/>
    <m/>
  </r>
  <r>
    <x v="244"/>
    <d v="2022-09-08T00:00:00"/>
    <s v="Week35"/>
    <d v="2022-09-01T00:00:00"/>
    <s v="DRY2200337"/>
    <s v="Taiwan"/>
    <s v="CP TAIWAN"/>
    <s v="C-Wonton"/>
    <s v="C-Wonton ND"/>
    <x v="7"/>
    <s v="Cooked Minced Wonton No Egg  4 pcs"/>
    <s v="082SKT112004P00001"/>
    <s v="113g*12"/>
    <n v="12"/>
    <n v="4"/>
    <n v="8.0000000000000002E-3"/>
    <s v="BK"/>
    <s v="Salt"/>
    <s v="Regular"/>
    <n v="3900"/>
    <n v="3900"/>
    <n v="36.5"/>
    <n v="36.5"/>
    <n v="0"/>
    <m/>
    <m/>
    <m/>
  </r>
  <r>
    <x v="244"/>
    <d v="2022-09-08T00:00:00"/>
    <s v="Week35"/>
    <d v="2022-09-01T00:00:00"/>
    <s v="DRY2200294"/>
    <s v="Taiwan"/>
    <s v="CP TAIWAN"/>
    <s v="R-Wonton"/>
    <s v="R-Wonton no egg"/>
    <x v="10"/>
    <s v="Raw Wonton 12 pcs"/>
    <s v="082I93R40012P02001"/>
    <s v="144g*40inner"/>
    <n v="40"/>
    <n v="12"/>
    <n v="8.1300000000000001E-3"/>
    <s v="M"/>
    <s v="Salt"/>
    <s v="ซุปซอง 5g."/>
    <n v="498"/>
    <n v="498"/>
    <m/>
    <n v="0"/>
    <n v="0"/>
    <n v="0"/>
    <n v="2"/>
    <n v="0"/>
  </r>
  <r>
    <x v="245"/>
    <d v="2022-10-08T00:00:00"/>
    <s v="Week35"/>
    <d v="2022-09-01T00:00:00"/>
    <s v="DRY2200262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1288"/>
    <n v="1288"/>
    <m/>
    <n v="0"/>
    <n v="0"/>
    <m/>
    <m/>
    <m/>
  </r>
  <r>
    <x v="245"/>
    <d v="2022-10-08T00:00:00"/>
    <s v="Week35"/>
    <d v="2022-09-01T00:00:00"/>
    <s v="DRY2200278"/>
    <s v="CAN "/>
    <s v="CP Foods Canada,Inc (CPFC)"/>
    <s v="C-Wonton"/>
    <s v="C-Wonton"/>
    <x v="1"/>
    <s v="Wonton Soup  (Enriched wonton sheet)"/>
    <s v="082S85336005P00001"/>
    <s v="145g*6*6"/>
    <n v="36"/>
    <n v="5"/>
    <n v="7.4999999999999997E-3"/>
    <s v="HC"/>
    <s v="Salt"/>
    <s v="Y3"/>
    <n v="887"/>
    <n v="887"/>
    <m/>
    <n v="0"/>
    <n v="0"/>
    <m/>
    <m/>
    <m/>
  </r>
  <r>
    <x v="245"/>
    <d v="2022-09-09T00:00:00"/>
    <s v="Week35"/>
    <d v="2022-09-01T00:00:00"/>
    <s v="DRY2200347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</r>
  <r>
    <x v="245"/>
    <d v="2022-09-07T00:00:00"/>
    <s v="Week35"/>
    <d v="2022-09-01T00:00:00"/>
    <s v="DRY2200356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1097.125"/>
    <m/>
    <n v="1097.125"/>
    <n v="0"/>
    <n v="0"/>
    <m/>
    <m/>
    <m/>
  </r>
  <r>
    <x v="245"/>
    <d v="2022-09-08T00:00:00"/>
    <s v="Week35"/>
    <d v="2022-09-01T00:00:00"/>
    <s v="DRY2200294"/>
    <s v="Taiwan"/>
    <s v="CP TAIWAN"/>
    <s v="R-Wonton"/>
    <s v="R-Wonton no egg"/>
    <x v="10"/>
    <s v="Raw Wonton 12 pcs"/>
    <s v="082I93R40012P02001"/>
    <s v="144g*40inner"/>
    <n v="40"/>
    <n v="12"/>
    <n v="8.1300000000000001E-3"/>
    <s v="M"/>
    <s v="Salt"/>
    <s v="ซุปซอง 5g."/>
    <n v="450"/>
    <n v="450"/>
    <m/>
    <n v="0"/>
    <n v="0"/>
    <n v="0"/>
    <n v="2"/>
    <n v="0"/>
  </r>
  <r>
    <x v="246"/>
    <m/>
    <s v="Week36"/>
    <d v="2022-09-01T00:00:00"/>
    <m/>
    <m/>
    <m/>
    <m/>
    <m/>
    <x v="0"/>
    <m/>
    <m/>
    <m/>
    <m/>
    <m/>
    <m/>
    <m/>
    <m/>
    <m/>
    <m/>
    <m/>
    <m/>
    <m/>
    <m/>
    <m/>
    <m/>
    <m/>
  </r>
  <r>
    <x v="247"/>
    <d v="2022-09-08T00:00:00"/>
    <s v="Week36"/>
    <d v="2022-09-01T00:00:00"/>
    <s v="DRY220033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81"/>
    <n v="381"/>
    <m/>
    <n v="0"/>
    <n v="0"/>
    <m/>
    <m/>
    <m/>
  </r>
  <r>
    <x v="247"/>
    <d v="2022-09-08T00:00:00"/>
    <s v="Week36"/>
    <d v="2022-09-01T00:00:00"/>
    <s v="DRY220033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47"/>
    <d v="2022-09-08T00:00:00"/>
    <s v="Week36"/>
    <d v="2022-09-01T00:00:00"/>
    <s v="DRY220037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47"/>
    <d v="2022-09-09T00:00:00"/>
    <s v="Week36"/>
    <d v="2022-09-01T00:00:00"/>
    <s v="DRY220037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47"/>
    <d v="2022-09-09T00:00:00"/>
    <s v="Week36"/>
    <d v="2022-09-01T00:00:00"/>
    <s v="DRY220037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80"/>
    <n v="780"/>
    <m/>
    <n v="0"/>
    <n v="0"/>
    <m/>
    <m/>
    <m/>
  </r>
  <r>
    <x v="247"/>
    <m/>
    <s v="Week36"/>
    <d v="2022-09-01T00:00:00"/>
    <s v="ขายภายใน"/>
    <s v="FM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1000"/>
    <n v="1000"/>
    <m/>
    <n v="0"/>
    <n v="0"/>
    <n v="0"/>
    <m/>
    <n v="0"/>
  </r>
  <r>
    <x v="248"/>
    <d v="2022-09-09T00:00:00"/>
    <s v="Week36"/>
    <d v="2022-09-01T00:00:00"/>
    <s v="DRY220037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2"/>
    <n v="12"/>
    <m/>
    <n v="0"/>
    <n v="0"/>
    <m/>
    <m/>
    <m/>
  </r>
  <r>
    <x v="248"/>
    <d v="2022-09-09T00:00:00"/>
    <s v="Week36"/>
    <d v="2022-09-01T00:00:00"/>
    <s v="DRY220037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48"/>
    <d v="2022-09-12T00:00:00"/>
    <s v="Week36"/>
    <d v="2022-09-01T00:00:00"/>
    <s v="DRY220037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48"/>
    <d v="2022-09-12T00:00:00"/>
    <s v="Week36"/>
    <d v="2022-09-01T00:00:00"/>
    <s v="DRY220038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48"/>
    <d v="2022-09-12T00:00:00"/>
    <s v="Week36"/>
    <d v="2022-09-01T00:00:00"/>
    <s v="DRY220038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48"/>
    <d v="2022-09-12T00:00:00"/>
    <s v="Week36"/>
    <d v="2022-09-01T00:00:00"/>
    <s v="DRY220038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63"/>
    <n v="463"/>
    <m/>
    <n v="0"/>
    <n v="0"/>
    <m/>
    <m/>
    <m/>
  </r>
  <r>
    <x v="248"/>
    <m/>
    <s v="Week36"/>
    <d v="2022-09-01T00:00:00"/>
    <s v="ขายภายใน"/>
    <s v="ขายภายใน"/>
    <s v="ซีพีเอฟ เทรดดิ้ง"/>
    <s v="R-Wonton"/>
    <s v="R-Wonton"/>
    <x v="4"/>
    <s v="Raw Wonton 50 pcs OISHI"/>
    <s v="082S01508600G01001"/>
    <s v="600g.*8 packs"/>
    <n v="8"/>
    <n v="50"/>
    <n v="8.1300000000000001E-3"/>
    <s v="M"/>
    <s v="STPP"/>
    <s v="-"/>
    <n v="300"/>
    <n v="300"/>
    <m/>
    <n v="0"/>
    <n v="0"/>
    <n v="0"/>
    <m/>
    <n v="0"/>
  </r>
  <r>
    <x v="248"/>
    <d v="2022-09-21T00:00:00"/>
    <s v="Week36"/>
    <d v="2022-09-01T00:00:00"/>
    <s v="DRY2200361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292"/>
    <n v="292"/>
    <m/>
    <n v="0"/>
    <n v="0"/>
    <n v="0"/>
    <n v="6"/>
    <n v="0"/>
  </r>
  <r>
    <x v="249"/>
    <m/>
    <s v="Week36"/>
    <d v="2022-09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5425"/>
    <n v="5425"/>
    <m/>
    <n v="0"/>
    <n v="0"/>
    <m/>
    <m/>
    <m/>
  </r>
  <r>
    <x v="249"/>
    <d v="2022-09-21T00:00:00"/>
    <s v="Week36"/>
    <d v="2022-09-01T00:00:00"/>
    <s v="DRY2200361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491"/>
    <n v="491"/>
    <m/>
    <n v="0"/>
    <n v="0"/>
    <n v="0"/>
    <n v="6"/>
    <n v="0"/>
  </r>
  <r>
    <x v="250"/>
    <m/>
    <s v="Week36"/>
    <d v="2022-09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3785"/>
    <n v="3785"/>
    <m/>
    <n v="0"/>
    <n v="0"/>
    <m/>
    <m/>
    <m/>
  </r>
  <r>
    <x v="250"/>
    <m/>
    <s v="Week36"/>
    <d v="2022-09-01T00:00:00"/>
    <s v="ขายภายใน"/>
    <s v=".7-11"/>
    <s v="ซีพีเอฟ เทรดดิ้ง"/>
    <s v="C-Wonton"/>
    <s v="C-Wonton"/>
    <x v="21"/>
    <s v="Cooked Wonton ND with egg 7-11"/>
    <s v="082SJ1A12003P01001 "/>
    <s v="211g*12"/>
    <n v="12"/>
    <n v="3"/>
    <n v="6.1999999999999998E-3"/>
    <s v="SS"/>
    <s v="STPP"/>
    <s v="TYNSF"/>
    <n v="3462"/>
    <n v="3462"/>
    <m/>
    <n v="0"/>
    <n v="0"/>
    <m/>
    <m/>
    <m/>
  </r>
  <r>
    <x v="250"/>
    <d v="2022-09-21T00:00:00"/>
    <s v="Week36"/>
    <d v="2022-09-01T00:00:00"/>
    <s v="DRY2200361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474"/>
    <n v="474"/>
    <m/>
    <n v="0"/>
    <n v="0"/>
    <n v="0"/>
    <n v="6"/>
    <n v="0"/>
  </r>
  <r>
    <x v="251"/>
    <d v="2022-09-12T00:00:00"/>
    <s v="Week36"/>
    <d v="2022-09-01T00:00:00"/>
    <s v="DRY220038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29"/>
    <n v="329"/>
    <m/>
    <n v="0"/>
    <n v="0"/>
    <m/>
    <m/>
    <m/>
  </r>
  <r>
    <x v="251"/>
    <d v="2022-09-14T00:00:00"/>
    <s v="Week36"/>
    <d v="2022-09-01T00:00:00"/>
    <s v="DRY220038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51"/>
    <d v="2022-09-14T00:00:00"/>
    <s v="Week36"/>
    <d v="2022-09-01T00:00:00"/>
    <s v="DRY220038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51"/>
    <d v="2022-09-15T00:00:00"/>
    <s v="Week36"/>
    <d v="2022-09-01T00:00:00"/>
    <s v="DRY220038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51"/>
    <d v="2022-09-16T00:00:00"/>
    <s v="Week36"/>
    <d v="2022-09-01T00:00:00"/>
    <s v="DRY220038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1"/>
    <n v="71"/>
    <m/>
    <n v="0"/>
    <n v="0"/>
    <m/>
    <m/>
    <m/>
  </r>
  <r>
    <x v="251"/>
    <d v="2022-09-20T00:00:00"/>
    <s v="Week36"/>
    <d v="2022-09-01T00:00:00"/>
    <s v="DRY2200366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39"/>
    <n v="739"/>
    <m/>
    <n v="0"/>
    <n v="0"/>
    <m/>
    <m/>
    <m/>
  </r>
  <r>
    <x v="251"/>
    <d v="2022-09-21T00:00:00"/>
    <s v="Week36"/>
    <d v="2022-09-01T00:00:00"/>
    <s v="DRY2200361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503"/>
    <n v="503"/>
    <m/>
    <n v="0"/>
    <n v="0"/>
    <n v="0"/>
    <n v="6"/>
    <n v="0"/>
  </r>
  <r>
    <x v="252"/>
    <d v="2022-10-08T00:00:00"/>
    <s v="Week36"/>
    <d v="2022-09-01T00:00:00"/>
    <s v="DRY2200278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401"/>
    <n v="401"/>
    <m/>
    <n v="0"/>
    <n v="0"/>
    <m/>
    <m/>
    <m/>
  </r>
  <r>
    <x v="252"/>
    <d v="2022-10-22T00:00:00"/>
    <s v="Week36"/>
    <d v="2022-09-01T00:00:00"/>
    <s v="DRY2200498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252"/>
    <d v="2022-10-22T00:00:00"/>
    <s v="Week36"/>
    <d v="2022-09-01T00:00:00"/>
    <s v="DRY2200263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252"/>
    <d v="2022-09-28T00:00:00"/>
    <s v="Week36"/>
    <d v="2022-09-01T00:00:00"/>
    <s v="DRY2200431"/>
    <s v="Denmark"/>
    <s v="Paulsen Food"/>
    <s v="C-Wonton ND"/>
    <s v="Wonton ND+V"/>
    <x v="8"/>
    <s v="Cooked Wonton ND No Egg with Pumpkin _x000a_+ Vegetable  HC  3 pcs tomyam"/>
    <s v="082SJKW08003P00001"/>
    <s v="309g*8"/>
    <n v="8"/>
    <n v="3"/>
    <n v="7.4999999999999997E-3"/>
    <s v="M"/>
    <s v="Salt"/>
    <s v="TYANS+CM"/>
    <n v="3500"/>
    <m/>
    <n v="3500"/>
    <n v="0"/>
    <n v="0"/>
    <m/>
    <m/>
    <m/>
  </r>
  <r>
    <x v="252"/>
    <d v="2022-09-21T00:00:00"/>
    <s v="Week36"/>
    <d v="2022-09-01T00:00:00"/>
    <s v="DRY2200361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296"/>
    <n v="296"/>
    <n v="16"/>
    <n v="16"/>
    <n v="0"/>
    <n v="0"/>
    <n v="6"/>
    <n v="0"/>
  </r>
  <r>
    <x v="252"/>
    <d v="2022-09-27T00:00:00"/>
    <s v="Week36"/>
    <d v="2022-09-01T00:00:00"/>
    <s v="RNE2200161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235"/>
    <n v="235"/>
    <m/>
    <n v="0"/>
    <n v="0"/>
    <n v="0"/>
    <n v="6"/>
    <n v="0"/>
  </r>
  <r>
    <x v="253"/>
    <m/>
    <s v="Week37"/>
    <d v="2022-09-01T00:00:00"/>
    <m/>
    <m/>
    <m/>
    <m/>
    <m/>
    <x v="0"/>
    <m/>
    <m/>
    <m/>
    <m/>
    <m/>
    <m/>
    <m/>
    <m/>
    <m/>
    <m/>
    <m/>
    <m/>
    <m/>
    <m/>
    <m/>
    <m/>
    <m/>
  </r>
  <r>
    <x v="254"/>
    <d v="2022-09-16T00:00:00"/>
    <s v="Week37"/>
    <d v="2022-09-01T00:00:00"/>
    <s v="DRY220038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21"/>
    <n v="721"/>
    <m/>
    <n v="0"/>
    <n v="0"/>
    <m/>
    <m/>
    <m/>
  </r>
  <r>
    <x v="254"/>
    <d v="2022-09-16T00:00:00"/>
    <s v="Week37"/>
    <d v="2022-09-01T00:00:00"/>
    <s v="DRY220038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54"/>
    <d v="2022-09-16T00:00:00"/>
    <s v="Week37"/>
    <d v="2022-09-01T00:00:00"/>
    <s v="DRY220038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54"/>
    <d v="2022-09-16T00:00:00"/>
    <s v="Week37"/>
    <d v="2022-09-01T00:00:00"/>
    <s v="DRY220038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54"/>
    <d v="2022-09-16T00:00:00"/>
    <s v="Week37"/>
    <d v="2022-09-01T00:00:00"/>
    <s v="DRY220039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91"/>
    <n v="391"/>
    <m/>
    <n v="0"/>
    <n v="0"/>
    <m/>
    <m/>
    <m/>
  </r>
  <r>
    <x v="254"/>
    <d v="2022-09-27T00:00:00"/>
    <s v="Week37"/>
    <d v="2022-09-01T00:00:00"/>
    <s v="RNE2200161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509"/>
    <n v="509"/>
    <m/>
    <n v="0"/>
    <n v="0"/>
    <n v="0"/>
    <n v="6"/>
    <n v="0"/>
  </r>
  <r>
    <x v="255"/>
    <d v="2022-09-16T00:00:00"/>
    <s v="Week37"/>
    <d v="2022-09-01T00:00:00"/>
    <s v="DRY220039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01"/>
    <n v="401"/>
    <m/>
    <n v="0"/>
    <n v="0"/>
    <m/>
    <m/>
    <m/>
  </r>
  <r>
    <x v="255"/>
    <d v="2022-09-20T00:00:00"/>
    <s v="Week37"/>
    <d v="2022-09-01T00:00:00"/>
    <s v="DRY220039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55"/>
    <d v="2022-09-20T00:00:00"/>
    <s v="Week37"/>
    <d v="2022-09-01T00:00:00"/>
    <s v="DRY220039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55"/>
    <d v="2022-09-20T00:00:00"/>
    <s v="Week37"/>
    <d v="2022-09-01T00:00:00"/>
    <s v="DRY220039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55"/>
    <d v="2022-09-22T00:00:00"/>
    <s v="Week37"/>
    <d v="2022-09-01T00:00:00"/>
    <s v="DRY220039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55"/>
    <d v="2022-09-22T00:00:00"/>
    <s v="Week37"/>
    <d v="2022-09-01T00:00:00"/>
    <s v="DRY220039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4"/>
    <n v="44"/>
    <m/>
    <n v="0"/>
    <n v="0"/>
    <m/>
    <m/>
    <m/>
  </r>
  <r>
    <x v="255"/>
    <d v="2022-09-22T00:00:00"/>
    <s v="Week37"/>
    <d v="2022-09-01T00:00:00"/>
    <s v="DRY220039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37"/>
    <n v="230"/>
    <n v="7"/>
    <n v="0"/>
    <n v="0"/>
    <m/>
    <m/>
    <m/>
  </r>
  <r>
    <x v="255"/>
    <d v="2022-09-27T00:00:00"/>
    <s v="Week37"/>
    <d v="2022-09-01T00:00:00"/>
    <s v="RNE2200161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535"/>
    <n v="535"/>
    <m/>
    <n v="0"/>
    <n v="0"/>
    <n v="0"/>
    <n v="6"/>
    <n v="0"/>
  </r>
  <r>
    <x v="256"/>
    <d v="2022-09-22T00:00:00"/>
    <s v="Week37"/>
    <d v="2022-09-01T00:00:00"/>
    <s v="DRY220039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11"/>
    <n v="511"/>
    <m/>
    <n v="0"/>
    <n v="0"/>
    <m/>
    <m/>
    <m/>
  </r>
  <r>
    <x v="256"/>
    <d v="2022-09-22T00:00:00"/>
    <s v="Week37"/>
    <d v="2022-09-01T00:00:00"/>
    <s v="DRY220039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56"/>
    <d v="2022-09-23T00:00:00"/>
    <s v="Week37"/>
    <d v="2022-09-01T00:00:00"/>
    <s v="DRY220039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56"/>
    <d v="2022-09-23T00:00:00"/>
    <s v="Week37"/>
    <d v="2022-09-01T00:00:00"/>
    <s v="DRY220039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56"/>
    <d v="2022-09-23T00:00:00"/>
    <s v="Week37"/>
    <d v="2022-09-01T00:00:00"/>
    <s v="DRY220039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36"/>
    <n v="736"/>
    <m/>
    <n v="0"/>
    <n v="0"/>
    <m/>
    <m/>
    <m/>
  </r>
  <r>
    <x v="256"/>
    <d v="2022-09-23T00:00:00"/>
    <s v="Week37"/>
    <d v="2022-09-01T00:00:00"/>
    <s v="DRY220039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6"/>
    <n v="56"/>
    <m/>
    <n v="0"/>
    <n v="0"/>
    <m/>
    <m/>
    <m/>
  </r>
  <r>
    <x v="256"/>
    <d v="2022-09-23T00:00:00"/>
    <s v="Week37"/>
    <d v="2022-09-01T00:00:00"/>
    <s v="DRY220040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81"/>
    <n v="181"/>
    <m/>
    <n v="0"/>
    <n v="0"/>
    <m/>
    <m/>
    <m/>
  </r>
  <r>
    <x v="256"/>
    <d v="2022-09-27T00:00:00"/>
    <s v="Week37"/>
    <d v="2022-09-01T00:00:00"/>
    <s v="RNE2200161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29"/>
    <n v="129"/>
    <m/>
    <n v="0"/>
    <n v="0"/>
    <n v="0"/>
    <n v="6"/>
    <n v="0"/>
  </r>
  <r>
    <x v="256"/>
    <d v="2022-09-28T00:00:00"/>
    <s v="Week37"/>
    <d v="2022-09-01T00:00:00"/>
    <s v="DRY2200426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352"/>
    <n v="352"/>
    <m/>
    <n v="0"/>
    <n v="0"/>
    <n v="0"/>
    <n v="6"/>
    <n v="0"/>
  </r>
  <r>
    <x v="257"/>
    <d v="2022-10-04T00:00:00"/>
    <s v="Week37"/>
    <d v="2022-09-01T00:00:00"/>
    <s v="DRY2200429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257"/>
    <d v="2022-09-22T00:00:00"/>
    <s v="Week37"/>
    <d v="2022-09-01T00:00:00"/>
    <s v="DRY2200348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61"/>
    <n v="108.97222222222223"/>
    <n v="81.972222222222172"/>
    <n v="0"/>
    <m/>
    <m/>
    <m/>
  </r>
  <r>
    <x v="257"/>
    <d v="2022-09-28T00:00:00"/>
    <s v="Week37"/>
    <d v="2022-09-01T00:00:00"/>
    <s v="DRY2200427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3500"/>
    <m/>
    <n v="3500"/>
    <n v="0"/>
    <n v="0"/>
    <m/>
    <m/>
    <m/>
  </r>
  <r>
    <x v="257"/>
    <d v="2022-10-26T00:00:00"/>
    <s v="Week37"/>
    <d v="2022-09-01T00:00:00"/>
    <s v="DRY2200440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1788.625"/>
    <m/>
    <n v="1788.625"/>
    <n v="0"/>
    <n v="0"/>
    <m/>
    <m/>
    <m/>
  </r>
  <r>
    <x v="257"/>
    <d v="2022-09-28T00:00:00"/>
    <s v="Week37"/>
    <d v="2022-09-01T00:00:00"/>
    <s v="DRY2200426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285"/>
    <n v="285"/>
    <m/>
    <n v="0"/>
    <n v="0"/>
    <n v="0"/>
    <n v="6"/>
    <n v="0"/>
  </r>
  <r>
    <x v="257"/>
    <d v="2022-10-03T00:00:00"/>
    <s v="Week37"/>
    <d v="2022-09-01T00:00:00"/>
    <s v="DRY2200442"/>
    <s v="HK"/>
    <s v="CPM Hongkong"/>
    <s v="R-Wonton"/>
    <s v="R-Mince"/>
    <x v="9"/>
    <s v="Raw Minced Wonton 8 pcs"/>
    <s v="082ID3G18008P00001"/>
    <s v="90g*18in"/>
    <n v="18"/>
    <n v="8"/>
    <n v="5.0000000000000001E-3"/>
    <s v="BK"/>
    <s v="STPP"/>
    <s v="ซุปซอง 5g."/>
    <n v="250"/>
    <n v="250"/>
    <n v="33"/>
    <n v="33"/>
    <n v="0"/>
    <n v="0"/>
    <n v="2"/>
    <n v="0"/>
  </r>
  <r>
    <x v="258"/>
    <m/>
    <s v="Week37"/>
    <d v="2022-09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5537"/>
    <n v="5537"/>
    <m/>
    <n v="0"/>
    <n v="0"/>
    <m/>
    <m/>
    <m/>
  </r>
  <r>
    <x v="258"/>
    <d v="2022-09-28T00:00:00"/>
    <s v="Week37"/>
    <d v="2022-09-01T00:00:00"/>
    <s v="DRY2200443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37"/>
    <n v="503"/>
    <n v="33.5"/>
    <n v="-0.5"/>
    <n v="20"/>
    <n v="240"/>
    <n v="2"/>
    <n v="40"/>
  </r>
  <r>
    <x v="259"/>
    <d v="2022-09-20T00:00:00"/>
    <s v="Week37"/>
    <d v="2022-09-01T00:00:00"/>
    <s v="DRY2200366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53"/>
    <n v="53"/>
    <m/>
    <n v="0"/>
    <n v="0"/>
    <m/>
    <m/>
    <m/>
  </r>
  <r>
    <x v="259"/>
    <d v="2022-09-27T00:00:00"/>
    <s v="Week37"/>
    <d v="2022-09-01T00:00:00"/>
    <s v="DRY2200367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259"/>
    <d v="2022-09-27T00:00:00"/>
    <s v="Week37"/>
    <d v="2022-09-01T00:00:00"/>
    <s v="DRY2200432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259"/>
    <d v="2022-10-04T00:00:00"/>
    <s v="Week37"/>
    <d v="2022-09-01T00:00:00"/>
    <s v="DRY2200433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259"/>
    <d v="2022-10-04T00:00:00"/>
    <s v="Week37"/>
    <d v="2022-09-01T00:00:00"/>
    <s v="DRY2200434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259"/>
    <d v="2022-10-18T00:00:00"/>
    <s v="Week37"/>
    <d v="2022-09-01T00:00:00"/>
    <s v="DRY2200496"/>
    <s v="AUS"/>
    <s v="CPM Australia"/>
    <s v="C-Wonton"/>
    <s v="C-Wonton ND"/>
    <x v="5"/>
    <s v="Cooked Wonton ND No Egg with Pumpkin_x000a_+ Yu Choy "/>
    <s v="082SJ9U08004P00001"/>
    <s v="305g*8"/>
    <n v="8"/>
    <n v="4"/>
    <n v="7.4999999999999997E-3"/>
    <s v="HC"/>
    <s v="Salt"/>
    <s v="Regular"/>
    <n v="1456"/>
    <m/>
    <n v="1456"/>
    <n v="0"/>
    <n v="0"/>
    <m/>
    <m/>
    <m/>
  </r>
  <r>
    <x v="259"/>
    <d v="2022-09-28T00:00:00"/>
    <s v="Week37"/>
    <d v="2022-09-01T00:00:00"/>
    <s v="DRY2200443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12"/>
    <n v="512"/>
    <m/>
    <n v="0"/>
    <n v="0"/>
    <n v="0"/>
    <n v="2"/>
    <n v="0"/>
  </r>
  <r>
    <x v="260"/>
    <m/>
    <s v="Week38"/>
    <d v="2022-09-01T00:00:00"/>
    <m/>
    <m/>
    <m/>
    <m/>
    <m/>
    <x v="0"/>
    <m/>
    <m/>
    <m/>
    <m/>
    <m/>
    <m/>
    <m/>
    <m/>
    <m/>
    <m/>
    <m/>
    <m/>
    <m/>
    <m/>
    <m/>
    <m/>
    <m/>
  </r>
  <r>
    <x v="261"/>
    <d v="2022-09-23T00:00:00"/>
    <s v="Week38"/>
    <d v="2022-09-01T00:00:00"/>
    <s v="DRY220040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11"/>
    <n v="611"/>
    <m/>
    <n v="0"/>
    <n v="0"/>
    <m/>
    <m/>
    <m/>
  </r>
  <r>
    <x v="261"/>
    <d v="2022-09-23T00:00:00"/>
    <s v="Week38"/>
    <d v="2022-09-01T00:00:00"/>
    <s v="DRY220040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61"/>
    <d v="2022-09-23T00:00:00"/>
    <s v="Week38"/>
    <d v="2022-09-01T00:00:00"/>
    <s v="DRY220040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61"/>
    <d v="2022-09-26T00:00:00"/>
    <s v="Week38"/>
    <d v="2022-09-01T00:00:00"/>
    <s v="DRY220040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61"/>
    <d v="2022-09-28T00:00:00"/>
    <s v="Week38"/>
    <d v="2022-09-01T00:00:00"/>
    <s v="DRY220042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92"/>
    <n v="192"/>
    <m/>
    <n v="0"/>
    <n v="0"/>
    <m/>
    <m/>
    <m/>
  </r>
  <r>
    <x v="261"/>
    <d v="2022-09-28T00:00:00"/>
    <s v="Week38"/>
    <d v="2022-09-01T00:00:00"/>
    <s v="DRY220042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48"/>
    <n v="248"/>
    <m/>
    <n v="0"/>
    <n v="0"/>
    <m/>
    <m/>
    <m/>
  </r>
  <r>
    <x v="261"/>
    <d v="2022-09-28T00:00:00"/>
    <s v="Week38"/>
    <d v="2022-09-01T00:00:00"/>
    <s v="DRY220040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1"/>
    <n v="31"/>
    <m/>
    <n v="0"/>
    <n v="0"/>
    <m/>
    <m/>
    <m/>
  </r>
  <r>
    <x v="261"/>
    <d v="2022-09-28T00:00:00"/>
    <s v="Week38"/>
    <d v="2022-09-01T00:00:00"/>
    <s v="DRY220040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37"/>
    <n v="45"/>
    <n v="192"/>
    <n v="0"/>
    <n v="0"/>
    <m/>
    <m/>
    <m/>
  </r>
  <r>
    <x v="261"/>
    <d v="2022-09-28T00:00:00"/>
    <s v="Week38"/>
    <d v="2022-09-01T00:00:00"/>
    <s v="DRY2200443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37"/>
    <n v="537"/>
    <m/>
    <n v="0"/>
    <n v="0"/>
    <n v="0"/>
    <n v="2"/>
    <n v="0"/>
  </r>
  <r>
    <x v="262"/>
    <m/>
    <s v="Week38"/>
    <d v="2022-09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5335"/>
    <n v="5335"/>
    <m/>
    <n v="0"/>
    <n v="0"/>
    <m/>
    <m/>
    <m/>
  </r>
  <r>
    <x v="262"/>
    <d v="2022-09-28T00:00:00"/>
    <s v="Week38"/>
    <d v="2022-09-01T00:00:00"/>
    <s v="DRY2200443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38"/>
    <n v="38"/>
    <m/>
    <n v="0"/>
    <n v="0"/>
    <n v="0"/>
    <n v="2"/>
    <n v="0"/>
  </r>
  <r>
    <x v="262"/>
    <d v="2022-10-03T00:00:00"/>
    <s v="Week38"/>
    <d v="2022-09-01T00:00:00"/>
    <s v="DRY2200442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1650"/>
    <n v="1622"/>
    <n v="28"/>
    <n v="0"/>
    <n v="0"/>
    <n v="0"/>
    <n v="1"/>
    <n v="0"/>
  </r>
  <r>
    <x v="263"/>
    <d v="2022-10-18T00:00:00"/>
    <s v="Week38"/>
    <d v="2022-09-01T00:00:00"/>
    <s v="DRY2200430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263"/>
    <d v="2022-10-12T00:00:00"/>
    <s v="Week38"/>
    <d v="2022-09-01T00:00:00"/>
    <s v="DRY2200489"/>
    <s v="SG"/>
    <s v="CPI SINGAPORE"/>
    <s v="C-Wonton"/>
    <s v="C-Wonton"/>
    <x v="1"/>
    <s v="Cooked Wonton No Egg"/>
    <s v="082S83B24005P07001"/>
    <s v="145g*24"/>
    <n v="24"/>
    <n v="5"/>
    <n v="8.0000000000000002E-3"/>
    <s v="M"/>
    <s v="STPP"/>
    <s v="Regular"/>
    <n v="500"/>
    <n v="500"/>
    <m/>
    <n v="0"/>
    <n v="0"/>
    <m/>
    <m/>
    <m/>
  </r>
  <r>
    <x v="263"/>
    <d v="2022-10-12T00:00:00"/>
    <s v="Week38"/>
    <d v="2022-09-01T00:00:00"/>
    <s v="DRY2200490"/>
    <s v="SG"/>
    <s v="CPI SINGAPORE"/>
    <s v="C-Wonton"/>
    <s v="C-Wonton"/>
    <x v="2"/>
    <s v="Cooked Wonton No Egg"/>
    <s v="082S83B24005P06001"/>
    <s v="115g*24"/>
    <n v="24"/>
    <n v="5"/>
    <n v="8.0000000000000002E-3"/>
    <s v="M"/>
    <s v="STPP"/>
    <s v="TYTB3C 30G"/>
    <n v="500"/>
    <n v="500"/>
    <m/>
    <n v="0"/>
    <n v="0"/>
    <m/>
    <n v="1"/>
    <n v="0"/>
  </r>
  <r>
    <x v="263"/>
    <d v="2022-10-11T00:00:00"/>
    <s v="Week38"/>
    <d v="2022-09-01T00:00:00"/>
    <s v="DRY2200439"/>
    <s v="USA"/>
    <s v="Bellisio Foods, Inc."/>
    <s v="C-Wonton"/>
    <s v="C-Wonton ND"/>
    <x v="7"/>
    <s v="Cooked Minced Wonton No Egg"/>
    <s v="082SKBW08005P00001"/>
    <s v="145g*8"/>
    <n v="8"/>
    <n v="5"/>
    <n v="8.0000000000000002E-3"/>
    <s v="BK"/>
    <s v="Salt"/>
    <s v="Regular"/>
    <n v="5000"/>
    <m/>
    <n v="5000"/>
    <n v="0"/>
    <n v="0"/>
    <m/>
    <m/>
    <m/>
  </r>
  <r>
    <x v="263"/>
    <d v="2022-11-09T00:00:00"/>
    <s v="Week38"/>
    <d v="2022-09-01T00:00:00"/>
    <s v="DRY2200349"/>
    <s v="USA"/>
    <s v="Bellisio Foods, Inc."/>
    <s v="C-Wonton"/>
    <s v="C-Wonton ND"/>
    <x v="7"/>
    <s v="Cooked Minced Wonton No Egg"/>
    <s v="082SKBW08005P00001"/>
    <s v="145g*8"/>
    <n v="8"/>
    <n v="5"/>
    <n v="8.0000000000000002E-3"/>
    <s v="BK"/>
    <s v="Salt"/>
    <s v="Regular"/>
    <n v="600"/>
    <m/>
    <n v="600"/>
    <n v="0"/>
    <n v="0"/>
    <m/>
    <m/>
    <m/>
  </r>
  <r>
    <x v="263"/>
    <d v="2022-11-23T00:00:00"/>
    <s v="Week38"/>
    <d v="2022-09-01T00:00:00"/>
    <s v="DRY2200350"/>
    <s v="USA"/>
    <s v="Bellisio Foods, Inc."/>
    <s v="C-Wonton"/>
    <s v="C-Wonton ND"/>
    <x v="7"/>
    <s v="Cooked Minced Wonton No Egg"/>
    <s v="082SKBW08005P00001"/>
    <s v="145g*8"/>
    <n v="8"/>
    <n v="5"/>
    <n v="8.0000000000000002E-3"/>
    <s v="BK"/>
    <s v="Salt"/>
    <s v="Regular"/>
    <n v="300"/>
    <m/>
    <n v="300"/>
    <n v="0"/>
    <n v="0"/>
    <m/>
    <m/>
    <m/>
  </r>
  <r>
    <x v="263"/>
    <d v="2022-10-26T00:00:00"/>
    <s v="Week38"/>
    <d v="2022-09-01T00:00:00"/>
    <s v="DRY2200440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1711"/>
    <m/>
    <n v="1759.375"/>
    <n v="48.375"/>
    <n v="0"/>
    <m/>
    <m/>
    <m/>
  </r>
  <r>
    <x v="263"/>
    <d v="2022-10-05T00:00:00"/>
    <s v="Week38"/>
    <d v="2022-09-01T00:00:00"/>
    <s v="DRY2200444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04"/>
    <n v="504"/>
    <m/>
    <n v="0"/>
    <n v="0"/>
    <n v="0"/>
    <n v="2"/>
    <n v="0"/>
  </r>
  <r>
    <x v="264"/>
    <s v="RD"/>
    <s v="Week38"/>
    <d v="2022-09-01T00:00:00"/>
    <s v="ขายภายใน"/>
    <s v="MTFS"/>
    <s v="ซีพีเอฟ เทรดดิ้ง"/>
    <s v="C-Wonton"/>
    <s v="C-Wonton"/>
    <x v="12"/>
    <s v="Cooked Wonton  with egg V-Food"/>
    <s v="082S83Q12005P05000"/>
    <s v="145g*12"/>
    <n v="12"/>
    <n v="5"/>
    <n v="8.0000000000000002E-3"/>
    <s v="M"/>
    <s v="STPP"/>
    <s v="Regular"/>
    <n v="12"/>
    <m/>
    <n v="12"/>
    <n v="0"/>
    <n v="0"/>
    <m/>
    <m/>
    <m/>
  </r>
  <r>
    <x v="264"/>
    <m/>
    <s v="Week38"/>
    <d v="2022-09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4500"/>
    <n v="4540"/>
    <m/>
    <n v="40"/>
    <n v="0"/>
    <m/>
    <m/>
    <m/>
  </r>
  <r>
    <x v="264"/>
    <m/>
    <s v="Week38"/>
    <d v="2022-09-01T00:00:00"/>
    <s v="ขายภายใน"/>
    <s v="MTFS"/>
    <s v="ซีพีเอฟ เทรดดิ้ง"/>
    <s v="C-Wonton"/>
    <s v="C-Wonton"/>
    <x v="14"/>
    <s v="Minced Wonton (5pcs)"/>
    <s v="082SK3Q12005P00001"/>
    <s v="135g*12"/>
    <n v="12"/>
    <n v="5"/>
    <n v="8.0000000000000002E-3"/>
    <s v="BK"/>
    <s v="STPP"/>
    <s v="Regular"/>
    <n v="1800"/>
    <n v="1815"/>
    <n v="18.416666666666668"/>
    <n v="33.416666666666742"/>
    <n v="0"/>
    <m/>
    <m/>
    <m/>
  </r>
  <r>
    <x v="264"/>
    <m/>
    <s v="Week38"/>
    <d v="2022-09-01T00:00:00"/>
    <s v="ขายภายใน"/>
    <s v="MTFS"/>
    <s v="ซีพีเอฟ เทรดดิ้ง"/>
    <s v="C-Wonton"/>
    <s v="C-Wonton"/>
    <x v="22"/>
    <s v="Minced Noodle with egg V-Food (3 pcs)"/>
    <s v="082SR3Q12003P00001"/>
    <s v="191g*12"/>
    <n v="12"/>
    <n v="3"/>
    <n v="8.0000000000000002E-3"/>
    <s v="BK"/>
    <s v="STPP"/>
    <s v="Regular"/>
    <n v="1200"/>
    <n v="1256"/>
    <m/>
    <n v="56"/>
    <n v="0"/>
    <m/>
    <m/>
    <m/>
  </r>
  <r>
    <x v="264"/>
    <m/>
    <s v="Week38"/>
    <d v="2022-09-01T00:00:00"/>
    <s v="ขายภายใน"/>
    <s v="MTFS"/>
    <s v="ซีพีเอฟ เทรดดิ้ง"/>
    <s v="C-Wonton"/>
    <s v="C-Wonton"/>
    <x v="11"/>
    <s v="Cooked Wonton ND with egg V-Food"/>
    <s v="082SJ3Q12003P07001"/>
    <s v="226g*12"/>
    <n v="12"/>
    <n v="3"/>
    <n v="8.0000000000000002E-3"/>
    <s v="M"/>
    <s v="STPP"/>
    <s v="Regular"/>
    <n v="2200"/>
    <n v="1992"/>
    <m/>
    <n v="-208"/>
    <n v="2496"/>
    <m/>
    <m/>
    <m/>
  </r>
  <r>
    <x v="264"/>
    <m/>
    <s v="Week38"/>
    <d v="2022-09-01T00:00:00"/>
    <s v="ขายภายใน"/>
    <s v="MTFS"/>
    <s v="ซีพีเอฟ เทรดดิ้ง"/>
    <s v="C-Wonton"/>
    <s v="C-Wonton"/>
    <x v="21"/>
    <s v="Cooked Wonton ND with egg "/>
    <s v="082SJ3Q12003P08001"/>
    <s v="211g*12"/>
    <n v="12"/>
    <n v="3"/>
    <n v="6.1999999999999998E-3"/>
    <s v="SS"/>
    <s v="STPP"/>
    <s v="TYNSF"/>
    <n v="1200"/>
    <n v="1220"/>
    <m/>
    <n v="20"/>
    <n v="0"/>
    <m/>
    <m/>
    <m/>
  </r>
  <r>
    <x v="264"/>
    <d v="2022-10-05T00:00:00"/>
    <s v="Week38"/>
    <d v="2022-09-01T00:00:00"/>
    <s v="DRY2200444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07"/>
    <n v="507"/>
    <m/>
    <n v="0"/>
    <n v="0"/>
    <n v="0"/>
    <n v="2"/>
    <n v="0"/>
  </r>
  <r>
    <x v="265"/>
    <m/>
    <s v="Week38"/>
    <d v="2022-09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4095"/>
    <n v="4095"/>
    <m/>
    <n v="0"/>
    <n v="0"/>
    <m/>
    <m/>
    <m/>
  </r>
  <r>
    <x v="265"/>
    <m/>
    <s v="Week38"/>
    <d v="2022-09-01T00:00:00"/>
    <s v="ขายภายใน"/>
    <s v="Makro"/>
    <s v="ซีพีเอฟ เทรดดิ้ง"/>
    <s v="C-Wonton"/>
    <s v="C-Wonton"/>
    <x v="21"/>
    <s v="Cooked Wonton ND with egg"/>
    <s v="082SJ3Q18003P01001"/>
    <s v="211g*18"/>
    <n v="18"/>
    <n v="3"/>
    <n v="6.1999999999999998E-3"/>
    <s v="SS"/>
    <s v="STPP"/>
    <s v="TYNSF"/>
    <n v="1600"/>
    <n v="1548"/>
    <m/>
    <n v="-52"/>
    <n v="936"/>
    <m/>
    <m/>
    <m/>
  </r>
  <r>
    <x v="265"/>
    <d v="2022-10-05T00:00:00"/>
    <s v="Week38"/>
    <d v="2022-09-01T00:00:00"/>
    <s v="DRY2200444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10"/>
    <n v="510"/>
    <m/>
    <n v="0"/>
    <n v="0"/>
    <n v="0"/>
    <n v="2"/>
    <n v="0"/>
  </r>
  <r>
    <x v="266"/>
    <m/>
    <s v="Week38"/>
    <d v="2022-09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3500"/>
    <n v="3497"/>
    <m/>
    <n v="-3"/>
    <n v="72"/>
    <m/>
    <m/>
    <m/>
  </r>
  <r>
    <x v="266"/>
    <d v="2022-09-28T00:00:00"/>
    <s v="Week38"/>
    <d v="2022-09-01T00:00:00"/>
    <s v="DRY220040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24"/>
    <n v="524"/>
    <m/>
    <n v="0"/>
    <n v="0"/>
    <m/>
    <m/>
    <m/>
  </r>
  <r>
    <x v="266"/>
    <d v="2022-09-30T00:00:00"/>
    <s v="Week38"/>
    <d v="2022-09-01T00:00:00"/>
    <s v="DRY220040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56"/>
    <n v="656"/>
    <m/>
    <n v="0"/>
    <n v="0"/>
    <m/>
    <m/>
    <m/>
  </r>
  <r>
    <x v="266"/>
    <d v="2022-10-05T00:00:00"/>
    <s v="Week38"/>
    <d v="2022-09-01T00:00:00"/>
    <s v="DRY2200444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103"/>
    <n v="103"/>
    <m/>
    <n v="0"/>
    <n v="0"/>
    <n v="0"/>
    <n v="2"/>
    <n v="0"/>
  </r>
  <r>
    <x v="266"/>
    <d v="2022-10-04T00:00:00"/>
    <s v="Week38"/>
    <d v="2022-09-01T00:00:00"/>
    <s v="RNE2200238"/>
    <s v="China"/>
    <s v="Charoen Pokphand Import&amp;Export Trading (Shanghai) Co., Ltd"/>
    <s v="R-Wonton"/>
    <s v="R-Wonton"/>
    <x v="10"/>
    <s v="Raw Wonton 50 pcs"/>
    <s v="082I95J08050P03001"/>
    <s v="630g*8in"/>
    <n v="8"/>
    <n v="50"/>
    <n v="6.8100000000000001E-3"/>
    <s v="S"/>
    <s v="STPP"/>
    <s v="ซุปซอง 5g."/>
    <n v="462"/>
    <n v="462"/>
    <m/>
    <n v="0"/>
    <n v="0"/>
    <n v="0"/>
    <n v="6"/>
    <n v="0"/>
  </r>
  <r>
    <x v="267"/>
    <m/>
    <s v="Week39"/>
    <d v="2022-09-01T00:00:00"/>
    <m/>
    <m/>
    <m/>
    <m/>
    <m/>
    <x v="0"/>
    <m/>
    <m/>
    <m/>
    <m/>
    <m/>
    <m/>
    <m/>
    <m/>
    <m/>
    <m/>
    <m/>
    <m/>
    <m/>
    <m/>
    <m/>
    <m/>
    <m/>
  </r>
  <r>
    <x v="268"/>
    <d v="2022-10-11T00:00:00"/>
    <s v="Week39"/>
    <d v="2022-09-01T00:00:00"/>
    <s v="DRY2200492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1081"/>
    <n v="981"/>
    <n v="100"/>
    <n v="0"/>
    <n v="0"/>
    <m/>
    <n v="1"/>
    <n v="17296"/>
  </r>
  <r>
    <x v="268"/>
    <d v="2022-09-30T00:00:00"/>
    <s v="Week39"/>
    <d v="2022-09-01T00:00:00"/>
    <s v="DRY220040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36"/>
    <n v="136"/>
    <m/>
    <n v="0"/>
    <n v="0"/>
    <m/>
    <m/>
    <m/>
  </r>
  <r>
    <x v="268"/>
    <d v="2022-09-03T00:00:00"/>
    <s v="Week39"/>
    <d v="2022-09-01T00:00:00"/>
    <s v="DRY220040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68"/>
    <d v="2022-10-03T00:00:00"/>
    <s v="Week39"/>
    <d v="2022-09-01T00:00:00"/>
    <s v="DRY220040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68"/>
    <d v="2022-10-05T00:00:00"/>
    <s v="Week39"/>
    <d v="2022-09-01T00:00:00"/>
    <s v="DRY220040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68"/>
    <d v="2022-10-05T00:00:00"/>
    <s v="Week39"/>
    <d v="2022-09-01T00:00:00"/>
    <s v="DRY220040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01"/>
    <n v="301"/>
    <m/>
    <n v="0"/>
    <n v="0"/>
    <m/>
    <m/>
    <m/>
  </r>
  <r>
    <x v="268"/>
    <d v="2022-10-05T00:00:00"/>
    <s v="Week39"/>
    <d v="2022-09-01T00:00:00"/>
    <s v="DRY220040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37"/>
    <n v="237"/>
    <m/>
    <n v="0"/>
    <n v="0"/>
    <m/>
    <m/>
    <m/>
  </r>
  <r>
    <x v="268"/>
    <d v="2022-10-04T00:00:00"/>
    <s v="Week39"/>
    <d v="2022-09-01T00:00:00"/>
    <s v="RNE2200238"/>
    <s v="China"/>
    <s v="Charoen Pokphand Import&amp;Export Trading (Shanghai) Co., Ltd"/>
    <s v="R-Wonton"/>
    <s v="R-Wonton"/>
    <x v="10"/>
    <s v="Raw Wonton 12 pcs"/>
    <s v="082I95J20012P04001"/>
    <s v="154g*20in"/>
    <n v="20"/>
    <n v="12"/>
    <n v="6.8100000000000001E-3"/>
    <s v="S"/>
    <s v="STPP"/>
    <s v="ซุปซอง 5g."/>
    <n v="1045"/>
    <n v="1045"/>
    <m/>
    <n v="0"/>
    <n v="0"/>
    <n v="0"/>
    <n v="2"/>
    <n v="0"/>
  </r>
  <r>
    <x v="269"/>
    <d v="2022-10-11T00:00:00"/>
    <s v="Week39"/>
    <d v="2022-09-01T00:00:00"/>
    <s v="DRY2200492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580"/>
    <n v="580"/>
    <m/>
    <n v="0"/>
    <n v="0"/>
    <m/>
    <n v="1"/>
    <n v="9280"/>
  </r>
  <r>
    <x v="269"/>
    <d v="2022-10-05T00:00:00"/>
    <s v="Week39"/>
    <d v="2022-09-01T00:00:00"/>
    <s v="DRY220040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54"/>
    <n v="254"/>
    <m/>
    <n v="0"/>
    <n v="0"/>
    <m/>
    <m/>
    <m/>
  </r>
  <r>
    <x v="269"/>
    <d v="2022-10-06T00:00:00"/>
    <s v="Week39"/>
    <d v="2022-09-01T00:00:00"/>
    <s v="DRY220041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69"/>
    <d v="2022-10-06T00:00:00"/>
    <s v="Week39"/>
    <d v="2022-09-01T00:00:00"/>
    <s v="DRY220041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69"/>
    <d v="2022-10-06T00:00:00"/>
    <s v="Week39"/>
    <d v="2022-09-01T00:00:00"/>
    <s v="DRY220041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56"/>
    <n v="756"/>
    <m/>
    <n v="0"/>
    <n v="0"/>
    <m/>
    <m/>
    <m/>
  </r>
  <r>
    <x v="269"/>
    <d v="2022-10-06T00:00:00"/>
    <s v="Week39"/>
    <d v="2022-09-01T00:00:00"/>
    <s v="DRY220041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01"/>
    <n v="201"/>
    <m/>
    <n v="0"/>
    <n v="0"/>
    <m/>
    <m/>
    <m/>
  </r>
  <r>
    <x v="269"/>
    <d v="2022-10-06T00:00:00"/>
    <s v="Week39"/>
    <d v="2022-09-01T00:00:00"/>
    <s v="DRY220041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37"/>
    <n v="237"/>
    <m/>
    <n v="0"/>
    <n v="0"/>
    <m/>
    <m/>
    <m/>
  </r>
  <r>
    <x v="269"/>
    <d v="2022-10-04T00:00:00"/>
    <s v="Week39"/>
    <d v="2022-09-01T00:00:00"/>
    <s v="RNE2200238"/>
    <s v="China"/>
    <s v="Charoen Pokphand Import&amp;Export Trading (Shanghai) Co., Ltd"/>
    <s v="R-Wonton"/>
    <s v="R-Wonton"/>
    <x v="10"/>
    <s v="Raw Wonton 12 pcs"/>
    <s v="082I95J20012P04001"/>
    <s v="154g*20in"/>
    <n v="20"/>
    <n v="12"/>
    <n v="6.8100000000000001E-3"/>
    <s v="S"/>
    <s v="STPP"/>
    <s v="ซุปซอง 5g."/>
    <n v="1039"/>
    <n v="1039"/>
    <m/>
    <n v="0"/>
    <n v="0"/>
    <n v="0"/>
    <n v="2"/>
    <n v="0"/>
  </r>
  <r>
    <x v="270"/>
    <d v="2022-10-11T00:00:00"/>
    <s v="Week39"/>
    <d v="2022-09-01T00:00:00"/>
    <s v="DRY2200492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761"/>
    <n v="761"/>
    <m/>
    <n v="0"/>
    <n v="0"/>
    <m/>
    <n v="1"/>
    <n v="12176"/>
  </r>
  <r>
    <x v="270"/>
    <d v="2022-10-06T00:00:00"/>
    <s v="Week39"/>
    <d v="2022-09-01T00:00:00"/>
    <s v="DRY220041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54"/>
    <n v="354"/>
    <m/>
    <n v="0"/>
    <n v="0"/>
    <m/>
    <m/>
    <m/>
  </r>
  <r>
    <x v="270"/>
    <d v="2022-10-11T00:00:00"/>
    <s v="Week39"/>
    <d v="2022-09-01T00:00:00"/>
    <s v="DRY220041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70"/>
    <d v="2022-10-14T00:00:00"/>
    <s v="Week39"/>
    <d v="2022-09-01T00:00:00"/>
    <s v="DRY220041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70"/>
    <d v="2022-10-14T00:00:00"/>
    <s v="Week39"/>
    <d v="2022-09-01T00:00:00"/>
    <s v="DRY220041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59"/>
    <n v="759"/>
    <m/>
    <n v="0"/>
    <n v="0"/>
    <m/>
    <m/>
    <m/>
  </r>
  <r>
    <x v="270"/>
    <d v="2022-10-14T00:00:00"/>
    <s v="Week39"/>
    <d v="2022-09-01T00:00:00"/>
    <s v="DRY220041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3"/>
    <n v="33"/>
    <m/>
    <n v="0"/>
    <n v="0"/>
    <m/>
    <m/>
    <m/>
  </r>
  <r>
    <x v="270"/>
    <d v="2022-10-14T00:00:00"/>
    <s v="Week39"/>
    <d v="2022-09-01T00:00:00"/>
    <s v="DRY220041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07"/>
    <n v="22"/>
    <n v="85"/>
    <n v="0"/>
    <n v="0"/>
    <m/>
    <m/>
    <m/>
  </r>
  <r>
    <x v="270"/>
    <d v="2022-10-14T00:00:00"/>
    <s v="Week39"/>
    <d v="2022-09-01T00:00:00"/>
    <s v="DRY220041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37"/>
    <n v="237"/>
    <m/>
    <n v="0"/>
    <n v="0"/>
    <m/>
    <m/>
    <m/>
  </r>
  <r>
    <x v="270"/>
    <d v="2022-10-04T00:00:00"/>
    <s v="Week39"/>
    <d v="2022-09-01T00:00:00"/>
    <s v="RNE2200238"/>
    <s v="China"/>
    <s v="Charoen Pokphand Import&amp;Export Trading (Shanghai) Co., Ltd"/>
    <s v="R-Wonton"/>
    <s v="R-Wonton"/>
    <x v="10"/>
    <s v="Raw Wonton 12 pcs"/>
    <s v="082I95J20012P04001"/>
    <s v="154g*20in"/>
    <n v="20"/>
    <n v="12"/>
    <n v="6.8100000000000001E-3"/>
    <s v="S"/>
    <s v="STPP"/>
    <s v="ซุปซอง 5g."/>
    <n v="591"/>
    <n v="591"/>
    <m/>
    <n v="0"/>
    <n v="0"/>
    <n v="0"/>
    <n v="2"/>
    <n v="0"/>
  </r>
  <r>
    <x v="270"/>
    <m/>
    <s v="Week39"/>
    <d v="2022-09-01T00:00:00"/>
    <s v="ขายภายใน"/>
    <s v="ขายภายใน"/>
    <s v="ซีพีเอฟ เทรดดิ้ง"/>
    <s v="R-Wonton"/>
    <s v="R-Wonton"/>
    <x v="4"/>
    <s v="Raw Wonton 50 pcs OISHI"/>
    <s v="082S01508600G01001"/>
    <s v="600g.*8 packs"/>
    <n v="8"/>
    <n v="50"/>
    <n v="8.1300000000000001E-3"/>
    <s v="M"/>
    <s v="STPP"/>
    <s v="-"/>
    <n v="300"/>
    <n v="314"/>
    <m/>
    <n v="14"/>
    <n v="0"/>
    <n v="0"/>
    <m/>
    <n v="0"/>
  </r>
  <r>
    <x v="271"/>
    <d v="2022-10-11T00:00:00"/>
    <s v="Week39"/>
    <d v="2022-09-01T00:00:00"/>
    <s v="DRY2200492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761"/>
    <n v="761"/>
    <m/>
    <n v="0"/>
    <n v="0"/>
    <m/>
    <n v="1"/>
    <n v="12176"/>
  </r>
  <r>
    <x v="271"/>
    <d v="2022-10-12T00:00:00"/>
    <s v="Week39"/>
    <d v="2022-09-01T00:00:00"/>
    <s v="DRY2200491"/>
    <s v="SG"/>
    <s v="CPI Singapore"/>
    <s v="C-Wonton"/>
    <s v="C-Wonton ND"/>
    <x v="5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500"/>
    <n v="500"/>
    <m/>
    <n v="0"/>
    <n v="0"/>
    <m/>
    <m/>
    <m/>
  </r>
  <r>
    <x v="271"/>
    <d v="2022-10-17T00:00:00"/>
    <s v="Week39"/>
    <d v="2022-09-01T00:00:00"/>
    <s v="DRY2200493"/>
    <s v="Philippines"/>
    <s v="CPF Philippines"/>
    <s v="C-Wonton"/>
    <s v="C-Wonton ND"/>
    <x v="5"/>
    <s v="Cooked Wonton ND No Egg with Pumpkin _x000a_+ Vegetable  HC  3 pcs"/>
    <s v="082SJ5S24003P00001"/>
    <s v="219g*24"/>
    <n v="24"/>
    <n v="3"/>
    <n v="7.4999999999999997E-3"/>
    <s v="HC"/>
    <s v="STPP"/>
    <s v="ซุปซอง 10g."/>
    <n v="170"/>
    <n v="170"/>
    <m/>
    <n v="0"/>
    <n v="0"/>
    <m/>
    <m/>
    <m/>
  </r>
  <r>
    <x v="271"/>
    <d v="2022-10-05T00:00:00"/>
    <s v="Week39"/>
    <d v="2022-09-01T00:00:00"/>
    <s v="DRY2200485"/>
    <s v="New Zealand"/>
    <s v="Cuisine 360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271"/>
    <d v="2022-10-11T00:00:00"/>
    <s v="Week39"/>
    <d v="2022-09-01T00:00:00"/>
    <s v="DRY2200486"/>
    <s v="New Zealand"/>
    <s v="Cuisine 360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271"/>
    <d v="2022-10-11T00:00:00"/>
    <s v="Week39"/>
    <d v="2022-09-01T00:00:00"/>
    <s v="DRY2200435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62"/>
    <n v="37.055555555555557"/>
    <n v="7.0555555555555429"/>
    <n v="0"/>
    <m/>
    <m/>
    <m/>
  </r>
  <r>
    <x v="271"/>
    <d v="2022-10-12T00:00:00"/>
    <s v="Week39"/>
    <d v="2022-09-01T00:00:00"/>
    <s v="DRY2200488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1194"/>
    <n v="1130"/>
    <n v="64"/>
    <n v="0"/>
    <n v="0"/>
    <n v="0"/>
    <n v="2"/>
    <n v="0"/>
  </r>
  <r>
    <x v="272"/>
    <d v="2022-10-11T00:00:00"/>
    <s v="Week39"/>
    <d v="2022-09-01T00:00:00"/>
    <s v="DRY2200492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868"/>
    <n v="868"/>
    <m/>
    <n v="0"/>
    <n v="0"/>
    <m/>
    <n v="1"/>
    <n v="13888"/>
  </r>
  <r>
    <x v="272"/>
    <d v="2022-10-14T00:00:00"/>
    <s v="Week39"/>
    <d v="2022-09-01T00:00:00"/>
    <s v="DRY220041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48"/>
    <n v="448"/>
    <m/>
    <n v="0"/>
    <n v="0"/>
    <m/>
    <m/>
    <m/>
  </r>
  <r>
    <x v="272"/>
    <d v="2022-10-14T00:00:00"/>
    <s v="Week39"/>
    <d v="2022-09-01T00:00:00"/>
    <s v="DRY220041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72"/>
    <d v="2022-10-14T00:00:00"/>
    <s v="Week39"/>
    <d v="2022-09-01T00:00:00"/>
    <s v="DRY220041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72"/>
    <d v="2022-10-14T00:00:00"/>
    <s v="Week39"/>
    <d v="2022-09-01T00:00:00"/>
    <s v="DRY220042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67"/>
    <n v="767"/>
    <m/>
    <n v="0"/>
    <n v="0"/>
    <m/>
    <m/>
    <m/>
  </r>
  <r>
    <x v="272"/>
    <d v="2022-10-14T00:00:00"/>
    <s v="Week39"/>
    <d v="2022-09-01T00:00:00"/>
    <s v="DRY220042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5"/>
    <n v="25"/>
    <m/>
    <n v="0"/>
    <n v="0"/>
    <m/>
    <m/>
    <m/>
  </r>
  <r>
    <x v="272"/>
    <d v="2022-10-14T00:00:00"/>
    <s v="Week39"/>
    <d v="2022-09-01T00:00:00"/>
    <s v="DRY220042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12"/>
    <n v="212"/>
    <m/>
    <n v="0"/>
    <n v="0"/>
    <m/>
    <m/>
    <m/>
  </r>
  <r>
    <x v="272"/>
    <d v="2022-10-12T00:00:00"/>
    <s v="Week39"/>
    <d v="2022-09-01T00:00:00"/>
    <s v="DRY2200488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6"/>
    <n v="6"/>
    <m/>
    <n v="0"/>
    <n v="0"/>
    <n v="0"/>
    <n v="2"/>
    <n v="0"/>
  </r>
  <r>
    <x v="272"/>
    <d v="2022-10-20T00:00:00"/>
    <s v="Week39"/>
    <d v="2022-09-01T00:00:00"/>
    <s v="DRY2200295"/>
    <s v="Taiwan"/>
    <s v="CP TAIWAN"/>
    <s v="R-Wonton"/>
    <s v="R-Wonton no egg"/>
    <x v="10"/>
    <s v="Raw Wonton 12 pcs"/>
    <s v="082I93R40012P02001"/>
    <s v="144g*40inner"/>
    <n v="40"/>
    <n v="12"/>
    <n v="8.1300000000000001E-3"/>
    <s v="M"/>
    <s v="Salt"/>
    <s v="ซุปซอง 5g."/>
    <n v="528"/>
    <n v="515"/>
    <n v="13"/>
    <n v="0"/>
    <n v="0"/>
    <n v="0"/>
    <n v="2"/>
    <n v="0"/>
  </r>
  <r>
    <x v="273"/>
    <d v="2022-10-11T00:00:00"/>
    <s v="Week39"/>
    <d v="2022-10-01T00:00:00"/>
    <s v="DRY2200492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616"/>
    <n v="614"/>
    <m/>
    <n v="-2"/>
    <n v="32"/>
    <m/>
    <n v="1"/>
    <n v="9856"/>
  </r>
  <r>
    <x v="273"/>
    <m/>
    <s v="Week39"/>
    <d v="2022-10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1821"/>
    <n v="1821"/>
    <m/>
    <n v="0"/>
    <n v="0"/>
    <m/>
    <m/>
    <m/>
  </r>
  <r>
    <x v="273"/>
    <m/>
    <s v="Week39"/>
    <d v="2022-10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2457"/>
    <n v="2457"/>
    <m/>
    <n v="0"/>
    <n v="0"/>
    <m/>
    <m/>
    <m/>
  </r>
  <r>
    <x v="273"/>
    <d v="2022-10-20T00:00:00"/>
    <s v="Week39"/>
    <d v="2022-10-01T00:00:00"/>
    <s v="DRY2200295"/>
    <s v="Taiwan"/>
    <s v="CP TAIWAN"/>
    <s v="R-Wonton"/>
    <s v="R-Wonton no egg"/>
    <x v="10"/>
    <s v="Raw Wonton 12 pcs"/>
    <s v="082I93R40012P02001"/>
    <s v="144g*40inner"/>
    <n v="40"/>
    <n v="12"/>
    <n v="8.1300000000000001E-3"/>
    <s v="M"/>
    <s v="Salt"/>
    <s v="ซุปซอง 5g."/>
    <n v="518"/>
    <n v="518"/>
    <m/>
    <n v="0"/>
    <n v="0"/>
    <n v="0"/>
    <n v="2"/>
    <n v="0"/>
  </r>
  <r>
    <x v="274"/>
    <m/>
    <s v="Week40"/>
    <d v="2022-10-01T00:00:00"/>
    <m/>
    <m/>
    <m/>
    <m/>
    <m/>
    <x v="0"/>
    <m/>
    <m/>
    <m/>
    <m/>
    <m/>
    <m/>
    <m/>
    <m/>
    <m/>
    <m/>
    <m/>
    <m/>
    <m/>
    <m/>
    <m/>
    <m/>
    <m/>
  </r>
  <r>
    <x v="275"/>
    <m/>
    <s v="Week40"/>
    <d v="2022-10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3245"/>
    <n v="3245"/>
    <m/>
    <n v="0"/>
    <n v="0"/>
    <m/>
    <m/>
    <m/>
  </r>
  <r>
    <x v="275"/>
    <d v="2022-10-17T00:00:00"/>
    <s v="Week40"/>
    <d v="2022-10-01T00:00:00"/>
    <s v="DRY2200493"/>
    <s v="Philippines"/>
    <s v="CPF Philippines"/>
    <s v="C-Wonton"/>
    <s v="C-Wonton"/>
    <x v="1"/>
    <s v="Cooked Wonton No Egg"/>
    <s v="082S85S24005P00001"/>
    <s v="145g*24"/>
    <n v="24"/>
    <n v="5"/>
    <n v="8.0000000000000002E-3"/>
    <s v="M"/>
    <s v="STPP"/>
    <s v="Regular"/>
    <n v="218"/>
    <n v="218"/>
    <m/>
    <n v="0"/>
    <n v="0"/>
    <m/>
    <m/>
    <m/>
  </r>
  <r>
    <x v="275"/>
    <d v="2022-10-17T00:00:00"/>
    <s v="Week40"/>
    <d v="2022-10-01T00:00:00"/>
    <s v="DRY2200493"/>
    <s v="Philippines"/>
    <s v="CPF Philippines"/>
    <s v="C-Wonton"/>
    <s v="C-Wonton"/>
    <x v="2"/>
    <s v="Cooked Wonton No Egg"/>
    <s v="082S85S24005P01001"/>
    <s v="115g*24"/>
    <n v="24"/>
    <n v="5"/>
    <n v="8.0000000000000002E-3"/>
    <s v="M"/>
    <s v="STPP"/>
    <s v="TYTB3C 30G"/>
    <n v="160"/>
    <n v="160"/>
    <n v="5.75"/>
    <n v="5.75"/>
    <n v="0"/>
    <m/>
    <n v="1"/>
    <n v="0"/>
  </r>
  <r>
    <x v="275"/>
    <d v="2022-10-12T00:00:00"/>
    <s v="Week40"/>
    <d v="2022-10-01T00:00:00"/>
    <s v="DRY2200499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</r>
  <r>
    <x v="275"/>
    <d v="2022-10-20T00:00:00"/>
    <s v="Week40"/>
    <d v="2022-10-01T00:00:00"/>
    <s v="DRY2200295"/>
    <s v="Taiwan"/>
    <s v="CP TAIWAN"/>
    <s v="R-Wonton"/>
    <s v="R-Wonton no egg"/>
    <x v="10"/>
    <s v="Raw Wonton 12 pcs"/>
    <s v="082I93R40012P02001"/>
    <s v="144g*40inner"/>
    <n v="40"/>
    <n v="12"/>
    <n v="8.1300000000000001E-3"/>
    <s v="M"/>
    <s v="Salt"/>
    <s v="ซุปซอง 5g."/>
    <n v="526"/>
    <n v="526"/>
    <m/>
    <n v="0"/>
    <n v="0"/>
    <n v="0"/>
    <n v="2"/>
    <n v="0"/>
  </r>
  <r>
    <x v="276"/>
    <m/>
    <s v="Week40"/>
    <d v="2022-10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1993"/>
    <n v="1993"/>
    <m/>
    <n v="0"/>
    <n v="0"/>
    <m/>
    <m/>
    <m/>
  </r>
  <r>
    <x v="276"/>
    <d v="2022-10-27T00:00:00"/>
    <s v="Week40"/>
    <d v="2022-10-01T00:00:00"/>
    <s v="DRY2200201"/>
    <s v="USA"/>
    <s v="Bellisio Foods, Inc."/>
    <s v="C-Wonton"/>
    <s v="C-Wonton ND"/>
    <x v="3"/>
    <s v="Cooked Minced Wonton Noodle No Egg"/>
    <s v="082SRBW24005P00001"/>
    <s v="258g*4c*6in"/>
    <n v="24"/>
    <n v="5"/>
    <n v="8.0000000000000002E-3"/>
    <s v="BK"/>
    <s v="Salt"/>
    <s v="Regular"/>
    <n v="540"/>
    <n v="540"/>
    <m/>
    <n v="0"/>
    <n v="0"/>
    <m/>
    <m/>
    <m/>
  </r>
  <r>
    <x v="276"/>
    <d v="2022-11-09T00:00:00"/>
    <s v="Week40"/>
    <d v="2022-10-01T00:00:00"/>
    <s v="DRY2200349"/>
    <s v="USA"/>
    <s v="Bellisio Foods, Inc."/>
    <s v="C-Wonton"/>
    <s v="C-Wonton ND"/>
    <x v="3"/>
    <s v="Cooked Minced Wonton Noodle No Egg"/>
    <s v="082SRBW24005P00001"/>
    <s v="258g*4c*6in"/>
    <n v="24"/>
    <n v="5"/>
    <n v="8.0000000000000002E-3"/>
    <s v="BK"/>
    <s v="Salt"/>
    <s v="Regular"/>
    <n v="700"/>
    <n v="700"/>
    <m/>
    <n v="0"/>
    <n v="0"/>
    <m/>
    <m/>
    <m/>
  </r>
  <r>
    <x v="276"/>
    <d v="2022-11-03T00:00:00"/>
    <s v="Week40"/>
    <d v="2022-10-01T00:00:00"/>
    <s v="DRY2200441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3395.375"/>
    <m/>
    <n v="3395.375"/>
    <n v="0"/>
    <n v="0"/>
    <m/>
    <m/>
    <m/>
  </r>
  <r>
    <x v="276"/>
    <d v="2022-10-20T00:00:00"/>
    <s v="Week40"/>
    <d v="2022-10-01T00:00:00"/>
    <s v="DRY2200295"/>
    <s v="Taiwan"/>
    <s v="CP TAIWAN"/>
    <s v="R-Wonton"/>
    <s v="R-Wonton no egg"/>
    <x v="10"/>
    <s v="Raw Wonton 12 pcs"/>
    <s v="082I93R40012P02001"/>
    <s v="144g*40inner"/>
    <n v="40"/>
    <n v="12"/>
    <n v="8.1300000000000001E-3"/>
    <s v="M"/>
    <s v="Salt"/>
    <s v="ซุปซอง 5g."/>
    <n v="52"/>
    <n v="52"/>
    <m/>
    <n v="0"/>
    <n v="0"/>
    <n v="0"/>
    <n v="2"/>
    <n v="0"/>
  </r>
  <r>
    <x v="276"/>
    <d v="2022-10-17T00:00:00"/>
    <s v="Week40"/>
    <d v="2022-10-01T00:00:00"/>
    <s v="DRY2200493"/>
    <s v="Philippines"/>
    <s v="CPF Philippines"/>
    <s v="R-Wonton"/>
    <s v="R-Wonton"/>
    <x v="4"/>
    <s v="Raw Wonton 8 pcs"/>
    <s v="082I95S20008P00001"/>
    <s v="194g*20in"/>
    <n v="20"/>
    <n v="8"/>
    <n v="1.4999999999999999E-2"/>
    <s v="JB"/>
    <s v="STPP"/>
    <s v="ซุปซอง 5g."/>
    <n v="200"/>
    <n v="193"/>
    <m/>
    <n v="-7"/>
    <n v="140"/>
    <n v="1120"/>
    <n v="2"/>
    <n v="280"/>
  </r>
  <r>
    <x v="276"/>
    <d v="2022-10-19T00:00:00"/>
    <s v="Week40"/>
    <d v="2022-10-01T00:00:00"/>
    <s v="DRY2200494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348"/>
    <n v="348"/>
    <m/>
    <n v="0"/>
    <n v="0"/>
    <n v="0"/>
    <n v="2"/>
    <n v="0"/>
  </r>
  <r>
    <x v="277"/>
    <d v="2022-10-14T00:00:00"/>
    <s v="Week40"/>
    <d v="2022-10-01T00:00:00"/>
    <s v="DRY220042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80"/>
    <n v="580"/>
    <m/>
    <n v="0"/>
    <n v="0"/>
    <m/>
    <m/>
    <m/>
  </r>
  <r>
    <x v="277"/>
    <d v="2022-10-14T00:00:00"/>
    <s v="Week40"/>
    <d v="2022-10-01T00:00:00"/>
    <s v="DRY220042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77"/>
    <d v="2022-10-14T00:00:00"/>
    <s v="Week40"/>
    <d v="2022-10-01T00:00:00"/>
    <s v="DRY220042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77"/>
    <d v="2022-10-17T00:00:00"/>
    <s v="Week40"/>
    <d v="2022-10-01T00:00:00"/>
    <s v="DRY220042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14"/>
    <n v="614"/>
    <m/>
    <n v="0"/>
    <n v="0"/>
    <m/>
    <m/>
    <m/>
  </r>
  <r>
    <x v="277"/>
    <d v="2022-10-17T00:00:00"/>
    <s v="Week40"/>
    <d v="2022-10-01T00:00:00"/>
    <s v="DRY220042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78"/>
    <n v="178"/>
    <m/>
    <n v="0"/>
    <n v="0"/>
    <m/>
    <m/>
    <m/>
  </r>
  <r>
    <x v="277"/>
    <d v="2022-10-17T00:00:00"/>
    <s v="Week40"/>
    <d v="2022-10-01T00:00:00"/>
    <s v="DRY220044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9"/>
    <n v="59"/>
    <m/>
    <n v="0"/>
    <n v="0"/>
    <m/>
    <m/>
    <m/>
  </r>
  <r>
    <x v="277"/>
    <d v="2022-10-18T00:00:00"/>
    <s v="Week40"/>
    <d v="2022-10-01T00:00:00"/>
    <s v="DRY2200436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277"/>
    <d v="2022-10-19T00:00:00"/>
    <s v="Week40"/>
    <d v="2022-10-01T00:00:00"/>
    <s v="DRY2200494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34"/>
    <n v="534"/>
    <m/>
    <n v="0"/>
    <n v="0"/>
    <n v="0"/>
    <n v="2"/>
    <n v="0"/>
  </r>
  <r>
    <x v="278"/>
    <d v="2022-10-17T00:00:00"/>
    <s v="Week40"/>
    <d v="2022-10-01T00:00:00"/>
    <s v="DRY220044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33"/>
    <n v="733"/>
    <m/>
    <n v="0"/>
    <n v="0"/>
    <m/>
    <m/>
    <m/>
  </r>
  <r>
    <x v="278"/>
    <d v="2022-10-17T00:00:00"/>
    <s v="Week40"/>
    <d v="2022-10-01T00:00:00"/>
    <s v="DRY220044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50"/>
    <n v="650"/>
    <m/>
    <n v="0"/>
    <n v="0"/>
    <m/>
    <m/>
    <m/>
  </r>
  <r>
    <x v="278"/>
    <d v="2022-10-17T00:00:00"/>
    <s v="Week40"/>
    <d v="2022-10-01T00:00:00"/>
    <s v="DRY220044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42"/>
    <n v="142"/>
    <m/>
    <n v="0"/>
    <n v="0"/>
    <m/>
    <m/>
    <m/>
  </r>
  <r>
    <x v="278"/>
    <d v="2022-10-19T00:00:00"/>
    <s v="Week40"/>
    <d v="2022-10-01T00:00:00"/>
    <s v="DRY220044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95"/>
    <n v="95"/>
    <m/>
    <n v="0"/>
    <n v="0"/>
    <m/>
    <m/>
    <m/>
  </r>
  <r>
    <x v="278"/>
    <d v="2022-10-19T00:00:00"/>
    <s v="Week40"/>
    <d v="2022-10-01T00:00:00"/>
    <s v="DRY2200494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72"/>
    <n v="572"/>
    <m/>
    <n v="0"/>
    <n v="0"/>
    <n v="0"/>
    <n v="2"/>
    <n v="0"/>
  </r>
  <r>
    <x v="278"/>
    <d v="2022-10-27T00:00:00"/>
    <s v="Week40"/>
    <d v="2022-10-01T00:00:00"/>
    <s v="DRY2200201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160"/>
    <m/>
    <n v="160"/>
    <n v="0"/>
    <n v="0"/>
    <n v="0"/>
    <n v="6"/>
    <n v="0"/>
  </r>
  <r>
    <x v="279"/>
    <d v="2022-10-19T00:00:00"/>
    <s v="Week40"/>
    <d v="2022-10-01T00:00:00"/>
    <s v="DRY2200497"/>
    <s v="Korea"/>
    <s v="Emart"/>
    <s v="C-Wonton"/>
    <s v="C-Wonton"/>
    <x v="20"/>
    <s v="COOKED WONTON 6 pcs."/>
    <s v="082S8EJ12012P00001"/>
    <s v="141*2tray*12in"/>
    <n v="24"/>
    <n v="6"/>
    <n v="6.1999999999999998E-3"/>
    <s v="SS"/>
    <s v="Salt"/>
    <s v=" Sesame 15g"/>
    <n v="1056"/>
    <n v="1056"/>
    <m/>
    <n v="0"/>
    <n v="0"/>
    <m/>
    <n v="1"/>
    <n v="25344"/>
  </r>
  <r>
    <x v="279"/>
    <d v="2022-10-19T00:00:00"/>
    <s v="Week40"/>
    <d v="2022-10-01T00:00:00"/>
    <s v="DRY2200494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170"/>
    <n v="170"/>
    <m/>
    <n v="0"/>
    <n v="0"/>
    <n v="0"/>
    <n v="2"/>
    <n v="0"/>
  </r>
  <r>
    <x v="279"/>
    <d v="2022-10-26T00:00:00"/>
    <s v="Week40"/>
    <d v="2022-10-01T00:00:00"/>
    <s v="DRY2200495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833"/>
    <n v="833"/>
    <m/>
    <n v="0"/>
    <n v="0"/>
    <n v="0"/>
    <n v="2"/>
    <n v="0"/>
  </r>
  <r>
    <x v="280"/>
    <d v="2022-10-19T00:00:00"/>
    <s v="Week40"/>
    <d v="2022-10-01T00:00:00"/>
    <s v="DRY2200497"/>
    <s v="Korea"/>
    <s v="Emart"/>
    <s v="C-Wonton"/>
    <s v="C-Wonton"/>
    <x v="20"/>
    <s v="COOKED WONTON 6 pcs."/>
    <s v="082S8EJ12012P00001"/>
    <s v="141*2tray*12in"/>
    <n v="24"/>
    <n v="6"/>
    <n v="6.1999999999999998E-3"/>
    <s v="SS"/>
    <s v="Salt"/>
    <s v=" Sesame 15g"/>
    <n v="660"/>
    <m/>
    <n v="660"/>
    <n v="0"/>
    <n v="0"/>
    <m/>
    <n v="1"/>
    <n v="15840"/>
  </r>
  <r>
    <x v="280"/>
    <d v="2022-10-26T00:00:00"/>
    <s v="Week40"/>
    <d v="2022-10-01T00:00:00"/>
    <s v="DRY2200495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791"/>
    <n v="791"/>
    <m/>
    <n v="0"/>
    <n v="0"/>
    <n v="0"/>
    <n v="2"/>
    <n v="0"/>
  </r>
  <r>
    <x v="280"/>
    <d v="2022-11-01T00:00:00"/>
    <s v="Week40"/>
    <d v="2022-10-01T00:00:00"/>
    <s v="DRY2200513"/>
    <s v="Malay"/>
    <s v="CPM Malaysia"/>
    <s v="R-Wonton"/>
    <s v="R-Wonton"/>
    <x v="4"/>
    <s v="Raw Wonton 12 pcs"/>
    <s v="082I95I20012P02001"/>
    <s v="154g*20inner"/>
    <n v="20"/>
    <n v="12"/>
    <n v="6.8100000000000001E-3"/>
    <s v="S"/>
    <s v="STPP"/>
    <s v="ซุปซอง 5g."/>
    <n v="300"/>
    <n v="300"/>
    <m/>
    <n v="0"/>
    <n v="0"/>
    <n v="0"/>
    <n v="2"/>
    <n v="0"/>
  </r>
  <r>
    <x v="281"/>
    <m/>
    <s v="Week41"/>
    <d v="2022-10-01T00:00:00"/>
    <m/>
    <m/>
    <m/>
    <m/>
    <m/>
    <x v="0"/>
    <m/>
    <m/>
    <m/>
    <m/>
    <m/>
    <m/>
    <m/>
    <m/>
    <m/>
    <m/>
    <m/>
    <m/>
    <m/>
    <m/>
    <m/>
    <m/>
    <m/>
  </r>
  <r>
    <x v="282"/>
    <m/>
    <s v="Week41"/>
    <d v="2022-10-01T00:00:00"/>
    <m/>
    <m/>
    <m/>
    <m/>
    <m/>
    <x v="0"/>
    <m/>
    <m/>
    <m/>
    <m/>
    <m/>
    <m/>
    <m/>
    <m/>
    <m/>
    <m/>
    <m/>
    <m/>
    <m/>
    <m/>
    <m/>
    <m/>
    <m/>
  </r>
  <r>
    <x v="283"/>
    <d v="2022-10-19T00:00:00"/>
    <s v="Week41"/>
    <d v="2022-10-01T00:00:00"/>
    <s v="DRY2200497"/>
    <s v="Korea"/>
    <s v="Emart"/>
    <s v="C-Wonton"/>
    <s v="C-Wonton"/>
    <x v="20"/>
    <s v="COOKED WONTON 6 pcs."/>
    <s v="082S8EJ12012P00001"/>
    <s v="141*2tray*12in"/>
    <n v="24"/>
    <n v="6"/>
    <n v="6.1999999999999998E-3"/>
    <s v="SS"/>
    <s v="Salt"/>
    <s v=" Sesame 15g"/>
    <n v="649.41666666666663"/>
    <m/>
    <n v="649.41666666666663"/>
    <n v="0"/>
    <n v="0"/>
    <m/>
    <n v="1"/>
    <n v="15586"/>
  </r>
  <r>
    <x v="283"/>
    <d v="2022-10-19T00:00:00"/>
    <s v="Week41"/>
    <d v="2022-10-01T00:00:00"/>
    <s v="DRY220044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97"/>
    <n v="697"/>
    <m/>
    <n v="0"/>
    <n v="0"/>
    <m/>
    <m/>
    <m/>
  </r>
  <r>
    <x v="283"/>
    <d v="2022-10-20T00:00:00"/>
    <s v="Week41"/>
    <d v="2022-10-01T00:00:00"/>
    <s v="DRY220044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83"/>
    <d v="2022-10-21T00:00:00"/>
    <s v="Week41"/>
    <d v="2022-10-01T00:00:00"/>
    <s v="DRY220044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49"/>
    <n v="749"/>
    <m/>
    <n v="0"/>
    <n v="0"/>
    <m/>
    <m/>
    <m/>
  </r>
  <r>
    <x v="283"/>
    <d v="2022-10-21T00:00:00"/>
    <s v="Week41"/>
    <d v="2022-10-01T00:00:00"/>
    <s v="DRY220044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3"/>
    <n v="43"/>
    <m/>
    <n v="0"/>
    <n v="0"/>
    <m/>
    <m/>
    <m/>
  </r>
  <r>
    <x v="283"/>
    <d v="2022-10-21T00:00:00"/>
    <s v="Week41"/>
    <d v="2022-10-01T00:00:00"/>
    <s v="DRY220045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94"/>
    <n v="194"/>
    <m/>
    <n v="0"/>
    <n v="0"/>
    <m/>
    <m/>
    <m/>
  </r>
  <r>
    <x v="283"/>
    <d v="2022-11-01T00:00:00"/>
    <s v="Week41"/>
    <d v="2022-10-01T00:00:00"/>
    <s v="DRY2200372"/>
    <s v="SG"/>
    <s v="CPI SINGAPORE"/>
    <s v="R-Wonton"/>
    <s v="R-Wonton"/>
    <x v="18"/>
    <s v="Raw Wonton 50 pcs (Fried Sheet)"/>
    <s v="082I93B10050P04001"/>
    <s v="600g*10inner"/>
    <n v="10"/>
    <n v="50"/>
    <n v="6.8100000000000001E-3"/>
    <s v="S"/>
    <s v="STPP"/>
    <s v="-"/>
    <n v="100"/>
    <n v="95"/>
    <n v="5"/>
    <n v="0"/>
    <n v="0"/>
    <n v="0"/>
    <m/>
    <n v="0"/>
  </r>
  <r>
    <x v="283"/>
    <d v="2022-11-01T00:00:00"/>
    <s v="Week41"/>
    <d v="2022-10-01T00:00:00"/>
    <s v="DRY2200507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1035"/>
    <n v="996"/>
    <n v="39"/>
    <n v="0"/>
    <n v="0"/>
    <n v="0"/>
    <n v="2"/>
    <n v="0"/>
  </r>
  <r>
    <x v="284"/>
    <d v="2022-10-19T00:00:00"/>
    <s v="Week41"/>
    <d v="2022-10-01T00:00:00"/>
    <s v="DRY2200497"/>
    <s v="Korea"/>
    <s v="Emart"/>
    <s v="C-Wonton"/>
    <s v="C-Wonton"/>
    <x v="20"/>
    <s v="COOKED WONTON 6 pcs."/>
    <s v="082S8EJ12012P00001"/>
    <s v="141*2tray*12in"/>
    <n v="24"/>
    <n v="6"/>
    <n v="6.1999999999999998E-3"/>
    <s v="SS"/>
    <s v="Salt"/>
    <s v=" Sesame 15g"/>
    <n v="434"/>
    <n v="48"/>
    <n v="378"/>
    <n v="-8"/>
    <n v="192"/>
    <m/>
    <n v="1"/>
    <n v="10416"/>
  </r>
  <r>
    <x v="284"/>
    <d v="2022-10-21T00:00:00"/>
    <s v="Week41"/>
    <d v="2022-10-01T00:00:00"/>
    <s v="DRY220045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55"/>
    <n v="155"/>
    <m/>
    <n v="0"/>
    <n v="0"/>
    <m/>
    <m/>
    <m/>
  </r>
  <r>
    <x v="284"/>
    <d v="2022-10-21T00:00:00"/>
    <s v="Week41"/>
    <d v="2022-10-01T00:00:00"/>
    <s v="DRY220045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37"/>
    <n v="237"/>
    <m/>
    <n v="0"/>
    <n v="0"/>
    <m/>
    <m/>
    <m/>
  </r>
  <r>
    <x v="284"/>
    <d v="2022-11-01T00:00:00"/>
    <s v="Week41"/>
    <d v="2022-10-01T00:00:00"/>
    <s v="DRY2200510"/>
    <s v="SG"/>
    <s v="CPI Singapore"/>
    <s v="C-Wonton"/>
    <s v="C-Wonton ND"/>
    <x v="5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500"/>
    <n v="500"/>
    <m/>
    <n v="0"/>
    <n v="0"/>
    <m/>
    <m/>
    <m/>
  </r>
  <r>
    <x v="284"/>
    <d v="2022-11-01T00:00:00"/>
    <s v="Week41"/>
    <d v="2022-10-01T00:00:00"/>
    <s v="DRY2200509"/>
    <s v="SG"/>
    <s v="CPI SINGAPORE"/>
    <s v="C-Wonton"/>
    <s v="C-Wonton"/>
    <x v="2"/>
    <s v="Cooked Wonton No Egg"/>
    <s v="082S83B24005P06001"/>
    <s v="115g*24"/>
    <n v="24"/>
    <n v="5"/>
    <n v="8.0000000000000002E-3"/>
    <s v="M"/>
    <s v="STPP"/>
    <s v="TYTB3C 30G"/>
    <n v="500"/>
    <n v="483"/>
    <n v="17"/>
    <n v="0"/>
    <n v="0"/>
    <m/>
    <n v="1"/>
    <n v="0"/>
  </r>
  <r>
    <x v="284"/>
    <d v="2022-11-01T00:00:00"/>
    <s v="Week41"/>
    <d v="2022-10-01T00:00:00"/>
    <s v="DRY2200513"/>
    <s v="Malay"/>
    <s v="CPM Malaysia"/>
    <s v="C-Wonton"/>
    <s v="C-Wonton"/>
    <x v="2"/>
    <s v="Cooked Wonton No Egg  TY"/>
    <s v="082S85I24005P02001"/>
    <s v="115g*24"/>
    <n v="24"/>
    <n v="5"/>
    <n v="8.0000000000000002E-3"/>
    <s v="M"/>
    <s v="STPP"/>
    <s v="TYTB3C 30G"/>
    <n v="800"/>
    <n v="800"/>
    <n v="5.916666666666667"/>
    <n v="5.9166666666666288"/>
    <n v="0"/>
    <m/>
    <n v="1"/>
    <n v="0"/>
  </r>
  <r>
    <x v="284"/>
    <d v="2022-11-01T00:00:00"/>
    <s v="Week41"/>
    <d v="2022-10-01T00:00:00"/>
    <s v="DRY2200507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1139"/>
    <n v="1139"/>
    <m/>
    <n v="0"/>
    <n v="0"/>
    <n v="0"/>
    <n v="2"/>
    <n v="0"/>
  </r>
  <r>
    <x v="285"/>
    <m/>
    <s v="Week41"/>
    <d v="2022-10-01T00:00:00"/>
    <m/>
    <m/>
    <m/>
    <m/>
    <m/>
    <x v="0"/>
    <m/>
    <m/>
    <m/>
    <m/>
    <m/>
    <m/>
    <m/>
    <m/>
    <m/>
    <m/>
    <m/>
    <m/>
    <m/>
    <m/>
    <m/>
    <m/>
    <m/>
  </r>
  <r>
    <x v="286"/>
    <d v="2022-10-21T00:00:00"/>
    <s v="Week41"/>
    <d v="2022-10-01T00:00:00"/>
    <s v="DRY220045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06"/>
    <n v="206"/>
    <m/>
    <n v="0"/>
    <n v="0"/>
    <m/>
    <m/>
    <m/>
  </r>
  <r>
    <x v="286"/>
    <d v="2022-10-22T00:00:00"/>
    <s v="Week41"/>
    <d v="2022-10-01T00:00:00"/>
    <s v="DRY220045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86"/>
    <d v="2022-10-22T00:00:00"/>
    <s v="Week41"/>
    <d v="2022-10-01T00:00:00"/>
    <s v="DRY220045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86"/>
    <d v="2022-10-24T00:00:00"/>
    <s v="Week41"/>
    <d v="2022-10-01T00:00:00"/>
    <s v="DRY220045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11"/>
    <n v="511"/>
    <m/>
    <n v="0"/>
    <n v="0"/>
    <m/>
    <m/>
    <m/>
  </r>
  <r>
    <x v="286"/>
    <d v="2022-10-24T00:00:00"/>
    <s v="Week41"/>
    <d v="2022-10-01T00:00:00"/>
    <s v="DRY220045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37"/>
    <n v="237"/>
    <m/>
    <n v="0"/>
    <n v="0"/>
    <m/>
    <m/>
    <m/>
  </r>
  <r>
    <x v="286"/>
    <d v="2022-11-01T00:00:00"/>
    <s v="Week41"/>
    <d v="2022-10-01T00:00:00"/>
    <s v="DRY2200507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1741"/>
    <n v="1415"/>
    <n v="326"/>
    <n v="0"/>
    <n v="0"/>
    <n v="0"/>
    <n v="2"/>
    <n v="0"/>
  </r>
  <r>
    <x v="286"/>
    <d v="2022-11-01T00:00:00"/>
    <s v="Week41"/>
    <d v="2022-10-01T00:00:00"/>
    <s v="DRY2200512"/>
    <s v="SG"/>
    <s v="CPI SINGAPORE"/>
    <s v="R-Wonton"/>
    <s v="R-Mince"/>
    <x v="9"/>
    <s v="Raw Minced Wonton 8 pcs"/>
    <s v="082ID3B18008P00001"/>
    <s v="90g*18in"/>
    <n v="18"/>
    <n v="8"/>
    <n v="5.0000000000000001E-3"/>
    <s v="BK"/>
    <s v="STPP"/>
    <s v="ซุปซอง 5g."/>
    <n v="1000"/>
    <n v="985"/>
    <n v="15"/>
    <n v="0"/>
    <n v="0"/>
    <n v="0"/>
    <n v="2"/>
    <n v="0"/>
  </r>
  <r>
    <x v="287"/>
    <d v="2022-10-25T00:00:00"/>
    <s v="Week41"/>
    <d v="2022-10-01T00:00:00"/>
    <s v="DRY2200437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31"/>
    <n v="61.583333333333336"/>
    <n v="0.58333333333337123"/>
    <n v="0"/>
    <m/>
    <m/>
    <m/>
  </r>
  <r>
    <x v="287"/>
    <d v="2022-10-25T00:00:00"/>
    <s v="Week41"/>
    <d v="2022-10-01T00:00:00"/>
    <s v="DRY2200438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75"/>
    <n v="775"/>
    <m/>
    <n v="0"/>
    <n v="0"/>
    <m/>
    <m/>
    <m/>
  </r>
  <r>
    <x v="287"/>
    <d v="2022-11-05T00:00:00"/>
    <s v="Week41"/>
    <d v="2022-10-01T00:00:00"/>
    <s v="DRY2200515"/>
    <s v="Germany"/>
    <s v=" CPF Distribution (under Paulsen Food)"/>
    <s v="C-Wonton"/>
    <s v="C-Wonton ND"/>
    <x v="17"/>
    <s v="Cooked Minced  ND No Egg with Pumpkin_x000a_+ Yu Choy Tomyum"/>
    <s v="082SR3N12003P00001"/>
    <s v="302g*12"/>
    <n v="12"/>
    <n v="3"/>
    <n v="8.0000000000000002E-3"/>
    <s v="BK"/>
    <s v="Salt"/>
    <s v="TYEX+CO"/>
    <n v="2520"/>
    <n v="2520"/>
    <n v="10.083333333333334"/>
    <n v="10.083333333333485"/>
    <n v="0"/>
    <m/>
    <m/>
    <m/>
  </r>
  <r>
    <x v="287"/>
    <m/>
    <s v="Week41"/>
    <d v="2022-10-01T00:00:00"/>
    <s v="DRY2200501"/>
    <s v="AUS"/>
    <s v="CPM Australia"/>
    <s v="C-Wonton"/>
    <s v="C-Wonton ND"/>
    <x v="17"/>
    <s v="Cooked Minced  ND No Egg with Pumpkin_x000a_+ Yu Choy Tomyum"/>
    <s v="082SR9U08003P00001"/>
    <s v="302g*8"/>
    <n v="8"/>
    <n v="3"/>
    <n v="8.0000000000000002E-3"/>
    <s v="BK"/>
    <s v="Salt"/>
    <s v="TYA+CO"/>
    <n v="300"/>
    <m/>
    <n v="300"/>
    <n v="0"/>
    <n v="0"/>
    <m/>
    <m/>
    <m/>
  </r>
  <r>
    <x v="287"/>
    <m/>
    <s v="Week41"/>
    <d v="2022-10-01T00:00:00"/>
    <s v="DRY2200502"/>
    <s v="AUS"/>
    <s v="CPM Australia"/>
    <s v="C-Wonton"/>
    <s v="C-Wonton ND"/>
    <x v="17"/>
    <s v="Cooked Minced  ND No Egg with Pumpkin_x000a_+ Yu Choy Tomyum"/>
    <s v="082SR9U08003P00001"/>
    <s v="302g*8"/>
    <n v="8"/>
    <n v="3"/>
    <n v="8.0000000000000002E-3"/>
    <s v="BK"/>
    <s v="Salt"/>
    <s v="TYA+CO"/>
    <n v="350"/>
    <m/>
    <n v="350"/>
    <n v="0"/>
    <n v="0"/>
    <m/>
    <m/>
    <m/>
  </r>
  <r>
    <x v="287"/>
    <d v="2022-11-01T00:00:00"/>
    <s v="Week41"/>
    <d v="2022-10-01T00:00:00"/>
    <s v="DRY2200511"/>
    <s v="SG"/>
    <s v="CPI SINGAPORE"/>
    <s v="R-Wonton"/>
    <s v="R-Wonton"/>
    <x v="4"/>
    <s v="Raw Wonton 8 pcs"/>
    <s v="082I93B20008P00001"/>
    <s v="194g*20in"/>
    <n v="20"/>
    <n v="8"/>
    <n v="1.4999999999999999E-2"/>
    <s v="JB"/>
    <s v="STPP"/>
    <s v="ซุปซอง 5g."/>
    <n v="1000"/>
    <n v="998"/>
    <n v="32"/>
    <n v="30"/>
    <n v="0"/>
    <n v="0"/>
    <n v="2"/>
    <n v="0"/>
  </r>
  <r>
    <x v="287"/>
    <d v="2022-11-01T00:00:00"/>
    <s v="Week41"/>
    <d v="2022-10-01T00:00:00"/>
    <s v="DRY2200507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585"/>
    <n v="585"/>
    <m/>
    <n v="0"/>
    <n v="0"/>
    <n v="0"/>
    <n v="2"/>
    <n v="0"/>
  </r>
  <r>
    <x v="287"/>
    <d v="2022-10-22T00:00:00"/>
    <s v="Week41"/>
    <d v="2022-10-01T00:00:00"/>
    <s v="RNE2200254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407"/>
    <n v="407"/>
    <m/>
    <n v="0"/>
    <n v="0"/>
    <n v="0"/>
    <n v="6"/>
    <n v="0"/>
  </r>
  <r>
    <x v="288"/>
    <m/>
    <s v="Week42"/>
    <d v="2022-10-01T00:00:00"/>
    <m/>
    <m/>
    <m/>
    <m/>
    <m/>
    <x v="0"/>
    <m/>
    <m/>
    <m/>
    <m/>
    <m/>
    <m/>
    <m/>
    <m/>
    <m/>
    <m/>
    <m/>
    <m/>
    <m/>
    <m/>
    <m/>
    <m/>
    <m/>
  </r>
  <r>
    <x v="289"/>
    <d v="2022-11-01T00:00:00"/>
    <s v="Week42"/>
    <d v="2022-10-01T00:00:00"/>
    <s v="DRY2200505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149"/>
    <n v="138.94444444444446"/>
    <n v="-5.5555555555656611E-2"/>
    <n v="2"/>
    <m/>
    <m/>
    <m/>
  </r>
  <r>
    <x v="289"/>
    <d v="2022-10-20T00:00:00"/>
    <s v="Week42"/>
    <d v="2022-10-01T00:00:00"/>
    <s v="DRY2200500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</r>
  <r>
    <x v="289"/>
    <d v="2022-10-18T00:00:00"/>
    <s v="Week42"/>
    <d v="2022-10-01T00:00:00"/>
    <s v="DRY2200493"/>
    <s v="Philippines"/>
    <s v="CPF Philippines"/>
    <s v="C-Wonton"/>
    <s v="C-Wonton"/>
    <x v="1"/>
    <s v="Cooked Wonton No Egg"/>
    <s v="082S85S24005P00001"/>
    <s v="145g*24"/>
    <n v="24"/>
    <n v="5"/>
    <n v="8.0000000000000002E-3"/>
    <s v="M"/>
    <s v="STPP"/>
    <s v="Regular"/>
    <n v="22"/>
    <n v="22"/>
    <n v="3"/>
    <n v="3"/>
    <n v="0"/>
    <m/>
    <m/>
    <m/>
  </r>
  <r>
    <x v="289"/>
    <d v="2022-11-01T00:00:00"/>
    <s v="Week42"/>
    <d v="2022-10-01T00:00:00"/>
    <s v="DRY2200508"/>
    <s v="SG"/>
    <s v="CPI SINGAPORE"/>
    <s v="C-Wonton"/>
    <s v="C-Wonton"/>
    <x v="1"/>
    <s v="Cooked Wonton No Egg"/>
    <s v="082S83B24005P07001"/>
    <s v="145g*24"/>
    <n v="24"/>
    <n v="5"/>
    <n v="8.0000000000000002E-3"/>
    <s v="M"/>
    <s v="STPP"/>
    <s v="Regular"/>
    <n v="600"/>
    <n v="600"/>
    <m/>
    <n v="0"/>
    <n v="0"/>
    <m/>
    <m/>
    <m/>
  </r>
  <r>
    <x v="289"/>
    <d v="2022-10-24T00:00:00"/>
    <s v="Week42"/>
    <d v="2022-10-01T00:00:00"/>
    <s v="DRY220045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4"/>
    <n v="44"/>
    <m/>
    <n v="0"/>
    <n v="0"/>
    <m/>
    <m/>
    <m/>
  </r>
  <r>
    <x v="289"/>
    <d v="2022-10-24T00:00:00"/>
    <s v="Week42"/>
    <d v="2022-10-01T00:00:00"/>
    <s v="DRY220045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14"/>
    <n v="614"/>
    <m/>
    <n v="0"/>
    <n v="0"/>
    <m/>
    <m/>
    <m/>
  </r>
  <r>
    <x v="289"/>
    <d v="2022-10-24T00:00:00"/>
    <s v="Week42"/>
    <d v="2022-10-01T00:00:00"/>
    <s v="DRY220045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78"/>
    <n v="178"/>
    <m/>
    <n v="0"/>
    <n v="0"/>
    <m/>
    <m/>
    <m/>
  </r>
  <r>
    <x v="289"/>
    <d v="2022-10-24T00:00:00"/>
    <s v="Week42"/>
    <d v="2022-10-01T00:00:00"/>
    <s v="DRY220045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9"/>
    <n v="59"/>
    <m/>
    <n v="0"/>
    <n v="0"/>
    <m/>
    <m/>
    <m/>
  </r>
  <r>
    <x v="289"/>
    <d v="2022-10-22T00:00:00"/>
    <s v="Week42"/>
    <d v="2022-10-01T00:00:00"/>
    <s v="RNE2200254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574"/>
    <n v="574"/>
    <m/>
    <n v="0"/>
    <n v="0"/>
    <n v="0"/>
    <n v="6"/>
    <n v="0"/>
  </r>
  <r>
    <x v="290"/>
    <d v="2022-10-25T00:00:00"/>
    <s v="Week42"/>
    <d v="2022-10-01T00:00:00"/>
    <s v="DRY2200438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17"/>
    <n v="17"/>
    <m/>
    <n v="0"/>
    <n v="0"/>
    <m/>
    <m/>
    <m/>
  </r>
  <r>
    <x v="290"/>
    <d v="2022-11-01T00:00:00"/>
    <s v="Week42"/>
    <d v="2022-10-01T00:00:00"/>
    <s v="DRY2200517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290"/>
    <d v="2022-11-08T00:00:00"/>
    <s v="Week42"/>
    <d v="2022-10-01T00:00:00"/>
    <s v="DRY2200518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290"/>
    <d v="2022-10-24T00:00:00"/>
    <s v="Week42"/>
    <d v="2022-10-01T00:00:00"/>
    <s v="DRY220045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33"/>
    <n v="733"/>
    <m/>
    <n v="0"/>
    <n v="0"/>
    <m/>
    <m/>
    <m/>
  </r>
  <r>
    <x v="290"/>
    <d v="2022-10-24T00:00:00"/>
    <s v="Week42"/>
    <d v="2022-10-01T00:00:00"/>
    <s v="DRY220045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37"/>
    <n v="737"/>
    <m/>
    <n v="0"/>
    <n v="0"/>
    <m/>
    <m/>
    <m/>
  </r>
  <r>
    <x v="290"/>
    <d v="2022-10-24T00:00:00"/>
    <s v="Week42"/>
    <d v="2022-10-01T00:00:00"/>
    <s v="DRY220045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5"/>
    <n v="55"/>
    <m/>
    <n v="0"/>
    <n v="0"/>
    <m/>
    <m/>
    <m/>
  </r>
  <r>
    <x v="290"/>
    <d v="2022-10-25T00:00:00"/>
    <s v="Week42"/>
    <d v="2022-10-01T00:00:00"/>
    <s v="DRY220045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82"/>
    <n v="182"/>
    <m/>
    <n v="0"/>
    <n v="0"/>
    <m/>
    <m/>
    <m/>
  </r>
  <r>
    <x v="290"/>
    <d v="2022-10-22T00:00:00"/>
    <s v="Week42"/>
    <d v="2022-10-01T00:00:00"/>
    <s v="RNE2200254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427"/>
    <n v="427"/>
    <m/>
    <n v="0"/>
    <n v="0"/>
    <n v="0"/>
    <n v="6"/>
    <n v="0"/>
  </r>
  <r>
    <x v="290"/>
    <d v="2022-10-25T00:00:00"/>
    <s v="Week42"/>
    <d v="2022-10-01T00:00:00"/>
    <s v="RNE2200350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86"/>
    <n v="186"/>
    <m/>
    <n v="0"/>
    <n v="0"/>
    <n v="0"/>
    <n v="6"/>
    <n v="0"/>
  </r>
  <r>
    <x v="291"/>
    <d v="2022-10-25T00:00:00"/>
    <s v="Week42"/>
    <d v="2022-10-01T00:00:00"/>
    <s v="DRY220045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10"/>
    <n v="610"/>
    <m/>
    <n v="0"/>
    <n v="0"/>
    <m/>
    <m/>
    <m/>
  </r>
  <r>
    <x v="291"/>
    <d v="2022-10-25T00:00:00"/>
    <s v="Week42"/>
    <d v="2022-10-01T00:00:00"/>
    <s v="DRY220045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91"/>
    <d v="2022-10-25T00:00:00"/>
    <s v="Week42"/>
    <d v="2022-10-01T00:00:00"/>
    <s v="DRY220045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91"/>
    <d v="2022-10-25T00:00:00"/>
    <s v="Week42"/>
    <d v="2022-10-01T00:00:00"/>
    <s v="DRY220046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91"/>
    <d v="2022-10-26T00:00:00"/>
    <s v="Week42"/>
    <d v="2022-10-01T00:00:00"/>
    <s v="DRY220046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68"/>
    <n v="668"/>
    <m/>
    <n v="0"/>
    <n v="0"/>
    <m/>
    <m/>
    <m/>
  </r>
  <r>
    <x v="291"/>
    <d v="2022-10-26T00:00:00"/>
    <s v="Week42"/>
    <d v="2022-10-01T00:00:00"/>
    <s v="DRY220046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24"/>
    <n v="124"/>
    <m/>
    <n v="0"/>
    <n v="0"/>
    <m/>
    <m/>
    <m/>
  </r>
  <r>
    <x v="291"/>
    <d v="2022-10-26T00:00:00"/>
    <s v="Week42"/>
    <d v="2022-10-01T00:00:00"/>
    <s v="DRY220046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13"/>
    <n v="113"/>
    <m/>
    <n v="0"/>
    <n v="0"/>
    <m/>
    <m/>
    <m/>
  </r>
  <r>
    <x v="291"/>
    <d v="2022-10-25T00:00:00"/>
    <s v="Week42"/>
    <d v="2022-10-01T00:00:00"/>
    <s v="RNE2200350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606"/>
    <n v="606"/>
    <m/>
    <n v="0"/>
    <n v="0"/>
    <n v="0"/>
    <n v="6"/>
    <n v="0"/>
  </r>
  <r>
    <x v="292"/>
    <d v="2022-10-27T00:00:00"/>
    <s v="Week42"/>
    <d v="2022-10-01T00:00:00"/>
    <s v="DRY2200201"/>
    <s v="USA"/>
    <s v="Bellisio Foods, Inc."/>
    <s v="C-Wonton"/>
    <s v="C-Wonton"/>
    <x v="7"/>
    <s v="Cooked Minced Wonton Soup No Egg"/>
    <s v="082SKBW36005P00001"/>
    <s v="145g*6c*6"/>
    <n v="36"/>
    <n v="5"/>
    <n v="8.0000000000000002E-3"/>
    <s v="BK"/>
    <s v="Salt"/>
    <s v="Regular"/>
    <n v="500"/>
    <n v="500"/>
    <m/>
    <n v="0"/>
    <n v="0"/>
    <m/>
    <m/>
    <m/>
  </r>
  <r>
    <x v="292"/>
    <d v="2022-11-01T00:00:00"/>
    <s v="Week42"/>
    <d v="2022-10-01T00:00:00"/>
    <s v="DRY2200513"/>
    <s v="Malay"/>
    <s v="CPM Malaysia"/>
    <s v="C-Wonton"/>
    <s v="C-Wonton"/>
    <x v="1"/>
    <s v="Cooked Wonton No Egg  "/>
    <s v="082S85I24005P01001"/>
    <s v="145g*24"/>
    <n v="24"/>
    <n v="5"/>
    <n v="8.0000000000000002E-3"/>
    <s v="M"/>
    <s v="STPP"/>
    <s v="Regular"/>
    <n v="1000"/>
    <n v="1000"/>
    <n v="10"/>
    <n v="10"/>
    <n v="0"/>
    <m/>
    <m/>
    <m/>
  </r>
  <r>
    <x v="292"/>
    <m/>
    <s v="Week42"/>
    <d v="2022-10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3713"/>
    <n v="3713"/>
    <m/>
    <n v="0"/>
    <n v="0"/>
    <m/>
    <m/>
    <m/>
  </r>
  <r>
    <x v="292"/>
    <d v="2022-10-25T00:00:00"/>
    <s v="Week42"/>
    <d v="2022-10-01T00:00:00"/>
    <s v="RNE2200350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616"/>
    <n v="616"/>
    <m/>
    <n v="0"/>
    <n v="0"/>
    <n v="0"/>
    <n v="6"/>
    <n v="0"/>
  </r>
  <r>
    <x v="293"/>
    <s v="RD"/>
    <s v="Week42"/>
    <d v="2022-10-01T00:00:00"/>
    <s v="ขายภายใน"/>
    <s v="MTFS"/>
    <s v="ซีพีเอฟ เทรดดิ้ง"/>
    <s v="C-Wonton"/>
    <s v="C-Wonton"/>
    <x v="12"/>
    <s v="Cooked Wonton  with egg V-Food"/>
    <s v="082S83Q12005P05000"/>
    <s v="145g*12"/>
    <n v="12"/>
    <n v="5"/>
    <n v="8.0000000000000002E-3"/>
    <s v="M"/>
    <s v="STPP"/>
    <s v="Regular"/>
    <n v="12"/>
    <m/>
    <n v="12"/>
    <n v="0"/>
    <n v="0"/>
    <m/>
    <m/>
    <m/>
  </r>
  <r>
    <x v="293"/>
    <m/>
    <s v="Week42"/>
    <d v="2022-10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10000"/>
    <n v="9958"/>
    <m/>
    <n v="-42"/>
    <n v="504"/>
    <m/>
    <m/>
    <m/>
  </r>
  <r>
    <x v="293"/>
    <d v="2022-11-02T00:00:00"/>
    <s v="Week42"/>
    <d v="2022-10-01T00:00:00"/>
    <s v="DRY2200441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104.625"/>
    <m/>
    <n v="235.875"/>
    <n v="131.25"/>
    <n v="0"/>
    <m/>
    <m/>
    <m/>
  </r>
  <r>
    <x v="293"/>
    <m/>
    <s v="Week42"/>
    <d v="2022-10-01T00:00:00"/>
    <s v="ขายภายใน"/>
    <s v="MTFS"/>
    <s v="ซีพีเอฟ เทรดดิ้ง"/>
    <s v="C-Wonton"/>
    <s v="C-Wonton"/>
    <x v="21"/>
    <s v="Cooked Wonton ND with egg "/>
    <s v="082SJ3Q12003P08001"/>
    <s v="211g*12"/>
    <n v="12"/>
    <n v="3"/>
    <n v="6.1999999999999998E-3"/>
    <s v="SS"/>
    <s v="STPP"/>
    <s v="TYNSF"/>
    <n v="615"/>
    <n v="615"/>
    <m/>
    <n v="0"/>
    <n v="0"/>
    <m/>
    <m/>
    <m/>
  </r>
  <r>
    <x v="293"/>
    <d v="2022-10-29T00:00:00"/>
    <s v="Week42"/>
    <d v="2022-10-01T00:00:00"/>
    <s v="RNE2200351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586"/>
    <n v="586"/>
    <m/>
    <n v="0"/>
    <n v="0"/>
    <n v="0"/>
    <n v="6"/>
    <n v="0"/>
  </r>
  <r>
    <x v="294"/>
    <m/>
    <s v="Week42"/>
    <d v="2022-10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3333"/>
    <n v="3321"/>
    <n v="208"/>
    <n v="196"/>
    <n v="0"/>
    <m/>
    <n v="1"/>
    <n v="0"/>
  </r>
  <r>
    <x v="294"/>
    <m/>
    <s v="Week42"/>
    <d v="2022-10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1254"/>
    <n v="1254"/>
    <m/>
    <n v="0"/>
    <n v="0"/>
    <m/>
    <m/>
    <m/>
  </r>
  <r>
    <x v="294"/>
    <m/>
    <s v="Week42"/>
    <d v="2022-10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1000"/>
    <n v="1004"/>
    <n v="13"/>
    <n v="17"/>
    <n v="0"/>
    <m/>
    <n v="1"/>
    <n v="0"/>
  </r>
  <r>
    <x v="294"/>
    <m/>
    <s v="Week42"/>
    <d v="2022-10-01T00:00:00"/>
    <s v="ขายภายใน"/>
    <s v="MTFS"/>
    <s v="ซีพีเอฟ เทรดดิ้ง"/>
    <s v="C-Wonton"/>
    <s v="C-Wonton"/>
    <x v="11"/>
    <s v="Cooked Wonton ND with egg V-Food"/>
    <s v="082SJ3Q12003P07001"/>
    <s v="226g*12"/>
    <n v="12"/>
    <n v="3"/>
    <n v="8.0000000000000002E-3"/>
    <s v="M"/>
    <s v="STPP"/>
    <s v="Regular"/>
    <n v="500"/>
    <n v="503"/>
    <m/>
    <n v="3"/>
    <n v="0"/>
    <m/>
    <m/>
    <m/>
  </r>
  <r>
    <x v="294"/>
    <m/>
    <s v="Week42"/>
    <d v="2022-10-01T00:00:00"/>
    <s v="ขายภายใน"/>
    <s v=".7-11"/>
    <s v="ซีพีเอฟ เทรดดิ้ง"/>
    <s v="C-Wonton"/>
    <s v="C-Wonton"/>
    <x v="21"/>
    <s v="Cooked Wonton ND with egg 7-11"/>
    <s v="082SJ1A12003P01001 "/>
    <s v="211g*12"/>
    <n v="12"/>
    <n v="3"/>
    <n v="6.1999999999999998E-3"/>
    <s v="SS"/>
    <s v="STPP"/>
    <s v="TYNSF"/>
    <n v="2721"/>
    <n v="2721"/>
    <m/>
    <n v="0"/>
    <n v="0"/>
    <m/>
    <m/>
    <m/>
  </r>
  <r>
    <x v="294"/>
    <d v="2022-10-29T00:00:00"/>
    <s v="Week42"/>
    <d v="2022-10-01T00:00:00"/>
    <s v="RNE2200351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538"/>
    <n v="538"/>
    <m/>
    <n v="0"/>
    <n v="0"/>
    <n v="0"/>
    <n v="6"/>
    <n v="0"/>
  </r>
  <r>
    <x v="295"/>
    <m/>
    <s v="Week43"/>
    <d v="2022-10-01T00:00:00"/>
    <m/>
    <m/>
    <m/>
    <m/>
    <m/>
    <x v="0"/>
    <m/>
    <m/>
    <m/>
    <m/>
    <m/>
    <m/>
    <m/>
    <m/>
    <m/>
    <m/>
    <m/>
    <m/>
    <m/>
    <m/>
    <m/>
    <m/>
    <m/>
  </r>
  <r>
    <x v="296"/>
    <d v="2022-10-26T00:00:00"/>
    <s v="Week43"/>
    <d v="2022-10-01T00:00:00"/>
    <s v="DRY220046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79"/>
    <n v="679"/>
    <m/>
    <n v="0"/>
    <n v="0"/>
    <m/>
    <m/>
    <m/>
  </r>
  <r>
    <x v="296"/>
    <d v="2022-10-26T00:00:00"/>
    <s v="Week43"/>
    <d v="2022-10-01T00:00:00"/>
    <s v="DRY220046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96"/>
    <d v="2022-10-26T00:00:00"/>
    <s v="Week43"/>
    <d v="2022-10-01T00:00:00"/>
    <s v="DRY220046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96"/>
    <d v="2022-10-28T00:00:00"/>
    <s v="Week43"/>
    <d v="2022-10-01T00:00:00"/>
    <s v="DRY220046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96"/>
    <d v="2022-10-29T00:00:00"/>
    <s v="Week43"/>
    <d v="2022-10-01T00:00:00"/>
    <s v="DRY220046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18"/>
    <n v="518"/>
    <m/>
    <n v="0"/>
    <n v="0"/>
    <m/>
    <m/>
    <m/>
  </r>
  <r>
    <x v="296"/>
    <d v="2022-10-29T00:00:00"/>
    <s v="Week43"/>
    <d v="2022-10-01T00:00:00"/>
    <s v="RNE2200351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284"/>
    <n v="284"/>
    <n v="2"/>
    <n v="2"/>
    <n v="0"/>
    <n v="0"/>
    <n v="6"/>
    <n v="0"/>
  </r>
  <r>
    <x v="296"/>
    <d v="2022-11-02T00:00:00"/>
    <s v="Week43"/>
    <d v="2022-10-01T00:00:00"/>
    <s v="DRY2200525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254"/>
    <n v="238"/>
    <n v="16"/>
    <n v="0"/>
    <n v="0"/>
    <n v="0"/>
    <n v="6"/>
    <n v="0"/>
  </r>
  <r>
    <x v="297"/>
    <d v="2022-11-08T00:00:00"/>
    <s v="Week43"/>
    <d v="2022-10-01T00:00:00"/>
    <s v="DRY2200506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65"/>
    <n v="23"/>
    <n v="0"/>
    <n v="0"/>
    <m/>
    <m/>
    <m/>
  </r>
  <r>
    <x v="297"/>
    <d v="2022-11-08T00:00:00"/>
    <s v="Week43"/>
    <d v="2022-10-01T00:00:00"/>
    <s v="DRY2200277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297"/>
    <d v="2022-11-15T00:00:00"/>
    <s v="Week43"/>
    <d v="2022-10-01T00:00:00"/>
    <s v="DRY2200566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297"/>
    <d v="2022-11-02T00:00:00"/>
    <s v="Week43"/>
    <d v="2022-10-01T00:00:00"/>
    <s v="DRY2200525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503"/>
    <n v="503"/>
    <m/>
    <n v="0"/>
    <n v="0"/>
    <n v="0"/>
    <n v="6"/>
    <n v="0"/>
  </r>
  <r>
    <x v="298"/>
    <m/>
    <s v="Week43"/>
    <d v="2022-10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5506"/>
    <n v="5506"/>
    <m/>
    <n v="0"/>
    <n v="0"/>
    <m/>
    <m/>
    <m/>
  </r>
  <r>
    <x v="298"/>
    <d v="2022-11-02T00:00:00"/>
    <s v="Week43"/>
    <d v="2022-10-01T00:00:00"/>
    <s v="DRY2200525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514"/>
    <n v="514"/>
    <m/>
    <n v="0"/>
    <n v="0"/>
    <n v="0"/>
    <n v="6"/>
    <n v="0"/>
  </r>
  <r>
    <x v="299"/>
    <d v="2022-10-29T00:00:00"/>
    <s v="Week43"/>
    <d v="2022-10-01T00:00:00"/>
    <s v="DRY220046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74"/>
    <n v="274"/>
    <m/>
    <n v="0"/>
    <n v="0"/>
    <m/>
    <m/>
    <m/>
  </r>
  <r>
    <x v="299"/>
    <d v="2022-11-01T00:00:00"/>
    <s v="Week43"/>
    <d v="2022-10-01T00:00:00"/>
    <s v="DRY220046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99"/>
    <d v="2022-11-01T00:00:00"/>
    <s v="Week43"/>
    <d v="2022-10-01T00:00:00"/>
    <s v="DRY220046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99"/>
    <d v="2022-11-02T00:00:00"/>
    <s v="Week43"/>
    <d v="2022-10-01T00:00:00"/>
    <s v="DRY220046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99"/>
    <d v="2022-11-02T00:00:00"/>
    <s v="Week43"/>
    <d v="2022-10-01T00:00:00"/>
    <s v="DRY220047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299"/>
    <d v="2022-11-03T00:00:00"/>
    <s v="Week43"/>
    <d v="2022-10-01T00:00:00"/>
    <s v="DRY220047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86"/>
    <n v="186"/>
    <m/>
    <n v="0"/>
    <n v="0"/>
    <m/>
    <m/>
    <m/>
  </r>
  <r>
    <x v="299"/>
    <d v="2022-11-03T00:00:00"/>
    <s v="Week43"/>
    <d v="2022-10-01T00:00:00"/>
    <s v="DRY220047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37"/>
    <n v="237"/>
    <m/>
    <n v="0"/>
    <n v="0"/>
    <m/>
    <m/>
    <m/>
  </r>
  <r>
    <x v="299"/>
    <d v="2022-11-02T00:00:00"/>
    <s v="Week43"/>
    <d v="2022-10-01T00:00:00"/>
    <s v="DRY2200525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490"/>
    <n v="490"/>
    <m/>
    <n v="0"/>
    <n v="0"/>
    <n v="0"/>
    <n v="6"/>
    <n v="0"/>
  </r>
  <r>
    <x v="300"/>
    <d v="2022-11-03T00:00:00"/>
    <s v="Week43"/>
    <d v="2022-10-01T00:00:00"/>
    <s v="DRY220047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69"/>
    <n v="369"/>
    <m/>
    <n v="0"/>
    <n v="0"/>
    <m/>
    <m/>
    <m/>
  </r>
  <r>
    <x v="300"/>
    <d v="2022-11-03T00:00:00"/>
    <s v="Week43"/>
    <d v="2022-10-01T00:00:00"/>
    <s v="DRY220047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00"/>
    <d v="2022-11-03T00:00:00"/>
    <s v="Week43"/>
    <d v="2022-10-01T00:00:00"/>
    <s v="DRY220047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00"/>
    <d v="2022-11-07T00:00:00"/>
    <s v="Week43"/>
    <d v="2022-10-01T00:00:00"/>
    <s v="DRY220047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00"/>
    <d v="2022-11-07T00:00:00"/>
    <s v="Week43"/>
    <d v="2022-10-01T00:00:00"/>
    <s v="DRY220047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74"/>
    <n v="474"/>
    <m/>
    <n v="0"/>
    <n v="0"/>
    <m/>
    <m/>
    <m/>
  </r>
  <r>
    <x v="300"/>
    <d v="2022-11-07T00:00:00"/>
    <s v="Week43"/>
    <d v="2022-10-01T00:00:00"/>
    <s v="DRY220047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37"/>
    <n v="237"/>
    <m/>
    <n v="0"/>
    <n v="0"/>
    <m/>
    <m/>
    <m/>
  </r>
  <r>
    <x v="300"/>
    <d v="2022-11-02T00:00:00"/>
    <s v="Week43"/>
    <d v="2022-10-01T00:00:00"/>
    <s v="DRY2200525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295"/>
    <n v="295"/>
    <m/>
    <n v="0"/>
    <n v="0"/>
    <n v="0"/>
    <n v="6"/>
    <n v="0"/>
  </r>
  <r>
    <x v="301"/>
    <d v="2022-11-07T00:00:00"/>
    <s v="Week43"/>
    <d v="2022-10-01T00:00:00"/>
    <s v="RNE2200406"/>
    <s v="China"/>
    <s v="Charoen Pokphand Import&amp;Export Trading (Shanghai) Co., Ltd"/>
    <s v="R-Wonton"/>
    <s v="R-Wonton"/>
    <x v="10"/>
    <s v="Raw Wonton 12 pcs"/>
    <s v="082I95J20012P04001"/>
    <s v="154g*20in"/>
    <n v="20"/>
    <n v="12"/>
    <n v="6.8100000000000001E-3"/>
    <s v="S"/>
    <s v="STPP"/>
    <s v="ซุปซอง 5g."/>
    <n v="483"/>
    <n v="436"/>
    <n v="47"/>
    <n v="0"/>
    <n v="0"/>
    <n v="0"/>
    <n v="2"/>
    <n v="0"/>
  </r>
  <r>
    <x v="301"/>
    <d v="2022-11-07T00:00:00"/>
    <s v="Week43"/>
    <d v="2022-10-01T00:00:00"/>
    <s v="DRY220047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81"/>
    <n v="81"/>
    <m/>
    <n v="0"/>
    <n v="0"/>
    <m/>
    <m/>
    <m/>
  </r>
  <r>
    <x v="301"/>
    <d v="2022-11-07T00:00:00"/>
    <s v="Week43"/>
    <d v="2022-10-01T00:00:00"/>
    <s v="DRY220047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01"/>
    <d v="2022-11-09T00:00:00"/>
    <s v="Week43"/>
    <d v="2022-10-01T00:00:00"/>
    <s v="DRY220047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80"/>
    <n v="380"/>
    <m/>
    <n v="0"/>
    <n v="0"/>
    <m/>
    <m/>
    <m/>
  </r>
  <r>
    <x v="301"/>
    <d v="2022-11-09T00:00:00"/>
    <s v="Week43"/>
    <d v="2022-10-01T00:00:00"/>
    <s v="DRY220047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21"/>
    <n v="221"/>
    <m/>
    <n v="0"/>
    <n v="0"/>
    <m/>
    <m/>
    <m/>
  </r>
  <r>
    <x v="301"/>
    <d v="2022-11-08T00:00:00"/>
    <s v="Week43"/>
    <d v="2022-10-01T00:00:00"/>
    <s v="DRY2200487"/>
    <s v="New Zealand"/>
    <s v="Cuisine 360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301"/>
    <d v="2022-11-15T00:00:00"/>
    <s v="Week43"/>
    <d v="2022-10-01T00:00:00"/>
    <s v="DRY2200520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301"/>
    <m/>
    <s v="Week43"/>
    <d v="2022-10-01T00:00:00"/>
    <s v="DRY2200501"/>
    <s v="AUS"/>
    <s v="CPM Australia"/>
    <s v="C-Wonton"/>
    <s v="C-Wonton ND"/>
    <x v="5"/>
    <s v="Cooked Wonton ND No Egg with Pumpkin_x000a_+ Yu Choy "/>
    <s v="082SJ9U08004P00001"/>
    <s v="305g*8"/>
    <n v="8"/>
    <n v="4"/>
    <n v="7.4999999999999997E-3"/>
    <s v="HC"/>
    <s v="Salt"/>
    <s v="Regular"/>
    <n v="600"/>
    <m/>
    <n v="600"/>
    <n v="0"/>
    <n v="0"/>
    <m/>
    <m/>
    <m/>
  </r>
  <r>
    <x v="301"/>
    <d v="2022-11-12T00:00:00"/>
    <s v="Week43"/>
    <d v="2022-10-01T00:00:00"/>
    <s v="DRY2200514"/>
    <s v="Germany"/>
    <s v=" CPF Distribution (under Paulsen Food)"/>
    <s v="C-Wonton"/>
    <s v="C-Wonton ND"/>
    <x v="5"/>
    <s v="Cooked Wonton ND No Egg with Pumpkin _x000a_+ Vegetable  HC  3 pcs"/>
    <s v="082SJ3N12003P01001"/>
    <s v="309g*12"/>
    <n v="12"/>
    <n v="3"/>
    <n v="7.4999999999999997E-3"/>
    <s v="HC"/>
    <s v="Salt"/>
    <s v="Regular"/>
    <n v="2520"/>
    <n v="2520"/>
    <n v="28.583333333333332"/>
    <n v="28.583333333333485"/>
    <n v="0"/>
    <m/>
    <m/>
    <m/>
  </r>
  <r>
    <x v="301"/>
    <d v="2022-11-07T00:00:00"/>
    <s v="Week43"/>
    <d v="2022-10-01T00:00:00"/>
    <s v="RNE2200406"/>
    <s v="China"/>
    <s v="Charoen Pokphand Import&amp;Export Trading (Shanghai) Co., Ltd"/>
    <s v="R-Wonton"/>
    <s v="R-Wonton"/>
    <x v="10"/>
    <s v="Raw Wonton 12 pcs"/>
    <s v="082I95J20012P04001"/>
    <s v="154g*20in"/>
    <n v="20"/>
    <n v="12"/>
    <n v="6.8100000000000001E-3"/>
    <s v="S"/>
    <s v="STPP"/>
    <s v="ซุปซอง 5g."/>
    <n v="1056"/>
    <n v="1056"/>
    <m/>
    <n v="0"/>
    <n v="0"/>
    <n v="0"/>
    <n v="2"/>
    <n v="0"/>
  </r>
  <r>
    <x v="302"/>
    <m/>
    <s v="Week44"/>
    <d v="2022-10-01T00:00:00"/>
    <m/>
    <m/>
    <m/>
    <m/>
    <m/>
    <x v="0"/>
    <m/>
    <m/>
    <m/>
    <m/>
    <m/>
    <m/>
    <m/>
    <m/>
    <m/>
    <m/>
    <m/>
    <m/>
    <m/>
    <m/>
    <m/>
    <m/>
    <m/>
  </r>
  <r>
    <x v="303"/>
    <d v="2022-11-09T00:00:00"/>
    <s v="Week44"/>
    <d v="2022-10-01T00:00:00"/>
    <s v="DRY220047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91"/>
    <n v="191"/>
    <m/>
    <n v="0"/>
    <n v="0"/>
    <m/>
    <m/>
    <m/>
  </r>
  <r>
    <x v="303"/>
    <d v="2022-11-09T00:00:00"/>
    <s v="Week44"/>
    <d v="2022-10-01T00:00:00"/>
    <s v="DRY220047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03"/>
    <d v="2022-11-09T00:00:00"/>
    <s v="Week44"/>
    <d v="2022-10-01T00:00:00"/>
    <s v="DRY220047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03"/>
    <d v="2022-11-11T00:00:00"/>
    <s v="Week44"/>
    <d v="2022-10-01T00:00:00"/>
    <s v="DRY220048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03"/>
    <d v="2022-11-17T00:00:00"/>
    <s v="Week44"/>
    <d v="2022-10-01T00:00:00"/>
    <s v="DRY220048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03"/>
    <d v="2022-11-17T00:00:00"/>
    <s v="Week44"/>
    <d v="2022-10-01T00:00:00"/>
    <s v="DRY220048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22"/>
    <n v="322"/>
    <m/>
    <n v="0"/>
    <n v="0"/>
    <m/>
    <m/>
    <m/>
  </r>
  <r>
    <x v="303"/>
    <d v="2022-11-07T00:00:00"/>
    <s v="Week44"/>
    <d v="2022-10-01T00:00:00"/>
    <s v="RNE2200406"/>
    <s v="China"/>
    <s v="Charoen Pokphand Import&amp;Export Trading (Shanghai) Co., Ltd"/>
    <s v="R-Wonton"/>
    <s v="R-Wonton"/>
    <x v="10"/>
    <s v="Raw Wonton 12 pcs"/>
    <s v="082I95J20012P04001"/>
    <s v="154g*20in"/>
    <n v="20"/>
    <n v="12"/>
    <n v="6.8100000000000001E-3"/>
    <s v="S"/>
    <s v="STPP"/>
    <s v="ซุปซอง 5g."/>
    <n v="1078"/>
    <n v="1078"/>
    <m/>
    <n v="0"/>
    <n v="0"/>
    <n v="0"/>
    <n v="2"/>
    <n v="0"/>
  </r>
  <r>
    <x v="304"/>
    <d v="2022-11-17T00:00:00"/>
    <s v="Week44"/>
    <d v="2022-11-01T00:00:00"/>
    <s v="DRY220048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70"/>
    <n v="470"/>
    <m/>
    <n v="0"/>
    <n v="0"/>
    <m/>
    <m/>
    <m/>
  </r>
  <r>
    <x v="304"/>
    <d v="2022-11-17T00:00:00"/>
    <s v="Week44"/>
    <d v="2022-11-01T00:00:00"/>
    <s v="DRY220048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04"/>
    <d v="2022-11-18T00:00:00"/>
    <s v="Week44"/>
    <d v="2022-11-01T00:00:00"/>
    <s v="DRY220048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04"/>
    <d v="2022-11-18T00:00:00"/>
    <s v="Week44"/>
    <d v="2022-11-01T00:00:00"/>
    <s v="DRY220052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04"/>
    <d v="2022-11-18T00:00:00"/>
    <s v="Week44"/>
    <d v="2022-11-01T00:00:00"/>
    <s v="DRY220052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04"/>
    <d v="2022-11-18T00:00:00"/>
    <s v="Week44"/>
    <d v="2022-11-01T00:00:00"/>
    <s v="DRY220052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9"/>
    <n v="59"/>
    <m/>
    <n v="0"/>
    <n v="0"/>
    <m/>
    <m/>
    <m/>
  </r>
  <r>
    <x v="304"/>
    <d v="2022-11-07T00:00:00"/>
    <s v="Week44"/>
    <d v="2022-11-01T00:00:00"/>
    <s v="RNE2200406"/>
    <s v="China"/>
    <s v="Charoen Pokphand Import&amp;Export Trading (Shanghai) Co., Ltd"/>
    <s v="R-Wonton"/>
    <s v="R-Wonton"/>
    <x v="10"/>
    <s v="Raw Wonton 12 pcs"/>
    <s v="082I95J20012P04001"/>
    <s v="154g*20in"/>
    <n v="20"/>
    <n v="12"/>
    <n v="6.8100000000000001E-3"/>
    <s v="S"/>
    <s v="STPP"/>
    <s v="ซุปซอง 5g."/>
    <n v="727"/>
    <n v="727"/>
    <m/>
    <n v="0"/>
    <n v="0"/>
    <n v="0"/>
    <n v="2"/>
    <n v="0"/>
  </r>
  <r>
    <x v="304"/>
    <d v="2022-11-08T00:00:00"/>
    <s v="Week44"/>
    <d v="2022-11-01T00:00:00"/>
    <s v="DRY2200516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517"/>
    <n v="471"/>
    <n v="46"/>
    <n v="0"/>
    <n v="0"/>
    <n v="0"/>
    <n v="1"/>
    <n v="0"/>
  </r>
  <r>
    <x v="305"/>
    <d v="2022-11-18T00:00:00"/>
    <s v="Week44"/>
    <d v="2022-11-01T00:00:00"/>
    <s v="DRY220052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33"/>
    <n v="733"/>
    <m/>
    <n v="0"/>
    <n v="0"/>
    <m/>
    <m/>
    <m/>
  </r>
  <r>
    <x v="305"/>
    <d v="2022-11-21T00:00:00"/>
    <s v="Week44"/>
    <d v="2022-11-01T00:00:00"/>
    <s v="DRY220052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05"/>
    <d v="2022-11-22T00:00:00"/>
    <s v="Week44"/>
    <d v="2022-11-01T00:00:00"/>
    <s v="DRY220053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05"/>
    <d v="2022-11-22T00:00:00"/>
    <s v="Week44"/>
    <d v="2022-11-01T00:00:00"/>
    <s v="DRY220053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05"/>
    <d v="2022-11-22T00:00:00"/>
    <s v="Week44"/>
    <d v="2022-11-01T00:00:00"/>
    <s v="DRY220053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04"/>
    <n v="504"/>
    <m/>
    <n v="0"/>
    <n v="0"/>
    <m/>
    <m/>
    <m/>
  </r>
  <r>
    <x v="305"/>
    <d v="2022-11-08T00:00:00"/>
    <s v="Week44"/>
    <d v="2022-11-01T00:00:00"/>
    <s v="DRY2200516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1383"/>
    <n v="1383"/>
    <m/>
    <n v="0"/>
    <n v="0"/>
    <n v="0"/>
    <n v="1"/>
    <n v="0"/>
  </r>
  <r>
    <x v="306"/>
    <d v="2022-11-22T00:00:00"/>
    <s v="Week44"/>
    <d v="2022-11-01T00:00:00"/>
    <s v="DRY220053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88"/>
    <n v="288"/>
    <m/>
    <n v="0"/>
    <n v="0"/>
    <m/>
    <m/>
    <m/>
  </r>
  <r>
    <x v="306"/>
    <d v="2022-11-22T00:00:00"/>
    <s v="Week44"/>
    <d v="2022-11-01T00:00:00"/>
    <s v="DRY220053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06"/>
    <d v="2022-11-24T00:00:00"/>
    <s v="Week44"/>
    <d v="2022-11-01T00:00:00"/>
    <s v="DRY220053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06"/>
    <d v="2022-11-24T00:00:00"/>
    <s v="Week44"/>
    <d v="2022-11-01T00:00:00"/>
    <s v="DRY220053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06"/>
    <d v="2022-11-24T00:00:00"/>
    <s v="Week44"/>
    <d v="2022-11-01T00:00:00"/>
    <s v="DRY220053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512"/>
    <n v="280"/>
    <n v="0"/>
    <n v="0"/>
    <m/>
    <m/>
    <m/>
  </r>
  <r>
    <x v="306"/>
    <d v="2022-11-24T00:00:00"/>
    <s v="Week44"/>
    <d v="2022-11-01T00:00:00"/>
    <s v="DRY220053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3"/>
    <m/>
    <n v="43.444444444444443"/>
    <n v="0.44444444444444287"/>
    <n v="0"/>
    <m/>
    <m/>
    <m/>
  </r>
  <r>
    <x v="306"/>
    <d v="2022-11-09T00:00:00"/>
    <s v="Week44"/>
    <d v="2022-11-01T00:00:00"/>
    <s v="DRY2200349"/>
    <s v="USA"/>
    <s v="Bellisio Foods, Inc."/>
    <s v="C-Wonton"/>
    <s v="C-Wonton ND"/>
    <x v="26"/>
    <s v="Cooked Wonton ND No Egg with Pumpkin_x000a_+ Yu Choy Low sodium"/>
    <s v="082SRBW24005P01001"/>
    <s v="308g*4c*6in"/>
    <n v="24"/>
    <n v="5"/>
    <n v="7.4999999999999997E-3"/>
    <s v="BK"/>
    <s v="Salt"/>
    <s v="Y3"/>
    <n v="250"/>
    <n v="250"/>
    <m/>
    <n v="0"/>
    <n v="0"/>
    <m/>
    <m/>
    <m/>
  </r>
  <r>
    <x v="306"/>
    <d v="2022-11-16T00:00:00"/>
    <s v="Week44"/>
    <d v="2022-11-01T00:00:00"/>
    <s v="DRY2200523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35"/>
    <n v="535"/>
    <m/>
    <n v="0"/>
    <n v="0"/>
    <n v="0"/>
    <n v="2"/>
    <n v="0"/>
  </r>
  <r>
    <x v="307"/>
    <m/>
    <s v="Week44"/>
    <d v="2022-11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5496"/>
    <n v="5496"/>
    <m/>
    <n v="0"/>
    <n v="0"/>
    <m/>
    <m/>
    <m/>
  </r>
  <r>
    <x v="307"/>
    <d v="2022-11-16T00:00:00"/>
    <s v="Week44"/>
    <d v="2022-11-01T00:00:00"/>
    <s v="DRY2200523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10"/>
    <n v="510"/>
    <m/>
    <n v="0"/>
    <n v="0"/>
    <n v="0"/>
    <n v="2"/>
    <n v="0"/>
  </r>
  <r>
    <x v="308"/>
    <d v="2022-11-22T00:00:00"/>
    <s v="Week44"/>
    <d v="2022-11-01T00:00:00"/>
    <s v="DRY2200567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308"/>
    <d v="2022-12-15T00:00:00"/>
    <s v="Week44"/>
    <d v="2022-11-01T00:00:00"/>
    <s v="DRY2200351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308"/>
    <d v="2022-12-15T00:00:00"/>
    <s v="Week44"/>
    <d v="2022-11-01T00:00:00"/>
    <s v="DRY2200355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368"/>
    <n v="368"/>
    <m/>
    <n v="0"/>
    <n v="0"/>
    <m/>
    <m/>
    <m/>
  </r>
  <r>
    <x v="308"/>
    <d v="2022-11-15T00:00:00"/>
    <s v="Week44"/>
    <d v="2022-11-01T00:00:00"/>
    <s v="DRY2200503"/>
    <s v="Denmark"/>
    <s v="Paulsen Food"/>
    <s v="C-Wonton ND"/>
    <s v="Wonton ND+V"/>
    <x v="8"/>
    <s v="Cooked Wonton ND No Egg with Pumpkin _x000a_+ Vegetable  HC  3 pcs tomyam"/>
    <s v="082SJKW08003P00001"/>
    <s v="309g*8"/>
    <n v="8"/>
    <n v="3"/>
    <n v="7.4999999999999997E-3"/>
    <s v="M"/>
    <s v="Salt"/>
    <s v="TYANS+CM"/>
    <n v="3500"/>
    <m/>
    <n v="3545.625"/>
    <n v="45.625"/>
    <n v="0"/>
    <m/>
    <m/>
    <m/>
  </r>
  <r>
    <x v="308"/>
    <d v="2022-11-16T00:00:00"/>
    <s v="Week44"/>
    <d v="2022-11-01T00:00:00"/>
    <s v="DRY2200523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27"/>
    <n v="527"/>
    <m/>
    <n v="0"/>
    <n v="0"/>
    <n v="0"/>
    <n v="2"/>
    <n v="0"/>
  </r>
  <r>
    <x v="309"/>
    <m/>
    <s v="Week45"/>
    <d v="2022-11-01T00:00:00"/>
    <m/>
    <m/>
    <m/>
    <m/>
    <m/>
    <x v="0"/>
    <m/>
    <m/>
    <m/>
    <m/>
    <m/>
    <m/>
    <m/>
    <m/>
    <m/>
    <m/>
    <m/>
    <m/>
    <m/>
    <m/>
    <m/>
    <m/>
    <m/>
  </r>
  <r>
    <x v="310"/>
    <m/>
    <s v="Week45"/>
    <d v="2022-11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4988"/>
    <n v="4988"/>
    <m/>
    <n v="0"/>
    <n v="0"/>
    <m/>
    <m/>
    <m/>
  </r>
  <r>
    <x v="310"/>
    <d v="2022-12-01T00:00:00"/>
    <s v="Week45"/>
    <d v="2022-11-01T00:00:00"/>
    <s v="DRY2200572"/>
    <s v="SG"/>
    <s v="CPI SINGAPORE"/>
    <s v="C-Wonton"/>
    <s v="C-Wonton"/>
    <x v="2"/>
    <s v="Cooked Wonton No Egg"/>
    <s v="082S83B24005P06001"/>
    <s v="115g*24"/>
    <n v="24"/>
    <n v="5"/>
    <n v="8.0000000000000002E-3"/>
    <s v="M"/>
    <s v="STPP"/>
    <s v="TYTB3C 30G"/>
    <n v="600"/>
    <n v="600"/>
    <n v="2.8333333333333335"/>
    <n v="2.8333333333333712"/>
    <n v="0"/>
    <m/>
    <n v="1"/>
    <n v="0"/>
  </r>
  <r>
    <x v="310"/>
    <d v="2022-11-16T00:00:00"/>
    <s v="Week45"/>
    <d v="2022-11-01T00:00:00"/>
    <s v="DRY2200523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2"/>
    <n v="52"/>
    <m/>
    <n v="0"/>
    <n v="0"/>
    <n v="0"/>
    <n v="2"/>
    <n v="0"/>
  </r>
  <r>
    <x v="310"/>
    <d v="2022-11-23T00:00:00"/>
    <s v="Week45"/>
    <d v="2022-11-01T00:00:00"/>
    <s v="DRY2200524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459"/>
    <n v="459"/>
    <m/>
    <n v="0"/>
    <n v="0"/>
    <n v="0"/>
    <n v="2"/>
    <n v="0"/>
  </r>
  <r>
    <x v="311"/>
    <d v="2022-12-15T00:00:00"/>
    <s v="Week45"/>
    <d v="2022-11-01T00:00:00"/>
    <s v="DRY2200355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920"/>
    <n v="920"/>
    <m/>
    <n v="0"/>
    <n v="0"/>
    <m/>
    <m/>
    <m/>
  </r>
  <r>
    <x v="311"/>
    <d v="2022-11-17T00:00:00"/>
    <s v="Week45"/>
    <d v="2022-11-01T00:00:00"/>
    <s v="DRY2200577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</r>
  <r>
    <x v="311"/>
    <d v="2022-11-24T00:00:00"/>
    <s v="Week45"/>
    <d v="2022-11-01T00:00:00"/>
    <s v="DRY2200578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</r>
  <r>
    <x v="311"/>
    <d v="2022-11-25T00:00:00"/>
    <s v="Week45"/>
    <d v="2022-11-01T00:00:00"/>
    <s v="DRY2200579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34"/>
    <n v="34"/>
    <m/>
    <n v="0"/>
    <n v="0"/>
    <m/>
    <m/>
    <m/>
  </r>
  <r>
    <x v="311"/>
    <d v="2022-11-23T00:00:00"/>
    <s v="Week45"/>
    <d v="2022-11-01T00:00:00"/>
    <s v="DRY2200524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16"/>
    <n v="516"/>
    <m/>
    <n v="0"/>
    <n v="0"/>
    <n v="0"/>
    <n v="2"/>
    <n v="0"/>
  </r>
  <r>
    <x v="312"/>
    <d v="2022-11-25T00:00:00"/>
    <s v="Week45"/>
    <d v="2022-11-01T00:00:00"/>
    <s v="DRY2200579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54"/>
    <n v="1254"/>
    <m/>
    <n v="0"/>
    <n v="0"/>
    <m/>
    <m/>
    <m/>
  </r>
  <r>
    <x v="312"/>
    <d v="2022-11-25T00:00:00"/>
    <s v="Week45"/>
    <d v="2022-11-01T00:00:00"/>
    <s v="DRY2200580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021"/>
    <n v="267"/>
    <n v="0"/>
    <n v="0"/>
    <m/>
    <m/>
    <m/>
  </r>
  <r>
    <x v="312"/>
    <d v="2022-12-01T00:00:00"/>
    <s v="Week45"/>
    <d v="2022-11-01T00:00:00"/>
    <s v="DRY2200571"/>
    <s v="SG"/>
    <s v="CPI SINGAPORE"/>
    <s v="C-Wonton"/>
    <s v="C-Wonton"/>
    <x v="1"/>
    <s v="Cooked Wonton No Egg"/>
    <s v="082S83B24005P07001"/>
    <s v="145g*24"/>
    <n v="24"/>
    <n v="5"/>
    <n v="8.0000000000000002E-3"/>
    <s v="M"/>
    <s v="STPP"/>
    <s v="Regular"/>
    <n v="600"/>
    <n v="600"/>
    <n v="17.833333333333332"/>
    <n v="17.833333333333371"/>
    <n v="0"/>
    <m/>
    <m/>
    <m/>
  </r>
  <r>
    <x v="312"/>
    <d v="2022-12-21T00:00:00"/>
    <s v="Week45"/>
    <d v="2022-11-01T00:00:00"/>
    <s v="DRY2200358"/>
    <s v="USA"/>
    <s v="Bellisio Foods, Inc."/>
    <s v="C-Wonton"/>
    <s v="C-Wonton ND"/>
    <x v="7"/>
    <s v="Cooked Minced Wonton No Egg"/>
    <s v="082SKBW08005P00001"/>
    <s v="145g*8"/>
    <n v="8"/>
    <n v="5"/>
    <n v="8.0000000000000002E-3"/>
    <s v="BK"/>
    <s v="Salt"/>
    <s v="Regular"/>
    <n v="400"/>
    <m/>
    <n v="400"/>
    <n v="0"/>
    <n v="0"/>
    <m/>
    <m/>
    <m/>
  </r>
  <r>
    <x v="312"/>
    <d v="2022-12-23T00:00:00"/>
    <s v="Week45"/>
    <d v="2022-11-01T00:00:00"/>
    <s v="DRY2200359"/>
    <s v="USA"/>
    <s v="Bellisio Foods, Inc."/>
    <s v="C-Wonton"/>
    <s v="C-Wonton ND"/>
    <x v="7"/>
    <s v="Cooked Minced Wonton No Egg"/>
    <s v="082SKBW08005P00001"/>
    <s v="145g*8"/>
    <n v="8"/>
    <n v="5"/>
    <n v="8.0000000000000002E-3"/>
    <s v="BK"/>
    <s v="Salt"/>
    <s v="Regular"/>
    <n v="550"/>
    <m/>
    <n v="550"/>
    <n v="0"/>
    <n v="0"/>
    <m/>
    <m/>
    <m/>
  </r>
  <r>
    <x v="312"/>
    <d v="2022-11-23T00:00:00"/>
    <s v="Week45"/>
    <d v="2022-11-01T00:00:00"/>
    <s v="DRY2200350"/>
    <s v="USA"/>
    <s v="Bellisio Foods, Inc."/>
    <s v="C-Wonton"/>
    <s v="C-Wonton ND"/>
    <x v="3"/>
    <s v="Cooked Minced Wonton Noodle No Egg"/>
    <s v="082SRBW24005P00001"/>
    <s v="258g*4c*6in"/>
    <n v="24"/>
    <n v="5"/>
    <n v="8.0000000000000002E-3"/>
    <s v="BK"/>
    <s v="Salt"/>
    <s v="Regular"/>
    <n v="700"/>
    <n v="690"/>
    <m/>
    <n v="-10"/>
    <n v="240"/>
    <m/>
    <m/>
    <m/>
  </r>
  <r>
    <x v="312"/>
    <d v="2022-11-23T00:00:00"/>
    <s v="Week45"/>
    <d v="2022-11-01T00:00:00"/>
    <s v="DRY2200524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20"/>
    <n v="520"/>
    <m/>
    <n v="0"/>
    <n v="0"/>
    <n v="0"/>
    <n v="2"/>
    <n v="0"/>
  </r>
  <r>
    <x v="313"/>
    <d v="2022-11-16T00:00:00"/>
    <s v="Week45"/>
    <d v="2022-11-01T00:00:00"/>
    <s v="DRY2200568"/>
    <s v="New Zealand"/>
    <s v="Cuisine 360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313"/>
    <d v="2022-11-23T00:00:00"/>
    <s v="Week45"/>
    <d v="2022-11-01T00:00:00"/>
    <s v="DRY2200598"/>
    <s v="New Zealand"/>
    <s v="Cuisine 360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313"/>
    <d v="2022-11-30T00:00:00"/>
    <s v="Week45"/>
    <d v="2022-11-01T00:00:00"/>
    <s v="DRY2200599"/>
    <s v="New Zealand"/>
    <s v="Cuisine 360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313"/>
    <d v="2022-11-30T00:00:00"/>
    <s v="Week45"/>
    <d v="2022-11-01T00:00:00"/>
    <s v="DRY2200582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313"/>
    <d v="2022-12-01T00:00:00"/>
    <s v="Week45"/>
    <d v="2022-11-01T00:00:00"/>
    <s v="DRY2200573"/>
    <s v="SG"/>
    <s v="CPI Singapore"/>
    <s v="C-Wonton"/>
    <s v="C-Wonton ND"/>
    <x v="5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500"/>
    <n v="500"/>
    <n v="28.25"/>
    <n v="28.25"/>
    <n v="0"/>
    <m/>
    <m/>
    <m/>
  </r>
  <r>
    <x v="313"/>
    <d v="2022-11-23T00:00:00"/>
    <s v="Week45"/>
    <d v="2022-11-01T00:00:00"/>
    <s v="DRY2200524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129"/>
    <n v="129"/>
    <m/>
    <n v="0"/>
    <n v="0"/>
    <n v="0"/>
    <n v="2"/>
    <n v="0"/>
  </r>
  <r>
    <x v="313"/>
    <d v="2022-11-28T00:00:00"/>
    <s v="Week45"/>
    <d v="2022-11-01T00:00:00"/>
    <s v="DRY2200569"/>
    <s v="HK"/>
    <s v="CPM Hongkong"/>
    <s v="R-Wonton"/>
    <s v="R-Mince"/>
    <x v="9"/>
    <s v="Raw Minced Wonton 8 pcs"/>
    <s v="082ID3G18008P00001"/>
    <s v="90g*18in"/>
    <n v="18"/>
    <n v="8"/>
    <n v="5.0000000000000001E-3"/>
    <s v="BK"/>
    <s v="STPP"/>
    <s v="ซุปซอง 5g."/>
    <n v="400"/>
    <n v="367"/>
    <n v="33"/>
    <n v="0"/>
    <n v="0"/>
    <n v="0"/>
    <n v="2"/>
    <n v="0"/>
  </r>
  <r>
    <x v="313"/>
    <d v="2022-11-28T00:00:00"/>
    <s v="Week45"/>
    <d v="2022-11-01T00:00:00"/>
    <s v="DRY2200569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772"/>
    <n v="656"/>
    <n v="116"/>
    <n v="0"/>
    <n v="0"/>
    <n v="0"/>
    <n v="1"/>
    <n v="0"/>
  </r>
  <r>
    <x v="314"/>
    <d v="2022-11-24T00:00:00"/>
    <s v="Week45"/>
    <d v="2022-11-01T00:00:00"/>
    <s v="DRY220053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49"/>
    <n v="749"/>
    <m/>
    <n v="0"/>
    <n v="0"/>
    <m/>
    <m/>
    <m/>
  </r>
  <r>
    <x v="314"/>
    <d v="2022-11-25T00:00:00"/>
    <s v="Week45"/>
    <d v="2022-11-01T00:00:00"/>
    <s v="DRY220053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12"/>
    <n v="612"/>
    <m/>
    <n v="0"/>
    <n v="0"/>
    <m/>
    <m/>
    <m/>
  </r>
  <r>
    <x v="314"/>
    <d v="2022-11-28T00:00:00"/>
    <s v="Week45"/>
    <d v="2022-11-01T00:00:00"/>
    <s v="DRY2200569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728"/>
    <n v="728"/>
    <m/>
    <n v="0"/>
    <n v="0"/>
    <n v="0"/>
    <n v="1"/>
    <n v="0"/>
  </r>
  <r>
    <x v="314"/>
    <d v="2022-12-01T00:00:00"/>
    <s v="Week45"/>
    <d v="2022-11-01T00:00:00"/>
    <s v="DRY2200575"/>
    <s v="SG"/>
    <s v="CPI SINGAPORE"/>
    <s v="R-Wonton"/>
    <s v="R-Wonton"/>
    <x v="18"/>
    <s v="Raw Wonton 50 pcs (Fried Sheet)"/>
    <s v="082I93B10050P04001"/>
    <s v="600g*10inner"/>
    <n v="10"/>
    <n v="50"/>
    <n v="6.8100000000000001E-3"/>
    <s v="S"/>
    <s v="STPP"/>
    <s v="-"/>
    <n v="200"/>
    <n v="200"/>
    <m/>
    <n v="0"/>
    <n v="0"/>
    <n v="0"/>
    <m/>
    <n v="0"/>
  </r>
  <r>
    <x v="315"/>
    <m/>
    <s v="Week45"/>
    <d v="2022-11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5573"/>
    <n v="5573"/>
    <m/>
    <n v="0"/>
    <n v="0"/>
    <m/>
    <m/>
    <m/>
  </r>
  <r>
    <x v="315"/>
    <d v="2022-11-23T00:00:00"/>
    <s v="Week45"/>
    <d v="2022-11-01T00:00:00"/>
    <s v="DRY2200350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</r>
  <r>
    <x v="315"/>
    <d v="2022-12-21T00:00:00"/>
    <s v="Week45"/>
    <d v="2022-11-01T00:00:00"/>
    <s v="DRY2200358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</r>
  <r>
    <x v="315"/>
    <d v="2022-12-23T00:00:00"/>
    <s v="Week45"/>
    <d v="2022-11-01T00:00:00"/>
    <s v="DRY2200359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</r>
  <r>
    <x v="315"/>
    <d v="2022-12-01T00:00:00"/>
    <s v="Week45"/>
    <d v="2022-11-01T00:00:00"/>
    <s v="DRY2200570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602"/>
    <n v="602"/>
    <m/>
    <n v="0"/>
    <n v="0"/>
    <n v="0"/>
    <n v="2"/>
    <n v="0"/>
  </r>
  <r>
    <x v="316"/>
    <m/>
    <s v="Week46"/>
    <d v="2022-11-01T00:00:00"/>
    <m/>
    <m/>
    <m/>
    <m/>
    <m/>
    <x v="0"/>
    <m/>
    <m/>
    <m/>
    <m/>
    <m/>
    <m/>
    <m/>
    <m/>
    <m/>
    <m/>
    <m/>
    <m/>
    <m/>
    <m/>
    <m/>
    <m/>
    <m/>
  </r>
  <r>
    <x v="317"/>
    <d v="2022-11-25T00:00:00"/>
    <s v="Week46"/>
    <d v="2022-11-01T00:00:00"/>
    <s v="DRY220053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80"/>
    <n v="180"/>
    <m/>
    <n v="0"/>
    <n v="0"/>
    <m/>
    <m/>
    <m/>
  </r>
  <r>
    <x v="317"/>
    <d v="2022-11-29T00:00:00"/>
    <s v="Week46"/>
    <d v="2022-11-01T00:00:00"/>
    <s v="DRY220053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17"/>
    <d v="2022-11-29T00:00:00"/>
    <s v="Week46"/>
    <d v="2022-11-01T00:00:00"/>
    <s v="DRY220054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17"/>
    <d v="2022-11-29T00:00:00"/>
    <s v="Week46"/>
    <d v="2022-11-01T00:00:00"/>
    <s v="DRY220054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17"/>
    <d v="2022-11-30T00:00:00"/>
    <s v="Week46"/>
    <d v="2022-11-01T00:00:00"/>
    <s v="DRY220054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17"/>
    <d v="2022-12-01T00:00:00"/>
    <s v="Week46"/>
    <d v="2022-11-01T00:00:00"/>
    <s v="DRY220054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23"/>
    <n v="323"/>
    <m/>
    <n v="0"/>
    <n v="0"/>
    <m/>
    <m/>
    <m/>
  </r>
  <r>
    <x v="317"/>
    <d v="2022-12-01T00:00:00"/>
    <s v="Week46"/>
    <d v="2022-11-01T00:00:00"/>
    <s v="DRY2200570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1064"/>
    <n v="1064"/>
    <m/>
    <n v="0"/>
    <n v="0"/>
    <n v="0"/>
    <n v="2"/>
    <n v="0"/>
  </r>
  <r>
    <x v="318"/>
    <d v="2022-12-01T00:00:00"/>
    <s v="Week46"/>
    <d v="2022-11-01T00:00:00"/>
    <s v="DRY220054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69"/>
    <n v="469"/>
    <m/>
    <n v="0"/>
    <n v="0"/>
    <m/>
    <m/>
    <m/>
  </r>
  <r>
    <x v="318"/>
    <d v="2022-12-01T00:00:00"/>
    <s v="Week46"/>
    <d v="2022-11-01T00:00:00"/>
    <s v="DRY220054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18"/>
    <d v="2022-12-02T00:00:00"/>
    <s v="Week46"/>
    <d v="2022-11-01T00:00:00"/>
    <s v="DRY220054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18"/>
    <d v="2022-12-02T00:00:00"/>
    <s v="Week46"/>
    <d v="2022-11-01T00:00:00"/>
    <s v="DRY220054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18"/>
    <d v="2022-12-02T00:00:00"/>
    <s v="Week46"/>
    <d v="2022-11-01T00:00:00"/>
    <s v="DRY220054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09"/>
    <n v="509"/>
    <m/>
    <n v="0"/>
    <n v="0"/>
    <m/>
    <m/>
    <m/>
  </r>
  <r>
    <x v="318"/>
    <d v="2022-12-01T00:00:00"/>
    <s v="Week46"/>
    <d v="2022-11-01T00:00:00"/>
    <s v="DRY2200570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1108"/>
    <n v="1108"/>
    <m/>
    <n v="0"/>
    <n v="0"/>
    <n v="0"/>
    <n v="2"/>
    <n v="0"/>
  </r>
  <r>
    <x v="319"/>
    <d v="2022-12-27T00:00:00"/>
    <s v="Week46"/>
    <d v="2022-11-01T00:00:00"/>
    <s v="DRY2200583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319"/>
    <d v="2022-12-02T00:00:00"/>
    <s v="Week46"/>
    <d v="2022-11-01T00:00:00"/>
    <s v="DRY220054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83"/>
    <n v="283"/>
    <m/>
    <n v="0"/>
    <n v="0"/>
    <m/>
    <m/>
    <m/>
  </r>
  <r>
    <x v="319"/>
    <d v="2022-12-02T00:00:00"/>
    <s v="Week46"/>
    <d v="2022-11-01T00:00:00"/>
    <s v="DRY220054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32"/>
    <n v="732"/>
    <m/>
    <n v="0"/>
    <n v="0"/>
    <m/>
    <m/>
    <m/>
  </r>
  <r>
    <x v="319"/>
    <d v="2022-11-29T00:00:00"/>
    <s v="Week46"/>
    <d v="2022-11-01T00:00:00"/>
    <s v="DRY2200350"/>
    <s v="USA"/>
    <s v="Bellisio Foods, Inc."/>
    <s v="C-Wonton"/>
    <s v="C-Wonton ND"/>
    <x v="26"/>
    <s v="Cooked Wonton ND No Egg with Pumpkin_x000a_+ Yu Choy Low sodium"/>
    <s v="082SRBW24005P01001"/>
    <s v="308g*4c*6in"/>
    <n v="24"/>
    <n v="5"/>
    <n v="7.4999999999999997E-3"/>
    <s v="BK"/>
    <s v="Salt"/>
    <s v="Y3"/>
    <n v="250"/>
    <n v="250"/>
    <m/>
    <n v="0"/>
    <n v="0"/>
    <m/>
    <m/>
    <m/>
  </r>
  <r>
    <x v="319"/>
    <d v="2022-12-21T00:00:00"/>
    <s v="Week46"/>
    <d v="2022-11-01T00:00:00"/>
    <s v="DRY2200358"/>
    <s v="USA"/>
    <s v="Bellisio Foods, Inc."/>
    <s v="C-Wonton"/>
    <s v="C-Wonton ND"/>
    <x v="26"/>
    <s v="Cooked Wonton ND No Egg with Pumpkin_x000a_+ Yu Choy Low sodium"/>
    <s v="082SRBW24005P01001"/>
    <s v="308g*4c*6in"/>
    <n v="24"/>
    <n v="5"/>
    <n v="7.4999999999999997E-3"/>
    <s v="BK"/>
    <s v="Salt"/>
    <s v="Y3"/>
    <n v="250"/>
    <n v="250"/>
    <m/>
    <n v="0"/>
    <n v="0"/>
    <m/>
    <m/>
    <m/>
  </r>
  <r>
    <x v="319"/>
    <d v="2022-12-23T00:00:00"/>
    <s v="Week46"/>
    <d v="2022-11-01T00:00:00"/>
    <s v="DRY2200359"/>
    <s v="USA"/>
    <s v="Bellisio Foods, Inc."/>
    <s v="C-Wonton"/>
    <s v="C-Wonton ND"/>
    <x v="26"/>
    <s v="Cooked Wonton ND No Egg with Pumpkin_x000a_+ Yu Choy Low sodium"/>
    <s v="082SRBW24005P01001"/>
    <s v="308g*4c*6in"/>
    <n v="24"/>
    <n v="5"/>
    <n v="7.4999999999999997E-3"/>
    <s v="BK"/>
    <s v="Salt"/>
    <s v="Y3"/>
    <n v="150"/>
    <n v="114"/>
    <n v="52.25"/>
    <n v="16.25"/>
    <n v="0"/>
    <m/>
    <m/>
    <m/>
  </r>
  <r>
    <x v="319"/>
    <d v="2022-12-01T00:00:00"/>
    <s v="Week46"/>
    <d v="2022-11-01T00:00:00"/>
    <s v="DRY2200570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1112"/>
    <n v="1112"/>
    <m/>
    <n v="0"/>
    <n v="0"/>
    <n v="0"/>
    <n v="2"/>
    <n v="0"/>
  </r>
  <r>
    <x v="320"/>
    <m/>
    <s v="Week46"/>
    <d v="2022-11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5525"/>
    <n v="5525"/>
    <m/>
    <n v="0"/>
    <n v="0"/>
    <m/>
    <m/>
    <m/>
  </r>
  <r>
    <x v="320"/>
    <d v="2022-12-01T00:00:00"/>
    <s v="Week46"/>
    <d v="2022-11-01T00:00:00"/>
    <s v="DRY2200570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992"/>
    <n v="992"/>
    <m/>
    <n v="0"/>
    <n v="0"/>
    <n v="0"/>
    <n v="2"/>
    <n v="0"/>
  </r>
  <r>
    <x v="321"/>
    <d v="2022-12-02T00:00:00"/>
    <s v="Week46"/>
    <d v="2022-11-01T00:00:00"/>
    <s v="DRY220054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0"/>
    <n v="60"/>
    <m/>
    <n v="0"/>
    <n v="0"/>
    <m/>
    <m/>
    <m/>
  </r>
  <r>
    <x v="321"/>
    <d v="2022-12-02T00:00:00"/>
    <s v="Week46"/>
    <d v="2022-11-01T00:00:00"/>
    <s v="DRY220054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21"/>
    <d v="2022-12-07T00:00:00"/>
    <s v="Week46"/>
    <d v="2022-11-01T00:00:00"/>
    <s v="DRY220055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21"/>
    <d v="2022-12-07T00:00:00"/>
    <s v="Week46"/>
    <d v="2022-11-01T00:00:00"/>
    <s v="DRY220055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21"/>
    <d v="2022-12-07T00:00:00"/>
    <s v="Week46"/>
    <d v="2022-11-01T00:00:00"/>
    <s v="DRY220055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21"/>
    <d v="2022-12-09T00:00:00"/>
    <s v="Week46"/>
    <d v="2022-11-01T00:00:00"/>
    <s v="DRY220055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32"/>
    <n v="432"/>
    <m/>
    <n v="0"/>
    <n v="0"/>
    <m/>
    <m/>
    <m/>
  </r>
  <r>
    <x v="321"/>
    <d v="2022-12-01T00:00:00"/>
    <s v="Week46"/>
    <d v="2022-11-01T00:00:00"/>
    <s v="DRY2200570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1026"/>
    <n v="1026"/>
    <m/>
    <n v="0"/>
    <n v="0"/>
    <n v="0"/>
    <n v="2"/>
    <n v="0"/>
  </r>
  <r>
    <x v="322"/>
    <d v="2022-12-09T00:00:00"/>
    <s v="Week46"/>
    <d v="2022-11-01T00:00:00"/>
    <s v="DRY220055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60"/>
    <n v="360"/>
    <m/>
    <n v="0"/>
    <n v="0"/>
    <m/>
    <m/>
    <m/>
  </r>
  <r>
    <x v="322"/>
    <d v="2022-12-09T00:00:00"/>
    <s v="Week46"/>
    <d v="2022-11-01T00:00:00"/>
    <s v="DRY220055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22"/>
    <d v="2022-12-09T00:00:00"/>
    <s v="Week46"/>
    <d v="2022-11-01T00:00:00"/>
    <s v="DRY220055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22"/>
    <d v="2022-12-09T00:00:00"/>
    <s v="Week46"/>
    <d v="2022-11-01T00:00:00"/>
    <s v="DRY220055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22"/>
    <d v="2022-12-09T00:00:00"/>
    <s v="Week46"/>
    <d v="2022-11-01T00:00:00"/>
    <s v="DRY220055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22"/>
    <d v="2022-12-09T00:00:00"/>
    <s v="Week46"/>
    <d v="2022-11-01T00:00:00"/>
    <s v="DRY220055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42"/>
    <n v="142"/>
    <m/>
    <n v="0"/>
    <n v="0"/>
    <m/>
    <m/>
    <m/>
  </r>
  <r>
    <x v="322"/>
    <d v="2022-12-01T00:00:00"/>
    <s v="Week46"/>
    <d v="2022-11-01T00:00:00"/>
    <s v="DRY2200570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1045"/>
    <n v="1045"/>
    <m/>
    <n v="0"/>
    <n v="0"/>
    <n v="0"/>
    <n v="2"/>
    <n v="0"/>
  </r>
  <r>
    <x v="323"/>
    <m/>
    <s v="Week47"/>
    <d v="2022-11-01T00:00:00"/>
    <m/>
    <m/>
    <m/>
    <m/>
    <m/>
    <x v="0"/>
    <m/>
    <m/>
    <m/>
    <m/>
    <m/>
    <m/>
    <m/>
    <m/>
    <m/>
    <m/>
    <m/>
    <m/>
    <m/>
    <m/>
    <m/>
    <m/>
    <m/>
  </r>
  <r>
    <x v="324"/>
    <m/>
    <s v="Week47"/>
    <d v="2022-11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5438"/>
    <n v="5438"/>
    <m/>
    <n v="0"/>
    <n v="0"/>
    <m/>
    <m/>
    <m/>
  </r>
  <r>
    <x v="324"/>
    <d v="2022-12-01T00:00:00"/>
    <s v="Week47"/>
    <d v="2022-11-01T00:00:00"/>
    <s v="DRY2200570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977"/>
    <n v="977"/>
    <m/>
    <n v="0"/>
    <n v="0"/>
    <n v="0"/>
    <n v="2"/>
    <n v="0"/>
  </r>
  <r>
    <x v="325"/>
    <d v="2022-12-09T00:00:00"/>
    <s v="Week47"/>
    <d v="2022-11-01T00:00:00"/>
    <s v="DRY220055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50"/>
    <n v="650"/>
    <m/>
    <n v="0"/>
    <n v="0"/>
    <m/>
    <m/>
    <m/>
  </r>
  <r>
    <x v="325"/>
    <d v="2022-12-15T00:00:00"/>
    <s v="Week47"/>
    <d v="2022-11-01T00:00:00"/>
    <s v="DRY220055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25"/>
    <d v="2022-12-16T00:00:00"/>
    <s v="Week47"/>
    <d v="2022-11-01T00:00:00"/>
    <s v="DRY220056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25"/>
    <d v="2022-12-16T00:00:00"/>
    <s v="Week47"/>
    <d v="2022-11-01T00:00:00"/>
    <s v="DRY220056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25"/>
    <d v="2022-12-16T00:00:00"/>
    <s v="Week47"/>
    <d v="2022-11-01T00:00:00"/>
    <s v="DRY220056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87"/>
    <n v="587"/>
    <m/>
    <n v="0"/>
    <n v="0"/>
    <m/>
    <m/>
    <m/>
  </r>
  <r>
    <x v="325"/>
    <d v="2022-12-01T00:00:00"/>
    <s v="Week47"/>
    <d v="2022-11-01T00:00:00"/>
    <s v="DRY2200570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1067"/>
    <n v="1067"/>
    <m/>
    <n v="0"/>
    <n v="0"/>
    <n v="0"/>
    <n v="2"/>
    <n v="0"/>
  </r>
  <r>
    <x v="326"/>
    <d v="2022-12-16T00:00:00"/>
    <s v="Week47"/>
    <d v="2022-11-01T00:00:00"/>
    <s v="DRY220056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05"/>
    <n v="205"/>
    <m/>
    <n v="0"/>
    <n v="0"/>
    <m/>
    <m/>
    <m/>
  </r>
  <r>
    <x v="326"/>
    <d v="2022-12-16T00:00:00"/>
    <s v="Week47"/>
    <d v="2022-11-01T00:00:00"/>
    <s v="DRY220056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26"/>
    <d v="2022-12-19T00:00:00"/>
    <s v="Week47"/>
    <d v="2022-11-01T00:00:00"/>
    <s v="DRY220056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26"/>
    <d v="2022-12-19T00:00:00"/>
    <s v="Week47"/>
    <d v="2022-11-01T00:00:00"/>
    <s v="DRY220056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26"/>
    <d v="2022-12-20T00:00:00"/>
    <s v="Week47"/>
    <d v="2022-11-01T00:00:00"/>
    <s v="DRY220060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26"/>
    <d v="2022-12-22T00:00:00"/>
    <s v="Week47"/>
    <d v="2022-11-01T00:00:00"/>
    <s v="DRY220060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66"/>
    <n v="266"/>
    <m/>
    <n v="0"/>
    <n v="0"/>
    <m/>
    <m/>
    <m/>
  </r>
  <r>
    <x v="326"/>
    <d v="2022-12-01T00:00:00"/>
    <s v="Week47"/>
    <d v="2022-11-01T00:00:00"/>
    <s v="DRY2200570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907"/>
    <n v="907"/>
    <m/>
    <n v="0"/>
    <n v="0"/>
    <n v="0"/>
    <n v="2"/>
    <n v="0"/>
  </r>
  <r>
    <x v="327"/>
    <m/>
    <s v="Week47"/>
    <d v="2022-11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5395"/>
    <n v="5395"/>
    <m/>
    <n v="0"/>
    <n v="0"/>
    <m/>
    <m/>
    <m/>
  </r>
  <r>
    <x v="327"/>
    <d v="2022-12-09T00:00:00"/>
    <s v="Week47"/>
    <d v="2022-11-01T00:00:00"/>
    <s v="DRY2200576"/>
    <s v="SG"/>
    <s v="CPI SINGAPORE"/>
    <s v="R-Wonton"/>
    <s v="R-Wonton"/>
    <x v="4"/>
    <s v="Raw Wonton 12 pcs with sesame"/>
    <s v="082I93B20012P02001"/>
    <s v="204g*20in"/>
    <n v="20"/>
    <n v="12"/>
    <n v="6.8100000000000001E-3"/>
    <s v="S"/>
    <s v="STPP"/>
    <s v=" sesame 30g"/>
    <n v="614"/>
    <n v="612"/>
    <n v="2"/>
    <n v="0"/>
    <n v="0"/>
    <n v="0"/>
    <n v="2"/>
    <n v="0"/>
  </r>
  <r>
    <x v="327"/>
    <d v="2022-12-01T00:00:00"/>
    <s v="Week47"/>
    <d v="2022-11-01T00:00:00"/>
    <s v="DRY2200574"/>
    <s v="SG"/>
    <s v="CPI SINGAPORE"/>
    <s v="R-Wonton"/>
    <s v="R-Wonton"/>
    <x v="4"/>
    <s v="Raw Wonton 8 pcs"/>
    <s v="082I93B20008P00001"/>
    <s v="194g*20in"/>
    <n v="20"/>
    <n v="8"/>
    <n v="1.4999999999999999E-2"/>
    <s v="JB"/>
    <s v="STPP"/>
    <s v="ซุปซอง 5g."/>
    <n v="473"/>
    <n v="455"/>
    <n v="18"/>
    <n v="0"/>
    <n v="0"/>
    <n v="0"/>
    <n v="2"/>
    <n v="0"/>
  </r>
  <r>
    <x v="328"/>
    <m/>
    <s v="Week47"/>
    <d v="2022-11-01T00:00:00"/>
    <s v="ขายภายใน"/>
    <s v="MTFS"/>
    <s v="ซีพีเอฟ เทรดดิ้ง"/>
    <s v="C-Wonton"/>
    <s v="C-Wonton"/>
    <x v="14"/>
    <s v="Minced Wonton (5pcs)"/>
    <s v="082SK3Q12005P00001"/>
    <s v="135g*12"/>
    <n v="12"/>
    <n v="5"/>
    <n v="8.0000000000000002E-3"/>
    <s v="BK"/>
    <s v="STPP"/>
    <s v="Regular"/>
    <n v="300"/>
    <n v="309"/>
    <m/>
    <n v="9"/>
    <n v="0"/>
    <m/>
    <m/>
    <m/>
  </r>
  <r>
    <x v="328"/>
    <m/>
    <s v="Week47"/>
    <d v="2022-11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6182"/>
    <n v="6182"/>
    <m/>
    <n v="0"/>
    <n v="0"/>
    <m/>
    <m/>
    <m/>
  </r>
  <r>
    <x v="328"/>
    <m/>
    <s v="Week47"/>
    <d v="2022-11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2800"/>
    <n v="2869"/>
    <n v="229"/>
    <n v="298"/>
    <n v="0"/>
    <m/>
    <n v="1"/>
    <n v="0"/>
  </r>
  <r>
    <x v="328"/>
    <d v="2022-12-01T00:00:00"/>
    <s v="Week47"/>
    <d v="2022-11-01T00:00:00"/>
    <s v="DRY2200574"/>
    <s v="SG"/>
    <s v="CPI SINGAPORE"/>
    <s v="R-Wonton"/>
    <s v="R-Wonton"/>
    <x v="4"/>
    <s v="Raw Wonton 8 pcs"/>
    <s v="082I93B20008P00001"/>
    <s v="194g*20in"/>
    <n v="20"/>
    <n v="8"/>
    <n v="1.4999999999999999E-2"/>
    <s v="JB"/>
    <s v="STPP"/>
    <s v="ซุปซอง 5g."/>
    <n v="627"/>
    <n v="627"/>
    <n v="52"/>
    <n v="52"/>
    <n v="0"/>
    <n v="0"/>
    <n v="2"/>
    <n v="0"/>
  </r>
  <r>
    <x v="328"/>
    <d v="2022-12-09T00:00:00"/>
    <s v="Week47"/>
    <d v="2022-11-01T00:00:00"/>
    <s v="DRY2200576"/>
    <s v="SG"/>
    <s v="CPI SINGAPORE"/>
    <s v="R-Wonton"/>
    <s v="R-Wonton"/>
    <x v="4"/>
    <s v="Raw Wonton 12 pcs with sesame"/>
    <s v="082I93B20012P02001"/>
    <s v="204g*20in"/>
    <n v="20"/>
    <n v="12"/>
    <n v="6.8100000000000001E-3"/>
    <s v="S"/>
    <s v="STPP"/>
    <s v=" sesame 30g"/>
    <n v="586"/>
    <n v="583"/>
    <n v="5"/>
    <n v="2"/>
    <n v="0"/>
    <n v="0"/>
    <n v="2"/>
    <n v="0"/>
  </r>
  <r>
    <x v="329"/>
    <m/>
    <s v="Week47"/>
    <d v="2022-11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5871"/>
    <n v="3"/>
    <m/>
    <n v="-5868"/>
    <n v="70416"/>
    <m/>
    <m/>
    <m/>
  </r>
  <r>
    <x v="329"/>
    <m/>
    <s v="Week47"/>
    <d v="2022-11-01T00:00:00"/>
    <s v="ขายภายใน"/>
    <s v=".7-11"/>
    <s v="ซีพีเอฟ เทรดดิ้ง"/>
    <s v="C-Wonton"/>
    <s v="C-Wonton"/>
    <x v="21"/>
    <s v="Cooked Wonton ND with egg 7-11"/>
    <s v="082SJ1A12003P01001 "/>
    <s v="211g*12"/>
    <n v="12"/>
    <n v="3"/>
    <n v="6.1999999999999998E-3"/>
    <s v="SS"/>
    <s v="STPP"/>
    <s v="TYNSF"/>
    <n v="4166"/>
    <n v="4166"/>
    <m/>
    <n v="0"/>
    <n v="0"/>
    <m/>
    <m/>
    <m/>
  </r>
  <r>
    <x v="329"/>
    <d v="2022-12-14T00:00:00"/>
    <s v="Week47"/>
    <d v="2022-11-01T00:00:00"/>
    <s v="DRY2200589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444"/>
    <n v="444"/>
    <m/>
    <n v="0"/>
    <n v="0"/>
    <n v="0"/>
    <n v="6"/>
    <n v="0"/>
  </r>
  <r>
    <x v="330"/>
    <m/>
    <s v="Week48"/>
    <d v="2022-11-01T00:00:00"/>
    <m/>
    <m/>
    <m/>
    <m/>
    <m/>
    <x v="0"/>
    <m/>
    <m/>
    <m/>
    <m/>
    <m/>
    <m/>
    <m/>
    <m/>
    <m/>
    <m/>
    <m/>
    <m/>
    <m/>
    <m/>
    <m/>
    <m/>
    <m/>
  </r>
  <r>
    <x v="331"/>
    <d v="2022-10-11T00:00:00"/>
    <s v="Week48"/>
    <d v="2022-11-01T00:00:00"/>
    <s v="DRY2200492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811"/>
    <n v="810"/>
    <n v="1"/>
    <n v="0"/>
    <n v="0"/>
    <m/>
    <n v="1"/>
    <n v="12976"/>
  </r>
  <r>
    <x v="331"/>
    <d v="2022-12-13T00:00:00"/>
    <s v="Week48"/>
    <d v="2022-11-01T00:00:00"/>
    <s v="DRY2200596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0"/>
    <n v="8.3611111111111107"/>
    <n v="0.36111111111108585"/>
    <n v="0"/>
    <m/>
    <m/>
    <m/>
  </r>
  <r>
    <x v="331"/>
    <d v="2022-12-27T00:00:00"/>
    <s v="Week48"/>
    <d v="2022-11-01T00:00:00"/>
    <s v="DRY2200597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331"/>
    <d v="2022-12-14T00:00:00"/>
    <s v="Week48"/>
    <d v="2022-11-01T00:00:00"/>
    <s v="DRY2200589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495"/>
    <n v="495"/>
    <m/>
    <n v="0"/>
    <n v="0"/>
    <n v="0"/>
    <n v="6"/>
    <n v="0"/>
  </r>
  <r>
    <x v="332"/>
    <d v="2022-10-11T00:00:00"/>
    <s v="Week48"/>
    <d v="2022-11-01T00:00:00"/>
    <s v="DRY2200492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784"/>
    <n v="784"/>
    <m/>
    <n v="0"/>
    <n v="0"/>
    <m/>
    <n v="1"/>
    <n v="12544"/>
  </r>
  <r>
    <x v="332"/>
    <d v="2022-12-08T00:00:00"/>
    <s v="Week48"/>
    <d v="2022-11-01T00:00:00"/>
    <s v="DRY2200579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</r>
  <r>
    <x v="332"/>
    <d v="2022-12-13T00:00:00"/>
    <s v="Week48"/>
    <d v="2022-11-01T00:00:00"/>
    <s v="DRY2200580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</r>
  <r>
    <x v="332"/>
    <d v="2022-12-14T00:00:00"/>
    <s v="Week48"/>
    <d v="2022-11-01T00:00:00"/>
    <s v="DRY2200589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493"/>
    <n v="493"/>
    <m/>
    <n v="0"/>
    <n v="0"/>
    <n v="0"/>
    <n v="6"/>
    <n v="0"/>
  </r>
  <r>
    <x v="333"/>
    <d v="2022-10-11T00:00:00"/>
    <s v="Week48"/>
    <d v="2022-11-01T00:00:00"/>
    <s v="DRY2200492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788"/>
    <n v="788"/>
    <m/>
    <n v="0"/>
    <n v="0"/>
    <m/>
    <n v="1"/>
    <n v="12608"/>
  </r>
  <r>
    <x v="333"/>
    <d v="2022-12-22T00:00:00"/>
    <s v="Week48"/>
    <d v="2022-11-01T00:00:00"/>
    <s v="DRY220060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26"/>
    <n v="526"/>
    <m/>
    <n v="0"/>
    <n v="0"/>
    <m/>
    <m/>
    <m/>
  </r>
  <r>
    <x v="333"/>
    <d v="2022-12-23T00:00:00"/>
    <s v="Week48"/>
    <d v="2022-11-01T00:00:00"/>
    <s v="DRY220060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33"/>
    <d v="2022-12-23T00:00:00"/>
    <s v="Week48"/>
    <d v="2022-11-01T00:00:00"/>
    <s v="DRY220060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33"/>
    <d v="2022-12-23T00:00:00"/>
    <s v="Week48"/>
    <d v="2022-11-01T00:00:00"/>
    <s v="DRY220060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50"/>
    <n v="350"/>
    <m/>
    <n v="0"/>
    <n v="0"/>
    <m/>
    <m/>
    <m/>
  </r>
  <r>
    <x v="333"/>
    <d v="2022-12-14T00:00:00"/>
    <s v="Week48"/>
    <d v="2022-11-01T00:00:00"/>
    <s v="DRY2200589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500"/>
    <n v="500"/>
    <m/>
    <n v="0"/>
    <n v="0"/>
    <n v="0"/>
    <n v="6"/>
    <n v="0"/>
  </r>
  <r>
    <x v="334"/>
    <d v="2022-10-11T00:00:00"/>
    <s v="Week48"/>
    <d v="2022-12-01T00:00:00"/>
    <s v="DRY2200492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745"/>
    <n v="745"/>
    <m/>
    <n v="0"/>
    <n v="0"/>
    <m/>
    <n v="1"/>
    <n v="11920"/>
  </r>
  <r>
    <x v="334"/>
    <d v="2022-12-23T00:00:00"/>
    <s v="Week48"/>
    <d v="2022-12-01T00:00:00"/>
    <s v="DRY220060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42"/>
    <n v="442"/>
    <m/>
    <n v="0"/>
    <n v="0"/>
    <m/>
    <m/>
    <m/>
  </r>
  <r>
    <x v="334"/>
    <d v="2022-12-23T00:00:00"/>
    <s v="Week48"/>
    <d v="2022-12-01T00:00:00"/>
    <s v="DRY220060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34"/>
    <d v="2022-12-23T00:00:00"/>
    <s v="Week48"/>
    <d v="2022-12-01T00:00:00"/>
    <s v="DRY220060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34"/>
    <m/>
    <s v="Week48"/>
    <d v="2022-12-01T00:00:00"/>
    <s v="DRY220060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64"/>
    <n v="464"/>
    <m/>
    <n v="0"/>
    <n v="0"/>
    <m/>
    <m/>
    <m/>
  </r>
  <r>
    <x v="334"/>
    <d v="2022-12-14T00:00:00"/>
    <s v="Week48"/>
    <d v="2022-12-01T00:00:00"/>
    <s v="DRY2200589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124"/>
    <n v="124"/>
    <m/>
    <n v="0"/>
    <n v="0"/>
    <n v="0"/>
    <n v="6"/>
    <n v="0"/>
  </r>
  <r>
    <x v="334"/>
    <d v="2022-12-20T00:00:00"/>
    <s v="Week48"/>
    <d v="2022-12-01T00:00:00"/>
    <s v="DRY2200590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399"/>
    <n v="396"/>
    <n v="3"/>
    <n v="0"/>
    <n v="0"/>
    <n v="0"/>
    <n v="2"/>
    <n v="0"/>
  </r>
  <r>
    <x v="335"/>
    <d v="2022-10-11T00:00:00"/>
    <s v="Week48"/>
    <d v="2022-12-01T00:00:00"/>
    <s v="DRY2200492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556"/>
    <n v="556"/>
    <m/>
    <n v="0"/>
    <n v="0"/>
    <m/>
    <n v="1"/>
    <n v="8896"/>
  </r>
  <r>
    <x v="335"/>
    <m/>
    <s v="Week48"/>
    <d v="2022-12-01T00:00:00"/>
    <s v="DRY220060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28"/>
    <n v="328"/>
    <m/>
    <n v="0"/>
    <n v="0"/>
    <m/>
    <m/>
    <m/>
  </r>
  <r>
    <x v="335"/>
    <m/>
    <s v="Week48"/>
    <d v="2022-12-01T00:00:00"/>
    <s v="DRY220060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35"/>
    <m/>
    <s v="Week48"/>
    <d v="2022-12-01T00:00:00"/>
    <s v="DRY220061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35"/>
    <m/>
    <s v="Week48"/>
    <d v="2022-12-01T00:00:00"/>
    <s v="DRY220061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74"/>
    <n v="474"/>
    <m/>
    <n v="0"/>
    <n v="0"/>
    <m/>
    <m/>
    <m/>
  </r>
  <r>
    <x v="335"/>
    <d v="2022-12-20T00:00:00"/>
    <s v="Week48"/>
    <d v="2022-12-01T00:00:00"/>
    <s v="DRY2200590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20"/>
    <n v="520"/>
    <m/>
    <n v="0"/>
    <n v="0"/>
    <n v="0"/>
    <n v="2"/>
    <n v="0"/>
  </r>
  <r>
    <x v="336"/>
    <d v="2022-10-11T00:00:00"/>
    <s v="Week48"/>
    <d v="2022-12-01T00:00:00"/>
    <s v="DRY2200492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983"/>
    <n v="983"/>
    <n v="57.75"/>
    <n v="57.75"/>
    <n v="0"/>
    <m/>
    <n v="1"/>
    <n v="15728"/>
  </r>
  <r>
    <x v="336"/>
    <d v="2022-12-21T00:00:00"/>
    <s v="Week48"/>
    <d v="2022-12-01T00:00:00"/>
    <s v="DRY2200352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336"/>
    <d v="2023-01-05T00:00:00"/>
    <s v="Week48"/>
    <d v="2022-12-01T00:00:00"/>
    <s v="DRY2200630"/>
    <s v="USA"/>
    <s v="Bellisio Foods, Inc."/>
    <s v="C-Wonton"/>
    <s v="C-Wonton ND"/>
    <x v="7"/>
    <s v="Cooked Minced Wonton No Egg"/>
    <s v="082SKBW08005P00001"/>
    <s v="145g*8"/>
    <n v="8"/>
    <n v="5"/>
    <n v="8.0000000000000002E-3"/>
    <s v="BK"/>
    <s v="Salt"/>
    <s v="Regular"/>
    <n v="2000"/>
    <m/>
    <n v="2185.125"/>
    <n v="185.125"/>
    <n v="0"/>
    <m/>
    <m/>
    <m/>
  </r>
  <r>
    <x v="336"/>
    <d v="2022-12-20T00:00:00"/>
    <s v="Week48"/>
    <d v="2022-12-01T00:00:00"/>
    <s v="DRY2200504"/>
    <s v="Denmark"/>
    <s v="Paulsen Food"/>
    <s v="C-Wonton ND"/>
    <s v="Wonton ND+V"/>
    <x v="8"/>
    <s v="Cooked Wonton ND No Egg with Pumpkin _x000a_+ Vegetable  HC  3 pcs tomyam"/>
    <s v="082SJKW08003P00001"/>
    <s v="309g*8"/>
    <n v="8"/>
    <n v="3"/>
    <n v="7.4999999999999997E-3"/>
    <s v="M"/>
    <s v="Salt"/>
    <s v="TYANS+CM"/>
    <n v="3500"/>
    <m/>
    <n v="3783.625"/>
    <n v="283.625"/>
    <n v="0"/>
    <m/>
    <m/>
    <m/>
  </r>
  <r>
    <x v="336"/>
    <d v="2022-12-20T00:00:00"/>
    <s v="Week48"/>
    <d v="2022-12-01T00:00:00"/>
    <s v="DRY2200590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43"/>
    <n v="543"/>
    <m/>
    <n v="0"/>
    <n v="0"/>
    <n v="0"/>
    <n v="2"/>
    <n v="0"/>
  </r>
  <r>
    <x v="337"/>
    <m/>
    <s v="Week49"/>
    <d v="2022-12-01T00:00:00"/>
    <m/>
    <m/>
    <m/>
    <m/>
    <m/>
    <x v="0"/>
    <m/>
    <m/>
    <m/>
    <m/>
    <m/>
    <m/>
    <m/>
    <m/>
    <m/>
    <m/>
    <m/>
    <m/>
    <m/>
    <m/>
    <m/>
    <m/>
    <m/>
  </r>
  <r>
    <x v="338"/>
    <m/>
    <s v="Week49"/>
    <d v="2022-12-01T00:00:00"/>
    <m/>
    <m/>
    <m/>
    <m/>
    <m/>
    <x v="0"/>
    <m/>
    <m/>
    <m/>
    <m/>
    <m/>
    <m/>
    <m/>
    <m/>
    <m/>
    <m/>
    <m/>
    <m/>
    <m/>
    <m/>
    <m/>
    <m/>
    <m/>
  </r>
  <r>
    <x v="339"/>
    <d v="2023-01-05T00:00:00"/>
    <s v="Week49"/>
    <d v="2022-12-01T00:00:00"/>
    <s v="DRY2200630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2100"/>
    <m/>
    <n v="2100"/>
    <n v="0"/>
    <n v="0"/>
    <m/>
    <m/>
    <m/>
  </r>
  <r>
    <x v="339"/>
    <d v="2023-01-04T00:00:00"/>
    <s v="Week49"/>
    <d v="2022-12-01T00:00:00"/>
    <s v="DRY2200679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339"/>
    <d v="2023-01-04T00:00:00"/>
    <s v="Week49"/>
    <d v="2022-12-01T00:00:00"/>
    <s v="DRY2200680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339"/>
    <d v="2023-01-04T00:00:00"/>
    <s v="Week49"/>
    <d v="2022-12-01T00:00:00"/>
    <s v="DRY2200681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339"/>
    <d v="2022-12-27T00:00:00"/>
    <s v="Week49"/>
    <d v="2022-12-01T00:00:00"/>
    <s v="DRY2200502"/>
    <s v="AUS"/>
    <s v="CPM Australia"/>
    <s v="C-Wonton"/>
    <s v="C-Wonton ND"/>
    <x v="5"/>
    <s v="Cooked Wonton ND No Egg with Pumpkin_x000a_+ Yu Choy "/>
    <s v="082SJ9U08004P00001"/>
    <s v="305g*8"/>
    <n v="8"/>
    <n v="4"/>
    <n v="7.4999999999999997E-3"/>
    <s v="HC"/>
    <s v="Salt"/>
    <s v="Regular"/>
    <n v="550"/>
    <n v="150"/>
    <n v="400"/>
    <n v="0"/>
    <n v="0"/>
    <m/>
    <m/>
    <m/>
  </r>
  <r>
    <x v="339"/>
    <d v="2023-03-03T00:00:00"/>
    <s v="Week49"/>
    <d v="2022-12-01T00:00:00"/>
    <s v="DRY2300005"/>
    <s v="AUS"/>
    <s v="CPM Australia"/>
    <s v="C-Wonton"/>
    <s v="C-Wonton ND"/>
    <x v="5"/>
    <s v="Cooked Wonton ND No Egg with Pumpkin_x000a_+ Yu Choy "/>
    <s v="082SJ9U08004P00001"/>
    <s v="305g*8"/>
    <n v="8"/>
    <n v="4"/>
    <n v="7.4999999999999997E-3"/>
    <s v="HC"/>
    <s v="Salt"/>
    <s v="Regular"/>
    <n v="600"/>
    <m/>
    <n v="600"/>
    <n v="0"/>
    <n v="0"/>
    <m/>
    <m/>
    <m/>
  </r>
  <r>
    <x v="339"/>
    <d v="2022-12-20T00:00:00"/>
    <s v="Week49"/>
    <d v="2022-12-01T00:00:00"/>
    <s v="DRY2200590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162"/>
    <n v="162"/>
    <m/>
    <n v="0"/>
    <n v="0"/>
    <n v="0"/>
    <n v="2"/>
    <n v="0"/>
  </r>
  <r>
    <x v="339"/>
    <d v="2022-12-24T00:00:00"/>
    <s v="Week49"/>
    <d v="2022-12-01T00:00:00"/>
    <s v="DRY2200591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372"/>
    <n v="372"/>
    <m/>
    <n v="0"/>
    <n v="0"/>
    <n v="0"/>
    <n v="2"/>
    <n v="0"/>
  </r>
  <r>
    <x v="340"/>
    <d v="2022-12-21T00:00:00"/>
    <s v="Week49"/>
    <d v="2022-12-01T00:00:00"/>
    <s v="DRY2200592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340"/>
    <d v="2023-01-06T00:00:00"/>
    <s v="Week49"/>
    <d v="2022-12-01T00:00:00"/>
    <s v="DRY2200279"/>
    <s v="CAN "/>
    <s v="Bellisio Foods Canada"/>
    <s v="C-Wonton"/>
    <s v="C-Wonton ND"/>
    <x v="15"/>
    <s v="Cooked Wonton Noodle (Enriched wonton sheet&amp;noodles)"/>
    <s v="082SJ5312005P01001"/>
    <s v="258g*12"/>
    <n v="12"/>
    <n v="5"/>
    <n v="8.0000000000000002E-3"/>
    <s v="M"/>
    <s v="Salt"/>
    <s v="Regular"/>
    <n v="2600"/>
    <m/>
    <n v="2738.9166666666665"/>
    <n v="138.91666666666652"/>
    <n v="0"/>
    <m/>
    <m/>
    <m/>
  </r>
  <r>
    <x v="340"/>
    <d v="2022-12-21T00:00:00"/>
    <s v="Week49"/>
    <d v="2022-12-01T00:00:00"/>
    <s v="DRY2200358"/>
    <s v="USA"/>
    <s v="Bellisio Foods, Inc."/>
    <s v="C-Wonton"/>
    <s v="C-Wonton ND"/>
    <x v="3"/>
    <s v="Cooked Minced Wonton Noodle No Egg"/>
    <s v="082SRBW24005P00001"/>
    <s v="258g*4c*6in"/>
    <n v="24"/>
    <n v="5"/>
    <n v="8.0000000000000002E-3"/>
    <s v="BK"/>
    <s v="Salt"/>
    <s v="Regular"/>
    <n v="700"/>
    <n v="700"/>
    <m/>
    <n v="0"/>
    <n v="0"/>
    <m/>
    <m/>
    <m/>
  </r>
  <r>
    <x v="340"/>
    <d v="2022-12-23T00:00:00"/>
    <s v="Week49"/>
    <d v="2022-12-01T00:00:00"/>
    <s v="DRY2200359"/>
    <s v="USA"/>
    <s v="Bellisio Foods, Inc."/>
    <s v="C-Wonton"/>
    <s v="C-Wonton ND"/>
    <x v="3"/>
    <s v="Cooked Minced Wonton Noodle No Egg"/>
    <s v="082SRBW24005P00001"/>
    <s v="258g*4c*6in"/>
    <n v="24"/>
    <n v="5"/>
    <n v="8.0000000000000002E-3"/>
    <s v="BK"/>
    <s v="Salt"/>
    <s v="Regular"/>
    <n v="775"/>
    <n v="702"/>
    <n v="145.66666666666666"/>
    <n v="72.666666666666629"/>
    <n v="0"/>
    <m/>
    <m/>
    <m/>
  </r>
  <r>
    <x v="340"/>
    <d v="2022-12-24T00:00:00"/>
    <s v="Week49"/>
    <d v="2022-12-01T00:00:00"/>
    <s v="DRY2200591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43"/>
    <n v="543"/>
    <m/>
    <n v="0"/>
    <n v="0"/>
    <n v="0"/>
    <n v="2"/>
    <n v="0"/>
  </r>
  <r>
    <x v="341"/>
    <m/>
    <s v="Week49"/>
    <d v="2022-12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5027"/>
    <n v="5027"/>
    <m/>
    <n v="0"/>
    <n v="0"/>
    <m/>
    <m/>
    <m/>
  </r>
  <r>
    <x v="341"/>
    <d v="2022-12-24T00:00:00"/>
    <s v="Week49"/>
    <d v="2022-12-01T00:00:00"/>
    <s v="DRY2200591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21"/>
    <n v="521"/>
    <m/>
    <n v="0"/>
    <n v="0"/>
    <n v="0"/>
    <n v="2"/>
    <n v="0"/>
  </r>
  <r>
    <x v="342"/>
    <m/>
    <s v="Week49"/>
    <d v="2022-12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505"/>
    <n v="2505"/>
    <m/>
    <n v="0"/>
    <n v="0"/>
    <m/>
    <m/>
    <m/>
  </r>
  <r>
    <x v="342"/>
    <m/>
    <s v="Week49"/>
    <d v="2022-12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331"/>
    <n v="331"/>
    <m/>
    <n v="0"/>
    <n v="0"/>
    <m/>
    <m/>
    <m/>
  </r>
  <r>
    <x v="342"/>
    <d v="2022-12-21T00:00:00"/>
    <s v="Week49"/>
    <d v="2022-12-01T00:00:00"/>
    <s v="DRY2200275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342"/>
    <d v="2022-12-24T00:00:00"/>
    <s v="Week49"/>
    <d v="2022-12-01T00:00:00"/>
    <s v="DRY2200591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188"/>
    <n v="188"/>
    <m/>
    <n v="0"/>
    <n v="0"/>
    <n v="0"/>
    <n v="2"/>
    <n v="0"/>
  </r>
  <r>
    <x v="342"/>
    <d v="2022-12-22T00:00:00"/>
    <s v="Week49"/>
    <d v="2022-12-01T00:00:00"/>
    <s v="DRY2200588"/>
    <s v="HK"/>
    <s v="CPM HONGKONG"/>
    <s v="R-Wonton"/>
    <s v="R-Wonton"/>
    <x v="4"/>
    <s v="Raw Wonton 8 pcs"/>
    <s v="082I93G20008P00001"/>
    <s v="194g*20in"/>
    <n v="20"/>
    <n v="8"/>
    <n v="1.4999999999999999E-2"/>
    <s v="JB"/>
    <s v="STPP"/>
    <s v="ซุปซอง 5g."/>
    <n v="400"/>
    <n v="400"/>
    <n v="17"/>
    <n v="17"/>
    <n v="0"/>
    <n v="0"/>
    <n v="2"/>
    <n v="0"/>
  </r>
  <r>
    <x v="342"/>
    <d v="2022-12-22T00:00:00"/>
    <s v="Week49"/>
    <d v="2022-12-01T00:00:00"/>
    <s v="DRY2200588"/>
    <s v="HK"/>
    <s v="CPM Hongkong"/>
    <s v="R-Wonton"/>
    <s v="R-Mince"/>
    <x v="9"/>
    <s v="Raw Minced Wonton 8 pcs"/>
    <s v="082ID3G18008P00001"/>
    <s v="90g*18in"/>
    <n v="18"/>
    <n v="8"/>
    <n v="5.0000000000000001E-3"/>
    <s v="BK"/>
    <s v="STPP"/>
    <s v="ซุปซอง 5g."/>
    <n v="250"/>
    <n v="250"/>
    <n v="42"/>
    <n v="42"/>
    <n v="0"/>
    <n v="0"/>
    <n v="2"/>
    <n v="0"/>
  </r>
  <r>
    <x v="343"/>
    <d v="2023-01-06T00:00:00"/>
    <s v="Week49"/>
    <d v="2022-12-01T00:00:00"/>
    <s v="DRY2200593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308"/>
    <m/>
    <n v="20"/>
    <n v="0"/>
    <m/>
    <m/>
    <m/>
  </r>
  <r>
    <x v="343"/>
    <m/>
    <s v="Week49"/>
    <d v="2022-12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789"/>
    <n v="789"/>
    <m/>
    <n v="0"/>
    <n v="0"/>
    <m/>
    <m/>
    <m/>
  </r>
  <r>
    <x v="343"/>
    <d v="2023-01-09T00:00:00"/>
    <s v="Week49"/>
    <d v="2022-12-01T00:00:00"/>
    <s v="DRY2200634"/>
    <s v="Malay"/>
    <s v="CPM Malaysia"/>
    <s v="C-Wonton"/>
    <s v="C-Wonton"/>
    <x v="1"/>
    <s v="Cooked Wonton No Egg  "/>
    <s v="082S85I24005P01001"/>
    <s v="145g*24"/>
    <n v="24"/>
    <n v="5"/>
    <n v="8.0000000000000002E-3"/>
    <s v="M"/>
    <s v="STPP"/>
    <s v="Regular"/>
    <n v="950"/>
    <n v="937"/>
    <n v="31.916666666666668"/>
    <n v="18.916666666666629"/>
    <n v="0"/>
    <m/>
    <m/>
    <m/>
  </r>
  <r>
    <x v="343"/>
    <d v="2023-01-09T00:00:00"/>
    <s v="Week49"/>
    <d v="2022-12-01T00:00:00"/>
    <s v="DRY2200634"/>
    <s v="Malay"/>
    <s v="CPM Malaysia"/>
    <s v="C-Wonton"/>
    <s v="C-Wonton"/>
    <x v="2"/>
    <s v="Cooked Wonton No Egg  TY"/>
    <s v="082S85I24005P02001"/>
    <s v="115g*24"/>
    <n v="24"/>
    <n v="5"/>
    <n v="8.0000000000000002E-3"/>
    <s v="M"/>
    <s v="STPP"/>
    <s v="TYTB3C 30G"/>
    <n v="1020"/>
    <n v="1020"/>
    <n v="16.5"/>
    <n v="16.5"/>
    <n v="0"/>
    <m/>
    <n v="1"/>
    <n v="0"/>
  </r>
  <r>
    <x v="343"/>
    <d v="2022-12-22T00:00:00"/>
    <s v="Week49"/>
    <d v="2022-12-01T00:00:00"/>
    <s v="DRY2200588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1250"/>
    <n v="1250"/>
    <m/>
    <n v="0"/>
    <n v="0"/>
    <n v="0"/>
    <n v="1"/>
    <n v="0"/>
  </r>
  <r>
    <x v="343"/>
    <d v="2023-01-09T00:00:00"/>
    <s v="Week49"/>
    <d v="2022-12-01T00:00:00"/>
    <s v="DRY2200634"/>
    <s v="Malay"/>
    <s v="CPM Malaysia"/>
    <s v="R-Wonton"/>
    <s v="R-Wonton"/>
    <x v="4"/>
    <s v="Raw Wonton 12 pcs"/>
    <s v="082I95I20012P02001"/>
    <s v="154g*20inner"/>
    <n v="20"/>
    <n v="12"/>
    <n v="6.8100000000000001E-3"/>
    <s v="S"/>
    <s v="STPP"/>
    <s v="ซุปซอง 5g."/>
    <n v="100"/>
    <n v="100"/>
    <m/>
    <n v="0"/>
    <n v="0"/>
    <n v="0"/>
    <n v="2"/>
    <n v="0"/>
  </r>
  <r>
    <x v="344"/>
    <m/>
    <s v="Week50"/>
    <d v="2022-12-01T00:00:00"/>
    <m/>
    <m/>
    <m/>
    <m/>
    <m/>
    <x v="0"/>
    <m/>
    <m/>
    <m/>
    <m/>
    <m/>
    <m/>
    <m/>
    <m/>
    <m/>
    <m/>
    <m/>
    <m/>
    <m/>
    <m/>
    <m/>
    <m/>
    <m/>
  </r>
  <r>
    <x v="345"/>
    <m/>
    <s v="Week50"/>
    <d v="2022-12-01T00:00:00"/>
    <s v="DRY220061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18"/>
    <n v="318"/>
    <m/>
    <n v="0"/>
    <n v="0"/>
    <m/>
    <m/>
    <m/>
  </r>
  <r>
    <x v="345"/>
    <m/>
    <s v="Week50"/>
    <d v="2022-12-01T00:00:00"/>
    <s v="DRY220061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45"/>
    <m/>
    <s v="Week50"/>
    <d v="2022-12-01T00:00:00"/>
    <s v="DRY220061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45"/>
    <m/>
    <s v="Week50"/>
    <d v="2022-12-01T00:00:00"/>
    <s v="DRY220061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45"/>
    <m/>
    <s v="Week50"/>
    <d v="2022-12-01T00:00:00"/>
    <s v="DRY220061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30"/>
    <n v="428"/>
    <n v="2"/>
    <n v="0"/>
    <n v="0"/>
    <m/>
    <m/>
    <m/>
  </r>
  <r>
    <x v="345"/>
    <d v="2023-01-05T00:00:00"/>
    <s v="Week50"/>
    <d v="2022-12-01T00:00:00"/>
    <s v="DRY2200631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500"/>
    <n v="500"/>
    <n v="11"/>
    <n v="11"/>
    <n v="0"/>
    <n v="0"/>
    <n v="6"/>
    <n v="0"/>
  </r>
  <r>
    <x v="346"/>
    <d v="2023-01-12T00:00:00"/>
    <s v="Week50"/>
    <d v="2022-12-01T00:00:00"/>
    <s v="DRY2200648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n v="44.111111111111114"/>
    <n v="44.111111111111086"/>
    <n v="0"/>
    <m/>
    <m/>
    <m/>
  </r>
  <r>
    <x v="346"/>
    <d v="2023-01-06T00:00:00"/>
    <s v="Week50"/>
    <d v="2022-12-01T00:00:00"/>
    <s v="DRY2200636"/>
    <s v="SG"/>
    <s v="CPI SINGAPORE"/>
    <s v="C-Wonton"/>
    <s v="C-Wonton"/>
    <x v="1"/>
    <s v="Cooked Wonton No Egg"/>
    <s v="082S83B24005P07001"/>
    <s v="145g*24"/>
    <n v="24"/>
    <n v="5"/>
    <n v="8.0000000000000002E-3"/>
    <s v="M"/>
    <s v="STPP"/>
    <s v="Regular"/>
    <n v="500"/>
    <n v="500"/>
    <n v="11"/>
    <n v="11"/>
    <n v="0"/>
    <m/>
    <m/>
    <m/>
  </r>
  <r>
    <x v="346"/>
    <d v="2023-01-06T00:00:00"/>
    <s v="Week50"/>
    <d v="2022-12-01T00:00:00"/>
    <s v="DRY2200637"/>
    <s v="SG"/>
    <s v="CPI SINGAPORE"/>
    <s v="C-Wonton"/>
    <s v="C-Wonton"/>
    <x v="2"/>
    <s v="Cooked Wonton No Egg"/>
    <s v="082S83B24005P06001"/>
    <s v="115g*24"/>
    <n v="24"/>
    <n v="5"/>
    <n v="8.0000000000000002E-3"/>
    <s v="M"/>
    <s v="STPP"/>
    <s v="TYTB3C 30G"/>
    <n v="450"/>
    <n v="450"/>
    <n v="17.333333333333332"/>
    <n v="17.333333333333314"/>
    <n v="0"/>
    <m/>
    <n v="1"/>
    <n v="0"/>
  </r>
  <r>
    <x v="346"/>
    <m/>
    <s v="Week50"/>
    <d v="2022-12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014"/>
    <n v="2014"/>
    <m/>
    <n v="0"/>
    <n v="0"/>
    <m/>
    <m/>
    <m/>
  </r>
  <r>
    <x v="346"/>
    <d v="2023-01-06T00:00:00"/>
    <s v="Week50"/>
    <d v="2022-12-01T00:00:00"/>
    <s v="DRY2200639"/>
    <s v="SG"/>
    <s v="CPI SINGAPORE"/>
    <s v="R-Wonton"/>
    <s v="R-Wonton"/>
    <x v="4"/>
    <s v="Raw Wonton 8 pcs"/>
    <s v="082I93B20008P00001"/>
    <s v="194g*20in"/>
    <n v="20"/>
    <n v="8"/>
    <n v="1.4999999999999999E-2"/>
    <s v="JB"/>
    <s v="STPP"/>
    <s v="ซุปซอง 5g."/>
    <n v="700"/>
    <n v="700"/>
    <n v="6"/>
    <n v="6"/>
    <n v="0"/>
    <n v="0"/>
    <n v="2"/>
    <n v="0"/>
  </r>
  <r>
    <x v="346"/>
    <d v="2023-01-06T00:00:00"/>
    <s v="Week50"/>
    <d v="2022-12-01T00:00:00"/>
    <s v="DRY2200640"/>
    <s v="SG"/>
    <s v="CPI SINGAPORE"/>
    <s v="R-Wonton"/>
    <s v="R-Mince"/>
    <x v="9"/>
    <s v="Raw Minced Wonton 8 pcs"/>
    <s v="082ID3B18008P00001"/>
    <s v="90g*18in"/>
    <n v="18"/>
    <n v="8"/>
    <n v="5.0000000000000001E-3"/>
    <s v="BK"/>
    <s v="STPP"/>
    <s v="ซุปซอง 5g."/>
    <n v="600"/>
    <n v="600"/>
    <n v="55"/>
    <n v="55"/>
    <n v="0"/>
    <n v="0"/>
    <n v="2"/>
    <n v="0"/>
  </r>
  <r>
    <x v="347"/>
    <m/>
    <s v="Week50"/>
    <d v="2022-12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4401"/>
    <n v="4401"/>
    <m/>
    <n v="0"/>
    <n v="0"/>
    <m/>
    <m/>
    <m/>
  </r>
  <r>
    <x v="347"/>
    <m/>
    <s v="Week50"/>
    <d v="2022-12-01T00:00:00"/>
    <s v="ขายภายใน"/>
    <s v="MTFS"/>
    <s v="ซีพีเอฟ เทรดดิ้ง"/>
    <s v="C-Wonton"/>
    <s v="C-Wonton"/>
    <x v="14"/>
    <s v="Minced Wonton (5pcs)"/>
    <s v="082SK3Q12005P00001"/>
    <s v="135g*12"/>
    <n v="12"/>
    <n v="5"/>
    <n v="8.0000000000000002E-3"/>
    <s v="BK"/>
    <s v="STPP"/>
    <s v="Regular"/>
    <n v="300"/>
    <n v="300"/>
    <n v="47.416666666666664"/>
    <n v="47.416666666666686"/>
    <n v="0"/>
    <m/>
    <m/>
    <m/>
  </r>
  <r>
    <x v="347"/>
    <m/>
    <s v="Week50"/>
    <d v="2022-12-01T00:00:00"/>
    <s v="ขายภายใน"/>
    <s v="MTFS"/>
    <s v="ซีพีเอฟ เทรดดิ้ง"/>
    <s v="C-Wonton"/>
    <s v="C-Wonton"/>
    <x v="11"/>
    <s v="Cooked Wonton ND with egg V-Food"/>
    <s v="082SJ3Q12003P07001"/>
    <s v="226g*12"/>
    <n v="12"/>
    <n v="3"/>
    <n v="8.0000000000000002E-3"/>
    <s v="M"/>
    <s v="STPP"/>
    <s v="Regular"/>
    <n v="500"/>
    <n v="478"/>
    <n v="11.583333333333334"/>
    <n v="-10.416666666666686"/>
    <n v="125"/>
    <m/>
    <m/>
    <m/>
  </r>
  <r>
    <x v="347"/>
    <d v="2023-01-06T00:00:00"/>
    <s v="Week50"/>
    <d v="2022-12-01T00:00:00"/>
    <s v="DRY2200635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1078"/>
    <n v="1056"/>
    <n v="22"/>
    <n v="0"/>
    <n v="0"/>
    <n v="0"/>
    <n v="2"/>
    <n v="0"/>
  </r>
  <r>
    <x v="348"/>
    <m/>
    <s v="Week50"/>
    <d v="2022-12-01T00:00:00"/>
    <s v="DRY220061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62"/>
    <n v="362"/>
    <m/>
    <n v="0"/>
    <n v="0"/>
    <m/>
    <m/>
    <m/>
  </r>
  <r>
    <x v="348"/>
    <m/>
    <s v="Week50"/>
    <d v="2022-12-01T00:00:00"/>
    <s v="DRY220061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48"/>
    <m/>
    <s v="Week50"/>
    <d v="2022-12-01T00:00:00"/>
    <s v="DRY220061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48"/>
    <m/>
    <s v="Week50"/>
    <d v="2022-12-01T00:00:00"/>
    <s v="DRY220061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74"/>
    <n v="774"/>
    <m/>
    <n v="0"/>
    <n v="0"/>
    <m/>
    <m/>
    <m/>
  </r>
  <r>
    <x v="348"/>
    <d v="2022-12-27T00:00:00"/>
    <s v="Week50"/>
    <d v="2022-12-01T00:00:00"/>
    <s v="DRY2200502"/>
    <s v="AUS"/>
    <s v="CPM Australia"/>
    <s v="C-Wonton"/>
    <s v="C-Wonton ND"/>
    <x v="17"/>
    <s v="Cooked Minced  ND No Egg with Pumpkin_x000a_+ Yu Choy Tomyum"/>
    <s v="082SR9U08003P00001"/>
    <s v="302g*8"/>
    <n v="8"/>
    <n v="3"/>
    <n v="8.0000000000000002E-3"/>
    <s v="BK"/>
    <s v="Salt"/>
    <s v="TYA+CO"/>
    <n v="200"/>
    <m/>
    <n v="228.25"/>
    <n v="28.25"/>
    <n v="0"/>
    <m/>
    <m/>
    <m/>
  </r>
  <r>
    <x v="348"/>
    <d v="2022-12-27T00:00:00"/>
    <s v="Week50"/>
    <d v="2022-12-01T00:00:00"/>
    <s v="DRY2200501"/>
    <s v="AUS"/>
    <s v="CPM Australia"/>
    <s v="C-Wonton"/>
    <s v="C-Wonton ND"/>
    <x v="27"/>
    <s v="Cooked Minced  ND No Egg with Pumpkin_x000a_+ Yu Choy Tomkha"/>
    <s v="082SR9U08003P01001"/>
    <s v="302g*8"/>
    <n v="8"/>
    <n v="3"/>
    <n v="8.0000000000000002E-3"/>
    <s v="BK"/>
    <s v="Salt"/>
    <s v="Tomkha+CM"/>
    <n v="200"/>
    <m/>
    <n v="200"/>
    <n v="0"/>
    <n v="0"/>
    <m/>
    <m/>
    <m/>
  </r>
  <r>
    <x v="348"/>
    <d v="2022-12-27T00:00:00"/>
    <s v="Week50"/>
    <d v="2022-12-01T00:00:00"/>
    <s v="DRY2200501"/>
    <s v="AUS"/>
    <s v="CPM Australia"/>
    <s v="C-Wonton"/>
    <s v="C-Wonton ND"/>
    <x v="28"/>
    <s v="Cooked Minced Wonton Thai Spicy Noodles (Kee Mao Noodles)"/>
    <s v="082SR9U08003P02001"/>
    <s v="219g*8"/>
    <n v="8"/>
    <n v="3"/>
    <n v="8.0000000000000002E-3"/>
    <s v="BK"/>
    <s v="Salt"/>
    <s v="Kee Mao 50G."/>
    <n v="250"/>
    <n v="250"/>
    <m/>
    <n v="0"/>
    <n v="0"/>
    <m/>
    <m/>
    <m/>
  </r>
  <r>
    <x v="348"/>
    <d v="2022-12-27T00:00:00"/>
    <s v="Week50"/>
    <d v="2022-12-01T00:00:00"/>
    <s v="DRY2200502"/>
    <s v="AUS"/>
    <s v="CPM Australia"/>
    <s v="C-Wonton"/>
    <s v="C-Wonton ND"/>
    <x v="28"/>
    <s v="Cooked Minced Wonton Thai Spicy Noodles (Kee Mao Noodles)"/>
    <s v="082SR9U08003P02001"/>
    <s v="219g*8"/>
    <n v="8"/>
    <n v="3"/>
    <n v="8.0000000000000002E-3"/>
    <s v="BK"/>
    <s v="Salt"/>
    <s v="Kee Mao 50G."/>
    <n v="350"/>
    <n v="350"/>
    <m/>
    <n v="0"/>
    <n v="0"/>
    <m/>
    <m/>
    <m/>
  </r>
  <r>
    <x v="348"/>
    <d v="2023-03-03T00:00:00"/>
    <s v="Week50"/>
    <d v="2022-12-01T00:00:00"/>
    <s v="DRY2300005"/>
    <s v="AUS"/>
    <s v="CPM Australia"/>
    <s v="C-Wonton"/>
    <s v="C-Wonton ND"/>
    <x v="28"/>
    <s v="Cooked Minced Wonton Thai Spicy Noodles (Kee Mao Noodles)"/>
    <s v="082SR9U08003P02001"/>
    <s v="219g*8"/>
    <n v="8"/>
    <n v="3"/>
    <n v="8.0000000000000002E-3"/>
    <s v="BK"/>
    <s v="Salt"/>
    <s v="Kee Mao 50G."/>
    <n v="250"/>
    <n v="270"/>
    <n v="26.25"/>
    <n v="46.25"/>
    <n v="0"/>
    <m/>
    <m/>
    <m/>
  </r>
  <r>
    <x v="348"/>
    <d v="2023-01-06T00:00:00"/>
    <s v="Week50"/>
    <d v="2022-12-01T00:00:00"/>
    <s v="DRY2200635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1060"/>
    <n v="1060"/>
    <m/>
    <n v="0"/>
    <n v="0"/>
    <n v="0"/>
    <n v="2"/>
    <n v="0"/>
  </r>
  <r>
    <x v="349"/>
    <m/>
    <s v="Week50"/>
    <d v="2022-12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4629"/>
    <n v="4629"/>
    <m/>
    <n v="0"/>
    <n v="0"/>
    <m/>
    <m/>
    <m/>
  </r>
  <r>
    <x v="349"/>
    <d v="2023-01-06T00:00:00"/>
    <s v="Week50"/>
    <d v="2022-12-01T00:00:00"/>
    <s v="DRY2200635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1078"/>
    <n v="1078"/>
    <m/>
    <n v="0"/>
    <n v="0"/>
    <n v="0"/>
    <n v="2"/>
    <n v="0"/>
  </r>
  <r>
    <x v="350"/>
    <m/>
    <s v="Week50"/>
    <d v="2022-12-01T00:00:00"/>
    <s v="DRY220061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8"/>
    <n v="18"/>
    <m/>
    <n v="0"/>
    <n v="0"/>
    <m/>
    <m/>
    <m/>
  </r>
  <r>
    <x v="350"/>
    <m/>
    <s v="Week50"/>
    <d v="2022-12-01T00:00:00"/>
    <s v="DRY220061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50"/>
    <m/>
    <s v="Week50"/>
    <d v="2022-12-01T00:00:00"/>
    <s v="DRY220062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50"/>
    <m/>
    <s v="Week50"/>
    <d v="2022-12-01T00:00:00"/>
    <s v="DRY220062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73"/>
    <n v="673"/>
    <m/>
    <n v="0"/>
    <n v="0"/>
    <m/>
    <m/>
    <m/>
  </r>
  <r>
    <x v="350"/>
    <d v="2022-12-21T00:00:00"/>
    <s v="Week50"/>
    <d v="2022-12-01T00:00:00"/>
    <s v="DRY2200641"/>
    <s v="New Zealand"/>
    <s v="Cuisine 360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350"/>
    <d v="2023-01-06T00:00:00"/>
    <s v="Week50"/>
    <d v="2022-12-01T00:00:00"/>
    <s v="DRY2200635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84"/>
    <n v="84"/>
    <m/>
    <n v="0"/>
    <n v="0"/>
    <n v="0"/>
    <n v="2"/>
    <n v="0"/>
  </r>
  <r>
    <x v="350"/>
    <d v="2023-01-11T00:00:00"/>
    <s v="Week50"/>
    <d v="2022-12-01T00:00:00"/>
    <s v="DRY2200689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455"/>
    <n v="455"/>
    <m/>
    <n v="0"/>
    <n v="0"/>
    <n v="0"/>
    <n v="6"/>
    <n v="0"/>
  </r>
  <r>
    <x v="351"/>
    <m/>
    <s v="Week51"/>
    <d v="2022-12-01T00:00:00"/>
    <m/>
    <m/>
    <m/>
    <m/>
    <m/>
    <x v="0"/>
    <m/>
    <m/>
    <m/>
    <m/>
    <m/>
    <m/>
    <m/>
    <m/>
    <m/>
    <m/>
    <m/>
    <m/>
    <m/>
    <m/>
    <m/>
    <m/>
    <m/>
  </r>
  <r>
    <x v="352"/>
    <d v="2023-01-10T00:00:00"/>
    <s v="Week51"/>
    <d v="2022-12-01T00:00:00"/>
    <s v="DRY2200643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54"/>
    <n v="33.833333333333336"/>
    <n v="-0.16666666666674246"/>
    <n v="6"/>
    <m/>
    <m/>
    <m/>
  </r>
  <r>
    <x v="352"/>
    <d v="2023-01-31T00:00:00"/>
    <s v="Week51"/>
    <d v="2022-12-01T00:00:00"/>
    <s v="DRY2200644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352"/>
    <m/>
    <s v="Week51"/>
    <d v="2022-12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766"/>
    <n v="766"/>
    <m/>
    <n v="0"/>
    <n v="0"/>
    <m/>
    <m/>
    <m/>
  </r>
  <r>
    <x v="352"/>
    <d v="2023-01-11T00:00:00"/>
    <s v="Week51"/>
    <d v="2022-12-01T00:00:00"/>
    <s v="DRY2200689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508"/>
    <n v="508"/>
    <m/>
    <n v="0"/>
    <n v="0"/>
    <n v="0"/>
    <n v="6"/>
    <n v="0"/>
  </r>
  <r>
    <x v="353"/>
    <m/>
    <s v="Week51"/>
    <d v="2022-12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4819"/>
    <n v="4819"/>
    <m/>
    <n v="0"/>
    <n v="0"/>
    <m/>
    <m/>
    <m/>
  </r>
  <r>
    <x v="353"/>
    <d v="2023-01-11T00:00:00"/>
    <s v="Week51"/>
    <d v="2022-12-01T00:00:00"/>
    <s v="DRY2200689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495"/>
    <n v="495"/>
    <m/>
    <n v="0"/>
    <n v="0"/>
    <n v="0"/>
    <n v="6"/>
    <n v="0"/>
  </r>
  <r>
    <x v="354"/>
    <m/>
    <s v="Week51"/>
    <d v="2022-12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2754"/>
    <n v="2639"/>
    <n v="115.375"/>
    <n v="0.375"/>
    <n v="0"/>
    <m/>
    <m/>
    <m/>
  </r>
  <r>
    <x v="354"/>
    <m/>
    <s v="Week51"/>
    <d v="2022-12-01T00:00:00"/>
    <s v="ขายภายใน"/>
    <s v=".7-11"/>
    <s v="ซีพีเอฟ เทรดดิ้ง"/>
    <s v="C-Wonton"/>
    <s v="C-Wonton"/>
    <x v="21"/>
    <s v="Cooked Wonton ND with egg 7-11"/>
    <s v="082SJ1A12003P01001 "/>
    <s v="211g*12"/>
    <n v="12"/>
    <n v="3"/>
    <n v="6.1999999999999998E-3"/>
    <s v="SS"/>
    <s v="STPP"/>
    <s v="TYNSF"/>
    <n v="4000"/>
    <n v="4000"/>
    <m/>
    <n v="0"/>
    <n v="0"/>
    <m/>
    <m/>
    <m/>
  </r>
  <r>
    <x v="354"/>
    <d v="2023-01-11T00:00:00"/>
    <s v="Week51"/>
    <d v="2022-12-01T00:00:00"/>
    <s v="DRY2200689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506"/>
    <n v="506"/>
    <m/>
    <n v="0"/>
    <n v="0"/>
    <n v="0"/>
    <n v="6"/>
    <n v="0"/>
  </r>
  <r>
    <x v="355"/>
    <m/>
    <s v="Week51"/>
    <d v="2022-12-01T00:00:00"/>
    <s v="DRY220062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19"/>
    <n v="119"/>
    <m/>
    <n v="0"/>
    <n v="0"/>
    <m/>
    <m/>
    <m/>
  </r>
  <r>
    <x v="355"/>
    <m/>
    <s v="Week51"/>
    <d v="2022-12-01T00:00:00"/>
    <s v="DRY220062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55"/>
    <m/>
    <s v="Week51"/>
    <d v="2022-12-01T00:00:00"/>
    <s v="DRY220062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55"/>
    <m/>
    <s v="Week51"/>
    <d v="2022-12-01T00:00:00"/>
    <s v="DRY220062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55"/>
    <m/>
    <s v="Week51"/>
    <d v="2022-12-01T00:00:00"/>
    <s v="DRY220062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70"/>
    <n v="570"/>
    <m/>
    <n v="0"/>
    <n v="0"/>
    <m/>
    <m/>
    <m/>
  </r>
  <r>
    <x v="355"/>
    <d v="2023-01-11T00:00:00"/>
    <s v="Week51"/>
    <d v="2022-12-01T00:00:00"/>
    <s v="DRY2200689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92"/>
    <n v="92"/>
    <m/>
    <n v="0"/>
    <n v="0"/>
    <n v="0"/>
    <n v="6"/>
    <n v="0"/>
  </r>
  <r>
    <x v="355"/>
    <d v="2023-01-11T00:00:00"/>
    <s v="Week51"/>
    <d v="2022-12-01T00:00:00"/>
    <s v="DRY2200690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432"/>
    <n v="432"/>
    <m/>
    <n v="0"/>
    <n v="0"/>
    <n v="0"/>
    <n v="2"/>
    <n v="0"/>
  </r>
  <r>
    <x v="356"/>
    <m/>
    <s v="Week51"/>
    <d v="2022-12-01T00:00:00"/>
    <s v="DRY220062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22"/>
    <n v="222"/>
    <m/>
    <n v="0"/>
    <n v="0"/>
    <m/>
    <m/>
    <m/>
  </r>
  <r>
    <x v="356"/>
    <m/>
    <s v="Week51"/>
    <d v="2022-12-01T00:00:00"/>
    <s v="DRY220062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56"/>
    <m/>
    <s v="Week51"/>
    <d v="2022-12-01T00:00:00"/>
    <s v="DRY220062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56"/>
    <m/>
    <s v="Week51"/>
    <d v="2022-12-01T00:00:00"/>
    <s v="DRY220062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66"/>
    <n v="666"/>
    <m/>
    <n v="0"/>
    <n v="0"/>
    <m/>
    <m/>
    <m/>
  </r>
  <r>
    <x v="356"/>
    <d v="2023-01-11T00:00:00"/>
    <s v="Week51"/>
    <d v="2022-12-01T00:00:00"/>
    <s v="DRY2200642"/>
    <s v="New Zealand"/>
    <s v="Cuisine 360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65"/>
    <n v="56.916666666666657"/>
    <n v="29.916666666666629"/>
    <n v="0"/>
    <m/>
    <m/>
    <m/>
  </r>
  <r>
    <x v="356"/>
    <d v="2023-01-11T00:00:00"/>
    <s v="Week51"/>
    <d v="2022-12-01T00:00:00"/>
    <s v="DRY2200690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57"/>
    <n v="557"/>
    <m/>
    <n v="0"/>
    <n v="0"/>
    <n v="0"/>
    <n v="2"/>
    <n v="0"/>
  </r>
  <r>
    <x v="357"/>
    <m/>
    <s v="Week51"/>
    <d v="2022-12-01T00:00:00"/>
    <s v="DRY220062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26"/>
    <n v="126"/>
    <m/>
    <n v="0"/>
    <n v="0"/>
    <m/>
    <m/>
    <m/>
  </r>
  <r>
    <x v="357"/>
    <m/>
    <s v="Week51"/>
    <d v="2022-12-01T00:00:00"/>
    <s v="DRY220062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72"/>
    <n v="572"/>
    <m/>
    <n v="0"/>
    <n v="0"/>
    <m/>
    <m/>
    <m/>
  </r>
  <r>
    <x v="357"/>
    <d v="2023-01-11T00:00:00"/>
    <s v="Week51"/>
    <d v="2022-12-01T00:00:00"/>
    <s v="DRY2200682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357"/>
    <d v="2023-01-11T00:00:00"/>
    <s v="Week51"/>
    <d v="2022-12-01T00:00:00"/>
    <s v="DRY2200683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357"/>
    <d v="2023-01-11T00:00:00"/>
    <s v="Week51"/>
    <d v="2022-12-01T00:00:00"/>
    <s v="DRY2200684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74"/>
    <n v="103.36111111111111"/>
    <n v="85.361111111111086"/>
    <n v="0"/>
    <m/>
    <m/>
    <m/>
  </r>
  <r>
    <x v="357"/>
    <d v="2023-01-06T00:00:00"/>
    <s v="Week51"/>
    <d v="2022-12-01T00:00:00"/>
    <s v="DRY2200638"/>
    <s v="SG"/>
    <s v="CPI Singapore"/>
    <s v="C-Wonton"/>
    <s v="C-Wonton ND"/>
    <x v="5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250"/>
    <n v="222"/>
    <n v="28.25"/>
    <n v="0.25"/>
    <n v="0"/>
    <m/>
    <m/>
    <m/>
  </r>
  <r>
    <x v="357"/>
    <d v="2023-01-11T00:00:00"/>
    <s v="Week51"/>
    <d v="2022-12-01T00:00:00"/>
    <s v="DRY2200690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40"/>
    <n v="540"/>
    <m/>
    <n v="0"/>
    <n v="0"/>
    <n v="0"/>
    <n v="2"/>
    <n v="0"/>
  </r>
  <r>
    <x v="358"/>
    <m/>
    <s v="Week52"/>
    <d v="2022-12-01T00:00:00"/>
    <m/>
    <m/>
    <m/>
    <m/>
    <m/>
    <x v="0"/>
    <m/>
    <m/>
    <m/>
    <m/>
    <m/>
    <m/>
    <m/>
    <m/>
    <m/>
    <m/>
    <m/>
    <m/>
    <m/>
    <m/>
    <m/>
    <m/>
    <m/>
  </r>
  <r>
    <x v="359"/>
    <m/>
    <s v="Week52"/>
    <d v="2022-12-01T00:00:00"/>
    <s v="DRY220062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20"/>
    <n v="220"/>
    <m/>
    <n v="0"/>
    <n v="0"/>
    <m/>
    <m/>
    <m/>
  </r>
  <r>
    <x v="359"/>
    <m/>
    <s v="Week52"/>
    <d v="2022-12-01T00:00:00"/>
    <s v="DRY220064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59"/>
    <d v="2023-01-05T00:00:00"/>
    <s v="Week52"/>
    <d v="2022-12-01T00:00:00"/>
    <s v="DRY220063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75"/>
    <n v="475"/>
    <m/>
    <n v="0"/>
    <n v="0"/>
    <m/>
    <m/>
    <m/>
  </r>
  <r>
    <x v="359"/>
    <m/>
    <s v="Week52"/>
    <d v="2022-12-01T00:00:00"/>
    <s v="DRY220065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59"/>
    <m/>
    <s v="Week52"/>
    <d v="2022-12-01T00:00:00"/>
    <s v="DRY220065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59"/>
    <m/>
    <s v="Week52"/>
    <d v="2022-12-01T00:00:00"/>
    <s v="DRY220065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9"/>
    <n v="19"/>
    <m/>
    <n v="0"/>
    <n v="0"/>
    <m/>
    <m/>
    <m/>
  </r>
  <r>
    <x v="359"/>
    <d v="2023-01-11T00:00:00"/>
    <s v="Week52"/>
    <d v="2022-12-01T00:00:00"/>
    <s v="DRY2200690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95"/>
    <n v="95"/>
    <m/>
    <n v="0"/>
    <n v="0"/>
    <n v="0"/>
    <n v="2"/>
    <n v="0"/>
  </r>
  <r>
    <x v="359"/>
    <d v="2023-01-24T00:00:00"/>
    <s v="Week52"/>
    <d v="2022-12-01T00:00:00"/>
    <s v="DRY2200691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425"/>
    <n v="425"/>
    <m/>
    <n v="0"/>
    <n v="0"/>
    <n v="0"/>
    <n v="2"/>
    <n v="0"/>
  </r>
  <r>
    <x v="360"/>
    <m/>
    <s v="Week52"/>
    <d v="2022-12-01T00:00:00"/>
    <s v="DRY220065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73"/>
    <n v="773"/>
    <m/>
    <n v="0"/>
    <n v="0"/>
    <m/>
    <m/>
    <m/>
  </r>
  <r>
    <x v="360"/>
    <m/>
    <s v="Week52"/>
    <d v="2022-12-01T00:00:00"/>
    <s v="DRY220065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60"/>
    <m/>
    <s v="Week52"/>
    <d v="2022-12-01T00:00:00"/>
    <s v="DRY220065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60"/>
    <m/>
    <s v="Week52"/>
    <d v="2022-12-01T00:00:00"/>
    <s v="DRY220065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92"/>
    <n v="692"/>
    <m/>
    <n v="0"/>
    <n v="0"/>
    <m/>
    <m/>
    <m/>
  </r>
  <r>
    <x v="360"/>
    <d v="2023-01-24T00:00:00"/>
    <s v="Week52"/>
    <d v="2022-12-01T00:00:00"/>
    <s v="DRY2200691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22"/>
    <n v="360"/>
    <n v="162"/>
    <n v="0"/>
    <n v="0"/>
    <n v="0"/>
    <n v="2"/>
    <n v="0"/>
  </r>
  <r>
    <x v="361"/>
    <m/>
    <s v="Week52"/>
    <d v="2022-12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3236"/>
    <n v="3236"/>
    <m/>
    <n v="0"/>
    <n v="0"/>
    <m/>
    <m/>
    <m/>
  </r>
  <r>
    <x v="361"/>
    <m/>
    <s v="Week52"/>
    <d v="2022-12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1399"/>
    <n v="1399"/>
    <m/>
    <n v="0"/>
    <n v="0"/>
    <m/>
    <m/>
    <m/>
  </r>
  <r>
    <x v="362"/>
    <m/>
    <s v="Week52"/>
    <d v="2022-12-01T00:00:00"/>
    <m/>
    <m/>
    <m/>
    <m/>
    <m/>
    <x v="0"/>
    <m/>
    <m/>
    <m/>
    <m/>
    <m/>
    <m/>
    <m/>
    <m/>
    <m/>
    <m/>
    <m/>
    <m/>
    <m/>
    <m/>
    <m/>
    <m/>
    <m/>
  </r>
  <r>
    <x v="363"/>
    <m/>
    <s v="Week52"/>
    <d v="2022-12-01T00:00:00"/>
    <m/>
    <m/>
    <m/>
    <m/>
    <m/>
    <x v="0"/>
    <m/>
    <m/>
    <m/>
    <m/>
    <m/>
    <m/>
    <m/>
    <m/>
    <m/>
    <m/>
    <m/>
    <m/>
    <m/>
    <m/>
    <m/>
    <m/>
    <m/>
  </r>
  <r>
    <x v="364"/>
    <m/>
    <s v="Week52"/>
    <d v="2022-12-01T00:00:00"/>
    <m/>
    <m/>
    <m/>
    <m/>
    <m/>
    <x v="0"/>
    <m/>
    <m/>
    <m/>
    <m/>
    <m/>
    <m/>
    <m/>
    <m/>
    <m/>
    <m/>
    <m/>
    <m/>
    <m/>
    <m/>
    <m/>
    <m/>
    <m/>
  </r>
  <r>
    <x v="365"/>
    <m/>
    <s v="Week1"/>
    <d v="2023-01-01T00:00:00"/>
    <m/>
    <m/>
    <m/>
    <m/>
    <m/>
    <x v="0"/>
    <m/>
    <m/>
    <m/>
    <m/>
    <m/>
    <m/>
    <m/>
    <m/>
    <m/>
    <m/>
    <m/>
    <m/>
    <m/>
    <m/>
    <m/>
    <m/>
    <m/>
  </r>
  <r>
    <x v="366"/>
    <m/>
    <s v="Week1"/>
    <d v="2023-01-01T00:00:00"/>
    <m/>
    <m/>
    <m/>
    <m/>
    <m/>
    <x v="0"/>
    <m/>
    <m/>
    <m/>
    <m/>
    <m/>
    <m/>
    <m/>
    <m/>
    <m/>
    <m/>
    <m/>
    <m/>
    <m/>
    <m/>
    <m/>
    <m/>
    <m/>
  </r>
  <r>
    <x v="367"/>
    <m/>
    <s v="Week1"/>
    <d v="2023-01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3975"/>
    <n v="3975"/>
    <m/>
    <n v="0"/>
    <n v="0"/>
    <m/>
    <m/>
    <m/>
  </r>
  <r>
    <x v="367"/>
    <d v="2023-01-24T00:00:00"/>
    <s v="Week1"/>
    <d v="2023-01-01T00:00:00"/>
    <s v="DRY2200691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44"/>
    <n v="544"/>
    <m/>
    <n v="0"/>
    <n v="0"/>
    <n v="0"/>
    <n v="2"/>
    <n v="0"/>
  </r>
  <r>
    <x v="368"/>
    <d v="2023-01-19T00:00:00"/>
    <s v="Week1"/>
    <d v="2023-01-01T00:00:00"/>
    <s v="DRY2200685"/>
    <s v="USA"/>
    <s v="Bellisio Foods, Inc."/>
    <s v="C-Wonton"/>
    <s v="C-Wonton ND"/>
    <x v="3"/>
    <s v="Cooked Minced Wonton Noodle No Egg"/>
    <s v="082SRBW08005P00001"/>
    <s v="258g*8"/>
    <n v="8"/>
    <n v="5"/>
    <n v="8.0000000000000002E-3"/>
    <s v="BK"/>
    <s v="Salt"/>
    <s v="Regular"/>
    <n v="3500"/>
    <n v="3"/>
    <n v="3500.375"/>
    <n v="3.375"/>
    <n v="0"/>
    <m/>
    <m/>
    <m/>
  </r>
  <r>
    <x v="368"/>
    <d v="2023-01-14T00:00:00"/>
    <s v="Week1"/>
    <d v="2023-01-01T00:00:00"/>
    <s v="DRY2200692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</r>
  <r>
    <x v="368"/>
    <d v="2023-01-14T00:00:00"/>
    <s v="Week1"/>
    <d v="2023-01-01T00:00:00"/>
    <s v="DRY2200693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</r>
  <r>
    <x v="368"/>
    <d v="2023-01-24T00:00:00"/>
    <s v="Week1"/>
    <d v="2023-01-01T00:00:00"/>
    <s v="DRY2200691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133"/>
    <n v="133"/>
    <m/>
    <n v="0"/>
    <n v="0"/>
    <n v="0"/>
    <n v="2"/>
    <n v="0"/>
  </r>
  <r>
    <x v="368"/>
    <d v="2023-01-27T00:00:00"/>
    <s v="Week1"/>
    <d v="2023-01-01T00:00:00"/>
    <s v="DRY2200646"/>
    <s v="HK"/>
    <s v="CPM Hongkong"/>
    <s v="R-Wonton"/>
    <s v="R-Mince"/>
    <x v="9"/>
    <s v="Raw Minced Wonton 8 pcs"/>
    <s v="082ID3G18008P00001"/>
    <s v="90g*18in"/>
    <n v="18"/>
    <n v="8"/>
    <n v="6.0000000000000001E-3"/>
    <s v="BK"/>
    <s v="STPP"/>
    <s v="ซุปซอง 5g."/>
    <n v="700"/>
    <n v="700"/>
    <m/>
    <n v="0"/>
    <n v="0"/>
    <n v="0"/>
    <n v="2"/>
    <n v="0"/>
  </r>
  <r>
    <x v="369"/>
    <m/>
    <s v="Week1"/>
    <d v="2023-01-01T00:00:00"/>
    <s v="ขายภายใน"/>
    <s v=".7-11"/>
    <s v="Seven  ถ้วยขาว ถ้วยพิมพ์ลาย *ใหม่*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3608"/>
    <n v="3608"/>
    <m/>
    <n v="0"/>
    <n v="0"/>
    <m/>
    <m/>
    <m/>
  </r>
  <r>
    <x v="369"/>
    <d v="2023-01-16T00:00:00"/>
    <s v="Week1"/>
    <d v="2023-01-01T00:00:00"/>
    <s v="DRY2200692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</r>
  <r>
    <x v="369"/>
    <d v="2023-01-27T00:00:00"/>
    <s v="Week1"/>
    <d v="2023-01-01T00:00:00"/>
    <s v="DRY2200646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1200"/>
    <n v="1200"/>
    <m/>
    <n v="0"/>
    <n v="0"/>
    <n v="0"/>
    <n v="1"/>
    <n v="0"/>
  </r>
  <r>
    <x v="370"/>
    <m/>
    <s v="Week1"/>
    <d v="2023-01-01T00:00:00"/>
    <s v="DRY220065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00"/>
    <n v="100"/>
    <m/>
    <n v="0"/>
    <n v="0"/>
    <m/>
    <m/>
    <m/>
  </r>
  <r>
    <x v="370"/>
    <m/>
    <s v="Week1"/>
    <d v="2023-01-01T00:00:00"/>
    <s v="DRY220065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70"/>
    <m/>
    <s v="Week1"/>
    <d v="2023-01-01T00:00:00"/>
    <s v="DRY220065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70"/>
    <m/>
    <s v="Week1"/>
    <d v="2023-01-01T00:00:00"/>
    <s v="DRY220065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70"/>
    <m/>
    <s v="Week1"/>
    <d v="2023-01-01T00:00:00"/>
    <s v="DRY220065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61"/>
    <n v="661"/>
    <m/>
    <n v="0"/>
    <n v="0"/>
    <m/>
    <m/>
    <m/>
  </r>
  <r>
    <x v="371"/>
    <d v="2023-01-17T00:00:00"/>
    <s v="Week1"/>
    <d v="2023-01-01T00:00:00"/>
    <s v="DRY2200647"/>
    <s v="Netherlands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371"/>
    <d v="2023-01-16T00:00:00"/>
    <s v="Week1"/>
    <d v="2023-01-01T00:00:00"/>
    <s v="DRY2200693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</r>
  <r>
    <x v="371"/>
    <d v="2023-01-25T00:00:00"/>
    <s v="Week1"/>
    <d v="2023-01-01T00:00:00"/>
    <s v="DRY2200696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455"/>
    <n v="2455"/>
    <m/>
    <n v="0"/>
    <n v="0"/>
    <m/>
    <m/>
    <m/>
  </r>
  <r>
    <x v="372"/>
    <m/>
    <s v="Week2"/>
    <d v="2023-01-01T00:00:00"/>
    <m/>
    <m/>
    <m/>
    <m/>
    <m/>
    <x v="0"/>
    <m/>
    <m/>
    <m/>
    <m/>
    <m/>
    <m/>
    <m/>
    <m/>
    <m/>
    <m/>
    <m/>
    <m/>
    <m/>
    <m/>
    <m/>
    <m/>
    <m/>
  </r>
  <r>
    <x v="373"/>
    <d v="2023-02-02T00:00:00"/>
    <s v="Week2"/>
    <d v="2023-01-01T00:00:00"/>
    <s v="DRY2200702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2100"/>
    <m/>
    <n v="2100"/>
    <n v="0"/>
    <n v="0"/>
    <m/>
    <m/>
    <m/>
  </r>
  <r>
    <x v="373"/>
    <d v="2023-01-20T00:00:00"/>
    <s v="Week2"/>
    <d v="2023-01-01T00:00:00"/>
    <s v="DRY2200699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373"/>
    <d v="2023-01-20T00:00:00"/>
    <s v="Week2"/>
    <d v="2023-01-01T00:00:00"/>
    <s v="DRY2200700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373"/>
    <d v="2023-01-24T00:00:00"/>
    <s v="Week2"/>
    <d v="2023-01-01T00:00:00"/>
    <s v="DRY2200697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374"/>
    <m/>
    <s v="Week2"/>
    <d v="2023-01-01T00:00:00"/>
    <s v="DRY220065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31"/>
    <n v="131"/>
    <m/>
    <n v="0"/>
    <n v="0"/>
    <m/>
    <m/>
    <m/>
  </r>
  <r>
    <x v="374"/>
    <m/>
    <s v="Week2"/>
    <d v="2023-01-01T00:00:00"/>
    <s v="DRY220066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74"/>
    <m/>
    <s v="Week2"/>
    <d v="2023-01-01T00:00:00"/>
    <s v="DRY220066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74"/>
    <m/>
    <s v="Week2"/>
    <d v="2023-01-01T00:00:00"/>
    <s v="DRY220066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77"/>
    <n v="577"/>
    <m/>
    <n v="0"/>
    <n v="0"/>
    <m/>
    <m/>
    <m/>
  </r>
  <r>
    <x v="375"/>
    <m/>
    <s v="Week2"/>
    <d v="2023-01-01T00:00:00"/>
    <s v="DRY220066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15"/>
    <n v="215"/>
    <m/>
    <n v="0"/>
    <n v="0"/>
    <m/>
    <m/>
    <m/>
  </r>
  <r>
    <x v="375"/>
    <d v="2023-02-09T00:00:00"/>
    <s v="Week2"/>
    <d v="2023-01-01T00:00:00"/>
    <s v="DRY220066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75"/>
    <d v="2023-02-09T00:00:00"/>
    <s v="Week2"/>
    <d v="2023-01-01T00:00:00"/>
    <s v="DRY220066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75"/>
    <d v="2023-02-09T00:00:00"/>
    <s v="Week2"/>
    <d v="2023-01-01T00:00:00"/>
    <s v="DRY220066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69"/>
    <n v="369"/>
    <m/>
    <n v="0"/>
    <n v="0"/>
    <m/>
    <m/>
    <m/>
  </r>
  <r>
    <x v="376"/>
    <d v="2023-02-09T00:00:00"/>
    <s v="Week2"/>
    <d v="2023-01-01T00:00:00"/>
    <s v="DRY220066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23"/>
    <n v="423"/>
    <m/>
    <n v="0"/>
    <n v="0"/>
    <m/>
    <m/>
    <m/>
  </r>
  <r>
    <x v="376"/>
    <d v="2023-02-10T00:00:00"/>
    <s v="Week2"/>
    <d v="2023-01-01T00:00:00"/>
    <s v="DRY220066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76"/>
    <d v="2023-02-10T00:00:00"/>
    <s v="Week2"/>
    <d v="2023-01-01T00:00:00"/>
    <s v="DRY220066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76"/>
    <d v="2023-02-13T00:00:00"/>
    <s v="Week2"/>
    <d v="2023-01-01T00:00:00"/>
    <s v="DRY220066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76"/>
    <d v="2023-02-13T00:00:00"/>
    <s v="Week2"/>
    <d v="2023-01-01T00:00:00"/>
    <s v="DRY220066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63"/>
    <n v="463"/>
    <m/>
    <n v="0"/>
    <n v="0"/>
    <m/>
    <m/>
    <m/>
  </r>
  <r>
    <x v="377"/>
    <d v="2023-02-13T00:00:00"/>
    <s v="Week2"/>
    <d v="2023-01-01T00:00:00"/>
    <s v="DRY220066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29"/>
    <n v="329"/>
    <m/>
    <n v="0"/>
    <n v="0"/>
    <m/>
    <m/>
    <m/>
  </r>
  <r>
    <x v="377"/>
    <d v="2023-02-13T00:00:00"/>
    <s v="Week2"/>
    <d v="2023-01-01T00:00:00"/>
    <s v="DRY220067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77"/>
    <d v="2023-02-14T00:00:00"/>
    <s v="Week2"/>
    <d v="2023-01-01T00:00:00"/>
    <s v="DRY220067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77"/>
    <d v="2023-02-15T00:00:00"/>
    <s v="Week2"/>
    <d v="2023-01-01T00:00:00"/>
    <s v="DRY220067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77"/>
    <d v="2023-02-15T00:00:00"/>
    <s v="Week2"/>
    <d v="2023-01-01T00:00:00"/>
    <s v="DRY220067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37"/>
    <n v="737"/>
    <m/>
    <n v="0"/>
    <n v="0"/>
    <m/>
    <m/>
    <m/>
  </r>
  <r>
    <x v="378"/>
    <d v="2023-02-15T00:00:00"/>
    <s v="Week2"/>
    <d v="2023-01-01T00:00:00"/>
    <s v="DRY220067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5"/>
    <n v="55"/>
    <m/>
    <n v="0"/>
    <n v="0"/>
    <m/>
    <m/>
    <m/>
  </r>
  <r>
    <x v="378"/>
    <d v="2023-02-15T00:00:00"/>
    <s v="Week2"/>
    <d v="2023-01-01T00:00:00"/>
    <s v="DRY220067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78"/>
    <d v="2023-02-15T00:00:00"/>
    <s v="Week2"/>
    <d v="2023-01-01T00:00:00"/>
    <s v="DRY220067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75"/>
    <n v="775"/>
    <m/>
    <n v="0"/>
    <n v="0"/>
    <m/>
    <m/>
    <m/>
  </r>
  <r>
    <x v="378"/>
    <d v="2023-01-24T00:00:00"/>
    <s v="Week2"/>
    <d v="2023-01-01T00:00:00"/>
    <s v="DRY2200698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43"/>
    <n v="48.916666666666664"/>
    <n v="-8.3333333333371229E-2"/>
    <n v="3"/>
    <m/>
    <m/>
    <m/>
  </r>
  <r>
    <x v="378"/>
    <d v="2023-01-26T00:00:00"/>
    <s v="Week2"/>
    <d v="2023-01-01T00:00:00"/>
    <s v="DRY2200701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644"/>
    <n v="148"/>
    <n v="0"/>
    <n v="0"/>
    <m/>
    <m/>
    <m/>
  </r>
  <r>
    <x v="378"/>
    <d v="2023-01-25T00:00:00"/>
    <s v="Week2"/>
    <d v="2023-01-01T00:00:00"/>
    <s v="DRY2200696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65"/>
    <n v="29"/>
    <n v="36"/>
    <n v="0"/>
    <n v="0"/>
    <m/>
    <m/>
    <m/>
  </r>
  <r>
    <x v="379"/>
    <m/>
    <s v="Week3"/>
    <d v="2023-01-01T00:00:00"/>
    <m/>
    <m/>
    <m/>
    <m/>
    <m/>
    <x v="0"/>
    <m/>
    <m/>
    <m/>
    <m/>
    <m/>
    <m/>
    <m/>
    <m/>
    <m/>
    <m/>
    <m/>
    <m/>
    <m/>
    <m/>
    <m/>
    <m/>
    <m/>
  </r>
  <r>
    <x v="380"/>
    <d v="2023-02-07T00:00:00"/>
    <s v="Week3"/>
    <d v="2023-01-01T00:00:00"/>
    <s v="DRY2200706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1083"/>
    <n v="1081"/>
    <n v="2"/>
    <n v="0"/>
    <n v="0"/>
    <n v="0"/>
    <n v="6"/>
    <n v="0"/>
  </r>
  <r>
    <x v="381"/>
    <d v="2023-02-07T00:00:00"/>
    <s v="Week3"/>
    <d v="2023-01-01T00:00:00"/>
    <s v="DRY2200706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973"/>
    <n v="973"/>
    <m/>
    <n v="0"/>
    <n v="0"/>
    <n v="0"/>
    <n v="6"/>
    <n v="0"/>
  </r>
  <r>
    <x v="381"/>
    <d v="2023-02-14T00:00:00"/>
    <s v="Week3"/>
    <d v="2023-01-01T00:00:00"/>
    <s v="DRY2200707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127"/>
    <n v="118"/>
    <n v="9"/>
    <n v="0"/>
    <n v="0"/>
    <n v="0"/>
    <n v="2"/>
    <n v="0"/>
  </r>
  <r>
    <x v="382"/>
    <d v="2023-02-14T00:00:00"/>
    <s v="Week3"/>
    <d v="2023-01-01T00:00:00"/>
    <s v="DRY2200707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1183"/>
    <n v="1183"/>
    <m/>
    <n v="0"/>
    <n v="0"/>
    <n v="0"/>
    <n v="2"/>
    <n v="0"/>
  </r>
  <r>
    <x v="383"/>
    <d v="2023-02-14T00:00:00"/>
    <s v="Week3"/>
    <d v="2023-01-01T00:00:00"/>
    <s v="DRY2200707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314"/>
    <n v="314"/>
    <m/>
    <n v="0"/>
    <n v="0"/>
    <n v="0"/>
    <n v="2"/>
    <n v="0"/>
  </r>
  <r>
    <x v="383"/>
    <d v="2023-03-21T00:00:00"/>
    <s v="Week3"/>
    <d v="2023-01-01T00:00:00"/>
    <s v="DRY2200708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839"/>
    <n v="839"/>
    <m/>
    <n v="0"/>
    <n v="0"/>
    <n v="0"/>
    <n v="2"/>
    <n v="0"/>
  </r>
  <r>
    <x v="384"/>
    <d v="2023-03-21T00:00:00"/>
    <s v="Week3"/>
    <d v="2023-01-01T00:00:00"/>
    <s v="DRY2200708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785"/>
    <n v="785"/>
    <n v="30"/>
    <n v="30"/>
    <n v="0"/>
    <n v="0"/>
    <n v="2"/>
    <n v="0"/>
  </r>
  <r>
    <x v="384"/>
    <m/>
    <s v="Week3"/>
    <d v="2023-01-01T00:00:00"/>
    <s v="ขายภายใน"/>
    <s v="MTFS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300"/>
    <n v="301"/>
    <m/>
    <n v="1"/>
    <n v="0"/>
    <n v="0"/>
    <m/>
    <n v="0"/>
  </r>
  <r>
    <x v="385"/>
    <m/>
    <s v="Week3"/>
    <d v="2023-01-01T00:00:00"/>
    <m/>
    <m/>
    <m/>
    <m/>
    <m/>
    <x v="0"/>
    <m/>
    <m/>
    <m/>
    <m/>
    <m/>
    <m/>
    <m/>
    <m/>
    <m/>
    <m/>
    <m/>
    <m/>
    <m/>
    <m/>
    <m/>
    <m/>
    <m/>
  </r>
  <r>
    <x v="386"/>
    <m/>
    <s v="Week4"/>
    <d v="2023-01-01T00:00:00"/>
    <m/>
    <m/>
    <m/>
    <m/>
    <m/>
    <x v="0"/>
    <m/>
    <m/>
    <m/>
    <m/>
    <m/>
    <m/>
    <m/>
    <m/>
    <m/>
    <m/>
    <m/>
    <m/>
    <m/>
    <m/>
    <m/>
    <m/>
    <m/>
  </r>
  <r>
    <x v="387"/>
    <m/>
    <s v="Week4"/>
    <d v="2023-01-01T00:00:00"/>
    <m/>
    <m/>
    <m/>
    <m/>
    <m/>
    <x v="0"/>
    <m/>
    <m/>
    <m/>
    <m/>
    <m/>
    <m/>
    <m/>
    <m/>
    <m/>
    <m/>
    <m/>
    <m/>
    <m/>
    <m/>
    <m/>
    <m/>
    <m/>
  </r>
  <r>
    <x v="388"/>
    <d v="2023-02-21T00:00:00"/>
    <s v="Week4"/>
    <d v="2023-01-01T00:00:00"/>
    <s v="DRY2300004"/>
    <s v="UK"/>
    <s v="Food Fellas"/>
    <s v="C-Wonton"/>
    <s v="C-Wonton ND"/>
    <x v="15"/>
    <s v="Cooked Wonton ND No Egg with _x000a_HC  5 pcs"/>
    <s v="082SJ5L08005P03001"/>
    <s v="258g*8"/>
    <n v="8"/>
    <n v="5"/>
    <n v="7.4999999999999997E-3"/>
    <s v="HC"/>
    <s v="Salt"/>
    <s v="Regular"/>
    <n v="2100"/>
    <m/>
    <n v="2192.5"/>
    <n v="92.5"/>
    <n v="0"/>
    <m/>
    <m/>
    <m/>
  </r>
  <r>
    <x v="388"/>
    <d v="2023-02-15T00:00:00"/>
    <s v="Week4"/>
    <d v="2023-01-01T00:00:00"/>
    <s v="DRY220067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7"/>
    <n v="17"/>
    <m/>
    <n v="0"/>
    <n v="0"/>
    <m/>
    <m/>
    <m/>
  </r>
  <r>
    <x v="388"/>
    <d v="2023-02-15T00:00:00"/>
    <s v="Week4"/>
    <d v="2023-01-01T00:00:00"/>
    <s v="DRY220067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88"/>
    <d v="2023-02-15T00:00:00"/>
    <s v="Week4"/>
    <d v="2023-01-01T00:00:00"/>
    <s v="DRY220067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88"/>
    <d v="2023-02-16T00:00:00"/>
    <s v="Week4"/>
    <d v="2023-01-01T00:00:00"/>
    <s v="DRY220067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88"/>
    <d v="2023-02-16T00:00:00"/>
    <s v="Week4"/>
    <d v="2023-01-01T00:00:00"/>
    <s v="DRY230002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06"/>
    <n v="106"/>
    <m/>
    <n v="0"/>
    <n v="0"/>
    <m/>
    <m/>
    <m/>
  </r>
  <r>
    <x v="388"/>
    <d v="2023-02-09T00:00:00"/>
    <s v="Week4"/>
    <d v="2023-01-01T00:00:00"/>
    <s v="DRY2200711"/>
    <s v="SG"/>
    <s v="CPI Singapore"/>
    <s v="C-Wonton"/>
    <s v="C-Wonton ND"/>
    <x v="5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250"/>
    <n v="249"/>
    <n v="1"/>
    <n v="0"/>
    <n v="0"/>
    <m/>
    <m/>
    <m/>
  </r>
  <r>
    <x v="388"/>
    <d v="2023-03-03T00:00:00"/>
    <s v="Week4"/>
    <d v="2023-01-01T00:00:00"/>
    <s v="DRY2300005"/>
    <s v="AUS"/>
    <s v="CPM Australia"/>
    <s v="C-Wonton"/>
    <s v="C-Wonton ND"/>
    <x v="27"/>
    <s v="Cooked Minced  ND No Egg with Pumpkin_x000a_+ Yu Choy Tomkha"/>
    <s v="082SR9U08003P01001"/>
    <s v="302g*8"/>
    <n v="8"/>
    <n v="3"/>
    <n v="6.0000000000000001E-3"/>
    <s v="BK"/>
    <s v="Salt"/>
    <s v="Tomkha+CM"/>
    <n v="456"/>
    <m/>
    <n v="519.75"/>
    <n v="63.75"/>
    <n v="0"/>
    <m/>
    <m/>
    <m/>
  </r>
  <r>
    <x v="389"/>
    <d v="2023-02-14T00:00:00"/>
    <s v="Week4"/>
    <d v="2023-01-01T00:00:00"/>
    <s v="DRY2200645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389"/>
    <d v="2023-02-21T00:00:00"/>
    <s v="Week4"/>
    <d v="2023-01-01T00:00:00"/>
    <s v="DRY2300004"/>
    <s v="UK"/>
    <s v="Food Fellas"/>
    <s v="C-Wonton"/>
    <s v="C-Wonton"/>
    <x v="1"/>
    <s v="Cooked Wonton  No Egg_x000a_HC  5 pcs"/>
    <s v="082S85L08005P03001"/>
    <s v="145g*8"/>
    <n v="8"/>
    <n v="5"/>
    <n v="7.4999999999999997E-3"/>
    <s v="HC"/>
    <s v="Salt"/>
    <s v="Regular"/>
    <n v="1200"/>
    <m/>
    <n v="1561.875"/>
    <n v="361.875"/>
    <n v="0"/>
    <m/>
    <m/>
    <m/>
  </r>
  <r>
    <x v="389"/>
    <d v="2023-02-09T00:00:00"/>
    <s v="Week4"/>
    <d v="2023-01-01T00:00:00"/>
    <s v="DRY2200709"/>
    <s v="SG"/>
    <s v="CPI SINGAPORE"/>
    <s v="C-Wonton"/>
    <s v="C-Wonton"/>
    <x v="1"/>
    <s v="Cooked Wonton No Egg"/>
    <s v="082S83B24005P07001"/>
    <s v="145g*24"/>
    <n v="24"/>
    <n v="5"/>
    <n v="8.0000000000000002E-3"/>
    <s v="M"/>
    <s v="STPP"/>
    <s v="Regular"/>
    <n v="300"/>
    <n v="289"/>
    <n v="11"/>
    <n v="0"/>
    <n v="0"/>
    <m/>
    <m/>
    <m/>
  </r>
  <r>
    <x v="389"/>
    <d v="2023-02-09T00:00:00"/>
    <s v="Week4"/>
    <d v="2023-01-01T00:00:00"/>
    <s v="DRY2200711"/>
    <s v="SG"/>
    <s v="CPI SINGAPORE"/>
    <s v="C-Wonton"/>
    <s v="C-Wonton"/>
    <x v="2"/>
    <s v="Cooked Wonton No Egg"/>
    <s v="082S83B24005P06001"/>
    <s v="115g*24"/>
    <n v="24"/>
    <n v="5"/>
    <n v="8.0000000000000002E-3"/>
    <s v="M"/>
    <s v="STPP"/>
    <s v="TYTB3C 30G"/>
    <n v="300"/>
    <n v="283"/>
    <n v="17"/>
    <n v="0"/>
    <n v="0"/>
    <m/>
    <n v="1"/>
    <n v="0"/>
  </r>
  <r>
    <x v="389"/>
    <d v="2023-02-02T00:00:00"/>
    <s v="Week4"/>
    <d v="2023-01-01T00:00:00"/>
    <s v="DRY2200702"/>
    <s v="USA"/>
    <s v="Bellisio Foods, Inc."/>
    <s v="C-Wonton"/>
    <s v="C-Wonton ND"/>
    <x v="7"/>
    <s v="Cooked Minced Wonton No Egg"/>
    <s v="082SKBW08005P00001"/>
    <s v="145g*8"/>
    <n v="8"/>
    <n v="5"/>
    <n v="6.0000000000000001E-3"/>
    <s v="BK"/>
    <s v="Salt"/>
    <s v="Regular"/>
    <n v="2000"/>
    <m/>
    <n v="2189.875"/>
    <n v="189.875"/>
    <n v="0"/>
    <m/>
    <m/>
    <m/>
  </r>
  <r>
    <x v="389"/>
    <d v="2023-02-22T00:00:00"/>
    <s v="Week4"/>
    <d v="2023-01-01T00:00:00"/>
    <s v="DRY2300001"/>
    <s v="Malay"/>
    <s v="CPM Malaysia"/>
    <s v="C-Wonton"/>
    <s v="C-Wonton"/>
    <x v="1"/>
    <s v="Cooked Wonton No Egg  "/>
    <s v="082S85I24005P01001"/>
    <s v="145g*24"/>
    <n v="24"/>
    <n v="5"/>
    <n v="8.0000000000000002E-3"/>
    <s v="M"/>
    <s v="STPP"/>
    <s v="Regular"/>
    <n v="800"/>
    <n v="800"/>
    <n v="9.2916666666666661"/>
    <n v="9.2916666666666288"/>
    <n v="0"/>
    <m/>
    <m/>
    <m/>
  </r>
  <r>
    <x v="389"/>
    <d v="2023-02-22T00:00:00"/>
    <s v="Week4"/>
    <d v="2023-01-01T00:00:00"/>
    <s v="DRY2300001"/>
    <s v="Malay"/>
    <s v="CPM Malaysia"/>
    <s v="C-Wonton"/>
    <s v="C-Wonton"/>
    <x v="2"/>
    <s v="Cooked Wonton No Egg  TY"/>
    <s v="082S85I24005P02001"/>
    <s v="115g*24"/>
    <n v="24"/>
    <n v="5"/>
    <n v="8.0000000000000002E-3"/>
    <s v="M"/>
    <s v="STPP"/>
    <s v="TYTB3C 30G"/>
    <n v="950"/>
    <n v="950"/>
    <n v="12.791666666666666"/>
    <n v="12.791666666666629"/>
    <n v="0"/>
    <m/>
    <n v="1"/>
    <n v="0"/>
  </r>
  <r>
    <x v="390"/>
    <m/>
    <s v="Week4"/>
    <d v="2023-01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2514"/>
    <n v="2514"/>
    <m/>
    <n v="0"/>
    <n v="0"/>
    <m/>
    <m/>
    <m/>
  </r>
  <r>
    <x v="390"/>
    <m/>
    <s v="Week4"/>
    <d v="2023-01-01T00:00:00"/>
    <s v="ขายภายใน"/>
    <s v="MTFS"/>
    <s v="ซีพีเอฟ เทรดดิ้ง"/>
    <s v="C-Wonton"/>
    <s v="C-Wonton"/>
    <x v="11"/>
    <s v="Cooked Wonton ND with egg V-Food"/>
    <s v="082SJ3Q12003P07001"/>
    <s v="226g*12"/>
    <n v="12"/>
    <n v="3"/>
    <n v="8.0000000000000002E-3"/>
    <s v="M"/>
    <s v="STPP"/>
    <s v="Regular"/>
    <n v="1100"/>
    <n v="1110"/>
    <m/>
    <n v="10"/>
    <n v="0"/>
    <m/>
    <m/>
    <m/>
  </r>
  <r>
    <x v="390"/>
    <m/>
    <s v="Week4"/>
    <d v="2023-01-01T00:00:00"/>
    <s v="ขายภายใน"/>
    <s v=".7-11"/>
    <s v="ซีพีเอฟ เทรดดิ้ง"/>
    <s v="C-Wonton"/>
    <s v="C-Wonton"/>
    <x v="21"/>
    <s v="Cooked Wonton ND with egg 7-11"/>
    <s v="082SJ1A12003P01001 "/>
    <s v="211g*12"/>
    <n v="12"/>
    <n v="3"/>
    <n v="6.1999999999999998E-3"/>
    <s v="SS"/>
    <s v="STPP"/>
    <s v="TYNSF"/>
    <n v="4300"/>
    <n v="4299"/>
    <m/>
    <n v="-1"/>
    <n v="12"/>
    <m/>
    <m/>
    <m/>
  </r>
  <r>
    <x v="391"/>
    <m/>
    <s v="Week4"/>
    <d v="2023-01-01T00:00:00"/>
    <s v="ขายภายใน"/>
    <s v="MTFS"/>
    <s v="ซีพีเอฟ เทรดดิ้ง"/>
    <s v="C-Wonton"/>
    <s v="C-Wonton"/>
    <x v="14"/>
    <s v="Minced Wonton (5pcs)"/>
    <s v="082SK3Q12005P00001"/>
    <s v="135g*12"/>
    <n v="12"/>
    <n v="5"/>
    <n v="6.0000000000000001E-3"/>
    <s v="BK"/>
    <s v="STPP"/>
    <s v="Regular"/>
    <n v="900"/>
    <n v="907"/>
    <m/>
    <n v="7"/>
    <n v="0"/>
    <m/>
    <m/>
    <m/>
  </r>
  <r>
    <x v="391"/>
    <m/>
    <s v="Week4"/>
    <d v="2023-01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1400"/>
    <n v="1407"/>
    <m/>
    <n v="7"/>
    <n v="0"/>
    <m/>
    <n v="1"/>
    <n v="0"/>
  </r>
  <r>
    <x v="391"/>
    <m/>
    <s v="Week4"/>
    <d v="2023-01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4000"/>
    <n v="4000"/>
    <m/>
    <n v="0"/>
    <n v="0"/>
    <m/>
    <m/>
    <m/>
  </r>
  <r>
    <x v="392"/>
    <d v="2023-02-28T00:00:00"/>
    <s v="Week4"/>
    <d v="2023-01-01T00:00:00"/>
    <s v="DRY2200686"/>
    <s v="Netherlands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392"/>
    <d v="2023-02-06T00:00:00"/>
    <s v="Week4"/>
    <d v="2023-01-01T00:00:00"/>
    <s v="DRY2200703"/>
    <s v="Germany"/>
    <s v=" CPF Distribution (under Paulsen Food)"/>
    <s v="C-Wonton"/>
    <s v="C-Wonton ND"/>
    <x v="5"/>
    <s v="Cooked Wonton ND No Egg with Pumpkin _x000a_+ Vegetable  HC  3 pcs"/>
    <s v="082SJ3N12003P01001"/>
    <s v="309g*12"/>
    <n v="12"/>
    <n v="3"/>
    <n v="7.4999999999999997E-3"/>
    <s v="HC"/>
    <s v="Salt"/>
    <s v="Regular"/>
    <n v="2520"/>
    <n v="2110"/>
    <n v="410"/>
    <n v="0"/>
    <n v="0"/>
    <m/>
    <m/>
    <m/>
  </r>
  <r>
    <x v="392"/>
    <d v="2023-02-27T00:00:00"/>
    <s v="Week4"/>
    <d v="2023-01-01T00:00:00"/>
    <s v="DRY2300006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</r>
  <r>
    <x v="392"/>
    <d v="2023-02-16T00:00:00"/>
    <s v="Week4"/>
    <d v="2023-01-01T00:00:00"/>
    <s v="DRY230002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35"/>
    <n v="435"/>
    <m/>
    <n v="0"/>
    <n v="0"/>
    <m/>
    <m/>
    <m/>
  </r>
  <r>
    <x v="393"/>
    <m/>
    <s v="Week5"/>
    <d v="2023-01-01T00:00:00"/>
    <m/>
    <m/>
    <m/>
    <m/>
    <m/>
    <x v="0"/>
    <m/>
    <m/>
    <m/>
    <m/>
    <m/>
    <m/>
    <m/>
    <m/>
    <m/>
    <m/>
    <m/>
    <m/>
    <m/>
    <m/>
    <m/>
    <m/>
    <m/>
  </r>
  <r>
    <x v="394"/>
    <d v="2023-02-16T00:00:00"/>
    <e v="#N/A"/>
    <e v="#N/A"/>
    <s v="DRY230001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94"/>
    <d v="2023-02-16T00:00:00"/>
    <e v="#N/A"/>
    <e v="#N/A"/>
    <s v="DRY230001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94"/>
    <d v="2023-02-16T00:00:00"/>
    <e v="#N/A"/>
    <e v="#N/A"/>
    <s v="DRY230001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94"/>
    <d v="2023-02-16T00:00:00"/>
    <e v="#N/A"/>
    <e v="#N/A"/>
    <s v="DRY230001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94"/>
    <d v="2023-02-16T00:00:00"/>
    <e v="#N/A"/>
    <e v="#N/A"/>
    <s v="DRY230001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94"/>
    <d v="2023-02-16T00:00:00"/>
    <e v="#N/A"/>
    <e v="#N/A"/>
    <s v="DRY230001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94"/>
    <d v="2023-02-16T00:00:00"/>
    <e v="#N/A"/>
    <e v="#N/A"/>
    <s v="DRY230001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94"/>
    <d v="2023-02-16T00:00:00"/>
    <e v="#N/A"/>
    <e v="#N/A"/>
    <s v="DRY230001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95"/>
    <d v="2023-02-16T00:00:00"/>
    <s v="Week5"/>
    <d v="2023-01-01T00:00:00"/>
    <s v="DRY230002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51"/>
    <n v="251"/>
    <m/>
    <n v="0"/>
    <n v="0"/>
    <m/>
    <m/>
    <m/>
  </r>
  <r>
    <x v="395"/>
    <d v="2023-02-17T00:00:00"/>
    <s v="Week5"/>
    <d v="2023-01-01T00:00:00"/>
    <s v="DRY230002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95"/>
    <d v="2023-02-17T00:00:00"/>
    <s v="Week5"/>
    <d v="2023-01-01T00:00:00"/>
    <s v="DRY230002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95"/>
    <d v="2023-02-17T00:00:00"/>
    <s v="Week5"/>
    <d v="2023-01-01T00:00:00"/>
    <s v="DRY230002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95"/>
    <d v="2023-02-17T00:00:00"/>
    <s v="Week5"/>
    <d v="2023-01-01T00:00:00"/>
    <s v="DRY230002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24"/>
    <n v="524"/>
    <m/>
    <n v="0"/>
    <n v="0"/>
    <m/>
    <m/>
    <m/>
  </r>
  <r>
    <x v="395"/>
    <d v="2023-02-07T00:00:00"/>
    <s v="Week5"/>
    <d v="2023-01-01T00:00:00"/>
    <s v="KL2300001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520"/>
    <n v="520"/>
    <m/>
    <n v="0"/>
    <n v="0"/>
    <n v="0"/>
    <n v="6"/>
    <n v="0"/>
  </r>
  <r>
    <x v="396"/>
    <d v="2023-02-17T00:00:00"/>
    <s v="Week5"/>
    <d v="2023-01-01T00:00:00"/>
    <s v="DRY230002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68"/>
    <n v="268"/>
    <m/>
    <n v="0"/>
    <n v="0"/>
    <m/>
    <m/>
    <m/>
  </r>
  <r>
    <x v="396"/>
    <d v="2023-02-17T00:00:00"/>
    <s v="Week5"/>
    <d v="2023-01-01T00:00:00"/>
    <s v="DRY230002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96"/>
    <d v="2023-02-17T00:00:00"/>
    <s v="Week5"/>
    <d v="2023-01-01T00:00:00"/>
    <s v="DRY230002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96"/>
    <d v="2023-02-17T00:00:00"/>
    <s v="Week5"/>
    <d v="2023-01-01T00:00:00"/>
    <s v="DRY230002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96"/>
    <d v="2023-02-17T00:00:00"/>
    <s v="Week5"/>
    <d v="2023-01-01T00:00:00"/>
    <s v="DRY230002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23"/>
    <n v="523"/>
    <m/>
    <n v="0"/>
    <n v="0"/>
    <m/>
    <m/>
    <m/>
  </r>
  <r>
    <x v="396"/>
    <d v="2023-02-07T00:00:00"/>
    <s v="Week5"/>
    <d v="2023-01-01T00:00:00"/>
    <s v="KL2300001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524"/>
    <n v="524"/>
    <m/>
    <n v="0"/>
    <n v="0"/>
    <n v="0"/>
    <n v="6"/>
    <n v="0"/>
  </r>
  <r>
    <x v="397"/>
    <d v="2023-02-17T00:00:00"/>
    <s v="Week5"/>
    <d v="2023-02-01T00:00:00"/>
    <s v="DRY230002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69"/>
    <n v="269"/>
    <m/>
    <n v="0"/>
    <n v="0"/>
    <m/>
    <m/>
    <m/>
  </r>
  <r>
    <x v="397"/>
    <d v="2023-02-17T00:00:00"/>
    <s v="Week5"/>
    <d v="2023-02-01T00:00:00"/>
    <s v="DRY230002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97"/>
    <d v="2023-02-20T00:00:00"/>
    <s v="Week5"/>
    <d v="2023-02-01T00:00:00"/>
    <s v="DRY230003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97"/>
    <d v="2023-02-20T00:00:00"/>
    <s v="Week5"/>
    <d v="2023-02-01T00:00:00"/>
    <s v="DRY230003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97"/>
    <d v="2023-02-20T00:00:00"/>
    <s v="Week5"/>
    <d v="2023-02-01T00:00:00"/>
    <s v="DRY230003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73"/>
    <n v="473"/>
    <m/>
    <n v="0"/>
    <n v="0"/>
    <m/>
    <m/>
    <m/>
  </r>
  <r>
    <x v="397"/>
    <d v="2023-02-07T00:00:00"/>
    <s v="Week5"/>
    <d v="2023-02-01T00:00:00"/>
    <s v="KL2300001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364"/>
    <n v="364"/>
    <m/>
    <n v="0"/>
    <n v="0"/>
    <n v="0"/>
    <n v="6"/>
    <n v="0"/>
  </r>
  <r>
    <x v="397"/>
    <d v="2023-02-08T00:00:00"/>
    <s v="Week5"/>
    <d v="2023-02-01T00:00:00"/>
    <s v="KL2300002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63"/>
    <n v="163"/>
    <m/>
    <n v="0"/>
    <n v="0"/>
    <n v="0"/>
    <n v="6"/>
    <n v="0"/>
  </r>
  <r>
    <x v="398"/>
    <d v="2023-02-20T00:00:00"/>
    <s v="Week5"/>
    <d v="2023-02-01T00:00:00"/>
    <s v="DRY230003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19"/>
    <n v="319"/>
    <m/>
    <n v="0"/>
    <n v="0"/>
    <m/>
    <m/>
    <m/>
  </r>
  <r>
    <x v="398"/>
    <d v="2023-02-20T00:00:00"/>
    <s v="Week5"/>
    <d v="2023-02-01T00:00:00"/>
    <s v="DRY230003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98"/>
    <d v="2023-02-20T00:00:00"/>
    <s v="Week5"/>
    <d v="2023-02-01T00:00:00"/>
    <s v="DRY230003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98"/>
    <d v="2023-02-22T00:00:00"/>
    <s v="Week5"/>
    <d v="2023-02-01T00:00:00"/>
    <s v="DRY230003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98"/>
    <d v="2023-02-22T00:00:00"/>
    <s v="Week5"/>
    <d v="2023-02-01T00:00:00"/>
    <s v="DRY230003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25"/>
    <n v="425"/>
    <m/>
    <n v="0"/>
    <n v="0"/>
    <m/>
    <m/>
    <m/>
  </r>
  <r>
    <x v="398"/>
    <d v="2023-02-08T00:00:00"/>
    <s v="Week5"/>
    <d v="2023-02-01T00:00:00"/>
    <s v="KL2300002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518"/>
    <n v="518"/>
    <m/>
    <n v="0"/>
    <n v="0"/>
    <n v="0"/>
    <n v="6"/>
    <n v="0"/>
  </r>
  <r>
    <x v="399"/>
    <d v="2023-02-22T00:00:00"/>
    <s v="Week5"/>
    <d v="2023-02-01T00:00:00"/>
    <s v="DRY230003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67"/>
    <n v="367"/>
    <m/>
    <n v="0"/>
    <n v="0"/>
    <m/>
    <m/>
    <m/>
  </r>
  <r>
    <x v="399"/>
    <d v="2023-02-22T00:00:00"/>
    <s v="Week5"/>
    <d v="2023-02-01T00:00:00"/>
    <s v="DRY230006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99"/>
    <d v="2023-02-22T00:00:00"/>
    <s v="Week5"/>
    <d v="2023-02-01T00:00:00"/>
    <s v="DRY230006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99"/>
    <d v="2023-02-23T00:00:00"/>
    <s v="Week5"/>
    <d v="2023-02-01T00:00:00"/>
    <s v="DRY230006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399"/>
    <d v="2023-02-23T00:00:00"/>
    <s v="Week5"/>
    <d v="2023-02-01T00:00:00"/>
    <s v="DRY230006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85"/>
    <n v="385"/>
    <m/>
    <n v="0"/>
    <n v="0"/>
    <m/>
    <m/>
    <m/>
  </r>
  <r>
    <x v="399"/>
    <d v="2023-02-08T00:00:00"/>
    <s v="Week5"/>
    <d v="2023-02-01T00:00:00"/>
    <s v="KL2300002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531"/>
    <n v="531"/>
    <m/>
    <n v="0"/>
    <n v="0"/>
    <n v="0"/>
    <n v="6"/>
    <n v="0"/>
  </r>
  <r>
    <x v="400"/>
    <d v="2023-02-23T00:00:00"/>
    <s v="Week5"/>
    <d v="2023-02-01T00:00:00"/>
    <s v="DRY230006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07"/>
    <n v="407"/>
    <m/>
    <n v="0"/>
    <n v="0"/>
    <m/>
    <m/>
    <m/>
  </r>
  <r>
    <x v="400"/>
    <d v="2023-02-23T00:00:00"/>
    <s v="Week5"/>
    <d v="2023-02-01T00:00:00"/>
    <s v="DRY230006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400"/>
    <m/>
    <s v="Week5"/>
    <d v="2023-02-01T00:00:00"/>
    <s v="DRY230006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400"/>
    <m/>
    <s v="Week5"/>
    <d v="2023-02-01T00:00:00"/>
    <s v="DRY230006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87"/>
    <n v="587"/>
    <m/>
    <n v="0"/>
    <n v="0"/>
    <m/>
    <m/>
    <m/>
  </r>
  <r>
    <x v="400"/>
    <d v="2023-03-02T00:00:00"/>
    <s v="Week5"/>
    <d v="2023-02-01T00:00:00"/>
    <s v="DRY2300002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640"/>
    <n v="640"/>
    <m/>
    <n v="0"/>
    <n v="0"/>
    <m/>
    <m/>
    <m/>
  </r>
  <r>
    <x v="400"/>
    <d v="2023-02-08T00:00:00"/>
    <s v="Week5"/>
    <d v="2023-02-01T00:00:00"/>
    <s v="KL2300002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96"/>
    <n v="196"/>
    <m/>
    <n v="0"/>
    <n v="0"/>
    <n v="0"/>
    <n v="6"/>
    <n v="0"/>
  </r>
  <r>
    <x v="400"/>
    <d v="2023-02-22T00:00:00"/>
    <s v="Week5"/>
    <d v="2023-02-01T00:00:00"/>
    <s v="DRY2300001"/>
    <s v="Malay"/>
    <s v="CPM Malaysia"/>
    <s v="R-Wonton"/>
    <s v="R-Wonton"/>
    <x v="4"/>
    <s v="Raw Wonton 12 pcs"/>
    <s v="082I95I20012P02001"/>
    <s v="154g*20inner"/>
    <n v="20"/>
    <n v="12"/>
    <n v="6.8100000000000001E-3"/>
    <s v="S"/>
    <s v="STPP"/>
    <s v="ซุปซอง 5g."/>
    <n v="400"/>
    <n v="400"/>
    <m/>
    <n v="0"/>
    <n v="0"/>
    <n v="0"/>
    <n v="2"/>
    <n v="0"/>
  </r>
  <r>
    <x v="401"/>
    <m/>
    <s v="Week6"/>
    <d v="2023-02-01T00:00:00"/>
    <m/>
    <m/>
    <m/>
    <m/>
    <m/>
    <x v="0"/>
    <m/>
    <m/>
    <m/>
    <m/>
    <m/>
    <m/>
    <m/>
    <m/>
    <m/>
    <m/>
    <m/>
    <m/>
    <m/>
    <m/>
    <m/>
    <m/>
    <m/>
  </r>
  <r>
    <x v="402"/>
    <m/>
    <s v="Week6"/>
    <d v="2023-02-01T00:00:00"/>
    <s v="DRY230006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05"/>
    <n v="205"/>
    <m/>
    <n v="0"/>
    <n v="0"/>
    <m/>
    <m/>
    <m/>
  </r>
  <r>
    <x v="402"/>
    <m/>
    <s v="Week6"/>
    <d v="2023-02-01T00:00:00"/>
    <s v="DRY230006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402"/>
    <m/>
    <s v="Week6"/>
    <d v="2023-02-01T00:00:00"/>
    <s v="DRY230006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402"/>
    <m/>
    <s v="Week6"/>
    <d v="2023-02-01T00:00:00"/>
    <s v="DRY230006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402"/>
    <m/>
    <s v="Week6"/>
    <d v="2023-02-01T00:00:00"/>
    <s v="DRY230007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1"/>
    <n v="791"/>
    <m/>
    <n v="0"/>
    <n v="0"/>
    <m/>
    <m/>
    <m/>
  </r>
  <r>
    <x v="403"/>
    <m/>
    <s v="Week6"/>
    <d v="2023-02-01T00:00:00"/>
    <s v="DRY230007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"/>
    <n v="1"/>
    <m/>
    <n v="0"/>
    <n v="0"/>
    <m/>
    <m/>
    <m/>
  </r>
  <r>
    <x v="403"/>
    <m/>
    <s v="Week6"/>
    <d v="2023-02-01T00:00:00"/>
    <s v="DRY230007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403"/>
    <m/>
    <s v="Week6"/>
    <d v="2023-02-01T00:00:00"/>
    <s v="DRY230007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403"/>
    <m/>
    <s v="Week6"/>
    <d v="2023-02-01T00:00:00"/>
    <s v="DRY230007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403"/>
    <m/>
    <s v="Week6"/>
    <d v="2023-02-01T00:00:00"/>
    <s v="DRY230007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51"/>
    <n v="351"/>
    <m/>
    <n v="0"/>
    <n v="0"/>
    <m/>
    <m/>
    <m/>
  </r>
  <r>
    <x v="404"/>
    <m/>
    <s v="Week6"/>
    <d v="2023-02-01T00:00:00"/>
    <s v="DRY230007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41"/>
    <n v="441"/>
    <m/>
    <n v="0"/>
    <n v="0"/>
    <m/>
    <m/>
    <m/>
  </r>
  <r>
    <x v="404"/>
    <m/>
    <s v="Week6"/>
    <d v="2023-02-01T00:00:00"/>
    <s v="DRY230007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404"/>
    <m/>
    <s v="Week6"/>
    <d v="2023-02-01T00:00:00"/>
    <s v="DRY230007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404"/>
    <m/>
    <s v="Week6"/>
    <d v="2023-02-01T00:00:00"/>
    <s v="DRY230007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404"/>
    <m/>
    <s v="Week6"/>
    <d v="2023-02-01T00:00:00"/>
    <s v="DRY230007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79"/>
    <n v="479"/>
    <m/>
    <n v="0"/>
    <n v="0"/>
    <m/>
    <m/>
    <m/>
  </r>
  <r>
    <x v="405"/>
    <d v="2023-02-16T00:00:00"/>
    <s v="Week6"/>
    <d v="2023-02-01T00:00:00"/>
    <s v="DRY2300042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3500"/>
    <n v="771"/>
    <n v="2729"/>
    <n v="0"/>
    <n v="0"/>
    <m/>
    <m/>
    <m/>
  </r>
  <r>
    <x v="405"/>
    <d v="2023-02-23T00:00:00"/>
    <s v="Week6"/>
    <d v="2023-02-01T00:00:00"/>
    <s v="DRY2300059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3500"/>
    <m/>
    <n v="3500"/>
    <n v="0"/>
    <n v="0"/>
    <m/>
    <m/>
    <m/>
  </r>
  <r>
    <x v="405"/>
    <m/>
    <s v="Week6"/>
    <d v="2023-02-01T00:00:00"/>
    <s v="DRY230007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13"/>
    <n v="313"/>
    <m/>
    <n v="0"/>
    <n v="0"/>
    <m/>
    <m/>
    <m/>
  </r>
  <r>
    <x v="405"/>
    <m/>
    <s v="Week6"/>
    <d v="2023-02-01T00:00:00"/>
    <s v="DRY230007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405"/>
    <m/>
    <s v="Week6"/>
    <d v="2023-02-01T00:00:00"/>
    <n v="2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68"/>
    <n v="768"/>
    <m/>
    <n v="0"/>
    <n v="0"/>
    <m/>
    <m/>
    <m/>
  </r>
  <r>
    <x v="406"/>
    <m/>
    <s v="Week6"/>
    <d v="2023-02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3999"/>
    <n v="3999"/>
    <m/>
    <n v="0"/>
    <n v="0"/>
    <m/>
    <m/>
    <m/>
  </r>
  <r>
    <x v="406"/>
    <m/>
    <s v="Week6"/>
    <d v="2023-02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1636"/>
    <n v="1555"/>
    <n v="80.833333333333329"/>
    <n v="-0.16666666666674246"/>
    <n v="3"/>
    <m/>
    <n v="1"/>
    <n v="3"/>
  </r>
  <r>
    <x v="407"/>
    <d v="2023-03-07T00:00:00"/>
    <s v="Week6"/>
    <d v="2023-02-01T00:00:00"/>
    <s v="DRY2200687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51"/>
    <n v="36.972222222222221"/>
    <n v="-2.7777777777828305E-2"/>
    <n v="1"/>
    <m/>
    <m/>
    <m/>
  </r>
  <r>
    <x v="407"/>
    <d v="2023-03-07T00:00:00"/>
    <s v="Week6"/>
    <d v="2023-02-01T00:00:00"/>
    <s v="DRY2300041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34"/>
    <n v="143.69444444444446"/>
    <n v="89.694444444444343"/>
    <n v="0"/>
    <m/>
    <m/>
    <m/>
  </r>
  <r>
    <x v="407"/>
    <d v="2023-02-16T00:00:00"/>
    <s v="Week6"/>
    <d v="2023-02-01T00:00:00"/>
    <s v="DRY2300008"/>
    <s v="USA"/>
    <s v="Bellisio Foods, Inc."/>
    <s v="C-Wonton"/>
    <s v="C-Wonton"/>
    <x v="7"/>
    <s v="Cooked Minced Wonton Soup No Egg"/>
    <s v="082SKBW36005P00001"/>
    <s v="145g*6c*6"/>
    <n v="36"/>
    <n v="5"/>
    <n v="6.0000000000000001E-3"/>
    <s v="BK"/>
    <s v="Salt"/>
    <s v="Regular"/>
    <n v="550"/>
    <n v="550"/>
    <m/>
    <n v="0"/>
    <n v="0"/>
    <m/>
    <m/>
    <m/>
  </r>
  <r>
    <x v="407"/>
    <d v="2023-02-17T00:00:00"/>
    <s v="Week6"/>
    <d v="2023-02-01T00:00:00"/>
    <s v="DRY2300009"/>
    <s v="USA"/>
    <s v="Bellisio Foods, Inc."/>
    <s v="C-Wonton"/>
    <s v="C-Wonton"/>
    <x v="7"/>
    <s v="Cooked Minced Wonton Soup No Egg"/>
    <s v="082SKBW36005P00001"/>
    <s v="145g*6c*6"/>
    <n v="36"/>
    <n v="5"/>
    <n v="6.0000000000000001E-3"/>
    <s v="BK"/>
    <s v="Salt"/>
    <s v="Regular"/>
    <n v="550"/>
    <n v="550"/>
    <n v="5.9444444444444446"/>
    <n v="5.9444444444444571"/>
    <n v="0"/>
    <m/>
    <m/>
    <m/>
  </r>
  <r>
    <x v="408"/>
    <m/>
    <s v="Week7"/>
    <d v="2023-02-01T00:00:00"/>
    <m/>
    <m/>
    <m/>
    <m/>
    <m/>
    <x v="0"/>
    <m/>
    <m/>
    <m/>
    <m/>
    <m/>
    <m/>
    <m/>
    <m/>
    <m/>
    <m/>
    <m/>
    <m/>
    <m/>
    <m/>
    <m/>
    <m/>
    <m/>
  </r>
  <r>
    <x v="409"/>
    <d v="2023-02-16T00:00:00"/>
    <s v="Week7"/>
    <d v="2023-02-01T00:00:00"/>
    <s v="DRY2300008"/>
    <s v="USA"/>
    <s v="Bellisio Foods, Inc."/>
    <s v="C-Wonton"/>
    <s v="C-Wonton ND"/>
    <x v="3"/>
    <s v="Cooked Minced Wonton Noodle No Egg"/>
    <s v="082SRBW24005P00001"/>
    <s v="258g*4c*6in"/>
    <n v="24"/>
    <n v="5"/>
    <n v="6.0000000000000001E-3"/>
    <s v="BK"/>
    <s v="Salt"/>
    <s v="Regular"/>
    <n v="550"/>
    <n v="550"/>
    <m/>
    <n v="0"/>
    <n v="0"/>
    <m/>
    <m/>
    <m/>
  </r>
  <r>
    <x v="409"/>
    <d v="2023-02-17T00:00:00"/>
    <s v="Week7"/>
    <d v="2023-02-01T00:00:00"/>
    <s v="DRY2300009"/>
    <s v="USA"/>
    <s v="Bellisio Foods, Inc."/>
    <s v="C-Wonton"/>
    <s v="C-Wonton ND"/>
    <x v="3"/>
    <s v="Cooked Minced Wonton Noodle No Egg"/>
    <s v="082SRBW24005P00001"/>
    <s v="258g*4c*6in"/>
    <n v="24"/>
    <n v="5"/>
    <n v="6.0000000000000001E-3"/>
    <s v="BK"/>
    <s v="Salt"/>
    <s v="Regular"/>
    <n v="550"/>
    <n v="550"/>
    <n v="5.625"/>
    <n v="5.625"/>
    <n v="0"/>
    <m/>
    <m/>
    <m/>
  </r>
  <r>
    <x v="409"/>
    <d v="2023-03-10T00:00:00"/>
    <s v="Week7"/>
    <d v="2023-02-01T00:00:00"/>
    <s v="DRY2300039"/>
    <s v="SG"/>
    <s v="CPI Singapore"/>
    <s v="C-Wonton"/>
    <s v="C-Wonton ND"/>
    <x v="5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350"/>
    <n v="350"/>
    <n v="13.125"/>
    <n v="13.125"/>
    <n v="0"/>
    <m/>
    <m/>
    <m/>
  </r>
  <r>
    <x v="409"/>
    <d v="2023-03-02T00:00:00"/>
    <s v="Week7"/>
    <d v="2023-02-01T00:00:00"/>
    <s v="DRY2300002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152"/>
    <n v="152"/>
    <m/>
    <n v="0"/>
    <n v="0"/>
    <m/>
    <m/>
    <m/>
  </r>
  <r>
    <x v="409"/>
    <d v="2023-03-08T00:00:00"/>
    <s v="Week7"/>
    <d v="2023-02-01T00:00:00"/>
    <s v="DRY2300055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669"/>
    <m/>
    <n v="-123"/>
    <n v="4428"/>
    <m/>
    <m/>
    <m/>
  </r>
  <r>
    <x v="409"/>
    <d v="2023-02-23T00:00:00"/>
    <s v="Week7"/>
    <d v="2023-02-01T00:00:00"/>
    <s v="DRY2200705"/>
    <s v="New Zealand"/>
    <s v="Cuisine 360"/>
    <s v="C-Wonton"/>
    <s v="C-Wonton ND"/>
    <x v="5"/>
    <s v="Cooked Wonton ND No Egg with Pumpkin_x000a_+ Yu Choy "/>
    <s v="082SJN736005P00001"/>
    <s v="308g*6c*6in"/>
    <n v="36"/>
    <n v="5"/>
    <n v="7.4999999999999997E-3"/>
    <s v="HC"/>
    <s v="Salt"/>
    <s v="Regular"/>
    <n v="320"/>
    <n v="320"/>
    <m/>
    <n v="0"/>
    <n v="0"/>
    <m/>
    <m/>
    <m/>
  </r>
  <r>
    <x v="409"/>
    <d v="2023-03-07T00:00:00"/>
    <s v="Week7"/>
    <d v="2023-02-01T00:00:00"/>
    <s v="DRY2300045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</r>
  <r>
    <x v="409"/>
    <d v="2023-02-16T00:00:00"/>
    <s v="Week7"/>
    <d v="2023-02-01T00:00:00"/>
    <s v="DRY2300008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150"/>
    <n v="139"/>
    <n v="11"/>
    <n v="0"/>
    <n v="0"/>
    <n v="0"/>
    <n v="6"/>
    <n v="0"/>
  </r>
  <r>
    <x v="409"/>
    <d v="2023-02-17T00:00:00"/>
    <s v="Week7"/>
    <d v="2023-02-01T00:00:00"/>
    <s v="DRY2300009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150"/>
    <n v="150"/>
    <n v="14"/>
    <n v="14"/>
    <n v="0"/>
    <n v="0"/>
    <n v="6"/>
    <n v="0"/>
  </r>
  <r>
    <x v="409"/>
    <m/>
    <s v="Week7"/>
    <d v="2023-02-01T00:00:00"/>
    <s v="ขายภายใน"/>
    <s v="MTFS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512"/>
    <n v="512"/>
    <m/>
    <n v="0"/>
    <n v="0"/>
    <n v="0"/>
    <m/>
    <n v="0"/>
  </r>
  <r>
    <x v="410"/>
    <m/>
    <s v="Week7"/>
    <d v="2023-02-01T00:00:00"/>
    <s v="ขายภายใน"/>
    <s v="MTFS"/>
    <s v="ซีพีเอฟ เทรดดิ้ง"/>
    <s v="C-Wonton"/>
    <s v="C-Wonton"/>
    <x v="14"/>
    <s v="Minced Wonton (5pcs)"/>
    <s v="082SK3Q12005P00001"/>
    <s v="135g*12"/>
    <n v="12"/>
    <n v="5"/>
    <n v="6.0000000000000001E-3"/>
    <s v="BK"/>
    <s v="STPP"/>
    <s v="Regular"/>
    <n v="300"/>
    <n v="300"/>
    <m/>
    <n v="0"/>
    <n v="0"/>
    <m/>
    <m/>
    <m/>
  </r>
  <r>
    <x v="410"/>
    <m/>
    <s v="Week7"/>
    <d v="2023-02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1400"/>
    <n v="1360"/>
    <n v="38.75"/>
    <n v="-1.25"/>
    <n v="15"/>
    <m/>
    <n v="1"/>
    <n v="15"/>
  </r>
  <r>
    <x v="410"/>
    <m/>
    <s v="Week7"/>
    <d v="2023-02-01T00:00:00"/>
    <s v="ขายภายใน"/>
    <s v="MTFS"/>
    <s v="ซีพีเอฟ เทรดดิ้ง"/>
    <s v="C-Wonton"/>
    <s v="C-Wonton"/>
    <x v="11"/>
    <s v="Cooked Wonton ND with egg V-Food"/>
    <s v="082SJ3Q12003P07001"/>
    <s v="226g*12"/>
    <n v="12"/>
    <n v="3"/>
    <n v="8.0000000000000002E-3"/>
    <s v="M"/>
    <s v="STPP"/>
    <s v="Regular"/>
    <n v="200"/>
    <n v="200"/>
    <m/>
    <n v="0"/>
    <n v="0"/>
    <m/>
    <m/>
    <m/>
  </r>
  <r>
    <x v="410"/>
    <m/>
    <s v="Week7"/>
    <d v="2023-02-01T00:00:00"/>
    <s v="ขายภายใน"/>
    <s v=".7-11"/>
    <s v="ซีพีเอฟ เทรดดิ้ง"/>
    <s v="C-Wonton"/>
    <s v="C-Wonton"/>
    <x v="21"/>
    <s v="Cooked Wonton ND with egg 7-11"/>
    <s v="082SJ1A12003P01001 "/>
    <s v="211g*12"/>
    <n v="12"/>
    <n v="3"/>
    <n v="6.1999999999999998E-3"/>
    <s v="SS"/>
    <s v="STPP"/>
    <s v="TYNSF"/>
    <n v="4500"/>
    <n v="4500"/>
    <m/>
    <n v="0"/>
    <n v="0"/>
    <m/>
    <m/>
    <m/>
  </r>
  <r>
    <x v="410"/>
    <m/>
    <s v="Week7"/>
    <d v="2023-02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4000"/>
    <n v="4000"/>
    <m/>
    <n v="0"/>
    <n v="0"/>
    <m/>
    <m/>
    <m/>
  </r>
  <r>
    <x v="410"/>
    <m/>
    <s v="Week7"/>
    <d v="2023-02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12"/>
    <m/>
    <n v="12"/>
    <n v="0"/>
    <n v="0"/>
    <m/>
    <m/>
    <m/>
  </r>
  <r>
    <x v="410"/>
    <m/>
    <s v="Week7"/>
    <d v="2023-02-01T00:00:00"/>
    <s v="ขายภายใน"/>
    <s v="MTFS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988"/>
    <n v="988"/>
    <m/>
    <n v="0"/>
    <n v="0"/>
    <n v="0"/>
    <m/>
    <n v="0"/>
  </r>
  <r>
    <x v="411"/>
    <m/>
    <s v="Week7"/>
    <d v="2023-02-01T00:00:00"/>
    <n v="2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4"/>
    <n v="24"/>
    <m/>
    <n v="0"/>
    <n v="0"/>
    <m/>
    <m/>
    <m/>
  </r>
  <r>
    <x v="411"/>
    <m/>
    <s v="Week7"/>
    <d v="2023-02-01T00:00:00"/>
    <n v="2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411"/>
    <m/>
    <s v="Week7"/>
    <d v="2023-02-01T00:00:00"/>
    <n v="2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411"/>
    <m/>
    <s v="Week7"/>
    <d v="2023-02-01T00:00:00"/>
    <n v="2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99"/>
    <n v="199"/>
    <m/>
    <n v="0"/>
    <n v="0"/>
    <m/>
    <m/>
    <m/>
  </r>
  <r>
    <x v="411"/>
    <d v="2023-02-27T00:00:00"/>
    <s v="Week7"/>
    <d v="2023-02-01T00:00:00"/>
    <s v="DRY2300011"/>
    <s v="HK"/>
    <s v="CPM Hongkong"/>
    <s v="R-Wonton"/>
    <s v="R-Mince"/>
    <x v="9"/>
    <s v="Raw Minced Wonton 8 pcs"/>
    <s v="082ID3G18008P00001"/>
    <s v="90g*18in"/>
    <n v="18"/>
    <n v="8"/>
    <n v="6.0000000000000001E-3"/>
    <s v="BK"/>
    <s v="STPP"/>
    <s v="ซุปซอง 5g."/>
    <n v="450"/>
    <n v="450"/>
    <m/>
    <n v="0"/>
    <n v="0"/>
    <n v="0"/>
    <n v="2"/>
    <n v="0"/>
  </r>
  <r>
    <x v="411"/>
    <d v="2023-02-21T00:00:00"/>
    <s v="Week7"/>
    <d v="2023-02-01T00:00:00"/>
    <s v="ขายภายใน"/>
    <s v="MTFS"/>
    <s v="ซีพีเอฟ เทรดดิ้ง"/>
    <s v="R-Wonton"/>
    <s v="R-Wonton"/>
    <x v="29"/>
    <s v="เกี๊ยวกุ้งดับเบิ้ลชีสพร้อมปรุงCP 12x240g"/>
    <s v="082ID3Q12020P00001"/>
    <s v="240g*12in"/>
    <n v="12"/>
    <n v="20"/>
    <n v="6.0000000000000001E-3"/>
    <s v="BK"/>
    <s v="STPP"/>
    <m/>
    <n v="850"/>
    <n v="850"/>
    <m/>
    <n v="0"/>
    <n v="0"/>
    <n v="0"/>
    <m/>
    <n v="0"/>
  </r>
  <r>
    <x v="411"/>
    <d v="2023-02-21T00:00:00"/>
    <s v="Week7"/>
    <d v="2023-02-01T00:00:00"/>
    <s v="ตัวอย่าง"/>
    <s v="MTFS"/>
    <s v="ซีพีเอฟ เทรดดิ้ง"/>
    <s v="R-Wonton"/>
    <s v="R-Wonton"/>
    <x v="29"/>
    <s v="เกี๊ยวกุ้งดับเบิ้ลชีสพร้อมปรุงCP 12x240g"/>
    <s v="082ID3Q12020P00000"/>
    <s v="240g*12in"/>
    <n v="12"/>
    <n v="20"/>
    <n v="6.0000000000000001E-3"/>
    <s v="BK"/>
    <s v="STPP"/>
    <m/>
    <n v="52"/>
    <n v="56"/>
    <m/>
    <n v="4"/>
    <n v="0"/>
    <n v="0"/>
    <m/>
    <n v="0"/>
  </r>
  <r>
    <x v="412"/>
    <m/>
    <s v="Week7"/>
    <d v="2023-02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64"/>
    <n v="64"/>
    <m/>
    <n v="0"/>
    <n v="0"/>
    <m/>
    <n v="1"/>
    <n v="0"/>
  </r>
  <r>
    <x v="412"/>
    <m/>
    <s v="Week7"/>
    <d v="2023-02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2125"/>
    <n v="2125"/>
    <m/>
    <n v="0"/>
    <n v="0"/>
    <m/>
    <m/>
    <m/>
  </r>
  <r>
    <x v="412"/>
    <m/>
    <s v="Week7"/>
    <d v="2023-02-01T00:00:00"/>
    <s v="ขายภายใน"/>
    <s v=".7-11"/>
    <s v="ซีพีเอฟ เทรดดิ้ง"/>
    <s v="C-Wonton"/>
    <s v="C-Wonton"/>
    <x v="21"/>
    <s v="Cooked Wonton ND with egg 7-11"/>
    <s v="082SJ1A12003P01001 "/>
    <s v="211g*12"/>
    <n v="12"/>
    <n v="3"/>
    <n v="6.1999999999999998E-3"/>
    <s v="SS"/>
    <s v="STPP"/>
    <s v="TYNSF"/>
    <n v="2065"/>
    <n v="55"/>
    <n v="2010.3333333333333"/>
    <n v="0.33333333333303017"/>
    <n v="0"/>
    <m/>
    <m/>
    <m/>
  </r>
  <r>
    <x v="412"/>
    <d v="2023-02-27T00:00:00"/>
    <s v="Week7"/>
    <d v="2023-02-01T00:00:00"/>
    <s v="DRY2300011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1250"/>
    <n v="1157"/>
    <n v="93"/>
    <n v="0"/>
    <n v="0"/>
    <n v="0"/>
    <n v="1"/>
    <n v="0"/>
  </r>
  <r>
    <x v="412"/>
    <d v="2023-03-10T00:00:00"/>
    <s v="Week7"/>
    <d v="2023-02-01T00:00:00"/>
    <s v="DRY2300040"/>
    <s v="SG"/>
    <s v="CPI SINGAPORE"/>
    <s v="R-Wonton"/>
    <s v="R-Mince"/>
    <x v="9"/>
    <s v="Raw Minced Wonton 8 pcs"/>
    <s v="082ID3B18008P00001"/>
    <s v="90g*18in"/>
    <n v="18"/>
    <n v="8"/>
    <n v="6.0000000000000001E-3"/>
    <s v="BK"/>
    <s v="STPP"/>
    <s v="ซุปซอง 5g."/>
    <n v="700"/>
    <n v="700"/>
    <n v="22"/>
    <n v="22"/>
    <n v="0"/>
    <n v="0"/>
    <n v="2"/>
    <n v="0"/>
  </r>
  <r>
    <x v="412"/>
    <m/>
    <s v="Week7"/>
    <d v="2023-02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1985"/>
    <n v="1985"/>
    <m/>
    <n v="0"/>
    <n v="0"/>
    <m/>
    <m/>
    <m/>
  </r>
  <r>
    <x v="413"/>
    <d v="2023-03-06T00:00:00"/>
    <s v="Week7"/>
    <d v="2023-02-01T00:00:00"/>
    <s v="DRY2300044"/>
    <s v="Korea"/>
    <s v="Emart"/>
    <s v="C-Wonton"/>
    <s v="C-Wonton"/>
    <x v="20"/>
    <s v="COOKED WONTON 6 pcs."/>
    <s v="082S8EJ12012P00001"/>
    <s v="141*2tray*12in"/>
    <n v="24"/>
    <n v="6"/>
    <n v="6.1999999999999998E-3"/>
    <s v="SS"/>
    <s v="Salt"/>
    <s v=" Sesame 15g"/>
    <n v="1144"/>
    <n v="704"/>
    <n v="474.83333333333331"/>
    <n v="34.833333333333258"/>
    <n v="0"/>
    <m/>
    <n v="1"/>
    <n v="27456"/>
  </r>
  <r>
    <x v="413"/>
    <d v="2023-03-01T00:00:00"/>
    <s v="Week7"/>
    <d v="2023-02-01T00:00:00"/>
    <s v="KL2300003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588"/>
    <n v="575"/>
    <n v="13"/>
    <n v="0"/>
    <n v="0"/>
    <n v="0"/>
    <n v="6"/>
    <n v="0"/>
  </r>
  <r>
    <x v="414"/>
    <d v="2023-03-06T00:00:00"/>
    <s v="Week7"/>
    <d v="2023-02-01T00:00:00"/>
    <s v="DRY2300044"/>
    <s v="Korea"/>
    <s v="Emart"/>
    <s v="C-Wonton"/>
    <s v="C-Wonton"/>
    <x v="20"/>
    <s v="COOKED WONTON 6 pcs."/>
    <s v="082S8EJ12012P00001"/>
    <s v="141*2tray*12in"/>
    <n v="24"/>
    <n v="6"/>
    <n v="6.1999999999999998E-3"/>
    <s v="SS"/>
    <s v="Salt"/>
    <s v=" Sesame 15g"/>
    <n v="1655"/>
    <n v="42"/>
    <n v="1616"/>
    <n v="3"/>
    <n v="0"/>
    <m/>
    <n v="1"/>
    <n v="39720"/>
  </r>
  <r>
    <x v="414"/>
    <d v="2023-03-01T00:00:00"/>
    <s v="Week7"/>
    <d v="2023-02-01T00:00:00"/>
    <s v="KL2300003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820"/>
    <n v="820"/>
    <m/>
    <n v="0"/>
    <n v="0"/>
    <n v="0"/>
    <n v="6"/>
    <n v="0"/>
  </r>
  <r>
    <x v="415"/>
    <m/>
    <s v="Week8"/>
    <d v="2023-02-01T00:00:00"/>
    <m/>
    <m/>
    <m/>
    <m/>
    <m/>
    <x v="0"/>
    <m/>
    <m/>
    <m/>
    <m/>
    <m/>
    <m/>
    <m/>
    <m/>
    <m/>
    <m/>
    <m/>
    <m/>
    <m/>
    <m/>
    <m/>
    <m/>
    <m/>
  </r>
  <r>
    <x v="416"/>
    <d v="2023-02-23T00:00:00"/>
    <s v="Week8"/>
    <d v="2023-02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5216"/>
    <n v="5216"/>
    <m/>
    <n v="0"/>
    <n v="0"/>
    <m/>
    <m/>
    <m/>
  </r>
  <r>
    <x v="416"/>
    <d v="2023-02-27T00:00:00"/>
    <s v="Week8"/>
    <d v="2023-02-01T00:00:00"/>
    <s v="KL2300011"/>
    <s v="China"/>
    <s v="Charoen Pokphand Import&amp;Export Trading (Shanghai) Co., Ltd"/>
    <s v="R-Wonton"/>
    <s v="R-Wonton"/>
    <x v="10"/>
    <s v="Raw Wonton 50 pcs"/>
    <s v="082I95J08050P03001"/>
    <s v="630g*8in"/>
    <n v="8"/>
    <n v="50"/>
    <n v="6.8100000000000001E-3"/>
    <s v="S"/>
    <s v="STPP"/>
    <s v="ซุปซอง 5g."/>
    <n v="500"/>
    <n v="500"/>
    <m/>
    <n v="0"/>
    <n v="0"/>
    <n v="0"/>
    <n v="6"/>
    <n v="0"/>
  </r>
  <r>
    <x v="417"/>
    <d v="2023-02-24T00:00:00"/>
    <s v="Week8"/>
    <d v="2023-02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4954"/>
    <n v="4954"/>
    <m/>
    <n v="0"/>
    <n v="0"/>
    <m/>
    <m/>
    <m/>
  </r>
  <r>
    <x v="417"/>
    <d v="2023-02-27T00:00:00"/>
    <s v="Week8"/>
    <d v="2023-02-01T00:00:00"/>
    <s v="KL2300011"/>
    <s v="China"/>
    <s v="Charoen Pokphand Import&amp;Export Trading (Shanghai) Co., Ltd"/>
    <s v="R-Wonton"/>
    <s v="R-Wonton"/>
    <x v="10"/>
    <s v="Raw Wonton 12 pcs"/>
    <s v="082I95J20012P04001"/>
    <s v="144g*20in"/>
    <n v="20"/>
    <n v="12"/>
    <n v="6.8100000000000001E-3"/>
    <s v="S"/>
    <s v="STPP"/>
    <s v="ซุปซอง 5g."/>
    <n v="1023"/>
    <n v="1023"/>
    <m/>
    <n v="0"/>
    <n v="0"/>
    <n v="0"/>
    <n v="2"/>
    <n v="0"/>
  </r>
  <r>
    <x v="418"/>
    <d v="2023-02-27T00:00:00"/>
    <s v="Week8"/>
    <d v="2023-02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4920"/>
    <n v="4920"/>
    <m/>
    <n v="0"/>
    <n v="0"/>
    <m/>
    <m/>
    <m/>
  </r>
  <r>
    <x v="418"/>
    <d v="2023-02-27T00:00:00"/>
    <s v="Week8"/>
    <d v="2023-02-01T00:00:00"/>
    <s v="KL2300011"/>
    <s v="China"/>
    <s v="Charoen Pokphand Import&amp;Export Trading (Shanghai) Co., Ltd"/>
    <s v="R-Wonton"/>
    <s v="R-Wonton"/>
    <x v="10"/>
    <s v="Raw Wonton 12 pcs"/>
    <s v="082I95J20012P04001"/>
    <s v="144g*20in"/>
    <n v="20"/>
    <n v="12"/>
    <n v="6.8100000000000001E-3"/>
    <s v="S"/>
    <s v="STPP"/>
    <s v="ซุปซอง 5g."/>
    <n v="1030"/>
    <n v="1030"/>
    <m/>
    <n v="0"/>
    <n v="0"/>
    <n v="0"/>
    <n v="2"/>
    <n v="0"/>
  </r>
  <r>
    <x v="419"/>
    <d v="2023-02-27T00:00:00"/>
    <s v="Week8"/>
    <d v="2023-02-01T00:00:00"/>
    <s v="DRY2300011"/>
    <s v="HK"/>
    <s v="CPM HONGKONG"/>
    <s v="C-Wonton"/>
    <s v="C-Wonton"/>
    <x v="2"/>
    <s v="Cooked Wonton No Egg  TY"/>
    <s v="082S83G12005P03001"/>
    <s v="115g*12"/>
    <n v="12"/>
    <n v="5"/>
    <n v="8.0000000000000002E-3"/>
    <s v="M"/>
    <s v="STPP"/>
    <s v="TYTB3C 30G"/>
    <n v="200"/>
    <n v="200"/>
    <n v="47.75"/>
    <n v="47.75"/>
    <n v="0"/>
    <m/>
    <n v="1"/>
    <n v="0"/>
  </r>
  <r>
    <x v="419"/>
    <d v="2023-03-10T00:00:00"/>
    <s v="Week8"/>
    <d v="2023-02-01T00:00:00"/>
    <s v="DRY2300038"/>
    <s v="SG"/>
    <s v="CPI SINGAPORE"/>
    <s v="C-Wonton"/>
    <s v="C-Wonton"/>
    <x v="2"/>
    <s v="Cooked Wonton No Egg"/>
    <s v="082S83B24005P06001"/>
    <s v="115g*24"/>
    <n v="24"/>
    <n v="5"/>
    <n v="8.0000000000000002E-3"/>
    <s v="M"/>
    <s v="STPP"/>
    <s v="TYTB3C 30G"/>
    <n v="400"/>
    <n v="150"/>
    <n v="267.33333333333331"/>
    <n v="17.333333333333314"/>
    <n v="0"/>
    <m/>
    <n v="1"/>
    <n v="0"/>
  </r>
  <r>
    <x v="419"/>
    <d v="2023-03-10T00:00:00"/>
    <s v="Week8"/>
    <d v="2023-02-01T00:00:00"/>
    <s v="DRY2300037"/>
    <s v="SG"/>
    <s v="CPI SINGAPORE"/>
    <s v="C-Wonton"/>
    <s v="C-Wonton"/>
    <x v="1"/>
    <s v="Cooked Wonton No Egg"/>
    <s v="082S83B24005P07001"/>
    <s v="145g*24"/>
    <n v="24"/>
    <n v="5"/>
    <n v="8.0000000000000002E-3"/>
    <s v="M"/>
    <s v="STPP"/>
    <s v="Regular"/>
    <n v="400"/>
    <n v="400"/>
    <n v="9"/>
    <n v="9"/>
    <n v="0"/>
    <m/>
    <m/>
    <m/>
  </r>
  <r>
    <x v="419"/>
    <m/>
    <s v="Week8"/>
    <d v="2023-02-01T00:00:00"/>
    <n v="2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93"/>
    <n v="593"/>
    <m/>
    <n v="0"/>
    <n v="0"/>
    <m/>
    <m/>
    <m/>
  </r>
  <r>
    <x v="419"/>
    <m/>
    <s v="Week8"/>
    <d v="2023-02-01T00:00:00"/>
    <n v="2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419"/>
    <m/>
    <s v="Week8"/>
    <d v="2023-02-01T00:00:00"/>
    <n v="2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419"/>
    <m/>
    <s v="Week8"/>
    <d v="2023-02-01T00:00:00"/>
    <n v="2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88"/>
    <n v="588"/>
    <m/>
    <n v="0"/>
    <n v="0"/>
    <m/>
    <m/>
    <m/>
  </r>
  <r>
    <x v="419"/>
    <d v="2023-02-27T00:00:00"/>
    <s v="Week8"/>
    <d v="2023-02-01T00:00:00"/>
    <s v="KL2300011"/>
    <s v="China"/>
    <s v="Charoen Pokphand Import&amp;Export Trading (Shanghai) Co., Ltd"/>
    <s v="R-Wonton"/>
    <s v="R-Wonton"/>
    <x v="10"/>
    <s v="Raw Wonton 12 pcs"/>
    <s v="082I95J20012P04001"/>
    <s v="144g*20in"/>
    <n v="20"/>
    <n v="12"/>
    <n v="6.8100000000000001E-3"/>
    <s v="S"/>
    <s v="STPP"/>
    <s v="ซุปซอง 5g."/>
    <n v="547"/>
    <n v="547"/>
    <m/>
    <n v="0"/>
    <n v="0"/>
    <n v="0"/>
    <n v="2"/>
    <n v="0"/>
  </r>
  <r>
    <x v="419"/>
    <d v="2023-03-08T00:00:00"/>
    <s v="Week8"/>
    <d v="2023-02-01T00:00:00"/>
    <s v="DRY2300053"/>
    <s v="SG"/>
    <s v="CPI SINGAPORE"/>
    <s v="R-Wonton"/>
    <s v="R-Wonton"/>
    <x v="4"/>
    <s v="Raw Wonton 12 pcs with sesame"/>
    <s v="082I93B20012P02001"/>
    <s v="204g*20in"/>
    <n v="20"/>
    <n v="12"/>
    <n v="6.8100000000000001E-3"/>
    <s v="S"/>
    <s v="STPP"/>
    <s v=" sesame 30g"/>
    <n v="412"/>
    <n v="407"/>
    <n v="5"/>
    <n v="0"/>
    <n v="0"/>
    <n v="0"/>
    <n v="2"/>
    <n v="0"/>
  </r>
  <r>
    <x v="420"/>
    <d v="2023-03-17T00:00:00"/>
    <s v="Week8"/>
    <d v="2023-02-01T00:00:00"/>
    <s v="DRY2300007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426"/>
    <n v="94"/>
    <n v="0"/>
    <n v="0"/>
    <m/>
    <m/>
    <m/>
  </r>
  <r>
    <x v="420"/>
    <d v="2023-03-15T00:00:00"/>
    <s v="Week8"/>
    <d v="2023-02-01T00:00:00"/>
    <s v="DRY2300056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420"/>
    <d v="2023-04-21T00:00:00"/>
    <s v="Week8"/>
    <d v="2023-02-01T00:00:00"/>
    <s v="DRY2300057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320"/>
    <n v="320"/>
    <m/>
    <n v="0"/>
    <n v="0"/>
    <m/>
    <m/>
    <m/>
  </r>
  <r>
    <x v="420"/>
    <d v="2023-04-21T00:00:00"/>
    <s v="Week8"/>
    <d v="2023-02-01T00:00:00"/>
    <s v="DRY2300058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699"/>
    <n v="93"/>
    <n v="0"/>
    <n v="0"/>
    <m/>
    <m/>
    <m/>
  </r>
  <r>
    <x v="420"/>
    <m/>
    <s v="Week8"/>
    <d v="2023-02-01T00:00:00"/>
    <n v="2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04"/>
    <n v="204"/>
    <m/>
    <n v="0"/>
    <n v="0"/>
    <m/>
    <m/>
    <m/>
  </r>
  <r>
    <x v="420"/>
    <m/>
    <s v="Week8"/>
    <d v="2023-02-01T00:00:00"/>
    <n v="2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15"/>
    <n v="115"/>
    <m/>
    <n v="0"/>
    <n v="0"/>
    <m/>
    <m/>
    <m/>
  </r>
  <r>
    <x v="420"/>
    <d v="2023-03-08T00:00:00"/>
    <s v="Week8"/>
    <d v="2023-02-01T00:00:00"/>
    <s v="DRY2300053"/>
    <s v="SG"/>
    <s v="CPI SINGAPORE"/>
    <s v="R-Wonton"/>
    <s v="R-Wonton"/>
    <x v="4"/>
    <s v="Raw Wonton 12 pcs with sesame"/>
    <s v="082I93B20012P02001"/>
    <s v="204g*20in"/>
    <n v="20"/>
    <n v="12"/>
    <n v="6.8100000000000001E-3"/>
    <s v="S"/>
    <s v="STPP"/>
    <s v=" sesame 30g"/>
    <n v="788"/>
    <n v="788"/>
    <n v="24"/>
    <n v="24"/>
    <n v="0"/>
    <n v="0"/>
    <n v="2"/>
    <n v="0"/>
  </r>
  <r>
    <x v="421"/>
    <m/>
    <s v="Week8"/>
    <d v="2023-02-01T00:00:00"/>
    <n v="2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77"/>
    <n v="677"/>
    <m/>
    <n v="0"/>
    <n v="0"/>
    <m/>
    <m/>
    <m/>
  </r>
  <r>
    <x v="421"/>
    <m/>
    <s v="Week8"/>
    <d v="2023-02-01T00:00:00"/>
    <n v="2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421"/>
    <m/>
    <s v="Week8"/>
    <d v="2023-02-01T00:00:00"/>
    <n v="3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421"/>
    <m/>
    <s v="Week8"/>
    <d v="2023-02-01T00:00:00"/>
    <n v="3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87"/>
    <n v="45"/>
    <n v="42.305555555555557"/>
    <n v="0.30555555555555713"/>
    <n v="0"/>
    <m/>
    <m/>
    <m/>
  </r>
  <r>
    <x v="421"/>
    <d v="2023-03-27T00:00:00"/>
    <s v="Week8"/>
    <d v="2023-02-01T00:00:00"/>
    <s v="DRY2200704"/>
    <s v="Germany"/>
    <s v=" CPF Distribution (under Paulsen Food)"/>
    <s v="C-Wonton"/>
    <s v="C-Wonton ND"/>
    <x v="17"/>
    <s v="Cooked Minced  ND No Egg with Pumpkin_x000a_+ Yu Choy Tomyum"/>
    <s v="082SR3N12003P00001"/>
    <s v="302g*12"/>
    <n v="12"/>
    <n v="3"/>
    <n v="6.0000000000000001E-3"/>
    <s v="BK"/>
    <s v="Salt"/>
    <s v="TYEX+CO"/>
    <n v="2520"/>
    <n v="2520"/>
    <n v="15.333333333333334"/>
    <n v="15.333333333333485"/>
    <n v="0"/>
    <m/>
    <m/>
    <m/>
  </r>
  <r>
    <x v="421"/>
    <d v="2023-03-22T00:00:00"/>
    <s v="Week8"/>
    <d v="2023-02-01T00:00:00"/>
    <s v="DRY2300052"/>
    <s v="Taiwan"/>
    <s v="CP TAIWAN"/>
    <s v="R-Wonton"/>
    <s v="R-Wonton no egg"/>
    <x v="10"/>
    <s v="Raw Wonton 12 pcs"/>
    <s v="082I93R40012P03001"/>
    <s v="154g*40inner"/>
    <n v="40"/>
    <n v="12"/>
    <n v="8.1300000000000001E-3"/>
    <s v="M"/>
    <s v="Salt"/>
    <s v="ซุปซอง 5g."/>
    <n v="517"/>
    <n v="502"/>
    <n v="15"/>
    <n v="0"/>
    <n v="0"/>
    <n v="0"/>
    <n v="2"/>
    <n v="0"/>
  </r>
  <r>
    <x v="422"/>
    <m/>
    <s v="Week9"/>
    <d v="2023-02-01T00:00:00"/>
    <m/>
    <m/>
    <m/>
    <m/>
    <m/>
    <x v="0"/>
    <m/>
    <m/>
    <m/>
    <m/>
    <m/>
    <m/>
    <m/>
    <m/>
    <m/>
    <m/>
    <m/>
    <m/>
    <m/>
    <m/>
    <m/>
    <m/>
    <m/>
  </r>
  <r>
    <x v="423"/>
    <d v="2023-03-14T00:00:00"/>
    <s v="Week9"/>
    <d v="2023-02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5024"/>
    <n v="5024"/>
    <m/>
    <n v="0"/>
    <n v="0"/>
    <m/>
    <m/>
    <m/>
  </r>
  <r>
    <x v="423"/>
    <d v="2023-03-22T00:00:00"/>
    <s v="Week9"/>
    <d v="2023-02-01T00:00:00"/>
    <s v="DRY2300052"/>
    <s v="Taiwan"/>
    <s v="CP TAIWAN"/>
    <s v="R-Wonton"/>
    <s v="R-Wonton no egg"/>
    <x v="10"/>
    <s v="Raw Wonton 12 pcs"/>
    <s v="082I93R40012P03001"/>
    <s v="154g*40inner"/>
    <n v="40"/>
    <n v="12"/>
    <n v="8.1300000000000001E-3"/>
    <s v="M"/>
    <s v="Salt"/>
    <s v="ซุปซอง 5g."/>
    <n v="576"/>
    <n v="576"/>
    <m/>
    <n v="0"/>
    <n v="0"/>
    <n v="0"/>
    <n v="2"/>
    <n v="0"/>
  </r>
  <r>
    <x v="424"/>
    <d v="2023-03-28T00:00:00"/>
    <s v="Week9"/>
    <d v="2023-02-01T00:00:00"/>
    <s v="DRY2200688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n v="21.777777777777779"/>
    <n v="21.777777777777828"/>
    <n v="0"/>
    <m/>
    <m/>
    <m/>
  </r>
  <r>
    <x v="424"/>
    <d v="2023-04-04T00:00:00"/>
    <s v="Week9"/>
    <d v="2023-02-01T00:00:00"/>
    <s v="DRY2300010"/>
    <s v="Germany"/>
    <s v=" CPF Distribution (under Paulsen Food)"/>
    <s v="C-Wonton"/>
    <s v="C-Wonton ND"/>
    <x v="5"/>
    <s v="Cooked Wonton ND No Egg with Pumpkin _x000a_+ Vegetable  HC  3 pcs"/>
    <s v="082SJ3N12003P01001"/>
    <s v="309g*12"/>
    <n v="12"/>
    <n v="3"/>
    <n v="7.4999999999999997E-3"/>
    <s v="HC"/>
    <s v="Salt"/>
    <s v="Regular"/>
    <n v="2520"/>
    <n v="2520"/>
    <m/>
    <n v="0"/>
    <n v="0"/>
    <m/>
    <m/>
    <m/>
  </r>
  <r>
    <x v="424"/>
    <d v="2023-03-22T00:00:00"/>
    <s v="Week9"/>
    <d v="2023-02-01T00:00:00"/>
    <s v="DRY2300052"/>
    <s v="Taiwan"/>
    <s v="CP TAIWAN"/>
    <s v="R-Wonton"/>
    <s v="R-Wonton no egg"/>
    <x v="10"/>
    <s v="Raw Wonton 12 pcs"/>
    <s v="082I93R40012P03001"/>
    <s v="154g*40inner"/>
    <n v="40"/>
    <n v="12"/>
    <n v="8.1300000000000001E-3"/>
    <s v="M"/>
    <s v="Salt"/>
    <s v="ซุปซอง 5g."/>
    <n v="426"/>
    <n v="426"/>
    <m/>
    <n v="0"/>
    <n v="0"/>
    <n v="0"/>
    <n v="2"/>
    <n v="0"/>
  </r>
  <r>
    <x v="424"/>
    <d v="2023-03-10T00:00:00"/>
    <s v="Week9"/>
    <d v="2023-02-01T00:00:00"/>
    <s v="KL2300012"/>
    <s v="China"/>
    <s v="Charoen Pokphand Import&amp;Export Trading (Shanghai) Co., Ltd"/>
    <s v="R-Wonton"/>
    <s v="R-Wonton"/>
    <x v="10"/>
    <s v="Raw Wonton 50 pcs"/>
    <s v="082I95J08050P03001"/>
    <s v="630g*8in"/>
    <n v="8"/>
    <n v="50"/>
    <n v="6.8100000000000001E-3"/>
    <s v="S"/>
    <s v="STPP"/>
    <s v="ซุปซอง 5g."/>
    <n v="700"/>
    <n v="700"/>
    <m/>
    <n v="0"/>
    <n v="0"/>
    <n v="0"/>
    <n v="6"/>
    <n v="0"/>
  </r>
  <r>
    <x v="425"/>
    <d v="2023-03-10T00:00:00"/>
    <s v="Week9"/>
    <d v="2023-03-01T00:00:00"/>
    <s v="KL2300012"/>
    <s v="China"/>
    <s v="Charoen Pokphand Import&amp;Export Trading (Shanghai) Co., Ltd"/>
    <s v="R-Wonton"/>
    <s v="R-Wonton"/>
    <x v="10"/>
    <s v="Raw Wonton 12 pcs"/>
    <s v="082I95J20012P04001"/>
    <s v="144g*20in"/>
    <n v="20"/>
    <n v="12"/>
    <n v="6.8100000000000001E-3"/>
    <s v="S"/>
    <s v="STPP"/>
    <s v="ซุปซอง 5g."/>
    <n v="2320"/>
    <n v="2145"/>
    <n v="175"/>
    <n v="0"/>
    <n v="0"/>
    <n v="0"/>
    <n v="2"/>
    <n v="0"/>
  </r>
  <r>
    <x v="425"/>
    <d v="2023-03-22T00:00:00"/>
    <s v="Week9"/>
    <d v="2023-03-01T00:00:00"/>
    <s v="DRY2300052"/>
    <s v="Taiwan"/>
    <s v="CP TAIWAN"/>
    <s v="R-Wonton"/>
    <s v="R-Wonton no egg"/>
    <x v="10"/>
    <s v="Raw Wonton 12 pcs"/>
    <s v="082I93R40012P03001"/>
    <s v="154g*40inner"/>
    <n v="40"/>
    <n v="12"/>
    <n v="8.1300000000000001E-3"/>
    <s v="M"/>
    <s v="Salt"/>
    <s v="ซุปซอง 5g."/>
    <n v="105"/>
    <n v="105"/>
    <m/>
    <n v="0"/>
    <n v="0"/>
    <n v="0"/>
    <n v="2"/>
    <n v="0"/>
  </r>
  <r>
    <x v="426"/>
    <m/>
    <s v="Week9"/>
    <d v="2023-03-01T00:00:00"/>
    <m/>
    <m/>
    <m/>
    <m/>
    <m/>
    <x v="0"/>
    <m/>
    <m/>
    <m/>
    <m/>
    <m/>
    <m/>
    <m/>
    <m/>
    <m/>
    <m/>
    <m/>
    <m/>
    <m/>
    <m/>
    <m/>
    <m/>
    <m/>
  </r>
  <r>
    <x v="427"/>
    <m/>
    <s v="Week9"/>
    <d v="2023-03-01T00:00:00"/>
    <m/>
    <m/>
    <m/>
    <m/>
    <m/>
    <x v="0"/>
    <m/>
    <m/>
    <m/>
    <m/>
    <m/>
    <m/>
    <m/>
    <m/>
    <m/>
    <m/>
    <m/>
    <m/>
    <m/>
    <m/>
    <m/>
    <m/>
    <m/>
  </r>
  <r>
    <x v="428"/>
    <m/>
    <s v="Week9"/>
    <d v="2023-03-01T00:00:00"/>
    <m/>
    <m/>
    <m/>
    <m/>
    <m/>
    <x v="0"/>
    <m/>
    <m/>
    <m/>
    <m/>
    <m/>
    <m/>
    <m/>
    <m/>
    <m/>
    <m/>
    <m/>
    <m/>
    <m/>
    <m/>
    <m/>
    <m/>
    <m/>
  </r>
  <r>
    <x v="429"/>
    <m/>
    <s v="Week10"/>
    <d v="2023-03-01T00:00:00"/>
    <m/>
    <m/>
    <m/>
    <m/>
    <m/>
    <x v="0"/>
    <m/>
    <m/>
    <m/>
    <m/>
    <m/>
    <m/>
    <m/>
    <m/>
    <m/>
    <m/>
    <m/>
    <m/>
    <m/>
    <m/>
    <m/>
    <m/>
    <m/>
  </r>
  <r>
    <x v="430"/>
    <m/>
    <s v="Week10"/>
    <d v="2023-03-01T00:00:00"/>
    <m/>
    <m/>
    <m/>
    <m/>
    <m/>
    <x v="0"/>
    <m/>
    <m/>
    <m/>
    <m/>
    <m/>
    <m/>
    <m/>
    <m/>
    <m/>
    <m/>
    <m/>
    <m/>
    <m/>
    <m/>
    <m/>
    <m/>
    <m/>
  </r>
  <r>
    <x v="431"/>
    <m/>
    <s v="Week10"/>
    <d v="2023-03-01T00:00:00"/>
    <m/>
    <m/>
    <m/>
    <m/>
    <m/>
    <x v="0"/>
    <m/>
    <m/>
    <m/>
    <m/>
    <m/>
    <m/>
    <m/>
    <m/>
    <m/>
    <m/>
    <m/>
    <m/>
    <m/>
    <m/>
    <m/>
    <m/>
    <m/>
  </r>
  <r>
    <x v="432"/>
    <m/>
    <s v="Week10"/>
    <d v="2023-03-01T00:00:00"/>
    <m/>
    <m/>
    <m/>
    <m/>
    <m/>
    <x v="0"/>
    <m/>
    <m/>
    <m/>
    <m/>
    <m/>
    <m/>
    <m/>
    <m/>
    <m/>
    <m/>
    <m/>
    <m/>
    <m/>
    <m/>
    <m/>
    <m/>
    <m/>
  </r>
  <r>
    <x v="433"/>
    <m/>
    <s v="Week10"/>
    <d v="2023-03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1885"/>
    <n v="1885"/>
    <m/>
    <n v="0"/>
    <n v="0"/>
    <m/>
    <m/>
    <m/>
  </r>
  <r>
    <x v="433"/>
    <d v="2023-04-05T00:00:00"/>
    <s v="Week10"/>
    <d v="2023-03-01T00:00:00"/>
    <s v="DRY2300089"/>
    <s v="Malay"/>
    <s v="CPM Malaysia"/>
    <s v="C-Wonton"/>
    <s v="C-Wonton"/>
    <x v="1"/>
    <s v="Cooked Wonton No Egg  "/>
    <s v="082S85I24005P01001"/>
    <s v="145g*24"/>
    <n v="24"/>
    <n v="5"/>
    <n v="8.0000000000000002E-3"/>
    <s v="M"/>
    <s v="STPP"/>
    <s v="Regular"/>
    <n v="850"/>
    <n v="850"/>
    <n v="19.541666666666668"/>
    <n v="19.541666666666629"/>
    <n v="0"/>
    <m/>
    <m/>
    <m/>
  </r>
  <r>
    <x v="433"/>
    <d v="2023-04-05T00:00:00"/>
    <s v="Week10"/>
    <d v="2023-03-01T00:00:00"/>
    <s v="DRY2300089"/>
    <s v="Malay"/>
    <s v="CPM Malaysia"/>
    <s v="C-Wonton"/>
    <s v="C-Wonton"/>
    <x v="2"/>
    <s v="Cooked Wonton No Egg  TY"/>
    <s v="082S85I24005P02001"/>
    <s v="115g*24"/>
    <n v="24"/>
    <n v="5"/>
    <n v="8.0000000000000002E-3"/>
    <s v="M"/>
    <s v="STPP"/>
    <s v="TYTB3C 30G"/>
    <n v="950"/>
    <n v="950"/>
    <n v="24.75"/>
    <n v="24.75"/>
    <n v="0"/>
    <m/>
    <n v="1"/>
    <n v="0"/>
  </r>
  <r>
    <x v="433"/>
    <d v="2023-03-31T00:00:00"/>
    <s v="Week10"/>
    <d v="2023-03-01T00:00:00"/>
    <s v="ขายภายใน"/>
    <s v="MTFS"/>
    <s v="ซีพีเอฟ เทรดดิ้ง"/>
    <s v="C-Wonton"/>
    <s v="C-Wonton"/>
    <x v="14"/>
    <s v="Minced Wonton (5pcs)"/>
    <s v="082SK3Q12005P00001"/>
    <s v="135g*12"/>
    <n v="12"/>
    <n v="5"/>
    <n v="6.0000000000000001E-3"/>
    <s v="BK"/>
    <s v="STPP"/>
    <s v="Regular"/>
    <n v="300"/>
    <n v="302"/>
    <m/>
    <n v="2"/>
    <n v="0"/>
    <m/>
    <m/>
    <m/>
  </r>
  <r>
    <x v="433"/>
    <d v="2023-03-31T00:00:00"/>
    <s v="Week10"/>
    <d v="2023-03-01T00:00:00"/>
    <s v="ขายภายใน"/>
    <s v="MTFS"/>
    <s v="ซีพีเอฟ เทรดดิ้ง"/>
    <s v="C-Wonton"/>
    <s v="C-Wonton"/>
    <x v="11"/>
    <s v="Cooked Wonton ND with egg V-Food"/>
    <s v="082SJ3Q12003P07001"/>
    <s v="226g*12"/>
    <n v="12"/>
    <n v="3"/>
    <n v="8.0000000000000002E-3"/>
    <s v="M"/>
    <s v="STPP"/>
    <s v="Regular"/>
    <n v="900"/>
    <n v="837"/>
    <m/>
    <n v="-63"/>
    <n v="756"/>
    <m/>
    <m/>
    <m/>
  </r>
  <r>
    <x v="433"/>
    <d v="2023-03-15T00:00:00"/>
    <s v="Week10"/>
    <d v="2023-03-01T00:00:00"/>
    <s v="KL2300004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549"/>
    <n v="549"/>
    <m/>
    <n v="0"/>
    <n v="0"/>
    <n v="0"/>
    <n v="6"/>
    <n v="0"/>
  </r>
  <r>
    <x v="434"/>
    <m/>
    <s v="Week10"/>
    <d v="2023-03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5009"/>
    <n v="5009"/>
    <m/>
    <n v="0"/>
    <n v="0"/>
    <m/>
    <m/>
    <m/>
  </r>
  <r>
    <x v="434"/>
    <m/>
    <s v="Week10"/>
    <d v="2023-03-01T00:00:00"/>
    <s v="ขายภายใน"/>
    <s v=".7-11"/>
    <s v="ซีพีเอฟ เทรดดิ้ง"/>
    <s v="C-Wonton"/>
    <s v="C-Wonton"/>
    <x v="21"/>
    <s v="Cooked Wonton ND with egg 7-11"/>
    <s v="082SJ1A12003P01001 "/>
    <s v="211g*12"/>
    <n v="12"/>
    <n v="3"/>
    <n v="6.1999999999999998E-3"/>
    <s v="SS"/>
    <s v="STPP"/>
    <s v="TYNSF"/>
    <n v="1390"/>
    <n v="1390"/>
    <m/>
    <n v="0"/>
    <n v="0"/>
    <m/>
    <m/>
    <m/>
  </r>
  <r>
    <x v="434"/>
    <d v="2023-03-15T00:00:00"/>
    <s v="Week10"/>
    <d v="2023-03-01T00:00:00"/>
    <s v="KL2300004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512"/>
    <n v="512"/>
    <m/>
    <n v="0"/>
    <n v="0"/>
    <n v="0"/>
    <n v="6"/>
    <n v="0"/>
  </r>
  <r>
    <x v="435"/>
    <d v="2023-04-07T00:00:00"/>
    <s v="Week10"/>
    <d v="2023-03-01T00:00:00"/>
    <s v="DRY2300090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</r>
  <r>
    <x v="435"/>
    <d v="2023-04-11T00:00:00"/>
    <s v="Week10"/>
    <d v="2023-03-01T00:00:00"/>
    <s v="DRY2300091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</r>
  <r>
    <x v="435"/>
    <d v="2023-04-05T00:00:00"/>
    <s v="Week10"/>
    <d v="2023-03-01T00:00:00"/>
    <s v="DRY2300046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14"/>
    <m/>
    <n v="-6"/>
    <n v="72"/>
    <m/>
    <m/>
    <m/>
  </r>
  <r>
    <x v="435"/>
    <d v="2023-03-15T00:00:00"/>
    <s v="Week10"/>
    <d v="2023-03-01T00:00:00"/>
    <s v="KL2300004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347"/>
    <n v="347"/>
    <m/>
    <n v="0"/>
    <n v="0"/>
    <n v="0"/>
    <n v="6"/>
    <n v="0"/>
  </r>
  <r>
    <x v="435"/>
    <d v="2023-04-05T00:00:00"/>
    <s v="Week10"/>
    <d v="2023-03-01T00:00:00"/>
    <s v="DRY2300089"/>
    <s v="Malay"/>
    <s v="CPM Malaysia"/>
    <s v="R-Wonton"/>
    <s v="R-Wonton"/>
    <x v="4"/>
    <s v="Raw Wonton 12 pcs"/>
    <s v="082I95I20012P02001"/>
    <s v="154g*20inner"/>
    <n v="20"/>
    <n v="12"/>
    <n v="6.8100000000000001E-3"/>
    <s v="S"/>
    <s v="STPP"/>
    <s v="ซุปซอง 5g."/>
    <n v="300"/>
    <n v="300"/>
    <n v="23"/>
    <n v="23"/>
    <n v="0"/>
    <n v="0"/>
    <n v="2"/>
    <n v="0"/>
  </r>
  <r>
    <x v="436"/>
    <m/>
    <s v="Week11"/>
    <d v="2023-03-01T00:00:00"/>
    <m/>
    <m/>
    <m/>
    <m/>
    <m/>
    <x v="0"/>
    <m/>
    <m/>
    <m/>
    <m/>
    <m/>
    <m/>
    <m/>
    <m/>
    <m/>
    <m/>
    <m/>
    <m/>
    <m/>
    <m/>
    <m/>
    <m/>
    <m/>
  </r>
  <r>
    <x v="437"/>
    <d v="2023-03-20T00:00:00"/>
    <s v="Week11"/>
    <d v="2023-03-01T00:00:00"/>
    <s v="KL2300005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</r>
  <r>
    <x v="438"/>
    <d v="2023-03-21T00:00:00"/>
    <s v="Week11"/>
    <d v="2023-03-01T00:00:00"/>
    <s v="KL2300006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</r>
  <r>
    <x v="439"/>
    <d v="2023-03-22T00:00:00"/>
    <s v="Week11"/>
    <d v="2023-03-01T00:00:00"/>
    <s v="KL2300007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</r>
  <r>
    <x v="440"/>
    <m/>
    <s v="Week11"/>
    <d v="2023-03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4071"/>
    <n v="4071"/>
    <m/>
    <n v="0"/>
    <n v="0"/>
    <m/>
    <m/>
    <m/>
  </r>
  <r>
    <x v="440"/>
    <d v="2023-03-22T00:00:00"/>
    <s v="Week11"/>
    <d v="2023-03-01T00:00:00"/>
    <s v="KL2300009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510"/>
    <n v="510"/>
    <m/>
    <n v="0"/>
    <n v="0"/>
    <n v="0"/>
    <n v="6"/>
    <n v="0"/>
  </r>
  <r>
    <x v="441"/>
    <m/>
    <s v="Week11"/>
    <d v="2023-03-01T00:00:00"/>
    <n v="3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04"/>
    <n v="704"/>
    <m/>
    <n v="0"/>
    <n v="0"/>
    <m/>
    <m/>
    <m/>
  </r>
  <r>
    <x v="441"/>
    <m/>
    <s v="Week11"/>
    <d v="2023-03-01T00:00:00"/>
    <n v="3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441"/>
    <m/>
    <s v="Week11"/>
    <d v="2023-03-01T00:00:00"/>
    <n v="3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80"/>
    <n v="280"/>
    <m/>
    <n v="0"/>
    <n v="0"/>
    <m/>
    <m/>
    <m/>
  </r>
  <r>
    <x v="441"/>
    <d v="2023-03-22T00:00:00"/>
    <s v="Week11"/>
    <d v="2023-03-01T00:00:00"/>
    <s v="KL2300009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526"/>
    <n v="526"/>
    <m/>
    <n v="0"/>
    <n v="0"/>
    <n v="0"/>
    <n v="6"/>
    <n v="0"/>
  </r>
  <r>
    <x v="442"/>
    <m/>
    <s v="Week11"/>
    <d v="2023-03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65"/>
    <n v="265"/>
    <m/>
    <n v="0"/>
    <n v="0"/>
    <m/>
    <m/>
    <m/>
  </r>
  <r>
    <x v="442"/>
    <d v="2023-04-04T00:00:00"/>
    <s v="Week11"/>
    <d v="2023-03-01T00:00:00"/>
    <s v="DRY2300096"/>
    <s v="SG"/>
    <s v="CPI SINGAPORE"/>
    <s v="C-Wonton"/>
    <s v="C-Wonton"/>
    <x v="2"/>
    <s v="Cooked Wonton No Egg"/>
    <s v="082S83B24005P06001"/>
    <s v="115g*24"/>
    <n v="24"/>
    <n v="5"/>
    <n v="8.0000000000000002E-3"/>
    <s v="M"/>
    <s v="STPP"/>
    <s v="TYTB3C 30G"/>
    <n v="250"/>
    <n v="245"/>
    <n v="1.2083333333333333"/>
    <n v="-3.7916666666666572"/>
    <n v="91"/>
    <m/>
    <n v="1"/>
    <n v="91"/>
  </r>
  <r>
    <x v="442"/>
    <d v="2023-04-04T00:00:00"/>
    <s v="Week11"/>
    <d v="2023-03-01T00:00:00"/>
    <s v="DRY2300097"/>
    <s v="SG"/>
    <s v="CPI SINGAPORE"/>
    <s v="C-Wonton"/>
    <s v="C-Wonton"/>
    <x v="1"/>
    <s v="Cooked Wonton No Egg"/>
    <s v="082S83B24005P07001"/>
    <s v="145g*24"/>
    <n v="24"/>
    <n v="5"/>
    <n v="8.0000000000000002E-3"/>
    <s v="M"/>
    <s v="STPP"/>
    <s v="Regular"/>
    <n v="250"/>
    <n v="247"/>
    <n v="1.5416666666666667"/>
    <n v="-1.4583333333333428"/>
    <n v="35"/>
    <m/>
    <m/>
    <m/>
  </r>
  <r>
    <x v="442"/>
    <d v="2023-04-04T00:00:00"/>
    <s v="Week11"/>
    <d v="2023-03-01T00:00:00"/>
    <s v="DRY2300098"/>
    <s v="SG"/>
    <s v="CPI Singapore"/>
    <s v="C-Wonton"/>
    <s v="C-Wonton ND"/>
    <x v="5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250"/>
    <n v="249"/>
    <n v="0.54166666666666663"/>
    <n v="-0.45833333333334281"/>
    <n v="11"/>
    <m/>
    <m/>
    <m/>
  </r>
  <r>
    <x v="442"/>
    <d v="2023-04-05T00:00:00"/>
    <s v="Week11"/>
    <d v="2023-03-01T00:00:00"/>
    <s v="DRY2300047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</r>
  <r>
    <x v="442"/>
    <d v="2023-04-18T00:00:00"/>
    <s v="Week11"/>
    <d v="2023-03-01T00:00:00"/>
    <s v="DRY2300094"/>
    <s v="Belgium"/>
    <s v="CPF EUROPE S.A."/>
    <s v="C-Wonton ND"/>
    <s v="Wonton ND+V"/>
    <x v="5"/>
    <s v="Cooked Wonton ND No Egg with Pumpkin _x000a_+ Vegetable  HC  3 pcs"/>
    <s v="082SJ3I08003P00001"/>
    <s v="309g*8"/>
    <n v="8"/>
    <n v="3"/>
    <n v="7.4999999999999997E-3"/>
    <s v="HC"/>
    <s v="Salt"/>
    <s v="Regular"/>
    <n v="950"/>
    <m/>
    <n v="995.875"/>
    <n v="45.875"/>
    <n v="0"/>
    <m/>
    <m/>
    <m/>
  </r>
  <r>
    <x v="442"/>
    <d v="2023-03-22T00:00:00"/>
    <s v="Week11"/>
    <d v="2023-03-01T00:00:00"/>
    <s v="KL2300009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372"/>
    <n v="372"/>
    <m/>
    <n v="0"/>
    <n v="0"/>
    <n v="0"/>
    <n v="6"/>
    <n v="0"/>
  </r>
  <r>
    <x v="442"/>
    <d v="2023-03-29T00:00:00"/>
    <s v="Week11"/>
    <d v="2023-03-01T00:00:00"/>
    <s v="DRY2300088"/>
    <s v="HK"/>
    <s v="CPM Hongkong"/>
    <s v="R-Wonton"/>
    <s v="R-Mince"/>
    <x v="9"/>
    <s v="Raw Minced Wonton 8 pcs"/>
    <s v="082ID3G18008P00001"/>
    <s v="90g*18in"/>
    <n v="18"/>
    <n v="8"/>
    <n v="6.0000000000000001E-3"/>
    <s v="BK"/>
    <s v="STPP"/>
    <s v="ซุปซอง 5g."/>
    <n v="550"/>
    <n v="550"/>
    <m/>
    <n v="0"/>
    <n v="0"/>
    <n v="0"/>
    <n v="2"/>
    <n v="0"/>
  </r>
  <r>
    <x v="442"/>
    <d v="2023-03-29T00:00:00"/>
    <s v="Week11"/>
    <d v="2023-03-01T00:00:00"/>
    <s v="DRY2300088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1350"/>
    <n v="1350"/>
    <m/>
    <n v="0"/>
    <n v="0"/>
    <n v="0"/>
    <n v="1"/>
    <n v="0"/>
  </r>
  <r>
    <x v="443"/>
    <m/>
    <s v="Week12"/>
    <d v="2023-03-01T00:00:00"/>
    <m/>
    <m/>
    <m/>
    <m/>
    <m/>
    <x v="0"/>
    <m/>
    <m/>
    <m/>
    <m/>
    <m/>
    <m/>
    <m/>
    <m/>
    <m/>
    <m/>
    <m/>
    <m/>
    <m/>
    <m/>
    <m/>
    <m/>
    <m/>
  </r>
  <r>
    <x v="444"/>
    <d v="2023-04-20T00:00:00"/>
    <s v="Week12"/>
    <d v="2023-03-01T00:00:00"/>
    <s v="DRY2300092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027"/>
    <n v="261.22222222222223"/>
    <n v="0.22222222222217169"/>
    <n v="0"/>
    <m/>
    <m/>
    <m/>
  </r>
  <r>
    <x v="444"/>
    <d v="2023-04-20T00:00:00"/>
    <s v="Week12"/>
    <d v="2023-03-01T00:00:00"/>
    <s v="DRY2300093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052"/>
    <n v="1052"/>
    <m/>
    <n v="0"/>
    <n v="0"/>
    <m/>
    <m/>
    <m/>
  </r>
  <r>
    <x v="444"/>
    <d v="2023-03-24T00:00:00"/>
    <s v="Week12"/>
    <d v="2023-03-01T00:00:00"/>
    <s v="DRY2300085"/>
    <s v="SG"/>
    <s v="CPI SINGAPORE"/>
    <s v="C-Wonton"/>
    <s v="C-Wonton ND"/>
    <x v="30"/>
    <s v="Cooked Wonton Thai Spicy Noodles (Drunken Noodles)"/>
    <s v="082SJ3B24003P03001"/>
    <s v="229g*24"/>
    <n v="24"/>
    <n v="3"/>
    <n v="8.0000000000000002E-3"/>
    <s v="M"/>
    <s v="Salt"/>
    <s v="Kee Mao 50G."/>
    <n v="500"/>
    <n v="500"/>
    <m/>
    <n v="0"/>
    <n v="0"/>
    <m/>
    <m/>
    <m/>
  </r>
  <r>
    <x v="444"/>
    <d v="2023-04-08T00:00:00"/>
    <s v="Week12"/>
    <d v="2023-03-01T00:00:00"/>
    <s v="DRY2300095"/>
    <s v="New Zealand"/>
    <s v="Lim Brothers"/>
    <s v="C-Wonton"/>
    <s v="C-Wonton ND"/>
    <x v="28"/>
    <s v="Cooked Minced Wonton Thai Spicy Noodles (Kee Mao Noodles)"/>
    <s v="082SRN708003P02001"/>
    <s v="219g*8"/>
    <n v="8"/>
    <n v="3"/>
    <n v="6.0000000000000001E-3"/>
    <s v="BK"/>
    <s v="Salt"/>
    <s v="Kee Mao 50G."/>
    <n v="600"/>
    <n v="477"/>
    <n v="119.75"/>
    <n v="-3.25"/>
    <n v="26"/>
    <m/>
    <m/>
    <m/>
  </r>
  <r>
    <x v="444"/>
    <d v="2023-04-18T00:00:00"/>
    <s v="Week12"/>
    <d v="2023-03-01T00:00:00"/>
    <s v="DRY2300094"/>
    <s v="Belgium"/>
    <s v="CPF EUROPE S.A."/>
    <s v="R-Wonton"/>
    <s v="R-Wonton no egg"/>
    <x v="10"/>
    <s v="Raw Wonton 50 pcs"/>
    <s v="082I93I10050P02001"/>
    <s v="630g*10inner"/>
    <n v="10"/>
    <n v="50"/>
    <n v="8.1300000000000001E-3"/>
    <s v="M"/>
    <s v="Salt"/>
    <s v="ซุปซอง 5g."/>
    <n v="528"/>
    <n v="528"/>
    <m/>
    <n v="0"/>
    <n v="0"/>
    <n v="0"/>
    <n v="6"/>
    <n v="0"/>
  </r>
  <r>
    <x v="445"/>
    <m/>
    <s v="Week12"/>
    <d v="2023-03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1285"/>
    <n v="1285"/>
    <m/>
    <n v="0"/>
    <n v="0"/>
    <m/>
    <m/>
    <m/>
  </r>
  <r>
    <x v="445"/>
    <d v="2023-05-05T00:00:00"/>
    <s v="Week12"/>
    <d v="2023-03-01T00:00:00"/>
    <s v="DRY2300104"/>
    <s v="New Zealand"/>
    <s v="Cuisine 360"/>
    <s v="C-Wonton"/>
    <s v="C-Wonton ND"/>
    <x v="5"/>
    <s v="Cooked Wonton ND No Egg with Pumpkin_x000a_+ Yu Choy "/>
    <s v="082SJN736005P00001"/>
    <s v="308g*6c*6in"/>
    <n v="36"/>
    <n v="5"/>
    <n v="7.4999999999999997E-3"/>
    <s v="HC"/>
    <s v="Salt"/>
    <s v="Regular"/>
    <n v="320"/>
    <n v="320"/>
    <m/>
    <n v="0"/>
    <n v="0"/>
    <m/>
    <m/>
    <m/>
  </r>
  <r>
    <x v="445"/>
    <d v="2023-05-10T00:00:00"/>
    <s v="Week12"/>
    <d v="2023-03-01T00:00:00"/>
    <s v="DRY2300105"/>
    <s v="New Zealand"/>
    <s v="Cuisine 360"/>
    <s v="C-Wonton"/>
    <s v="C-Wonton ND"/>
    <x v="5"/>
    <s v="Cooked Wonton ND No Egg with Pumpkin_x000a_+ Yu Choy "/>
    <s v="082SJN736005P00001"/>
    <s v="308g*6c*6in"/>
    <n v="36"/>
    <n v="5"/>
    <n v="7.4999999999999997E-3"/>
    <s v="HC"/>
    <s v="Salt"/>
    <s v="Regular"/>
    <n v="320"/>
    <n v="320"/>
    <n v="15.805555555555555"/>
    <n v="15.805555555555543"/>
    <n v="0"/>
    <m/>
    <m/>
    <m/>
  </r>
  <r>
    <x v="445"/>
    <d v="2023-04-08T00:00:00"/>
    <s v="Week12"/>
    <d v="2023-03-01T00:00:00"/>
    <s v="DRY2300095"/>
    <s v="New Zealand"/>
    <s v="Lim Brothers"/>
    <s v="C-Wonton"/>
    <s v="C-Wonton ND"/>
    <x v="5"/>
    <s v="Cooked Wonton ND No Egg with Pumpkin_x000a_+ Yu Choy "/>
    <s v="082SJN708004P00001"/>
    <s v="305g*8"/>
    <n v="8"/>
    <n v="4"/>
    <n v="7.4999999999999997E-3"/>
    <s v="HC"/>
    <s v="Salt"/>
    <s v="Regular"/>
    <n v="700"/>
    <m/>
    <n v="778.25"/>
    <n v="78.25"/>
    <n v="0"/>
    <m/>
    <m/>
    <m/>
  </r>
  <r>
    <x v="445"/>
    <d v="2023-04-24T00:00:00"/>
    <s v="Week12"/>
    <d v="2023-03-01T00:00:00"/>
    <s v="DRY2300048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</r>
  <r>
    <x v="445"/>
    <d v="2023-04-18T00:00:00"/>
    <s v="Week12"/>
    <d v="2023-03-01T00:00:00"/>
    <s v="DRY2300094"/>
    <s v="Belgium"/>
    <s v="CPF EUROPE S.A."/>
    <s v="R-Wonton"/>
    <s v="R-Wonton no egg"/>
    <x v="10"/>
    <s v="Raw Wonton 50 pcs"/>
    <s v="082I93I10050P02001"/>
    <s v="630g*10inner"/>
    <n v="10"/>
    <n v="50"/>
    <n v="8.1300000000000001E-3"/>
    <s v="M"/>
    <s v="Salt"/>
    <s v="ซุปซอง 5g."/>
    <n v="272"/>
    <n v="272"/>
    <n v="18"/>
    <n v="18"/>
    <n v="0"/>
    <n v="0"/>
    <n v="6"/>
    <n v="0"/>
  </r>
  <r>
    <x v="445"/>
    <d v="2023-04-01T00:00:00"/>
    <s v="Week12"/>
    <d v="2023-03-01T00:00:00"/>
    <s v="ขายภายใน"/>
    <s v="MTFS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461"/>
    <n v="461"/>
    <m/>
    <n v="0"/>
    <n v="0"/>
    <n v="0"/>
    <m/>
    <n v="0"/>
  </r>
  <r>
    <x v="446"/>
    <m/>
    <s v="Week12"/>
    <d v="2023-03-01T00:00:00"/>
    <s v="ขายภายใน"/>
    <s v="MTFS"/>
    <s v="ซีพีเอฟ เทรดดิ้ง"/>
    <s v="C-Wonton"/>
    <s v="C-Wonton"/>
    <x v="14"/>
    <s v="Minced Wonton (5pcs)"/>
    <s v="082SK3Q12005P00001"/>
    <s v="135g*12"/>
    <n v="12"/>
    <n v="5"/>
    <n v="6.0000000000000001E-3"/>
    <s v="BK"/>
    <s v="STPP"/>
    <s v="Regular"/>
    <n v="700"/>
    <n v="703"/>
    <m/>
    <n v="3"/>
    <n v="0"/>
    <m/>
    <m/>
    <m/>
  </r>
  <r>
    <x v="446"/>
    <m/>
    <s v="Week12"/>
    <d v="2023-03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12"/>
    <m/>
    <n v="12"/>
    <n v="0"/>
    <n v="0"/>
    <m/>
    <m/>
    <m/>
  </r>
  <r>
    <x v="446"/>
    <m/>
    <s v="Week12"/>
    <d v="2023-03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4200"/>
    <n v="4182"/>
    <m/>
    <n v="-18"/>
    <n v="216"/>
    <m/>
    <m/>
    <m/>
  </r>
  <r>
    <x v="446"/>
    <m/>
    <s v="Week12"/>
    <d v="2023-03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1440"/>
    <n v="1440"/>
    <m/>
    <n v="0"/>
    <n v="0"/>
    <m/>
    <n v="1"/>
    <n v="0"/>
  </r>
  <r>
    <x v="446"/>
    <m/>
    <s v="Week12"/>
    <d v="2023-03-01T00:00:00"/>
    <s v="ขายภายใน"/>
    <s v="MTFS"/>
    <s v="ซีพีเอฟ เทรดดิ้ง"/>
    <s v="C-Wonton"/>
    <s v="C-Wonton"/>
    <x v="22"/>
    <s v="Minced Noodle with egg V-Food (3 pcs)"/>
    <s v="082SR3Q12003P00001"/>
    <s v="191g*12"/>
    <n v="12"/>
    <n v="3"/>
    <n v="6.0000000000000001E-3"/>
    <s v="BK"/>
    <s v="STPP"/>
    <s v="Regular"/>
    <n v="400"/>
    <n v="400"/>
    <m/>
    <n v="0"/>
    <n v="0"/>
    <m/>
    <m/>
    <m/>
  </r>
  <r>
    <x v="446"/>
    <m/>
    <s v="Week12"/>
    <d v="2023-03-01T00:00:00"/>
    <s v="ขายภายใน"/>
    <s v="MTFS"/>
    <s v="ซีพีเอฟ เทรดดิ้ง"/>
    <s v="C-Wonton"/>
    <s v="C-Wonton"/>
    <x v="11"/>
    <s v="Cooked Wonton ND with egg V-Food"/>
    <s v="082SJ3Q12003P07001"/>
    <s v="226g*12"/>
    <n v="12"/>
    <n v="3"/>
    <n v="8.0000000000000002E-3"/>
    <s v="M"/>
    <s v="STPP"/>
    <s v="Regular"/>
    <n v="1050"/>
    <n v="1052"/>
    <m/>
    <n v="2"/>
    <n v="0"/>
    <m/>
    <m/>
    <m/>
  </r>
  <r>
    <x v="446"/>
    <m/>
    <s v="Week12"/>
    <d v="2023-03-01T00:00:00"/>
    <s v="ขายภายใน"/>
    <s v="ขายภายใน"/>
    <s v="ซีพีเอฟ เทรดดิ้ง"/>
    <s v="R-Wonton"/>
    <s v="R-Wonton"/>
    <x v="4"/>
    <s v="Raw Wonton 50 pcs OISHI"/>
    <s v="082S01508600G01001"/>
    <s v="600g.*8 packs"/>
    <n v="8"/>
    <n v="50"/>
    <n v="8.1300000000000001E-3"/>
    <s v="M"/>
    <s v="STPP"/>
    <s v="-"/>
    <n v="311"/>
    <n v="50"/>
    <n v="262.125"/>
    <n v="1.125"/>
    <n v="0"/>
    <n v="0"/>
    <m/>
    <n v="0"/>
  </r>
  <r>
    <x v="447"/>
    <m/>
    <s v="Week12"/>
    <d v="2023-03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5249"/>
    <n v="5249"/>
    <m/>
    <n v="0"/>
    <n v="0"/>
    <m/>
    <m/>
    <m/>
  </r>
  <r>
    <x v="447"/>
    <d v="2023-03-27T00:00:00"/>
    <s v="Week12"/>
    <d v="2023-03-01T00:00:00"/>
    <s v="ขายภายใน"/>
    <s v="MTFS"/>
    <s v="ซีพีเอฟ เทรดดิ้ง"/>
    <s v="R-Wonton"/>
    <s v="R-Wonton"/>
    <x v="29"/>
    <s v="เกี๊ยวกุ้งดับเบิ้ลชีสพร้อมปรุง 96 กรัม x12แพค"/>
    <s v="082ID3Q12008P00001"/>
    <s v="96g*12in"/>
    <n v="12"/>
    <n v="8"/>
    <n v="6.0000000000000001E-3"/>
    <s v="BK"/>
    <s v="STPP"/>
    <m/>
    <n v="1300"/>
    <n v="1295"/>
    <m/>
    <n v="-5"/>
    <n v="60"/>
    <n v="480"/>
    <m/>
    <n v="0"/>
  </r>
  <r>
    <x v="448"/>
    <m/>
    <s v="Week12"/>
    <d v="2023-03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2992"/>
    <n v="2992"/>
    <m/>
    <n v="0"/>
    <n v="0"/>
    <m/>
    <m/>
    <m/>
  </r>
  <r>
    <x v="448"/>
    <d v="2023-03-27T00:00:00"/>
    <s v="Week12"/>
    <d v="2023-03-01T00:00:00"/>
    <s v="ขายภายใน"/>
    <s v=".7-11"/>
    <s v="ซีพีเอฟ เทรดดิ้ง"/>
    <s v="C-Wonton"/>
    <s v="C-Wonton"/>
    <x v="21"/>
    <s v="Cooked Wonton ND with egg 7-11"/>
    <s v="082SJ1A12003P01001 "/>
    <s v="211g*12"/>
    <n v="12"/>
    <n v="3"/>
    <n v="6.1999999999999998E-3"/>
    <s v="SS"/>
    <s v="STPP"/>
    <s v="TYNSF"/>
    <n v="1000"/>
    <n v="1000"/>
    <m/>
    <n v="0"/>
    <n v="0"/>
    <m/>
    <m/>
    <m/>
  </r>
  <r>
    <x v="448"/>
    <d v="2023-03-27T00:00:00"/>
    <s v="Week12"/>
    <d v="2023-03-01T00:00:00"/>
    <s v="ขายภายใน"/>
    <s v=".7-11"/>
    <s v="ซีพีเอฟ เทรดดิ้ง"/>
    <s v="C-Wonton"/>
    <s v="C-Wonton"/>
    <x v="21"/>
    <s v="Cooked Wonton ND with egg 7-11"/>
    <s v="082SJ1A12003P01001 "/>
    <s v="211g*12"/>
    <n v="12"/>
    <n v="3"/>
    <n v="6.1999999999999998E-3"/>
    <s v="SS"/>
    <s v="STPP"/>
    <s v="TYNSF"/>
    <n v="4051"/>
    <n v="4051"/>
    <m/>
    <n v="0"/>
    <n v="0"/>
    <m/>
    <m/>
    <m/>
  </r>
  <r>
    <x v="448"/>
    <d v="2023-03-27T00:00:00"/>
    <s v="Week12"/>
    <d v="2023-03-01T00:00:00"/>
    <s v="ขายภายใน"/>
    <s v="MTFS"/>
    <s v="ซีพีเอฟ เทรดดิ้ง"/>
    <s v="R-Wonton"/>
    <s v="R-Wonton"/>
    <x v="29"/>
    <s v="เกี๊ยวกุ้งดับเบิ้ลชีสพร้อมปรุงCP 12x240g"/>
    <s v="082ID3Q12020P00001"/>
    <s v="240g*12in"/>
    <n v="12"/>
    <n v="20"/>
    <n v="6.0000000000000001E-3"/>
    <s v="BK"/>
    <s v="STPP"/>
    <m/>
    <n v="375"/>
    <n v="375"/>
    <m/>
    <n v="0"/>
    <n v="0"/>
    <n v="0"/>
    <m/>
    <n v="0"/>
  </r>
  <r>
    <x v="448"/>
    <d v="2023-04-21T00:00:00"/>
    <s v="Week12"/>
    <d v="2023-03-01T00:00:00"/>
    <s v="DRY2300099"/>
    <s v="SG"/>
    <s v="CPI SINGAPORE"/>
    <s v="R-Wonton"/>
    <s v="R-Mince"/>
    <x v="9"/>
    <s v="Raw Minced Wonton 8 pcs"/>
    <s v="082ID3B18008P00001"/>
    <s v="90g*18in"/>
    <n v="18"/>
    <n v="8"/>
    <n v="6.0000000000000001E-3"/>
    <s v="BK"/>
    <s v="STPP"/>
    <s v="ซุปซอง 5g."/>
    <n v="239"/>
    <n v="239"/>
    <m/>
    <n v="0"/>
    <n v="0"/>
    <n v="0"/>
    <n v="2"/>
    <n v="0"/>
  </r>
  <r>
    <x v="449"/>
    <m/>
    <s v="Week12"/>
    <d v="2023-03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4793"/>
    <n v="4793"/>
    <m/>
    <n v="0"/>
    <n v="0"/>
    <m/>
    <m/>
    <m/>
  </r>
  <r>
    <x v="449"/>
    <d v="2023-04-08T00:00:00"/>
    <s v="Week12"/>
    <d v="2023-03-01T00:00:00"/>
    <s v="DRY2300095"/>
    <s v="New Zealand"/>
    <s v="Lim Brothers"/>
    <s v="C-Wonton"/>
    <s v="C-Wonton ND"/>
    <x v="27"/>
    <s v="Cooked Minced  ND No Egg with Pumpkin_x000a_+ Yu Choy Tomkha"/>
    <s v="082SRN708003P01001"/>
    <s v="302g*8"/>
    <n v="8"/>
    <n v="3"/>
    <n v="6.0000000000000001E-3"/>
    <s v="BK"/>
    <s v="Salt"/>
    <s v="TYA+CO"/>
    <n v="675"/>
    <n v="501"/>
    <n v="191.625"/>
    <n v="17.625"/>
    <n v="0"/>
    <m/>
    <m/>
    <m/>
  </r>
  <r>
    <x v="449"/>
    <d v="2023-04-21T00:00:00"/>
    <s v="Week12"/>
    <d v="2023-03-01T00:00:00"/>
    <s v="DRY2300099"/>
    <s v="SG"/>
    <s v="CPI SINGAPORE"/>
    <s v="R-Wonton"/>
    <s v="R-Mince"/>
    <x v="9"/>
    <s v="Raw Minced Wonton 8 pcs"/>
    <s v="082ID3B18008P00001"/>
    <s v="90g*18in"/>
    <n v="18"/>
    <n v="8"/>
    <n v="6.0000000000000001E-3"/>
    <s v="BK"/>
    <s v="STPP"/>
    <s v="ซุปซอง 5g."/>
    <n v="1307"/>
    <n v="1307"/>
    <m/>
    <n v="0"/>
    <n v="0"/>
    <n v="0"/>
    <n v="2"/>
    <n v="0"/>
  </r>
  <r>
    <x v="449"/>
    <m/>
    <s v="Week12"/>
    <d v="2023-03-01T00:00:00"/>
    <s v="ขายภายใน"/>
    <s v="ขายภายใน"/>
    <s v="ซีพีเอฟ เทรดดิ้ง"/>
    <s v="R-Wonton"/>
    <s v="R-Wonton"/>
    <x v="4"/>
    <s v="Raw Wonton 50 pcs OISHI"/>
    <s v="082S01508600G01001"/>
    <s v="600g.*8 packs"/>
    <n v="8"/>
    <n v="50"/>
    <n v="8.1300000000000001E-3"/>
    <s v="M"/>
    <s v="STPP"/>
    <s v="-"/>
    <n v="189"/>
    <n v="118"/>
    <n v="76"/>
    <n v="5"/>
    <n v="0"/>
    <n v="0"/>
    <m/>
    <n v="0"/>
  </r>
  <r>
    <x v="450"/>
    <m/>
    <s v="Week13"/>
    <d v="2023-03-01T00:00:00"/>
    <m/>
    <m/>
    <m/>
    <m/>
    <m/>
    <x v="0"/>
    <m/>
    <m/>
    <m/>
    <m/>
    <m/>
    <m/>
    <m/>
    <m/>
    <m/>
    <m/>
    <m/>
    <m/>
    <m/>
    <m/>
    <m/>
    <m/>
    <m/>
  </r>
  <r>
    <x v="451"/>
    <m/>
    <s v="Week13"/>
    <d v="2023-03-01T00:00:00"/>
    <m/>
    <m/>
    <m/>
    <m/>
    <m/>
    <x v="0"/>
    <m/>
    <m/>
    <m/>
    <m/>
    <m/>
    <m/>
    <m/>
    <m/>
    <m/>
    <m/>
    <m/>
    <m/>
    <m/>
    <m/>
    <m/>
    <m/>
    <m/>
  </r>
  <r>
    <x v="452"/>
    <m/>
    <s v="Week13"/>
    <d v="2023-03-01T00:00:00"/>
    <m/>
    <m/>
    <m/>
    <m/>
    <m/>
    <x v="0"/>
    <m/>
    <m/>
    <m/>
    <m/>
    <m/>
    <m/>
    <m/>
    <m/>
    <m/>
    <m/>
    <m/>
    <m/>
    <m/>
    <m/>
    <m/>
    <m/>
    <m/>
  </r>
  <r>
    <x v="453"/>
    <m/>
    <s v="Week13"/>
    <d v="2023-03-01T00:00:00"/>
    <m/>
    <m/>
    <m/>
    <m/>
    <m/>
    <x v="0"/>
    <m/>
    <m/>
    <m/>
    <m/>
    <m/>
    <m/>
    <m/>
    <m/>
    <m/>
    <m/>
    <m/>
    <m/>
    <m/>
    <m/>
    <m/>
    <m/>
    <m/>
  </r>
  <r>
    <x v="454"/>
    <m/>
    <s v="Week13"/>
    <d v="2023-03-01T00:00:00"/>
    <m/>
    <m/>
    <m/>
    <m/>
    <m/>
    <x v="0"/>
    <m/>
    <m/>
    <m/>
    <m/>
    <m/>
    <m/>
    <m/>
    <m/>
    <m/>
    <m/>
    <m/>
    <m/>
    <m/>
    <m/>
    <m/>
    <m/>
    <m/>
  </r>
  <r>
    <x v="455"/>
    <m/>
    <s v="Week13"/>
    <d v="2023-03-01T00:00:00"/>
    <m/>
    <m/>
    <m/>
    <m/>
    <m/>
    <x v="0"/>
    <m/>
    <m/>
    <m/>
    <m/>
    <m/>
    <m/>
    <m/>
    <m/>
    <m/>
    <m/>
    <m/>
    <m/>
    <m/>
    <m/>
    <m/>
    <m/>
    <m/>
  </r>
  <r>
    <x v="456"/>
    <m/>
    <s v="Week13"/>
    <d v="2023-04-01T00:00:00"/>
    <m/>
    <m/>
    <m/>
    <m/>
    <m/>
    <x v="0"/>
    <m/>
    <m/>
    <m/>
    <m/>
    <m/>
    <m/>
    <m/>
    <m/>
    <m/>
    <m/>
    <m/>
    <m/>
    <m/>
    <m/>
    <m/>
    <m/>
    <m/>
  </r>
  <r>
    <x v="457"/>
    <m/>
    <s v="Week14"/>
    <d v="2023-04-01T00:00:00"/>
    <m/>
    <m/>
    <m/>
    <m/>
    <m/>
    <x v="0"/>
    <m/>
    <m/>
    <m/>
    <m/>
    <m/>
    <m/>
    <m/>
    <m/>
    <m/>
    <m/>
    <m/>
    <m/>
    <m/>
    <m/>
    <m/>
    <m/>
    <m/>
  </r>
  <r>
    <x v="458"/>
    <d v="2023-04-08T00:00:00"/>
    <s v="Week14"/>
    <d v="2023-04-01T00:00:00"/>
    <s v="DRY2300095"/>
    <s v="New Zealand"/>
    <s v="Lim Brothers"/>
    <s v="C-Wonton"/>
    <s v="C-Wonton"/>
    <x v="23"/>
    <s v="Cooked Minced Wonton in Tray 6 pcs + Sesame Sauce"/>
    <s v="082SKN716006P00001"/>
    <s v="117*2tray*8in"/>
    <n v="16"/>
    <n v="6"/>
    <n v="6.0000000000000001E-3"/>
    <s v="BK"/>
    <s v="Salt"/>
    <s v=" Sesame 15g"/>
    <n v="600"/>
    <n v="600"/>
    <m/>
    <n v="0"/>
    <n v="0"/>
    <m/>
    <n v="1"/>
    <n v="9600"/>
  </r>
  <r>
    <x v="458"/>
    <d v="2023-05-03T00:00:00"/>
    <s v="Week14"/>
    <d v="2023-04-01T00:00:00"/>
    <s v="DRY2300106"/>
    <s v="Korea"/>
    <s v="Emart"/>
    <s v="C-Wonton"/>
    <s v="C-Wonton"/>
    <x v="20"/>
    <s v="COOKED WONTON 6 pcs."/>
    <s v="082S8EJ12012P00001"/>
    <s v="141*2tray*12in"/>
    <n v="24"/>
    <n v="6"/>
    <n v="6.1999999999999998E-3"/>
    <s v="SS"/>
    <s v="Salt"/>
    <s v=" Sesame 15g"/>
    <n v="380"/>
    <m/>
    <n v="380.16666666666669"/>
    <n v="0.16666666666668561"/>
    <n v="0"/>
    <m/>
    <n v="1"/>
    <n v="9120"/>
  </r>
  <r>
    <x v="458"/>
    <d v="2023-04-11T00:00:00"/>
    <s v="Week14"/>
    <d v="2023-04-01T00:00:00"/>
    <s v="DRY2300109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458"/>
    <d v="2023-04-18T00:00:00"/>
    <s v="Week14"/>
    <d v="2023-04-01T00:00:00"/>
    <s v="DRY2300110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458"/>
    <d v="2023-04-10T00:00:00"/>
    <s v="Week14"/>
    <d v="2023-04-01T00:00:00"/>
    <s v="IRYBD23/015"/>
    <s v="China"/>
    <s v="Charoen Pokphand Import&amp;Export Trading (Shanghai) Co., Ltd"/>
    <s v="R-Wonton"/>
    <s v="R-Wonton"/>
    <x v="10"/>
    <s v="Raw Wonton 12 pcs"/>
    <s v="082I95J20012P04001"/>
    <s v="144g*20in"/>
    <n v="20"/>
    <n v="12"/>
    <n v="6.8100000000000001E-3"/>
    <s v="S"/>
    <s v="STPP"/>
    <s v="ซุปซอง 5g."/>
    <n v="1068"/>
    <n v="1055"/>
    <n v="31"/>
    <n v="18"/>
    <n v="0"/>
    <n v="0"/>
    <n v="2"/>
    <n v="0"/>
  </r>
  <r>
    <x v="459"/>
    <d v="2023-05-03T00:00:00"/>
    <s v="Week14"/>
    <d v="2023-04-01T00:00:00"/>
    <s v="DRY2300106"/>
    <s v="Korea"/>
    <s v="Emart"/>
    <s v="C-Wonton"/>
    <s v="C-Wonton"/>
    <x v="20"/>
    <s v="COOKED WONTON 6 pcs."/>
    <s v="082S8EJ12012P00001"/>
    <s v="141*2tray*12in"/>
    <n v="24"/>
    <n v="6"/>
    <n v="6.1999999999999998E-3"/>
    <s v="SS"/>
    <s v="Salt"/>
    <s v=" Sesame 15g"/>
    <n v="667"/>
    <m/>
    <n v="667.5"/>
    <n v="0.5"/>
    <n v="0"/>
    <m/>
    <n v="1"/>
    <n v="16008"/>
  </r>
  <r>
    <x v="459"/>
    <d v="2023-04-07T00:00:00"/>
    <s v="Week14"/>
    <d v="2023-04-01T00:00:00"/>
    <s v="DRY2300081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459"/>
    <d v="2023-04-08T00:00:00"/>
    <s v="Week14"/>
    <d v="2023-04-01T00:00:00"/>
    <s v="DRY2300080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175"/>
    <n v="1175"/>
    <m/>
    <n v="0"/>
    <n v="0"/>
    <m/>
    <m/>
    <m/>
  </r>
  <r>
    <x v="459"/>
    <d v="2023-04-10T00:00:00"/>
    <s v="Week14"/>
    <d v="2023-04-01T00:00:00"/>
    <s v="IRYBD23/015"/>
    <s v="China"/>
    <s v="Charoen Pokphand Import&amp;Export Trading (Shanghai) Co., Ltd"/>
    <s v="R-Wonton"/>
    <s v="R-Wonton"/>
    <x v="10"/>
    <s v="Raw Wonton 12 pcs"/>
    <s v="082I95J20012P04001"/>
    <s v="144g*20in"/>
    <n v="20"/>
    <n v="12"/>
    <n v="6.8100000000000001E-3"/>
    <s v="S"/>
    <s v="STPP"/>
    <s v="ซุปซอง 5g."/>
    <n v="994"/>
    <n v="994"/>
    <m/>
    <n v="0"/>
    <n v="0"/>
    <n v="0"/>
    <n v="2"/>
    <n v="0"/>
  </r>
  <r>
    <x v="460"/>
    <d v="2023-05-03T00:00:00"/>
    <s v="Week14"/>
    <d v="2023-04-01T00:00:00"/>
    <s v="DRY2300106"/>
    <s v="Korea"/>
    <s v="Emart"/>
    <s v="C-Wonton"/>
    <s v="C-Wonton"/>
    <x v="20"/>
    <s v="COOKED WONTON 6 pcs."/>
    <s v="082S8EJ12012P00001"/>
    <s v="141*2tray*12in"/>
    <n v="24"/>
    <n v="6"/>
    <n v="6.1999999999999998E-3"/>
    <s v="SS"/>
    <s v="Salt"/>
    <s v=" Sesame 15g"/>
    <n v="666"/>
    <m/>
    <n v="666.5"/>
    <n v="0.5"/>
    <n v="0"/>
    <m/>
    <n v="1"/>
    <n v="15984"/>
  </r>
  <r>
    <x v="460"/>
    <d v="2023-04-08T00:00:00"/>
    <s v="Week14"/>
    <d v="2023-04-01T00:00:00"/>
    <s v="DRY2300080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13"/>
    <n v="113"/>
    <m/>
    <n v="0"/>
    <n v="0"/>
    <m/>
    <m/>
    <m/>
  </r>
  <r>
    <x v="460"/>
    <d v="2023-04-08T00:00:00"/>
    <s v="Week14"/>
    <d v="2023-04-01T00:00:00"/>
    <s v="DRY2300084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460"/>
    <d v="2023-05-16T00:00:00"/>
    <s v="Week14"/>
    <d v="2023-04-01T00:00:00"/>
    <s v="DRY2300049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</r>
  <r>
    <x v="460"/>
    <d v="2023-04-08T00:00:00"/>
    <s v="Week14"/>
    <d v="2023-04-01T00:00:00"/>
    <s v="DRY2300095"/>
    <s v="New Zealand"/>
    <s v="Lim Brothers"/>
    <s v="C-Wonton"/>
    <s v="C-Wonton ND"/>
    <x v="17"/>
    <s v="Cooked Minced  ND No Egg with Pumpkin_x000a_+ Yu Choy Tomyum"/>
    <s v="082SRN708003P00001"/>
    <s v="302g*8"/>
    <n v="8"/>
    <n v="3"/>
    <n v="6.0000000000000001E-3"/>
    <s v="BK"/>
    <s v="Salt"/>
    <s v="TYA+CO"/>
    <n v="675"/>
    <n v="675"/>
    <n v="139.25"/>
    <n v="139.25"/>
    <n v="0"/>
    <m/>
    <m/>
    <m/>
  </r>
  <r>
    <x v="460"/>
    <d v="2023-04-10T00:00:00"/>
    <s v="Week14"/>
    <d v="2023-04-01T00:00:00"/>
    <s v="IRYBD23/015"/>
    <s v="China"/>
    <s v="Charoen Pokphand Import&amp;Export Trading (Shanghai) Co., Ltd"/>
    <s v="R-Wonton"/>
    <s v="R-Wonton"/>
    <x v="10"/>
    <s v="Raw Wonton 12 pcs"/>
    <s v="082I95J20012P04001"/>
    <s v="144g*20in"/>
    <n v="20"/>
    <n v="12"/>
    <n v="6.8100000000000001E-3"/>
    <s v="S"/>
    <s v="STPP"/>
    <s v="ซุปซอง 5g."/>
    <n v="708"/>
    <n v="677"/>
    <n v="15"/>
    <n v="-16"/>
    <n v="320"/>
    <n v="3840"/>
    <n v="2"/>
    <n v="640"/>
  </r>
  <r>
    <x v="460"/>
    <d v="2023-04-10T00:00:00"/>
    <s v="Week14"/>
    <d v="2023-04-01T00:00:00"/>
    <s v="IRYBD23/015"/>
    <s v="China"/>
    <s v="Charoen Pokphand Import&amp;Export Trading (Shanghai) Co., Ltd"/>
    <s v="R-Wonton"/>
    <s v="R-Wonton"/>
    <x v="10"/>
    <s v="Raw Wonton 20 pcs"/>
    <s v="082I95J16020P00001"/>
    <s v="255g*16in"/>
    <n v="16"/>
    <n v="20"/>
    <n v="6.8100000000000001E-3"/>
    <s v="S"/>
    <s v="STPP"/>
    <s v="ซุปซอง 5g."/>
    <n v="100"/>
    <n v="100"/>
    <m/>
    <n v="0"/>
    <n v="0"/>
    <n v="0"/>
    <n v="3"/>
    <n v="0"/>
  </r>
  <r>
    <x v="461"/>
    <d v="2023-05-03T00:00:00"/>
    <s v="Week14"/>
    <d v="2023-04-01T00:00:00"/>
    <s v="DRY2300106"/>
    <s v="Korea"/>
    <s v="Emart"/>
    <s v="C-Wonton"/>
    <s v="C-Wonton"/>
    <x v="20"/>
    <s v="COOKED WONTON 6 pcs."/>
    <s v="082S8EJ12012P00001"/>
    <s v="141*2tray*12in"/>
    <n v="24"/>
    <n v="6"/>
    <n v="6.1999999999999998E-3"/>
    <s v="SS"/>
    <s v="Salt"/>
    <s v=" Sesame 15g"/>
    <n v="643"/>
    <m/>
    <n v="643.25"/>
    <n v="0.25"/>
    <n v="0"/>
    <m/>
    <n v="1"/>
    <n v="15432"/>
  </r>
  <r>
    <x v="461"/>
    <d v="2023-04-11T00:00:00"/>
    <s v="Week14"/>
    <d v="2023-04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3979"/>
    <n v="3979"/>
    <m/>
    <n v="0"/>
    <n v="0"/>
    <m/>
    <m/>
    <m/>
  </r>
  <r>
    <x v="461"/>
    <d v="2023-04-10T00:00:00"/>
    <s v="Week14"/>
    <d v="2023-04-01T00:00:00"/>
    <s v="IRYBD23/015"/>
    <s v="China"/>
    <s v="Charoen Pokphand Import&amp;Export Trading (Shanghai) Co., Ltd"/>
    <s v="R-Wonton"/>
    <s v="R-Wonton"/>
    <x v="10"/>
    <s v="Raw Wonton 50 pcs"/>
    <s v="082I95J08050P03001"/>
    <s v="630g*8in"/>
    <n v="8"/>
    <n v="50"/>
    <n v="6.8100000000000001E-3"/>
    <s v="S"/>
    <s v="STPP"/>
    <s v="ซุปซอง 5g."/>
    <n v="300"/>
    <n v="276"/>
    <n v="24"/>
    <n v="0"/>
    <n v="0"/>
    <n v="0"/>
    <n v="6"/>
    <n v="0"/>
  </r>
  <r>
    <x v="461"/>
    <d v="2023-04-21T00:00:00"/>
    <s v="Week14"/>
    <d v="2023-04-01T00:00:00"/>
    <s v="DRY2300099"/>
    <s v="SG"/>
    <s v="CPI SINGAPORE"/>
    <s v="R-Wonton"/>
    <s v="R-Mince"/>
    <x v="9"/>
    <s v="Raw Minced Wonton 8 pcs"/>
    <s v="082ID3B18008P00001"/>
    <s v="90g*18in"/>
    <n v="18"/>
    <n v="8"/>
    <n v="6.0000000000000001E-3"/>
    <s v="BK"/>
    <s v="STPP"/>
    <s v="ซุปซอง 5g."/>
    <n v="154"/>
    <n v="127"/>
    <m/>
    <n v="-27"/>
    <n v="486"/>
    <n v="3888"/>
    <n v="2"/>
    <n v="972"/>
  </r>
  <r>
    <x v="462"/>
    <d v="2023-05-03T00:00:00"/>
    <s v="Week14"/>
    <d v="2023-04-01T00:00:00"/>
    <s v="DRY2300106"/>
    <s v="Korea"/>
    <s v="Emart"/>
    <s v="C-Wonton"/>
    <s v="C-Wonton"/>
    <x v="20"/>
    <s v="COOKED WONTON 6 pcs."/>
    <s v="082S8EJ12012P00001"/>
    <s v="141*2tray*12in"/>
    <n v="24"/>
    <n v="6"/>
    <n v="6.1999999999999998E-3"/>
    <s v="SS"/>
    <s v="Salt"/>
    <s v=" Sesame 15g"/>
    <n v="443"/>
    <m/>
    <n v="456"/>
    <n v="13"/>
    <n v="0"/>
    <m/>
    <n v="1"/>
    <n v="10632"/>
  </r>
  <r>
    <x v="462"/>
    <d v="2023-04-12T00:00:00"/>
    <s v="Week14"/>
    <d v="2023-04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3894"/>
    <n v="3894"/>
    <m/>
    <n v="0"/>
    <n v="0"/>
    <m/>
    <m/>
    <m/>
  </r>
  <r>
    <x v="463"/>
    <m/>
    <s v="Week14"/>
    <d v="2023-04-01T00:00:00"/>
    <n v="3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12"/>
    <n v="512"/>
    <m/>
    <n v="0"/>
    <n v="0"/>
    <m/>
    <m/>
    <m/>
  </r>
  <r>
    <x v="463"/>
    <m/>
    <s v="Week14"/>
    <d v="2023-04-01T00:00:00"/>
    <n v="3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27"/>
    <n v="118.72222222222223"/>
    <n v="53.722222222222172"/>
    <n v="0"/>
    <m/>
    <m/>
    <m/>
  </r>
  <r>
    <x v="463"/>
    <d v="2023-04-18T00:00:00"/>
    <s v="Week14"/>
    <d v="2023-04-01T00:00:00"/>
    <s v="DRY2300086"/>
    <s v="Denmark"/>
    <s v="CPF DENMARK"/>
    <s v="C-Wonton ND"/>
    <s v="Wonton ND+V"/>
    <x v="8"/>
    <s v="Cooked Wonton ND No Egg with Pumpkin _x000a_+ Vegetable  HC  3 pcs tomyam"/>
    <s v="082SJKW08003P00001"/>
    <s v="309g*8"/>
    <n v="8"/>
    <n v="3"/>
    <n v="7.4999999999999997E-3"/>
    <s v="M"/>
    <s v="Salt"/>
    <s v="TYANS+CM"/>
    <n v="3257"/>
    <m/>
    <n v="3258"/>
    <n v="1"/>
    <n v="0"/>
    <m/>
    <m/>
    <m/>
  </r>
  <r>
    <x v="464"/>
    <m/>
    <s v="Week15"/>
    <d v="2023-04-01T00:00:00"/>
    <m/>
    <m/>
    <m/>
    <m/>
    <m/>
    <x v="0"/>
    <m/>
    <m/>
    <m/>
    <m/>
    <m/>
    <m/>
    <m/>
    <m/>
    <m/>
    <m/>
    <m/>
    <m/>
    <m/>
    <m/>
    <m/>
    <m/>
    <m/>
  </r>
  <r>
    <x v="465"/>
    <d v="2023-04-25T00:00:00"/>
    <s v="Week15"/>
    <d v="2023-04-01T00:00:00"/>
    <s v="DRY2300111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465"/>
    <d v="2023-05-02T00:00:00"/>
    <s v="Week15"/>
    <d v="2023-04-01T00:00:00"/>
    <s v="DRY2300112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465"/>
    <d v="2023-04-27T00:00:00"/>
    <s v="Week15"/>
    <d v="2023-04-01T00:00:00"/>
    <s v="DRY2300131"/>
    <s v="USA"/>
    <s v="Bellisio Foods, Inc."/>
    <s v="C-Wonton"/>
    <s v="C-Wonton ND"/>
    <x v="7"/>
    <s v="Cooked Minced Wonton No Egg"/>
    <s v="082SKBW08005P00001"/>
    <s v="145g*8"/>
    <n v="8"/>
    <n v="5"/>
    <n v="6.0000000000000001E-3"/>
    <s v="BK"/>
    <s v="Salt"/>
    <s v="Regular"/>
    <n v="2000"/>
    <m/>
    <n v="2000"/>
    <n v="0"/>
    <n v="0"/>
    <m/>
    <m/>
    <m/>
  </r>
  <r>
    <x v="465"/>
    <d v="2023-04-27T00:00:00"/>
    <s v="Week15"/>
    <d v="2023-04-01T00:00:00"/>
    <s v="DRY2300132"/>
    <s v="USA"/>
    <s v="Bellisio Foods, Inc."/>
    <s v="C-Wonton"/>
    <s v="C-Wonton ND"/>
    <x v="7"/>
    <s v="Cooked Minced Wonton No Egg"/>
    <s v="082SKBW08005P00001"/>
    <s v="145g*8"/>
    <n v="8"/>
    <n v="5"/>
    <n v="6.0000000000000001E-3"/>
    <s v="BK"/>
    <s v="Salt"/>
    <s v="Regular"/>
    <n v="1299"/>
    <m/>
    <n v="1299"/>
    <n v="0"/>
    <n v="0"/>
    <m/>
    <m/>
    <m/>
  </r>
  <r>
    <x v="466"/>
    <d v="2023-04-27T00:00:00"/>
    <s v="Week15"/>
    <d v="2023-04-01T00:00:00"/>
    <s v="DRY2300132"/>
    <s v="USA"/>
    <s v="Bellisio Foods, Inc."/>
    <s v="C-Wonton"/>
    <s v="C-Wonton ND"/>
    <x v="7"/>
    <s v="Cooked Minced Wonton No Egg"/>
    <s v="082SKBW08005P00001"/>
    <s v="145g*8"/>
    <n v="8"/>
    <n v="5"/>
    <n v="6.0000000000000001E-3"/>
    <s v="BK"/>
    <s v="Salt"/>
    <s v="Regular"/>
    <n v="701"/>
    <m/>
    <n v="701"/>
    <n v="0"/>
    <n v="0"/>
    <m/>
    <m/>
    <m/>
  </r>
  <r>
    <x v="466"/>
    <d v="2023-05-12T00:00:00"/>
    <s v="Week15"/>
    <d v="2023-04-01T00:00:00"/>
    <s v="DRY2300134"/>
    <s v="USA"/>
    <s v="Bellisio Foods, Inc."/>
    <s v="C-Wonton"/>
    <s v="C-Wonton ND"/>
    <x v="7"/>
    <s v="Cooked Minced Wonton No Egg"/>
    <s v="082SKBW08005P00001"/>
    <s v="145g*8"/>
    <n v="8"/>
    <n v="5"/>
    <n v="6.0000000000000001E-3"/>
    <s v="BK"/>
    <s v="Salt"/>
    <s v="Regular"/>
    <n v="2000"/>
    <m/>
    <n v="2000"/>
    <n v="0"/>
    <n v="0"/>
    <m/>
    <m/>
    <m/>
  </r>
  <r>
    <x v="466"/>
    <d v="2023-04-22T00:00:00"/>
    <s v="Week15"/>
    <d v="2023-04-01T00:00:00"/>
    <s v="DRY2300082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466"/>
    <d v="2023-04-22T00:00:00"/>
    <s v="Week15"/>
    <d v="2023-04-01T00:00:00"/>
    <s v="DRY2300100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467"/>
    <d v="2023-04-20T00:00:00"/>
    <s v="Week15"/>
    <d v="2023-04-01T00:00:00"/>
    <s v="DRY2300093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236"/>
    <n v="236"/>
    <m/>
    <n v="0"/>
    <n v="0"/>
    <m/>
    <m/>
    <m/>
  </r>
  <r>
    <x v="467"/>
    <d v="2023-05-01T00:00:00"/>
    <s v="Week15"/>
    <d v="2023-04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4925"/>
    <n v="4925"/>
    <m/>
    <n v="0"/>
    <n v="0"/>
    <m/>
    <m/>
    <m/>
  </r>
  <r>
    <x v="468"/>
    <m/>
    <s v="Week15"/>
    <d v="2023-04-01T00:00:00"/>
    <m/>
    <m/>
    <m/>
    <m/>
    <m/>
    <x v="0"/>
    <m/>
    <m/>
    <m/>
    <m/>
    <m/>
    <m/>
    <m/>
    <m/>
    <m/>
    <m/>
    <m/>
    <m/>
    <m/>
    <m/>
    <m/>
    <m/>
    <m/>
  </r>
  <r>
    <x v="469"/>
    <m/>
    <s v="Week15"/>
    <d v="2023-04-01T00:00:00"/>
    <m/>
    <m/>
    <m/>
    <m/>
    <m/>
    <x v="0"/>
    <m/>
    <m/>
    <m/>
    <m/>
    <m/>
    <m/>
    <m/>
    <m/>
    <m/>
    <m/>
    <m/>
    <m/>
    <m/>
    <m/>
    <m/>
    <m/>
    <m/>
  </r>
  <r>
    <x v="470"/>
    <m/>
    <s v="Week15"/>
    <d v="2023-04-01T00:00:00"/>
    <m/>
    <m/>
    <m/>
    <m/>
    <m/>
    <x v="0"/>
    <m/>
    <m/>
    <m/>
    <m/>
    <m/>
    <m/>
    <m/>
    <m/>
    <m/>
    <m/>
    <m/>
    <m/>
    <m/>
    <m/>
    <m/>
    <m/>
    <m/>
  </r>
  <r>
    <x v="471"/>
    <m/>
    <s v="Week16"/>
    <d v="2023-04-01T00:00:00"/>
    <m/>
    <m/>
    <m/>
    <m/>
    <m/>
    <x v="0"/>
    <m/>
    <m/>
    <m/>
    <m/>
    <m/>
    <m/>
    <m/>
    <m/>
    <m/>
    <m/>
    <m/>
    <m/>
    <m/>
    <m/>
    <m/>
    <m/>
    <m/>
  </r>
  <r>
    <x v="472"/>
    <d v="2023-05-03T00:00:00"/>
    <s v="Week16"/>
    <d v="2023-04-01T00:00:00"/>
    <s v="DRY2300119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1500"/>
    <n v="1478"/>
    <n v="22"/>
    <n v="0"/>
    <n v="0"/>
    <n v="0"/>
    <n v="1"/>
    <n v="0"/>
  </r>
  <r>
    <x v="472"/>
    <d v="2023-05-03T00:00:00"/>
    <s v="Week16"/>
    <d v="2023-04-01T00:00:00"/>
    <s v="DRY2300119"/>
    <s v="HK"/>
    <s v="CPM Hongkong"/>
    <s v="R-Wonton"/>
    <s v="R-Mince"/>
    <x v="9"/>
    <s v="Raw Minced Wonton 8 pcs"/>
    <s v="082ID3G18008P00001"/>
    <s v="90g*18in"/>
    <n v="18"/>
    <n v="8"/>
    <n v="6.0000000000000001E-3"/>
    <s v="BK"/>
    <s v="STPP"/>
    <s v="ซุปซอง 5g."/>
    <n v="400"/>
    <n v="400"/>
    <m/>
    <n v="0"/>
    <n v="0"/>
    <n v="0"/>
    <n v="2"/>
    <n v="0"/>
  </r>
  <r>
    <x v="472"/>
    <d v="2023-04-21T00:00:00"/>
    <s v="Week16"/>
    <d v="2023-04-01T00:00:00"/>
    <s v="ขายภายใน"/>
    <s v="MTFS"/>
    <s v="ซีพีเอฟ เทรดดิ้ง"/>
    <s v="R-Wonton"/>
    <s v="R-Wonton"/>
    <x v="29"/>
    <s v="เกี๊ยวกุ้งดับเบิ้ลชีสพร้อมปรุงCP 12x240g"/>
    <s v="082ID3Q12020P00001"/>
    <s v="240g*12in"/>
    <n v="12"/>
    <n v="20"/>
    <n v="6.0000000000000001E-3"/>
    <s v="BK"/>
    <s v="STPP"/>
    <m/>
    <n v="375"/>
    <n v="375"/>
    <m/>
    <n v="0"/>
    <n v="0"/>
    <n v="0"/>
    <m/>
    <n v="0"/>
  </r>
  <r>
    <x v="472"/>
    <d v="2023-05-15T00:00:00"/>
    <s v="Week16"/>
    <d v="2023-04-01T00:00:00"/>
    <s v="ขายภายใน"/>
    <s v="MTFS"/>
    <s v="ซีพีเอฟ เทรดดิ้ง"/>
    <s v="R-Wonton"/>
    <s v="R-Wonton"/>
    <x v="29"/>
    <s v="เกี๊ยวกุ้งดับเบิ้ลชีสพร้อมปรุงCP 12x240g"/>
    <s v="082ID3Q12020P00001"/>
    <s v="240g*12in"/>
    <n v="12"/>
    <n v="20"/>
    <n v="6.0000000000000001E-3"/>
    <s v="BK"/>
    <s v="STPP"/>
    <m/>
    <n v="125"/>
    <n v="125"/>
    <n v="31"/>
    <n v="31"/>
    <n v="0"/>
    <n v="0"/>
    <m/>
    <n v="0"/>
  </r>
  <r>
    <x v="473"/>
    <d v="2023-05-09T00:00:00"/>
    <s v="Week16"/>
    <d v="2023-04-01T00:00:00"/>
    <s v="DRY2300113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43"/>
    <n v="45"/>
    <n v="0"/>
    <n v="0"/>
    <m/>
    <m/>
    <m/>
  </r>
  <r>
    <x v="473"/>
    <d v="2023-04-27T00:00:00"/>
    <s v="Week16"/>
    <d v="2023-04-01T00:00:00"/>
    <s v="DRY2300131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1951.125"/>
    <m/>
    <n v="1951.125"/>
    <n v="0"/>
    <n v="0"/>
    <m/>
    <m/>
    <m/>
  </r>
  <r>
    <x v="473"/>
    <d v="2023-04-18T00:00:00"/>
    <s v="Week16"/>
    <d v="2023-04-01T00:00:00"/>
    <s v="DRY2300086"/>
    <s v="Denmark"/>
    <s v="CPF DENMARK"/>
    <s v="C-Wonton ND"/>
    <s v="Wonton ND+V"/>
    <x v="8"/>
    <s v="Cooked Wonton ND No Egg with Pumpkin _x000a_+ Vegetable  HC  3 pcs tomyam"/>
    <s v="082SJKW08003P00001"/>
    <s v="309g*8"/>
    <n v="8"/>
    <n v="3"/>
    <n v="7.4999999999999997E-3"/>
    <s v="M"/>
    <s v="Salt"/>
    <s v="TYANS+CM"/>
    <n v="243"/>
    <n v="243"/>
    <m/>
    <n v="0"/>
    <n v="0"/>
    <m/>
    <m/>
    <m/>
  </r>
  <r>
    <x v="473"/>
    <d v="2023-05-16T00:00:00"/>
    <s v="Week16"/>
    <d v="2023-04-01T00:00:00"/>
    <s v="DRY2300087"/>
    <s v="Denmark"/>
    <s v="CPF DENMARK"/>
    <s v="C-Wonton ND"/>
    <s v="Wonton ND+V"/>
    <x v="8"/>
    <s v="Cooked Wonton ND No Egg with Pumpkin _x000a_+ Vegetable  HC  3 pcs tomyam"/>
    <s v="082SJKW08003P00001"/>
    <s v="309g*8"/>
    <n v="8"/>
    <n v="3"/>
    <n v="7.4999999999999997E-3"/>
    <s v="M"/>
    <s v="Salt"/>
    <s v="TYANS+CM"/>
    <n v="3500"/>
    <m/>
    <n v="3732.5"/>
    <n v="232.5"/>
    <n v="0"/>
    <m/>
    <m/>
    <m/>
  </r>
  <r>
    <x v="474"/>
    <d v="2023-04-27T00:00:00"/>
    <s v="Week16"/>
    <d v="2023-04-01T00:00:00"/>
    <s v="DRY2300131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148.875"/>
    <m/>
    <n v="148.875"/>
    <n v="0"/>
    <n v="0"/>
    <m/>
    <m/>
    <m/>
  </r>
  <r>
    <x v="474"/>
    <d v="2023-04-27T00:00:00"/>
    <s v="Week16"/>
    <d v="2023-04-01T00:00:00"/>
    <s v="DRY2300132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2100"/>
    <m/>
    <n v="2100"/>
    <n v="0"/>
    <n v="0"/>
    <m/>
    <m/>
    <m/>
  </r>
  <r>
    <x v="474"/>
    <d v="2023-05-05T00:00:00"/>
    <s v="Week16"/>
    <d v="2023-04-01T00:00:00"/>
    <s v="DRY2300133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3500"/>
    <m/>
    <n v="3500"/>
    <n v="0"/>
    <n v="0"/>
    <m/>
    <m/>
    <m/>
  </r>
  <r>
    <x v="474"/>
    <d v="2023-05-12T00:00:00"/>
    <s v="Week16"/>
    <d v="2023-04-01T00:00:00"/>
    <s v="DRY2300134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2100"/>
    <m/>
    <n v="2100"/>
    <n v="0"/>
    <n v="0"/>
    <m/>
    <m/>
    <m/>
  </r>
  <r>
    <x v="474"/>
    <d v="2023-04-24T00:00:00"/>
    <s v="Week16"/>
    <d v="2023-04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2105"/>
    <n v="2105"/>
    <m/>
    <n v="0"/>
    <n v="0"/>
    <m/>
    <m/>
    <m/>
  </r>
  <r>
    <x v="475"/>
    <d v="2023-05-01T00:00:00"/>
    <s v="Week16"/>
    <d v="2023-04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5612"/>
    <n v="5612"/>
    <m/>
    <n v="0"/>
    <n v="0"/>
    <m/>
    <m/>
    <m/>
  </r>
  <r>
    <x v="476"/>
    <d v="2023-05-01T00:00:00"/>
    <s v="Week16"/>
    <d v="2023-04-01T00:00:00"/>
    <s v="ขายภายใน"/>
    <s v="MTFS"/>
    <s v="ซีพีเอฟ เทรดดิ้ง"/>
    <s v="C-Wonton"/>
    <s v="C-Wonton"/>
    <x v="12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m/>
    <m/>
    <m/>
  </r>
  <r>
    <x v="476"/>
    <d v="2023-04-24T00:00:00"/>
    <s v="Week16"/>
    <d v="2023-04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818"/>
    <n v="818"/>
    <m/>
    <n v="0"/>
    <n v="0"/>
    <m/>
    <m/>
    <m/>
  </r>
  <r>
    <x v="476"/>
    <d v="2023-05-01T00:00:00"/>
    <s v="Week16"/>
    <d v="2023-04-01T00:00:00"/>
    <s v="ขายภายใน"/>
    <s v="MTFS"/>
    <s v="ซีพีเอฟ เทรดดิ้ง"/>
    <s v="C-Wonton"/>
    <s v="C-Wonton"/>
    <x v="22"/>
    <s v="Minced Noodle with egg V-Food (3 pcs)"/>
    <s v="082SR3Q12003P00001"/>
    <s v="191g*12"/>
    <n v="12"/>
    <n v="3"/>
    <n v="6.0000000000000001E-3"/>
    <s v="BK"/>
    <s v="STPP"/>
    <s v="Regular"/>
    <n v="100"/>
    <n v="100"/>
    <m/>
    <n v="0"/>
    <n v="0"/>
    <m/>
    <m/>
    <m/>
  </r>
  <r>
    <x v="476"/>
    <d v="2023-04-24T00:00:00"/>
    <s v="Week16"/>
    <d v="2023-04-01T00:00:00"/>
    <s v="ขายภายใน"/>
    <s v="MTFS"/>
    <s v="ซีพีเอฟ เทรดดิ้ง"/>
    <s v="C-Wonton"/>
    <s v="C-Wonton"/>
    <x v="11"/>
    <s v="Cooked Wonton ND with egg V-Food"/>
    <s v="082SJ3Q12003P07001"/>
    <s v="226g*12"/>
    <n v="12"/>
    <n v="3"/>
    <n v="8.0000000000000002E-3"/>
    <s v="M"/>
    <s v="STPP"/>
    <s v="Regular"/>
    <n v="300"/>
    <n v="300"/>
    <m/>
    <n v="0"/>
    <n v="0"/>
    <m/>
    <m/>
    <m/>
  </r>
  <r>
    <x v="476"/>
    <d v="2023-05-01T00:00:00"/>
    <s v="Week16"/>
    <d v="2023-04-01T00:00:00"/>
    <s v="ขายภายใน"/>
    <s v="MTFS"/>
    <s v="ซีพีเอฟ เทรดดิ้ง"/>
    <s v="C-Wonton"/>
    <s v="C-Wonton"/>
    <x v="11"/>
    <s v="Cooked Wonton ND with egg V-Food"/>
    <s v="082SJ3Q12003P07001"/>
    <s v="226g*12"/>
    <n v="12"/>
    <n v="3"/>
    <n v="8.0000000000000002E-3"/>
    <s v="M"/>
    <s v="STPP"/>
    <s v="Regular"/>
    <n v="1011"/>
    <n v="1011"/>
    <m/>
    <n v="0"/>
    <n v="0"/>
    <m/>
    <m/>
    <m/>
  </r>
  <r>
    <x v="476"/>
    <d v="2023-04-24T00:00:00"/>
    <s v="Week16"/>
    <d v="2023-04-01T00:00:00"/>
    <s v="ขายภายใน"/>
    <s v="MTFS"/>
    <s v="ซีพีเอฟ เทรดดิ้ง"/>
    <s v="C-Wonton"/>
    <s v="C-Wonton"/>
    <x v="21"/>
    <s v="Cooked Wonton ND with egg "/>
    <s v="082SJ3Q12003P08001"/>
    <s v="211g*12"/>
    <n v="12"/>
    <n v="3"/>
    <n v="6.1999999999999998E-3"/>
    <s v="SS"/>
    <s v="STPP"/>
    <s v="TYNSF"/>
    <n v="200"/>
    <n v="200"/>
    <m/>
    <n v="0"/>
    <n v="0"/>
    <m/>
    <m/>
    <m/>
  </r>
  <r>
    <x v="476"/>
    <d v="2023-04-24T00:00:00"/>
    <s v="Week16"/>
    <d v="2023-04-01T00:00:00"/>
    <s v="ขายภายใน"/>
    <s v=".7-11"/>
    <s v="ซีพีเอฟ เทรดดิ้ง"/>
    <s v="C-Wonton"/>
    <s v="C-Wonton"/>
    <x v="21"/>
    <s v="Cooked Wonton ND with egg 7-11"/>
    <s v="082SJ1A12003P01001 "/>
    <s v="211g*12"/>
    <n v="12"/>
    <n v="3"/>
    <n v="6.1999999999999998E-3"/>
    <s v="SS"/>
    <s v="STPP"/>
    <s v="TYNSF"/>
    <n v="4400"/>
    <n v="4400"/>
    <m/>
    <n v="0"/>
    <n v="0"/>
    <m/>
    <m/>
    <m/>
  </r>
  <r>
    <x v="476"/>
    <d v="2023-05-01T00:00:00"/>
    <s v="Week16"/>
    <d v="2023-04-01T00:00:00"/>
    <s v="ขายภายใน"/>
    <s v=".7-11"/>
    <s v="ซีพีเอฟ เทรดดิ้ง"/>
    <s v="C-Wonton"/>
    <s v="C-Wonton"/>
    <x v="21"/>
    <s v="Cooked Wonton ND with egg 7-11"/>
    <s v="082SJ1A12003P01001 "/>
    <s v="211g*12"/>
    <n v="12"/>
    <n v="3"/>
    <n v="6.1999999999999998E-3"/>
    <s v="SS"/>
    <s v="STPP"/>
    <s v="TYNSF"/>
    <n v="2165"/>
    <n v="2165"/>
    <m/>
    <n v="0"/>
    <n v="0"/>
    <m/>
    <m/>
    <m/>
  </r>
  <r>
    <x v="477"/>
    <d v="2023-05-24T00:00:00"/>
    <s v="Week16"/>
    <d v="2023-04-01T00:00:00"/>
    <s v="DRY2300125"/>
    <s v="CAN "/>
    <s v="Bellisio Foods Canada"/>
    <s v="C-Wonton"/>
    <s v="C-Wonton ND"/>
    <x v="3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583.9166666666665"/>
    <n v="-16.083333333333485"/>
    <n v="193"/>
    <m/>
    <m/>
    <m/>
  </r>
  <r>
    <x v="477"/>
    <d v="2023-05-18T00:00:00"/>
    <s v="Week16"/>
    <d v="2023-04-01T00:00:00"/>
    <s v="DRY2300135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3468"/>
    <m/>
    <n v="3468"/>
    <n v="0"/>
    <n v="0"/>
    <m/>
    <m/>
    <m/>
  </r>
  <r>
    <x v="477"/>
    <d v="2023-05-17T00:00:00"/>
    <s v="Week16"/>
    <d v="2023-04-01T00:00:00"/>
    <s v="DRY2300107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88"/>
    <n v="3.8888888888888888"/>
    <n v="-0.11111111111108585"/>
    <n v="4"/>
    <m/>
    <m/>
    <m/>
  </r>
  <r>
    <x v="477"/>
    <d v="2023-05-24T00:00:00"/>
    <s v="Week16"/>
    <d v="2023-04-01T00:00:00"/>
    <s v="DRY2300108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478"/>
    <d v="2023-05-16T00:00:00"/>
    <s v="Week17"/>
    <d v="2023-04-01T00:00:00"/>
    <s v="DRY2300114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479"/>
    <d v="2023-05-23T00:00:00"/>
    <s v="Week17"/>
    <d v="2023-04-01T00:00:00"/>
    <s v="DRY2300115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185"/>
    <n v="103"/>
    <n v="0"/>
    <n v="0"/>
    <m/>
    <m/>
    <m/>
  </r>
  <r>
    <x v="479"/>
    <d v="2023-05-30T00:00:00"/>
    <s v="Week17"/>
    <d v="2023-04-01T00:00:00"/>
    <s v="DRY2300116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737"/>
    <n v="737"/>
    <m/>
    <n v="0"/>
    <n v="0"/>
    <m/>
    <m/>
    <m/>
  </r>
  <r>
    <x v="480"/>
    <d v="2023-05-30T00:00:00"/>
    <s v="Week17"/>
    <d v="2023-04-01T00:00:00"/>
    <s v="DRY2300116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551"/>
    <n v="551"/>
    <m/>
    <n v="0"/>
    <n v="0"/>
    <m/>
    <m/>
    <m/>
  </r>
  <r>
    <x v="480"/>
    <d v="2023-06-06T00:00:00"/>
    <s v="Week17"/>
    <d v="2023-04-01T00:00:00"/>
    <s v="DRY2300117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480"/>
    <d v="2023-05-25T00:00:00"/>
    <s v="Week17"/>
    <d v="2023-04-01T00:00:00"/>
    <s v="DRY2300146"/>
    <s v="USA"/>
    <s v="Bellisio Foods, Inc."/>
    <s v="C-Wonton"/>
    <s v="C-Wonton ND"/>
    <x v="7"/>
    <s v="Cooked Minced Wonton No Egg"/>
    <s v="082SKBW08005P00001"/>
    <s v="145g*8"/>
    <n v="8"/>
    <n v="5"/>
    <n v="6.0000000000000001E-3"/>
    <s v="BK"/>
    <s v="Salt"/>
    <s v="Regular"/>
    <n v="800"/>
    <m/>
    <n v="800"/>
    <n v="0"/>
    <n v="0"/>
    <m/>
    <m/>
    <m/>
  </r>
  <r>
    <x v="480"/>
    <d v="2023-06-02T00:00:00"/>
    <s v="Week17"/>
    <d v="2023-04-01T00:00:00"/>
    <s v="DRY2300148"/>
    <s v="USA"/>
    <s v="Bellisio Foods, Inc."/>
    <s v="C-Wonton"/>
    <s v="C-Wonton ND"/>
    <x v="7"/>
    <s v="Cooked Minced Wonton No Egg"/>
    <s v="082SKBW08005P00001"/>
    <s v="145g*8"/>
    <n v="8"/>
    <n v="5"/>
    <n v="6.0000000000000001E-3"/>
    <s v="BK"/>
    <s v="Salt"/>
    <s v="Regular"/>
    <n v="900"/>
    <m/>
    <n v="900"/>
    <n v="0"/>
    <n v="0"/>
    <m/>
    <m/>
    <m/>
  </r>
  <r>
    <x v="480"/>
    <d v="2023-06-08T00:00:00"/>
    <s v="Week17"/>
    <d v="2023-04-01T00:00:00"/>
    <s v="DRY2300149"/>
    <s v="USA"/>
    <s v="Bellisio Foods, Inc."/>
    <s v="C-Wonton"/>
    <s v="C-Wonton ND"/>
    <x v="7"/>
    <s v="Cooked Minced Wonton No Egg"/>
    <s v="082SKBW08005P00001"/>
    <s v="145g*8"/>
    <n v="8"/>
    <n v="5"/>
    <n v="6.0000000000000001E-3"/>
    <s v="BK"/>
    <s v="Salt"/>
    <s v="Regular"/>
    <n v="400"/>
    <m/>
    <n v="400"/>
    <n v="0"/>
    <n v="0"/>
    <m/>
    <m/>
    <m/>
  </r>
  <r>
    <x v="480"/>
    <d v="2023-05-16T00:00:00"/>
    <s v="Week17"/>
    <d v="2023-04-01T00:00:00"/>
    <s v="DRY2300121"/>
    <s v="Germany"/>
    <s v=" CPF Distribution (under Paulsen Food)"/>
    <s v="C-Wonton"/>
    <s v="C-Wonton ND"/>
    <x v="17"/>
    <s v="Cooked Minced  ND No Egg with Pumpkin_x000a_+ Yu Choy Tomyum"/>
    <s v="082SR3N12003P00001"/>
    <s v="302g*12"/>
    <n v="12"/>
    <n v="3"/>
    <n v="6.0000000000000001E-3"/>
    <s v="BK"/>
    <s v="Salt"/>
    <s v="TYEX+CO"/>
    <n v="2520"/>
    <n v="2505"/>
    <n v="14.583333333333334"/>
    <n v="-0.41666666666651508"/>
    <n v="5"/>
    <m/>
    <m/>
    <m/>
  </r>
  <r>
    <x v="481"/>
    <d v="2023-05-01T00:00:00"/>
    <s v="Week17"/>
    <d v="2023-04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4756"/>
    <n v="4756"/>
    <m/>
    <n v="0"/>
    <n v="0"/>
    <m/>
    <m/>
    <m/>
  </r>
  <r>
    <x v="481"/>
    <d v="2023-05-01T00:00:00"/>
    <s v="Week17"/>
    <d v="2023-04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791"/>
    <n v="791"/>
    <m/>
    <n v="0"/>
    <n v="0"/>
    <m/>
    <m/>
    <m/>
  </r>
  <r>
    <x v="482"/>
    <m/>
    <s v="Week17"/>
    <d v="2023-04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300"/>
    <n v="300"/>
    <m/>
    <n v="0"/>
    <n v="0"/>
    <m/>
    <n v="1"/>
    <n v="0"/>
  </r>
  <r>
    <x v="482"/>
    <d v="2023-05-01T00:00:00"/>
    <s v="Week17"/>
    <d v="2023-04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3889"/>
    <n v="3889"/>
    <m/>
    <n v="0"/>
    <n v="0"/>
    <m/>
    <m/>
    <m/>
  </r>
  <r>
    <x v="482"/>
    <d v="2023-05-01T00:00:00"/>
    <s v="Week17"/>
    <d v="2023-04-01T00:00:00"/>
    <s v="ขายภายใน"/>
    <s v=".7-11"/>
    <s v="ซีพีเอฟ เทรดดิ้ง"/>
    <s v="C-Wonton"/>
    <s v="C-Wonton"/>
    <x v="21"/>
    <s v="Cooked Wonton ND with egg 7-11"/>
    <s v="082SJ1A12003P01001 "/>
    <s v="211g*12"/>
    <n v="12"/>
    <n v="3"/>
    <n v="6.1999999999999998E-3"/>
    <s v="SS"/>
    <s v="STPP"/>
    <s v="TYNSF"/>
    <n v="2235"/>
    <n v="2235"/>
    <m/>
    <n v="0"/>
    <n v="0"/>
    <m/>
    <m/>
    <m/>
  </r>
  <r>
    <x v="483"/>
    <d v="2023-05-01T00:00:00"/>
    <s v="Week17"/>
    <d v="2023-04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3209"/>
    <n v="3209"/>
    <m/>
    <n v="0"/>
    <n v="0"/>
    <m/>
    <m/>
    <m/>
  </r>
  <r>
    <x v="483"/>
    <d v="2023-05-09T00:00:00"/>
    <s v="Week17"/>
    <d v="2023-04-01T00:00:00"/>
    <s v="DRY2300120"/>
    <s v="Germany"/>
    <s v=" CPF Distribution (under Paulsen Food)"/>
    <s v="C-Wonton"/>
    <s v="C-Wonton ND"/>
    <x v="5"/>
    <s v="Cooked Wonton ND No Egg with Pumpkin _x000a_+ Vegetable  HC  3 pcs"/>
    <s v="082SJ3N12003P01001"/>
    <s v="309g*12"/>
    <n v="12"/>
    <n v="3"/>
    <n v="7.4999999999999997E-3"/>
    <s v="HC"/>
    <s v="Salt"/>
    <s v="Regular"/>
    <n v="2520"/>
    <n v="2482"/>
    <n v="38.166666666666664"/>
    <n v="0.16666666666651508"/>
    <n v="0"/>
    <m/>
    <m/>
    <m/>
  </r>
  <r>
    <x v="484"/>
    <d v="2023-05-11T00:00:00"/>
    <s v="Week17"/>
    <d v="2023-04-01T00:00:00"/>
    <s v="KL2300010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408"/>
    <n v="1346"/>
    <n v="62"/>
    <n v="0"/>
    <n v="0"/>
    <n v="0"/>
    <n v="6"/>
    <n v="0"/>
  </r>
  <r>
    <x v="485"/>
    <m/>
    <s v="Week18"/>
    <d v="2023-04-01T00:00:00"/>
    <m/>
    <m/>
    <m/>
    <m/>
    <m/>
    <x v="0"/>
    <m/>
    <m/>
    <m/>
    <m/>
    <m/>
    <m/>
    <m/>
    <m/>
    <m/>
    <m/>
    <m/>
    <m/>
    <m/>
    <m/>
    <m/>
    <m/>
    <m/>
  </r>
  <r>
    <x v="486"/>
    <m/>
    <s v="Week18"/>
    <d v="2023-05-01T00:00:00"/>
    <m/>
    <m/>
    <m/>
    <m/>
    <m/>
    <x v="0"/>
    <m/>
    <m/>
    <m/>
    <m/>
    <m/>
    <m/>
    <m/>
    <m/>
    <m/>
    <m/>
    <m/>
    <m/>
    <m/>
    <m/>
    <m/>
    <m/>
    <m/>
  </r>
  <r>
    <x v="487"/>
    <d v="2023-05-05T00:00:00"/>
    <s v="Week18"/>
    <d v="2023-05-01T00:00:00"/>
    <s v="DRY2300083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28"/>
    <n v="60"/>
    <n v="0"/>
    <n v="0"/>
    <m/>
    <m/>
    <m/>
  </r>
  <r>
    <x v="487"/>
    <d v="2023-05-05T00:00:00"/>
    <s v="Week18"/>
    <d v="2023-05-01T00:00:00"/>
    <s v="DRY2300101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487"/>
    <d v="2023-05-12T00:00:00"/>
    <s v="Week18"/>
    <d v="2023-05-01T00:00:00"/>
    <s v="DRY2300102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878"/>
    <n v="878"/>
    <m/>
    <n v="0"/>
    <n v="0"/>
    <m/>
    <m/>
    <m/>
  </r>
  <r>
    <x v="488"/>
    <d v="2023-05-12T00:00:00"/>
    <s v="Week18"/>
    <d v="2023-05-01T00:00:00"/>
    <s v="DRY2300102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410"/>
    <n v="410"/>
    <m/>
    <n v="0"/>
    <n v="0"/>
    <m/>
    <m/>
    <m/>
  </r>
  <r>
    <x v="488"/>
    <d v="2023-05-25T00:00:00"/>
    <s v="Week18"/>
    <d v="2023-05-01T00:00:00"/>
    <s v="DRY2300103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488"/>
    <d v="2023-06-01T00:00:00"/>
    <s v="Week18"/>
    <d v="2023-05-01T00:00:00"/>
    <s v="DRY2300126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488"/>
    <d v="2023-06-01T00:00:00"/>
    <s v="Week18"/>
    <d v="2023-05-01T00:00:00"/>
    <s v="DRY2300127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487"/>
    <n v="487"/>
    <m/>
    <n v="0"/>
    <n v="0"/>
    <m/>
    <m/>
    <m/>
  </r>
  <r>
    <x v="489"/>
    <d v="2023-06-01T00:00:00"/>
    <s v="Week18"/>
    <d v="2023-05-01T00:00:00"/>
    <s v="DRY2300127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801"/>
    <n v="801"/>
    <m/>
    <n v="0"/>
    <n v="0"/>
    <m/>
    <m/>
    <m/>
  </r>
  <r>
    <x v="489"/>
    <d v="2023-06-08T00:00:00"/>
    <s v="Week18"/>
    <d v="2023-05-01T00:00:00"/>
    <s v="DRY2300128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35"/>
    <n v="53"/>
    <n v="0"/>
    <n v="0"/>
    <m/>
    <m/>
    <m/>
  </r>
  <r>
    <x v="489"/>
    <d v="2023-05-25T00:00:00"/>
    <s v="Week18"/>
    <d v="2023-05-01T00:00:00"/>
    <s v="DRY2300157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320"/>
    <n v="281"/>
    <n v="39"/>
    <n v="0"/>
    <n v="0"/>
    <m/>
    <m/>
    <m/>
  </r>
  <r>
    <x v="489"/>
    <d v="2023-06-01T00:00:00"/>
    <s v="Week18"/>
    <d v="2023-05-01T00:00:00"/>
    <s v="DRY2300158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490"/>
    <d v="2023-05-12T00:00:00"/>
    <s v="Week18"/>
    <d v="2023-05-01T00:00:00"/>
    <s v="KL2300008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408"/>
    <n v="1391"/>
    <n v="17"/>
    <n v="0"/>
    <n v="0"/>
    <n v="0"/>
    <n v="6"/>
    <n v="0"/>
  </r>
  <r>
    <x v="491"/>
    <d v="2023-05-17T00:00:00"/>
    <s v="Week18"/>
    <d v="2023-05-01T00:00:00"/>
    <s v="KL2300015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</r>
  <r>
    <x v="492"/>
    <m/>
    <s v="Week19"/>
    <d v="2023-05-01T00:00:00"/>
    <m/>
    <m/>
    <m/>
    <m/>
    <m/>
    <x v="0"/>
    <m/>
    <m/>
    <m/>
    <m/>
    <m/>
    <m/>
    <m/>
    <m/>
    <m/>
    <m/>
    <m/>
    <m/>
    <m/>
    <m/>
    <m/>
    <m/>
    <m/>
  </r>
  <r>
    <x v="493"/>
    <d v="2023-05-20T00:00:00"/>
    <s v="Week19"/>
    <d v="2023-05-01T00:00:00"/>
    <s v="KL2300014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</r>
  <r>
    <x v="494"/>
    <d v="2023-05-20T00:00:00"/>
    <s v="Week19"/>
    <d v="2023-05-01T00:00:00"/>
    <s v="KL2300013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</r>
  <r>
    <x v="495"/>
    <d v="2023-05-24T00:00:00"/>
    <s v="Week19"/>
    <d v="2023-05-01T00:00:00"/>
    <s v="DRY2300123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1160"/>
    <n v="1130"/>
    <n v="30"/>
    <n v="0"/>
    <n v="0"/>
    <n v="0"/>
    <n v="2"/>
    <n v="0"/>
  </r>
  <r>
    <x v="496"/>
    <d v="2023-05-24T00:00:00"/>
    <s v="Week19"/>
    <d v="2023-05-01T00:00:00"/>
    <s v="DRY2300123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464"/>
    <m/>
    <m/>
    <n v="-464"/>
    <n v="18560"/>
    <n v="222720"/>
    <n v="2"/>
    <n v="37120"/>
  </r>
  <r>
    <x v="496"/>
    <d v="2023-05-16T00:00:00"/>
    <s v="Week19"/>
    <d v="2023-05-01T00:00:00"/>
    <s v="ขายภายใน"/>
    <s v="MTFS"/>
    <s v="ซีพีเอฟ เทรดดิ้ง"/>
    <s v="R-Wonton"/>
    <s v="R-Wonton"/>
    <x v="29"/>
    <s v="เกี๊ยวกุ้งดับเบิ้ลชีสพร้อมปรุง 96 กรัม x12แพค"/>
    <s v="082ID3Q12008P00001"/>
    <s v="96g*12in"/>
    <n v="12"/>
    <n v="8"/>
    <n v="6.0000000000000001E-3"/>
    <s v="BK"/>
    <s v="STPP"/>
    <m/>
    <n v="1445"/>
    <n v="1445"/>
    <m/>
    <n v="0"/>
    <n v="0"/>
    <n v="0"/>
    <m/>
    <n v="0"/>
  </r>
  <r>
    <x v="496"/>
    <d v="2023-05-26T00:00:00"/>
    <s v="Week19"/>
    <d v="2023-05-01T00:00:00"/>
    <s v="ขายภายใน"/>
    <s v="MTFS"/>
    <s v="ซีพีเอฟ เทรดดิ้ง"/>
    <s v="R-Wonton"/>
    <s v="R-Wonton"/>
    <x v="29"/>
    <s v="เกี๊ยวกุ้งดับเบิ้ลชีสพร้อมปรุง 96 กรัม x12แพค"/>
    <s v="082ID3Q12008P00001"/>
    <s v="96g*12in"/>
    <n v="12"/>
    <n v="8"/>
    <n v="6.0000000000000001E-3"/>
    <s v="BK"/>
    <s v="STPP"/>
    <m/>
    <n v="20"/>
    <n v="20"/>
    <m/>
    <n v="0"/>
    <n v="0"/>
    <n v="0"/>
    <m/>
    <n v="0"/>
  </r>
  <r>
    <x v="496"/>
    <d v="2023-05-16T00:00:00"/>
    <s v="Week19"/>
    <d v="2023-05-01T00:00:00"/>
    <s v="ขายภายใน"/>
    <s v="MTFS"/>
    <s v="ซีพีเอฟ เทรดดิ้ง"/>
    <s v="R-Wonton"/>
    <s v="R-Wonton"/>
    <x v="29"/>
    <s v="เกี๊ยวกุ้งดับเบิ้ลชีสพร้อมปรุงCP 12x240g"/>
    <s v="082ID3Q12020P00001"/>
    <s v="240g*12in"/>
    <n v="12"/>
    <n v="20"/>
    <n v="6.0000000000000001E-3"/>
    <s v="BK"/>
    <s v="STPP"/>
    <m/>
    <n v="125"/>
    <n v="125"/>
    <m/>
    <n v="0"/>
    <n v="0"/>
    <n v="0"/>
    <m/>
    <n v="0"/>
  </r>
  <r>
    <x v="497"/>
    <d v="2023-05-16T00:00:00"/>
    <s v="Week19"/>
    <d v="2023-05-01T00:00:00"/>
    <s v="ขายภายใน"/>
    <s v="MTFS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750"/>
    <n v="720"/>
    <m/>
    <n v="-30"/>
    <n v="360"/>
    <n v="7200"/>
    <m/>
    <n v="0"/>
  </r>
  <r>
    <x v="497"/>
    <d v="2023-05-23T00:00:00"/>
    <s v="Week19"/>
    <d v="2023-05-01T00:00:00"/>
    <s v="DRY2300043"/>
    <s v="France"/>
    <s v="Wan Xing Socogest"/>
    <s v="R-Wonton"/>
    <s v="R-Wonton no egg"/>
    <x v="10"/>
    <s v="Raw Wonton 50 pcs  AA Brand"/>
    <s v="082I9W310050P01001"/>
    <s v="630g*10inner"/>
    <n v="10"/>
    <n v="50"/>
    <n v="8.1300000000000001E-3"/>
    <s v="M"/>
    <s v="Salt"/>
    <s v="ซุปซอง 5g."/>
    <n v="945"/>
    <n v="945"/>
    <n v="9"/>
    <n v="9"/>
    <n v="0"/>
    <n v="0"/>
    <n v="6"/>
    <n v="0"/>
  </r>
  <r>
    <x v="498"/>
    <d v="2023-05-27T00:00:00"/>
    <s v="Week19"/>
    <d v="2023-05-01T00:00:00"/>
    <s v="KL2300016"/>
    <s v="China"/>
    <s v="WAL-MART (CHINA) INVESTMENT CO.,LTD. 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408"/>
    <n v="1396"/>
    <n v="12"/>
    <n v="0"/>
    <n v="0"/>
    <n v="0"/>
    <n v="6"/>
    <n v="0"/>
  </r>
  <r>
    <x v="499"/>
    <m/>
    <s v="Week20"/>
    <d v="2023-05-01T00:00:00"/>
    <m/>
    <m/>
    <m/>
    <m/>
    <m/>
    <x v="0"/>
    <m/>
    <m/>
    <m/>
    <m/>
    <m/>
    <m/>
    <m/>
    <m/>
    <m/>
    <m/>
    <m/>
    <m/>
    <m/>
    <m/>
    <m/>
    <m/>
    <m/>
  </r>
  <r>
    <x v="500"/>
    <d v="2023-06-20T00:00:00"/>
    <s v="Week20"/>
    <d v="2023-05-01T00:00:00"/>
    <s v="DRY2300118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40"/>
    <n v="48"/>
    <n v="0"/>
    <n v="0"/>
    <m/>
    <m/>
    <m/>
  </r>
  <r>
    <x v="500"/>
    <d v="2023-05-29T00:00:00"/>
    <s v="Week20"/>
    <d v="2023-05-01T00:00:00"/>
    <s v="DRY2300140"/>
    <s v="HK"/>
    <s v="CPM HONGKONG"/>
    <s v="C-Wonton"/>
    <s v="C-Wonton"/>
    <x v="2"/>
    <s v="Cooked Wonton No Egg  TY"/>
    <s v="082S83G12005P03001"/>
    <s v="115g*12"/>
    <n v="12"/>
    <n v="5"/>
    <n v="8.0000000000000002E-3"/>
    <s v="M"/>
    <s v="STPP"/>
    <s v="TYTB3C 30G"/>
    <n v="200"/>
    <n v="160"/>
    <n v="39.916666666666664"/>
    <n v="-8.3333333333342807E-2"/>
    <n v="1"/>
    <m/>
    <n v="1"/>
    <n v="1"/>
  </r>
  <r>
    <x v="500"/>
    <d v="2023-05-29T00:00:00"/>
    <s v="Week20"/>
    <d v="2023-05-01T00:00:00"/>
    <s v="DRY2300140"/>
    <s v="HK"/>
    <s v="CPM HONGKONG"/>
    <s v="C-Wonton"/>
    <s v="C-Wonton ND"/>
    <x v="7"/>
    <s v="Cooked Minced Wonton No Egg  4 pcs"/>
    <s v="082SK3G12004P00001"/>
    <s v="113g*12"/>
    <n v="12"/>
    <n v="4"/>
    <n v="6.0000000000000001E-3"/>
    <s v="BK"/>
    <s v="Salt"/>
    <s v="Regular"/>
    <n v="200"/>
    <n v="188"/>
    <n v="12"/>
    <n v="0"/>
    <n v="0"/>
    <m/>
    <m/>
    <m/>
  </r>
  <r>
    <x v="500"/>
    <d v="2023-05-25T00:00:00"/>
    <s v="Week20"/>
    <d v="2023-05-01T00:00:00"/>
    <s v="DRY2300145"/>
    <s v="USA"/>
    <s v="Bellisio Foods, Inc."/>
    <s v="C-Wonton"/>
    <s v="C-Wonton"/>
    <x v="7"/>
    <s v="Cooked Minced Wonton Soup No Egg"/>
    <s v="082SKBW36005P00001"/>
    <s v="145g*6c*6"/>
    <n v="36"/>
    <n v="5"/>
    <n v="6.0000000000000001E-3"/>
    <s v="BK"/>
    <s v="Salt"/>
    <s v="Regular"/>
    <n v="300"/>
    <n v="294"/>
    <n v="5.9444444444444446"/>
    <n v="-5.5555555555542924E-2"/>
    <n v="2"/>
    <m/>
    <m/>
    <m/>
  </r>
  <r>
    <x v="500"/>
    <d v="2023-05-30T00:00:00"/>
    <s v="Week20"/>
    <d v="2023-05-01T00:00:00"/>
    <s v="DRY2300147"/>
    <s v="USA"/>
    <s v="Bellisio Foods, Inc."/>
    <s v="C-Wonton"/>
    <s v="C-Wonton"/>
    <x v="7"/>
    <s v="Cooked Minced Wonton Soup No Egg"/>
    <s v="082SKBW36005P00001"/>
    <s v="145g*6c*6"/>
    <n v="36"/>
    <n v="5"/>
    <n v="6.0000000000000001E-3"/>
    <s v="BK"/>
    <s v="Salt"/>
    <s v="Regular"/>
    <n v="500"/>
    <n v="500"/>
    <n v="34.222222222222221"/>
    <n v="34.222222222222172"/>
    <n v="0"/>
    <m/>
    <m/>
    <m/>
  </r>
  <r>
    <x v="500"/>
    <d v="2023-06-29T00:00:00"/>
    <s v="Week20"/>
    <d v="2023-05-01T00:00:00"/>
    <s v="DRY2300188"/>
    <s v="USA"/>
    <s v="Bellisio Foods, Inc."/>
    <s v="C-Wonton"/>
    <s v="C-Wonton ND"/>
    <x v="7"/>
    <s v="Cooked Minced Wonton No Egg"/>
    <s v="082SKBW08005P00001"/>
    <s v="145g*8"/>
    <n v="8"/>
    <n v="5"/>
    <n v="6.0000000000000001E-3"/>
    <s v="BK"/>
    <s v="Salt"/>
    <s v="Regular"/>
    <n v="1900"/>
    <m/>
    <n v="1900"/>
    <n v="0"/>
    <n v="0"/>
    <m/>
    <m/>
    <m/>
  </r>
  <r>
    <x v="500"/>
    <d v="2023-05-25T00:00:00"/>
    <s v="Week20"/>
    <d v="2023-05-01T00:00:00"/>
    <s v="DRY2300146"/>
    <s v="USA"/>
    <s v="Bellisio Foods, Inc."/>
    <s v="C-Wonton"/>
    <s v="C-Wonton ND"/>
    <x v="26"/>
    <s v="Cooked Wonton ND No Egg with Pumpkin_x000a_+ Yu Choy Low sodium"/>
    <s v="082SRBW24005P01001"/>
    <s v="308g*4c*6in"/>
    <n v="24"/>
    <n v="5"/>
    <n v="6.0000000000000001E-3"/>
    <s v="BK"/>
    <s v="Salt"/>
    <s v="Y3"/>
    <n v="200"/>
    <n v="184"/>
    <n v="16.25"/>
    <n v="0.25"/>
    <n v="0"/>
    <m/>
    <m/>
    <m/>
  </r>
  <r>
    <x v="500"/>
    <d v="2023-06-02T00:00:00"/>
    <s v="Week20"/>
    <d v="2023-05-01T00:00:00"/>
    <s v="DRY2300148"/>
    <s v="USA"/>
    <s v="Bellisio Foods, Inc."/>
    <s v="C-Wonton"/>
    <s v="C-Wonton ND"/>
    <x v="26"/>
    <s v="Cooked Wonton ND No Egg with Pumpkin_x000a_+ Yu Choy Low sodium"/>
    <s v="082SRBW24005P01001"/>
    <s v="308g*4c*6in"/>
    <n v="24"/>
    <n v="5"/>
    <n v="6.0000000000000001E-3"/>
    <s v="BK"/>
    <s v="Salt"/>
    <s v="Y3"/>
    <n v="200"/>
    <n v="200"/>
    <m/>
    <n v="0"/>
    <n v="0"/>
    <m/>
    <m/>
    <m/>
  </r>
  <r>
    <x v="500"/>
    <d v="2023-06-08T00:00:00"/>
    <s v="Week20"/>
    <d v="2023-05-01T00:00:00"/>
    <s v="DRY2300149"/>
    <s v="USA"/>
    <s v="Bellisio Foods, Inc."/>
    <s v="C-Wonton"/>
    <s v="C-Wonton ND"/>
    <x v="26"/>
    <s v="Cooked Wonton ND No Egg with Pumpkin_x000a_+ Yu Choy Low sodium"/>
    <s v="082SRBW24005P01001"/>
    <s v="308g*4c*6in"/>
    <n v="24"/>
    <n v="5"/>
    <n v="6.0000000000000001E-3"/>
    <s v="BK"/>
    <s v="Salt"/>
    <s v="Y3"/>
    <n v="250"/>
    <n v="250"/>
    <n v="14.666666666666666"/>
    <n v="14.666666666666686"/>
    <n v="0"/>
    <m/>
    <m/>
    <m/>
  </r>
  <r>
    <x v="501"/>
    <d v="2023-05-29T00:00:00"/>
    <s v="Week20"/>
    <d v="2023-05-01T00:00:00"/>
    <s v="DRY2300140"/>
    <s v="HK"/>
    <s v="CPM HONGKONG"/>
    <s v="C-Wonton"/>
    <s v="C-Wonton ND"/>
    <x v="3"/>
    <s v="Cooked Minced Wonton Noodle No Egg 5 pcs"/>
    <s v="082SR3G12005P00001"/>
    <s v="258g*12"/>
    <n v="12"/>
    <n v="5"/>
    <n v="6.0000000000000001E-3"/>
    <s v="BK"/>
    <s v="Salt"/>
    <s v="Regular"/>
    <n v="200"/>
    <n v="189"/>
    <n v="11"/>
    <n v="0"/>
    <n v="0"/>
    <m/>
    <m/>
    <m/>
  </r>
  <r>
    <x v="501"/>
    <d v="2023-05-17T00:00:00"/>
    <s v="Week20"/>
    <d v="2023-05-01T00:00:00"/>
    <s v="DRY2300135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32"/>
    <n v="32"/>
    <m/>
    <n v="0"/>
    <n v="0"/>
    <m/>
    <m/>
    <m/>
  </r>
  <r>
    <x v="501"/>
    <d v="2023-06-29T00:00:00"/>
    <s v="Week20"/>
    <d v="2023-05-01T00:00:00"/>
    <s v="DRY2300188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1400"/>
    <m/>
    <n v="1400"/>
    <n v="0"/>
    <n v="0"/>
    <m/>
    <m/>
    <m/>
  </r>
  <r>
    <x v="501"/>
    <d v="2023-05-25T00:00:00"/>
    <s v="Week20"/>
    <d v="2023-05-01T00:00:00"/>
    <s v="DRY2300145"/>
    <s v="USA"/>
    <s v="Bellisio Foods, Inc."/>
    <s v="C-Wonton"/>
    <s v="C-Wonton ND"/>
    <x v="3"/>
    <s v="Cooked Minced Wonton Noodle No Egg"/>
    <s v="082SRBW24005P00001"/>
    <s v="258g*4c*6in"/>
    <n v="24"/>
    <n v="5"/>
    <n v="6.0000000000000001E-3"/>
    <s v="BK"/>
    <s v="Salt"/>
    <s v="Regular"/>
    <n v="800"/>
    <n v="800"/>
    <m/>
    <n v="0"/>
    <n v="0"/>
    <m/>
    <m/>
    <m/>
  </r>
  <r>
    <x v="501"/>
    <d v="2023-05-25T00:00:00"/>
    <s v="Week20"/>
    <d v="2023-05-01T00:00:00"/>
    <s v="DRY2300146"/>
    <s v="USA"/>
    <s v="Bellisio Foods, Inc."/>
    <s v="C-Wonton"/>
    <s v="C-Wonton ND"/>
    <x v="3"/>
    <s v="Cooked Minced Wonton Noodle No Egg"/>
    <s v="082SRBW24005P00001"/>
    <s v="258g*4c*6in"/>
    <n v="24"/>
    <n v="5"/>
    <n v="6.0000000000000001E-3"/>
    <s v="BK"/>
    <s v="Salt"/>
    <s v="Regular"/>
    <n v="700"/>
    <n v="700"/>
    <m/>
    <n v="0"/>
    <n v="0"/>
    <m/>
    <m/>
    <m/>
  </r>
  <r>
    <x v="501"/>
    <d v="2023-05-30T00:00:00"/>
    <s v="Week20"/>
    <d v="2023-05-01T00:00:00"/>
    <s v="DRY2300147"/>
    <s v="USA"/>
    <s v="Bellisio Foods, Inc."/>
    <s v="C-Wonton"/>
    <s v="C-Wonton ND"/>
    <x v="3"/>
    <s v="Cooked Minced Wonton Noodle No Egg"/>
    <s v="082SRBW24005P00001"/>
    <s v="258g*4c*6in"/>
    <n v="24"/>
    <n v="5"/>
    <n v="6.0000000000000001E-3"/>
    <s v="BK"/>
    <s v="Salt"/>
    <s v="Regular"/>
    <n v="600"/>
    <n v="600"/>
    <m/>
    <n v="0"/>
    <n v="0"/>
    <m/>
    <m/>
    <m/>
  </r>
  <r>
    <x v="501"/>
    <d v="2023-05-25T00:00:00"/>
    <s v="Week20"/>
    <d v="2023-05-01T00:00:00"/>
    <s v="DRY2300136"/>
    <s v="Japan"/>
    <s v="CPF JAPAN"/>
    <s v="C-Wonton"/>
    <s v="C-Wonton"/>
    <x v="1"/>
    <s v="Cooked Wonton No Egg"/>
    <s v="082S85724004P00001"/>
    <s v="130g*24"/>
    <n v="24"/>
    <n v="4"/>
    <n v="8.0000000000000002E-3"/>
    <s v="M"/>
    <s v="Salt"/>
    <s v="Regular"/>
    <n v="2048"/>
    <n v="2048"/>
    <m/>
    <n v="0"/>
    <n v="0"/>
    <m/>
    <m/>
    <m/>
  </r>
  <r>
    <x v="502"/>
    <d v="2023-06-02T00:00:00"/>
    <s v="Week20"/>
    <d v="2023-05-01T00:00:00"/>
    <s v="DRY2300148"/>
    <s v="USA"/>
    <s v="Bellisio Foods, Inc."/>
    <s v="C-Wonton"/>
    <s v="C-Wonton ND"/>
    <x v="3"/>
    <s v="Cooked Minced Wonton Noodle No Egg"/>
    <s v="082SRBW24005P00001"/>
    <s v="258g*4c*6in"/>
    <n v="24"/>
    <n v="5"/>
    <n v="6.0000000000000001E-3"/>
    <s v="BK"/>
    <s v="Salt"/>
    <s v="Regular"/>
    <n v="550"/>
    <n v="550"/>
    <m/>
    <n v="0"/>
    <n v="0"/>
    <m/>
    <m/>
    <m/>
  </r>
  <r>
    <x v="502"/>
    <d v="2023-06-08T00:00:00"/>
    <s v="Week20"/>
    <d v="2023-05-01T00:00:00"/>
    <s v="DRY2300149"/>
    <s v="USA"/>
    <s v="Bellisio Foods, Inc."/>
    <s v="C-Wonton"/>
    <s v="C-Wonton ND"/>
    <x v="3"/>
    <s v="Cooked Minced Wonton Noodle No Egg"/>
    <s v="082SRBW24005P00001"/>
    <s v="258g*4c*6in"/>
    <n v="24"/>
    <n v="5"/>
    <n v="6.0000000000000001E-3"/>
    <s v="BK"/>
    <s v="Salt"/>
    <s v="Regular"/>
    <n v="600"/>
    <n v="540"/>
    <n v="119.625"/>
    <n v="59.625"/>
    <n v="0"/>
    <m/>
    <m/>
    <m/>
  </r>
  <r>
    <x v="502"/>
    <m/>
    <s v="Week20"/>
    <d v="2023-05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3525"/>
    <n v="3525"/>
    <m/>
    <n v="0"/>
    <n v="0"/>
    <m/>
    <m/>
    <m/>
  </r>
  <r>
    <x v="502"/>
    <m/>
    <s v="Week20"/>
    <d v="2023-05-01T00:00:00"/>
    <s v="ขายภายใน"/>
    <s v="MTFS"/>
    <s v="ซีพีเอฟ เทรดดิ้ง"/>
    <s v="C-Wonton"/>
    <s v="C-Wonton"/>
    <x v="22"/>
    <s v="Minced Noodle with egg V-Food (3 pcs)"/>
    <s v="082SR3Q12003P00001"/>
    <s v="191g*12"/>
    <n v="12"/>
    <n v="3"/>
    <n v="6.0000000000000001E-3"/>
    <s v="BK"/>
    <s v="STPP"/>
    <s v="Regular"/>
    <n v="325"/>
    <n v="325"/>
    <m/>
    <n v="0"/>
    <n v="0"/>
    <m/>
    <m/>
    <m/>
  </r>
  <r>
    <x v="502"/>
    <m/>
    <s v="Week20"/>
    <d v="2023-05-01T00:00:00"/>
    <s v="ขายภายใน"/>
    <s v="MTFS"/>
    <s v="ซีพีเอฟ เทรดดิ้ง"/>
    <s v="C-Wonton"/>
    <s v="C-Wonton"/>
    <x v="21"/>
    <s v="Cooked Wonton ND with egg "/>
    <s v="082SJ3Q12003P08001"/>
    <s v="211g*12"/>
    <n v="12"/>
    <n v="3"/>
    <n v="6.1999999999999998E-3"/>
    <s v="SS"/>
    <s v="STPP"/>
    <s v="TYNSF"/>
    <n v="1200"/>
    <n v="1179"/>
    <m/>
    <n v="-21"/>
    <n v="252"/>
    <m/>
    <m/>
    <m/>
  </r>
  <r>
    <x v="502"/>
    <m/>
    <s v="Week20"/>
    <d v="2023-05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1750"/>
    <n v="857"/>
    <n v="1165.6666666666667"/>
    <n v="272.66666666666674"/>
    <n v="0"/>
    <m/>
    <n v="1"/>
    <n v="0"/>
  </r>
  <r>
    <x v="503"/>
    <m/>
    <s v="Week20"/>
    <d v="2023-05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4556"/>
    <n v="4556"/>
    <m/>
    <n v="0"/>
    <n v="0"/>
    <m/>
    <m/>
    <m/>
  </r>
  <r>
    <x v="503"/>
    <m/>
    <s v="Week20"/>
    <d v="2023-05-01T00:00:00"/>
    <s v="ขายภายใน"/>
    <s v="MTFS"/>
    <s v="ซีพีเอฟ เทรดดิ้ง"/>
    <s v="C-Wonton"/>
    <s v="C-Wonton"/>
    <x v="14"/>
    <s v="Minced Wonton (5pcs)"/>
    <s v="082SK3Q12005P00001"/>
    <s v="135g*12"/>
    <n v="12"/>
    <n v="5"/>
    <n v="6.0000000000000001E-3"/>
    <s v="BK"/>
    <s v="STPP"/>
    <s v="Regular"/>
    <n v="720"/>
    <n v="720"/>
    <m/>
    <n v="0"/>
    <n v="0"/>
    <m/>
    <m/>
    <m/>
  </r>
  <r>
    <x v="504"/>
    <d v="2023-05-29T00:00:00"/>
    <s v="Week20"/>
    <d v="2023-05-01T00:00:00"/>
    <s v="DRY2300140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950"/>
    <n v="770"/>
    <n v="180"/>
    <n v="0"/>
    <n v="0"/>
    <n v="0"/>
    <n v="1"/>
    <n v="0"/>
  </r>
  <r>
    <x v="504"/>
    <d v="2023-05-29T00:00:00"/>
    <s v="Week20"/>
    <d v="2023-05-01T00:00:00"/>
    <s v="DRY2300140"/>
    <s v="HK"/>
    <s v="CPM Hongkong"/>
    <s v="R-Wonton"/>
    <s v="R-Mince"/>
    <x v="9"/>
    <s v="Raw Minced Wonton 8 pcs"/>
    <s v="082ID3G18008P00001"/>
    <s v="90g*18in"/>
    <n v="18"/>
    <n v="8"/>
    <n v="6.0000000000000001E-3"/>
    <s v="BK"/>
    <s v="STPP"/>
    <s v="ซุปซอง 5g."/>
    <n v="250"/>
    <n v="236"/>
    <n v="14"/>
    <n v="0"/>
    <n v="0"/>
    <n v="0"/>
    <n v="2"/>
    <n v="0"/>
  </r>
  <r>
    <x v="504"/>
    <d v="2023-05-25T00:00:00"/>
    <s v="Week20"/>
    <d v="2023-05-01T00:00:00"/>
    <s v="DRY2300145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150"/>
    <n v="136"/>
    <n v="14"/>
    <n v="0"/>
    <n v="0"/>
    <n v="0"/>
    <n v="6"/>
    <n v="0"/>
  </r>
  <r>
    <x v="504"/>
    <d v="2023-05-30T00:00:00"/>
    <s v="Week20"/>
    <d v="2023-05-01T00:00:00"/>
    <s v="DRY2300147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150"/>
    <n v="150"/>
    <m/>
    <n v="0"/>
    <n v="0"/>
    <n v="0"/>
    <n v="6"/>
    <n v="0"/>
  </r>
  <r>
    <x v="504"/>
    <d v="2023-06-02T00:00:00"/>
    <s v="Week20"/>
    <d v="2023-05-01T00:00:00"/>
    <s v="DRY2300148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200"/>
    <n v="200"/>
    <m/>
    <n v="0"/>
    <n v="0"/>
    <n v="0"/>
    <n v="6"/>
    <n v="0"/>
  </r>
  <r>
    <x v="504"/>
    <d v="2023-06-07T00:00:00"/>
    <s v="Week20"/>
    <d v="2023-05-01T00:00:00"/>
    <s v="DRY2300149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200"/>
    <n v="200"/>
    <m/>
    <n v="0"/>
    <n v="0"/>
    <n v="0"/>
    <n v="6"/>
    <n v="0"/>
  </r>
  <r>
    <x v="504"/>
    <d v="2023-06-01T00:00:00"/>
    <s v="Week20"/>
    <d v="2023-05-01T00:00:00"/>
    <s v="DRY2300144"/>
    <s v="SG"/>
    <s v="CPI SINGAPORE"/>
    <s v="R-Wonton"/>
    <s v="R-Mince"/>
    <x v="9"/>
    <s v="Raw Minced Wonton 8 pcs"/>
    <s v="082ID3B18008P00001"/>
    <s v="90g*18in"/>
    <n v="18"/>
    <n v="8"/>
    <n v="6.0000000000000001E-3"/>
    <s v="BK"/>
    <s v="STPP"/>
    <s v="ซุปซอง 5g."/>
    <n v="475"/>
    <n v="431"/>
    <n v="44"/>
    <n v="0"/>
    <n v="0"/>
    <n v="0"/>
    <n v="2"/>
    <n v="0"/>
  </r>
  <r>
    <x v="505"/>
    <d v="2023-05-26T00:00:00"/>
    <s v="Week20"/>
    <d v="2023-05-01T00:00:00"/>
    <s v="ขายภายใน"/>
    <s v="MTFS"/>
    <s v="ซีพีเอฟ เทรดดิ้ง"/>
    <s v="R-Wonton"/>
    <s v="R-Wonton"/>
    <x v="29"/>
    <s v="เกี๊ยวกุ้งดับเบิ้ลชีสพร้อมปรุงCP 12x240g"/>
    <s v="082ID3Q12020P00001"/>
    <s v="240g*12in"/>
    <n v="12"/>
    <n v="20"/>
    <n v="6.0000000000000001E-3"/>
    <s v="BK"/>
    <s v="STPP"/>
    <m/>
    <n v="520"/>
    <n v="513"/>
    <n v="7"/>
    <n v="0"/>
    <n v="0"/>
    <n v="0"/>
    <m/>
    <n v="0"/>
  </r>
  <r>
    <x v="505"/>
    <d v="2023-06-01T00:00:00"/>
    <s v="Week20"/>
    <d v="2023-05-01T00:00:00"/>
    <s v="ขายภายใน"/>
    <s v="MTFS"/>
    <s v="ซีพีเอฟ เทรดดิ้ง"/>
    <s v="R-Wonton"/>
    <s v="R-Wonton"/>
    <x v="29"/>
    <s v="เกี๊ยวกุ้งดับเบิ้ลชีสพร้อมปรุงCP 12x240g"/>
    <s v="082ID3Q12020P00001"/>
    <s v="240g*12in"/>
    <n v="12"/>
    <n v="20"/>
    <n v="6.0000000000000001E-3"/>
    <s v="BK"/>
    <s v="STPP"/>
    <m/>
    <n v="770"/>
    <n v="770"/>
    <m/>
    <n v="0"/>
    <n v="0"/>
    <n v="0"/>
    <m/>
    <n v="0"/>
  </r>
  <r>
    <x v="505"/>
    <d v="2023-06-01T00:00:00"/>
    <s v="Week20"/>
    <d v="2023-05-01T00:00:00"/>
    <s v="ขายภายใน"/>
    <s v="MTFS"/>
    <s v="ซีพีเอฟ เทรดดิ้ง"/>
    <s v="R-Wonton"/>
    <s v="R-Wonton"/>
    <x v="29"/>
    <s v="เกี๊ยวกุ้งดับเบิ้ลชีสพร้อมปรุง 96 กรัม x12แพค"/>
    <s v="082ID3Q12008P00001"/>
    <s v="96g*12in"/>
    <n v="12"/>
    <n v="8"/>
    <n v="6.0000000000000001E-3"/>
    <s v="BK"/>
    <s v="STPP"/>
    <m/>
    <n v="130"/>
    <n v="12"/>
    <n v="143"/>
    <n v="25"/>
    <n v="0"/>
    <n v="0"/>
    <m/>
    <n v="0"/>
  </r>
  <r>
    <x v="505"/>
    <d v="2023-06-01T00:00:00"/>
    <s v="Week20"/>
    <d v="2023-05-01T00:00:00"/>
    <s v="DRY2300144"/>
    <s v="SG"/>
    <s v="CPI SINGAPORE"/>
    <s v="R-Wonton"/>
    <s v="R-Mince"/>
    <x v="9"/>
    <s v="Raw Minced Wonton 8 pcs"/>
    <s v="082ID3B18008P00001"/>
    <s v="90g*18in"/>
    <n v="18"/>
    <n v="8"/>
    <n v="6.0000000000000001E-3"/>
    <s v="BK"/>
    <s v="STPP"/>
    <s v="ซุปซอง 5g."/>
    <n v="225"/>
    <n v="225"/>
    <m/>
    <n v="0"/>
    <n v="0"/>
    <n v="0"/>
    <n v="2"/>
    <n v="0"/>
  </r>
  <r>
    <x v="505"/>
    <d v="2023-06-01T00:00:00"/>
    <s v="Week20"/>
    <d v="2023-05-01T00:00:00"/>
    <s v="DRY2300143"/>
    <s v="SG"/>
    <s v="CPI SINGAPORE"/>
    <s v="R-Wonton"/>
    <s v="R-Wonton"/>
    <x v="18"/>
    <s v="Raw Wonton 50 pcs (Fried Sheet)"/>
    <s v="082I93B10050P04001"/>
    <s v="600g*10inner"/>
    <n v="10"/>
    <n v="50"/>
    <n v="6.8100000000000001E-3"/>
    <s v="S"/>
    <s v="STPP"/>
    <s v="-"/>
    <n v="200"/>
    <n v="200"/>
    <m/>
    <n v="0"/>
    <n v="0"/>
    <n v="0"/>
    <m/>
    <n v="0"/>
  </r>
  <r>
    <x v="506"/>
    <m/>
    <s v="Week21"/>
    <d v="2023-05-01T00:00:00"/>
    <m/>
    <m/>
    <m/>
    <m/>
    <m/>
    <x v="0"/>
    <m/>
    <m/>
    <m/>
    <m/>
    <m/>
    <m/>
    <m/>
    <m/>
    <m/>
    <m/>
    <m/>
    <m/>
    <m/>
    <m/>
    <m/>
    <m/>
    <m/>
  </r>
  <r>
    <x v="507"/>
    <d v="2023-06-01T00:00:00"/>
    <s v="Week21"/>
    <d v="2023-05-01T00:00:00"/>
    <s v="DRY2300141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1700"/>
    <n v="1564"/>
    <n v="136"/>
    <n v="0"/>
    <n v="0"/>
    <n v="0"/>
    <n v="2"/>
    <n v="0"/>
  </r>
  <r>
    <x v="507"/>
    <d v="2023-06-08T00:00:00"/>
    <s v="Week21"/>
    <d v="2023-05-01T00:00:00"/>
    <s v="DRY2300164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412"/>
    <n v="400"/>
    <n v="12"/>
    <n v="0"/>
    <n v="0"/>
    <n v="0"/>
    <n v="6"/>
    <n v="0"/>
  </r>
  <r>
    <x v="508"/>
    <d v="2023-06-20T00:00:00"/>
    <s v="Week21"/>
    <d v="2023-05-01T00:00:00"/>
    <s v="DRY2300150"/>
    <s v="Netherlands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4"/>
    <n v="4.833333333333333"/>
    <n v="0.83333333333325754"/>
    <n v="0"/>
    <m/>
    <m/>
    <m/>
  </r>
  <r>
    <x v="508"/>
    <d v="2023-06-14T00:00:00"/>
    <s v="Week21"/>
    <d v="2023-05-01T00:00:00"/>
    <s v="DRY2300155"/>
    <s v="Malay"/>
    <s v="CPM Malaysia"/>
    <s v="C-Wonton"/>
    <s v="C-Wonton"/>
    <x v="1"/>
    <s v="Cooked Wonton No Egg  "/>
    <s v="082S85I24005P01001"/>
    <s v="145g*24"/>
    <n v="24"/>
    <n v="5"/>
    <n v="8.0000000000000002E-3"/>
    <s v="M"/>
    <s v="STPP"/>
    <s v="Regular"/>
    <n v="900"/>
    <n v="900"/>
    <n v="4.875"/>
    <n v="4.875"/>
    <n v="0"/>
    <m/>
    <m/>
    <m/>
  </r>
  <r>
    <x v="508"/>
    <d v="2023-06-14T00:00:00"/>
    <s v="Week21"/>
    <d v="2023-05-01T00:00:00"/>
    <s v="DRY2300155"/>
    <s v="Malay"/>
    <s v="CPM Malaysia"/>
    <s v="C-Wonton"/>
    <s v="C-Wonton"/>
    <x v="2"/>
    <s v="Cooked Wonton No Egg  TY"/>
    <s v="082S85I24005P02001"/>
    <s v="115g*24"/>
    <n v="24"/>
    <n v="5"/>
    <n v="8.0000000000000002E-3"/>
    <s v="M"/>
    <s v="STPP"/>
    <s v="TYTB3C 30G"/>
    <n v="1060"/>
    <n v="1060"/>
    <n v="5.416666666666667"/>
    <n v="5.4166666666667425"/>
    <n v="0"/>
    <m/>
    <n v="1"/>
    <n v="0"/>
  </r>
  <r>
    <x v="508"/>
    <d v="2023-06-07T00:00:00"/>
    <s v="Week21"/>
    <d v="2023-05-01T00:00:00"/>
    <s v="DRY2300151"/>
    <s v="CAN "/>
    <s v="Bellisio Foods Canada"/>
    <s v="C-Wonton"/>
    <s v="C-Wonton ND"/>
    <x v="3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575.75"/>
    <n v="-24.25"/>
    <n v="291"/>
    <m/>
    <m/>
    <m/>
  </r>
  <r>
    <x v="509"/>
    <d v="2023-06-05T00:00:00"/>
    <s v="Week21"/>
    <d v="2023-05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5123"/>
    <n v="5123"/>
    <m/>
    <n v="0"/>
    <n v="0"/>
    <m/>
    <m/>
    <m/>
  </r>
  <r>
    <x v="510"/>
    <d v="2023-05-29T00:00:00"/>
    <s v="Week21"/>
    <d v="2023-05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5156"/>
    <n v="5156"/>
    <m/>
    <n v="0"/>
    <n v="0"/>
    <m/>
    <m/>
    <m/>
  </r>
  <r>
    <x v="511"/>
    <d v="2023-06-05T00:00:00"/>
    <s v="Week21"/>
    <d v="2023-05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5068"/>
    <n v="5068"/>
    <m/>
    <n v="0"/>
    <n v="0"/>
    <m/>
    <m/>
    <m/>
  </r>
  <r>
    <x v="512"/>
    <d v="2023-06-15T00:00:00"/>
    <s v="Week21"/>
    <d v="2023-05-01T00:00:00"/>
    <s v="DRY2300129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512"/>
    <d v="2023-06-21T00:00:00"/>
    <s v="Week21"/>
    <d v="2023-05-01T00:00:00"/>
    <s v="DRY2300152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494"/>
    <n v="494"/>
    <m/>
    <n v="0"/>
    <n v="0"/>
    <m/>
    <m/>
    <m/>
  </r>
  <r>
    <x v="512"/>
    <d v="2023-06-08T00:00:00"/>
    <s v="Week21"/>
    <d v="2023-05-01T00:00:00"/>
    <s v="DRY2300156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20"/>
    <n v="74.111111111111114"/>
    <n v="6.1111111111110858"/>
    <n v="0"/>
    <m/>
    <m/>
    <m/>
  </r>
  <r>
    <x v="512"/>
    <d v="2023-06-01T00:00:00"/>
    <s v="Week21"/>
    <d v="2023-05-01T00:00:00"/>
    <s v="DRY2300142"/>
    <s v="SG"/>
    <s v="CPI SINGAPORE"/>
    <s v="C-Wonton"/>
    <s v="C-Wonton ND"/>
    <x v="30"/>
    <s v="Cooked Wonton Thai Spicy Noodles (Drunken Noodles)"/>
    <s v="082SJ3B24003P03001"/>
    <s v="229g*24"/>
    <n v="24"/>
    <n v="3"/>
    <n v="8.0000000000000002E-3"/>
    <s v="M"/>
    <s v="Salt"/>
    <s v="Kee Mao 50G."/>
    <n v="550"/>
    <n v="550"/>
    <m/>
    <n v="0"/>
    <n v="0"/>
    <m/>
    <m/>
    <m/>
  </r>
  <r>
    <x v="513"/>
    <m/>
    <s v="Week22"/>
    <d v="2023-05-01T00:00:00"/>
    <m/>
    <m/>
    <m/>
    <m/>
    <m/>
    <x v="0"/>
    <m/>
    <m/>
    <m/>
    <m/>
    <m/>
    <m/>
    <m/>
    <m/>
    <m/>
    <m/>
    <m/>
    <m/>
    <m/>
    <m/>
    <m/>
    <m/>
    <m/>
  </r>
  <r>
    <x v="514"/>
    <d v="2023-06-08T00:00:00"/>
    <s v="Week22"/>
    <d v="2023-05-01T00:00:00"/>
    <s v="DRY2300164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1258"/>
    <n v="1258"/>
    <n v="101"/>
    <n v="101"/>
    <n v="0"/>
    <n v="0"/>
    <n v="6"/>
    <n v="0"/>
  </r>
  <r>
    <x v="515"/>
    <d v="2023-06-12T00:00:00"/>
    <s v="Week22"/>
    <d v="2023-05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243"/>
    <n v="2243"/>
    <m/>
    <n v="0"/>
    <n v="0"/>
    <m/>
    <m/>
    <m/>
  </r>
  <r>
    <x v="515"/>
    <d v="2023-06-24T00:00:00"/>
    <s v="Week22"/>
    <d v="2023-05-01T00:00:00"/>
    <s v="DRY2300159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515"/>
    <d v="2023-06-29T00:00:00"/>
    <s v="Week22"/>
    <d v="2023-05-01T00:00:00"/>
    <s v="DRY2300190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76"/>
    <n v="16.388888888888889"/>
    <n v="0.38888888888891415"/>
    <n v="0"/>
    <m/>
    <m/>
    <m/>
  </r>
  <r>
    <x v="515"/>
    <d v="2023-06-29T00:00:00"/>
    <s v="Week22"/>
    <d v="2023-05-01T00:00:00"/>
    <s v="DRY2300187"/>
    <s v="AUS"/>
    <s v="CPM Australia"/>
    <s v="C-Wonton"/>
    <s v="C-Wonton ND"/>
    <x v="5"/>
    <s v="Cooked Wonton ND No Egg with Pumpkin_x000a_+ Yu Choy "/>
    <s v="082SJ9U08004P00001"/>
    <s v="305g*8"/>
    <n v="8"/>
    <n v="4"/>
    <n v="7.4999999999999997E-3"/>
    <s v="HC"/>
    <s v="Salt"/>
    <s v="Regular"/>
    <n v="420"/>
    <m/>
    <n v="420"/>
    <n v="0"/>
    <n v="0"/>
    <m/>
    <m/>
    <m/>
  </r>
  <r>
    <x v="516"/>
    <d v="2023-06-06T00:00:00"/>
    <s v="Week22"/>
    <d v="2023-05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5436"/>
    <n v="5436"/>
    <m/>
    <n v="0"/>
    <n v="0"/>
    <m/>
    <m/>
    <m/>
  </r>
  <r>
    <x v="517"/>
    <d v="2023-06-01T00:00:00"/>
    <s v="Week22"/>
    <d v="2023-06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1360"/>
    <n v="1360"/>
    <m/>
    <n v="0"/>
    <n v="0"/>
    <m/>
    <n v="1"/>
    <n v="0"/>
  </r>
  <r>
    <x v="517"/>
    <d v="2023-06-01T00:00:00"/>
    <s v="Week22"/>
    <d v="2023-06-01T00:00:00"/>
    <s v="ขายภายใน"/>
    <s v="MTFS"/>
    <s v="ซีพีเอฟ เทรดดิ้ง"/>
    <s v="C-Wonton"/>
    <s v="C-Wonton"/>
    <x v="12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m/>
    <m/>
    <m/>
  </r>
  <r>
    <x v="517"/>
    <d v="2023-06-01T00:00:00"/>
    <s v="Week22"/>
    <d v="2023-06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4600"/>
    <n v="4600"/>
    <m/>
    <n v="0"/>
    <n v="0"/>
    <m/>
    <m/>
    <m/>
  </r>
  <r>
    <x v="517"/>
    <d v="2023-06-01T00:00:00"/>
    <s v="Week22"/>
    <d v="2023-06-01T00:00:00"/>
    <s v="ขายภายใน"/>
    <s v="MTFS"/>
    <s v="ซีพีเอฟ เทรดดิ้ง"/>
    <s v="C-Wonton"/>
    <s v="C-Wonton"/>
    <x v="14"/>
    <s v="Minced Wonton (5pcs)"/>
    <s v="082SK3Q12005P00001"/>
    <s v="135g*12"/>
    <n v="12"/>
    <n v="5"/>
    <n v="6.0000000000000001E-3"/>
    <s v="BK"/>
    <s v="STPP"/>
    <s v="Regular"/>
    <n v="1300"/>
    <n v="1300"/>
    <m/>
    <n v="0"/>
    <n v="0"/>
    <m/>
    <m/>
    <m/>
  </r>
  <r>
    <x v="517"/>
    <d v="2023-06-01T00:00:00"/>
    <s v="Week22"/>
    <d v="2023-06-01T00:00:00"/>
    <s v="ขายภายใน"/>
    <s v="MTFS"/>
    <s v="ซีพีเอฟ เทรดดิ้ง"/>
    <s v="C-Wonton"/>
    <s v="C-Wonton"/>
    <x v="22"/>
    <s v="Minced Noodle with egg V-Food (3 pcs)"/>
    <s v="082SR3Q12003P00001"/>
    <s v="191g*12"/>
    <n v="12"/>
    <n v="3"/>
    <n v="6.0000000000000001E-3"/>
    <s v="BK"/>
    <s v="STPP"/>
    <s v="Regular"/>
    <n v="2750"/>
    <n v="2750"/>
    <m/>
    <n v="0"/>
    <n v="0"/>
    <m/>
    <m/>
    <m/>
  </r>
  <r>
    <x v="517"/>
    <d v="2023-05-01T00:00:00"/>
    <s v="Week22"/>
    <d v="2023-06-01T00:00:00"/>
    <s v="ขายภายใน"/>
    <s v="MTFS"/>
    <s v="ซีพีเอฟ เทรดดิ้ง"/>
    <s v="C-Wonton"/>
    <s v="C-Wonton"/>
    <x v="11"/>
    <s v="Cooked Wonton ND with egg V-Food"/>
    <s v="082SJ3Q12003P07001"/>
    <s v="226g*12"/>
    <n v="12"/>
    <n v="3"/>
    <n v="8.0000000000000002E-3"/>
    <s v="M"/>
    <s v="STPP"/>
    <s v="Regular"/>
    <n v="605"/>
    <n v="605"/>
    <m/>
    <n v="0"/>
    <n v="0"/>
    <m/>
    <m/>
    <m/>
  </r>
  <r>
    <x v="518"/>
    <d v="2023-06-01T00:00:00"/>
    <s v="Week22"/>
    <d v="2023-06-01T00:00:00"/>
    <s v="ขายภายใน"/>
    <s v="MTFS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940"/>
    <n v="940"/>
    <m/>
    <n v="0"/>
    <n v="0"/>
    <n v="0"/>
    <m/>
    <n v="0"/>
  </r>
  <r>
    <x v="518"/>
    <d v="2023-06-15T00:00:00"/>
    <s v="Week22"/>
    <d v="2023-06-01T00:00:00"/>
    <s v="DRY2300130"/>
    <s v="SG"/>
    <s v="CPI SINGAPORE"/>
    <s v="R-Wonton"/>
    <s v="R-Wonton"/>
    <x v="4"/>
    <s v="Raw Wonton 12 pcs with sesame"/>
    <s v="082I93B20012P02001"/>
    <s v="204g*20in"/>
    <n v="20"/>
    <n v="12"/>
    <n v="6.8100000000000001E-3"/>
    <s v="S"/>
    <s v="STPP"/>
    <s v=" sesame 30g"/>
    <n v="1200"/>
    <n v="1159"/>
    <n v="72"/>
    <n v="31"/>
    <n v="0"/>
    <n v="0"/>
    <n v="2"/>
    <n v="0"/>
  </r>
  <r>
    <x v="519"/>
    <m/>
    <s v="Week22"/>
    <d v="2023-06-01T00:00:00"/>
    <m/>
    <m/>
    <m/>
    <m/>
    <m/>
    <x v="0"/>
    <m/>
    <m/>
    <m/>
    <m/>
    <m/>
    <m/>
    <m/>
    <m/>
    <m/>
    <m/>
    <m/>
    <m/>
    <m/>
    <m/>
    <m/>
    <m/>
    <m/>
  </r>
  <r>
    <x v="520"/>
    <m/>
    <s v="Week23"/>
    <d v="2023-06-01T00:00:00"/>
    <m/>
    <m/>
    <m/>
    <m/>
    <m/>
    <x v="0"/>
    <m/>
    <m/>
    <m/>
    <m/>
    <m/>
    <m/>
    <m/>
    <m/>
    <m/>
    <m/>
    <m/>
    <m/>
    <m/>
    <m/>
    <m/>
    <m/>
    <m/>
  </r>
  <r>
    <x v="521"/>
    <d v="2023-06-12T00:00:00"/>
    <s v="Week23"/>
    <d v="2023-06-01T00:00:00"/>
    <s v="KL2300022"/>
    <s v="China"/>
    <s v="Charoen Pokphand Import&amp;Export Trading (Shanghai) Co., Ltd"/>
    <s v="R-Wonton"/>
    <s v="R-Wonton"/>
    <x v="10"/>
    <s v="Raw Wonton 12 pcs"/>
    <s v="082I95J20012P04001"/>
    <s v="144g*20in"/>
    <n v="20"/>
    <n v="12"/>
    <n v="6.8100000000000001E-3"/>
    <s v="S"/>
    <s v="STPP"/>
    <s v="ซุปซอง 5g."/>
    <n v="2300"/>
    <n v="2300"/>
    <n v="45"/>
    <n v="45"/>
    <n v="0"/>
    <n v="0"/>
    <n v="2"/>
    <n v="0"/>
  </r>
  <r>
    <x v="522"/>
    <d v="2023-06-12T00:00:00"/>
    <s v="Week23"/>
    <d v="2023-06-01T00:00:00"/>
    <s v="KL2300022"/>
    <s v="China"/>
    <s v="Charoen Pokphand Import&amp;Export Trading (Shanghai) Co., Ltd"/>
    <s v="R-Wonton"/>
    <s v="R-Wonton"/>
    <x v="10"/>
    <s v="Raw Wonton 20 pcs"/>
    <s v="082I95J16020P00001"/>
    <s v="255g*16in"/>
    <n v="16"/>
    <n v="20"/>
    <n v="6.8100000000000001E-3"/>
    <s v="S"/>
    <s v="STPP"/>
    <s v="ซุปซอง 5g."/>
    <n v="200"/>
    <n v="200"/>
    <n v="1.875"/>
    <n v="1.875"/>
    <n v="0"/>
    <n v="0"/>
    <n v="3"/>
    <n v="0"/>
  </r>
  <r>
    <x v="522"/>
    <d v="2023-06-12T00:00:00"/>
    <s v="Week23"/>
    <d v="2023-06-01T00:00:00"/>
    <s v="KL2300022"/>
    <s v="China"/>
    <s v="Charoen Pokphand Import&amp;Export Trading (Shanghai) Co., Ltd"/>
    <s v="R-Wonton"/>
    <s v="R-Wonton"/>
    <x v="10"/>
    <s v="Raw Wonton 50 pcs"/>
    <s v="082I95J08050P03001"/>
    <s v="630g*8in"/>
    <n v="8"/>
    <n v="50"/>
    <n v="6.8100000000000001E-3"/>
    <s v="S"/>
    <s v="STPP"/>
    <s v="ซุปซอง 5g."/>
    <n v="500"/>
    <n v="500"/>
    <n v="5"/>
    <n v="5"/>
    <n v="0"/>
    <n v="0"/>
    <n v="6"/>
    <n v="0"/>
  </r>
  <r>
    <x v="522"/>
    <d v="2023-06-01T00:00:00"/>
    <s v="Week23"/>
    <d v="2023-06-01T00:00:00"/>
    <s v="ขายภายใน"/>
    <s v="MTFS"/>
    <s v="ซีพีเอฟ เทรดดิ้ง"/>
    <s v="R-Wonton"/>
    <s v="R-Wonton"/>
    <x v="29"/>
    <s v="เกี๊ยวกุ้งดับเบิ้ลชีสพร้อมปรุงCP 12x240g"/>
    <s v="082ID3Q12020P00001"/>
    <s v="240g*12in"/>
    <n v="12"/>
    <n v="20"/>
    <n v="6.0000000000000001E-3"/>
    <s v="BK"/>
    <s v="STPP"/>
    <m/>
    <n v="1080"/>
    <n v="1080"/>
    <n v="51"/>
    <n v="51"/>
    <n v="0"/>
    <n v="0"/>
    <m/>
    <n v="0"/>
  </r>
  <r>
    <x v="523"/>
    <d v="2023-06-12T00:00:00"/>
    <s v="Week23"/>
    <d v="2023-06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5392"/>
    <n v="5392"/>
    <m/>
    <n v="0"/>
    <n v="0"/>
    <m/>
    <m/>
    <m/>
  </r>
  <r>
    <x v="524"/>
    <d v="2023-06-14T00:00:00"/>
    <s v="Week23"/>
    <d v="2023-06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5615"/>
    <n v="5615"/>
    <m/>
    <n v="0"/>
    <n v="0"/>
    <m/>
    <m/>
    <m/>
  </r>
  <r>
    <x v="525"/>
    <d v="2023-06-21T00:00:00"/>
    <s v="Week23"/>
    <d v="2023-06-01T00:00:00"/>
    <s v="DRY2300152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794"/>
    <n v="794"/>
    <m/>
    <n v="0"/>
    <n v="0"/>
    <m/>
    <m/>
    <m/>
  </r>
  <r>
    <x v="525"/>
    <d v="2023-06-13T00:00:00"/>
    <s v="Week23"/>
    <d v="2023-06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561"/>
    <n v="2561"/>
    <m/>
    <n v="0"/>
    <n v="0"/>
    <m/>
    <m/>
    <m/>
  </r>
  <r>
    <x v="525"/>
    <d v="2023-06-20T00:00:00"/>
    <s v="Week23"/>
    <d v="2023-06-01T00:00:00"/>
    <s v="DRY2300198"/>
    <s v="Germany"/>
    <s v=" CPF Distribution (under Paulsen Food)"/>
    <s v="C-Wonton"/>
    <s v="C-Wonton ND"/>
    <x v="27"/>
    <s v="Cooked Minced  ND No Egg with Pumpkin_x000a_+ Yu Choy Tomkha"/>
    <s v="082SR3N12003P01001"/>
    <s v="302g*12"/>
    <n v="12"/>
    <n v="3"/>
    <n v="6.0000000000000001E-3"/>
    <s v="BK"/>
    <s v="Salt"/>
    <s v="Tomkha+CM"/>
    <n v="2520"/>
    <n v="2490"/>
    <m/>
    <n v="-30"/>
    <n v="360"/>
    <m/>
    <m/>
    <m/>
  </r>
  <r>
    <x v="525"/>
    <d v="2023-06-29T00:00:00"/>
    <s v="Week23"/>
    <d v="2023-06-01T00:00:00"/>
    <s v="DRY2300187"/>
    <s v="AUS"/>
    <s v="CPM Australia"/>
    <s v="C-Wonton"/>
    <s v="C-Wonton ND"/>
    <x v="27"/>
    <s v="Cooked Minced  ND No Egg with Pumpkin_x000a_+ Yu Choy Tomkha"/>
    <s v="082SR9U08003P01001"/>
    <s v="302g*8"/>
    <n v="8"/>
    <n v="3"/>
    <n v="6.0000000000000001E-3"/>
    <s v="BK"/>
    <s v="Salt"/>
    <s v="Tomkha+CM"/>
    <n v="650"/>
    <m/>
    <n v="650"/>
    <n v="0"/>
    <n v="0"/>
    <m/>
    <m/>
    <m/>
  </r>
  <r>
    <x v="526"/>
    <d v="2023-06-29T00:00:00"/>
    <s v="Week23"/>
    <d v="2023-06-01T00:00:00"/>
    <s v="DRY2300188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900"/>
    <n v="467"/>
    <n v="433"/>
    <n v="0"/>
    <n v="0"/>
    <m/>
    <n v="1"/>
    <n v="14400"/>
  </r>
  <r>
    <x v="526"/>
    <d v="2023-06-19T00:00:00"/>
    <s v="Week23"/>
    <d v="2023-06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498"/>
    <n v="2498"/>
    <m/>
    <n v="0"/>
    <n v="0"/>
    <m/>
    <m/>
    <m/>
  </r>
  <r>
    <x v="526"/>
    <d v="2023-06-21T00:00:00"/>
    <s v="Week23"/>
    <d v="2023-06-01T00:00:00"/>
    <s v="DRY2300137"/>
    <s v="Japan"/>
    <s v="CPF JAPAN"/>
    <s v="C-Wonton"/>
    <s v="C-Wonton"/>
    <x v="1"/>
    <s v="Cooked Wonton No Egg"/>
    <s v="082S85724004P00001"/>
    <s v="130g*24"/>
    <n v="24"/>
    <n v="4"/>
    <n v="8.0000000000000002E-3"/>
    <s v="M"/>
    <s v="Salt"/>
    <s v="Regular"/>
    <n v="2048"/>
    <n v="2048"/>
    <n v="7.166666666666667"/>
    <n v="7.1666666666665151"/>
    <n v="0"/>
    <m/>
    <m/>
    <m/>
  </r>
  <r>
    <x v="527"/>
    <m/>
    <s v="Week24"/>
    <d v="2023-06-01T00:00:00"/>
    <m/>
    <m/>
    <m/>
    <m/>
    <m/>
    <x v="0"/>
    <m/>
    <m/>
    <m/>
    <m/>
    <m/>
    <m/>
    <m/>
    <m/>
    <m/>
    <m/>
    <m/>
    <m/>
    <m/>
    <m/>
    <m/>
    <m/>
    <m/>
  </r>
  <r>
    <x v="528"/>
    <d v="2023-06-27T00:00:00"/>
    <s v="Week24"/>
    <d v="2023-06-01T00:00:00"/>
    <s v="DRY2300154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528"/>
    <d v="2023-06-19T00:00:00"/>
    <s v="Week24"/>
    <d v="2023-06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1489"/>
    <n v="1489"/>
    <m/>
    <n v="0"/>
    <n v="0"/>
    <m/>
    <m/>
    <m/>
  </r>
  <r>
    <x v="528"/>
    <d v="2023-07-03T00:00:00"/>
    <s v="Week24"/>
    <d v="2023-06-01T00:00:00"/>
    <s v="DRY2300153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529"/>
    <d v="2023-07-01T00:00:00"/>
    <s v="Week24"/>
    <d v="2023-06-01T00:00:00"/>
    <s v="DRY2300194"/>
    <s v="SG"/>
    <s v="CPI SINGAPORE"/>
    <s v="C-Wonton"/>
    <s v="C-Wonton"/>
    <x v="2"/>
    <s v="Cooked Wonton No Egg"/>
    <s v="082S83B24005P06001"/>
    <s v="115g*24"/>
    <n v="24"/>
    <n v="5"/>
    <n v="8.0000000000000002E-3"/>
    <s v="M"/>
    <s v="STPP"/>
    <s v="TYTB3C 30G"/>
    <n v="400"/>
    <n v="400"/>
    <m/>
    <n v="0"/>
    <n v="0"/>
    <m/>
    <n v="1"/>
    <n v="0"/>
  </r>
  <r>
    <x v="529"/>
    <d v="2023-07-01T00:00:00"/>
    <s v="Week24"/>
    <d v="2023-06-01T00:00:00"/>
    <s v="DRY2300193"/>
    <s v="SG"/>
    <s v="CPI SINGAPORE"/>
    <s v="C-Wonton"/>
    <s v="C-Wonton"/>
    <x v="1"/>
    <s v="Cooked Wonton No Egg"/>
    <s v="082S83B24005P07001"/>
    <s v="145g*24"/>
    <n v="24"/>
    <n v="5"/>
    <n v="8.0000000000000002E-3"/>
    <s v="M"/>
    <s v="STPP"/>
    <s v="Regular"/>
    <n v="400"/>
    <n v="400"/>
    <m/>
    <n v="0"/>
    <n v="0"/>
    <m/>
    <m/>
    <m/>
  </r>
  <r>
    <x v="529"/>
    <d v="2023-07-12T00:00:00"/>
    <s v="Week24"/>
    <d v="2023-06-01T00:00:00"/>
    <s v="DRY2300168"/>
    <s v="CAN "/>
    <s v="Bellisio Foods Canada"/>
    <s v="C-Wonton"/>
    <s v="C-Wonton ND"/>
    <x v="3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m/>
    <m/>
    <m/>
  </r>
  <r>
    <x v="529"/>
    <d v="2023-07-12T00:00:00"/>
    <s v="Week24"/>
    <d v="2023-06-01T00:00:00"/>
    <s v="DRY2300204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1800"/>
    <m/>
    <n v="1800"/>
    <n v="0"/>
    <n v="0"/>
    <m/>
    <m/>
    <m/>
  </r>
  <r>
    <x v="529"/>
    <d v="2023-07-03T00:00:00"/>
    <s v="Week24"/>
    <d v="2023-06-01T00:00:00"/>
    <s v="DRY2300165"/>
    <s v="HK"/>
    <s v="CPM HONGKONG"/>
    <s v="C-Wonton"/>
    <s v="C-Wonton ND"/>
    <x v="3"/>
    <s v="Cooked Minced Wonton Noodle No Egg 5 pcs"/>
    <s v="082SR3G12005P00001"/>
    <s v="258g*12"/>
    <n v="12"/>
    <n v="5"/>
    <n v="6.0000000000000001E-3"/>
    <s v="BK"/>
    <s v="Salt"/>
    <s v="Regular"/>
    <n v="200"/>
    <n v="197"/>
    <n v="3"/>
    <n v="0"/>
    <n v="0"/>
    <m/>
    <m/>
    <m/>
  </r>
  <r>
    <x v="529"/>
    <d v="2023-06-29T00:00:00"/>
    <s v="Week24"/>
    <d v="2023-06-01T00:00:00"/>
    <s v="DRY2300191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530"/>
    <d v="2023-06-29T00:00:00"/>
    <s v="Week24"/>
    <d v="2023-06-01T00:00:00"/>
    <s v="DRY2300187"/>
    <s v="AUS"/>
    <s v="CPM Australia"/>
    <s v="C-Wonton"/>
    <s v="C-Wonton"/>
    <x v="23"/>
    <s v="Cooked Minced Wonton in Tray 6 pcs + Sesame Sauce"/>
    <s v="082SK9U16006P00001"/>
    <s v="117*2tray*8in"/>
    <n v="16"/>
    <n v="6"/>
    <n v="8.1300000000000001E-3"/>
    <s v="BK"/>
    <s v="Salt"/>
    <s v=" Sesame 15g"/>
    <n v="380"/>
    <m/>
    <n v="380"/>
    <n v="0"/>
    <n v="0"/>
    <m/>
    <n v="1"/>
    <n v="6080"/>
  </r>
  <r>
    <x v="530"/>
    <d v="2023-06-26T00:00:00"/>
    <s v="Week24"/>
    <d v="2023-06-01T00:00:00"/>
    <s v="DRY2300050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01"/>
    <n v="19"/>
    <n v="0"/>
    <n v="0"/>
    <m/>
    <m/>
    <m/>
  </r>
  <r>
    <x v="530"/>
    <d v="2023-06-20T00:00:00"/>
    <s v="Week24"/>
    <d v="2023-06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643"/>
    <n v="2643"/>
    <m/>
    <n v="0"/>
    <n v="0"/>
    <m/>
    <m/>
    <m/>
  </r>
  <r>
    <x v="531"/>
    <d v="2023-06-26T00:00:00"/>
    <s v="Week24"/>
    <d v="2023-06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5994"/>
    <n v="5994"/>
    <m/>
    <n v="0"/>
    <n v="0"/>
    <m/>
    <m/>
    <m/>
  </r>
  <r>
    <x v="532"/>
    <d v="2023-06-23T00:00:00"/>
    <s v="Week24"/>
    <d v="2023-06-01T00:00:00"/>
    <s v="KL2300017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408"/>
    <n v="1395"/>
    <n v="13"/>
    <n v="0"/>
    <n v="0"/>
    <n v="0"/>
    <n v="6"/>
    <n v="0"/>
  </r>
  <r>
    <x v="533"/>
    <d v="2023-06-23T00:00:00"/>
    <s v="Week24"/>
    <d v="2023-06-01T00:00:00"/>
    <s v="DRY2300124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1260"/>
    <n v="1260"/>
    <m/>
    <n v="0"/>
    <n v="0"/>
    <n v="0"/>
    <n v="2"/>
    <n v="0"/>
  </r>
  <r>
    <x v="534"/>
    <m/>
    <s v="Week25"/>
    <d v="2023-06-01T00:00:00"/>
    <m/>
    <m/>
    <m/>
    <m/>
    <m/>
    <x v="0"/>
    <m/>
    <m/>
    <m/>
    <m/>
    <m/>
    <m/>
    <m/>
    <m/>
    <m/>
    <m/>
    <m/>
    <m/>
    <m/>
    <m/>
    <m/>
    <m/>
    <m/>
  </r>
  <r>
    <x v="535"/>
    <d v="2023-06-23T00:00:00"/>
    <s v="Week25"/>
    <d v="2023-06-01T00:00:00"/>
    <s v="DRY2300124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364"/>
    <n v="363"/>
    <m/>
    <n v="-1"/>
    <n v="40"/>
    <n v="480"/>
    <n v="2"/>
    <n v="80"/>
  </r>
  <r>
    <x v="535"/>
    <d v="2023-06-28T00:00:00"/>
    <s v="Week25"/>
    <d v="2023-06-01T00:00:00"/>
    <s v="DRY2300189"/>
    <s v="Taiwan"/>
    <s v="CP TAIWAN"/>
    <s v="R-Wonton"/>
    <s v="R-Wonton no egg"/>
    <x v="10"/>
    <s v="Raw Wonton 12 pcs"/>
    <s v="082I93R40012P03001"/>
    <s v="154g*40inner"/>
    <n v="40"/>
    <n v="12"/>
    <n v="8.1300000000000001E-3"/>
    <s v="M"/>
    <s v="Salt"/>
    <s v="ซุปซอง 5g."/>
    <n v="942"/>
    <n v="942"/>
    <m/>
    <n v="0"/>
    <n v="0"/>
    <n v="0"/>
    <n v="2"/>
    <n v="0"/>
  </r>
  <r>
    <x v="536"/>
    <d v="2023-06-28T00:00:00"/>
    <s v="Week25"/>
    <d v="2023-06-01T00:00:00"/>
    <s v="DRY2300189"/>
    <s v="Taiwan"/>
    <s v="CP TAIWAN"/>
    <s v="R-Wonton"/>
    <s v="R-Wonton no egg"/>
    <x v="10"/>
    <s v="Raw Wonton 12 pcs"/>
    <s v="082I93R40012P03001"/>
    <s v="154g*40inner"/>
    <n v="40"/>
    <n v="12"/>
    <n v="8.1300000000000001E-3"/>
    <s v="M"/>
    <s v="Salt"/>
    <s v="ซุปซอง 5g."/>
    <n v="682"/>
    <n v="682"/>
    <n v="24"/>
    <n v="24"/>
    <n v="0"/>
    <n v="0"/>
    <n v="2"/>
    <n v="0"/>
  </r>
  <r>
    <x v="536"/>
    <d v="2023-07-03T00:00:00"/>
    <s v="Week25"/>
    <d v="2023-06-01T00:00:00"/>
    <s v="DRY2300165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1050"/>
    <n v="1027"/>
    <n v="23"/>
    <n v="0"/>
    <n v="0"/>
    <n v="0"/>
    <n v="1"/>
    <n v="0"/>
  </r>
  <r>
    <x v="536"/>
    <d v="2023-07-03T00:00:00"/>
    <s v="Week25"/>
    <d v="2023-06-01T00:00:00"/>
    <s v="DRY2300165"/>
    <s v="HK"/>
    <s v="CPM Hongkong"/>
    <s v="R-Wonton"/>
    <s v="R-Mince"/>
    <x v="9"/>
    <s v="Raw Minced Wonton 8 pcs"/>
    <s v="082ID3G18008P00001"/>
    <s v="90g*18in"/>
    <n v="18"/>
    <n v="8"/>
    <n v="6.0000000000000001E-3"/>
    <s v="BK"/>
    <s v="STPP"/>
    <s v="ซุปซอง 5g."/>
    <n v="350"/>
    <n v="308"/>
    <m/>
    <n v="-42"/>
    <n v="756"/>
    <n v="6048"/>
    <n v="2"/>
    <n v="1512"/>
  </r>
  <r>
    <x v="536"/>
    <d v="2023-06-26T00:00:00"/>
    <s v="Week25"/>
    <d v="2023-06-01T00:00:00"/>
    <s v="ขายภายใน"/>
    <s v="MTFS"/>
    <s v="ซีพีเอฟ เทรดดิ้ง"/>
    <s v="R-Wonton"/>
    <s v="R-Wonton"/>
    <x v="10"/>
    <s v="เกี๊ยวกุ้งซุปสไตล์ฮ่องกง 12x93g"/>
    <s v="082ID1D12008P00001"/>
    <s v="93g*12in"/>
    <n v="12"/>
    <n v="8"/>
    <n v="6.1999999999999998E-3"/>
    <s v="BK"/>
    <s v="STPP"/>
    <m/>
    <n v="250"/>
    <n v="250"/>
    <m/>
    <n v="0"/>
    <n v="0"/>
    <n v="0"/>
    <m/>
    <n v="0"/>
  </r>
  <r>
    <x v="537"/>
    <d v="2023-07-12T00:00:00"/>
    <s v="Week25"/>
    <d v="2023-06-01T00:00:00"/>
    <s v="DRY2300170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5"/>
    <n v="3"/>
    <n v="0"/>
    <n v="0"/>
    <m/>
    <m/>
    <m/>
  </r>
  <r>
    <x v="538"/>
    <d v="2023-07-25T00:00:00"/>
    <s v="Week25"/>
    <d v="2023-06-01T00:00:00"/>
    <s v="DRY2300171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321"/>
    <n v="321"/>
    <m/>
    <n v="0"/>
    <n v="0"/>
    <m/>
    <m/>
    <m/>
  </r>
  <r>
    <x v="537"/>
    <d v="2023-07-06T00:00:00"/>
    <s v="Week25"/>
    <d v="2023-06-01T00:00:00"/>
    <s v="DRY2300202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537"/>
    <d v="2023-07-01T00:00:00"/>
    <s v="Week25"/>
    <d v="2023-06-01T00:00:00"/>
    <s v="DRY2300195"/>
    <s v="SG"/>
    <s v="CPI Singapore"/>
    <s v="C-Wonton"/>
    <s v="C-Wonton ND"/>
    <x v="5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250"/>
    <n v="250"/>
    <n v="2.375"/>
    <n v="2.375"/>
    <n v="0"/>
    <m/>
    <m/>
    <m/>
  </r>
  <r>
    <x v="537"/>
    <d v="2023-07-01T00:00:00"/>
    <s v="Week25"/>
    <d v="2023-06-01T00:00:00"/>
    <s v="DRY2300197"/>
    <s v="SG"/>
    <s v="CPI SINGAPORE"/>
    <s v="C-Wonton"/>
    <s v="C-Wonton ND"/>
    <x v="30"/>
    <s v="Cooked Wonton Thai Spicy Noodles (Drunken Noodles)"/>
    <s v="082SJ3B24003P03001"/>
    <s v="229g*24"/>
    <n v="24"/>
    <n v="3"/>
    <n v="8.0000000000000002E-3"/>
    <s v="M"/>
    <s v="Salt"/>
    <s v="Kee Mao 50G."/>
    <n v="420"/>
    <n v="415"/>
    <n v="13.25"/>
    <n v="8.25"/>
    <n v="0"/>
    <m/>
    <m/>
    <m/>
  </r>
  <r>
    <x v="537"/>
    <d v="2023-07-01T00:00:00"/>
    <s v="Week25"/>
    <d v="2023-06-01T00:00:00"/>
    <s v="DRY2300200"/>
    <s v="New Zealand"/>
    <s v="Lim Brothers"/>
    <s v="C-Wonton"/>
    <s v="C-Wonton ND"/>
    <x v="28"/>
    <s v="Cooked Minced Wonton Thai Spicy Noodles (Kee Mao Noodles)"/>
    <s v="082SRN708003P02001"/>
    <s v="219g*8"/>
    <n v="8"/>
    <n v="3"/>
    <n v="6.0000000000000001E-3"/>
    <s v="BK"/>
    <s v="Salt"/>
    <s v="Kee Mao 50G."/>
    <n v="125"/>
    <m/>
    <n v="125"/>
    <n v="0"/>
    <n v="0"/>
    <m/>
    <m/>
    <m/>
  </r>
  <r>
    <x v="537"/>
    <d v="2023-07-22T00:00:00"/>
    <s v="Week25"/>
    <d v="2023-06-01T00:00:00"/>
    <s v="DRY2300201"/>
    <s v="New Zealand"/>
    <s v="Lim Brothers"/>
    <s v="C-Wonton"/>
    <s v="C-Wonton ND"/>
    <x v="28"/>
    <s v="Cooked Minced Wonton Thai Spicy Noodles (Kee Mao Noodles)"/>
    <s v="082SRN708003P02001"/>
    <s v="219g*8"/>
    <n v="8"/>
    <n v="3"/>
    <n v="6.0000000000000001E-3"/>
    <s v="BK"/>
    <s v="Salt"/>
    <s v="Kee Mao 50G."/>
    <n v="92"/>
    <m/>
    <n v="86.875"/>
    <n v="-5.125"/>
    <n v="41"/>
    <m/>
    <m/>
    <m/>
  </r>
  <r>
    <x v="538"/>
    <d v="2023-07-25T00:00:00"/>
    <s v="Week25"/>
    <d v="2023-06-01T00:00:00"/>
    <s v="DRY2300171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967"/>
    <n v="967"/>
    <m/>
    <n v="0"/>
    <n v="0"/>
    <m/>
    <m/>
    <m/>
  </r>
  <r>
    <x v="538"/>
    <d v="2023-06-27T00:00:00"/>
    <s v="Week25"/>
    <d v="2023-06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1507"/>
    <n v="1507"/>
    <m/>
    <n v="0"/>
    <n v="0"/>
    <m/>
    <m/>
    <m/>
  </r>
  <r>
    <x v="538"/>
    <d v="2023-07-04T00:00:00"/>
    <s v="Week25"/>
    <d v="2023-06-01T00:00:00"/>
    <s v="DRY2300166"/>
    <s v="Germany"/>
    <s v=" CPF Distribution (under Paulsen Food)"/>
    <s v="C-Wonton"/>
    <s v="C-Wonton ND"/>
    <x v="5"/>
    <s v="Cooked Wonton ND No Egg with Pumpkin _x000a_+ Vegetable  HC  3 pcs"/>
    <s v="082SJ3N12003P01001"/>
    <s v="309g*12"/>
    <n v="12"/>
    <n v="3"/>
    <n v="7.4999999999999997E-3"/>
    <s v="HC"/>
    <s v="Salt"/>
    <s v="Regular"/>
    <n v="2520"/>
    <n v="2520"/>
    <m/>
    <n v="0"/>
    <n v="0"/>
    <m/>
    <m/>
    <m/>
  </r>
  <r>
    <x v="539"/>
    <d v="2023-07-12T00:00:00"/>
    <s v="Week25"/>
    <d v="2023-06-01T00:00:00"/>
    <s v="DRY2300161"/>
    <s v="New Zealand"/>
    <s v="Cuisine 360"/>
    <s v="C-Wonton"/>
    <s v="C-Wonton ND"/>
    <x v="5"/>
    <s v="Cooked Wonton ND No Egg with Pumpkin_x000a_+ Yu Choy "/>
    <s v="082SJN736005P00001"/>
    <s v="308g*6c*6in"/>
    <n v="36"/>
    <n v="5"/>
    <n v="7.4999999999999997E-3"/>
    <s v="HC"/>
    <s v="Salt"/>
    <s v="Regular"/>
    <n v="320"/>
    <n v="320"/>
    <m/>
    <n v="0"/>
    <n v="0"/>
    <m/>
    <m/>
    <m/>
  </r>
  <r>
    <x v="539"/>
    <d v="2023-07-13T00:00:00"/>
    <s v="Week25"/>
    <d v="2023-06-01T00:00:00"/>
    <s v="DRY2300203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539"/>
    <d v="2023-07-13T00:00:00"/>
    <s v="Week25"/>
    <d v="2023-06-01T00:00:00"/>
    <s v="DRY2300229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539"/>
    <d v="2023-07-20T00:00:00"/>
    <s v="Week25"/>
    <d v="2023-06-01T00:00:00"/>
    <s v="DRY2300230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320"/>
    <n v="250"/>
    <n v="69.972222222222229"/>
    <n v="-2.7777777777771462E-2"/>
    <n v="1"/>
    <m/>
    <m/>
    <m/>
  </r>
  <r>
    <x v="539"/>
    <d v="2023-07-22T00:00:00"/>
    <s v="Week25"/>
    <d v="2023-06-01T00:00:00"/>
    <s v="DRY2300201"/>
    <s v="New Zealand"/>
    <s v="Lim Brothers"/>
    <s v="C-Wonton"/>
    <s v="C-Wonton ND"/>
    <x v="17"/>
    <s v="Cooked Minced  ND No Egg with Pumpkin_x000a_+ Yu Choy Tomyum"/>
    <s v="082SRN708003P00001"/>
    <s v="302g*8"/>
    <n v="8"/>
    <n v="3"/>
    <n v="6.0000000000000001E-3"/>
    <s v="BK"/>
    <s v="Salt"/>
    <s v="TYA+CO"/>
    <n v="510"/>
    <m/>
    <n v="561.75"/>
    <n v="51.75"/>
    <n v="0"/>
    <m/>
    <m/>
    <m/>
  </r>
  <r>
    <x v="539"/>
    <d v="2023-07-08T00:00:00"/>
    <s v="Week25"/>
    <d v="2023-06-01T00:00:00"/>
    <s v="DRY2300163"/>
    <s v="Germany"/>
    <s v=" CPF Distribution (under Paulsen Food)"/>
    <s v="C-Wonton"/>
    <s v="C-Wonton ND"/>
    <x v="17"/>
    <s v="Cooked Minced  ND No Egg with Pumpkin_x000a_+ Yu Choy Tomyum"/>
    <s v="082SR3N12003P00001"/>
    <s v="302g*12"/>
    <n v="12"/>
    <n v="3"/>
    <n v="6.0000000000000001E-3"/>
    <s v="BK"/>
    <s v="Salt"/>
    <s v="TYEX+CO"/>
    <n v="2520"/>
    <n v="2520"/>
    <m/>
    <n v="0"/>
    <n v="0"/>
    <m/>
    <m/>
    <m/>
  </r>
  <r>
    <x v="540"/>
    <d v="2023-07-01T00:00:00"/>
    <s v="Week25"/>
    <d v="2023-06-01T00:00:00"/>
    <s v="DRY2300192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2300"/>
    <n v="2246"/>
    <n v="54"/>
    <n v="0"/>
    <n v="0"/>
    <n v="0"/>
    <n v="2"/>
    <n v="0"/>
  </r>
  <r>
    <x v="540"/>
    <d v="2023-07-01T00:00:00"/>
    <s v="Week25"/>
    <d v="2023-06-01T00:00:00"/>
    <s v="DRY2300196"/>
    <s v="SG"/>
    <s v="CPI SINGAPORE"/>
    <s v="R-Wonton"/>
    <s v="R-Wonton"/>
    <x v="18"/>
    <s v="Raw Wonton 50 pcs (Fried Sheet)"/>
    <s v="082I93B10050P04001"/>
    <s v="600g*10inner"/>
    <n v="10"/>
    <n v="50"/>
    <n v="6.8100000000000001E-3"/>
    <s v="S"/>
    <s v="STPP"/>
    <s v="-"/>
    <n v="200"/>
    <n v="200"/>
    <m/>
    <n v="0"/>
    <n v="0"/>
    <n v="0"/>
    <m/>
    <n v="0"/>
  </r>
  <r>
    <x v="541"/>
    <m/>
    <s v="Week26"/>
    <d v="2023-06-01T00:00:00"/>
    <m/>
    <m/>
    <m/>
    <m/>
    <m/>
    <x v="0"/>
    <m/>
    <m/>
    <m/>
    <m/>
    <m/>
    <m/>
    <m/>
    <m/>
    <m/>
    <m/>
    <m/>
    <m/>
    <m/>
    <m/>
    <m/>
    <m/>
    <m/>
  </r>
  <r>
    <x v="542"/>
    <d v="2023-07-01T00:00:00"/>
    <s v="Week26"/>
    <d v="2023-06-01T00:00:00"/>
    <s v="DRY2300200"/>
    <s v="New Zealand"/>
    <s v="Lim Brothers"/>
    <s v="C-Wonton"/>
    <s v="C-Wonton"/>
    <x v="23"/>
    <s v="Cooked Minced Wonton in Tray 6 pcs + Sesame Sauce"/>
    <s v="082SKN716006P00001"/>
    <s v="117*2tray*8in"/>
    <n v="16"/>
    <n v="6"/>
    <n v="6.0000000000000001E-3"/>
    <s v="BK"/>
    <s v="Salt"/>
    <s v=" Sesame 15g"/>
    <n v="125"/>
    <n v="8"/>
    <n v="117"/>
    <n v="0"/>
    <n v="0"/>
    <m/>
    <n v="1"/>
    <n v="2000"/>
  </r>
  <r>
    <x v="542"/>
    <d v="2023-07-22T00:00:00"/>
    <s v="Week26"/>
    <d v="2023-06-01T00:00:00"/>
    <s v="DRY2300201"/>
    <s v="New Zealand"/>
    <s v="Lim Brothers"/>
    <s v="C-Wonton"/>
    <s v="C-Wonton"/>
    <x v="23"/>
    <s v="Cooked Minced Wonton in Tray 6 pcs + Sesame Sauce"/>
    <s v="082SKN716006P00001"/>
    <s v="117*2tray*8in"/>
    <n v="16"/>
    <n v="6"/>
    <n v="6.0000000000000001E-3"/>
    <s v="BK"/>
    <s v="Salt"/>
    <s v=" Sesame 15g"/>
    <n v="93"/>
    <n v="93"/>
    <n v="69"/>
    <n v="69"/>
    <n v="0"/>
    <m/>
    <n v="1"/>
    <n v="1488"/>
  </r>
  <r>
    <x v="542"/>
    <d v="2023-07-12T00:00:00"/>
    <s v="Week26"/>
    <d v="2023-06-01T00:00:00"/>
    <s v="DRY2300204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344"/>
    <m/>
    <n v="344.125"/>
    <n v="0.125"/>
    <n v="0"/>
    <m/>
    <n v="1"/>
    <n v="5504"/>
  </r>
  <r>
    <x v="542"/>
    <d v="2023-07-25T00:00:00"/>
    <s v="Week26"/>
    <d v="2023-06-01T00:00:00"/>
    <s v="DRY2300208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82"/>
    <n v="6"/>
    <n v="0"/>
    <n v="0"/>
    <m/>
    <m/>
    <m/>
  </r>
  <r>
    <x v="542"/>
    <d v="2023-07-12T00:00:00"/>
    <s v="Week26"/>
    <d v="2023-06-01T00:00:00"/>
    <s v="DRY2300204"/>
    <s v="USA"/>
    <s v="Bellisio Foods, Inc."/>
    <s v="C-Wonton"/>
    <s v="C-Wonton ND"/>
    <x v="7"/>
    <s v="Cooked Minced Wonton No Egg"/>
    <s v="082SKBW08005P00001"/>
    <s v="145g*8"/>
    <n v="8"/>
    <n v="5"/>
    <n v="6.0000000000000001E-3"/>
    <s v="BK"/>
    <s v="Salt"/>
    <s v="Regular"/>
    <n v="700"/>
    <m/>
    <n v="690.375"/>
    <n v="-9.625"/>
    <n v="77"/>
    <m/>
    <m/>
    <m/>
  </r>
  <r>
    <x v="542"/>
    <d v="2023-07-03T00:00:00"/>
    <s v="Week26"/>
    <d v="2023-06-01T00:00:00"/>
    <s v="DRY2300165"/>
    <s v="HK"/>
    <s v="CPM HONGKONG"/>
    <s v="C-Wonton"/>
    <s v="C-Wonton ND"/>
    <x v="7"/>
    <s v="Cooked Minced Wonton No Egg  4 pcs"/>
    <s v="082SK3G12004P00001"/>
    <s v="113g*12"/>
    <n v="12"/>
    <n v="4"/>
    <n v="6.0000000000000001E-3"/>
    <s v="BK"/>
    <s v="Salt"/>
    <s v="Regular"/>
    <n v="200"/>
    <n v="199"/>
    <n v="0.83333333333333337"/>
    <n v="-0.16666666666665719"/>
    <n v="2"/>
    <m/>
    <m/>
    <m/>
  </r>
  <r>
    <x v="542"/>
    <d v="2023-07-01T00:00:00"/>
    <s v="Week26"/>
    <d v="2023-06-01T00:00:00"/>
    <s v="DRY2300200"/>
    <s v="New Zealand"/>
    <s v="Lim Brothers"/>
    <s v="C-Wonton"/>
    <s v="C-Wonton ND"/>
    <x v="5"/>
    <s v="Cooked Wonton ND No Egg with Pumpkin_x000a_+ Yu Choy "/>
    <s v="082SJN708004P00001"/>
    <s v="305g*8"/>
    <n v="8"/>
    <n v="4"/>
    <n v="7.4999999999999997E-3"/>
    <s v="HC"/>
    <s v="Salt"/>
    <s v="Regular"/>
    <n v="895"/>
    <m/>
    <n v="895"/>
    <n v="0"/>
    <n v="0"/>
    <m/>
    <m/>
    <m/>
  </r>
  <r>
    <x v="542"/>
    <d v="2023-07-22T00:00:00"/>
    <s v="Week26"/>
    <d v="2023-06-01T00:00:00"/>
    <s v="DRY2300201"/>
    <s v="New Zealand"/>
    <s v="Lim Brothers"/>
    <s v="C-Wonton"/>
    <s v="C-Wonton ND"/>
    <x v="5"/>
    <s v="Cooked Wonton ND No Egg with Pumpkin_x000a_+ Yu Choy "/>
    <s v="082SJN708004P00001"/>
    <s v="305g*8"/>
    <n v="8"/>
    <n v="4"/>
    <n v="7.4999999999999997E-3"/>
    <s v="HC"/>
    <s v="Salt"/>
    <s v="Regular"/>
    <n v="560"/>
    <m/>
    <n v="704.75"/>
    <n v="144.75"/>
    <n v="0"/>
    <m/>
    <m/>
    <m/>
  </r>
  <r>
    <x v="542"/>
    <d v="2023-07-04T00:00:00"/>
    <s v="Week26"/>
    <d v="2023-06-01T00:00:00"/>
    <s v="DRY2300199"/>
    <s v="Germany"/>
    <s v=" CPF Distribution (under Paulsen Food)"/>
    <s v="C-Wonton"/>
    <s v="C-Wonton ND"/>
    <x v="27"/>
    <s v="Cooked Minced  ND No Egg with Pumpkin_x000a_+ Yu Choy Tomkha"/>
    <s v="082SR3N12003P01001"/>
    <s v="302g*12"/>
    <n v="12"/>
    <n v="3"/>
    <n v="6.0000000000000001E-3"/>
    <s v="BK"/>
    <s v="Salt"/>
    <s v="Tomkha+CM"/>
    <n v="2520"/>
    <n v="2520"/>
    <m/>
    <n v="0"/>
    <n v="0"/>
    <m/>
    <m/>
    <m/>
  </r>
  <r>
    <x v="542"/>
    <d v="2023-07-01T00:00:00"/>
    <s v="Week26"/>
    <d v="2023-06-01T00:00:00"/>
    <s v="DRY2300200"/>
    <s v="New Zealand"/>
    <s v="Lim Brothers"/>
    <s v="C-Wonton"/>
    <s v="C-Wonton ND"/>
    <x v="27"/>
    <s v="Cooked Minced  ND No Egg with Pumpkin_x000a_+ Yu Choy Tomkha"/>
    <s v="082SRN708003P01001"/>
    <s v="302g*8"/>
    <n v="8"/>
    <n v="3"/>
    <n v="6.0000000000000001E-3"/>
    <s v="BK"/>
    <s v="Salt"/>
    <s v="Tomkha+CM"/>
    <n v="310"/>
    <m/>
    <n v="310"/>
    <n v="0"/>
    <n v="0"/>
    <m/>
    <m/>
    <m/>
  </r>
  <r>
    <x v="542"/>
    <d v="2023-07-22T00:00:00"/>
    <s v="Week26"/>
    <d v="2023-06-01T00:00:00"/>
    <s v="DRY2300201"/>
    <s v="New Zealand"/>
    <s v="Lim Brothers"/>
    <s v="C-Wonton"/>
    <s v="C-Wonton ND"/>
    <x v="27"/>
    <s v="Cooked Minced  ND No Egg with Pumpkin_x000a_+ Yu Choy Tomkha"/>
    <s v="082SRN708003P01001"/>
    <s v="302g*8"/>
    <n v="8"/>
    <n v="3"/>
    <n v="6.0000000000000001E-3"/>
    <s v="BK"/>
    <s v="Salt"/>
    <s v="Tomkha+CM"/>
    <n v="200"/>
    <m/>
    <n v="228"/>
    <n v="28"/>
    <n v="0"/>
    <m/>
    <m/>
    <m/>
  </r>
  <r>
    <x v="543"/>
    <d v="2023-07-12T00:00:00"/>
    <s v="Week26"/>
    <d v="2023-06-01T00:00:00"/>
    <s v="DRY2300204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237"/>
    <m/>
    <n v="237"/>
    <n v="0"/>
    <n v="0"/>
    <m/>
    <n v="1"/>
    <n v="3792"/>
  </r>
  <r>
    <x v="543"/>
    <d v="2023-07-17T00:00:00"/>
    <s v="Week26"/>
    <d v="2023-06-01T00:00:00"/>
    <s v="DRY230022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630"/>
    <n v="162.30555555555554"/>
    <n v="0.30555555555554292"/>
    <n v="0"/>
    <m/>
    <m/>
    <m/>
  </r>
  <r>
    <x v="543"/>
    <d v="2023-07-18T00:00:00"/>
    <s v="Week26"/>
    <d v="2023-06-01T00:00:00"/>
    <s v="DRY230022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1000000000000004E-3"/>
    <s v="HC"/>
    <s v="Salt"/>
    <s v="Y3"/>
    <n v="792"/>
    <n v="792"/>
    <m/>
    <n v="0"/>
    <n v="0"/>
    <m/>
    <m/>
    <m/>
  </r>
  <r>
    <x v="543"/>
    <d v="2023-07-18T00:00:00"/>
    <s v="Week26"/>
    <d v="2023-06-01T00:00:00"/>
    <s v="DRY230022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43"/>
    <d v="2023-07-18T00:00:00"/>
    <s v="Week26"/>
    <d v="2023-06-01T00:00:00"/>
    <s v="DRY230022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82"/>
    <n v="782"/>
    <m/>
    <n v="0"/>
    <n v="0"/>
    <m/>
    <m/>
    <m/>
  </r>
  <r>
    <x v="544"/>
    <d v="2023-07-12T00:00:00"/>
    <s v="Week26"/>
    <d v="2023-06-01T00:00:00"/>
    <s v="DRY2300204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919"/>
    <n v="2"/>
    <n v="920.625"/>
    <n v="3.625"/>
    <n v="0"/>
    <m/>
    <n v="1"/>
    <n v="14704"/>
  </r>
  <r>
    <x v="544"/>
    <d v="2023-07-20T00:00:00"/>
    <s v="Week26"/>
    <d v="2023-06-01T00:00:00"/>
    <s v="DRY2300169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544"/>
    <d v="2023-07-25T00:00:00"/>
    <s v="Week26"/>
    <d v="2023-06-01T00:00:00"/>
    <s v="DRY2300228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545"/>
    <m/>
    <s v="Week26"/>
    <d v="2023-06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3124"/>
    <n v="3124"/>
    <m/>
    <n v="0"/>
    <n v="0"/>
    <m/>
    <m/>
    <m/>
  </r>
  <r>
    <x v="545"/>
    <d v="2023-07-03T00:00:00"/>
    <s v="Week26"/>
    <d v="2023-06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2548"/>
    <n v="2548"/>
    <m/>
    <n v="0"/>
    <n v="0"/>
    <m/>
    <m/>
    <m/>
  </r>
  <r>
    <x v="546"/>
    <d v="2023-07-03T00:00:00"/>
    <s v="Week26"/>
    <d v="2023-06-01T00:00:00"/>
    <s v="ขายภายใน"/>
    <s v="MTFS"/>
    <s v="ซีพีเอฟ เทรดดิ้ง"/>
    <s v="C-Wonton"/>
    <s v="C-Wonton"/>
    <x v="12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m/>
    <m/>
    <m/>
  </r>
  <r>
    <x v="546"/>
    <d v="2023-07-03T00:00:00"/>
    <s v="Week26"/>
    <d v="2023-06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500"/>
    <n v="500"/>
    <m/>
    <n v="0"/>
    <n v="0"/>
    <m/>
    <m/>
    <m/>
  </r>
  <r>
    <x v="546"/>
    <d v="2023-07-03T00:00:00"/>
    <s v="Week26"/>
    <d v="2023-06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1600"/>
    <n v="1600"/>
    <m/>
    <n v="0"/>
    <n v="0"/>
    <m/>
    <n v="1"/>
    <n v="0"/>
  </r>
  <r>
    <x v="546"/>
    <d v="2023-07-03T00:00:00"/>
    <s v="Week26"/>
    <d v="2023-06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1700"/>
    <n v="8"/>
    <n v="1692"/>
    <n v="0"/>
    <n v="0"/>
    <m/>
    <n v="1"/>
    <n v="0"/>
  </r>
  <r>
    <x v="546"/>
    <d v="2023-07-03T00:00:00"/>
    <s v="Week26"/>
    <d v="2023-06-01T00:00:00"/>
    <s v="ขายภายใน"/>
    <s v="MTFS"/>
    <s v="ซีพีเอฟ เทรดดิ้ง"/>
    <s v="C-Wonton"/>
    <s v="C-Wonton"/>
    <x v="14"/>
    <s v="Minced Wonton (5pcs)"/>
    <s v="082SK3Q12005P00001"/>
    <s v="135g*12"/>
    <n v="12"/>
    <n v="5"/>
    <n v="6.0000000000000001E-3"/>
    <s v="BK"/>
    <s v="STPP"/>
    <s v="Regular"/>
    <n v="1400"/>
    <n v="1400"/>
    <m/>
    <n v="0"/>
    <n v="0"/>
    <m/>
    <m/>
    <m/>
  </r>
  <r>
    <x v="546"/>
    <d v="2023-07-03T00:00:00"/>
    <s v="Week26"/>
    <d v="2023-06-01T00:00:00"/>
    <s v="ขายภายใน"/>
    <s v="MTFS"/>
    <s v="ซีพีเอฟ เทรดดิ้ง"/>
    <s v="C-Wonton"/>
    <s v="C-Wonton"/>
    <x v="22"/>
    <s v="Minced Noodle with egg V-Food (3 pcs)"/>
    <s v="082SR3Q12003P00001"/>
    <s v="191g*12"/>
    <n v="12"/>
    <n v="3"/>
    <n v="6.0000000000000001E-3"/>
    <s v="BK"/>
    <s v="STPP"/>
    <s v="Regular"/>
    <n v="900"/>
    <n v="900"/>
    <m/>
    <n v="0"/>
    <n v="0"/>
    <m/>
    <m/>
    <m/>
  </r>
  <r>
    <x v="546"/>
    <d v="2023-07-03T00:00:00"/>
    <s v="Week26"/>
    <d v="2023-06-01T00:00:00"/>
    <s v="ขายภายใน"/>
    <s v="MTFS"/>
    <s v="ซีพีเอฟ เทรดดิ้ง"/>
    <s v="C-Wonton"/>
    <s v="C-Wonton"/>
    <x v="11"/>
    <s v="Cooked Wonton ND with egg V-Food"/>
    <s v="082SJ3Q12003P07001"/>
    <s v="226g*12"/>
    <n v="12"/>
    <n v="3"/>
    <n v="8.0000000000000002E-3"/>
    <s v="M"/>
    <s v="STPP"/>
    <s v="Regular"/>
    <n v="1400"/>
    <n v="1400"/>
    <m/>
    <n v="0"/>
    <n v="0"/>
    <m/>
    <m/>
    <m/>
  </r>
  <r>
    <x v="546"/>
    <d v="2023-07-03T00:00:00"/>
    <s v="Week26"/>
    <d v="2023-06-01T00:00:00"/>
    <s v="ขายภายใน"/>
    <s v=".7-11"/>
    <s v="ซีพีเอฟ เทรดดิ้ง"/>
    <s v="C-Wonton"/>
    <s v="C-Wonton"/>
    <x v="21"/>
    <s v="Cooked Wonton ND with egg 7-11"/>
    <s v="082SJ1A12003P01001 "/>
    <s v="211g*12"/>
    <n v="12"/>
    <n v="3"/>
    <n v="6.1999999999999998E-3"/>
    <s v="SS"/>
    <s v="STPP"/>
    <s v="TYNSF"/>
    <n v="2557"/>
    <n v="2557"/>
    <m/>
    <n v="0"/>
    <n v="0"/>
    <m/>
    <m/>
    <m/>
  </r>
  <r>
    <x v="547"/>
    <m/>
    <s v="Week26"/>
    <d v="2023-07-01T00:00:00"/>
    <s v="ขายภายใน"/>
    <s v="MTFS"/>
    <s v="ซีพีเอฟ เทรดดิ้ง"/>
    <s v="R-Wonton"/>
    <s v="R-Wonton"/>
    <x v="10"/>
    <s v="เกี๊ยวกุ้งซุปสไตล์ฮ่องกง 12x93g"/>
    <s v="082ID1D12008P00001"/>
    <s v="93g*12in"/>
    <n v="12"/>
    <n v="8"/>
    <n v="6.1999999999999998E-3"/>
    <s v="BK"/>
    <s v="STPP"/>
    <m/>
    <n v="210"/>
    <n v="154"/>
    <n v="56"/>
    <n v="0"/>
    <n v="0"/>
    <n v="0"/>
    <m/>
    <n v="0"/>
  </r>
  <r>
    <x v="547"/>
    <m/>
    <s v="Week26"/>
    <d v="2023-07-01T00:00:00"/>
    <s v="ตัวอย่าง"/>
    <s v="MTFS"/>
    <s v="ซีพีเอฟ เทรดดิ้ง"/>
    <s v="R-Wonton"/>
    <s v="R-Wonton"/>
    <x v="10"/>
    <s v="เกี๊ยวกุ้งซุปสไตล์ฮ่องกง 12x93g"/>
    <s v="082ID1D12008P00001"/>
    <s v="93g*12in"/>
    <n v="12"/>
    <n v="8"/>
    <n v="6.1999999999999998E-3"/>
    <s v="BK"/>
    <s v="STPP"/>
    <m/>
    <n v="208"/>
    <n v="208"/>
    <m/>
    <n v="0"/>
    <n v="0"/>
    <n v="0"/>
    <m/>
    <n v="0"/>
  </r>
  <r>
    <x v="547"/>
    <d v="2023-08-07T00:00:00"/>
    <s v="Week26"/>
    <d v="2023-07-01T00:00:00"/>
    <s v="DRY2300205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1400"/>
    <n v="1331"/>
    <n v="69"/>
    <n v="0"/>
    <n v="0"/>
    <n v="0"/>
    <n v="1"/>
    <n v="0"/>
  </r>
  <r>
    <x v="547"/>
    <d v="2023-07-12T00:00:00"/>
    <s v="Week26"/>
    <d v="2023-07-01T00:00:00"/>
    <s v="DRY2300209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699"/>
    <n v="699"/>
    <m/>
    <n v="0"/>
    <n v="0"/>
    <n v="0"/>
    <n v="6"/>
    <n v="0"/>
  </r>
  <r>
    <x v="548"/>
    <m/>
    <s v="Week27"/>
    <d v="2023-07-01T00:00:00"/>
    <m/>
    <m/>
    <m/>
    <m/>
    <m/>
    <x v="0"/>
    <m/>
    <m/>
    <m/>
    <m/>
    <m/>
    <m/>
    <m/>
    <m/>
    <m/>
    <m/>
    <m/>
    <m/>
    <m/>
    <m/>
    <m/>
    <m/>
    <m/>
  </r>
  <r>
    <x v="549"/>
    <d v="2023-07-12T00:00:00"/>
    <s v="Week27"/>
    <d v="2023-07-01T00:00:00"/>
    <s v="DRY2300209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1357"/>
    <n v="1357"/>
    <m/>
    <n v="0"/>
    <n v="0"/>
    <n v="0"/>
    <n v="6"/>
    <n v="0"/>
  </r>
  <r>
    <x v="550"/>
    <d v="2023-07-25T00:00:00"/>
    <s v="Week27"/>
    <d v="2023-07-01T00:00:00"/>
    <s v="DRY2300210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99"/>
    <n v="99"/>
    <m/>
    <n v="0"/>
    <n v="0"/>
    <n v="0"/>
    <n v="6"/>
    <n v="0"/>
  </r>
  <r>
    <x v="550"/>
    <d v="2023-07-25T00:00:00"/>
    <s v="Week27"/>
    <d v="2023-07-01T00:00:00"/>
    <s v="DRY2300210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813"/>
    <n v="813"/>
    <m/>
    <n v="0"/>
    <n v="0"/>
    <n v="0"/>
    <n v="6"/>
    <n v="0"/>
  </r>
  <r>
    <x v="550"/>
    <d v="2023-07-20T00:00:00"/>
    <s v="Week27"/>
    <d v="2023-07-01T00:00:00"/>
    <s v="DRY2300234"/>
    <s v="Belgium"/>
    <s v="CPF EUROPE S.A."/>
    <s v="R-Wonton"/>
    <s v="R-Wonton no egg"/>
    <x v="10"/>
    <s v="Raw Wonton 50 pcs"/>
    <s v="082I93I10050P02001"/>
    <s v="630g*10inner"/>
    <n v="10"/>
    <n v="50"/>
    <n v="8.1300000000000001E-3"/>
    <s v="M"/>
    <s v="Salt"/>
    <s v="ซุปซอง 5g."/>
    <n v="700"/>
    <n v="700"/>
    <n v="11"/>
    <n v="11"/>
    <n v="0"/>
    <n v="0"/>
    <n v="6"/>
    <n v="0"/>
  </r>
  <r>
    <x v="551"/>
    <d v="2023-07-18T00:00:00"/>
    <s v="Week27"/>
    <d v="2023-07-01T00:00:00"/>
    <s v="DRY230022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0"/>
    <n v="10"/>
    <m/>
    <n v="0"/>
    <n v="0"/>
    <m/>
    <m/>
    <m/>
  </r>
  <r>
    <x v="551"/>
    <d v="2023-07-18T00:00:00"/>
    <s v="Week27"/>
    <d v="2023-07-01T00:00:00"/>
    <s v="DRY230023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51"/>
    <d v="2023-07-20T00:00:00"/>
    <s v="Week27"/>
    <d v="2023-07-01T00:00:00"/>
    <s v="DRY230023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51"/>
    <d v="2023-07-20T00:00:00"/>
    <s v="Week27"/>
    <d v="2023-07-01T00:00:00"/>
    <s v="DRY230023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51"/>
    <d v="2023-07-20T00:00:00"/>
    <s v="Week27"/>
    <d v="2023-07-01T00:00:00"/>
    <s v="DRY230023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"/>
    <n v="7"/>
    <m/>
    <n v="0"/>
    <n v="0"/>
    <m/>
    <m/>
    <m/>
  </r>
  <r>
    <x v="551"/>
    <d v="2023-07-10T00:00:00"/>
    <s v="Week27"/>
    <d v="2023-07-01T00:00:00"/>
    <s v="ขายภายใน"/>
    <s v=".7-11"/>
    <s v="ซีพีเอฟ เทรดดิ้ง"/>
    <s v="C-Wonton"/>
    <s v="C-Wonton"/>
    <x v="21"/>
    <s v="Cooked Wonton ND with egg 7-11"/>
    <s v="082SJ1A12003P01001 "/>
    <s v="211g*12"/>
    <n v="12"/>
    <n v="3"/>
    <n v="6.1999999999999998E-3"/>
    <s v="SS"/>
    <s v="STPP"/>
    <s v="TYNSF"/>
    <n v="2443"/>
    <n v="2443"/>
    <m/>
    <n v="0"/>
    <n v="0"/>
    <m/>
    <m/>
    <m/>
  </r>
  <r>
    <x v="552"/>
    <d v="2023-07-20T00:00:00"/>
    <s v="Week27"/>
    <d v="2023-07-01T00:00:00"/>
    <s v="DRY2300233"/>
    <s v="Belgium"/>
    <s v="CPF EUROPE S.A."/>
    <s v="C-Wonton"/>
    <s v="C-Wonton"/>
    <x v="23"/>
    <s v="Cooked Minced Wonton in Tray 6 pcs + Sesame Sauce"/>
    <s v="082SK3I12006P01001"/>
    <s v="132g.*12Pack"/>
    <n v="12"/>
    <n v="6"/>
    <n v="8.0000000000000002E-3"/>
    <s v="BK"/>
    <s v="Salt"/>
    <s v=" sesame 30g"/>
    <n v="500"/>
    <n v="500"/>
    <n v="116.66666666666667"/>
    <n v="116.66666666666663"/>
    <n v="0"/>
    <m/>
    <n v="1"/>
    <n v="6000"/>
  </r>
  <r>
    <x v="552"/>
    <d v="2023-07-20T00:00:00"/>
    <s v="Week27"/>
    <d v="2023-07-01T00:00:00"/>
    <s v="DRY2300233"/>
    <s v="Belgium"/>
    <s v="CPF EUROPE S.A."/>
    <s v="C-Wonton"/>
    <s v="C-Wonton"/>
    <x v="23"/>
    <s v="Cooked Minced Wonton in Tray 6 pcs + Black Vinegar Sauce"/>
    <s v="082SK3I12006P02001"/>
    <s v="132g.*12Pack"/>
    <n v="12"/>
    <n v="6"/>
    <n v="8.0000000000000002E-3"/>
    <s v="BK"/>
    <s v="Salt"/>
    <s v=" Black Vinegar 30g"/>
    <n v="500"/>
    <n v="461"/>
    <n v="383.33333333333331"/>
    <n v="344.33333333333326"/>
    <n v="0"/>
    <m/>
    <n v="1"/>
    <n v="6000"/>
  </r>
  <r>
    <x v="552"/>
    <d v="2023-07-20T00:00:00"/>
    <s v="Week27"/>
    <d v="2023-07-01T00:00:00"/>
    <s v="DRY230023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85"/>
    <n v="785"/>
    <m/>
    <n v="0"/>
    <n v="0"/>
    <m/>
    <m/>
    <m/>
  </r>
  <r>
    <x v="552"/>
    <d v="2023-07-20T00:00:00"/>
    <s v="Week27"/>
    <d v="2023-07-01T00:00:00"/>
    <s v="DRY230023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52"/>
    <d v="2023-07-24T00:00:00"/>
    <s v="Week27"/>
    <d v="2023-07-01T00:00:00"/>
    <s v="DRY230024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52"/>
    <d v="2023-07-24T00:00:00"/>
    <s v="Week27"/>
    <d v="2023-07-01T00:00:00"/>
    <s v="DRY230024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86"/>
    <n v="786"/>
    <m/>
    <n v="0"/>
    <n v="0"/>
    <m/>
    <m/>
    <m/>
  </r>
  <r>
    <x v="553"/>
    <d v="2023-07-20T00:00:00"/>
    <s v="Week27"/>
    <d v="2023-07-01T00:00:00"/>
    <s v="DRY2300233"/>
    <s v="Belgium"/>
    <s v="CPF EUROPE S.A."/>
    <s v="C-Wonton"/>
    <s v="C-Wonton"/>
    <x v="23"/>
    <s v="Cooked Minced Wonton in Tray 6 pcs + Sriracha Chilli Sauce"/>
    <s v="082SK3I12006P00001"/>
    <s v="132g.*12Pack"/>
    <n v="12"/>
    <n v="6"/>
    <n v="8.0000000000000002E-3"/>
    <s v="BK"/>
    <s v="Salt"/>
    <s v=" Sriracha Chilli 30g"/>
    <n v="500"/>
    <m/>
    <n v="551.75"/>
    <n v="51.75"/>
    <n v="0"/>
    <m/>
    <n v="1"/>
    <n v="6000"/>
  </r>
  <r>
    <x v="553"/>
    <d v="2023-07-24T00:00:00"/>
    <s v="Week27"/>
    <d v="2023-07-01T00:00:00"/>
    <s v="DRY230024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"/>
    <n v="6"/>
    <m/>
    <n v="0"/>
    <n v="0"/>
    <m/>
    <m/>
    <m/>
  </r>
  <r>
    <x v="553"/>
    <d v="2023-07-25T00:00:00"/>
    <s v="Week27"/>
    <d v="2023-07-01T00:00:00"/>
    <s v="DRY230024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53"/>
    <d v="2023-07-25T00:00:00"/>
    <s v="Week27"/>
    <d v="2023-07-01T00:00:00"/>
    <s v="DRY230024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53"/>
    <d v="2023-07-25T00:00:00"/>
    <s v="Week27"/>
    <d v="2023-07-01T00:00:00"/>
    <s v="DRY230024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53"/>
    <d v="2023-07-25T00:00:00"/>
    <s v="Week27"/>
    <d v="2023-07-01T00:00:00"/>
    <s v="DRY230024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53"/>
    <d v="2023-07-27T00:00:00"/>
    <s v="Week27"/>
    <d v="2023-07-01T00:00:00"/>
    <s v="DRY230024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7"/>
    <n v="17"/>
    <m/>
    <n v="0"/>
    <n v="0"/>
    <m/>
    <m/>
    <m/>
  </r>
  <r>
    <x v="554"/>
    <d v="2023-07-20T00:00:00"/>
    <s v="Week27"/>
    <d v="2023-07-01T00:00:00"/>
    <s v="DRY2300233"/>
    <s v="Belgium"/>
    <s v="CPF EUROPE S.A."/>
    <s v="C-Wonton"/>
    <s v="C-Wonton"/>
    <x v="25"/>
    <s v="Minced Shrimp Wonton 4 pcs with Dry Noodles Oriental Spices Sauce + Vegetable"/>
    <s v="082SR3I08004P00001"/>
    <s v="316g.*8Pack"/>
    <n v="8"/>
    <n v="4"/>
    <n v="8.0000000000000002E-3"/>
    <s v="BK"/>
    <s v="Salt"/>
    <s v="Oriental Spices Sauce flavor"/>
    <n v="500"/>
    <m/>
    <n v="501.25"/>
    <n v="1.25"/>
    <n v="0"/>
    <m/>
    <n v="1"/>
    <n v="4000"/>
  </r>
  <r>
    <x v="554"/>
    <d v="2023-07-27T00:00:00"/>
    <s v="Week27"/>
    <d v="2023-07-01T00:00:00"/>
    <s v="DRY230024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75"/>
    <n v="775"/>
    <m/>
    <n v="0"/>
    <n v="0"/>
    <m/>
    <m/>
    <m/>
  </r>
  <r>
    <x v="554"/>
    <d v="2023-07-27T00:00:00"/>
    <s v="Week27"/>
    <d v="2023-07-01T00:00:00"/>
    <s v="DRY230024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7"/>
    <n v="27"/>
    <m/>
    <n v="0"/>
    <n v="0"/>
    <m/>
    <m/>
    <m/>
  </r>
  <r>
    <x v="554"/>
    <d v="2023-07-20T00:00:00"/>
    <s v="Week27"/>
    <d v="2023-07-01T00:00:00"/>
    <s v="DRY2300230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472"/>
    <n v="472"/>
    <m/>
    <n v="0"/>
    <n v="0"/>
    <m/>
    <m/>
    <m/>
  </r>
  <r>
    <x v="554"/>
    <d v="2023-07-20T00:00:00"/>
    <s v="Week27"/>
    <d v="2023-07-01T00:00:00"/>
    <s v="DRY2300231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554"/>
    <d v="2023-07-25T00:00:00"/>
    <s v="Week27"/>
    <d v="2023-07-01T00:00:00"/>
    <s v="DRY2300051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14"/>
    <n v="5.916666666666667"/>
    <n v="-8.3333333333484916E-2"/>
    <n v="1"/>
    <m/>
    <m/>
    <m/>
  </r>
  <r>
    <x v="555"/>
    <m/>
    <s v="Week28"/>
    <d v="2023-07-01T00:00:00"/>
    <m/>
    <m/>
    <m/>
    <m/>
    <m/>
    <x v="0"/>
    <m/>
    <m/>
    <m/>
    <m/>
    <m/>
    <m/>
    <m/>
    <m/>
    <m/>
    <m/>
    <m/>
    <m/>
    <m/>
    <m/>
    <m/>
    <m/>
    <m/>
  </r>
  <r>
    <x v="556"/>
    <d v="2023-07-25T00:00:00"/>
    <s v="Week28"/>
    <d v="2023-07-01T00:00:00"/>
    <s v="DRY2300210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1144"/>
    <n v="1144"/>
    <m/>
    <n v="0"/>
    <n v="0"/>
    <n v="0"/>
    <n v="6"/>
    <n v="0"/>
  </r>
  <r>
    <x v="556"/>
    <d v="2023-08-07T00:00:00"/>
    <s v="Week28"/>
    <d v="2023-07-01T00:00:00"/>
    <s v="DRY2300205"/>
    <s v="HK"/>
    <s v="CPM HONGKONG"/>
    <s v="R-Wonton"/>
    <s v="R-Wonton"/>
    <x v="4"/>
    <s v="Raw Wonton 8 pcs"/>
    <s v="082I93G20008P00001"/>
    <s v="194g*20in"/>
    <n v="20"/>
    <n v="8"/>
    <n v="1.4999999999999999E-2"/>
    <s v="JB"/>
    <s v="STPP"/>
    <s v="ซุปซอง 5g."/>
    <n v="250"/>
    <n v="250"/>
    <m/>
    <n v="0"/>
    <n v="0"/>
    <n v="0"/>
    <n v="2"/>
    <n v="0"/>
  </r>
  <r>
    <x v="557"/>
    <d v="2023-08-07T00:00:00"/>
    <s v="Week28"/>
    <d v="2023-07-01T00:00:00"/>
    <s v="DRY2300205"/>
    <s v="HK"/>
    <s v="CPM Hongkong"/>
    <s v="R-Wonton"/>
    <s v="R-Mince"/>
    <x v="9"/>
    <s v="Raw Minced Wonton 8 pcs"/>
    <s v="082ID3G18008P00001"/>
    <s v="90g*18in"/>
    <n v="18"/>
    <n v="8"/>
    <n v="6.0000000000000001E-3"/>
    <s v="BK"/>
    <s v="STPP"/>
    <s v="ซุปซอง 5g."/>
    <n v="350"/>
    <n v="335"/>
    <n v="15"/>
    <n v="0"/>
    <n v="0"/>
    <n v="0"/>
    <n v="2"/>
    <n v="0"/>
  </r>
  <r>
    <x v="557"/>
    <d v="2023-08-01T00:00:00"/>
    <s v="Week28"/>
    <d v="2023-07-01T00:00:00"/>
    <s v="DRY2300261"/>
    <s v="SG"/>
    <s v="CPI SINGAPORE"/>
    <s v="R-Wonton"/>
    <s v="R-Wonton"/>
    <x v="4"/>
    <s v="Raw Wonton 8 pcs"/>
    <s v="082I93B20008P00001"/>
    <s v="194g*20in"/>
    <n v="20"/>
    <n v="8"/>
    <n v="1.4999999999999999E-2"/>
    <s v="JB"/>
    <s v="STPP"/>
    <s v="ซุปซอง 5g."/>
    <n v="400"/>
    <n v="400"/>
    <n v="15"/>
    <n v="15"/>
    <n v="0"/>
    <n v="0"/>
    <n v="2"/>
    <n v="0"/>
  </r>
  <r>
    <x v="557"/>
    <d v="2023-08-01T00:00:00"/>
    <s v="Week28"/>
    <d v="2023-07-01T00:00:00"/>
    <s v="DRY2300262"/>
    <s v="SG"/>
    <s v="CPI SINGAPORE"/>
    <s v="R-Wonton"/>
    <s v="R-Mince"/>
    <x v="9"/>
    <s v="Raw Minced Wonton 8 pcs"/>
    <s v="082ID3B18008P00001"/>
    <s v="90g*18in"/>
    <n v="18"/>
    <n v="8"/>
    <n v="5.0000000000000001E-3"/>
    <s v="BK"/>
    <s v="STPP"/>
    <s v="ซุปซอง 5g."/>
    <n v="600"/>
    <n v="580"/>
    <n v="20"/>
    <n v="0"/>
    <n v="0"/>
    <n v="0"/>
    <n v="2"/>
    <n v="0"/>
  </r>
  <r>
    <x v="557"/>
    <d v="2023-07-17T00:00:00"/>
    <s v="Week28"/>
    <d v="2023-07-01T00:00:00"/>
    <s v="ขายภายใน"/>
    <s v="MTFS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255"/>
    <n v="255"/>
    <m/>
    <n v="0"/>
    <n v="0"/>
    <n v="0"/>
    <m/>
    <n v="0"/>
  </r>
  <r>
    <x v="557"/>
    <d v="2023-08-01T00:00:00"/>
    <s v="Week28"/>
    <d v="2023-07-01T00:00:00"/>
    <s v="ขายภายใน"/>
    <s v="MTFS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765"/>
    <n v="765"/>
    <m/>
    <n v="0"/>
    <n v="0"/>
    <n v="0"/>
    <m/>
    <n v="0"/>
  </r>
  <r>
    <x v="558"/>
    <d v="2023-07-26T00:00:00"/>
    <s v="Week28"/>
    <d v="2023-07-01T00:00:00"/>
    <s v="DRY2300232"/>
    <s v="Malay"/>
    <s v="CPM Malaysia"/>
    <s v="C-Wonton"/>
    <s v="C-Wonton"/>
    <x v="1"/>
    <s v="Cooked Wonton No Egg  "/>
    <s v="082S85I24005P01001"/>
    <s v="145g*24"/>
    <n v="24"/>
    <n v="5"/>
    <n v="8.0000000000000002E-3"/>
    <s v="M"/>
    <s v="STPP"/>
    <s v="Regular"/>
    <n v="940"/>
    <n v="940"/>
    <n v="2.4166666666666665"/>
    <n v="2.4166666666666288"/>
    <n v="0"/>
    <m/>
    <m/>
    <m/>
  </r>
  <r>
    <x v="558"/>
    <d v="2023-07-26T00:00:00"/>
    <s v="Week28"/>
    <d v="2023-07-01T00:00:00"/>
    <s v="DRY2300232"/>
    <s v="Malay"/>
    <s v="CPM Malaysia"/>
    <s v="C-Wonton"/>
    <s v="C-Wonton"/>
    <x v="2"/>
    <s v="Cooked Wonton No Egg  TY"/>
    <s v="082S85I24005P02001"/>
    <s v="115g*24"/>
    <n v="24"/>
    <n v="5"/>
    <n v="8.0000000000000002E-3"/>
    <s v="M"/>
    <s v="STPP"/>
    <s v="TYTB3C 30G"/>
    <n v="1100"/>
    <n v="1100"/>
    <n v="4.625"/>
    <n v="4.625"/>
    <n v="0"/>
    <m/>
    <n v="1"/>
    <n v="0"/>
  </r>
  <r>
    <x v="558"/>
    <d v="2023-07-19T00:00:00"/>
    <s v="Week28"/>
    <d v="2023-07-01T00:00:00"/>
    <s v="DRY2300227"/>
    <s v="CAN "/>
    <s v="Bellisio Foods Canada"/>
    <s v="C-Wonton"/>
    <s v="C-Wonton ND"/>
    <x v="3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m/>
    <m/>
    <m/>
  </r>
  <r>
    <x v="558"/>
    <d v="2023-07-15T00:00:00"/>
    <s v="Week28"/>
    <d v="2023-07-01T00:00:00"/>
    <s v="DRY2300167"/>
    <s v="Germany"/>
    <s v=" CPF Distribution (under Paulsen Food)"/>
    <s v="C-Wonton"/>
    <s v="C-Wonton ND"/>
    <x v="27"/>
    <s v="Cooked Minced  ND No Egg with Pumpkin_x000a_+ Yu Choy Tomkha"/>
    <s v="082SR3N12003P01001"/>
    <s v="302g*12"/>
    <n v="12"/>
    <n v="3"/>
    <n v="6.0000000000000001E-3"/>
    <s v="BK"/>
    <s v="Salt"/>
    <s v="Tomkha+CM"/>
    <n v="2520"/>
    <n v="2520"/>
    <n v="26.5"/>
    <n v="26.5"/>
    <n v="0"/>
    <m/>
    <m/>
    <m/>
  </r>
  <r>
    <x v="559"/>
    <d v="2023-08-01T00:00:00"/>
    <s v="Week28"/>
    <d v="2023-07-01T00:00:00"/>
    <s v="DRY2300257"/>
    <s v="SG"/>
    <s v="CPI SINGAPORE"/>
    <s v="C-Wonton"/>
    <s v="C-Wonton"/>
    <x v="1"/>
    <s v="Cooked Wonton No Egg"/>
    <s v="082S83B24005P07001"/>
    <s v="145g*24"/>
    <n v="24"/>
    <n v="5"/>
    <n v="8.0000000000000002E-3"/>
    <s v="M"/>
    <s v="STPP"/>
    <s v="Regular"/>
    <n v="450"/>
    <n v="421"/>
    <n v="0.79166666666666663"/>
    <n v="-28.208333333333314"/>
    <n v="677"/>
    <m/>
    <m/>
    <m/>
  </r>
  <r>
    <x v="559"/>
    <d v="2023-08-01T00:00:00"/>
    <s v="Week28"/>
    <d v="2023-07-01T00:00:00"/>
    <s v="DRY2300258"/>
    <s v="SG"/>
    <s v="CPI SINGAPORE"/>
    <s v="C-Wonton"/>
    <s v="C-Wonton"/>
    <x v="2"/>
    <s v="Cooked Wonton No Egg"/>
    <s v="082S83B24005P06001"/>
    <s v="115g*24"/>
    <n v="24"/>
    <n v="5"/>
    <n v="8.0000000000000002E-3"/>
    <s v="M"/>
    <s v="STPP"/>
    <s v="TYTB3C 30G"/>
    <n v="500"/>
    <n v="500"/>
    <m/>
    <n v="0"/>
    <n v="0"/>
    <m/>
    <n v="1"/>
    <n v="0"/>
  </r>
  <r>
    <x v="559"/>
    <d v="2023-07-27T00:00:00"/>
    <s v="Week28"/>
    <d v="2023-07-01T00:00:00"/>
    <s v="DRY2300254"/>
    <s v="USA"/>
    <s v="Bellisio Foods, Inc."/>
    <s v="C-Wonton"/>
    <s v="C-Wonton ND"/>
    <x v="7"/>
    <s v="Cooked Minced Wonton No Egg"/>
    <s v="082SKBW08005P00001"/>
    <s v="145g*8"/>
    <n v="8"/>
    <n v="5"/>
    <n v="6.0000000000000001E-3"/>
    <s v="BK"/>
    <s v="Salt"/>
    <s v="Regular"/>
    <n v="5000"/>
    <m/>
    <n v="5000"/>
    <n v="0"/>
    <n v="0"/>
    <m/>
    <m/>
    <m/>
  </r>
  <r>
    <x v="559"/>
    <d v="2023-08-03T00:00:00"/>
    <s v="Week28"/>
    <d v="2023-07-01T00:00:00"/>
    <s v="DRY2300263"/>
    <s v="USA"/>
    <s v="Bellisio Foods, Inc."/>
    <s v="C-Wonton"/>
    <s v="C-Wonton ND"/>
    <x v="7"/>
    <s v="Cooked Minced Wonton No Egg"/>
    <s v="082SKBW08005P00001"/>
    <s v="145g*8"/>
    <n v="8"/>
    <n v="5"/>
    <n v="6.0000000000000001E-3"/>
    <s v="BK"/>
    <s v="Salt"/>
    <s v="Regular"/>
    <n v="1400"/>
    <m/>
    <n v="1400"/>
    <n v="0"/>
    <n v="0"/>
    <m/>
    <m/>
    <m/>
  </r>
  <r>
    <x v="559"/>
    <d v="2023-07-27T00:00:00"/>
    <s v="Week28"/>
    <d v="2023-07-01T00:00:00"/>
    <s v="DRY2300253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3500"/>
    <m/>
    <n v="3500"/>
    <n v="0"/>
    <n v="0"/>
    <m/>
    <m/>
    <m/>
  </r>
  <r>
    <x v="559"/>
    <d v="2023-08-03T00:00:00"/>
    <s v="Week28"/>
    <d v="2023-07-01T00:00:00"/>
    <s v="DRY2300263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1900"/>
    <m/>
    <n v="1905.125"/>
    <n v="5.125"/>
    <n v="0"/>
    <m/>
    <m/>
    <m/>
  </r>
  <r>
    <x v="560"/>
    <d v="2023-08-01T00:00:00"/>
    <s v="Week28"/>
    <d v="2023-07-01T00:00:00"/>
    <s v="DRY2300259"/>
    <s v="SG"/>
    <s v="CPI Singapore"/>
    <s v="C-Wonton"/>
    <s v="C-Wonton ND"/>
    <x v="5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300"/>
    <n v="298"/>
    <n v="2"/>
    <n v="0"/>
    <n v="0"/>
    <m/>
    <m/>
    <m/>
  </r>
  <r>
    <x v="560"/>
    <d v="2023-07-27T00:00:00"/>
    <s v="Week28"/>
    <d v="2023-07-01T00:00:00"/>
    <s v="DRY230024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65"/>
    <n v="765"/>
    <m/>
    <n v="0"/>
    <n v="0"/>
    <m/>
    <m/>
    <m/>
  </r>
  <r>
    <x v="560"/>
    <d v="2023-07-27T00:00:00"/>
    <s v="Week28"/>
    <d v="2023-07-01T00:00:00"/>
    <s v="DRY230024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60"/>
    <d v="2023-07-31T00:00:00"/>
    <s v="Week28"/>
    <d v="2023-07-01T00:00:00"/>
    <s v="DRY230024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60"/>
    <d v="2023-07-31T00:00:00"/>
    <s v="Week28"/>
    <d v="2023-07-01T00:00:00"/>
    <s v="DRY230025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60"/>
    <d v="2023-07-31T00:00:00"/>
    <s v="Week28"/>
    <d v="2023-07-01T00:00:00"/>
    <s v="DRY230025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"/>
    <n v="5"/>
    <m/>
    <n v="0"/>
    <n v="0"/>
    <m/>
    <m/>
    <m/>
  </r>
  <r>
    <x v="561"/>
    <d v="2023-08-01T00:00:00"/>
    <s v="Week28"/>
    <d v="2023-07-01T00:00:00"/>
    <s v="DRY2300260"/>
    <s v="SG"/>
    <s v="CPI SINGAPORE"/>
    <s v="C-Wonton"/>
    <s v="C-Wonton ND"/>
    <x v="30"/>
    <s v="Cooked Wonton Thai Spicy Noodles (Drunken Noodles)"/>
    <s v="082SJ3B24003P03001"/>
    <s v="229g*24"/>
    <n v="24"/>
    <n v="3"/>
    <n v="8.0000000000000002E-3"/>
    <s v="M"/>
    <s v="Salt"/>
    <s v="Kee Mao 50G."/>
    <n v="420"/>
    <n v="420"/>
    <m/>
    <n v="0"/>
    <n v="0"/>
    <m/>
    <m/>
    <m/>
  </r>
  <r>
    <x v="561"/>
    <d v="2023-07-31T00:00:00"/>
    <s v="Week28"/>
    <d v="2023-07-01T00:00:00"/>
    <s v="DRY230025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87"/>
    <n v="787"/>
    <m/>
    <n v="0"/>
    <n v="0"/>
    <m/>
    <m/>
    <m/>
  </r>
  <r>
    <x v="561"/>
    <d v="2023-07-31T00:00:00"/>
    <s v="Week28"/>
    <d v="2023-07-01T00:00:00"/>
    <s v="DRY230025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61"/>
    <d v="2023-07-31T00:00:00"/>
    <s v="Week28"/>
    <d v="2023-07-01T00:00:00"/>
    <s v="DRY230026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65"/>
    <n v="451"/>
    <n v="114.83333333333333"/>
    <n v="0.83333333333337123"/>
    <n v="0"/>
    <m/>
    <m/>
    <m/>
  </r>
  <r>
    <x v="561"/>
    <d v="2023-08-03T00:00:00"/>
    <s v="Week28"/>
    <d v="2023-07-01T00:00:00"/>
    <s v="DRY2300180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</r>
  <r>
    <x v="562"/>
    <m/>
    <s v="Week29"/>
    <d v="2023-07-01T00:00:00"/>
    <m/>
    <m/>
    <m/>
    <m/>
    <m/>
    <x v="0"/>
    <m/>
    <m/>
    <m/>
    <m/>
    <m/>
    <m/>
    <m/>
    <m/>
    <m/>
    <m/>
    <m/>
    <m/>
    <m/>
    <m/>
    <m/>
    <m/>
    <m/>
  </r>
  <r>
    <x v="563"/>
    <d v="2023-07-29T00:00:00"/>
    <s v="Week29"/>
    <d v="2023-07-01T00:00:00"/>
    <s v="KL2300020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408"/>
    <n v="1359"/>
    <n v="49"/>
    <n v="0"/>
    <n v="0"/>
    <n v="0"/>
    <n v="6"/>
    <n v="0"/>
  </r>
  <r>
    <x v="563"/>
    <d v="2023-08-02T00:00:00"/>
    <s v="Week29"/>
    <d v="2023-07-01T00:00:00"/>
    <s v="DRY2300255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242"/>
    <n v="202"/>
    <n v="40"/>
    <n v="0"/>
    <n v="0"/>
    <n v="0"/>
    <n v="6"/>
    <n v="0"/>
  </r>
  <r>
    <x v="564"/>
    <d v="2023-07-31T00:00:00"/>
    <s v="Week29"/>
    <d v="2023-07-01T00:00:00"/>
    <s v="KL2300019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</r>
  <r>
    <x v="564"/>
    <d v="2023-08-02T00:00:00"/>
    <s v="Week29"/>
    <d v="2023-07-01T00:00:00"/>
    <s v="DRY2300255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210"/>
    <n v="210"/>
    <m/>
    <n v="0"/>
    <n v="0"/>
    <n v="0"/>
    <n v="6"/>
    <n v="0"/>
  </r>
  <r>
    <x v="565"/>
    <d v="2023-08-07T00:00:00"/>
    <s v="Week29"/>
    <d v="2023-07-01T00:00:00"/>
    <s v="KL2300021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408"/>
    <n v="1384"/>
    <n v="24"/>
    <n v="0"/>
    <n v="0"/>
    <n v="0"/>
    <n v="6"/>
    <n v="0"/>
  </r>
  <r>
    <x v="565"/>
    <d v="2023-08-02T00:00:00"/>
    <s v="Week29"/>
    <d v="2023-07-01T00:00:00"/>
    <s v="DRY2300255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222"/>
    <n v="222"/>
    <m/>
    <n v="0"/>
    <n v="0"/>
    <n v="0"/>
    <n v="6"/>
    <n v="0"/>
  </r>
  <r>
    <x v="566"/>
    <d v="2023-08-02T00:00:00"/>
    <s v="Week29"/>
    <d v="2023-07-01T00:00:00"/>
    <s v="DRY2300255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787"/>
    <n v="787"/>
    <m/>
    <n v="0"/>
    <n v="0"/>
    <n v="0"/>
    <n v="6"/>
    <n v="0"/>
  </r>
  <r>
    <x v="566"/>
    <d v="2023-08-01T00:00:00"/>
    <s v="Week29"/>
    <d v="2023-07-01T00:00:00"/>
    <s v="DRY2300256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1262"/>
    <n v="1196"/>
    <n v="66"/>
    <n v="0"/>
    <n v="0"/>
    <n v="0"/>
    <n v="2"/>
    <n v="0"/>
  </r>
  <r>
    <x v="567"/>
    <d v="2023-08-02T00:00:00"/>
    <s v="Week29"/>
    <d v="2023-07-01T00:00:00"/>
    <s v="DRY2300255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595"/>
    <n v="595"/>
    <m/>
    <n v="0"/>
    <n v="0"/>
    <n v="0"/>
    <n v="6"/>
    <n v="0"/>
  </r>
  <r>
    <x v="567"/>
    <d v="2023-08-01T00:00:00"/>
    <s v="Week29"/>
    <d v="2023-07-01T00:00:00"/>
    <s v="DRY2300256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1238"/>
    <n v="1238"/>
    <m/>
    <n v="0"/>
    <n v="0"/>
    <n v="0"/>
    <n v="2"/>
    <n v="0"/>
  </r>
  <r>
    <x v="567"/>
    <d v="2023-08-10T00:00:00"/>
    <s v="Week29"/>
    <d v="2023-07-01T00:00:00"/>
    <s v="DRY2300279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233"/>
    <n v="233"/>
    <m/>
    <n v="0"/>
    <n v="0"/>
    <n v="0"/>
    <n v="2"/>
    <n v="0"/>
  </r>
  <r>
    <x v="568"/>
    <d v="2023-08-10T00:00:00"/>
    <s v="Week29"/>
    <d v="2023-07-01T00:00:00"/>
    <s v="DRY2300279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1391"/>
    <n v="1391"/>
    <m/>
    <n v="0"/>
    <n v="0"/>
    <n v="0"/>
    <n v="2"/>
    <n v="0"/>
  </r>
  <r>
    <x v="569"/>
    <m/>
    <s v="Week30"/>
    <d v="2023-07-01T00:00:00"/>
    <m/>
    <m/>
    <m/>
    <m/>
    <m/>
    <x v="0"/>
    <m/>
    <m/>
    <m/>
    <m/>
    <m/>
    <m/>
    <m/>
    <m/>
    <m/>
    <m/>
    <m/>
    <m/>
    <m/>
    <m/>
    <m/>
    <m/>
    <m/>
  </r>
  <r>
    <x v="570"/>
    <d v="2023-08-03T00:00:00"/>
    <s v="Week30"/>
    <d v="2023-07-01T00:00:00"/>
    <s v="DRY2300263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650"/>
    <m/>
    <n v="664.625"/>
    <n v="14.625"/>
    <n v="0"/>
    <m/>
    <n v="1"/>
    <n v="10400"/>
  </r>
  <r>
    <x v="570"/>
    <d v="2023-08-09T00:00:00"/>
    <s v="Week30"/>
    <d v="2023-07-01T00:00:00"/>
    <s v="DRY2300172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73"/>
    <n v="15"/>
    <n v="0"/>
    <n v="0"/>
    <m/>
    <m/>
    <m/>
  </r>
  <r>
    <x v="570"/>
    <d v="2023-08-09T00:00:00"/>
    <s v="Week30"/>
    <d v="2023-07-01T00:00:00"/>
    <s v="DRY2300206"/>
    <s v="CAN "/>
    <s v="Bellisio Foods Canada"/>
    <s v="C-Wonton"/>
    <s v="C-Wonton ND"/>
    <x v="3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12.5833333333335"/>
    <n v="12.583333333333485"/>
    <n v="0"/>
    <m/>
    <m/>
    <m/>
  </r>
  <r>
    <x v="570"/>
    <d v="2023-07-27T00:00:00"/>
    <s v="Week30"/>
    <d v="2023-07-01T00:00:00"/>
    <s v="DRY2300138"/>
    <s v="Japan"/>
    <s v="CPF JAPAN"/>
    <s v="C-Wonton"/>
    <s v="C-Wonton"/>
    <x v="2"/>
    <s v="Cooked Wonton No Egg"/>
    <s v="082S85724004P01001"/>
    <s v="124g*24"/>
    <n v="24"/>
    <n v="4"/>
    <n v="8.0000000000000002E-3"/>
    <s v="M"/>
    <s v="Salt"/>
    <s v="TYEX+CO"/>
    <n v="2048"/>
    <n v="2048"/>
    <m/>
    <n v="0"/>
    <n v="0"/>
    <m/>
    <m/>
    <m/>
  </r>
  <r>
    <x v="571"/>
    <d v="2023-07-31T00:00:00"/>
    <s v="Week30"/>
    <d v="2023-07-01T00:00:00"/>
    <s v="DRY230026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27"/>
    <n v="227"/>
    <m/>
    <n v="0"/>
    <n v="0"/>
    <m/>
    <m/>
    <m/>
  </r>
  <r>
    <x v="571"/>
    <d v="2023-07-31T00:00:00"/>
    <s v="Week30"/>
    <d v="2023-07-01T00:00:00"/>
    <s v="DRY230026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71"/>
    <d v="2023-07-31T00:00:00"/>
    <s v="Week30"/>
    <d v="2023-07-01T00:00:00"/>
    <s v="DRY230026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71"/>
    <d v="2023-08-03T00:00:00"/>
    <s v="Week30"/>
    <d v="2023-07-01T00:00:00"/>
    <s v="DRY230026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84"/>
    <n v="284"/>
    <m/>
    <n v="0"/>
    <n v="0"/>
    <m/>
    <m/>
    <m/>
  </r>
  <r>
    <x v="571"/>
    <d v="2023-08-10T00:00:00"/>
    <s v="Week30"/>
    <d v="2023-07-01T00:00:00"/>
    <s v="DRY2300287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53"/>
    <n v="38.861111111111114"/>
    <n v="-0.13888888888891415"/>
    <n v="5"/>
    <m/>
    <m/>
    <m/>
  </r>
  <r>
    <x v="571"/>
    <d v="2023-08-10T00:00:00"/>
    <s v="Week30"/>
    <d v="2023-07-01T00:00:00"/>
    <s v="DRY2300288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84"/>
    <n v="784"/>
    <m/>
    <n v="0"/>
    <n v="0"/>
    <m/>
    <m/>
    <m/>
  </r>
  <r>
    <x v="572"/>
    <d v="2023-08-01T00:00:00"/>
    <s v="Week30"/>
    <d v="2023-07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3402"/>
    <n v="3402"/>
    <m/>
    <n v="0"/>
    <n v="0"/>
    <m/>
    <m/>
    <m/>
  </r>
  <r>
    <x v="572"/>
    <d v="2023-08-01T00:00:00"/>
    <s v="Week30"/>
    <d v="2023-07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1218"/>
    <n v="1218"/>
    <m/>
    <n v="0"/>
    <n v="0"/>
    <m/>
    <n v="1"/>
    <n v="0"/>
  </r>
  <r>
    <x v="572"/>
    <d v="2023-08-01T00:00:00"/>
    <s v="Week30"/>
    <d v="2023-07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1400"/>
    <n v="1400"/>
    <m/>
    <n v="0"/>
    <n v="0"/>
    <m/>
    <n v="1"/>
    <n v="0"/>
  </r>
  <r>
    <x v="572"/>
    <d v="2023-09-01T00:00:00"/>
    <s v="Week30"/>
    <d v="2023-07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1025"/>
    <n v="23"/>
    <n v="1002.3333333333334"/>
    <n v="0.33333333333348492"/>
    <n v="0"/>
    <m/>
    <n v="1"/>
    <n v="0"/>
  </r>
  <r>
    <x v="572"/>
    <d v="2023-08-25T00:00:00"/>
    <s v="Week30"/>
    <d v="2023-07-01T00:00:00"/>
    <s v="ขายภายใน"/>
    <s v="5 Stars"/>
    <s v="CPFB"/>
    <m/>
    <m/>
    <x v="16"/>
    <s v="Cooked Wonton with egg "/>
    <s v="082S81N16020P00001"/>
    <s v="20 pcs*16"/>
    <n v="64"/>
    <n v="5"/>
    <n v="7.0000000000000001E-3"/>
    <s v="S"/>
    <s v="STPP"/>
    <s v="-"/>
    <n v="119"/>
    <n v="119"/>
    <m/>
    <n v="0"/>
    <n v="0"/>
    <m/>
    <m/>
    <m/>
  </r>
  <r>
    <x v="573"/>
    <d v="2023-08-01T00:00:00"/>
    <s v="Week30"/>
    <d v="2023-07-01T00:00:00"/>
    <s v="ขายภายใน"/>
    <s v="MTFS"/>
    <s v="ซีพีเอฟ เทรดดิ้ง"/>
    <s v="C-Wonton"/>
    <s v="C-Wonton"/>
    <x v="12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m/>
    <m/>
    <m/>
  </r>
  <r>
    <x v="573"/>
    <d v="2023-08-01T00:00:00"/>
    <s v="Week30"/>
    <d v="2023-07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3616"/>
    <n v="3616"/>
    <m/>
    <n v="0"/>
    <n v="0"/>
    <m/>
    <m/>
    <m/>
  </r>
  <r>
    <x v="573"/>
    <d v="2023-08-01T00:00:00"/>
    <s v="Week30"/>
    <d v="2023-07-01T00:00:00"/>
    <s v="ขายภายใน"/>
    <s v="MTFS"/>
    <s v="ซีพีเอฟ เทรดดิ้ง"/>
    <s v="C-Wonton"/>
    <s v="C-Wonton"/>
    <x v="14"/>
    <s v="Minced Wonton (5pcs)"/>
    <s v="082SK3Q12005P00001"/>
    <s v="135g*12"/>
    <n v="12"/>
    <n v="5"/>
    <n v="6.0000000000000001E-3"/>
    <s v="BK"/>
    <s v="STPP"/>
    <s v="Regular"/>
    <n v="1226"/>
    <n v="1200"/>
    <n v="26.166666666666668"/>
    <n v="0.16666666666674246"/>
    <n v="0"/>
    <m/>
    <m/>
    <m/>
  </r>
  <r>
    <x v="573"/>
    <d v="2023-08-01T00:00:00"/>
    <s v="Week30"/>
    <d v="2023-07-01T00:00:00"/>
    <s v="ขายภายใน"/>
    <s v="MTFS"/>
    <s v="ซีพีเอฟ เทรดดิ้ง"/>
    <s v="C-Wonton"/>
    <s v="C-Wonton"/>
    <x v="22"/>
    <s v="Minced Noodle with egg V-Food (3 pcs)"/>
    <s v="082SR3Q12003P00001"/>
    <s v="191g*12"/>
    <n v="12"/>
    <n v="3"/>
    <n v="6.0000000000000001E-3"/>
    <s v="BK"/>
    <s v="STPP"/>
    <s v="Regular"/>
    <n v="1203"/>
    <n v="1203"/>
    <m/>
    <n v="0"/>
    <n v="0"/>
    <m/>
    <m/>
    <m/>
  </r>
  <r>
    <x v="573"/>
    <d v="2023-08-01T00:00:00"/>
    <s v="Week30"/>
    <d v="2023-07-01T00:00:00"/>
    <s v="ขายภายใน"/>
    <s v="MTFS"/>
    <s v="ซีพีเอฟ เทรดดิ้ง"/>
    <s v="C-Wonton"/>
    <s v="C-Wonton"/>
    <x v="11"/>
    <s v="Cooked Wonton ND with egg V-Food"/>
    <s v="082SJ3Q12003P07001"/>
    <s v="226g*12"/>
    <n v="12"/>
    <n v="3"/>
    <n v="8.0000000000000002E-3"/>
    <s v="M"/>
    <s v="STPP"/>
    <s v="Regular"/>
    <n v="1021"/>
    <n v="1021"/>
    <m/>
    <n v="0"/>
    <n v="0"/>
    <m/>
    <m/>
    <m/>
  </r>
  <r>
    <x v="573"/>
    <d v="2023-08-01T00:00:00"/>
    <s v="Week30"/>
    <d v="2023-07-01T00:00:00"/>
    <s v="ขายภายใน"/>
    <s v=".7-11"/>
    <s v="ซีพีเอฟ เทรดดิ้ง"/>
    <s v="C-Wonton"/>
    <s v="C-Wonton"/>
    <x v="21"/>
    <s v="Cooked Wonton ND with egg 7-11"/>
    <s v="082SJ1A12003P01001 "/>
    <s v="211g*12"/>
    <n v="12"/>
    <n v="3"/>
    <n v="6.1999999999999998E-3"/>
    <s v="SS"/>
    <s v="STPP"/>
    <s v="TYNSF"/>
    <n v="4250"/>
    <n v="4269"/>
    <n v="21.125"/>
    <n v="40.125"/>
    <n v="0"/>
    <m/>
    <m/>
    <m/>
  </r>
  <r>
    <x v="574"/>
    <m/>
    <s v="Week30"/>
    <d v="2023-07-01T00:00:00"/>
    <m/>
    <m/>
    <m/>
    <m/>
    <m/>
    <x v="0"/>
    <m/>
    <m/>
    <m/>
    <m/>
    <m/>
    <m/>
    <m/>
    <m/>
    <m/>
    <m/>
    <m/>
    <m/>
    <m/>
    <m/>
    <m/>
    <m/>
    <m/>
  </r>
  <r>
    <x v="575"/>
    <d v="2023-08-15T00:00:00"/>
    <s v="Week30"/>
    <d v="2023-07-01T00:00:00"/>
    <s v="DRY2300285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575"/>
    <d v="2023-08-15T00:00:00"/>
    <s v="Week30"/>
    <d v="2023-07-01T00:00:00"/>
    <s v="DRY2300286"/>
    <s v="CAN "/>
    <s v="Bellisio Foods Canada"/>
    <s v="C-Wonton"/>
    <s v="C-Wonton ND"/>
    <x v="3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9.5833333333335"/>
    <n v="9.5833333333334849"/>
    <n v="0"/>
    <m/>
    <m/>
    <m/>
  </r>
  <r>
    <x v="575"/>
    <d v="2023-08-15T00:00:00"/>
    <s v="Week30"/>
    <d v="2023-07-01T00:00:00"/>
    <s v="DRY2300291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2400"/>
    <m/>
    <n v="2484.75"/>
    <n v="84.75"/>
    <n v="0"/>
    <m/>
    <m/>
    <m/>
  </r>
  <r>
    <x v="575"/>
    <d v="2023-08-15T00:00:00"/>
    <s v="Week30"/>
    <d v="2023-07-01T00:00:00"/>
    <s v="DRY2300181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08"/>
    <n v="12"/>
    <n v="0"/>
    <n v="0"/>
    <m/>
    <m/>
    <m/>
  </r>
  <r>
    <x v="576"/>
    <m/>
    <s v="Week31"/>
    <d v="2023-07-01T00:00:00"/>
    <m/>
    <m/>
    <m/>
    <m/>
    <m/>
    <x v="0"/>
    <m/>
    <m/>
    <m/>
    <m/>
    <m/>
    <m/>
    <m/>
    <m/>
    <m/>
    <m/>
    <m/>
    <m/>
    <m/>
    <m/>
    <m/>
    <m/>
    <m/>
  </r>
  <r>
    <x v="577"/>
    <d v="2023-08-03T00:00:00"/>
    <s v="Week31"/>
    <d v="2023-07-01T00:00:00"/>
    <s v="DRY230026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08"/>
    <n v="508"/>
    <m/>
    <n v="0"/>
    <n v="0"/>
    <m/>
    <m/>
    <m/>
  </r>
  <r>
    <x v="577"/>
    <d v="2023-08-03T00:00:00"/>
    <s v="Week31"/>
    <d v="2023-07-01T00:00:00"/>
    <s v="DRY230026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77"/>
    <d v="2023-08-04T00:00:00"/>
    <s v="Week31"/>
    <d v="2023-07-01T00:00:00"/>
    <s v="DRY230026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77"/>
    <d v="2023-08-04T00:00:00"/>
    <s v="Week31"/>
    <d v="2023-07-01T00:00:00"/>
    <s v="DRY230027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77"/>
    <d v="2023-08-04T00:00:00"/>
    <s v="Week31"/>
    <d v="2023-07-01T00:00:00"/>
    <s v="DRY230027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77"/>
    <d v="2023-08-04T00:00:00"/>
    <s v="Week31"/>
    <d v="2023-07-01T00:00:00"/>
    <s v="DRY230027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29"/>
    <n v="229"/>
    <m/>
    <n v="0"/>
    <n v="0"/>
    <m/>
    <m/>
    <m/>
  </r>
  <r>
    <x v="578"/>
    <d v="2023-08-04T00:00:00"/>
    <s v="Week31"/>
    <d v="2023-08-01T00:00:00"/>
    <s v="DRY230027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63"/>
    <n v="563"/>
    <m/>
    <n v="0"/>
    <n v="0"/>
    <m/>
    <m/>
    <m/>
  </r>
  <r>
    <x v="578"/>
    <d v="2023-08-07T00:00:00"/>
    <s v="Week31"/>
    <d v="2023-08-01T00:00:00"/>
    <s v="DRY230027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78"/>
    <d v="2023-08-07T00:00:00"/>
    <s v="Week31"/>
    <d v="2023-08-01T00:00:00"/>
    <s v="DRY230027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78"/>
    <d v="2023-08-07T00:00:00"/>
    <s v="Week31"/>
    <d v="2023-08-01T00:00:00"/>
    <s v="DRY230027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78"/>
    <d v="2023-08-07T00:00:00"/>
    <s v="Week31"/>
    <d v="2023-08-01T00:00:00"/>
    <s v="DRY230027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78"/>
    <d v="2023-08-10T00:00:00"/>
    <s v="Week31"/>
    <d v="2023-08-01T00:00:00"/>
    <s v="DRY230027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10"/>
    <n v="210"/>
    <m/>
    <n v="0"/>
    <n v="0"/>
    <m/>
    <m/>
    <m/>
  </r>
  <r>
    <x v="579"/>
    <d v="2023-08-10T00:00:00"/>
    <s v="Week31"/>
    <d v="2023-08-01T00:00:00"/>
    <s v="DRY230027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82"/>
    <n v="582"/>
    <m/>
    <n v="0"/>
    <n v="0"/>
    <m/>
    <m/>
    <m/>
  </r>
  <r>
    <x v="579"/>
    <d v="2023-08-10T00:00:00"/>
    <s v="Week31"/>
    <d v="2023-08-01T00:00:00"/>
    <s v="DRY230028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79"/>
    <d v="2023-08-10T00:00:00"/>
    <s v="Week31"/>
    <d v="2023-08-01T00:00:00"/>
    <s v="DRY230028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79"/>
    <d v="2023-08-10T00:00:00"/>
    <s v="Week31"/>
    <d v="2023-08-01T00:00:00"/>
    <s v="DRY230028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79"/>
    <d v="2023-08-14T00:00:00"/>
    <s v="Week31"/>
    <d v="2023-08-01T00:00:00"/>
    <s v="DRY230027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79"/>
    <d v="2023-08-14T00:00:00"/>
    <s v="Week31"/>
    <d v="2023-08-01T00:00:00"/>
    <s v="DRY230028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63"/>
    <n v="163"/>
    <m/>
    <n v="0"/>
    <n v="0"/>
    <m/>
    <m/>
    <m/>
  </r>
  <r>
    <x v="580"/>
    <d v="2023-08-14T00:00:00"/>
    <s v="Week31"/>
    <d v="2023-08-01T00:00:00"/>
    <s v="DRY230028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29"/>
    <n v="629"/>
    <m/>
    <n v="0"/>
    <n v="0"/>
    <m/>
    <m/>
    <m/>
  </r>
  <r>
    <x v="580"/>
    <d v="2023-08-15T00:00:00"/>
    <s v="Week31"/>
    <d v="2023-08-01T00:00:00"/>
    <s v="DRY230028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80"/>
    <d v="2023-08-17T00:00:00"/>
    <s v="Week31"/>
    <d v="2023-08-01T00:00:00"/>
    <s v="DRY230029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22"/>
    <n v="122"/>
    <m/>
    <n v="0"/>
    <n v="0"/>
    <m/>
    <m/>
    <m/>
  </r>
  <r>
    <x v="580"/>
    <d v="2023-08-10T00:00:00"/>
    <s v="Week31"/>
    <d v="2023-08-01T00:00:00"/>
    <s v="DRY2300288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8"/>
    <n v="8"/>
    <m/>
    <n v="0"/>
    <n v="0"/>
    <m/>
    <m/>
    <m/>
  </r>
  <r>
    <x v="580"/>
    <d v="2023-08-17T00:00:00"/>
    <s v="Week31"/>
    <d v="2023-08-01T00:00:00"/>
    <s v="DRY2300289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580"/>
    <d v="2023-08-17T00:00:00"/>
    <s v="Week31"/>
    <d v="2023-08-01T00:00:00"/>
    <s v="DRY2300290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580"/>
    <d v="2023-08-17T00:00:00"/>
    <s v="Week31"/>
    <d v="2023-08-01T00:00:00"/>
    <s v="DRY2300327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478"/>
    <n v="478"/>
    <m/>
    <n v="0"/>
    <n v="0"/>
    <m/>
    <m/>
    <m/>
  </r>
  <r>
    <x v="581"/>
    <d v="2023-08-15T00:00:00"/>
    <s v="Week31"/>
    <d v="2023-08-01T00:00:00"/>
    <s v="DRY2300300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54"/>
    <n v="34"/>
    <n v="0"/>
    <n v="0"/>
    <m/>
    <m/>
    <m/>
  </r>
  <r>
    <x v="581"/>
    <d v="2023-08-15T00:00:00"/>
    <s v="Week31"/>
    <d v="2023-08-01T00:00:00"/>
    <s v="DRY2300301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55"/>
    <n v="33"/>
    <n v="0"/>
    <n v="0"/>
    <m/>
    <m/>
    <m/>
  </r>
  <r>
    <x v="581"/>
    <d v="2023-08-17T00:00:00"/>
    <s v="Week31"/>
    <d v="2023-08-01T00:00:00"/>
    <s v="DRY2300139"/>
    <s v="Japan"/>
    <s v="CPF JAPAN"/>
    <s v="C-Wonton"/>
    <s v="C-Wonton"/>
    <x v="2"/>
    <s v="Cooked Wonton No Egg"/>
    <s v="082S85724004P01001"/>
    <s v="124g*24"/>
    <n v="24"/>
    <n v="4"/>
    <n v="8.0000000000000002E-3"/>
    <s v="M"/>
    <s v="Salt"/>
    <s v="TYEX+CO"/>
    <n v="2048"/>
    <n v="2032"/>
    <n v="16"/>
    <n v="0"/>
    <n v="0"/>
    <m/>
    <m/>
    <m/>
  </r>
  <r>
    <x v="582"/>
    <d v="2023-08-10T00:00:00"/>
    <s v="Week31"/>
    <d v="2023-08-01T00:00:00"/>
    <s v="ขายภายใน"/>
    <s v="MTFS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2056"/>
    <n v="2056"/>
    <m/>
    <n v="0"/>
    <n v="0"/>
    <n v="0"/>
    <m/>
    <n v="0"/>
  </r>
  <r>
    <x v="582"/>
    <d v="2023-09-01T00:00:00"/>
    <s v="Week31"/>
    <d v="2023-08-01T00:00:00"/>
    <s v="DRY2300319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258"/>
    <m/>
    <n v="258"/>
    <n v="0"/>
    <n v="0"/>
    <n v="0"/>
    <n v="2"/>
    <n v="0"/>
  </r>
  <r>
    <x v="582"/>
    <d v="2023-08-22T00:00:00"/>
    <s v="Week31"/>
    <d v="2023-08-01T00:00:00"/>
    <s v="DRY2300305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200"/>
    <n v="200"/>
    <m/>
    <n v="0"/>
    <n v="0"/>
    <n v="0"/>
    <n v="6"/>
    <n v="0"/>
  </r>
  <r>
    <x v="582"/>
    <d v="2023-08-22T00:00:00"/>
    <s v="Week31"/>
    <d v="2023-08-01T00:00:00"/>
    <s v="DRY2300307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200"/>
    <n v="200"/>
    <m/>
    <n v="0"/>
    <n v="0"/>
    <n v="0"/>
    <n v="6"/>
    <n v="0"/>
  </r>
  <r>
    <x v="583"/>
    <m/>
    <s v="Week32"/>
    <d v="2023-08-01T00:00:00"/>
    <m/>
    <m/>
    <m/>
    <m/>
    <m/>
    <x v="0"/>
    <m/>
    <m/>
    <m/>
    <m/>
    <m/>
    <m/>
    <m/>
    <m/>
    <m/>
    <m/>
    <m/>
    <m/>
    <m/>
    <m/>
    <m/>
    <m/>
    <m/>
  </r>
  <r>
    <x v="584"/>
    <d v="2023-08-15T00:00:00"/>
    <s v="Week32"/>
    <d v="2023-08-01T00:00:00"/>
    <s v="DRY2300291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1000"/>
    <n v="809"/>
    <n v="191"/>
    <n v="0"/>
    <n v="0"/>
    <m/>
    <n v="1"/>
    <n v="16000"/>
  </r>
  <r>
    <x v="584"/>
    <d v="2023-08-01T00:00:00"/>
    <s v="Week32"/>
    <d v="2023-08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4103"/>
    <n v="4103"/>
    <m/>
    <n v="0"/>
    <n v="0"/>
    <m/>
    <m/>
    <m/>
  </r>
  <r>
    <x v="585"/>
    <d v="2023-08-17T00:00:00"/>
    <s v="Week32"/>
    <d v="2023-08-01T00:00:00"/>
    <s v="DRY2300327"/>
    <s v="AUS"/>
    <s v="CPM Australia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314"/>
    <n v="314"/>
    <m/>
    <n v="0"/>
    <n v="0"/>
    <m/>
    <m/>
    <m/>
  </r>
  <r>
    <x v="585"/>
    <d v="2023-09-09T00:00:00"/>
    <s v="Week32"/>
    <d v="2023-08-01T00:00:00"/>
    <s v="DRY2300182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482"/>
    <n v="38"/>
    <n v="0"/>
    <n v="0"/>
    <m/>
    <m/>
    <m/>
  </r>
  <r>
    <x v="585"/>
    <d v="2023-08-22T00:00:00"/>
    <s v="Week32"/>
    <d v="2023-08-01T00:00:00"/>
    <s v="DRY2300306"/>
    <s v="USA"/>
    <s v="Bellisio Foods, Inc."/>
    <s v="C-Wonton"/>
    <s v="C-Wonton ND"/>
    <x v="3"/>
    <s v="Cooked Minced Wonton Noodle No Egg"/>
    <s v="082SRBW24005P00001"/>
    <s v="258g*4c*6in"/>
    <n v="24"/>
    <n v="5"/>
    <n v="6.0000000000000001E-3"/>
    <s v="BK"/>
    <s v="Salt"/>
    <s v="Regular"/>
    <n v="700"/>
    <n v="682"/>
    <n v="18.208333333333332"/>
    <n v="0.20833333333337123"/>
    <n v="0"/>
    <m/>
    <m/>
    <m/>
  </r>
  <r>
    <x v="585"/>
    <d v="2023-08-21T00:00:00"/>
    <s v="Week32"/>
    <d v="2023-08-01T00:00:00"/>
    <s v="DRY2300305"/>
    <s v="USA"/>
    <s v="Bellisio Foods, Inc."/>
    <s v="C-Wonton"/>
    <s v="C-Wonton ND"/>
    <x v="3"/>
    <s v="Cooked Minced Wonton Noodle No Egg"/>
    <s v="082SRBW24005P00001"/>
    <s v="258g*4c*6in"/>
    <n v="24"/>
    <n v="5"/>
    <n v="6.0000000000000001E-3"/>
    <s v="BK"/>
    <s v="Salt"/>
    <s v="Regular"/>
    <n v="550"/>
    <n v="550"/>
    <m/>
    <n v="0"/>
    <n v="0"/>
    <m/>
    <m/>
    <m/>
  </r>
  <r>
    <x v="585"/>
    <d v="2023-08-23T00:00:00"/>
    <s v="Week32"/>
    <d v="2023-08-01T00:00:00"/>
    <s v="DRY2300307"/>
    <s v="USA"/>
    <s v="Bellisio Foods, Inc."/>
    <s v="C-Wonton"/>
    <s v="C-Wonton ND"/>
    <x v="3"/>
    <s v="Cooked Minced Wonton Noodle No Egg"/>
    <s v="082SRBW24005P00001"/>
    <s v="258g*4c*6in"/>
    <n v="24"/>
    <n v="5"/>
    <n v="6.0000000000000001E-3"/>
    <s v="BK"/>
    <s v="Salt"/>
    <s v="Regular"/>
    <n v="600"/>
    <n v="600"/>
    <m/>
    <n v="0"/>
    <n v="0"/>
    <m/>
    <m/>
    <m/>
  </r>
  <r>
    <x v="585"/>
    <d v="2023-09-04T00:00:00"/>
    <s v="Week32"/>
    <d v="2023-08-01T00:00:00"/>
    <s v="DRY2300316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1900"/>
    <m/>
    <n v="1900"/>
    <n v="0"/>
    <n v="0"/>
    <m/>
    <m/>
    <m/>
  </r>
  <r>
    <x v="585"/>
    <d v="2023-08-22T00:00:00"/>
    <s v="Week32"/>
    <d v="2023-08-01T00:00:00"/>
    <s v="DRY2300306"/>
    <s v="USA"/>
    <s v="Bellisio Foods, Inc."/>
    <s v="C-Wonton"/>
    <s v="C-Wonton ND"/>
    <x v="7"/>
    <s v="Cooked Minced Wonton No Egg"/>
    <s v="082SKBW08005P00001"/>
    <s v="145g*8"/>
    <n v="8"/>
    <n v="5"/>
    <n v="6.0000000000000001E-3"/>
    <s v="BK"/>
    <s v="Salt"/>
    <s v="Regular"/>
    <n v="800"/>
    <m/>
    <n v="800"/>
    <n v="0"/>
    <n v="0"/>
    <m/>
    <m/>
    <m/>
  </r>
  <r>
    <x v="585"/>
    <d v="2023-08-21T00:00:00"/>
    <s v="Week32"/>
    <d v="2023-08-01T00:00:00"/>
    <s v="DRY2300305"/>
    <s v="USA"/>
    <s v="Bellisio Foods, Inc."/>
    <s v="C-Wonton"/>
    <s v="C-Wonton ND"/>
    <x v="7"/>
    <s v="Cooked Minced Wonton No Egg"/>
    <s v="082SKBW08005P00001"/>
    <s v="145g*8"/>
    <n v="8"/>
    <n v="5"/>
    <n v="6.0000000000000001E-3"/>
    <s v="BK"/>
    <s v="Salt"/>
    <s v="Regular"/>
    <n v="900"/>
    <m/>
    <n v="900"/>
    <n v="0"/>
    <n v="0"/>
    <m/>
    <m/>
    <m/>
  </r>
  <r>
    <x v="585"/>
    <d v="2023-08-23T00:00:00"/>
    <s v="Week32"/>
    <d v="2023-08-01T00:00:00"/>
    <s v="DRY2300307"/>
    <s v="USA"/>
    <s v="Bellisio Foods, Inc."/>
    <s v="C-Wonton"/>
    <s v="C-Wonton ND"/>
    <x v="7"/>
    <s v="Cooked Minced Wonton No Egg"/>
    <s v="082SKBW08005P00001"/>
    <s v="145g*8"/>
    <n v="8"/>
    <n v="5"/>
    <n v="6.0000000000000001E-3"/>
    <s v="BK"/>
    <s v="Salt"/>
    <s v="Regular"/>
    <n v="400"/>
    <m/>
    <n v="400"/>
    <n v="0"/>
    <n v="0"/>
    <m/>
    <m/>
    <m/>
  </r>
  <r>
    <x v="585"/>
    <d v="2023-09-04T00:00:00"/>
    <s v="Week32"/>
    <d v="2023-08-01T00:00:00"/>
    <s v="DRY2300316"/>
    <s v="USA"/>
    <s v="Bellisio Foods, Inc."/>
    <s v="C-Wonton"/>
    <s v="C-Wonton ND"/>
    <x v="7"/>
    <s v="Cooked Minced Wonton No Egg"/>
    <s v="082SKBW08005P00001"/>
    <s v="145g*8"/>
    <n v="8"/>
    <n v="5"/>
    <n v="6.0000000000000001E-3"/>
    <s v="BK"/>
    <s v="Salt"/>
    <s v="Regular"/>
    <n v="286"/>
    <m/>
    <n v="286"/>
    <n v="0"/>
    <n v="0"/>
    <m/>
    <m/>
    <m/>
  </r>
  <r>
    <x v="586"/>
    <d v="2023-09-04T00:00:00"/>
    <s v="Week32"/>
    <d v="2023-08-01T00:00:00"/>
    <s v="DRY2300316"/>
    <s v="USA"/>
    <s v="Bellisio Foods, Inc."/>
    <s v="C-Wonton"/>
    <s v="C-Wonton ND"/>
    <x v="7"/>
    <s v="Cooked Minced Wonton No Egg"/>
    <s v="082SKBW08005P00001"/>
    <s v="145g*8"/>
    <n v="8"/>
    <n v="5"/>
    <n v="6.0000000000000001E-3"/>
    <s v="BK"/>
    <s v="Salt"/>
    <s v="Regular"/>
    <n v="1114"/>
    <m/>
    <n v="1114"/>
    <n v="0"/>
    <n v="0"/>
    <m/>
    <m/>
    <m/>
  </r>
  <r>
    <x v="586"/>
    <d v="2023-08-22T00:00:00"/>
    <s v="Week32"/>
    <d v="2023-08-01T00:00:00"/>
    <s v="DRY2300173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7"/>
    <n v="1"/>
    <n v="0"/>
    <n v="0"/>
    <m/>
    <m/>
    <m/>
  </r>
  <r>
    <x v="586"/>
    <d v="2023-08-18T00:00:00"/>
    <s v="Week32"/>
    <d v="2023-08-01T00:00:00"/>
    <s v="DRY2300302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142"/>
    <n v="146"/>
    <n v="0"/>
    <n v="0"/>
    <m/>
    <m/>
    <m/>
  </r>
  <r>
    <x v="586"/>
    <d v="2023-08-18T00:00:00"/>
    <s v="Week32"/>
    <d v="2023-08-01T00:00:00"/>
    <s v="DRY2300303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66"/>
    <n v="22"/>
    <n v="0"/>
    <n v="0"/>
    <m/>
    <m/>
    <m/>
  </r>
  <r>
    <x v="587"/>
    <d v="2023-08-22T00:00:00"/>
    <s v="Week32"/>
    <d v="2023-08-01T00:00:00"/>
    <s v="DRY2300306"/>
    <s v="USA"/>
    <s v="Bellisio Foods, Inc."/>
    <s v="C-Wonton"/>
    <s v="C-Wonton ND"/>
    <x v="26"/>
    <s v="Cooked Wonton ND No Egg with Pumpkin_x000a_+ Yu Choy Low sodium"/>
    <s v="082SRBW24005P01001"/>
    <s v="308g*4c*6in"/>
    <n v="24"/>
    <n v="5"/>
    <n v="6.0000000000000001E-3"/>
    <s v="BK"/>
    <s v="Salt"/>
    <s v="Y3"/>
    <n v="200"/>
    <n v="185"/>
    <n v="15"/>
    <n v="0"/>
    <n v="0"/>
    <m/>
    <m/>
    <m/>
  </r>
  <r>
    <x v="587"/>
    <d v="2023-08-22T00:00:00"/>
    <s v="Week32"/>
    <d v="2023-08-01T00:00:00"/>
    <s v="DRY2300305"/>
    <s v="USA"/>
    <s v="Bellisio Foods, Inc."/>
    <s v="C-Wonton"/>
    <s v="C-Wonton ND"/>
    <x v="26"/>
    <s v="Cooked Wonton ND No Egg with Pumpkin_x000a_+ Yu Choy Low sodium"/>
    <s v="082SRBW24005P01001"/>
    <s v="308g*4c*6in"/>
    <n v="24"/>
    <n v="5"/>
    <n v="6.0000000000000001E-3"/>
    <s v="BK"/>
    <s v="Salt"/>
    <s v="Y3"/>
    <n v="200"/>
    <n v="200"/>
    <m/>
    <n v="0"/>
    <n v="0"/>
    <m/>
    <m/>
    <m/>
  </r>
  <r>
    <x v="587"/>
    <d v="2023-08-22T00:00:00"/>
    <s v="Week32"/>
    <d v="2023-08-01T00:00:00"/>
    <s v="DRY2300307"/>
    <s v="USA"/>
    <s v="Bellisio Foods, Inc."/>
    <s v="C-Wonton"/>
    <s v="C-Wonton ND"/>
    <x v="26"/>
    <s v="Cooked Wonton ND No Egg with Pumpkin_x000a_+ Yu Choy Low sodium"/>
    <s v="082SRBW24005P01001"/>
    <s v="308g*4c*6in"/>
    <n v="24"/>
    <n v="5"/>
    <n v="6.0000000000000001E-3"/>
    <s v="BK"/>
    <s v="Salt"/>
    <s v="Y3"/>
    <n v="250"/>
    <n v="250"/>
    <n v="18.625"/>
    <n v="18.625"/>
    <n v="0"/>
    <m/>
    <m/>
    <m/>
  </r>
  <r>
    <x v="587"/>
    <d v="2023-08-17T00:00:00"/>
    <s v="Week32"/>
    <d v="2023-08-01T00:00:00"/>
    <s v="DRY230029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70"/>
    <n v="670"/>
    <m/>
    <n v="0"/>
    <n v="0"/>
    <m/>
    <m/>
    <m/>
  </r>
  <r>
    <x v="587"/>
    <d v="2023-08-18T00:00:00"/>
    <s v="Week32"/>
    <d v="2023-08-01T00:00:00"/>
    <s v="DRY230029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87"/>
    <d v="2023-08-18T00:00:00"/>
    <s v="Week32"/>
    <d v="2023-08-01T00:00:00"/>
    <s v="DRY230029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87"/>
    <d v="2023-08-18T00:00:00"/>
    <s v="Week32"/>
    <d v="2023-08-01T00:00:00"/>
    <s v="DRY230029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87"/>
    <d v="2023-08-21T00:00:00"/>
    <s v="Week32"/>
    <d v="2023-08-01T00:00:00"/>
    <s v="DRY230031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21"/>
    <n v="521"/>
    <m/>
    <n v="0"/>
    <n v="0"/>
    <m/>
    <m/>
    <m/>
  </r>
  <r>
    <x v="588"/>
    <d v="2023-08-21T00:00:00"/>
    <s v="Week32"/>
    <d v="2023-08-01T00:00:00"/>
    <s v="KL2300023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408"/>
    <n v="1405"/>
    <n v="3"/>
    <n v="0"/>
    <n v="0"/>
    <n v="0"/>
    <n v="6"/>
    <n v="0"/>
  </r>
  <r>
    <x v="588"/>
    <d v="2023-09-01T00:00:00"/>
    <s v="Week32"/>
    <d v="2023-08-01T00:00:00"/>
    <s v="DRY2300319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477"/>
    <m/>
    <n v="477"/>
    <n v="0"/>
    <n v="0"/>
    <n v="0"/>
    <n v="2"/>
    <n v="0"/>
  </r>
  <r>
    <x v="589"/>
    <m/>
    <s v="Week32"/>
    <d v="2023-08-01T00:00:00"/>
    <m/>
    <m/>
    <m/>
    <m/>
    <m/>
    <x v="0"/>
    <m/>
    <m/>
    <m/>
    <m/>
    <m/>
    <m/>
    <m/>
    <m/>
    <m/>
    <m/>
    <m/>
    <m/>
    <m/>
    <m/>
    <m/>
    <m/>
    <m/>
  </r>
  <r>
    <x v="590"/>
    <m/>
    <s v="Week33"/>
    <d v="2023-08-01T00:00:00"/>
    <m/>
    <m/>
    <m/>
    <m/>
    <m/>
    <x v="0"/>
    <m/>
    <m/>
    <m/>
    <m/>
    <m/>
    <m/>
    <m/>
    <m/>
    <m/>
    <m/>
    <m/>
    <m/>
    <m/>
    <m/>
    <m/>
    <m/>
    <m/>
  </r>
  <r>
    <x v="591"/>
    <d v="2023-09-01T00:00:00"/>
    <s v="Week33"/>
    <d v="2023-08-01T00:00:00"/>
    <s v="DRY2300321"/>
    <s v="SG"/>
    <s v="CPI SINGAPORE"/>
    <s v="C-Wonton"/>
    <s v="C-Wonton"/>
    <x v="2"/>
    <s v="Cooked Wonton No Egg"/>
    <s v="082S83B24005P06001"/>
    <s v="115g*24"/>
    <n v="24"/>
    <n v="5"/>
    <n v="8.0000000000000002E-3"/>
    <s v="M"/>
    <s v="STPP"/>
    <s v="TYTB3C 30G"/>
    <n v="300"/>
    <n v="300"/>
    <n v="5.125"/>
    <n v="5.125"/>
    <n v="0"/>
    <m/>
    <n v="1"/>
    <n v="0"/>
  </r>
  <r>
    <x v="591"/>
    <d v="2023-09-01T00:00:00"/>
    <s v="Week33"/>
    <d v="2023-08-01T00:00:00"/>
    <s v="DRY2300320"/>
    <s v="SG"/>
    <s v="CPI SINGAPORE"/>
    <s v="C-Wonton"/>
    <s v="C-Wonton"/>
    <x v="1"/>
    <s v="Cooked Wonton No Egg"/>
    <s v="082S83B24005P07001"/>
    <s v="145g*24"/>
    <n v="24"/>
    <n v="5"/>
    <n v="8.0000000000000002E-3"/>
    <s v="M"/>
    <s v="STPP"/>
    <s v="Regular"/>
    <n v="300"/>
    <n v="300"/>
    <n v="7.458333333333333"/>
    <n v="7.4583333333333144"/>
    <n v="0"/>
    <m/>
    <m/>
    <m/>
  </r>
  <r>
    <x v="591"/>
    <d v="2023-08-18T00:00:00"/>
    <s v="Week33"/>
    <d v="2023-08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5555"/>
    <n v="5555"/>
    <m/>
    <n v="0"/>
    <n v="0"/>
    <m/>
    <m/>
    <m/>
  </r>
  <r>
    <x v="592"/>
    <d v="2023-08-21T00:00:00"/>
    <s v="Week33"/>
    <d v="2023-08-01T00:00:00"/>
    <s v="DRY230031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71"/>
    <n v="271"/>
    <m/>
    <n v="0"/>
    <n v="0"/>
    <m/>
    <m/>
    <m/>
  </r>
  <r>
    <x v="592"/>
    <d v="2023-08-21T00:00:00"/>
    <s v="Week33"/>
    <d v="2023-08-01T00:00:00"/>
    <s v="DRY230029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92"/>
    <d v="2023-08-30T00:00:00"/>
    <s v="Week33"/>
    <d v="2023-08-01T00:00:00"/>
    <s v="DRY230029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92"/>
    <d v="2023-08-30T00:00:00"/>
    <s v="Week33"/>
    <d v="2023-08-01T00:00:00"/>
    <s v="DRY230029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92"/>
    <d v="2023-08-30T00:00:00"/>
    <s v="Week33"/>
    <d v="2023-08-01T00:00:00"/>
    <s v="DRY230029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92"/>
    <d v="2023-08-30T00:00:00"/>
    <s v="Week33"/>
    <d v="2023-08-01T00:00:00"/>
    <s v="DRY230030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43"/>
    <n v="543"/>
    <m/>
    <n v="0"/>
    <n v="0"/>
    <m/>
    <m/>
    <m/>
  </r>
  <r>
    <x v="593"/>
    <d v="2023-10-11T00:00:00"/>
    <s v="Week33"/>
    <d v="2023-08-01T00:00:00"/>
    <s v="DRY2300323"/>
    <s v="SG"/>
    <s v="CPI SINGAPORE"/>
    <s v="C-Wonton"/>
    <s v="C-Wonton ND"/>
    <x v="30"/>
    <s v="Cooked Wonton Thai Spicy Noodles (Drunken Noodles)"/>
    <s v="082SJ3B24003P03001"/>
    <s v="229g*24"/>
    <n v="24"/>
    <n v="3"/>
    <n v="8.0000000000000002E-3"/>
    <s v="M"/>
    <s v="Salt"/>
    <s v="Kee Mao 50G."/>
    <n v="420"/>
    <n v="420"/>
    <n v="2.2916666666666665"/>
    <n v="2.2916666666666856"/>
    <n v="0"/>
    <m/>
    <m/>
    <m/>
  </r>
  <r>
    <x v="593"/>
    <d v="2023-08-30T00:00:00"/>
    <s v="Week33"/>
    <d v="2023-08-01T00:00:00"/>
    <s v="DRY230030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49"/>
    <n v="249"/>
    <m/>
    <n v="0"/>
    <n v="0"/>
    <m/>
    <m/>
    <m/>
  </r>
  <r>
    <x v="593"/>
    <d v="2023-08-30T00:00:00"/>
    <s v="Week33"/>
    <d v="2023-08-01T00:00:00"/>
    <s v="DRY230031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593"/>
    <d v="2023-09-04T00:00:00"/>
    <s v="Week33"/>
    <d v="2023-08-01T00:00:00"/>
    <s v="DRY230030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25"/>
    <n v="625"/>
    <m/>
    <n v="0"/>
    <n v="0"/>
    <m/>
    <m/>
    <m/>
  </r>
  <r>
    <x v="593"/>
    <d v="2023-08-31T00:00:00"/>
    <s v="Week33"/>
    <d v="2023-08-01T00:00:00"/>
    <s v="DRY2300328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38"/>
    <n v="54"/>
    <n v="0"/>
    <n v="0"/>
    <m/>
    <m/>
    <m/>
  </r>
  <r>
    <x v="593"/>
    <d v="2023-08-31T00:00:00"/>
    <s v="Week33"/>
    <d v="2023-08-01T00:00:00"/>
    <s v="DRY2300329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637"/>
    <n v="155"/>
    <n v="0"/>
    <n v="0"/>
    <m/>
    <m/>
    <m/>
  </r>
  <r>
    <x v="594"/>
    <d v="2023-09-01T00:00:00"/>
    <s v="Week33"/>
    <d v="2023-08-01T00:00:00"/>
    <s v="KL2300024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408"/>
    <n v="1383"/>
    <n v="25"/>
    <n v="0"/>
    <n v="0"/>
    <n v="0"/>
    <n v="6"/>
    <n v="0"/>
  </r>
  <r>
    <x v="594"/>
    <d v="2023-09-01T00:00:00"/>
    <s v="Week33"/>
    <d v="2023-08-01T00:00:00"/>
    <s v="ขายภายใน"/>
    <s v="MTFS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402"/>
    <n v="400"/>
    <n v="1.9166666666666667"/>
    <n v="-8.3333333333314386E-2"/>
    <n v="1"/>
    <n v="20"/>
    <m/>
    <n v="0"/>
  </r>
  <r>
    <x v="595"/>
    <d v="2023-09-04T00:00:00"/>
    <s v="Week33"/>
    <d v="2023-08-01T00:00:00"/>
    <s v="KL2300025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</r>
  <r>
    <x v="595"/>
    <d v="2023-09-01T00:00:00"/>
    <s v="Week33"/>
    <d v="2023-08-01T00:00:00"/>
    <s v="ขายภายใน"/>
    <s v="MTFS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407"/>
    <n v="407"/>
    <m/>
    <n v="0"/>
    <n v="0"/>
    <n v="0"/>
    <m/>
    <n v="0"/>
  </r>
  <r>
    <x v="596"/>
    <d v="2023-09-04T00:00:00"/>
    <s v="Week33"/>
    <d v="2023-08-01T00:00:00"/>
    <s v="KL2300026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408"/>
    <n v="1408"/>
    <m/>
    <n v="0"/>
    <n v="0"/>
    <n v="0"/>
    <n v="6"/>
    <n v="0"/>
  </r>
  <r>
    <x v="596"/>
    <d v="2023-09-01T00:00:00"/>
    <s v="Week33"/>
    <d v="2023-08-01T00:00:00"/>
    <s v="ขายภายใน"/>
    <s v="MTFS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279"/>
    <n v="291"/>
    <n v="10"/>
    <n v="22"/>
    <n v="0"/>
    <n v="0"/>
    <m/>
    <n v="0"/>
  </r>
  <r>
    <x v="597"/>
    <m/>
    <s v="Week34"/>
    <d v="2023-08-01T00:00:00"/>
    <m/>
    <m/>
    <m/>
    <m/>
    <m/>
    <x v="0"/>
    <m/>
    <m/>
    <m/>
    <m/>
    <m/>
    <m/>
    <m/>
    <m/>
    <m/>
    <m/>
    <m/>
    <m/>
    <m/>
    <m/>
    <m/>
    <m/>
    <m/>
  </r>
  <r>
    <x v="598"/>
    <d v="2023-09-06T00:00:00"/>
    <s v="Week34"/>
    <d v="2023-08-01T00:00:00"/>
    <s v="DRY2300174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598"/>
    <d v="2023-08-25T00:00:00"/>
    <s v="Week34"/>
    <d v="2023-08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4101"/>
    <n v="4101"/>
    <m/>
    <n v="0"/>
    <n v="0"/>
    <m/>
    <m/>
    <m/>
  </r>
  <r>
    <x v="599"/>
    <d v="2023-09-01T00:00:00"/>
    <s v="Week34"/>
    <d v="2023-08-01T00:00:00"/>
    <s v="DRY2300322"/>
    <s v="SG"/>
    <s v="CPI Singapore"/>
    <s v="C-Wonton"/>
    <s v="C-Wonton ND"/>
    <x v="5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300"/>
    <n v="299"/>
    <n v="1"/>
    <n v="0"/>
    <n v="0"/>
    <m/>
    <m/>
    <m/>
  </r>
  <r>
    <x v="599"/>
    <d v="2023-09-04T00:00:00"/>
    <s v="Week34"/>
    <d v="2023-08-01T00:00:00"/>
    <s v="DRY230030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67"/>
    <n v="7"/>
    <n v="160"/>
    <n v="0"/>
    <n v="0"/>
    <m/>
    <m/>
    <m/>
  </r>
  <r>
    <x v="599"/>
    <d v="2023-09-04T00:00:00"/>
    <s v="Week34"/>
    <d v="2023-08-01T00:00:00"/>
    <s v="DRY230031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n v="792"/>
    <n v="0"/>
    <n v="0"/>
    <m/>
    <m/>
    <m/>
  </r>
  <r>
    <x v="599"/>
    <d v="2023-09-06T00:00:00"/>
    <s v="Week34"/>
    <d v="2023-08-01T00:00:00"/>
    <s v="DRY230031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n v="792"/>
    <n v="0"/>
    <n v="0"/>
    <m/>
    <m/>
    <m/>
  </r>
  <r>
    <x v="599"/>
    <d v="2023-09-07T00:00:00"/>
    <s v="Week34"/>
    <d v="2023-08-01T00:00:00"/>
    <s v="DRY230031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n v="792"/>
    <n v="0"/>
    <n v="0"/>
    <m/>
    <m/>
    <m/>
  </r>
  <r>
    <x v="599"/>
    <d v="2023-09-10T00:00:00"/>
    <s v="Week34"/>
    <d v="2023-08-01T00:00:00"/>
    <s v="DRY230031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08"/>
    <m/>
    <n v="108.36111111111111"/>
    <n v="0.36111111111111427"/>
    <n v="0"/>
    <m/>
    <m/>
    <m/>
  </r>
  <r>
    <x v="600"/>
    <d v="2023-09-04T00:00:00"/>
    <s v="Week34"/>
    <d v="2023-08-01T00:00:00"/>
    <s v="DRY2300316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650"/>
    <n v="567"/>
    <n v="83"/>
    <n v="0"/>
    <n v="0"/>
    <m/>
    <n v="1"/>
    <n v="10400"/>
  </r>
  <r>
    <x v="600"/>
    <d v="2023-09-04T00:00:00"/>
    <s v="Week34"/>
    <d v="2023-08-01T00:00:00"/>
    <s v="DRY2300316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600"/>
    <m/>
    <n v="600"/>
    <n v="0"/>
    <n v="0"/>
    <m/>
    <n v="1"/>
    <n v="9600"/>
  </r>
  <r>
    <x v="600"/>
    <d v="2023-09-10T00:00:00"/>
    <s v="Week34"/>
    <d v="2023-08-01T00:00:00"/>
    <s v="DRY230031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84"/>
    <m/>
    <n v="684"/>
    <n v="0"/>
    <n v="0"/>
    <m/>
    <m/>
    <m/>
  </r>
  <r>
    <x v="600"/>
    <d v="2023-09-14T00:00:00"/>
    <s v="Week34"/>
    <d v="2023-08-01T00:00:00"/>
    <s v="DRY230033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n v="792"/>
    <n v="0"/>
    <n v="0"/>
    <m/>
    <m/>
    <m/>
  </r>
  <r>
    <x v="600"/>
    <d v="2023-09-15T00:00:00"/>
    <s v="Week34"/>
    <d v="2023-08-01T00:00:00"/>
    <s v="DRY230033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n v="792"/>
    <n v="0"/>
    <n v="0"/>
    <m/>
    <m/>
    <m/>
  </r>
  <r>
    <x v="600"/>
    <d v="2023-09-15T00:00:00"/>
    <s v="Week34"/>
    <d v="2023-08-01T00:00:00"/>
    <s v="DRY230033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00"/>
    <m/>
    <n v="302.08333333333331"/>
    <n v="2.0833333333333144"/>
    <n v="0"/>
    <m/>
    <m/>
    <m/>
  </r>
  <r>
    <x v="601"/>
    <d v="2023-09-01T00:00:00"/>
    <s v="Week34"/>
    <d v="2023-08-01T00:00:00"/>
    <s v="DRY2300319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265"/>
    <n v="265"/>
    <m/>
    <n v="0"/>
    <n v="0"/>
    <n v="0"/>
    <n v="2"/>
    <n v="0"/>
  </r>
  <r>
    <x v="601"/>
    <d v="2023-09-05T00:00:00"/>
    <s v="Week34"/>
    <d v="2023-08-01T00:00:00"/>
    <s v="DRY2300325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1353"/>
    <n v="1322"/>
    <n v="31"/>
    <n v="0"/>
    <n v="0"/>
    <n v="0"/>
    <n v="2"/>
    <n v="0"/>
  </r>
  <r>
    <x v="602"/>
    <d v="2023-09-05T00:00:00"/>
    <s v="Week34"/>
    <d v="2023-08-01T00:00:00"/>
    <s v="DRY2300325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271"/>
    <n v="203"/>
    <n v="71"/>
    <n v="3"/>
    <n v="0"/>
    <n v="0"/>
    <n v="2"/>
    <n v="0"/>
  </r>
  <r>
    <x v="602"/>
    <d v="2023-09-01T00:00:00"/>
    <s v="Week34"/>
    <d v="2023-08-01T00:00:00"/>
    <s v="DRY2300338"/>
    <s v="SG"/>
    <s v="CPI SINGAPORE"/>
    <s v="R-Wonton"/>
    <s v="R-Wonton"/>
    <x v="4"/>
    <s v="Raw Wonton 8 pcs"/>
    <s v="082I93B20008P00001"/>
    <s v="194g*20in"/>
    <n v="20"/>
    <n v="8"/>
    <n v="1.4999999999999999E-2"/>
    <s v="JB"/>
    <s v="STPP"/>
    <s v="ซุปซอง 5g."/>
    <n v="500"/>
    <n v="176"/>
    <n v="324"/>
    <n v="0"/>
    <n v="0"/>
    <n v="0"/>
    <n v="2"/>
    <n v="0"/>
  </r>
  <r>
    <x v="602"/>
    <d v="2023-10-11T00:00:00"/>
    <s v="Week34"/>
    <d v="2023-08-01T00:00:00"/>
    <s v="DRY2300324"/>
    <s v="SG"/>
    <s v="CPI SINGAPORE"/>
    <s v="R-Wonton"/>
    <s v="R-Mince"/>
    <x v="9"/>
    <s v="Raw Minced Wonton 8 pcs"/>
    <s v="082ID3B18008P00001"/>
    <s v="90g*18in"/>
    <n v="18"/>
    <n v="8"/>
    <n v="5.0000000000000001E-3"/>
    <s v="BK"/>
    <s v="STPP"/>
    <s v="ซุปซอง 5g."/>
    <n v="300"/>
    <n v="287"/>
    <n v="55"/>
    <n v="42"/>
    <n v="0"/>
    <n v="0"/>
    <n v="2"/>
    <n v="0"/>
  </r>
  <r>
    <x v="602"/>
    <d v="2023-09-06T00:00:00"/>
    <s v="Week34"/>
    <d v="2023-08-01T00:00:00"/>
    <s v="DRY2300304"/>
    <s v="HK"/>
    <s v="CPM Hongkong"/>
    <s v="R-Wonton"/>
    <s v="R-Mince"/>
    <x v="9"/>
    <s v="Raw Minced Wonton 8 pcs"/>
    <s v="082ID3G18008P00001"/>
    <s v="90g*18in"/>
    <n v="18"/>
    <n v="8"/>
    <n v="6.0000000000000001E-3"/>
    <s v="BK"/>
    <s v="STPP"/>
    <s v="ซุปซอง 5g."/>
    <n v="450"/>
    <n v="450"/>
    <m/>
    <n v="0"/>
    <n v="0"/>
    <n v="0"/>
    <n v="2"/>
    <n v="0"/>
  </r>
  <r>
    <x v="602"/>
    <d v="2023-09-06T00:00:00"/>
    <s v="Week34"/>
    <d v="2023-08-01T00:00:00"/>
    <s v="DRY2300304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1450"/>
    <m/>
    <n v="1450"/>
    <n v="0"/>
    <n v="0"/>
    <n v="0"/>
    <n v="1"/>
    <n v="0"/>
  </r>
  <r>
    <x v="603"/>
    <d v="2023-09-15T00:00:00"/>
    <s v="Week34"/>
    <d v="2023-08-01T00:00:00"/>
    <s v="DRY230033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92"/>
    <n v="492"/>
    <m/>
    <n v="0"/>
    <n v="0"/>
    <m/>
    <m/>
    <m/>
  </r>
  <r>
    <x v="603"/>
    <d v="2023-09-15T00:00:00"/>
    <s v="Week34"/>
    <d v="2023-08-01T00:00:00"/>
    <s v="DRY230033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603"/>
    <d v="2023-09-18T00:00:00"/>
    <s v="Week34"/>
    <d v="2023-08-01T00:00:00"/>
    <s v="DRY230033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603"/>
    <d v="2023-09-18T00:00:00"/>
    <s v="Week34"/>
    <d v="2023-08-01T00:00:00"/>
    <s v="DRY230033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603"/>
    <d v="2023-09-22T00:00:00"/>
    <s v="Week34"/>
    <d v="2023-08-01T00:00:00"/>
    <s v="DRY230034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603"/>
    <d v="2023-09-22T00:00:00"/>
    <s v="Week34"/>
    <d v="2023-08-01T00:00:00"/>
    <s v="DRY230034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75"/>
    <n v="475"/>
    <m/>
    <n v="0"/>
    <n v="0"/>
    <m/>
    <m/>
    <m/>
  </r>
  <r>
    <x v="604"/>
    <m/>
    <s v="Week35"/>
    <d v="2023-08-01T00:00:00"/>
    <m/>
    <m/>
    <m/>
    <m/>
    <m/>
    <x v="0"/>
    <m/>
    <m/>
    <m/>
    <m/>
    <m/>
    <m/>
    <m/>
    <m/>
    <m/>
    <m/>
    <m/>
    <m/>
    <m/>
    <m/>
    <m/>
    <m/>
    <m/>
  </r>
  <r>
    <x v="605"/>
    <d v="2023-09-20T00:00:00"/>
    <s v="Week35"/>
    <d v="2023-08-01T00:00:00"/>
    <s v="DRY2300175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605"/>
    <d v="2023-09-12T00:00:00"/>
    <s v="Week35"/>
    <d v="2023-08-01T00:00:00"/>
    <s v="DRY2300330"/>
    <s v="USA"/>
    <s v="Bellisio Foods, Inc."/>
    <s v="C-Wonton"/>
    <s v="C-Wonton ND"/>
    <x v="3"/>
    <s v="Cooked Minced Wonton Noodle No Egg"/>
    <s v="082SRBW24005P00001"/>
    <s v="258g*4c*6in"/>
    <n v="24"/>
    <n v="5"/>
    <n v="6.0000000000000001E-3"/>
    <s v="BK"/>
    <s v="Salt"/>
    <s v="Regular"/>
    <n v="700"/>
    <n v="694"/>
    <n v="6"/>
    <n v="0"/>
    <n v="0"/>
    <m/>
    <m/>
    <m/>
  </r>
  <r>
    <x v="605"/>
    <d v="2023-09-13T00:00:00"/>
    <s v="Week35"/>
    <d v="2023-08-01T00:00:00"/>
    <s v="DRY2300331"/>
    <s v="USA"/>
    <s v="Bellisio Foods, Inc."/>
    <s v="C-Wonton"/>
    <s v="C-Wonton ND"/>
    <x v="3"/>
    <s v="Cooked Minced Wonton Noodle No Egg"/>
    <s v="082SRBW24005P00001"/>
    <s v="258g*4c*6in"/>
    <n v="24"/>
    <n v="5"/>
    <n v="6.0000000000000001E-3"/>
    <s v="BK"/>
    <s v="Salt"/>
    <s v="Regular"/>
    <n v="650"/>
    <n v="650"/>
    <m/>
    <n v="0"/>
    <n v="0"/>
    <m/>
    <m/>
    <m/>
  </r>
  <r>
    <x v="605"/>
    <d v="2023-09-11T00:00:00"/>
    <s v="Week35"/>
    <d v="2023-08-01T00:00:00"/>
    <s v="DRY2300341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1900"/>
    <m/>
    <n v="1900"/>
    <n v="0"/>
    <n v="0"/>
    <m/>
    <m/>
    <m/>
  </r>
  <r>
    <x v="605"/>
    <d v="2023-10-04T00:00:00"/>
    <s v="Week35"/>
    <d v="2023-08-01T00:00:00"/>
    <s v="DRY2300373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1600"/>
    <m/>
    <n v="1600"/>
    <n v="0"/>
    <n v="0"/>
    <m/>
    <m/>
    <m/>
  </r>
  <r>
    <x v="605"/>
    <d v="2023-09-19T00:00:00"/>
    <s v="Week35"/>
    <d v="2023-08-01T00:00:00"/>
    <s v="DRY2300183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15"/>
    <n v="5"/>
    <n v="0"/>
    <n v="0"/>
    <m/>
    <m/>
    <m/>
  </r>
  <r>
    <x v="606"/>
    <d v="2023-09-22T00:00:00"/>
    <s v="Week35"/>
    <d v="2023-08-01T00:00:00"/>
    <s v="DRY230034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17"/>
    <n v="317"/>
    <m/>
    <n v="0"/>
    <n v="0"/>
    <m/>
    <m/>
    <m/>
  </r>
  <r>
    <x v="606"/>
    <d v="2023-09-22T00:00:00"/>
    <s v="Week35"/>
    <d v="2023-08-01T00:00:00"/>
    <s v="DRY230034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606"/>
    <d v="2023-09-29T00:00:00"/>
    <s v="Week35"/>
    <d v="2023-08-01T00:00:00"/>
    <s v="DRY230034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606"/>
    <d v="2023-09-29T00:00:00"/>
    <s v="Week35"/>
    <d v="2023-08-01T00:00:00"/>
    <s v="DRY230034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606"/>
    <d v="2023-09-14T00:00:00"/>
    <s v="Week35"/>
    <d v="2023-08-01T00:00:00"/>
    <s v="DRY2300317"/>
    <s v="AUS"/>
    <s v="CPF Australia Pty Ltd."/>
    <s v="C-Wonton ND"/>
    <s v="Wonton ND+V"/>
    <x v="8"/>
    <s v="Cooked Wonton ND No Egg with Pumpkin _x000a_+ Vegetable 5 pcs tomyam"/>
    <s v="082SJ9U24005P00001"/>
    <s v="307g*4c*6in"/>
    <n v="24"/>
    <n v="5"/>
    <n v="7.4999999999999997E-3"/>
    <s v="M"/>
    <s v="Salt"/>
    <s v="TYEX+CO"/>
    <n v="924"/>
    <n v="924"/>
    <m/>
    <n v="0"/>
    <n v="0"/>
    <m/>
    <m/>
    <m/>
  </r>
  <r>
    <x v="606"/>
    <d v="2023-09-14T00:00:00"/>
    <s v="Week35"/>
    <d v="2023-08-01T00:00:00"/>
    <s v="DRY2300318"/>
    <s v="AUS"/>
    <s v="CPF Australia Pty Ltd."/>
    <s v="C-Wonton ND"/>
    <s v="Wonton ND+V"/>
    <x v="8"/>
    <s v="Cooked Wonton ND No Egg with Pumpkin _x000a_+ Vegetable 5 pcs tomyam"/>
    <s v="082SJ9U24005P00001"/>
    <s v="307g*4c*6in"/>
    <n v="24"/>
    <n v="5"/>
    <n v="7.4999999999999997E-3"/>
    <s v="M"/>
    <s v="Salt"/>
    <s v="TYEX+CO"/>
    <n v="924"/>
    <n v="924"/>
    <m/>
    <n v="0"/>
    <n v="0"/>
    <m/>
    <m/>
    <m/>
  </r>
  <r>
    <x v="607"/>
    <d v="2023-09-04T00:00:00"/>
    <s v="Week35"/>
    <d v="2023-08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493"/>
    <n v="2493"/>
    <m/>
    <n v="0"/>
    <n v="0"/>
    <m/>
    <m/>
    <m/>
  </r>
  <r>
    <x v="607"/>
    <d v="2023-09-04T00:00:00"/>
    <s v="Week35"/>
    <d v="2023-08-01T00:00:00"/>
    <s v="ขายภายใน"/>
    <s v="MTFS"/>
    <s v="ซีพีเอฟ เทรดดิ้ง"/>
    <s v="C-Wonton"/>
    <s v="C-Wonton"/>
    <x v="12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m/>
    <m/>
    <m/>
  </r>
  <r>
    <x v="607"/>
    <d v="2023-09-04T00:00:00"/>
    <s v="Week35"/>
    <d v="2023-08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2474"/>
    <n v="2474"/>
    <m/>
    <n v="0"/>
    <n v="0"/>
    <m/>
    <m/>
    <m/>
  </r>
  <r>
    <x v="607"/>
    <d v="2023-09-04T00:00:00"/>
    <s v="Week35"/>
    <d v="2023-08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579"/>
    <n v="578"/>
    <n v="1"/>
    <n v="0"/>
    <n v="0"/>
    <m/>
    <n v="1"/>
    <n v="0"/>
  </r>
  <r>
    <x v="607"/>
    <d v="2023-09-04T00:00:00"/>
    <s v="Week35"/>
    <d v="2023-08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611"/>
    <n v="611"/>
    <m/>
    <n v="0"/>
    <n v="0"/>
    <m/>
    <n v="1"/>
    <n v="0"/>
  </r>
  <r>
    <x v="607"/>
    <d v="2023-09-04T00:00:00"/>
    <s v="Week35"/>
    <d v="2023-08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1542"/>
    <n v="1542"/>
    <m/>
    <n v="0"/>
    <n v="0"/>
    <m/>
    <m/>
    <m/>
  </r>
  <r>
    <x v="608"/>
    <d v="2023-09-14T00:00:00"/>
    <s v="Week35"/>
    <d v="2023-08-01T00:00:00"/>
    <s v="DRY2300342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608"/>
    <d v="2023-09-13T00:00:00"/>
    <s v="Week35"/>
    <d v="2023-08-01T00:00:00"/>
    <s v="DRY2300340"/>
    <s v="Malay"/>
    <s v="CPM Malaysia"/>
    <s v="C-Wonton"/>
    <s v="C-Wonton"/>
    <x v="2"/>
    <s v="Cooked Wonton No Egg  TY"/>
    <s v="082S85I24005P02001"/>
    <s v="115g*24"/>
    <n v="24"/>
    <n v="5"/>
    <n v="8.0000000000000002E-3"/>
    <s v="M"/>
    <s v="STPP"/>
    <s v="TYTB3C 30G"/>
    <n v="850"/>
    <n v="850"/>
    <n v="15.291666666666666"/>
    <n v="15.291666666666629"/>
    <n v="0"/>
    <m/>
    <n v="1"/>
    <n v="0"/>
  </r>
  <r>
    <x v="608"/>
    <d v="2023-09-13T00:00:00"/>
    <s v="Week35"/>
    <d v="2023-08-01T00:00:00"/>
    <s v="DRY2300340"/>
    <s v="Malay"/>
    <s v="CPM Malaysia"/>
    <s v="C-Wonton"/>
    <s v="C-Wonton"/>
    <x v="1"/>
    <s v="Cooked Wonton No Egg  "/>
    <s v="082S85I24005P01001"/>
    <s v="145g*24"/>
    <n v="24"/>
    <n v="5"/>
    <n v="8.0000000000000002E-3"/>
    <s v="M"/>
    <s v="STPP"/>
    <s v="Regular"/>
    <n v="950"/>
    <n v="950"/>
    <n v="17.791666666666668"/>
    <n v="17.791666666666629"/>
    <n v="0"/>
    <m/>
    <m/>
    <m/>
  </r>
  <r>
    <x v="608"/>
    <d v="2023-09-12T00:00:00"/>
    <s v="Week35"/>
    <d v="2023-08-01T00:00:00"/>
    <s v="DRY2300330"/>
    <s v="USA"/>
    <s v="Bellisio Foods, Inc."/>
    <s v="C-Wonton"/>
    <s v="C-Wonton"/>
    <x v="7"/>
    <s v="Cooked Minced Wonton Soup No Egg"/>
    <s v="082SKBW36005P00001"/>
    <s v="145g*6c*6"/>
    <n v="36"/>
    <n v="5"/>
    <n v="6.0000000000000001E-3"/>
    <s v="BK"/>
    <s v="Salt"/>
    <s v="Regular"/>
    <n v="450"/>
    <n v="450"/>
    <m/>
    <n v="0"/>
    <n v="0"/>
    <m/>
    <m/>
    <m/>
  </r>
  <r>
    <x v="608"/>
    <d v="2023-09-13T00:00:00"/>
    <s v="Week35"/>
    <d v="2023-08-01T00:00:00"/>
    <s v="DRY2300331"/>
    <s v="USA"/>
    <s v="Bellisio Foods, Inc."/>
    <s v="C-Wonton"/>
    <s v="C-Wonton"/>
    <x v="7"/>
    <s v="Cooked Minced Wonton Soup No Egg"/>
    <s v="082SKBW36005P00001"/>
    <s v="145g*6c*6"/>
    <n v="36"/>
    <n v="5"/>
    <n v="6.0000000000000001E-3"/>
    <s v="BK"/>
    <s v="Salt"/>
    <s v="Regular"/>
    <n v="500"/>
    <n v="500"/>
    <n v="56.222222222222221"/>
    <n v="56.222222222222172"/>
    <n v="0"/>
    <m/>
    <m/>
    <m/>
  </r>
  <r>
    <x v="608"/>
    <d v="2023-09-11T00:00:00"/>
    <s v="Week35"/>
    <d v="2023-08-01T00:00:00"/>
    <s v="DRY2300341"/>
    <s v="USA"/>
    <s v="Bellisio Foods, Inc."/>
    <s v="C-Wonton"/>
    <s v="C-Wonton ND"/>
    <x v="7"/>
    <s v="Cooked Minced Wonton No Egg"/>
    <s v="082SKBW08005P00001"/>
    <s v="145g*8"/>
    <n v="8"/>
    <n v="5"/>
    <n v="6.0000000000000001E-3"/>
    <s v="BK"/>
    <s v="Salt"/>
    <s v="Regular"/>
    <n v="1400"/>
    <m/>
    <n v="1626.875"/>
    <n v="226.875"/>
    <n v="0"/>
    <m/>
    <m/>
    <m/>
  </r>
  <r>
    <x v="609"/>
    <d v="2023-09-12T00:00:00"/>
    <s v="Week35"/>
    <d v="2023-09-01T00:00:00"/>
    <s v="DRY2300330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100"/>
    <n v="90"/>
    <n v="10"/>
    <n v="0"/>
    <n v="0"/>
    <n v="0"/>
    <n v="6"/>
    <n v="0"/>
  </r>
  <r>
    <x v="609"/>
    <d v="2023-09-13T00:00:00"/>
    <s v="Week35"/>
    <d v="2023-09-01T00:00:00"/>
    <s v="DRY2300331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100"/>
    <n v="100"/>
    <n v="16"/>
    <n v="16"/>
    <n v="0"/>
    <n v="0"/>
    <n v="6"/>
    <n v="0"/>
  </r>
  <r>
    <x v="609"/>
    <d v="2023-09-07T00:00:00"/>
    <s v="Week35"/>
    <d v="2023-09-01T00:00:00"/>
    <s v="ขายภายใน"/>
    <s v="MTFS"/>
    <s v="ซีพีเอฟ เทรดดิ้ง"/>
    <s v="R-Wonton"/>
    <s v="R-Wonton"/>
    <x v="10"/>
    <s v="เกี๊ยวกุ้งซุปสไตล์ฮ่องกง 12x93g"/>
    <s v="082ID1D12008P00001"/>
    <s v="93g*12in"/>
    <n v="12"/>
    <n v="8"/>
    <n v="6.1999999999999998E-3"/>
    <s v="BK"/>
    <s v="STPP"/>
    <m/>
    <n v="880"/>
    <n v="880"/>
    <m/>
    <n v="0"/>
    <n v="0"/>
    <n v="0"/>
    <m/>
    <n v="0"/>
  </r>
  <r>
    <x v="609"/>
    <d v="2023-09-11T00:00:00"/>
    <s v="Week35"/>
    <d v="2023-09-01T00:00:00"/>
    <s v="DRY2300326"/>
    <s v="Taiwan"/>
    <s v="CP TAIWAN"/>
    <s v="R-Wonton"/>
    <s v="R-Wonton no egg"/>
    <x v="10"/>
    <s v="Raw Wonton 12 pcs"/>
    <s v="082I93R40012P03001"/>
    <s v="154g*40inner"/>
    <n v="40"/>
    <n v="12"/>
    <n v="8.1300000000000001E-3"/>
    <s v="M"/>
    <s v="Salt"/>
    <s v="ซุปซอง 5g."/>
    <n v="759"/>
    <n v="735"/>
    <n v="24"/>
    <n v="0"/>
    <n v="0"/>
    <n v="0"/>
    <n v="2"/>
    <n v="0"/>
  </r>
  <r>
    <x v="610"/>
    <d v="2023-09-11T00:00:00"/>
    <s v="Week35"/>
    <d v="2023-09-01T00:00:00"/>
    <s v="DRY2300326"/>
    <s v="Taiwan"/>
    <s v="CP TAIWAN"/>
    <s v="R-Wonton"/>
    <s v="R-Wonton no egg"/>
    <x v="10"/>
    <s v="Raw Wonton 12 pcs"/>
    <s v="082I93R40012P03001"/>
    <s v="154g*40inner"/>
    <n v="40"/>
    <n v="12"/>
    <n v="8.1300000000000001E-3"/>
    <s v="M"/>
    <s v="Salt"/>
    <s v="ซุปซอง 5g."/>
    <n v="865"/>
    <n v="864"/>
    <n v="14"/>
    <n v="13"/>
    <n v="0"/>
    <n v="0"/>
    <n v="2"/>
    <n v="0"/>
  </r>
  <r>
    <x v="610"/>
    <d v="2023-09-11T00:00:00"/>
    <s v="Week35"/>
    <d v="2023-09-01T00:00:00"/>
    <s v="ขายภายใน"/>
    <s v="MTFS"/>
    <s v="ซีพีเอฟ เทรดดิ้ง"/>
    <s v="R-Wonton"/>
    <s v="R-Wonton"/>
    <x v="10"/>
    <s v="เกี๊ยวกุ้งซุปสไตล์ฮ่องกง 12x93g"/>
    <s v="082ID1D12008P00001"/>
    <s v="93g*12in"/>
    <n v="12"/>
    <n v="8"/>
    <n v="6.1999999999999998E-3"/>
    <s v="BK"/>
    <s v="STPP"/>
    <m/>
    <n v="400"/>
    <n v="400"/>
    <m/>
    <n v="0"/>
    <n v="0"/>
    <n v="0"/>
    <m/>
    <n v="0"/>
  </r>
  <r>
    <x v="610"/>
    <d v="2023-09-13T00:00:00"/>
    <s v="Week35"/>
    <d v="2023-09-01T00:00:00"/>
    <s v="DRY2300340"/>
    <s v="Malay"/>
    <s v="CPM Malaysia"/>
    <s v="R-Wonton"/>
    <s v="R-Wonton"/>
    <x v="4"/>
    <s v="Raw Wonton 12 pcs"/>
    <s v="082I95I20012P02001"/>
    <s v="154g*20inner"/>
    <n v="20"/>
    <n v="12"/>
    <n v="6.8100000000000001E-3"/>
    <s v="S"/>
    <s v="STPP"/>
    <s v="ซุปซอง 5g."/>
    <n v="300"/>
    <n v="300"/>
    <m/>
    <n v="0"/>
    <n v="0"/>
    <n v="0"/>
    <n v="2"/>
    <n v="0"/>
  </r>
  <r>
    <x v="611"/>
    <m/>
    <s v="Week36"/>
    <d v="2023-09-01T00:00:00"/>
    <m/>
    <m/>
    <m/>
    <m/>
    <m/>
    <x v="0"/>
    <m/>
    <m/>
    <m/>
    <m/>
    <m/>
    <m/>
    <m/>
    <m/>
    <m/>
    <m/>
    <m/>
    <m/>
    <m/>
    <m/>
    <m/>
    <m/>
    <m/>
  </r>
  <r>
    <x v="612"/>
    <d v="2023-09-21T00:00:00"/>
    <s v="Week36"/>
    <d v="2023-09-01T00:00:00"/>
    <s v="DRY2300352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85"/>
    <n v="7.416666666666667"/>
    <n v="0.41666666666662877"/>
    <n v="0"/>
    <m/>
    <m/>
    <m/>
  </r>
  <r>
    <x v="612"/>
    <d v="2023-09-21T00:00:00"/>
    <s v="Week36"/>
    <d v="2023-09-01T00:00:00"/>
    <s v="DRY2300353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612"/>
    <d v="2023-09-28T00:00:00"/>
    <s v="Week36"/>
    <d v="2023-09-01T00:00:00"/>
    <s v="DRY2300354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612"/>
    <d v="2023-09-28T00:00:00"/>
    <s v="Week36"/>
    <d v="2023-09-01T00:00:00"/>
    <s v="DRY2300355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55"/>
    <n v="755"/>
    <m/>
    <n v="0"/>
    <n v="0"/>
    <m/>
    <m/>
    <m/>
  </r>
  <r>
    <x v="613"/>
    <d v="2023-09-28T00:00:00"/>
    <s v="Week36"/>
    <d v="2023-09-01T00:00:00"/>
    <s v="DRY2300355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37"/>
    <n v="37"/>
    <m/>
    <n v="0"/>
    <n v="0"/>
    <m/>
    <m/>
    <m/>
  </r>
  <r>
    <x v="613"/>
    <d v="2023-09-28T00:00:00"/>
    <s v="Week36"/>
    <d v="2023-09-01T00:00:00"/>
    <s v="DRY2300356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613"/>
    <d v="2023-10-05T00:00:00"/>
    <s v="Week36"/>
    <d v="2023-09-01T00:00:00"/>
    <s v="DRY2300357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613"/>
    <d v="2023-10-05T00:00:00"/>
    <s v="Week36"/>
    <d v="2023-09-01T00:00:00"/>
    <s v="DRY2300358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613"/>
    <d v="2023-10-05T00:00:00"/>
    <s v="Week36"/>
    <d v="2023-09-01T00:00:00"/>
    <s v="DRY2300359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614"/>
    <d v="2023-09-29T00:00:00"/>
    <s v="Week36"/>
    <d v="2023-09-01T00:00:00"/>
    <s v="DRY230035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614"/>
    <d v="2023-09-29T00:00:00"/>
    <s v="Week36"/>
    <d v="2023-09-01T00:00:00"/>
    <s v="DRY230035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561"/>
    <n v="251.22222222222223"/>
    <n v="20.222222222222172"/>
    <n v="0"/>
    <m/>
    <m/>
    <m/>
  </r>
  <r>
    <x v="614"/>
    <d v="2023-10-11T00:00:00"/>
    <s v="Week36"/>
    <d v="2023-09-01T00:00:00"/>
    <s v="DRY2300184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17"/>
    <n v="3"/>
    <n v="0"/>
    <n v="0"/>
    <m/>
    <m/>
    <m/>
  </r>
  <r>
    <x v="614"/>
    <d v="2023-10-10T00:00:00"/>
    <s v="Week36"/>
    <d v="2023-09-01T00:00:00"/>
    <s v="DRY2300370"/>
    <s v="Germany"/>
    <s v=" CPF Distribution (under Paulsen Food)"/>
    <s v="C-Wonton"/>
    <s v="C-Wonton ND"/>
    <x v="5"/>
    <s v="Cooked Wonton ND No Egg with Pumpkin _x000a_+ Vegetable  HC  3 pcs"/>
    <s v="082SJ3N12003P01001"/>
    <s v="309g*12"/>
    <n v="12"/>
    <n v="3"/>
    <n v="7.4999999999999997E-3"/>
    <s v="HC"/>
    <s v="Salt"/>
    <s v="Regular"/>
    <n v="2520"/>
    <n v="2520"/>
    <n v="151.16666666666666"/>
    <n v="151.16666666666652"/>
    <n v="0"/>
    <m/>
    <m/>
    <m/>
  </r>
  <r>
    <x v="615"/>
    <d v="2023-09-20T00:00:00"/>
    <s v="Week36"/>
    <d v="2023-09-01T00:00:00"/>
    <s v="DRY2300377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615"/>
    <d v="2023-09-21T00:00:00"/>
    <s v="Week36"/>
    <d v="2023-09-01T00:00:00"/>
    <s v="DRY2300379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615"/>
    <d v="2023-10-18T00:00:00"/>
    <s v="Week36"/>
    <d v="2023-09-01T00:00:00"/>
    <s v="DRY2300343"/>
    <s v="CAN "/>
    <s v="Bellisio Foods Canada"/>
    <s v="C-Wonton"/>
    <s v="C-Wonton ND"/>
    <x v="3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m/>
    <m/>
    <m/>
  </r>
  <r>
    <x v="616"/>
    <d v="2023-10-03T00:00:00"/>
    <s v="Week36"/>
    <d v="2023-09-01T00:00:00"/>
    <s v="DRY2300364"/>
    <s v="Japan"/>
    <s v="CPF JAPAN"/>
    <s v="C-Wonton"/>
    <s v="C-Wonton"/>
    <x v="1"/>
    <s v="Cooked Wonton No Egg"/>
    <s v="082S85724004P00001"/>
    <s v="130g*24"/>
    <n v="24"/>
    <n v="4"/>
    <n v="8.0000000000000002E-3"/>
    <s v="M"/>
    <s v="Salt"/>
    <s v="Regular"/>
    <n v="2048"/>
    <n v="2041"/>
    <n v="7.166666666666667"/>
    <n v="0.16666666666651508"/>
    <n v="0"/>
    <m/>
    <m/>
    <m/>
  </r>
  <r>
    <x v="616"/>
    <d v="2023-10-17T00:00:00"/>
    <s v="Week36"/>
    <d v="2023-09-01T00:00:00"/>
    <s v="DRY2300365"/>
    <s v="Japan"/>
    <s v="CPF JAPAN"/>
    <s v="C-Wonton"/>
    <s v="C-Wonton"/>
    <x v="1"/>
    <s v="Cooked Wonton No Egg"/>
    <s v="082S85724004P00001"/>
    <s v="130g*24"/>
    <n v="24"/>
    <n v="4"/>
    <n v="8.0000000000000002E-3"/>
    <s v="M"/>
    <s v="Salt"/>
    <s v="Regular"/>
    <n v="2048"/>
    <m/>
    <n v="2056.0833333333335"/>
    <n v="8.0833333333334849"/>
    <n v="0"/>
    <m/>
    <m/>
    <m/>
  </r>
  <r>
    <x v="616"/>
    <d v="2023-10-11T00:00:00"/>
    <s v="Week36"/>
    <d v="2023-09-01T00:00:00"/>
    <s v="DRY2300393"/>
    <s v="SG"/>
    <s v="CPI Singapore"/>
    <s v="C-Wonton"/>
    <s v="C-Wonton ND"/>
    <x v="5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400"/>
    <n v="394"/>
    <n v="6"/>
    <n v="0"/>
    <n v="0"/>
    <m/>
    <m/>
    <m/>
  </r>
  <r>
    <x v="616"/>
    <d v="2023-09-28T00:00:00"/>
    <s v="Week36"/>
    <d v="2023-09-01T00:00:00"/>
    <s v="DRY2300339"/>
    <s v="AUS"/>
    <s v="CPF Australia Pty Ltd."/>
    <s v="C-Wonton"/>
    <s v="C-Wonton ND"/>
    <x v="5"/>
    <s v="Cooked Wonton ND No Egg with Pumpkin_x000a_+ Yu Choy "/>
    <s v="082SJ9U08004P00001"/>
    <s v="305g*8"/>
    <n v="8"/>
    <n v="4"/>
    <n v="7.4999999999999997E-3"/>
    <s v="HC"/>
    <s v="Salt"/>
    <s v="Regular"/>
    <n v="728"/>
    <m/>
    <n v="728"/>
    <n v="0"/>
    <n v="0"/>
    <m/>
    <m/>
    <m/>
  </r>
  <r>
    <x v="617"/>
    <d v="2023-10-05T00:00:00"/>
    <s v="Week36"/>
    <d v="2023-09-01T00:00:00"/>
    <s v="DRY2300372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1450"/>
    <n v="1450"/>
    <m/>
    <n v="0"/>
    <n v="0"/>
    <n v="0"/>
    <n v="1"/>
    <n v="0"/>
  </r>
  <r>
    <x v="617"/>
    <d v="2023-10-11T00:00:00"/>
    <s v="Week36"/>
    <d v="2023-09-01T00:00:00"/>
    <s v="DRY2300390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1500"/>
    <n v="1500"/>
    <m/>
    <n v="0"/>
    <n v="0"/>
    <n v="0"/>
    <n v="2"/>
    <n v="0"/>
  </r>
  <r>
    <x v="618"/>
    <m/>
    <s v="Week37"/>
    <d v="2023-09-01T00:00:00"/>
    <m/>
    <m/>
    <m/>
    <m/>
    <m/>
    <x v="0"/>
    <m/>
    <m/>
    <m/>
    <m/>
    <m/>
    <m/>
    <m/>
    <m/>
    <m/>
    <m/>
    <m/>
    <m/>
    <m/>
    <m/>
    <m/>
    <m/>
    <m/>
  </r>
  <r>
    <x v="619"/>
    <m/>
    <s v="Week37"/>
    <d v="2023-09-01T00:00:00"/>
    <m/>
    <m/>
    <m/>
    <m/>
    <m/>
    <x v="0"/>
    <m/>
    <m/>
    <m/>
    <m/>
    <m/>
    <m/>
    <m/>
    <m/>
    <m/>
    <m/>
    <m/>
    <m/>
    <m/>
    <m/>
    <m/>
    <m/>
    <m/>
  </r>
  <r>
    <x v="620"/>
    <m/>
    <s v="Week37"/>
    <d v="2023-09-01T00:00:00"/>
    <m/>
    <m/>
    <m/>
    <m/>
    <m/>
    <x v="0"/>
    <m/>
    <m/>
    <m/>
    <m/>
    <m/>
    <m/>
    <m/>
    <m/>
    <m/>
    <m/>
    <m/>
    <m/>
    <m/>
    <m/>
    <m/>
    <m/>
    <m/>
  </r>
  <r>
    <x v="621"/>
    <m/>
    <s v="Week37"/>
    <d v="2023-09-01T00:00:00"/>
    <m/>
    <m/>
    <m/>
    <m/>
    <m/>
    <x v="0"/>
    <m/>
    <m/>
    <m/>
    <m/>
    <m/>
    <m/>
    <m/>
    <m/>
    <m/>
    <m/>
    <m/>
    <m/>
    <m/>
    <m/>
    <m/>
    <m/>
    <m/>
  </r>
  <r>
    <x v="622"/>
    <m/>
    <s v="Week37"/>
    <d v="2023-09-01T00:00:00"/>
    <m/>
    <m/>
    <m/>
    <m/>
    <m/>
    <x v="0"/>
    <m/>
    <m/>
    <m/>
    <m/>
    <m/>
    <m/>
    <m/>
    <m/>
    <m/>
    <m/>
    <m/>
    <m/>
    <m/>
    <m/>
    <m/>
    <m/>
    <m/>
  </r>
  <r>
    <x v="623"/>
    <d v="2023-10-11T00:00:00"/>
    <s v="Week37"/>
    <d v="2023-09-01T00:00:00"/>
    <s v="DRY2300375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</r>
  <r>
    <x v="623"/>
    <d v="2023-10-12T00:00:00"/>
    <s v="Week37"/>
    <d v="2023-09-01T00:00:00"/>
    <s v="DRY2300382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623"/>
    <d v="2023-10-12T00:00:00"/>
    <s v="Week37"/>
    <d v="2023-09-01T00:00:00"/>
    <s v="DRY2300383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624"/>
    <d v="2023-10-12T00:00:00"/>
    <s v="Week37"/>
    <d v="2023-09-01T00:00:00"/>
    <s v="DRY2300384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59"/>
    <n v="33"/>
    <n v="0"/>
    <n v="0"/>
    <m/>
    <m/>
    <m/>
  </r>
  <r>
    <x v="624"/>
    <d v="2023-10-19T00:00:00"/>
    <s v="Week37"/>
    <d v="2023-09-01T00:00:00"/>
    <s v="DRY2300385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624"/>
    <d v="2023-10-19T00:00:00"/>
    <s v="Week37"/>
    <d v="2023-09-01T00:00:00"/>
    <s v="DRY2300386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624"/>
    <d v="2023-10-19T00:00:00"/>
    <s v="Week37"/>
    <d v="2023-09-01T00:00:00"/>
    <s v="DRY2300387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625"/>
    <m/>
    <s v="Week38"/>
    <d v="2023-09-01T00:00:00"/>
    <m/>
    <m/>
    <m/>
    <m/>
    <m/>
    <x v="0"/>
    <m/>
    <m/>
    <m/>
    <m/>
    <m/>
    <m/>
    <m/>
    <m/>
    <m/>
    <m/>
    <m/>
    <m/>
    <m/>
    <m/>
    <m/>
    <m/>
    <m/>
  </r>
  <r>
    <x v="626"/>
    <d v="2023-10-04T00:00:00"/>
    <s v="Week38"/>
    <d v="2023-09-01T00:00:00"/>
    <s v="DRY2300373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928"/>
    <n v="496"/>
    <n v="432.125"/>
    <n v="0.125"/>
    <n v="0"/>
    <m/>
    <n v="1"/>
    <n v="14848"/>
  </r>
  <r>
    <x v="626"/>
    <d v="2023-10-05T00:00:00"/>
    <s v="Week38"/>
    <d v="2023-09-01T00:00:00"/>
    <s v="DRY2300374"/>
    <s v="New Zealand"/>
    <s v="Lim Brothers"/>
    <s v="C-Wonton"/>
    <s v="C-Wonton"/>
    <x v="23"/>
    <s v="Cooked Minced Wonton in Tray 6 pcs + Sesame Sauce"/>
    <s v="082SKN716006P00001"/>
    <s v="117*2tray*8in"/>
    <n v="16"/>
    <n v="6"/>
    <n v="6.0000000000000001E-3"/>
    <s v="BK"/>
    <s v="Salt"/>
    <s v=" Sesame 15g"/>
    <n v="683"/>
    <n v="611"/>
    <n v="72.625"/>
    <n v="0.625"/>
    <n v="0"/>
    <m/>
    <n v="1"/>
    <n v="10928"/>
  </r>
  <r>
    <x v="626"/>
    <d v="2023-09-25T00:00:00"/>
    <s v="Week38"/>
    <d v="2023-09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492"/>
    <n v="2492"/>
    <m/>
    <n v="0"/>
    <n v="0"/>
    <m/>
    <m/>
    <m/>
  </r>
  <r>
    <x v="626"/>
    <d v="2023-10-02T00:00:00"/>
    <s v="Week38"/>
    <d v="2023-09-01T00:00:00"/>
    <s v="DRY2300339"/>
    <s v="AUS"/>
    <s v="CPF Australia Pty Ltd."/>
    <s v="C-Wonton"/>
    <s v="C-Wonton ND"/>
    <x v="17"/>
    <s v="Cooked Minced  ND No Egg with Pumpkin_x000a_+ Yu Choy Tomyum"/>
    <s v="082SR9U08003P00001"/>
    <s v="302g*8"/>
    <n v="8"/>
    <n v="3"/>
    <n v="8.0000000000000002E-3"/>
    <s v="BK"/>
    <s v="Salt"/>
    <s v="TYA+CO"/>
    <n v="728"/>
    <m/>
    <n v="728"/>
    <n v="0"/>
    <n v="0"/>
    <m/>
    <m/>
    <m/>
  </r>
  <r>
    <x v="626"/>
    <d v="2023-10-05T00:00:00"/>
    <s v="Week38"/>
    <d v="2023-09-01T00:00:00"/>
    <s v="DRY2300374"/>
    <s v="New Zealand"/>
    <s v="Lim Brothers"/>
    <s v="C-Wonton"/>
    <s v="C-Wonton ND"/>
    <x v="17"/>
    <s v="Cooked Minced  ND No Egg with Pumpkin_x000a_+ Yu Choy Tomyum"/>
    <s v="082SRN708003P00001"/>
    <s v="302g*8"/>
    <n v="8"/>
    <n v="3"/>
    <n v="6.0000000000000001E-3"/>
    <s v="BK"/>
    <s v="Salt"/>
    <s v="TYA+CO"/>
    <n v="454"/>
    <m/>
    <n v="454.75"/>
    <n v="0.75"/>
    <n v="0"/>
    <m/>
    <m/>
    <m/>
  </r>
  <r>
    <x v="627"/>
    <d v="2023-10-09T00:00:00"/>
    <s v="Week38"/>
    <d v="2023-09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921"/>
    <n v="2921"/>
    <m/>
    <n v="0"/>
    <n v="0"/>
    <m/>
    <m/>
    <m/>
  </r>
  <r>
    <x v="627"/>
    <d v="2023-10-03T00:00:00"/>
    <s v="Week38"/>
    <d v="2023-09-01T00:00:00"/>
    <s v="DRY2300368"/>
    <s v="UK"/>
    <s v="Food Fellas"/>
    <s v="C-Wonton"/>
    <s v="C-Wonton"/>
    <x v="1"/>
    <s v="Cooked Wonton  No Egg_x000a_HC  5 pcs"/>
    <s v="082S8T212005P00001"/>
    <s v="145g*12"/>
    <n v="12"/>
    <n v="5"/>
    <n v="7.4999999999999997E-3"/>
    <s v="HC"/>
    <s v="Salt"/>
    <s v="Regular"/>
    <n v="600"/>
    <n v="600"/>
    <m/>
    <n v="0"/>
    <n v="0"/>
    <m/>
    <m/>
    <m/>
  </r>
  <r>
    <x v="627"/>
    <d v="2023-10-11T00:00:00"/>
    <s v="Week38"/>
    <d v="2023-09-01T00:00:00"/>
    <s v="DRY2300391"/>
    <s v="SG"/>
    <s v="CPI SINGAPORE"/>
    <s v="C-Wonton"/>
    <s v="C-Wonton"/>
    <x v="1"/>
    <s v="Cooked Wonton No Egg"/>
    <s v="082S83B24005P07001"/>
    <s v="145g*24"/>
    <n v="24"/>
    <n v="5"/>
    <n v="8.0000000000000002E-3"/>
    <s v="M"/>
    <s v="STPP"/>
    <s v="Regular"/>
    <n v="500"/>
    <n v="500"/>
    <m/>
    <n v="0"/>
    <n v="0"/>
    <m/>
    <m/>
    <m/>
  </r>
  <r>
    <x v="627"/>
    <d v="2023-10-11T00:00:00"/>
    <s v="Week38"/>
    <d v="2023-09-01T00:00:00"/>
    <s v="DRY2300392"/>
    <s v="SG"/>
    <s v="CPI SINGAPORE"/>
    <s v="C-Wonton"/>
    <s v="C-Wonton"/>
    <x v="2"/>
    <s v="Cooked Wonton No Egg"/>
    <s v="082S83B24005P06001"/>
    <s v="115g*24"/>
    <n v="24"/>
    <n v="5"/>
    <n v="8.0000000000000002E-3"/>
    <s v="M"/>
    <s v="STPP"/>
    <s v="TYTB3C 30G"/>
    <n v="500"/>
    <n v="500"/>
    <m/>
    <n v="0"/>
    <n v="0"/>
    <m/>
    <n v="1"/>
    <n v="0"/>
  </r>
  <r>
    <x v="627"/>
    <d v="2023-10-03T00:00:00"/>
    <s v="Week38"/>
    <d v="2023-09-01T00:00:00"/>
    <s v="DRY2300368"/>
    <s v="UK"/>
    <s v="Food Fellas"/>
    <s v="C-Wonton"/>
    <s v="C-Wonton ND"/>
    <x v="15"/>
    <s v="Cooked Wonton ND No Egg with _x000a_HC  5 pcs"/>
    <s v="082SJT212005P00001"/>
    <s v="258g*12"/>
    <n v="12"/>
    <n v="5"/>
    <n v="7.4999999999999997E-3"/>
    <s v="HC"/>
    <s v="Salt"/>
    <s v="Regular"/>
    <n v="600"/>
    <n v="600"/>
    <m/>
    <n v="0"/>
    <n v="0"/>
    <m/>
    <m/>
    <m/>
  </r>
  <r>
    <x v="627"/>
    <d v="2023-10-05T00:00:00"/>
    <s v="Week38"/>
    <d v="2023-09-01T00:00:00"/>
    <s v="DRY2300374"/>
    <s v="New Zealand"/>
    <s v="Lim Brothers"/>
    <s v="C-Wonton"/>
    <s v="C-Wonton ND"/>
    <x v="28"/>
    <s v="Cooked Minced Wonton Thai Spicy Noodles (Kee Mao Noodles)"/>
    <s v="082SRN708003P02001"/>
    <s v="219g*8"/>
    <n v="8"/>
    <n v="3"/>
    <n v="6.0000000000000001E-3"/>
    <s v="BK"/>
    <s v="Salt"/>
    <s v="Kee Mao 50G."/>
    <n v="800"/>
    <m/>
    <n v="805.5"/>
    <n v="5.5"/>
    <n v="0"/>
    <m/>
    <m/>
    <m/>
  </r>
  <r>
    <x v="627"/>
    <d v="2023-10-05T00:00:00"/>
    <s v="Week38"/>
    <d v="2023-09-01T00:00:00"/>
    <s v="DRY2300374"/>
    <s v="New Zealand"/>
    <s v="Lim Brothers"/>
    <s v="C-Wonton"/>
    <s v="C-Wonton ND"/>
    <x v="27"/>
    <s v="Cooked Minced  ND No Egg with Pumpkin_x000a_+ Yu Choy Tomkha"/>
    <s v="082SRN708003P01001"/>
    <s v="302g*8"/>
    <n v="8"/>
    <n v="3"/>
    <n v="6.0000000000000001E-3"/>
    <s v="BK"/>
    <s v="Salt"/>
    <s v="Tomkha+CM"/>
    <n v="780"/>
    <m/>
    <n v="780"/>
    <n v="0"/>
    <n v="0"/>
    <m/>
    <m/>
    <m/>
  </r>
  <r>
    <x v="627"/>
    <d v="2023-11-09T00:00:00"/>
    <s v="Week38"/>
    <d v="2023-09-01T00:00:00"/>
    <s v="DRY2300436"/>
    <s v="New Zealand"/>
    <s v="Lim Brothers"/>
    <s v="C-Wonton"/>
    <s v="C-Wonton ND"/>
    <x v="27"/>
    <s v="Cooked Minced  ND No Egg with Pumpkin_x000a_+ Yu Choy Tomkha"/>
    <s v="082SRN708003P01001"/>
    <s v="302g*8"/>
    <n v="8"/>
    <n v="3"/>
    <n v="6.0000000000000001E-3"/>
    <s v="BK"/>
    <s v="Salt"/>
    <s v="Tomkha+CM"/>
    <n v="940"/>
    <m/>
    <n v="992.125"/>
    <n v="52.125"/>
    <n v="0"/>
    <m/>
    <m/>
    <m/>
  </r>
  <r>
    <x v="628"/>
    <d v="2023-10-04T00:00:00"/>
    <s v="Week38"/>
    <d v="2023-09-01T00:00:00"/>
    <s v="DRY2300373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872"/>
    <n v="516"/>
    <n v="395.5"/>
    <n v="39.5"/>
    <n v="0"/>
    <m/>
    <n v="1"/>
    <n v="13952"/>
  </r>
  <r>
    <x v="628"/>
    <d v="2023-10-05T00:00:00"/>
    <s v="Week38"/>
    <d v="2023-09-01T00:00:00"/>
    <s v="DRY2300374"/>
    <s v="New Zealand"/>
    <s v="Lim Brothers"/>
    <s v="C-Wonton"/>
    <s v="C-Wonton"/>
    <x v="23"/>
    <s v="Cooked Minced Wonton in Tray 6 pcs + Sesame Sauce"/>
    <s v="082SKN716006P00001"/>
    <s v="117*2tray*8in"/>
    <n v="16"/>
    <n v="6"/>
    <n v="6.0000000000000001E-3"/>
    <s v="BK"/>
    <s v="Salt"/>
    <s v=" Sesame 15g"/>
    <n v="117"/>
    <n v="117"/>
    <n v="58"/>
    <n v="58"/>
    <n v="0"/>
    <m/>
    <n v="1"/>
    <n v="1872"/>
  </r>
  <r>
    <x v="628"/>
    <d v="2023-10-01T00:00:00"/>
    <s v="Week38"/>
    <d v="2023-09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4225"/>
    <n v="4225"/>
    <m/>
    <n v="0"/>
    <n v="0"/>
    <m/>
    <m/>
    <m/>
  </r>
  <r>
    <x v="629"/>
    <d v="2023-10-09T00:00:00"/>
    <s v="Week38"/>
    <d v="2023-09-01T00:00:00"/>
    <s v="DRY2300376"/>
    <s v="Korea"/>
    <s v="Emart"/>
    <s v="C-Wonton"/>
    <s v="C-Wonton"/>
    <x v="20"/>
    <s v="COOKED WONTON 6 pcs."/>
    <s v="082S8EJ12012P00001"/>
    <s v="141*2tray*12in"/>
    <n v="24"/>
    <n v="6"/>
    <n v="6.1999999999999998E-3"/>
    <s v="SS"/>
    <s v="Salt"/>
    <s v=" Sesame 15g"/>
    <n v="764"/>
    <n v="513"/>
    <n v="251"/>
    <n v="0"/>
    <n v="0"/>
    <m/>
    <n v="1"/>
    <n v="18336"/>
  </r>
  <r>
    <x v="629"/>
    <d v="2023-10-01T00:00:00"/>
    <s v="Week38"/>
    <d v="2023-09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4221"/>
    <n v="4221"/>
    <m/>
    <n v="0"/>
    <n v="0"/>
    <m/>
    <m/>
    <m/>
  </r>
  <r>
    <x v="630"/>
    <d v="2023-10-09T00:00:00"/>
    <s v="Week38"/>
    <d v="2023-09-01T00:00:00"/>
    <s v="DRY2300376"/>
    <s v="Korea"/>
    <s v="Emart"/>
    <s v="C-Wonton"/>
    <s v="C-Wonton"/>
    <x v="20"/>
    <s v="COOKED WONTON 6 pcs."/>
    <s v="082S8EJ12012P00001"/>
    <s v="141*2tray*12in"/>
    <n v="24"/>
    <n v="6"/>
    <n v="6.1999999999999998E-3"/>
    <s v="SS"/>
    <s v="Salt"/>
    <s v=" Sesame 15g"/>
    <n v="725"/>
    <n v="288"/>
    <n v="437"/>
    <n v="0"/>
    <n v="0"/>
    <m/>
    <n v="1"/>
    <n v="17400"/>
  </r>
  <r>
    <x v="630"/>
    <d v="2023-10-01T00:00:00"/>
    <s v="Week38"/>
    <d v="2023-09-01T00:00:00"/>
    <s v="ขายภายใน"/>
    <s v="MTFS"/>
    <s v="ซีพีเอฟ เทรดดิ้ง"/>
    <s v="C-Wonton"/>
    <s v="C-Wonton"/>
    <x v="12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m/>
    <m/>
    <m/>
  </r>
  <r>
    <x v="630"/>
    <d v="2023-10-01T00:00:00"/>
    <s v="Week38"/>
    <d v="2023-09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3217"/>
    <n v="3217"/>
    <m/>
    <n v="0"/>
    <n v="0"/>
    <m/>
    <m/>
    <m/>
  </r>
  <r>
    <x v="630"/>
    <d v="2023-10-01T00:00:00"/>
    <s v="Week38"/>
    <d v="2023-09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1600"/>
    <n v="1597"/>
    <n v="3"/>
    <n v="0"/>
    <n v="0"/>
    <m/>
    <n v="1"/>
    <n v="0"/>
  </r>
  <r>
    <x v="630"/>
    <d v="2023-10-01T00:00:00"/>
    <s v="Week38"/>
    <d v="2023-09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1223"/>
    <n v="1207"/>
    <n v="16.333333333333332"/>
    <n v="0.33333333333325754"/>
    <n v="0"/>
    <m/>
    <n v="1"/>
    <n v="0"/>
  </r>
  <r>
    <x v="630"/>
    <d v="2023-10-01T00:00:00"/>
    <s v="Week38"/>
    <d v="2023-09-01T00:00:00"/>
    <s v="ขายภายใน"/>
    <s v="MTFS"/>
    <s v="ซีพีเอฟ เทรดดิ้ง"/>
    <s v="C-Wonton"/>
    <s v="C-Wonton"/>
    <x v="11"/>
    <s v="Cooked Wonton ND with egg V-Food"/>
    <s v="082SJ3Q12003P07001"/>
    <s v="226g*12"/>
    <n v="12"/>
    <n v="3"/>
    <n v="8.0000000000000002E-3"/>
    <s v="M"/>
    <s v="STPP"/>
    <s v="Regular"/>
    <n v="516"/>
    <n v="516"/>
    <m/>
    <n v="0"/>
    <n v="0"/>
    <m/>
    <m/>
    <m/>
  </r>
  <r>
    <x v="631"/>
    <d v="2023-10-09T00:00:00"/>
    <s v="Week38"/>
    <d v="2023-09-01T00:00:00"/>
    <s v="DRY2300376"/>
    <s v="Korea"/>
    <s v="Emart"/>
    <s v="C-Wonton"/>
    <s v="C-Wonton"/>
    <x v="20"/>
    <s v="COOKED WONTON 6 pcs."/>
    <s v="082S8EJ12012P00001"/>
    <s v="141*2tray*12in"/>
    <n v="24"/>
    <n v="6"/>
    <n v="6.1999999999999998E-3"/>
    <s v="SS"/>
    <s v="Salt"/>
    <s v=" Sesame 15g"/>
    <n v="1220"/>
    <m/>
    <n v="1219.9166666666667"/>
    <n v="-8.3333333333257542E-2"/>
    <n v="2"/>
    <m/>
    <n v="1"/>
    <n v="29280"/>
  </r>
  <r>
    <x v="631"/>
    <d v="2023-10-12T00:00:00"/>
    <s v="Week38"/>
    <d v="2023-09-01T00:00:00"/>
    <s v="DRY2300366"/>
    <s v="Japan"/>
    <s v="CPF JAPAN"/>
    <s v="C-Wonton"/>
    <s v="C-Wonton"/>
    <x v="2"/>
    <s v="Cooked Wonton No Egg"/>
    <s v="082S85724004P01001"/>
    <s v="124g*24"/>
    <n v="24"/>
    <n v="4"/>
    <n v="8.0000000000000002E-3"/>
    <s v="M"/>
    <s v="Salt"/>
    <s v="TYEX+CO"/>
    <n v="2048"/>
    <n v="2048"/>
    <m/>
    <n v="0"/>
    <n v="0"/>
    <m/>
    <m/>
    <m/>
  </r>
  <r>
    <x v="631"/>
    <d v="2023-10-17T00:00:00"/>
    <s v="Week38"/>
    <d v="2023-09-01T00:00:00"/>
    <s v="DRY2300371"/>
    <s v="Germany"/>
    <s v=" CPF Distribution (under Paulsen Food)"/>
    <s v="C-Wonton"/>
    <s v="C-Wonton ND"/>
    <x v="17"/>
    <s v="Cooked Minced  ND No Egg with Pumpkin_x000a_+ Yu Choy Tomyum"/>
    <s v="082SR3N12003P00001"/>
    <s v="302g*12"/>
    <n v="12"/>
    <n v="3"/>
    <n v="6.0000000000000001E-3"/>
    <s v="BK"/>
    <s v="Salt"/>
    <s v="TYEX+CO"/>
    <n v="2520"/>
    <n v="2520"/>
    <n v="12"/>
    <n v="12"/>
    <n v="0"/>
    <m/>
    <m/>
    <m/>
  </r>
  <r>
    <x v="631"/>
    <d v="2023-10-05T00:00:00"/>
    <s v="Week38"/>
    <d v="2023-09-01T00:00:00"/>
    <s v="DRY2300372"/>
    <s v="HK"/>
    <s v="CPM Hongkong"/>
    <s v="R-Wonton"/>
    <s v="R-Mince"/>
    <x v="9"/>
    <s v="Raw Minced Wonton 8 pcs"/>
    <s v="082ID3G18008P00001"/>
    <s v="90g*18in"/>
    <n v="18"/>
    <n v="8"/>
    <n v="6.0000000000000001E-3"/>
    <s v="BK"/>
    <s v="STPP"/>
    <s v="ซุปซอง 5g."/>
    <n v="450"/>
    <n v="450"/>
    <m/>
    <n v="0"/>
    <n v="0"/>
    <n v="0"/>
    <n v="2"/>
    <n v="0"/>
  </r>
  <r>
    <x v="631"/>
    <d v="2023-10-11T00:00:00"/>
    <s v="Week38"/>
    <d v="2023-09-01T00:00:00"/>
    <s v="DRY2300394"/>
    <s v="SG"/>
    <s v="CPI SINGAPORE"/>
    <s v="R-Wonton"/>
    <s v="R-Wonton"/>
    <x v="4"/>
    <s v="Raw Wonton 8 pcs"/>
    <s v="082I93B20008P00001"/>
    <s v="194g*20in"/>
    <n v="20"/>
    <n v="8"/>
    <n v="1.4999999999999999E-2"/>
    <s v="JB"/>
    <s v="STPP"/>
    <s v="ซุปซอง 5g."/>
    <n v="300"/>
    <n v="234"/>
    <n v="66"/>
    <n v="0"/>
    <n v="0"/>
    <n v="0"/>
    <n v="2"/>
    <n v="0"/>
  </r>
  <r>
    <x v="632"/>
    <m/>
    <s v="Week39"/>
    <d v="2023-09-01T00:00:00"/>
    <m/>
    <m/>
    <m/>
    <m/>
    <m/>
    <x v="0"/>
    <m/>
    <m/>
    <m/>
    <m/>
    <m/>
    <m/>
    <m/>
    <m/>
    <m/>
    <m/>
    <m/>
    <m/>
    <m/>
    <m/>
    <m/>
    <m/>
    <m/>
  </r>
  <r>
    <x v="633"/>
    <d v="2023-10-03T00:00:00"/>
    <s v="Week39"/>
    <d v="2023-09-01T00:00:00"/>
    <s v="DRY2300368"/>
    <s v="UK"/>
    <s v="Food Fellas"/>
    <s v="C-Wonton"/>
    <s v="C-Wonton"/>
    <x v="20"/>
    <s v="Cooked Wonton in Tray 20 pcs with soup powder"/>
    <s v="082S8T216020P00001"/>
    <s v="360g.*16Pack"/>
    <n v="16"/>
    <n v="20"/>
    <n v="8.1300000000000001E-3"/>
    <s v="M"/>
    <m/>
    <s v="ซุปซอง 5g."/>
    <n v="900"/>
    <n v="900"/>
    <n v="11.25"/>
    <n v="11.25"/>
    <n v="0"/>
    <m/>
    <n v="4"/>
    <n v="57600"/>
  </r>
  <r>
    <x v="633"/>
    <d v="2023-10-24T00:00:00"/>
    <s v="Week39"/>
    <d v="2023-09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1708"/>
    <n v="1708"/>
    <m/>
    <n v="0"/>
    <n v="0"/>
    <m/>
    <m/>
    <m/>
  </r>
  <r>
    <x v="633"/>
    <d v="2023-11-08T00:00:00"/>
    <s v="Week39"/>
    <d v="2023-09-01T00:00:00"/>
    <s v="DRY2300411"/>
    <s v="Belgium"/>
    <s v="CPF EUROPE S.A."/>
    <s v="C-Wonton"/>
    <s v="C-Wonton"/>
    <x v="19"/>
    <s v="Cooked Wonton  No Egg _x000a_+ Vegetable  HC  4 pcs"/>
    <s v="082S83I08004P00001"/>
    <s v="145g*8"/>
    <n v="8"/>
    <n v="4"/>
    <n v="7.4999999999999997E-3"/>
    <s v="HC"/>
    <s v="Salt"/>
    <s v="Regular"/>
    <n v="1200"/>
    <m/>
    <n v="1205.5"/>
    <n v="5.5"/>
    <n v="0"/>
    <m/>
    <m/>
    <m/>
  </r>
  <r>
    <x v="634"/>
    <d v="2023-11-11T00:00:00"/>
    <s v="Week39"/>
    <d v="2023-09-01T00:00:00"/>
    <s v="DRY2300412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1500"/>
    <n v="1420"/>
    <n v="80"/>
    <n v="0"/>
    <n v="0"/>
    <n v="0"/>
    <n v="2"/>
    <n v="0"/>
  </r>
  <r>
    <x v="634"/>
    <d v="2023-11-11T00:00:00"/>
    <s v="Week39"/>
    <d v="2023-09-01T00:00:00"/>
    <s v="DRY2300417"/>
    <s v="SG"/>
    <s v="CPI SINGAPORE"/>
    <s v="R-Wonton"/>
    <s v="R-Mince"/>
    <x v="9"/>
    <s v="Raw Minced Wonton 8 pcs"/>
    <s v="082ID3B18008P00001"/>
    <s v="90g*18in"/>
    <n v="18"/>
    <n v="8"/>
    <n v="5.0000000000000001E-3"/>
    <s v="BK"/>
    <s v="STPP"/>
    <s v="ซุปซอง 5g."/>
    <n v="300"/>
    <n v="300"/>
    <m/>
    <n v="0"/>
    <n v="0"/>
    <n v="0"/>
    <n v="2"/>
    <n v="0"/>
  </r>
  <r>
    <x v="634"/>
    <d v="2023-11-07T00:00:00"/>
    <s v="Week39"/>
    <d v="2023-09-01T00:00:00"/>
    <s v="DRY2300465"/>
    <s v="Malay"/>
    <s v="CPM Malaysia"/>
    <s v="R-Wonton"/>
    <s v="R-Wonton"/>
    <x v="4"/>
    <s v="Raw Wonton 12 pcs"/>
    <s v="082I95I20012P02001"/>
    <s v="154g*20inner"/>
    <n v="20"/>
    <n v="12"/>
    <n v="6.8100000000000001E-3"/>
    <s v="S"/>
    <s v="STPP"/>
    <s v="ซุปซอง 5g."/>
    <n v="600"/>
    <n v="600"/>
    <n v="2"/>
    <n v="2"/>
    <n v="0"/>
    <n v="0"/>
    <n v="2"/>
    <n v="0"/>
  </r>
  <r>
    <x v="635"/>
    <d v="2023-11-08T00:00:00"/>
    <s v="Week39"/>
    <d v="2023-09-01T00:00:00"/>
    <s v="DRY2300411"/>
    <s v="Belgium"/>
    <s v="CPF EUROPE S.A."/>
    <s v="R-Wonton"/>
    <s v="R-Wonton no egg"/>
    <x v="10"/>
    <s v="Raw Wonton 50 pcs"/>
    <s v="082I93I10050P02001"/>
    <s v="630g*10inner"/>
    <n v="10"/>
    <n v="50"/>
    <n v="8.1300000000000001E-3"/>
    <s v="M"/>
    <s v="Salt"/>
    <s v="ซุปซอง 5g."/>
    <n v="600"/>
    <n v="600"/>
    <n v="10"/>
    <n v="10"/>
    <n v="0"/>
    <n v="0"/>
    <n v="6"/>
    <n v="0"/>
  </r>
  <r>
    <x v="635"/>
    <d v="2023-10-23T00:00:00"/>
    <s v="Week39"/>
    <d v="2023-09-01T00:00:00"/>
    <s v="ขายภายใน"/>
    <s v="MTFS"/>
    <s v="ซีพีเอฟ เทรดดิ้ง"/>
    <s v="R-Wonton"/>
    <s v="R-Wonton"/>
    <x v="10"/>
    <s v="เกี๊ยวกุ้งซุปสไตล์ฮ่องกง 12x93g"/>
    <s v="082ID1D12008P00001"/>
    <s v="93g*12in"/>
    <n v="12"/>
    <n v="8"/>
    <n v="6.1999999999999998E-3"/>
    <s v="BK"/>
    <s v="STPP"/>
    <m/>
    <n v="370"/>
    <n v="370"/>
    <m/>
    <n v="0"/>
    <n v="0"/>
    <n v="0"/>
    <m/>
    <n v="0"/>
  </r>
  <r>
    <x v="635"/>
    <d v="2023-10-16T00:00:00"/>
    <s v="Week39"/>
    <d v="2023-09-01T00:00:00"/>
    <s v="DRY2300435"/>
    <s v="UK"/>
    <s v="Food Fellas"/>
    <s v="C-Wonton"/>
    <s v="C-Wonton ND"/>
    <x v="15"/>
    <s v="Cooked Wonton ND No Egg with _x000a_HC  5 pcs"/>
    <s v="082SJ5L08005P03001"/>
    <s v="258g*8"/>
    <n v="8"/>
    <n v="5"/>
    <n v="7.4999999999999997E-3"/>
    <s v="HC"/>
    <s v="Salt"/>
    <s v="Regular"/>
    <n v="1900"/>
    <m/>
    <n v="1913.625"/>
    <n v="13.625"/>
    <n v="0"/>
    <m/>
    <m/>
    <m/>
  </r>
  <r>
    <x v="635"/>
    <d v="2023-10-16T00:00:00"/>
    <s v="Week39"/>
    <d v="2023-09-01T00:00:00"/>
    <s v="DRY2300435"/>
    <s v="UK"/>
    <s v="Food Fellas"/>
    <s v="C-Wonton"/>
    <s v="C-Wonton"/>
    <x v="1"/>
    <s v="Cooked Wonton  No Egg_x000a_HC  5 pcs"/>
    <s v="082S85L08005P03001"/>
    <s v="145g*8"/>
    <n v="8"/>
    <n v="5"/>
    <n v="7.4999999999999997E-3"/>
    <s v="HC"/>
    <s v="Salt"/>
    <s v="Regular"/>
    <n v="1800"/>
    <m/>
    <n v="1800"/>
    <n v="0"/>
    <n v="0"/>
    <m/>
    <m/>
    <m/>
  </r>
  <r>
    <x v="635"/>
    <d v="2023-11-03T00:00:00"/>
    <s v="Week39"/>
    <d v="2023-09-01T00:00:00"/>
    <s v="DRY2300367"/>
    <s v="Japan"/>
    <s v="CPF JAPAN"/>
    <s v="C-Wonton"/>
    <s v="C-Wonton"/>
    <x v="2"/>
    <s v="Cooked Wonton No Egg"/>
    <s v="082S85724004P01001"/>
    <s v="124g*24"/>
    <n v="24"/>
    <n v="4"/>
    <n v="8.0000000000000002E-3"/>
    <s v="M"/>
    <s v="Salt"/>
    <s v="TYEX+CO"/>
    <n v="2048"/>
    <n v="2048"/>
    <n v="5.583333333333333"/>
    <n v="5.5833333333334849"/>
    <n v="0"/>
    <m/>
    <m/>
    <m/>
  </r>
  <r>
    <x v="636"/>
    <d v="2023-10-06T00:00:00"/>
    <s v="Week39"/>
    <d v="2023-09-01T00:00:00"/>
    <s v="DRY2300378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636"/>
    <d v="2023-10-06T00:00:00"/>
    <s v="Week39"/>
    <d v="2023-09-01T00:00:00"/>
    <s v="DRY2300380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636"/>
    <d v="2023-10-06T00:00:00"/>
    <s v="Week39"/>
    <d v="2023-09-01T00:00:00"/>
    <s v="DRY2300381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964"/>
    <n v="324"/>
    <n v="0"/>
    <n v="0"/>
    <m/>
    <m/>
    <m/>
  </r>
  <r>
    <x v="636"/>
    <m/>
    <s v="Week39"/>
    <d v="2023-09-01T00:00:00"/>
    <s v="DRY2300462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466"/>
    <m/>
    <n v="466.58333333333331"/>
    <n v="0.58333333333331439"/>
    <n v="0"/>
    <m/>
    <m/>
    <m/>
  </r>
  <r>
    <x v="637"/>
    <m/>
    <s v="Week39"/>
    <d v="2023-09-01T00:00:00"/>
    <s v="DRY2300462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822"/>
    <n v="822"/>
    <m/>
    <n v="0"/>
    <n v="0"/>
    <m/>
    <m/>
    <m/>
  </r>
  <r>
    <x v="637"/>
    <d v="2023-11-07T00:00:00"/>
    <s v="Week39"/>
    <d v="2023-09-01T00:00:00"/>
    <s v="DRY2300176"/>
    <s v="Netherlands"/>
    <s v="Westbridge Foods Limited (One UK)"/>
    <s v="C-Wonton"/>
    <s v="C-Wonton"/>
    <x v="1"/>
    <s v="Wonton Soup No Egg  "/>
    <s v="082S8WE36005P00001"/>
    <s v="148g*6c*6in"/>
    <n v="36"/>
    <n v="5"/>
    <n v="7.4999999999999997E-3"/>
    <s v="HC"/>
    <s v="Salt"/>
    <s v="Regular"/>
    <n v="1288"/>
    <n v="1288"/>
    <m/>
    <n v="0"/>
    <n v="0"/>
    <m/>
    <m/>
    <m/>
  </r>
  <r>
    <x v="637"/>
    <d v="2023-11-02T00:00:00"/>
    <s v="Week39"/>
    <d v="2023-09-01T00:00:00"/>
    <s v="DRY2300185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445"/>
    <n v="75"/>
    <n v="0"/>
    <n v="0"/>
    <m/>
    <m/>
    <m/>
  </r>
  <r>
    <x v="637"/>
    <d v="2023-11-08T00:00:00"/>
    <s v="Week39"/>
    <d v="2023-09-01T00:00:00"/>
    <s v="DRY2300186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</r>
  <r>
    <x v="638"/>
    <d v="2023-10-26T00:00:00"/>
    <s v="Week39"/>
    <d v="2023-09-01T00:00:00"/>
    <s v="DRY2300457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638"/>
    <d v="2023-10-26T00:00:00"/>
    <s v="Week39"/>
    <d v="2023-09-01T00:00:00"/>
    <s v="DRY2300458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638"/>
    <d v="2023-10-26T00:00:00"/>
    <s v="Week39"/>
    <d v="2023-09-01T00:00:00"/>
    <s v="DRY2300459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638"/>
    <d v="2023-11-02T00:00:00"/>
    <s v="Week39"/>
    <d v="2023-09-01T00:00:00"/>
    <s v="DRY2300460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638"/>
    <d v="2023-11-02T00:00:00"/>
    <s v="Week39"/>
    <d v="2023-09-01T00:00:00"/>
    <s v="DRY2300461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639"/>
    <m/>
    <s v="Week40"/>
    <d v="2023-10-01T00:00:00"/>
    <m/>
    <m/>
    <m/>
    <m/>
    <m/>
    <x v="0"/>
    <m/>
    <m/>
    <m/>
    <m/>
    <m/>
    <m/>
    <m/>
    <m/>
    <m/>
    <m/>
    <m/>
    <m/>
    <m/>
    <m/>
    <m/>
    <m/>
    <m/>
  </r>
  <r>
    <x v="640"/>
    <d v="2023-10-17T00:00:00"/>
    <s v="Week40"/>
    <d v="2023-10-01T00:00:00"/>
    <s v="KL2300027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408"/>
    <n v="1368"/>
    <n v="40"/>
    <n v="0"/>
    <n v="0"/>
    <n v="0"/>
    <n v="6"/>
    <n v="0"/>
  </r>
  <r>
    <x v="640"/>
    <d v="2023-11-11T00:00:00"/>
    <s v="Week40"/>
    <d v="2023-10-01T00:00:00"/>
    <s v="DRY2300418"/>
    <s v="SG"/>
    <s v="CPI SINGAPORE"/>
    <s v="R-Wonton"/>
    <s v="R-Wonton"/>
    <x v="4"/>
    <s v="Raw Wonton 8 pcs"/>
    <s v="082I93B20008P00001"/>
    <s v="194g*20in"/>
    <n v="20"/>
    <n v="8"/>
    <n v="1.4999999999999999E-2"/>
    <s v="JB"/>
    <s v="STPP"/>
    <s v="ซุปซอง 5g."/>
    <n v="300"/>
    <n v="290"/>
    <n v="10"/>
    <n v="0"/>
    <n v="0"/>
    <n v="0"/>
    <n v="2"/>
    <n v="0"/>
  </r>
  <r>
    <x v="641"/>
    <d v="2023-11-09T00:00:00"/>
    <s v="Week40"/>
    <d v="2023-10-01T00:00:00"/>
    <s v="DRY2300436"/>
    <s v="New Zealand"/>
    <s v="Lim Brothers"/>
    <s v="C-Wonton"/>
    <s v="C-Wonton ND"/>
    <x v="28"/>
    <s v="Cooked Minced Wonton Thai Spicy Noodles (Kee Mao Noodles)"/>
    <s v="082SRN708003P02001"/>
    <s v="219g*8"/>
    <n v="8"/>
    <n v="3"/>
    <n v="6.0000000000000001E-3"/>
    <s v="BK"/>
    <s v="Salt"/>
    <s v="Kee Mao 50G."/>
    <n v="360"/>
    <m/>
    <n v="376.5"/>
    <n v="16.5"/>
    <n v="0"/>
    <m/>
    <m/>
    <m/>
  </r>
  <r>
    <x v="641"/>
    <d v="2023-11-11T00:00:00"/>
    <s v="Week40"/>
    <d v="2023-10-01T00:00:00"/>
    <s v="DRY2300416"/>
    <s v="SG"/>
    <s v="CPI SINGAPORE"/>
    <s v="C-Wonton"/>
    <s v="C-Wonton ND"/>
    <x v="30"/>
    <s v="Cooked Wonton Thai Spicy Noodles (Drunken Noodles)"/>
    <s v="082SJ3B24003P03001"/>
    <s v="229g*24"/>
    <n v="24"/>
    <n v="3"/>
    <n v="8.0000000000000002E-3"/>
    <s v="M"/>
    <s v="Salt"/>
    <s v="Kee Mao 50G."/>
    <n v="210"/>
    <n v="210"/>
    <m/>
    <n v="0"/>
    <n v="0"/>
    <m/>
    <m/>
    <m/>
  </r>
  <r>
    <x v="641"/>
    <d v="2023-10-20T00:00:00"/>
    <s v="Week40"/>
    <d v="2023-10-01T00:00:00"/>
    <s v="DRY2300463"/>
    <s v="CAN "/>
    <s v="Bellisio Foods Canada"/>
    <s v="C-Wonton"/>
    <s v="C-Wonton ND"/>
    <x v="3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m/>
    <m/>
    <m/>
  </r>
  <r>
    <x v="641"/>
    <d v="2023-11-22T00:00:00"/>
    <s v="Week40"/>
    <d v="2023-10-01T00:00:00"/>
    <s v="DRY2300464"/>
    <s v="CAN "/>
    <s v="Bellisio Foods Canada"/>
    <s v="C-Wonton"/>
    <s v="C-Wonton ND"/>
    <x v="3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6.4166666666665"/>
    <n v="6.4166666666665151"/>
    <n v="0"/>
    <m/>
    <m/>
    <m/>
  </r>
  <r>
    <x v="641"/>
    <d v="2023-11-09T00:00:00"/>
    <s v="Week40"/>
    <d v="2023-10-01T00:00:00"/>
    <s v="DRY2300436"/>
    <s v="New Zealand"/>
    <s v="Lim Brothers"/>
    <s v="C-Wonton"/>
    <s v="C-Wonton ND"/>
    <x v="5"/>
    <s v="Cooked Wonton ND No Egg with Pumpkin_x000a_+ Yu Choy "/>
    <s v="082SJN708004P00001"/>
    <s v="305g*8"/>
    <n v="8"/>
    <n v="4"/>
    <n v="7.4999999999999997E-3"/>
    <s v="HC"/>
    <s v="Salt"/>
    <s v="Regular"/>
    <n v="840"/>
    <m/>
    <n v="871.375"/>
    <n v="31.375"/>
    <n v="0"/>
    <m/>
    <m/>
    <m/>
  </r>
  <r>
    <x v="641"/>
    <d v="2023-11-11T00:00:00"/>
    <s v="Week40"/>
    <d v="2023-10-01T00:00:00"/>
    <s v="DRY2300415"/>
    <s v="SG"/>
    <s v="CPI Singapore"/>
    <s v="C-Wonton"/>
    <s v="C-Wonton ND"/>
    <x v="5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300"/>
    <n v="295"/>
    <n v="5"/>
    <n v="0"/>
    <n v="0"/>
    <m/>
    <m/>
    <m/>
  </r>
  <r>
    <x v="641"/>
    <d v="2023-11-08T00:00:00"/>
    <s v="Week40"/>
    <d v="2023-10-01T00:00:00"/>
    <s v="DRY2300411"/>
    <s v="Belgium"/>
    <s v="CPF EUROPE S.A."/>
    <s v="C-Wonton ND"/>
    <s v="Wonton ND+V"/>
    <x v="5"/>
    <s v="Cooked Wonton ND No Egg with Pumpkin _x000a_+ Vegetable  HC  3 pcs"/>
    <s v="082SJ3I08003P00001"/>
    <s v="309g*8"/>
    <n v="8"/>
    <n v="3"/>
    <n v="7.4999999999999997E-3"/>
    <s v="HC"/>
    <s v="Salt"/>
    <s v="Regular"/>
    <n v="700"/>
    <m/>
    <n v="758"/>
    <n v="58"/>
    <n v="0"/>
    <m/>
    <m/>
    <m/>
  </r>
  <r>
    <x v="641"/>
    <d v="2023-10-24T00:00:00"/>
    <s v="Week40"/>
    <d v="2023-10-01T00:00:00"/>
    <s v="DRY2300388"/>
    <s v="AUS"/>
    <s v="CPF Australia Pty Ltd."/>
    <s v="C-Wonton ND"/>
    <s v="Wonton ND+V"/>
    <x v="8"/>
    <s v="Cooked Wonton ND No Egg with Pumpkin _x000a_+ Vegetable 5 pcs tomyam"/>
    <s v="082SJ9U24005P00001"/>
    <s v="307g*4c*6in"/>
    <n v="24"/>
    <n v="5"/>
    <n v="7.4999999999999997E-3"/>
    <s v="M"/>
    <s v="Salt"/>
    <s v="TYEX+CO"/>
    <n v="924"/>
    <n v="924"/>
    <m/>
    <n v="0"/>
    <n v="0"/>
    <m/>
    <m/>
    <m/>
  </r>
  <r>
    <x v="641"/>
    <d v="2023-10-24T00:00:00"/>
    <s v="Week40"/>
    <d v="2023-10-01T00:00:00"/>
    <s v="DRY2300389"/>
    <s v="AUS"/>
    <s v="CPF Australia Pty Ltd."/>
    <s v="C-Wonton ND"/>
    <s v="Wonton ND+V"/>
    <x v="8"/>
    <s v="Cooked Wonton ND No Egg with Pumpkin _x000a_+ Vegetable 5 pcs tomyam"/>
    <s v="082SJ9U24005P00001"/>
    <s v="307g*4c*6in"/>
    <n v="24"/>
    <n v="5"/>
    <n v="7.4999999999999997E-3"/>
    <s v="M"/>
    <s v="Salt"/>
    <s v="TYEX+CO"/>
    <n v="924"/>
    <n v="808"/>
    <n v="116"/>
    <n v="0"/>
    <n v="0"/>
    <m/>
    <m/>
    <m/>
  </r>
  <r>
    <x v="642"/>
    <d v="2023-11-07T00:00:00"/>
    <s v="Week40"/>
    <d v="2023-10-01T00:00:00"/>
    <s v="DRY2300465"/>
    <s v="Malay"/>
    <s v="CPM Malaysia"/>
    <s v="C-Wonton"/>
    <s v="C-Wonton"/>
    <x v="2"/>
    <s v="Cooked Wonton No Egg  TY"/>
    <s v="082S85I24005P02001"/>
    <s v="115g*24"/>
    <n v="24"/>
    <n v="5"/>
    <n v="8.0000000000000002E-3"/>
    <s v="M"/>
    <s v="STPP"/>
    <s v="TYTB3C 30G"/>
    <n v="750"/>
    <n v="750"/>
    <n v="14.041666666666666"/>
    <n v="14.041666666666629"/>
    <n v="0"/>
    <m/>
    <n v="1"/>
    <n v="0"/>
  </r>
  <r>
    <x v="642"/>
    <d v="2023-11-07T00:00:00"/>
    <s v="Week40"/>
    <d v="2023-10-01T00:00:00"/>
    <s v="DRY2300465"/>
    <s v="Malay"/>
    <s v="CPM Malaysia"/>
    <s v="C-Wonton"/>
    <s v="C-Wonton"/>
    <x v="1"/>
    <s v="Cooked Wonton No Egg  "/>
    <s v="082S85I24005P01001"/>
    <s v="145g*24"/>
    <n v="24"/>
    <n v="5"/>
    <n v="8.0000000000000002E-3"/>
    <s v="M"/>
    <s v="STPP"/>
    <s v="Regular"/>
    <n v="750"/>
    <n v="750"/>
    <n v="6.166666666666667"/>
    <n v="6.1666666666666288"/>
    <n v="0"/>
    <m/>
    <m/>
    <m/>
  </r>
  <r>
    <x v="642"/>
    <d v="2023-11-11T00:00:00"/>
    <s v="Week40"/>
    <d v="2023-10-01T00:00:00"/>
    <s v="DRY2300413"/>
    <s v="SG"/>
    <s v="CPI SINGAPORE"/>
    <s v="C-Wonton"/>
    <s v="C-Wonton"/>
    <x v="1"/>
    <s v="Cooked Wonton No Egg"/>
    <s v="082S83B24005P07001"/>
    <s v="145g*24"/>
    <n v="24"/>
    <n v="5"/>
    <n v="8.0000000000000002E-3"/>
    <s v="M"/>
    <s v="STPP"/>
    <s v="Regular"/>
    <n v="300"/>
    <n v="273"/>
    <n v="27"/>
    <n v="0"/>
    <n v="0"/>
    <m/>
    <m/>
    <m/>
  </r>
  <r>
    <x v="642"/>
    <d v="2023-11-11T00:00:00"/>
    <s v="Week40"/>
    <d v="2023-10-01T00:00:00"/>
    <s v="DRY2300414"/>
    <s v="SG"/>
    <s v="CPI SINGAPORE"/>
    <s v="C-Wonton"/>
    <s v="C-Wonton"/>
    <x v="2"/>
    <s v="Cooked Wonton No Egg"/>
    <s v="082S83B24005P06001"/>
    <s v="115g*24"/>
    <n v="24"/>
    <n v="5"/>
    <n v="8.0000000000000002E-3"/>
    <s v="M"/>
    <s v="STPP"/>
    <s v="TYTB3C 30G"/>
    <n v="400"/>
    <n v="387"/>
    <n v="13"/>
    <n v="0"/>
    <n v="0"/>
    <m/>
    <n v="1"/>
    <n v="0"/>
  </r>
  <r>
    <x v="642"/>
    <d v="2023-10-24T00:00:00"/>
    <s v="Week40"/>
    <d v="2023-10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3228"/>
    <n v="3228"/>
    <m/>
    <n v="0"/>
    <n v="0"/>
    <m/>
    <m/>
    <m/>
  </r>
  <r>
    <x v="642"/>
    <d v="2023-10-05T00:00:00"/>
    <s v="Week40"/>
    <d v="2023-10-01T00:00:00"/>
    <s v="DRY2300374"/>
    <s v="New Zealand"/>
    <s v="Lim Brothers"/>
    <s v="C-Wonton"/>
    <s v="C-Wonton ND"/>
    <x v="17"/>
    <s v="Cooked Minced  ND No Egg with Pumpkin_x000a_+ Yu Choy Tomyum"/>
    <s v="082SRN708003P00001"/>
    <s v="302g*8"/>
    <n v="8"/>
    <n v="3"/>
    <n v="6.0000000000000001E-3"/>
    <s v="BK"/>
    <s v="Salt"/>
    <s v="TYA+CO"/>
    <n v="538"/>
    <m/>
    <n v="538"/>
    <n v="0"/>
    <n v="0"/>
    <m/>
    <m/>
    <m/>
  </r>
  <r>
    <x v="642"/>
    <d v="2023-11-09T00:00:00"/>
    <s v="Week40"/>
    <d v="2023-10-01T00:00:00"/>
    <s v="DRY2300436"/>
    <s v="New Zealand"/>
    <s v="Lim Brothers"/>
    <s v="C-Wonton"/>
    <s v="C-Wonton ND"/>
    <x v="17"/>
    <s v="Cooked Minced  ND No Egg with Pumpkin_x000a_+ Yu Choy Tomyum"/>
    <s v="082SRN708003P00001"/>
    <s v="302g*8"/>
    <n v="8"/>
    <n v="3"/>
    <n v="6.0000000000000001E-3"/>
    <s v="BK"/>
    <s v="Salt"/>
    <s v="TYA+CO"/>
    <n v="840"/>
    <m/>
    <n v="854.5"/>
    <n v="14.5"/>
    <n v="0"/>
    <m/>
    <m/>
    <m/>
  </r>
  <r>
    <x v="643"/>
    <d v="2023-10-09T00:00:00"/>
    <s v="Week40"/>
    <d v="2023-10-01T00:00:00"/>
    <s v="DRY2300376"/>
    <s v="Korea"/>
    <s v="Emart"/>
    <s v="C-Wonton"/>
    <s v="C-Wonton"/>
    <x v="20"/>
    <s v="COOKED WONTON 6 pcs."/>
    <s v="082S8EJ12012P00001"/>
    <s v="141*2tray*12in"/>
    <n v="24"/>
    <n v="6"/>
    <n v="6.1999999999999998E-3"/>
    <s v="SS"/>
    <s v="Salt"/>
    <s v=" Sesame 15g"/>
    <n v="90"/>
    <n v="88"/>
    <n v="9.8333333333333339"/>
    <n v="7.8333333333333286"/>
    <n v="0"/>
    <m/>
    <n v="1"/>
    <n v="2160"/>
  </r>
  <r>
    <x v="643"/>
    <d v="2023-11-09T00:00:00"/>
    <s v="Week40"/>
    <d v="2023-10-01T00:00:00"/>
    <s v="DRY2300436"/>
    <s v="New Zealand"/>
    <s v="Lim Brothers"/>
    <s v="C-Wonton"/>
    <s v="C-Wonton"/>
    <x v="23"/>
    <s v="Cooked Minced Wonton in Tray 6 pcs + Sesame Sauce"/>
    <s v="082SKN716006P00001"/>
    <s v="117*2tray*8in"/>
    <n v="16"/>
    <n v="6"/>
    <n v="6.0000000000000001E-3"/>
    <s v="BK"/>
    <s v="Salt"/>
    <s v=" Sesame 15g"/>
    <n v="200"/>
    <m/>
    <n v="201.75"/>
    <n v="1.75"/>
    <n v="0"/>
    <m/>
    <n v="1"/>
    <n v="3200"/>
  </r>
  <r>
    <x v="643"/>
    <d v="2023-11-01T00:00:00"/>
    <s v="Week40"/>
    <d v="2023-10-01T00:00:00"/>
    <s v="ขายภายใน"/>
    <s v="MTFS"/>
    <s v="ซีพีเอฟ เทรดดิ้ง"/>
    <s v="C-Wonton"/>
    <s v="C-Wonton"/>
    <x v="11"/>
    <s v="Cooked Wonton ND with egg V-Food"/>
    <s v="082SJ3Q12003P07001"/>
    <s v="226g*12"/>
    <n v="12"/>
    <n v="3"/>
    <n v="8.0000000000000002E-3"/>
    <s v="M"/>
    <s v="STPP"/>
    <s v="Regular"/>
    <n v="1000"/>
    <n v="1010"/>
    <m/>
    <n v="10"/>
    <n v="0"/>
    <m/>
    <m/>
    <m/>
  </r>
  <r>
    <x v="643"/>
    <d v="2023-11-01T00:00:00"/>
    <s v="Week40"/>
    <d v="2023-10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4698"/>
    <n v="4580"/>
    <n v="118"/>
    <n v="0"/>
    <n v="0"/>
    <m/>
    <m/>
    <m/>
  </r>
  <r>
    <x v="643"/>
    <d v="2023-11-01T00:00:00"/>
    <s v="Week40"/>
    <d v="2023-10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1100"/>
    <n v="1044"/>
    <n v="87.833333333333329"/>
    <n v="31.833333333333258"/>
    <n v="0"/>
    <m/>
    <n v="1"/>
    <n v="0"/>
  </r>
  <r>
    <x v="644"/>
    <d v="2023-11-01T00:00:00"/>
    <s v="Week40"/>
    <d v="2023-10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5502"/>
    <n v="5502"/>
    <m/>
    <n v="0"/>
    <n v="0"/>
    <m/>
    <m/>
    <m/>
  </r>
  <r>
    <x v="645"/>
    <d v="2023-10-12T00:00:00"/>
    <s v="Week40"/>
    <d v="2023-10-01T00:00:00"/>
    <s v="DRY2300404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45"/>
    <d v="2023-10-12T00:00:00"/>
    <s v="Week40"/>
    <d v="2023-10-01T00:00:00"/>
    <s v="DRY2300405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45"/>
    <d v="2023-10-16T00:00:00"/>
    <s v="Week40"/>
    <d v="2023-10-01T00:00:00"/>
    <s v="DRY2300406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46"/>
    <m/>
    <s v="Week41"/>
    <d v="2023-10-01T00:00:00"/>
    <m/>
    <m/>
    <m/>
    <m/>
    <m/>
    <x v="0"/>
    <m/>
    <m/>
    <m/>
    <m/>
    <m/>
    <m/>
    <m/>
    <m/>
    <m/>
    <m/>
    <m/>
    <m/>
    <m/>
    <m/>
    <m/>
    <m/>
    <m/>
  </r>
  <r>
    <x v="647"/>
    <d v="2023-10-16T00:00:00"/>
    <s v="Week41"/>
    <d v="2023-10-01T00:00:00"/>
    <s v="DRY2300407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47"/>
    <d v="2023-10-16T00:00:00"/>
    <s v="Week41"/>
    <d v="2023-10-01T00:00:00"/>
    <s v="DRY2300408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47"/>
    <d v="2023-10-16T00:00:00"/>
    <s v="Week41"/>
    <d v="2023-10-01T00:00:00"/>
    <s v="DRY2300409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117"/>
    <n v="1117"/>
    <m/>
    <n v="0"/>
    <n v="0"/>
    <m/>
    <m/>
    <m/>
  </r>
  <r>
    <x v="648"/>
    <d v="2023-10-12T00:00:00"/>
    <s v="Week41"/>
    <d v="2023-10-01T00:00:00"/>
    <s v="DRY2300466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314"/>
    <n v="2.7222222222222223"/>
    <n v="28.722222222222172"/>
    <n v="0"/>
    <m/>
    <m/>
    <m/>
  </r>
  <r>
    <x v="648"/>
    <d v="2023-10-24T00:00:00"/>
    <s v="Week41"/>
    <d v="2023-10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4198"/>
    <n v="4198"/>
    <m/>
    <n v="0"/>
    <n v="0"/>
    <m/>
    <m/>
    <m/>
  </r>
  <r>
    <x v="649"/>
    <d v="2023-10-20T00:00:00"/>
    <s v="Week41"/>
    <d v="2023-10-01T00:00:00"/>
    <s v="DRY2300547"/>
    <s v="New Zealand"/>
    <s v="Lim Brothers"/>
    <s v="C-Wonton"/>
    <s v="C-Wonton ND"/>
    <x v="5"/>
    <s v="Cooked Wonton ND No Egg with Pumpkin_x000a_+ Yu Choy "/>
    <s v="082SJN7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649"/>
    <d v="2023-10-20T00:00:00"/>
    <s v="Week41"/>
    <d v="2023-10-01T00:00:00"/>
    <s v="DRY2300548"/>
    <s v="New Zealand"/>
    <s v="Lim Brothers"/>
    <s v="C-Wonton"/>
    <s v="C-Wonton ND"/>
    <x v="5"/>
    <s v="Cooked Wonton ND No Egg with Pumpkin_x000a_+ Yu Choy "/>
    <s v="082SJN736005P00001"/>
    <s v="308g*6c*6in"/>
    <n v="36"/>
    <n v="5"/>
    <n v="7.4999999999999997E-3"/>
    <s v="HC"/>
    <s v="Salt"/>
    <s v="Regular"/>
    <n v="792"/>
    <n v="573"/>
    <n v="212.61111111111111"/>
    <n v="-6.3888888888889142"/>
    <n v="230"/>
    <m/>
    <m/>
    <m/>
  </r>
  <r>
    <x v="649"/>
    <d v="2023-11-09T00:00:00"/>
    <s v="Week41"/>
    <d v="2023-10-01T00:00:00"/>
    <s v="DRY2300467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41"/>
    <n v="51.277777777777779"/>
    <n v="0.27777777777782831"/>
    <n v="0"/>
    <m/>
    <m/>
    <m/>
  </r>
  <r>
    <x v="649"/>
    <d v="2023-11-09T00:00:00"/>
    <s v="Week41"/>
    <d v="2023-10-01T00:00:00"/>
    <s v="DRY2300468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649"/>
    <d v="2023-11-15T00:00:00"/>
    <s v="Week41"/>
    <d v="2023-10-01T00:00:00"/>
    <s v="DRY2300469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647"/>
    <n v="145"/>
    <n v="0"/>
    <n v="0"/>
    <m/>
    <m/>
    <m/>
  </r>
  <r>
    <x v="650"/>
    <d v="2023-11-07T00:00:00"/>
    <s v="Week41"/>
    <d v="2023-10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3647"/>
    <n v="3647"/>
    <m/>
    <n v="0"/>
    <n v="0"/>
    <m/>
    <m/>
    <m/>
  </r>
  <r>
    <x v="650"/>
    <d v="2023-12-19T00:00:00"/>
    <s v="Week41"/>
    <d v="2023-10-01T00:00:00"/>
    <s v="DRY2300545"/>
    <s v="USA"/>
    <s v="Bellisio Foods, Inc."/>
    <s v="C-Wonton"/>
    <s v="C-Wonton ND"/>
    <x v="7"/>
    <s v="Cooked Minced Wonton No Egg"/>
    <s v="082SKBW08005P00001"/>
    <s v="145g*8"/>
    <n v="8"/>
    <n v="5"/>
    <n v="6.0000000000000001E-3"/>
    <s v="BK"/>
    <s v="Salt"/>
    <s v="Regular"/>
    <n v="400"/>
    <m/>
    <n v="400"/>
    <n v="0"/>
    <n v="0"/>
    <m/>
    <m/>
    <m/>
  </r>
  <r>
    <x v="650"/>
    <d v="2023-12-20T00:00:00"/>
    <s v="Week41"/>
    <d v="2023-10-01T00:00:00"/>
    <s v="DRY2300546"/>
    <s v="USA"/>
    <s v="Bellisio Foods, Inc."/>
    <s v="C-Wonton"/>
    <s v="C-Wonton ND"/>
    <x v="7"/>
    <s v="Cooked Minced Wonton No Egg"/>
    <s v="082SKBW08005P00001"/>
    <s v="145g*8"/>
    <n v="8"/>
    <n v="5"/>
    <n v="6.0000000000000001E-3"/>
    <s v="BK"/>
    <s v="Salt"/>
    <s v="Regular"/>
    <n v="500"/>
    <m/>
    <n v="1067.5"/>
    <n v="567.5"/>
    <n v="0"/>
    <m/>
    <m/>
    <m/>
  </r>
  <r>
    <x v="650"/>
    <d v="2023-12-19T00:00:00"/>
    <s v="Week41"/>
    <d v="2023-10-01T00:00:00"/>
    <s v="DRY2300550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2400"/>
    <m/>
    <n v="2400"/>
    <n v="0"/>
    <n v="0"/>
    <m/>
    <m/>
    <m/>
  </r>
  <r>
    <x v="650"/>
    <d v="2023-12-27T00:00:00"/>
    <s v="Week41"/>
    <d v="2023-10-01T00:00:00"/>
    <s v="DRY2300551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2400"/>
    <m/>
    <n v="2400"/>
    <n v="0"/>
    <n v="0"/>
    <m/>
    <m/>
    <m/>
  </r>
  <r>
    <x v="651"/>
    <m/>
    <s v="Week41"/>
    <d v="2023-10-01T00:00:00"/>
    <m/>
    <m/>
    <m/>
    <m/>
    <m/>
    <x v="0"/>
    <m/>
    <m/>
    <m/>
    <m/>
    <m/>
    <m/>
    <m/>
    <m/>
    <m/>
    <m/>
    <m/>
    <m/>
    <m/>
    <m/>
    <m/>
    <m/>
    <m/>
  </r>
  <r>
    <x v="652"/>
    <d v="2023-10-16T00:00:00"/>
    <s v="Week41"/>
    <d v="2023-10-01T00:00:00"/>
    <s v="DRY2300409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71"/>
    <n v="112"/>
    <n v="57.666666666666664"/>
    <n v="-1.3333333333333428"/>
    <n v="48"/>
    <m/>
    <m/>
    <m/>
  </r>
  <r>
    <x v="652"/>
    <d v="2023-10-20T00:00:00"/>
    <s v="Week41"/>
    <d v="2023-10-01T00:00:00"/>
    <s v="DRY2300410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52"/>
    <d v="2023-10-20T00:00:00"/>
    <s v="Week41"/>
    <d v="2023-10-01T00:00:00"/>
    <s v="DRY2300437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52"/>
    <d v="2023-10-20T00:00:00"/>
    <s v="Week41"/>
    <d v="2023-10-01T00:00:00"/>
    <s v="DRY2300438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760"/>
    <n v="760"/>
    <m/>
    <n v="0"/>
    <n v="0"/>
    <m/>
    <m/>
    <m/>
  </r>
  <r>
    <x v="653"/>
    <m/>
    <s v="Week42"/>
    <d v="2023-10-01T00:00:00"/>
    <m/>
    <m/>
    <m/>
    <m/>
    <m/>
    <x v="0"/>
    <m/>
    <m/>
    <m/>
    <m/>
    <m/>
    <m/>
    <m/>
    <m/>
    <m/>
    <m/>
    <m/>
    <m/>
    <m/>
    <m/>
    <m/>
    <m/>
    <m/>
  </r>
  <r>
    <x v="654"/>
    <d v="2023-10-20T00:00:00"/>
    <s v="Week42"/>
    <d v="2023-10-01T00:00:00"/>
    <s v="DRY2300438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528"/>
    <n v="528"/>
    <m/>
    <n v="0"/>
    <n v="0"/>
    <m/>
    <m/>
    <m/>
  </r>
  <r>
    <x v="654"/>
    <d v="2023-10-20T00:00:00"/>
    <s v="Week42"/>
    <d v="2023-10-01T00:00:00"/>
    <s v="DRY2300439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54"/>
    <d v="2023-10-20T00:00:00"/>
    <s v="Week42"/>
    <d v="2023-10-01T00:00:00"/>
    <s v="DRY2300440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54"/>
    <d v="2023-10-24T00:00:00"/>
    <s v="Week42"/>
    <d v="2023-10-01T00:00:00"/>
    <s v="DRY2300441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881"/>
    <n v="881"/>
    <m/>
    <n v="0"/>
    <n v="0"/>
    <m/>
    <m/>
    <m/>
  </r>
  <r>
    <x v="655"/>
    <d v="2023-10-27T00:00:00"/>
    <s v="Week42"/>
    <d v="2023-10-01T00:00:00"/>
    <s v="ขายภายใน"/>
    <s v="MTFS"/>
    <s v="ซีพีเอฟ เทรดดิ้ง"/>
    <s v="C-Wonton"/>
    <s v="C-Wonton"/>
    <x v="32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500"/>
    <n v="500"/>
    <m/>
    <n v="0"/>
    <n v="0"/>
    <m/>
    <m/>
    <m/>
  </r>
  <r>
    <x v="655"/>
    <d v="2023-10-27T00:00:00"/>
    <s v="Week42"/>
    <d v="2023-10-01T00:00:00"/>
    <s v="ขายภายใน"/>
    <s v="MTFS"/>
    <s v="ซีพีเอฟ เทรดดิ้ง"/>
    <s v="C-Wonton"/>
    <s v="C-Wonton"/>
    <x v="32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21"/>
    <n v="21"/>
    <m/>
    <n v="0"/>
    <n v="0"/>
    <m/>
    <m/>
    <m/>
  </r>
  <r>
    <x v="655"/>
    <d v="2023-10-27T00:00:00"/>
    <s v="Week42"/>
    <d v="2023-10-01T00:00:00"/>
    <s v="ขายภายใน"/>
    <s v=".7-11"/>
    <s v="ซีพีเอฟ เทรดดิ้ง"/>
    <s v="C-Wonton"/>
    <s v="C-Wonton"/>
    <x v="32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5494"/>
    <n v="5494"/>
    <m/>
    <n v="0"/>
    <n v="0"/>
    <m/>
    <m/>
    <m/>
  </r>
  <r>
    <x v="656"/>
    <d v="2023-11-07T00:00:00"/>
    <s v="Week42"/>
    <d v="2023-10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105"/>
    <n v="2105"/>
    <m/>
    <n v="0"/>
    <n v="0"/>
    <m/>
    <m/>
    <m/>
  </r>
  <r>
    <x v="656"/>
    <d v="2023-11-01T00:00:00"/>
    <s v="Week42"/>
    <d v="2023-10-01T00:00:00"/>
    <s v="ขายภายใน"/>
    <s v="MTFS"/>
    <s v="ซีพีเอฟ เทรดดิ้ง"/>
    <s v="C-Wonton"/>
    <s v="C-Wonton"/>
    <x v="12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m/>
    <m/>
    <m/>
  </r>
  <r>
    <x v="656"/>
    <d v="2023-11-01T00:00:00"/>
    <s v="Week42"/>
    <d v="2023-10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3021"/>
    <n v="3016"/>
    <n v="5.083333333333333"/>
    <n v="8.3333333333484916E-2"/>
    <n v="0"/>
    <m/>
    <m/>
    <m/>
  </r>
  <r>
    <x v="656"/>
    <d v="2023-11-01T00:00:00"/>
    <s v="Week42"/>
    <d v="2023-10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850"/>
    <n v="735"/>
    <n v="115"/>
    <n v="0"/>
    <n v="0"/>
    <m/>
    <n v="1"/>
    <n v="0"/>
  </r>
  <r>
    <x v="656"/>
    <d v="2023-10-27T00:00:00"/>
    <s v="Week42"/>
    <d v="2023-10-01T00:00:00"/>
    <s v="ขายภายใน"/>
    <s v=".7-11"/>
    <s v="ซีพีเอฟ เทรดดิ้ง"/>
    <s v="C-Wonton"/>
    <s v="C-Wonton"/>
    <x v="32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1655"/>
    <n v="1655"/>
    <m/>
    <n v="0"/>
    <n v="0"/>
    <m/>
    <m/>
    <m/>
  </r>
  <r>
    <x v="657"/>
    <d v="2023-10-24T00:00:00"/>
    <s v="Week42"/>
    <d v="2023-10-01T00:00:00"/>
    <s v="DRY2300441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407"/>
    <n v="407"/>
    <m/>
    <n v="0"/>
    <n v="0"/>
    <m/>
    <m/>
    <m/>
  </r>
  <r>
    <x v="657"/>
    <d v="2023-10-24T00:00:00"/>
    <s v="Week42"/>
    <d v="2023-10-01T00:00:00"/>
    <s v="DRY2300442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57"/>
    <d v="2023-10-24T00:00:00"/>
    <s v="Week42"/>
    <d v="2023-10-01T00:00:00"/>
    <s v="DRY2300443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15"/>
    <n v="1215"/>
    <m/>
    <n v="0"/>
    <n v="0"/>
    <m/>
    <m/>
    <m/>
  </r>
  <r>
    <x v="658"/>
    <d v="2023-10-24T00:00:00"/>
    <s v="Week42"/>
    <d v="2023-10-01T00:00:00"/>
    <s v="DRY2300443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73"/>
    <n v="73"/>
    <m/>
    <n v="0"/>
    <n v="0"/>
    <m/>
    <m/>
    <m/>
  </r>
  <r>
    <x v="658"/>
    <d v="2023-10-24T00:00:00"/>
    <s v="Week42"/>
    <d v="2023-10-01T00:00:00"/>
    <s v="DRY2300444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58"/>
    <d v="2023-10-26T00:00:00"/>
    <s v="Week42"/>
    <d v="2023-10-01T00:00:00"/>
    <s v="DRY2300445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58"/>
    <d v="2023-10-27T00:00:00"/>
    <s v="Week42"/>
    <d v="2023-10-01T00:00:00"/>
    <s v="DRY2300446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58"/>
    <d v="2023-10-27T00:00:00"/>
    <s v="Week42"/>
    <d v="2023-10-01T00:00:00"/>
    <s v="DRY2300447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359"/>
    <n v="359"/>
    <m/>
    <n v="0"/>
    <n v="0"/>
    <m/>
    <m/>
    <m/>
  </r>
  <r>
    <x v="659"/>
    <d v="2023-10-27T00:00:00"/>
    <s v="Week42"/>
    <d v="2023-10-01T00:00:00"/>
    <s v="DRY2300447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696"/>
    <n v="696"/>
    <m/>
    <n v="0"/>
    <n v="0"/>
    <m/>
    <m/>
    <m/>
  </r>
  <r>
    <x v="659"/>
    <d v="2023-11-06T00:00:00"/>
    <s v="Week42"/>
    <d v="2023-10-01T00:00:00"/>
    <s v="KL2300028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408"/>
    <n v="1382"/>
    <n v="26"/>
    <n v="0"/>
    <n v="0"/>
    <n v="0"/>
    <n v="6"/>
    <n v="0"/>
  </r>
  <r>
    <x v="659"/>
    <m/>
    <s v="Week42"/>
    <d v="2023-10-01T00:00:00"/>
    <s v="ขายภายใน"/>
    <s v="ขายภายใน"/>
    <s v="ซีพีเอฟ เทรดดิ้ง"/>
    <s v="R-Wonton"/>
    <s v="R-Wonton"/>
    <x v="4"/>
    <s v="Raw Wonton 50 pcs OISHI"/>
    <s v="082S01508600G01001"/>
    <s v="600g.*8 packs"/>
    <n v="8"/>
    <n v="50"/>
    <n v="8.1300000000000001E-3"/>
    <s v="M"/>
    <s v="STPP"/>
    <s v="-"/>
    <n v="50"/>
    <m/>
    <n v="60"/>
    <n v="10"/>
    <n v="0"/>
    <n v="0"/>
    <m/>
    <n v="0"/>
  </r>
  <r>
    <x v="660"/>
    <m/>
    <s v="Week43"/>
    <d v="2023-10-01T00:00:00"/>
    <m/>
    <m/>
    <m/>
    <m/>
    <m/>
    <x v="0"/>
    <m/>
    <m/>
    <m/>
    <m/>
    <m/>
    <m/>
    <m/>
    <m/>
    <m/>
    <m/>
    <m/>
    <m/>
    <m/>
    <m/>
    <m/>
    <m/>
    <m/>
  </r>
  <r>
    <x v="661"/>
    <m/>
    <s v="Week43"/>
    <d v="2023-10-01T00:00:00"/>
    <m/>
    <m/>
    <m/>
    <m/>
    <m/>
    <x v="0"/>
    <m/>
    <m/>
    <m/>
    <m/>
    <m/>
    <m/>
    <m/>
    <m/>
    <m/>
    <m/>
    <m/>
    <m/>
    <m/>
    <m/>
    <m/>
    <m/>
    <m/>
  </r>
  <r>
    <x v="662"/>
    <d v="2023-10-27T00:00:00"/>
    <s v="Week43"/>
    <d v="2023-10-01T00:00:00"/>
    <s v="DRY2300447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233"/>
    <n v="233"/>
    <m/>
    <n v="0"/>
    <n v="0"/>
    <m/>
    <m/>
    <m/>
  </r>
  <r>
    <x v="662"/>
    <d v="2023-10-31T00:00:00"/>
    <s v="Week43"/>
    <d v="2023-10-01T00:00:00"/>
    <s v="DRY2300572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60"/>
    <n v="60"/>
    <m/>
    <n v="0"/>
    <n v="0"/>
    <m/>
    <m/>
    <m/>
  </r>
  <r>
    <x v="662"/>
    <d v="2023-10-26T00:00:00"/>
    <s v="Week43"/>
    <d v="2023-10-01T00:00:00"/>
    <s v="DRY2300419"/>
    <s v="CAN "/>
    <s v="CP Foods Canada,Inc (CPFC)"/>
    <s v="C-Wonton"/>
    <s v="C-Wonton"/>
    <x v="31"/>
    <s v="Wonton Soup  (Enriched wonton sheet)"/>
    <s v="082S85336005P02001"/>
    <s v="147g*6c*6in"/>
    <n v="36"/>
    <n v="5"/>
    <n v="7.4999999999999997E-3"/>
    <s v="M"/>
    <s v="Salt"/>
    <s v="TYEX+CO"/>
    <n v="1288"/>
    <n v="1288"/>
    <m/>
    <n v="0"/>
    <n v="0"/>
    <m/>
    <m/>
    <m/>
  </r>
  <r>
    <x v="662"/>
    <d v="2023-10-26T00:00:00"/>
    <s v="Week43"/>
    <d v="2023-10-01T00:00:00"/>
    <s v="DRY2300420"/>
    <s v="CAN "/>
    <s v="CP Foods Canada,Inc (CPFC)"/>
    <s v="C-Wonton"/>
    <s v="C-Wonton"/>
    <x v="31"/>
    <s v="Wonton Soup  (Enriched wonton sheet)"/>
    <s v="082S85336005P02001"/>
    <s v="147g*6c*6in"/>
    <n v="36"/>
    <n v="5"/>
    <n v="7.4999999999999997E-3"/>
    <s v="M"/>
    <s v="Salt"/>
    <s v="TYEX+CO"/>
    <n v="1288"/>
    <n v="1288"/>
    <m/>
    <n v="0"/>
    <n v="0"/>
    <m/>
    <m/>
    <m/>
  </r>
  <r>
    <x v="662"/>
    <d v="2023-10-26T00:00:00"/>
    <s v="Week43"/>
    <d v="2023-10-01T00:00:00"/>
    <s v="DRY2300421"/>
    <s v="CAN "/>
    <s v="CP Foods Canada,Inc (CPFC)"/>
    <s v="C-Wonton"/>
    <s v="C-Wonton"/>
    <x v="31"/>
    <s v="Wonton Soup  (Enriched wonton sheet)"/>
    <s v="082S85336005P02001"/>
    <s v="147g*6c*6in"/>
    <n v="36"/>
    <n v="5"/>
    <n v="7.4999999999999997E-3"/>
    <s v="M"/>
    <s v="Salt"/>
    <s v="TYEX+CO"/>
    <n v="1288"/>
    <n v="1288"/>
    <m/>
    <n v="0"/>
    <n v="0"/>
    <m/>
    <m/>
    <m/>
  </r>
  <r>
    <x v="663"/>
    <d v="2023-10-27T00:00:00"/>
    <s v="Week43"/>
    <d v="2023-10-01T00:00:00"/>
    <s v="DRY2300422"/>
    <s v="CAN "/>
    <s v="CP Foods Canada,Inc (CPFC)"/>
    <s v="C-Wonton"/>
    <s v="C-Wonton"/>
    <x v="31"/>
    <s v="Wonton Soup  (Enriched wonton sheet)"/>
    <s v="082S85336005P02001"/>
    <s v="147g*6c*6in"/>
    <n v="36"/>
    <n v="5"/>
    <n v="7.4999999999999997E-3"/>
    <s v="M"/>
    <s v="Salt"/>
    <s v="TYEX+CO"/>
    <n v="1288"/>
    <n v="1288"/>
    <m/>
    <n v="0"/>
    <n v="0"/>
    <m/>
    <m/>
    <m/>
  </r>
  <r>
    <x v="663"/>
    <d v="2023-10-27T00:00:00"/>
    <s v="Week43"/>
    <d v="2023-10-01T00:00:00"/>
    <s v="DRY2300423"/>
    <s v="CAN "/>
    <s v="CP Foods Canada,Inc (CPFC)"/>
    <s v="C-Wonton"/>
    <s v="C-Wonton"/>
    <x v="31"/>
    <s v="Wonton Soup  (Enriched wonton sheet)"/>
    <s v="082S85336005P02001"/>
    <s v="147g*6c*6in"/>
    <n v="36"/>
    <n v="5"/>
    <n v="7.4999999999999997E-3"/>
    <s v="M"/>
    <s v="Salt"/>
    <s v="TYEX+CO"/>
    <n v="1288"/>
    <n v="1288"/>
    <m/>
    <n v="0"/>
    <n v="0"/>
    <m/>
    <m/>
    <m/>
  </r>
  <r>
    <x v="663"/>
    <d v="2023-11-02T00:00:00"/>
    <s v="Week43"/>
    <d v="2023-10-01T00:00:00"/>
    <s v="DRY2300424"/>
    <s v="CAN "/>
    <s v="CP Foods Canada,Inc (CPFC)"/>
    <s v="C-Wonton"/>
    <s v="C-Wonton"/>
    <x v="31"/>
    <s v="Wonton Soup  (Enriched wonton sheet)"/>
    <s v="082S85336005P02001"/>
    <s v="147g*6c*6in"/>
    <n v="36"/>
    <n v="5"/>
    <n v="7.4999999999999997E-3"/>
    <s v="M"/>
    <s v="Salt"/>
    <s v="TYEX+CO"/>
    <n v="1288"/>
    <n v="1288"/>
    <m/>
    <n v="0"/>
    <n v="0"/>
    <m/>
    <m/>
    <m/>
  </r>
  <r>
    <x v="663"/>
    <d v="2023-11-02T00:00:00"/>
    <s v="Week43"/>
    <d v="2023-10-01T00:00:00"/>
    <s v="DRY2300425"/>
    <s v="CAN "/>
    <s v="CP Foods Canada,Inc (CPFC)"/>
    <s v="C-Wonton"/>
    <s v="C-Wonton"/>
    <x v="31"/>
    <s v="Wonton Soup  (Enriched wonton sheet)"/>
    <s v="082S85336005P02001"/>
    <s v="147g*6c*6in"/>
    <n v="36"/>
    <n v="5"/>
    <n v="7.4999999999999997E-3"/>
    <s v="M"/>
    <s v="Salt"/>
    <s v="TYEX+CO"/>
    <n v="79"/>
    <n v="79"/>
    <m/>
    <n v="0"/>
    <n v="0"/>
    <m/>
    <m/>
    <m/>
  </r>
  <r>
    <x v="664"/>
    <d v="2023-11-15T00:00:00"/>
    <s v="Week43"/>
    <d v="2023-10-01T00:00:00"/>
    <s v="DRY2300470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664"/>
    <d v="2023-11-21T00:00:00"/>
    <s v="Week43"/>
    <d v="2023-10-01T00:00:00"/>
    <s v="DRY2300471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12"/>
    <n v="19"/>
    <n v="-61"/>
    <n v="2196"/>
    <m/>
    <m/>
    <m/>
  </r>
  <r>
    <x v="664"/>
    <d v="2023-11-18T00:00:00"/>
    <s v="Week43"/>
    <d v="2023-10-01T00:00:00"/>
    <s v="DRY2300399"/>
    <s v="UK"/>
    <s v="Westbridge Foods Limited"/>
    <s v="C-Wonton ND"/>
    <s v="Wonton ND+V"/>
    <x v="8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n v="924"/>
    <m/>
    <n v="0"/>
    <n v="0"/>
    <m/>
    <m/>
    <m/>
  </r>
  <r>
    <x v="664"/>
    <d v="2023-11-08T00:00:00"/>
    <s v="Week43"/>
    <d v="2023-10-01T00:00:00"/>
    <s v="DRY2300395"/>
    <s v="AUS"/>
    <s v="CPF Australia Pty Ltd."/>
    <s v="C-Wonton ND"/>
    <s v="Wonton ND+V"/>
    <x v="8"/>
    <s v="Cooked Wonton ND No Egg with Pumpkin _x000a_+ Vegetable 5 pcs tomyam"/>
    <s v="082SJ9U24005P00001"/>
    <s v="307g*4c*6in"/>
    <n v="24"/>
    <n v="5"/>
    <n v="7.4999999999999997E-3"/>
    <s v="M"/>
    <s v="Salt"/>
    <s v="TYEX+CO"/>
    <n v="924"/>
    <n v="924"/>
    <m/>
    <n v="0"/>
    <n v="0"/>
    <m/>
    <m/>
    <m/>
  </r>
  <r>
    <x v="664"/>
    <d v="2023-11-08T00:00:00"/>
    <s v="Week43"/>
    <d v="2023-10-01T00:00:00"/>
    <s v="DRY2300396"/>
    <s v="AUS"/>
    <s v="CPF Australia Pty Ltd."/>
    <s v="C-Wonton ND"/>
    <s v="Wonton ND+V"/>
    <x v="8"/>
    <s v="Cooked Wonton ND No Egg with Pumpkin _x000a_+ Vegetable 5 pcs tomyam"/>
    <s v="082SJ9U24005P00001"/>
    <s v="307g*4c*6in"/>
    <n v="24"/>
    <n v="5"/>
    <n v="7.4999999999999997E-3"/>
    <s v="M"/>
    <s v="Salt"/>
    <s v="TYEX+CO"/>
    <n v="924"/>
    <n v="880"/>
    <n v="44"/>
    <n v="0"/>
    <n v="0"/>
    <m/>
    <m/>
    <m/>
  </r>
  <r>
    <x v="665"/>
    <d v="2023-10-31T00:00:00"/>
    <s v="Week43"/>
    <d v="2023-10-01T00:00:00"/>
    <s v="DRY2300448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65"/>
    <d v="2023-10-31T00:00:00"/>
    <s v="Week43"/>
    <d v="2023-10-01T00:00:00"/>
    <s v="DRY2300449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65"/>
    <d v="2023-11-03T00:00:00"/>
    <s v="Week43"/>
    <d v="2023-10-01T00:00:00"/>
    <s v="DRY2300450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65"/>
    <d v="2023-11-06T00:00:00"/>
    <s v="Week43"/>
    <d v="2023-10-01T00:00:00"/>
    <s v="DRY2300451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09"/>
    <n v="109"/>
    <m/>
    <n v="0"/>
    <n v="0"/>
    <m/>
    <m/>
    <m/>
  </r>
  <r>
    <x v="666"/>
    <d v="2023-11-02T00:00:00"/>
    <s v="Week43"/>
    <d v="2023-10-01T00:00:00"/>
    <s v="DRY2300425"/>
    <s v="CAN "/>
    <s v="CP Foods Canada,Inc (CPFC)"/>
    <s v="C-Wonton"/>
    <s v="C-Wonton"/>
    <x v="31"/>
    <s v="Wonton Soup  (Enriched wonton sheet)"/>
    <s v="082S85336005P02001"/>
    <s v="147g*6c*6in"/>
    <n v="36"/>
    <n v="5"/>
    <n v="7.4999999999999997E-3"/>
    <s v="M"/>
    <s v="Salt"/>
    <s v="TYEX+CO"/>
    <n v="1209"/>
    <n v="1209"/>
    <m/>
    <n v="0"/>
    <n v="0"/>
    <m/>
    <m/>
    <m/>
  </r>
  <r>
    <x v="666"/>
    <d v="2023-11-02T00:00:00"/>
    <s v="Week43"/>
    <d v="2023-10-01T00:00:00"/>
    <s v="DRY2300426"/>
    <s v="CAN "/>
    <s v="CP Foods Canada,Inc (CPFC)"/>
    <s v="C-Wonton"/>
    <s v="C-Wonton"/>
    <x v="31"/>
    <s v="Wonton Soup  (Enriched wonton sheet)"/>
    <s v="082S85336005P02001"/>
    <s v="147g*6c*6in"/>
    <n v="36"/>
    <n v="5"/>
    <n v="7.4999999999999997E-3"/>
    <s v="M"/>
    <s v="Salt"/>
    <s v="TYEX+CO"/>
    <n v="1288"/>
    <n v="1288"/>
    <m/>
    <n v="0"/>
    <n v="0"/>
    <m/>
    <m/>
    <m/>
  </r>
  <r>
    <x v="666"/>
    <d v="2023-11-09T00:00:00"/>
    <s v="Week43"/>
    <d v="2023-10-01T00:00:00"/>
    <s v="DRY2300427"/>
    <s v="CAN "/>
    <s v="CP Foods Canada,Inc (CPFC)"/>
    <s v="C-Wonton"/>
    <s v="C-Wonton"/>
    <x v="31"/>
    <s v="Wonton Soup  (Enriched wonton sheet)"/>
    <s v="082S85336005P02001"/>
    <s v="147g*6c*6in"/>
    <n v="36"/>
    <n v="5"/>
    <n v="7.4999999999999997E-3"/>
    <s v="M"/>
    <s v="Salt"/>
    <s v="TYEX+CO"/>
    <n v="540"/>
    <n v="540"/>
    <m/>
    <n v="0"/>
    <n v="0"/>
    <m/>
    <m/>
    <m/>
  </r>
  <r>
    <x v="667"/>
    <m/>
    <s v="Week44"/>
    <d v="2023-10-01T00:00:00"/>
    <m/>
    <m/>
    <m/>
    <m/>
    <m/>
    <x v="0"/>
    <m/>
    <m/>
    <m/>
    <m/>
    <m/>
    <m/>
    <m/>
    <m/>
    <m/>
    <m/>
    <m/>
    <m/>
    <m/>
    <m/>
    <m/>
    <m/>
    <m/>
  </r>
  <r>
    <x v="668"/>
    <m/>
    <s v="Week44"/>
    <d v="2023-10-01T00:00:00"/>
    <m/>
    <m/>
    <m/>
    <m/>
    <m/>
    <x v="0"/>
    <m/>
    <m/>
    <m/>
    <m/>
    <m/>
    <m/>
    <m/>
    <m/>
    <m/>
    <m/>
    <m/>
    <m/>
    <m/>
    <m/>
    <m/>
    <m/>
    <m/>
  </r>
  <r>
    <x v="669"/>
    <d v="2023-11-13T00:00:00"/>
    <s v="Week44"/>
    <d v="2023-10-01T00:00:00"/>
    <s v="KL2300029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408"/>
    <n v="1365"/>
    <n v="43"/>
    <n v="0"/>
    <n v="0"/>
    <n v="0"/>
    <n v="6"/>
    <n v="0"/>
  </r>
  <r>
    <x v="669"/>
    <d v="2023-11-07T00:00:00"/>
    <s v="Week44"/>
    <d v="2023-10-01T00:00:00"/>
    <s v="DRY2300554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405"/>
    <n v="405"/>
    <m/>
    <n v="0"/>
    <n v="0"/>
    <n v="0"/>
    <n v="6"/>
    <n v="0"/>
  </r>
  <r>
    <x v="670"/>
    <d v="2023-11-07T00:00:00"/>
    <s v="Week44"/>
    <d v="2023-11-01T00:00:00"/>
    <s v="DRY2300554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1651"/>
    <n v="1651"/>
    <m/>
    <n v="0"/>
    <n v="0"/>
    <n v="0"/>
    <n v="6"/>
    <n v="0"/>
  </r>
  <r>
    <x v="671"/>
    <d v="2023-11-06T00:00:00"/>
    <s v="Week44"/>
    <d v="2023-11-01T00:00:00"/>
    <s v="DRY2300451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179"/>
    <n v="1179"/>
    <m/>
    <n v="0"/>
    <n v="0"/>
    <m/>
    <m/>
    <m/>
  </r>
  <r>
    <x v="671"/>
    <d v="2023-11-10T00:00:00"/>
    <s v="Week44"/>
    <d v="2023-11-01T00:00:00"/>
    <s v="DRY2300452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71"/>
    <d v="2023-11-10T00:00:00"/>
    <s v="Week44"/>
    <d v="2023-11-01T00:00:00"/>
    <s v="DRY2300453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776"/>
    <n v="776"/>
    <m/>
    <n v="0"/>
    <n v="0"/>
    <m/>
    <m/>
    <m/>
  </r>
  <r>
    <x v="672"/>
    <d v="2023-11-10T00:00:00"/>
    <s v="Week44"/>
    <d v="2023-11-01T00:00:00"/>
    <s v="DRY2300453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512"/>
    <n v="512"/>
    <m/>
    <n v="0"/>
    <n v="0"/>
    <m/>
    <m/>
    <m/>
  </r>
  <r>
    <x v="672"/>
    <d v="2023-11-07T00:00:00"/>
    <s v="Week44"/>
    <d v="2023-11-01T00:00:00"/>
    <s v="DRY2300455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72"/>
    <d v="2023-11-13T00:00:00"/>
    <s v="Week44"/>
    <d v="2023-11-01T00:00:00"/>
    <s v="DRY2300454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72"/>
    <d v="2023-11-13T00:00:00"/>
    <s v="Week44"/>
    <d v="2023-11-01T00:00:00"/>
    <s v="DRY2300456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525"/>
    <n v="525"/>
    <m/>
    <n v="0"/>
    <n v="0"/>
    <m/>
    <m/>
    <m/>
  </r>
  <r>
    <x v="672"/>
    <d v="2023-11-09T00:00:00"/>
    <s v="Week44"/>
    <d v="2023-11-01T00:00:00"/>
    <s v="DRY2300427"/>
    <s v="CAN "/>
    <s v="CP Foods Canada,Inc (CPFC)"/>
    <s v="C-Wonton"/>
    <s v="C-Wonton"/>
    <x v="31"/>
    <s v="Wonton Soup  (Enriched wonton sheet)"/>
    <s v="082S85336005P02001"/>
    <s v="147g*6c*6in"/>
    <n v="36"/>
    <n v="5"/>
    <n v="7.4999999999999997E-3"/>
    <s v="M"/>
    <s v="Salt"/>
    <s v="TYEX+CO"/>
    <n v="676"/>
    <n v="676"/>
    <m/>
    <n v="0"/>
    <n v="0"/>
    <m/>
    <m/>
    <m/>
  </r>
  <r>
    <x v="673"/>
    <d v="2023-11-14T00:00:00"/>
    <s v="Week44"/>
    <d v="2023-11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042"/>
    <n v="2042"/>
    <m/>
    <n v="0"/>
    <n v="0"/>
    <m/>
    <m/>
    <m/>
  </r>
  <r>
    <x v="673"/>
    <d v="2023-11-09T00:00:00"/>
    <s v="Week44"/>
    <d v="2023-11-01T00:00:00"/>
    <s v="DRY2300427"/>
    <s v="CAN "/>
    <s v="CP Foods Canada,Inc (CPFC)"/>
    <s v="C-Wonton"/>
    <s v="C-Wonton"/>
    <x v="31"/>
    <s v="Wonton Soup  (Enriched wonton sheet)"/>
    <s v="082S85336005P02001"/>
    <s v="147g*6c*6in"/>
    <n v="36"/>
    <n v="5"/>
    <n v="7.4999999999999997E-3"/>
    <s v="M"/>
    <s v="Salt"/>
    <s v="TYEX+CO"/>
    <n v="72"/>
    <n v="72"/>
    <m/>
    <n v="0"/>
    <n v="0"/>
    <m/>
    <m/>
    <m/>
  </r>
  <r>
    <x v="673"/>
    <d v="2023-11-10T00:00:00"/>
    <s v="Week44"/>
    <d v="2023-11-01T00:00:00"/>
    <s v="DRY2300428"/>
    <s v="CAN "/>
    <s v="CP Foods Canada,Inc (CPFC)"/>
    <s v="C-Wonton"/>
    <s v="C-Wonton"/>
    <x v="31"/>
    <s v="Wonton Soup  (Enriched wonton sheet)"/>
    <s v="082S85336005P02001"/>
    <s v="147g*6c*6in"/>
    <n v="36"/>
    <n v="5"/>
    <n v="7.4999999999999997E-3"/>
    <s v="M"/>
    <s v="Salt"/>
    <s v="TYEX+CO"/>
    <n v="1288"/>
    <n v="1288"/>
    <m/>
    <n v="0"/>
    <n v="0"/>
    <m/>
    <m/>
    <m/>
  </r>
  <r>
    <x v="673"/>
    <d v="2023-11-10T00:00:00"/>
    <s v="Week44"/>
    <d v="2023-11-01T00:00:00"/>
    <s v="DRY2300429"/>
    <s v="CAN "/>
    <s v="CP Foods Canada,Inc (CPFC)"/>
    <s v="C-Wonton"/>
    <s v="C-Wonton"/>
    <x v="31"/>
    <s v="Wonton Soup  (Enriched wonton sheet)"/>
    <s v="082S85336005P02001"/>
    <s v="147g*6c*6in"/>
    <n v="36"/>
    <n v="5"/>
    <n v="7.4999999999999997E-3"/>
    <s v="M"/>
    <s v="Salt"/>
    <s v="TYEX+CO"/>
    <n v="1288"/>
    <n v="1288"/>
    <m/>
    <n v="0"/>
    <n v="0"/>
    <m/>
    <m/>
    <m/>
  </r>
  <r>
    <x v="673"/>
    <d v="2023-11-10T00:00:00"/>
    <s v="Week44"/>
    <d v="2023-11-01T00:00:00"/>
    <s v="DRY2300430"/>
    <s v="CAN "/>
    <s v="CP Foods Canada,Inc (CPFC)"/>
    <s v="C-Wonton"/>
    <s v="C-Wonton"/>
    <x v="31"/>
    <s v="Wonton Soup  (Enriched wonton sheet)"/>
    <s v="082S85336005P02001"/>
    <s v="147g*6c*6in"/>
    <n v="36"/>
    <n v="5"/>
    <n v="7.4999999999999997E-3"/>
    <s v="M"/>
    <s v="Salt"/>
    <s v="TYEX+CO"/>
    <n v="270"/>
    <n v="270"/>
    <m/>
    <n v="0"/>
    <n v="0"/>
    <m/>
    <m/>
    <m/>
  </r>
  <r>
    <x v="674"/>
    <m/>
    <s v="Week45"/>
    <d v="2023-11-01T00:00:00"/>
    <m/>
    <m/>
    <m/>
    <m/>
    <m/>
    <x v="0"/>
    <m/>
    <m/>
    <m/>
    <m/>
    <m/>
    <m/>
    <m/>
    <m/>
    <m/>
    <m/>
    <m/>
    <m/>
    <m/>
    <m/>
    <m/>
    <m/>
    <m/>
  </r>
  <r>
    <x v="675"/>
    <d v="2023-11-14T00:00:00"/>
    <s v="Week45"/>
    <d v="2023-11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1224"/>
    <n v="1224"/>
    <m/>
    <n v="0"/>
    <n v="0"/>
    <m/>
    <m/>
    <m/>
  </r>
  <r>
    <x v="675"/>
    <d v="2023-11-15T00:00:00"/>
    <s v="Week45"/>
    <d v="2023-11-01T00:00:00"/>
    <s v="DRY2300502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</r>
  <r>
    <x v="675"/>
    <d v="2023-11-15T00:00:00"/>
    <s v="Week45"/>
    <d v="2023-11-01T00:00:00"/>
    <s v="DRY2300503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</r>
  <r>
    <x v="675"/>
    <d v="2023-11-13T00:00:00"/>
    <s v="Week45"/>
    <d v="2023-11-01T00:00:00"/>
    <s v="DRY2300456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561"/>
    <n v="561"/>
    <m/>
    <n v="0"/>
    <n v="0"/>
    <m/>
    <m/>
    <m/>
  </r>
  <r>
    <x v="676"/>
    <d v="2023-11-21T00:00:00"/>
    <s v="Week45"/>
    <d v="2023-11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3968"/>
    <n v="3968"/>
    <m/>
    <n v="0"/>
    <n v="0"/>
    <m/>
    <m/>
    <m/>
  </r>
  <r>
    <x v="676"/>
    <d v="2023-11-10T00:00:00"/>
    <s v="Week45"/>
    <d v="2023-11-01T00:00:00"/>
    <s v="DRY2300430"/>
    <s v="CAN "/>
    <s v="CP Foods Canada,Inc (CPFC)"/>
    <s v="C-Wonton"/>
    <s v="C-Wonton"/>
    <x v="31"/>
    <s v="Wonton Soup  (Enriched wonton sheet)"/>
    <s v="082S85336005P02001"/>
    <s v="147g*6c*6in"/>
    <n v="36"/>
    <n v="5"/>
    <n v="7.4999999999999997E-3"/>
    <s v="M"/>
    <s v="Salt"/>
    <s v="TYEX+CO"/>
    <n v="1018"/>
    <n v="1018"/>
    <m/>
    <n v="0"/>
    <n v="0"/>
    <m/>
    <m/>
    <m/>
  </r>
  <r>
    <x v="676"/>
    <d v="2023-11-16T00:00:00"/>
    <s v="Week45"/>
    <d v="2023-11-01T00:00:00"/>
    <s v="DRY2300431"/>
    <s v="CAN "/>
    <s v="CP Foods Canada,Inc (CPFC)"/>
    <s v="C-Wonton"/>
    <s v="C-Wonton"/>
    <x v="31"/>
    <s v="Wonton Soup  (Enriched wonton sheet)"/>
    <s v="082S85336005P02001"/>
    <s v="147g*6c*6in"/>
    <n v="36"/>
    <n v="5"/>
    <n v="7.4999999999999997E-3"/>
    <s v="M"/>
    <s v="Salt"/>
    <s v="TYEX+CO"/>
    <n v="58"/>
    <n v="58"/>
    <m/>
    <n v="0"/>
    <n v="0"/>
    <m/>
    <m/>
    <m/>
  </r>
  <r>
    <x v="677"/>
    <d v="2023-11-13T00:00:00"/>
    <s v="Week45"/>
    <d v="2023-11-01T00:00:00"/>
    <s v="DRY2300456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202"/>
    <n v="202"/>
    <m/>
    <n v="0"/>
    <n v="0"/>
    <m/>
    <m/>
    <m/>
  </r>
  <r>
    <x v="677"/>
    <d v="2023-11-13T00:00:00"/>
    <s v="Week45"/>
    <d v="2023-11-01T00:00:00"/>
    <s v="DRY2300479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77"/>
    <d v="2023-11-17T00:00:00"/>
    <s v="Week45"/>
    <d v="2023-11-01T00:00:00"/>
    <s v="DRY2300480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77"/>
    <d v="2023-11-17T00:00:00"/>
    <s v="Week45"/>
    <d v="2023-11-01T00:00:00"/>
    <s v="DRY2300481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27"/>
    <n v="1227"/>
    <m/>
    <n v="0"/>
    <n v="0"/>
    <m/>
    <m/>
    <m/>
  </r>
  <r>
    <x v="678"/>
    <d v="2023-11-28T00:00:00"/>
    <s v="Week45"/>
    <d v="2023-11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274"/>
    <n v="2274"/>
    <m/>
    <n v="0"/>
    <n v="0"/>
    <m/>
    <m/>
    <m/>
  </r>
  <r>
    <x v="678"/>
    <m/>
    <s v="Week45"/>
    <d v="2023-11-01T00:00:00"/>
    <s v="ขายภายใน"/>
    <s v="MTFS"/>
    <s v="ซีพีเอฟ เทรดดิ้ง"/>
    <s v="C-Wonton"/>
    <s v="C-Wonton"/>
    <x v="32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4"/>
    <n v="4"/>
    <m/>
    <n v="0"/>
    <n v="0"/>
    <m/>
    <m/>
    <m/>
  </r>
  <r>
    <x v="678"/>
    <d v="2023-11-11T00:00:00"/>
    <s v="Week45"/>
    <d v="2023-11-01T00:00:00"/>
    <s v="ขายภายใน"/>
    <s v=".7-11"/>
    <s v="ซีพีเอฟ เทรดดิ้ง"/>
    <s v="C-Wonton"/>
    <s v="C-Wonton"/>
    <x v="32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3713"/>
    <n v="3713"/>
    <m/>
    <n v="0"/>
    <n v="0"/>
    <m/>
    <m/>
    <m/>
  </r>
  <r>
    <x v="679"/>
    <d v="2023-11-16T00:00:00"/>
    <s v="Week45"/>
    <d v="2023-11-01T00:00:00"/>
    <s v="DRY2300431"/>
    <s v="CAN "/>
    <s v="CP Foods Canada,Inc (CPFC)"/>
    <s v="C-Wonton"/>
    <s v="C-Wonton"/>
    <x v="31"/>
    <s v="Wonton Soup  (Enriched wonton sheet)"/>
    <s v="082S85336005P02001"/>
    <s v="147g*6c*6in"/>
    <n v="36"/>
    <n v="5"/>
    <n v="7.4999999999999997E-3"/>
    <s v="M"/>
    <s v="Salt"/>
    <s v="TYEX+CO"/>
    <n v="1230"/>
    <n v="1230"/>
    <m/>
    <n v="0"/>
    <n v="0"/>
    <m/>
    <m/>
    <m/>
  </r>
  <r>
    <x v="679"/>
    <d v="2023-11-16T00:00:00"/>
    <s v="Week45"/>
    <d v="2023-11-01T00:00:00"/>
    <s v="DRY2300432"/>
    <s v="CAN "/>
    <s v="CP Foods Canada,Inc (CPFC)"/>
    <s v="C-Wonton"/>
    <s v="C-Wonton"/>
    <x v="31"/>
    <s v="Wonton Soup  (Enriched wonton sheet)"/>
    <s v="082S85336005P02001"/>
    <s v="147g*6c*6in"/>
    <n v="36"/>
    <n v="5"/>
    <n v="7.4999999999999997E-3"/>
    <s v="M"/>
    <s v="Salt"/>
    <s v="TYEX+CO"/>
    <n v="1288"/>
    <n v="1288"/>
    <m/>
    <n v="0"/>
    <n v="0"/>
    <m/>
    <m/>
    <m/>
  </r>
  <r>
    <x v="679"/>
    <d v="2023-11-16T00:00:00"/>
    <s v="Week45"/>
    <d v="2023-11-01T00:00:00"/>
    <s v="DRY2300433"/>
    <s v="CAN "/>
    <s v="CP Foods Canada,Inc (CPFC)"/>
    <s v="C-Wonton"/>
    <s v="C-Wonton"/>
    <x v="31"/>
    <s v="Wonton Soup  (Enriched wonton sheet)"/>
    <s v="082S85336005P02001"/>
    <s v="147g*6c*6in"/>
    <n v="36"/>
    <n v="5"/>
    <n v="7.4999999999999997E-3"/>
    <s v="M"/>
    <s v="Salt"/>
    <s v="TYEX+CO"/>
    <n v="1288"/>
    <n v="1288"/>
    <m/>
    <n v="0"/>
    <n v="0"/>
    <m/>
    <m/>
    <m/>
  </r>
  <r>
    <x v="679"/>
    <d v="2023-11-29T00:00:00"/>
    <s v="Week45"/>
    <d v="2023-11-01T00:00:00"/>
    <s v="DRY2300434"/>
    <s v="CAN "/>
    <s v="CP Foods Canada,Inc (CPFC)"/>
    <s v="C-Wonton"/>
    <s v="C-Wonton"/>
    <x v="31"/>
    <s v="Wonton Soup  (Enriched wonton sheet)"/>
    <s v="082S85336005P02001"/>
    <s v="147g*6c*6in"/>
    <n v="36"/>
    <n v="5"/>
    <n v="7.4999999999999997E-3"/>
    <s v="M"/>
    <s v="Salt"/>
    <s v="TYEX+CO"/>
    <n v="112"/>
    <n v="112"/>
    <m/>
    <n v="0"/>
    <n v="0"/>
    <m/>
    <m/>
    <m/>
  </r>
  <r>
    <x v="680"/>
    <d v="2023-12-19T00:00:00"/>
    <s v="Week45"/>
    <d v="2023-11-01T00:00:00"/>
    <s v="DRY2300545"/>
    <s v="USA"/>
    <s v="Bellisio Foods, Inc."/>
    <s v="C-Wonton"/>
    <s v="C-Wonton ND"/>
    <x v="26"/>
    <s v="Cooked Wonton ND No Egg with Pumpkin_x000a_+ Yu Choy Low sodium"/>
    <s v="082SRBW24005P01001"/>
    <s v="308g*4c*6in"/>
    <n v="24"/>
    <n v="5"/>
    <n v="6.0000000000000001E-3"/>
    <s v="BK"/>
    <s v="Salt"/>
    <s v="Y3"/>
    <n v="200"/>
    <n v="183"/>
    <n v="16.625"/>
    <n v="-0.375"/>
    <n v="9"/>
    <m/>
    <m/>
    <m/>
  </r>
  <r>
    <x v="680"/>
    <d v="2023-12-20T00:00:00"/>
    <s v="Week45"/>
    <d v="2023-11-01T00:00:00"/>
    <s v="DRY2300546"/>
    <s v="USA"/>
    <s v="Bellisio Foods, Inc."/>
    <s v="C-Wonton"/>
    <s v="C-Wonton ND"/>
    <x v="26"/>
    <s v="Cooked Wonton ND No Egg with Pumpkin_x000a_+ Yu Choy Low sodium"/>
    <s v="082SRBW24005P01001"/>
    <s v="308g*4c*6in"/>
    <n v="24"/>
    <n v="5"/>
    <n v="6.0000000000000001E-3"/>
    <s v="BK"/>
    <s v="Salt"/>
    <s v="Y3"/>
    <n v="200"/>
    <n v="200"/>
    <n v="29.166666666666668"/>
    <n v="29.166666666666657"/>
    <n v="0"/>
    <m/>
    <m/>
    <m/>
  </r>
  <r>
    <x v="680"/>
    <d v="2023-11-18T00:00:00"/>
    <s v="Week45"/>
    <d v="2023-11-01T00:00:00"/>
    <m/>
    <s v="China"/>
    <s v="Charoen Pokphand Import&amp;Export Trading (Shanghai) Co., Ltd"/>
    <s v="C-Wonton"/>
    <s v="C-Wonton ND"/>
    <x v="5"/>
    <s v="Cooked Wonton ND No Egg with Pumpkin _x000a_+ Vegetable 5 pcs tomyam"/>
    <s v="082SJ5J36005P00001"/>
    <s v="308g*6c*6in"/>
    <n v="36"/>
    <n v="5"/>
    <n v="7.4999999999999997E-3"/>
    <s v="HC"/>
    <s v="Salt"/>
    <s v="Y3"/>
    <n v="792"/>
    <n v="792"/>
    <n v="1.1111111111111112"/>
    <n v="1.1111111111110858"/>
    <n v="0"/>
    <m/>
    <m/>
    <m/>
  </r>
  <r>
    <x v="680"/>
    <d v="2023-11-22T00:00:00"/>
    <s v="Week45"/>
    <d v="2023-11-01T00:00:00"/>
    <s v="DRY2300397"/>
    <s v="AUS"/>
    <s v="CPF Australia Pty Ltd."/>
    <s v="C-Wonton ND"/>
    <s v="Wonton ND+V"/>
    <x v="8"/>
    <s v="Cooked Wonton ND No Egg with Pumpkin _x000a_+ Vegetable 5 pcs tomyam"/>
    <s v="082SJ9U24005P00001"/>
    <s v="307g*4c*6in"/>
    <n v="24"/>
    <n v="5"/>
    <n v="7.4999999999999997E-3"/>
    <s v="M"/>
    <s v="Salt"/>
    <s v="TYEX+CO"/>
    <n v="924"/>
    <n v="863"/>
    <n v="60.75"/>
    <n v="-0.25"/>
    <n v="6"/>
    <m/>
    <m/>
    <m/>
  </r>
  <r>
    <x v="680"/>
    <d v="2023-11-22T00:00:00"/>
    <s v="Week45"/>
    <d v="2023-11-01T00:00:00"/>
    <s v="DRY2300398"/>
    <s v="AUS"/>
    <s v="CPF Australia Pty Ltd."/>
    <s v="C-Wonton ND"/>
    <s v="Wonton ND+V"/>
    <x v="8"/>
    <s v="Cooked Wonton ND No Egg with Pumpkin _x000a_+ Vegetable 5 pcs tomyam"/>
    <s v="082SJ9U24005P00001"/>
    <s v="307g*4c*6in"/>
    <n v="24"/>
    <n v="5"/>
    <n v="7.4999999999999997E-3"/>
    <s v="M"/>
    <s v="Salt"/>
    <s v="TYEX+CO"/>
    <n v="924"/>
    <n v="924"/>
    <m/>
    <n v="0"/>
    <n v="0"/>
    <m/>
    <m/>
    <m/>
  </r>
  <r>
    <x v="680"/>
    <d v="2023-12-14T00:00:00"/>
    <s v="Week45"/>
    <d v="2023-11-01T00:00:00"/>
    <s v="DRY2300472"/>
    <s v="AUS"/>
    <s v="CPF Australia Pty Ltd."/>
    <s v="C-Wonton ND"/>
    <s v="Wonton ND+V"/>
    <x v="8"/>
    <s v="Cooked Wonton ND No Egg with Pumpkin _x000a_+ Vegetable 5 pcs tomyam"/>
    <s v="082SJ9U24005P00001"/>
    <s v="307g*4c*6in"/>
    <n v="24"/>
    <n v="5"/>
    <n v="7.4999999999999997E-3"/>
    <s v="M"/>
    <s v="Salt"/>
    <s v="TYEX+CO"/>
    <n v="390"/>
    <n v="390"/>
    <m/>
    <n v="0"/>
    <n v="0"/>
    <m/>
    <m/>
    <m/>
  </r>
  <r>
    <x v="680"/>
    <d v="2024-01-05T00:00:00"/>
    <s v="Week45"/>
    <d v="2023-11-01T00:00:00"/>
    <s v="DRY2300576"/>
    <s v="AUS"/>
    <s v="CPF Australia Pty Ltd."/>
    <s v="C-Wonton ND"/>
    <s v="Wonton ND+V"/>
    <x v="8"/>
    <s v="Cooked Wonton ND No Egg with Pumpkin _x000a_+ Vegetable 5 pcs tomyam"/>
    <s v="082SJ9U24005P00001"/>
    <s v="307g*4c*6in"/>
    <n v="24"/>
    <n v="5"/>
    <n v="7.4999999999999997E-3"/>
    <s v="M"/>
    <s v="Salt"/>
    <s v="TYEX+CO"/>
    <n v="924"/>
    <n v="924"/>
    <m/>
    <n v="0"/>
    <n v="0"/>
    <m/>
    <m/>
    <m/>
  </r>
  <r>
    <x v="680"/>
    <d v="2023-11-20T00:00:00"/>
    <s v="Week45"/>
    <d v="2023-11-01T00:00:00"/>
    <s v="DRY2300403"/>
    <s v="Denmark"/>
    <s v="CPF DENMARK"/>
    <s v="C-Wonton ND"/>
    <s v="Wonton ND+V"/>
    <x v="8"/>
    <s v="Cooked Wonton ND No Egg with Pumpkin _x000a_+ Vegetable  HC  3 pcs tomyam"/>
    <s v="082SJKW08003P00001"/>
    <s v="309g*8"/>
    <n v="8"/>
    <n v="3"/>
    <n v="7.4999999999999997E-3"/>
    <s v="M"/>
    <s v="Salt"/>
    <s v="TYANS+CM"/>
    <n v="3500"/>
    <m/>
    <n v="3500"/>
    <n v="0"/>
    <n v="0"/>
    <m/>
    <m/>
    <m/>
  </r>
  <r>
    <x v="681"/>
    <m/>
    <s v="Week46"/>
    <d v="2023-11-01T00:00:00"/>
    <m/>
    <m/>
    <m/>
    <m/>
    <m/>
    <x v="0"/>
    <m/>
    <m/>
    <m/>
    <m/>
    <m/>
    <m/>
    <m/>
    <m/>
    <m/>
    <m/>
    <m/>
    <m/>
    <m/>
    <m/>
    <m/>
    <m/>
    <m/>
  </r>
  <r>
    <x v="682"/>
    <d v="2023-11-17T00:00:00"/>
    <s v="Week46"/>
    <d v="2023-11-01T00:00:00"/>
    <s v="DRY2300481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61"/>
    <n v="61"/>
    <m/>
    <n v="0"/>
    <n v="0"/>
    <m/>
    <m/>
    <m/>
  </r>
  <r>
    <x v="682"/>
    <d v="2023-11-17T00:00:00"/>
    <s v="Week46"/>
    <d v="2023-11-01T00:00:00"/>
    <s v="DRY2300476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82"/>
    <d v="2023-11-17T00:00:00"/>
    <s v="Week46"/>
    <d v="2023-11-01T00:00:00"/>
    <s v="DRY2300477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82"/>
    <d v="2023-11-17T00:00:00"/>
    <s v="Week46"/>
    <d v="2023-11-01T00:00:00"/>
    <s v="DRY2300478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82"/>
    <d v="2023-11-17T00:00:00"/>
    <s v="Week46"/>
    <d v="2023-11-01T00:00:00"/>
    <s v="DRY2300485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57"/>
    <n v="157"/>
    <m/>
    <n v="0"/>
    <n v="0"/>
    <m/>
    <m/>
    <m/>
  </r>
  <r>
    <x v="682"/>
    <d v="2023-11-18T00:00:00"/>
    <s v="Week46"/>
    <d v="2023-11-01T00:00:00"/>
    <s v="DRY2300544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1400"/>
    <n v="1374"/>
    <n v="26"/>
    <n v="0"/>
    <n v="0"/>
    <n v="0"/>
    <n v="1"/>
    <n v="0"/>
  </r>
  <r>
    <x v="683"/>
    <d v="2023-11-17T00:00:00"/>
    <s v="Week46"/>
    <d v="2023-11-01T00:00:00"/>
    <s v="DRY2300485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131"/>
    <n v="1131"/>
    <m/>
    <n v="0"/>
    <n v="0"/>
    <m/>
    <m/>
    <m/>
  </r>
  <r>
    <x v="683"/>
    <d v="2023-11-17T00:00:00"/>
    <s v="Week46"/>
    <d v="2023-11-01T00:00:00"/>
    <s v="DRY2300486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83"/>
    <d v="2023-11-20T00:00:00"/>
    <s v="Week46"/>
    <d v="2023-11-01T00:00:00"/>
    <s v="DRY2300482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83"/>
    <d v="2023-11-20T00:00:00"/>
    <s v="Week46"/>
    <d v="2023-11-01T00:00:00"/>
    <s v="DRY2300487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362"/>
    <n v="362"/>
    <m/>
    <n v="0"/>
    <n v="0"/>
    <m/>
    <m/>
    <m/>
  </r>
  <r>
    <x v="683"/>
    <d v="2023-11-18T00:00:00"/>
    <s v="Week46"/>
    <d v="2023-11-01T00:00:00"/>
    <s v="DRY2300544"/>
    <s v="HK"/>
    <s v="CPM Hongkong"/>
    <s v="R-Wonton"/>
    <s v="R-Mince"/>
    <x v="9"/>
    <s v="Raw Minced Wonton 8 pcs"/>
    <s v="082ID3G18008P00001"/>
    <s v="90g*18in"/>
    <n v="18"/>
    <n v="8"/>
    <n v="6.0000000000000001E-3"/>
    <s v="BK"/>
    <s v="STPP"/>
    <s v="ซุปซอง 5g."/>
    <n v="500"/>
    <n v="500"/>
    <n v="14"/>
    <n v="14"/>
    <n v="0"/>
    <n v="0"/>
    <n v="2"/>
    <n v="0"/>
  </r>
  <r>
    <x v="683"/>
    <d v="2023-11-25T00:00:00"/>
    <s v="Week46"/>
    <d v="2023-11-01T00:00:00"/>
    <s v="DRY2300504"/>
    <s v="SG"/>
    <s v="CPI SINGAPORE"/>
    <s v="R-Wonton"/>
    <s v="R-Wonton"/>
    <x v="4"/>
    <s v="Raw Wonton 12 pcs with sesame"/>
    <s v="082I93B20012P02001"/>
    <s v="204g*20in"/>
    <n v="20"/>
    <n v="12"/>
    <n v="6.8100000000000001E-3"/>
    <s v="S"/>
    <s v="STPP"/>
    <s v=" sesame 30g"/>
    <n v="624"/>
    <n v="593"/>
    <n v="31"/>
    <n v="0"/>
    <n v="0"/>
    <n v="0"/>
    <n v="2"/>
    <n v="0"/>
  </r>
  <r>
    <x v="684"/>
    <d v="2023-11-20T00:00:00"/>
    <s v="Week46"/>
    <d v="2023-11-01T00:00:00"/>
    <s v="DRY2300487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926"/>
    <n v="926"/>
    <m/>
    <n v="0"/>
    <n v="0"/>
    <m/>
    <m/>
    <m/>
  </r>
  <r>
    <x v="684"/>
    <d v="2023-11-20T00:00:00"/>
    <s v="Week46"/>
    <d v="2023-11-01T00:00:00"/>
    <s v="DRY2300488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84"/>
    <d v="2023-11-23T00:00:00"/>
    <s v="Week46"/>
    <d v="2023-11-01T00:00:00"/>
    <s v="DRY2300483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84"/>
    <d v="2023-11-23T00:00:00"/>
    <s v="Week46"/>
    <d v="2023-11-01T00:00:00"/>
    <s v="DRY2300484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479"/>
    <n v="479"/>
    <m/>
    <n v="0"/>
    <n v="0"/>
    <m/>
    <m/>
    <m/>
  </r>
  <r>
    <x v="684"/>
    <d v="2023-11-25T00:00:00"/>
    <s v="Week46"/>
    <d v="2023-11-01T00:00:00"/>
    <s v="DRY2300504"/>
    <s v="SG"/>
    <s v="CPI SINGAPORE"/>
    <s v="R-Wonton"/>
    <s v="R-Wonton"/>
    <x v="4"/>
    <s v="Raw Wonton 12 pcs with sesame"/>
    <s v="082I93B20012P02001"/>
    <s v="204g*20in"/>
    <n v="20"/>
    <n v="12"/>
    <n v="6.8100000000000001E-3"/>
    <s v="S"/>
    <s v="STPP"/>
    <s v=" sesame 30g"/>
    <n v="576"/>
    <n v="576"/>
    <m/>
    <n v="0"/>
    <n v="0"/>
    <n v="0"/>
    <n v="2"/>
    <n v="0"/>
  </r>
  <r>
    <x v="684"/>
    <d v="2023-11-20T00:00:00"/>
    <s v="Week46"/>
    <d v="2023-11-01T00:00:00"/>
    <s v="ขายภายใน"/>
    <s v="MTFS"/>
    <s v="ซีพีเอฟ เทรดดิ้ง"/>
    <s v="R-Wonton"/>
    <s v="R-Wonton"/>
    <x v="29"/>
    <s v="เกี๊ยวกุ้งดับเบิ้ลชีสพร้อมปรุงCP 12x240g"/>
    <s v="082ID3Q12020P00001"/>
    <s v="240g*12in"/>
    <n v="12"/>
    <n v="20"/>
    <n v="6.0000000000000001E-3"/>
    <s v="BK"/>
    <s v="STPP"/>
    <m/>
    <n v="400"/>
    <n v="349"/>
    <n v="51"/>
    <n v="0"/>
    <n v="0"/>
    <n v="0"/>
    <m/>
    <n v="0"/>
  </r>
  <r>
    <x v="685"/>
    <m/>
    <s v="Week46"/>
    <d v="2023-11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3956"/>
    <n v="3956"/>
    <m/>
    <n v="0"/>
    <n v="0"/>
    <m/>
    <m/>
    <m/>
  </r>
  <r>
    <x v="685"/>
    <m/>
    <s v="Week46"/>
    <d v="2023-11-01T00:00:00"/>
    <s v="ขายภายใน"/>
    <s v="MTFS"/>
    <s v="ซีพีเอฟ เทรดดิ้ง"/>
    <s v="C-Wonton"/>
    <s v="C-Wonton"/>
    <x v="12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m/>
    <m/>
    <m/>
  </r>
  <r>
    <x v="685"/>
    <m/>
    <s v="Week46"/>
    <d v="2023-11-01T00:00:00"/>
    <s v="ขายภายใน"/>
    <s v="MTFS"/>
    <s v="ซีพีเอฟ เทรดดิ้ง"/>
    <s v="C-Wonton"/>
    <s v="C-Wonton"/>
    <x v="12"/>
    <s v="Cooked Wonton  with egg V-Food"/>
    <s v="082S83Q12005P05000"/>
    <s v="145g*12"/>
    <n v="12"/>
    <n v="5"/>
    <n v="8.0000000000000002E-3"/>
    <s v="M"/>
    <s v="STPP"/>
    <s v="Regular"/>
    <n v="44"/>
    <n v="44"/>
    <m/>
    <n v="0"/>
    <n v="0"/>
    <m/>
    <m/>
    <m/>
  </r>
  <r>
    <x v="685"/>
    <m/>
    <s v="Week46"/>
    <d v="2023-11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927"/>
    <n v="927"/>
    <m/>
    <n v="0"/>
    <n v="0"/>
    <m/>
    <n v="1"/>
    <n v="0"/>
  </r>
  <r>
    <x v="685"/>
    <d v="2023-11-20T00:00:00"/>
    <s v="Week46"/>
    <d v="2023-11-01T00:00:00"/>
    <s v="ขายภายใน"/>
    <s v="MTFS"/>
    <s v="ซีพีเอฟ เทรดดิ้ง"/>
    <s v="C-Wonton"/>
    <s v="C-Wonton"/>
    <x v="32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58"/>
    <n v="58"/>
    <m/>
    <n v="0"/>
    <n v="0"/>
    <m/>
    <m/>
    <m/>
  </r>
  <r>
    <x v="685"/>
    <d v="2023-11-20T00:00:00"/>
    <s v="Week46"/>
    <d v="2023-11-01T00:00:00"/>
    <s v="ขายภายใน"/>
    <s v="MTFS"/>
    <s v="ซีพีเอฟ เทรดดิ้ง"/>
    <s v="C-Wonton"/>
    <s v="C-Wonton"/>
    <x v="32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1539"/>
    <n v="1539"/>
    <m/>
    <n v="0"/>
    <n v="0"/>
    <m/>
    <m/>
    <m/>
  </r>
  <r>
    <x v="685"/>
    <d v="2023-11-20T00:00:00"/>
    <s v="Week46"/>
    <d v="2023-11-01T00:00:00"/>
    <s v="ขายภายใน"/>
    <s v=".7-11"/>
    <s v="ซีพีเอฟ เทรดดิ้ง"/>
    <s v="C-Wonton"/>
    <s v="C-Wonton"/>
    <x v="32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537"/>
    <n v="537"/>
    <m/>
    <n v="0"/>
    <n v="0"/>
    <m/>
    <m/>
    <m/>
  </r>
  <r>
    <x v="685"/>
    <d v="2023-11-20T00:00:00"/>
    <s v="Week46"/>
    <d v="2023-11-01T00:00:00"/>
    <s v="ขายภายใน"/>
    <s v="MTFS"/>
    <s v="ซีพีเอฟ เทรดดิ้ง"/>
    <s v="R-Wonton"/>
    <s v="R-Wonton"/>
    <x v="29"/>
    <s v="เกี๊ยวกุ้งดับเบิ้ลชีสพร้อมปรุง 96 กรัม x12แพค"/>
    <s v="082ID3Q12008P00001"/>
    <s v="96g*12in"/>
    <n v="12"/>
    <n v="8"/>
    <n v="6.0000000000000001E-3"/>
    <s v="BK"/>
    <s v="STPP"/>
    <m/>
    <n v="200"/>
    <n v="200"/>
    <m/>
    <n v="0"/>
    <n v="0"/>
    <n v="0"/>
    <m/>
    <n v="0"/>
  </r>
  <r>
    <x v="685"/>
    <d v="2023-11-28T00:00:00"/>
    <s v="Week46"/>
    <d v="2023-11-01T00:00:00"/>
    <s v="DRY2300344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467"/>
    <n v="467"/>
    <m/>
    <n v="0"/>
    <n v="0"/>
    <n v="0"/>
    <n v="2"/>
    <n v="0"/>
  </r>
  <r>
    <x v="686"/>
    <d v="2023-11-21T00:00:00"/>
    <s v="Week46"/>
    <d v="2023-11-01T00:00:00"/>
    <s v="ขายภายใน"/>
    <s v=".7-11"/>
    <s v="ซีพีเอฟ เทรดดิ้ง"/>
    <s v="C-Wonton"/>
    <s v="C-Wonton"/>
    <x v="32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5067"/>
    <n v="5067"/>
    <m/>
    <n v="0"/>
    <n v="0"/>
    <m/>
    <m/>
    <m/>
  </r>
  <r>
    <x v="686"/>
    <m/>
    <s v="Week46"/>
    <d v="2023-11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753"/>
    <n v="699"/>
    <n v="54"/>
    <n v="0"/>
    <n v="0"/>
    <m/>
    <n v="1"/>
    <n v="0"/>
  </r>
  <r>
    <x v="686"/>
    <d v="2023-11-28T00:00:00"/>
    <s v="Week46"/>
    <d v="2023-11-01T00:00:00"/>
    <s v="DRY2300344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29"/>
    <n v="529"/>
    <m/>
    <n v="0"/>
    <n v="0"/>
    <n v="0"/>
    <n v="2"/>
    <n v="0"/>
  </r>
  <r>
    <x v="687"/>
    <d v="2023-12-12T00:00:00"/>
    <s v="Week46"/>
    <d v="2023-11-01T00:00:00"/>
    <s v="DRY2300516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</r>
  <r>
    <x v="687"/>
    <d v="2023-12-12T00:00:00"/>
    <s v="Week46"/>
    <d v="2023-11-01T00:00:00"/>
    <s v="DRY2300517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</r>
  <r>
    <x v="687"/>
    <d v="2023-12-22T00:00:00"/>
    <s v="Week46"/>
    <d v="2023-11-01T00:00:00"/>
    <s v="DRY2300518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</r>
  <r>
    <x v="687"/>
    <d v="2023-11-29T00:00:00"/>
    <s v="Week46"/>
    <d v="2023-11-01T00:00:00"/>
    <s v="DRY2300400"/>
    <s v="UK"/>
    <s v="Westbridge Foods Limited"/>
    <s v="C-Wonton ND"/>
    <s v="Wonton ND+V"/>
    <x v="8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n v="924"/>
    <m/>
    <n v="0"/>
    <n v="0"/>
    <m/>
    <m/>
    <m/>
  </r>
  <r>
    <x v="687"/>
    <d v="2023-11-29T00:00:00"/>
    <s v="Week46"/>
    <d v="2023-11-01T00:00:00"/>
    <s v="DRY2300401"/>
    <s v="UK"/>
    <s v="Westbridge Foods Limited"/>
    <s v="C-Wonton ND"/>
    <s v="Wonton ND+V"/>
    <x v="8"/>
    <s v="Cooked Wonton ND No Egg with Pumpkin _x000a_+ Vegetable 5 pcs tomyam"/>
    <s v="082SJWE24005P00001"/>
    <s v="307g*4c*6in"/>
    <n v="24"/>
    <n v="5"/>
    <n v="7.4999999999999997E-3"/>
    <s v="M"/>
    <s v="Salt"/>
    <s v="TYEX+CO"/>
    <n v="908"/>
    <n v="908"/>
    <m/>
    <n v="0"/>
    <n v="0"/>
    <m/>
    <m/>
    <m/>
  </r>
  <r>
    <x v="687"/>
    <d v="2023-11-28T00:00:00"/>
    <s v="Week46"/>
    <d v="2023-11-01T00:00:00"/>
    <s v="DRY2300344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32"/>
    <n v="532"/>
    <m/>
    <n v="0"/>
    <n v="0"/>
    <n v="0"/>
    <n v="2"/>
    <n v="0"/>
  </r>
  <r>
    <x v="688"/>
    <m/>
    <s v="Week47"/>
    <d v="2023-11-01T00:00:00"/>
    <m/>
    <m/>
    <m/>
    <m/>
    <m/>
    <x v="0"/>
    <m/>
    <m/>
    <m/>
    <m/>
    <m/>
    <m/>
    <m/>
    <m/>
    <m/>
    <m/>
    <m/>
    <m/>
    <m/>
    <m/>
    <m/>
    <m/>
    <m/>
  </r>
  <r>
    <x v="689"/>
    <d v="2023-11-23T00:00:00"/>
    <s v="Week47"/>
    <d v="2023-11-01T00:00:00"/>
    <s v="DRY2300484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809"/>
    <n v="809"/>
    <m/>
    <n v="0"/>
    <n v="0"/>
    <m/>
    <m/>
    <m/>
  </r>
  <r>
    <x v="689"/>
    <d v="2023-11-24T00:00:00"/>
    <s v="Week47"/>
    <d v="2023-11-01T00:00:00"/>
    <s v="DRY2300493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89"/>
    <d v="2023-11-24T00:00:00"/>
    <s v="Week47"/>
    <d v="2023-11-01T00:00:00"/>
    <s v="DRY2300494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89"/>
    <d v="2023-11-27T00:00:00"/>
    <s v="Week47"/>
    <d v="2023-11-01T00:00:00"/>
    <s v="DRY2300489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741"/>
    <n v="741"/>
    <m/>
    <n v="0"/>
    <n v="0"/>
    <m/>
    <m/>
    <m/>
  </r>
  <r>
    <x v="689"/>
    <d v="2023-11-28T00:00:00"/>
    <s v="Week47"/>
    <d v="2023-11-01T00:00:00"/>
    <s v="DRY2300344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96"/>
    <n v="96"/>
    <m/>
    <n v="0"/>
    <n v="0"/>
    <n v="0"/>
    <n v="2"/>
    <n v="0"/>
  </r>
  <r>
    <x v="689"/>
    <d v="2023-12-04T00:00:00"/>
    <s v="Week47"/>
    <d v="2023-11-01T00:00:00"/>
    <s v="DRY2300555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450"/>
    <n v="397"/>
    <n v="53"/>
    <n v="0"/>
    <n v="0"/>
    <n v="0"/>
    <n v="6"/>
    <n v="0"/>
  </r>
  <r>
    <x v="690"/>
    <d v="2023-11-27T00:00:00"/>
    <s v="Week47"/>
    <d v="2023-11-01T00:00:00"/>
    <s v="DRY2300489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547"/>
    <n v="547"/>
    <m/>
    <n v="0"/>
    <n v="0"/>
    <m/>
    <m/>
    <m/>
  </r>
  <r>
    <x v="690"/>
    <d v="2023-11-27T00:00:00"/>
    <s v="Week47"/>
    <d v="2023-11-01T00:00:00"/>
    <s v="DRY2300490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90"/>
    <d v="2023-11-27T00:00:00"/>
    <s v="Week47"/>
    <d v="2023-11-01T00:00:00"/>
    <s v="DRY2300491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90"/>
    <d v="2023-11-27T00:00:00"/>
    <s v="Week47"/>
    <d v="2023-11-01T00:00:00"/>
    <s v="DRY2300492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979"/>
    <n v="979"/>
    <m/>
    <n v="0"/>
    <n v="0"/>
    <m/>
    <m/>
    <m/>
  </r>
  <r>
    <x v="690"/>
    <d v="2023-12-04T00:00:00"/>
    <s v="Week47"/>
    <d v="2023-11-01T00:00:00"/>
    <s v="DRY2300555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538"/>
    <n v="538"/>
    <m/>
    <n v="0"/>
    <n v="0"/>
    <n v="0"/>
    <n v="6"/>
    <n v="0"/>
  </r>
  <r>
    <x v="691"/>
    <d v="2023-11-27T00:00:00"/>
    <s v="Week47"/>
    <d v="2023-11-01T00:00:00"/>
    <s v="DRY2300492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309"/>
    <n v="309"/>
    <m/>
    <n v="0"/>
    <n v="0"/>
    <m/>
    <m/>
    <m/>
  </r>
  <r>
    <x v="691"/>
    <d v="2023-11-27T00:00:00"/>
    <s v="Week47"/>
    <d v="2023-11-01T00:00:00"/>
    <s v="DRY2300495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91"/>
    <d v="2023-12-01T00:00:00"/>
    <s v="Week47"/>
    <d v="2023-11-01T00:00:00"/>
    <s v="DRY2300496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70"/>
    <n v="1270"/>
    <m/>
    <n v="0"/>
    <n v="0"/>
    <m/>
    <m/>
    <m/>
  </r>
  <r>
    <x v="691"/>
    <d v="2023-11-29T00:00:00"/>
    <s v="Week47"/>
    <d v="2023-11-01T00:00:00"/>
    <s v="DRY2300434"/>
    <s v="CAN "/>
    <s v="CP Foods Canada,Inc (CPFC)"/>
    <s v="C-Wonton"/>
    <s v="C-Wonton"/>
    <x v="31"/>
    <s v="Wonton Soup  (Enriched wonton sheet)"/>
    <s v="082S85336005P02001"/>
    <s v="147g*6c*6in"/>
    <n v="36"/>
    <n v="5"/>
    <n v="7.4999999999999997E-3"/>
    <s v="M"/>
    <s v="Salt"/>
    <s v="TYEX+CO"/>
    <n v="1176"/>
    <n v="1176"/>
    <m/>
    <n v="0"/>
    <n v="0"/>
    <m/>
    <m/>
    <m/>
  </r>
  <r>
    <x v="691"/>
    <d v="2023-11-29T00:00:00"/>
    <s v="Week47"/>
    <d v="2023-11-01T00:00:00"/>
    <s v="DRY2300515"/>
    <s v="CAN "/>
    <s v="CP Foods Canada,Inc (CPFC)"/>
    <s v="C-Wonton"/>
    <s v="C-Wonton"/>
    <x v="31"/>
    <s v="Wonton Soup  (Enriched wonton sheet)"/>
    <s v="082S85336005P02001"/>
    <s v="147g*6c*6in"/>
    <n v="36"/>
    <n v="5"/>
    <n v="7.4999999999999997E-3"/>
    <s v="M"/>
    <s v="Salt"/>
    <s v="TYEX+CO"/>
    <n v="103"/>
    <n v="103"/>
    <m/>
    <n v="0"/>
    <n v="0"/>
    <m/>
    <m/>
    <m/>
  </r>
  <r>
    <x v="691"/>
    <d v="2023-12-04T00:00:00"/>
    <s v="Week47"/>
    <d v="2023-11-01T00:00:00"/>
    <s v="DRY2300555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528"/>
    <n v="528"/>
    <m/>
    <n v="0"/>
    <n v="0"/>
    <n v="0"/>
    <n v="6"/>
    <n v="0"/>
  </r>
  <r>
    <x v="692"/>
    <d v="2023-12-07T00:00:00"/>
    <s v="Week47"/>
    <d v="2023-11-01T00:00:00"/>
    <s v="DRY2300509"/>
    <s v="SG"/>
    <s v="CPI SINGAPORE"/>
    <s v="C-Wonton"/>
    <s v="C-Wonton ND"/>
    <x v="30"/>
    <s v="Cooked Wonton Thai Spicy Noodles (Drunken Noodles)"/>
    <s v="082SJ3B24003P03001"/>
    <s v="229g*24"/>
    <n v="24"/>
    <n v="3"/>
    <n v="8.0000000000000002E-3"/>
    <s v="M"/>
    <s v="Salt"/>
    <s v="Kee Mao 50G."/>
    <n v="420"/>
    <n v="420"/>
    <m/>
    <n v="0"/>
    <n v="0"/>
    <m/>
    <m/>
    <m/>
  </r>
  <r>
    <x v="692"/>
    <d v="2023-12-19T00:00:00"/>
    <s v="Week47"/>
    <d v="2023-11-01T00:00:00"/>
    <s v="DRY2300545"/>
    <s v="USA"/>
    <s v="Bellisio Foods, Inc."/>
    <s v="C-Wonton"/>
    <s v="C-Wonton ND"/>
    <x v="3"/>
    <s v="Cooked Minced Wonton Noodle No Egg"/>
    <s v="082SRBW24005P00001"/>
    <s v="258g*4c*6in"/>
    <n v="24"/>
    <n v="5"/>
    <n v="6.0000000000000001E-3"/>
    <s v="BK"/>
    <s v="Salt"/>
    <s v="Regular"/>
    <n v="645"/>
    <n v="645"/>
    <m/>
    <n v="0"/>
    <n v="0"/>
    <m/>
    <m/>
    <m/>
  </r>
  <r>
    <x v="692"/>
    <d v="2023-11-29T00:00:00"/>
    <s v="Week47"/>
    <d v="2023-11-01T00:00:00"/>
    <s v="DRY2300515"/>
    <s v="CAN "/>
    <s v="CP Foods Canada,Inc (CPFC)"/>
    <s v="C-Wonton"/>
    <s v="C-Wonton"/>
    <x v="31"/>
    <s v="Wonton Soup  (Enriched wonton sheet)"/>
    <s v="082S85336005P02001"/>
    <s v="147g*6c*6in"/>
    <n v="36"/>
    <n v="5"/>
    <n v="7.4999999999999997E-3"/>
    <s v="M"/>
    <s v="Salt"/>
    <s v="TYEX+CO"/>
    <n v="1185"/>
    <n v="1185"/>
    <m/>
    <n v="0"/>
    <n v="0"/>
    <m/>
    <m/>
    <m/>
  </r>
  <r>
    <x v="692"/>
    <d v="2023-11-30T00:00:00"/>
    <s v="Week47"/>
    <d v="2023-11-01T00:00:00"/>
    <s v="DRY2300513"/>
    <s v="CAN "/>
    <s v="CP Foods Canada,Inc (CPFC)"/>
    <s v="C-Wonton"/>
    <s v="C-Wonton"/>
    <x v="31"/>
    <s v="Wonton Soup  (Enriched wonton sheet)"/>
    <s v="082S85336005P02001"/>
    <s v="147g*6c*6in"/>
    <n v="36"/>
    <n v="5"/>
    <n v="7.4999999999999997E-3"/>
    <s v="M"/>
    <s v="Salt"/>
    <s v="TYEX+CO"/>
    <n v="1103"/>
    <n v="1103"/>
    <m/>
    <n v="0"/>
    <n v="0"/>
    <m/>
    <m/>
    <m/>
  </r>
  <r>
    <x v="692"/>
    <d v="2023-12-04T00:00:00"/>
    <s v="Week47"/>
    <d v="2023-11-01T00:00:00"/>
    <s v="DRY2300555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540"/>
    <n v="540"/>
    <m/>
    <n v="0"/>
    <n v="0"/>
    <n v="0"/>
    <n v="6"/>
    <n v="0"/>
  </r>
  <r>
    <x v="693"/>
    <d v="2023-11-29T00:00:00"/>
    <s v="Week47"/>
    <d v="2023-11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3478"/>
    <n v="3478"/>
    <m/>
    <n v="0"/>
    <n v="0"/>
    <m/>
    <m/>
    <m/>
  </r>
  <r>
    <x v="693"/>
    <d v="2023-12-19T00:00:00"/>
    <s v="Week47"/>
    <d v="2023-11-01T00:00:00"/>
    <s v="DRY2300545"/>
    <s v="USA"/>
    <s v="Bellisio Foods, Inc."/>
    <s v="C-Wonton"/>
    <s v="C-Wonton ND"/>
    <x v="3"/>
    <s v="Cooked Minced Wonton Noodle No Egg"/>
    <s v="082SRBW24005P00001"/>
    <s v="258g*4c*6in"/>
    <n v="24"/>
    <n v="5"/>
    <n v="6.0000000000000001E-3"/>
    <s v="BK"/>
    <s v="Salt"/>
    <s v="Regular"/>
    <n v="55"/>
    <n v="55"/>
    <m/>
    <n v="0"/>
    <n v="0"/>
    <m/>
    <m/>
    <m/>
  </r>
  <r>
    <x v="693"/>
    <d v="2023-12-20T00:00:00"/>
    <s v="Week47"/>
    <d v="2023-11-01T00:00:00"/>
    <s v="DRY2300546"/>
    <s v="USA"/>
    <s v="Bellisio Foods, Inc."/>
    <s v="C-Wonton"/>
    <s v="C-Wonton ND"/>
    <x v="3"/>
    <s v="Cooked Minced Wonton Noodle No Egg"/>
    <s v="082SRBW24005P00001"/>
    <s v="258g*4c*6in"/>
    <n v="24"/>
    <n v="5"/>
    <n v="6.0000000000000001E-3"/>
    <s v="BK"/>
    <s v="Salt"/>
    <s v="Regular"/>
    <n v="600"/>
    <n v="600"/>
    <m/>
    <n v="0"/>
    <n v="0"/>
    <m/>
    <m/>
    <m/>
  </r>
  <r>
    <x v="693"/>
    <d v="2023-12-08T00:00:00"/>
    <s v="Week47"/>
    <d v="2023-11-01T00:00:00"/>
    <s v="DRY2300558"/>
    <s v="CAN "/>
    <s v="Bellisio Foods Canada"/>
    <s v="C-Wonton"/>
    <s v="C-Wonton ND"/>
    <x v="3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m/>
    <m/>
    <m/>
  </r>
  <r>
    <x v="693"/>
    <d v="2023-12-07T00:00:00"/>
    <s v="Week47"/>
    <d v="2023-11-01T00:00:00"/>
    <s v="DRY2300510"/>
    <s v="SG"/>
    <s v="CPI SINGAPORE"/>
    <s v="R-Wonton"/>
    <s v="R-Mince"/>
    <x v="9"/>
    <s v="Raw Minced Wonton 8 pcs"/>
    <s v="082ID3B18008P00001"/>
    <s v="90g*18in"/>
    <n v="18"/>
    <n v="8"/>
    <n v="5.0000000000000001E-3"/>
    <s v="BK"/>
    <s v="STPP"/>
    <s v="ซุปซอง 5g."/>
    <n v="600"/>
    <n v="600"/>
    <m/>
    <n v="0"/>
    <n v="0"/>
    <n v="0"/>
    <n v="2"/>
    <n v="0"/>
  </r>
  <r>
    <x v="693"/>
    <d v="2023-12-07T00:00:00"/>
    <s v="Week47"/>
    <d v="2023-11-01T00:00:00"/>
    <s v="DRY2300511"/>
    <s v="SG"/>
    <s v="CPI SINGAPORE"/>
    <s v="R-Wonton"/>
    <s v="R-Wonton"/>
    <x v="4"/>
    <s v="Raw Wonton 8 pcs"/>
    <s v="082I93B20008P00001"/>
    <s v="194g*20in"/>
    <n v="20"/>
    <n v="8"/>
    <n v="1.4999999999999999E-2"/>
    <s v="JB"/>
    <s v="STPP"/>
    <s v="ซุปซอง 5g."/>
    <n v="300"/>
    <n v="300"/>
    <m/>
    <n v="0"/>
    <n v="0"/>
    <n v="0"/>
    <n v="2"/>
    <n v="0"/>
  </r>
  <r>
    <x v="693"/>
    <d v="2023-12-25T00:00:00"/>
    <s v="Week47"/>
    <d v="2023-11-01T00:00:00"/>
    <s v="ขายภายใน"/>
    <s v="MTFS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300"/>
    <n v="301"/>
    <m/>
    <n v="1"/>
    <n v="0"/>
    <n v="0"/>
    <m/>
    <n v="0"/>
  </r>
  <r>
    <x v="694"/>
    <d v="2023-12-07T00:00:00"/>
    <s v="Week47"/>
    <d v="2023-11-01T00:00:00"/>
    <s v="DRY2300508"/>
    <s v="SG"/>
    <s v="CPI Singapore"/>
    <s v="C-Wonton"/>
    <s v="C-Wonton ND"/>
    <x v="5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300"/>
    <n v="300"/>
    <m/>
    <n v="0"/>
    <n v="0"/>
    <m/>
    <m/>
    <m/>
  </r>
  <r>
    <x v="694"/>
    <d v="2023-11-28T00:00:00"/>
    <s v="Week47"/>
    <d v="2023-11-01T00:00:00"/>
    <s v="DRY2300471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61"/>
    <n v="61"/>
    <m/>
    <n v="0"/>
    <n v="0"/>
    <m/>
    <m/>
    <m/>
  </r>
  <r>
    <x v="694"/>
    <d v="2023-12-06T00:00:00"/>
    <s v="Week47"/>
    <d v="2023-11-01T00:00:00"/>
    <s v="DRY2300613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30"/>
    <n v="62"/>
    <n v="0"/>
    <n v="0"/>
    <m/>
    <m/>
    <m/>
  </r>
  <r>
    <x v="694"/>
    <d v="2023-12-22T00:00:00"/>
    <s v="Week47"/>
    <d v="2023-11-01T00:00:00"/>
    <s v="DRY2300519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</r>
  <r>
    <x v="694"/>
    <d v="2023-12-12T00:00:00"/>
    <s v="Week47"/>
    <d v="2023-11-01T00:00:00"/>
    <s v="DRY2300402"/>
    <s v="UK"/>
    <s v="Westbridge Foods Limited"/>
    <s v="C-Wonton ND"/>
    <s v="Wonton ND+V"/>
    <x v="8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n v="637"/>
    <n v="287"/>
    <n v="0"/>
    <n v="0"/>
    <m/>
    <m/>
    <m/>
  </r>
  <r>
    <x v="694"/>
    <d v="2023-11-30T00:00:00"/>
    <s v="Week47"/>
    <d v="2023-11-01T00:00:00"/>
    <s v="DRY2300549"/>
    <s v="New Zealand"/>
    <s v="Lim Brothers"/>
    <s v="C-Wonton ND"/>
    <s v="Wonton ND+V"/>
    <x v="8"/>
    <s v="Cooked Wonton ND No Egg with Pumpkin _x000a_+ Vegetable 5 pcs tomyam"/>
    <s v="082SJN724005P00001"/>
    <s v="307g*4c*6in"/>
    <n v="24"/>
    <n v="5"/>
    <n v="7.4999999999999997E-3"/>
    <s v="M"/>
    <s v="Salt"/>
    <s v="TYEX+CO"/>
    <n v="390"/>
    <n v="366"/>
    <n v="24"/>
    <n v="0"/>
    <n v="0"/>
    <m/>
    <m/>
    <m/>
  </r>
  <r>
    <x v="694"/>
    <d v="2023-12-22T00:00:00"/>
    <s v="Week47"/>
    <d v="2023-11-01T00:00:00"/>
    <s v="DRY2300556"/>
    <s v="AUS"/>
    <s v="CPF Australia Pty Ltd."/>
    <s v="C-Wonton"/>
    <s v="C-Wonton ND"/>
    <x v="17"/>
    <s v="Cooked Minced  ND No Egg with Pumpkin_x000a_+ Yu Choy Tomyum"/>
    <s v="082SR9U08003P00001"/>
    <s v="302g*8"/>
    <n v="8"/>
    <n v="3"/>
    <n v="8.0000000000000002E-3"/>
    <s v="BK"/>
    <s v="Salt"/>
    <s v="TYEX+CO"/>
    <n v="200"/>
    <m/>
    <n v="200"/>
    <n v="0"/>
    <n v="0"/>
    <m/>
    <m/>
    <m/>
  </r>
  <r>
    <x v="694"/>
    <d v="2023-12-06T00:00:00"/>
    <s v="Week47"/>
    <d v="2023-11-01T00:00:00"/>
    <s v="DRY2300562"/>
    <s v="Denmark"/>
    <s v="CPF DENMARK"/>
    <s v="C-Wonton ND"/>
    <s v="Wonton ND+V"/>
    <x v="8"/>
    <s v="Cooked Wonton ND No Egg with Pumpkin _x000a_+ Vegetable  HC  3 pcs tomyam"/>
    <s v="082SJKW08003P00001"/>
    <s v="309g*8"/>
    <n v="8"/>
    <n v="3"/>
    <n v="7.4999999999999997E-3"/>
    <s v="M"/>
    <s v="Salt"/>
    <s v="TYANS+CM"/>
    <n v="3500"/>
    <m/>
    <n v="3500"/>
    <n v="0"/>
    <n v="0"/>
    <m/>
    <m/>
    <m/>
  </r>
  <r>
    <x v="694"/>
    <d v="2023-12-07T00:00:00"/>
    <s v="Week47"/>
    <d v="2023-11-01T00:00:00"/>
    <s v="DRY2300505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1000"/>
    <n v="1000"/>
    <m/>
    <n v="0"/>
    <n v="0"/>
    <n v="0"/>
    <n v="2"/>
    <n v="0"/>
  </r>
  <r>
    <x v="695"/>
    <m/>
    <s v="Week48"/>
    <d v="2023-11-01T00:00:00"/>
    <m/>
    <m/>
    <m/>
    <m/>
    <m/>
    <x v="0"/>
    <m/>
    <m/>
    <m/>
    <m/>
    <m/>
    <m/>
    <m/>
    <m/>
    <m/>
    <m/>
    <m/>
    <m/>
    <m/>
    <m/>
    <m/>
    <m/>
    <m/>
  </r>
  <r>
    <x v="696"/>
    <d v="2023-12-07T00:00:00"/>
    <s v="Week48"/>
    <d v="2023-11-01T00:00:00"/>
    <s v="DRY2300507"/>
    <s v="SG"/>
    <s v="CPI SINGAPORE"/>
    <s v="C-Wonton"/>
    <s v="C-Wonton"/>
    <x v="2"/>
    <s v="Cooked Wonton No Egg"/>
    <s v="082S83B24005P06001"/>
    <s v="115g*24"/>
    <n v="24"/>
    <n v="5"/>
    <n v="8.0000000000000002E-3"/>
    <s v="M"/>
    <s v="STPP"/>
    <s v="TYTB3C 30G"/>
    <n v="500"/>
    <n v="500"/>
    <m/>
    <n v="0"/>
    <n v="0"/>
    <m/>
    <n v="1"/>
    <n v="0"/>
  </r>
  <r>
    <x v="696"/>
    <d v="2023-12-15T00:00:00"/>
    <s v="Week48"/>
    <d v="2023-11-01T00:00:00"/>
    <s v="DRY2300675"/>
    <s v="BRUNEI"/>
    <s v="Ben Foods"/>
    <s v="C-Wonton"/>
    <s v="C-Wonton"/>
    <x v="2"/>
    <s v="Cooked Wonton No Egg"/>
    <s v="082S8C324005P00001"/>
    <s v="115g*24"/>
    <n v="24"/>
    <n v="5"/>
    <n v="8.0000000000000002E-3"/>
    <s v="M"/>
    <s v="STPP"/>
    <s v="TYTB3C 30G"/>
    <n v="200"/>
    <n v="200"/>
    <m/>
    <n v="0"/>
    <n v="0"/>
    <m/>
    <n v="1"/>
    <n v="0"/>
  </r>
  <r>
    <x v="696"/>
    <d v="2023-12-07T00:00:00"/>
    <s v="Week48"/>
    <d v="2023-11-01T00:00:00"/>
    <s v="DRY2300506"/>
    <s v="SG"/>
    <s v="CPI SINGAPORE"/>
    <s v="C-Wonton"/>
    <s v="C-Wonton"/>
    <x v="1"/>
    <s v="Cooked Wonton No Egg"/>
    <s v="082S83B24005P07001"/>
    <s v="145g*24"/>
    <n v="24"/>
    <n v="5"/>
    <n v="8.0000000000000002E-3"/>
    <s v="M"/>
    <s v="STPP"/>
    <s v="Regular"/>
    <n v="500"/>
    <n v="500"/>
    <m/>
    <n v="0"/>
    <n v="0"/>
    <m/>
    <m/>
    <m/>
  </r>
  <r>
    <x v="696"/>
    <d v="2023-12-15T00:00:00"/>
    <s v="Week48"/>
    <d v="2023-11-01T00:00:00"/>
    <s v="DRY2300674"/>
    <s v="BRUNEI"/>
    <s v="Ben Foods"/>
    <s v="C-Wonton"/>
    <s v="C-Wonton"/>
    <x v="1"/>
    <s v="Cooked Wonton No Egg"/>
    <s v="082S8C324005P01001"/>
    <s v="145g*24"/>
    <n v="24"/>
    <n v="5"/>
    <n v="8.0000000000000002E-3"/>
    <s v="M"/>
    <s v="STPP"/>
    <s v="Regular"/>
    <n v="280"/>
    <n v="280"/>
    <m/>
    <n v="0"/>
    <n v="0"/>
    <m/>
    <m/>
    <m/>
  </r>
  <r>
    <x v="696"/>
    <d v="2023-11-30T00:00:00"/>
    <s v="Week48"/>
    <d v="2023-11-01T00:00:00"/>
    <s v="DRY2300513"/>
    <s v="CAN "/>
    <s v="CP Foods Canada,Inc (CPFC)"/>
    <s v="C-Wonton"/>
    <s v="C-Wonton"/>
    <x v="31"/>
    <s v="Wonton Soup  (Enriched wonton sheet)"/>
    <s v="082S85336005P02001"/>
    <s v="147g*6c*6in"/>
    <n v="36"/>
    <n v="5"/>
    <n v="7.4999999999999997E-3"/>
    <s v="M"/>
    <s v="Salt"/>
    <s v="TYEX+CO"/>
    <n v="185"/>
    <n v="185"/>
    <m/>
    <n v="0"/>
    <n v="0"/>
    <m/>
    <m/>
    <m/>
  </r>
  <r>
    <x v="696"/>
    <d v="2023-11-30T00:00:00"/>
    <s v="Week48"/>
    <d v="2023-11-01T00:00:00"/>
    <s v="DRY2300514"/>
    <s v="CAN "/>
    <s v="CP Foods Canada,Inc (CPFC)"/>
    <s v="C-Wonton"/>
    <s v="C-Wonton"/>
    <x v="31"/>
    <s v="Wonton Soup  (Enriched wonton sheet)"/>
    <s v="082S85336005P02001"/>
    <s v="147g*6c*6in"/>
    <n v="36"/>
    <n v="5"/>
    <n v="7.4999999999999997E-3"/>
    <s v="M"/>
    <s v="Salt"/>
    <s v="TYEX+CO"/>
    <n v="1288"/>
    <n v="1288"/>
    <m/>
    <n v="0"/>
    <n v="0"/>
    <m/>
    <m/>
    <m/>
  </r>
  <r>
    <x v="696"/>
    <d v="2023-12-07T00:00:00"/>
    <s v="Week48"/>
    <d v="2023-11-01T00:00:00"/>
    <s v="DRY2300512"/>
    <s v="CAN "/>
    <s v="CP Foods Canada,Inc (CPFC)"/>
    <s v="C-Wonton"/>
    <s v="C-Wonton"/>
    <x v="31"/>
    <s v="Wonton Soup  (Enriched wonton sheet)"/>
    <s v="082S85336005P02001"/>
    <s v="147g*6c*6in"/>
    <n v="36"/>
    <n v="5"/>
    <n v="7.4999999999999997E-3"/>
    <s v="M"/>
    <s v="Salt"/>
    <s v="TYEX+CO"/>
    <n v="1288"/>
    <n v="1288"/>
    <m/>
    <n v="0"/>
    <n v="0"/>
    <m/>
    <m/>
    <m/>
  </r>
  <r>
    <x v="696"/>
    <d v="2023-12-04T00:00:00"/>
    <s v="Week48"/>
    <d v="2023-11-01T00:00:00"/>
    <s v="ขายภายใน"/>
    <s v="MTFS"/>
    <s v="ซีพีเอฟ เทรดดิ้ง"/>
    <s v="R-Wonton"/>
    <s v="R-Wonton"/>
    <x v="29"/>
    <s v="เกี๊ยวกุ้งดับเบิ้ลชีสพร้อมปรุงCP 12x240g"/>
    <s v="082ID3Q12020P00001"/>
    <s v="240g*12in"/>
    <n v="12"/>
    <n v="20"/>
    <n v="6.0000000000000001E-3"/>
    <s v="BK"/>
    <s v="STPP"/>
    <m/>
    <n v="600"/>
    <n v="600"/>
    <m/>
    <n v="0"/>
    <n v="0"/>
    <n v="0"/>
    <m/>
    <n v="0"/>
  </r>
  <r>
    <x v="696"/>
    <d v="2023-12-04T00:00:00"/>
    <s v="Week48"/>
    <d v="2023-11-01T00:00:00"/>
    <s v="ขายภายใน"/>
    <s v="MTFS"/>
    <s v="ซีพีเอฟ เทรดดิ้ง"/>
    <s v="R-Wonton"/>
    <s v="R-Wonton"/>
    <x v="29"/>
    <s v="เกี๊ยวกุ้งดับเบิ้ลชีสพร้อมปรุง 96 กรัม x12แพค"/>
    <s v="082ID3Q12008P00001"/>
    <s v="96g*12in"/>
    <n v="12"/>
    <n v="8"/>
    <n v="6.0000000000000001E-3"/>
    <s v="BK"/>
    <s v="STPP"/>
    <m/>
    <n v="200"/>
    <n v="200"/>
    <m/>
    <n v="0"/>
    <n v="0"/>
    <n v="0"/>
    <m/>
    <n v="0"/>
  </r>
  <r>
    <x v="697"/>
    <d v="2023-12-01T00:00:00"/>
    <s v="Week48"/>
    <d v="2023-11-01T00:00:00"/>
    <s v="DRY2300496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8"/>
    <n v="18"/>
    <m/>
    <n v="0"/>
    <n v="0"/>
    <m/>
    <m/>
    <m/>
  </r>
  <r>
    <x v="697"/>
    <d v="2023-12-01T00:00:00"/>
    <s v="Week48"/>
    <d v="2023-11-01T00:00:00"/>
    <s v="DRY2300497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97"/>
    <d v="2023-12-01T00:00:00"/>
    <s v="Week48"/>
    <d v="2023-11-01T00:00:00"/>
    <s v="DRY2300498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97"/>
    <d v="2023-12-01T00:00:00"/>
    <s v="Week48"/>
    <d v="2023-11-01T00:00:00"/>
    <s v="DRY2300499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97"/>
    <d v="2023-12-04T00:00:00"/>
    <s v="Week48"/>
    <d v="2023-11-01T00:00:00"/>
    <s v="DRY2300500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93"/>
    <n v="193"/>
    <m/>
    <n v="0"/>
    <n v="0"/>
    <m/>
    <m/>
    <m/>
  </r>
  <r>
    <x v="697"/>
    <d v="2023-12-12T00:00:00"/>
    <s v="Week48"/>
    <d v="2023-11-01T00:00:00"/>
    <s v="DRY2300553"/>
    <s v="Taiwan"/>
    <s v="CP TAIWAN"/>
    <s v="R-Wonton"/>
    <s v="R-Wonton no egg"/>
    <x v="10"/>
    <s v="Raw Wonton 12 pcs"/>
    <s v="082I93R40012P03001"/>
    <s v="154g*40inner"/>
    <n v="40"/>
    <n v="12"/>
    <n v="8.1300000000000001E-3"/>
    <s v="M"/>
    <s v="Salt"/>
    <s v="ซุปซอง 5g."/>
    <n v="572"/>
    <n v="572"/>
    <m/>
    <n v="0"/>
    <n v="0"/>
    <n v="0"/>
    <n v="2"/>
    <n v="0"/>
  </r>
  <r>
    <x v="698"/>
    <d v="2023-12-18T00:00:00"/>
    <s v="Week48"/>
    <d v="2023-11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4167"/>
    <n v="4167"/>
    <m/>
    <n v="0"/>
    <n v="0"/>
    <m/>
    <m/>
    <m/>
  </r>
  <r>
    <x v="698"/>
    <d v="2024-01-01T00:00:00"/>
    <s v="Week48"/>
    <d v="2023-11-01T00:00:00"/>
    <s v="ขายภายใน"/>
    <s v="MTFS"/>
    <s v="ซีพีเอฟ เทรดดิ้ง"/>
    <s v="C-Wonton"/>
    <s v="C-Wonton"/>
    <x v="12"/>
    <s v="Cooked Wonton  with egg V-Food"/>
    <s v="082S83Q12005P05000"/>
    <s v="145g*12"/>
    <n v="12"/>
    <n v="5"/>
    <n v="8.0000000000000002E-3"/>
    <s v="M"/>
    <s v="STPP"/>
    <s v="Regular"/>
    <n v="20"/>
    <n v="20"/>
    <m/>
    <n v="0"/>
    <n v="0"/>
    <m/>
    <m/>
    <m/>
  </r>
  <r>
    <x v="698"/>
    <d v="2023-12-04T00:00:00"/>
    <s v="Week48"/>
    <d v="2023-11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3336"/>
    <n v="3336"/>
    <m/>
    <n v="0"/>
    <n v="0"/>
    <m/>
    <m/>
    <m/>
  </r>
  <r>
    <x v="698"/>
    <m/>
    <s v="Week48"/>
    <d v="2023-11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20"/>
    <n v="20"/>
    <m/>
    <n v="0"/>
    <n v="0"/>
    <m/>
    <n v="1"/>
    <n v="0"/>
  </r>
  <r>
    <x v="698"/>
    <d v="2023-12-12T00:00:00"/>
    <s v="Week48"/>
    <d v="2023-11-01T00:00:00"/>
    <s v="DRY2300553"/>
    <s v="Taiwan"/>
    <s v="CP TAIWAN"/>
    <s v="R-Wonton"/>
    <s v="R-Wonton no egg"/>
    <x v="10"/>
    <s v="Raw Wonton 12 pcs"/>
    <s v="082I93R40012P03001"/>
    <s v="154g*40inner"/>
    <n v="40"/>
    <n v="12"/>
    <n v="8.1300000000000001E-3"/>
    <s v="M"/>
    <s v="Salt"/>
    <s v="ซุปซอง 5g."/>
    <n v="555"/>
    <n v="555"/>
    <m/>
    <n v="0"/>
    <n v="0"/>
    <n v="0"/>
    <n v="2"/>
    <n v="0"/>
  </r>
  <r>
    <x v="699"/>
    <d v="2023-12-04T00:00:00"/>
    <s v="Week48"/>
    <d v="2023-11-01T00:00:00"/>
    <s v="DRY2300500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095"/>
    <n v="1095"/>
    <m/>
    <n v="0"/>
    <n v="0"/>
    <m/>
    <m/>
    <m/>
  </r>
  <r>
    <x v="699"/>
    <d v="2023-12-04T00:00:00"/>
    <s v="Week48"/>
    <d v="2023-11-01T00:00:00"/>
    <s v="DRY2300501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99"/>
    <d v="2023-12-04T00:00:00"/>
    <s v="Week48"/>
    <d v="2023-11-01T00:00:00"/>
    <s v="DRY2300520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699"/>
    <d v="2023-12-04T00:00:00"/>
    <s v="Week48"/>
    <d v="2023-11-01T00:00:00"/>
    <s v="DRY2300521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412"/>
    <n v="412"/>
    <m/>
    <n v="0"/>
    <n v="0"/>
    <m/>
    <m/>
    <m/>
  </r>
  <r>
    <x v="699"/>
    <d v="2023-12-12T00:00:00"/>
    <s v="Week48"/>
    <d v="2023-11-01T00:00:00"/>
    <s v="DRY2300553"/>
    <s v="Taiwan"/>
    <s v="CP TAIWAN"/>
    <s v="R-Wonton"/>
    <s v="R-Wonton no egg"/>
    <x v="10"/>
    <s v="Raw Wonton 12 pcs"/>
    <s v="082I93R40012P03001"/>
    <s v="154g*40inner"/>
    <n v="40"/>
    <n v="12"/>
    <n v="8.1300000000000001E-3"/>
    <s v="M"/>
    <s v="Salt"/>
    <s v="ซุปซอง 5g."/>
    <n v="497"/>
    <n v="497"/>
    <m/>
    <n v="0"/>
    <n v="0"/>
    <n v="0"/>
    <n v="2"/>
    <n v="0"/>
  </r>
  <r>
    <x v="699"/>
    <d v="2023-12-18T00:00:00"/>
    <s v="Week48"/>
    <d v="2023-11-01T00:00:00"/>
    <s v="ขายภายใน"/>
    <s v="ขายภายใน"/>
    <s v="ซีพีเอฟ เทรดดิ้ง"/>
    <s v="R-Wonton"/>
    <s v="R-Wonton"/>
    <x v="4"/>
    <s v="Raw Wonton 50 pcs OISHI"/>
    <s v="082S01508600G01001"/>
    <s v="600g.*8 packs"/>
    <n v="8"/>
    <n v="50"/>
    <n v="8.1300000000000001E-3"/>
    <s v="M"/>
    <s v="STPP"/>
    <s v="-"/>
    <n v="99"/>
    <n v="99"/>
    <m/>
    <n v="0"/>
    <n v="0"/>
    <n v="0"/>
    <m/>
    <n v="0"/>
  </r>
  <r>
    <x v="700"/>
    <d v="2023-12-04T00:00:00"/>
    <s v="Week48"/>
    <d v="2023-12-01T00:00:00"/>
    <s v="DRY2300521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876"/>
    <n v="876"/>
    <m/>
    <n v="0"/>
    <n v="0"/>
    <m/>
    <m/>
    <m/>
  </r>
  <r>
    <x v="700"/>
    <d v="2023-12-08T00:00:00"/>
    <s v="Week48"/>
    <d v="2023-12-01T00:00:00"/>
    <s v="DRY2300525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700"/>
    <d v="2023-12-08T00:00:00"/>
    <s v="Week48"/>
    <d v="2023-12-01T00:00:00"/>
    <s v="DRY2300533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700"/>
    <d v="2023-12-08T00:00:00"/>
    <s v="Week48"/>
    <d v="2023-12-01T00:00:00"/>
    <s v="DRY2300534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626"/>
    <n v="626"/>
    <m/>
    <n v="0"/>
    <n v="0"/>
    <m/>
    <m/>
    <m/>
  </r>
  <r>
    <x v="700"/>
    <d v="2023-12-12T00:00:00"/>
    <s v="Week48"/>
    <d v="2023-12-01T00:00:00"/>
    <s v="DRY2300573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65"/>
    <n v="565"/>
    <m/>
    <n v="0"/>
    <n v="0"/>
    <n v="0"/>
    <n v="2"/>
    <n v="0"/>
  </r>
  <r>
    <x v="701"/>
    <d v="2023-12-08T00:00:00"/>
    <s v="Week48"/>
    <d v="2023-12-01T00:00:00"/>
    <s v="DRY2300534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662"/>
    <n v="662"/>
    <m/>
    <n v="0"/>
    <n v="0"/>
    <m/>
    <m/>
    <m/>
  </r>
  <r>
    <x v="701"/>
    <d v="2023-12-08T00:00:00"/>
    <s v="Week48"/>
    <d v="2023-12-01T00:00:00"/>
    <s v="DRY2300523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701"/>
    <d v="2023-12-08T00:00:00"/>
    <s v="Week48"/>
    <d v="2023-12-01T00:00:00"/>
    <s v="DRY2300524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701"/>
    <d v="2023-12-11T00:00:00"/>
    <s v="Week48"/>
    <d v="2023-12-01T00:00:00"/>
    <s v="DRY2300528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785"/>
    <n v="785"/>
    <m/>
    <n v="0"/>
    <n v="0"/>
    <m/>
    <m/>
    <m/>
  </r>
  <r>
    <x v="701"/>
    <d v="2023-12-12T00:00:00"/>
    <s v="Week48"/>
    <d v="2023-12-01T00:00:00"/>
    <s v="DRY2300573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58"/>
    <n v="558"/>
    <m/>
    <n v="0"/>
    <n v="0"/>
    <n v="0"/>
    <n v="2"/>
    <n v="0"/>
  </r>
  <r>
    <x v="702"/>
    <m/>
    <s v="Week49"/>
    <d v="2023-12-01T00:00:00"/>
    <m/>
    <m/>
    <m/>
    <m/>
    <m/>
    <x v="0"/>
    <m/>
    <m/>
    <m/>
    <m/>
    <m/>
    <m/>
    <m/>
    <m/>
    <m/>
    <m/>
    <m/>
    <m/>
    <m/>
    <m/>
    <m/>
    <m/>
    <m/>
  </r>
  <r>
    <x v="703"/>
    <d v="2023-12-25T00:00:00"/>
    <s v="Week49"/>
    <d v="2023-12-01T00:00:00"/>
    <s v="DRY2300556"/>
    <s v="AUS"/>
    <s v="CPM Australia"/>
    <s v="C-Wonton"/>
    <s v="C-Wonton"/>
    <x v="23"/>
    <s v="Cooked Minced Wonton in Tray 6 pcs + Sesame Sauce"/>
    <s v="082SK9U16006P00001"/>
    <s v="117*2tray*8in"/>
    <n v="16"/>
    <n v="6"/>
    <n v="8.1300000000000001E-3"/>
    <s v="BK"/>
    <s v="Salt"/>
    <s v=" Sesame 15g"/>
    <n v="400"/>
    <m/>
    <n v="404.5"/>
    <n v="4.5"/>
    <n v="0"/>
    <m/>
    <n v="1"/>
    <n v="6400"/>
  </r>
  <r>
    <x v="703"/>
    <d v="2023-12-12T00:00:00"/>
    <s v="Week49"/>
    <d v="2023-12-01T00:00:00"/>
    <s v="DRY2300550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650"/>
    <m/>
    <n v="650"/>
    <n v="0"/>
    <n v="0"/>
    <m/>
    <n v="1"/>
    <n v="10400"/>
  </r>
  <r>
    <x v="703"/>
    <d v="2023-12-19T00:00:00"/>
    <s v="Week49"/>
    <d v="2023-12-01T00:00:00"/>
    <s v="DRY2300551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650"/>
    <m/>
    <n v="650"/>
    <n v="0"/>
    <n v="0"/>
    <m/>
    <n v="1"/>
    <n v="10400"/>
  </r>
  <r>
    <x v="703"/>
    <d v="2023-12-19T00:00:00"/>
    <s v="Week49"/>
    <d v="2023-12-01T00:00:00"/>
    <s v="DRY2300552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2000"/>
    <m/>
    <n v="2033.25"/>
    <n v="33.25"/>
    <n v="0"/>
    <m/>
    <n v="1"/>
    <n v="32000"/>
  </r>
  <r>
    <x v="703"/>
    <d v="2023-12-15T00:00:00"/>
    <s v="Week49"/>
    <d v="2023-12-01T00:00:00"/>
    <s v="DRY2300559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800"/>
    <n v="784"/>
    <n v="16"/>
    <n v="0"/>
    <n v="0"/>
    <n v="0"/>
    <n v="6"/>
    <n v="0"/>
  </r>
  <r>
    <x v="703"/>
    <d v="2023-12-15T00:00:00"/>
    <s v="Week49"/>
    <d v="2023-12-01T00:00:00"/>
    <s v="DRY2300527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301"/>
    <n v="301"/>
    <m/>
    <n v="0"/>
    <n v="0"/>
    <n v="0"/>
    <n v="6"/>
    <n v="0"/>
  </r>
  <r>
    <x v="704"/>
    <m/>
    <s v="Week49"/>
    <d v="2023-12-01T00:00:00"/>
    <m/>
    <m/>
    <m/>
    <m/>
    <m/>
    <x v="0"/>
    <m/>
    <m/>
    <m/>
    <m/>
    <m/>
    <m/>
    <m/>
    <m/>
    <m/>
    <m/>
    <m/>
    <m/>
    <m/>
    <m/>
    <m/>
    <m/>
    <m/>
  </r>
  <r>
    <x v="705"/>
    <d v="2023-12-19T00:00:00"/>
    <s v="Week49"/>
    <d v="2023-12-01T00:00:00"/>
    <s v="DRY2300564"/>
    <s v="USA"/>
    <s v="Bellisio Foods, Inc."/>
    <s v="C-Wonton"/>
    <s v="C-Wonton ND"/>
    <x v="7"/>
    <s v="Cooked Minced Wonton No Egg"/>
    <s v="082SKBW08005P00001"/>
    <s v="145g*8"/>
    <n v="8"/>
    <n v="5"/>
    <n v="6.0000000000000001E-3"/>
    <s v="BK"/>
    <s v="Salt"/>
    <s v="Regular"/>
    <n v="5000"/>
    <m/>
    <n v="5000"/>
    <n v="0"/>
    <n v="0"/>
    <m/>
    <m/>
    <m/>
  </r>
  <r>
    <x v="705"/>
    <d v="2023-12-15T00:00:00"/>
    <s v="Week49"/>
    <d v="2023-12-01T00:00:00"/>
    <s v="DRY230055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40"/>
    <n v="440"/>
    <m/>
    <n v="0"/>
    <n v="0"/>
    <m/>
    <m/>
    <m/>
  </r>
  <r>
    <x v="705"/>
    <d v="2023-12-21T00:00:00"/>
    <s v="Week49"/>
    <d v="2023-12-01T00:00:00"/>
    <s v="DRY230056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05"/>
    <d v="2023-12-21T00:00:00"/>
    <s v="Week49"/>
    <d v="2023-12-01T00:00:00"/>
    <s v="DRY230057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05"/>
    <d v="2023-12-22T00:00:00"/>
    <s v="Week49"/>
    <d v="2023-12-01T00:00:00"/>
    <s v="DRY230057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27"/>
    <n v="427"/>
    <m/>
    <n v="0"/>
    <n v="0"/>
    <m/>
    <m/>
    <m/>
  </r>
  <r>
    <x v="705"/>
    <d v="2023-12-11T00:00:00"/>
    <s v="Week49"/>
    <d v="2023-12-01T00:00:00"/>
    <s v="ขายภายใน"/>
    <s v="MTFS"/>
    <s v="ซีพีเอฟ เทรดดิ้ง"/>
    <s v="R-Wonton"/>
    <s v="R-Wonton"/>
    <x v="29"/>
    <s v="เกี๊ยวกุ้งดับเบิ้ลชีสพร้อมปรุงCP 12x240g"/>
    <s v="082ID3Q12020P00001"/>
    <s v="240g*12in"/>
    <n v="12"/>
    <n v="20"/>
    <n v="6.0000000000000001E-3"/>
    <s v="BK"/>
    <s v="STPP"/>
    <m/>
    <n v="380"/>
    <n v="380"/>
    <m/>
    <n v="0"/>
    <n v="0"/>
    <n v="0"/>
    <m/>
    <n v="0"/>
  </r>
  <r>
    <x v="705"/>
    <d v="2023-12-11T00:00:00"/>
    <s v="Week49"/>
    <d v="2023-12-01T00:00:00"/>
    <s v="ขายภายใน"/>
    <s v="MTFS"/>
    <s v="ซีพีเอฟ เทรดดิ้ง"/>
    <s v="R-Wonton"/>
    <s v="R-Wonton"/>
    <x v="29"/>
    <s v="เกี๊ยวกุ้งดับเบิ้ลชีสพร้อมปรุง 96 กรัม x12แพค"/>
    <s v="082ID3Q12008P00001"/>
    <s v="96g*12in"/>
    <n v="12"/>
    <n v="8"/>
    <n v="6.0000000000000001E-3"/>
    <s v="BK"/>
    <s v="STPP"/>
    <m/>
    <n v="300"/>
    <n v="300"/>
    <m/>
    <n v="0"/>
    <n v="0"/>
    <n v="0"/>
    <m/>
    <n v="0"/>
  </r>
  <r>
    <x v="705"/>
    <d v="2023-12-18T00:00:00"/>
    <s v="Week49"/>
    <d v="2023-12-01T00:00:00"/>
    <s v="ขายภายใน"/>
    <s v="ขายภายใน"/>
    <s v="ซีพีเอฟ เทรดดิ้ง"/>
    <s v="R-Wonton"/>
    <s v="R-Wonton"/>
    <x v="4"/>
    <s v="Raw Wonton 50 pcs OISHI"/>
    <s v="082S01508600G01001"/>
    <s v="600g.*8 packs"/>
    <n v="8"/>
    <n v="50"/>
    <n v="8.1300000000000001E-3"/>
    <s v="M"/>
    <s v="STPP"/>
    <s v="-"/>
    <n v="1"/>
    <n v="1"/>
    <m/>
    <n v="0"/>
    <n v="0"/>
    <n v="0"/>
    <m/>
    <n v="0"/>
  </r>
  <r>
    <x v="705"/>
    <d v="2024-01-01T00:00:00"/>
    <s v="Week49"/>
    <d v="2023-12-01T00:00:00"/>
    <s v="ขายภายใน"/>
    <s v="ขายภายใน"/>
    <s v="ซีพีเอฟ เทรดดิ้ง"/>
    <s v="R-Wonton"/>
    <s v="R-Wonton"/>
    <x v="4"/>
    <s v="Raw Wonton 50 pcs OISHI"/>
    <s v="082S01508600G01001"/>
    <s v="600g.*8 packs"/>
    <n v="8"/>
    <n v="50"/>
    <n v="8.1300000000000001E-3"/>
    <s v="M"/>
    <s v="STPP"/>
    <s v="-"/>
    <n v="200"/>
    <n v="202"/>
    <m/>
    <n v="2"/>
    <n v="0"/>
    <n v="0"/>
    <m/>
    <n v="0"/>
  </r>
  <r>
    <x v="706"/>
    <d v="2023-12-11T00:00:00"/>
    <s v="Week49"/>
    <d v="2023-12-01T00:00:00"/>
    <s v="DRY2300528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503"/>
    <n v="503"/>
    <m/>
    <n v="0"/>
    <n v="0"/>
    <m/>
    <m/>
    <m/>
  </r>
  <r>
    <x v="706"/>
    <d v="2023-12-11T00:00:00"/>
    <s v="Week49"/>
    <d v="2023-12-01T00:00:00"/>
    <s v="DRY2300532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706"/>
    <d v="2023-12-11T00:00:00"/>
    <s v="Week49"/>
    <d v="2023-12-01T00:00:00"/>
    <s v="DRY2300535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706"/>
    <d v="2023-12-15T00:00:00"/>
    <s v="Week49"/>
    <d v="2023-12-01T00:00:00"/>
    <s v="DRY2300527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900"/>
    <n v="900"/>
    <m/>
    <n v="0"/>
    <n v="0"/>
    <m/>
    <m/>
    <m/>
  </r>
  <r>
    <x v="706"/>
    <d v="2023-12-15T00:00:00"/>
    <s v="Week49"/>
    <d v="2023-12-01T00:00:00"/>
    <s v="DRY2300522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55"/>
    <n v="55"/>
    <m/>
    <n v="0"/>
    <n v="0"/>
    <m/>
    <m/>
    <m/>
  </r>
  <r>
    <x v="706"/>
    <d v="2023-12-12T00:00:00"/>
    <s v="Week49"/>
    <d v="2023-12-01T00:00:00"/>
    <s v="DRY2300573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01"/>
    <n v="500"/>
    <m/>
    <n v="-1"/>
    <n v="40"/>
    <n v="480"/>
    <n v="2"/>
    <n v="80"/>
  </r>
  <r>
    <x v="707"/>
    <d v="2023-12-15T00:00:00"/>
    <s v="Week49"/>
    <d v="2023-12-01T00:00:00"/>
    <s v="DRY2300522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33"/>
    <n v="1233"/>
    <m/>
    <n v="0"/>
    <n v="0"/>
    <m/>
    <m/>
    <m/>
  </r>
  <r>
    <x v="707"/>
    <d v="2023-12-15T00:00:00"/>
    <s v="Week49"/>
    <d v="2023-12-01T00:00:00"/>
    <s v="DRY2300526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707"/>
    <d v="2023-12-15T00:00:00"/>
    <s v="Week49"/>
    <d v="2023-12-01T00:00:00"/>
    <s v="DRY2300529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707"/>
    <d v="2023-12-15T00:00:00"/>
    <s v="Week49"/>
    <d v="2023-12-01T00:00:00"/>
    <s v="DRY2300530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278"/>
    <n v="278"/>
    <m/>
    <n v="0"/>
    <n v="0"/>
    <m/>
    <m/>
    <m/>
  </r>
  <r>
    <x v="707"/>
    <d v="2023-12-15T00:00:00"/>
    <s v="Week49"/>
    <d v="2023-12-01T00:00:00"/>
    <s v="DRY2300527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99"/>
    <n v="99"/>
    <m/>
    <n v="0"/>
    <n v="0"/>
    <n v="0"/>
    <n v="6"/>
    <n v="0"/>
  </r>
  <r>
    <x v="707"/>
    <d v="2023-12-19T00:00:00"/>
    <s v="Week49"/>
    <d v="2023-12-01T00:00:00"/>
    <s v="DRY2300545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</r>
  <r>
    <x v="707"/>
    <d v="2023-12-20T00:00:00"/>
    <s v="Week49"/>
    <d v="2023-12-01T00:00:00"/>
    <s v="DRY2300546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150"/>
    <n v="150"/>
    <m/>
    <n v="0"/>
    <n v="0"/>
    <n v="0"/>
    <n v="6"/>
    <n v="0"/>
  </r>
  <r>
    <x v="707"/>
    <d v="2024-01-04T00:00:00"/>
    <s v="Week49"/>
    <d v="2023-12-01T00:00:00"/>
    <s v="DRY2300560"/>
    <s v="SG"/>
    <s v="CPI SINGAPORE"/>
    <s v="R-Wonton"/>
    <s v="R-Wonton"/>
    <x v="18"/>
    <s v="Raw Wonton 50 pcs (Fried Sheet)"/>
    <s v="082I93B10050P04001"/>
    <s v="600g*10inner"/>
    <n v="10"/>
    <n v="50"/>
    <n v="6.8100000000000001E-3"/>
    <s v="S"/>
    <s v="STPP"/>
    <s v="-"/>
    <n v="200"/>
    <n v="200"/>
    <m/>
    <n v="0"/>
    <n v="0"/>
    <n v="0"/>
    <m/>
    <n v="0"/>
  </r>
  <r>
    <x v="708"/>
    <d v="2023-12-14T00:00:00"/>
    <s v="Week49"/>
    <d v="2023-12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3493"/>
    <n v="3493"/>
    <m/>
    <n v="0"/>
    <n v="0"/>
    <m/>
    <m/>
    <m/>
  </r>
  <r>
    <x v="708"/>
    <m/>
    <s v="Week49"/>
    <d v="2023-12-01T00:00:00"/>
    <s v="ขายภายใน"/>
    <s v="MTFS"/>
    <s v="ซีพีเอฟ เทรดดิ้ง"/>
    <s v="C-Wonton"/>
    <s v="C-Wonton"/>
    <x v="32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400"/>
    <n v="365"/>
    <m/>
    <n v="-35"/>
    <n v="420"/>
    <m/>
    <m/>
    <m/>
  </r>
  <r>
    <x v="708"/>
    <d v="2023-12-14T00:00:00"/>
    <s v="Week49"/>
    <d v="2023-12-01T00:00:00"/>
    <s v="ขายภายใน"/>
    <s v=".7-11"/>
    <s v="ซีพีเอฟ เทรดดิ้ง"/>
    <s v="C-Wonton"/>
    <s v="C-Wonton"/>
    <x v="32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2542"/>
    <n v="2542"/>
    <m/>
    <n v="0"/>
    <n v="0"/>
    <m/>
    <m/>
    <m/>
  </r>
  <r>
    <x v="708"/>
    <d v="2023-12-27T00:00:00"/>
    <s v="Week49"/>
    <d v="2023-12-01T00:00:00"/>
    <s v="DRY2300561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1900"/>
    <n v="1590"/>
    <n v="310"/>
    <n v="0"/>
    <n v="0"/>
    <n v="0"/>
    <n v="1"/>
    <n v="0"/>
  </r>
  <r>
    <x v="709"/>
    <m/>
    <s v="Week50"/>
    <d v="2023-12-01T00:00:00"/>
    <m/>
    <m/>
    <m/>
    <m/>
    <m/>
    <x v="0"/>
    <m/>
    <m/>
    <m/>
    <m/>
    <m/>
    <m/>
    <m/>
    <m/>
    <m/>
    <m/>
    <m/>
    <m/>
    <m/>
    <m/>
    <m/>
    <m/>
    <m/>
  </r>
  <r>
    <x v="710"/>
    <d v="2023-12-22T00:00:00"/>
    <s v="Week50"/>
    <d v="2023-12-01T00:00:00"/>
    <s v="DRY2300556"/>
    <s v="AUS"/>
    <s v="CPF Australia Pty Ltd."/>
    <s v="C-Wonton"/>
    <s v="C-Wonton ND"/>
    <x v="5"/>
    <s v="Cooked Wonton ND No Egg with Pumpkin_x000a_+ Yu Choy "/>
    <s v="082SJ9U08004P00001"/>
    <s v="305g*8"/>
    <n v="8"/>
    <n v="4"/>
    <n v="7.4999999999999997E-3"/>
    <s v="HC"/>
    <s v="Salt"/>
    <s v="Regular"/>
    <n v="800"/>
    <m/>
    <n v="800"/>
    <n v="0"/>
    <n v="0"/>
    <m/>
    <m/>
    <m/>
  </r>
  <r>
    <x v="710"/>
    <d v="2024-01-09T00:00:00"/>
    <s v="Week50"/>
    <d v="2023-12-01T00:00:00"/>
    <s v="DRY2300614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710"/>
    <d v="2023-12-15T00:00:00"/>
    <s v="Week50"/>
    <d v="2023-12-01T00:00:00"/>
    <s v="DRY2300530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010"/>
    <n v="1010"/>
    <m/>
    <n v="0"/>
    <n v="0"/>
    <m/>
    <m/>
    <m/>
  </r>
  <r>
    <x v="710"/>
    <d v="2023-12-15T00:00:00"/>
    <s v="Week50"/>
    <d v="2023-12-01T00:00:00"/>
    <s v="DRY2300531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710"/>
    <d v="2023-12-15T00:00:00"/>
    <s v="Week50"/>
    <d v="2023-12-01T00:00:00"/>
    <s v="DRY2300536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777"/>
    <n v="777"/>
    <m/>
    <n v="0"/>
    <n v="0"/>
    <m/>
    <m/>
    <m/>
  </r>
  <r>
    <x v="710"/>
    <d v="2024-01-04T00:00:00"/>
    <s v="Week50"/>
    <d v="2023-12-01T00:00:00"/>
    <s v="DRY2300542"/>
    <s v="SG"/>
    <s v="CPI SINGAPORE"/>
    <s v="R-Wonton"/>
    <s v="R-Mince"/>
    <x v="9"/>
    <s v="Raw Minced Wonton 8 pcs"/>
    <s v="082ID3B18008P00001"/>
    <s v="90g*18in"/>
    <n v="18"/>
    <n v="8"/>
    <n v="5.0000000000000001E-3"/>
    <s v="BK"/>
    <s v="STPP"/>
    <s v="ซุปซอง 5g."/>
    <n v="1200"/>
    <n v="1200"/>
    <m/>
    <n v="0"/>
    <n v="0"/>
    <n v="0"/>
    <n v="2"/>
    <n v="0"/>
  </r>
  <r>
    <x v="710"/>
    <d v="2024-01-08T00:00:00"/>
    <s v="Week50"/>
    <d v="2023-12-01T00:00:00"/>
    <s v="ขายภายใน"/>
    <s v="MTFS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341"/>
    <n v="341"/>
    <m/>
    <n v="0"/>
    <n v="0"/>
    <n v="0"/>
    <m/>
    <n v="0"/>
  </r>
  <r>
    <x v="711"/>
    <d v="2023-12-21T00:00:00"/>
    <s v="Week50"/>
    <d v="2023-12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1336"/>
    <n v="1336"/>
    <m/>
    <n v="0"/>
    <n v="0"/>
    <m/>
    <m/>
    <m/>
  </r>
  <r>
    <x v="711"/>
    <d v="2023-12-15T00:00:00"/>
    <s v="Week50"/>
    <d v="2023-12-01T00:00:00"/>
    <s v="DRY2300536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511"/>
    <n v="511"/>
    <m/>
    <n v="0"/>
    <n v="0"/>
    <m/>
    <m/>
    <m/>
  </r>
  <r>
    <x v="711"/>
    <d v="2023-12-15T00:00:00"/>
    <s v="Week50"/>
    <d v="2023-12-01T00:00:00"/>
    <s v="DRY2300537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288"/>
    <m/>
    <n v="0"/>
    <n v="0"/>
    <m/>
    <m/>
    <m/>
  </r>
  <r>
    <x v="711"/>
    <d v="2023-12-15T00:00:00"/>
    <s v="Week50"/>
    <d v="2023-12-01T00:00:00"/>
    <s v="DRY2300538"/>
    <s v="USA"/>
    <s v="Bellisio Foods, Inc."/>
    <s v="C-Wonton"/>
    <s v="C-Wonton"/>
    <x v="31"/>
    <s v="Wonton Soup  (Enriched wonton sheet)"/>
    <s v="082S8BW36005P01001"/>
    <s v="147g*6c*6in"/>
    <n v="36"/>
    <n v="5"/>
    <n v="7.4999999999999997E-3"/>
    <s v="M"/>
    <s v="Salt"/>
    <s v="TYEX+CO"/>
    <n v="1288"/>
    <n v="1181"/>
    <n v="120.63888888888889"/>
    <n v="13.638888888888914"/>
    <n v="0"/>
    <m/>
    <m/>
    <m/>
  </r>
  <r>
    <x v="711"/>
    <d v="2024-01-08T00:00:00"/>
    <s v="Week50"/>
    <d v="2023-12-01T00:00:00"/>
    <s v="ขายภายใน"/>
    <s v="MTFS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309"/>
    <n v="309"/>
    <m/>
    <n v="0"/>
    <n v="0"/>
    <n v="0"/>
    <m/>
    <n v="0"/>
  </r>
  <r>
    <x v="711"/>
    <d v="2024-01-04T00:00:00"/>
    <s v="Week50"/>
    <d v="2023-12-01T00:00:00"/>
    <s v="DRY2300543"/>
    <s v="SG"/>
    <s v="CPI SINGAPORE"/>
    <s v="R-Wonton"/>
    <s v="R-Wonton"/>
    <x v="4"/>
    <s v="Raw Wonton 8 pcs"/>
    <s v="082I93B20008P00001"/>
    <s v="194g*20in"/>
    <n v="20"/>
    <n v="8"/>
    <n v="1.4999999999999999E-2"/>
    <s v="JB"/>
    <s v="STPP"/>
    <s v="ซุปซอง 5g."/>
    <n v="1000"/>
    <n v="1000"/>
    <m/>
    <n v="0"/>
    <n v="0"/>
    <n v="0"/>
    <n v="2"/>
    <n v="0"/>
  </r>
  <r>
    <x v="712"/>
    <d v="2023-12-19T00:00:00"/>
    <s v="Week50"/>
    <d v="2023-12-01T00:00:00"/>
    <s v="DRY2300552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2000"/>
    <m/>
    <n v="2000"/>
    <n v="0"/>
    <n v="0"/>
    <m/>
    <m/>
    <m/>
  </r>
  <r>
    <x v="712"/>
    <d v="2024-01-08T00:00:00"/>
    <s v="Week50"/>
    <d v="2023-12-01T00:00:00"/>
    <s v="DRY2300557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1798"/>
    <m/>
    <n v="1798.125"/>
    <n v="0.125"/>
    <n v="0"/>
    <m/>
    <m/>
    <m/>
  </r>
  <r>
    <x v="712"/>
    <d v="2023-12-22T00:00:00"/>
    <s v="Week50"/>
    <d v="2023-12-01T00:00:00"/>
    <s v="DRY230057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65"/>
    <n v="365"/>
    <m/>
    <n v="0"/>
    <n v="0"/>
    <m/>
    <m/>
    <m/>
  </r>
  <r>
    <x v="712"/>
    <d v="2023-12-22T00:00:00"/>
    <s v="Week50"/>
    <d v="2023-12-01T00:00:00"/>
    <s v="DRY230058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12"/>
    <d v="2023-12-22T00:00:00"/>
    <s v="Week50"/>
    <d v="2023-12-01T00:00:00"/>
    <s v="DRY230058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12"/>
    <d v="2023-12-22T00:00:00"/>
    <s v="Week50"/>
    <d v="2023-12-01T00:00:00"/>
    <s v="DRY230056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12"/>
    <d v="2023-12-22T00:00:00"/>
    <s v="Week50"/>
    <d v="2023-12-01T00:00:00"/>
    <s v="DRY230056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11"/>
    <n v="411"/>
    <m/>
    <n v="0"/>
    <n v="0"/>
    <m/>
    <m/>
    <m/>
  </r>
  <r>
    <x v="712"/>
    <d v="2023-12-25T00:00:00"/>
    <s v="Week50"/>
    <d v="2023-12-01T00:00:00"/>
    <s v="DRY2300574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56"/>
    <n v="556"/>
    <n v="30"/>
    <n v="30"/>
    <n v="0"/>
    <n v="0"/>
    <n v="2"/>
    <n v="0"/>
  </r>
  <r>
    <x v="713"/>
    <d v="2023-12-22T00:00:00"/>
    <s v="Week50"/>
    <d v="2023-12-01T00:00:00"/>
    <s v="DRY230056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81"/>
    <n v="381"/>
    <m/>
    <n v="0"/>
    <n v="0"/>
    <m/>
    <m/>
    <m/>
  </r>
  <r>
    <x v="713"/>
    <d v="2023-12-22T00:00:00"/>
    <s v="Week50"/>
    <d v="2023-12-01T00:00:00"/>
    <s v="DRY230058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13"/>
    <d v="2023-12-27T00:00:00"/>
    <s v="Week50"/>
    <d v="2023-12-01T00:00:00"/>
    <s v="DRY230058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13"/>
    <d v="2023-12-27T00:00:00"/>
    <s v="Week50"/>
    <d v="2023-12-01T00:00:00"/>
    <s v="DRY230058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13"/>
    <d v="2023-12-27T00:00:00"/>
    <s v="Week50"/>
    <d v="2023-12-01T00:00:00"/>
    <s v="DRY230058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00"/>
    <n v="300"/>
    <m/>
    <n v="0"/>
    <n v="0"/>
    <m/>
    <m/>
    <m/>
  </r>
  <r>
    <x v="713"/>
    <d v="2024-01-09T00:00:00"/>
    <s v="Week50"/>
    <d v="2023-12-01T00:00:00"/>
    <s v="DRY2300563"/>
    <s v="Denmark"/>
    <s v="CPF DENMARK"/>
    <s v="C-Wonton ND"/>
    <s v="Wonton ND+V"/>
    <x v="8"/>
    <s v="Cooked Wonton ND No Egg with Pumpkin _x000a_+ Vegetable  HC  3 pcs tomyam"/>
    <s v="082SJKW08003P00001"/>
    <s v="309g*8"/>
    <n v="8"/>
    <n v="3"/>
    <n v="7.4999999999999997E-3"/>
    <s v="M"/>
    <s v="Salt"/>
    <s v="TYANS+CM"/>
    <n v="3500"/>
    <m/>
    <n v="3641.75"/>
    <n v="141.75"/>
    <n v="0"/>
    <m/>
    <m/>
    <m/>
  </r>
  <r>
    <x v="713"/>
    <d v="2023-12-25T00:00:00"/>
    <s v="Week50"/>
    <d v="2023-12-01T00:00:00"/>
    <s v="DRY2300574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74"/>
    <n v="574"/>
    <m/>
    <n v="0"/>
    <n v="0"/>
    <n v="0"/>
    <n v="2"/>
    <n v="0"/>
  </r>
  <r>
    <x v="714"/>
    <d v="2023-12-18T00:00:00"/>
    <s v="Week50"/>
    <d v="2023-12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1700"/>
    <n v="1700"/>
    <m/>
    <n v="0"/>
    <n v="0"/>
    <m/>
    <n v="1"/>
    <n v="0"/>
  </r>
  <r>
    <x v="714"/>
    <d v="2023-12-19T00:00:00"/>
    <s v="Week50"/>
    <d v="2023-12-01T00:00:00"/>
    <s v="ขายภายใน"/>
    <s v=".7-11"/>
    <s v="ซีพีเอฟ เทรดดิ้ง"/>
    <s v="C-Wonton"/>
    <s v="C-Wonton"/>
    <x v="32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2928"/>
    <n v="2928"/>
    <m/>
    <n v="0"/>
    <n v="0"/>
    <m/>
    <m/>
    <m/>
  </r>
  <r>
    <x v="714"/>
    <d v="2023-12-25T00:00:00"/>
    <s v="Week50"/>
    <d v="2023-12-01T00:00:00"/>
    <s v="DRY2300574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494"/>
    <n v="494"/>
    <m/>
    <n v="0"/>
    <n v="0"/>
    <n v="0"/>
    <n v="2"/>
    <n v="0"/>
  </r>
  <r>
    <x v="715"/>
    <d v="2024-01-04T00:00:00"/>
    <s v="Week50"/>
    <d v="2023-12-01T00:00:00"/>
    <s v="DRY2300541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193"/>
    <n v="150"/>
    <n v="43"/>
    <n v="0"/>
    <n v="0"/>
    <n v="0"/>
    <n v="2"/>
    <n v="0"/>
  </r>
  <r>
    <x v="715"/>
    <d v="2023-12-20T00:00:00"/>
    <s v="Week50"/>
    <d v="2023-12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4931"/>
    <n v="4931"/>
    <m/>
    <n v="0"/>
    <n v="0"/>
    <m/>
    <m/>
    <m/>
  </r>
  <r>
    <x v="715"/>
    <d v="2023-12-19T00:00:00"/>
    <s v="Week50"/>
    <d v="2023-12-01T00:00:00"/>
    <s v="ขายภายใน"/>
    <s v=".7-11"/>
    <s v="ซีพีเอฟ เทรดดิ้ง"/>
    <s v="C-Wonton"/>
    <s v="C-Wonton"/>
    <x v="32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1965"/>
    <n v="1965"/>
    <m/>
    <n v="0"/>
    <n v="0"/>
    <m/>
    <m/>
    <m/>
  </r>
  <r>
    <x v="715"/>
    <d v="2024-01-16T00:00:00"/>
    <s v="Week50"/>
    <d v="2023-12-01T00:00:00"/>
    <s v="DRY2300617"/>
    <s v="Malay"/>
    <s v="CPM Malaysia"/>
    <s v="R-Wonton"/>
    <s v="R-Wonton"/>
    <x v="4"/>
    <s v="Raw Wonton 12 pcs"/>
    <s v="082I95I20012P02001"/>
    <s v="154g*20inner"/>
    <n v="20"/>
    <n v="12"/>
    <n v="6.8100000000000001E-3"/>
    <s v="S"/>
    <s v="STPP"/>
    <s v="ซุปซอง 5g."/>
    <n v="300"/>
    <n v="298"/>
    <n v="2"/>
    <n v="0"/>
    <n v="0"/>
    <n v="0"/>
    <n v="2"/>
    <n v="0"/>
  </r>
  <r>
    <x v="715"/>
    <d v="2024-01-04T00:00:00"/>
    <s v="Week50"/>
    <d v="2023-12-01T00:00:00"/>
    <s v="DRY2300541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892"/>
    <n v="832"/>
    <n v="60"/>
    <n v="0"/>
    <n v="0"/>
    <n v="0"/>
    <n v="2"/>
    <n v="0"/>
  </r>
  <r>
    <x v="716"/>
    <m/>
    <s v="Week51"/>
    <d v="2023-12-01T00:00:00"/>
    <m/>
    <m/>
    <m/>
    <m/>
    <m/>
    <x v="0"/>
    <m/>
    <m/>
    <m/>
    <m/>
    <m/>
    <m/>
    <m/>
    <m/>
    <m/>
    <m/>
    <m/>
    <m/>
    <m/>
    <m/>
    <m/>
    <m/>
    <m/>
  </r>
  <r>
    <x v="717"/>
    <d v="2023-12-27T00:00:00"/>
    <s v="Week51"/>
    <d v="2023-12-01T00:00:00"/>
    <s v="DRY230058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92"/>
    <n v="492"/>
    <m/>
    <n v="0"/>
    <n v="0"/>
    <m/>
    <m/>
    <m/>
  </r>
  <r>
    <x v="717"/>
    <d v="2024-01-05T00:00:00"/>
    <s v="Week51"/>
    <d v="2023-12-01T00:00:00"/>
    <s v="DRY230058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17"/>
    <d v="2024-01-05T00:00:00"/>
    <s v="Week51"/>
    <d v="2023-12-01T00:00:00"/>
    <s v="DRY230058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30"/>
    <n v="430"/>
    <m/>
    <n v="0"/>
    <n v="0"/>
    <m/>
    <m/>
    <m/>
  </r>
  <r>
    <x v="717"/>
    <d v="2023-12-21T00:00:00"/>
    <s v="Week51"/>
    <d v="2023-12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474"/>
    <n v="2474"/>
    <m/>
    <n v="0"/>
    <n v="0"/>
    <m/>
    <m/>
    <m/>
  </r>
  <r>
    <x v="717"/>
    <m/>
    <s v="Week51"/>
    <d v="2023-12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828"/>
    <n v="828"/>
    <m/>
    <n v="0"/>
    <n v="0"/>
    <m/>
    <m/>
    <m/>
  </r>
  <r>
    <x v="717"/>
    <d v="2024-01-04T00:00:00"/>
    <s v="Week51"/>
    <d v="2023-12-01T00:00:00"/>
    <s v="DRY2300541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1121"/>
    <n v="1121"/>
    <m/>
    <n v="0"/>
    <n v="0"/>
    <n v="0"/>
    <n v="2"/>
    <n v="0"/>
  </r>
  <r>
    <x v="718"/>
    <d v="2024-01-05T00:00:00"/>
    <s v="Week51"/>
    <d v="2023-12-01T00:00:00"/>
    <s v="DRY230058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62"/>
    <n v="362"/>
    <m/>
    <n v="0"/>
    <n v="0"/>
    <m/>
    <m/>
    <m/>
  </r>
  <r>
    <x v="718"/>
    <d v="2024-01-05T00:00:00"/>
    <s v="Week51"/>
    <d v="2023-12-01T00:00:00"/>
    <s v="DRY230059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18"/>
    <d v="2024-01-04T00:00:00"/>
    <s v="Week51"/>
    <d v="2023-12-01T00:00:00"/>
    <s v="DRY230058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18"/>
    <d v="2024-01-04T00:00:00"/>
    <s v="Week51"/>
    <d v="2023-12-01T00:00:00"/>
    <s v="DRY230059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18"/>
    <d v="2024-01-04T00:00:00"/>
    <s v="Week51"/>
    <d v="2023-12-01T00:00:00"/>
    <s v="DRY230059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18"/>
    <d v="2024-01-05T00:00:00"/>
    <s v="Week51"/>
    <d v="2023-12-01T00:00:00"/>
    <s v="DRY230059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27"/>
    <n v="527"/>
    <m/>
    <n v="0"/>
    <n v="0"/>
    <m/>
    <m/>
    <m/>
  </r>
  <r>
    <x v="718"/>
    <d v="2024-01-04T00:00:00"/>
    <s v="Week51"/>
    <d v="2023-12-01T00:00:00"/>
    <s v="DRY2300541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1118"/>
    <n v="1118"/>
    <m/>
    <n v="0"/>
    <n v="0"/>
    <n v="0"/>
    <n v="2"/>
    <n v="0"/>
  </r>
  <r>
    <x v="719"/>
    <m/>
    <s v="Week51"/>
    <d v="2023-12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6170"/>
    <n v="6170"/>
    <m/>
    <n v="0"/>
    <n v="0"/>
    <m/>
    <m/>
    <m/>
  </r>
  <r>
    <x v="719"/>
    <d v="2024-01-04T00:00:00"/>
    <s v="Week51"/>
    <d v="2023-12-01T00:00:00"/>
    <s v="DRY2300541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1142"/>
    <n v="1142"/>
    <m/>
    <n v="0"/>
    <n v="0"/>
    <n v="0"/>
    <n v="2"/>
    <n v="0"/>
  </r>
  <r>
    <x v="720"/>
    <d v="2023-12-25T00:00:00"/>
    <s v="Week51"/>
    <d v="2023-12-01T00:00:00"/>
    <s v="ขายภายใน"/>
    <s v="MTFS"/>
    <s v="ซีพีเอฟ เทรดดิ้ง"/>
    <s v="C-Wonton"/>
    <s v="C-Wonton"/>
    <x v="32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2500"/>
    <n v="2500"/>
    <m/>
    <n v="0"/>
    <n v="0"/>
    <m/>
    <m/>
    <m/>
  </r>
  <r>
    <x v="720"/>
    <d v="2023-12-25T00:00:00"/>
    <s v="Week51"/>
    <d v="2023-12-01T00:00:00"/>
    <s v="ขายภายใน"/>
    <s v=".7-11"/>
    <s v="ซีพีเอฟ เทรดดิ้ง"/>
    <s v="C-Wonton"/>
    <s v="C-Wonton"/>
    <x v="32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4792"/>
    <n v="4792"/>
    <m/>
    <n v="0"/>
    <n v="0"/>
    <m/>
    <m/>
    <m/>
  </r>
  <r>
    <x v="720"/>
    <d v="2024-01-04T00:00:00"/>
    <s v="Week51"/>
    <d v="2023-12-01T00:00:00"/>
    <s v="DRY2300541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724"/>
    <n v="724"/>
    <m/>
    <n v="0"/>
    <n v="0"/>
    <n v="0"/>
    <n v="2"/>
    <n v="0"/>
  </r>
  <r>
    <x v="720"/>
    <d v="2024-01-04T00:00:00"/>
    <s v="Week51"/>
    <d v="2023-12-01T00:00:00"/>
    <s v="DRY2300658"/>
    <s v="SG"/>
    <s v="CPI SINGAPORE"/>
    <s v="R-Wonton"/>
    <s v="R-Wonton"/>
    <x v="4"/>
    <s v="Raw Wonton 12 pcs with sesame"/>
    <s v="082I93B20012P02001"/>
    <s v="204g*20in"/>
    <n v="20"/>
    <n v="12"/>
    <n v="6.8100000000000001E-3"/>
    <s v="S"/>
    <s v="STPP"/>
    <s v=" sesame 30g"/>
    <n v="325"/>
    <n v="325"/>
    <m/>
    <n v="0"/>
    <n v="0"/>
    <n v="0"/>
    <n v="2"/>
    <n v="0"/>
  </r>
  <r>
    <x v="721"/>
    <d v="2024-01-05T00:00:00"/>
    <s v="Week51"/>
    <d v="2023-12-01T00:00:00"/>
    <s v="DRY230059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65"/>
    <n v="265"/>
    <m/>
    <n v="0"/>
    <n v="0"/>
    <m/>
    <m/>
    <m/>
  </r>
  <r>
    <x v="721"/>
    <d v="2024-01-05T00:00:00"/>
    <s v="Week51"/>
    <d v="2023-12-01T00:00:00"/>
    <s v="DRY230058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21"/>
    <d v="2024-01-05T00:00:00"/>
    <s v="Week51"/>
    <d v="2023-12-01T00:00:00"/>
    <s v="DRY230056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21"/>
    <d v="2024-01-11T00:00:00"/>
    <s v="Week51"/>
    <d v="2023-12-01T00:00:00"/>
    <s v="DRY230056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21"/>
    <d v="2024-01-12T00:00:00"/>
    <s v="Week51"/>
    <d v="2023-12-01T00:00:00"/>
    <s v="DRY230059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21"/>
    <d v="2024-01-12T00:00:00"/>
    <s v="Week51"/>
    <d v="2023-12-01T00:00:00"/>
    <s v="DRY230060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61"/>
    <n v="661"/>
    <m/>
    <n v="0"/>
    <n v="0"/>
    <m/>
    <m/>
    <m/>
  </r>
  <r>
    <x v="721"/>
    <d v="2024-01-04T00:00:00"/>
    <s v="Week51"/>
    <d v="2023-12-01T00:00:00"/>
    <s v="DRY2300658"/>
    <s v="SG"/>
    <s v="CPI SINGAPORE"/>
    <s v="R-Wonton"/>
    <s v="R-Wonton"/>
    <x v="4"/>
    <s v="Raw Wonton 12 pcs with sesame"/>
    <s v="082I93B20012P02001"/>
    <s v="204g*20in"/>
    <n v="20"/>
    <n v="12"/>
    <n v="6.8100000000000001E-3"/>
    <s v="S"/>
    <s v="STPP"/>
    <s v=" sesame 30g"/>
    <n v="875"/>
    <n v="867"/>
    <n v="8"/>
    <n v="0"/>
    <n v="0"/>
    <n v="0"/>
    <n v="2"/>
    <n v="0"/>
  </r>
  <r>
    <x v="722"/>
    <d v="2024-01-03T00:00:00"/>
    <s v="Week51"/>
    <d v="2023-12-01T00:00:00"/>
    <s v="DRY2300177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722"/>
    <d v="2023-12-22T00:00:00"/>
    <s v="Week51"/>
    <d v="2023-12-01T00:00:00"/>
    <s v="DRY2300556"/>
    <s v="AUS"/>
    <s v="CPF Australia Pty Ltd."/>
    <s v="C-Wonton"/>
    <s v="C-Wonton ND"/>
    <x v="5"/>
    <s v="Cooked Wonton ND No Egg with Pumpkin_x000a_+ Yu Choy "/>
    <s v="082SJ9U08004P00001"/>
    <s v="305g*8"/>
    <n v="8"/>
    <n v="4"/>
    <n v="7.4999999999999997E-3"/>
    <s v="HC"/>
    <s v="Salt"/>
    <s v="Regular"/>
    <n v="800"/>
    <m/>
    <n v="800"/>
    <n v="0"/>
    <n v="0"/>
    <m/>
    <m/>
    <m/>
  </r>
  <r>
    <x v="722"/>
    <d v="2024-01-09T00:00:00"/>
    <s v="Week51"/>
    <d v="2023-12-01T00:00:00"/>
    <s v="DRY2300614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722"/>
    <d v="2024-01-17T00:00:00"/>
    <s v="Week51"/>
    <d v="2023-12-01T00:00:00"/>
    <s v="DRY2300615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655"/>
    <n v="535"/>
    <n v="119.80555555555556"/>
    <n v="-0.19444444444445708"/>
    <n v="7"/>
    <m/>
    <m/>
    <m/>
  </r>
  <r>
    <x v="722"/>
    <d v="2024-01-08T00:00:00"/>
    <s v="Week51"/>
    <d v="2023-12-01T00:00:00"/>
    <s v="DRY2300539"/>
    <s v="UK"/>
    <s v="Westbridge Foods Limited"/>
    <s v="C-Wonton ND"/>
    <s v="Wonton ND+V"/>
    <x v="8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n v="924"/>
    <m/>
    <n v="0"/>
    <n v="0"/>
    <m/>
    <m/>
    <m/>
  </r>
  <r>
    <x v="722"/>
    <d v="2024-01-08T00:00:00"/>
    <s v="Week51"/>
    <d v="2023-12-01T00:00:00"/>
    <s v="DRY2300540"/>
    <s v="UK"/>
    <s v="Westbridge Foods Limited"/>
    <s v="C-Wonton ND"/>
    <s v="Wonton ND+V"/>
    <x v="8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n v="859"/>
    <n v="65"/>
    <n v="0"/>
    <n v="0"/>
    <m/>
    <m/>
    <m/>
  </r>
  <r>
    <x v="722"/>
    <d v="2023-12-26T00:00:00"/>
    <s v="Week51"/>
    <d v="2023-12-01T00:00:00"/>
    <s v="ขายภายใน"/>
    <s v="MTFS"/>
    <s v="ซีพีเอฟ เทรดดิ้ง"/>
    <s v="R-Wonton"/>
    <s v="R-Wonton"/>
    <x v="29"/>
    <s v="เกี๊ยวกุ้งดับเบิ้ลชีสพร้อมปรุงCP 12x240g"/>
    <s v="082ID3Q12020P00001"/>
    <s v="240g*12in"/>
    <n v="12"/>
    <n v="20"/>
    <n v="6.0000000000000001E-3"/>
    <s v="BK"/>
    <s v="STPP"/>
    <m/>
    <n v="620"/>
    <n v="620"/>
    <m/>
    <n v="0"/>
    <n v="0"/>
    <n v="0"/>
    <m/>
    <n v="0"/>
  </r>
  <r>
    <x v="722"/>
    <d v="2024-01-03T00:00:00"/>
    <s v="Week51"/>
    <d v="2023-12-01T00:00:00"/>
    <s v="ขายภายใน"/>
    <s v="MTFS"/>
    <s v="ซีพีเอฟ เทรดดิ้ง"/>
    <s v="R-Wonton"/>
    <s v="R-Wonton"/>
    <x v="29"/>
    <s v="เกี๊ยวกุ้งดับเบิ้ลชีสพร้อมปรุงCP 12x240g"/>
    <s v="082ID3Q12020P00001"/>
    <s v="240g*12in"/>
    <n v="12"/>
    <n v="20"/>
    <n v="6.0000000000000001E-3"/>
    <s v="BK"/>
    <s v="STPP"/>
    <m/>
    <n v="247"/>
    <n v="247"/>
    <m/>
    <n v="0"/>
    <n v="0"/>
    <n v="0"/>
    <m/>
    <n v="0"/>
  </r>
  <r>
    <x v="723"/>
    <m/>
    <s v="Week52"/>
    <d v="2023-12-01T00:00:00"/>
    <m/>
    <m/>
    <m/>
    <m/>
    <m/>
    <x v="0"/>
    <m/>
    <m/>
    <m/>
    <m/>
    <m/>
    <m/>
    <m/>
    <m/>
    <m/>
    <m/>
    <m/>
    <m/>
    <m/>
    <m/>
    <m/>
    <m/>
    <m/>
  </r>
  <r>
    <x v="724"/>
    <d v="2024-01-15T00:00:00"/>
    <s v="Week52"/>
    <d v="2023-12-01T00:00:00"/>
    <s v="DRY2300178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724"/>
    <d v="2024-01-15T00:00:00"/>
    <s v="Week52"/>
    <d v="2023-12-01T00:00:00"/>
    <s v="DRY2300179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724"/>
    <d v="2024-01-16T00:00:00"/>
    <s v="Week52"/>
    <d v="2023-12-01T00:00:00"/>
    <s v="DRY2300617"/>
    <s v="Malay"/>
    <s v="CPM Malaysia"/>
    <s v="C-Wonton"/>
    <s v="C-Wonton"/>
    <x v="1"/>
    <s v="Cooked Wonton No Egg  "/>
    <s v="082S85I24005P01001"/>
    <s v="145g*24"/>
    <n v="24"/>
    <n v="5"/>
    <n v="8.0000000000000002E-3"/>
    <s v="M"/>
    <s v="STPP"/>
    <s v="Regular"/>
    <n v="1000"/>
    <n v="1000"/>
    <m/>
    <n v="0"/>
    <n v="0"/>
    <m/>
    <m/>
    <m/>
  </r>
  <r>
    <x v="724"/>
    <d v="2024-01-16T00:00:00"/>
    <s v="Week52"/>
    <d v="2023-12-01T00:00:00"/>
    <s v="DRY2300617"/>
    <s v="Malay"/>
    <s v="CPM Malaysia"/>
    <s v="C-Wonton"/>
    <s v="C-Wonton"/>
    <x v="2"/>
    <s v="Cooked Wonton No Egg  TY"/>
    <s v="082S85I24005P02001"/>
    <s v="115g*24"/>
    <n v="24"/>
    <n v="5"/>
    <n v="8.0000000000000002E-3"/>
    <s v="M"/>
    <s v="STPP"/>
    <s v="TYTB3C 30G"/>
    <n v="850"/>
    <n v="850"/>
    <m/>
    <n v="0"/>
    <n v="0"/>
    <m/>
    <n v="1"/>
    <n v="0"/>
  </r>
  <r>
    <x v="724"/>
    <d v="2024-01-03T00:00:00"/>
    <s v="Week52"/>
    <d v="2023-12-01T00:00:00"/>
    <s v="ขายภายใน"/>
    <s v="MTFS"/>
    <s v="ซีพีเอฟ เทรดดิ้ง"/>
    <s v="R-Wonton"/>
    <s v="R-Wonton"/>
    <x v="29"/>
    <s v="เกี๊ยวกุ้งดับเบิ้ลชีสพร้อมปรุงCP 12x240g"/>
    <s v="082ID3Q12020P00001"/>
    <s v="240g*12in"/>
    <n v="12"/>
    <n v="20"/>
    <n v="6.0000000000000001E-3"/>
    <s v="BK"/>
    <s v="STPP"/>
    <m/>
    <n v="53"/>
    <n v="131"/>
    <m/>
    <n v="78"/>
    <n v="0"/>
    <n v="0"/>
    <m/>
    <n v="0"/>
  </r>
  <r>
    <x v="724"/>
    <d v="2024-01-03T00:00:00"/>
    <s v="Week52"/>
    <d v="2023-12-01T00:00:00"/>
    <s v="ขายภายใน"/>
    <s v="MTFS"/>
    <s v="ซีพีเอฟ เทรดดิ้ง"/>
    <s v="R-Wonton"/>
    <s v="R-Wonton"/>
    <x v="29"/>
    <s v="เกี๊ยวกุ้งดับเบิ้ลชีสพร้อมปรุง 96 กรัม x12แพค"/>
    <s v="082ID3Q12008P00001"/>
    <s v="96g*12in"/>
    <n v="12"/>
    <n v="8"/>
    <n v="6.0000000000000001E-3"/>
    <s v="BK"/>
    <s v="STPP"/>
    <m/>
    <n v="200"/>
    <n v="236"/>
    <m/>
    <n v="36"/>
    <n v="0"/>
    <n v="0"/>
    <m/>
    <n v="0"/>
  </r>
  <r>
    <x v="724"/>
    <d v="2024-01-04T00:00:00"/>
    <s v="Week52"/>
    <d v="2023-12-01T00:00:00"/>
    <s v="DRY2300541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887"/>
    <n v="887"/>
    <m/>
    <n v="0"/>
    <n v="0"/>
    <n v="0"/>
    <n v="2"/>
    <n v="0"/>
  </r>
  <r>
    <x v="725"/>
    <d v="2024-01-11T00:00:00"/>
    <s v="Week52"/>
    <d v="2023-12-01T00:00:00"/>
    <s v="DRY2300727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725"/>
    <d v="2024-01-11T00:00:00"/>
    <s v="Week52"/>
    <d v="2023-12-01T00:00:00"/>
    <s v="DRY2300728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725"/>
    <d v="2024-01-22T00:00:00"/>
    <s v="Week52"/>
    <d v="2023-12-01T00:00:00"/>
    <s v="DRY2300729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27"/>
    <n v="145.08333333333331"/>
    <n v="84.083333333333258"/>
    <n v="0"/>
    <m/>
    <m/>
    <m/>
  </r>
  <r>
    <x v="725"/>
    <d v="2024-01-04T00:00:00"/>
    <s v="Week52"/>
    <d v="2023-12-01T00:00:00"/>
    <s v="DRY2300541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859"/>
    <n v="859"/>
    <m/>
    <n v="0"/>
    <n v="0"/>
    <n v="0"/>
    <n v="2"/>
    <n v="0"/>
  </r>
  <r>
    <x v="726"/>
    <m/>
    <s v="Week52"/>
    <d v="2023-12-01T00:00:00"/>
    <m/>
    <m/>
    <m/>
    <m/>
    <m/>
    <x v="0"/>
    <s v="กิจกรรมปีใหม่"/>
    <m/>
    <m/>
    <m/>
    <m/>
    <m/>
    <m/>
    <m/>
    <m/>
    <m/>
    <m/>
    <m/>
    <m/>
    <m/>
    <m/>
    <m/>
    <m/>
  </r>
  <r>
    <x v="727"/>
    <m/>
    <s v="Week52"/>
    <d v="2023-12-01T00:00:00"/>
    <m/>
    <m/>
    <m/>
    <m/>
    <m/>
    <x v="0"/>
    <m/>
    <m/>
    <m/>
    <m/>
    <m/>
    <m/>
    <m/>
    <m/>
    <m/>
    <m/>
    <m/>
    <m/>
    <m/>
    <m/>
    <m/>
    <m/>
    <m/>
  </r>
  <r>
    <x v="728"/>
    <m/>
    <s v="Week52"/>
    <d v="2023-12-01T00:00:00"/>
    <m/>
    <m/>
    <m/>
    <m/>
    <m/>
    <x v="0"/>
    <m/>
    <m/>
    <m/>
    <m/>
    <m/>
    <m/>
    <m/>
    <m/>
    <m/>
    <m/>
    <m/>
    <m/>
    <m/>
    <m/>
    <m/>
    <m/>
    <m/>
  </r>
  <r>
    <x v="729"/>
    <m/>
    <s v="Week52"/>
    <d v="2023-12-01T00:00:00"/>
    <m/>
    <m/>
    <m/>
    <m/>
    <m/>
    <x v="0"/>
    <m/>
    <m/>
    <m/>
    <m/>
    <m/>
    <m/>
    <m/>
    <m/>
    <m/>
    <m/>
    <m/>
    <m/>
    <m/>
    <m/>
    <m/>
    <m/>
    <m/>
  </r>
  <r>
    <x v="730"/>
    <m/>
    <s v="Week52"/>
    <d v="2023-12-01T00:00:00"/>
    <m/>
    <m/>
    <m/>
    <m/>
    <m/>
    <x v="0"/>
    <m/>
    <m/>
    <m/>
    <m/>
    <m/>
    <m/>
    <m/>
    <m/>
    <m/>
    <m/>
    <m/>
    <m/>
    <m/>
    <m/>
    <m/>
    <m/>
    <m/>
  </r>
  <r>
    <x v="731"/>
    <m/>
    <s v="Week1"/>
    <d v="2024-01-01T00:00:00"/>
    <m/>
    <m/>
    <m/>
    <m/>
    <m/>
    <x v="0"/>
    <m/>
    <m/>
    <m/>
    <m/>
    <m/>
    <m/>
    <m/>
    <m/>
    <m/>
    <m/>
    <m/>
    <m/>
    <m/>
    <m/>
    <m/>
    <m/>
    <m/>
  </r>
  <r>
    <x v="732"/>
    <m/>
    <s v="Week1"/>
    <d v="2024-01-01T00:00:00"/>
    <m/>
    <m/>
    <m/>
    <m/>
    <m/>
    <x v="0"/>
    <m/>
    <m/>
    <m/>
    <m/>
    <m/>
    <m/>
    <m/>
    <m/>
    <m/>
    <m/>
    <m/>
    <m/>
    <m/>
    <m/>
    <m/>
    <m/>
    <m/>
  </r>
  <r>
    <x v="733"/>
    <d v="2023-10-08T00:00:00"/>
    <s v="Week1"/>
    <d v="2024-01-01T00:00:00"/>
    <s v="DRY2300557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901"/>
    <m/>
    <n v="901"/>
    <n v="0"/>
    <n v="0"/>
    <m/>
    <n v="1"/>
    <n v="14416"/>
  </r>
  <r>
    <x v="733"/>
    <d v="2024-01-08T00:00:00"/>
    <s v="Week1"/>
    <d v="2024-01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878"/>
    <n v="2878"/>
    <m/>
    <n v="0"/>
    <n v="0"/>
    <m/>
    <m/>
    <m/>
  </r>
  <r>
    <x v="733"/>
    <d v="2024-01-08T00:00:00"/>
    <s v="Week1"/>
    <d v="2024-01-01T00:00:00"/>
    <s v="DRY2300667"/>
    <s v="Netherlands"/>
    <s v="Westbridge Foods Limited"/>
    <s v="C-Wonton ND"/>
    <s v="Wonton ND+V"/>
    <x v="8"/>
    <s v="Cooked Wonton ND No Egg with Pumpkin _x000a_+ Vegetable 5 pcs tomyam"/>
    <s v="082SJWE24005P01001"/>
    <s v="307g*4c*6in"/>
    <n v="24"/>
    <n v="5"/>
    <n v="7.4999999999999997E-3"/>
    <s v="M"/>
    <s v="Salt"/>
    <s v="TYEX+CO"/>
    <n v="924"/>
    <n v="924"/>
    <m/>
    <n v="0"/>
    <n v="0"/>
    <m/>
    <m/>
    <m/>
  </r>
  <r>
    <x v="733"/>
    <d v="2024-01-08T00:00:00"/>
    <s v="Week1"/>
    <d v="2024-01-01T00:00:00"/>
    <s v="DRY2300541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664"/>
    <n v="664"/>
    <m/>
    <n v="0"/>
    <n v="0"/>
    <n v="0"/>
    <n v="2"/>
    <n v="0"/>
  </r>
  <r>
    <x v="734"/>
    <d v="2024-01-08T00:00:00"/>
    <s v="Week1"/>
    <d v="2024-01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5492"/>
    <n v="5492"/>
    <m/>
    <n v="0"/>
    <n v="0"/>
    <m/>
    <m/>
    <m/>
  </r>
  <r>
    <x v="734"/>
    <d v="2024-01-16T00:00:00"/>
    <s v="Week1"/>
    <d v="2024-01-01T00:00:00"/>
    <s v="DRY2300666"/>
    <s v="UK"/>
    <s v="Westbridge Foods Limited"/>
    <s v="C-Wonton ND"/>
    <s v="Wonton ND+V"/>
    <x v="8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n v="924"/>
    <m/>
    <n v="0"/>
    <n v="0"/>
    <m/>
    <m/>
    <m/>
  </r>
  <r>
    <x v="734"/>
    <d v="2024-01-08T00:00:00"/>
    <s v="Week1"/>
    <d v="2024-01-01T00:00:00"/>
    <s v="KL2300030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546"/>
    <n v="546"/>
    <m/>
    <n v="0"/>
    <n v="0"/>
    <n v="0"/>
    <n v="6"/>
    <n v="0"/>
  </r>
  <r>
    <x v="735"/>
    <d v="2023-10-08T00:00:00"/>
    <s v="Week1"/>
    <d v="2024-01-01T00:00:00"/>
    <s v="DRY2300557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599"/>
    <n v="599"/>
    <m/>
    <n v="0"/>
    <n v="0"/>
    <m/>
    <n v="1"/>
    <n v="9584"/>
  </r>
  <r>
    <x v="735"/>
    <m/>
    <s v="Week1"/>
    <d v="2024-01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1997"/>
    <n v="1997"/>
    <m/>
    <n v="0"/>
    <n v="0"/>
    <m/>
    <m/>
    <m/>
  </r>
  <r>
    <x v="735"/>
    <d v="2024-01-08T00:00:00"/>
    <s v="Week1"/>
    <d v="2024-01-01T00:00:00"/>
    <s v="KL2300030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555"/>
    <n v="555"/>
    <m/>
    <n v="0"/>
    <n v="0"/>
    <n v="0"/>
    <n v="6"/>
    <n v="0"/>
  </r>
  <r>
    <x v="736"/>
    <d v="2024-01-08T00:00:00"/>
    <s v="Week1"/>
    <d v="2024-01-01T00:00:00"/>
    <s v="DRY2300557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202"/>
    <n v="202"/>
    <m/>
    <n v="0"/>
    <n v="0"/>
    <m/>
    <m/>
    <m/>
  </r>
  <r>
    <x v="736"/>
    <d v="2024-01-15T00:00:00"/>
    <s v="Week1"/>
    <d v="2024-01-01T00:00:00"/>
    <s v="ขายภายใน"/>
    <s v="MTFS"/>
    <s v="ซีพีเอฟ เทรดดิ้ง"/>
    <s v="C-Wonton"/>
    <s v="C-Wonton"/>
    <x v="11"/>
    <s v="Cooked Wonton ND with egg V-Food"/>
    <s v="082SJ3Q12003P07001"/>
    <s v="226g*12"/>
    <n v="12"/>
    <n v="3"/>
    <n v="8.0000000000000002E-3"/>
    <s v="M"/>
    <s v="STPP"/>
    <s v="Regular"/>
    <n v="515"/>
    <n v="515"/>
    <m/>
    <n v="0"/>
    <n v="0"/>
    <m/>
    <m/>
    <m/>
  </r>
  <r>
    <x v="736"/>
    <d v="2024-01-29T00:00:00"/>
    <s v="Week1"/>
    <d v="2024-01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320"/>
    <n v="320"/>
    <m/>
    <n v="0"/>
    <n v="0"/>
    <m/>
    <n v="1"/>
    <n v="0"/>
  </r>
  <r>
    <x v="736"/>
    <d v="2024-01-08T00:00:00"/>
    <s v="Week1"/>
    <d v="2024-01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2919"/>
    <n v="2919"/>
    <m/>
    <n v="0"/>
    <n v="0"/>
    <m/>
    <m/>
    <m/>
  </r>
  <r>
    <x v="736"/>
    <d v="2024-01-18T00:00:00"/>
    <s v="Week1"/>
    <d v="2024-01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1700"/>
    <n v="1700"/>
    <m/>
    <n v="0"/>
    <n v="0"/>
    <m/>
    <n v="1"/>
    <n v="0"/>
  </r>
  <r>
    <x v="736"/>
    <d v="2024-01-08T00:00:00"/>
    <s v="Week1"/>
    <d v="2024-01-01T00:00:00"/>
    <s v="ขายภายใน"/>
    <s v=".7-11"/>
    <s v="ซีพีเอฟ เทรดดิ้ง"/>
    <s v="C-Wonton"/>
    <s v="C-Wonton"/>
    <x v="32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2030"/>
    <n v="2030"/>
    <m/>
    <n v="0"/>
    <n v="0"/>
    <m/>
    <m/>
    <m/>
  </r>
  <r>
    <x v="736"/>
    <d v="2024-01-08T00:00:00"/>
    <s v="Week1"/>
    <d v="2024-01-01T00:00:00"/>
    <s v="KL2300030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307"/>
    <n v="307"/>
    <m/>
    <n v="0"/>
    <n v="0"/>
    <n v="0"/>
    <n v="6"/>
    <n v="0"/>
  </r>
  <r>
    <x v="736"/>
    <d v="2024-02-08T00:00:00"/>
    <s v="Week1"/>
    <d v="2024-01-01T00:00:00"/>
    <s v="KL2300038"/>
    <s v="China"/>
    <s v="Charoen Pokphand Import&amp;Export Trading (Shanghai) Co., Ltd"/>
    <s v="R-Wonton"/>
    <s v="R-Wonton"/>
    <x v="10"/>
    <s v="Raw Wonton 12 pcs"/>
    <s v="082I95J20012P04001"/>
    <s v="144g*20in"/>
    <n v="20"/>
    <n v="12"/>
    <n v="6.8100000000000001E-3"/>
    <s v="S"/>
    <s v="STPP"/>
    <s v="ซุปซอง 5g."/>
    <n v="957"/>
    <n v="761"/>
    <n v="196"/>
    <n v="0"/>
    <n v="0"/>
    <n v="0"/>
    <n v="2"/>
    <n v="0"/>
  </r>
  <r>
    <x v="737"/>
    <m/>
    <s v="Week1"/>
    <d v="2024-01-01T00:00:00"/>
    <m/>
    <m/>
    <m/>
    <m/>
    <m/>
    <x v="0"/>
    <s v="เครื่องจักรเสีย"/>
    <m/>
    <m/>
    <m/>
    <m/>
    <m/>
    <m/>
    <m/>
    <m/>
    <m/>
    <m/>
    <m/>
    <m/>
    <m/>
    <m/>
    <m/>
    <m/>
  </r>
  <r>
    <x v="737"/>
    <d v="2024-01-23T00:00:00"/>
    <s v="Week1"/>
    <d v="2024-01-01T00:00:00"/>
    <s v="DRY2300670"/>
    <s v="Korea"/>
    <s v="Emart"/>
    <s v="C-Wonton"/>
    <s v="C-Wonton"/>
    <x v="20"/>
    <s v="COOKED WONTON 6 pcs."/>
    <s v="082S8EJ12012P00001"/>
    <s v="141*2tray*12in"/>
    <n v="24"/>
    <n v="6"/>
    <n v="6.1999999999999998E-3"/>
    <s v="SS"/>
    <s v="Salt"/>
    <s v=" Sesame 15g"/>
    <n v="2799"/>
    <n v="532"/>
    <n v="2342.75"/>
    <n v="75.75"/>
    <n v="0"/>
    <m/>
    <n v="1"/>
    <n v="67176"/>
  </r>
  <r>
    <x v="738"/>
    <d v="2024-01-12T00:00:00"/>
    <s v="Week2"/>
    <d v="2024-01-01T00:00:00"/>
    <s v="DRY230060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31"/>
    <n v="131"/>
    <m/>
    <n v="0"/>
    <n v="0"/>
    <m/>
    <m/>
    <m/>
  </r>
  <r>
    <x v="738"/>
    <d v="2024-01-12T00:00:00"/>
    <s v="Week2"/>
    <d v="2024-01-01T00:00:00"/>
    <s v="DRY230059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38"/>
    <d v="2024-01-12T00:00:00"/>
    <s v="Week2"/>
    <d v="2024-01-01T00:00:00"/>
    <s v="DRY230059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38"/>
    <d v="2024-01-26T00:00:00"/>
    <s v="Week2"/>
    <d v="2024-01-01T00:00:00"/>
    <s v="DRY230059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15"/>
    <n v="615"/>
    <m/>
    <n v="0"/>
    <n v="0"/>
    <m/>
    <m/>
    <m/>
  </r>
  <r>
    <x v="738"/>
    <d v="2024-01-12T00:00:00"/>
    <s v="Week2"/>
    <d v="2024-01-01T00:00:00"/>
    <s v="DRY2300614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738"/>
    <d v="2024-01-18T00:00:00"/>
    <s v="Week2"/>
    <d v="2024-01-01T00:00:00"/>
    <s v="DRY2300615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294"/>
    <n v="498"/>
    <n v="0"/>
    <n v="0"/>
    <m/>
    <m/>
    <m/>
  </r>
  <r>
    <x v="738"/>
    <d v="2024-02-08T00:00:00"/>
    <s v="Week2"/>
    <d v="2024-01-01T00:00:00"/>
    <s v="KL2300038"/>
    <s v="China"/>
    <s v="Charoen Pokphand Import&amp;Export Trading (Shanghai) Co., Ltd"/>
    <s v="R-Wonton"/>
    <s v="R-Wonton"/>
    <x v="10"/>
    <s v="Raw Wonton 12 pcs"/>
    <s v="082I95J20012P04001"/>
    <s v="144g*20in"/>
    <n v="20"/>
    <n v="12"/>
    <n v="6.8100000000000001E-3"/>
    <s v="S"/>
    <s v="STPP"/>
    <s v="ซุปซอง 5g."/>
    <n v="1282"/>
    <n v="1282"/>
    <m/>
    <n v="0"/>
    <n v="0"/>
    <n v="0"/>
    <n v="2"/>
    <n v="0"/>
  </r>
  <r>
    <x v="739"/>
    <d v="2024-02-02T00:00:00"/>
    <s v="Week2"/>
    <d v="2024-01-01T00:00:00"/>
    <s v="DRY2300678"/>
    <s v="USA"/>
    <s v="Bellisio Foods, Inc."/>
    <s v="C-Wonton"/>
    <s v="C-Wonton ND"/>
    <x v="7"/>
    <s v="Cooked Minced Wonton No Egg"/>
    <s v="082SKBW08005P00001"/>
    <s v="145g*8"/>
    <n v="8"/>
    <n v="5"/>
    <n v="6.0000000000000001E-3"/>
    <s v="BK"/>
    <s v="Salt"/>
    <s v="Regular"/>
    <n v="1400"/>
    <m/>
    <n v="1400"/>
    <n v="0"/>
    <n v="0"/>
    <m/>
    <m/>
    <m/>
  </r>
  <r>
    <x v="739"/>
    <d v="2024-02-13T00:00:00"/>
    <s v="Week2"/>
    <d v="2024-01-01T00:00:00"/>
    <s v="DRY2300725"/>
    <s v="USA"/>
    <s v="Bellisio Foods, Inc."/>
    <s v="C-Wonton"/>
    <s v="C-Wonton ND"/>
    <x v="7"/>
    <s v="Cooked Minced Wonton No Egg"/>
    <s v="082SKBW08005P00001"/>
    <s v="145g*8"/>
    <n v="8"/>
    <n v="5"/>
    <n v="6.0000000000000001E-3"/>
    <s v="BK"/>
    <s v="Salt"/>
    <s v="Regular"/>
    <n v="1400"/>
    <m/>
    <n v="1400"/>
    <n v="0"/>
    <n v="0"/>
    <m/>
    <m/>
    <m/>
  </r>
  <r>
    <x v="739"/>
    <d v="2024-02-20T00:00:00"/>
    <s v="Week2"/>
    <d v="2024-01-01T00:00:00"/>
    <s v="DRY2300726"/>
    <s v="USA"/>
    <s v="Bellisio Foods, Inc."/>
    <s v="C-Wonton"/>
    <s v="C-Wonton ND"/>
    <x v="7"/>
    <s v="Cooked Minced Wonton No Egg"/>
    <s v="082SKBW08005P00001"/>
    <s v="145g*8"/>
    <n v="8"/>
    <n v="5"/>
    <n v="6.0000000000000001E-3"/>
    <s v="BK"/>
    <s v="Salt"/>
    <s v="Regular"/>
    <n v="700"/>
    <m/>
    <n v="700"/>
    <n v="0"/>
    <n v="0"/>
    <m/>
    <m/>
    <m/>
  </r>
  <r>
    <x v="739"/>
    <d v="2024-01-26T00:00:00"/>
    <s v="Week2"/>
    <d v="2024-01-01T00:00:00"/>
    <s v="DRY230059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77"/>
    <n v="177"/>
    <m/>
    <n v="0"/>
    <n v="0"/>
    <m/>
    <m/>
    <m/>
  </r>
  <r>
    <x v="739"/>
    <d v="2024-01-26T00:00:00"/>
    <s v="Week2"/>
    <d v="2024-01-01T00:00:00"/>
    <s v="DRY230060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39"/>
    <d v="2024-01-26T00:00:00"/>
    <s v="Week2"/>
    <d v="2024-01-01T00:00:00"/>
    <s v="DRY230060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39"/>
    <d v="2024-01-26T00:00:00"/>
    <s v="Week2"/>
    <d v="2024-01-01T00:00:00"/>
    <s v="DRY230060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39"/>
    <d v="2024-01-26T00:00:00"/>
    <s v="Week2"/>
    <d v="2024-01-01T00:00:00"/>
    <s v="DRY230060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23"/>
    <n v="60"/>
    <n v="563"/>
    <n v="0"/>
    <n v="0"/>
    <m/>
    <m/>
    <m/>
  </r>
  <r>
    <x v="739"/>
    <d v="2024-02-08T00:00:00"/>
    <s v="Week2"/>
    <d v="2024-01-01T00:00:00"/>
    <s v="KL2300038"/>
    <s v="China"/>
    <s v="Charoen Pokphand Import&amp;Export Trading (Shanghai) Co., Ltd"/>
    <s v="R-Wonton"/>
    <s v="R-Wonton"/>
    <x v="10"/>
    <s v="Raw Wonton 12 pcs"/>
    <s v="082I95J20012P04001"/>
    <s v="144g*20in"/>
    <n v="20"/>
    <n v="12"/>
    <n v="6.8100000000000001E-3"/>
    <s v="S"/>
    <s v="STPP"/>
    <s v="ซุปซอง 5g."/>
    <n v="231"/>
    <n v="231"/>
    <m/>
    <n v="0"/>
    <n v="0"/>
    <n v="0"/>
    <n v="2"/>
    <n v="0"/>
  </r>
  <r>
    <x v="739"/>
    <d v="2024-02-08T00:00:00"/>
    <s v="Week2"/>
    <d v="2024-01-01T00:00:00"/>
    <s v="KL2300038"/>
    <s v="China"/>
    <s v="Charoen Pokphand Import&amp;Export Trading (Shanghai) Co., Ltd"/>
    <s v="R-Wonton"/>
    <s v="R-Wonton"/>
    <x v="10"/>
    <s v="Raw Wonton 50 pcs"/>
    <s v="082I95J08050P03001"/>
    <s v="630g*8in"/>
    <n v="8"/>
    <n v="50"/>
    <n v="6.8100000000000001E-3"/>
    <s v="S"/>
    <s v="STPP"/>
    <s v="ซุปซอง 5g."/>
    <n v="600"/>
    <n v="600"/>
    <m/>
    <n v="0"/>
    <n v="0"/>
    <n v="0"/>
    <n v="6"/>
    <n v="0"/>
  </r>
  <r>
    <x v="740"/>
    <d v="2024-02-02T00:00:00"/>
    <s v="Week2"/>
    <d v="2024-01-01T00:00:00"/>
    <s v="DRY2300678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1900"/>
    <m/>
    <n v="1900"/>
    <n v="0"/>
    <n v="0"/>
    <m/>
    <m/>
    <m/>
  </r>
  <r>
    <x v="740"/>
    <d v="2024-02-02T00:00:00"/>
    <s v="Week2"/>
    <d v="2024-01-01T00:00:00"/>
    <s v="DRY2300679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2400"/>
    <m/>
    <n v="2400"/>
    <n v="0"/>
    <n v="0"/>
    <m/>
    <m/>
    <m/>
  </r>
  <r>
    <x v="740"/>
    <d v="2024-02-13T00:00:00"/>
    <s v="Week2"/>
    <d v="2024-01-01T00:00:00"/>
    <s v="DRY2300725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1871"/>
    <m/>
    <n v="1871.375"/>
    <n v="0.375"/>
    <n v="0"/>
    <m/>
    <m/>
    <m/>
  </r>
  <r>
    <x v="740"/>
    <d v="2024-01-18T00:00:00"/>
    <s v="Week2"/>
    <d v="2024-01-01T00:00:00"/>
    <s v="DRY2300616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740"/>
    <d v="2024-01-19T00:00:00"/>
    <s v="Week2"/>
    <d v="2024-01-01T00:00:00"/>
    <s v="DRY2300688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</r>
  <r>
    <x v="740"/>
    <d v="2024-01-16T00:00:00"/>
    <s v="Week2"/>
    <d v="2024-01-01T00:00:00"/>
    <s v="DRY2300575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694"/>
    <n v="638"/>
    <n v="56"/>
    <n v="0"/>
    <n v="0"/>
    <n v="0"/>
    <n v="2"/>
    <n v="0"/>
  </r>
  <r>
    <x v="741"/>
    <d v="2024-01-26T00:00:00"/>
    <s v="Week2"/>
    <d v="2024-01-01T00:00:00"/>
    <s v="DRY2300686"/>
    <s v="CAN "/>
    <s v="Bellisio Foods Canada"/>
    <s v="C-Wonton"/>
    <s v="C-Wonton ND"/>
    <x v="3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m/>
    <m/>
    <m/>
  </r>
  <r>
    <x v="741"/>
    <d v="2024-01-19T00:00:00"/>
    <s v="Week2"/>
    <d v="2024-01-01T00:00:00"/>
    <s v="DRY2300689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</r>
  <r>
    <x v="741"/>
    <d v="2024-01-26T00:00:00"/>
    <s v="Week2"/>
    <d v="2024-01-01T00:00:00"/>
    <s v="DRY230060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69"/>
    <n v="169"/>
    <m/>
    <n v="0"/>
    <n v="0"/>
    <m/>
    <m/>
    <m/>
  </r>
  <r>
    <x v="741"/>
    <d v="2024-01-29T00:00:00"/>
    <s v="Week2"/>
    <d v="2024-01-01T00:00:00"/>
    <s v="DRY230060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41"/>
    <d v="2024-01-29T00:00:00"/>
    <s v="Week2"/>
    <d v="2024-01-01T00:00:00"/>
    <s v="DRY230060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96"/>
    <n v="696"/>
    <m/>
    <n v="0"/>
    <n v="0"/>
    <m/>
    <m/>
    <m/>
  </r>
  <r>
    <x v="741"/>
    <d v="2024-01-16T00:00:00"/>
    <s v="Week2"/>
    <d v="2024-01-01T00:00:00"/>
    <s v="DRY2300575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641"/>
    <n v="641"/>
    <m/>
    <n v="0"/>
    <n v="0"/>
    <n v="0"/>
    <n v="2"/>
    <n v="0"/>
  </r>
  <r>
    <x v="742"/>
    <d v="2024-01-26T00:00:00"/>
    <s v="Week2"/>
    <d v="2024-01-01T00:00:00"/>
    <s v="DRY2300687"/>
    <s v="CAN "/>
    <s v="Bellisio Foods Canada"/>
    <s v="C-Wonton"/>
    <s v="C-Wonton ND"/>
    <x v="3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m/>
    <m/>
    <m/>
  </r>
  <r>
    <x v="742"/>
    <d v="2024-01-25T00:00:00"/>
    <s v="Week2"/>
    <d v="2024-01-01T00:00:00"/>
    <s v="DRY2300700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742"/>
    <d v="2024-01-25T00:00:00"/>
    <s v="Week2"/>
    <d v="2024-01-01T00:00:00"/>
    <s v="DRY2300701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742"/>
    <d v="2024-01-25T00:00:00"/>
    <s v="Week2"/>
    <d v="2024-01-01T00:00:00"/>
    <s v="DRY2300702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527"/>
    <n v="527"/>
    <m/>
    <n v="0"/>
    <n v="0"/>
    <m/>
    <m/>
    <m/>
  </r>
  <r>
    <x v="742"/>
    <d v="2024-01-16T00:00:00"/>
    <s v="Week2"/>
    <d v="2024-01-01T00:00:00"/>
    <s v="DRY2300563"/>
    <s v="Denmark"/>
    <s v="CPF DENMARK"/>
    <s v="C-Wonton ND"/>
    <s v="Wonton ND+V"/>
    <x v="8"/>
    <s v="Cooked Wonton ND No Egg with Pumpkin _x000a_+ Vegetable  HC  3 pcs tomyam"/>
    <s v="082SJKW08003P00001"/>
    <s v="309g*8"/>
    <n v="8"/>
    <n v="3"/>
    <n v="7.4999999999999997E-3"/>
    <s v="M"/>
    <s v="Salt"/>
    <s v="TYANS+CM"/>
    <n v="3500"/>
    <m/>
    <n v="3500"/>
    <n v="0"/>
    <n v="0"/>
    <m/>
    <m/>
    <m/>
  </r>
  <r>
    <x v="742"/>
    <d v="2024-01-16T00:00:00"/>
    <s v="Week2"/>
    <d v="2024-01-01T00:00:00"/>
    <s v="DRY2300575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289"/>
    <n v="289"/>
    <m/>
    <n v="0"/>
    <n v="0"/>
    <n v="0"/>
    <n v="2"/>
    <n v="0"/>
  </r>
  <r>
    <x v="742"/>
    <d v="2024-01-17T00:00:00"/>
    <s v="Week2"/>
    <d v="2024-01-01T00:00:00"/>
    <s v="DRY2300665"/>
    <s v="SG"/>
    <s v="CPI SINGAPORE"/>
    <s v="R-Wonton"/>
    <s v="R-Wonton"/>
    <x v="4"/>
    <s v="Raw Wonton 12 pcs with sesame"/>
    <s v="082I93B20012P02001"/>
    <s v="204g*20in"/>
    <n v="20"/>
    <n v="12"/>
    <n v="6.8100000000000001E-3"/>
    <s v="S"/>
    <s v="STPP"/>
    <s v=" sesame 30g"/>
    <n v="424"/>
    <n v="424"/>
    <m/>
    <n v="0"/>
    <n v="0"/>
    <n v="0"/>
    <n v="2"/>
    <n v="0"/>
  </r>
  <r>
    <x v="743"/>
    <d v="2024-01-25T00:00:00"/>
    <s v="Week2"/>
    <d v="2024-01-01T00:00:00"/>
    <s v="DRY2300702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265"/>
    <n v="265"/>
    <m/>
    <n v="0"/>
    <n v="0"/>
    <m/>
    <m/>
    <m/>
  </r>
  <r>
    <x v="743"/>
    <d v="2024-01-29T00:00:00"/>
    <s v="Week2"/>
    <d v="2024-01-01T00:00:00"/>
    <s v="DRY230060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96"/>
    <n v="96"/>
    <m/>
    <n v="0"/>
    <n v="0"/>
    <m/>
    <m/>
    <m/>
  </r>
  <r>
    <x v="743"/>
    <d v="2024-01-29T00:00:00"/>
    <s v="Week2"/>
    <d v="2024-01-01T00:00:00"/>
    <s v="DRY230059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43"/>
    <d v="2024-01-30T00:00:00"/>
    <s v="Week2"/>
    <d v="2024-01-01T00:00:00"/>
    <s v="DRY230061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43"/>
    <d v="2024-01-31T00:00:00"/>
    <s v="Week2"/>
    <d v="2024-01-01T00:00:00"/>
    <s v="DRY230061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43"/>
    <d v="2024-01-31T00:00:00"/>
    <s v="Week2"/>
    <d v="2024-01-01T00:00:00"/>
    <s v="DRY230061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74"/>
    <n v="674"/>
    <m/>
    <n v="0"/>
    <n v="0"/>
    <m/>
    <m/>
    <m/>
  </r>
  <r>
    <x v="743"/>
    <d v="2024-01-17T00:00:00"/>
    <s v="Week2"/>
    <d v="2024-01-01T00:00:00"/>
    <s v="DRY2300665"/>
    <s v="SG"/>
    <s v="CPI SINGAPORE"/>
    <s v="R-Wonton"/>
    <s v="R-Wonton"/>
    <x v="4"/>
    <s v="Raw Wonton 12 pcs with sesame"/>
    <s v="082I93B20012P02001"/>
    <s v="204g*20in"/>
    <n v="20"/>
    <n v="12"/>
    <n v="6.8100000000000001E-3"/>
    <s v="S"/>
    <s v="STPP"/>
    <s v=" sesame 30g"/>
    <n v="776"/>
    <n v="772"/>
    <m/>
    <n v="-4"/>
    <n v="80"/>
    <n v="960"/>
    <n v="2"/>
    <n v="160"/>
  </r>
  <r>
    <x v="744"/>
    <m/>
    <s v="Week2"/>
    <d v="2024-01-01T00:00:00"/>
    <m/>
    <m/>
    <m/>
    <m/>
    <m/>
    <x v="0"/>
    <m/>
    <m/>
    <m/>
    <m/>
    <m/>
    <m/>
    <m/>
    <m/>
    <m/>
    <m/>
    <m/>
    <m/>
    <m/>
    <m/>
    <m/>
    <m/>
    <m/>
  </r>
  <r>
    <x v="745"/>
    <d v="2024-02-02T00:00:00"/>
    <s v="Week3"/>
    <d v="2024-01-01T00:00:00"/>
    <s v="DRY2300679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721"/>
    <n v="721"/>
    <m/>
    <n v="0"/>
    <n v="0"/>
    <m/>
    <n v="1"/>
    <n v="11536"/>
  </r>
  <r>
    <x v="745"/>
    <m/>
    <s v="Week3"/>
    <d v="2024-01-01T00:00:00"/>
    <s v="ขายภายใน"/>
    <s v=".7-11"/>
    <s v="ถ้วยขาวพิมพ์ลายใหม่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1100"/>
    <n v="1100"/>
    <m/>
    <n v="0"/>
    <n v="0"/>
    <m/>
    <m/>
    <m/>
  </r>
  <r>
    <x v="745"/>
    <d v="2024-02-01T00:00:00"/>
    <s v="Week3"/>
    <d v="2024-01-01T00:00:00"/>
    <s v="DRY2300703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745"/>
    <d v="2024-01-31T00:00:00"/>
    <s v="Week3"/>
    <d v="2024-01-01T00:00:00"/>
    <s v="DRY230061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18"/>
    <n v="118"/>
    <m/>
    <n v="0"/>
    <n v="0"/>
    <m/>
    <m/>
    <m/>
  </r>
  <r>
    <x v="745"/>
    <d v="2024-02-02T00:00:00"/>
    <s v="Week3"/>
    <d v="2024-01-01T00:00:00"/>
    <s v="DRY230060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45"/>
    <d v="2024-02-02T00:00:00"/>
    <s v="Week3"/>
    <d v="2024-01-01T00:00:00"/>
    <s v="DRY230060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45"/>
    <d v="2024-02-02T00:00:00"/>
    <s v="Week3"/>
    <d v="2024-01-01T00:00:00"/>
    <s v="DRY230063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71"/>
    <n v="171"/>
    <m/>
    <n v="0"/>
    <n v="0"/>
    <m/>
    <m/>
    <m/>
  </r>
  <r>
    <x v="745"/>
    <d v="2024-01-23T00:00:00"/>
    <s v="Week3"/>
    <d v="2024-01-01T00:00:00"/>
    <s v="DRY2300577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629"/>
    <n v="621"/>
    <n v="8.3249999999999993"/>
    <n v="0.32500000000004547"/>
    <n v="0"/>
    <n v="0"/>
    <n v="2"/>
    <n v="0"/>
  </r>
  <r>
    <x v="746"/>
    <d v="2024-01-30T00:00:00"/>
    <s v="Week3"/>
    <d v="2024-01-01T00:00:00"/>
    <s v="DRY2300692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746"/>
    <d v="2024-01-30T00:00:00"/>
    <s v="Week3"/>
    <d v="2024-01-01T00:00:00"/>
    <s v="DRY2300693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746"/>
    <d v="2024-02-13T00:00:00"/>
    <s v="Week3"/>
    <d v="2024-01-01T00:00:00"/>
    <s v="DRY2300694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606"/>
    <n v="606"/>
    <m/>
    <n v="0"/>
    <n v="0"/>
    <m/>
    <m/>
    <m/>
  </r>
  <r>
    <x v="746"/>
    <d v="2024-02-26T00:00:00"/>
    <s v="Week3"/>
    <d v="2024-01-01T00:00:00"/>
    <s v="DRY2300743"/>
    <s v="USA"/>
    <s v="Bellisio Foods, Inc."/>
    <s v="C-Wonton"/>
    <s v="C-Wonton ND"/>
    <x v="7"/>
    <s v="Cooked Minced Wonton No Egg"/>
    <s v="082SKBW08005P00001"/>
    <s v="145g*8"/>
    <n v="8"/>
    <n v="5"/>
    <n v="6.0000000000000001E-3"/>
    <s v="BK"/>
    <s v="Salt"/>
    <s v="Regular"/>
    <n v="629.75"/>
    <m/>
    <n v="629.75"/>
    <n v="0"/>
    <n v="0"/>
    <m/>
    <m/>
    <m/>
  </r>
  <r>
    <x v="746"/>
    <d v="2024-01-23T00:00:00"/>
    <s v="Week3"/>
    <d v="2024-01-01T00:00:00"/>
    <s v="DRY2300577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645"/>
    <n v="645"/>
    <m/>
    <n v="0"/>
    <n v="0"/>
    <n v="0"/>
    <n v="2"/>
    <n v="0"/>
  </r>
  <r>
    <x v="747"/>
    <d v="2024-02-02T00:00:00"/>
    <s v="Week3"/>
    <d v="2024-01-01T00:00:00"/>
    <s v="DRY2300679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479"/>
    <n v="479"/>
    <m/>
    <n v="0"/>
    <n v="0"/>
    <m/>
    <n v="1"/>
    <n v="7664"/>
  </r>
  <r>
    <x v="748"/>
    <d v="2024-02-02T00:00:00"/>
    <s v="Week3"/>
    <d v="2024-01-01T00:00:00"/>
    <s v="DRY2300678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177"/>
    <n v="177"/>
    <m/>
    <n v="0"/>
    <n v="0"/>
    <m/>
    <n v="1"/>
    <n v="2832"/>
  </r>
  <r>
    <x v="747"/>
    <d v="2024-02-13T00:00:00"/>
    <s v="Week3"/>
    <d v="2024-01-01T00:00:00"/>
    <s v="DRY2300694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682"/>
    <n v="682"/>
    <m/>
    <n v="0"/>
    <n v="0"/>
    <m/>
    <m/>
    <m/>
  </r>
  <r>
    <x v="747"/>
    <d v="2024-02-13T00:00:00"/>
    <s v="Week3"/>
    <d v="2024-01-01T00:00:00"/>
    <s v="DRY2300695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747"/>
    <d v="2024-01-22T00:00:00"/>
    <s v="Week3"/>
    <d v="2024-01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2410"/>
    <n v="2410"/>
    <m/>
    <n v="0"/>
    <n v="0"/>
    <m/>
    <m/>
    <m/>
  </r>
  <r>
    <x v="747"/>
    <d v="2024-01-23T00:00:00"/>
    <s v="Week3"/>
    <d v="2024-01-01T00:00:00"/>
    <s v="DRY2300577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350"/>
    <n v="350"/>
    <m/>
    <n v="0"/>
    <n v="0"/>
    <n v="0"/>
    <n v="2"/>
    <n v="0"/>
  </r>
  <r>
    <x v="747"/>
    <d v="2024-01-23T00:00:00"/>
    <s v="Week3"/>
    <d v="2024-01-01T00:00:00"/>
    <s v="DRY2300680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294"/>
    <n v="136"/>
    <n v="158"/>
    <n v="0"/>
    <n v="0"/>
    <n v="0"/>
    <n v="2"/>
    <n v="0"/>
  </r>
  <r>
    <x v="748"/>
    <d v="2024-02-02T00:00:00"/>
    <s v="Week3"/>
    <d v="2024-01-01T00:00:00"/>
    <s v="DRY2300678"/>
    <s v="USA"/>
    <s v="Bellisio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423"/>
    <n v="423"/>
    <m/>
    <n v="0"/>
    <n v="0"/>
    <m/>
    <n v="1"/>
    <n v="6768"/>
  </r>
  <r>
    <x v="748"/>
    <d v="2024-02-01T00:00:00"/>
    <s v="Week3"/>
    <d v="2024-01-01T00:00:00"/>
    <s v="DRY2300698"/>
    <s v="AUS"/>
    <s v="CPF Australia Pty Ltd."/>
    <s v="C-Wonton"/>
    <s v="C-Wonton ND"/>
    <x v="28"/>
    <s v="Cooked Minced Wonton Thai Spicy Noodles (Kee Mao Noodles)"/>
    <s v="082SR9U08003P02001"/>
    <s v="219g*8"/>
    <n v="8"/>
    <n v="3"/>
    <n v="8.0000000000000002E-3"/>
    <s v="BK"/>
    <s v="Salt"/>
    <s v="Kee Mao 50G."/>
    <n v="200"/>
    <m/>
    <n v="200"/>
    <n v="0"/>
    <n v="0"/>
    <m/>
    <m/>
    <m/>
  </r>
  <r>
    <x v="748"/>
    <d v="2024-02-01T00:00:00"/>
    <s v="Week3"/>
    <d v="2024-01-01T00:00:00"/>
    <s v="DRY2300699"/>
    <s v="AUS"/>
    <s v="CPF Australia Pty Ltd."/>
    <s v="C-Wonton"/>
    <s v="C-Wonton ND"/>
    <x v="28"/>
    <s v="Cooked Minced Wonton Thai Spicy Noodles (Kee Mao Noodles)"/>
    <s v="082SR9U08003P02001"/>
    <s v="219g*8"/>
    <n v="8"/>
    <n v="3"/>
    <n v="8.0000000000000002E-3"/>
    <s v="BK"/>
    <s v="Salt"/>
    <s v="Kee Mao 50G."/>
    <n v="220"/>
    <m/>
    <n v="284.25"/>
    <n v="64.25"/>
    <n v="0"/>
    <m/>
    <m/>
    <m/>
  </r>
  <r>
    <x v="748"/>
    <d v="2024-02-02T00:00:00"/>
    <s v="Week3"/>
    <d v="2024-01-01T00:00:00"/>
    <s v="DRY2300697"/>
    <s v="New Zealand"/>
    <s v="Lim Brothers"/>
    <s v="C-Wonton"/>
    <s v="C-Wonton ND"/>
    <x v="28"/>
    <s v="Cooked Minced Wonton Thai Spicy Noodles (Kee Mao Noodles)"/>
    <s v="082SRN708003P02001"/>
    <s v="219g*8"/>
    <n v="8"/>
    <n v="3"/>
    <n v="6.0000000000000001E-3"/>
    <s v="BK"/>
    <s v="Salt"/>
    <s v="Kee Mao 50G."/>
    <n v="300"/>
    <n v="172"/>
    <n v="138.875"/>
    <n v="10.875"/>
    <n v="0"/>
    <m/>
    <m/>
    <m/>
  </r>
  <r>
    <x v="748"/>
    <d v="2024-01-29T00:00:00"/>
    <s v="Week3"/>
    <d v="2024-01-01T00:00:00"/>
    <s v="DRY2300733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748"/>
    <d v="2024-01-25T00:00:00"/>
    <s v="Week3"/>
    <d v="2024-01-01T00:00:00"/>
    <s v="DRY2300696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</r>
  <r>
    <x v="748"/>
    <d v="2024-01-30T00:00:00"/>
    <s v="Week3"/>
    <d v="2024-01-01T00:00:00"/>
    <s v="DRY2300680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651"/>
    <n v="651"/>
    <m/>
    <n v="0"/>
    <n v="0"/>
    <n v="0"/>
    <n v="2"/>
    <n v="0"/>
  </r>
  <r>
    <x v="749"/>
    <d v="2024-02-01T00:00:00"/>
    <s v="Week3"/>
    <d v="2024-01-01T00:00:00"/>
    <s v="DRY2300699"/>
    <s v="AUS"/>
    <s v="CPF Australia Pty Ltd."/>
    <s v="C-Wonton"/>
    <s v="C-Wonton"/>
    <x v="23"/>
    <s v="Cooked Minced Wonton in Tray 6 pcs + Sesame Sauce"/>
    <s v="082SK9U16006P00001"/>
    <s v="117*2tray*8in"/>
    <n v="16"/>
    <n v="6"/>
    <n v="8.1300000000000001E-3"/>
    <s v="BK"/>
    <s v="Salt"/>
    <s v=" Sesame 15g"/>
    <n v="150"/>
    <n v="150"/>
    <m/>
    <n v="0"/>
    <n v="0"/>
    <m/>
    <n v="1"/>
    <n v="2400"/>
  </r>
  <r>
    <x v="749"/>
    <d v="2024-02-02T00:00:00"/>
    <s v="Week3"/>
    <d v="2024-01-01T00:00:00"/>
    <s v="DRY2300697"/>
    <s v="New Zealand"/>
    <s v="Lim Brothers"/>
    <s v="C-Wonton"/>
    <s v="C-Wonton"/>
    <x v="23"/>
    <s v="Cooked Minced Wonton in Tray 6 pcs + Sesame Sauce"/>
    <s v="082SKN716006P00001"/>
    <s v="117*2tray*8in"/>
    <n v="16"/>
    <n v="6"/>
    <n v="6.0000000000000001E-3"/>
    <s v="BK"/>
    <s v="Salt"/>
    <s v=" Sesame 15g"/>
    <n v="600"/>
    <n v="600"/>
    <n v="43.25"/>
    <n v="43.25"/>
    <n v="0"/>
    <m/>
    <n v="1"/>
    <n v="9600"/>
  </r>
  <r>
    <x v="749"/>
    <d v="2024-02-07T00:00:00"/>
    <s v="Week3"/>
    <d v="2024-01-01T00:00:00"/>
    <s v="DRY2300732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749"/>
    <d v="2024-02-14T00:00:00"/>
    <s v="Week3"/>
    <d v="2024-01-01T00:00:00"/>
    <s v="DRY2300734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749"/>
    <d v="2024-02-01T00:00:00"/>
    <s v="Week3"/>
    <d v="2024-01-01T00:00:00"/>
    <s v="DRY2300698"/>
    <s v="AUS"/>
    <s v="CPF Australia Pty Ltd."/>
    <s v="C-Wonton"/>
    <s v="C-Wonton ND"/>
    <x v="17"/>
    <s v="Cooked Minced  ND No Egg with Pumpkin_x000a_+ Yu Choy Tomyum"/>
    <s v="082SR9U08003P00001"/>
    <s v="302g*8"/>
    <n v="8"/>
    <n v="3"/>
    <n v="8.0000000000000002E-3"/>
    <s v="BK"/>
    <s v="Salt"/>
    <s v="TYEX+CO"/>
    <n v="300"/>
    <m/>
    <n v="300"/>
    <n v="0"/>
    <n v="0"/>
    <m/>
    <m/>
    <m/>
  </r>
  <r>
    <x v="749"/>
    <d v="2024-02-01T00:00:00"/>
    <s v="Week3"/>
    <d v="2024-01-01T00:00:00"/>
    <s v="DRY2300699"/>
    <s v="AUS"/>
    <s v="CPF Australia Pty Ltd."/>
    <s v="C-Wonton"/>
    <s v="C-Wonton ND"/>
    <x v="17"/>
    <s v="Cooked Minced  ND No Egg with Pumpkin_x000a_+ Yu Choy Tomyum"/>
    <s v="082SR9U08003P00001"/>
    <s v="302g*8"/>
    <n v="8"/>
    <n v="3"/>
    <n v="8.0000000000000002E-3"/>
    <s v="BK"/>
    <s v="Salt"/>
    <s v="TYEX+CO"/>
    <n v="300"/>
    <m/>
    <n v="486.625"/>
    <n v="186.625"/>
    <n v="0"/>
    <m/>
    <m/>
    <m/>
  </r>
  <r>
    <x v="749"/>
    <d v="2024-01-30T00:00:00"/>
    <s v="Week3"/>
    <d v="2024-01-01T00:00:00"/>
    <s v="DRY2300680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642"/>
    <n v="642"/>
    <m/>
    <n v="0"/>
    <n v="0"/>
    <n v="0"/>
    <n v="2"/>
    <n v="0"/>
  </r>
  <r>
    <x v="750"/>
    <d v="2024-02-02T00:00:00"/>
    <s v="Week3"/>
    <d v="2024-01-01T00:00:00"/>
    <s v="DRY230063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21"/>
    <n v="621"/>
    <m/>
    <n v="0"/>
    <n v="0"/>
    <m/>
    <m/>
    <m/>
  </r>
  <r>
    <x v="750"/>
    <d v="2024-02-02T00:00:00"/>
    <s v="Week3"/>
    <d v="2024-01-01T00:00:00"/>
    <s v="DRY230062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88"/>
    <n v="388"/>
    <m/>
    <n v="0"/>
    <n v="0"/>
    <m/>
    <m/>
    <m/>
  </r>
  <r>
    <x v="750"/>
    <d v="2024-02-01T00:00:00"/>
    <s v="Week3"/>
    <d v="2024-01-01T00:00:00"/>
    <s v="DRY2300698"/>
    <s v="AUS"/>
    <s v="CPF Australia Pty Ltd."/>
    <s v="C-Wonton"/>
    <s v="C-Wonton ND"/>
    <x v="5"/>
    <s v="Cooked Wonton ND No Egg with Pumpkin_x000a_+ Yu Choy "/>
    <s v="082SJ9U08004P00001"/>
    <s v="305g*8"/>
    <n v="8"/>
    <n v="4"/>
    <n v="7.4999999999999997E-3"/>
    <s v="HC"/>
    <s v="Salt"/>
    <s v="Regular"/>
    <n v="800"/>
    <m/>
    <n v="800"/>
    <n v="0"/>
    <n v="0"/>
    <m/>
    <m/>
    <m/>
  </r>
  <r>
    <x v="750"/>
    <d v="2024-02-01T00:00:00"/>
    <s v="Week3"/>
    <d v="2024-01-01T00:00:00"/>
    <s v="DRY2300699"/>
    <s v="AUS"/>
    <s v="CPF Australia Pty Ltd."/>
    <s v="C-Wonton"/>
    <s v="C-Wonton ND"/>
    <x v="5"/>
    <s v="Cooked Wonton ND No Egg with Pumpkin_x000a_+ Yu Choy "/>
    <s v="082SJ9U08004P00001"/>
    <s v="305g*8"/>
    <n v="8"/>
    <n v="4"/>
    <n v="7.4999999999999997E-3"/>
    <s v="HC"/>
    <s v="Salt"/>
    <s v="Regular"/>
    <n v="600"/>
    <m/>
    <n v="600"/>
    <n v="0"/>
    <n v="0"/>
    <m/>
    <m/>
    <m/>
  </r>
  <r>
    <x v="750"/>
    <d v="2024-02-02T00:00:00"/>
    <s v="Week3"/>
    <d v="2024-01-01T00:00:00"/>
    <s v="DRY2300697"/>
    <s v="New Zealand"/>
    <s v="Lim Brothers"/>
    <s v="C-Wonton"/>
    <s v="C-Wonton ND"/>
    <x v="5"/>
    <s v="Cooked Wonton ND No Egg with Pumpkin_x000a_+ Yu Choy "/>
    <s v="082SJN708004P00001"/>
    <s v="305g*8"/>
    <n v="8"/>
    <n v="4"/>
    <n v="7.4999999999999997E-3"/>
    <s v="HC"/>
    <s v="Salt"/>
    <s v="Regular"/>
    <n v="960"/>
    <m/>
    <n v="960"/>
    <n v="0"/>
    <n v="0"/>
    <m/>
    <m/>
    <m/>
  </r>
  <r>
    <x v="750"/>
    <d v="2024-02-01T00:00:00"/>
    <s v="Week3"/>
    <d v="2024-01-01T00:00:00"/>
    <s v="DRY2300704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750"/>
    <d v="2024-02-01T00:00:00"/>
    <s v="Week3"/>
    <d v="2024-01-01T00:00:00"/>
    <s v="DRY2300705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750"/>
    <d v="2024-02-02T00:00:00"/>
    <s v="Week3"/>
    <d v="2024-01-01T00:00:00"/>
    <s v="DRY2300661"/>
    <s v="SG"/>
    <s v="CPI Singapore"/>
    <s v="C-Wonton"/>
    <s v="C-Wonton ND"/>
    <x v="5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350"/>
    <n v="350"/>
    <m/>
    <n v="0"/>
    <n v="0"/>
    <m/>
    <m/>
    <m/>
  </r>
  <r>
    <x v="750"/>
    <d v="2024-02-01T00:00:00"/>
    <s v="Week3"/>
    <d v="2024-01-01T00:00:00"/>
    <s v="DRY2300699"/>
    <s v="AUS"/>
    <s v="CPF Australia Pty Ltd."/>
    <s v="C-Wonton"/>
    <s v="C-Wonton ND"/>
    <x v="27"/>
    <s v="Cooked Minced  ND No Egg with Pumpkin_x000a_+ Yu Choy Tomkha"/>
    <s v="082SR9U08003P01001"/>
    <s v="302g*8"/>
    <n v="8"/>
    <n v="3"/>
    <n v="6.0000000000000001E-3"/>
    <s v="BK"/>
    <s v="Salt"/>
    <s v="Tomkha+CM"/>
    <n v="220"/>
    <m/>
    <n v="250"/>
    <n v="30"/>
    <n v="0"/>
    <m/>
    <m/>
    <m/>
  </r>
  <r>
    <x v="750"/>
    <d v="2024-02-02T00:00:00"/>
    <s v="Week3"/>
    <d v="2024-01-01T00:00:00"/>
    <s v="DRY2300697"/>
    <s v="New Zealand"/>
    <s v="Lim Brothers"/>
    <s v="C-Wonton"/>
    <s v="C-Wonton ND"/>
    <x v="27"/>
    <s v="Cooked Minced  ND No Egg with Pumpkin_x000a_+ Yu Choy Tomkha"/>
    <s v="082SRN708003P01001"/>
    <s v="302g*8"/>
    <n v="8"/>
    <n v="3"/>
    <n v="6.0000000000000001E-3"/>
    <s v="BK"/>
    <s v="Salt"/>
    <s v="Tomkha+CM"/>
    <n v="725"/>
    <m/>
    <n v="725"/>
    <n v="0"/>
    <n v="0"/>
    <m/>
    <m/>
    <m/>
  </r>
  <r>
    <x v="750"/>
    <d v="2024-02-15T00:00:00"/>
    <s v="Week3"/>
    <d v="2024-01-01T00:00:00"/>
    <s v="DRY2300742"/>
    <s v="New Zealand"/>
    <s v="Lim Brothers"/>
    <s v="C-Wonton"/>
    <s v="C-Wonton ND"/>
    <x v="27"/>
    <s v="Cooked Minced  ND No Egg with Pumpkin_x000a_+ Yu Choy Tomkha"/>
    <s v="082SRN708003P01001"/>
    <s v="302g*8"/>
    <n v="8"/>
    <n v="3"/>
    <n v="6.0000000000000001E-3"/>
    <s v="BK"/>
    <s v="Salt"/>
    <s v="Tomkha+CM"/>
    <n v="1610"/>
    <m/>
    <n v="1655.125"/>
    <n v="45.125"/>
    <n v="0"/>
    <m/>
    <m/>
    <m/>
  </r>
  <r>
    <x v="750"/>
    <d v="2024-01-30T00:00:00"/>
    <s v="Week3"/>
    <d v="2024-01-01T00:00:00"/>
    <s v="DRY2300680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37"/>
    <n v="37"/>
    <m/>
    <n v="0"/>
    <n v="0"/>
    <n v="0"/>
    <n v="2"/>
    <n v="0"/>
  </r>
  <r>
    <x v="750"/>
    <d v="2024-01-30T00:00:00"/>
    <s v="Week3"/>
    <d v="2024-01-01T00:00:00"/>
    <s v="DRY2300681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586"/>
    <n v="586"/>
    <m/>
    <n v="0"/>
    <n v="0"/>
    <n v="0"/>
    <n v="6"/>
    <n v="0"/>
  </r>
  <r>
    <x v="751"/>
    <m/>
    <s v="Week3"/>
    <d v="2024-01-01T00:00:00"/>
    <m/>
    <m/>
    <m/>
    <m/>
    <m/>
    <x v="0"/>
    <m/>
    <m/>
    <m/>
    <m/>
    <m/>
    <m/>
    <m/>
    <m/>
    <m/>
    <m/>
    <m/>
    <m/>
    <m/>
    <m/>
    <m/>
    <m/>
    <m/>
  </r>
  <r>
    <x v="752"/>
    <d v="2024-01-31T00:00:00"/>
    <s v="Week4"/>
    <d v="2024-01-01T00:00:00"/>
    <s v="DRY2300676"/>
    <s v="USA"/>
    <s v="Bellisio Foods, Inc."/>
    <s v="C-Wonton"/>
    <s v="C-Wonton ND"/>
    <x v="3"/>
    <s v="Cooked Minced Wonton Noodle No Egg"/>
    <s v="082SRBW24005P00001"/>
    <s v="258g*4c*6in"/>
    <n v="24"/>
    <n v="5"/>
    <n v="6.0000000000000001E-3"/>
    <s v="BK"/>
    <s v="Salt"/>
    <s v="Regular"/>
    <n v="700"/>
    <n v="700"/>
    <m/>
    <n v="0"/>
    <n v="0"/>
    <m/>
    <m/>
    <m/>
  </r>
  <r>
    <x v="752"/>
    <d v="2024-02-09T00:00:00"/>
    <s v="Week4"/>
    <d v="2024-01-01T00:00:00"/>
    <s v="DRY2300677"/>
    <s v="USA"/>
    <s v="Bellisio Foods, Inc."/>
    <s v="C-Wonton"/>
    <s v="C-Wonton ND"/>
    <x v="3"/>
    <s v="Cooked Minced Wonton Noodle No Egg"/>
    <s v="082SRBW24005P00001"/>
    <s v="258g*4c*6in"/>
    <n v="24"/>
    <n v="5"/>
    <n v="6.0000000000000001E-3"/>
    <s v="BK"/>
    <s v="Salt"/>
    <s v="Regular"/>
    <n v="650"/>
    <n v="342"/>
    <n v="308"/>
    <n v="0"/>
    <n v="0"/>
    <m/>
    <m/>
    <m/>
  </r>
  <r>
    <x v="752"/>
    <d v="2024-02-02T00:00:00"/>
    <s v="Week4"/>
    <d v="2024-01-01T00:00:00"/>
    <s v="DRY230062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04"/>
    <n v="404"/>
    <m/>
    <n v="0"/>
    <n v="0"/>
    <m/>
    <m/>
    <m/>
  </r>
  <r>
    <x v="752"/>
    <d v="2024-02-02T00:00:00"/>
    <s v="Week4"/>
    <d v="2024-01-01T00:00:00"/>
    <s v="DRY230062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52"/>
    <d v="2024-02-02T00:00:00"/>
    <s v="Week4"/>
    <d v="2024-01-01T00:00:00"/>
    <s v="DRY230062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52"/>
    <d v="2024-02-05T00:00:00"/>
    <s v="Week4"/>
    <d v="2024-01-01T00:00:00"/>
    <s v="DRY230059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52"/>
    <d v="2024-02-05T00:00:00"/>
    <s v="Week4"/>
    <d v="2024-01-01T00:00:00"/>
    <s v="DRY230060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62"/>
    <n v="162"/>
    <m/>
    <n v="0"/>
    <n v="0"/>
    <m/>
    <m/>
    <m/>
  </r>
  <r>
    <x v="752"/>
    <d v="2024-01-30T00:00:00"/>
    <s v="Week4"/>
    <d v="2024-01-01T00:00:00"/>
    <s v="DRY2300681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637"/>
    <n v="637"/>
    <m/>
    <n v="0"/>
    <n v="0"/>
    <n v="0"/>
    <n v="6"/>
    <n v="0"/>
  </r>
  <r>
    <x v="753"/>
    <d v="2024-01-31T00:00:00"/>
    <s v="Week4"/>
    <d v="2024-01-01T00:00:00"/>
    <s v="DRY2300676"/>
    <s v="USA"/>
    <s v="Bellisio Foods, Inc."/>
    <s v="C-Wonton"/>
    <s v="C-Wonton"/>
    <x v="7"/>
    <s v="Cooked Minced Wonton Soup No Egg"/>
    <s v="082SKBW36005P00001"/>
    <s v="145g*6c*6"/>
    <n v="36"/>
    <n v="5"/>
    <n v="6.0000000000000001E-3"/>
    <s v="BK"/>
    <s v="Salt"/>
    <s v="Regular"/>
    <n v="450"/>
    <n v="450"/>
    <m/>
    <n v="0"/>
    <n v="0"/>
    <m/>
    <m/>
    <m/>
  </r>
  <r>
    <x v="753"/>
    <d v="2024-02-09T00:00:00"/>
    <s v="Week4"/>
    <d v="2024-01-01T00:00:00"/>
    <s v="DRY2300677"/>
    <s v="USA"/>
    <s v="Bellisio Foods, Inc."/>
    <s v="C-Wonton"/>
    <s v="C-Wonton"/>
    <x v="7"/>
    <s v="Cooked Minced Wonton Soup No Egg"/>
    <s v="082SKBW36005P00001"/>
    <s v="145g*6c*6"/>
    <n v="36"/>
    <n v="5"/>
    <n v="6.0000000000000001E-3"/>
    <s v="BK"/>
    <s v="Salt"/>
    <s v="Regular"/>
    <n v="500"/>
    <n v="500"/>
    <m/>
    <n v="0"/>
    <n v="0"/>
    <m/>
    <m/>
    <m/>
  </r>
  <r>
    <x v="753"/>
    <d v="2024-02-02T00:00:00"/>
    <s v="Week4"/>
    <d v="2024-01-01T00:00:00"/>
    <s v="DRY2300659"/>
    <s v="SG"/>
    <s v="CPI SINGAPORE"/>
    <s v="C-Wonton"/>
    <s v="C-Wonton"/>
    <x v="1"/>
    <s v="Cooked Wonton No Egg"/>
    <s v="082S83B24005P07001"/>
    <s v="145g*24"/>
    <n v="24"/>
    <n v="5"/>
    <n v="8.0000000000000002E-3"/>
    <s v="M"/>
    <s v="STPP"/>
    <s v="Regular"/>
    <n v="400"/>
    <n v="400"/>
    <m/>
    <n v="0"/>
    <n v="0"/>
    <m/>
    <m/>
    <m/>
  </r>
  <r>
    <x v="753"/>
    <d v="2024-02-02T00:00:00"/>
    <s v="Week4"/>
    <d v="2024-01-01T00:00:00"/>
    <s v="DRY2300660"/>
    <s v="SG"/>
    <s v="CPI SINGAPORE"/>
    <s v="C-Wonton"/>
    <s v="C-Wonton"/>
    <x v="2"/>
    <s v="Cooked Wonton No Egg"/>
    <s v="082S83B24005P06001"/>
    <s v="115g*24"/>
    <n v="24"/>
    <n v="5"/>
    <n v="8.0000000000000002E-3"/>
    <s v="M"/>
    <s v="STPP"/>
    <s v="TYTB3C 30G"/>
    <n v="250"/>
    <n v="250"/>
    <m/>
    <n v="0"/>
    <n v="0"/>
    <m/>
    <n v="1"/>
    <n v="0"/>
  </r>
  <r>
    <x v="753"/>
    <d v="2024-02-05T00:00:00"/>
    <s v="Week4"/>
    <d v="2024-01-01T00:00:00"/>
    <s v="DRY230060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30"/>
    <n v="630"/>
    <m/>
    <n v="0"/>
    <n v="0"/>
    <m/>
    <m/>
    <m/>
  </r>
  <r>
    <x v="753"/>
    <d v="2024-02-05T00:00:00"/>
    <s v="Week4"/>
    <d v="2024-01-01T00:00:00"/>
    <s v="DRY230062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53"/>
    <d v="2024-02-05T00:00:00"/>
    <s v="Week4"/>
    <d v="2024-01-01T00:00:00"/>
    <s v="DRY230062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53"/>
    <d v="2024-02-05T00:00:00"/>
    <s v="Week4"/>
    <d v="2024-01-01T00:00:00"/>
    <s v="DRY230062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88"/>
    <n v="288"/>
    <m/>
    <n v="0"/>
    <n v="0"/>
    <m/>
    <m/>
    <m/>
  </r>
  <r>
    <x v="753"/>
    <d v="2024-01-30T00:00:00"/>
    <s v="Week4"/>
    <d v="2024-01-01T00:00:00"/>
    <s v="DRY2300681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608"/>
    <n v="608"/>
    <m/>
    <n v="0"/>
    <n v="0"/>
    <n v="0"/>
    <n v="6"/>
    <n v="0"/>
  </r>
  <r>
    <x v="754"/>
    <d v="2024-02-05T00:00:00"/>
    <s v="Week4"/>
    <d v="2024-01-01T00:00:00"/>
    <s v="ขายภายใน"/>
    <s v=".7-11"/>
    <s v="ถ้วยขาวพิมพ์กดสีฟ้า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1017"/>
    <n v="1017"/>
    <m/>
    <n v="0"/>
    <n v="0"/>
    <m/>
    <m/>
    <m/>
  </r>
  <r>
    <x v="754"/>
    <d v="2024-02-19T00:00:00"/>
    <s v="Week4"/>
    <d v="2024-01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850"/>
    <n v="850"/>
    <m/>
    <n v="0"/>
    <n v="0"/>
    <m/>
    <n v="1"/>
    <n v="0"/>
  </r>
  <r>
    <x v="754"/>
    <d v="2024-02-01T00:00:00"/>
    <s v="Week4"/>
    <d v="2024-01-01T00:00:00"/>
    <s v="ขายภายใน"/>
    <s v="MTFS"/>
    <s v="ซีพีเอฟ เทรดดิ้ง"/>
    <s v="C-Wonton"/>
    <s v="C-Wonton"/>
    <x v="12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m/>
    <m/>
    <m/>
  </r>
  <r>
    <x v="754"/>
    <d v="2024-01-29T00:00:00"/>
    <s v="Week4"/>
    <d v="2024-01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2793"/>
    <n v="2793"/>
    <m/>
    <n v="0"/>
    <n v="0"/>
    <m/>
    <m/>
    <m/>
  </r>
  <r>
    <x v="754"/>
    <d v="2024-02-05T00:00:00"/>
    <s v="Week4"/>
    <d v="2024-01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3382"/>
    <n v="3382"/>
    <m/>
    <n v="0"/>
    <n v="0"/>
    <m/>
    <m/>
    <m/>
  </r>
  <r>
    <x v="754"/>
    <d v="2024-01-29T00:00:00"/>
    <s v="Week4"/>
    <d v="2024-01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400"/>
    <n v="400"/>
    <m/>
    <n v="0"/>
    <n v="0"/>
    <m/>
    <n v="1"/>
    <n v="0"/>
  </r>
  <r>
    <x v="754"/>
    <d v="2024-02-05T00:00:00"/>
    <s v="Week4"/>
    <d v="2024-01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823"/>
    <n v="823"/>
    <m/>
    <n v="0"/>
    <n v="0"/>
    <m/>
    <n v="1"/>
    <n v="0"/>
  </r>
  <r>
    <x v="754"/>
    <d v="2024-01-29T00:00:00"/>
    <s v="Week4"/>
    <d v="2024-01-01T00:00:00"/>
    <s v="ขายภายใน"/>
    <s v="MTFS"/>
    <s v="ซีพีเอฟ เทรดดิ้ง"/>
    <s v="C-Wonton"/>
    <s v="C-Wonton"/>
    <x v="11"/>
    <s v="Cooked Wonton ND with egg V-Food"/>
    <s v="082SJ3Q12003P07001"/>
    <s v="226g*12"/>
    <n v="12"/>
    <n v="3"/>
    <n v="8.0000000000000002E-3"/>
    <s v="M"/>
    <s v="STPP"/>
    <s v="Regular"/>
    <n v="500"/>
    <n v="500"/>
    <m/>
    <n v="0"/>
    <n v="0"/>
    <m/>
    <m/>
    <m/>
  </r>
  <r>
    <x v="754"/>
    <d v="2024-02-19T00:00:00"/>
    <s v="Week4"/>
    <d v="2024-01-01T00:00:00"/>
    <s v="ขายภายใน"/>
    <s v="MTFS"/>
    <s v="ซีพีเอฟ เทรดดิ้ง"/>
    <s v="C-Wonton"/>
    <s v="C-Wonton"/>
    <x v="11"/>
    <s v="Cooked Wonton ND with egg V-Food"/>
    <s v="082SJ3Q12003P07001"/>
    <s v="226g*12"/>
    <n v="12"/>
    <n v="3"/>
    <n v="8.0000000000000002E-3"/>
    <s v="M"/>
    <s v="STPP"/>
    <s v="Regular"/>
    <n v="541"/>
    <n v="541"/>
    <m/>
    <n v="0"/>
    <n v="0"/>
    <m/>
    <m/>
    <m/>
  </r>
  <r>
    <x v="754"/>
    <d v="2024-01-31T00:00:00"/>
    <s v="Week4"/>
    <d v="2024-01-01T00:00:00"/>
    <s v="DRY2300676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</r>
  <r>
    <x v="754"/>
    <d v="2024-02-16T00:00:00"/>
    <s v="Week4"/>
    <d v="2024-01-01T00:00:00"/>
    <s v="DRY2300677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100"/>
    <n v="100"/>
    <m/>
    <n v="0"/>
    <n v="0"/>
    <n v="0"/>
    <n v="6"/>
    <n v="0"/>
  </r>
  <r>
    <x v="754"/>
    <d v="2024-01-30T00:00:00"/>
    <s v="Week4"/>
    <d v="2024-01-01T00:00:00"/>
    <s v="DRY2300681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225"/>
    <n v="225"/>
    <m/>
    <n v="0"/>
    <n v="0"/>
    <n v="0"/>
    <n v="6"/>
    <n v="0"/>
  </r>
  <r>
    <x v="754"/>
    <d v="2024-02-02T00:00:00"/>
    <s v="Week4"/>
    <d v="2024-01-01T00:00:00"/>
    <s v="DRY2300663"/>
    <s v="SG"/>
    <s v="CPI SINGAPORE"/>
    <s v="R-Wonton"/>
    <s v="R-Mince"/>
    <x v="9"/>
    <s v="Raw Minced Wonton 8 pcs"/>
    <s v="082ID3B18008P00001"/>
    <s v="90g*18in"/>
    <n v="18"/>
    <n v="8"/>
    <n v="5.0000000000000001E-3"/>
    <s v="BK"/>
    <s v="STPP"/>
    <s v="ซุปซอง 5g."/>
    <n v="600"/>
    <n v="600"/>
    <n v="50"/>
    <n v="50"/>
    <n v="0"/>
    <n v="0"/>
    <n v="2"/>
    <n v="0"/>
  </r>
  <r>
    <x v="755"/>
    <d v="2024-01-30T00:00:00"/>
    <s v="Week4"/>
    <d v="2024-01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540"/>
    <n v="540"/>
    <m/>
    <n v="0"/>
    <n v="0"/>
    <m/>
    <m/>
    <m/>
  </r>
  <r>
    <x v="755"/>
    <d v="2024-02-12T00:00:00"/>
    <s v="Week4"/>
    <d v="2024-01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1288"/>
    <n v="1288"/>
    <m/>
    <n v="0"/>
    <n v="0"/>
    <m/>
    <m/>
    <m/>
  </r>
  <r>
    <x v="755"/>
    <d v="2024-01-29T00:00:00"/>
    <s v="Week4"/>
    <d v="2024-01-01T00:00:00"/>
    <s v="ขายภายใน"/>
    <s v="MTFS"/>
    <s v="ซีพีเอฟ เทรดดิ้ง"/>
    <s v="C-Wonton"/>
    <s v="C-Wonton"/>
    <x v="32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2456"/>
    <n v="2456"/>
    <m/>
    <n v="0"/>
    <n v="0"/>
    <m/>
    <m/>
    <m/>
  </r>
  <r>
    <x v="755"/>
    <d v="2024-02-12T00:00:00"/>
    <s v="Week4"/>
    <d v="2024-01-01T00:00:00"/>
    <s v="ขายภายใน"/>
    <s v=".7-11"/>
    <s v="ซีพีเอฟ เทรดดิ้ง"/>
    <s v="C-Wonton"/>
    <s v="C-Wonton"/>
    <x v="32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3247"/>
    <n v="3247"/>
    <m/>
    <n v="0"/>
    <n v="0"/>
    <m/>
    <m/>
    <m/>
  </r>
  <r>
    <x v="755"/>
    <d v="2024-02-02T00:00:00"/>
    <s v="Week4"/>
    <d v="2024-01-01T00:00:00"/>
    <s v="DRY2300664"/>
    <s v="SG"/>
    <s v="CPI SINGAPORE"/>
    <s v="R-Wonton"/>
    <s v="R-Wonton"/>
    <x v="4"/>
    <s v="Raw Wonton 8 pcs"/>
    <s v="082I93B20008P00001"/>
    <s v="194g*20in"/>
    <n v="20"/>
    <n v="8"/>
    <n v="1.4999999999999999E-2"/>
    <s v="JB"/>
    <s v="STPP"/>
    <s v="ซุปซอง 5g."/>
    <n v="500"/>
    <n v="500"/>
    <n v="71"/>
    <n v="71"/>
    <n v="0"/>
    <n v="0"/>
    <n v="2"/>
    <n v="0"/>
  </r>
  <r>
    <x v="755"/>
    <d v="2024-02-05T00:00:00"/>
    <s v="Week4"/>
    <d v="2024-01-01T00:00:00"/>
    <s v="DRY2300707"/>
    <s v="HK"/>
    <s v="CPM Hongkong"/>
    <s v="R-Wonton"/>
    <s v="R-Mince"/>
    <x v="9"/>
    <s v="Raw Minced Wonton 8 pcs"/>
    <s v="082ID3G18008P00001"/>
    <s v="90g*18in"/>
    <n v="18"/>
    <n v="8"/>
    <n v="6.0000000000000001E-3"/>
    <s v="BK"/>
    <s v="STPP"/>
    <s v="ซุปซอง 5g."/>
    <n v="200"/>
    <n v="200"/>
    <m/>
    <n v="0"/>
    <n v="0"/>
    <n v="0"/>
    <n v="2"/>
    <n v="0"/>
  </r>
  <r>
    <x v="755"/>
    <d v="2024-02-05T00:00:00"/>
    <s v="Week4"/>
    <d v="2024-01-01T00:00:00"/>
    <s v="DRY2300707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269"/>
    <n v="269"/>
    <m/>
    <n v="0"/>
    <n v="0"/>
    <n v="0"/>
    <n v="1"/>
    <n v="0"/>
  </r>
  <r>
    <x v="756"/>
    <d v="2024-02-05T00:00:00"/>
    <s v="Week4"/>
    <d v="2024-01-01T00:00:00"/>
    <s v="DRY230062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04"/>
    <n v="504"/>
    <m/>
    <n v="0"/>
    <n v="0"/>
    <m/>
    <m/>
    <m/>
  </r>
  <r>
    <x v="756"/>
    <d v="2024-02-05T00:00:00"/>
    <s v="Week4"/>
    <d v="2024-01-01T00:00:00"/>
    <s v="DRY230062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56"/>
    <d v="2024-02-05T00:00:00"/>
    <s v="Week4"/>
    <d v="2024-01-01T00:00:00"/>
    <s v="DRY230062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56"/>
    <d v="2024-02-05T00:00:00"/>
    <s v="Week4"/>
    <d v="2024-01-01T00:00:00"/>
    <s v="DRY230063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56"/>
    <d v="2024-02-05T00:00:00"/>
    <s v="Week4"/>
    <d v="2024-01-01T00:00:00"/>
    <s v="DRY230063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56"/>
    <d v="2024-02-05T00:00:00"/>
    <s v="Week4"/>
    <d v="2024-01-01T00:00:00"/>
    <s v="DRY230063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31"/>
    <n v="131"/>
    <m/>
    <n v="0"/>
    <n v="0"/>
    <m/>
    <m/>
    <m/>
  </r>
  <r>
    <x v="756"/>
    <d v="2024-02-05T00:00:00"/>
    <s v="Week4"/>
    <d v="2024-01-01T00:00:00"/>
    <s v="DRY2300707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1431"/>
    <n v="1431"/>
    <m/>
    <n v="0"/>
    <n v="0"/>
    <n v="0"/>
    <n v="1"/>
    <n v="0"/>
  </r>
  <r>
    <x v="757"/>
    <d v="2024-02-07T00:00:00"/>
    <s v="Week4"/>
    <d v="2024-01-01T00:00:00"/>
    <s v="DRY2300690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</r>
  <r>
    <x v="757"/>
    <d v="2024-03-06T00:00:00"/>
    <s v="Week4"/>
    <d v="2024-01-01T00:00:00"/>
    <s v="DRY2300691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</r>
  <r>
    <x v="757"/>
    <d v="2024-02-23T00:00:00"/>
    <s v="Week4"/>
    <d v="2024-01-01T00:00:00"/>
    <s v="DRY2300783"/>
    <s v="Belgium"/>
    <s v="CPF EUROPE S.A."/>
    <s v="C-Wonton ND"/>
    <s v="Wonton ND+V"/>
    <x v="5"/>
    <s v="Cooked Wonton ND No Egg with Pumpkin _x000a_+ Vegetable  HC  3 pcs"/>
    <s v="082SJ3I08003P00001"/>
    <s v="309g*8"/>
    <n v="8"/>
    <n v="3"/>
    <n v="7.4999999999999997E-3"/>
    <s v="HC"/>
    <s v="Salt"/>
    <s v="Regular"/>
    <n v="500"/>
    <m/>
    <n v="500"/>
    <n v="0"/>
    <n v="0"/>
    <m/>
    <m/>
    <m/>
  </r>
  <r>
    <x v="757"/>
    <d v="2024-02-08T00:00:00"/>
    <s v="Week4"/>
    <d v="2024-01-01T00:00:00"/>
    <s v="DRY2300740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757"/>
    <d v="2024-02-15T00:00:00"/>
    <s v="Week4"/>
    <d v="2024-01-01T00:00:00"/>
    <s v="DRY2300741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757"/>
    <d v="2024-02-15T00:00:00"/>
    <s v="Week4"/>
    <d v="2024-01-01T00:00:00"/>
    <s v="DRY2300742"/>
    <s v="New Zealand"/>
    <s v="Lim Brothers"/>
    <s v="C-Wonton"/>
    <s v="C-Wonton ND"/>
    <x v="5"/>
    <s v="Cooked Wonton ND No Egg with Pumpkin_x000a_+ Yu Choy "/>
    <s v="082SJN708004P00001"/>
    <s v="305g*8"/>
    <n v="8"/>
    <n v="4"/>
    <n v="7.4999999999999997E-3"/>
    <s v="HC"/>
    <s v="Salt"/>
    <s v="Regular"/>
    <n v="1500"/>
    <m/>
    <n v="1545.5"/>
    <n v="45.5"/>
    <n v="0"/>
    <m/>
    <m/>
    <m/>
  </r>
  <r>
    <x v="757"/>
    <d v="2024-02-02T00:00:00"/>
    <s v="Week4"/>
    <d v="2024-01-01T00:00:00"/>
    <s v="DRY2300697"/>
    <s v="New Zealand"/>
    <s v="Lim Brothers"/>
    <s v="C-Wonton"/>
    <s v="C-Wonton ND"/>
    <x v="17"/>
    <s v="Cooked Minced  ND No Egg with Pumpkin_x000a_+ Yu Choy Tomyum"/>
    <s v="082SRN708003P00001"/>
    <s v="302g*8"/>
    <n v="8"/>
    <n v="3"/>
    <n v="6.0000000000000001E-3"/>
    <s v="BK"/>
    <s v="Salt"/>
    <s v="TYA+CO"/>
    <n v="700"/>
    <m/>
    <n v="711.5"/>
    <n v="11.5"/>
    <n v="0"/>
    <m/>
    <m/>
    <m/>
  </r>
  <r>
    <x v="757"/>
    <d v="2024-02-06T00:00:00"/>
    <s v="Week4"/>
    <d v="2024-01-01T00:00:00"/>
    <s v="DRY2300578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677"/>
    <n v="677"/>
    <m/>
    <n v="0"/>
    <n v="0"/>
    <n v="0"/>
    <n v="2"/>
    <n v="0"/>
  </r>
  <r>
    <x v="758"/>
    <m/>
    <s v="Week4"/>
    <d v="2024-01-01T00:00:00"/>
    <m/>
    <m/>
    <m/>
    <m/>
    <m/>
    <x v="0"/>
    <m/>
    <m/>
    <m/>
    <m/>
    <m/>
    <m/>
    <m/>
    <m/>
    <m/>
    <m/>
    <m/>
    <m/>
    <m/>
    <m/>
    <m/>
    <m/>
    <m/>
  </r>
  <r>
    <x v="759"/>
    <d v="2024-02-05T00:00:00"/>
    <s v="Week5"/>
    <d v="2024-01-01T00:00:00"/>
    <s v="ขายภายใน"/>
    <s v=".7-11"/>
    <s v="ถ้วยขาวพิมพ์กดสีฟ้า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6111"/>
    <n v="6111"/>
    <m/>
    <n v="0"/>
    <n v="0"/>
    <m/>
    <m/>
    <m/>
  </r>
  <r>
    <x v="759"/>
    <d v="2024-02-06T00:00:00"/>
    <s v="Week5"/>
    <d v="2024-01-01T00:00:00"/>
    <s v="DRY2300578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667"/>
    <n v="667"/>
    <m/>
    <n v="0"/>
    <n v="0"/>
    <n v="0"/>
    <n v="2"/>
    <n v="0"/>
  </r>
  <r>
    <x v="760"/>
    <d v="2024-02-05T00:00:00"/>
    <s v="Week5"/>
    <d v="2024-01-01T00:00:00"/>
    <s v="DRY230063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61"/>
    <n v="661"/>
    <m/>
    <n v="0"/>
    <n v="0"/>
    <m/>
    <m/>
    <m/>
  </r>
  <r>
    <x v="760"/>
    <d v="2024-02-05T00:00:00"/>
    <s v="Week5"/>
    <d v="2024-01-01T00:00:00"/>
    <s v="DRY230062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60"/>
    <d v="2024-02-06T00:00:00"/>
    <s v="Week5"/>
    <d v="2024-01-01T00:00:00"/>
    <s v="DRY230062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60"/>
    <d v="2024-02-06T00:00:00"/>
    <s v="Week5"/>
    <d v="2024-01-01T00:00:00"/>
    <s v="DRY230062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60"/>
    <d v="2024-02-06T00:00:00"/>
    <s v="Week5"/>
    <d v="2024-01-01T00:00:00"/>
    <s v="DRY230064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60"/>
    <d v="2024-02-06T00:00:00"/>
    <s v="Week5"/>
    <d v="2024-01-01T00:00:00"/>
    <s v="DRY230061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35"/>
    <n v="435"/>
    <m/>
    <n v="0"/>
    <n v="0"/>
    <m/>
    <m/>
    <m/>
  </r>
  <r>
    <x v="760"/>
    <d v="2024-02-06T00:00:00"/>
    <s v="Week5"/>
    <d v="2024-01-01T00:00:00"/>
    <s v="DRY2300578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280"/>
    <n v="280"/>
    <m/>
    <n v="0"/>
    <n v="0"/>
    <n v="0"/>
    <n v="2"/>
    <n v="0"/>
  </r>
  <r>
    <x v="760"/>
    <d v="2024-02-09T00:00:00"/>
    <s v="Week5"/>
    <d v="2024-01-01T00:00:00"/>
    <s v="DRY2300579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364"/>
    <n v="364"/>
    <m/>
    <n v="0"/>
    <n v="0"/>
    <n v="0"/>
    <n v="2"/>
    <n v="0"/>
  </r>
  <r>
    <x v="761"/>
    <d v="2024-02-06T00:00:00"/>
    <s v="Week5"/>
    <d v="2024-01-01T00:00:00"/>
    <s v="DRY230061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57"/>
    <n v="357"/>
    <m/>
    <n v="0"/>
    <n v="0"/>
    <m/>
    <m/>
    <m/>
  </r>
  <r>
    <x v="761"/>
    <d v="2024-02-08T00:00:00"/>
    <s v="Week5"/>
    <d v="2024-01-01T00:00:00"/>
    <s v="DRY230063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61"/>
    <d v="2024-02-09T00:00:00"/>
    <s v="Week5"/>
    <d v="2024-01-01T00:00:00"/>
    <s v="DRY230063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61"/>
    <d v="2024-02-09T00:00:00"/>
    <s v="Week5"/>
    <d v="2024-01-01T00:00:00"/>
    <s v="DRY230064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61"/>
    <d v="2024-02-13T00:00:00"/>
    <s v="Week5"/>
    <d v="2024-01-01T00:00:00"/>
    <s v="DRY230064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61"/>
    <d v="2024-02-13T00:00:00"/>
    <s v="Week5"/>
    <d v="2024-01-01T00:00:00"/>
    <s v="DRY230064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02"/>
    <n v="502"/>
    <m/>
    <n v="0"/>
    <n v="0"/>
    <m/>
    <m/>
    <m/>
  </r>
  <r>
    <x v="761"/>
    <d v="2024-02-09T00:00:00"/>
    <s v="Week5"/>
    <d v="2024-01-01T00:00:00"/>
    <s v="DRY2300579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649"/>
    <n v="649"/>
    <m/>
    <n v="0"/>
    <n v="0"/>
    <n v="0"/>
    <n v="2"/>
    <n v="0"/>
  </r>
  <r>
    <x v="762"/>
    <d v="2024-02-13T00:00:00"/>
    <s v="Week5"/>
    <d v="2024-02-01T00:00:00"/>
    <s v="DRY2300725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28.625"/>
    <n v="29"/>
    <m/>
    <n v="0.375"/>
    <n v="0"/>
    <m/>
    <m/>
    <m/>
  </r>
  <r>
    <x v="762"/>
    <d v="2024-02-20T00:00:00"/>
    <s v="Week5"/>
    <d v="2024-02-01T00:00:00"/>
    <s v="DRY2300726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2400"/>
    <m/>
    <n v="2400"/>
    <n v="0"/>
    <n v="0"/>
    <m/>
    <m/>
    <m/>
  </r>
  <r>
    <x v="762"/>
    <d v="2024-02-26T00:00:00"/>
    <s v="Week5"/>
    <d v="2024-02-01T00:00:00"/>
    <s v="DRY2300743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2366"/>
    <m/>
    <n v="2366"/>
    <n v="0"/>
    <n v="0"/>
    <m/>
    <m/>
    <m/>
  </r>
  <r>
    <x v="762"/>
    <d v="2024-02-09T00:00:00"/>
    <s v="Week5"/>
    <d v="2024-02-01T00:00:00"/>
    <s v="DRY2300706"/>
    <s v="New Zealand"/>
    <s v="Lim Brothers"/>
    <s v="C-Wonton"/>
    <s v="C-Wonton ND"/>
    <x v="5"/>
    <s v="Cooked Wonton ND No Egg with Pumpkin_x000a_+ Yu Choy "/>
    <s v="082SJN7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762"/>
    <d v="2024-02-12T00:00:00"/>
    <s v="Week5"/>
    <d v="2024-02-01T00:00:00"/>
    <s v="DRY2300731"/>
    <s v="New Zealand"/>
    <s v="Lim Brothers"/>
    <s v="C-Wonton"/>
    <s v="C-Wonton ND"/>
    <x v="5"/>
    <s v="Cooked Wonton ND No Egg with Pumpkin_x000a_+ Yu Choy "/>
    <s v="082SJN736005P00001"/>
    <s v="308g*6c*6in"/>
    <n v="36"/>
    <n v="5"/>
    <n v="7.4999999999999997E-3"/>
    <s v="HC"/>
    <s v="Salt"/>
    <s v="Regular"/>
    <n v="550"/>
    <n v="550"/>
    <m/>
    <n v="0"/>
    <n v="0"/>
    <m/>
    <m/>
    <m/>
  </r>
  <r>
    <x v="762"/>
    <d v="2024-02-05T00:00:00"/>
    <s v="Week5"/>
    <d v="2024-02-01T00:00:00"/>
    <s v="DRY2300730"/>
    <s v="New Zealand"/>
    <s v="Lim Brothers"/>
    <s v="C-Wonton ND"/>
    <s v="Wonton ND+V"/>
    <x v="8"/>
    <s v="Cooked Wonton ND No Egg with Pumpkin _x000a_+ Vegetable 5 pcs tomyam"/>
    <s v="082SJN724005P00001"/>
    <s v="307g*4c*6in"/>
    <n v="24"/>
    <n v="5"/>
    <n v="7.4999999999999997E-3"/>
    <s v="M"/>
    <s v="Salt"/>
    <s v="TYEX+CO"/>
    <n v="390"/>
    <n v="390"/>
    <m/>
    <n v="0"/>
    <n v="0"/>
    <m/>
    <m/>
    <m/>
  </r>
  <r>
    <x v="762"/>
    <d v="2024-02-12T00:00:00"/>
    <s v="Week5"/>
    <d v="2024-02-01T00:00:00"/>
    <s v="DRY2300731"/>
    <s v="New Zealand"/>
    <s v="Lim Brothers"/>
    <s v="C-Wonton ND"/>
    <s v="Wonton ND+V"/>
    <x v="8"/>
    <s v="Cooked Wonton ND No Egg with Pumpkin _x000a_+ Vegetable 5 pcs tomyam"/>
    <s v="082SJN724005P00001"/>
    <s v="307g*4c*6in"/>
    <n v="24"/>
    <n v="5"/>
    <n v="7.4999999999999997E-3"/>
    <s v="M"/>
    <s v="Salt"/>
    <s v="TYEX+CO"/>
    <n v="250"/>
    <n v="247"/>
    <n v="66.125"/>
    <n v="63.125"/>
    <n v="0"/>
    <m/>
    <m/>
    <m/>
  </r>
  <r>
    <x v="762"/>
    <d v="2024-02-20T00:00:00"/>
    <s v="Week5"/>
    <d v="2024-02-01T00:00:00"/>
    <s v="DRY2300668"/>
    <s v="UK"/>
    <s v="Westbridge Foods Limited"/>
    <s v="C-Wonton ND"/>
    <s v="Wonton ND+V"/>
    <x v="8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n v="924"/>
    <m/>
    <n v="0"/>
    <n v="0"/>
    <m/>
    <m/>
    <m/>
  </r>
  <r>
    <x v="762"/>
    <d v="2024-02-09T00:00:00"/>
    <s v="Week5"/>
    <d v="2024-02-01T00:00:00"/>
    <s v="DRY2300579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611"/>
    <n v="611"/>
    <m/>
    <n v="0"/>
    <n v="0"/>
    <n v="0"/>
    <n v="2"/>
    <n v="0"/>
  </r>
  <r>
    <x v="763"/>
    <d v="2024-02-12T00:00:00"/>
    <s v="Week5"/>
    <d v="2024-02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5524"/>
    <n v="5524"/>
    <m/>
    <n v="0"/>
    <n v="0"/>
    <m/>
    <m/>
    <m/>
  </r>
  <r>
    <x v="763"/>
    <d v="2024-02-09T00:00:00"/>
    <s v="Week5"/>
    <d v="2024-02-01T00:00:00"/>
    <s v="DRY2300682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622"/>
    <n v="622"/>
    <m/>
    <n v="0"/>
    <n v="0"/>
    <n v="0"/>
    <n v="6"/>
    <n v="0"/>
  </r>
  <r>
    <x v="764"/>
    <d v="2024-02-15T00:00:00"/>
    <s v="Week5"/>
    <d v="2024-02-01T00:00:00"/>
    <s v="DRY2300742"/>
    <s v="New Zealand"/>
    <s v="Lim Brothers"/>
    <s v="C-Wonton"/>
    <s v="C-Wonton ND"/>
    <x v="28"/>
    <s v="Cooked Minced Wonton Thai Spicy Noodles (Kee Mao Noodles)"/>
    <s v="082SRN708003P02001"/>
    <s v="219g*8"/>
    <n v="8"/>
    <n v="3"/>
    <n v="6.0000000000000001E-3"/>
    <s v="BK"/>
    <s v="Salt"/>
    <s v="Kee Mao 50G."/>
    <n v="250"/>
    <n v="250"/>
    <m/>
    <n v="0"/>
    <n v="0"/>
    <m/>
    <m/>
    <m/>
  </r>
  <r>
    <x v="764"/>
    <d v="2024-02-22T00:00:00"/>
    <s v="Week5"/>
    <d v="2024-02-01T00:00:00"/>
    <s v="DRY2400001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764"/>
    <d v="2024-02-22T00:00:00"/>
    <s v="Week5"/>
    <d v="2024-02-01T00:00:00"/>
    <s v="DRY2400002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764"/>
    <d v="2024-02-29T00:00:00"/>
    <s v="Week5"/>
    <d v="2024-02-01T00:00:00"/>
    <s v="DRY2400003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764"/>
    <d v="2024-02-29T00:00:00"/>
    <s v="Week5"/>
    <d v="2024-02-01T00:00:00"/>
    <s v="DRY2400004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764"/>
    <d v="2024-03-07T00:00:00"/>
    <s v="Week5"/>
    <d v="2024-02-01T00:00:00"/>
    <s v="DRY2400005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764"/>
    <d v="2024-02-09T00:00:00"/>
    <s v="Week5"/>
    <d v="2024-02-01T00:00:00"/>
    <s v="DRY2300682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646"/>
    <n v="646"/>
    <m/>
    <n v="0"/>
    <n v="0"/>
    <n v="0"/>
    <n v="6"/>
    <n v="0"/>
  </r>
  <r>
    <x v="765"/>
    <m/>
    <s v="Week5"/>
    <d v="2024-02-01T00:00:00"/>
    <m/>
    <m/>
    <m/>
    <m/>
    <m/>
    <x v="0"/>
    <m/>
    <m/>
    <m/>
    <m/>
    <m/>
    <m/>
    <m/>
    <m/>
    <m/>
    <m/>
    <m/>
    <m/>
    <m/>
    <m/>
    <m/>
    <m/>
    <m/>
  </r>
  <r>
    <x v="766"/>
    <d v="2024-02-13T00:00:00"/>
    <s v="Week6"/>
    <d v="2024-02-01T00:00:00"/>
    <s v="DRY2300725"/>
    <s v="USA"/>
    <s v="Bellisio Foods, Inc.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600"/>
    <n v="600"/>
    <m/>
    <n v="0"/>
    <n v="0"/>
    <m/>
    <n v="1"/>
    <n v="9600"/>
  </r>
  <r>
    <x v="766"/>
    <d v="2024-02-13T00:00:00"/>
    <s v="Week6"/>
    <d v="2024-02-01T00:00:00"/>
    <s v="ขายภายใน"/>
    <s v=".7-11"/>
    <s v="ถ้วยขาวพิมพ์กดสีฟ้า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4127"/>
    <n v="4127"/>
    <m/>
    <n v="0"/>
    <n v="0"/>
    <m/>
    <m/>
    <m/>
  </r>
  <r>
    <x v="766"/>
    <d v="2024-02-23T00:00:00"/>
    <s v="Week6"/>
    <d v="2024-02-01T00:00:00"/>
    <s v="DRY2300783"/>
    <s v="Belgium"/>
    <s v="CPF EUROPE S.A."/>
    <s v="C-Wonton"/>
    <s v="C-Wonton"/>
    <x v="19"/>
    <s v="Cooked Wonton  No Egg _x000a_+ Vegetable  HC  4 pcs"/>
    <s v="082S83I08004P00001"/>
    <s v="145g*8"/>
    <n v="8"/>
    <n v="4"/>
    <n v="7.4999999999999997E-3"/>
    <s v="HC"/>
    <s v="Salt"/>
    <s v="Regular"/>
    <n v="1100"/>
    <m/>
    <n v="1103.125"/>
    <n v="3.125"/>
    <n v="0"/>
    <m/>
    <m/>
    <m/>
  </r>
  <r>
    <x v="766"/>
    <d v="2024-02-09T00:00:00"/>
    <s v="Week6"/>
    <d v="2024-02-01T00:00:00"/>
    <s v="DRY2300682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631"/>
    <n v="631"/>
    <m/>
    <n v="0"/>
    <n v="0"/>
    <n v="0"/>
    <n v="6"/>
    <n v="0"/>
  </r>
  <r>
    <x v="767"/>
    <d v="2024-02-20T00:00:00"/>
    <s v="Week6"/>
    <d v="2024-02-01T00:00:00"/>
    <s v="DRY2300726"/>
    <s v="USA"/>
    <s v="Bellisio Foods, Inc.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650"/>
    <n v="650"/>
    <m/>
    <n v="0"/>
    <n v="0"/>
    <m/>
    <n v="1"/>
    <n v="10400"/>
  </r>
  <r>
    <x v="767"/>
    <d v="2024-02-09T00:00:00"/>
    <s v="Week6"/>
    <d v="2024-02-01T00:00:00"/>
    <s v="KL2400005"/>
    <s v="China"/>
    <s v="Charoen Pokphand Import&amp;Export Trading (Shanghai) Co., Ltd"/>
    <s v="C-Wonton"/>
    <s v="C-Wonton ND"/>
    <x v="5"/>
    <s v="Cooked Wonton ND No Egg with Pumpkin _x000a_+ Vegetable 5 pcs tomyam"/>
    <s v="082SJ5J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67"/>
    <d v="2024-02-13T00:00:00"/>
    <s v="Week6"/>
    <d v="2024-02-01T00:00:00"/>
    <s v="DRY230064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90"/>
    <n v="290"/>
    <m/>
    <n v="0"/>
    <n v="0"/>
    <m/>
    <m/>
    <m/>
  </r>
  <r>
    <x v="767"/>
    <d v="2024-02-13T00:00:00"/>
    <s v="Week6"/>
    <d v="2024-02-01T00:00:00"/>
    <s v="DRY230063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67"/>
    <d v="2024-02-14T00:00:00"/>
    <s v="Week6"/>
    <d v="2024-02-01T00:00:00"/>
    <s v="DRY230065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67"/>
    <d v="2024-02-15T00:00:00"/>
    <s v="Week6"/>
    <d v="2024-02-01T00:00:00"/>
    <s v="DRY230064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09"/>
    <n v="709"/>
    <m/>
    <n v="0"/>
    <n v="0"/>
    <m/>
    <m/>
    <m/>
  </r>
  <r>
    <x v="767"/>
    <d v="2024-02-09T00:00:00"/>
    <s v="Week6"/>
    <d v="2024-02-01T00:00:00"/>
    <s v="DRY2300682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157"/>
    <n v="157"/>
    <m/>
    <n v="0"/>
    <n v="0"/>
    <n v="0"/>
    <n v="6"/>
    <n v="0"/>
  </r>
  <r>
    <x v="767"/>
    <d v="2024-02-13T00:00:00"/>
    <s v="Week6"/>
    <d v="2024-02-01T00:00:00"/>
    <s v="ขายภายใน"/>
    <s v="MTFS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850"/>
    <n v="850"/>
    <m/>
    <n v="0"/>
    <n v="0"/>
    <n v="0"/>
    <m/>
    <n v="0"/>
  </r>
  <r>
    <x v="768"/>
    <d v="2024-02-26T00:00:00"/>
    <s v="Week6"/>
    <d v="2024-02-01T00:00:00"/>
    <s v="DRY2300743"/>
    <s v="USA"/>
    <s v="Bellisio Foods, Inc.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650"/>
    <n v="645"/>
    <n v="5.25"/>
    <n v="0.25"/>
    <n v="0"/>
    <m/>
    <n v="1"/>
    <n v="10400"/>
  </r>
  <r>
    <x v="768"/>
    <d v="2024-02-15T00:00:00"/>
    <s v="Week6"/>
    <d v="2024-02-01T00:00:00"/>
    <s v="DRY230064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83"/>
    <n v="83"/>
    <m/>
    <n v="0"/>
    <n v="0"/>
    <m/>
    <m/>
    <m/>
  </r>
  <r>
    <x v="768"/>
    <d v="2024-02-15T00:00:00"/>
    <s v="Week6"/>
    <d v="2024-02-01T00:00:00"/>
    <s v="DRY230064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68"/>
    <d v="2024-02-15T00:00:00"/>
    <s v="Week6"/>
    <d v="2024-02-01T00:00:00"/>
    <s v="DRY230065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68"/>
    <d v="2024-02-16T00:00:00"/>
    <s v="Week6"/>
    <d v="2024-02-01T00:00:00"/>
    <s v="DRY230065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68"/>
    <d v="2024-02-16T00:00:00"/>
    <s v="Week6"/>
    <d v="2024-02-01T00:00:00"/>
    <s v="DRY230063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21"/>
    <n v="321"/>
    <m/>
    <n v="0"/>
    <n v="0"/>
    <m/>
    <m/>
    <m/>
  </r>
  <r>
    <x v="768"/>
    <d v="2024-02-19T00:00:00"/>
    <s v="Week6"/>
    <d v="2024-02-01T00:00:00"/>
    <s v="KL2300033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644"/>
    <n v="644"/>
    <m/>
    <n v="0"/>
    <n v="0"/>
    <n v="0"/>
    <n v="6"/>
    <n v="0"/>
  </r>
  <r>
    <x v="769"/>
    <d v="2024-02-17T00:00:00"/>
    <s v="Week6"/>
    <d v="2024-02-01T00:00:00"/>
    <s v="DRY2400104"/>
    <s v="CAN "/>
    <s v="Bellisio Foods Canada"/>
    <s v="C-Wonton"/>
    <s v="C-Wonton ND"/>
    <x v="3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m/>
    <m/>
    <m/>
  </r>
  <r>
    <x v="769"/>
    <d v="2024-02-16T00:00:00"/>
    <s v="Week6"/>
    <d v="2024-02-01T00:00:00"/>
    <s v="DRY230063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71"/>
    <n v="471"/>
    <m/>
    <n v="0"/>
    <n v="0"/>
    <m/>
    <m/>
    <m/>
  </r>
  <r>
    <x v="769"/>
    <d v="2024-02-16T00:00:00"/>
    <s v="Week6"/>
    <d v="2024-02-01T00:00:00"/>
    <s v="DRY230064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69"/>
    <d v="2024-02-20T00:00:00"/>
    <s v="Week6"/>
    <d v="2024-02-01T00:00:00"/>
    <s v="DRY230064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69"/>
    <d v="2024-02-20T00:00:00"/>
    <s v="Week6"/>
    <d v="2024-02-01T00:00:00"/>
    <s v="DRY230065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69"/>
    <d v="2024-02-20T00:00:00"/>
    <s v="Week6"/>
    <d v="2024-02-01T00:00:00"/>
    <s v="DRY230065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96"/>
    <n v="396"/>
    <m/>
    <n v="0"/>
    <n v="0"/>
    <m/>
    <m/>
    <m/>
  </r>
  <r>
    <x v="769"/>
    <d v="2024-02-19T00:00:00"/>
    <s v="Week6"/>
    <d v="2024-02-01T00:00:00"/>
    <s v="KL2300033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631"/>
    <n v="631"/>
    <m/>
    <n v="0"/>
    <n v="0"/>
    <n v="0"/>
    <n v="6"/>
    <n v="0"/>
  </r>
  <r>
    <x v="770"/>
    <d v="2024-02-15T00:00:00"/>
    <s v="Week6"/>
    <d v="2024-02-01T00:00:00"/>
    <s v="DRY2300735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770"/>
    <d v="2024-02-15T00:00:00"/>
    <s v="Week6"/>
    <d v="2024-02-01T00:00:00"/>
    <s v="DRY2300744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</r>
  <r>
    <x v="770"/>
    <d v="2024-02-15T00:00:00"/>
    <s v="Week6"/>
    <d v="2024-02-01T00:00:00"/>
    <s v="DRY2300775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</r>
  <r>
    <x v="770"/>
    <d v="2024-02-19T00:00:00"/>
    <s v="Week6"/>
    <d v="2024-02-01T00:00:00"/>
    <s v="KL2300033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33"/>
    <n v="133"/>
    <m/>
    <n v="0"/>
    <n v="0"/>
    <n v="0"/>
    <n v="6"/>
    <n v="0"/>
  </r>
  <r>
    <x v="770"/>
    <d v="2024-02-19T00:00:00"/>
    <s v="Week6"/>
    <d v="2024-02-01T00:00:00"/>
    <s v="KL2300035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552"/>
    <n v="552"/>
    <m/>
    <n v="0"/>
    <n v="0"/>
    <n v="0"/>
    <n v="6"/>
    <n v="0"/>
  </r>
  <r>
    <x v="771"/>
    <m/>
    <s v="Week6"/>
    <d v="2024-02-01T00:00:00"/>
    <m/>
    <m/>
    <m/>
    <m/>
    <m/>
    <x v="0"/>
    <m/>
    <m/>
    <m/>
    <m/>
    <m/>
    <m/>
    <m/>
    <m/>
    <m/>
    <m/>
    <m/>
    <m/>
    <m/>
    <m/>
    <m/>
    <m/>
    <m/>
  </r>
  <r>
    <x v="772"/>
    <m/>
    <s v="Week6"/>
    <d v="2024-02-01T00:00:00"/>
    <m/>
    <m/>
    <m/>
    <m/>
    <m/>
    <x v="0"/>
    <m/>
    <m/>
    <m/>
    <m/>
    <m/>
    <m/>
    <m/>
    <m/>
    <m/>
    <m/>
    <m/>
    <m/>
    <m/>
    <m/>
    <m/>
    <m/>
    <m/>
  </r>
  <r>
    <x v="773"/>
    <m/>
    <s v="Week7"/>
    <d v="2024-02-01T00:00:00"/>
    <m/>
    <m/>
    <m/>
    <m/>
    <m/>
    <x v="0"/>
    <m/>
    <m/>
    <m/>
    <m/>
    <m/>
    <m/>
    <m/>
    <m/>
    <m/>
    <m/>
    <m/>
    <m/>
    <m/>
    <m/>
    <m/>
    <m/>
    <m/>
  </r>
  <r>
    <x v="774"/>
    <d v="2024-02-26T00:00:00"/>
    <s v="Week7"/>
    <d v="2024-02-01T00:00:00"/>
    <s v="DRY2300736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774"/>
    <d v="2024-02-22T00:00:00"/>
    <s v="Week7"/>
    <d v="2024-02-01T00:00:00"/>
    <s v="DRY2300776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1288"/>
    <m/>
    <n v="0"/>
    <n v="0"/>
    <m/>
    <m/>
    <m/>
  </r>
  <r>
    <x v="774"/>
    <d v="2024-02-22T00:00:00"/>
    <s v="Week7"/>
    <d v="2024-02-01T00:00:00"/>
    <s v="DRY2300777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363"/>
    <n v="1037.5277777777778"/>
    <n v="112.52777777777783"/>
    <n v="0"/>
    <m/>
    <m/>
    <m/>
  </r>
  <r>
    <x v="774"/>
    <d v="2024-02-28T00:00:00"/>
    <s v="Week7"/>
    <d v="2024-02-01T00:00:00"/>
    <s v="DRY2300778"/>
    <s v="SG"/>
    <s v="CPI SINGAPORE"/>
    <s v="C-Wonton"/>
    <s v="C-Wonton"/>
    <x v="1"/>
    <s v="Cooked Wonton No Egg"/>
    <s v="082S83B24005P07001"/>
    <s v="145g*24"/>
    <n v="24"/>
    <n v="5"/>
    <n v="8.0000000000000002E-3"/>
    <s v="M"/>
    <s v="STPP"/>
    <s v="Regular"/>
    <n v="250"/>
    <n v="250"/>
    <m/>
    <n v="0"/>
    <n v="0"/>
    <m/>
    <m/>
    <m/>
  </r>
  <r>
    <x v="774"/>
    <d v="2024-02-19T00:00:00"/>
    <s v="Week7"/>
    <d v="2024-02-01T00:00:00"/>
    <s v="KL2300035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673"/>
    <n v="673"/>
    <m/>
    <n v="0"/>
    <n v="0"/>
    <n v="0"/>
    <n v="6"/>
    <n v="0"/>
  </r>
  <r>
    <x v="775"/>
    <m/>
    <s v="Week7"/>
    <d v="2024-02-01T00:00:00"/>
    <m/>
    <m/>
    <m/>
    <m/>
    <m/>
    <x v="0"/>
    <s v="เครื่องฟรีส 2 เสีย"/>
    <m/>
    <m/>
    <m/>
    <m/>
    <m/>
    <m/>
    <m/>
    <m/>
    <m/>
    <m/>
    <m/>
    <m/>
    <m/>
    <m/>
    <m/>
    <m/>
  </r>
  <r>
    <x v="775"/>
    <d v="2024-02-19T00:00:00"/>
    <s v="Week7"/>
    <d v="2024-02-01T00:00:00"/>
    <s v="ขายภายใน"/>
    <s v=".7-11"/>
    <s v="ถ้วยขาวพิมพ์กดสีฟ้า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001"/>
    <n v="2001"/>
    <m/>
    <n v="0"/>
    <n v="0"/>
    <m/>
    <m/>
    <m/>
  </r>
  <r>
    <x v="775"/>
    <d v="2024-02-19T00:00:00"/>
    <s v="Week7"/>
    <d v="2024-02-01T00:00:00"/>
    <s v="KL2300035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83"/>
    <n v="183"/>
    <m/>
    <n v="0"/>
    <n v="0"/>
    <n v="0"/>
    <n v="6"/>
    <n v="0"/>
  </r>
  <r>
    <x v="775"/>
    <d v="2024-02-22T00:00:00"/>
    <s v="Week7"/>
    <d v="2024-02-01T00:00:00"/>
    <s v="KL2300034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577"/>
    <n v="577"/>
    <m/>
    <n v="0"/>
    <n v="0"/>
    <n v="0"/>
    <n v="6"/>
    <n v="0"/>
  </r>
  <r>
    <x v="776"/>
    <d v="2024-02-17T00:00:00"/>
    <s v="Week7"/>
    <d v="2024-02-01T00:00:00"/>
    <s v="KL2400006"/>
    <s v="China"/>
    <s v="Charoen Pokphand Import&amp;Export Trading (Shanghai) Co., Ltd"/>
    <s v="C-Wonton"/>
    <s v="C-Wonton ND"/>
    <x v="5"/>
    <s v="Cooked Wonton ND No Egg with Pumpkin _x000a_+ Vegetable 5 pcs tomyam"/>
    <s v="082SJ5J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76"/>
    <d v="2024-02-21T00:00:00"/>
    <s v="Week7"/>
    <d v="2024-02-01T00:00:00"/>
    <s v="KL2400007"/>
    <s v="China"/>
    <s v="Charoen Pokphand Import&amp;Export Trading (Shanghai) Co., Ltd"/>
    <s v="C-Wonton"/>
    <s v="C-Wonton ND"/>
    <x v="5"/>
    <s v="Cooked Wonton ND No Egg with Pumpkin _x000a_+ Vegetable 5 pcs tomyam"/>
    <s v="082SJ5J36005P00001"/>
    <s v="308g*6c*6in"/>
    <n v="36"/>
    <n v="5"/>
    <n v="7.4999999999999997E-3"/>
    <s v="HC"/>
    <s v="Salt"/>
    <s v="Y3"/>
    <n v="792"/>
    <n v="425"/>
    <n v="445.11111111111109"/>
    <n v="78.111111111111086"/>
    <n v="0"/>
    <m/>
    <m/>
    <m/>
  </r>
  <r>
    <x v="776"/>
    <d v="2024-02-20T00:00:00"/>
    <s v="Week7"/>
    <d v="2024-02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4274"/>
    <n v="4274"/>
    <m/>
    <n v="0"/>
    <n v="0"/>
    <m/>
    <m/>
    <m/>
  </r>
  <r>
    <x v="776"/>
    <d v="2024-02-22T00:00:00"/>
    <s v="Week7"/>
    <d v="2024-02-01T00:00:00"/>
    <s v="KL2300034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663"/>
    <n v="663"/>
    <m/>
    <n v="0"/>
    <n v="0"/>
    <n v="0"/>
    <n v="6"/>
    <n v="0"/>
  </r>
  <r>
    <x v="777"/>
    <d v="2024-02-23T00:00:00"/>
    <s v="Week7"/>
    <d v="2024-02-01T00:00:00"/>
    <s v="DRY230065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96"/>
    <n v="396"/>
    <m/>
    <n v="0"/>
    <n v="0"/>
    <m/>
    <m/>
    <m/>
  </r>
  <r>
    <x v="777"/>
    <d v="2024-02-23T00:00:00"/>
    <s v="Week7"/>
    <d v="2024-02-01T00:00:00"/>
    <s v="DRY230063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77"/>
    <d v="2024-02-23T00:00:00"/>
    <s v="Week7"/>
    <d v="2024-02-01T00:00:00"/>
    <s v="DRY230063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77"/>
    <d v="2024-02-23T00:00:00"/>
    <s v="Week7"/>
    <d v="2024-02-01T00:00:00"/>
    <s v="DRY230065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77"/>
    <d v="2024-02-26T00:00:00"/>
    <s v="Week7"/>
    <d v="2024-02-01T00:00:00"/>
    <s v="DRY230064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27"/>
    <n v="127"/>
    <m/>
    <n v="0"/>
    <n v="0"/>
    <m/>
    <m/>
    <m/>
  </r>
  <r>
    <x v="777"/>
    <d v="2024-02-19T00:00:00"/>
    <s v="Week7"/>
    <d v="2024-02-01T00:00:00"/>
    <s v="ขายภายใน"/>
    <s v=".7-11"/>
    <s v="ซีพีเอฟ เทรดดิ้ง"/>
    <s v="C-Wonton"/>
    <s v="C-Wonton"/>
    <x v="32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1805"/>
    <n v="1805"/>
    <m/>
    <n v="0"/>
    <n v="0"/>
    <m/>
    <m/>
    <m/>
  </r>
  <r>
    <x v="777"/>
    <d v="2024-02-22T00:00:00"/>
    <s v="Week7"/>
    <d v="2024-02-01T00:00:00"/>
    <s v="KL2300034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68"/>
    <n v="168"/>
    <m/>
    <n v="0"/>
    <n v="0"/>
    <n v="0"/>
    <n v="6"/>
    <n v="0"/>
  </r>
  <r>
    <x v="777"/>
    <d v="2024-02-23T00:00:00"/>
    <s v="Week7"/>
    <d v="2024-02-01T00:00:00"/>
    <s v="KL2300036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490"/>
    <n v="490"/>
    <m/>
    <n v="0"/>
    <n v="0"/>
    <n v="0"/>
    <n v="6"/>
    <n v="0"/>
  </r>
  <r>
    <x v="778"/>
    <d v="2024-02-28T00:00:00"/>
    <s v="Week7"/>
    <d v="2024-02-01T00:00:00"/>
    <s v="DRY2300780"/>
    <s v="SG"/>
    <s v="CPI Singapore"/>
    <s v="C-Wonton"/>
    <s v="C-Wonton ND"/>
    <x v="5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300"/>
    <n v="300"/>
    <m/>
    <n v="0"/>
    <n v="0"/>
    <m/>
    <m/>
    <m/>
  </r>
  <r>
    <x v="778"/>
    <d v="2024-02-26T00:00:00"/>
    <s v="Week7"/>
    <d v="2024-02-01T00:00:00"/>
    <s v="DRY230064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65"/>
    <n v="665"/>
    <m/>
    <n v="0"/>
    <n v="0"/>
    <m/>
    <m/>
    <m/>
  </r>
  <r>
    <x v="778"/>
    <d v="2024-02-26T00:00:00"/>
    <s v="Week7"/>
    <d v="2024-02-01T00:00:00"/>
    <s v="DRY230064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78"/>
    <d v="2024-02-26T00:00:00"/>
    <s v="Week7"/>
    <d v="2024-02-01T00:00:00"/>
    <s v="DRY230065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78"/>
    <d v="2024-02-26T00:00:00"/>
    <s v="Week7"/>
    <d v="2024-02-01T00:00:00"/>
    <s v="DRY230065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89"/>
    <n v="289"/>
    <m/>
    <n v="0"/>
    <n v="0"/>
    <m/>
    <m/>
    <m/>
  </r>
  <r>
    <x v="778"/>
    <d v="2024-02-23T00:00:00"/>
    <s v="Week7"/>
    <d v="2024-02-01T00:00:00"/>
    <s v="KL2300036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719"/>
    <n v="719"/>
    <m/>
    <n v="0"/>
    <n v="0"/>
    <n v="0"/>
    <n v="6"/>
    <n v="0"/>
  </r>
  <r>
    <x v="779"/>
    <m/>
    <s v="Week7"/>
    <d v="2024-02-01T00:00:00"/>
    <m/>
    <m/>
    <m/>
    <m/>
    <m/>
    <x v="0"/>
    <m/>
    <m/>
    <m/>
    <m/>
    <m/>
    <m/>
    <m/>
    <m/>
    <m/>
    <m/>
    <m/>
    <m/>
    <m/>
    <m/>
    <m/>
    <m/>
    <m/>
  </r>
  <r>
    <x v="780"/>
    <d v="2024-02-26T00:00:00"/>
    <s v="Week8"/>
    <d v="2024-02-01T00:00:00"/>
    <s v="DRY230065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03"/>
    <n v="503"/>
    <m/>
    <n v="0"/>
    <n v="0"/>
    <m/>
    <m/>
    <m/>
  </r>
  <r>
    <x v="780"/>
    <d v="2024-02-26T00:00:00"/>
    <s v="Week8"/>
    <d v="2024-02-01T00:00:00"/>
    <s v="DRY230071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80"/>
    <d v="2024-02-26T00:00:00"/>
    <s v="Week8"/>
    <d v="2024-02-01T00:00:00"/>
    <s v="DRY230071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80"/>
    <d v="2024-03-01T00:00:00"/>
    <s v="Week8"/>
    <d v="2024-02-01T00:00:00"/>
    <s v="DRY230071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80"/>
    <d v="2024-03-01T00:00:00"/>
    <s v="Week8"/>
    <d v="2024-02-01T00:00:00"/>
    <s v="DRY230071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72"/>
    <n v="772"/>
    <m/>
    <n v="0"/>
    <n v="0"/>
    <m/>
    <m/>
    <m/>
  </r>
  <r>
    <x v="780"/>
    <d v="2024-02-23T00:00:00"/>
    <s v="Week8"/>
    <d v="2024-02-01T00:00:00"/>
    <s v="KL2300036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99"/>
    <n v="199"/>
    <m/>
    <n v="0"/>
    <n v="0"/>
    <n v="0"/>
    <n v="6"/>
    <n v="0"/>
  </r>
  <r>
    <x v="780"/>
    <m/>
    <s v="Week8"/>
    <d v="2024-02-01T00:00:00"/>
    <s v="ขายภายใน"/>
    <s v="MTFS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s v="-"/>
    <n v="511"/>
    <n v="385"/>
    <n v="126"/>
    <n v="0"/>
    <n v="0"/>
    <n v="0"/>
    <m/>
    <n v="0"/>
  </r>
  <r>
    <x v="780"/>
    <d v="2024-02-28T00:00:00"/>
    <s v="Week8"/>
    <d v="2024-02-01T00:00:00"/>
    <s v="DRY2300781"/>
    <s v="SG"/>
    <s v="CPI SINGAPORE"/>
    <s v="R-Wonton"/>
    <s v="R-Wonton"/>
    <x v="18"/>
    <s v="Raw Wonton 50 pcs (Fried Sheet)"/>
    <s v="082I93B10050P04001"/>
    <s v="600g*10inner"/>
    <n v="10"/>
    <n v="50"/>
    <n v="6.8100000000000001E-3"/>
    <s v="S"/>
    <s v="STPP"/>
    <s v="-"/>
    <n v="200"/>
    <n v="200"/>
    <m/>
    <n v="0"/>
    <n v="0"/>
    <n v="0"/>
    <m/>
    <n v="0"/>
  </r>
  <r>
    <x v="781"/>
    <d v="2024-02-26T00:00:00"/>
    <s v="Week8"/>
    <d v="2024-02-01T00:00:00"/>
    <s v="DRY2300743"/>
    <s v="USA"/>
    <s v="Bellisio Foods, Inc."/>
    <s v="C-Wonton"/>
    <s v="C-Wonton ND"/>
    <x v="7"/>
    <s v="Cooked Minced Wonton No Egg"/>
    <s v="082SKBW08005P00001"/>
    <s v="145g*8"/>
    <n v="8"/>
    <n v="5"/>
    <n v="6.0000000000000001E-3"/>
    <s v="BK"/>
    <s v="Salt"/>
    <s v="Regular"/>
    <n v="70.25"/>
    <m/>
    <n v="70.25"/>
    <n v="0"/>
    <n v="0"/>
    <m/>
    <m/>
    <m/>
  </r>
  <r>
    <x v="781"/>
    <d v="2024-03-05T00:00:00"/>
    <s v="Week8"/>
    <d v="2024-02-01T00:00:00"/>
    <s v="DRY2400006"/>
    <s v="USA"/>
    <s v="Bellisio Foods, Inc."/>
    <s v="C-Wonton"/>
    <s v="C-Wonton"/>
    <x v="7"/>
    <s v="Cooked Minced Wonton No Egg"/>
    <s v="082SKBW08005P00001"/>
    <s v="145g*8"/>
    <n v="8"/>
    <n v="5"/>
    <n v="6.0000000000000001E-3"/>
    <s v="BK"/>
    <s v="Salt"/>
    <s v="Regular"/>
    <n v="1400"/>
    <m/>
    <n v="1400"/>
    <n v="0"/>
    <n v="0"/>
    <m/>
    <m/>
    <m/>
  </r>
  <r>
    <x v="781"/>
    <d v="2024-03-12T00:00:00"/>
    <s v="Week8"/>
    <d v="2024-02-01T00:00:00"/>
    <s v="DRY2400008"/>
    <s v="USA"/>
    <s v="Bellisio Foods, Inc."/>
    <s v="C-Wonton"/>
    <s v="C-Wonton"/>
    <x v="7"/>
    <s v="Cooked Minced Wonton No Egg"/>
    <s v="082SKBW08005P00001"/>
    <s v="145g*8"/>
    <n v="8"/>
    <n v="5"/>
    <n v="6.0000000000000001E-3"/>
    <s v="BK"/>
    <s v="Salt"/>
    <s v="Regular"/>
    <n v="700"/>
    <m/>
    <n v="700"/>
    <n v="0"/>
    <n v="0"/>
    <m/>
    <m/>
    <m/>
  </r>
  <r>
    <x v="781"/>
    <d v="2024-03-05T00:00:00"/>
    <s v="Week8"/>
    <d v="2024-02-01T00:00:00"/>
    <s v="DRY2300782"/>
    <s v="Malay"/>
    <s v="CPM Malaysia"/>
    <s v="C-Wonton"/>
    <s v="C-Wonton"/>
    <x v="1"/>
    <s v="Cooked Wonton No Egg  "/>
    <s v="082S85I24005P01001"/>
    <s v="145g*24"/>
    <n v="24"/>
    <n v="5"/>
    <n v="8.0000000000000002E-3"/>
    <s v="M"/>
    <s v="STPP"/>
    <s v="Regular"/>
    <n v="900"/>
    <n v="900"/>
    <m/>
    <n v="0"/>
    <n v="0"/>
    <m/>
    <m/>
    <m/>
  </r>
  <r>
    <x v="781"/>
    <d v="2024-03-05T00:00:00"/>
    <s v="Week8"/>
    <d v="2024-02-01T00:00:00"/>
    <s v="DRY2300782"/>
    <s v="Malay"/>
    <s v="CPM Malaysia"/>
    <s v="C-Wonton"/>
    <s v="C-Wonton"/>
    <x v="2"/>
    <s v="Cooked Wonton No Egg  TY"/>
    <s v="082S85I24005P02001"/>
    <s v="115g*24"/>
    <n v="24"/>
    <n v="5"/>
    <n v="8.0000000000000002E-3"/>
    <s v="M"/>
    <s v="STPP"/>
    <s v="TYTB3C 30G"/>
    <n v="800"/>
    <n v="800"/>
    <m/>
    <n v="0"/>
    <n v="0"/>
    <m/>
    <n v="1"/>
    <n v="0"/>
  </r>
  <r>
    <x v="781"/>
    <d v="2024-02-28T00:00:00"/>
    <s v="Week8"/>
    <d v="2024-02-01T00:00:00"/>
    <s v="DRY2300779"/>
    <s v="SG"/>
    <s v="CPI SINGAPORE"/>
    <s v="C-Wonton"/>
    <s v="C-Wonton"/>
    <x v="2"/>
    <s v="Cooked Wonton No Egg"/>
    <s v="082S83B24005P06001"/>
    <s v="115g*24"/>
    <n v="24"/>
    <n v="5"/>
    <n v="8.0000000000000002E-3"/>
    <s v="M"/>
    <s v="STPP"/>
    <s v="TYTB3C 30G"/>
    <n v="250"/>
    <n v="250"/>
    <m/>
    <n v="0"/>
    <n v="0"/>
    <m/>
    <n v="1"/>
    <n v="0"/>
  </r>
  <r>
    <x v="781"/>
    <d v="2024-02-26T00:00:00"/>
    <s v="Week8"/>
    <d v="2024-02-01T00:00:00"/>
    <s v="ขายภายใน"/>
    <s v=".7-11"/>
    <s v="ถ้วยขาวพิมพ์กดสีฟ้า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447"/>
    <n v="2447"/>
    <m/>
    <n v="0"/>
    <n v="0"/>
    <m/>
    <m/>
    <m/>
  </r>
  <r>
    <x v="781"/>
    <d v="2024-03-12T00:00:00"/>
    <s v="Week8"/>
    <d v="2024-02-01T00:00:00"/>
    <s v="DRY2400105"/>
    <s v="CAN "/>
    <s v="Bellisio Foods Canada"/>
    <s v="C-Wonton"/>
    <s v="C-Wonton ND"/>
    <x v="3"/>
    <s v="Cooked Minced Wonton Noodle (Enriched wonton sheet&amp;noodles)"/>
    <s v="082SR5312005P00001"/>
    <s v="258g*12"/>
    <n v="12"/>
    <n v="5"/>
    <n v="6.0000000000000001E-3"/>
    <s v="BK"/>
    <s v="Salt"/>
    <s v="Regular"/>
    <n v="1641.0833333333333"/>
    <m/>
    <n v="1641.0833333333333"/>
    <n v="0"/>
    <n v="0"/>
    <m/>
    <m/>
    <m/>
  </r>
  <r>
    <x v="781"/>
    <d v="2024-03-05T00:00:00"/>
    <s v="Week8"/>
    <d v="2024-02-01T00:00:00"/>
    <s v="DRY2300782"/>
    <s v="Malay"/>
    <s v="CPM Malaysia"/>
    <s v="R-Wonton"/>
    <s v="R-Wonton"/>
    <x v="4"/>
    <s v="Raw Wonton 12 pcs"/>
    <s v="082I95I20012P02001"/>
    <s v="154g*20inner"/>
    <n v="20"/>
    <n v="12"/>
    <n v="6.8100000000000001E-3"/>
    <s v="S"/>
    <s v="STPP"/>
    <s v="ซุปซอง 5g."/>
    <n v="400"/>
    <n v="400"/>
    <m/>
    <n v="0"/>
    <n v="0"/>
    <n v="0"/>
    <n v="2"/>
    <n v="0"/>
  </r>
  <r>
    <x v="781"/>
    <d v="2024-03-05T00:00:00"/>
    <s v="Week8"/>
    <d v="2024-02-01T00:00:00"/>
    <s v="DRY2300683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485"/>
    <n v="485"/>
    <m/>
    <n v="0"/>
    <n v="0"/>
    <n v="0"/>
    <n v="2"/>
    <n v="0"/>
  </r>
  <r>
    <x v="782"/>
    <d v="2024-03-12T00:00:00"/>
    <s v="Week8"/>
    <d v="2024-02-01T00:00:00"/>
    <s v="DRY2400105"/>
    <s v="CAN "/>
    <s v="Bellisio Foods Canada"/>
    <s v="C-Wonton"/>
    <s v="C-Wonton ND"/>
    <x v="3"/>
    <s v="Cooked Minced Wonton Noodle (Enriched wonton sheet&amp;noodles)"/>
    <s v="082SR5312005P00001"/>
    <s v="258g*12"/>
    <n v="12"/>
    <n v="5"/>
    <n v="6.0000000000000001E-3"/>
    <s v="BK"/>
    <s v="Salt"/>
    <s v="Regular"/>
    <n v="958.91666666666663"/>
    <m/>
    <n v="958.91666666666663"/>
    <n v="0"/>
    <n v="0"/>
    <m/>
    <m/>
    <m/>
  </r>
  <r>
    <x v="782"/>
    <d v="2024-02-26T00:00:00"/>
    <s v="Week8"/>
    <d v="2024-02-01T00:00:00"/>
    <s v="DRY2300743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34"/>
    <m/>
    <n v="34"/>
    <n v="0"/>
    <n v="0"/>
    <m/>
    <m/>
    <m/>
  </r>
  <r>
    <x v="782"/>
    <d v="2024-03-05T00:00:00"/>
    <s v="Week8"/>
    <d v="2024-02-01T00:00:00"/>
    <s v="DRY2400006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2400"/>
    <m/>
    <n v="2400"/>
    <n v="0"/>
    <n v="0"/>
    <m/>
    <m/>
    <m/>
  </r>
  <r>
    <x v="782"/>
    <d v="2024-03-12T00:00:00"/>
    <s v="Week8"/>
    <d v="2024-02-01T00:00:00"/>
    <s v="DRY2400008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2400"/>
    <m/>
    <n v="2400"/>
    <n v="0"/>
    <n v="0"/>
    <m/>
    <m/>
    <m/>
  </r>
  <r>
    <x v="782"/>
    <d v="2024-03-01T00:00:00"/>
    <s v="Week8"/>
    <d v="2024-02-01T00:00:00"/>
    <s v="DRY230071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0"/>
    <n v="20"/>
    <m/>
    <n v="0"/>
    <n v="0"/>
    <m/>
    <m/>
    <m/>
  </r>
  <r>
    <x v="782"/>
    <d v="2024-03-01T00:00:00"/>
    <s v="Week8"/>
    <d v="2024-02-01T00:00:00"/>
    <s v="DRY230071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82"/>
    <d v="2024-03-02T00:00:00"/>
    <s v="Week8"/>
    <d v="2024-02-01T00:00:00"/>
    <s v="DRY230071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82"/>
    <d v="2024-03-02T00:00:00"/>
    <s v="Week8"/>
    <d v="2024-02-01T00:00:00"/>
    <s v="DRY230071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34"/>
    <n v="534"/>
    <m/>
    <n v="0"/>
    <n v="0"/>
    <m/>
    <m/>
    <m/>
  </r>
  <r>
    <x v="782"/>
    <d v="2024-03-05T00:00:00"/>
    <s v="Week8"/>
    <d v="2024-02-01T00:00:00"/>
    <s v="DRY2300683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626"/>
    <n v="626"/>
    <m/>
    <n v="0"/>
    <n v="0"/>
    <n v="0"/>
    <n v="2"/>
    <n v="0"/>
  </r>
  <r>
    <x v="783"/>
    <d v="2024-03-01T00:00:00"/>
    <s v="Week8"/>
    <d v="2024-02-01T00:00:00"/>
    <s v="ขายภายใน"/>
    <s v="MTFS"/>
    <s v="ซีพีเอฟ เทรดดิ้ง"/>
    <s v="C-Wonton"/>
    <s v="C-Wonton"/>
    <x v="12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m/>
    <m/>
    <m/>
  </r>
  <r>
    <x v="783"/>
    <d v="2024-02-28T00:00:00"/>
    <s v="Week8"/>
    <d v="2024-02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1068"/>
    <n v="1068"/>
    <m/>
    <n v="0"/>
    <n v="0"/>
    <m/>
    <m/>
    <m/>
  </r>
  <r>
    <x v="783"/>
    <d v="2024-02-27T00:00:00"/>
    <s v="Week8"/>
    <d v="2024-02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1494"/>
    <n v="1494"/>
    <m/>
    <n v="0"/>
    <n v="0"/>
    <m/>
    <m/>
    <m/>
  </r>
  <r>
    <x v="783"/>
    <d v="2024-03-01T00:00:00"/>
    <s v="Week8"/>
    <d v="2024-02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1328"/>
    <n v="1328"/>
    <m/>
    <n v="0"/>
    <n v="0"/>
    <m/>
    <m/>
    <m/>
  </r>
  <r>
    <x v="783"/>
    <d v="2024-03-01T00:00:00"/>
    <s v="Week8"/>
    <d v="2024-02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466"/>
    <n v="466"/>
    <m/>
    <n v="0"/>
    <n v="0"/>
    <m/>
    <n v="1"/>
    <n v="0"/>
  </r>
  <r>
    <x v="783"/>
    <d v="2024-02-28T00:00:00"/>
    <s v="Week8"/>
    <d v="2024-02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553"/>
    <n v="488"/>
    <n v="65"/>
    <n v="0"/>
    <n v="0"/>
    <m/>
    <n v="1"/>
    <n v="0"/>
  </r>
  <r>
    <x v="783"/>
    <d v="2024-03-01T00:00:00"/>
    <s v="Week8"/>
    <d v="2024-02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856"/>
    <n v="856"/>
    <m/>
    <n v="0"/>
    <n v="0"/>
    <m/>
    <n v="1"/>
    <n v="0"/>
  </r>
  <r>
    <x v="783"/>
    <d v="2024-03-05T00:00:00"/>
    <s v="Week8"/>
    <d v="2024-02-01T00:00:00"/>
    <s v="DRY2300683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13"/>
    <n v="513"/>
    <m/>
    <n v="0"/>
    <n v="0"/>
    <n v="0"/>
    <n v="2"/>
    <n v="0"/>
  </r>
  <r>
    <x v="783"/>
    <d v="2024-03-02T00:00:00"/>
    <s v="Week8"/>
    <d v="2024-02-01T00:00:00"/>
    <s v="KL2300037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64"/>
    <n v="164"/>
    <m/>
    <n v="0"/>
    <n v="0"/>
    <n v="0"/>
    <n v="6"/>
    <n v="0"/>
  </r>
  <r>
    <x v="784"/>
    <d v="2024-03-12T00:00:00"/>
    <s v="Week8"/>
    <d v="2024-02-01T00:00:00"/>
    <s v="DRY2400097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1900"/>
    <m/>
    <n v="1900"/>
    <n v="0"/>
    <n v="0"/>
    <m/>
    <m/>
    <m/>
  </r>
  <r>
    <x v="784"/>
    <d v="2024-03-19T00:00:00"/>
    <s v="Week8"/>
    <d v="2024-02-01T00:00:00"/>
    <s v="DRY2400009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1400"/>
    <m/>
    <n v="1400"/>
    <n v="0"/>
    <n v="0"/>
    <m/>
    <m/>
    <m/>
  </r>
  <r>
    <x v="784"/>
    <d v="2024-03-19T00:00:00"/>
    <s v="Week8"/>
    <d v="2024-02-01T00:00:00"/>
    <s v="DRY2400098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1900"/>
    <m/>
    <n v="1900"/>
    <n v="0"/>
    <n v="0"/>
    <m/>
    <m/>
    <m/>
  </r>
  <r>
    <x v="784"/>
    <d v="2024-03-02T00:00:00"/>
    <s v="Week8"/>
    <d v="2024-02-01T00:00:00"/>
    <s v="DRY230071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58"/>
    <n v="258"/>
    <m/>
    <n v="0"/>
    <n v="0"/>
    <m/>
    <m/>
    <m/>
  </r>
  <r>
    <x v="784"/>
    <d v="2024-03-05T00:00:00"/>
    <s v="Week8"/>
    <d v="2024-02-01T00:00:00"/>
    <s v="DRY230071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84"/>
    <d v="2024-03-05T00:00:00"/>
    <s v="Week8"/>
    <d v="2024-02-01T00:00:00"/>
    <s v="DRY230071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89"/>
    <n v="489"/>
    <m/>
    <n v="0"/>
    <n v="0"/>
    <m/>
    <m/>
    <m/>
  </r>
  <r>
    <x v="784"/>
    <d v="2024-02-28T00:00:00"/>
    <s v="Week8"/>
    <d v="2024-02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477"/>
    <n v="477"/>
    <m/>
    <n v="0"/>
    <n v="0"/>
    <m/>
    <m/>
    <m/>
  </r>
  <r>
    <x v="784"/>
    <d v="2024-03-01T00:00:00"/>
    <s v="Week8"/>
    <d v="2024-02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417"/>
    <n v="417"/>
    <m/>
    <n v="0"/>
    <n v="0"/>
    <m/>
    <m/>
    <m/>
  </r>
  <r>
    <x v="784"/>
    <d v="2024-02-28T00:00:00"/>
    <s v="Week8"/>
    <d v="2024-02-01T00:00:00"/>
    <s v="ขายภายใน"/>
    <s v="MTFS"/>
    <s v="ซีพีเอฟ เทรดดิ้ง"/>
    <s v="C-Wonton"/>
    <s v="C-Wonton"/>
    <x v="32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233"/>
    <n v="233"/>
    <m/>
    <n v="0"/>
    <n v="0"/>
    <m/>
    <m/>
    <m/>
  </r>
  <r>
    <x v="784"/>
    <d v="2024-02-28T00:00:00"/>
    <s v="Week8"/>
    <d v="2024-02-01T00:00:00"/>
    <s v="ขายภายใน"/>
    <s v=".7-11"/>
    <s v="ซีพีเอฟ เทรดดิ้ง"/>
    <s v="C-Wonton"/>
    <s v="C-Wonton"/>
    <x v="32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995"/>
    <n v="995"/>
    <m/>
    <n v="0"/>
    <n v="0"/>
    <m/>
    <m/>
    <m/>
  </r>
  <r>
    <x v="784"/>
    <d v="2024-03-02T00:00:00"/>
    <s v="Week8"/>
    <d v="2024-02-01T00:00:00"/>
    <s v="KL2300037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633"/>
    <n v="633"/>
    <m/>
    <n v="0"/>
    <n v="0"/>
    <n v="0"/>
    <n v="6"/>
    <n v="0"/>
  </r>
  <r>
    <x v="785"/>
    <d v="2024-03-01T00:00:00"/>
    <s v="Week8"/>
    <d v="2024-02-01T00:00:00"/>
    <s v="DRY2300737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785"/>
    <d v="2024-03-01T00:00:00"/>
    <s v="Week8"/>
    <d v="2024-02-01T00:00:00"/>
    <s v="DRY2300738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785"/>
    <d v="2024-03-07T00:00:00"/>
    <s v="Week8"/>
    <d v="2024-02-01T00:00:00"/>
    <s v="DRY2300739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981"/>
    <n v="308.08333333333331"/>
    <n v="1.0833333333332575"/>
    <n v="0"/>
    <m/>
    <m/>
    <m/>
  </r>
  <r>
    <x v="786"/>
    <m/>
    <s v="Week8"/>
    <d v="2024-02-01T00:00:00"/>
    <m/>
    <m/>
    <m/>
    <m/>
    <m/>
    <x v="0"/>
    <m/>
    <m/>
    <m/>
    <m/>
    <m/>
    <m/>
    <m/>
    <m/>
    <m/>
    <m/>
    <m/>
    <m/>
    <m/>
    <m/>
    <m/>
    <m/>
    <m/>
  </r>
  <r>
    <x v="787"/>
    <d v="2024-03-05T00:00:00"/>
    <s v="Week9"/>
    <d v="2024-02-01T00:00:00"/>
    <s v="DRY230071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03"/>
    <n v="303"/>
    <m/>
    <n v="0"/>
    <n v="0"/>
    <m/>
    <m/>
    <m/>
  </r>
  <r>
    <x v="787"/>
    <d v="2024-03-05T00:00:00"/>
    <s v="Week9"/>
    <d v="2024-02-01T00:00:00"/>
    <s v="DRY230071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87"/>
    <d v="2024-03-05T00:00:00"/>
    <s v="Week9"/>
    <d v="2024-02-01T00:00:00"/>
    <s v="DRY230072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87"/>
    <d v="2024-03-05T00:00:00"/>
    <s v="Week9"/>
    <d v="2024-02-01T00:00:00"/>
    <s v="DRY230072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87"/>
    <d v="2024-03-06T00:00:00"/>
    <s v="Week9"/>
    <d v="2024-02-01T00:00:00"/>
    <s v="DRY230072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87"/>
    <d v="2024-03-06T00:00:00"/>
    <s v="Week9"/>
    <d v="2024-02-01T00:00:00"/>
    <s v="DRY230072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93"/>
    <n v="293"/>
    <m/>
    <n v="0"/>
    <n v="0"/>
    <m/>
    <m/>
    <m/>
  </r>
  <r>
    <x v="787"/>
    <d v="2024-03-02T00:00:00"/>
    <s v="Week9"/>
    <d v="2024-02-01T00:00:00"/>
    <s v="KL2300037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611"/>
    <n v="611"/>
    <m/>
    <n v="0"/>
    <n v="0"/>
    <n v="0"/>
    <n v="6"/>
    <n v="0"/>
  </r>
  <r>
    <x v="787"/>
    <d v="2024-03-04T00:00:00"/>
    <s v="Week9"/>
    <d v="2024-02-01T00:00:00"/>
    <s v="DRY2300784"/>
    <s v="HK"/>
    <s v="CPM Hongkong"/>
    <s v="R-Wonton"/>
    <s v="R-Mince"/>
    <x v="9"/>
    <s v="Raw Minced Wonton 8 pcs"/>
    <s v="082ID3G18008P00001"/>
    <s v="90g*18in"/>
    <n v="18"/>
    <n v="8"/>
    <n v="6.0000000000000001E-3"/>
    <s v="BK"/>
    <s v="STPP"/>
    <s v="ซุปซอง 5g."/>
    <n v="250"/>
    <n v="250"/>
    <m/>
    <n v="0"/>
    <n v="0"/>
    <n v="0"/>
    <n v="2"/>
    <n v="0"/>
  </r>
  <r>
    <x v="788"/>
    <d v="2024-03-19T00:00:00"/>
    <s v="Week9"/>
    <d v="2024-02-01T00:00:00"/>
    <s v="DRY2400099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1900"/>
    <m/>
    <n v="1900"/>
    <n v="0"/>
    <n v="0"/>
    <m/>
    <m/>
    <m/>
  </r>
  <r>
    <x v="788"/>
    <d v="2024-03-25T00:00:00"/>
    <s v="Week9"/>
    <d v="2024-02-01T00:00:00"/>
    <s v="DRY2400010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1900"/>
    <m/>
    <n v="1900"/>
    <n v="0"/>
    <n v="0"/>
    <m/>
    <m/>
    <m/>
  </r>
  <r>
    <x v="788"/>
    <d v="2024-03-06T00:00:00"/>
    <s v="Week9"/>
    <d v="2024-02-01T00:00:00"/>
    <s v="DRY230072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99"/>
    <n v="499"/>
    <m/>
    <n v="0"/>
    <n v="0"/>
    <m/>
    <m/>
    <m/>
  </r>
  <r>
    <x v="788"/>
    <d v="2024-03-06T00:00:00"/>
    <s v="Week9"/>
    <d v="2024-02-01T00:00:00"/>
    <s v="DRY230072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88"/>
    <d v="2024-03-06T00:00:00"/>
    <s v="Week9"/>
    <d v="2024-02-01T00:00:00"/>
    <s v="DRY240001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88"/>
    <d v="2024-03-07T00:00:00"/>
    <s v="Week9"/>
    <d v="2024-02-01T00:00:00"/>
    <s v="DRY240001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88"/>
    <d v="2024-03-08T00:00:00"/>
    <s v="Week9"/>
    <d v="2024-02-01T00:00:00"/>
    <s v="DRY240000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61"/>
    <n v="161"/>
    <m/>
    <n v="0"/>
    <n v="0"/>
    <m/>
    <m/>
    <m/>
  </r>
  <r>
    <x v="788"/>
    <d v="2024-03-04T00:00:00"/>
    <s v="Week9"/>
    <d v="2024-02-01T00:00:00"/>
    <s v="DRY2300784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1650"/>
    <n v="1650"/>
    <m/>
    <n v="0"/>
    <n v="0"/>
    <n v="0"/>
    <n v="1"/>
    <n v="0"/>
  </r>
  <r>
    <x v="789"/>
    <d v="2024-03-04T00:00:00"/>
    <s v="Week9"/>
    <d v="2024-02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6221"/>
    <n v="6221"/>
    <m/>
    <n v="0"/>
    <n v="0"/>
    <m/>
    <m/>
    <m/>
  </r>
  <r>
    <x v="789"/>
    <d v="2024-03-12T00:00:00"/>
    <s v="Week9"/>
    <d v="2024-02-01T00:00:00"/>
    <s v="DRY2300684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654"/>
    <n v="647"/>
    <n v="7"/>
    <n v="0"/>
    <n v="0"/>
    <n v="0"/>
    <n v="6"/>
    <n v="0"/>
  </r>
  <r>
    <x v="790"/>
    <d v="2024-03-28T00:00:00"/>
    <s v="Week9"/>
    <d v="2024-02-01T00:00:00"/>
    <s v="DRY2400102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790"/>
    <d v="2024-03-20T00:00:00"/>
    <s v="Week9"/>
    <d v="2024-02-01T00:00:00"/>
    <s v="DRY2400091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</r>
  <r>
    <x v="790"/>
    <d v="2024-03-27T00:00:00"/>
    <s v="Week9"/>
    <d v="2024-02-01T00:00:00"/>
    <s v="DRY2400092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n v="2520"/>
    <m/>
    <n v="0"/>
    <n v="0"/>
    <m/>
    <m/>
    <m/>
  </r>
  <r>
    <x v="790"/>
    <d v="2024-03-12T00:00:00"/>
    <s v="Week9"/>
    <d v="2024-02-01T00:00:00"/>
    <s v="DRY2300669"/>
    <s v="UK"/>
    <s v="Westbridge Foods Limited"/>
    <s v="C-Wonton ND"/>
    <s v="Wonton ND+V"/>
    <x v="8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n v="866"/>
    <n v="61"/>
    <n v="3"/>
    <n v="0"/>
    <m/>
    <m/>
    <m/>
  </r>
  <r>
    <x v="790"/>
    <d v="2024-03-05T00:00:00"/>
    <s v="Week9"/>
    <d v="2024-02-01T00:00:00"/>
    <s v="DRY2400096"/>
    <s v="Denmark"/>
    <s v="CPF DENMARK"/>
    <s v="C-Wonton ND"/>
    <s v="Wonton ND+V"/>
    <x v="8"/>
    <s v="Cooked Wonton ND No Egg with Pumpkin _x000a_+ Vegetable  HC  3 pcs tomyam"/>
    <s v="082SJKW08003P00001"/>
    <s v="309g*8"/>
    <n v="8"/>
    <n v="3"/>
    <n v="7.4999999999999997E-3"/>
    <s v="M"/>
    <s v="Salt"/>
    <s v="TYANS+CM"/>
    <n v="3500"/>
    <n v="3500"/>
    <m/>
    <n v="0"/>
    <n v="0"/>
    <m/>
    <m/>
    <m/>
  </r>
  <r>
    <x v="790"/>
    <d v="2024-03-12T00:00:00"/>
    <s v="Week9"/>
    <d v="2024-02-01T00:00:00"/>
    <s v="DRY2300684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853"/>
    <n v="853"/>
    <m/>
    <n v="0"/>
    <n v="0"/>
    <n v="0"/>
    <n v="6"/>
    <n v="0"/>
  </r>
  <r>
    <x v="791"/>
    <d v="2024-03-11T00:00:00"/>
    <s v="Week9"/>
    <d v="2024-03-01T00:00:00"/>
    <s v="DRY2400008"/>
    <s v="USA"/>
    <s v="Bellisio Foods, Inc.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650"/>
    <n v="650"/>
    <m/>
    <n v="0"/>
    <n v="0"/>
    <m/>
    <n v="1"/>
    <n v="10400"/>
  </r>
  <r>
    <x v="791"/>
    <d v="2024-03-11T00:00:00"/>
    <s v="Week9"/>
    <d v="2024-03-01T00:00:00"/>
    <s v="DRY2400097"/>
    <s v="USA"/>
    <s v="Bellisio Foods, Inc.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600"/>
    <n v="119"/>
    <n v="481"/>
    <n v="0"/>
    <n v="0"/>
    <m/>
    <n v="1"/>
    <n v="9600"/>
  </r>
  <r>
    <x v="791"/>
    <d v="2024-03-19T00:00:00"/>
    <s v="Week9"/>
    <d v="2024-03-01T00:00:00"/>
    <s v="DRY2400009"/>
    <s v="USA"/>
    <s v="Bellisio Foods, Inc.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650"/>
    <m/>
    <n v="650"/>
    <n v="0"/>
    <n v="0"/>
    <m/>
    <n v="1"/>
    <n v="10400"/>
  </r>
  <r>
    <x v="791"/>
    <d v="2024-03-19T00:00:00"/>
    <s v="Week9"/>
    <d v="2024-03-01T00:00:00"/>
    <s v="DRY2400098"/>
    <s v="USA"/>
    <s v="Bellisio Foods, Inc.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600"/>
    <m/>
    <n v="600"/>
    <n v="0"/>
    <n v="0"/>
    <m/>
    <n v="1"/>
    <n v="9600"/>
  </r>
  <r>
    <x v="791"/>
    <d v="2024-03-19T00:00:00"/>
    <s v="Week9"/>
    <d v="2024-03-01T00:00:00"/>
    <s v="DRY2400099"/>
    <s v="USA"/>
    <s v="Bellisio Foods, Inc.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600"/>
    <m/>
    <n v="600"/>
    <n v="0"/>
    <n v="0"/>
    <m/>
    <n v="1"/>
    <n v="9600"/>
  </r>
  <r>
    <x v="791"/>
    <d v="2024-03-25T00:00:00"/>
    <s v="Week9"/>
    <d v="2024-03-01T00:00:00"/>
    <s v="DRY2400010"/>
    <s v="USA"/>
    <s v="Bellisio Foods, Inc.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650"/>
    <m/>
    <n v="650"/>
    <n v="0"/>
    <n v="0"/>
    <m/>
    <n v="1"/>
    <n v="10400"/>
  </r>
  <r>
    <x v="791"/>
    <d v="2024-04-02T00:00:00"/>
    <s v="Week9"/>
    <d v="2024-03-01T00:00:00"/>
    <s v="DRY2400100"/>
    <s v="USA"/>
    <s v="Bellisio Foods, Inc."/>
    <s v="C-Wonton"/>
    <s v="C-Wonton"/>
    <x v="20"/>
    <s v="COOKED WONTON 6 pcs."/>
    <s v="082S8BW08012P00001"/>
    <s v="117*2tray*8in"/>
    <n v="16"/>
    <n v="6"/>
    <n v="8.1300000000000001E-3"/>
    <s v="M"/>
    <s v="Salt"/>
    <s v=" Sesame 15g"/>
    <n v="650"/>
    <m/>
    <n v="650"/>
    <n v="0"/>
    <n v="0"/>
    <m/>
    <n v="1"/>
    <n v="10400"/>
  </r>
  <r>
    <x v="791"/>
    <d v="2024-04-03T00:00:00"/>
    <s v="Week9"/>
    <d v="2024-03-01T00:00:00"/>
    <s v="DRY2400156"/>
    <s v="New Zealand"/>
    <s v="Lim Brothers"/>
    <s v="C-Wonton"/>
    <s v="C-Wonton"/>
    <x v="23"/>
    <s v="Cooked Minced Wonton in Tray 6 pcs + Sesame Sauce"/>
    <s v="082SKN716006P00001"/>
    <s v="117*2tray*8in"/>
    <n v="16"/>
    <n v="6"/>
    <n v="6.0000000000000001E-3"/>
    <s v="BK"/>
    <s v="Salt"/>
    <s v=" Sesame 15g"/>
    <n v="378"/>
    <m/>
    <n v="434.375"/>
    <n v="56.375"/>
    <n v="0"/>
    <m/>
    <n v="1"/>
    <n v="6048"/>
  </r>
  <r>
    <x v="791"/>
    <d v="2024-03-14T00:00:00"/>
    <s v="Week9"/>
    <d v="2024-03-01T00:00:00"/>
    <s v="DRY2300684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549"/>
    <n v="324"/>
    <n v="225"/>
    <n v="0"/>
    <n v="0"/>
    <n v="0"/>
    <n v="6"/>
    <n v="0"/>
  </r>
  <r>
    <x v="791"/>
    <d v="2024-03-09T00:00:00"/>
    <s v="Week9"/>
    <d v="2024-03-01T00:00:00"/>
    <s v="DRY2400007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250"/>
    <n v="84"/>
    <n v="166"/>
    <n v="0"/>
    <n v="0"/>
    <n v="0"/>
    <n v="6"/>
    <n v="0"/>
  </r>
  <r>
    <x v="792"/>
    <d v="2024-03-19T00:00:00"/>
    <s v="Week9"/>
    <d v="2024-03-01T00:00:00"/>
    <s v="DRY2300785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792"/>
    <d v="2024-03-26T00:00:00"/>
    <s v="Week9"/>
    <d v="2024-03-01T00:00:00"/>
    <s v="DRY2300786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792"/>
    <d v="2024-03-12T00:00:00"/>
    <s v="Week9"/>
    <d v="2024-03-01T00:00:00"/>
    <s v="DRY2400097"/>
    <s v="USA"/>
    <s v="Bellisio Foods, Inc."/>
    <s v="C-Wonton"/>
    <s v="C-Wonton"/>
    <x v="7"/>
    <s v="Cooked Minced Wonton No Egg"/>
    <s v="082SKBW08005P00001"/>
    <s v="145g*8"/>
    <n v="8"/>
    <n v="5"/>
    <n v="6.0000000000000001E-3"/>
    <s v="BK"/>
    <s v="Salt"/>
    <s v="Regular"/>
    <n v="1400"/>
    <m/>
    <n v="1400"/>
    <n v="0"/>
    <n v="0"/>
    <m/>
    <m/>
    <m/>
  </r>
  <r>
    <x v="792"/>
    <d v="2024-03-19T00:00:00"/>
    <s v="Week9"/>
    <d v="2024-03-01T00:00:00"/>
    <s v="DRY2400009"/>
    <s v="USA"/>
    <s v="Bellisio Foods, Inc."/>
    <s v="C-Wonton"/>
    <s v="C-Wonton"/>
    <x v="7"/>
    <s v="Cooked Minced Wonton No Egg"/>
    <s v="082SKBW08005P00001"/>
    <s v="145g*8"/>
    <n v="8"/>
    <n v="5"/>
    <n v="6.0000000000000001E-3"/>
    <s v="BK"/>
    <s v="Salt"/>
    <s v="Regular"/>
    <n v="1900"/>
    <m/>
    <n v="1900"/>
    <n v="0"/>
    <n v="0"/>
    <m/>
    <m/>
    <m/>
  </r>
  <r>
    <x v="792"/>
    <d v="2024-03-19T00:00:00"/>
    <s v="Week9"/>
    <d v="2024-03-01T00:00:00"/>
    <s v="DRY2400098"/>
    <s v="USA"/>
    <s v="Bellisio Foods, Inc."/>
    <s v="C-Wonton"/>
    <s v="C-Wonton"/>
    <x v="7"/>
    <s v="Cooked Minced Wonton No Egg"/>
    <s v="082SKBW08005P00001"/>
    <s v="145g*8"/>
    <n v="8"/>
    <n v="5"/>
    <n v="6.0000000000000001E-3"/>
    <s v="BK"/>
    <s v="Salt"/>
    <s v="Regular"/>
    <n v="1400"/>
    <m/>
    <n v="1400"/>
    <n v="0"/>
    <n v="0"/>
    <m/>
    <m/>
    <m/>
  </r>
  <r>
    <x v="792"/>
    <d v="2024-03-19T00:00:00"/>
    <s v="Week9"/>
    <d v="2024-03-01T00:00:00"/>
    <s v="DRY2400099"/>
    <s v="USA"/>
    <s v="Bellisio Foods, Inc."/>
    <s v="C-Wonton"/>
    <s v="C-Wonton"/>
    <x v="7"/>
    <s v="Cooked Minced Wonton No Egg"/>
    <s v="082SKBW08005P00001"/>
    <s v="145g*8"/>
    <n v="8"/>
    <n v="5"/>
    <n v="6.0000000000000001E-3"/>
    <s v="BK"/>
    <s v="Salt"/>
    <s v="Regular"/>
    <n v="1400"/>
    <m/>
    <n v="1400"/>
    <n v="0"/>
    <n v="0"/>
    <m/>
    <m/>
    <m/>
  </r>
  <r>
    <x v="792"/>
    <d v="2024-03-25T00:00:00"/>
    <s v="Week9"/>
    <d v="2024-03-01T00:00:00"/>
    <s v="DRY2400010"/>
    <s v="USA"/>
    <s v="Bellisio Foods, Inc."/>
    <s v="C-Wonton"/>
    <s v="C-Wonton"/>
    <x v="7"/>
    <s v="Cooked Minced Wonton No Egg"/>
    <s v="082SKBW08005P00001"/>
    <s v="145g*8"/>
    <n v="8"/>
    <n v="5"/>
    <n v="6.0000000000000001E-3"/>
    <s v="BK"/>
    <s v="Salt"/>
    <s v="Regular"/>
    <n v="1022"/>
    <m/>
    <n v="1022"/>
    <n v="0"/>
    <n v="0"/>
    <m/>
    <m/>
    <m/>
  </r>
  <r>
    <x v="792"/>
    <d v="2024-03-09T00:00:00"/>
    <s v="Week9"/>
    <d v="2024-03-01T00:00:00"/>
    <s v="DRY2400007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550"/>
    <n v="550"/>
    <m/>
    <n v="0"/>
    <n v="0"/>
    <n v="0"/>
    <n v="6"/>
    <n v="0"/>
  </r>
  <r>
    <x v="793"/>
    <m/>
    <s v="Week9"/>
    <d v="2024-03-01T00:00:00"/>
    <m/>
    <m/>
    <m/>
    <m/>
    <m/>
    <x v="0"/>
    <m/>
    <m/>
    <m/>
    <m/>
    <m/>
    <m/>
    <m/>
    <m/>
    <m/>
    <m/>
    <m/>
    <m/>
    <m/>
    <m/>
    <m/>
    <m/>
    <m/>
  </r>
  <r>
    <x v="794"/>
    <d v="2024-03-07T00:00:00"/>
    <s v="Week10"/>
    <d v="2024-03-01T00:00:00"/>
    <s v="ขายภายใน"/>
    <s v=".7-11"/>
    <s v="ถ้วยขาวพิมพ์กดสีฟ้า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6411"/>
    <n v="6411"/>
    <m/>
    <n v="0"/>
    <n v="0"/>
    <m/>
    <m/>
    <m/>
  </r>
  <r>
    <x v="794"/>
    <d v="2024-03-14T00:00:00"/>
    <s v="Week10"/>
    <d v="2024-03-01T00:00:00"/>
    <s v="DRY2300685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409"/>
    <n v="409"/>
    <m/>
    <n v="0"/>
    <n v="0"/>
    <n v="0"/>
    <n v="2"/>
    <n v="0"/>
  </r>
  <r>
    <x v="795"/>
    <d v="2024-03-08T00:00:00"/>
    <s v="Week10"/>
    <d v="2024-03-01T00:00:00"/>
    <s v="DRY240000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79"/>
    <n v="279"/>
    <m/>
    <n v="0"/>
    <n v="0"/>
    <m/>
    <m/>
    <m/>
  </r>
  <r>
    <x v="795"/>
    <d v="2024-03-08T00:00:00"/>
    <s v="Week10"/>
    <d v="2024-03-01T00:00:00"/>
    <s v="DRY240001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95"/>
    <d v="2024-03-08T00:00:00"/>
    <s v="Week10"/>
    <d v="2024-03-01T00:00:00"/>
    <s v="DRY240001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95"/>
    <d v="2024-03-08T00:00:00"/>
    <s v="Week10"/>
    <d v="2024-03-01T00:00:00"/>
    <s v="DRY240001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95"/>
    <d v="2024-03-08T00:00:00"/>
    <s v="Week10"/>
    <d v="2024-03-01T00:00:00"/>
    <s v="DRY240001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95"/>
    <d v="2024-03-13T00:00:00"/>
    <s v="Week10"/>
    <d v="2024-03-01T00:00:00"/>
    <s v="DRY240001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03"/>
    <n v="603"/>
    <m/>
    <n v="0"/>
    <n v="0"/>
    <m/>
    <m/>
    <m/>
  </r>
  <r>
    <x v="795"/>
    <d v="2024-03-14T00:00:00"/>
    <s v="Week10"/>
    <d v="2024-03-01T00:00:00"/>
    <s v="DRY2300685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432"/>
    <n v="432"/>
    <m/>
    <n v="0"/>
    <n v="0"/>
    <n v="0"/>
    <n v="2"/>
    <n v="0"/>
  </r>
  <r>
    <x v="796"/>
    <d v="2024-04-02T00:00:00"/>
    <s v="Week10"/>
    <d v="2024-03-01T00:00:00"/>
    <s v="DRY2400100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1900"/>
    <m/>
    <n v="1900"/>
    <n v="0"/>
    <n v="0"/>
    <m/>
    <m/>
    <m/>
  </r>
  <r>
    <x v="796"/>
    <d v="2024-04-08T00:00:00"/>
    <s v="Week10"/>
    <d v="2024-03-01T00:00:00"/>
    <s v="DRY2400157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2400"/>
    <m/>
    <n v="2400"/>
    <n v="0"/>
    <n v="0"/>
    <m/>
    <m/>
    <m/>
  </r>
  <r>
    <x v="796"/>
    <d v="2024-03-13T00:00:00"/>
    <s v="Week10"/>
    <d v="2024-03-01T00:00:00"/>
    <s v="DRY240001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89"/>
    <n v="189"/>
    <m/>
    <n v="0"/>
    <n v="0"/>
    <m/>
    <m/>
    <m/>
  </r>
  <r>
    <x v="796"/>
    <d v="2024-03-13T00:00:00"/>
    <s v="Week10"/>
    <d v="2024-03-01T00:00:00"/>
    <s v="DRY240001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96"/>
    <d v="2024-03-14T00:00:00"/>
    <s v="Week10"/>
    <d v="2024-03-01T00:00:00"/>
    <s v="DRY240001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96"/>
    <d v="2024-03-14T00:00:00"/>
    <s v="Week10"/>
    <d v="2024-03-01T00:00:00"/>
    <s v="DRY240002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96"/>
    <d v="2024-03-14T00:00:00"/>
    <s v="Week10"/>
    <d v="2024-03-01T00:00:00"/>
    <s v="DRY240002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45"/>
    <n v="245"/>
    <m/>
    <n v="0"/>
    <n v="0"/>
    <m/>
    <m/>
    <m/>
  </r>
  <r>
    <x v="796"/>
    <d v="2024-03-14T00:00:00"/>
    <s v="Week10"/>
    <d v="2024-03-01T00:00:00"/>
    <s v="DRY2300685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469"/>
    <n v="469"/>
    <m/>
    <n v="0"/>
    <n v="0"/>
    <n v="0"/>
    <n v="2"/>
    <n v="0"/>
  </r>
  <r>
    <x v="797"/>
    <d v="2024-03-20T00:00:00"/>
    <s v="Week10"/>
    <d v="2024-03-01T00:00:00"/>
    <s v="DRY2400179"/>
    <s v="CAN "/>
    <s v="Bellisio Foods Canada"/>
    <s v="C-Wonton"/>
    <s v="C-Wonton ND"/>
    <x v="3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m/>
    <m/>
    <m/>
  </r>
  <r>
    <x v="797"/>
    <d v="2024-03-14T00:00:00"/>
    <s v="Week10"/>
    <d v="2024-03-01T00:00:00"/>
    <s v="DRY240002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47"/>
    <n v="547"/>
    <m/>
    <n v="0"/>
    <n v="0"/>
    <m/>
    <m/>
    <m/>
  </r>
  <r>
    <x v="797"/>
    <d v="2024-03-14T00:00:00"/>
    <s v="Week10"/>
    <d v="2024-03-01T00:00:00"/>
    <s v="DRY240002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97"/>
    <d v="2024-03-14T00:00:00"/>
    <s v="Week10"/>
    <d v="2024-03-01T00:00:00"/>
    <s v="DRY240002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97"/>
    <d v="2024-03-14T00:00:00"/>
    <s v="Week10"/>
    <d v="2024-03-01T00:00:00"/>
    <s v="DRY240002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49"/>
    <n v="649"/>
    <m/>
    <n v="0"/>
    <n v="0"/>
    <m/>
    <m/>
    <m/>
  </r>
  <r>
    <x v="797"/>
    <d v="2024-03-14T00:00:00"/>
    <s v="Week10"/>
    <d v="2024-03-01T00:00:00"/>
    <s v="DRY2300685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314"/>
    <n v="314"/>
    <m/>
    <n v="0"/>
    <n v="0"/>
    <n v="0"/>
    <n v="2"/>
    <n v="0"/>
  </r>
  <r>
    <x v="797"/>
    <d v="2024-03-12T00:00:00"/>
    <s v="Week10"/>
    <d v="2024-03-01T00:00:00"/>
    <s v="ขายภายใน"/>
    <s v="MTFS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s v="-"/>
    <n v="177"/>
    <n v="177"/>
    <m/>
    <n v="0"/>
    <n v="0"/>
    <n v="0"/>
    <m/>
    <n v="0"/>
  </r>
  <r>
    <x v="798"/>
    <d v="2024-03-14T00:00:00"/>
    <s v="Week10"/>
    <d v="2024-03-01T00:00:00"/>
    <s v="DRY240002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43"/>
    <n v="143"/>
    <m/>
    <n v="0"/>
    <n v="0"/>
    <m/>
    <m/>
    <m/>
  </r>
  <r>
    <x v="798"/>
    <d v="2024-03-14T00:00:00"/>
    <s v="Week10"/>
    <d v="2024-03-01T00:00:00"/>
    <s v="DRY240002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98"/>
    <d v="2024-03-14T00:00:00"/>
    <s v="Week10"/>
    <d v="2024-03-01T00:00:00"/>
    <s v="DRY240002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98"/>
    <d v="2024-03-15T00:00:00"/>
    <s v="Week10"/>
    <d v="2024-03-01T00:00:00"/>
    <s v="DRY240002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98"/>
    <d v="2024-03-15T00:00:00"/>
    <s v="Week10"/>
    <d v="2024-03-01T00:00:00"/>
    <s v="DRY240002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98"/>
    <d v="2024-03-18T00:00:00"/>
    <s v="Week10"/>
    <d v="2024-03-01T00:00:00"/>
    <s v="DRY240002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32"/>
    <n v="732"/>
    <m/>
    <n v="0"/>
    <n v="0"/>
    <m/>
    <m/>
    <m/>
  </r>
  <r>
    <x v="798"/>
    <d v="2024-03-12T00:00:00"/>
    <s v="Week10"/>
    <d v="2024-03-01T00:00:00"/>
    <s v="ขายภายใน"/>
    <s v="MTFS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s v="-"/>
    <n v="272"/>
    <n v="272"/>
    <m/>
    <n v="0"/>
    <n v="0"/>
    <n v="0"/>
    <m/>
    <n v="0"/>
  </r>
  <r>
    <x v="798"/>
    <m/>
    <s v="Week10"/>
    <d v="2024-03-01T00:00:00"/>
    <s v="ขายภายใน"/>
    <s v="MTFS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s v="-"/>
    <n v="421"/>
    <n v="103"/>
    <n v="318"/>
    <n v="0"/>
    <n v="0"/>
    <n v="0"/>
    <m/>
    <n v="0"/>
  </r>
  <r>
    <x v="798"/>
    <d v="2024-03-26T00:00:00"/>
    <s v="Week10"/>
    <d v="2024-03-01T00:00:00"/>
    <s v="DRY2400114"/>
    <s v="Taiwan"/>
    <s v="CP TAIWAN"/>
    <s v="R-Wonton"/>
    <s v="R-Wonton no egg"/>
    <x v="10"/>
    <s v="Raw Wonton 12 pcs"/>
    <s v="082I93R40012P03001"/>
    <s v="154g*40inner"/>
    <n v="40"/>
    <n v="12"/>
    <n v="8.1300000000000001E-3"/>
    <s v="M"/>
    <s v="Salt"/>
    <s v="ซุปซอง 5g."/>
    <n v="138"/>
    <n v="138"/>
    <m/>
    <n v="0"/>
    <n v="0"/>
    <n v="0"/>
    <n v="2"/>
    <n v="0"/>
  </r>
  <r>
    <x v="799"/>
    <d v="2024-03-18T00:00:00"/>
    <s v="Week10"/>
    <d v="2024-03-01T00:00:00"/>
    <s v="DRY240003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0"/>
    <n v="60"/>
    <m/>
    <n v="0"/>
    <n v="0"/>
    <m/>
    <m/>
    <m/>
  </r>
  <r>
    <x v="799"/>
    <d v="2024-03-18T00:00:00"/>
    <s v="Week10"/>
    <d v="2024-03-01T00:00:00"/>
    <s v="DRY240003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99"/>
    <d v="2024-03-18T00:00:00"/>
    <s v="Week10"/>
    <d v="2024-03-01T00:00:00"/>
    <s v="DRY240003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99"/>
    <d v="2024-03-18T00:00:00"/>
    <s v="Week10"/>
    <d v="2024-03-01T00:00:00"/>
    <s v="DRY240003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99"/>
    <d v="2024-03-18T00:00:00"/>
    <s v="Week10"/>
    <d v="2024-03-01T00:00:00"/>
    <s v="DRY240003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799"/>
    <d v="2024-03-18T00:00:00"/>
    <s v="Week10"/>
    <d v="2024-03-01T00:00:00"/>
    <s v="DRY240003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81"/>
    <n v="81"/>
    <m/>
    <n v="0"/>
    <n v="0"/>
    <m/>
    <m/>
    <m/>
  </r>
  <r>
    <x v="799"/>
    <d v="2024-03-26T00:00:00"/>
    <s v="Week10"/>
    <d v="2024-03-01T00:00:00"/>
    <s v="DRY2400114"/>
    <s v="Taiwan"/>
    <s v="CP TAIWAN"/>
    <s v="R-Wonton"/>
    <s v="R-Wonton no egg"/>
    <x v="10"/>
    <s v="Raw Wonton 12 pcs"/>
    <s v="082I93R40012P03001"/>
    <s v="154g*40inner"/>
    <n v="40"/>
    <n v="12"/>
    <n v="8.1300000000000001E-3"/>
    <s v="M"/>
    <s v="Salt"/>
    <s v="ซุปซอง 5g."/>
    <n v="428"/>
    <n v="428"/>
    <m/>
    <n v="0"/>
    <n v="0"/>
    <n v="0"/>
    <n v="2"/>
    <n v="0"/>
  </r>
  <r>
    <x v="800"/>
    <d v="2024-03-18T00:00:00"/>
    <s v="Week10"/>
    <d v="2024-03-01T00:00:00"/>
    <s v="DRY240003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11"/>
    <n v="711"/>
    <m/>
    <n v="0"/>
    <n v="0"/>
    <m/>
    <m/>
    <m/>
  </r>
  <r>
    <x v="800"/>
    <d v="2024-03-19T00:00:00"/>
    <s v="Week10"/>
    <d v="2024-03-01T00:00:00"/>
    <s v="DRY240003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00"/>
    <d v="2024-03-19T00:00:00"/>
    <s v="Week10"/>
    <d v="2024-03-01T00:00:00"/>
    <s v="DRY240003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00"/>
    <d v="2024-03-19T00:00:00"/>
    <s v="Week10"/>
    <d v="2024-03-01T00:00:00"/>
    <s v="DRY240003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00"/>
    <d v="2024-03-19T00:00:00"/>
    <s v="Week10"/>
    <d v="2024-03-01T00:00:00"/>
    <s v="DRY240003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00"/>
    <d v="2024-03-19T00:00:00"/>
    <s v="Week10"/>
    <d v="2024-03-01T00:00:00"/>
    <s v="DRY240003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55"/>
    <n v="355"/>
    <m/>
    <n v="0"/>
    <n v="0"/>
    <m/>
    <m/>
    <m/>
  </r>
  <r>
    <x v="801"/>
    <d v="2024-03-18T00:00:00"/>
    <s v="Week11"/>
    <d v="2024-03-01T00:00:00"/>
    <s v="ขายภายใน"/>
    <s v=".7-11"/>
    <s v="ถ้วยขาวพิมพ์กดสีฟ้า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5567"/>
    <n v="5567"/>
    <m/>
    <n v="0"/>
    <n v="0"/>
    <m/>
    <m/>
    <m/>
  </r>
  <r>
    <x v="801"/>
    <d v="2024-03-26T00:00:00"/>
    <s v="Week11"/>
    <d v="2024-03-01T00:00:00"/>
    <s v="DRY2400114"/>
    <s v="Taiwan"/>
    <s v="CP TAIWAN"/>
    <s v="R-Wonton"/>
    <s v="R-Wonton no egg"/>
    <x v="10"/>
    <s v="Raw Wonton 12 pcs"/>
    <s v="082I93R40012P03001"/>
    <s v="154g*40inner"/>
    <n v="40"/>
    <n v="12"/>
    <n v="8.1300000000000001E-3"/>
    <s v="M"/>
    <s v="Salt"/>
    <s v="ซุปซอง 5g."/>
    <n v="474"/>
    <n v="474"/>
    <m/>
    <n v="0"/>
    <n v="0"/>
    <n v="0"/>
    <n v="2"/>
    <n v="0"/>
  </r>
  <r>
    <x v="802"/>
    <d v="2024-03-19T00:00:00"/>
    <s v="Week11"/>
    <d v="2024-03-01T00:00:00"/>
    <s v="DRY240003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37"/>
    <n v="437"/>
    <m/>
    <n v="0"/>
    <n v="0"/>
    <m/>
    <m/>
    <m/>
  </r>
  <r>
    <x v="802"/>
    <d v="2024-03-19T00:00:00"/>
    <s v="Week11"/>
    <d v="2024-03-01T00:00:00"/>
    <s v="DRY240004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02"/>
    <d v="2024-03-19T00:00:00"/>
    <s v="Week11"/>
    <d v="2024-03-01T00:00:00"/>
    <s v="DRY240004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02"/>
    <d v="2024-03-19T00:00:00"/>
    <s v="Week11"/>
    <d v="2024-03-01T00:00:00"/>
    <s v="DRY240004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02"/>
    <d v="2024-03-19T00:00:00"/>
    <s v="Week11"/>
    <d v="2024-03-01T00:00:00"/>
    <s v="DRY240004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02"/>
    <d v="2024-03-19T00:00:00"/>
    <s v="Week11"/>
    <d v="2024-03-01T00:00:00"/>
    <s v="DRY240004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43"/>
    <n v="343"/>
    <m/>
    <n v="0"/>
    <n v="0"/>
    <m/>
    <m/>
    <m/>
  </r>
  <r>
    <x v="802"/>
    <d v="2024-03-26T00:00:00"/>
    <s v="Week11"/>
    <d v="2024-03-01T00:00:00"/>
    <s v="DRY2400114"/>
    <s v="Taiwan"/>
    <s v="CP TAIWAN"/>
    <s v="R-Wonton"/>
    <s v="R-Wonton no egg"/>
    <x v="10"/>
    <s v="Raw Wonton 12 pcs"/>
    <s v="082I93R40012P03001"/>
    <s v="154g*40inner"/>
    <n v="40"/>
    <n v="12"/>
    <n v="8.1300000000000001E-3"/>
    <s v="M"/>
    <s v="Salt"/>
    <s v="ซุปซอง 5g."/>
    <n v="452"/>
    <n v="452"/>
    <m/>
    <n v="0"/>
    <n v="0"/>
    <n v="0"/>
    <n v="2"/>
    <n v="0"/>
  </r>
  <r>
    <x v="803"/>
    <m/>
    <s v="Week11"/>
    <d v="2024-03-01T00:00:00"/>
    <s v="DRY2400224"/>
    <s v="Korea"/>
    <s v="Consumer Package Commerce"/>
    <s v="C-Wonton"/>
    <s v="C-Wonton"/>
    <x v="1"/>
    <s v="Wonton Soup  (Enriched wonton sheet)"/>
    <s v="082S83U36005P00001"/>
    <s v="145g*6c*6in"/>
    <n v="36"/>
    <n v="5"/>
    <n v="7.4999999999999997E-3"/>
    <s v="HC"/>
    <s v="Salt"/>
    <s v="Y3"/>
    <n v="1288"/>
    <n v="1257"/>
    <n v="31"/>
    <n v="0"/>
    <n v="0"/>
    <m/>
    <m/>
    <m/>
  </r>
  <r>
    <x v="803"/>
    <d v="2024-04-01T00:00:00"/>
    <s v="Week11"/>
    <d v="2024-03-01T00:00:00"/>
    <s v="ขายภายใน"/>
    <s v=".7-11"/>
    <s v="ถ้วยขาวพิมพ์กดสีฟ้า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1752"/>
    <n v="1752"/>
    <m/>
    <n v="0"/>
    <n v="0"/>
    <m/>
    <m/>
    <m/>
  </r>
  <r>
    <x v="803"/>
    <d v="2024-03-26T00:00:00"/>
    <s v="Week11"/>
    <d v="2024-03-01T00:00:00"/>
    <s v="DRY2400010"/>
    <s v="USA"/>
    <s v="Bellisio Foods, Inc."/>
    <s v="C-Wonton"/>
    <s v="C-Wonton"/>
    <x v="7"/>
    <s v="Cooked Minced Wonton No Egg"/>
    <s v="082SKBW08005P00001"/>
    <s v="145g*8"/>
    <n v="8"/>
    <n v="5"/>
    <n v="6.0000000000000001E-3"/>
    <s v="BK"/>
    <s v="Salt"/>
    <s v="Regular"/>
    <n v="378"/>
    <m/>
    <n v="378"/>
    <n v="0"/>
    <n v="0"/>
    <m/>
    <m/>
    <m/>
  </r>
  <r>
    <x v="803"/>
    <d v="2024-04-02T00:00:00"/>
    <s v="Week11"/>
    <d v="2024-03-01T00:00:00"/>
    <s v="DRY2400100"/>
    <s v="USA"/>
    <s v="Bellisio Foods, Inc."/>
    <s v="C-Wonton"/>
    <s v="C-Wonton"/>
    <x v="7"/>
    <s v="Cooked Minced Wonton No Egg"/>
    <s v="082SKBW08005P00001"/>
    <s v="145g*8"/>
    <n v="8"/>
    <n v="5"/>
    <n v="6.0000000000000001E-3"/>
    <s v="BK"/>
    <s v="Salt"/>
    <s v="Regular"/>
    <n v="1400"/>
    <m/>
    <n v="1400"/>
    <n v="0"/>
    <n v="0"/>
    <m/>
    <m/>
    <m/>
  </r>
  <r>
    <x v="803"/>
    <d v="2024-03-27T00:00:00"/>
    <s v="Week11"/>
    <d v="2024-03-01T00:00:00"/>
    <s v="DRY2400121"/>
    <s v="USA"/>
    <s v="Bellisio Foods, Inc."/>
    <s v="C-Wonton"/>
    <s v="C-Wonton"/>
    <x v="7"/>
    <s v="Cooked Minced Wonton No Egg"/>
    <s v="082SKBW08005P00001"/>
    <s v="145g*8"/>
    <n v="8"/>
    <n v="5"/>
    <n v="6.0000000000000001E-3"/>
    <s v="BK"/>
    <s v="Salt"/>
    <s v="Regular"/>
    <n v="600"/>
    <m/>
    <n v="600"/>
    <n v="0"/>
    <n v="0"/>
    <m/>
    <m/>
    <m/>
  </r>
  <r>
    <x v="803"/>
    <d v="2024-04-18T00:00:00"/>
    <s v="Week11"/>
    <d v="2024-03-01T00:00:00"/>
    <s v="DRY2400122"/>
    <s v="USA"/>
    <s v="Bellisio Foods, Inc."/>
    <s v="C-Wonton"/>
    <s v="C-Wonton"/>
    <x v="7"/>
    <s v="Cooked Minced Wonton No Egg"/>
    <s v="082SKBW08005P00001"/>
    <s v="145g*8"/>
    <n v="8"/>
    <n v="5"/>
    <n v="6.0000000000000001E-3"/>
    <s v="BK"/>
    <s v="Salt"/>
    <s v="Regular"/>
    <n v="350"/>
    <m/>
    <n v="350"/>
    <n v="0"/>
    <n v="0"/>
    <m/>
    <m/>
    <m/>
  </r>
  <r>
    <x v="803"/>
    <d v="2024-03-19T00:00:00"/>
    <s v="Week11"/>
    <d v="2024-03-01T00:00:00"/>
    <s v="KL2400008"/>
    <s v="China"/>
    <s v="Charoen Pokphand Import&amp;Export Trading (Shanghai) Co., Ltd"/>
    <s v="C-Wonton"/>
    <s v="C-Wonton"/>
    <x v="31"/>
    <s v="Wonton Soup  (Enriched wonton sheet)"/>
    <s v="082S85J36005P00001"/>
    <s v="147g*6c*6in"/>
    <n v="36"/>
    <n v="5"/>
    <n v="7.4999999999999997E-3"/>
    <s v="M"/>
    <s v="Salt"/>
    <s v="TYEX+CO"/>
    <n v="145"/>
    <n v="145"/>
    <m/>
    <n v="0"/>
    <n v="0"/>
    <m/>
    <m/>
    <m/>
  </r>
  <r>
    <x v="803"/>
    <d v="2024-03-21T00:00:00"/>
    <s v="Week11"/>
    <d v="2024-03-01T00:00:00"/>
    <s v="KL2400010"/>
    <s v="China"/>
    <s v="Charoen Pokphand Import&amp;Export Trading (Shanghai) Co., Ltd"/>
    <s v="C-Wonton"/>
    <s v="C-Wonton"/>
    <x v="31"/>
    <s v="Wonton Soup  (Enriched wonton sheet)"/>
    <s v="082S85J36005P00001"/>
    <s v="147g*6c*6in"/>
    <n v="36"/>
    <n v="5"/>
    <n v="7.4999999999999997E-3"/>
    <s v="M"/>
    <s v="Salt"/>
    <s v="TYEX+CO"/>
    <n v="143"/>
    <n v="143"/>
    <m/>
    <n v="0"/>
    <n v="0"/>
    <m/>
    <m/>
    <m/>
  </r>
  <r>
    <x v="803"/>
    <d v="2024-04-25T00:00:00"/>
    <s v="Week11"/>
    <d v="2024-03-01T00:00:00"/>
    <s v="DRY2300473"/>
    <s v="AUS"/>
    <s v="CPF Australia Pty Ltd."/>
    <s v="C-Wonton ND"/>
    <s v="Wonton ND+V"/>
    <x v="8"/>
    <s v="Cooked Wonton ND No Egg with Pumpkin _x000a_+ Vegetable 5 pcs tomyam"/>
    <s v="082SJ9U24005P00001"/>
    <s v="307g*4c*6in"/>
    <n v="24"/>
    <n v="5"/>
    <n v="7.4999999999999997E-3"/>
    <s v="M"/>
    <s v="Salt"/>
    <s v="TYEX+CO"/>
    <n v="924"/>
    <n v="924"/>
    <m/>
    <n v="0"/>
    <n v="0"/>
    <m/>
    <m/>
    <m/>
  </r>
  <r>
    <x v="803"/>
    <d v="2024-03-26T00:00:00"/>
    <s v="Week11"/>
    <d v="2024-03-01T00:00:00"/>
    <s v="DRY2400114"/>
    <s v="Taiwan"/>
    <s v="CP TAIWAN"/>
    <s v="R-Wonton"/>
    <s v="R-Wonton no egg"/>
    <x v="10"/>
    <s v="Raw Wonton 12 pcs"/>
    <s v="082I93R40012P03001"/>
    <s v="154g*40inner"/>
    <n v="40"/>
    <n v="12"/>
    <n v="8.1300000000000001E-3"/>
    <s v="M"/>
    <s v="Salt"/>
    <s v="ซุปซอง 5g."/>
    <n v="132"/>
    <n v="132"/>
    <m/>
    <n v="0"/>
    <n v="0"/>
    <n v="0"/>
    <n v="2"/>
    <n v="0"/>
  </r>
  <r>
    <x v="803"/>
    <d v="2024-04-02T00:00:00"/>
    <s v="Week11"/>
    <d v="2024-03-01T00:00:00"/>
    <s v="DRY2400189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345"/>
    <n v="288"/>
    <n v="57"/>
    <n v="0"/>
    <n v="0"/>
    <n v="0"/>
    <n v="2"/>
    <n v="0"/>
  </r>
  <r>
    <x v="804"/>
    <d v="2024-03-19T00:00:00"/>
    <s v="Week11"/>
    <d v="2024-03-01T00:00:00"/>
    <s v="DRY240004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49"/>
    <n v="449"/>
    <m/>
    <n v="0"/>
    <n v="0"/>
    <m/>
    <m/>
    <m/>
  </r>
  <r>
    <x v="804"/>
    <d v="2024-03-19T00:00:00"/>
    <s v="Week11"/>
    <d v="2024-03-01T00:00:00"/>
    <s v="DRY240004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04"/>
    <d v="2024-03-19T00:00:00"/>
    <s v="Week11"/>
    <d v="2024-03-01T00:00:00"/>
    <s v="DRY240004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04"/>
    <d v="2024-03-22T00:00:00"/>
    <s v="Week11"/>
    <d v="2024-03-01T00:00:00"/>
    <s v="DRY240004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04"/>
    <d v="2024-03-22T00:00:00"/>
    <s v="Week11"/>
    <d v="2024-03-01T00:00:00"/>
    <s v="DRY240004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62"/>
    <n v="662"/>
    <m/>
    <n v="0"/>
    <n v="0"/>
    <m/>
    <m/>
    <m/>
  </r>
  <r>
    <x v="804"/>
    <d v="2024-04-02T00:00:00"/>
    <s v="Week11"/>
    <d v="2024-03-01T00:00:00"/>
    <s v="DRY2400189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36"/>
    <n v="536"/>
    <m/>
    <n v="0"/>
    <n v="0"/>
    <n v="0"/>
    <n v="2"/>
    <n v="0"/>
  </r>
  <r>
    <x v="805"/>
    <d v="2024-03-22T00:00:00"/>
    <s v="Week11"/>
    <d v="2024-03-01T00:00:00"/>
    <s v="DRY240004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30"/>
    <n v="130"/>
    <m/>
    <n v="0"/>
    <n v="0"/>
    <m/>
    <m/>
    <m/>
  </r>
  <r>
    <x v="805"/>
    <d v="2024-03-22T00:00:00"/>
    <s v="Week11"/>
    <d v="2024-03-01T00:00:00"/>
    <s v="DRY240004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05"/>
    <d v="2024-03-22T00:00:00"/>
    <s v="Week11"/>
    <d v="2024-03-01T00:00:00"/>
    <s v="DRY240005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05"/>
    <d v="2024-03-22T00:00:00"/>
    <s v="Week11"/>
    <d v="2024-03-01T00:00:00"/>
    <s v="DRY240005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05"/>
    <d v="2024-03-25T00:00:00"/>
    <s v="Week11"/>
    <d v="2024-03-01T00:00:00"/>
    <s v="DRY240005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05"/>
    <d v="2024-03-25T00:00:00"/>
    <s v="Week11"/>
    <d v="2024-03-01T00:00:00"/>
    <s v="DRY240005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96"/>
    <n v="596"/>
    <m/>
    <n v="0"/>
    <n v="0"/>
    <m/>
    <m/>
    <m/>
  </r>
  <r>
    <x v="805"/>
    <d v="2024-04-02T00:00:00"/>
    <s v="Week11"/>
    <d v="2024-03-01T00:00:00"/>
    <s v="DRY2400189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453"/>
    <n v="453"/>
    <m/>
    <n v="0"/>
    <n v="0"/>
    <n v="0"/>
    <n v="2"/>
    <n v="0"/>
  </r>
  <r>
    <x v="806"/>
    <d v="2024-03-25T00:00:00"/>
    <s v="Week11"/>
    <d v="2024-03-01T00:00:00"/>
    <s v="DRY240005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96"/>
    <n v="196"/>
    <m/>
    <n v="0"/>
    <n v="0"/>
    <m/>
    <m/>
    <m/>
  </r>
  <r>
    <x v="806"/>
    <d v="2024-03-25T00:00:00"/>
    <s v="Week11"/>
    <d v="2024-03-01T00:00:00"/>
    <s v="DRY240005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06"/>
    <d v="2024-03-25T00:00:00"/>
    <s v="Week11"/>
    <d v="2024-03-01T00:00:00"/>
    <s v="DRY240005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06"/>
    <d v="2024-03-25T00:00:00"/>
    <s v="Week11"/>
    <d v="2024-03-01T00:00:00"/>
    <s v="DRY240005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06"/>
    <d v="2024-03-25T00:00:00"/>
    <s v="Week11"/>
    <d v="2024-03-01T00:00:00"/>
    <s v="DRY240005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08"/>
    <n v="508"/>
    <m/>
    <n v="0"/>
    <n v="0"/>
    <m/>
    <m/>
    <m/>
  </r>
  <r>
    <x v="806"/>
    <d v="2024-03-26T00:00:00"/>
    <s v="Week11"/>
    <d v="2024-03-01T00:00:00"/>
    <s v="DRY2400120"/>
    <s v="Denmark"/>
    <s v="CPF DENMARK"/>
    <s v="C-Wonton ND"/>
    <s v="Wonton ND+V"/>
    <x v="8"/>
    <s v="Cooked Wonton ND No Egg with Pumpkin _x000a_+ Vegetable  HC  3 pcs tomyam"/>
    <s v="082SJKW08003P00001"/>
    <s v="309g*8"/>
    <n v="8"/>
    <n v="3"/>
    <n v="7.4999999999999997E-3"/>
    <s v="M"/>
    <s v="Salt"/>
    <s v="TYANS+CM"/>
    <n v="3500"/>
    <m/>
    <n v="3589.25"/>
    <n v="89.25"/>
    <n v="0"/>
    <m/>
    <m/>
    <m/>
  </r>
  <r>
    <x v="806"/>
    <d v="2024-04-02T00:00:00"/>
    <s v="Week11"/>
    <d v="2024-03-01T00:00:00"/>
    <s v="DRY2400189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290"/>
    <n v="290"/>
    <m/>
    <n v="0"/>
    <n v="0"/>
    <n v="0"/>
    <n v="2"/>
    <n v="0"/>
  </r>
  <r>
    <x v="806"/>
    <d v="2024-04-02T00:00:00"/>
    <s v="Week11"/>
    <d v="2024-03-01T00:00:00"/>
    <s v="DRY2400192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288"/>
    <n v="256"/>
    <n v="32"/>
    <n v="0"/>
    <n v="0"/>
    <n v="0"/>
    <n v="6"/>
    <n v="0"/>
  </r>
  <r>
    <x v="807"/>
    <d v="2024-03-27T00:00:00"/>
    <s v="Week11"/>
    <d v="2024-03-01T00:00:00"/>
    <s v="DRY2400121"/>
    <s v="USA"/>
    <s v="Bellisio Foods, Inc."/>
    <s v="C-Wonton"/>
    <s v="C-Wonton ND"/>
    <x v="3"/>
    <s v="Cooked Minced Wonton Noodle No Egg"/>
    <s v="082SRBW24005P00001"/>
    <s v="258g*4c*6in"/>
    <n v="24"/>
    <n v="5"/>
    <n v="6.0000000000000001E-3"/>
    <s v="BK"/>
    <s v="Salt"/>
    <s v="Regular"/>
    <n v="1000"/>
    <n v="1000"/>
    <m/>
    <n v="0"/>
    <n v="0"/>
    <m/>
    <m/>
    <m/>
  </r>
  <r>
    <x v="807"/>
    <d v="2024-04-18T00:00:00"/>
    <s v="Week11"/>
    <d v="2024-03-01T00:00:00"/>
    <s v="DRY2400122"/>
    <s v="USA"/>
    <s v="Bellisio Foods, Inc."/>
    <s v="C-Wonton"/>
    <s v="C-Wonton ND"/>
    <x v="3"/>
    <s v="Cooked Minced Wonton Noodle No Egg"/>
    <s v="082SRBW24005P00001"/>
    <s v="258g*4c*6in"/>
    <n v="24"/>
    <n v="5"/>
    <n v="6.0000000000000001E-3"/>
    <s v="BK"/>
    <s v="Salt"/>
    <s v="Regular"/>
    <n v="800"/>
    <n v="800"/>
    <m/>
    <n v="0"/>
    <n v="0"/>
    <m/>
    <m/>
    <m/>
  </r>
  <r>
    <x v="807"/>
    <d v="2024-03-25T00:00:00"/>
    <s v="Week11"/>
    <d v="2024-03-01T00:00:00"/>
    <s v="DRY240005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84"/>
    <n v="284"/>
    <m/>
    <n v="0"/>
    <n v="0"/>
    <m/>
    <m/>
    <m/>
  </r>
  <r>
    <x v="807"/>
    <d v="2024-03-26T00:00:00"/>
    <s v="Week11"/>
    <d v="2024-03-01T00:00:00"/>
    <s v="DRY240005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07"/>
    <d v="2024-03-26T00:00:00"/>
    <s v="Week11"/>
    <d v="2024-03-01T00:00:00"/>
    <s v="DRY240005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07"/>
    <d v="2024-03-26T00:00:00"/>
    <s v="Week11"/>
    <d v="2024-03-01T00:00:00"/>
    <s v="DRY240006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03"/>
    <n v="303"/>
    <m/>
    <n v="0"/>
    <n v="0"/>
    <m/>
    <m/>
    <m/>
  </r>
  <r>
    <x v="808"/>
    <d v="2024-04-01T00:00:00"/>
    <s v="Week12"/>
    <d v="2024-03-01T00:00:00"/>
    <s v="ขายภายใน"/>
    <s v=".7-11"/>
    <s v="ถ้วยขาวพิมพ์กดสีฟ้า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5061"/>
    <n v="5061"/>
    <m/>
    <n v="0"/>
    <n v="0"/>
    <m/>
    <m/>
    <m/>
  </r>
  <r>
    <x v="808"/>
    <d v="2024-04-02T00:00:00"/>
    <s v="Week12"/>
    <d v="2024-03-01T00:00:00"/>
    <s v="DRY2400192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510"/>
    <n v="510"/>
    <m/>
    <n v="0"/>
    <n v="0"/>
    <n v="0"/>
    <n v="6"/>
    <n v="0"/>
  </r>
  <r>
    <x v="809"/>
    <d v="2024-04-03T00:00:00"/>
    <s v="Week12"/>
    <d v="2024-03-01T00:00:00"/>
    <s v="DRY2400106"/>
    <s v="CAN "/>
    <s v="Bellisio Foods Canada"/>
    <s v="C-Wonton"/>
    <s v="C-Wonton ND"/>
    <x v="3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n v="2600"/>
    <n v="0"/>
    <n v="0"/>
    <m/>
    <m/>
    <m/>
  </r>
  <r>
    <x v="809"/>
    <d v="2024-03-26T00:00:00"/>
    <s v="Week12"/>
    <d v="2024-03-01T00:00:00"/>
    <s v="DRY240006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89"/>
    <n v="489"/>
    <m/>
    <n v="0"/>
    <n v="0"/>
    <m/>
    <m/>
    <m/>
  </r>
  <r>
    <x v="809"/>
    <d v="2024-03-26T00:00:00"/>
    <s v="Week12"/>
    <d v="2024-03-01T00:00:00"/>
    <s v="DRY240006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09"/>
    <d v="2024-03-27T00:00:00"/>
    <s v="Week12"/>
    <d v="2024-03-01T00:00:00"/>
    <s v="DRY240006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09"/>
    <d v="2024-03-27T00:00:00"/>
    <s v="Week12"/>
    <d v="2024-03-01T00:00:00"/>
    <s v="DRY240006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45"/>
    <n v="245"/>
    <m/>
    <n v="0"/>
    <n v="0"/>
    <m/>
    <m/>
    <m/>
  </r>
  <r>
    <x v="809"/>
    <d v="2024-04-02T00:00:00"/>
    <s v="Week12"/>
    <d v="2024-03-01T00:00:00"/>
    <s v="DRY2400192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508"/>
    <n v="508"/>
    <m/>
    <n v="0"/>
    <n v="0"/>
    <n v="0"/>
    <n v="6"/>
    <n v="0"/>
  </r>
  <r>
    <x v="810"/>
    <d v="2024-04-01T00:00:00"/>
    <s v="Week12"/>
    <d v="2024-03-01T00:00:00"/>
    <s v="ขายภายใน"/>
    <s v="MTFS"/>
    <s v="ซีพีเอฟ เทรดดิ้ง"/>
    <s v="C-Wonton"/>
    <s v="C-Wonton"/>
    <x v="12"/>
    <s v="Cooked Wonton  with egg V-Food"/>
    <s v="082S83Q12005P05000"/>
    <s v="145g*12"/>
    <n v="12"/>
    <n v="5"/>
    <n v="8.0000000000000002E-3"/>
    <s v="M"/>
    <s v="STPP"/>
    <s v="Regular"/>
    <n v="12"/>
    <n v="12"/>
    <m/>
    <n v="0"/>
    <n v="0"/>
    <m/>
    <m/>
    <m/>
  </r>
  <r>
    <x v="810"/>
    <m/>
    <s v="Week12"/>
    <d v="2024-03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1953"/>
    <n v="1953"/>
    <m/>
    <n v="0"/>
    <n v="0"/>
    <m/>
    <m/>
    <m/>
  </r>
  <r>
    <x v="810"/>
    <d v="2024-04-01T00:00:00"/>
    <s v="Week12"/>
    <d v="2024-03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403"/>
    <n v="403"/>
    <m/>
    <n v="0"/>
    <n v="0"/>
    <m/>
    <n v="1"/>
    <n v="0"/>
  </r>
  <r>
    <x v="810"/>
    <d v="2024-03-21T00:00:00"/>
    <s v="Week12"/>
    <d v="2024-03-01T00:00:00"/>
    <s v="ขายภายใน"/>
    <s v="MTFS"/>
    <s v="ซีพีเอฟ เทรดดิ้ง"/>
    <s v="C-Wonton"/>
    <s v="C-Wonton"/>
    <x v="32"/>
    <s v="เกี๊ยวกุ้งซุปหมาล่าแพ็คสุดคุ้ม (ตรา ซีพี)"/>
    <s v="082S83Q18005P06001"/>
    <s v="143g*18"/>
    <n v="18"/>
    <n v="5"/>
    <n v="6.1999999999999998E-3"/>
    <s v="SS"/>
    <s v="STPP"/>
    <s v="หมาล่า"/>
    <n v="647"/>
    <n v="647"/>
    <m/>
    <n v="0"/>
    <n v="0"/>
    <m/>
    <m/>
    <m/>
  </r>
  <r>
    <x v="810"/>
    <d v="2024-03-27T00:00:00"/>
    <s v="Week12"/>
    <d v="2024-03-01T00:00:00"/>
    <s v="ขายภายใน"/>
    <s v=".7-11"/>
    <s v="ซีพีเอฟ เทรดดิ้ง"/>
    <s v="C-Wonton"/>
    <s v="C-Wonton"/>
    <x v="32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808"/>
    <n v="808"/>
    <m/>
    <n v="0"/>
    <n v="0"/>
    <m/>
    <m/>
    <m/>
  </r>
  <r>
    <x v="810"/>
    <m/>
    <s v="Week12"/>
    <d v="2024-03-01T00:00:00"/>
    <s v="ขายภายใน"/>
    <s v=".7-11"/>
    <s v="ซีพีเอฟ เทรดดิ้ง"/>
    <s v="C-Wonton"/>
    <s v="C-Wonton"/>
    <x v="32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3621"/>
    <n v="1089"/>
    <n v="2192.25"/>
    <n v="-339.75"/>
    <n v="8154"/>
    <m/>
    <m/>
    <m/>
  </r>
  <r>
    <x v="810"/>
    <d v="2024-04-02T00:00:00"/>
    <s v="Week12"/>
    <d v="2024-03-01T00:00:00"/>
    <s v="DRY2400192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504"/>
    <n v="504"/>
    <m/>
    <n v="0"/>
    <n v="0"/>
    <n v="0"/>
    <n v="6"/>
    <n v="0"/>
  </r>
  <r>
    <x v="811"/>
    <m/>
    <s v="Week12"/>
    <d v="2024-03-01T00:00:00"/>
    <s v="ขายภายใน"/>
    <s v="MTFS"/>
    <s v="ซีพีเอฟ เทรดดิ้ง"/>
    <s v="C-Wonton"/>
    <s v="C-Wonton"/>
    <x v="11"/>
    <s v="Cooked Wonton ND with egg V-Food"/>
    <s v="082SJ3Q12003P07001"/>
    <s v="226g*12"/>
    <n v="12"/>
    <n v="3"/>
    <n v="8.0000000000000002E-3"/>
    <s v="M"/>
    <s v="STPP"/>
    <s v="Regular"/>
    <n v="774"/>
    <m/>
    <n v="774"/>
    <n v="0"/>
    <n v="0"/>
    <m/>
    <m/>
    <m/>
  </r>
  <r>
    <x v="811"/>
    <d v="2024-04-01T00:00:00"/>
    <s v="Week12"/>
    <d v="2024-03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4408"/>
    <n v="3152"/>
    <n v="1256.2916666666667"/>
    <n v="0.29166666666696983"/>
    <n v="0"/>
    <m/>
    <m/>
    <m/>
  </r>
  <r>
    <x v="811"/>
    <m/>
    <s v="Week12"/>
    <d v="2024-03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1723"/>
    <n v="1682"/>
    <n v="41.333333333333336"/>
    <n v="0.33333333333325754"/>
    <n v="0"/>
    <m/>
    <n v="1"/>
    <n v="0"/>
  </r>
  <r>
    <x v="811"/>
    <d v="2024-04-02T00:00:00"/>
    <s v="Week12"/>
    <d v="2024-03-01T00:00:00"/>
    <s v="DRY2400192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246"/>
    <n v="246"/>
    <m/>
    <n v="0"/>
    <n v="0"/>
    <n v="0"/>
    <n v="6"/>
    <n v="0"/>
  </r>
  <r>
    <x v="811"/>
    <d v="2024-04-09T00:00:00"/>
    <s v="Week12"/>
    <d v="2024-03-01T00:00:00"/>
    <s v="DRY2400113"/>
    <s v="Belgium"/>
    <s v="CPF EUROPE S.A."/>
    <s v="R-Wonton"/>
    <s v="R-Wonton no egg"/>
    <x v="10"/>
    <s v="Raw Wonton 50 pcs"/>
    <s v="082I93I10050P02001"/>
    <s v="630g*10inner"/>
    <n v="10"/>
    <n v="50"/>
    <n v="8.1300000000000001E-3"/>
    <s v="M"/>
    <s v="Salt"/>
    <s v="ซุปซอง 5g."/>
    <n v="240"/>
    <n v="230"/>
    <n v="10"/>
    <n v="0"/>
    <n v="0"/>
    <n v="0"/>
    <n v="6"/>
    <n v="0"/>
  </r>
  <r>
    <x v="812"/>
    <d v="2024-03-27T00:00:00"/>
    <s v="Week12"/>
    <d v="2024-03-01T00:00:00"/>
    <s v="DRY240006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47"/>
    <n v="547"/>
    <m/>
    <n v="0"/>
    <n v="0"/>
    <m/>
    <m/>
    <m/>
  </r>
  <r>
    <x v="812"/>
    <d v="2024-03-27T00:00:00"/>
    <s v="Week12"/>
    <d v="2024-03-01T00:00:00"/>
    <s v="DRY240006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12"/>
    <d v="2024-03-27T00:00:00"/>
    <s v="Week12"/>
    <d v="2024-03-01T00:00:00"/>
    <s v="DRY240006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12"/>
    <d v="2024-03-27T00:00:00"/>
    <s v="Week12"/>
    <d v="2024-03-01T00:00:00"/>
    <s v="DRY240006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67"/>
    <n v="767"/>
    <m/>
    <n v="0"/>
    <n v="0"/>
    <m/>
    <m/>
    <m/>
  </r>
  <r>
    <x v="812"/>
    <d v="2024-04-09T00:00:00"/>
    <s v="Week12"/>
    <d v="2024-03-01T00:00:00"/>
    <s v="DRY2400113"/>
    <s v="Belgium"/>
    <s v="CPF EUROPE S.A."/>
    <s v="R-Wonton"/>
    <s v="R-Wonton no egg"/>
    <x v="10"/>
    <s v="Raw Wonton 50 pcs"/>
    <s v="082I93I10050P02001"/>
    <s v="630g*10inner"/>
    <n v="10"/>
    <n v="50"/>
    <n v="8.1300000000000001E-3"/>
    <s v="M"/>
    <s v="Salt"/>
    <s v="ซุปซอง 5g."/>
    <n v="260"/>
    <n v="221"/>
    <n v="39"/>
    <n v="0"/>
    <n v="0"/>
    <n v="0"/>
    <n v="6"/>
    <n v="0"/>
  </r>
  <r>
    <x v="812"/>
    <d v="2024-04-05T00:00:00"/>
    <s v="Week12"/>
    <d v="2024-03-01T00:00:00"/>
    <s v="KL2400001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286"/>
    <n v="238"/>
    <n v="48"/>
    <n v="0"/>
    <n v="0"/>
    <n v="0"/>
    <n v="6"/>
    <n v="0"/>
  </r>
  <r>
    <x v="813"/>
    <d v="2024-03-26T00:00:00"/>
    <s v="Week12"/>
    <d v="2024-03-01T00:00:00"/>
    <s v="DRY240006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5"/>
    <n v="25"/>
    <m/>
    <n v="0"/>
    <n v="0"/>
    <m/>
    <m/>
    <m/>
  </r>
  <r>
    <x v="813"/>
    <d v="2024-03-26T00:00:00"/>
    <s v="Week12"/>
    <d v="2024-03-01T00:00:00"/>
    <s v="DRY240006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13"/>
    <d v="2024-03-27T00:00:00"/>
    <s v="Week12"/>
    <d v="2024-03-01T00:00:00"/>
    <s v="DRY240006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13"/>
    <d v="2024-03-27T00:00:00"/>
    <s v="Week12"/>
    <d v="2024-03-01T00:00:00"/>
    <s v="DRY240006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13"/>
    <d v="2024-03-27T00:00:00"/>
    <s v="Week12"/>
    <d v="2024-03-01T00:00:00"/>
    <s v="DRY240007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13"/>
    <d v="2024-03-28T00:00:00"/>
    <s v="Week12"/>
    <d v="2024-03-01T00:00:00"/>
    <s v="DRY240007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55"/>
    <n v="655"/>
    <m/>
    <n v="0"/>
    <n v="0"/>
    <m/>
    <m/>
    <m/>
  </r>
  <r>
    <x v="813"/>
    <d v="2024-04-05T00:00:00"/>
    <s v="Week12"/>
    <d v="2024-03-01T00:00:00"/>
    <s v="KL2400001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539"/>
    <n v="539"/>
    <m/>
    <n v="0"/>
    <n v="0"/>
    <n v="0"/>
    <n v="6"/>
    <n v="0"/>
  </r>
  <r>
    <x v="814"/>
    <d v="2024-04-12T00:00:00"/>
    <s v="Week12"/>
    <d v="2024-03-01T00:00:00"/>
    <s v="DRY2400180"/>
    <s v="CAN "/>
    <s v="Bellisio Foods Canada"/>
    <s v="C-Wonton"/>
    <s v="C-Wonton ND"/>
    <x v="3"/>
    <s v="Cooked Minced Wonton Noodle (Enriched wonton sheet&amp;noodles)"/>
    <s v="082SR5312005P00001"/>
    <s v="258g*12"/>
    <n v="12"/>
    <n v="5"/>
    <n v="6.0000000000000001E-3"/>
    <s v="BK"/>
    <s v="Salt"/>
    <s v="Regular"/>
    <n v="1773"/>
    <m/>
    <n v="1773.25"/>
    <n v="0.25"/>
    <n v="0"/>
    <m/>
    <m/>
    <m/>
  </r>
  <r>
    <x v="814"/>
    <d v="2024-04-04T00:00:00"/>
    <s v="Week12"/>
    <d v="2024-03-01T00:00:00"/>
    <s v="DRY2400103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63"/>
    <n v="29"/>
    <n v="0"/>
    <n v="0"/>
    <m/>
    <m/>
    <m/>
  </r>
  <r>
    <x v="814"/>
    <d v="2024-04-18T00:00:00"/>
    <s v="Week12"/>
    <d v="2024-03-01T00:00:00"/>
    <s v="DRY2400101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n v="792"/>
    <m/>
    <n v="0"/>
    <n v="0"/>
    <m/>
    <m/>
    <m/>
  </r>
  <r>
    <x v="814"/>
    <d v="2024-04-05T00:00:00"/>
    <s v="Week12"/>
    <d v="2024-03-01T00:00:00"/>
    <s v="DRY2400156"/>
    <s v="New Zealand"/>
    <s v="Lim Brothers"/>
    <s v="C-Wonton"/>
    <s v="C-Wonton ND"/>
    <x v="5"/>
    <s v="Cooked Wonton ND No Egg with Pumpkin_x000a_+ Yu Choy "/>
    <s v="082SJN708004P00001"/>
    <s v="305g*8"/>
    <n v="8"/>
    <n v="4"/>
    <n v="7.4999999999999997E-3"/>
    <s v="HC"/>
    <s v="Salt"/>
    <s v="Regular"/>
    <n v="810"/>
    <m/>
    <n v="772.5"/>
    <n v="-37.5"/>
    <n v="300"/>
    <m/>
    <m/>
    <m/>
  </r>
  <r>
    <x v="814"/>
    <d v="2024-04-10T00:00:00"/>
    <s v="Week12"/>
    <d v="2024-03-01T00:00:00"/>
    <s v="DRY2400217"/>
    <s v="AUS"/>
    <s v="CPF Australia Pty Ltd."/>
    <s v="C-Wonton"/>
    <s v="C-Wonton ND"/>
    <x v="5"/>
    <s v="Cooked Wonton ND No Egg with Pumpkin_x000a_+ Yu Choy "/>
    <s v="082SJ9U08004P00001"/>
    <s v="305g*8"/>
    <n v="8"/>
    <n v="4"/>
    <n v="7.4999999999999997E-3"/>
    <s v="HC"/>
    <s v="Salt"/>
    <s v="Regular"/>
    <n v="1000"/>
    <m/>
    <n v="1003.75"/>
    <n v="3.75"/>
    <n v="0"/>
    <m/>
    <m/>
    <m/>
  </r>
  <r>
    <x v="814"/>
    <d v="2024-04-09T00:00:00"/>
    <s v="Week12"/>
    <d v="2024-03-01T00:00:00"/>
    <s v="DRY2400113"/>
    <s v="Belgium"/>
    <s v="CPF EUROPE S.A."/>
    <s v="C-Wonton ND"/>
    <s v="Wonton ND+V"/>
    <x v="5"/>
    <s v="Cooked Wonton ND No Egg with Pumpkin _x000a_+ Vegetable  HC  3 pcs"/>
    <s v="082SJ3I08003P00001"/>
    <s v="309g*8"/>
    <n v="8"/>
    <n v="3"/>
    <n v="7.4999999999999997E-3"/>
    <s v="HC"/>
    <s v="Salt"/>
    <s v="Regular"/>
    <n v="800"/>
    <m/>
    <n v="816.25"/>
    <n v="16.25"/>
    <n v="0"/>
    <m/>
    <m/>
    <m/>
  </r>
  <r>
    <x v="814"/>
    <d v="2024-04-02T00:00:00"/>
    <s v="Week12"/>
    <d v="2024-03-01T00:00:00"/>
    <s v="DRY2400115"/>
    <s v="Germany"/>
    <s v=" CPF Distribution (under Paulsen Food)"/>
    <s v="C-Wonton"/>
    <s v="C-Wonton ND"/>
    <x v="5"/>
    <s v="Cooked Wonton ND No Egg with Pumpkin _x000a_+ Vegetable  HC  3 pcs"/>
    <s v="082SJ3N12003P01001"/>
    <s v="309g*12"/>
    <n v="12"/>
    <n v="3"/>
    <n v="7.4999999999999997E-3"/>
    <s v="HC"/>
    <s v="Salt"/>
    <s v="Regular"/>
    <n v="2040"/>
    <m/>
    <n v="2040"/>
    <n v="0"/>
    <n v="0"/>
    <m/>
    <m/>
    <m/>
  </r>
  <r>
    <x v="814"/>
    <d v="2024-04-02T00:00:00"/>
    <s v="Week12"/>
    <d v="2024-03-01T00:00:00"/>
    <s v="DRY2400118"/>
    <s v="Germany"/>
    <s v=" CPF Distribution (under Paulsen Food)"/>
    <s v="C-Wonton"/>
    <s v="C-Wonton ND"/>
    <x v="27"/>
    <s v="Cooked Minced  ND No Egg with Pumpkin_x000a_+ Yu Choy Tomkha"/>
    <s v="082SR3N12003P01001"/>
    <s v="302g*12"/>
    <n v="12"/>
    <n v="3"/>
    <n v="6.0000000000000001E-3"/>
    <s v="BK"/>
    <s v="Salt"/>
    <s v="Tomkha+CM"/>
    <n v="2040"/>
    <m/>
    <n v="2040"/>
    <n v="0"/>
    <n v="0"/>
    <m/>
    <m/>
    <m/>
  </r>
  <r>
    <x v="814"/>
    <d v="2024-04-05T00:00:00"/>
    <s v="Week12"/>
    <d v="2024-03-01T00:00:00"/>
    <s v="DRY2400156"/>
    <s v="New Zealand"/>
    <s v="Lim Brothers"/>
    <s v="C-Wonton"/>
    <s v="C-Wonton ND"/>
    <x v="27"/>
    <s v="Cooked Minced  ND No Egg with Pumpkin_x000a_+ Yu Choy Tomkha"/>
    <s v="082SRN708003P01001"/>
    <s v="302g*8"/>
    <n v="8"/>
    <n v="3"/>
    <n v="6.0000000000000001E-3"/>
    <s v="BK"/>
    <s v="Salt"/>
    <s v="Tomkha+CM"/>
    <n v="162"/>
    <m/>
    <n v="206.5"/>
    <n v="44.5"/>
    <n v="0"/>
    <m/>
    <m/>
    <m/>
  </r>
  <r>
    <x v="814"/>
    <d v="2024-05-14T00:00:00"/>
    <s v="Week12"/>
    <d v="2024-03-01T00:00:00"/>
    <s v="DRY2400304"/>
    <s v="BRUNEI"/>
    <s v="Ben Foods"/>
    <s v="C-Wonton"/>
    <s v="C-Wonton ND"/>
    <x v="27"/>
    <s v="Cooked Minced  ND No Egg with Pumpkin_x000a_+ Yu Choy Tomkha"/>
    <s v="082SRB508003P01001"/>
    <s v="302g*8"/>
    <n v="8"/>
    <n v="3"/>
    <n v="6.0000000000000001E-3"/>
    <s v="BK"/>
    <s v="Salt"/>
    <s v="Tomkha+CM"/>
    <n v="150"/>
    <m/>
    <n v="55.625"/>
    <n v="-94.375"/>
    <n v="755"/>
    <m/>
    <m/>
    <m/>
  </r>
  <r>
    <x v="815"/>
    <d v="2024-03-29T00:00:00"/>
    <s v="Week13"/>
    <d v="2024-03-01T00:00:00"/>
    <s v="DRY2400184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153"/>
    <n v="135"/>
    <n v="0"/>
    <n v="0"/>
    <m/>
    <m/>
    <m/>
  </r>
  <r>
    <x v="815"/>
    <d v="2024-03-29T00:00:00"/>
    <s v="Week13"/>
    <d v="2024-03-01T00:00:00"/>
    <s v="DRY2400186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815"/>
    <d v="2024-03-29T00:00:00"/>
    <s v="Week13"/>
    <d v="2024-03-01T00:00:00"/>
    <s v="DRY2400185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692"/>
    <n v="692"/>
    <m/>
    <n v="0"/>
    <n v="0"/>
    <m/>
    <m/>
    <m/>
  </r>
  <r>
    <x v="815"/>
    <d v="2024-04-09T00:00:00"/>
    <s v="Week13"/>
    <d v="2024-03-01T00:00:00"/>
    <s v="DRY2400113"/>
    <s v="Belgium"/>
    <s v="CPF EUROPE S.A."/>
    <s v="C-Wonton"/>
    <s v="C-Wonton"/>
    <x v="19"/>
    <s v="Cooked Wonton  No Egg _x000a_+ Vegetable  HC  4 pcs"/>
    <s v="082S83I08004P00001"/>
    <s v="145g*8"/>
    <n v="8"/>
    <n v="4"/>
    <n v="7.4999999999999997E-3"/>
    <s v="HC"/>
    <s v="Salt"/>
    <s v="Regular"/>
    <n v="2000"/>
    <m/>
    <n v="2211"/>
    <n v="211"/>
    <n v="0"/>
    <m/>
    <m/>
    <m/>
  </r>
  <r>
    <x v="815"/>
    <d v="2024-04-05T00:00:00"/>
    <s v="Week13"/>
    <d v="2024-03-01T00:00:00"/>
    <s v="KL2400001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538"/>
    <n v="538"/>
    <m/>
    <n v="0"/>
    <n v="0"/>
    <n v="0"/>
    <n v="6"/>
    <n v="0"/>
  </r>
  <r>
    <x v="816"/>
    <d v="2024-03-29T00:00:00"/>
    <s v="Week13"/>
    <d v="2024-03-01T00:00:00"/>
    <s v="DRY2400185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596"/>
    <n v="596"/>
    <m/>
    <n v="0"/>
    <n v="0"/>
    <m/>
    <m/>
    <m/>
  </r>
  <r>
    <x v="816"/>
    <d v="2024-04-10T00:00:00"/>
    <s v="Week13"/>
    <d v="2024-03-01T00:00:00"/>
    <s v="DRY2400227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816"/>
    <d v="2024-04-10T00:00:00"/>
    <s v="Week13"/>
    <d v="2024-03-01T00:00:00"/>
    <s v="DRY2400310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288"/>
    <m/>
    <n v="0"/>
    <n v="0"/>
    <m/>
    <m/>
    <m/>
  </r>
  <r>
    <x v="816"/>
    <d v="2024-04-10T00:00:00"/>
    <s v="Week13"/>
    <d v="2024-03-01T00:00:00"/>
    <s v="DRY2400311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n v="1023"/>
    <n v="280.52777777777777"/>
    <n v="15.527777777777828"/>
    <n v="0"/>
    <m/>
    <m/>
    <m/>
  </r>
  <r>
    <x v="816"/>
    <d v="2024-04-05T00:00:00"/>
    <s v="Week13"/>
    <d v="2024-03-01T00:00:00"/>
    <s v="KL2400001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45"/>
    <n v="45"/>
    <m/>
    <n v="0"/>
    <n v="0"/>
    <n v="0"/>
    <n v="6"/>
    <n v="0"/>
  </r>
  <r>
    <x v="816"/>
    <d v="2024-04-01T00:00:00"/>
    <s v="Week13"/>
    <d v="2024-03-01T00:00:00"/>
    <s v="ขายภายใน"/>
    <s v="MTFS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s v="-"/>
    <n v="153"/>
    <n v="153"/>
    <m/>
    <n v="0"/>
    <n v="0"/>
    <n v="0"/>
    <m/>
    <n v="0"/>
  </r>
  <r>
    <x v="816"/>
    <d v="2024-04-01T00:00:00"/>
    <s v="Week13"/>
    <d v="2024-03-01T00:00:00"/>
    <s v="ขายภายใน"/>
    <s v="MTFS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s v="-"/>
    <n v="37"/>
    <n v="37"/>
    <m/>
    <n v="0"/>
    <n v="0"/>
    <n v="0"/>
    <m/>
    <n v="0"/>
  </r>
  <r>
    <x v="816"/>
    <d v="2024-04-10T00:00:00"/>
    <s v="Week13"/>
    <d v="2024-03-01T00:00:00"/>
    <s v="DRY2400200"/>
    <s v="SG"/>
    <s v="CPI SINGAPORE"/>
    <s v="R-Wonton"/>
    <s v="R-Wonton"/>
    <x v="4"/>
    <s v="Raw Wonton 8 pcs"/>
    <s v="082I93B20008P00001"/>
    <s v="194g*20in"/>
    <n v="20"/>
    <n v="8"/>
    <n v="1.4999999999999999E-2"/>
    <s v="JB"/>
    <s v="STPP"/>
    <s v="ซุปซอง 5g."/>
    <n v="500"/>
    <n v="500"/>
    <m/>
    <n v="0"/>
    <n v="0"/>
    <n v="0"/>
    <n v="2"/>
    <n v="0"/>
  </r>
  <r>
    <x v="817"/>
    <d v="2024-04-05T00:00:00"/>
    <s v="Week13"/>
    <d v="2024-03-01T00:00:00"/>
    <s v="DRY2400156"/>
    <s v="New Zealand"/>
    <s v="Lim Brothers"/>
    <s v="C-Wonton"/>
    <s v="C-Wonton ND"/>
    <x v="28"/>
    <s v="Cooked Minced Wonton Thai Spicy Noodles (Kee Mao Noodles)"/>
    <s v="082SRN708003P02001"/>
    <s v="219g*8"/>
    <n v="8"/>
    <n v="3"/>
    <n v="6.0000000000000001E-3"/>
    <s v="BK"/>
    <s v="Salt"/>
    <s v="Kee Mao 50G."/>
    <n v="162"/>
    <m/>
    <n v="175.25"/>
    <n v="13.25"/>
    <n v="0"/>
    <m/>
    <m/>
    <m/>
  </r>
  <r>
    <x v="817"/>
    <d v="2024-04-10T00:00:00"/>
    <s v="Week13"/>
    <d v="2024-03-01T00:00:00"/>
    <s v="DRY2400108"/>
    <s v="Netherlands"/>
    <s v="Westbridge Foods Limited (One UK)"/>
    <s v="C-Wonton"/>
    <s v="C-Wonton"/>
    <x v="1"/>
    <s v="Wonton Soup No Egg  "/>
    <s v="082S8WE36005P00001"/>
    <s v="148g*6c*6in"/>
    <n v="36"/>
    <n v="5"/>
    <n v="7.4999999999999997E-3"/>
    <s v="HC"/>
    <s v="Salt"/>
    <s v="Regular"/>
    <n v="1288"/>
    <n v="1288"/>
    <m/>
    <n v="0"/>
    <n v="0"/>
    <m/>
    <m/>
    <m/>
  </r>
  <r>
    <x v="817"/>
    <d v="2024-04-17T00:00:00"/>
    <s v="Week13"/>
    <d v="2024-03-01T00:00:00"/>
    <s v="DRY2400109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n v="1288"/>
    <m/>
    <n v="0"/>
    <n v="0"/>
    <m/>
    <m/>
    <m/>
  </r>
  <r>
    <x v="817"/>
    <d v="2024-04-18T00:00:00"/>
    <s v="Week13"/>
    <d v="2024-03-01T00:00:00"/>
    <s v="DRY2400215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n v="320"/>
    <n v="999.44444444444446"/>
    <n v="31.444444444444343"/>
    <n v="0"/>
    <m/>
    <m/>
    <m/>
  </r>
  <r>
    <x v="817"/>
    <d v="2024-04-10T00:00:00"/>
    <s v="Week13"/>
    <d v="2024-03-01T00:00:00"/>
    <s v="DRY2400201"/>
    <s v="SG"/>
    <s v="CPI SINGAPORE"/>
    <s v="R-Wonton"/>
    <s v="R-Mince"/>
    <x v="9"/>
    <s v="Raw Minced Wonton 8 pcs"/>
    <s v="082ID3B18008P00001"/>
    <s v="90g*18in"/>
    <n v="18"/>
    <n v="8"/>
    <n v="5.0000000000000001E-3"/>
    <s v="BK"/>
    <s v="STPP"/>
    <s v="ซุปซอง 5g."/>
    <n v="300"/>
    <n v="300"/>
    <m/>
    <n v="0"/>
    <n v="0"/>
    <n v="0"/>
    <n v="2"/>
    <n v="0"/>
  </r>
  <r>
    <x v="817"/>
    <d v="2024-05-02T00:00:00"/>
    <s v="Week13"/>
    <d v="2024-03-01T00:00:00"/>
    <s v="DRY2400294"/>
    <s v="HK"/>
    <s v="CPM Hongkong"/>
    <s v="R-Wonton"/>
    <s v="R-Mince"/>
    <x v="9"/>
    <s v="Raw Minced Wonton 8 pcs"/>
    <s v="082ID3G18008P00001"/>
    <s v="90g*18in"/>
    <n v="18"/>
    <n v="8"/>
    <n v="6.0000000000000001E-3"/>
    <s v="BK"/>
    <s v="STPP"/>
    <s v="ซุปซอง 5g."/>
    <n v="200"/>
    <n v="200"/>
    <n v="31"/>
    <n v="31"/>
    <n v="0"/>
    <n v="0"/>
    <n v="2"/>
    <n v="0"/>
  </r>
  <r>
    <x v="817"/>
    <d v="2024-04-24T00:00:00"/>
    <s v="Week13"/>
    <d v="2024-03-01T00:00:00"/>
    <s v="DRY2400188"/>
    <s v="Malay"/>
    <s v="CPM Malaysia"/>
    <s v="R-Wonton"/>
    <s v="R-Wonton"/>
    <x v="4"/>
    <s v="Raw Wonton 12 pcs"/>
    <s v="082I95I20012P02001"/>
    <s v="154g*20inner"/>
    <n v="20"/>
    <n v="12"/>
    <n v="6.8100000000000001E-3"/>
    <s v="S"/>
    <s v="STPP"/>
    <s v="ซุปซอง 5g."/>
    <n v="350"/>
    <m/>
    <m/>
    <n v="-350"/>
    <n v="7000"/>
    <n v="84000"/>
    <n v="2"/>
    <n v="14000"/>
  </r>
  <r>
    <x v="817"/>
    <d v="2024-04-10T00:00:00"/>
    <s v="Week13"/>
    <d v="2024-03-01T00:00:00"/>
    <s v="DRY2400198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212"/>
    <n v="212"/>
    <m/>
    <n v="0"/>
    <n v="0"/>
    <n v="0"/>
    <n v="2"/>
    <n v="0"/>
  </r>
  <r>
    <x v="818"/>
    <d v="2024-03-30T00:00:00"/>
    <s v="Week13"/>
    <d v="2024-03-01T00:00:00"/>
    <s v="ชดเชยของกัก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93"/>
    <n v="493"/>
    <m/>
    <n v="0"/>
    <n v="0"/>
    <m/>
    <m/>
    <m/>
  </r>
  <r>
    <x v="818"/>
    <d v="2024-03-30T00:00:00"/>
    <s v="Week13"/>
    <d v="2024-03-01T00:00:00"/>
    <s v="ชดเชยของกัก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18"/>
    <d v="2024-04-01T00:00:00"/>
    <s v="Week13"/>
    <d v="2024-03-01T00:00:00"/>
    <s v="ชดเชยของกัก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18"/>
    <d v="2024-04-01T00:00:00"/>
    <s v="Week13"/>
    <d v="2024-03-01T00:00:00"/>
    <s v="ชดเชยของกัก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18"/>
    <d v="2024-04-01T00:00:00"/>
    <s v="Week13"/>
    <d v="2024-03-01T00:00:00"/>
    <s v="ชดเชยของกัก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18"/>
    <d v="2024-04-01T00:00:00"/>
    <s v="Week13"/>
    <d v="2024-03-01T00:00:00"/>
    <s v="ชดเชยของกัก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44"/>
    <n v="444"/>
    <m/>
    <n v="0"/>
    <n v="0"/>
    <m/>
    <m/>
    <m/>
  </r>
  <r>
    <x v="818"/>
    <d v="2024-04-10T00:00:00"/>
    <s v="Week13"/>
    <d v="2024-03-01T00:00:00"/>
    <s v="DRY2400198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988"/>
    <n v="988"/>
    <m/>
    <n v="0"/>
    <n v="0"/>
    <n v="0"/>
    <n v="2"/>
    <n v="0"/>
  </r>
  <r>
    <x v="819"/>
    <d v="2024-04-01T00:00:00"/>
    <s v="Week13"/>
    <d v="2024-03-01T00:00:00"/>
    <s v="ชดเชยของกัก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48"/>
    <n v="348"/>
    <m/>
    <n v="0"/>
    <n v="0"/>
    <m/>
    <m/>
    <m/>
  </r>
  <r>
    <x v="819"/>
    <d v="2024-04-01T00:00:00"/>
    <s v="Week13"/>
    <d v="2024-03-01T00:00:00"/>
    <s v="ชดเชยของกัก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656"/>
    <n v="656"/>
    <m/>
    <n v="0"/>
    <n v="0"/>
    <m/>
    <m/>
    <m/>
  </r>
  <r>
    <x v="819"/>
    <d v="2024-04-01T00:00:00"/>
    <s v="Week13"/>
    <d v="2024-03-01T00:00:00"/>
    <s v="DRY240007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36"/>
    <n v="136"/>
    <m/>
    <n v="0"/>
    <n v="0"/>
    <m/>
    <m/>
    <m/>
  </r>
  <r>
    <x v="819"/>
    <d v="2024-04-04T00:00:00"/>
    <s v="Week13"/>
    <d v="2024-03-01T00:00:00"/>
    <s v="DRY240007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19"/>
    <d v="2024-04-04T00:00:00"/>
    <s v="Week13"/>
    <d v="2024-03-01T00:00:00"/>
    <s v="DRY240007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19"/>
    <d v="2024-04-04T00:00:00"/>
    <s v="Week13"/>
    <d v="2024-03-01T00:00:00"/>
    <s v="DRY240007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19"/>
    <d v="2024-04-04T00:00:00"/>
    <s v="Week13"/>
    <d v="2024-03-01T00:00:00"/>
    <s v="DRY240007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96"/>
    <n v="296"/>
    <m/>
    <n v="0"/>
    <n v="0"/>
    <m/>
    <m/>
    <m/>
  </r>
  <r>
    <x v="819"/>
    <d v="2024-04-26T00:00:00"/>
    <s v="Week13"/>
    <d v="2024-03-01T00:00:00"/>
    <s v="DRY2400303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400"/>
    <n v="387"/>
    <n v="13"/>
    <n v="0"/>
    <n v="0"/>
    <n v="0"/>
    <n v="6"/>
    <n v="0"/>
  </r>
  <r>
    <x v="819"/>
    <d v="2024-04-19T00:00:00"/>
    <s v="Week13"/>
    <d v="2024-03-01T00:00:00"/>
    <s v="ขายภายใน"/>
    <s v="MTFS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s v="-"/>
    <n v="199"/>
    <n v="110"/>
    <n v="89"/>
    <n v="0"/>
    <n v="0"/>
    <n v="0"/>
    <m/>
    <n v="0"/>
  </r>
  <r>
    <x v="820"/>
    <d v="2024-04-04T00:00:00"/>
    <s v="Week13"/>
    <d v="2024-03-01T00:00:00"/>
    <s v="DRY240007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96"/>
    <n v="496"/>
    <m/>
    <n v="0"/>
    <n v="0"/>
    <m/>
    <m/>
    <m/>
  </r>
  <r>
    <x v="820"/>
    <d v="2024-04-04T00:00:00"/>
    <s v="Week13"/>
    <d v="2024-03-01T00:00:00"/>
    <s v="DRY240007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20"/>
    <d v="2024-04-04T00:00:00"/>
    <s v="Week13"/>
    <d v="2024-03-01T00:00:00"/>
    <s v="DRY240007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n v="792"/>
    <m/>
    <n v="0"/>
    <n v="0"/>
    <m/>
    <m/>
    <m/>
  </r>
  <r>
    <x v="820"/>
    <d v="2024-04-04T00:00:00"/>
    <s v="Week13"/>
    <d v="2024-03-01T00:00:00"/>
    <s v="DRY240007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92"/>
    <n v="392"/>
    <m/>
    <n v="0"/>
    <n v="0"/>
    <m/>
    <m/>
    <m/>
  </r>
  <r>
    <x v="820"/>
    <d v="2024-04-09T00:00:00"/>
    <s v="Week13"/>
    <d v="2024-03-01T00:00:00"/>
    <s v="DRY2400228"/>
    <s v="UK"/>
    <s v="Westbridge Foods Limited"/>
    <s v="C-Wonton ND"/>
    <s v="Wonton ND+V"/>
    <x v="8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n v="888"/>
    <n v="36"/>
    <n v="0"/>
    <n v="0"/>
    <m/>
    <m/>
    <m/>
  </r>
  <r>
    <x v="820"/>
    <d v="2024-04-09T00:00:00"/>
    <s v="Week13"/>
    <d v="2024-03-01T00:00:00"/>
    <s v="DRY2400229"/>
    <s v="UK"/>
    <s v="Westbridge Foods Limited"/>
    <s v="C-Wonton ND"/>
    <s v="Wonton ND+V"/>
    <x v="8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n v="924"/>
    <m/>
    <n v="0"/>
    <n v="0"/>
    <m/>
    <m/>
    <m/>
  </r>
  <r>
    <x v="820"/>
    <d v="2024-05-02T00:00:00"/>
    <s v="Week13"/>
    <d v="2024-03-01T00:00:00"/>
    <s v="DRY2400294"/>
    <s v="HK"/>
    <s v="CPM Hongkong"/>
    <s v="R-Wonton"/>
    <s v="R-Wonton"/>
    <x v="4"/>
    <s v="Raw Wonton 8 pcs"/>
    <s v="082I93G18008P00001"/>
    <s v="101g*18in"/>
    <n v="18"/>
    <n v="8"/>
    <n v="6.8100000000000001E-3"/>
    <s v="S"/>
    <s v="STPP"/>
    <s v="ซุปซอง 5g."/>
    <n v="1600"/>
    <n v="1381"/>
    <n v="231"/>
    <n v="12"/>
    <n v="0"/>
    <n v="0"/>
    <n v="1"/>
    <n v="0"/>
  </r>
  <r>
    <x v="821"/>
    <m/>
    <s v="Week13"/>
    <d v="2024-03-01T00:00:00"/>
    <m/>
    <m/>
    <m/>
    <m/>
    <m/>
    <x v="0"/>
    <m/>
    <m/>
    <m/>
    <m/>
    <m/>
    <m/>
    <m/>
    <m/>
    <m/>
    <m/>
    <m/>
    <m/>
    <m/>
    <m/>
    <m/>
    <m/>
    <m/>
  </r>
  <r>
    <x v="822"/>
    <d v="2024-04-04T00:00:00"/>
    <s v="Week14"/>
    <d v="2024-04-01T00:00:00"/>
    <s v="ขายภายใน"/>
    <s v=".7-11"/>
    <s v="ซีพีเอฟ เทรดดิ้ง"/>
    <s v="C-Wonton"/>
    <s v="C-Wonton"/>
    <x v="8"/>
    <s v="Cooked Wonton ND+ Vegetable  SS  3 pcs"/>
    <s v="082SJ1A12003P02001"/>
    <s v="211g*12"/>
    <n v="12"/>
    <n v="3"/>
    <n v="6.1999999999999998E-3"/>
    <s v="SS"/>
    <s v="STPP"/>
    <s v="TYNSF"/>
    <n v="10000"/>
    <m/>
    <m/>
    <n v="-10000"/>
    <n v="120000"/>
    <m/>
    <m/>
    <m/>
  </r>
  <r>
    <x v="823"/>
    <d v="2024-04-04T00:00:00"/>
    <s v="Week14"/>
    <d v="2024-04-01T00:00:00"/>
    <s v="DRY240007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00"/>
    <m/>
    <m/>
    <n v="-400"/>
    <n v="14400"/>
    <m/>
    <m/>
    <m/>
  </r>
  <r>
    <x v="823"/>
    <d v="2024-04-04T00:00:00"/>
    <s v="Week14"/>
    <d v="2024-04-01T00:00:00"/>
    <s v="DRY240007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23"/>
    <d v="2024-04-05T00:00:00"/>
    <s v="Week14"/>
    <d v="2024-04-01T00:00:00"/>
    <s v="DRY240008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23"/>
    <d v="2024-04-05T00:00:00"/>
    <s v="Week14"/>
    <d v="2024-04-01T00:00:00"/>
    <s v="DRY240008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23"/>
    <d v="2024-04-05T00:00:00"/>
    <s v="Week14"/>
    <d v="2024-04-01T00:00:00"/>
    <s v="DRY240008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23"/>
    <d v="2024-04-08T00:00:00"/>
    <s v="Week14"/>
    <d v="2024-04-01T00:00:00"/>
    <s v="DRY240008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99"/>
    <m/>
    <m/>
    <n v="-599"/>
    <n v="21564"/>
    <m/>
    <m/>
    <m/>
  </r>
  <r>
    <x v="824"/>
    <d v="2024-04-12T00:00:00"/>
    <s v="Week14"/>
    <d v="2024-04-01T00:00:00"/>
    <s v="DRY2400180"/>
    <s v="CAN "/>
    <s v="Bellisio Foods Canada"/>
    <s v="C-Wonton"/>
    <s v="C-Wonton ND"/>
    <x v="3"/>
    <s v="Cooked Minced Wonton Noodle (Enriched wonton sheet&amp;noodles)"/>
    <s v="082SR5312005P00001"/>
    <s v="258g*12"/>
    <n v="12"/>
    <n v="5"/>
    <n v="6.0000000000000001E-3"/>
    <s v="BK"/>
    <s v="Salt"/>
    <s v="Regular"/>
    <n v="827"/>
    <m/>
    <m/>
    <n v="-827"/>
    <n v="9924"/>
    <m/>
    <m/>
    <m/>
  </r>
  <r>
    <x v="824"/>
    <d v="2024-04-24T00:00:00"/>
    <s v="Week14"/>
    <d v="2024-04-01T00:00:00"/>
    <s v="DRY2400364"/>
    <s v="CAN "/>
    <s v="Bellisio Foods Canada"/>
    <s v="C-Wonton"/>
    <s v="C-Wonton ND"/>
    <x v="3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m/>
    <n v="-2600"/>
    <n v="31200"/>
    <m/>
    <m/>
    <m/>
  </r>
  <r>
    <x v="824"/>
    <d v="2024-04-26T00:00:00"/>
    <s v="Week14"/>
    <d v="2024-04-01T00:00:00"/>
    <s v="DRY2400303"/>
    <s v="USA"/>
    <s v="Bellisio Foods, Inc."/>
    <s v="C-Wonton"/>
    <s v="C-Wonton"/>
    <x v="7"/>
    <s v="Cooked Minced Wonton No Egg"/>
    <s v="082SKBW08005P00001"/>
    <s v="145g*8"/>
    <n v="8"/>
    <n v="5"/>
    <n v="6.0000000000000001E-3"/>
    <s v="BK"/>
    <s v="Salt"/>
    <s v="Regular"/>
    <n v="1200"/>
    <m/>
    <n v="28.75"/>
    <n v="-1171.25"/>
    <n v="9370"/>
    <m/>
    <m/>
    <m/>
  </r>
  <r>
    <x v="824"/>
    <d v="2024-04-10T00:00:00"/>
    <s v="Week14"/>
    <d v="2024-04-01T00:00:00"/>
    <s v="DRY2400199"/>
    <s v="SG"/>
    <s v="CPI SINGAPORE"/>
    <s v="C-Wonton"/>
    <s v="C-Wonton"/>
    <x v="1"/>
    <s v="Cooked Wonton No Egg"/>
    <s v="082S83B24005P07001"/>
    <s v="145g*24"/>
    <n v="24"/>
    <n v="5"/>
    <n v="8.0000000000000002E-3"/>
    <s v="M"/>
    <s v="STPP"/>
    <s v="Regular"/>
    <n v="250"/>
    <m/>
    <n v="2"/>
    <n v="-248"/>
    <n v="5952"/>
    <m/>
    <m/>
    <m/>
  </r>
  <r>
    <x v="824"/>
    <d v="2024-04-17T00:00:00"/>
    <s v="Week14"/>
    <d v="2024-04-01T00:00:00"/>
    <s v="ขายภายใน"/>
    <s v=".7-11"/>
    <s v="ถ้วยขาวพิมพ์กดสีฟ้า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3690"/>
    <m/>
    <m/>
    <n v="-3690"/>
    <n v="88560"/>
    <m/>
    <m/>
    <m/>
  </r>
  <r>
    <x v="825"/>
    <d v="2024-04-17T00:00:00"/>
    <s v="Week14"/>
    <d v="2024-04-01T00:00:00"/>
    <s v="ขายภายใน"/>
    <s v=".7-11"/>
    <s v="ถ้วยขาวพิมพ์กดสีฟ้า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376"/>
    <m/>
    <m/>
    <n v="-2376"/>
    <n v="57024"/>
    <m/>
    <m/>
    <m/>
  </r>
  <r>
    <x v="825"/>
    <d v="2024-04-24T00:00:00"/>
    <s v="Week14"/>
    <d v="2024-04-01T00:00:00"/>
    <s v="DRY2400188"/>
    <s v="Malay"/>
    <s v="CPM Malaysia"/>
    <s v="C-Wonton"/>
    <s v="C-Wonton"/>
    <x v="1"/>
    <s v="Cooked Wonton No Egg  "/>
    <s v="082S85I24005P01001"/>
    <s v="145g*24"/>
    <n v="24"/>
    <n v="5"/>
    <n v="8.0000000000000002E-3"/>
    <s v="M"/>
    <s v="STPP"/>
    <s v="Regular"/>
    <n v="900"/>
    <m/>
    <n v="8.9166666666666661"/>
    <n v="-891.08333333333337"/>
    <n v="21386"/>
    <m/>
    <m/>
    <m/>
  </r>
  <r>
    <x v="825"/>
    <d v="2024-04-24T00:00:00"/>
    <s v="Week14"/>
    <d v="2024-04-01T00:00:00"/>
    <s v="DRY2400188"/>
    <s v="Malay"/>
    <s v="CPM Malaysia"/>
    <s v="C-Wonton"/>
    <s v="C-Wonton"/>
    <x v="2"/>
    <s v="Cooked Wonton No Egg  TY"/>
    <s v="082S85I24005P02001"/>
    <s v="115g*24"/>
    <n v="24"/>
    <n v="5"/>
    <n v="8.0000000000000002E-3"/>
    <s v="M"/>
    <s v="STPP"/>
    <s v="TYTB3C 30G"/>
    <n v="850"/>
    <m/>
    <n v="7.166666666666667"/>
    <n v="-842.83333333333337"/>
    <n v="20228"/>
    <m/>
    <n v="1"/>
    <n v="20228"/>
  </r>
  <r>
    <x v="825"/>
    <d v="2024-04-09T00:00:00"/>
    <s v="Week14"/>
    <d v="2024-04-01T00:00:00"/>
    <s v="DRY2400225"/>
    <s v="Korea"/>
    <s v="Consumer Package Commerce"/>
    <s v="C-Wonton"/>
    <s v="C-Wonton"/>
    <x v="31"/>
    <s v="Wonton Soup  (Enriched wonton sheet) tom yum"/>
    <s v="082S83U36005P01001"/>
    <s v="147g*6c*6in"/>
    <n v="36"/>
    <n v="5"/>
    <n v="7.4999999999999997E-3"/>
    <s v="M"/>
    <s v="Salt"/>
    <s v="TYEX+CO"/>
    <n v="1288"/>
    <m/>
    <m/>
    <n v="-1288"/>
    <n v="46368"/>
    <m/>
    <m/>
    <m/>
  </r>
  <r>
    <x v="826"/>
    <d v="2024-04-08T00:00:00"/>
    <s v="Week14"/>
    <d v="2024-04-01T00:00:00"/>
    <s v="DRY240008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93"/>
    <m/>
    <m/>
    <n v="-193"/>
    <n v="6948"/>
    <m/>
    <m/>
    <m/>
  </r>
  <r>
    <x v="826"/>
    <d v="2024-04-08T00:00:00"/>
    <s v="Week14"/>
    <d v="2024-04-01T00:00:00"/>
    <s v="DRY240008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26"/>
    <d v="2024-04-08T00:00:00"/>
    <s v="Week14"/>
    <d v="2024-04-01T00:00:00"/>
    <s v="DRY240008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26"/>
    <d v="2024-04-08T00:00:00"/>
    <s v="Week14"/>
    <d v="2024-04-01T00:00:00"/>
    <s v="DRY240008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26"/>
    <d v="2024-04-08T00:00:00"/>
    <s v="Week14"/>
    <d v="2024-04-01T00:00:00"/>
    <s v="DRY240008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26"/>
    <d v="2024-04-08T00:00:00"/>
    <s v="Week14"/>
    <d v="2024-04-01T00:00:00"/>
    <s v="DRY240008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26"/>
    <d v="2024-04-09T00:00:00"/>
    <s v="Week14"/>
    <d v="2024-04-01T00:00:00"/>
    <s v="DRY240012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14"/>
    <m/>
    <m/>
    <n v="-14"/>
    <n v="504"/>
    <m/>
    <m/>
    <m/>
  </r>
  <r>
    <x v="827"/>
    <d v="2024-04-09T00:00:00"/>
    <s v="Week14"/>
    <d v="2024-04-01T00:00:00"/>
    <s v="DRY240012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78"/>
    <m/>
    <m/>
    <n v="-778"/>
    <n v="28008"/>
    <m/>
    <m/>
    <m/>
  </r>
  <r>
    <x v="827"/>
    <d v="2024-04-09T00:00:00"/>
    <s v="Week14"/>
    <d v="2024-04-01T00:00:00"/>
    <s v="DRY240012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27"/>
    <d v="2024-04-09T00:00:00"/>
    <s v="Week14"/>
    <d v="2024-04-01T00:00:00"/>
    <s v="DRY240012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27"/>
    <d v="2024-04-09T00:00:00"/>
    <s v="Week14"/>
    <d v="2024-04-01T00:00:00"/>
    <s v="DRY240012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27"/>
    <d v="2024-04-09T00:00:00"/>
    <s v="Week14"/>
    <d v="2024-04-01T00:00:00"/>
    <s v="DRY240012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27"/>
    <d v="2024-04-17T00:00:00"/>
    <s v="Week14"/>
    <d v="2024-04-01T00:00:00"/>
    <s v="DRY240012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21"/>
    <m/>
    <m/>
    <n v="-221"/>
    <n v="7956"/>
    <m/>
    <m/>
    <m/>
  </r>
  <r>
    <x v="828"/>
    <m/>
    <s v="Week14"/>
    <d v="2024-04-01T00:00:00"/>
    <m/>
    <m/>
    <m/>
    <m/>
    <m/>
    <x v="0"/>
    <m/>
    <m/>
    <m/>
    <m/>
    <m/>
    <m/>
    <m/>
    <m/>
    <m/>
    <m/>
    <m/>
    <m/>
    <m/>
    <m/>
    <m/>
    <m/>
    <m/>
  </r>
  <r>
    <x v="829"/>
    <d v="2024-04-23T00:00:00"/>
    <s v="Week15"/>
    <d v="2024-04-01T00:00:00"/>
    <s v="DRY2400258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2400"/>
    <m/>
    <n v="264.875"/>
    <n v="-2135.125"/>
    <n v="17081"/>
    <m/>
    <m/>
    <m/>
  </r>
  <r>
    <x v="829"/>
    <d v="2024-04-26T00:00:00"/>
    <s v="Week15"/>
    <d v="2024-04-01T00:00:00"/>
    <s v="DRY2400303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1200"/>
    <m/>
    <m/>
    <n v="-1200"/>
    <n v="9600"/>
    <m/>
    <m/>
    <m/>
  </r>
  <r>
    <x v="829"/>
    <d v="2024-04-25T00:00:00"/>
    <s v="Week15"/>
    <d v="2024-04-01T00:00:00"/>
    <s v="DRY2400295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m/>
    <n v="13.277777777777779"/>
    <n v="-778.72222222222217"/>
    <n v="28034"/>
    <m/>
    <m/>
    <m/>
  </r>
  <r>
    <x v="829"/>
    <d v="2024-04-11T00:00:00"/>
    <s v="Week15"/>
    <d v="2024-04-01T00:00:00"/>
    <s v="ขายภายใน"/>
    <s v=".7-11"/>
    <s v="ซีพีเอฟ เทรดดิ้ง"/>
    <s v="C-Wonton"/>
    <s v="C-Wonton"/>
    <x v="8"/>
    <s v="Cooked Wonton ND+ Vegetable  SS  3 pcs"/>
    <s v="082SJ1A12003P02001"/>
    <s v="211g*12"/>
    <n v="12"/>
    <n v="3"/>
    <n v="6.1999999999999998E-3"/>
    <s v="SS"/>
    <s v="STPP"/>
    <s v="TYNSF"/>
    <n v="6000"/>
    <m/>
    <m/>
    <n v="-6000"/>
    <n v="72000"/>
    <m/>
    <m/>
    <m/>
  </r>
  <r>
    <x v="830"/>
    <d v="2024-04-12T00:00:00"/>
    <s v="Week15"/>
    <d v="2024-04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2722"/>
    <n v="11"/>
    <m/>
    <n v="-2711"/>
    <n v="32532"/>
    <m/>
    <m/>
    <m/>
  </r>
  <r>
    <x v="830"/>
    <d v="2024-04-12T00:00:00"/>
    <s v="Week15"/>
    <d v="2024-04-01T00:00:00"/>
    <s v="ขายภายใน"/>
    <s v="MTFS"/>
    <s v="ซีพีเอฟ เทรดดิ้ง"/>
    <s v="C-Wonton"/>
    <s v="C-Wonton"/>
    <x v="32"/>
    <s v="เกี๊ยวกุ้งจักรพรรดิซุปหมาล่า (ตรา ซีพี)_MT"/>
    <s v="082S83Q18005P06001"/>
    <s v="143g*18"/>
    <n v="18"/>
    <n v="5"/>
    <n v="6.1999999999999998E-3"/>
    <s v="SS"/>
    <s v="STPP"/>
    <s v="หมาล่า"/>
    <n v="1959"/>
    <m/>
    <n v="3.3888888888888888"/>
    <n v="-1955.6111111111111"/>
    <n v="35201"/>
    <m/>
    <m/>
    <m/>
  </r>
  <r>
    <x v="830"/>
    <d v="2024-04-12T00:00:00"/>
    <s v="Week15"/>
    <d v="2024-04-01T00:00:00"/>
    <s v="ขายภายใน"/>
    <s v="MTFS"/>
    <s v="ซีพีเอฟ เทรดดิ้ง"/>
    <s v="C-Wonton"/>
    <s v="C-Wonton"/>
    <x v="32"/>
    <s v="เกี๊ยวกุ้งจักรพรรดิซุปหมาล่า (ตรา ซีพี)_MT"/>
    <s v="082S83Q12005P06001"/>
    <s v="143g*12"/>
    <n v="12"/>
    <n v="5"/>
    <n v="6.1999999999999998E-3"/>
    <s v="SS"/>
    <s v="STPP"/>
    <s v="หมาล่า"/>
    <n v="371"/>
    <m/>
    <m/>
    <n v="-371"/>
    <n v="4452"/>
    <m/>
    <m/>
    <m/>
  </r>
  <r>
    <x v="830"/>
    <d v="2024-04-12T00:00:00"/>
    <s v="Week15"/>
    <d v="2024-04-01T00:00:00"/>
    <s v="ขายภายใน"/>
    <s v=".7-11"/>
    <s v="ซีพีเอฟ เทรดดิ้ง"/>
    <s v="C-Wonton"/>
    <s v="C-Wonton"/>
    <x v="32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3037"/>
    <m/>
    <m/>
    <n v="-3037"/>
    <n v="72888"/>
    <m/>
    <m/>
    <m/>
  </r>
  <r>
    <x v="831"/>
    <d v="2024-04-17T00:00:00"/>
    <s v="Week15"/>
    <d v="2024-04-01T00:00:00"/>
    <s v="ขายภายใน"/>
    <s v="MTFS"/>
    <s v="ซีพีเอฟ เทรดดิ้ง"/>
    <s v="C-Wonton"/>
    <s v="C-Wonton"/>
    <x v="11"/>
    <s v="Cooked Wonton ND with egg V-Food"/>
    <s v="082SJ3Q12003P07001"/>
    <s v="226g*12"/>
    <n v="12"/>
    <n v="3"/>
    <n v="8.0000000000000002E-3"/>
    <s v="M"/>
    <s v="STPP"/>
    <s v="Regular"/>
    <n v="385"/>
    <n v="14"/>
    <n v="7.333333333333333"/>
    <n v="-363.66666666666669"/>
    <n v="4364"/>
    <m/>
    <m/>
    <m/>
  </r>
  <r>
    <x v="831"/>
    <d v="2024-04-17T00:00:00"/>
    <s v="Week15"/>
    <d v="2024-04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1914"/>
    <m/>
    <m/>
    <n v="-1914"/>
    <n v="22968"/>
    <m/>
    <m/>
    <m/>
  </r>
  <r>
    <x v="831"/>
    <d v="2024-04-17T00:00:00"/>
    <s v="Week15"/>
    <d v="2024-04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789"/>
    <m/>
    <n v="218"/>
    <n v="-571"/>
    <n v="10278"/>
    <m/>
    <n v="1"/>
    <n v="10278"/>
  </r>
  <r>
    <x v="831"/>
    <d v="2024-04-17T00:00:00"/>
    <s v="Week15"/>
    <d v="2024-04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4185"/>
    <m/>
    <m/>
    <n v="-4185"/>
    <n v="100440"/>
    <m/>
    <m/>
    <m/>
  </r>
  <r>
    <x v="831"/>
    <d v="2024-04-17T00:00:00"/>
    <s v="Week15"/>
    <d v="2024-04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759"/>
    <m/>
    <n v="58.166666666666664"/>
    <n v="-700.83333333333337"/>
    <n v="8410"/>
    <m/>
    <n v="1"/>
    <n v="8410"/>
  </r>
  <r>
    <x v="832"/>
    <d v="2024-04-18T00:00:00"/>
    <s v="Week15"/>
    <d v="2024-04-01T00:00:00"/>
    <s v="DRY2400122"/>
    <s v="USA"/>
    <s v="Bellisio Foods, Inc."/>
    <s v="C-Wonton"/>
    <s v="C-Wonton ND"/>
    <x v="26"/>
    <s v="Cooked Wonton ND No Egg with Pumpkin_x000a_+ Yu Choy Low sodium"/>
    <s v="082SRBW24005P01001"/>
    <s v="308g*4c*6in"/>
    <n v="24"/>
    <n v="5"/>
    <n v="6.0000000000000001E-3"/>
    <s v="BK"/>
    <s v="Salt"/>
    <s v="Y3"/>
    <n v="200"/>
    <m/>
    <n v="12.5"/>
    <n v="-187.5"/>
    <n v="4500"/>
    <m/>
    <m/>
    <m/>
  </r>
  <r>
    <x v="832"/>
    <d v="2024-04-17T00:00:00"/>
    <s v="Week15"/>
    <d v="2024-04-01T00:00:00"/>
    <s v="DRY240012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71"/>
    <m/>
    <m/>
    <n v="-571"/>
    <n v="20556"/>
    <m/>
    <m/>
    <m/>
  </r>
  <r>
    <x v="832"/>
    <d v="2024-04-17T00:00:00"/>
    <s v="Week15"/>
    <d v="2024-04-01T00:00:00"/>
    <s v="DRY240012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32"/>
    <d v="2024-04-17T00:00:00"/>
    <s v="Week15"/>
    <d v="2024-04-01T00:00:00"/>
    <s v="DRY240013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32"/>
    <d v="2024-04-17T00:00:00"/>
    <s v="Week15"/>
    <d v="2024-04-01T00:00:00"/>
    <s v="DRY240013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32"/>
    <d v="2024-04-17T00:00:00"/>
    <s v="Week15"/>
    <d v="2024-04-01T00:00:00"/>
    <s v="DRY240013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32"/>
    <d v="2024-04-17T00:00:00"/>
    <s v="Week15"/>
    <d v="2024-04-01T00:00:00"/>
    <s v="DRY240013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03"/>
    <m/>
    <m/>
    <n v="-303"/>
    <n v="10908"/>
    <m/>
    <m/>
    <m/>
  </r>
  <r>
    <x v="833"/>
    <d v="2024-04-17T00:00:00"/>
    <s v="Week15"/>
    <d v="2024-04-01T00:00:00"/>
    <s v="DRY240013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89"/>
    <m/>
    <m/>
    <n v="-489"/>
    <n v="17604"/>
    <m/>
    <m/>
    <m/>
  </r>
  <r>
    <x v="833"/>
    <d v="2024-04-18T00:00:00"/>
    <s v="Week15"/>
    <d v="2024-04-01T00:00:00"/>
    <s v="DRY240013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33"/>
    <d v="2024-04-18T00:00:00"/>
    <s v="Week15"/>
    <d v="2024-04-01T00:00:00"/>
    <s v="DRY240013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33"/>
    <d v="2024-04-18T00:00:00"/>
    <s v="Week15"/>
    <d v="2024-04-01T00:00:00"/>
    <s v="DRY240013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33"/>
    <d v="2024-04-20T00:00:00"/>
    <s v="Week15"/>
    <d v="2024-04-01T00:00:00"/>
    <s v="DRY240013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33"/>
    <d v="2024-04-20T00:00:00"/>
    <s v="Week15"/>
    <d v="2024-04-01T00:00:00"/>
    <s v="DRY240013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10"/>
    <m/>
    <m/>
    <n v="-510"/>
    <n v="18360"/>
    <m/>
    <m/>
    <m/>
  </r>
  <r>
    <x v="834"/>
    <m/>
    <s v="Week15"/>
    <d v="2024-04-01T00:00:00"/>
    <m/>
    <m/>
    <m/>
    <m/>
    <m/>
    <x v="0"/>
    <m/>
    <m/>
    <m/>
    <m/>
    <m/>
    <m/>
    <m/>
    <m/>
    <m/>
    <m/>
    <m/>
    <m/>
    <m/>
    <m/>
    <m/>
    <m/>
    <m/>
  </r>
  <r>
    <x v="835"/>
    <m/>
    <s v="Week15"/>
    <d v="2024-04-01T00:00:00"/>
    <m/>
    <m/>
    <m/>
    <m/>
    <m/>
    <x v="0"/>
    <m/>
    <m/>
    <m/>
    <m/>
    <m/>
    <m/>
    <m/>
    <m/>
    <m/>
    <m/>
    <m/>
    <m/>
    <m/>
    <m/>
    <m/>
    <m/>
    <m/>
  </r>
  <r>
    <x v="836"/>
    <m/>
    <s v="Week16"/>
    <d v="2024-04-01T00:00:00"/>
    <m/>
    <m/>
    <m/>
    <m/>
    <m/>
    <x v="0"/>
    <m/>
    <m/>
    <m/>
    <m/>
    <m/>
    <m/>
    <m/>
    <m/>
    <m/>
    <m/>
    <m/>
    <m/>
    <m/>
    <m/>
    <m/>
    <m/>
    <m/>
  </r>
  <r>
    <x v="837"/>
    <m/>
    <s v="Week16"/>
    <d v="2024-04-01T00:00:00"/>
    <m/>
    <m/>
    <m/>
    <m/>
    <m/>
    <x v="0"/>
    <m/>
    <m/>
    <m/>
    <m/>
    <m/>
    <m/>
    <m/>
    <m/>
    <m/>
    <m/>
    <m/>
    <m/>
    <m/>
    <m/>
    <m/>
    <m/>
    <m/>
  </r>
  <r>
    <x v="838"/>
    <d v="2024-04-30T00:00:00"/>
    <s v="Week16"/>
    <d v="2024-04-01T00:00:00"/>
    <s v="DRY2400107"/>
    <s v="CAN "/>
    <s v="Bellisio Foods Canada"/>
    <s v="C-Wonton"/>
    <s v="C-Wonton ND"/>
    <x v="3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m/>
    <n v="-2600"/>
    <n v="31200"/>
    <m/>
    <m/>
    <m/>
  </r>
  <r>
    <x v="838"/>
    <d v="2024-04-22T00:00:00"/>
    <s v="Week16"/>
    <d v="2024-04-01T00:00:00"/>
    <s v="ขายภายใน"/>
    <s v=".7-11"/>
    <s v="ถ้วยขาวพิมพ์กดสีฟ้า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602"/>
    <m/>
    <m/>
    <n v="-2602"/>
    <n v="62448"/>
    <m/>
    <m/>
    <m/>
  </r>
  <r>
    <x v="838"/>
    <d v="2024-04-25T00:00:00"/>
    <s v="Week16"/>
    <d v="2024-04-01T00:00:00"/>
    <s v="DRY2400216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m/>
    <m/>
    <n v="-1288"/>
    <n v="46368"/>
    <m/>
    <m/>
    <m/>
  </r>
  <r>
    <x v="839"/>
    <d v="2024-04-20T00:00:00"/>
    <s v="Week16"/>
    <d v="2024-04-01T00:00:00"/>
    <s v="DRY240013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82"/>
    <m/>
    <m/>
    <n v="-282"/>
    <n v="10152"/>
    <m/>
    <m/>
    <m/>
  </r>
  <r>
    <x v="839"/>
    <d v="2024-04-20T00:00:00"/>
    <s v="Week16"/>
    <d v="2024-04-01T00:00:00"/>
    <s v="DRY240013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39"/>
    <d v="2024-04-20T00:00:00"/>
    <s v="Week16"/>
    <d v="2024-04-01T00:00:00"/>
    <s v="DRY240014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39"/>
    <d v="2024-04-20T00:00:00"/>
    <s v="Week16"/>
    <d v="2024-04-01T00:00:00"/>
    <s v="DRY240014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39"/>
    <d v="2024-04-20T00:00:00"/>
    <s v="Week16"/>
    <d v="2024-04-01T00:00:00"/>
    <s v="DRY240014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39"/>
    <d v="2024-04-20T00:00:00"/>
    <s v="Week16"/>
    <d v="2024-04-01T00:00:00"/>
    <s v="DRY240014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40"/>
    <d v="2024-04-20T00:00:00"/>
    <s v="Week16"/>
    <d v="2024-04-01T00:00:00"/>
    <s v="DRY240014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40"/>
    <d v="2024-04-20T00:00:00"/>
    <s v="Week16"/>
    <d v="2024-04-01T00:00:00"/>
    <s v="DRY240014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40"/>
    <d v="2024-04-20T00:00:00"/>
    <s v="Week16"/>
    <d v="2024-04-01T00:00:00"/>
    <s v="DRY240014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40"/>
    <d v="2024-04-20T00:00:00"/>
    <s v="Week16"/>
    <d v="2024-04-01T00:00:00"/>
    <s v="DRY240014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40"/>
    <d v="2024-04-20T00:00:00"/>
    <s v="Week16"/>
    <d v="2024-04-01T00:00:00"/>
    <s v="DRY240014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41"/>
    <d v="2024-04-20T00:00:00"/>
    <s v="Week16"/>
    <d v="2024-04-01T00:00:00"/>
    <s v="DRY240014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41"/>
    <d v="2024-04-20T00:00:00"/>
    <s v="Week16"/>
    <d v="2024-04-01T00:00:00"/>
    <s v="DRY240015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41"/>
    <d v="2024-04-20T00:00:00"/>
    <s v="Week16"/>
    <d v="2024-04-01T00:00:00"/>
    <s v="DRY240015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41"/>
    <d v="2024-04-20T00:00:00"/>
    <s v="Week16"/>
    <d v="2024-04-01T00:00:00"/>
    <s v="DRY240015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41"/>
    <d v="2024-04-22T00:00:00"/>
    <s v="Week16"/>
    <d v="2024-04-01T00:00:00"/>
    <s v="DRY240015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42"/>
    <d v="2024-04-22T00:00:00"/>
    <s v="Week16"/>
    <d v="2024-04-01T00:00:00"/>
    <s v="DRY240015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42"/>
    <d v="2024-04-22T00:00:00"/>
    <s v="Week16"/>
    <d v="2024-04-01T00:00:00"/>
    <s v="DRY240015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42"/>
    <d v="2024-04-22T00:00:00"/>
    <s v="Week16"/>
    <d v="2024-04-01T00:00:00"/>
    <s v="DRY240015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42"/>
    <d v="2024-04-22T00:00:00"/>
    <s v="Week16"/>
    <d v="2024-04-01T00:00:00"/>
    <s v="DRY240016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42"/>
    <d v="2024-05-02T00:00:00"/>
    <s v="Week16"/>
    <d v="2024-04-01T00:00:00"/>
    <s v="DRY2400296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m/>
    <m/>
    <n v="-792"/>
    <n v="28512"/>
    <m/>
    <m/>
    <m/>
  </r>
  <r>
    <x v="843"/>
    <d v="2024-05-07T00:00:00"/>
    <s v="Week17"/>
    <d v="2024-04-01T00:00:00"/>
    <s v="DRY2400230"/>
    <s v="UK"/>
    <s v="Westbridge Foods Limited"/>
    <s v="C-Wonton ND"/>
    <s v="Wonton ND+V"/>
    <x v="8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m/>
    <n v="2.375"/>
    <n v="-921.625"/>
    <n v="22119"/>
    <m/>
    <m/>
    <m/>
  </r>
  <r>
    <x v="843"/>
    <d v="2024-05-07T00:00:00"/>
    <s v="Week17"/>
    <d v="2024-04-01T00:00:00"/>
    <s v="DRY2400231"/>
    <s v="UK"/>
    <s v="Westbridge Foods Limited"/>
    <s v="C-Wonton ND"/>
    <s v="Wonton ND+V"/>
    <x v="8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m/>
    <m/>
    <n v="-924"/>
    <n v="22176"/>
    <m/>
    <m/>
    <m/>
  </r>
  <r>
    <x v="843"/>
    <d v="2024-05-07T00:00:00"/>
    <s v="Week17"/>
    <d v="2024-04-01T00:00:00"/>
    <s v="DRY2400232"/>
    <s v="UK"/>
    <s v="Westbridge Foods Limited"/>
    <s v="C-Wonton ND"/>
    <s v="Wonton ND+V"/>
    <x v="8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m/>
    <m/>
    <n v="-924"/>
    <n v="22176"/>
    <m/>
    <m/>
    <m/>
  </r>
  <r>
    <x v="843"/>
    <d v="2024-05-14T00:00:00"/>
    <s v="Week17"/>
    <d v="2024-04-01T00:00:00"/>
    <s v="DRY2400233"/>
    <s v="UK"/>
    <s v="Westbridge Foods Limited"/>
    <s v="C-Wonton ND"/>
    <s v="Wonton ND+V"/>
    <x v="8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m/>
    <m/>
    <n v="-924"/>
    <n v="22176"/>
    <m/>
    <m/>
    <m/>
  </r>
  <r>
    <x v="843"/>
    <d v="2024-04-29T00:00:00"/>
    <s v="Week17"/>
    <d v="2024-04-01T00:00:00"/>
    <s v="ขายภายใน"/>
    <s v="MTFS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275"/>
    <m/>
    <n v="6"/>
    <n v="-269"/>
    <n v="3228"/>
    <n v="64560"/>
    <m/>
    <n v="0"/>
  </r>
  <r>
    <x v="843"/>
    <d v="2024-05-01T00:00:00"/>
    <s v="Week17"/>
    <d v="2024-04-01T00:00:00"/>
    <s v="ขายภายใน"/>
    <s v="MTFS"/>
    <s v="ซีพีเอฟ เทรดดิ้ง"/>
    <s v="R-Wonton"/>
    <s v="R-Wonton"/>
    <x v="10"/>
    <s v="Raw Wonton 20 pcs"/>
    <s v="082I93Q12020P01001"/>
    <s v="220g*12in"/>
    <n v="12"/>
    <n v="20"/>
    <n v="6.1999999999999998E-3"/>
    <s v="SS"/>
    <s v="STPP"/>
    <m/>
    <n v="625"/>
    <m/>
    <m/>
    <n v="-625"/>
    <n v="7500"/>
    <n v="150000"/>
    <m/>
    <n v="0"/>
  </r>
  <r>
    <x v="842"/>
    <d v="2024-04-22T00:00:00"/>
    <s v="Week16"/>
    <d v="2024-04-01T00:00:00"/>
    <s v="DRY240016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42"/>
    <d v="2024-04-22T00:00:00"/>
    <s v="Week16"/>
    <d v="2024-04-01T00:00:00"/>
    <s v="DRY240016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44"/>
    <d v="2024-04-22T00:00:00"/>
    <s v="Week17"/>
    <d v="2024-04-01T00:00:00"/>
    <s v="DRY240015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44"/>
    <d v="2024-04-22T00:00:00"/>
    <s v="Week17"/>
    <d v="2024-04-01T00:00:00"/>
    <s v="DRY240016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44"/>
    <d v="2024-04-23T00:00:00"/>
    <s v="Week17"/>
    <d v="2024-04-01T00:00:00"/>
    <s v="DRY240016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44"/>
    <d v="2024-05-02T00:00:00"/>
    <s v="Week17"/>
    <d v="2024-04-01T00:00:00"/>
    <s v="DRY2400190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02"/>
    <m/>
    <n v="2"/>
    <n v="-500"/>
    <n v="20000"/>
    <n v="240000"/>
    <n v="2"/>
    <n v="40000"/>
  </r>
  <r>
    <x v="845"/>
    <d v="2024-05-01T00:00:00"/>
    <s v="Week17"/>
    <d v="2024-04-01T00:00:00"/>
    <s v="ขายภายใน"/>
    <s v="MTFS"/>
    <s v="ซีพีเอฟ เทรดดิ้ง"/>
    <s v="C-Wonton"/>
    <s v="C-Wonton"/>
    <x v="11"/>
    <s v="Cooked Wonton ND with egg V-Food"/>
    <s v="082SJ3Q12003P07001"/>
    <s v="226g*12"/>
    <n v="12"/>
    <n v="3"/>
    <n v="8.0000000000000002E-3"/>
    <s v="M"/>
    <s v="STPP"/>
    <s v="Regular"/>
    <n v="634"/>
    <m/>
    <m/>
    <n v="-634"/>
    <n v="7608"/>
    <m/>
    <m/>
    <m/>
  </r>
  <r>
    <x v="845"/>
    <d v="2024-05-01T00:00:00"/>
    <s v="Week17"/>
    <d v="2024-04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5725"/>
    <m/>
    <m/>
    <n v="-5725"/>
    <n v="137400"/>
    <m/>
    <m/>
    <m/>
  </r>
  <r>
    <x v="845"/>
    <d v="2024-05-02T00:00:00"/>
    <s v="Week17"/>
    <d v="2024-04-01T00:00:00"/>
    <s v="DRY2400190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00"/>
    <m/>
    <m/>
    <n v="-500"/>
    <n v="20000"/>
    <n v="240000"/>
    <n v="2"/>
    <n v="40000"/>
  </r>
  <r>
    <x v="846"/>
    <d v="2024-05-01T00:00:00"/>
    <s v="Week17"/>
    <d v="2024-04-01T00:00:00"/>
    <s v="ขายภายใน"/>
    <s v="MTFS"/>
    <s v="ซีพีเอฟ เทรดดิ้ง"/>
    <s v="C-Wonton"/>
    <s v="C-Wonton"/>
    <x v="12"/>
    <s v="Cooked Wonton Multipack  with Egg  270g"/>
    <s v="082S83Q18005P05001"/>
    <s v="270g*3B*6B"/>
    <n v="18"/>
    <n v="5"/>
    <n v="8.0000000000000002E-3"/>
    <s v="M"/>
    <s v="STPP"/>
    <s v="ซุปซอง 5g."/>
    <n v="923"/>
    <m/>
    <m/>
    <n v="-923"/>
    <n v="16614"/>
    <m/>
    <n v="1"/>
    <n v="16614"/>
  </r>
  <r>
    <x v="846"/>
    <d v="2024-05-01T00:00:00"/>
    <s v="Week17"/>
    <d v="2024-04-01T00:00:00"/>
    <s v="ขายภายใน"/>
    <s v="MTFS"/>
    <s v="ซีพีเอฟ เทรดดิ้ง"/>
    <s v="C-Wonton"/>
    <s v="C-Wonton"/>
    <x v="13"/>
    <s v="Cooked Wonton Tomyum with egg.V-Food TY"/>
    <s v="082S83Q12005P04001"/>
    <s v="115g*12"/>
    <n v="12"/>
    <n v="5"/>
    <n v="8.0000000000000002E-3"/>
    <s v="M"/>
    <s v="STPP"/>
    <s v="TYTB3C 30G"/>
    <n v="931"/>
    <m/>
    <m/>
    <n v="-931"/>
    <n v="11172"/>
    <m/>
    <n v="1"/>
    <n v="11172"/>
  </r>
  <r>
    <x v="846"/>
    <d v="2024-05-01T00:00:00"/>
    <s v="Week17"/>
    <d v="2024-04-01T00:00:00"/>
    <s v="ขายภายใน"/>
    <s v="MTFS"/>
    <s v="ซีพีเอฟ เทรดดิ้ง"/>
    <s v="C-Wonton"/>
    <s v="C-Wonton"/>
    <x v="12"/>
    <s v="Cooked Wonton  with egg V-Food"/>
    <s v="082S83Q12005P05000"/>
    <s v="145g*12"/>
    <n v="12"/>
    <n v="5"/>
    <n v="8.0000000000000002E-3"/>
    <s v="M"/>
    <s v="STPP"/>
    <s v="Regular"/>
    <n v="12"/>
    <m/>
    <m/>
    <n v="-12"/>
    <n v="144"/>
    <m/>
    <m/>
    <m/>
  </r>
  <r>
    <x v="846"/>
    <d v="2024-05-01T00:00:00"/>
    <s v="Week17"/>
    <d v="2024-04-01T00:00:00"/>
    <s v="ขายภายใน"/>
    <s v="MTFS"/>
    <s v="ซีพีเอฟ เทรดดิ้ง"/>
    <s v="C-Wonton"/>
    <s v="C-Wonton"/>
    <x v="12"/>
    <s v="Cooked Wonton  with egg V-Food"/>
    <s v="082S83Q12005P05001"/>
    <s v="145g*12"/>
    <n v="12"/>
    <n v="5"/>
    <n v="8.0000000000000002E-3"/>
    <s v="M"/>
    <s v="STPP"/>
    <s v="Regular"/>
    <n v="2122"/>
    <m/>
    <m/>
    <n v="-2122"/>
    <n v="25464"/>
    <m/>
    <m/>
    <m/>
  </r>
  <r>
    <x v="846"/>
    <d v="2024-05-01T00:00:00"/>
    <s v="Week17"/>
    <d v="2024-04-01T00:00:00"/>
    <s v="ขายภายใน"/>
    <s v="MTFS"/>
    <s v="ซีพีเอฟ เทรดดิ้ง"/>
    <s v="C-Wonton"/>
    <s v="C-Wonton"/>
    <x v="32"/>
    <s v="เกี๊ยวกุ้งจักรพรรดิซุปหมาล่า (ตรา ซีพี)_MT"/>
    <s v="082S83Q18005P06001"/>
    <s v="143g*18"/>
    <n v="18"/>
    <n v="5"/>
    <n v="6.1999999999999998E-3"/>
    <s v="SS"/>
    <s v="STPP"/>
    <s v="หมาล่า"/>
    <n v="1040"/>
    <m/>
    <n v="3.3888888888888888"/>
    <n v="-1036.6111111111111"/>
    <n v="18659"/>
    <m/>
    <m/>
    <m/>
  </r>
  <r>
    <x v="846"/>
    <d v="2024-05-01T00:00:00"/>
    <s v="Week17"/>
    <d v="2024-04-01T00:00:00"/>
    <s v="ขายภายใน"/>
    <s v=".7-11"/>
    <s v="ซีพีเอฟ เทรดดิ้ง"/>
    <s v="C-Wonton"/>
    <s v="C-Wonton"/>
    <x v="32"/>
    <s v="เกี๊ยวกุ้งจักรพรรดิซุปหมาล่า (ตรา ซีพี)_7E"/>
    <s v="082S81A24005P0B001"/>
    <s v="143g*24"/>
    <n v="24"/>
    <n v="5"/>
    <n v="6.1999999999999998E-3"/>
    <s v="SS"/>
    <s v="STPP"/>
    <s v="หมาล่า"/>
    <n v="3063"/>
    <m/>
    <m/>
    <n v="-3063"/>
    <n v="73512"/>
    <m/>
    <m/>
    <m/>
  </r>
  <r>
    <x v="846"/>
    <d v="2024-05-02T00:00:00"/>
    <s v="Week17"/>
    <d v="2024-04-01T00:00:00"/>
    <s v="DRY2400190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00"/>
    <m/>
    <m/>
    <n v="-500"/>
    <n v="20000"/>
    <n v="240000"/>
    <n v="2"/>
    <n v="40000"/>
  </r>
  <r>
    <x v="847"/>
    <d v="2024-05-08T00:00:00"/>
    <s v="Week17"/>
    <d v="2024-04-01T00:00:00"/>
    <s v="DRY2400110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m/>
    <n v="26.888888888888889"/>
    <n v="-1261.1111111111111"/>
    <n v="45400"/>
    <m/>
    <m/>
    <m/>
  </r>
  <r>
    <x v="847"/>
    <d v="2024-05-08T00:00:00"/>
    <s v="Week17"/>
    <d v="2024-04-01T00:00:00"/>
    <s v="DRY2400111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m/>
    <m/>
    <n v="-1288"/>
    <n v="46368"/>
    <m/>
    <m/>
    <m/>
  </r>
  <r>
    <x v="847"/>
    <d v="2024-05-02T00:00:00"/>
    <s v="Week17"/>
    <d v="2024-04-01T00:00:00"/>
    <s v="DRY2400187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m/>
    <m/>
    <n v="-1288"/>
    <n v="46368"/>
    <m/>
    <m/>
    <m/>
  </r>
  <r>
    <x v="847"/>
    <d v="2024-05-02T00:00:00"/>
    <s v="Week17"/>
    <d v="2024-04-01T00:00:00"/>
    <s v="DRY2400190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122"/>
    <m/>
    <m/>
    <n v="-122"/>
    <n v="4880"/>
    <n v="58560"/>
    <n v="2"/>
    <n v="9760"/>
  </r>
  <r>
    <x v="847"/>
    <d v="2024-05-02T00:00:00"/>
    <s v="Week17"/>
    <d v="2024-04-01T00:00:00"/>
    <s v="DRY2400193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380"/>
    <m/>
    <n v="17"/>
    <n v="-363"/>
    <n v="3630"/>
    <n v="181500"/>
    <n v="6"/>
    <n v="21780"/>
  </r>
  <r>
    <x v="848"/>
    <d v="2024-04-23T00:00:00"/>
    <s v="Week17"/>
    <d v="2024-04-01T00:00:00"/>
    <s v="DRY240016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48"/>
    <d v="2024-04-26T00:00:00"/>
    <s v="Week17"/>
    <d v="2024-04-01T00:00:00"/>
    <s v="DRY240016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48"/>
    <d v="2024-04-26T00:00:00"/>
    <s v="Week17"/>
    <d v="2024-04-01T00:00:00"/>
    <s v="DRY240016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48"/>
    <d v="2024-04-26T00:00:00"/>
    <s v="Week17"/>
    <d v="2024-04-01T00:00:00"/>
    <s v="DRY240016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48"/>
    <d v="2024-04-26T00:00:00"/>
    <s v="Week17"/>
    <d v="2024-04-01T00:00:00"/>
    <s v="DRY240016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48"/>
    <d v="2024-05-02T00:00:00"/>
    <s v="Week17"/>
    <d v="2024-04-01T00:00:00"/>
    <s v="DRY2400193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480"/>
    <m/>
    <m/>
    <n v="-480"/>
    <n v="4800"/>
    <n v="240000"/>
    <n v="6"/>
    <n v="28800"/>
  </r>
  <r>
    <x v="849"/>
    <d v="2024-04-26T00:00:00"/>
    <s v="Week17"/>
    <d v="2024-04-01T00:00:00"/>
    <s v="DRY240017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49"/>
    <d v="2024-04-26T00:00:00"/>
    <s v="Week17"/>
    <d v="2024-04-01T00:00:00"/>
    <s v="DRY240017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49"/>
    <d v="2024-04-26T00:00:00"/>
    <s v="Week17"/>
    <d v="2024-04-01T00:00:00"/>
    <s v="DRY240017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49"/>
    <d v="2024-04-26T00:00:00"/>
    <s v="Week17"/>
    <d v="2024-04-01T00:00:00"/>
    <s v="DRY240017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49"/>
    <d v="2024-04-26T00:00:00"/>
    <s v="Week17"/>
    <d v="2024-04-01T00:00:00"/>
    <s v="DRY240017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50"/>
    <d v="2024-04-26T00:00:00"/>
    <s v="Week18"/>
    <d v="2024-04-01T00:00:00"/>
    <s v="DRY240017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50"/>
    <d v="2024-04-26T00:00:00"/>
    <s v="Week18"/>
    <d v="2024-04-01T00:00:00"/>
    <s v="DRY240017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50"/>
    <d v="2024-05-03T00:00:00"/>
    <s v="Week18"/>
    <d v="2024-04-01T00:00:00"/>
    <s v="DRY240017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50"/>
    <d v="2024-05-02T00:00:00"/>
    <s v="Week18"/>
    <d v="2024-04-01T00:00:00"/>
    <s v="DRY2400193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480"/>
    <m/>
    <m/>
    <n v="-480"/>
    <n v="4800"/>
    <n v="240000"/>
    <n v="6"/>
    <n v="28800"/>
  </r>
  <r>
    <x v="851"/>
    <d v="2024-05-03T00:00:00"/>
    <s v="Week18"/>
    <d v="2024-04-01T00:00:00"/>
    <s v="DRY240017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51"/>
    <d v="2024-05-03T00:00:00"/>
    <s v="Week18"/>
    <d v="2024-04-01T00:00:00"/>
    <s v="DRY240023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51"/>
    <d v="2024-05-03T00:00:00"/>
    <s v="Week18"/>
    <d v="2024-04-01T00:00:00"/>
    <s v="DRY240023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51"/>
    <d v="2024-05-03T00:00:00"/>
    <s v="Week18"/>
    <d v="2024-04-01T00:00:00"/>
    <s v="DRY240024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51"/>
    <d v="2024-05-03T00:00:00"/>
    <s v="Week18"/>
    <d v="2024-04-01T00:00:00"/>
    <s v="DRY240024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51"/>
    <d v="2024-05-02T00:00:00"/>
    <s v="Week18"/>
    <d v="2024-04-01T00:00:00"/>
    <s v="DRY2400193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480"/>
    <m/>
    <m/>
    <n v="-480"/>
    <n v="4800"/>
    <n v="240000"/>
    <n v="6"/>
    <n v="28800"/>
  </r>
  <r>
    <x v="852"/>
    <m/>
    <s v="Week18"/>
    <d v="2024-05-01T00:00:00"/>
    <m/>
    <m/>
    <m/>
    <m/>
    <m/>
    <x v="0"/>
    <m/>
    <m/>
    <m/>
    <m/>
    <m/>
    <m/>
    <m/>
    <m/>
    <m/>
    <m/>
    <m/>
    <m/>
    <m/>
    <m/>
    <m/>
    <m/>
    <m/>
  </r>
  <r>
    <x v="853"/>
    <d v="2024-05-08T00:00:00"/>
    <s v="Week18"/>
    <d v="2024-05-01T00:00:00"/>
    <s v="DRY2400226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m/>
    <m/>
    <n v="-1288"/>
    <n v="46368"/>
    <m/>
    <m/>
    <m/>
  </r>
  <r>
    <x v="853"/>
    <d v="2024-05-08T00:00:00"/>
    <s v="Week18"/>
    <d v="2024-05-01T00:00:00"/>
    <s v="DRY2400204"/>
    <s v="SG"/>
    <s v="CPI SINGAPORE"/>
    <s v="C-Wonton"/>
    <s v="C-Wonton"/>
    <x v="2"/>
    <s v="Cooked Wonton No Egg"/>
    <s v="082S83B24005P06001"/>
    <s v="115g*24"/>
    <n v="24"/>
    <n v="5"/>
    <n v="8.0000000000000002E-3"/>
    <s v="M"/>
    <s v="STPP"/>
    <s v="TYTB3C 30G"/>
    <n v="500"/>
    <m/>
    <n v="6.166666666666667"/>
    <n v="-493.83333333333331"/>
    <n v="11852"/>
    <m/>
    <n v="1"/>
    <n v="11852"/>
  </r>
  <r>
    <x v="853"/>
    <d v="2024-05-08T00:00:00"/>
    <s v="Week18"/>
    <d v="2024-05-01T00:00:00"/>
    <s v="DRY2400203"/>
    <s v="SG"/>
    <s v="CPI SINGAPORE"/>
    <s v="C-Wonton"/>
    <s v="C-Wonton"/>
    <x v="1"/>
    <s v="Cooked Wonton No Egg"/>
    <s v="082S83B24005P07001"/>
    <s v="145g*24"/>
    <n v="24"/>
    <n v="5"/>
    <n v="8.0000000000000002E-3"/>
    <s v="M"/>
    <s v="STPP"/>
    <s v="Regular"/>
    <n v="250"/>
    <m/>
    <m/>
    <n v="-250"/>
    <n v="6000"/>
    <m/>
    <m/>
    <m/>
  </r>
  <r>
    <x v="853"/>
    <d v="2024-05-14T00:00:00"/>
    <s v="Week18"/>
    <d v="2024-05-01T00:00:00"/>
    <s v="DRY2400304"/>
    <s v="BRUNEI"/>
    <s v="Ben Foods"/>
    <s v="C-Wonton"/>
    <s v="C-Wonton"/>
    <x v="1"/>
    <s v="Cooked Wonton No Egg"/>
    <s v="082S8C324005P01001"/>
    <s v="145g*24"/>
    <n v="24"/>
    <n v="5"/>
    <n v="8.0000000000000002E-3"/>
    <s v="M"/>
    <s v="STPP"/>
    <s v="Regular"/>
    <n v="150"/>
    <m/>
    <m/>
    <n v="-150"/>
    <n v="3600"/>
    <m/>
    <m/>
    <m/>
  </r>
  <r>
    <x v="853"/>
    <d v="2024-05-06T00:00:00"/>
    <s v="Week18"/>
    <d v="2024-05-01T00:00:00"/>
    <s v="ขายภายใน"/>
    <s v=".7-11"/>
    <s v="ถ้วยขาวพิมพ์กดสีฟ้า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3008"/>
    <m/>
    <m/>
    <n v="-3008"/>
    <n v="72192"/>
    <m/>
    <m/>
    <m/>
  </r>
  <r>
    <x v="853"/>
    <d v="2024-05-02T00:00:00"/>
    <s v="Week18"/>
    <d v="2024-05-01T00:00:00"/>
    <s v="DRY2400193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236"/>
    <m/>
    <m/>
    <n v="-236"/>
    <n v="2360"/>
    <n v="118000"/>
    <n v="6"/>
    <n v="14160"/>
  </r>
  <r>
    <x v="853"/>
    <d v="2024-05-08T00:00:00"/>
    <s v="Week18"/>
    <d v="2024-05-01T00:00:00"/>
    <s v="DRY2400206"/>
    <s v="SG"/>
    <s v="CPI SINGAPORE"/>
    <s v="R-Wonton"/>
    <s v="R-Wonton"/>
    <x v="4"/>
    <s v="Raw Wonton 8 pcs"/>
    <s v="082I93B20008P00001"/>
    <s v="194g*20in"/>
    <n v="20"/>
    <n v="8"/>
    <n v="1.4999999999999999E-2"/>
    <s v="JB"/>
    <s v="STPP"/>
    <s v="ซุปซอง 5g."/>
    <n v="500"/>
    <m/>
    <n v="73"/>
    <n v="-427"/>
    <n v="8540"/>
    <n v="68320"/>
    <n v="2"/>
    <n v="17080"/>
  </r>
  <r>
    <x v="853"/>
    <d v="2024-05-08T00:00:00"/>
    <s v="Week18"/>
    <d v="2024-05-01T00:00:00"/>
    <s v="DRY2400207"/>
    <s v="SG"/>
    <s v="CPI SINGAPORE"/>
    <s v="R-Wonton"/>
    <s v="R-Mince"/>
    <x v="9"/>
    <s v="Raw Minced Wonton 8 pcs"/>
    <s v="082ID3B18008P00001"/>
    <s v="90g*18in"/>
    <n v="18"/>
    <n v="8"/>
    <n v="5.0000000000000001E-3"/>
    <s v="BK"/>
    <s v="STPP"/>
    <s v="ซุปซอง 5g."/>
    <n v="300"/>
    <m/>
    <n v="47"/>
    <n v="-253"/>
    <n v="4554"/>
    <n v="36432"/>
    <n v="2"/>
    <n v="9108"/>
  </r>
  <r>
    <x v="854"/>
    <d v="2024-05-03T00:00:00"/>
    <s v="Week18"/>
    <d v="2024-05-01T00:00:00"/>
    <s v="DRY240024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54"/>
    <d v="2024-05-03T00:00:00"/>
    <s v="Week18"/>
    <d v="2024-05-01T00:00:00"/>
    <s v="DRY240024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54"/>
    <d v="2024-05-03T00:00:00"/>
    <s v="Week18"/>
    <d v="2024-05-01T00:00:00"/>
    <s v="DRY240024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54"/>
    <d v="2024-05-06T00:00:00"/>
    <s v="Week18"/>
    <d v="2024-05-01T00:00:00"/>
    <s v="DRY240024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54"/>
    <d v="2024-05-06T00:00:00"/>
    <s v="Week18"/>
    <d v="2024-05-01T00:00:00"/>
    <s v="DRY240024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54"/>
    <d v="2024-05-08T00:00:00"/>
    <s v="Week18"/>
    <d v="2024-05-01T00:00:00"/>
    <s v="DRY2400202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1000"/>
    <m/>
    <m/>
    <n v="-1000"/>
    <n v="20000"/>
    <n v="240000"/>
    <n v="2"/>
    <n v="40000"/>
  </r>
  <r>
    <x v="855"/>
    <d v="2024-05-06T00:00:00"/>
    <s v="Week18"/>
    <d v="2024-05-01T00:00:00"/>
    <s v="DRY240024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279"/>
    <m/>
    <m/>
    <n v="-279"/>
    <n v="10044"/>
    <m/>
    <m/>
    <m/>
  </r>
  <r>
    <x v="855"/>
    <d v="2024-05-06T00:00:00"/>
    <s v="Week18"/>
    <d v="2024-05-01T00:00:00"/>
    <s v="DRY240024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513"/>
    <m/>
    <m/>
    <n v="-513"/>
    <n v="18468"/>
    <m/>
    <m/>
    <m/>
  </r>
  <r>
    <x v="855"/>
    <d v="2024-05-06T00:00:00"/>
    <s v="Week18"/>
    <d v="2024-05-01T00:00:00"/>
    <s v="DRY240024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55"/>
    <d v="2024-05-06T00:00:00"/>
    <s v="Week18"/>
    <d v="2024-05-01T00:00:00"/>
    <s v="DRY240024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55"/>
    <d v="2024-05-10T00:00:00"/>
    <s v="Week18"/>
    <d v="2024-05-01T00:00:00"/>
    <s v="DRY240025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55"/>
    <d v="2024-05-08T00:00:00"/>
    <s v="Week18"/>
    <d v="2024-05-01T00:00:00"/>
    <s v="DRY2400202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200"/>
    <m/>
    <m/>
    <n v="-200"/>
    <n v="4000"/>
    <n v="48000"/>
    <n v="2"/>
    <n v="8000"/>
  </r>
  <r>
    <x v="856"/>
    <d v="2024-05-16T00:00:00"/>
    <s v="Week18"/>
    <d v="2024-05-01T00:00:00"/>
    <s v="DRY2400297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m/>
    <m/>
    <n v="-792"/>
    <n v="28512"/>
    <m/>
    <m/>
    <m/>
  </r>
  <r>
    <x v="856"/>
    <d v="2024-05-23T00:00:00"/>
    <s v="Week18"/>
    <d v="2024-05-01T00:00:00"/>
    <s v="DRY2400298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m/>
    <m/>
    <n v="-792"/>
    <n v="28512"/>
    <m/>
    <m/>
    <m/>
  </r>
  <r>
    <x v="856"/>
    <d v="2024-05-08T00:00:00"/>
    <s v="Week18"/>
    <d v="2024-05-01T00:00:00"/>
    <s v="DRY2400205"/>
    <s v="SG"/>
    <s v="CPI Singapore"/>
    <s v="C-Wonton"/>
    <s v="C-Wonton ND"/>
    <x v="5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500"/>
    <m/>
    <n v="2.9583333333333335"/>
    <n v="-497.04166666666669"/>
    <n v="11929"/>
    <m/>
    <m/>
    <m/>
  </r>
  <r>
    <x v="856"/>
    <m/>
    <s v="Week18"/>
    <d v="2024-05-01T00:00:00"/>
    <s v="ขายภายใน"/>
    <s v=".7-11"/>
    <s v="ซีพีเอฟ เทรดดิ้ง"/>
    <s v="C-Wonton"/>
    <s v="C-Wonton"/>
    <x v="8"/>
    <s v="Cooked Wonton ND+ Vegetable  SS  3 pcs"/>
    <s v="082SJ1A12003P02001"/>
    <s v="211g*12"/>
    <n v="12"/>
    <n v="3"/>
    <n v="6.1999999999999998E-3"/>
    <s v="SS"/>
    <s v="STPP"/>
    <s v="TYNSF"/>
    <n v="6000"/>
    <m/>
    <m/>
    <n v="-6000"/>
    <n v="72000"/>
    <m/>
    <m/>
    <m/>
  </r>
  <r>
    <x v="857"/>
    <d v="2024-05-14T00:00:00"/>
    <s v="Week19"/>
    <d v="2024-05-01T00:00:00"/>
    <s v="DRY2400234"/>
    <s v="UK"/>
    <s v="Westbridge Foods Limited"/>
    <s v="C-Wonton ND"/>
    <s v="Wonton ND+V"/>
    <x v="8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m/>
    <m/>
    <n v="-924"/>
    <n v="22176"/>
    <m/>
    <m/>
    <m/>
  </r>
  <r>
    <x v="857"/>
    <d v="2024-05-14T00:00:00"/>
    <s v="Week19"/>
    <d v="2024-05-01T00:00:00"/>
    <s v="DRY2400235"/>
    <s v="UK"/>
    <s v="Westbridge Foods Limited"/>
    <s v="C-Wonton ND"/>
    <s v="Wonton ND+V"/>
    <x v="8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m/>
    <m/>
    <n v="-924"/>
    <n v="22176"/>
    <m/>
    <m/>
    <m/>
  </r>
  <r>
    <x v="857"/>
    <d v="2024-05-14T00:00:00"/>
    <s v="Week19"/>
    <d v="2024-05-01T00:00:00"/>
    <s v="DRY2400236"/>
    <s v="UK"/>
    <s v="Westbridge Foods Limited"/>
    <s v="C-Wonton ND"/>
    <s v="Wonton ND+V"/>
    <x v="8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m/>
    <m/>
    <n v="-924"/>
    <n v="22176"/>
    <m/>
    <m/>
    <m/>
  </r>
  <r>
    <x v="857"/>
    <d v="2024-05-21T00:00:00"/>
    <s v="Week19"/>
    <d v="2024-05-01T00:00:00"/>
    <s v="DRY2400237"/>
    <s v="UK"/>
    <s v="Westbridge Foods Limited"/>
    <s v="C-Wonton ND"/>
    <s v="Wonton ND+V"/>
    <x v="8"/>
    <s v="Cooked Wonton ND No Egg with Pumpkin _x000a_+ Vegetable 5 pcs tomyam"/>
    <s v="082SJWE24005P00001"/>
    <s v="307g*4c*6in"/>
    <n v="24"/>
    <n v="5"/>
    <n v="7.4999999999999997E-3"/>
    <s v="M"/>
    <s v="Salt"/>
    <s v="TYEX+CO"/>
    <n v="924"/>
    <m/>
    <m/>
    <n v="-924"/>
    <n v="22176"/>
    <m/>
    <m/>
    <m/>
  </r>
  <r>
    <x v="858"/>
    <d v="2024-05-16T00:00:00"/>
    <s v="Week19"/>
    <d v="2024-05-01T00:00:00"/>
    <s v="DRY2400307"/>
    <s v="CAN "/>
    <s v="Bellisio Foods Canada"/>
    <s v="C-Wonton"/>
    <s v="C-Wonton ND"/>
    <x v="3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m/>
    <n v="-2600"/>
    <n v="31200"/>
    <m/>
    <m/>
    <m/>
  </r>
  <r>
    <x v="858"/>
    <d v="2024-05-13T00:00:00"/>
    <s v="Week19"/>
    <d v="2024-05-01T00:00:00"/>
    <s v="DRY2400300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2400"/>
    <m/>
    <m/>
    <n v="-2400"/>
    <n v="19200"/>
    <m/>
    <m/>
    <m/>
  </r>
  <r>
    <x v="858"/>
    <d v="2024-05-10T00:00:00"/>
    <s v="Week19"/>
    <d v="2024-05-01T00:00:00"/>
    <s v="DRY240025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381"/>
    <m/>
    <m/>
    <n v="-381"/>
    <n v="13716"/>
    <m/>
    <m/>
    <m/>
  </r>
  <r>
    <x v="858"/>
    <d v="2024-05-10T00:00:00"/>
    <s v="Week19"/>
    <d v="2024-05-01T00:00:00"/>
    <s v="DRY240025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411"/>
    <m/>
    <m/>
    <n v="-411"/>
    <n v="14796"/>
    <m/>
    <m/>
    <m/>
  </r>
  <r>
    <x v="858"/>
    <d v="2024-05-10T00:00:00"/>
    <s v="Week19"/>
    <d v="2024-05-01T00:00:00"/>
    <s v="DRY240025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59"/>
    <d v="2024-05-20T00:00:00"/>
    <s v="Week19"/>
    <d v="2024-05-01T00:00:00"/>
    <s v="DRY2400259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1900"/>
    <m/>
    <m/>
    <n v="-1900"/>
    <n v="15200"/>
    <m/>
    <m/>
    <m/>
  </r>
  <r>
    <x v="859"/>
    <d v="2024-05-20T00:00:00"/>
    <s v="Week19"/>
    <d v="2024-05-01T00:00:00"/>
    <s v="DRY2400259"/>
    <s v="USA"/>
    <s v="Bellisio Foods, Inc."/>
    <s v="C-Wonton"/>
    <s v="C-Wonton"/>
    <x v="7"/>
    <s v="Cooked Minced Wonton No Egg"/>
    <s v="082SKBW08005P00001"/>
    <s v="145g*8"/>
    <n v="8"/>
    <n v="5"/>
    <n v="6.0000000000000001E-3"/>
    <s v="BK"/>
    <s v="Salt"/>
    <s v="Regular"/>
    <n v="1400"/>
    <m/>
    <m/>
    <n v="-1400"/>
    <n v="11200"/>
    <m/>
    <m/>
    <m/>
  </r>
  <r>
    <x v="859"/>
    <d v="2024-05-13T00:00:00"/>
    <s v="Week19"/>
    <d v="2024-05-01T00:00:00"/>
    <s v="ขายภายใน"/>
    <s v=".7-11"/>
    <s v="ถ้วยขาวพิมพ์กดสีฟ้า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4734"/>
    <m/>
    <m/>
    <n v="-4734"/>
    <n v="113616"/>
    <m/>
    <m/>
    <m/>
  </r>
  <r>
    <x v="860"/>
    <d v="2024-05-10T00:00:00"/>
    <s v="Week19"/>
    <d v="2024-05-01T00:00:00"/>
    <s v="DRY240025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0"/>
    <d v="2024-05-10T00:00:00"/>
    <s v="Week19"/>
    <d v="2024-05-01T00:00:00"/>
    <s v="DRY240025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0"/>
    <d v="2024-05-10T00:00:00"/>
    <s v="Week19"/>
    <d v="2024-05-01T00:00:00"/>
    <s v="DRY240025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0"/>
    <d v="2024-05-10T00:00:00"/>
    <s v="Week19"/>
    <d v="2024-05-01T00:00:00"/>
    <s v="DRY240025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0"/>
    <d v="2024-05-10T00:00:00"/>
    <s v="Week19"/>
    <d v="2024-05-01T00:00:00"/>
    <s v="DRY240025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1"/>
    <d v="2024-05-10T00:00:00"/>
    <s v="Week19"/>
    <d v="2024-05-01T00:00:00"/>
    <s v="DRY240026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1"/>
    <d v="2024-05-13T00:00:00"/>
    <s v="Week19"/>
    <d v="2024-05-01T00:00:00"/>
    <s v="DRY240026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1"/>
    <d v="2024-05-13T00:00:00"/>
    <s v="Week19"/>
    <d v="2024-05-01T00:00:00"/>
    <s v="DRY240026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1"/>
    <d v="2024-05-13T00:00:00"/>
    <s v="Week19"/>
    <d v="2024-05-01T00:00:00"/>
    <s v="DRY240026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1"/>
    <d v="2024-05-13T00:00:00"/>
    <s v="Week19"/>
    <d v="2024-05-01T00:00:00"/>
    <s v="DRY240026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2"/>
    <d v="2024-05-13T00:00:00"/>
    <s v="Week19"/>
    <d v="2024-05-01T00:00:00"/>
    <s v="DRY240026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2"/>
    <d v="2024-05-13T00:00:00"/>
    <s v="Week19"/>
    <d v="2024-05-01T00:00:00"/>
    <s v="DRY240026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2"/>
    <d v="2024-05-13T00:00:00"/>
    <s v="Week19"/>
    <d v="2024-05-01T00:00:00"/>
    <s v="DRY240026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2"/>
    <d v="2024-05-14T00:00:00"/>
    <s v="Week19"/>
    <d v="2024-05-01T00:00:00"/>
    <s v="DRY240026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2"/>
    <d v="2024-05-14T00:00:00"/>
    <s v="Week19"/>
    <d v="2024-05-01T00:00:00"/>
    <s v="DRY240026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3"/>
    <d v="2024-06-04T00:00:00"/>
    <s v="Week19"/>
    <d v="2024-05-01T00:00:00"/>
    <s v="DRY2400116"/>
    <s v="Germany"/>
    <s v=" CPF Distribution (under Paulsen Food)"/>
    <s v="C-Wonton"/>
    <s v="C-Wonton ND"/>
    <x v="5"/>
    <s v="Cooked Wonton ND No Egg with Pumpkin _x000a_+ Vegetable  HC  3 pcs"/>
    <s v="082SJ3N12003P01001"/>
    <s v="309g*12"/>
    <n v="12"/>
    <n v="3"/>
    <n v="7.4999999999999997E-3"/>
    <s v="HC"/>
    <s v="Salt"/>
    <s v="Regular"/>
    <n v="2040"/>
    <m/>
    <n v="28.833333333333332"/>
    <n v="-2011.1666666666667"/>
    <n v="24134"/>
    <m/>
    <m/>
    <m/>
  </r>
  <r>
    <x v="863"/>
    <d v="2024-05-16T00:00:00"/>
    <s v="Week19"/>
    <d v="2024-05-01T00:00:00"/>
    <s v="DRY2400089"/>
    <s v="New Zealand"/>
    <s v="Lim Brothers"/>
    <s v="C-Wonton"/>
    <s v="C-Wonton ND"/>
    <x v="5"/>
    <s v="Cooked Wonton ND No Egg with Pumpkin_x000a_+ Yu Choy "/>
    <s v="082SJN736005P00001"/>
    <s v="308g*6c*6in"/>
    <n v="36"/>
    <n v="5"/>
    <n v="7.4999999999999997E-3"/>
    <s v="HC"/>
    <s v="Salt"/>
    <s v="Regular"/>
    <n v="792"/>
    <m/>
    <m/>
    <n v="-792"/>
    <n v="28512"/>
    <m/>
    <m/>
    <m/>
  </r>
  <r>
    <x v="863"/>
    <d v="2024-05-23T00:00:00"/>
    <s v="Week19"/>
    <d v="2024-05-01T00:00:00"/>
    <s v="DRY2300474"/>
    <s v="AUS"/>
    <s v="CPF Australia Pty Ltd."/>
    <s v="C-Wonton ND"/>
    <s v="Wonton ND+V"/>
    <x v="8"/>
    <s v="Cooked Wonton ND No Egg with Pumpkin _x000a_+ Vegetable 5 pcs tomyam"/>
    <s v="082SJ9U24005P00001"/>
    <s v="307g*4c*6in"/>
    <n v="24"/>
    <n v="5"/>
    <n v="7.4999999999999997E-3"/>
    <s v="M"/>
    <s v="Salt"/>
    <s v="TYEX+CO"/>
    <n v="924"/>
    <m/>
    <n v="29.694444444444443"/>
    <n v="-894.30555555555554"/>
    <n v="21463.333333333332"/>
    <m/>
    <m/>
    <m/>
  </r>
  <r>
    <x v="863"/>
    <d v="2024-06-01T00:00:00"/>
    <s v="Week19"/>
    <d v="2024-05-01T00:00:00"/>
    <s v="DRY2400090"/>
    <s v="New Zealand"/>
    <s v="Lim Brothers"/>
    <s v="C-Wonton ND"/>
    <s v="Wonton ND+V"/>
    <x v="8"/>
    <s v="Cooked Wonton ND No Egg with Pumpkin _x000a_+ Vegetable 5 pcs tomyam"/>
    <s v="082SJN724005P00001"/>
    <s v="307g*4c*6in"/>
    <n v="24"/>
    <n v="5"/>
    <n v="7.4999999999999997E-3"/>
    <s v="M"/>
    <s v="Salt"/>
    <s v="TYEX+CO"/>
    <n v="390"/>
    <m/>
    <m/>
    <n v="-390"/>
    <n v="9360"/>
    <m/>
    <m/>
    <m/>
  </r>
  <r>
    <x v="863"/>
    <d v="2024-05-23T00:00:00"/>
    <s v="Week19"/>
    <d v="2024-05-01T00:00:00"/>
    <s v="DRY2400305"/>
    <s v="Denmark"/>
    <s v="CPF DENMARK"/>
    <s v="C-Wonton"/>
    <s v="C-Wonton ND"/>
    <x v="17"/>
    <s v="Cooked Minced  ND No Egg with Pumpkin_x000a_+ Yu Choy Tomyum"/>
    <s v="082SRRE12003P00001"/>
    <s v="302g*12"/>
    <n v="12"/>
    <n v="3"/>
    <n v="6.0000000000000001E-3"/>
    <s v="BK"/>
    <s v="Salt"/>
    <s v="TYEX+CO"/>
    <n v="2520"/>
    <m/>
    <m/>
    <n v="-2520"/>
    <n v="30240"/>
    <m/>
    <m/>
    <m/>
  </r>
  <r>
    <x v="863"/>
    <d v="2024-05-28T00:00:00"/>
    <s v="Week19"/>
    <d v="2024-05-01T00:00:00"/>
    <s v="DRY2400306"/>
    <s v="Denmark"/>
    <s v="CPF DENMARK"/>
    <s v="C-Wonton"/>
    <s v="C-Wonton ND"/>
    <x v="17"/>
    <s v="Cooked Minced  ND No Egg with Pumpkin_x000a_+ Yu Choy Tomyum"/>
    <s v="082SRRE12003P00001"/>
    <s v="302g*12"/>
    <n v="12"/>
    <n v="3"/>
    <n v="6.0000000000000001E-3"/>
    <s v="BK"/>
    <s v="Salt"/>
    <s v="TYEX+CO"/>
    <n v="2520"/>
    <m/>
    <m/>
    <n v="-2520"/>
    <n v="30240"/>
    <m/>
    <m/>
    <m/>
  </r>
  <r>
    <x v="864"/>
    <d v="2024-05-25T00:00:00"/>
    <s v="Week20"/>
    <d v="2024-05-01T00:00:00"/>
    <s v="DRY2400351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1900"/>
    <m/>
    <m/>
    <n v="-1900"/>
    <n v="15200"/>
    <m/>
    <m/>
    <m/>
  </r>
  <r>
    <x v="864"/>
    <d v="2024-05-25T00:00:00"/>
    <s v="Week20"/>
    <d v="2024-05-01T00:00:00"/>
    <s v="DRY2400352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1900"/>
    <m/>
    <m/>
    <n v="-1900"/>
    <n v="15200"/>
    <m/>
    <m/>
    <m/>
  </r>
  <r>
    <x v="864"/>
    <d v="2024-05-22T00:00:00"/>
    <s v="Week20"/>
    <d v="2024-05-01T00:00:00"/>
    <s v="DRY2400112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m/>
    <m/>
    <n v="-1288"/>
    <n v="46368"/>
    <m/>
    <m/>
    <m/>
  </r>
  <r>
    <x v="864"/>
    <d v="2024-06-03T00:00:00"/>
    <s v="Week20"/>
    <d v="2024-05-01T00:00:00"/>
    <s v="DRY2400191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00"/>
    <m/>
    <m/>
    <n v="-500"/>
    <n v="20000"/>
    <n v="240000"/>
    <n v="2"/>
    <n v="40000"/>
  </r>
  <r>
    <x v="865"/>
    <d v="2024-05-20T00:00:00"/>
    <s v="Week20"/>
    <d v="2024-05-01T00:00:00"/>
    <s v="ขายภายใน"/>
    <s v=".7-11"/>
    <s v="ถ้วยขาวพิมพ์กดสีฟ้า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6250"/>
    <m/>
    <m/>
    <n v="-6250"/>
    <n v="150000"/>
    <m/>
    <m/>
    <m/>
  </r>
  <r>
    <x v="865"/>
    <d v="2024-06-03T00:00:00"/>
    <s v="Week20"/>
    <d v="2024-05-01T00:00:00"/>
    <s v="DRY2400191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00"/>
    <m/>
    <m/>
    <n v="-500"/>
    <n v="20000"/>
    <n v="240000"/>
    <n v="2"/>
    <n v="40000"/>
  </r>
  <r>
    <x v="866"/>
    <d v="2024-05-27T00:00:00"/>
    <s v="Week20"/>
    <d v="2024-05-01T00:00:00"/>
    <s v="ขายภายใน"/>
    <s v=".7-11"/>
    <s v="Seven  ถ้วยดำ"/>
    <s v="C-Wonton"/>
    <s v="C-Wonton"/>
    <x v="12"/>
    <s v="Cooked Wonton With Egg .7-11"/>
    <s v="082S81A24005P04001"/>
    <s v="145g*24"/>
    <n v="24"/>
    <n v="5"/>
    <n v="8.0000000000000002E-3"/>
    <s v="M"/>
    <s v="STPP"/>
    <s v="Regular"/>
    <n v="6250"/>
    <m/>
    <m/>
    <n v="-6250"/>
    <n v="150000"/>
    <m/>
    <m/>
    <m/>
  </r>
  <r>
    <x v="866"/>
    <d v="2024-06-03T00:00:00"/>
    <s v="Week20"/>
    <d v="2024-05-01T00:00:00"/>
    <s v="DRY2400191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500"/>
    <m/>
    <m/>
    <n v="-500"/>
    <n v="20000"/>
    <n v="240000"/>
    <n v="2"/>
    <n v="40000"/>
  </r>
  <r>
    <x v="867"/>
    <d v="2024-05-14T00:00:00"/>
    <s v="Week20"/>
    <d v="2024-05-01T00:00:00"/>
    <s v="DRY240027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7"/>
    <d v="2024-05-15T00:00:00"/>
    <s v="Week20"/>
    <d v="2024-05-01T00:00:00"/>
    <s v="DRY240027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7"/>
    <d v="2024-05-15T00:00:00"/>
    <s v="Week20"/>
    <d v="2024-05-01T00:00:00"/>
    <s v="DRY240027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7"/>
    <d v="2024-05-18T00:00:00"/>
    <s v="Week20"/>
    <d v="2024-05-01T00:00:00"/>
    <s v="DRY240027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7"/>
    <d v="2024-05-18T00:00:00"/>
    <s v="Week20"/>
    <d v="2024-05-01T00:00:00"/>
    <s v="DRY240027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7"/>
    <d v="2024-06-03T00:00:00"/>
    <s v="Week20"/>
    <d v="2024-05-01T00:00:00"/>
    <s v="DRY2400191"/>
    <s v="Korea"/>
    <s v="Consumer Package Commerce"/>
    <s v="R-Wonton"/>
    <s v="R-Wonton"/>
    <x v="4"/>
    <s v="Raw Wonton 12 pcs"/>
    <s v="082I93U40012P01001"/>
    <s v="154g*40in"/>
    <n v="40"/>
    <n v="12"/>
    <n v="6.8100000000000001E-3"/>
    <s v="S"/>
    <s v="STPP"/>
    <s v="ซุปซอง 5g."/>
    <n v="124"/>
    <m/>
    <m/>
    <n v="-124"/>
    <n v="4960"/>
    <n v="59520"/>
    <n v="2"/>
    <n v="9920"/>
  </r>
  <r>
    <x v="867"/>
    <d v="2024-06-03T00:00:00"/>
    <s v="Week20"/>
    <d v="2024-05-01T00:00:00"/>
    <s v="DRY2400194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361"/>
    <m/>
    <m/>
    <n v="-361"/>
    <n v="3610"/>
    <n v="180500"/>
    <n v="6"/>
    <n v="21660"/>
  </r>
  <r>
    <x v="868"/>
    <d v="2024-05-18T00:00:00"/>
    <s v="Week20"/>
    <d v="2024-05-01T00:00:00"/>
    <s v="DRY240027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8"/>
    <d v="2024-05-18T00:00:00"/>
    <s v="Week20"/>
    <d v="2024-05-01T00:00:00"/>
    <s v="DRY240027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8"/>
    <d v="2024-05-20T00:00:00"/>
    <s v="Week20"/>
    <d v="2024-05-01T00:00:00"/>
    <s v="DRY240027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8"/>
    <d v="2024-05-20T00:00:00"/>
    <s v="Week20"/>
    <d v="2024-05-01T00:00:00"/>
    <s v="DRY240027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8"/>
    <d v="2024-05-20T00:00:00"/>
    <s v="Week20"/>
    <d v="2024-05-01T00:00:00"/>
    <s v="DRY240027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8"/>
    <d v="2024-06-03T00:00:00"/>
    <s v="Week20"/>
    <d v="2024-05-01T00:00:00"/>
    <s v="DRY2400194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480"/>
    <m/>
    <m/>
    <n v="-480"/>
    <n v="4800"/>
    <n v="240000"/>
    <n v="6"/>
    <n v="28800"/>
  </r>
  <r>
    <x v="869"/>
    <d v="2024-05-20T00:00:00"/>
    <s v="Week20"/>
    <d v="2024-05-01T00:00:00"/>
    <s v="DRY240028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9"/>
    <d v="2024-05-20T00:00:00"/>
    <s v="Week20"/>
    <d v="2024-05-01T00:00:00"/>
    <s v="DRY240028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9"/>
    <d v="2024-05-20T00:00:00"/>
    <s v="Week20"/>
    <d v="2024-05-01T00:00:00"/>
    <s v="DRY240028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9"/>
    <d v="2024-05-20T00:00:00"/>
    <s v="Week20"/>
    <d v="2024-05-01T00:00:00"/>
    <s v="DRY240028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9"/>
    <d v="2024-05-20T00:00:00"/>
    <s v="Week20"/>
    <d v="2024-05-01T00:00:00"/>
    <s v="DRY240028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69"/>
    <d v="2024-06-03T00:00:00"/>
    <s v="Week20"/>
    <d v="2024-05-01T00:00:00"/>
    <s v="DRY2400194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480"/>
    <m/>
    <m/>
    <n v="-480"/>
    <n v="4800"/>
    <n v="240000"/>
    <n v="6"/>
    <n v="28800"/>
  </r>
  <r>
    <x v="870"/>
    <d v="2024-05-21T00:00:00"/>
    <s v="Week20"/>
    <d v="2024-05-01T00:00:00"/>
    <s v="DRY240028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70"/>
    <d v="2024-05-21T00:00:00"/>
    <s v="Week20"/>
    <d v="2024-05-01T00:00:00"/>
    <s v="DRY240028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70"/>
    <d v="2024-05-21T00:00:00"/>
    <s v="Week20"/>
    <d v="2024-05-01T00:00:00"/>
    <s v="DRY240028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70"/>
    <d v="2024-05-21T00:00:00"/>
    <s v="Week20"/>
    <d v="2024-05-01T00:00:00"/>
    <s v="DRY240028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70"/>
    <d v="2024-05-22T00:00:00"/>
    <s v="Week20"/>
    <d v="2024-05-01T00:00:00"/>
    <s v="DRY240028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71"/>
    <d v="2024-05-25T00:00:00"/>
    <s v="Week21"/>
    <d v="2024-05-01T00:00:00"/>
    <s v="DRY2400351"/>
    <s v="USA"/>
    <s v="Bellisio Foods, Inc."/>
    <s v="C-Wonton"/>
    <s v="C-Wonton"/>
    <x v="7"/>
    <s v="Cooked Minced Wonton No Egg"/>
    <s v="082SKBW08005P00001"/>
    <s v="145g*8"/>
    <n v="8"/>
    <n v="5"/>
    <n v="6.0000000000000001E-3"/>
    <s v="BK"/>
    <s v="Salt"/>
    <s v="Regular"/>
    <n v="1400"/>
    <m/>
    <m/>
    <n v="-1400"/>
    <n v="11200"/>
    <m/>
    <m/>
    <m/>
  </r>
  <r>
    <x v="871"/>
    <d v="2024-05-25T00:00:00"/>
    <s v="Week21"/>
    <d v="2024-05-01T00:00:00"/>
    <s v="DRY2400352"/>
    <s v="USA"/>
    <s v="Bellisio Foods, Inc."/>
    <s v="C-Wonton"/>
    <s v="C-Wonton"/>
    <x v="7"/>
    <s v="Cooked Minced Wonton No Egg"/>
    <s v="082SKBW08005P00001"/>
    <s v="145g*8"/>
    <n v="8"/>
    <n v="5"/>
    <n v="6.0000000000000001E-3"/>
    <s v="BK"/>
    <s v="Salt"/>
    <s v="Regular"/>
    <n v="1400"/>
    <m/>
    <m/>
    <n v="-1400"/>
    <n v="11200"/>
    <m/>
    <m/>
    <m/>
  </r>
  <r>
    <x v="871"/>
    <d v="2024-05-20T00:00:00"/>
    <s v="Week21"/>
    <d v="2024-05-01T00:00:00"/>
    <s v="ขายภายใน"/>
    <s v=".7-11"/>
    <s v="ถ้วยขาวพิมพ์กดสีฟ้า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500"/>
    <m/>
    <m/>
    <n v="-2500"/>
    <n v="60000"/>
    <m/>
    <m/>
    <m/>
  </r>
  <r>
    <x v="871"/>
    <d v="2024-06-03T00:00:00"/>
    <s v="Week21"/>
    <d v="2024-05-01T00:00:00"/>
    <s v="DRY2400194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480"/>
    <m/>
    <m/>
    <n v="-480"/>
    <n v="4800"/>
    <n v="240000"/>
    <n v="6"/>
    <n v="28800"/>
  </r>
  <r>
    <x v="872"/>
    <d v="2024-05-29T00:00:00"/>
    <s v="Week21"/>
    <d v="2024-05-01T00:00:00"/>
    <s v="DRY2400181"/>
    <s v="CAN "/>
    <s v="Bellisio Foods Canada"/>
    <s v="C-Wonton"/>
    <s v="C-Wonton ND"/>
    <x v="3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m/>
    <n v="-2600"/>
    <n v="31200"/>
    <m/>
    <m/>
    <m/>
  </r>
  <r>
    <x v="872"/>
    <d v="2024-05-22T00:00:00"/>
    <s v="Week21"/>
    <d v="2024-05-01T00:00:00"/>
    <s v="DRY240029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72"/>
    <d v="2024-05-22T00:00:00"/>
    <s v="Week21"/>
    <d v="2024-05-01T00:00:00"/>
    <s v="DRY240029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72"/>
    <d v="2024-05-22T00:00:00"/>
    <s v="Week21"/>
    <d v="2024-05-01T00:00:00"/>
    <s v="DRY240029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72"/>
    <d v="2024-05-22T00:00:00"/>
    <s v="Week21"/>
    <d v="2024-05-01T00:00:00"/>
    <s v="DRY240029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72"/>
    <d v="2024-06-03T00:00:00"/>
    <s v="Week21"/>
    <d v="2024-05-01T00:00:00"/>
    <s v="DRY2400194"/>
    <s v="Korea"/>
    <s v="Consumer Package Commerce"/>
    <s v="R-Wonton"/>
    <s v="R-Wonton"/>
    <x v="4"/>
    <s v="Raw Wonton 50 pcs"/>
    <s v="082I93U10050P01001"/>
    <s v="630g*10inner"/>
    <n v="10"/>
    <n v="50"/>
    <n v="6.8100000000000001E-3"/>
    <s v="S"/>
    <s v="STPP"/>
    <s v="ซุปซอง 5g."/>
    <n v="255"/>
    <m/>
    <m/>
    <n v="-255"/>
    <n v="2550"/>
    <n v="127500"/>
    <n v="6"/>
    <n v="15300"/>
  </r>
  <r>
    <x v="872"/>
    <d v="2024-05-31T00:00:00"/>
    <s v="Week21"/>
    <d v="2024-05-01T00:00:00"/>
    <s v="KL2400009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235"/>
    <m/>
    <m/>
    <n v="-235"/>
    <n v="1880"/>
    <n v="112800"/>
    <n v="6"/>
    <n v="11280"/>
  </r>
  <r>
    <x v="873"/>
    <d v="2024-05-24T00:00:00"/>
    <s v="Week21"/>
    <d v="2024-05-01T00:00:00"/>
    <s v="DRY240033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73"/>
    <d v="2024-05-24T00:00:00"/>
    <s v="Week21"/>
    <d v="2024-05-01T00:00:00"/>
    <s v="DRY240033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73"/>
    <d v="2024-05-24T00:00:00"/>
    <s v="Week21"/>
    <d v="2024-05-01T00:00:00"/>
    <s v="DRY240033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73"/>
    <d v="2024-05-24T00:00:00"/>
    <s v="Week21"/>
    <d v="2024-05-01T00:00:00"/>
    <s v="DRY240033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73"/>
    <d v="2024-05-24T00:00:00"/>
    <s v="Week21"/>
    <d v="2024-05-01T00:00:00"/>
    <s v="DRY240033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73"/>
    <d v="2024-05-31T00:00:00"/>
    <s v="Week21"/>
    <d v="2024-05-01T00:00:00"/>
    <s v="KL2400009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500"/>
    <m/>
    <m/>
    <n v="-500"/>
    <n v="4000"/>
    <n v="240000"/>
    <n v="6"/>
    <n v="24000"/>
  </r>
  <r>
    <x v="874"/>
    <d v="2024-05-24T00:00:00"/>
    <s v="Week21"/>
    <d v="2024-05-01T00:00:00"/>
    <s v="DRY240033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74"/>
    <d v="2024-05-24T00:00:00"/>
    <s v="Week21"/>
    <d v="2024-05-01T00:00:00"/>
    <s v="DRY240034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74"/>
    <d v="2024-05-24T00:00:00"/>
    <s v="Week21"/>
    <d v="2024-05-01T00:00:00"/>
    <s v="DRY240034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74"/>
    <d v="2024-05-24T00:00:00"/>
    <s v="Week21"/>
    <d v="2024-05-01T00:00:00"/>
    <s v="DRY240034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74"/>
    <d v="2024-05-27T00:00:00"/>
    <s v="Week21"/>
    <d v="2024-05-01T00:00:00"/>
    <s v="DRY240034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74"/>
    <d v="2024-05-31T00:00:00"/>
    <s v="Week21"/>
    <d v="2024-05-01T00:00:00"/>
    <s v="KL2400009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500"/>
    <m/>
    <m/>
    <n v="-500"/>
    <n v="4000"/>
    <n v="240000"/>
    <n v="6"/>
    <n v="24000"/>
  </r>
  <r>
    <x v="875"/>
    <d v="2024-06-04T00:00:00"/>
    <s v="Week21"/>
    <d v="2024-05-01T00:00:00"/>
    <s v="DRY2400301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1900"/>
    <m/>
    <m/>
    <n v="-1900"/>
    <n v="15200"/>
    <m/>
    <m/>
    <m/>
  </r>
  <r>
    <x v="875"/>
    <d v="2024-06-04T00:00:00"/>
    <s v="Week21"/>
    <d v="2024-05-01T00:00:00"/>
    <s v="DRY2400302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1900"/>
    <m/>
    <m/>
    <n v="-1900"/>
    <n v="15200"/>
    <m/>
    <m/>
    <m/>
  </r>
  <r>
    <x v="875"/>
    <d v="2024-05-27T00:00:00"/>
    <s v="Week21"/>
    <d v="2024-05-01T00:00:00"/>
    <s v="DRY240034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75"/>
    <d v="2024-05-27T00:00:00"/>
    <s v="Week21"/>
    <d v="2024-05-01T00:00:00"/>
    <s v="DRY240034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75"/>
    <d v="2024-05-27T00:00:00"/>
    <s v="Week21"/>
    <d v="2024-05-01T00:00:00"/>
    <s v="DRY240034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75"/>
    <d v="2024-05-27T00:00:00"/>
    <s v="Week21"/>
    <d v="2024-05-01T00:00:00"/>
    <s v="DRY240034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75"/>
    <d v="2024-05-31T00:00:00"/>
    <s v="Week21"/>
    <d v="2024-05-01T00:00:00"/>
    <s v="KL2400009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58"/>
    <m/>
    <m/>
    <n v="-158"/>
    <n v="1264"/>
    <n v="75840"/>
    <n v="6"/>
    <n v="7584"/>
  </r>
  <r>
    <x v="875"/>
    <d v="2024-06-05T00:00:00"/>
    <s v="Week21"/>
    <d v="2024-05-01T00:00:00"/>
    <s v="DRY2400212"/>
    <s v="SG"/>
    <s v="CPI SINGAPORE"/>
    <s v="R-Wonton"/>
    <s v="R-Wonton"/>
    <x v="4"/>
    <s v="Raw Wonton 8 pcs"/>
    <s v="082I93B20008P00001"/>
    <s v="194g*20in"/>
    <n v="20"/>
    <n v="8"/>
    <n v="1.4999999999999999E-2"/>
    <s v="JB"/>
    <s v="STPP"/>
    <s v="ซุปซอง 5g."/>
    <n v="500"/>
    <m/>
    <m/>
    <n v="-500"/>
    <n v="10000"/>
    <n v="80000"/>
    <n v="2"/>
    <n v="20000"/>
  </r>
  <r>
    <x v="875"/>
    <d v="2024-06-05T00:00:00"/>
    <s v="Week21"/>
    <d v="2024-05-01T00:00:00"/>
    <s v="DRY2400214"/>
    <s v="SG"/>
    <s v="CPI SINGAPORE"/>
    <s v="R-Wonton"/>
    <s v="R-Mince"/>
    <x v="9"/>
    <s v="Raw Minced Wonton 8 pcs"/>
    <s v="082ID3B18008P00001"/>
    <s v="90g*18in"/>
    <n v="18"/>
    <n v="8"/>
    <n v="5.0000000000000001E-3"/>
    <s v="BK"/>
    <s v="STPP"/>
    <s v="ซุปซอง 5g."/>
    <n v="300"/>
    <m/>
    <m/>
    <n v="-300"/>
    <n v="5400"/>
    <n v="43200"/>
    <n v="2"/>
    <n v="10800"/>
  </r>
  <r>
    <x v="876"/>
    <d v="2024-06-13T00:00:00"/>
    <s v="Week21"/>
    <d v="2024-05-01T00:00:00"/>
    <s v="DRY2400308"/>
    <s v="CAN "/>
    <s v="Bellisio Foods Canada"/>
    <s v="C-Wonton"/>
    <s v="C-Wonton ND"/>
    <x v="3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m/>
    <n v="-2600"/>
    <n v="31200"/>
    <m/>
    <m/>
    <m/>
  </r>
  <r>
    <x v="876"/>
    <d v="2024-06-05T00:00:00"/>
    <s v="Week21"/>
    <d v="2024-05-01T00:00:00"/>
    <s v="DRY2400211"/>
    <s v="SG"/>
    <s v="CPI Singapore"/>
    <s v="C-Wonton"/>
    <s v="C-Wonton ND"/>
    <x v="5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250"/>
    <m/>
    <m/>
    <n v="-250"/>
    <n v="6000"/>
    <m/>
    <m/>
    <m/>
  </r>
  <r>
    <x v="876"/>
    <d v="2024-06-05T00:00:00"/>
    <s v="Week21"/>
    <d v="2024-05-01T00:00:00"/>
    <s v="DRY2400399"/>
    <s v="SG"/>
    <s v="CPI Singapore"/>
    <s v="C-Wonton"/>
    <s v="C-Wonton ND"/>
    <x v="5"/>
    <s v="Cooked Wonton ND No Egg with Pumpkin _x000a_+ Vegetable  HC  3 pcs"/>
    <s v="082SJ3B24003P02001"/>
    <s v="219g*24"/>
    <n v="24"/>
    <n v="3"/>
    <n v="7.4999999999999997E-3"/>
    <s v="HC"/>
    <s v="STPP"/>
    <s v="ซุปซอง 10g."/>
    <n v="200"/>
    <m/>
    <m/>
    <n v="-200"/>
    <n v="4800"/>
    <m/>
    <m/>
    <m/>
  </r>
  <r>
    <x v="876"/>
    <d v="2024-06-12T00:00:00"/>
    <s v="Week21"/>
    <d v="2024-05-01T00:00:00"/>
    <s v="DRY2400354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m/>
    <m/>
    <n v="-792"/>
    <n v="28512"/>
    <m/>
    <m/>
    <m/>
  </r>
  <r>
    <x v="876"/>
    <d v="2024-05-30T00:00:00"/>
    <s v="Week21"/>
    <d v="2024-05-01T00:00:00"/>
    <s v="ขายภายใน"/>
    <s v=".7-11"/>
    <s v="ซีพีเอฟ เทรดดิ้ง"/>
    <s v="C-Wonton"/>
    <s v="C-Wonton"/>
    <x v="8"/>
    <s v="Cooked Wonton ND+ Vegetable  SS  3 pcs"/>
    <s v="082SJ1A12003P02001"/>
    <s v="211g*12"/>
    <n v="12"/>
    <n v="3"/>
    <n v="6.1999999999999998E-3"/>
    <s v="SS"/>
    <s v="STPP"/>
    <s v="TYNSF"/>
    <n v="6000"/>
    <m/>
    <m/>
    <n v="-6000"/>
    <n v="72000"/>
    <m/>
    <m/>
    <m/>
  </r>
  <r>
    <x v="876"/>
    <d v="2024-06-05T00:00:00"/>
    <s v="Week21"/>
    <d v="2024-05-01T00:00:00"/>
    <s v="DRY2400213"/>
    <s v="SG"/>
    <s v="CPI SINGAPORE"/>
    <s v="R-Wonton"/>
    <s v="R-Wonton"/>
    <x v="18"/>
    <s v="Raw Wonton 50 pcs (Fried Sheet)"/>
    <s v="082I93B10050P04001"/>
    <s v="600g*10inner"/>
    <n v="10"/>
    <n v="50"/>
    <n v="6.8100000000000001E-3"/>
    <s v="S"/>
    <s v="STPP"/>
    <s v="-"/>
    <n v="200"/>
    <m/>
    <n v="13"/>
    <n v="-187"/>
    <n v="1870"/>
    <n v="93500"/>
    <m/>
    <n v="0"/>
  </r>
  <r>
    <x v="876"/>
    <d v="2024-06-05T00:00:00"/>
    <s v="Week21"/>
    <d v="2024-05-01T00:00:00"/>
    <s v="DRY2400208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611"/>
    <m/>
    <m/>
    <n v="-611"/>
    <n v="12220"/>
    <n v="146640"/>
    <n v="2"/>
    <n v="24440"/>
  </r>
  <r>
    <x v="877"/>
    <d v="2024-05-27T00:00:00"/>
    <s v="Week21"/>
    <d v="2024-05-01T00:00:00"/>
    <s v="DRY240034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77"/>
    <d v="2024-05-30T00:00:00"/>
    <s v="Week21"/>
    <d v="2024-05-01T00:00:00"/>
    <s v="DRY240034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77"/>
    <d v="2024-05-30T00:00:00"/>
    <s v="Week21"/>
    <d v="2024-05-01T00:00:00"/>
    <s v="DRY240035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77"/>
    <d v="2024-06-12T00:00:00"/>
    <s v="Week21"/>
    <d v="2024-05-01T00:00:00"/>
    <s v="DRY2400355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m/>
    <m/>
    <n v="-792"/>
    <n v="28512"/>
    <m/>
    <m/>
    <m/>
  </r>
  <r>
    <x v="877"/>
    <d v="2024-06-12T00:00:00"/>
    <s v="Week21"/>
    <d v="2024-05-01T00:00:00"/>
    <s v="DRY2400365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m/>
    <m/>
    <n v="-792"/>
    <n v="28512"/>
    <m/>
    <m/>
    <m/>
  </r>
  <r>
    <x v="878"/>
    <d v="2024-06-04T00:00:00"/>
    <s v="Week22"/>
    <d v="2024-05-01T00:00:00"/>
    <s v="DRY2400301"/>
    <s v="USA"/>
    <s v="Bellisio Foods, Inc."/>
    <s v="C-Wonton"/>
    <s v="C-Wonton"/>
    <x v="7"/>
    <s v="Cooked Minced Wonton No Egg"/>
    <s v="082SKBW08005P00001"/>
    <s v="145g*8"/>
    <n v="8"/>
    <n v="5"/>
    <n v="6.0000000000000001E-3"/>
    <s v="BK"/>
    <s v="Salt"/>
    <s v="Regular"/>
    <n v="1400"/>
    <m/>
    <m/>
    <n v="-1400"/>
    <n v="11200"/>
    <m/>
    <m/>
    <m/>
  </r>
  <r>
    <x v="878"/>
    <d v="2024-06-04T00:00:00"/>
    <s v="Week22"/>
    <d v="2024-05-01T00:00:00"/>
    <s v="DRY2400302"/>
    <s v="USA"/>
    <s v="Bellisio Foods, Inc."/>
    <s v="C-Wonton"/>
    <s v="C-Wonton"/>
    <x v="7"/>
    <s v="Cooked Minced Wonton No Egg"/>
    <s v="082SKBW08005P00001"/>
    <s v="145g*8"/>
    <n v="8"/>
    <n v="5"/>
    <n v="6.0000000000000001E-3"/>
    <s v="BK"/>
    <s v="Salt"/>
    <s v="Regular"/>
    <n v="1400"/>
    <m/>
    <m/>
    <n v="-1400"/>
    <n v="11200"/>
    <m/>
    <m/>
    <m/>
  </r>
  <r>
    <x v="878"/>
    <d v="2024-05-20T00:00:00"/>
    <s v="Week22"/>
    <d v="2024-05-01T00:00:00"/>
    <s v="ขายภายใน"/>
    <s v=".7-11"/>
    <s v="ถ้วยขาวพิมพ์กดสีฟ้า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500"/>
    <m/>
    <m/>
    <n v="-2500"/>
    <n v="60000"/>
    <m/>
    <m/>
    <m/>
  </r>
  <r>
    <x v="878"/>
    <d v="2024-06-05T00:00:00"/>
    <s v="Week22"/>
    <d v="2024-05-01T00:00:00"/>
    <s v="DRY2400208"/>
    <s v="SG"/>
    <s v="CPI SINGAPORE"/>
    <s v="R-Wonton"/>
    <s v="R-Wonton"/>
    <x v="4"/>
    <s v="Raw Wonton 12 pcs"/>
    <s v="082I93B20012P06001"/>
    <s v="154g*20in"/>
    <n v="20"/>
    <n v="12"/>
    <n v="6.8100000000000001E-3"/>
    <s v="S"/>
    <s v="STPP"/>
    <s v="ซุปซอง 5g."/>
    <n v="589"/>
    <m/>
    <m/>
    <n v="-589"/>
    <n v="11780"/>
    <n v="141360"/>
    <n v="2"/>
    <n v="23560"/>
  </r>
  <r>
    <x v="878"/>
    <d v="2024-06-08T00:00:00"/>
    <s v="Week22"/>
    <d v="2024-05-01T00:00:00"/>
    <s v="DRY2400299"/>
    <s v="SG"/>
    <s v="CPI SINGAPORE"/>
    <s v="R-Wonton"/>
    <s v="R-Wonton"/>
    <x v="4"/>
    <s v="Raw Wonton 12 pcs with sesame"/>
    <s v="082I93B20012P02001"/>
    <s v="204g*20in"/>
    <n v="20"/>
    <n v="12"/>
    <n v="6.8100000000000001E-3"/>
    <s v="S"/>
    <s v="STPP"/>
    <s v=" sesame 30g"/>
    <n v="411"/>
    <m/>
    <m/>
    <n v="-411"/>
    <n v="8220"/>
    <n v="98640"/>
    <n v="2"/>
    <n v="16440"/>
  </r>
  <r>
    <x v="879"/>
    <d v="2024-06-05T00:00:00"/>
    <s v="Week22"/>
    <d v="2024-05-01T00:00:00"/>
    <s v="DRY2400195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m/>
    <m/>
    <n v="-1288"/>
    <n v="46368"/>
    <m/>
    <m/>
    <m/>
  </r>
  <r>
    <x v="879"/>
    <d v="2024-06-06T00:00:00"/>
    <s v="Week22"/>
    <d v="2024-05-01T00:00:00"/>
    <s v="DRY2400362"/>
    <s v="Japan"/>
    <s v="CPF JAPAN"/>
    <s v="C-Wonton"/>
    <s v="C-Wonton"/>
    <x v="1"/>
    <s v="Cooked Wonton No Egg 5 pcs"/>
    <s v="082S85736005P00001"/>
    <s v="148g*6c*6in"/>
    <n v="36"/>
    <n v="5"/>
    <n v="8.0000000000000002E-3"/>
    <s v="M"/>
    <s v="Salt"/>
    <s v="Regular"/>
    <n v="1288"/>
    <m/>
    <m/>
    <n v="-1288"/>
    <n v="46368"/>
    <m/>
    <m/>
    <m/>
  </r>
  <r>
    <x v="879"/>
    <d v="2024-06-05T00:00:00"/>
    <s v="Week22"/>
    <d v="2024-05-01T00:00:00"/>
    <s v="DRY2400209"/>
    <s v="SG"/>
    <s v="CPI SINGAPORE"/>
    <s v="C-Wonton"/>
    <s v="C-Wonton"/>
    <x v="1"/>
    <s v="Cooked Wonton No Egg"/>
    <s v="082S83B24005P07001"/>
    <s v="145g*24"/>
    <n v="24"/>
    <n v="5"/>
    <n v="8.0000000000000002E-3"/>
    <s v="M"/>
    <s v="STPP"/>
    <s v="Regular"/>
    <n v="500"/>
    <m/>
    <m/>
    <n v="-500"/>
    <n v="12000"/>
    <m/>
    <m/>
    <m/>
  </r>
  <r>
    <x v="879"/>
    <d v="2024-06-05T00:00:00"/>
    <s v="Week22"/>
    <d v="2024-05-01T00:00:00"/>
    <s v="DRY2400397"/>
    <s v="SG"/>
    <s v="CPI SINGAPORE"/>
    <s v="C-Wonton"/>
    <s v="C-Wonton"/>
    <x v="1"/>
    <s v="Cooked Wonton No Egg"/>
    <s v="082S83B24005P07001"/>
    <s v="145g*24"/>
    <n v="24"/>
    <n v="5"/>
    <n v="8.0000000000000002E-3"/>
    <s v="M"/>
    <s v="STPP"/>
    <s v="Regular"/>
    <n v="200"/>
    <m/>
    <m/>
    <n v="-200"/>
    <n v="4800"/>
    <m/>
    <m/>
    <m/>
  </r>
  <r>
    <x v="879"/>
    <d v="2024-06-11T00:00:00"/>
    <s v="Week22"/>
    <d v="2024-05-01T00:00:00"/>
    <s v="DRY2400367"/>
    <s v="UK"/>
    <s v="Food Fellas"/>
    <s v="C-Wonton"/>
    <s v="C-Wonton"/>
    <x v="1"/>
    <s v="Cooked Wonton  No Egg_x000a_HC  5 pcs"/>
    <s v="082S85L08005P03001"/>
    <s v="145g*8"/>
    <n v="8"/>
    <n v="5"/>
    <n v="7.4999999999999997E-3"/>
    <s v="HC"/>
    <s v="Salt"/>
    <s v="Regular"/>
    <n v="1400"/>
    <m/>
    <m/>
    <n v="-1400"/>
    <n v="11200"/>
    <m/>
    <m/>
    <m/>
  </r>
  <r>
    <x v="879"/>
    <d v="2024-06-17T00:00:00"/>
    <s v="Week22"/>
    <d v="2024-05-01T00:00:00"/>
    <s v="DRY2300369"/>
    <s v="UK"/>
    <s v="Food Fellas"/>
    <s v="C-Wonton"/>
    <s v="C-Wonton"/>
    <x v="1"/>
    <s v="Cooked Wonton  No Egg_x000a_HC  5 pcs"/>
    <s v="082S8T212005P00001"/>
    <s v="145g*12"/>
    <n v="12"/>
    <n v="5"/>
    <n v="7.4999999999999997E-3"/>
    <s v="HC"/>
    <s v="Salt"/>
    <s v="Regular"/>
    <n v="250"/>
    <m/>
    <n v="7.916666666666667"/>
    <n v="-242.08333333333334"/>
    <n v="2905"/>
    <m/>
    <m/>
    <m/>
  </r>
  <r>
    <x v="879"/>
    <d v="2024-06-11T00:00:00"/>
    <s v="Week22"/>
    <d v="2024-05-01T00:00:00"/>
    <s v="DRY2400367"/>
    <s v="UK"/>
    <s v="Food Fellas"/>
    <s v="C-Wonton"/>
    <s v="C-Wonton ND"/>
    <x v="15"/>
    <s v="Cooked Wonton ND No Egg with _x000a_HC  5 pcs"/>
    <s v="082SJ5L08005P03001"/>
    <s v="258g*8"/>
    <n v="8"/>
    <n v="5"/>
    <n v="7.4999999999999997E-3"/>
    <s v="HC"/>
    <s v="Salt"/>
    <s v="Regular"/>
    <n v="1900"/>
    <m/>
    <m/>
    <n v="-1900"/>
    <n v="15200"/>
    <m/>
    <m/>
    <m/>
  </r>
  <r>
    <x v="879"/>
    <d v="2024-06-17T00:00:00"/>
    <s v="Week22"/>
    <d v="2024-05-01T00:00:00"/>
    <s v="DRY2300369"/>
    <s v="UK"/>
    <s v="Food Fellas"/>
    <s v="C-Wonton"/>
    <s v="C-Wonton ND"/>
    <x v="15"/>
    <s v="Cooked Wonton ND No Egg with _x000a_HC  5 pcs"/>
    <s v="082SJT212005P00001"/>
    <s v="258g*12"/>
    <n v="12"/>
    <n v="5"/>
    <n v="7.4999999999999997E-3"/>
    <s v="HC"/>
    <s v="Salt"/>
    <s v="Regular"/>
    <n v="250"/>
    <m/>
    <n v="5.75"/>
    <n v="-244.25"/>
    <n v="2931"/>
    <m/>
    <m/>
    <m/>
  </r>
  <r>
    <x v="879"/>
    <d v="2024-06-08T00:00:00"/>
    <s v="Week22"/>
    <d v="2024-05-01T00:00:00"/>
    <s v="DRY2400299"/>
    <s v="SG"/>
    <s v="CPI SINGAPORE"/>
    <s v="R-Wonton"/>
    <s v="R-Wonton"/>
    <x v="4"/>
    <s v="Raw Wonton 12 pcs with sesame"/>
    <s v="082I93B20012P02001"/>
    <s v="204g*20in"/>
    <n v="20"/>
    <n v="12"/>
    <n v="6.8100000000000001E-3"/>
    <s v="S"/>
    <s v="STPP"/>
    <s v=" sesame 30g"/>
    <n v="789"/>
    <m/>
    <m/>
    <n v="-789"/>
    <n v="15780"/>
    <n v="189360"/>
    <n v="2"/>
    <n v="31560"/>
  </r>
  <r>
    <x v="879"/>
    <d v="2024-06-11T00:00:00"/>
    <s v="Week22"/>
    <d v="2024-05-01T00:00:00"/>
    <s v="DRY2400368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100"/>
    <m/>
    <n v="1"/>
    <n v="-99"/>
    <n v="990"/>
    <n v="49500"/>
    <n v="6"/>
    <n v="5940"/>
  </r>
  <r>
    <x v="880"/>
    <d v="2024-06-11T00:00:00"/>
    <s v="Week22"/>
    <d v="2024-05-01T00:00:00"/>
    <s v="DRY2400369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100"/>
    <m/>
    <m/>
    <n v="-100"/>
    <n v="1000"/>
    <n v="50000"/>
    <n v="6"/>
    <n v="6000"/>
  </r>
  <r>
    <x v="880"/>
    <d v="2024-06-11T00:00:00"/>
    <s v="Week22"/>
    <d v="2024-05-01T00:00:00"/>
    <s v="DRY2400353"/>
    <s v="USA"/>
    <s v="Bellisio Foods, Inc."/>
    <s v="R-Wonton"/>
    <s v="R-Wonton"/>
    <x v="10"/>
    <s v="Raw Wonton 50 pcs"/>
    <s v="082I9BW10050P00001"/>
    <s v="580g*10in"/>
    <n v="10"/>
    <n v="50"/>
    <n v="6.8100000000000001E-3"/>
    <s v="S"/>
    <s v="Salt"/>
    <s v="ซุปซอง 5g."/>
    <n v="400"/>
    <m/>
    <m/>
    <n v="-400"/>
    <n v="4000"/>
    <n v="200000"/>
    <n v="6"/>
    <n v="24000"/>
  </r>
  <r>
    <x v="881"/>
    <d v="2024-06-25T00:00:00"/>
    <s v="Week22"/>
    <d v="2024-05-01T00:00:00"/>
    <s v="DRY2400370"/>
    <s v="Malay"/>
    <s v="CPM Malaysia"/>
    <s v="R-Wonton"/>
    <s v="R-Wonton"/>
    <x v="4"/>
    <s v="Raw Wonton 12 pcs"/>
    <s v="082I95I20012P02001"/>
    <s v="154g*20inner"/>
    <n v="20"/>
    <n v="12"/>
    <n v="6.8100000000000001E-3"/>
    <s v="S"/>
    <s v="STPP"/>
    <s v="ซุปซอง 5g."/>
    <n v="350"/>
    <m/>
    <m/>
    <n v="-350"/>
    <n v="7000"/>
    <n v="84000"/>
    <n v="2"/>
    <n v="14000"/>
  </r>
  <r>
    <x v="882"/>
    <d v="2024-06-06T00:00:00"/>
    <s v="Week22"/>
    <d v="2024-05-01T00:00:00"/>
    <s v="DRY2400312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m/>
    <m/>
    <n v="-1288"/>
    <n v="46368"/>
    <m/>
    <m/>
    <m/>
  </r>
  <r>
    <x v="882"/>
    <d v="2024-06-06T00:00:00"/>
    <s v="Week22"/>
    <d v="2024-05-01T00:00:00"/>
    <s v="DRY2400323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m/>
    <m/>
    <n v="-1288"/>
    <n v="46368"/>
    <m/>
    <m/>
    <m/>
  </r>
  <r>
    <x v="882"/>
    <d v="2024-06-06T00:00:00"/>
    <s v="Week22"/>
    <d v="2024-05-01T00:00:00"/>
    <s v="DRY2400324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m/>
    <m/>
    <n v="-1288"/>
    <n v="46368"/>
    <m/>
    <m/>
    <m/>
  </r>
  <r>
    <x v="882"/>
    <d v="2024-06-05T00:00:00"/>
    <s v="Week22"/>
    <d v="2024-05-01T00:00:00"/>
    <s v="DRY2400210"/>
    <s v="SG"/>
    <s v="CPI SINGAPORE"/>
    <s v="C-Wonton"/>
    <s v="C-Wonton"/>
    <x v="2"/>
    <s v="Cooked Wonton No Egg"/>
    <s v="082S83B24005P06001"/>
    <s v="115g*24"/>
    <n v="24"/>
    <n v="5"/>
    <n v="8.0000000000000002E-3"/>
    <s v="M"/>
    <s v="STPP"/>
    <s v="TYTB3C 30G"/>
    <n v="250"/>
    <m/>
    <m/>
    <n v="-250"/>
    <n v="6000"/>
    <m/>
    <n v="1"/>
    <n v="6000"/>
  </r>
  <r>
    <x v="882"/>
    <d v="2024-06-05T00:00:00"/>
    <s v="Week22"/>
    <d v="2024-05-01T00:00:00"/>
    <s v="DRY2400398"/>
    <s v="SG"/>
    <s v="CPI SINGAPORE"/>
    <s v="C-Wonton"/>
    <s v="C-Wonton"/>
    <x v="2"/>
    <s v="Cooked Wonton No Egg"/>
    <s v="082S83B24005P06001"/>
    <s v="115g*24"/>
    <n v="24"/>
    <n v="5"/>
    <n v="8.0000000000000002E-3"/>
    <s v="M"/>
    <s v="STPP"/>
    <s v="TYTB3C 30G"/>
    <n v="200"/>
    <m/>
    <m/>
    <n v="-200"/>
    <n v="4800"/>
    <m/>
    <n v="1"/>
    <n v="4800"/>
  </r>
  <r>
    <x v="883"/>
    <m/>
    <s v="Week23"/>
    <d v="2024-06-01T00:00:00"/>
    <m/>
    <m/>
    <m/>
    <m/>
    <m/>
    <x v="0"/>
    <m/>
    <m/>
    <m/>
    <m/>
    <m/>
    <m/>
    <m/>
    <m/>
    <m/>
    <m/>
    <m/>
    <m/>
    <m/>
    <m/>
    <m/>
    <m/>
    <m/>
  </r>
  <r>
    <x v="884"/>
    <d v="2024-06-11T00:00:00"/>
    <s v="Week23"/>
    <d v="2024-06-01T00:00:00"/>
    <s v="DRY2400389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2400"/>
    <m/>
    <m/>
    <n v="-2400"/>
    <n v="19200"/>
    <m/>
    <m/>
    <m/>
  </r>
  <r>
    <x v="884"/>
    <d v="2024-06-13T00:00:00"/>
    <s v="Week23"/>
    <d v="2024-06-01T00:00:00"/>
    <s v="DRY2400353"/>
    <s v="USA"/>
    <s v="Bellisio Foods, Inc."/>
    <s v="C-Wonton"/>
    <s v="C-Wonton ND"/>
    <x v="3"/>
    <s v="Cooked Minced Wonton Noodle No Egg"/>
    <s v="082SRBW08005P00001"/>
    <s v="258g*8"/>
    <n v="8"/>
    <n v="5"/>
    <n v="6.0000000000000001E-3"/>
    <s v="BK"/>
    <s v="Salt"/>
    <s v="Regular"/>
    <n v="1200"/>
    <m/>
    <m/>
    <n v="-1200"/>
    <n v="9600"/>
    <m/>
    <m/>
    <m/>
  </r>
  <r>
    <x v="884"/>
    <d v="2024-06-11T00:00:00"/>
    <s v="Week23"/>
    <d v="2024-06-01T00:00:00"/>
    <s v="DRY2400368"/>
    <s v="USA"/>
    <s v="Bellisio Foods, Inc."/>
    <s v="C-Wonton"/>
    <s v="C-Wonton ND"/>
    <x v="3"/>
    <s v="Cooked Minced Wonton Noodle No Egg"/>
    <s v="082SRBW24005P00001"/>
    <s v="258g*4c*6in"/>
    <n v="24"/>
    <n v="5"/>
    <n v="6.0000000000000001E-3"/>
    <s v="BK"/>
    <s v="Salt"/>
    <s v="Regular"/>
    <n v="700"/>
    <m/>
    <n v="66"/>
    <n v="-634"/>
    <n v="15216"/>
    <m/>
    <m/>
    <m/>
  </r>
  <r>
    <x v="884"/>
    <d v="2024-06-11T00:00:00"/>
    <s v="Week23"/>
    <d v="2024-06-01T00:00:00"/>
    <s v="DRY2400369"/>
    <s v="USA"/>
    <s v="Bellisio Foods, Inc."/>
    <s v="C-Wonton"/>
    <s v="C-Wonton ND"/>
    <x v="3"/>
    <s v="Cooked Minced Wonton Noodle No Egg"/>
    <s v="082SRBW24005P00001"/>
    <s v="258g*4c*6in"/>
    <n v="24"/>
    <n v="5"/>
    <n v="6.0000000000000001E-3"/>
    <s v="BK"/>
    <s v="Salt"/>
    <s v="Regular"/>
    <n v="800"/>
    <m/>
    <m/>
    <n v="-800"/>
    <n v="19200"/>
    <m/>
    <m/>
    <m/>
  </r>
  <r>
    <x v="884"/>
    <m/>
    <s v="Week23"/>
    <d v="2024-06-01T00:00:00"/>
    <s v="ขายภายใน"/>
    <s v=".7-11"/>
    <s v="ถ้วยขาวพิมพ์กดสีฟ้า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3200"/>
    <m/>
    <m/>
    <n v="-3200"/>
    <n v="76800"/>
    <m/>
    <m/>
    <m/>
  </r>
  <r>
    <x v="884"/>
    <d v="2024-06-16T00:00:00"/>
    <s v="Week23"/>
    <d v="2024-06-01T00:00:00"/>
    <s v="KL2400011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625"/>
    <m/>
    <m/>
    <n v="-625"/>
    <n v="5000"/>
    <n v="300000"/>
    <n v="6"/>
    <n v="30000"/>
  </r>
  <r>
    <x v="885"/>
    <d v="2024-06-11T00:00:00"/>
    <s v="Week23"/>
    <d v="2024-06-01T00:00:00"/>
    <s v="DRY2400368"/>
    <s v="USA"/>
    <s v="Bellisio Foods, Inc."/>
    <s v="C-Wonton"/>
    <s v="C-Wonton"/>
    <x v="7"/>
    <s v="Cooked Minced Wonton Soup No Egg"/>
    <s v="082SKBW36005P00001"/>
    <s v="145g*6c*6"/>
    <n v="36"/>
    <n v="5"/>
    <n v="6.0000000000000001E-3"/>
    <s v="BK"/>
    <s v="Salt"/>
    <s v="Regular"/>
    <n v="450"/>
    <m/>
    <m/>
    <n v="-450"/>
    <n v="16200"/>
    <m/>
    <m/>
    <m/>
  </r>
  <r>
    <x v="885"/>
    <d v="2024-06-11T00:00:00"/>
    <s v="Week23"/>
    <d v="2024-06-01T00:00:00"/>
    <s v="DRY2400369"/>
    <s v="USA"/>
    <s v="Bellisio Foods, Inc."/>
    <s v="C-Wonton"/>
    <s v="C-Wonton"/>
    <x v="7"/>
    <s v="Cooked Minced Wonton Soup No Egg"/>
    <s v="082SKBW36005P00001"/>
    <s v="145g*6c*6"/>
    <n v="36"/>
    <n v="5"/>
    <n v="6.0000000000000001E-3"/>
    <s v="BK"/>
    <s v="Salt"/>
    <s v="Regular"/>
    <n v="300"/>
    <m/>
    <m/>
    <n v="-300"/>
    <n v="10800"/>
    <m/>
    <m/>
    <m/>
  </r>
  <r>
    <x v="885"/>
    <d v="2024-06-11T00:00:00"/>
    <s v="Week23"/>
    <d v="2024-06-01T00:00:00"/>
    <s v="DRY2400389"/>
    <s v="USA"/>
    <s v="Bellisio Foods, Inc."/>
    <s v="C-Wonton"/>
    <s v="C-Wonton"/>
    <x v="7"/>
    <s v="Cooked Minced Wonton No Egg"/>
    <s v="082SKBW08005P00001"/>
    <s v="145g*8"/>
    <n v="8"/>
    <n v="5"/>
    <n v="6.0000000000000001E-3"/>
    <s v="BK"/>
    <s v="Salt"/>
    <s v="Regular"/>
    <n v="1400"/>
    <m/>
    <m/>
    <n v="-1400"/>
    <n v="11200"/>
    <m/>
    <m/>
    <m/>
  </r>
  <r>
    <x v="885"/>
    <d v="2024-06-13T00:00:00"/>
    <s v="Week23"/>
    <d v="2024-06-01T00:00:00"/>
    <s v="DRY2400353"/>
    <s v="USA"/>
    <s v="Bellisio Foods, Inc."/>
    <s v="C-Wonton"/>
    <s v="C-Wonton"/>
    <x v="7"/>
    <s v="Cooked Minced Wonton No Egg"/>
    <s v="082SKBW08005P00001"/>
    <s v="145g*8"/>
    <n v="8"/>
    <n v="5"/>
    <n v="6.0000000000000001E-3"/>
    <s v="BK"/>
    <s v="Salt"/>
    <s v="Regular"/>
    <n v="1200"/>
    <m/>
    <m/>
    <n v="-1200"/>
    <n v="9600"/>
    <m/>
    <m/>
    <m/>
  </r>
  <r>
    <x v="885"/>
    <d v="2024-06-25T00:00:00"/>
    <s v="Week23"/>
    <d v="2024-06-01T00:00:00"/>
    <s v="DRY2400370"/>
    <s v="Malay"/>
    <s v="CPM Malaysia"/>
    <s v="C-Wonton"/>
    <s v="C-Wonton"/>
    <x v="1"/>
    <s v="Cooked Wonton No Egg  "/>
    <s v="082S85I24005P01001"/>
    <s v="145g*24"/>
    <n v="24"/>
    <n v="5"/>
    <n v="8.0000000000000002E-3"/>
    <s v="M"/>
    <s v="STPP"/>
    <s v="Regular"/>
    <n v="900"/>
    <m/>
    <m/>
    <n v="-900"/>
    <n v="21600"/>
    <m/>
    <m/>
    <m/>
  </r>
  <r>
    <x v="885"/>
    <d v="2024-06-25T00:00:00"/>
    <s v="Week23"/>
    <d v="2024-06-01T00:00:00"/>
    <s v="DRY2400370"/>
    <s v="Malay"/>
    <s v="CPM Malaysia"/>
    <s v="C-Wonton"/>
    <s v="C-Wonton"/>
    <x v="2"/>
    <s v="Cooked Wonton No Egg  TY"/>
    <s v="082S85I24005P02001"/>
    <s v="115g*24"/>
    <n v="24"/>
    <n v="5"/>
    <n v="8.0000000000000002E-3"/>
    <s v="M"/>
    <s v="STPP"/>
    <s v="TYTB3C 30G"/>
    <n v="850"/>
    <m/>
    <m/>
    <n v="-850"/>
    <n v="20400"/>
    <m/>
    <n v="1"/>
    <n v="20400"/>
  </r>
  <r>
    <x v="885"/>
    <m/>
    <s v="Week23"/>
    <d v="2024-06-01T00:00:00"/>
    <s v="ขายภายใน"/>
    <s v=".7-11"/>
    <s v="ถ้วยขาวพิมพ์กดสีฟ้า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2092"/>
    <m/>
    <m/>
    <n v="-2092"/>
    <n v="50208"/>
    <m/>
    <m/>
    <m/>
  </r>
  <r>
    <x v="885"/>
    <d v="2024-06-16T00:00:00"/>
    <s v="Week23"/>
    <d v="2024-06-01T00:00:00"/>
    <s v="KL2400011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625"/>
    <m/>
    <m/>
    <n v="-625"/>
    <n v="5000"/>
    <n v="300000"/>
    <n v="6"/>
    <n v="30000"/>
  </r>
  <r>
    <x v="886"/>
    <d v="2024-06-28T00:00:00"/>
    <m/>
    <m/>
    <s v="DRY2400393"/>
    <s v="AUS"/>
    <s v="CPF Australia Pty Ltd."/>
    <s v="C-Wonton"/>
    <s v="C-Wonton ND"/>
    <x v="28"/>
    <s v="Cooked Minced Wonton Thai Spicy Noodles (Kee Mao Noodles)"/>
    <s v="082SR9U08003P02001"/>
    <s v="219g*8"/>
    <n v="8"/>
    <n v="3"/>
    <n v="8.0000000000000002E-3"/>
    <s v="BK"/>
    <s v="Salt"/>
    <s v="Kee Mao 50G."/>
    <n v="300"/>
    <m/>
    <m/>
    <n v="-300"/>
    <n v="2400"/>
    <m/>
    <m/>
    <m/>
  </r>
  <r>
    <x v="886"/>
    <d v="2024-07-12T00:00:00"/>
    <m/>
    <m/>
    <s v="DRY2400394"/>
    <s v="AUS"/>
    <s v="CPF Australia Pty Ltd."/>
    <s v="C-Wonton"/>
    <s v="C-Wonton ND"/>
    <x v="28"/>
    <s v="Cooked Minced Wonton Thai Spicy Noodles (Kee Mao Noodles)"/>
    <s v="082SR9U08003P02001"/>
    <s v="219g*8"/>
    <n v="8"/>
    <n v="3"/>
    <n v="8.0000000000000002E-3"/>
    <s v="BK"/>
    <s v="Salt"/>
    <s v="Kee Mao 50G."/>
    <n v="200"/>
    <m/>
    <m/>
    <n v="-200"/>
    <n v="1600"/>
    <m/>
    <m/>
    <m/>
  </r>
  <r>
    <x v="886"/>
    <d v="2024-06-19T00:00:00"/>
    <s v="Week23"/>
    <d v="2024-06-01T00:00:00"/>
    <s v="DRY2400182"/>
    <s v="CAN "/>
    <s v="Bellisio Foods Canada"/>
    <s v="C-Wonton"/>
    <s v="C-Wonton ND"/>
    <x v="3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m/>
    <n v="-2600"/>
    <n v="31200"/>
    <m/>
    <m/>
    <m/>
  </r>
  <r>
    <x v="886"/>
    <d v="2024-06-13T00:00:00"/>
    <s v="Week23"/>
    <d v="2024-06-01T00:00:00"/>
    <s v="DRY2400313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m/>
    <m/>
    <n v="-1288"/>
    <n v="46368"/>
    <m/>
    <m/>
    <m/>
  </r>
  <r>
    <x v="886"/>
    <d v="2024-06-13T00:00:00"/>
    <s v="Week23"/>
    <d v="2024-06-01T00:00:00"/>
    <s v="DRY2400325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m/>
    <m/>
    <n v="-1288"/>
    <n v="46368"/>
    <m/>
    <m/>
    <m/>
  </r>
  <r>
    <x v="886"/>
    <d v="2024-06-16T00:00:00"/>
    <s v="Week23"/>
    <d v="2024-06-01T00:00:00"/>
    <s v="KL2400011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58"/>
    <m/>
    <m/>
    <n v="-158"/>
    <n v="1264"/>
    <n v="75840"/>
    <n v="6"/>
    <n v="7584"/>
  </r>
  <r>
    <x v="887"/>
    <d v="2024-06-11T00:00:00"/>
    <s v="Week23"/>
    <d v="2024-06-01T00:00:00"/>
    <s v="DRY240037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87"/>
    <d v="2024-06-11T00:00:00"/>
    <s v="Week23"/>
    <d v="2024-06-01T00:00:00"/>
    <s v="DRY240037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87"/>
    <d v="2024-06-11T00:00:00"/>
    <s v="Week23"/>
    <d v="2024-06-01T00:00:00"/>
    <s v="DRY240037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87"/>
    <d v="2024-06-11T00:00:00"/>
    <s v="Week23"/>
    <d v="2024-06-01T00:00:00"/>
    <s v="DRY240037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87"/>
    <d v="2024-06-18T00:00:00"/>
    <s v="Week23"/>
    <d v="2024-06-01T00:00:00"/>
    <s v="DRY240037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88"/>
    <d v="2024-06-18T00:00:00"/>
    <s v="Week23"/>
    <d v="2024-06-01T00:00:00"/>
    <s v="DRY240037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88"/>
    <d v="2024-06-18T00:00:00"/>
    <s v="Week23"/>
    <d v="2024-06-01T00:00:00"/>
    <s v="DRY240037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88"/>
    <d v="2024-06-18T00:00:00"/>
    <s v="Week23"/>
    <d v="2024-06-01T00:00:00"/>
    <s v="DRY240037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88"/>
    <d v="2024-06-19T00:00:00"/>
    <s v="Week23"/>
    <d v="2024-06-01T00:00:00"/>
    <s v="DRY2400356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m/>
    <m/>
    <n v="-792"/>
    <n v="28512"/>
    <m/>
    <m/>
    <m/>
  </r>
  <r>
    <x v="888"/>
    <d v="2024-06-19T00:00:00"/>
    <s v="Week23"/>
    <d v="2024-06-01T00:00:00"/>
    <s v="DRY2400366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m/>
    <m/>
    <n v="-792"/>
    <n v="28512"/>
    <m/>
    <m/>
    <m/>
  </r>
  <r>
    <x v="889"/>
    <d v="2024-06-28T00:00:00"/>
    <m/>
    <m/>
    <s v="DRY2400393"/>
    <s v="AUS"/>
    <s v="CPF Australia Pty Ltd."/>
    <s v="C-Wonton"/>
    <s v="C-Wonton ND"/>
    <x v="5"/>
    <s v="Cooked Wonton ND No Egg with Pumpkin_x000a_+ Yu Choy "/>
    <s v="082SJ9U08004P00001"/>
    <s v="305g*8"/>
    <n v="8"/>
    <n v="4"/>
    <n v="7.4999999999999997E-3"/>
    <s v="HC"/>
    <s v="Salt"/>
    <s v="Regular"/>
    <n v="600"/>
    <m/>
    <m/>
    <n v="-600"/>
    <n v="4800"/>
    <m/>
    <m/>
    <m/>
  </r>
  <r>
    <x v="889"/>
    <d v="2024-07-12T00:00:00"/>
    <m/>
    <m/>
    <s v="DRY2400394"/>
    <s v="AUS"/>
    <s v="CPF Australia Pty Ltd."/>
    <s v="C-Wonton"/>
    <s v="C-Wonton ND"/>
    <x v="5"/>
    <s v="Cooked Wonton ND No Egg with Pumpkin_x000a_+ Yu Choy "/>
    <s v="082SJ9U08004P00001"/>
    <s v="305g*8"/>
    <n v="8"/>
    <n v="4"/>
    <n v="7.4999999999999997E-3"/>
    <s v="HC"/>
    <s v="Salt"/>
    <s v="Regular"/>
    <n v="600"/>
    <m/>
    <m/>
    <n v="-600"/>
    <n v="4800"/>
    <m/>
    <m/>
    <m/>
  </r>
  <r>
    <x v="889"/>
    <d v="2024-06-20T00:00:00"/>
    <s v="Week23"/>
    <d v="2024-06-01T00:00:00"/>
    <s v="DRY2400093"/>
    <s v="Spain"/>
    <s v="Mercadona"/>
    <s v="C-Wonton"/>
    <s v="C-Wonton ND"/>
    <x v="5"/>
    <s v="Cooked Wonton ND No Egg with Pumpkin _x000a_+ Vegetable  HC  3 pcs"/>
    <s v="082SJ5T12003P00001"/>
    <s v="309g*12"/>
    <n v="12"/>
    <n v="3"/>
    <n v="7.4999999999999997E-3"/>
    <s v="HC"/>
    <s v="Salt"/>
    <s v="Regular"/>
    <n v="2520"/>
    <m/>
    <m/>
    <n v="-2520"/>
    <n v="30240"/>
    <m/>
    <m/>
    <m/>
  </r>
  <r>
    <x v="889"/>
    <d v="2024-06-28T00:00:00"/>
    <m/>
    <m/>
    <s v="DRY2400393"/>
    <s v="AUS"/>
    <s v="CPF Australia Pty Ltd."/>
    <s v="C-Wonton"/>
    <s v="C-Wonton ND"/>
    <x v="17"/>
    <s v="Cooked Minced  ND No Egg with Pumpkin_x000a_+ Yu Choy Tomyum"/>
    <s v="082SR9U08003P00001"/>
    <s v="302g*8"/>
    <n v="8"/>
    <n v="3"/>
    <n v="8.0000000000000002E-3"/>
    <s v="BK"/>
    <s v="Salt"/>
    <s v="TYEX+CO"/>
    <n v="500"/>
    <m/>
    <m/>
    <n v="-500"/>
    <n v="4000"/>
    <m/>
    <m/>
    <m/>
  </r>
  <r>
    <x v="889"/>
    <d v="2024-07-04T00:00:00"/>
    <s v="Week23"/>
    <d v="2024-06-01T00:00:00"/>
    <s v="DRY2400357"/>
    <s v="AUS"/>
    <s v="CPF Australia Pty Ltd."/>
    <s v="C-Wonton ND"/>
    <s v="Wonton ND+V"/>
    <x v="8"/>
    <s v="Cooked Wonton ND No Egg with Pumpkin _x000a_+ Vegetable 5 pcs tomyam"/>
    <s v="082SJ9U24005P00001"/>
    <s v="307g*4c*6in"/>
    <n v="24"/>
    <n v="5"/>
    <n v="7.4999999999999997E-3"/>
    <s v="M"/>
    <s v="Salt"/>
    <s v="TYEX+CO"/>
    <n v="924"/>
    <m/>
    <m/>
    <n v="-924"/>
    <n v="22176"/>
    <m/>
    <m/>
    <m/>
  </r>
  <r>
    <x v="889"/>
    <d v="2024-07-25T00:00:00"/>
    <s v="Week23"/>
    <d v="2024-06-01T00:00:00"/>
    <s v="DRY2400396"/>
    <s v="AUS"/>
    <s v="CPF Australia Pty Ltd."/>
    <s v="C-Wonton ND"/>
    <s v="Wonton ND+V"/>
    <x v="8"/>
    <s v="Cooked Wonton ND No Egg with Pumpkin _x000a_+ Vegetable 5 pcs tomyam"/>
    <s v="082SJ9U24005P00001"/>
    <s v="307g*4c*6in"/>
    <n v="24"/>
    <n v="5"/>
    <n v="7.4999999999999997E-3"/>
    <s v="M"/>
    <s v="Salt"/>
    <s v="TYEX+CO"/>
    <n v="924"/>
    <m/>
    <m/>
    <n v="-924"/>
    <n v="22176"/>
    <m/>
    <m/>
    <m/>
  </r>
  <r>
    <x v="889"/>
    <d v="2024-06-20T00:00:00"/>
    <s v="Week23"/>
    <d v="2024-06-01T00:00:00"/>
    <s v="DRY2400390"/>
    <s v="Denmark"/>
    <s v="CPF DENMARK"/>
    <s v="C-Wonton ND"/>
    <s v="Wonton ND+V"/>
    <x v="8"/>
    <s v="Cooked Wonton ND No Egg with Pumpkin _x000a_+ Vegetable  HC  3 pcs tomyam"/>
    <s v="082SJKW08003P00001"/>
    <s v="309g*8"/>
    <n v="8"/>
    <n v="3"/>
    <n v="7.4999999999999997E-3"/>
    <s v="M"/>
    <s v="Salt"/>
    <s v="TYANS+CM"/>
    <n v="3500"/>
    <m/>
    <m/>
    <n v="-3500"/>
    <n v="28000"/>
    <m/>
    <m/>
    <m/>
  </r>
  <r>
    <x v="890"/>
    <d v="2024-06-26T00:00:00"/>
    <s v="Week24"/>
    <d v="2024-06-01T00:00:00"/>
    <s v="DRY2400196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m/>
    <m/>
    <n v="-1288"/>
    <n v="46368"/>
    <m/>
    <m/>
    <m/>
  </r>
  <r>
    <x v="890"/>
    <d v="2024-07-10T00:00:00"/>
    <s v="Week24"/>
    <d v="2024-06-01T00:00:00"/>
    <s v="DRY2400183"/>
    <s v="CAN "/>
    <s v="Bellisio Foods Canada"/>
    <s v="C-Wonton"/>
    <s v="C-Wonton ND"/>
    <x v="3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m/>
    <n v="-2600"/>
    <n v="31200"/>
    <m/>
    <m/>
    <m/>
  </r>
  <r>
    <x v="891"/>
    <d v="2024-07-02T00:00:00"/>
    <s v="Week24"/>
    <d v="2024-06-01T00:00:00"/>
    <s v="DRY2400119"/>
    <s v="Germany"/>
    <s v=" CPF Distribution (under Paulsen Food)"/>
    <s v="C-Wonton"/>
    <s v="C-Wonton ND"/>
    <x v="27"/>
    <s v="Cooked Minced  ND No Egg with Pumpkin_x000a_+ Yu Choy Tomkha"/>
    <s v="082SR3N12003P01001"/>
    <s v="302g*12"/>
    <n v="12"/>
    <n v="3"/>
    <n v="6.0000000000000001E-3"/>
    <s v="BK"/>
    <s v="Salt"/>
    <s v="Tomkha+CM"/>
    <n v="2040"/>
    <m/>
    <n v="18"/>
    <n v="-2022"/>
    <n v="24264"/>
    <m/>
    <m/>
    <m/>
  </r>
  <r>
    <x v="891"/>
    <m/>
    <s v="Week24"/>
    <d v="2024-06-01T00:00:00"/>
    <m/>
    <s v="Denmark"/>
    <s v="CPF DENMARK"/>
    <s v="C-Wonton"/>
    <s v="C-Wonton ND"/>
    <x v="27"/>
    <s v="Cooked Minced  ND No Egg with Pumpkin_x000a_+ Yu Choy Tomyum"/>
    <m/>
    <s v="302g*8"/>
    <n v="8"/>
    <n v="3"/>
    <n v="6.0000000000000001E-3"/>
    <s v="BK"/>
    <s v="Salt"/>
    <s v="Tomkha+CM"/>
    <n v="3500"/>
    <m/>
    <m/>
    <n v="-3500"/>
    <n v="28000"/>
    <m/>
    <m/>
    <m/>
  </r>
  <r>
    <x v="891"/>
    <d v="2024-07-12T00:00:00"/>
    <m/>
    <m/>
    <s v="DRY2400394"/>
    <s v="AUS"/>
    <s v="CPF Australia Pty Ltd."/>
    <s v="C-Wonton"/>
    <s v="C-Wonton ND"/>
    <x v="27"/>
    <s v="Cooked Minced  ND No Egg with Pumpkin_x000a_+ Yu Choy Tomkha"/>
    <s v="082SR9U08003P01001"/>
    <s v="302g*8"/>
    <n v="8"/>
    <n v="3"/>
    <n v="6.0000000000000001E-3"/>
    <s v="BK"/>
    <s v="Salt"/>
    <s v="Tomkha+CM"/>
    <n v="350"/>
    <m/>
    <n v="44.5"/>
    <n v="-305.5"/>
    <n v="2444"/>
    <m/>
    <m/>
    <m/>
  </r>
  <r>
    <x v="892"/>
    <d v="2024-06-20T00:00:00"/>
    <s v="Week24"/>
    <d v="2024-06-01T00:00:00"/>
    <s v="DRY2400326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m/>
    <m/>
    <n v="-1288"/>
    <n v="46368"/>
    <m/>
    <m/>
    <m/>
  </r>
  <r>
    <x v="892"/>
    <d v="2024-06-27T00:00:00"/>
    <s v="Week24"/>
    <d v="2024-06-01T00:00:00"/>
    <s v="DRY2400314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m/>
    <m/>
    <n v="-1288"/>
    <n v="46368"/>
    <m/>
    <m/>
    <m/>
  </r>
  <r>
    <x v="892"/>
    <m/>
    <s v="Week24"/>
    <d v="2024-06-01T00:00:00"/>
    <s v="ขายภายใน"/>
    <s v=".7-11"/>
    <s v="ถ้วยขาวพิมพ์กดสีฟ้า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1969.3333333333333"/>
    <m/>
    <m/>
    <n v="-1969.3333333333333"/>
    <n v="47264"/>
    <m/>
    <m/>
    <m/>
  </r>
  <r>
    <x v="893"/>
    <m/>
    <s v="Week24"/>
    <d v="2024-06-01T00:00:00"/>
    <s v="ขายภายใน"/>
    <s v=".7-11"/>
    <s v="ถ้วยขาวพิมพ์กดสีฟ้า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6250"/>
    <m/>
    <m/>
    <n v="-6250"/>
    <n v="150000"/>
    <m/>
    <m/>
    <m/>
  </r>
  <r>
    <x v="894"/>
    <d v="2024-06-19T00:00:00"/>
    <s v="Week24"/>
    <d v="2024-06-01T00:00:00"/>
    <s v="DRY2400379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94"/>
    <d v="2024-06-19T00:00:00"/>
    <s v="Week24"/>
    <d v="2024-06-01T00:00:00"/>
    <s v="DRY2400380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94"/>
    <d v="2024-06-25T00:00:00"/>
    <s v="Week24"/>
    <d v="2024-06-01T00:00:00"/>
    <s v="DRY2400381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94"/>
    <d v="2024-06-25T00:00:00"/>
    <s v="Week24"/>
    <d v="2024-06-01T00:00:00"/>
    <s v="DRY2400382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94"/>
    <d v="2024-06-25T00:00:00"/>
    <s v="Week24"/>
    <d v="2024-06-01T00:00:00"/>
    <s v="DRY2400383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95"/>
    <d v="2024-06-25T00:00:00"/>
    <s v="Week24"/>
    <d v="2024-06-01T00:00:00"/>
    <s v="DRY2400384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95"/>
    <d v="2024-07-02T00:00:00"/>
    <s v="Week24"/>
    <d v="2024-06-01T00:00:00"/>
    <s v="DRY2400385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95"/>
    <d v="2024-07-02T00:00:00"/>
    <s v="Week24"/>
    <d v="2024-06-01T00:00:00"/>
    <s v="DRY2400386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95"/>
    <d v="2024-07-03T00:00:00"/>
    <s v="Week24"/>
    <d v="2024-06-01T00:00:00"/>
    <s v="DRY2400387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95"/>
    <d v="2024-07-03T00:00:00"/>
    <s v="Week24"/>
    <d v="2024-06-01T00:00:00"/>
    <s v="DRY2400388"/>
    <s v="USA"/>
    <s v="Bellisio Foods, Inc."/>
    <s v="C-Wonton"/>
    <s v="C-Wonton ND"/>
    <x v="5"/>
    <s v="Cooked Wonton ND No Egg with Pumpkin_x000a_+ Yu Choy Low sodium"/>
    <s v="082SJBW36005P00001"/>
    <s v="308g*6c*6in"/>
    <n v="36"/>
    <n v="5"/>
    <n v="7.4999999999999997E-3"/>
    <s v="HC"/>
    <s v="Salt"/>
    <s v="Y3"/>
    <n v="792"/>
    <m/>
    <m/>
    <n v="-792"/>
    <n v="28512"/>
    <m/>
    <m/>
    <m/>
  </r>
  <r>
    <x v="896"/>
    <d v="2024-07-10T00:00:00"/>
    <s v="Week25"/>
    <d v="2024-06-01T00:00:00"/>
    <s v="DRY2400363"/>
    <s v="CAN "/>
    <s v="Bellisio Foods Canada"/>
    <s v="C-Wonton"/>
    <s v="C-Wonton ND"/>
    <x v="3"/>
    <s v="Cooked Minced Wonton Noodle (Enriched wonton sheet&amp;noodles)"/>
    <s v="082SR5312005P00001"/>
    <s v="258g*12"/>
    <n v="12"/>
    <n v="5"/>
    <n v="6.0000000000000001E-3"/>
    <s v="BK"/>
    <s v="Salt"/>
    <s v="Regular"/>
    <n v="2600"/>
    <m/>
    <m/>
    <n v="-2600"/>
    <n v="31200"/>
    <m/>
    <m/>
    <m/>
  </r>
  <r>
    <x v="896"/>
    <m/>
    <s v="Week25"/>
    <d v="2024-06-01T00:00:00"/>
    <s v="ขายภายใน"/>
    <s v=".7-11"/>
    <s v="ถ้วยขาวพิมพ์กดสีฟ้า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1932"/>
    <m/>
    <m/>
    <n v="-1932"/>
    <n v="46368"/>
    <m/>
    <m/>
    <m/>
  </r>
  <r>
    <x v="897"/>
    <d v="2024-07-05T00:00:00"/>
    <s v="Week25"/>
    <d v="2024-06-01T00:00:00"/>
    <n v="3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408"/>
    <m/>
    <m/>
    <n v="-1408"/>
    <n v="11264"/>
    <n v="675840"/>
    <n v="6"/>
    <n v="67584"/>
  </r>
  <r>
    <x v="897"/>
    <d v="2024-07-05T00:00:00"/>
    <s v="Week25"/>
    <d v="2024-06-01T00:00:00"/>
    <n v="4"/>
    <s v="China"/>
    <s v="Sam's (Shanghai) Investment Co., Ltd."/>
    <s v="R-Wonton"/>
    <s v="R-Wonton"/>
    <x v="10"/>
    <s v="Raw Wonton 60 pcs"/>
    <s v="082I9WN08060P00001"/>
    <s v="750g*8in"/>
    <n v="8"/>
    <n v="60"/>
    <n v="6.8100000000000001E-3"/>
    <s v="S"/>
    <s v="STPP"/>
    <s v="ซุปซอง 5g."/>
    <n v="1408"/>
    <m/>
    <m/>
    <n v="-1408"/>
    <n v="11264"/>
    <n v="675840"/>
    <n v="6"/>
    <n v="67584"/>
  </r>
  <r>
    <x v="898"/>
    <d v="2024-07-04T00:00:00"/>
    <s v="Week25"/>
    <d v="2024-06-01T00:00:00"/>
    <s v="DRY2400358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m/>
    <m/>
    <n v="-792"/>
    <n v="28512"/>
    <m/>
    <m/>
    <m/>
  </r>
  <r>
    <x v="898"/>
    <d v="2024-07-04T00:00:00"/>
    <s v="Week25"/>
    <d v="2024-06-01T00:00:00"/>
    <s v="DRY2400391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m/>
    <m/>
    <n v="-792"/>
    <n v="28512"/>
    <m/>
    <m/>
    <m/>
  </r>
  <r>
    <x v="898"/>
    <d v="2024-07-11T00:00:00"/>
    <s v="Week25"/>
    <d v="2024-06-01T00:00:00"/>
    <s v="DRY2400359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m/>
    <m/>
    <n v="-792"/>
    <n v="28512"/>
    <m/>
    <m/>
    <m/>
  </r>
  <r>
    <x v="898"/>
    <d v="2024-07-18T00:00:00"/>
    <s v="Week25"/>
    <d v="2024-06-01T00:00:00"/>
    <s v="DRY2400360"/>
    <s v="AUS"/>
    <s v="CPF Australia Pty Ltd."/>
    <s v="C-Wonton"/>
    <s v="C-Wonton ND"/>
    <x v="5"/>
    <s v="Cooked Wonton ND No Egg with Pumpkin_x000a_+ Yu Choy "/>
    <s v="082SJ9U36005P00001"/>
    <s v="308g*6c*6in"/>
    <n v="36"/>
    <n v="5"/>
    <n v="7.4999999999999997E-3"/>
    <s v="HC"/>
    <s v="Salt"/>
    <s v="Regular"/>
    <n v="792"/>
    <m/>
    <m/>
    <n v="-792"/>
    <n v="28512"/>
    <m/>
    <m/>
    <m/>
  </r>
  <r>
    <x v="899"/>
    <d v="2024-07-04T00:00:00"/>
    <s v="Week26"/>
    <d v="2024-06-01T00:00:00"/>
    <s v="DRY2400315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m/>
    <m/>
    <n v="-1288"/>
    <n v="46368"/>
    <m/>
    <m/>
    <m/>
  </r>
  <r>
    <x v="899"/>
    <d v="2024-07-04T00:00:00"/>
    <s v="Week26"/>
    <d v="2024-06-01T00:00:00"/>
    <s v="DRY2400327"/>
    <s v="CAN "/>
    <s v="CP Foods Canada,Inc (CPFC)"/>
    <s v="C-Wonton"/>
    <s v="C-Wonton"/>
    <x v="1"/>
    <s v="Wonton Soup  (Enriched wonton sheet)"/>
    <s v="082S85336005P00001"/>
    <s v="145g*6c*6in"/>
    <n v="36"/>
    <n v="5"/>
    <n v="7.4999999999999997E-3"/>
    <s v="HC"/>
    <s v="Salt"/>
    <s v="Y3"/>
    <n v="1288"/>
    <m/>
    <m/>
    <n v="-1288"/>
    <n v="46368"/>
    <m/>
    <m/>
    <m/>
  </r>
  <r>
    <x v="900"/>
    <m/>
    <s v="Week26"/>
    <d v="2024-06-01T00:00:00"/>
    <s v="ขายภายใน"/>
    <s v=".7-11"/>
    <s v="ถ้วยขาวพิมพ์กดสีฟ้า"/>
    <s v="C-Wonton"/>
    <s v="C-Wonton"/>
    <x v="1"/>
    <s v="Cooked Wonton No Egg .7-11"/>
    <s v="082S81A24005P06001"/>
    <s v="130g*24"/>
    <n v="24"/>
    <n v="5"/>
    <n v="6.1999999999999998E-3"/>
    <s v="SS"/>
    <s v="STPP"/>
    <s v="Regular"/>
    <n v="6250"/>
    <m/>
    <m/>
    <n v="-6250"/>
    <n v="150000"/>
    <m/>
    <m/>
    <m/>
  </r>
  <r>
    <x v="901"/>
    <m/>
    <s v="Week26"/>
    <d v="2024-06-01T00:00:00"/>
    <m/>
    <m/>
    <m/>
    <m/>
    <m/>
    <x v="0"/>
    <m/>
    <m/>
    <m/>
    <m/>
    <m/>
    <m/>
    <m/>
    <m/>
    <m/>
    <m/>
    <m/>
    <m/>
    <m/>
    <m/>
    <m/>
    <m/>
    <m/>
  </r>
  <r>
    <x v="902"/>
    <d v="2024-07-24T00:00:00"/>
    <s v="Week27"/>
    <d v="2024-07-01T00:00:00"/>
    <s v="DRY2400197"/>
    <s v="UK"/>
    <s v="Westbridge Foods Limited (One UK)"/>
    <s v="C-Wonton"/>
    <s v="C-Wonton"/>
    <x v="1"/>
    <s v="Wonton Soup No Egg  "/>
    <s v="082S85L36005P04001"/>
    <s v="148g*6c*6in"/>
    <n v="36"/>
    <n v="5"/>
    <n v="7.4999999999999997E-3"/>
    <s v="HC"/>
    <s v="Salt"/>
    <s v="Regular"/>
    <n v="1288"/>
    <m/>
    <m/>
    <n v="-1288"/>
    <n v="46368"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m/>
    <m/>
    <m/>
    <m/>
    <m/>
    <m/>
    <m/>
    <m/>
    <m/>
    <m/>
    <m/>
    <x v="0"/>
    <m/>
    <m/>
    <m/>
    <m/>
    <m/>
    <m/>
    <m/>
    <n v="0"/>
    <m/>
    <m/>
    <m/>
    <m/>
    <m/>
    <m/>
    <m/>
    <m/>
    <m/>
    <s v="66S03"/>
    <m/>
    <n v="0"/>
    <d v="2026-09-14T00:00:00"/>
    <s v="2"/>
    <m/>
    <m/>
    <m/>
    <m/>
    <m/>
    <m/>
    <m/>
    <m/>
    <m/>
    <m/>
    <m/>
    <m/>
    <m/>
    <m/>
    <m/>
    <m/>
  </r>
  <r>
    <x v="1"/>
    <m/>
    <m/>
    <m/>
    <m/>
    <m/>
    <m/>
    <m/>
    <m/>
    <m/>
    <m/>
    <m/>
    <x v="0"/>
    <m/>
    <m/>
    <m/>
    <m/>
    <m/>
    <m/>
    <m/>
    <n v="0"/>
    <m/>
    <m/>
    <m/>
    <m/>
    <m/>
    <m/>
    <m/>
    <m/>
    <m/>
    <s v="66S03"/>
    <m/>
    <n v="0"/>
    <d v="2026-09-15T00:00:00"/>
    <s v="2"/>
    <m/>
    <m/>
    <m/>
    <m/>
    <m/>
    <m/>
    <m/>
    <m/>
    <m/>
    <m/>
    <m/>
    <m/>
    <m/>
    <m/>
    <m/>
    <m/>
  </r>
  <r>
    <x v="2"/>
    <d v="2026-09-29T00:00:00"/>
    <s v="DRY2600175"/>
    <s v="UK"/>
    <s v="Westbridge Foods Limited (One UK)"/>
    <s v="Noodles+BC"/>
    <s v="Crispy Chilli Oil Biang Biang Noodles+BC &quot;Kitchen Joy&quot;"/>
    <s v="082SLKW12310G00001"/>
    <s v="310g*12ถ้วย"/>
    <n v="12"/>
    <n v="3"/>
    <n v="0.01"/>
    <x v="1"/>
    <s v="-"/>
    <s v="Soy Sauce"/>
    <n v="2278"/>
    <m/>
    <m/>
    <n v="-2278"/>
    <n v="27336"/>
    <n v="82008"/>
    <m/>
    <n v="0"/>
    <s v="ถ้าว,ฝา สีขาว New Package 1,800/HR"/>
    <n v="0.82007999999999992"/>
    <n v="1.5186666666666664"/>
    <n v="0.31"/>
    <n v="0.26621999999999996"/>
    <n v="27336"/>
    <m/>
    <s v="66S03"/>
    <s v="RES_KL3_FUR_FREEZE_COOK"/>
    <n v="8474.16"/>
    <d v="2026-09-16T00:00:00"/>
    <s v="2"/>
    <m/>
    <n v="12063755"/>
    <s v="12098881"/>
    <n v="12081260"/>
    <s v="Sleeve 12098988"/>
    <m/>
    <n v="12098989"/>
    <m/>
    <m/>
    <m/>
    <m/>
    <m/>
    <m/>
    <n v="1518.6666666666663"/>
    <m/>
    <m/>
  </r>
  <r>
    <x v="3"/>
    <s v="09-2026"/>
    <s v="ขายภายใน"/>
    <s v="MTFS"/>
    <s v="ซีพีเอฟ เทรดดิ้ง"/>
    <s v="R-Wonton no egg"/>
    <s v="Raw Wonton 20 pcs"/>
    <s v="082I93Q12020P01001"/>
    <s v="220g*12in"/>
    <n v="12"/>
    <n v="20"/>
    <n v="6.1999999999999998E-3"/>
    <x v="2"/>
    <s v="STPP"/>
    <s v="-"/>
    <n v="400"/>
    <m/>
    <m/>
    <n v="-400"/>
    <n v="4800"/>
    <n v="96000"/>
    <m/>
    <n v="0"/>
    <m/>
    <n v="0.59520000000000006"/>
    <n v="1.1022222222222222"/>
    <n v="0.22"/>
    <n v="1.056"/>
    <n v="4800"/>
    <m/>
    <s v="66S03"/>
    <s v="RES_KL3_FUR_FREEZE_RAW"/>
    <n v="1056"/>
    <d v="2026-09-17T00:00:00"/>
    <s v="2"/>
    <s v="14/12/21"/>
    <m/>
    <s v="ถาด 12079041"/>
    <m/>
    <m/>
    <m/>
    <n v="12083143"/>
    <m/>
    <s v="ซอง 12083140"/>
    <m/>
    <m/>
    <m/>
    <m/>
    <n v="1102.2222222222222"/>
    <m/>
    <m/>
  </r>
  <r>
    <x v="3"/>
    <d v="2026-10-01T00:00:00"/>
    <s v="DRY2600249"/>
    <s v="Malay"/>
    <s v="CPM Malaysia"/>
    <s v="R-Wonton egg past"/>
    <s v="Raw Wonton 8 pcs (Tomyam 30g.)"/>
    <s v="082I95I18008P00001"/>
    <s v="126g*18in"/>
    <n v="18"/>
    <n v="8"/>
    <n v="6.8100000000000001E-3"/>
    <x v="3"/>
    <s v="STPP"/>
    <s v="TYTB3C 30G"/>
    <n v="100"/>
    <m/>
    <m/>
    <n v="-100"/>
    <n v="1800"/>
    <n v="14400"/>
    <n v="1"/>
    <n v="1800"/>
    <s v="new package"/>
    <n v="9.8064000000000012E-2"/>
    <n v="0.18160000000000001"/>
    <n v="1.2E-2"/>
    <n v="2.1600000000000001E-2"/>
    <n v="1800"/>
    <m/>
    <s v="66S03"/>
    <s v="RES_KL3_FUR_FREEZE_RAW"/>
    <n v="21.6"/>
    <d v="2026-09-17T00:00:00"/>
    <s v="2"/>
    <m/>
    <s v="12071839"/>
    <n v="12038019"/>
    <m/>
    <n v="12098299"/>
    <m/>
    <n v="12098340"/>
    <m/>
    <s v="12038020(355)"/>
    <m/>
    <m/>
    <m/>
    <n v="23053184"/>
    <n v="181.60000000000002"/>
    <m/>
    <m/>
  </r>
  <r>
    <x v="3"/>
    <d v="2026-10-14T00:00:00"/>
    <s v="DRY2600253"/>
    <s v="USA"/>
    <s v="Bellisio Foods, Inc."/>
    <s v="R-Wonton no egg"/>
    <s v="Raw Wonton 50 pcs"/>
    <s v="082I9BW10050P00001"/>
    <s v="580g*10in"/>
    <n v="10"/>
    <n v="50"/>
    <n v="6.8100000000000001E-3"/>
    <x v="3"/>
    <s v="Salt"/>
    <s v="ซุปซอง 5g."/>
    <n v="130"/>
    <m/>
    <m/>
    <n v="-130"/>
    <n v="1300"/>
    <n v="65000"/>
    <n v="6"/>
    <n v="7800"/>
    <s v="ใช้คำว่า “Best if Used By” แทนคำว่า Best by Date"/>
    <n v="0.44265000000000004"/>
    <n v="0.81972222222222224"/>
    <n v="0.57999999999999996"/>
    <n v="0.754"/>
    <n v="1300"/>
    <n v="65000"/>
    <s v="66S03"/>
    <s v="RES_KL3_FUR_FREEZE_RAW"/>
    <n v="754"/>
    <d v="2026-09-17T00:00:00"/>
    <s v="2"/>
    <s v="R-004/2020"/>
    <s v="ไม่ใช้ฟิล์ม"/>
    <n v="12055234"/>
    <m/>
    <n v="12069432"/>
    <m/>
    <n v="12069433"/>
    <m/>
    <s v="12036656(135)"/>
    <m/>
    <m/>
    <m/>
    <n v="23053184"/>
    <n v="819.72222222222229"/>
    <m/>
    <m/>
  </r>
  <r>
    <x v="3"/>
    <d v="2026-10-26T00:00:00"/>
    <s v="DRY2600254"/>
    <s v="USA"/>
    <s v="Bellisio Foods, Inc."/>
    <s v="R-Wonton no egg"/>
    <s v="Raw Wonton 50 pcs"/>
    <s v="082I9BW10050P00001"/>
    <s v="580g*10in"/>
    <n v="10"/>
    <n v="50"/>
    <n v="6.8100000000000001E-3"/>
    <x v="3"/>
    <s v="Salt"/>
    <s v="ซุปซอง 5g."/>
    <n v="150"/>
    <m/>
    <m/>
    <n v="-150"/>
    <n v="1500"/>
    <n v="75000"/>
    <n v="6"/>
    <n v="9000"/>
    <s v="ใช้คำว่า “Best if Used By” แทนคำว่า Best by Date"/>
    <n v="0.51075000000000004"/>
    <n v="0.9458333333333333"/>
    <n v="0.57999999999999996"/>
    <n v="0.86999999999999988"/>
    <n v="1500"/>
    <n v="75000"/>
    <s v="66S03"/>
    <s v="RES_KL3_FUR_FREEZE_RAW"/>
    <n v="869.99999999999989"/>
    <d v="2026-09-17T00:00:00"/>
    <s v="2"/>
    <s v="R-004/2020"/>
    <s v="ไม่ใช้ฟิล์ม"/>
    <n v="12055234"/>
    <m/>
    <n v="12069432"/>
    <m/>
    <n v="12069433"/>
    <m/>
    <s v="12036656(135)"/>
    <m/>
    <m/>
    <m/>
    <n v="23053184"/>
    <n v="945.83333333333326"/>
    <m/>
    <m/>
  </r>
  <r>
    <x v="3"/>
    <d v="2026-10-01T00:00:00"/>
    <s v="DRY2600249"/>
    <s v="Malay"/>
    <s v="CPM Malaysia"/>
    <s v="R-Wonton egg past"/>
    <s v="Raw Wonton 12 pcs"/>
    <s v="082I95I20012P02001"/>
    <s v="154g*20inner"/>
    <n v="20"/>
    <n v="12"/>
    <n v="6.8100000000000001E-3"/>
    <x v="3"/>
    <s v="STPP"/>
    <s v="ซุปซอง 5g."/>
    <n v="300"/>
    <m/>
    <m/>
    <n v="-300"/>
    <n v="6000"/>
    <n v="72000"/>
    <n v="2"/>
    <n v="12000"/>
    <s v="new package"/>
    <n v="0.49031999999999998"/>
    <n v="0.90799999999999992"/>
    <n v="0.154"/>
    <n v="0.92400000000000004"/>
    <n v="6000"/>
    <m/>
    <s v="66S03"/>
    <s v="RES_KL3_FUR_FREEZE_RAW"/>
    <n v="924"/>
    <d v="2026-09-17T00:00:00"/>
    <s v="2"/>
    <s v="10/11/21"/>
    <s v="12071839"/>
    <s v="12019692"/>
    <m/>
    <s v="12098050"/>
    <m/>
    <s v="12098049"/>
    <m/>
    <s v="12045309(248)"/>
    <m/>
    <m/>
    <m/>
    <n v="23053184"/>
    <n v="907.99999999999989"/>
    <m/>
    <m/>
  </r>
  <r>
    <x v="3"/>
    <d v="2026-10-14T00:00:00"/>
    <s v="DRY2600195"/>
    <s v="Malay"/>
    <s v="CPM Malaysia"/>
    <s v="C-Minced WT in tray no egg"/>
    <s v="VA GYOZA KC TRAY HOTPOT MYS CP 24x4 PCS"/>
    <s v="082SM5I24004P00001"/>
    <s v="98g*24tray"/>
    <n v="24"/>
    <n v="4"/>
    <n v="6.0000000000000001E-3"/>
    <x v="4"/>
    <s v="Salt"/>
    <s v=" HOTPOT 10g"/>
    <n v="1250"/>
    <m/>
    <m/>
    <n v="-1250"/>
    <n v="30000"/>
    <n v="120000"/>
    <n v="1"/>
    <n v="30000"/>
    <m/>
    <n v="0.72"/>
    <n v="1.3333333333333333"/>
    <n v="9.8000000000000004E-2"/>
    <n v="2.94"/>
    <n v="30000"/>
    <m/>
    <s v="66S03"/>
    <s v="RES_KL3_FUR_FREEZE_COOK"/>
    <n v="2940"/>
    <d v="2026-09-17T00:00:00"/>
    <s v="2"/>
    <m/>
    <m/>
    <n v="12088503"/>
    <m/>
    <m/>
    <m/>
    <n v="12099948"/>
    <m/>
    <n v="12099957"/>
    <m/>
    <m/>
    <m/>
    <m/>
    <n v="1333.3333333333333"/>
    <m/>
    <m/>
  </r>
  <r>
    <x v="4"/>
    <d v="2026-10-12T00:00:00"/>
    <s v="DRY2600233"/>
    <s v="HK"/>
    <s v="CPM Hongkong"/>
    <s v="R-Wonton egg past"/>
    <s v="Raw Wonton 8 pcs"/>
    <s v="082I93G18008P00001"/>
    <s v="101g*18in"/>
    <n v="18"/>
    <n v="8"/>
    <n v="6.8100000000000001E-3"/>
    <x v="3"/>
    <s v="STPP"/>
    <s v="ซุปซอง 5g."/>
    <n v="1900"/>
    <m/>
    <m/>
    <n v="-1900"/>
    <n v="34200"/>
    <n v="273600"/>
    <n v="1"/>
    <n v="34200"/>
    <m/>
    <n v="1.8632160000000002"/>
    <n v="3.4504000000000001"/>
    <n v="0.10100000000000001"/>
    <n v="3.4542000000000002"/>
    <n v="34200"/>
    <m/>
    <s v="66S03"/>
    <s v="RES_KL3_FUR_FREEZE_RAW"/>
    <n v="3454.2000000000003"/>
    <d v="2026-09-18T00:00:00"/>
    <s v="2"/>
    <m/>
    <s v="12071839"/>
    <n v="12038019"/>
    <m/>
    <n v="12096586"/>
    <m/>
    <n v="12096585"/>
    <m/>
    <s v="12038020(355)"/>
    <m/>
    <m/>
    <m/>
    <n v="23053184"/>
    <n v="3450.4"/>
    <m/>
    <m/>
  </r>
  <r>
    <x v="4"/>
    <d v="2026-10-14T00:00:00"/>
    <s v="DRY2600195"/>
    <s v="Malay"/>
    <s v="CPM Malaysia"/>
    <s v="C-Minced WT in tray no egg"/>
    <s v="VA GYOZA KC TRAY HOTPOT MYS CP 24x4 PCS"/>
    <s v="082SM5I24004P00001"/>
    <s v="98g*24tray"/>
    <n v="24"/>
    <n v="4"/>
    <n v="6.0000000000000001E-3"/>
    <x v="4"/>
    <s v="Salt"/>
    <s v=" HOTPOT 10g"/>
    <n v="1250"/>
    <m/>
    <m/>
    <n v="-1250"/>
    <n v="30000"/>
    <n v="120000"/>
    <n v="1"/>
    <n v="30000"/>
    <m/>
    <n v="0.72"/>
    <n v="1.3333333333333333"/>
    <n v="9.8000000000000004E-2"/>
    <n v="2.94"/>
    <n v="30000"/>
    <m/>
    <s v="66S03"/>
    <s v="RES_KL3_FUR_FREEZE_COOK"/>
    <n v="2940"/>
    <d v="2026-09-18T00:00:00"/>
    <s v="2"/>
    <m/>
    <m/>
    <n v="12088503"/>
    <m/>
    <m/>
    <m/>
    <n v="12099948"/>
    <m/>
    <n v="12099957"/>
    <m/>
    <m/>
    <m/>
    <m/>
    <n v="1333.3333333333333"/>
    <m/>
    <m/>
  </r>
  <r>
    <x v="5"/>
    <d v="2026-10-01T00:00:00"/>
    <s v="DRY2600249"/>
    <s v="Malay"/>
    <s v="CPM Malaysia"/>
    <s v="Wonton+TY"/>
    <s v="Cooked Wonton No Egg  Tomyum"/>
    <s v="082S85I24005P02001"/>
    <s v="115g*24"/>
    <n v="24"/>
    <n v="5"/>
    <n v="8.0000000000000002E-3"/>
    <x v="5"/>
    <s v="STPP"/>
    <s v="TYTB3C 30G"/>
    <n v="850"/>
    <m/>
    <n v="84.541666666666671"/>
    <n v="-765.45833333333337"/>
    <n v="18371"/>
    <n v="91855"/>
    <n v="1"/>
    <n v="18371"/>
    <s v="new package"/>
    <n v="0.73484000000000005"/>
    <n v="1.3608148148148149"/>
    <n v="0.115"/>
    <n v="2.1126649999999998"/>
    <n v="20400"/>
    <m/>
    <s v="66S03"/>
    <s v="RES_KL3_FUR_FREEZE_COOK"/>
    <n v="2112.665"/>
    <d v="2026-09-19T00:00:00"/>
    <s v="2"/>
    <s v="6/11/21"/>
    <n v="12071839"/>
    <n v="12047514"/>
    <n v="12047515"/>
    <m/>
    <n v="12026902"/>
    <n v="12098047"/>
    <n v="12026904"/>
    <m/>
    <s v="12094400"/>
    <s v="12094402"/>
    <s v="12094401"/>
    <n v="23052995"/>
    <n v="1360.814814814815"/>
    <m/>
    <m/>
  </r>
  <r>
    <x v="5"/>
    <d v="2026-10-05T00:00:00"/>
    <s v="DRY2600181"/>
    <s v="SG"/>
    <s v="CP FOODS SINGAPORE PTE. LTD"/>
    <s v="Wonton +TY"/>
    <s v="Cooked Wonton No Egg"/>
    <s v="082S83B24005P06001"/>
    <s v="115g*24"/>
    <n v="24"/>
    <n v="5"/>
    <n v="8.0000000000000002E-3"/>
    <x v="5"/>
    <s v="STPP"/>
    <s v="TYTB3C 30G"/>
    <n v="200"/>
    <m/>
    <n v="6.375"/>
    <n v="-193.625"/>
    <n v="4647"/>
    <n v="23235"/>
    <n v="1"/>
    <n v="4647"/>
    <m/>
    <n v="0.18587999999999999"/>
    <n v="0.34422222222222221"/>
    <n v="0.115"/>
    <n v="0.53440500000000002"/>
    <n v="4800"/>
    <m/>
    <s v="66S03"/>
    <s v="RES_KL3_FUR_FREEZE_COOK"/>
    <n v="534.40499999999997"/>
    <d v="2026-09-19T00:00:00"/>
    <s v="2"/>
    <s v="20/12/21"/>
    <n v="12071839"/>
    <n v="12047514"/>
    <n v="12047515"/>
    <m/>
    <n v="12026902"/>
    <n v="12098136"/>
    <n v="12026904"/>
    <m/>
    <n v="12094111"/>
    <n v="12094113"/>
    <n v="12094114"/>
    <m/>
    <n v="344.22222222222223"/>
    <m/>
    <m/>
  </r>
  <r>
    <x v="5"/>
    <d v="2026-10-01T00:00:00"/>
    <s v="DRY2600249"/>
    <s v="Malay"/>
    <s v="CPM Malaysia"/>
    <s v="Wonton"/>
    <s v="Cooked Wonton No Egg  "/>
    <s v="082S85I24005P01001"/>
    <s v="145g*24"/>
    <n v="24"/>
    <n v="5"/>
    <n v="8.0000000000000002E-3"/>
    <x v="5"/>
    <s v="STPP"/>
    <s v="Regular"/>
    <n v="900"/>
    <m/>
    <n v="11.666666666666666"/>
    <n v="-888.33333333333337"/>
    <n v="21320"/>
    <n v="106600"/>
    <n v="7.4999999999999997E-3"/>
    <n v="159.9"/>
    <s v="new package"/>
    <n v="0.85280000000000011"/>
    <n v="1.5792592592592594"/>
    <n v="0.14499999999999999"/>
    <n v="3.0913999999999997"/>
    <n v="21600"/>
    <m/>
    <s v="66S03"/>
    <s v="RES_KL3_FUR_FREEZE_COOK"/>
    <n v="3091.3999999999996"/>
    <d v="2026-09-19T00:00:00"/>
    <s v="2"/>
    <s v="6/12/21"/>
    <s v="12071839"/>
    <s v="12047514"/>
    <s v="12047515"/>
    <m/>
    <n v="12026902"/>
    <s v="12098045"/>
    <n v="12026904"/>
    <m/>
    <s v="12094403"/>
    <s v="12094404"/>
    <s v="12094405"/>
    <n v="23053185"/>
    <n v="1579.2592592592594"/>
    <m/>
    <m/>
  </r>
  <r>
    <x v="5"/>
    <d v="2026-10-05T00:00:00"/>
    <s v="DRY2600181"/>
    <s v="SG"/>
    <s v="CP FOODS SINGAPORE PTE. LTD"/>
    <s v="Wonton"/>
    <s v="Cooked Wonton No Egg"/>
    <s v="082S83B24005P07001"/>
    <s v="145g*24"/>
    <n v="24"/>
    <n v="5"/>
    <n v="8.0000000000000002E-3"/>
    <x v="5"/>
    <s v="STPP"/>
    <s v="Regular"/>
    <n v="200"/>
    <m/>
    <n v="1.5833333333333333"/>
    <n v="-198.41666666666666"/>
    <n v="4762"/>
    <n v="23810"/>
    <n v="1"/>
    <n v="4762"/>
    <m/>
    <n v="0.19047999999999998"/>
    <n v="0.35274074074074069"/>
    <n v="0.14499999999999999"/>
    <n v="0.69049000000000005"/>
    <n v="4800"/>
    <m/>
    <s v="66S03"/>
    <s v="RES_KL3_FUR_FREEZE_COOK"/>
    <n v="690.49"/>
    <d v="2026-09-19T00:00:00"/>
    <s v="2"/>
    <s v="20/12/21"/>
    <n v="12071839"/>
    <n v="12047514"/>
    <n v="12047515"/>
    <m/>
    <n v="12026902"/>
    <s v="12098599"/>
    <n v="12026904"/>
    <m/>
    <n v="12094406"/>
    <n v="12094407"/>
    <n v="12094408"/>
    <m/>
    <n v="352.7407407407407"/>
    <m/>
    <m/>
  </r>
  <r>
    <x v="5"/>
    <d v="2026-10-01T00:00:00"/>
    <s v="DRY2600238"/>
    <s v="New Zealand"/>
    <s v="Lim Brothers Import&amp;Export Co.,Ltd."/>
    <s v="Wonton ND+V"/>
    <s v="Cooked Wonton ND No Egg with Pumpkin_x000a_+ Yu Choy "/>
    <s v="082SJN736005P00001"/>
    <s v="308g*6c*6in"/>
    <n v="36"/>
    <n v="5"/>
    <n v="7.4999999999999997E-3"/>
    <x v="6"/>
    <s v="Salt"/>
    <s v="Regular"/>
    <n v="792"/>
    <m/>
    <m/>
    <n v="-792"/>
    <n v="28512"/>
    <n v="142560"/>
    <n v="7.4999999999999997E-3"/>
    <n v="213.84"/>
    <m/>
    <n v="1.0692000000000002"/>
    <n v="1.9800000000000002"/>
    <n v="0.308"/>
    <n v="8.7816960000000002"/>
    <n v="28512"/>
    <m/>
    <s v="66S03"/>
    <s v="RES_KL3_FUR_FREEZE_COOK"/>
    <n v="8781.6959999999999"/>
    <d v="2026-09-19T00:00:00"/>
    <s v="2"/>
    <s v="4/1/22"/>
    <n v="12063755"/>
    <n v="12081257"/>
    <n v="12081260"/>
    <n v="12098623"/>
    <m/>
    <n v="12098706"/>
    <n v="12088207"/>
    <m/>
    <n v="12094237"/>
    <m/>
    <m/>
    <n v="23053185"/>
    <n v="1980.0000000000002"/>
    <m/>
    <m/>
  </r>
  <r>
    <x v="5"/>
    <d v="2026-10-12T00:00:00"/>
    <s v="DRY2600237"/>
    <s v="Denmark"/>
    <s v="CPF DENMARK"/>
    <s v="Minced ND+V+TK"/>
    <s v="Cooked Minced Wonton 3 pcs Noodle (Pumpkin)_x000a_with &quot;Tomka&quot;+Yu Choy"/>
    <s v="082SRKW12003P01001"/>
    <s v="240g*12ถ้วย"/>
    <n v="12"/>
    <n v="3"/>
    <n v="6.1999999999999998E-3"/>
    <x v="4"/>
    <s v="Salt"/>
    <s v="Tomkha+CM"/>
    <n v="2660"/>
    <m/>
    <n v="24"/>
    <n v="-2636"/>
    <n v="31632"/>
    <n v="94896"/>
    <n v="5.8823E-2"/>
    <n v="1860.689136"/>
    <s v="ถ้าว,ฝา สีขาว New Package"/>
    <n v="0.58835519999999997"/>
    <n v="1.0895466666666664"/>
    <n v="0.24"/>
    <n v="0.26621999999999996"/>
    <n v="31920"/>
    <m/>
    <s v="66S03"/>
    <s v="RES_KL3_FUR_FREEZE_COOK"/>
    <n v="7591.6799999999994"/>
    <d v="2026-09-19T00:00:00"/>
    <s v="2"/>
    <m/>
    <n v="12071839"/>
    <n v="12095778"/>
    <n v="12095777"/>
    <s v="Sleeve 12098858"/>
    <m/>
    <n v="12098859"/>
    <m/>
    <m/>
    <m/>
    <m/>
    <m/>
    <n v="23099860"/>
    <n v="1089.5466666666664"/>
    <m/>
    <m/>
  </r>
  <r>
    <x v="6"/>
    <d v="2026-10-15T00:00:00"/>
    <s v="DRY2600222"/>
    <s v="AUS"/>
    <s v="CPF Australia Pty Ltd."/>
    <s v="Wonton ND+V"/>
    <s v="Cooked Wonton ND No Egg with Pumpkin_x000a_+ Yu Choy "/>
    <s v="082SJ9U36005P00001"/>
    <s v="308g*6c*6in"/>
    <n v="36"/>
    <n v="5"/>
    <n v="7.4999999999999997E-3"/>
    <x v="6"/>
    <s v="Salt"/>
    <s v="Regular"/>
    <n v="792"/>
    <m/>
    <m/>
    <n v="-792"/>
    <n v="28512"/>
    <n v="142560"/>
    <n v="7.4999999999999997E-3"/>
    <n v="213.84"/>
    <m/>
    <n v="1.0692000000000002"/>
    <n v="1.9800000000000002"/>
    <n v="0.308"/>
    <n v="8.7816960000000002"/>
    <n v="28512"/>
    <m/>
    <s v="66S03"/>
    <s v="RES_KL3_FUR_FREEZE_COOK"/>
    <n v="8781.6959999999999"/>
    <d v="2026-09-20T00:00:00"/>
    <s v="2"/>
    <s v="4/1/22"/>
    <n v="12063755"/>
    <n v="12081257"/>
    <n v="12081260"/>
    <n v="12098623"/>
    <m/>
    <n v="12098706"/>
    <n v="12088207"/>
    <m/>
    <n v="12094237"/>
    <m/>
    <m/>
    <n v="23053185"/>
    <n v="1980.0000000000002"/>
    <m/>
    <m/>
  </r>
  <r>
    <x v="6"/>
    <d v="2026-10-22T00:00:00"/>
    <s v="DRY2600241"/>
    <s v="AUS"/>
    <s v="CPF Australia Pty Ltd."/>
    <s v="Wonton ND+V"/>
    <s v="Cooked Wonton ND No Egg with Pumpkin_x000a_+ Yu Choy "/>
    <s v="082SJ9U36005P00001"/>
    <s v="308g*6c*6in"/>
    <n v="36"/>
    <n v="5"/>
    <n v="7.4999999999999997E-3"/>
    <x v="6"/>
    <s v="Salt"/>
    <s v="Regular"/>
    <n v="792"/>
    <m/>
    <m/>
    <n v="-792"/>
    <n v="28512"/>
    <n v="142560"/>
    <n v="7.4999999999999997E-3"/>
    <n v="213.84"/>
    <m/>
    <n v="1.0692000000000002"/>
    <n v="1.9800000000000002"/>
    <n v="0.308"/>
    <n v="8.7816960000000002"/>
    <n v="28512"/>
    <m/>
    <s v="66S03"/>
    <s v="RES_KL3_FUR_FREEZE_COOK"/>
    <n v="8781.6959999999999"/>
    <d v="2026-09-20T00:00:00"/>
    <s v="2"/>
    <s v="4/1/22"/>
    <n v="12063755"/>
    <n v="12081257"/>
    <n v="12081260"/>
    <n v="12098623"/>
    <m/>
    <n v="12098706"/>
    <n v="12088207"/>
    <m/>
    <n v="12094237"/>
    <m/>
    <m/>
    <n v="23053185"/>
    <n v="1980.0000000000002"/>
    <m/>
    <m/>
  </r>
  <r>
    <x v="6"/>
    <d v="2026-10-22T00:00:00"/>
    <s v="DRY2600242"/>
    <s v="AUS"/>
    <s v="CPF Australia Pty Ltd."/>
    <s v="Wonton ND+V"/>
    <s v="Cooked Wonton ND No Egg with Pumpkin_x000a_+ Yu Choy "/>
    <s v="082SJ9U36005P00001"/>
    <s v="308g*6c*6in"/>
    <n v="36"/>
    <n v="5"/>
    <n v="7.4999999999999997E-3"/>
    <x v="6"/>
    <s v="Salt"/>
    <s v="Regular"/>
    <n v="792"/>
    <m/>
    <m/>
    <n v="-792"/>
    <n v="28512"/>
    <n v="142560"/>
    <n v="7.4999999999999997E-3"/>
    <n v="213.84"/>
    <m/>
    <n v="1.0692000000000002"/>
    <n v="1.9800000000000002"/>
    <n v="0.308"/>
    <n v="8.7816960000000002"/>
    <n v="28512"/>
    <m/>
    <s v="66S03"/>
    <s v="RES_KL3_FUR_FREEZE_COOK"/>
    <n v="8781.6959999999999"/>
    <d v="2026-09-20T00:00:00"/>
    <s v="2"/>
    <s v="4/1/22"/>
    <n v="12063755"/>
    <n v="12081257"/>
    <n v="12081260"/>
    <n v="12098623"/>
    <m/>
    <n v="12098706"/>
    <n v="12088207"/>
    <m/>
    <n v="12094237"/>
    <m/>
    <m/>
    <n v="23053185"/>
    <n v="1980.0000000000002"/>
    <m/>
    <m/>
  </r>
  <r>
    <x v="6"/>
    <d v="2026-10-05T00:00:00"/>
    <s v="DRY2600236"/>
    <s v="Denmark"/>
    <s v="CPF DENMARK"/>
    <s v="Minced ND+V+TY"/>
    <s v="Cooked Minced Wonton 3 pcs Noodle (Pumpkin)_x000a_with &quot;Tomyum&quot;+Yu Choy"/>
    <s v="082SRKW12003P00001"/>
    <s v="240g*12ถ้วย"/>
    <n v="12"/>
    <n v="3"/>
    <n v="6.1999999999999998E-3"/>
    <x v="4"/>
    <s v="Salt"/>
    <s v="TYANSSG+CM"/>
    <n v="2660"/>
    <m/>
    <n v="131.5"/>
    <n v="-2528.5"/>
    <n v="30342"/>
    <n v="91026"/>
    <n v="3.85E-2"/>
    <n v="1168.1669999999999"/>
    <s v="ถ้าว,ฝา สีขาว New Package"/>
    <n v="0.5643611999999999"/>
    <n v="1.0451133333333331"/>
    <n v="0.24"/>
    <n v="7.2820799999999997"/>
    <n v="31920"/>
    <m/>
    <s v="66S03"/>
    <s v="RES_KL3_FUR_FREEZE_COOK"/>
    <n v="7282.08"/>
    <d v="2026-09-20T00:00:00"/>
    <s v="2"/>
    <m/>
    <n v="12071839"/>
    <n v="12095778"/>
    <n v="12095777"/>
    <s v="Sleeve 12098860"/>
    <m/>
    <n v="12098861"/>
    <m/>
    <m/>
    <m/>
    <m/>
    <m/>
    <n v="23053185"/>
    <n v="1045.113333333333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3" cacheId="0" dataPosition="0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outline="1" outlineData="1" multipleFieldFilters="0">
  <location ref="A3:O24" firstHeaderRow="1" firstDataRow="3" firstDataCol="1"/>
  <pivotFields count="31">
    <pivotField axis="axisRow" showAll="0" defaultSubtotal="0">
      <items count="1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81"/>
        <item x="482"/>
        <item x="483"/>
        <item x="485"/>
        <item x="486"/>
        <item x="487"/>
        <item x="489"/>
        <item x="496"/>
        <item x="497"/>
        <item x="503"/>
        <item x="504"/>
        <item x="505"/>
        <item x="506"/>
        <item x="507"/>
        <item x="510"/>
        <item x="517"/>
        <item x="1022"/>
        <item x="478"/>
        <item x="479"/>
        <item x="480"/>
        <item x="490"/>
        <item x="498"/>
        <item x="499"/>
        <item x="500"/>
        <item x="491"/>
        <item x="484"/>
        <item x="488"/>
        <item x="492"/>
        <item x="493"/>
        <item x="494"/>
        <item x="495"/>
        <item x="501"/>
        <item x="502"/>
        <item x="509"/>
        <item x="516"/>
        <item x="519"/>
        <item x="524"/>
        <item x="531"/>
        <item x="538"/>
        <item x="545"/>
        <item x="508"/>
        <item x="511"/>
        <item x="512"/>
        <item x="513"/>
        <item x="514"/>
        <item x="515"/>
        <item x="518"/>
        <item x="530"/>
        <item x="532"/>
        <item x="544"/>
        <item x="520"/>
        <item x="521"/>
        <item x="525"/>
        <item x="526"/>
        <item x="529"/>
        <item x="542"/>
        <item x="543"/>
        <item x="550"/>
        <item x="551"/>
        <item x="537"/>
        <item x="539"/>
        <item x="522"/>
        <item x="523"/>
        <item x="527"/>
        <item x="528"/>
        <item x="556"/>
        <item x="558"/>
        <item x="560"/>
        <item x="566"/>
        <item x="565"/>
        <item x="571"/>
        <item x="572"/>
        <item x="578"/>
        <item x="579"/>
        <item x="585"/>
        <item x="586"/>
        <item x="592"/>
        <item x="593"/>
        <item x="599"/>
        <item x="600"/>
        <item x="606"/>
        <item x="607"/>
        <item x="614"/>
        <item x="620"/>
        <item x="621"/>
        <item x="622"/>
        <item x="628"/>
        <item x="635"/>
        <item x="641"/>
        <item x="642"/>
        <item x="533"/>
        <item x="534"/>
        <item x="535"/>
        <item x="536"/>
        <item x="546"/>
        <item x="547"/>
        <item x="577"/>
        <item x="540"/>
        <item x="541"/>
        <item x="549"/>
        <item x="552"/>
        <item x="561"/>
        <item x="562"/>
        <item x="563"/>
        <item x="587"/>
        <item x="594"/>
        <item x="595"/>
        <item x="596"/>
        <item x="627"/>
        <item x="643"/>
        <item x="649"/>
        <item x="656"/>
        <item x="663"/>
        <item x="670"/>
        <item x="675"/>
        <item x="677"/>
        <item x="684"/>
        <item x="691"/>
        <item x="698"/>
        <item x="699"/>
        <item x="700"/>
        <item x="701"/>
        <item x="662"/>
        <item x="548"/>
        <item x="553"/>
        <item x="554"/>
        <item x="555"/>
        <item x="557"/>
        <item x="559"/>
        <item x="564"/>
        <item x="584"/>
        <item x="588"/>
        <item x="589"/>
        <item x="590"/>
        <item x="591"/>
        <item x="598"/>
        <item x="605"/>
        <item x="612"/>
        <item x="613"/>
        <item x="626"/>
        <item x="648"/>
        <item x="567"/>
        <item x="568"/>
        <item x="569"/>
        <item x="570"/>
        <item x="573"/>
        <item x="574"/>
        <item x="575"/>
        <item x="576"/>
        <item x="580"/>
        <item x="581"/>
        <item x="582"/>
        <item x="583"/>
        <item x="604"/>
        <item x="610"/>
        <item x="619"/>
        <item x="634"/>
        <item x="640"/>
        <item x="654"/>
        <item x="669"/>
        <item x="671"/>
        <item x="672"/>
        <item x="673"/>
        <item x="685"/>
        <item x="686"/>
        <item x="687"/>
        <item x="597"/>
        <item x="602"/>
        <item x="603"/>
        <item x="608"/>
        <item x="611"/>
        <item x="629"/>
        <item x="644"/>
        <item x="657"/>
        <item x="601"/>
        <item x="609"/>
        <item x="623"/>
        <item x="624"/>
        <item x="625"/>
        <item x="630"/>
        <item x="631"/>
        <item x="632"/>
        <item x="633"/>
        <item x="688"/>
        <item x="689"/>
        <item x="690"/>
        <item x="692"/>
        <item x="693"/>
        <item x="694"/>
        <item x="695"/>
        <item x="702"/>
        <item x="703"/>
        <item x="704"/>
        <item x="705"/>
        <item x="706"/>
        <item x="707"/>
        <item x="708"/>
        <item x="712"/>
        <item x="713"/>
        <item x="719"/>
        <item x="720"/>
        <item x="726"/>
        <item x="616"/>
        <item x="615"/>
        <item x="617"/>
        <item x="618"/>
        <item x="636"/>
        <item x="637"/>
        <item x="638"/>
        <item x="639"/>
        <item x="645"/>
        <item x="646"/>
        <item x="647"/>
        <item x="650"/>
        <item x="651"/>
        <item x="652"/>
        <item x="653"/>
        <item x="655"/>
        <item x="658"/>
        <item x="659"/>
        <item x="664"/>
        <item x="660"/>
        <item x="661"/>
        <item x="665"/>
        <item x="666"/>
        <item x="667"/>
        <item x="668"/>
        <item x="674"/>
        <item x="676"/>
        <item x="678"/>
        <item x="679"/>
        <item x="680"/>
        <item x="681"/>
        <item x="682"/>
        <item x="683"/>
        <item x="696"/>
        <item x="725"/>
        <item x="727"/>
        <item x="697"/>
        <item x="709"/>
        <item x="728"/>
        <item x="729"/>
        <item x="730"/>
        <item x="710"/>
        <item x="711"/>
        <item x="714"/>
        <item x="715"/>
        <item x="760"/>
        <item x="716"/>
        <item x="717"/>
        <item x="718"/>
        <item x="724"/>
        <item x="748"/>
        <item x="749"/>
        <item x="750"/>
        <item x="751"/>
        <item x="721"/>
        <item x="722"/>
        <item x="723"/>
        <item x="733"/>
        <item x="740"/>
        <item x="747"/>
        <item x="754"/>
        <item x="761"/>
        <item x="768"/>
        <item x="731"/>
        <item x="732"/>
        <item x="734"/>
        <item x="735"/>
        <item x="736"/>
        <item x="737"/>
        <item x="738"/>
        <item x="739"/>
        <item x="741"/>
        <item x="742"/>
        <item x="743"/>
        <item x="744"/>
        <item x="745"/>
        <item x="746"/>
        <item x="752"/>
        <item x="753"/>
        <item x="755"/>
        <item x="756"/>
        <item x="757"/>
        <item x="758"/>
        <item x="759"/>
        <item x="762"/>
        <item x="763"/>
        <item x="764"/>
        <item x="765"/>
        <item x="766"/>
        <item x="767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6"/>
        <item x="817"/>
        <item x="818"/>
        <item x="821"/>
        <item x="822"/>
        <item x="823"/>
        <item x="824"/>
        <item x="825"/>
        <item x="826"/>
        <item x="831"/>
        <item x="838"/>
        <item x="839"/>
        <item x="840"/>
        <item x="841"/>
        <item x="842"/>
        <item x="843"/>
        <item x="845"/>
        <item x="846"/>
        <item x="847"/>
        <item x="848"/>
        <item x="849"/>
        <item x="856"/>
        <item x="857"/>
        <item x="863"/>
        <item x="864"/>
        <item x="870"/>
        <item x="877"/>
        <item x="878"/>
        <item x="884"/>
        <item x="891"/>
        <item x="893"/>
        <item x="898"/>
        <item x="905"/>
        <item x="908"/>
        <item x="912"/>
        <item x="913"/>
        <item x="919"/>
        <item x="926"/>
        <item x="933"/>
        <item x="940"/>
        <item x="947"/>
        <item x="948"/>
        <item x="954"/>
        <item x="968"/>
        <item x="970"/>
        <item x="975"/>
        <item x="976"/>
        <item x="984"/>
        <item x="1025"/>
        <item m="1" x="1034"/>
        <item x="1002"/>
        <item x="1018"/>
        <item x="1019"/>
        <item x="801"/>
        <item x="802"/>
        <item x="819"/>
        <item x="830"/>
        <item x="837"/>
        <item x="844"/>
        <item x="814"/>
        <item x="815"/>
        <item x="820"/>
        <item x="827"/>
        <item x="828"/>
        <item x="829"/>
        <item x="832"/>
        <item x="833"/>
        <item x="834"/>
        <item x="835"/>
        <item x="836"/>
        <item x="850"/>
        <item x="876"/>
        <item x="909"/>
        <item x="851"/>
        <item x="852"/>
        <item x="853"/>
        <item x="854"/>
        <item x="855"/>
        <item x="858"/>
        <item x="859"/>
        <item x="860"/>
        <item x="861"/>
        <item x="862"/>
        <item x="865"/>
        <item x="866"/>
        <item x="869"/>
        <item x="871"/>
        <item x="872"/>
        <item x="879"/>
        <item x="906"/>
        <item x="873"/>
        <item x="880"/>
        <item x="907"/>
        <item x="910"/>
        <item x="867"/>
        <item x="868"/>
        <item x="874"/>
        <item x="875"/>
        <item x="899"/>
        <item x="900"/>
        <item x="901"/>
        <item x="902"/>
        <item x="903"/>
        <item x="904"/>
        <item x="934"/>
        <item x="939"/>
        <item x="955"/>
        <item x="962"/>
        <item x="969"/>
        <item x="989"/>
        <item x="881"/>
        <item x="882"/>
        <item x="883"/>
        <item x="885"/>
        <item x="886"/>
        <item x="887"/>
        <item x="888"/>
        <item x="889"/>
        <item x="890"/>
        <item x="892"/>
        <item x="894"/>
        <item x="895"/>
        <item x="896"/>
        <item x="897"/>
        <item x="911"/>
        <item x="914"/>
        <item x="915"/>
        <item x="916"/>
        <item x="917"/>
        <item x="918"/>
        <item x="920"/>
        <item x="921"/>
        <item x="922"/>
        <item x="923"/>
        <item x="924"/>
        <item x="925"/>
        <item x="927"/>
        <item x="928"/>
        <item x="929"/>
        <item x="930"/>
        <item x="958"/>
        <item m="1" x="1036"/>
        <item x="931"/>
        <item x="932"/>
        <item x="935"/>
        <item x="936"/>
        <item x="937"/>
        <item x="938"/>
        <item x="941"/>
        <item x="942"/>
        <item x="943"/>
        <item x="944"/>
        <item x="945"/>
        <item x="946"/>
        <item x="949"/>
        <item x="950"/>
        <item x="951"/>
        <item x="952"/>
        <item x="953"/>
        <item x="956"/>
        <item x="957"/>
        <item x="963"/>
        <item x="983"/>
        <item x="990"/>
        <item x="991"/>
        <item x="993"/>
        <item x="995"/>
        <item x="997"/>
        <item x="1004"/>
        <item x="1011"/>
        <item x="1014"/>
        <item x="1016"/>
        <item x="1017"/>
        <item x="998"/>
        <item x="960"/>
        <item x="977"/>
        <item m="1" x="1028"/>
        <item x="992"/>
        <item x="994"/>
        <item x="996"/>
        <item x="1005"/>
        <item x="1012"/>
        <item x="1015"/>
        <item x="959"/>
        <item x="964"/>
        <item x="961"/>
        <item x="999"/>
        <item x="1000"/>
        <item x="1007"/>
        <item x="965"/>
        <item x="966"/>
        <item x="967"/>
        <item x="971"/>
        <item x="972"/>
        <item x="973"/>
        <item x="978"/>
        <item x="979"/>
        <item x="980"/>
        <item x="982"/>
        <item x="985"/>
        <item m="1" x="1039"/>
        <item m="1" x="1032"/>
        <item x="1006"/>
        <item x="974"/>
        <item x="981"/>
        <item x="986"/>
        <item x="987"/>
        <item m="1" x="1037"/>
        <item m="1" x="1029"/>
        <item m="1" x="1038"/>
        <item m="1" x="1030"/>
        <item m="1" x="1031"/>
        <item m="1" x="1040"/>
        <item m="1" x="1041"/>
        <item m="1" x="1042"/>
        <item m="1" x="1033"/>
        <item m="1" x="1026"/>
        <item x="1023"/>
        <item x="1024"/>
        <item m="1" x="1027"/>
        <item m="1" x="1035"/>
        <item x="1020"/>
        <item x="1021"/>
        <item x="988"/>
        <item x="1001"/>
        <item x="1003"/>
        <item x="1008"/>
        <item x="1009"/>
        <item x="1010"/>
        <item x="1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8">
        <item sd="0" m="1" x="6"/>
        <item sd="0" m="1" x="7"/>
        <item sd="0" x="0"/>
        <item sd="0" x="1"/>
        <item h="1" x="4"/>
        <item h="1" x="5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59">
        <item m="1" x="23"/>
        <item sd="0" m="1" x="31"/>
        <item m="1" x="38"/>
        <item m="1" x="45"/>
        <item m="1" x="52"/>
        <item m="1" x="14"/>
        <item m="1" x="24"/>
        <item m="1" x="35"/>
        <item m="1" x="42"/>
        <item m="1" x="49"/>
        <item m="1" x="56"/>
        <item m="1" x="19"/>
        <item m="1" x="28"/>
        <item m="1" x="32"/>
        <item m="1" x="39"/>
        <item m="1" x="46"/>
        <item m="1" x="53"/>
        <item m="1" x="15"/>
        <item m="1" x="25"/>
        <item m="1" x="36"/>
        <item m="1" x="43"/>
        <item m="1" x="50"/>
        <item m="1" x="57"/>
        <item m="1" x="20"/>
        <item m="1" x="29"/>
        <item m="1" x="33"/>
        <item m="1" x="40"/>
        <item m="1" x="47"/>
        <item m="1" x="54"/>
        <item m="1" x="16"/>
        <item m="1" x="26"/>
        <item m="1" x="37"/>
        <item m="1" x="44"/>
        <item m="1" x="51"/>
        <item m="1" x="58"/>
        <item m="1" x="21"/>
        <item m="1" x="30"/>
        <item x="13"/>
        <item sd="0" m="1" x="34"/>
        <item m="1" x="41"/>
        <item sd="0" m="1" x="48"/>
        <item m="1" x="55"/>
        <item m="1" x="18"/>
        <item m="1" x="27"/>
        <item x="12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m="1" x="22"/>
        <item m="1"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 defaultSubtotal="0">
      <items count="8">
        <item x="4"/>
        <item x="5"/>
        <item x="6"/>
        <item x="1"/>
        <item x="3"/>
        <item x="2"/>
        <item h="1" x="0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4"/>
    <field x="0"/>
  </rowFields>
  <rowItems count="19">
    <i>
      <x v="2"/>
    </i>
    <i>
      <x v="3"/>
    </i>
    <i>
      <x v="6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>
      <x v="7"/>
    </i>
    <i r="1">
      <x v="45"/>
    </i>
    <i r="1">
      <x v="46"/>
    </i>
    <i t="grand">
      <x/>
    </i>
  </rowItems>
  <colFields count="2">
    <field x="-2"/>
    <field x="17"/>
  </colFields>
  <colItems count="14">
    <i>
      <x/>
      <x/>
    </i>
    <i r="1">
      <x v="1"/>
    </i>
    <i r="1">
      <x v="2"/>
    </i>
    <i r="1">
      <x v="3"/>
    </i>
    <i r="1">
      <x v="4"/>
    </i>
    <i r="1">
      <x v="5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t="grand">
      <x/>
    </i>
    <i t="grand" i="1">
      <x/>
    </i>
  </colItems>
  <dataFields count="2">
    <dataField name="Sum of WT/ PD" fld="29" baseField="2" baseItem="0" numFmtId="4"/>
    <dataField name="Sum of WT/ HO" fld="30" baseField="2" baseItem="0" numFmtId="4"/>
  </dataFields>
  <formats count="18">
    <format dxfId="30">
      <pivotArea dataOnly="0" outline="0" fieldPosition="0">
        <references count="1">
          <reference field="4294967294" count="1">
            <x v="1"/>
          </reference>
        </references>
      </pivotArea>
    </format>
    <format dxfId="29">
      <pivotArea dataOnly="0" outline="0" fieldPosition="0">
        <references count="1">
          <reference field="4294967294" count="1">
            <x v="0"/>
          </reference>
        </references>
      </pivotArea>
    </format>
    <format dxfId="28">
      <pivotArea dataOnly="0" outline="0" fieldPosition="0">
        <references count="1">
          <reference field="4294967294" count="1">
            <x v="1"/>
          </reference>
        </references>
      </pivotArea>
    </format>
    <format dxfId="27">
      <pivotArea dataOnly="0" outline="0" fieldPosition="0">
        <references count="1">
          <reference field="17" count="0"/>
        </references>
      </pivotArea>
    </format>
    <format dxfId="26">
      <pivotArea dataOnly="0" outline="0" fieldPosition="0">
        <references count="1">
          <reference field="17" count="0"/>
        </references>
      </pivotArea>
    </format>
    <format dxfId="25">
      <pivotArea collapsedLevelsAreSubtotals="1" fieldPosition="0">
        <references count="2">
          <reference field="2" count="1" selected="0">
            <x v="3"/>
          </reference>
          <reference field="4" count="1">
            <x v="45"/>
          </reference>
        </references>
      </pivotArea>
    </format>
    <format dxfId="24">
      <pivotArea field="17" dataOnly="0" grandCol="1" outline="0" axis="axisCol" fieldPosition="1">
        <references count="1">
          <reference field="4294967294" count="1" selected="0">
            <x v="0"/>
          </reference>
        </references>
      </pivotArea>
    </format>
    <format dxfId="23">
      <pivotArea outline="0" collapsedLevelsAreSubtotals="1" fieldPosition="0">
        <references count="2">
          <reference field="4294967294" count="1" selected="0">
            <x v="0"/>
          </reference>
          <reference field="17" count="0" selected="0"/>
        </references>
      </pivotArea>
    </format>
    <format dxfId="22">
      <pivotArea dataOnly="0" labelOnly="1" fieldPosition="0">
        <references count="2">
          <reference field="4294967294" count="1" selected="0">
            <x v="0"/>
          </reference>
          <reference field="17" count="0"/>
        </references>
      </pivotArea>
    </format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">
      <pivotArea collapsedLevelsAreSubtotals="1" fieldPosition="0">
        <references count="5">
          <reference field="4294967294" count="1" selected="0">
            <x v="0"/>
          </reference>
          <reference field="0" count="10">
            <x v="456"/>
            <x v="457"/>
            <x v="458"/>
            <x v="459"/>
            <x v="460"/>
            <x v="462"/>
            <x v="463"/>
            <x v="464"/>
            <x v="465"/>
            <x v="466"/>
          </reference>
          <reference field="2" count="1" selected="0">
            <x v="3"/>
          </reference>
          <reference field="4" count="1" selected="0">
            <x v="48"/>
          </reference>
          <reference field="17" count="1" selected="0">
            <x v="4"/>
          </reference>
        </references>
      </pivotArea>
    </format>
    <format dxfId="17">
      <pivotArea collapsedLevelsAreSubtotals="1" fieldPosition="0">
        <references count="5">
          <reference field="4294967294" count="1" selected="0">
            <x v="0"/>
          </reference>
          <reference field="0" count="11">
            <x v="443"/>
            <x v="444"/>
            <x v="445"/>
            <x v="446"/>
            <x v="448"/>
            <x v="449"/>
            <x v="450"/>
            <x v="451"/>
            <x v="452"/>
            <x v="453"/>
            <x v="455"/>
          </reference>
          <reference field="2" count="1" selected="0">
            <x v="3"/>
          </reference>
          <reference field="4" count="1" selected="0">
            <x v="47"/>
          </reference>
          <reference field="17" count="1" selected="0">
            <x v="4"/>
          </reference>
        </references>
      </pivotArea>
    </format>
    <format dxfId="16">
      <pivotArea collapsedLevelsAreSubtotals="1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4" count="1">
            <x v="48"/>
          </reference>
          <reference field="17" count="1" selected="0">
            <x v="4"/>
          </reference>
        </references>
      </pivotArea>
    </format>
    <format dxfId="15">
      <pivotArea collapsedLevelsAreSubtotals="1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4" count="1">
            <x v="49"/>
          </reference>
          <reference field="17" count="1" selected="0">
            <x v="4"/>
          </reference>
        </references>
      </pivotArea>
    </format>
    <format dxfId="14">
      <pivotArea collapsedLevelsAreSubtotals="1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4" count="1">
            <x v="50"/>
          </reference>
          <reference field="17" count="1" selected="0">
            <x v="4"/>
          </reference>
        </references>
      </pivotArea>
    </format>
    <format dxfId="13">
      <pivotArea field="17" grandRow="1" outline="0" collapsedLevelsAreSubtotals="1" axis="axisCol" fieldPosition="1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EA7CF0-CEDC-43F5-B949-4933370AF10F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outline="1" outlineData="1" multipleFieldFilters="0" rowHeaderCaption="Date">
  <location ref="U7:W24" firstHeaderRow="0" firstDataRow="1" firstDataCol="1" rowPageCount="1" colPageCount="1"/>
  <pivotFields count="32">
    <pivotField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1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81"/>
        <item x="482"/>
        <item x="483"/>
        <item x="485"/>
        <item x="486"/>
        <item x="487"/>
        <item x="489"/>
        <item x="496"/>
        <item x="497"/>
        <item x="503"/>
        <item x="507"/>
        <item x="510"/>
        <item x="517"/>
        <item x="1022"/>
        <item x="478"/>
        <item x="479"/>
        <item x="480"/>
        <item x="490"/>
        <item x="498"/>
        <item x="499"/>
        <item x="500"/>
        <item x="491"/>
        <item x="484"/>
        <item x="488"/>
        <item x="492"/>
        <item x="493"/>
        <item x="494"/>
        <item x="495"/>
        <item x="501"/>
        <item x="504"/>
        <item x="505"/>
        <item x="506"/>
        <item x="502"/>
        <item x="509"/>
        <item x="516"/>
        <item x="519"/>
        <item x="524"/>
        <item x="531"/>
        <item x="538"/>
        <item x="545"/>
        <item x="508"/>
        <item x="511"/>
        <item x="512"/>
        <item x="513"/>
        <item x="518"/>
        <item x="520"/>
        <item x="521"/>
        <item x="525"/>
        <item x="526"/>
        <item x="529"/>
        <item x="530"/>
        <item x="537"/>
        <item x="539"/>
        <item x="542"/>
        <item x="543"/>
        <item x="544"/>
        <item x="550"/>
        <item x="551"/>
        <item x="514"/>
        <item x="515"/>
        <item x="522"/>
        <item x="523"/>
        <item x="527"/>
        <item x="528"/>
        <item x="556"/>
        <item x="558"/>
        <item x="560"/>
        <item x="566"/>
        <item x="565"/>
        <item x="571"/>
        <item x="572"/>
        <item x="578"/>
        <item x="579"/>
        <item x="585"/>
        <item x="586"/>
        <item x="592"/>
        <item x="593"/>
        <item x="599"/>
        <item x="600"/>
        <item x="606"/>
        <item x="607"/>
        <item x="614"/>
        <item x="620"/>
        <item x="621"/>
        <item x="622"/>
        <item x="628"/>
        <item x="635"/>
        <item x="641"/>
        <item x="642"/>
        <item x="532"/>
        <item x="533"/>
        <item x="534"/>
        <item x="535"/>
        <item x="536"/>
        <item x="546"/>
        <item x="547"/>
        <item x="577"/>
        <item x="540"/>
        <item x="541"/>
        <item x="549"/>
        <item x="552"/>
        <item x="561"/>
        <item x="562"/>
        <item x="563"/>
        <item x="587"/>
        <item x="594"/>
        <item x="595"/>
        <item x="596"/>
        <item x="627"/>
        <item x="643"/>
        <item x="649"/>
        <item x="656"/>
        <item x="663"/>
        <item x="670"/>
        <item x="675"/>
        <item x="677"/>
        <item x="684"/>
        <item x="691"/>
        <item x="698"/>
        <item x="699"/>
        <item x="700"/>
        <item x="701"/>
        <item x="662"/>
        <item x="548"/>
        <item x="553"/>
        <item x="554"/>
        <item x="555"/>
        <item x="557"/>
        <item x="559"/>
        <item x="564"/>
        <item x="584"/>
        <item x="588"/>
        <item x="589"/>
        <item x="590"/>
        <item x="591"/>
        <item x="598"/>
        <item x="605"/>
        <item x="612"/>
        <item x="613"/>
        <item x="626"/>
        <item x="648"/>
        <item x="567"/>
        <item x="568"/>
        <item x="569"/>
        <item x="570"/>
        <item x="573"/>
        <item x="574"/>
        <item x="575"/>
        <item x="576"/>
        <item x="580"/>
        <item x="581"/>
        <item x="582"/>
        <item x="583"/>
        <item x="604"/>
        <item x="610"/>
        <item x="619"/>
        <item x="634"/>
        <item x="640"/>
        <item x="654"/>
        <item x="669"/>
        <item x="671"/>
        <item x="672"/>
        <item x="673"/>
        <item x="685"/>
        <item x="686"/>
        <item x="687"/>
        <item x="597"/>
        <item x="602"/>
        <item x="603"/>
        <item x="608"/>
        <item x="611"/>
        <item x="629"/>
        <item x="644"/>
        <item x="657"/>
        <item x="601"/>
        <item x="609"/>
        <item x="623"/>
        <item x="624"/>
        <item x="625"/>
        <item x="630"/>
        <item x="631"/>
        <item x="632"/>
        <item x="633"/>
        <item x="688"/>
        <item x="689"/>
        <item x="690"/>
        <item x="692"/>
        <item x="693"/>
        <item x="694"/>
        <item x="695"/>
        <item x="702"/>
        <item x="703"/>
        <item x="704"/>
        <item x="705"/>
        <item x="706"/>
        <item x="707"/>
        <item x="708"/>
        <item x="712"/>
        <item x="713"/>
        <item x="719"/>
        <item x="720"/>
        <item x="726"/>
        <item x="616"/>
        <item x="615"/>
        <item x="617"/>
        <item x="618"/>
        <item x="636"/>
        <item x="637"/>
        <item x="638"/>
        <item x="639"/>
        <item x="645"/>
        <item x="646"/>
        <item x="647"/>
        <item x="650"/>
        <item x="651"/>
        <item x="652"/>
        <item x="653"/>
        <item x="655"/>
        <item x="658"/>
        <item x="659"/>
        <item x="664"/>
        <item x="660"/>
        <item x="661"/>
        <item x="665"/>
        <item x="666"/>
        <item x="667"/>
        <item x="668"/>
        <item x="674"/>
        <item x="676"/>
        <item x="678"/>
        <item x="679"/>
        <item x="680"/>
        <item x="681"/>
        <item x="682"/>
        <item x="683"/>
        <item x="696"/>
        <item x="725"/>
        <item x="727"/>
        <item x="697"/>
        <item x="709"/>
        <item x="728"/>
        <item x="729"/>
        <item x="730"/>
        <item x="710"/>
        <item x="711"/>
        <item x="714"/>
        <item x="715"/>
        <item x="760"/>
        <item x="716"/>
        <item x="717"/>
        <item x="718"/>
        <item x="724"/>
        <item x="748"/>
        <item x="749"/>
        <item x="750"/>
        <item x="751"/>
        <item x="721"/>
        <item x="722"/>
        <item x="723"/>
        <item x="733"/>
        <item x="740"/>
        <item x="747"/>
        <item x="754"/>
        <item x="761"/>
        <item x="768"/>
        <item x="731"/>
        <item x="732"/>
        <item x="734"/>
        <item x="735"/>
        <item x="736"/>
        <item x="737"/>
        <item x="738"/>
        <item x="739"/>
        <item x="741"/>
        <item x="742"/>
        <item x="743"/>
        <item x="744"/>
        <item x="745"/>
        <item x="746"/>
        <item x="752"/>
        <item x="753"/>
        <item x="755"/>
        <item x="756"/>
        <item x="757"/>
        <item x="758"/>
        <item x="759"/>
        <item x="762"/>
        <item x="763"/>
        <item x="764"/>
        <item x="765"/>
        <item x="766"/>
        <item x="767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6"/>
        <item x="817"/>
        <item x="818"/>
        <item x="821"/>
        <item x="822"/>
        <item x="823"/>
        <item x="824"/>
        <item x="825"/>
        <item x="826"/>
        <item x="831"/>
        <item x="838"/>
        <item x="839"/>
        <item x="840"/>
        <item x="841"/>
        <item x="842"/>
        <item x="843"/>
        <item x="845"/>
        <item x="846"/>
        <item x="847"/>
        <item x="848"/>
        <item x="849"/>
        <item x="856"/>
        <item x="857"/>
        <item x="863"/>
        <item x="864"/>
        <item x="870"/>
        <item x="877"/>
        <item x="878"/>
        <item x="884"/>
        <item x="885"/>
        <item x="891"/>
        <item x="892"/>
        <item x="893"/>
        <item x="898"/>
        <item x="905"/>
        <item x="908"/>
        <item x="911"/>
        <item x="912"/>
        <item x="913"/>
        <item x="919"/>
        <item x="926"/>
        <item x="933"/>
        <item x="940"/>
        <item x="947"/>
        <item x="948"/>
        <item x="954"/>
        <item x="968"/>
        <item x="970"/>
        <item x="975"/>
        <item x="976"/>
        <item x="984"/>
        <item x="1025"/>
        <item m="1" x="1034"/>
        <item x="1002"/>
        <item x="1018"/>
        <item x="1019"/>
        <item x="801"/>
        <item x="802"/>
        <item x="814"/>
        <item x="815"/>
        <item x="819"/>
        <item x="820"/>
        <item x="827"/>
        <item x="828"/>
        <item x="829"/>
        <item x="830"/>
        <item x="832"/>
        <item x="833"/>
        <item x="834"/>
        <item x="835"/>
        <item x="836"/>
        <item x="837"/>
        <item x="850"/>
        <item x="876"/>
        <item x="909"/>
        <item x="844"/>
        <item x="851"/>
        <item x="852"/>
        <item x="853"/>
        <item x="854"/>
        <item x="855"/>
        <item x="858"/>
        <item x="859"/>
        <item x="860"/>
        <item x="861"/>
        <item x="862"/>
        <item x="865"/>
        <item x="890"/>
        <item x="866"/>
        <item x="869"/>
        <item x="871"/>
        <item x="872"/>
        <item x="879"/>
        <item x="906"/>
        <item x="873"/>
        <item x="880"/>
        <item x="907"/>
        <item x="910"/>
        <item x="867"/>
        <item x="868"/>
        <item x="874"/>
        <item x="875"/>
        <item x="881"/>
        <item x="882"/>
        <item x="883"/>
        <item x="886"/>
        <item x="887"/>
        <item x="888"/>
        <item x="889"/>
        <item x="894"/>
        <item x="895"/>
        <item x="896"/>
        <item x="897"/>
        <item x="899"/>
        <item x="900"/>
        <item x="901"/>
        <item x="902"/>
        <item x="903"/>
        <item x="904"/>
        <item x="914"/>
        <item x="915"/>
        <item x="916"/>
        <item x="917"/>
        <item x="918"/>
        <item x="920"/>
        <item x="921"/>
        <item x="922"/>
        <item x="923"/>
        <item x="924"/>
        <item x="925"/>
        <item x="927"/>
        <item x="928"/>
        <item x="929"/>
        <item x="930"/>
        <item x="934"/>
        <item x="939"/>
        <item x="955"/>
        <item x="958"/>
        <item x="962"/>
        <item x="969"/>
        <item x="989"/>
        <item m="1" x="1036"/>
        <item x="931"/>
        <item x="932"/>
        <item x="935"/>
        <item x="936"/>
        <item x="937"/>
        <item x="938"/>
        <item x="941"/>
        <item x="942"/>
        <item x="943"/>
        <item x="944"/>
        <item x="945"/>
        <item x="946"/>
        <item x="949"/>
        <item x="950"/>
        <item x="951"/>
        <item x="952"/>
        <item x="953"/>
        <item x="956"/>
        <item x="957"/>
        <item x="963"/>
        <item x="983"/>
        <item x="990"/>
        <item x="991"/>
        <item x="993"/>
        <item x="995"/>
        <item x="997"/>
        <item x="1004"/>
        <item x="1011"/>
        <item x="1014"/>
        <item x="1016"/>
        <item x="1017"/>
        <item x="998"/>
        <item x="960"/>
        <item x="977"/>
        <item m="1" x="1028"/>
        <item x="992"/>
        <item x="994"/>
        <item x="996"/>
        <item x="1005"/>
        <item x="1012"/>
        <item x="1015"/>
        <item x="959"/>
        <item x="964"/>
        <item x="961"/>
        <item x="999"/>
        <item x="1000"/>
        <item x="1007"/>
        <item x="965"/>
        <item x="966"/>
        <item x="967"/>
        <item x="971"/>
        <item x="972"/>
        <item x="973"/>
        <item x="978"/>
        <item x="979"/>
        <item x="980"/>
        <item x="982"/>
        <item x="985"/>
        <item m="1" x="1039"/>
        <item m="1" x="1032"/>
        <item x="1006"/>
        <item x="974"/>
        <item x="981"/>
        <item x="986"/>
        <item x="987"/>
        <item m="1" x="1037"/>
        <item m="1" x="1029"/>
        <item m="1" x="1038"/>
        <item m="1" x="1030"/>
        <item m="1" x="1031"/>
        <item m="1" x="1040"/>
        <item m="1" x="1041"/>
        <item m="1" x="1042"/>
        <item m="1" x="1033"/>
        <item m="1" x="1026"/>
        <item x="1023"/>
        <item x="1024"/>
        <item m="1" x="1027"/>
        <item m="1" x="1035"/>
        <item x="1020"/>
        <item x="1021"/>
        <item x="988"/>
        <item x="1001"/>
        <item x="1003"/>
        <item x="1008"/>
        <item x="1009"/>
        <item x="1010"/>
        <item x="1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7">
        <item h="1" sd="0" m="1" x="6"/>
        <item h="1" sd="0" x="0"/>
        <item h="1" sd="0" x="1"/>
        <item h="1" x="4"/>
        <item h="1" x="5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16">
        <item x="13"/>
        <item x="12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m="1" x="14"/>
        <item m="1"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>
      <items count="6">
        <item x="1"/>
        <item x="2"/>
        <item x="0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3"/>
    <field x="5"/>
    <field x="1"/>
  </rowFields>
  <rowItems count="17">
    <i>
      <x v="5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6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1" item="0" hier="-1"/>
  </pageFields>
  <dataFields count="2">
    <dataField name="short cup" fld="25" baseField="3" baseItem="0" numFmtId="3"/>
    <dataField name="short PCS." fld="26" baseField="3" baseItem="0" numFmtId="3"/>
  </dataFields>
  <formats count="16">
    <format dxfId="46">
      <pivotArea collapsedLevelsAreSubtotals="1" fieldPosition="0">
        <references count="2">
          <reference field="3" count="1" selected="0">
            <x v="2"/>
          </reference>
          <reference field="5" count="1">
            <x v="2"/>
          </reference>
        </references>
      </pivotArea>
    </format>
    <format dxfId="45">
      <pivotArea outline="0" fieldPosition="0">
        <references count="1">
          <reference field="4294967294" count="1">
            <x v="0"/>
          </reference>
        </references>
      </pivotArea>
    </format>
    <format dxfId="44">
      <pivotArea outline="0" fieldPosition="0">
        <references count="1">
          <reference field="4294967294" count="1">
            <x v="1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2">
      <pivotArea collapsedLevelsAreSubtotals="1" fieldPosition="0">
        <references count="3">
          <reference field="4294967294" count="1" selected="0">
            <x v="0"/>
          </reference>
          <reference field="3" count="0" selected="0"/>
          <reference field="5" count="1">
            <x v="2"/>
          </reference>
        </references>
      </pivotArea>
    </format>
    <format dxfId="41">
      <pivotArea collapsedLevelsAreSubtotals="1" fieldPosition="0">
        <references count="3">
          <reference field="4294967294" count="1" selected="0">
            <x v="0"/>
          </reference>
          <reference field="3" count="0" selected="0"/>
          <reference field="5" count="1">
            <x v="3"/>
          </reference>
        </references>
      </pivotArea>
    </format>
    <format dxfId="40">
      <pivotArea collapsedLevelsAreSubtotals="1" fieldPosition="0">
        <references count="3">
          <reference field="4294967294" count="1" selected="0">
            <x v="0"/>
          </reference>
          <reference field="3" count="0" selected="0"/>
          <reference field="5" count="1">
            <x v="4"/>
          </reference>
        </references>
      </pivotArea>
    </format>
    <format dxfId="39">
      <pivotArea collapsedLevelsAreSubtotals="1" fieldPosition="0">
        <references count="3">
          <reference field="4294967294" count="1" selected="0">
            <x v="0"/>
          </reference>
          <reference field="3" count="0" selected="0"/>
          <reference field="5" count="1">
            <x v="5"/>
          </reference>
        </references>
      </pivotArea>
    </format>
    <format dxfId="38">
      <pivotArea collapsedLevelsAreSubtotals="1" fieldPosition="0">
        <references count="3">
          <reference field="4294967294" count="1" selected="0">
            <x v="0"/>
          </reference>
          <reference field="3" count="0" selected="0"/>
          <reference field="5" count="1">
            <x v="6"/>
          </reference>
        </references>
      </pivotArea>
    </format>
    <format dxfId="37">
      <pivotArea collapsedLevelsAreSubtotals="1" fieldPosition="0">
        <references count="3">
          <reference field="4294967294" count="1" selected="0">
            <x v="0"/>
          </reference>
          <reference field="3" count="0" selected="0"/>
          <reference field="5" count="1">
            <x v="7"/>
          </reference>
        </references>
      </pivotArea>
    </format>
    <format dxfId="36">
      <pivotArea collapsedLevelsAreSubtotals="1" fieldPosition="0">
        <references count="3">
          <reference field="4294967294" count="1" selected="0">
            <x v="0"/>
          </reference>
          <reference field="3" count="0" selected="0"/>
          <reference field="5" count="1">
            <x v="8"/>
          </reference>
        </references>
      </pivotArea>
    </format>
    <format dxfId="35">
      <pivotArea collapsedLevelsAreSubtotals="1" fieldPosition="0">
        <references count="3">
          <reference field="4294967294" count="1" selected="0">
            <x v="0"/>
          </reference>
          <reference field="3" count="0" selected="0"/>
          <reference field="5" count="1">
            <x v="9"/>
          </reference>
        </references>
      </pivotArea>
    </format>
    <format dxfId="34">
      <pivotArea collapsedLevelsAreSubtotals="1" fieldPosition="0">
        <references count="3">
          <reference field="4294967294" count="1" selected="0">
            <x v="0"/>
          </reference>
          <reference field="3" count="0" selected="0"/>
          <reference field="5" count="1">
            <x v="10"/>
          </reference>
        </references>
      </pivotArea>
    </format>
    <format dxfId="33">
      <pivotArea collapsedLevelsAreSubtotals="1" fieldPosition="0">
        <references count="3">
          <reference field="4294967294" count="1" selected="0">
            <x v="0"/>
          </reference>
          <reference field="3" count="0" selected="0"/>
          <reference field="5" count="1">
            <x v="11"/>
          </reference>
        </references>
      </pivotArea>
    </format>
    <format dxfId="32">
      <pivotArea collapsedLevelsAreSubtotals="1" fieldPosition="0">
        <references count="3">
          <reference field="4294967294" count="1" selected="0">
            <x v="0"/>
          </reference>
          <reference field="3" count="0" selected="0"/>
          <reference field="5" count="1">
            <x v="12"/>
          </reference>
        </references>
      </pivotArea>
    </format>
    <format dxfId="31">
      <pivotArea collapsedLevelsAreSubtotals="1" fieldPosition="0">
        <references count="3">
          <reference field="4294967294" count="1" selected="0">
            <x v="0"/>
          </reference>
          <reference field="3" count="0" selected="0"/>
          <reference field="5" count="1"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BBBB83-9797-4749-9559-38DA7C9C16F1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outline="1" outlineData="1" multipleFieldFilters="0" rowHeaderCaption="Date">
  <location ref="Q7:S23" firstHeaderRow="0" firstDataRow="1" firstDataCol="1" rowPageCount="1" colPageCount="1"/>
  <pivotFields count="32">
    <pivotField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1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81"/>
        <item x="482"/>
        <item x="483"/>
        <item x="485"/>
        <item x="486"/>
        <item x="487"/>
        <item x="489"/>
        <item x="496"/>
        <item x="497"/>
        <item x="503"/>
        <item x="507"/>
        <item x="510"/>
        <item x="517"/>
        <item x="1022"/>
        <item x="478"/>
        <item x="479"/>
        <item x="480"/>
        <item x="490"/>
        <item x="498"/>
        <item x="499"/>
        <item x="500"/>
        <item x="491"/>
        <item x="484"/>
        <item x="488"/>
        <item x="492"/>
        <item x="493"/>
        <item x="494"/>
        <item x="495"/>
        <item x="501"/>
        <item x="504"/>
        <item x="505"/>
        <item x="506"/>
        <item x="502"/>
        <item x="509"/>
        <item x="516"/>
        <item x="519"/>
        <item x="524"/>
        <item x="531"/>
        <item x="538"/>
        <item x="545"/>
        <item x="508"/>
        <item x="511"/>
        <item x="512"/>
        <item x="513"/>
        <item x="518"/>
        <item x="520"/>
        <item x="521"/>
        <item x="525"/>
        <item x="526"/>
        <item x="529"/>
        <item x="530"/>
        <item x="537"/>
        <item x="539"/>
        <item x="542"/>
        <item x="543"/>
        <item x="544"/>
        <item x="550"/>
        <item x="551"/>
        <item x="514"/>
        <item x="515"/>
        <item x="522"/>
        <item x="523"/>
        <item x="527"/>
        <item x="528"/>
        <item x="556"/>
        <item x="558"/>
        <item x="560"/>
        <item x="566"/>
        <item x="565"/>
        <item x="571"/>
        <item x="572"/>
        <item x="578"/>
        <item x="579"/>
        <item x="585"/>
        <item x="586"/>
        <item x="592"/>
        <item x="593"/>
        <item x="599"/>
        <item x="600"/>
        <item x="606"/>
        <item x="607"/>
        <item x="614"/>
        <item x="620"/>
        <item x="621"/>
        <item x="622"/>
        <item x="628"/>
        <item x="635"/>
        <item x="641"/>
        <item x="642"/>
        <item x="532"/>
        <item x="533"/>
        <item x="534"/>
        <item x="535"/>
        <item x="536"/>
        <item x="546"/>
        <item x="547"/>
        <item x="577"/>
        <item x="540"/>
        <item x="541"/>
        <item x="549"/>
        <item x="552"/>
        <item x="561"/>
        <item x="562"/>
        <item x="563"/>
        <item x="587"/>
        <item x="594"/>
        <item x="595"/>
        <item x="596"/>
        <item x="627"/>
        <item x="643"/>
        <item x="649"/>
        <item x="656"/>
        <item x="663"/>
        <item x="670"/>
        <item x="675"/>
        <item x="677"/>
        <item x="684"/>
        <item x="691"/>
        <item x="698"/>
        <item x="699"/>
        <item x="700"/>
        <item x="701"/>
        <item x="662"/>
        <item x="548"/>
        <item x="553"/>
        <item x="554"/>
        <item x="555"/>
        <item x="557"/>
        <item x="559"/>
        <item x="564"/>
        <item x="584"/>
        <item x="588"/>
        <item x="589"/>
        <item x="590"/>
        <item x="591"/>
        <item x="598"/>
        <item x="605"/>
        <item x="612"/>
        <item x="613"/>
        <item x="626"/>
        <item x="648"/>
        <item x="567"/>
        <item x="568"/>
        <item x="569"/>
        <item x="570"/>
        <item x="573"/>
        <item x="574"/>
        <item x="575"/>
        <item x="576"/>
        <item x="580"/>
        <item x="581"/>
        <item x="582"/>
        <item x="583"/>
        <item x="604"/>
        <item x="610"/>
        <item x="619"/>
        <item x="634"/>
        <item x="640"/>
        <item x="654"/>
        <item x="669"/>
        <item x="671"/>
        <item x="672"/>
        <item x="673"/>
        <item x="685"/>
        <item x="686"/>
        <item x="687"/>
        <item x="597"/>
        <item x="602"/>
        <item x="603"/>
        <item x="608"/>
        <item x="611"/>
        <item x="629"/>
        <item x="644"/>
        <item x="657"/>
        <item x="601"/>
        <item x="609"/>
        <item x="623"/>
        <item x="624"/>
        <item x="625"/>
        <item x="630"/>
        <item x="631"/>
        <item x="632"/>
        <item x="633"/>
        <item x="688"/>
        <item x="689"/>
        <item x="690"/>
        <item x="692"/>
        <item x="693"/>
        <item x="694"/>
        <item x="695"/>
        <item x="702"/>
        <item x="703"/>
        <item x="704"/>
        <item x="705"/>
        <item x="706"/>
        <item x="707"/>
        <item x="708"/>
        <item x="712"/>
        <item x="713"/>
        <item x="719"/>
        <item x="720"/>
        <item x="726"/>
        <item x="616"/>
        <item x="615"/>
        <item x="617"/>
        <item x="618"/>
        <item x="636"/>
        <item x="637"/>
        <item x="638"/>
        <item x="639"/>
        <item x="645"/>
        <item x="646"/>
        <item x="647"/>
        <item x="650"/>
        <item x="651"/>
        <item x="652"/>
        <item x="653"/>
        <item x="655"/>
        <item x="658"/>
        <item x="659"/>
        <item x="664"/>
        <item x="660"/>
        <item x="661"/>
        <item x="665"/>
        <item x="666"/>
        <item x="667"/>
        <item x="668"/>
        <item x="674"/>
        <item x="676"/>
        <item x="678"/>
        <item x="679"/>
        <item x="680"/>
        <item x="681"/>
        <item x="682"/>
        <item x="683"/>
        <item x="696"/>
        <item x="725"/>
        <item x="727"/>
        <item x="697"/>
        <item x="709"/>
        <item x="728"/>
        <item x="729"/>
        <item x="730"/>
        <item x="710"/>
        <item x="711"/>
        <item x="714"/>
        <item x="715"/>
        <item x="760"/>
        <item x="716"/>
        <item x="717"/>
        <item x="718"/>
        <item x="724"/>
        <item x="748"/>
        <item x="749"/>
        <item x="750"/>
        <item x="751"/>
        <item x="721"/>
        <item x="722"/>
        <item x="723"/>
        <item x="733"/>
        <item x="740"/>
        <item x="747"/>
        <item x="754"/>
        <item x="761"/>
        <item x="768"/>
        <item x="731"/>
        <item x="732"/>
        <item x="734"/>
        <item x="735"/>
        <item x="736"/>
        <item x="737"/>
        <item x="738"/>
        <item x="739"/>
        <item x="741"/>
        <item x="742"/>
        <item x="743"/>
        <item x="744"/>
        <item x="745"/>
        <item x="746"/>
        <item x="752"/>
        <item x="753"/>
        <item x="755"/>
        <item x="756"/>
        <item x="757"/>
        <item x="758"/>
        <item x="759"/>
        <item x="762"/>
        <item x="763"/>
        <item x="764"/>
        <item x="765"/>
        <item x="766"/>
        <item x="767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6"/>
        <item x="817"/>
        <item x="818"/>
        <item x="821"/>
        <item x="822"/>
        <item x="823"/>
        <item x="824"/>
        <item x="825"/>
        <item x="826"/>
        <item x="831"/>
        <item x="838"/>
        <item x="839"/>
        <item x="840"/>
        <item x="841"/>
        <item x="842"/>
        <item x="843"/>
        <item x="845"/>
        <item x="846"/>
        <item x="847"/>
        <item x="848"/>
        <item x="849"/>
        <item x="856"/>
        <item x="857"/>
        <item x="863"/>
        <item x="864"/>
        <item x="870"/>
        <item x="877"/>
        <item x="878"/>
        <item x="884"/>
        <item x="885"/>
        <item x="891"/>
        <item x="892"/>
        <item x="893"/>
        <item x="898"/>
        <item x="905"/>
        <item x="908"/>
        <item x="911"/>
        <item x="912"/>
        <item x="913"/>
        <item x="919"/>
        <item x="926"/>
        <item x="933"/>
        <item x="940"/>
        <item x="947"/>
        <item x="948"/>
        <item x="954"/>
        <item x="968"/>
        <item x="970"/>
        <item x="975"/>
        <item x="976"/>
        <item x="984"/>
        <item x="1025"/>
        <item m="1" x="1034"/>
        <item x="1002"/>
        <item x="1018"/>
        <item x="1019"/>
        <item x="801"/>
        <item x="802"/>
        <item x="814"/>
        <item x="815"/>
        <item x="819"/>
        <item x="820"/>
        <item x="827"/>
        <item x="828"/>
        <item x="829"/>
        <item x="830"/>
        <item x="832"/>
        <item x="833"/>
        <item x="834"/>
        <item x="835"/>
        <item x="836"/>
        <item x="837"/>
        <item x="850"/>
        <item x="876"/>
        <item x="909"/>
        <item x="844"/>
        <item x="851"/>
        <item x="852"/>
        <item x="853"/>
        <item x="854"/>
        <item x="855"/>
        <item x="858"/>
        <item x="859"/>
        <item x="860"/>
        <item x="861"/>
        <item x="862"/>
        <item x="865"/>
        <item x="890"/>
        <item x="866"/>
        <item x="869"/>
        <item x="871"/>
        <item x="872"/>
        <item x="879"/>
        <item x="906"/>
        <item x="873"/>
        <item x="880"/>
        <item x="907"/>
        <item x="910"/>
        <item x="867"/>
        <item x="868"/>
        <item x="874"/>
        <item x="875"/>
        <item x="881"/>
        <item x="882"/>
        <item x="883"/>
        <item x="886"/>
        <item x="887"/>
        <item x="888"/>
        <item x="889"/>
        <item x="894"/>
        <item x="895"/>
        <item x="896"/>
        <item x="897"/>
        <item x="899"/>
        <item x="900"/>
        <item x="901"/>
        <item x="902"/>
        <item x="903"/>
        <item x="904"/>
        <item x="914"/>
        <item x="915"/>
        <item x="916"/>
        <item x="917"/>
        <item x="918"/>
        <item x="920"/>
        <item x="921"/>
        <item x="922"/>
        <item x="923"/>
        <item x="924"/>
        <item x="925"/>
        <item x="927"/>
        <item x="928"/>
        <item x="929"/>
        <item x="930"/>
        <item x="934"/>
        <item x="939"/>
        <item x="955"/>
        <item x="958"/>
        <item x="962"/>
        <item x="969"/>
        <item x="989"/>
        <item m="1" x="1036"/>
        <item x="931"/>
        <item x="932"/>
        <item x="935"/>
        <item x="936"/>
        <item x="937"/>
        <item x="938"/>
        <item x="941"/>
        <item x="942"/>
        <item x="943"/>
        <item x="944"/>
        <item x="945"/>
        <item x="946"/>
        <item x="949"/>
        <item x="950"/>
        <item x="951"/>
        <item x="952"/>
        <item x="953"/>
        <item x="956"/>
        <item x="957"/>
        <item x="963"/>
        <item x="983"/>
        <item x="990"/>
        <item x="991"/>
        <item x="993"/>
        <item x="995"/>
        <item x="997"/>
        <item x="1004"/>
        <item x="1011"/>
        <item x="1014"/>
        <item x="1016"/>
        <item x="1017"/>
        <item x="998"/>
        <item x="960"/>
        <item x="977"/>
        <item m="1" x="1028"/>
        <item x="992"/>
        <item x="994"/>
        <item x="996"/>
        <item x="1005"/>
        <item x="1012"/>
        <item x="1015"/>
        <item x="959"/>
        <item x="964"/>
        <item x="961"/>
        <item x="999"/>
        <item x="1000"/>
        <item x="1007"/>
        <item x="965"/>
        <item x="966"/>
        <item x="967"/>
        <item x="971"/>
        <item x="972"/>
        <item x="973"/>
        <item x="978"/>
        <item x="979"/>
        <item x="980"/>
        <item x="982"/>
        <item x="985"/>
        <item m="1" x="1039"/>
        <item m="1" x="1032"/>
        <item x="1006"/>
        <item x="974"/>
        <item x="981"/>
        <item x="986"/>
        <item x="987"/>
        <item m="1" x="1037"/>
        <item m="1" x="1029"/>
        <item m="1" x="1038"/>
        <item m="1" x="1030"/>
        <item m="1" x="1031"/>
        <item m="1" x="1040"/>
        <item m="1" x="1041"/>
        <item m="1" x="1042"/>
        <item m="1" x="1033"/>
        <item m="1" x="1026"/>
        <item x="1023"/>
        <item x="1024"/>
        <item m="1" x="1027"/>
        <item m="1" x="1035"/>
        <item x="1020"/>
        <item x="1021"/>
        <item x="988"/>
        <item x="1001"/>
        <item x="1003"/>
        <item x="1008"/>
        <item x="1009"/>
        <item x="1010"/>
        <item x="1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7">
        <item h="1" sd="0" m="1" x="6"/>
        <item h="1" sd="0" x="0"/>
        <item h="1" sd="0" x="1"/>
        <item h="1" x="4"/>
        <item h="1" x="5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16">
        <item x="13"/>
        <item x="12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m="1" x="14"/>
        <item m="1"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>
      <items count="6">
        <item x="1"/>
        <item x="2"/>
        <item x="0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3"/>
    <field x="5"/>
    <field x="1"/>
  </rowFields>
  <rowItems count="16">
    <i>
      <x v="5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>
      <x v="6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1" item="1" hier="-1"/>
  </pageFields>
  <dataFields count="2">
    <dataField name="short inner" fld="25" baseField="3" baseItem="0" numFmtId="3"/>
    <dataField name="short PCS." fld="26" baseField="3" baseItem="0" numFmtId="3"/>
  </dataFields>
  <formats count="15">
    <format dxfId="61">
      <pivotArea collapsedLevelsAreSubtotals="1" fieldPosition="0">
        <references count="2">
          <reference field="3" count="1" selected="0">
            <x v="2"/>
          </reference>
          <reference field="5" count="1">
            <x v="2"/>
          </reference>
        </references>
      </pivotArea>
    </format>
    <format dxfId="60">
      <pivotArea outline="0" fieldPosition="0">
        <references count="1">
          <reference field="4294967294" count="1">
            <x v="0"/>
          </reference>
        </references>
      </pivotArea>
    </format>
    <format dxfId="59">
      <pivotArea outline="0" fieldPosition="0">
        <references count="1">
          <reference field="4294967294" count="1">
            <x v="1"/>
          </reference>
        </references>
      </pivotArea>
    </format>
    <format dxfId="58">
      <pivotArea collapsedLevelsAreSubtotals="1" fieldPosition="0">
        <references count="3">
          <reference field="4294967294" count="1" selected="0">
            <x v="1"/>
          </reference>
          <reference field="3" count="0" selected="0"/>
          <reference field="5" count="1">
            <x v="2"/>
          </reference>
        </references>
      </pivotArea>
    </format>
    <format dxfId="57">
      <pivotArea collapsedLevelsAreSubtotals="1" fieldPosition="0">
        <references count="3">
          <reference field="4294967294" count="1" selected="0">
            <x v="1"/>
          </reference>
          <reference field="3" count="0" selected="0"/>
          <reference field="5" count="1">
            <x v="3"/>
          </reference>
        </references>
      </pivotArea>
    </format>
    <format dxfId="56">
      <pivotArea collapsedLevelsAreSubtotals="1" fieldPosition="0">
        <references count="3">
          <reference field="4294967294" count="1" selected="0">
            <x v="1"/>
          </reference>
          <reference field="3" count="0" selected="0"/>
          <reference field="5" count="1">
            <x v="4"/>
          </reference>
        </references>
      </pivotArea>
    </format>
    <format dxfId="55">
      <pivotArea collapsedLevelsAreSubtotals="1" fieldPosition="0">
        <references count="3">
          <reference field="4294967294" count="1" selected="0">
            <x v="1"/>
          </reference>
          <reference field="3" count="0" selected="0"/>
          <reference field="5" count="1">
            <x v="5"/>
          </reference>
        </references>
      </pivotArea>
    </format>
    <format dxfId="54">
      <pivotArea collapsedLevelsAreSubtotals="1" fieldPosition="0">
        <references count="3">
          <reference field="4294967294" count="1" selected="0">
            <x v="1"/>
          </reference>
          <reference field="3" count="0" selected="0"/>
          <reference field="5" count="1">
            <x v="6"/>
          </reference>
        </references>
      </pivotArea>
    </format>
    <format dxfId="53">
      <pivotArea collapsedLevelsAreSubtotals="1" fieldPosition="0">
        <references count="3">
          <reference field="4294967294" count="1" selected="0">
            <x v="1"/>
          </reference>
          <reference field="3" count="0" selected="0"/>
          <reference field="5" count="1">
            <x v="7"/>
          </reference>
        </references>
      </pivotArea>
    </format>
    <format dxfId="52">
      <pivotArea collapsedLevelsAreSubtotals="1" fieldPosition="0">
        <references count="3">
          <reference field="4294967294" count="1" selected="0">
            <x v="1"/>
          </reference>
          <reference field="3" count="0" selected="0"/>
          <reference field="5" count="1">
            <x v="8"/>
          </reference>
        </references>
      </pivotArea>
    </format>
    <format dxfId="51">
      <pivotArea collapsedLevelsAreSubtotals="1" fieldPosition="0">
        <references count="3">
          <reference field="4294967294" count="1" selected="0">
            <x v="1"/>
          </reference>
          <reference field="3" count="0" selected="0"/>
          <reference field="5" count="1">
            <x v="9"/>
          </reference>
        </references>
      </pivotArea>
    </format>
    <format dxfId="50">
      <pivotArea collapsedLevelsAreSubtotals="1" fieldPosition="0">
        <references count="3">
          <reference field="4294967294" count="1" selected="0">
            <x v="1"/>
          </reference>
          <reference field="3" count="0" selected="0"/>
          <reference field="5" count="1">
            <x v="10"/>
          </reference>
        </references>
      </pivotArea>
    </format>
    <format dxfId="49">
      <pivotArea collapsedLevelsAreSubtotals="1" fieldPosition="0">
        <references count="3">
          <reference field="4294967294" count="1" selected="0">
            <x v="1"/>
          </reference>
          <reference field="3" count="0" selected="0"/>
          <reference field="5" count="1">
            <x v="11"/>
          </reference>
        </references>
      </pivotArea>
    </format>
    <format dxfId="48">
      <pivotArea collapsedLevelsAreSubtotals="1" fieldPosition="0">
        <references count="3">
          <reference field="4294967294" count="1" selected="0">
            <x v="1"/>
          </reference>
          <reference field="3" count="0" selected="0"/>
          <reference field="5" count="1">
            <x v="12"/>
          </reference>
        </references>
      </pivotArea>
    </format>
    <format dxfId="47">
      <pivotArea collapsedLevelsAreSubtotals="1" fieldPosition="0">
        <references count="3">
          <reference field="4294967294" count="1" selected="0">
            <x v="1"/>
          </reference>
          <reference field="3" count="0" selected="0"/>
          <reference field="5" count="1"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14B83-91DC-4C35-948B-B269C0B46C6B}" name="PivotTable2" cacheId="3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compactData="0" gridDropZones="1" multipleFieldFilters="0">
  <location ref="A3:C17" firstHeaderRow="2" firstDataRow="2" firstDataCol="2"/>
  <pivotFields count="51">
    <pivotField axis="axisRow" compact="0" numFmtId="187" outline="0" showAll="0" defaultSubtotal="0">
      <items count="7">
        <item x="0"/>
        <item x="1"/>
        <item x="2"/>
        <item x="3"/>
        <item x="4"/>
        <item x="5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x="1"/>
        <item x="4"/>
        <item x="6"/>
        <item x="5"/>
        <item x="3"/>
        <item x="2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88" outline="0" showAll="0" defaultSubtotal="0"/>
    <pivotField compact="0" numFmtId="19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2">
    <field x="0"/>
    <field x="12"/>
  </rowFields>
  <rowItems count="13">
    <i>
      <x/>
      <x v="6"/>
    </i>
    <i>
      <x v="1"/>
      <x v="6"/>
    </i>
    <i>
      <x v="2"/>
      <x/>
    </i>
    <i>
      <x v="3"/>
      <x v="1"/>
    </i>
    <i r="1">
      <x v="4"/>
    </i>
    <i r="1">
      <x v="5"/>
    </i>
    <i>
      <x v="4"/>
      <x v="1"/>
    </i>
    <i r="1">
      <x v="4"/>
    </i>
    <i>
      <x v="5"/>
      <x v="1"/>
    </i>
    <i r="1">
      <x v="2"/>
    </i>
    <i r="1">
      <x v="3"/>
    </i>
    <i>
      <x v="6"/>
      <x v="1"/>
    </i>
    <i r="1">
      <x v="2"/>
    </i>
  </rowItems>
  <colItems count="1">
    <i/>
  </colItems>
  <dataFields count="1">
    <dataField name="Sum of KG" fld="48" baseField="0" baseItem="0"/>
  </dataFields>
  <formats count="1">
    <format dxfId="12">
      <pivotArea outline="0" fieldPosition="0">
        <references count="1">
          <reference field="0" count="5" selected="0"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2" cacheId="2" dataOnRows="1" applyNumberFormats="0" applyBorderFormats="0" applyFontFormats="0" applyPatternFormats="0" applyAlignmentFormats="0" applyWidthHeightFormats="1" dataCaption="Data" updatedVersion="6" minRefreshableVersion="3" showMemberPropertyTips="0" useAutoFormatting="1" itemPrintTitles="1" createdVersion="8" indent="0" compact="0" compactData="0" gridDropZones="1">
  <location ref="A3:C735" firstHeaderRow="2" firstDataRow="2" firstDataCol="2"/>
  <pivotFields count="27">
    <pivotField axis="axisRow" compact="0" outline="0" subtotalTop="0" showAll="0" includeNewItemsInFilter="1" defaultSubtotal="0">
      <items count="1270">
        <item h="1" m="1" x="1092"/>
        <item h="1" m="1" x="914"/>
        <item h="1" m="1" x="1096"/>
        <item h="1" m="1" x="918"/>
        <item h="1" m="1" x="1099"/>
        <item h="1" m="1" x="921"/>
        <item h="1" m="1" x="1103"/>
        <item h="1" m="1" x="924"/>
        <item h="1" m="1" x="1106"/>
        <item h="1" m="1" x="927"/>
        <item h="1" m="1" x="1110"/>
        <item h="1" m="1" x="931"/>
        <item h="1" m="1" x="1113"/>
        <item h="1" m="1" x="934"/>
        <item h="1" m="1" x="1117"/>
        <item h="1" m="1" x="938"/>
        <item h="1" m="1" x="1121"/>
        <item h="1" m="1" x="942"/>
        <item h="1" m="1" x="1126"/>
        <item h="1" m="1" x="947"/>
        <item h="1" m="1" x="1131"/>
        <item h="1" m="1" x="952"/>
        <item h="1" m="1" x="1137"/>
        <item h="1" m="1" x="958"/>
        <item h="1" m="1" x="1143"/>
        <item h="1" m="1" x="964"/>
        <item h="1" m="1" x="1150"/>
        <item h="1" m="1" x="971"/>
        <item h="1" m="1" x="1157"/>
        <item h="1" m="1" x="978"/>
        <item h="1" m="1" x="1165"/>
        <item h="1" m="1" x="1100"/>
        <item h="1" m="1" x="922"/>
        <item h="1" m="1" x="1104"/>
        <item h="1" m="1" x="925"/>
        <item h="1" m="1" x="1107"/>
        <item h="1" m="1" x="928"/>
        <item h="1" m="1" x="1111"/>
        <item h="1" m="1" x="932"/>
        <item h="1" m="1" x="1114"/>
        <item h="1" m="1" x="935"/>
        <item h="1" m="1" x="1118"/>
        <item h="1" m="1" x="939"/>
        <item h="1" m="1" x="1122"/>
        <item h="1" m="1" x="943"/>
        <item h="1" m="1" x="1127"/>
        <item h="1" m="1" x="948"/>
        <item h="1" m="1" x="1132"/>
        <item h="1" m="1" x="953"/>
        <item h="1" m="1" x="1138"/>
        <item h="1" m="1" x="959"/>
        <item h="1" m="1" x="1144"/>
        <item h="1" m="1" x="965"/>
        <item h="1" m="1" x="1151"/>
        <item h="1" m="1" x="972"/>
        <item h="1" m="1" x="1158"/>
        <item h="1" m="1" x="979"/>
        <item h="1" m="1" x="1166"/>
        <item h="1" m="1" x="986"/>
        <item h="1" m="1" x="1108"/>
        <item h="1" m="1" x="929"/>
        <item h="1" m="1" x="1112"/>
        <item h="1" m="1" x="933"/>
        <item h="1" m="1" x="1115"/>
        <item h="1" m="1" x="936"/>
        <item h="1" m="1" x="1119"/>
        <item h="1" m="1" x="940"/>
        <item h="1" m="1" x="1123"/>
        <item h="1" m="1" x="944"/>
        <item h="1" m="1" x="1128"/>
        <item h="1" m="1" x="949"/>
        <item h="1" m="1" x="1133"/>
        <item h="1" m="1" x="954"/>
        <item h="1" m="1" x="1139"/>
        <item h="1" m="1" x="960"/>
        <item h="1" m="1" x="1145"/>
        <item h="1" m="1" x="966"/>
        <item h="1" m="1" x="1152"/>
        <item h="1" m="1" x="973"/>
        <item h="1" m="1" x="1159"/>
        <item h="1" m="1" x="980"/>
        <item h="1" m="1" x="1167"/>
        <item h="1" m="1" x="987"/>
        <item h="1" m="1" x="1173"/>
        <item h="1" m="1" x="993"/>
        <item h="1" m="1" x="1180"/>
        <item h="1" m="1" x="1000"/>
        <item h="1" m="1" x="1187"/>
        <item h="1" m="1" x="1007"/>
        <item h="1" m="1" x="1195"/>
        <item h="1" m="1" x="1116"/>
        <item h="1" m="1" x="937"/>
        <item h="1" m="1" x="1120"/>
        <item h="1" m="1" x="941"/>
        <item h="1" m="1" x="1124"/>
        <item h="1" m="1" x="945"/>
        <item h="1" m="1" x="1129"/>
        <item h="1" m="1" x="950"/>
        <item h="1" m="1" x="1134"/>
        <item h="1" m="1" x="955"/>
        <item h="1" m="1" x="1140"/>
        <item h="1" m="1" x="961"/>
        <item h="1" m="1" x="1146"/>
        <item h="1" m="1" x="967"/>
        <item h="1" m="1" x="1153"/>
        <item h="1" m="1" x="974"/>
        <item h="1" m="1" x="1160"/>
        <item h="1" m="1" x="981"/>
        <item h="1" m="1" x="1168"/>
        <item h="1" m="1" x="988"/>
        <item h="1" m="1" x="1174"/>
        <item h="1" m="1" x="994"/>
        <item h="1" m="1" x="1181"/>
        <item h="1" m="1" x="1001"/>
        <item h="1" m="1" x="1188"/>
        <item h="1" m="1" x="1008"/>
        <item h="1" m="1" x="1196"/>
        <item h="1" m="1" x="1015"/>
        <item h="1" m="1" x="1203"/>
        <item h="1" m="1" x="1022"/>
        <item h="1" m="1" x="1125"/>
        <item h="1" m="1" x="946"/>
        <item h="1" m="1" x="1130"/>
        <item h="1" m="1" x="951"/>
        <item h="1" m="1" x="1135"/>
        <item h="1" m="1" x="956"/>
        <item h="1" m="1" x="1141"/>
        <item h="1" m="1" x="962"/>
        <item h="1" m="1" x="1147"/>
        <item h="1" m="1" x="968"/>
        <item h="1" m="1" x="1154"/>
        <item h="1" m="1" x="975"/>
        <item h="1" m="1" x="1161"/>
        <item h="1" m="1" x="982"/>
        <item h="1" m="1" x="1169"/>
        <item h="1" m="1" x="989"/>
        <item h="1" m="1" x="1175"/>
        <item h="1" m="1" x="995"/>
        <item h="1" m="1" x="1182"/>
        <item h="1" m="1" x="1002"/>
        <item h="1" m="1" x="1189"/>
        <item h="1" m="1" x="1009"/>
        <item h="1" m="1" x="1197"/>
        <item h="1" m="1" x="1016"/>
        <item h="1" m="1" x="1204"/>
        <item h="1" m="1" x="1023"/>
        <item h="1" m="1" x="1211"/>
        <item h="1" m="1" x="1030"/>
        <item h="1" m="1" x="1218"/>
        <item h="1" m="1" x="1037"/>
        <item h="1" m="1" x="1226"/>
        <item h="1" m="1" x="1136"/>
        <item h="1" m="1" x="957"/>
        <item h="1" m="1" x="1142"/>
        <item h="1" m="1" x="963"/>
        <item h="1" m="1" x="1148"/>
        <item h="1" m="1" x="969"/>
        <item h="1" m="1" x="1155"/>
        <item h="1" m="1" x="976"/>
        <item h="1" m="1" x="1162"/>
        <item h="1" m="1" x="983"/>
        <item h="1" m="1" x="1170"/>
        <item h="1" m="1" x="990"/>
        <item h="1" m="1" x="1176"/>
        <item h="1" m="1" x="996"/>
        <item h="1" m="1" x="1183"/>
        <item h="1" m="1" x="1003"/>
        <item h="1" m="1" x="1190"/>
        <item h="1" m="1" x="1010"/>
        <item h="1" m="1" x="1198"/>
        <item h="1" m="1" x="1017"/>
        <item h="1" m="1" x="1205"/>
        <item h="1" m="1" x="1024"/>
        <item h="1" m="1" x="1212"/>
        <item h="1" m="1" x="1031"/>
        <item h="1" m="1" x="1219"/>
        <item h="1" m="1" x="1038"/>
        <item h="1" m="1" x="1227"/>
        <item h="1" m="1" x="1045"/>
        <item h="1" m="1" x="1234"/>
        <item h="1" m="1" x="1052"/>
        <item h="1" m="1" x="1149"/>
        <item h="1" m="1" x="970"/>
        <item h="1" m="1" x="1156"/>
        <item h="1" m="1" x="977"/>
        <item h="1" m="1" x="1163"/>
        <item h="1" m="1" x="984"/>
        <item h="1" m="1" x="1171"/>
        <item h="1" m="1" x="991"/>
        <item h="1" m="1" x="1177"/>
        <item h="1" m="1" x="997"/>
        <item h="1" m="1" x="1184"/>
        <item h="1" m="1" x="1004"/>
        <item h="1" m="1" x="1191"/>
        <item h="1" m="1" x="1011"/>
        <item h="1" m="1" x="1199"/>
        <item h="1" m="1" x="1018"/>
        <item h="1" m="1" x="1206"/>
        <item h="1" m="1" x="1025"/>
        <item h="1" m="1" x="1213"/>
        <item h="1" m="1" x="1032"/>
        <item h="1" m="1" x="1220"/>
        <item h="1" m="1" x="1039"/>
        <item h="1" m="1" x="1228"/>
        <item h="1" m="1" x="1046"/>
        <item h="1" m="1" x="1235"/>
        <item h="1" m="1" x="1053"/>
        <item h="1" m="1" x="1241"/>
        <item h="1" m="1" x="1059"/>
        <item h="1" m="1" x="1248"/>
        <item h="1" m="1" x="1065"/>
        <item h="1" m="1" x="1254"/>
        <item h="1" m="1" x="1164"/>
        <item h="1" m="1" x="985"/>
        <item h="1" m="1" x="1172"/>
        <item h="1" m="1" x="992"/>
        <item h="1" m="1" x="1178"/>
        <item h="1" m="1" x="998"/>
        <item h="1" m="1" x="1185"/>
        <item h="1" m="1" x="1005"/>
        <item h="1" m="1" x="1192"/>
        <item h="1" m="1" x="1012"/>
        <item h="1" m="1" x="1200"/>
        <item h="1" m="1" x="1019"/>
        <item h="1" m="1" x="1207"/>
        <item h="1" m="1" x="1026"/>
        <item h="1" m="1" x="1214"/>
        <item h="1" m="1" x="1033"/>
        <item h="1" m="1" x="1221"/>
        <item h="1" m="1" x="1040"/>
        <item h="1" m="1" x="1229"/>
        <item h="1" m="1" x="1047"/>
        <item h="1" m="1" x="1236"/>
        <item h="1" m="1" x="1054"/>
        <item h="1" m="1" x="1242"/>
        <item h="1" m="1" x="1060"/>
        <item h="1" m="1" x="1249"/>
        <item h="1" m="1" x="1066"/>
        <item h="1" m="1" x="1255"/>
        <item h="1" m="1" x="1071"/>
        <item h="1" m="1" x="1260"/>
        <item h="1" m="1" x="1076"/>
        <item h="1" m="1" x="1265"/>
        <item h="1" m="1" x="1179"/>
        <item h="1" m="1" x="999"/>
        <item h="1" m="1" x="1186"/>
        <item h="1" m="1" x="1006"/>
        <item h="1" m="1" x="1193"/>
        <item h="1" m="1" x="1013"/>
        <item h="1" m="1" x="1201"/>
        <item h="1" m="1" x="1020"/>
        <item h="1" m="1" x="1208"/>
        <item h="1" m="1" x="1027"/>
        <item h="1" m="1" x="1215"/>
        <item h="1" m="1" x="1034"/>
        <item h="1" m="1" x="1222"/>
        <item h="1" m="1" x="1041"/>
        <item h="1" m="1" x="1230"/>
        <item h="1" m="1" x="1048"/>
        <item h="1" m="1" x="1237"/>
        <item h="1" m="1" x="1055"/>
        <item h="1" m="1" x="1243"/>
        <item h="1" m="1" x="1061"/>
        <item h="1" m="1" x="1250"/>
        <item h="1" m="1" x="1067"/>
        <item h="1" m="1" x="1256"/>
        <item h="1" m="1" x="1072"/>
        <item h="1" m="1" x="1261"/>
        <item h="1" m="1" x="1077"/>
        <item h="1" m="1" x="1266"/>
        <item h="1" m="1" x="1081"/>
        <item h="1" m="1" x="904"/>
        <item h="1" m="1" x="1085"/>
        <item h="1" m="1" x="1194"/>
        <item h="1" m="1" x="1014"/>
        <item h="1" m="1" x="1202"/>
        <item h="1" m="1" x="1021"/>
        <item h="1" m="1" x="1209"/>
        <item h="1" m="1" x="1028"/>
        <item h="1" m="1" x="1216"/>
        <item h="1" m="1" x="1035"/>
        <item h="1" m="1" x="1223"/>
        <item h="1" m="1" x="1042"/>
        <item h="1" m="1" x="1231"/>
        <item h="1" m="1" x="1049"/>
        <item h="1" m="1" x="1238"/>
        <item h="1" m="1" x="1056"/>
        <item h="1" m="1" x="1244"/>
        <item h="1" m="1" x="1062"/>
        <item h="1" m="1" x="1251"/>
        <item h="1" m="1" x="1068"/>
        <item h="1" m="1" x="1257"/>
        <item h="1" m="1" x="1073"/>
        <item h="1" m="1" x="1262"/>
        <item h="1" m="1" x="1078"/>
        <item h="1" m="1" x="1267"/>
        <item h="1" m="1" x="1082"/>
        <item h="1" m="1" x="905"/>
        <item h="1" m="1" x="1086"/>
        <item h="1" m="1" x="908"/>
        <item h="1" m="1" x="1089"/>
        <item h="1" m="1" x="911"/>
        <item h="1" m="1" x="1093"/>
        <item h="1" m="1" x="915"/>
        <item h="1" m="1" x="1210"/>
        <item h="1" m="1" x="1029"/>
        <item h="1" m="1" x="1217"/>
        <item h="1" m="1" x="1036"/>
        <item h="1" m="1" x="1224"/>
        <item h="1" m="1" x="1043"/>
        <item h="1" m="1" x="1232"/>
        <item h="1" m="1" x="1050"/>
        <item h="1" m="1" x="1239"/>
        <item h="1" m="1" x="1057"/>
        <item h="1" m="1" x="1245"/>
        <item h="1" m="1" x="1063"/>
        <item h="1" m="1" x="1252"/>
        <item h="1" m="1" x="1069"/>
        <item h="1" m="1" x="1258"/>
        <item h="1" m="1" x="1074"/>
        <item h="1" m="1" x="1263"/>
        <item h="1" m="1" x="1079"/>
        <item h="1" m="1" x="1268"/>
        <item h="1" m="1" x="1083"/>
        <item h="1" m="1" x="906"/>
        <item h="1" m="1" x="1087"/>
        <item h="1" m="1" x="909"/>
        <item h="1" m="1" x="1090"/>
        <item h="1" m="1" x="912"/>
        <item h="1" m="1" x="1094"/>
        <item h="1" m="1" x="916"/>
        <item h="1" m="1" x="1097"/>
        <item h="1" m="1" x="919"/>
        <item h="1" m="1" x="1101"/>
        <item h="1" m="1" x="1225"/>
        <item h="1" m="1" x="1044"/>
        <item h="1" m="1" x="1233"/>
        <item h="1" m="1" x="1051"/>
        <item h="1" m="1" x="1240"/>
        <item h="1" m="1" x="1058"/>
        <item h="1" m="1" x="1246"/>
        <item h="1" m="1" x="1064"/>
        <item h="1" m="1" x="1253"/>
        <item h="1" m="1" x="1070"/>
        <item h="1" m="1" x="1259"/>
        <item h="1" m="1" x="1075"/>
        <item h="1" m="1" x="1264"/>
        <item h="1" m="1" x="1080"/>
        <item h="1" m="1" x="1269"/>
        <item h="1" m="1" x="1084"/>
        <item h="1" m="1" x="907"/>
        <item h="1" m="1" x="1088"/>
        <item h="1" m="1" x="910"/>
        <item h="1" m="1" x="1091"/>
        <item h="1" m="1" x="913"/>
        <item h="1" m="1" x="1095"/>
        <item h="1" m="1" x="917"/>
        <item h="1" m="1" x="1098"/>
        <item h="1" m="1" x="920"/>
        <item h="1" m="1" x="1102"/>
        <item h="1" m="1" x="923"/>
        <item h="1" m="1" x="1105"/>
        <item h="1" m="1" x="926"/>
        <item h="1" m="1" x="1109"/>
        <item h="1" m="1" x="930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394"/>
        <item h="1" m="1" x="1247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5"/>
        <item h="1"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h="1" x="429"/>
        <item h="1" x="430"/>
        <item h="1" x="436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7"/>
        <item h="1" x="464"/>
        <item h="1" x="468"/>
        <item h="1" x="469"/>
        <item h="1" x="470"/>
        <item h="1" x="471"/>
        <item h="1" x="478"/>
        <item h="1" x="485"/>
        <item h="1" x="486"/>
        <item h="1" m="1" x="903"/>
        <item x="424"/>
        <item x="425"/>
        <item x="426"/>
        <item x="427"/>
        <item x="487"/>
        <item x="488"/>
        <item x="489"/>
        <item x="428"/>
        <item x="431"/>
        <item x="432"/>
        <item x="433"/>
        <item x="434"/>
        <item x="435"/>
        <item x="437"/>
        <item x="438"/>
        <item x="439"/>
        <item x="440"/>
        <item x="441"/>
        <item x="442"/>
        <item x="456"/>
        <item x="458"/>
        <item x="459"/>
        <item x="460"/>
        <item x="461"/>
        <item x="462"/>
        <item x="463"/>
        <item x="465"/>
        <item x="466"/>
        <item x="467"/>
        <item x="472"/>
        <item x="473"/>
        <item x="474"/>
        <item x="475"/>
        <item x="476"/>
        <item x="477"/>
        <item x="479"/>
        <item x="480"/>
        <item x="481"/>
        <item x="482"/>
        <item x="483"/>
        <item x="484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35">
        <item x="23"/>
        <item x="20"/>
        <item x="22"/>
        <item x="14"/>
        <item x="24"/>
        <item x="12"/>
        <item x="11"/>
        <item x="21"/>
        <item x="13"/>
        <item x="16"/>
        <item x="25"/>
        <item x="3"/>
        <item x="28"/>
        <item x="26"/>
        <item x="27"/>
        <item x="17"/>
        <item m="1" x="34"/>
        <item x="7"/>
        <item h="1" x="9"/>
        <item h="1" x="29"/>
        <item h="1" x="18"/>
        <item h="1" x="4"/>
        <item h="1" x="10"/>
        <item x="1"/>
        <item x="19"/>
        <item x="15"/>
        <item x="5"/>
        <item x="8"/>
        <item x="2"/>
        <item m="1" x="33"/>
        <item x="0"/>
        <item x="6"/>
        <item x="30"/>
        <item x="31"/>
        <item x="3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0"/>
    <field x="9"/>
  </rowFields>
  <rowItems count="731">
    <i>
      <x v="763"/>
      <x v="26"/>
    </i>
    <i>
      <x v="764"/>
      <x v="26"/>
    </i>
    <i>
      <x v="765"/>
      <x v="26"/>
    </i>
    <i>
      <x v="766"/>
      <x v="26"/>
    </i>
    <i>
      <x v="767"/>
      <x v="30"/>
    </i>
    <i>
      <x v="768"/>
      <x v="26"/>
    </i>
    <i>
      <x v="769"/>
      <x v="26"/>
    </i>
    <i>
      <x v="770"/>
      <x v="26"/>
    </i>
    <i>
      <x v="771"/>
      <x v="11"/>
    </i>
    <i r="1">
      <x v="26"/>
    </i>
    <i>
      <x v="772"/>
      <x v="5"/>
    </i>
    <i>
      <x v="773"/>
      <x v="17"/>
    </i>
    <i r="1">
      <x v="23"/>
    </i>
    <i>
      <x v="774"/>
      <x v="30"/>
    </i>
    <i>
      <x v="775"/>
      <x v="11"/>
    </i>
    <i r="1">
      <x v="26"/>
    </i>
    <i>
      <x v="776"/>
      <x v="3"/>
    </i>
    <i r="1">
      <x v="5"/>
    </i>
    <i r="1">
      <x v="6"/>
    </i>
    <i r="1">
      <x v="7"/>
    </i>
    <i r="1">
      <x v="8"/>
    </i>
    <i>
      <x v="777"/>
      <x v="26"/>
    </i>
    <i>
      <x v="778"/>
      <x v="5"/>
    </i>
    <i r="1">
      <x v="7"/>
    </i>
    <i>
      <x v="779"/>
      <x v="1"/>
    </i>
    <i>
      <x v="780"/>
      <x v="1"/>
    </i>
    <i>
      <x v="781"/>
      <x v="30"/>
    </i>
    <i>
      <x v="782"/>
      <x v="23"/>
    </i>
    <i>
      <x v="783"/>
      <x v="23"/>
    </i>
    <i>
      <x v="784"/>
      <x v="23"/>
    </i>
    <i>
      <x v="785"/>
      <x v="23"/>
    </i>
    <i r="1">
      <x v="26"/>
    </i>
    <i r="1">
      <x v="28"/>
    </i>
    <i>
      <x v="786"/>
      <x v="26"/>
    </i>
    <i>
      <x v="787"/>
      <x v="15"/>
    </i>
    <i r="1">
      <x v="26"/>
    </i>
    <i>
      <x v="788"/>
      <x v="30"/>
    </i>
    <i>
      <x v="789"/>
      <x v="23"/>
    </i>
    <i>
      <x v="816"/>
      <x v="23"/>
    </i>
    <i r="1">
      <x v="26"/>
    </i>
    <i>
      <x v="818"/>
      <x v="30"/>
    </i>
    <i>
      <x v="819"/>
      <x v="30"/>
    </i>
    <i>
      <x v="820"/>
      <x v="23"/>
    </i>
    <i>
      <x v="821"/>
      <x v="23"/>
    </i>
    <i>
      <x v="822"/>
      <x v="23"/>
    </i>
    <i r="1">
      <x v="26"/>
    </i>
    <i>
      <x v="823"/>
      <x v="30"/>
    </i>
    <i>
      <x v="824"/>
      <x v="30"/>
    </i>
    <i>
      <x v="825"/>
      <x v="30"/>
    </i>
    <i>
      <x v="826"/>
      <x v="3"/>
    </i>
    <i r="1">
      <x v="6"/>
    </i>
    <i r="1">
      <x v="23"/>
    </i>
    <i r="1">
      <x v="28"/>
    </i>
    <i>
      <x v="827"/>
      <x v="7"/>
    </i>
    <i r="1">
      <x v="23"/>
    </i>
    <i>
      <x v="828"/>
      <x v="23"/>
    </i>
    <i r="1">
      <x v="26"/>
    </i>
    <i>
      <x v="832"/>
      <x v="23"/>
    </i>
    <i>
      <x v="833"/>
      <x v="26"/>
    </i>
    <i>
      <x v="834"/>
      <x v="23"/>
    </i>
    <i r="1">
      <x v="26"/>
    </i>
    <i r="1">
      <x v="28"/>
    </i>
    <i>
      <x v="835"/>
      <x v="30"/>
    </i>
    <i>
      <x v="836"/>
      <x/>
    </i>
    <i r="1">
      <x v="1"/>
    </i>
    <i r="1">
      <x v="23"/>
    </i>
    <i>
      <x v="837"/>
      <x v="1"/>
    </i>
    <i r="1">
      <x v="23"/>
    </i>
    <i>
      <x v="838"/>
      <x v="1"/>
    </i>
    <i r="1">
      <x v="15"/>
    </i>
    <i r="1">
      <x v="23"/>
    </i>
    <i r="1">
      <x v="26"/>
    </i>
    <i>
      <x v="839"/>
      <x v="1"/>
    </i>
    <i r="1">
      <x v="23"/>
    </i>
    <i>
      <x v="840"/>
      <x v="1"/>
    </i>
    <i r="1">
      <x v="23"/>
    </i>
    <i>
      <x v="841"/>
      <x v="26"/>
    </i>
    <i r="1">
      <x v="27"/>
    </i>
    <i>
      <x v="842"/>
      <x v="17"/>
    </i>
    <i r="1">
      <x v="23"/>
    </i>
    <i>
      <x v="843"/>
      <x v="17"/>
    </i>
    <i r="1">
      <x v="23"/>
    </i>
    <i>
      <x v="844"/>
      <x v="23"/>
    </i>
    <i>
      <x v="846"/>
      <x v="11"/>
    </i>
    <i r="1">
      <x v="23"/>
    </i>
    <i r="1">
      <x v="27"/>
    </i>
    <i>
      <x v="847"/>
      <x v="5"/>
    </i>
    <i r="1">
      <x v="11"/>
    </i>
    <i>
      <x v="848"/>
      <x v="5"/>
    </i>
    <i>
      <x v="849"/>
      <x v="2"/>
    </i>
    <i r="1">
      <x v="5"/>
    </i>
    <i r="1">
      <x v="6"/>
    </i>
    <i r="1">
      <x v="7"/>
    </i>
    <i>
      <x v="850"/>
      <x v="11"/>
    </i>
    <i r="1">
      <x v="26"/>
    </i>
    <i>
      <x v="851"/>
      <x v="23"/>
    </i>
    <i>
      <x v="852"/>
      <x v="15"/>
    </i>
    <i r="1">
      <x v="17"/>
    </i>
    <i r="1">
      <x v="23"/>
    </i>
    <i>
      <x v="853"/>
      <x v="5"/>
    </i>
    <i r="1">
      <x v="23"/>
    </i>
    <i>
      <x v="854"/>
      <x v="5"/>
    </i>
    <i r="1">
      <x v="7"/>
    </i>
    <i r="1">
      <x v="8"/>
    </i>
    <i>
      <x v="855"/>
      <x v="23"/>
    </i>
    <i r="1">
      <x v="26"/>
    </i>
    <i>
      <x v="859"/>
      <x v="30"/>
    </i>
    <i>
      <x v="866"/>
      <x v="30"/>
    </i>
    <i>
      <x v="867"/>
      <x v="13"/>
    </i>
    <i r="1">
      <x v="17"/>
    </i>
    <i r="1">
      <x v="23"/>
    </i>
    <i r="1">
      <x v="28"/>
    </i>
    <i>
      <x v="868"/>
      <x v="11"/>
    </i>
    <i r="1">
      <x v="23"/>
    </i>
    <i>
      <x v="869"/>
      <x v="2"/>
    </i>
    <i r="1">
      <x v="5"/>
    </i>
    <i r="1">
      <x v="7"/>
    </i>
    <i r="1">
      <x v="11"/>
    </i>
    <i>
      <x v="870"/>
      <x v="3"/>
    </i>
    <i r="1">
      <x v="5"/>
    </i>
    <i>
      <x v="873"/>
      <x v="30"/>
    </i>
    <i>
      <x v="875"/>
      <x v="11"/>
    </i>
    <i r="1">
      <x v="23"/>
    </i>
    <i r="1">
      <x v="28"/>
    </i>
    <i>
      <x v="876"/>
      <x v="23"/>
    </i>
    <i>
      <x v="877"/>
      <x v="5"/>
    </i>
    <i>
      <x v="878"/>
      <x v="5"/>
    </i>
    <i>
      <x v="879"/>
      <x v="23"/>
    </i>
    <i r="1">
      <x v="32"/>
    </i>
    <i>
      <x v="880"/>
      <x v="30"/>
    </i>
    <i>
      <x v="882"/>
      <x v="23"/>
    </i>
    <i r="1">
      <x v="26"/>
    </i>
    <i>
      <x v="883"/>
      <x v="5"/>
    </i>
    <i>
      <x v="884"/>
      <x v="2"/>
    </i>
    <i r="1">
      <x v="3"/>
    </i>
    <i r="1">
      <x v="5"/>
    </i>
    <i r="1">
      <x v="6"/>
    </i>
    <i r="1">
      <x v="8"/>
    </i>
    <i>
      <x v="886"/>
      <x v="30"/>
    </i>
    <i>
      <x v="887"/>
      <x v="30"/>
    </i>
    <i>
      <x v="890"/>
      <x v="5"/>
    </i>
    <i>
      <x v="891"/>
      <x v="5"/>
    </i>
    <i>
      <x v="892"/>
      <x v="14"/>
    </i>
    <i r="1">
      <x v="23"/>
    </i>
    <i>
      <x v="893"/>
      <x v="1"/>
    </i>
    <i r="1">
      <x v="23"/>
    </i>
    <i>
      <x v="894"/>
      <x v="30"/>
    </i>
    <i>
      <x v="895"/>
      <x v="23"/>
    </i>
    <i>
      <x v="896"/>
      <x v="11"/>
    </i>
    <i r="1">
      <x v="23"/>
    </i>
    <i r="1">
      <x v="26"/>
    </i>
    <i r="1">
      <x v="28"/>
    </i>
    <i>
      <x v="897"/>
      <x/>
    </i>
    <i r="1">
      <x v="23"/>
    </i>
    <i r="1">
      <x v="26"/>
    </i>
    <i>
      <x v="898"/>
      <x v="23"/>
    </i>
    <i>
      <x v="901"/>
      <x v="30"/>
    </i>
    <i>
      <x v="904"/>
      <x v="12"/>
    </i>
    <i r="1">
      <x v="23"/>
    </i>
    <i r="1">
      <x v="26"/>
    </i>
    <i r="1">
      <x v="32"/>
    </i>
    <i>
      <x v="905"/>
      <x v="23"/>
    </i>
    <i r="1">
      <x v="26"/>
    </i>
    <i>
      <x v="906"/>
      <x v="15"/>
    </i>
    <i r="1">
      <x v="26"/>
    </i>
    <i>
      <x v="908"/>
      <x v="30"/>
    </i>
    <i>
      <x v="909"/>
      <x/>
    </i>
    <i r="1">
      <x v="1"/>
    </i>
    <i r="1">
      <x v="14"/>
    </i>
    <i r="1">
      <x v="17"/>
    </i>
    <i r="1">
      <x v="23"/>
    </i>
    <i r="1">
      <x v="26"/>
    </i>
    <i>
      <x v="910"/>
      <x v="1"/>
    </i>
    <i r="1">
      <x v="26"/>
    </i>
    <i>
      <x v="911"/>
      <x v="1"/>
    </i>
    <i r="1">
      <x v="23"/>
    </i>
    <i>
      <x v="912"/>
      <x v="5"/>
    </i>
    <i r="1">
      <x v="23"/>
    </i>
    <i>
      <x v="913"/>
      <x v="2"/>
    </i>
    <i r="1">
      <x v="3"/>
    </i>
    <i r="1">
      <x v="5"/>
    </i>
    <i r="1">
      <x v="6"/>
    </i>
    <i r="1">
      <x v="7"/>
    </i>
    <i r="1">
      <x v="8"/>
    </i>
    <i>
      <x v="915"/>
      <x v="30"/>
    </i>
    <i>
      <x v="918"/>
      <x v="7"/>
    </i>
    <i r="1">
      <x v="26"/>
    </i>
    <i>
      <x v="919"/>
      <x/>
    </i>
    <i r="1">
      <x v="26"/>
    </i>
    <i>
      <x v="920"/>
      <x/>
    </i>
    <i r="1">
      <x v="26"/>
    </i>
    <i>
      <x v="921"/>
      <x v="10"/>
    </i>
    <i r="1">
      <x v="26"/>
    </i>
    <i>
      <x v="922"/>
      <x v="30"/>
    </i>
    <i>
      <x v="925"/>
      <x v="11"/>
    </i>
    <i r="1">
      <x v="14"/>
    </i>
    <i r="1">
      <x v="23"/>
    </i>
    <i r="1">
      <x v="28"/>
    </i>
    <i>
      <x v="926"/>
      <x v="11"/>
    </i>
    <i r="1">
      <x v="17"/>
    </i>
    <i r="1">
      <x v="23"/>
    </i>
    <i r="1">
      <x v="28"/>
    </i>
    <i>
      <x v="927"/>
      <x v="26"/>
    </i>
    <i>
      <x v="928"/>
      <x v="26"/>
    </i>
    <i r="1">
      <x v="32"/>
    </i>
    <i>
      <x v="929"/>
      <x v="30"/>
    </i>
    <i>
      <x v="936"/>
      <x v="30"/>
    </i>
    <i>
      <x v="937"/>
      <x v="1"/>
    </i>
    <i r="1">
      <x v="11"/>
    </i>
    <i r="1">
      <x v="23"/>
    </i>
    <i r="1">
      <x v="28"/>
    </i>
    <i>
      <x v="938"/>
      <x v="26"/>
    </i>
    <i>
      <x v="939"/>
      <x v="5"/>
    </i>
    <i r="1">
      <x v="8"/>
    </i>
    <i r="1">
      <x v="9"/>
    </i>
    <i>
      <x v="940"/>
      <x v="2"/>
    </i>
    <i r="1">
      <x v="3"/>
    </i>
    <i r="1">
      <x v="5"/>
    </i>
    <i r="1">
      <x v="6"/>
    </i>
    <i r="1">
      <x v="7"/>
    </i>
    <i>
      <x v="941"/>
      <x v="30"/>
    </i>
    <i>
      <x v="942"/>
      <x v="11"/>
    </i>
    <i r="1">
      <x v="23"/>
    </i>
    <i r="1">
      <x v="26"/>
    </i>
    <i>
      <x v="943"/>
      <x v="30"/>
    </i>
    <i>
      <x v="944"/>
      <x v="26"/>
    </i>
    <i>
      <x v="945"/>
      <x v="26"/>
    </i>
    <i>
      <x v="946"/>
      <x v="26"/>
    </i>
    <i>
      <x v="947"/>
      <x v="26"/>
    </i>
    <i>
      <x v="948"/>
      <x v="23"/>
    </i>
    <i r="1">
      <x v="28"/>
    </i>
    <i>
      <x v="950"/>
      <x v="30"/>
    </i>
    <i>
      <x v="951"/>
      <x v="1"/>
    </i>
    <i r="1">
      <x v="23"/>
    </i>
    <i>
      <x v="952"/>
      <x v="11"/>
    </i>
    <i r="1">
      <x v="17"/>
    </i>
    <i r="1">
      <x v="26"/>
    </i>
    <i>
      <x v="953"/>
      <x v="17"/>
    </i>
    <i r="1">
      <x v="23"/>
    </i>
    <i>
      <x v="954"/>
      <x v="13"/>
    </i>
    <i r="1">
      <x v="26"/>
    </i>
    <i>
      <x v="956"/>
      <x v="30"/>
    </i>
    <i>
      <x v="957"/>
      <x v="30"/>
    </i>
    <i>
      <x v="958"/>
      <x v="23"/>
    </i>
    <i r="1">
      <x v="28"/>
    </i>
    <i>
      <x v="959"/>
      <x v="26"/>
    </i>
    <i>
      <x v="960"/>
      <x v="26"/>
    </i>
    <i r="1">
      <x v="32"/>
    </i>
    <i>
      <x v="964"/>
      <x v="30"/>
    </i>
    <i>
      <x v="965"/>
      <x v="23"/>
    </i>
    <i>
      <x v="966"/>
      <x v="26"/>
    </i>
    <i>
      <x v="967"/>
      <x v="1"/>
    </i>
    <i r="1">
      <x v="26"/>
    </i>
    <i>
      <x v="970"/>
      <x v="26"/>
    </i>
    <i>
      <x v="971"/>
      <x v="30"/>
    </i>
    <i>
      <x v="972"/>
      <x v="11"/>
    </i>
    <i r="1">
      <x v="23"/>
    </i>
    <i r="1">
      <x v="26"/>
    </i>
    <i>
      <x v="973"/>
      <x v="26"/>
    </i>
    <i r="1">
      <x v="27"/>
    </i>
    <i>
      <x v="974"/>
      <x v="5"/>
    </i>
    <i r="1">
      <x v="8"/>
    </i>
    <i r="1">
      <x v="23"/>
    </i>
    <i>
      <x v="975"/>
      <x v="17"/>
    </i>
    <i r="1">
      <x v="23"/>
    </i>
    <i r="1">
      <x v="28"/>
    </i>
    <i>
      <x v="978"/>
      <x v="30"/>
    </i>
    <i>
      <x v="979"/>
      <x v="26"/>
    </i>
    <i>
      <x v="980"/>
      <x v="26"/>
    </i>
    <i>
      <x v="981"/>
      <x v="26"/>
    </i>
    <i>
      <x v="982"/>
      <x v="11"/>
    </i>
    <i r="1">
      <x v="23"/>
    </i>
    <i>
      <x v="983"/>
      <x v="23"/>
    </i>
    <i r="1">
      <x v="26"/>
    </i>
    <i>
      <x v="985"/>
      <x v="30"/>
    </i>
    <i>
      <x v="986"/>
      <x v="30"/>
    </i>
    <i>
      <x v="987"/>
      <x v="30"/>
    </i>
    <i>
      <x v="988"/>
      <x v="30"/>
    </i>
    <i>
      <x v="989"/>
      <x v="30"/>
    </i>
    <i>
      <x v="990"/>
      <x v="23"/>
    </i>
    <i r="1">
      <x v="26"/>
    </i>
    <i>
      <x v="991"/>
      <x v="26"/>
    </i>
    <i>
      <x v="992"/>
      <x v="30"/>
    </i>
    <i>
      <x v="993"/>
      <x/>
    </i>
    <i r="1">
      <x v="1"/>
    </i>
    <i r="1">
      <x v="15"/>
    </i>
    <i r="1">
      <x v="23"/>
    </i>
    <i>
      <x v="994"/>
      <x v="12"/>
    </i>
    <i r="1">
      <x v="14"/>
    </i>
    <i r="1">
      <x v="23"/>
    </i>
    <i r="1">
      <x v="25"/>
    </i>
    <i r="1">
      <x v="28"/>
    </i>
    <i>
      <x v="995"/>
      <x/>
    </i>
    <i r="1">
      <x v="1"/>
    </i>
    <i r="1">
      <x v="5"/>
    </i>
    <i>
      <x v="996"/>
      <x v="1"/>
    </i>
    <i r="1">
      <x v="5"/>
    </i>
    <i>
      <x v="997"/>
      <x v="1"/>
    </i>
    <i r="1">
      <x v="5"/>
    </i>
    <i r="1">
      <x v="6"/>
    </i>
    <i r="1">
      <x v="8"/>
    </i>
    <i>
      <x v="998"/>
      <x v="1"/>
    </i>
    <i r="1">
      <x v="15"/>
    </i>
    <i r="1">
      <x v="28"/>
    </i>
    <i>
      <x v="999"/>
      <x v="30"/>
    </i>
    <i>
      <x v="1000"/>
      <x v="1"/>
    </i>
    <i r="1">
      <x v="23"/>
    </i>
    <i r="1">
      <x v="24"/>
    </i>
    <i>
      <x v="1002"/>
      <x v="23"/>
    </i>
    <i r="1">
      <x v="25"/>
    </i>
    <i r="1">
      <x v="28"/>
    </i>
    <i>
      <x v="1003"/>
      <x v="23"/>
    </i>
    <i>
      <x v="1004"/>
      <x v="23"/>
    </i>
    <i r="1">
      <x v="26"/>
    </i>
    <i>
      <x v="1005"/>
      <x v="26"/>
    </i>
    <i>
      <x v="1006"/>
      <x v="30"/>
    </i>
    <i>
      <x v="1008"/>
      <x v="11"/>
    </i>
    <i r="1">
      <x v="12"/>
    </i>
    <i r="1">
      <x v="26"/>
    </i>
    <i r="1">
      <x v="27"/>
    </i>
    <i r="1">
      <x v="32"/>
    </i>
    <i>
      <x v="1009"/>
      <x v="15"/>
    </i>
    <i r="1">
      <x v="23"/>
    </i>
    <i r="1">
      <x v="28"/>
    </i>
    <i>
      <x v="1010"/>
      <x/>
    </i>
    <i r="1">
      <x v="1"/>
    </i>
    <i r="1">
      <x v="5"/>
    </i>
    <i r="1">
      <x v="6"/>
    </i>
    <i r="1">
      <x v="8"/>
    </i>
    <i>
      <x v="1011"/>
      <x v="5"/>
    </i>
    <i>
      <x v="1012"/>
      <x v="33"/>
    </i>
    <i>
      <x v="1013"/>
      <x v="30"/>
    </i>
    <i>
      <x v="1014"/>
      <x v="33"/>
    </i>
    <i>
      <x v="1015"/>
      <x v="23"/>
    </i>
    <i>
      <x v="1016"/>
      <x v="26"/>
    </i>
    <i>
      <x v="1017"/>
      <x v="11"/>
    </i>
    <i r="1">
      <x v="17"/>
    </i>
    <i r="1">
      <x v="23"/>
    </i>
    <i>
      <x v="1018"/>
      <x v="30"/>
    </i>
    <i>
      <x v="1019"/>
      <x v="33"/>
    </i>
    <i>
      <x v="1020"/>
      <x v="30"/>
    </i>
    <i>
      <x v="1021"/>
      <x v="33"/>
    </i>
    <i>
      <x v="1022"/>
      <x v="34"/>
    </i>
    <i>
      <x v="1023"/>
      <x v="5"/>
    </i>
    <i r="1">
      <x v="23"/>
    </i>
    <i r="1">
      <x v="34"/>
    </i>
    <i>
      <x v="1024"/>
      <x v="33"/>
    </i>
    <i>
      <x v="1025"/>
      <x v="33"/>
    </i>
    <i>
      <x v="1026"/>
      <x v="33"/>
    </i>
    <i>
      <x v="1027"/>
      <x v="30"/>
    </i>
    <i>
      <x v="1028"/>
      <x v="30"/>
    </i>
    <i>
      <x v="1029"/>
      <x v="33"/>
    </i>
    <i>
      <x v="1030"/>
      <x v="33"/>
    </i>
    <i>
      <x v="1031"/>
      <x v="26"/>
    </i>
    <i r="1">
      <x v="27"/>
    </i>
    <i>
      <x v="1032"/>
      <x v="33"/>
    </i>
    <i>
      <x v="1033"/>
      <x v="33"/>
    </i>
    <i>
      <x v="1034"/>
      <x v="30"/>
    </i>
    <i>
      <x v="1035"/>
      <x v="30"/>
    </i>
    <i>
      <x v="1038"/>
      <x v="33"/>
    </i>
    <i>
      <x v="1039"/>
      <x v="33"/>
    </i>
    <i>
      <x v="1040"/>
      <x v="23"/>
    </i>
    <i r="1">
      <x v="33"/>
    </i>
    <i>
      <x v="1041"/>
      <x v="30"/>
    </i>
    <i>
      <x v="1042"/>
      <x v="23"/>
    </i>
    <i r="1">
      <x v="33"/>
    </i>
    <i>
      <x v="1043"/>
      <x v="23"/>
    </i>
    <i r="1">
      <x v="33"/>
    </i>
    <i>
      <x v="1044"/>
      <x v="33"/>
    </i>
    <i>
      <x v="1045"/>
      <x v="23"/>
    </i>
    <i r="1">
      <x v="34"/>
    </i>
    <i>
      <x v="1046"/>
      <x v="33"/>
    </i>
    <i>
      <x v="1047"/>
      <x v="13"/>
    </i>
    <i r="1">
      <x v="26"/>
    </i>
    <i r="1">
      <x v="27"/>
    </i>
    <i>
      <x v="1048"/>
      <x v="30"/>
    </i>
    <i>
      <x v="1049"/>
      <x v="33"/>
    </i>
    <i>
      <x v="1050"/>
      <x v="33"/>
    </i>
    <i>
      <x v="1051"/>
      <x v="33"/>
    </i>
    <i>
      <x v="1052"/>
      <x v="5"/>
    </i>
    <i r="1">
      <x v="34"/>
    </i>
    <i>
      <x v="1053"/>
      <x v="5"/>
    </i>
    <i r="1">
      <x v="34"/>
    </i>
    <i>
      <x v="1054"/>
      <x v="26"/>
    </i>
    <i r="1">
      <x v="27"/>
    </i>
    <i>
      <x v="1055"/>
      <x v="30"/>
    </i>
    <i>
      <x v="1056"/>
      <x v="33"/>
    </i>
    <i>
      <x v="1057"/>
      <x v="33"/>
    </i>
    <i>
      <x v="1058"/>
      <x v="33"/>
    </i>
    <i>
      <x v="1059"/>
      <x v="11"/>
    </i>
    <i r="1">
      <x v="32"/>
    </i>
    <i r="1">
      <x v="33"/>
    </i>
    <i>
      <x v="1060"/>
      <x v="11"/>
    </i>
    <i r="1">
      <x v="23"/>
    </i>
    <i>
      <x v="1061"/>
      <x v="15"/>
    </i>
    <i r="1">
      <x v="26"/>
    </i>
    <i r="1">
      <x v="27"/>
    </i>
    <i>
      <x v="1062"/>
      <x v="30"/>
    </i>
    <i>
      <x v="1063"/>
      <x v="23"/>
    </i>
    <i r="1">
      <x v="28"/>
    </i>
    <i r="1">
      <x v="33"/>
    </i>
    <i>
      <x v="1064"/>
      <x v="33"/>
    </i>
    <i>
      <x v="1065"/>
      <x v="5"/>
    </i>
    <i r="1">
      <x v="23"/>
    </i>
    <i>
      <x v="1066"/>
      <x v="33"/>
    </i>
    <i>
      <x v="1067"/>
      <x v="33"/>
    </i>
    <i>
      <x v="1068"/>
      <x v="33"/>
    </i>
    <i>
      <x v="1069"/>
      <x v="30"/>
    </i>
    <i>
      <x v="1070"/>
      <x/>
    </i>
    <i r="1">
      <x v="1"/>
    </i>
    <i>
      <x v="1071"/>
      <x v="30"/>
    </i>
    <i>
      <x v="1072"/>
      <x v="17"/>
    </i>
    <i r="1">
      <x v="26"/>
    </i>
    <i>
      <x v="1073"/>
      <x v="33"/>
    </i>
    <i>
      <x v="1074"/>
      <x v="33"/>
    </i>
    <i>
      <x v="1075"/>
      <x v="5"/>
    </i>
    <i r="1">
      <x v="34"/>
    </i>
    <i>
      <x v="1076"/>
      <x v="30"/>
    </i>
    <i>
      <x v="1077"/>
      <x v="26"/>
    </i>
    <i r="1">
      <x v="33"/>
    </i>
    <i>
      <x v="1078"/>
      <x v="23"/>
    </i>
    <i r="1">
      <x v="33"/>
    </i>
    <i>
      <x v="1079"/>
      <x v="11"/>
    </i>
    <i r="1">
      <x v="26"/>
    </i>
    <i>
      <x v="1080"/>
      <x v="26"/>
    </i>
    <i r="1">
      <x v="27"/>
    </i>
    <i>
      <x v="1081"/>
      <x v="5"/>
    </i>
    <i r="1">
      <x v="34"/>
    </i>
    <i>
      <x v="1082"/>
      <x v="5"/>
    </i>
    <i r="1">
      <x v="34"/>
    </i>
    <i>
      <x v="1083"/>
      <x v="30"/>
    </i>
    <i>
      <x v="1084"/>
      <x v="5"/>
    </i>
    <i r="1">
      <x v="23"/>
    </i>
    <i r="1">
      <x v="26"/>
    </i>
    <i>
      <x v="1085"/>
      <x v="26"/>
    </i>
    <i>
      <x v="1086"/>
      <x v="5"/>
    </i>
    <i>
      <x v="1087"/>
      <x v="34"/>
    </i>
    <i>
      <x v="1088"/>
      <x v="26"/>
    </i>
    <i>
      <x v="1089"/>
      <x v="23"/>
    </i>
    <i r="1">
      <x v="26"/>
    </i>
    <i r="1">
      <x v="27"/>
    </i>
    <i>
      <x v="1090"/>
      <x v="30"/>
    </i>
    <i>
      <x v="1091"/>
      <x v="23"/>
    </i>
    <i r="1">
      <x v="28"/>
    </i>
    <i>
      <x v="1092"/>
      <x v="23"/>
    </i>
    <i>
      <x v="1093"/>
      <x v="30"/>
    </i>
    <i>
      <x v="1094"/>
      <x v="30"/>
    </i>
    <i>
      <x v="1095"/>
      <x v="30"/>
    </i>
    <i>
      <x v="1096"/>
      <x v="30"/>
    </i>
    <i>
      <x v="1097"/>
      <x v="30"/>
    </i>
    <i>
      <x v="1098"/>
      <x v="30"/>
    </i>
    <i>
      <x v="1099"/>
      <x v="30"/>
    </i>
    <i>
      <x v="1100"/>
      <x v="1"/>
    </i>
    <i r="1">
      <x v="23"/>
    </i>
    <i r="1">
      <x v="27"/>
    </i>
    <i>
      <x v="1101"/>
      <x v="23"/>
    </i>
    <i r="1">
      <x v="27"/>
    </i>
    <i>
      <x v="1102"/>
      <x v="1"/>
    </i>
    <i r="1">
      <x v="23"/>
    </i>
    <i>
      <x v="1103"/>
      <x v="5"/>
    </i>
    <i r="1">
      <x v="6"/>
    </i>
    <i r="1">
      <x v="8"/>
    </i>
    <i r="1">
      <x v="11"/>
    </i>
    <i r="1">
      <x v="34"/>
    </i>
    <i>
      <x v="1104"/>
      <x v="1"/>
    </i>
    <i r="1">
      <x v="30"/>
    </i>
    <i>
      <x v="1105"/>
      <x v="26"/>
    </i>
    <i>
      <x v="1106"/>
      <x v="17"/>
    </i>
    <i r="1">
      <x v="26"/>
    </i>
    <i>
      <x v="1107"/>
      <x v="11"/>
    </i>
    <i r="1">
      <x v="26"/>
    </i>
    <i>
      <x v="1108"/>
      <x v="11"/>
    </i>
    <i r="1">
      <x v="26"/>
    </i>
    <i>
      <x v="1109"/>
      <x v="11"/>
    </i>
    <i r="1">
      <x v="26"/>
    </i>
    <i r="1">
      <x v="27"/>
    </i>
    <i>
      <x v="1110"/>
      <x v="26"/>
    </i>
    <i>
      <x v="1111"/>
      <x v="30"/>
    </i>
    <i>
      <x v="1112"/>
      <x v="1"/>
    </i>
    <i r="1">
      <x v="23"/>
    </i>
    <i r="1">
      <x v="26"/>
    </i>
    <i>
      <x v="1113"/>
      <x v="17"/>
    </i>
    <i r="1">
      <x v="23"/>
    </i>
    <i>
      <x v="1114"/>
      <x v="1"/>
    </i>
    <i r="1">
      <x v="5"/>
    </i>
    <i r="1">
      <x v="23"/>
    </i>
    <i>
      <x v="1115"/>
      <x v="1"/>
    </i>
    <i r="1">
      <x v="12"/>
    </i>
    <i r="1">
      <x v="23"/>
    </i>
    <i>
      <x v="1116"/>
      <x/>
    </i>
    <i r="1">
      <x v="15"/>
    </i>
    <i r="1">
      <x v="23"/>
    </i>
    <i>
      <x v="1117"/>
      <x v="14"/>
    </i>
    <i r="1">
      <x v="26"/>
    </i>
    <i>
      <x v="1118"/>
      <x v="30"/>
    </i>
    <i>
      <x v="1119"/>
      <x v="11"/>
    </i>
    <i r="1">
      <x v="26"/>
    </i>
    <i>
      <x v="1120"/>
      <x v="17"/>
    </i>
    <i r="1">
      <x v="23"/>
    </i>
    <i r="1">
      <x v="26"/>
    </i>
    <i r="1">
      <x v="28"/>
    </i>
    <i>
      <x v="1121"/>
      <x v="5"/>
    </i>
    <i r="1">
      <x v="6"/>
    </i>
    <i r="1">
      <x v="8"/>
    </i>
    <i r="1">
      <x v="23"/>
    </i>
    <i>
      <x v="1122"/>
      <x v="5"/>
    </i>
    <i r="1">
      <x v="34"/>
    </i>
    <i>
      <x v="1123"/>
      <x v="26"/>
    </i>
    <i>
      <x v="1124"/>
      <x v="15"/>
    </i>
    <i r="1">
      <x v="26"/>
    </i>
    <i>
      <x v="1125"/>
      <x v="30"/>
    </i>
    <i>
      <x v="1126"/>
      <x v="23"/>
    </i>
    <i>
      <x v="1127"/>
      <x v="26"/>
    </i>
    <i>
      <x v="1128"/>
      <x v="26"/>
    </i>
    <i>
      <x v="1129"/>
      <x v="11"/>
    </i>
    <i r="1">
      <x v="26"/>
    </i>
    <i r="1">
      <x v="27"/>
    </i>
    <i>
      <x v="1130"/>
      <x v="5"/>
    </i>
    <i>
      <x v="1131"/>
      <x v="12"/>
    </i>
    <i r="1">
      <x v="26"/>
    </i>
    <i>
      <x v="1132"/>
      <x v="30"/>
    </i>
    <i>
      <x v="1133"/>
      <x v="1"/>
    </i>
    <i r="1">
      <x v="23"/>
    </i>
    <i r="1">
      <x v="24"/>
    </i>
    <i>
      <x v="1134"/>
      <x v="1"/>
    </i>
    <i r="1">
      <x v="26"/>
    </i>
    <i>
      <x v="1135"/>
      <x v="1"/>
    </i>
    <i r="1">
      <x v="26"/>
    </i>
    <i>
      <x v="1136"/>
      <x v="11"/>
    </i>
    <i r="1">
      <x v="26"/>
    </i>
    <i>
      <x v="1137"/>
      <x v="23"/>
    </i>
    <i>
      <x v="1138"/>
      <x v="30"/>
    </i>
    <i>
      <x v="1139"/>
      <x v="30"/>
    </i>
    <i>
      <x v="1140"/>
      <x v="30"/>
    </i>
    <i>
      <x v="1141"/>
      <x v="23"/>
    </i>
    <i>
      <x v="1142"/>
      <x v="23"/>
    </i>
    <i r="1">
      <x v="30"/>
    </i>
    <i>
      <x v="1143"/>
      <x v="5"/>
    </i>
    <i r="1">
      <x v="26"/>
    </i>
    <i>
      <x v="1144"/>
      <x v="26"/>
    </i>
    <i r="1">
      <x v="34"/>
    </i>
    <i>
      <x v="1145"/>
      <x v="26"/>
    </i>
    <i>
      <x v="1146"/>
      <x v="30"/>
    </i>
    <i>
      <x v="1147"/>
      <x v="26"/>
    </i>
    <i>
      <x v="1148"/>
      <x v="11"/>
    </i>
    <i r="1">
      <x v="17"/>
    </i>
    <i r="1">
      <x v="23"/>
    </i>
    <i r="1">
      <x v="28"/>
    </i>
    <i>
      <x v="1149"/>
      <x v="11"/>
    </i>
    <i r="1">
      <x v="26"/>
    </i>
    <i>
      <x v="1150"/>
      <x v="5"/>
    </i>
    <i r="1">
      <x v="8"/>
    </i>
    <i>
      <x v="1151"/>
      <x v="5"/>
    </i>
    <i r="1">
      <x v="11"/>
    </i>
    <i r="1">
      <x v="26"/>
    </i>
    <i r="1">
      <x v="34"/>
    </i>
    <i>
      <x v="1152"/>
      <x v="23"/>
    </i>
    <i>
      <x v="1153"/>
      <x v="30"/>
    </i>
    <i>
      <x v="1154"/>
      <x v="26"/>
    </i>
    <i>
      <x v="1155"/>
      <x v="11"/>
    </i>
    <i r="1">
      <x v="26"/>
    </i>
    <i>
      <x v="1156"/>
      <x v="5"/>
    </i>
    <i>
      <x v="1157"/>
      <x v="26"/>
    </i>
    <i r="1">
      <x v="27"/>
    </i>
    <i>
      <x v="1158"/>
      <x/>
    </i>
    <i r="1">
      <x v="1"/>
    </i>
    <i>
      <x v="1159"/>
      <x v="17"/>
    </i>
    <i r="1">
      <x v="23"/>
    </i>
    <i>
      <x v="1160"/>
      <x v="30"/>
    </i>
    <i>
      <x v="1161"/>
      <x v="23"/>
    </i>
    <i>
      <x v="1162"/>
      <x v="26"/>
    </i>
    <i>
      <x v="1163"/>
      <x v="11"/>
    </i>
    <i r="1">
      <x v="26"/>
    </i>
    <i>
      <x v="1164"/>
      <x v="11"/>
    </i>
    <i r="1">
      <x v="26"/>
    </i>
    <i>
      <x v="1165"/>
      <x v="26"/>
    </i>
    <i>
      <x v="1166"/>
      <x v="26"/>
    </i>
    <i>
      <x v="1167"/>
      <x v="26"/>
    </i>
    <i>
      <x v="1168"/>
      <x v="23"/>
    </i>
    <i>
      <x v="1169"/>
      <x v="26"/>
    </i>
    <i>
      <x v="1170"/>
      <x v="17"/>
    </i>
    <i r="1">
      <x v="23"/>
    </i>
    <i r="1">
      <x v="27"/>
    </i>
    <i r="1">
      <x v="33"/>
    </i>
    <i>
      <x v="1171"/>
      <x v="26"/>
    </i>
    <i>
      <x v="1172"/>
      <x v="26"/>
    </i>
    <i>
      <x v="1173"/>
      <x v="26"/>
    </i>
    <i r="1">
      <x v="27"/>
    </i>
    <i>
      <x v="1174"/>
      <x v="11"/>
    </i>
    <i r="1">
      <x v="26"/>
    </i>
    <i>
      <x v="1175"/>
      <x v="23"/>
    </i>
    <i>
      <x v="1176"/>
      <x v="11"/>
    </i>
    <i r="1">
      <x v="26"/>
    </i>
    <i>
      <x v="1177"/>
      <x v="5"/>
    </i>
    <i r="1">
      <x v="8"/>
    </i>
    <i r="1">
      <x v="34"/>
    </i>
    <i>
      <x v="1178"/>
      <x v="5"/>
    </i>
    <i r="1">
      <x v="6"/>
    </i>
    <i>
      <x v="1179"/>
      <x v="26"/>
    </i>
    <i>
      <x v="1180"/>
      <x v="26"/>
    </i>
    <i>
      <x v="1181"/>
      <x v="11"/>
    </i>
    <i r="1">
      <x v="14"/>
    </i>
    <i r="1">
      <x v="26"/>
    </i>
    <i>
      <x v="1182"/>
      <x v="23"/>
    </i>
    <i r="1">
      <x v="24"/>
    </i>
    <i>
      <x v="1183"/>
      <x v="23"/>
    </i>
    <i>
      <x v="1184"/>
      <x v="12"/>
    </i>
    <i r="1">
      <x v="23"/>
    </i>
    <i>
      <x v="1185"/>
      <x v="26"/>
    </i>
    <i>
      <x v="1186"/>
      <x v="26"/>
    </i>
    <i>
      <x v="1187"/>
      <x v="26"/>
    </i>
    <i r="1">
      <x v="27"/>
    </i>
    <i>
      <x v="1188"/>
      <x v="30"/>
    </i>
    <i>
      <x v="1189"/>
      <x v="27"/>
    </i>
    <i>
      <x v="1190"/>
      <x v="26"/>
    </i>
    <i>
      <x v="1191"/>
      <x v="11"/>
    </i>
    <i r="1">
      <x v="17"/>
    </i>
    <i r="1">
      <x v="23"/>
    </i>
    <i>
      <x v="1192"/>
      <x v="23"/>
    </i>
    <i r="1">
      <x v="28"/>
    </i>
    <i r="1">
      <x v="33"/>
    </i>
    <i>
      <x v="1193"/>
      <x v="26"/>
    </i>
    <i>
      <x v="1194"/>
      <x v="26"/>
    </i>
    <i>
      <x v="1195"/>
      <x v="30"/>
    </i>
    <i>
      <x v="1196"/>
      <x v="11"/>
    </i>
    <i r="1">
      <x v="26"/>
    </i>
    <i r="1">
      <x v="27"/>
    </i>
    <i>
      <x v="1197"/>
      <x v="5"/>
    </i>
    <i r="1">
      <x v="34"/>
    </i>
    <i>
      <x v="1198"/>
      <x v="5"/>
    </i>
    <i r="1">
      <x v="6"/>
    </i>
    <i r="1">
      <x v="8"/>
    </i>
    <i>
      <x v="1199"/>
      <x v="13"/>
    </i>
    <i r="1">
      <x v="26"/>
    </i>
    <i>
      <x v="1200"/>
      <x v="26"/>
    </i>
    <i>
      <x v="1201"/>
      <x v="30"/>
    </i>
    <i>
      <x v="1202"/>
      <x v="30"/>
    </i>
    <i>
      <x v="1203"/>
      <x v="30"/>
    </i>
    <i>
      <x v="1204"/>
      <x v="30"/>
    </i>
    <i>
      <x v="1205"/>
      <x v="11"/>
    </i>
    <i r="1">
      <x v="23"/>
    </i>
    <i>
      <x v="1206"/>
      <x v="26"/>
    </i>
    <i>
      <x v="1207"/>
      <x v="26"/>
    </i>
    <i>
      <x v="1208"/>
      <x v="26"/>
    </i>
    <i>
      <x v="1209"/>
      <x v="26"/>
    </i>
    <i>
      <x v="1210"/>
      <x v="27"/>
    </i>
    <i>
      <x v="1211"/>
      <x v="26"/>
    </i>
    <i>
      <x v="1212"/>
      <x v="5"/>
    </i>
    <i r="1">
      <x v="6"/>
    </i>
    <i>
      <x v="1213"/>
      <x v="5"/>
    </i>
    <i r="1">
      <x v="8"/>
    </i>
    <i r="1">
      <x v="34"/>
    </i>
    <i>
      <x v="1214"/>
      <x v="23"/>
    </i>
    <i>
      <x v="1215"/>
      <x v="26"/>
    </i>
    <i>
      <x v="1216"/>
      <x v="26"/>
    </i>
    <i>
      <x v="1217"/>
      <x v="26"/>
    </i>
    <i>
      <x v="1218"/>
      <x v="26"/>
    </i>
    <i>
      <x v="1219"/>
      <x v="30"/>
    </i>
    <i>
      <x v="1220"/>
      <x v="23"/>
    </i>
    <i r="1">
      <x v="28"/>
    </i>
    <i>
      <x v="1221"/>
      <x v="26"/>
    </i>
    <i>
      <x v="1222"/>
      <x v="26"/>
    </i>
    <i>
      <x v="1223"/>
      <x v="26"/>
    </i>
    <i r="1">
      <x v="27"/>
    </i>
    <i>
      <x v="1224"/>
      <x v="27"/>
    </i>
    <i>
      <x v="1225"/>
      <x v="11"/>
    </i>
    <i r="1">
      <x v="26"/>
    </i>
    <i>
      <x v="1226"/>
      <x v="11"/>
    </i>
    <i r="1">
      <x v="17"/>
    </i>
    <i r="1">
      <x v="23"/>
    </i>
    <i>
      <x v="1227"/>
      <x v="26"/>
    </i>
    <i>
      <x v="1228"/>
      <x v="26"/>
    </i>
    <i>
      <x v="1229"/>
      <x v="26"/>
    </i>
    <i>
      <x v="1230"/>
      <x v="15"/>
    </i>
    <i r="1">
      <x v="26"/>
    </i>
    <i r="1">
      <x v="27"/>
    </i>
    <i>
      <x v="1231"/>
      <x v="11"/>
    </i>
    <i r="1">
      <x v="23"/>
    </i>
    <i>
      <x v="1232"/>
      <x v="23"/>
    </i>
    <i>
      <x v="1233"/>
      <x v="5"/>
    </i>
    <i>
      <x v="1234"/>
      <x v="26"/>
    </i>
    <i>
      <x v="1235"/>
      <x v="26"/>
    </i>
    <i>
      <x v="1236"/>
      <x v="26"/>
    </i>
    <i>
      <x v="1237"/>
      <x v="26"/>
    </i>
    <i>
      <x v="1238"/>
      <x v="17"/>
    </i>
    <i r="1">
      <x v="23"/>
    </i>
    <i>
      <x v="1239"/>
      <x v="11"/>
    </i>
    <i r="1">
      <x v="26"/>
    </i>
    <i>
      <x v="1240"/>
      <x v="26"/>
    </i>
    <i>
      <x v="1241"/>
      <x v="26"/>
    </i>
    <i>
      <x v="1242"/>
      <x v="11"/>
    </i>
    <i r="1">
      <x v="26"/>
    </i>
    <i>
      <x v="1243"/>
      <x v="11"/>
    </i>
    <i r="1">
      <x v="26"/>
    </i>
    <i r="1">
      <x v="27"/>
    </i>
    <i>
      <x v="1244"/>
      <x v="26"/>
    </i>
    <i>
      <x v="1245"/>
      <x v="17"/>
    </i>
    <i r="1">
      <x v="23"/>
    </i>
    <i>
      <x v="1246"/>
      <x v="23"/>
    </i>
    <i r="1">
      <x v="25"/>
    </i>
    <i>
      <x v="1249"/>
      <x v="23"/>
    </i>
    <i r="1">
      <x v="28"/>
    </i>
    <i>
      <x v="1250"/>
      <x v="30"/>
    </i>
    <i>
      <x v="1251"/>
      <x v="11"/>
    </i>
    <i r="1">
      <x v="23"/>
    </i>
    <i>
      <x v="1252"/>
      <x v="17"/>
    </i>
    <i r="1">
      <x v="23"/>
    </i>
    <i r="1">
      <x v="28"/>
    </i>
    <i>
      <x v="1253"/>
      <x v="11"/>
    </i>
    <i r="1">
      <x v="12"/>
    </i>
    <i r="1">
      <x v="23"/>
    </i>
    <i>
      <x v="1254"/>
      <x v="26"/>
    </i>
    <i>
      <x v="1255"/>
      <x v="26"/>
    </i>
    <i>
      <x v="1256"/>
      <x v="15"/>
    </i>
    <i r="1">
      <x v="26"/>
    </i>
    <i r="1">
      <x v="27"/>
    </i>
    <i>
      <x v="1257"/>
      <x v="11"/>
    </i>
    <i r="1">
      <x v="23"/>
    </i>
    <i>
      <x v="1258"/>
      <x v="14"/>
    </i>
    <i>
      <x v="1259"/>
      <x v="23"/>
    </i>
    <i>
      <x v="1260"/>
      <x v="23"/>
    </i>
    <i>
      <x v="1261"/>
      <x v="26"/>
    </i>
    <i>
      <x v="1262"/>
      <x v="26"/>
    </i>
    <i>
      <x v="1263"/>
      <x v="11"/>
    </i>
    <i r="1">
      <x v="23"/>
    </i>
    <i>
      <x v="1265"/>
      <x v="26"/>
    </i>
    <i>
      <x v="1266"/>
      <x v="23"/>
    </i>
    <i>
      <x v="1267"/>
      <x v="23"/>
    </i>
    <i>
      <x v="1268"/>
      <x v="30"/>
    </i>
    <i>
      <x v="1269"/>
      <x v="23"/>
    </i>
    <i t="grand">
      <x/>
    </i>
  </rowItems>
  <colItems count="1">
    <i/>
  </colItems>
  <dataFields count="1">
    <dataField name="Sum of Short/cup" fld="23" baseField="9" baseItem="30"/>
  </dataFields>
  <pivotTableStyleInfo name="PivotStyleLight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55CC3A-CFCE-42AA-A4C2-57B7E2C3E02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06fd82b-6fcd-49d0-9cd8-cbff2f24b4d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customProperty" Target="../customProperty3.bin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1.bin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BB4071"/>
  <sheetViews>
    <sheetView showGridLines="0" showZeros="0" zoomScale="60" zoomScaleNormal="60" workbookViewId="0">
      <pane xSplit="9" ySplit="4" topLeftCell="J2957" activePane="bottomRight" state="frozen"/>
      <selection pane="topRight" activeCell="H1" sqref="H1"/>
      <selection pane="bottomLeft" activeCell="A3" sqref="A3"/>
      <selection pane="bottomRight" activeCell="B4" sqref="B4:AI4"/>
    </sheetView>
  </sheetViews>
  <sheetFormatPr defaultColWidth="8.83203125" defaultRowHeight="16.5"/>
  <cols>
    <col min="1" max="1" width="14.4140625" style="142" customWidth="1"/>
    <col min="2" max="2" width="13.75" style="665" customWidth="1"/>
    <col min="3" max="3" width="13" style="144" customWidth="1"/>
    <col min="4" max="4" width="13" style="149" hidden="1" customWidth="1"/>
    <col min="5" max="5" width="11.4140625" style="149" hidden="1" customWidth="1"/>
    <col min="6" max="6" width="14.1640625" style="664" hidden="1" customWidth="1"/>
    <col min="7" max="7" width="14.75" style="149" customWidth="1"/>
    <col min="8" max="9" width="13.25" style="149" customWidth="1"/>
    <col min="10" max="10" width="24.83203125" style="156" customWidth="1"/>
    <col min="11" max="11" width="19.1640625" style="147" customWidth="1"/>
    <col min="12" max="12" width="17.58203125" style="147" customWidth="1"/>
    <col min="13" max="13" width="39.58203125" style="156" customWidth="1"/>
    <col min="14" max="14" width="22.58203125" style="149" customWidth="1"/>
    <col min="15" max="15" width="18.4140625" style="149" customWidth="1"/>
    <col min="16" max="16" width="5.58203125" style="150" customWidth="1"/>
    <col min="17" max="17" width="5.4140625" style="150" customWidth="1"/>
    <col min="18" max="18" width="7.75" style="151" customWidth="1"/>
    <col min="19" max="19" width="10.6640625" style="149" customWidth="1"/>
    <col min="20" max="20" width="6.4140625" style="149" customWidth="1"/>
    <col min="21" max="21" width="15" style="149" customWidth="1"/>
    <col min="22" max="22" width="8.75" style="152" customWidth="1"/>
    <col min="23" max="23" width="8.4140625" style="152" customWidth="1"/>
    <col min="24" max="24" width="8.4140625" style="153" customWidth="1"/>
    <col min="25" max="25" width="9" style="154" customWidth="1"/>
    <col min="26" max="26" width="11.1640625" style="155" customWidth="1"/>
    <col min="27" max="27" width="10.1640625" style="155" customWidth="1"/>
    <col min="28" max="28" width="7.4140625" style="803" customWidth="1"/>
    <col min="29" max="29" width="9.58203125" style="152" customWidth="1"/>
    <col min="30" max="30" width="59.58203125" style="156" customWidth="1"/>
    <col min="31" max="31" width="9" style="157" customWidth="1"/>
    <col min="32" max="32" width="7.25" style="157" customWidth="1"/>
    <col min="33" max="33" width="9" style="158" customWidth="1"/>
    <col min="34" max="34" width="9" style="157" customWidth="1"/>
    <col min="35" max="35" width="10.1640625" style="152" customWidth="1"/>
    <col min="36" max="37" width="9" style="156" customWidth="1"/>
    <col min="38" max="38" width="27.25" style="156" customWidth="1"/>
    <col min="39" max="39" width="11.75" style="156" customWidth="1"/>
    <col min="40" max="40" width="13.4140625" style="156" customWidth="1"/>
    <col min="41" max="41" width="8" style="159" customWidth="1"/>
    <col min="42" max="42" width="12.75" style="149" customWidth="1"/>
    <col min="43" max="46" width="12.4140625" style="149" customWidth="1"/>
    <col min="47" max="47" width="13.25" style="149" customWidth="1"/>
    <col min="48" max="48" width="13.75" style="149" customWidth="1"/>
    <col min="49" max="49" width="15.83203125" style="149" customWidth="1"/>
    <col min="50" max="50" width="14.25" style="149" customWidth="1"/>
    <col min="51" max="51" width="13.1640625" style="149" customWidth="1"/>
    <col min="52" max="52" width="13.83203125" style="149" customWidth="1"/>
    <col min="53" max="53" width="18.25" style="149" customWidth="1"/>
    <col min="54" max="54" width="12.4140625" style="156" customWidth="1"/>
    <col min="55" max="16384" width="8.83203125" style="156"/>
  </cols>
  <sheetData>
    <row r="1" spans="1:54" ht="26.5" customHeight="1">
      <c r="B1" s="740" t="s">
        <v>1654</v>
      </c>
      <c r="C1" s="726"/>
      <c r="D1" s="784"/>
      <c r="E1" s="727"/>
      <c r="F1" s="728"/>
      <c r="G1" s="727"/>
      <c r="H1" s="727"/>
      <c r="I1" s="727"/>
      <c r="J1" s="729"/>
      <c r="K1" s="730"/>
      <c r="L1" s="730"/>
      <c r="M1" s="739"/>
      <c r="N1" s="730" t="s">
        <v>1655</v>
      </c>
      <c r="O1" s="727"/>
      <c r="P1" s="731"/>
      <c r="Q1" s="731"/>
      <c r="R1" s="732"/>
      <c r="S1" s="727"/>
      <c r="T1" s="727"/>
      <c r="U1" s="727"/>
      <c r="V1" s="733"/>
      <c r="W1" s="733"/>
      <c r="X1" s="734"/>
      <c r="Y1" s="735"/>
      <c r="Z1" s="736"/>
      <c r="AA1" s="741" t="s">
        <v>1658</v>
      </c>
      <c r="AB1" s="802"/>
      <c r="AC1" s="733"/>
      <c r="AD1" s="729"/>
      <c r="AE1" s="737"/>
      <c r="AF1" s="738"/>
    </row>
    <row r="2" spans="1:54" ht="27.65" customHeight="1">
      <c r="B2" s="740" t="s">
        <v>1653</v>
      </c>
      <c r="C2" s="726"/>
      <c r="D2" s="784"/>
      <c r="E2" s="727"/>
      <c r="F2" s="728"/>
      <c r="G2" s="727"/>
      <c r="H2" s="727"/>
      <c r="I2" s="727"/>
      <c r="J2" s="729"/>
      <c r="K2" s="730"/>
      <c r="L2" s="730"/>
      <c r="M2" s="739"/>
      <c r="N2" s="730" t="s">
        <v>1656</v>
      </c>
      <c r="O2" s="727"/>
      <c r="P2" s="731"/>
      <c r="Q2" s="731"/>
      <c r="R2" s="732"/>
      <c r="S2" s="727"/>
      <c r="T2" s="727"/>
      <c r="U2" s="727"/>
      <c r="V2" s="733"/>
      <c r="W2" s="733"/>
      <c r="X2" s="734"/>
      <c r="Y2" s="735"/>
      <c r="Z2" s="736"/>
      <c r="AA2" s="741" t="s">
        <v>1657</v>
      </c>
      <c r="AB2" s="802"/>
      <c r="AC2" s="733"/>
      <c r="AD2" s="729"/>
      <c r="AE2" s="737"/>
      <c r="AF2" s="738"/>
    </row>
    <row r="3" spans="1:54" ht="31.5" customHeight="1">
      <c r="B3" s="143" t="s">
        <v>0</v>
      </c>
      <c r="D3" s="145" t="s">
        <v>1</v>
      </c>
      <c r="E3" s="145" t="s">
        <v>1</v>
      </c>
      <c r="F3" s="146" t="s">
        <v>1</v>
      </c>
      <c r="G3" s="742">
        <v>46274</v>
      </c>
      <c r="H3" s="147"/>
      <c r="I3" s="147"/>
      <c r="J3" s="147"/>
      <c r="L3" s="146" t="s">
        <v>1</v>
      </c>
      <c r="M3" s="148"/>
      <c r="AE3" s="157">
        <f>(P4011*Q4011*R4011*V4011)/0.54</f>
        <v>226.66666666666663</v>
      </c>
    </row>
    <row r="4" spans="1:54" s="182" customFormat="1" ht="35.15" customHeight="1">
      <c r="A4" s="840" t="s">
        <v>2159</v>
      </c>
      <c r="B4" s="160" t="s">
        <v>3</v>
      </c>
      <c r="C4" s="161" t="s">
        <v>4</v>
      </c>
      <c r="D4" s="785" t="s">
        <v>2060</v>
      </c>
      <c r="E4" s="162" t="s">
        <v>5</v>
      </c>
      <c r="F4" s="163" t="s">
        <v>6</v>
      </c>
      <c r="G4" s="164" t="s">
        <v>2765</v>
      </c>
      <c r="H4" s="164" t="s">
        <v>8</v>
      </c>
      <c r="I4" s="164" t="s">
        <v>2771</v>
      </c>
      <c r="J4" s="164" t="s">
        <v>9</v>
      </c>
      <c r="K4" s="165" t="s">
        <v>10</v>
      </c>
      <c r="L4" s="165" t="s">
        <v>2168</v>
      </c>
      <c r="M4" s="162" t="s">
        <v>12</v>
      </c>
      <c r="N4" s="166" t="s">
        <v>13</v>
      </c>
      <c r="O4" s="164" t="s">
        <v>14</v>
      </c>
      <c r="P4" s="167" t="s">
        <v>15</v>
      </c>
      <c r="Q4" s="167" t="s">
        <v>16</v>
      </c>
      <c r="R4" s="168" t="s">
        <v>17</v>
      </c>
      <c r="S4" s="164" t="s">
        <v>18</v>
      </c>
      <c r="T4" s="164" t="s">
        <v>19</v>
      </c>
      <c r="U4" s="164" t="s">
        <v>20</v>
      </c>
      <c r="V4" s="167" t="s">
        <v>21</v>
      </c>
      <c r="W4" s="169" t="s">
        <v>23</v>
      </c>
      <c r="X4" s="170" t="s">
        <v>22</v>
      </c>
      <c r="Y4" s="171" t="s">
        <v>24</v>
      </c>
      <c r="Z4" s="172" t="s">
        <v>25</v>
      </c>
      <c r="AA4" s="173" t="s">
        <v>514</v>
      </c>
      <c r="AB4" s="804" t="s">
        <v>27</v>
      </c>
      <c r="AC4" s="167" t="s">
        <v>126</v>
      </c>
      <c r="AD4" s="174" t="s">
        <v>28</v>
      </c>
      <c r="AE4" s="175" t="s">
        <v>2059</v>
      </c>
      <c r="AF4" s="176" t="s">
        <v>511</v>
      </c>
      <c r="AG4" s="177"/>
      <c r="AH4" s="178" t="s">
        <v>31</v>
      </c>
      <c r="AI4" s="179" t="s">
        <v>32</v>
      </c>
      <c r="AJ4" s="179" t="s">
        <v>33</v>
      </c>
      <c r="AK4" s="179"/>
      <c r="AL4" s="179"/>
      <c r="AM4" s="179"/>
      <c r="AN4" s="180"/>
      <c r="AO4" s="181"/>
      <c r="AP4" s="873" t="s">
        <v>645</v>
      </c>
      <c r="AQ4" s="874" t="s">
        <v>35</v>
      </c>
      <c r="AR4" s="874" t="s">
        <v>36</v>
      </c>
      <c r="AS4" s="874" t="s">
        <v>37</v>
      </c>
      <c r="AT4" s="874" t="s">
        <v>38</v>
      </c>
      <c r="AU4" s="875" t="s">
        <v>39</v>
      </c>
      <c r="AV4" s="875" t="s">
        <v>40</v>
      </c>
      <c r="AW4" s="875" t="s">
        <v>41</v>
      </c>
      <c r="AX4" s="875" t="s">
        <v>42</v>
      </c>
      <c r="AY4" s="875" t="s">
        <v>43</v>
      </c>
      <c r="AZ4" s="875" t="s">
        <v>44</v>
      </c>
      <c r="BA4" s="875" t="s">
        <v>45</v>
      </c>
      <c r="BB4" s="801" t="s">
        <v>126</v>
      </c>
    </row>
    <row r="5" spans="1:54" ht="25" hidden="1" customHeight="1">
      <c r="B5" s="183">
        <v>45292</v>
      </c>
      <c r="C5" s="184"/>
      <c r="D5" s="185">
        <f t="shared" ref="D5:D68" si="0">IF(B5="","",YEAR(B5))</f>
        <v>2024</v>
      </c>
      <c r="E5" s="185" t="str">
        <f>VLOOKUP($B5,Week!$A$1:$C$1462,2,0)</f>
        <v>Week1</v>
      </c>
      <c r="F5" s="186" t="str">
        <f t="shared" ref="F5:F68" si="1">IF(B5="","",TEXT(B5,"[$-409]mmm"))</f>
        <v>Jan</v>
      </c>
      <c r="G5" s="185"/>
      <c r="H5" s="185"/>
      <c r="I5" s="185"/>
      <c r="J5" s="187"/>
      <c r="K5" s="188"/>
      <c r="L5" s="300"/>
      <c r="M5" s="187"/>
      <c r="N5" s="185"/>
      <c r="O5" s="185"/>
      <c r="P5" s="189"/>
      <c r="Q5" s="189"/>
      <c r="R5" s="190"/>
      <c r="S5" s="185"/>
      <c r="T5" s="185"/>
      <c r="U5" s="185"/>
      <c r="V5" s="191"/>
      <c r="W5" s="191"/>
      <c r="X5" s="192"/>
      <c r="Y5" s="193"/>
      <c r="Z5" s="194"/>
      <c r="AA5" s="194"/>
      <c r="AB5" s="805"/>
      <c r="AC5" s="191"/>
      <c r="AD5" s="187"/>
      <c r="AE5" s="195"/>
      <c r="AF5" s="195"/>
      <c r="AG5" s="196"/>
      <c r="AH5" s="197"/>
      <c r="AK5" s="156" t="s">
        <v>691</v>
      </c>
      <c r="AM5" s="198">
        <f>AG5*Z5</f>
        <v>0</v>
      </c>
      <c r="AN5" s="199">
        <f t="shared" ref="AN5:AN68" si="2">B5</f>
        <v>45292</v>
      </c>
      <c r="AO5" s="159" t="s">
        <v>692</v>
      </c>
      <c r="AP5" s="781"/>
      <c r="AQ5" s="782"/>
      <c r="AR5" s="782"/>
      <c r="AS5" s="782"/>
      <c r="AT5" s="782"/>
      <c r="AU5" s="781"/>
      <c r="AV5" s="782"/>
      <c r="AW5" s="782"/>
      <c r="AX5" s="782"/>
      <c r="AY5" s="782"/>
      <c r="AZ5" s="782"/>
      <c r="BA5" s="781"/>
    </row>
    <row r="6" spans="1:54" ht="25" hidden="1" customHeight="1">
      <c r="B6" s="183">
        <v>45293</v>
      </c>
      <c r="C6" s="184"/>
      <c r="D6" s="185">
        <f t="shared" si="0"/>
        <v>2024</v>
      </c>
      <c r="E6" s="185" t="str">
        <f>VLOOKUP($B6,Week!$A$1:$C$1462,2,0)</f>
        <v>Week1</v>
      </c>
      <c r="F6" s="186" t="str">
        <f t="shared" si="1"/>
        <v>Jan</v>
      </c>
      <c r="G6" s="185"/>
      <c r="H6" s="185"/>
      <c r="I6" s="185"/>
      <c r="J6" s="187"/>
      <c r="K6" s="188"/>
      <c r="L6" s="300"/>
      <c r="M6" s="187"/>
      <c r="N6" s="185"/>
      <c r="O6" s="185"/>
      <c r="P6" s="189"/>
      <c r="Q6" s="189"/>
      <c r="R6" s="190"/>
      <c r="S6" s="185"/>
      <c r="T6" s="185"/>
      <c r="U6" s="185"/>
      <c r="V6" s="191"/>
      <c r="W6" s="191"/>
      <c r="X6" s="192"/>
      <c r="Y6" s="193"/>
      <c r="Z6" s="194"/>
      <c r="AA6" s="194"/>
      <c r="AB6" s="805"/>
      <c r="AC6" s="191"/>
      <c r="AD6" s="187"/>
      <c r="AE6" s="195"/>
      <c r="AF6" s="195"/>
      <c r="AG6" s="196"/>
      <c r="AH6" s="197"/>
      <c r="AK6" s="156" t="s">
        <v>691</v>
      </c>
      <c r="AM6" s="198">
        <f>AG6*Z6</f>
        <v>0</v>
      </c>
      <c r="AN6" s="199">
        <f t="shared" si="2"/>
        <v>45293</v>
      </c>
      <c r="AO6" s="159" t="s">
        <v>692</v>
      </c>
      <c r="AP6" s="781"/>
      <c r="AQ6" s="782"/>
      <c r="AR6" s="782"/>
      <c r="AS6" s="782"/>
      <c r="AT6" s="782"/>
      <c r="AU6" s="781"/>
      <c r="AV6" s="782"/>
      <c r="AW6" s="782"/>
      <c r="AX6" s="782"/>
      <c r="AY6" s="782"/>
      <c r="AZ6" s="782"/>
      <c r="BA6" s="781"/>
    </row>
    <row r="7" spans="1:54" ht="25" hidden="1" customHeight="1">
      <c r="A7" s="142" t="s">
        <v>438</v>
      </c>
      <c r="B7" s="424">
        <v>45294</v>
      </c>
      <c r="C7" s="425">
        <v>45207</v>
      </c>
      <c r="D7" s="185">
        <f t="shared" si="0"/>
        <v>2024</v>
      </c>
      <c r="E7" s="427" t="str">
        <f>VLOOKUP($B7,Week!$A$1:$C$1462,2,0)</f>
        <v>Week1</v>
      </c>
      <c r="F7" s="426" t="str">
        <f t="shared" si="1"/>
        <v>Jan</v>
      </c>
      <c r="G7" s="427" t="s">
        <v>829</v>
      </c>
      <c r="H7" s="427" t="s">
        <v>104</v>
      </c>
      <c r="I7" s="427" t="s">
        <v>2772</v>
      </c>
      <c r="J7" s="428" t="s">
        <v>434</v>
      </c>
      <c r="K7" s="429" t="s">
        <v>433</v>
      </c>
      <c r="L7" s="300" t="s">
        <v>2167</v>
      </c>
      <c r="M7" s="428" t="s">
        <v>565</v>
      </c>
      <c r="N7" s="427" t="s">
        <v>567</v>
      </c>
      <c r="O7" s="427" t="s">
        <v>566</v>
      </c>
      <c r="P7" s="430">
        <v>16</v>
      </c>
      <c r="Q7" s="430">
        <v>6</v>
      </c>
      <c r="R7" s="431">
        <v>8.1300000000000001E-3</v>
      </c>
      <c r="S7" s="427" t="s">
        <v>40</v>
      </c>
      <c r="T7" s="427" t="s">
        <v>112</v>
      </c>
      <c r="U7" s="427" t="s">
        <v>662</v>
      </c>
      <c r="V7" s="432">
        <v>901</v>
      </c>
      <c r="W7" s="432"/>
      <c r="X7" s="433">
        <v>901</v>
      </c>
      <c r="Y7" s="434">
        <f t="shared" ref="Y7:Y24" si="3">(W7+X7)-V7</f>
        <v>0</v>
      </c>
      <c r="Z7" s="435">
        <f t="shared" ref="Z7:Z24" si="4">IF(Y7&lt;0,((V7*P7)-((W7+X7)*P7)),0)</f>
        <v>0</v>
      </c>
      <c r="AA7" s="435"/>
      <c r="AB7" s="826">
        <v>1</v>
      </c>
      <c r="AC7" s="432">
        <f>AB7*V7*P7</f>
        <v>14416</v>
      </c>
      <c r="AD7" s="307" t="s">
        <v>573</v>
      </c>
      <c r="AE7" s="511"/>
      <c r="AF7" s="511"/>
      <c r="AG7" s="211">
        <f t="shared" ref="AG7:AG20" si="5">MID(O7,1,3)/1000</f>
        <v>0.11700000000000001</v>
      </c>
      <c r="AH7" s="157">
        <f t="shared" ref="AH7:AH13" si="6">(Z7*AG7)/1000</f>
        <v>0</v>
      </c>
      <c r="AI7" s="152">
        <f t="shared" ref="AI7:AI24" si="7">V7*P7</f>
        <v>14416</v>
      </c>
      <c r="AK7" s="156" t="s">
        <v>691</v>
      </c>
      <c r="AL7" s="574" t="s">
        <v>690</v>
      </c>
      <c r="AM7" s="198">
        <f t="shared" ref="AM7:AM16" si="8">AG7*Z7</f>
        <v>0</v>
      </c>
      <c r="AN7" s="199">
        <f t="shared" si="2"/>
        <v>45294</v>
      </c>
      <c r="AO7" s="159" t="s">
        <v>692</v>
      </c>
      <c r="AP7" s="781"/>
      <c r="AQ7" s="782"/>
      <c r="AR7" s="782">
        <v>12080450</v>
      </c>
      <c r="AS7" s="782"/>
      <c r="AT7" s="782">
        <v>12083198</v>
      </c>
      <c r="AU7" s="781"/>
      <c r="AV7" s="782">
        <v>12080491</v>
      </c>
      <c r="AW7" s="782"/>
      <c r="AX7" s="782" t="s">
        <v>627</v>
      </c>
      <c r="AY7" s="782"/>
      <c r="AZ7" s="782"/>
      <c r="BA7" s="781"/>
    </row>
    <row r="8" spans="1:54" ht="24.75" hidden="1" customHeight="1">
      <c r="A8" s="529" t="s">
        <v>649</v>
      </c>
      <c r="B8" s="296">
        <v>45294</v>
      </c>
      <c r="C8" s="296">
        <v>45299</v>
      </c>
      <c r="D8" s="185">
        <f t="shared" si="0"/>
        <v>2024</v>
      </c>
      <c r="E8" s="296" t="str">
        <f>VLOOKUP($B8,Week!$A$1:$C$1462,2,0)</f>
        <v>Week1</v>
      </c>
      <c r="F8" s="297" t="str">
        <f t="shared" si="1"/>
        <v>Jan</v>
      </c>
      <c r="G8" s="298" t="s">
        <v>47</v>
      </c>
      <c r="H8" s="298" t="s">
        <v>260</v>
      </c>
      <c r="I8" s="298" t="s">
        <v>2702</v>
      </c>
      <c r="J8" s="580" t="s">
        <v>698</v>
      </c>
      <c r="K8" s="300" t="s">
        <v>176</v>
      </c>
      <c r="L8" s="300" t="s">
        <v>2167</v>
      </c>
      <c r="M8" s="299" t="s">
        <v>262</v>
      </c>
      <c r="N8" s="298" t="s">
        <v>350</v>
      </c>
      <c r="O8" s="298" t="s">
        <v>351</v>
      </c>
      <c r="P8" s="301">
        <v>24</v>
      </c>
      <c r="Q8" s="301">
        <v>5</v>
      </c>
      <c r="R8" s="302">
        <v>6.1999999999999998E-3</v>
      </c>
      <c r="S8" s="298" t="s">
        <v>352</v>
      </c>
      <c r="T8" s="298" t="s">
        <v>56</v>
      </c>
      <c r="U8" s="298" t="s">
        <v>57</v>
      </c>
      <c r="V8" s="303">
        <v>2878</v>
      </c>
      <c r="W8" s="303">
        <v>2878</v>
      </c>
      <c r="X8" s="304"/>
      <c r="Y8" s="305">
        <f t="shared" si="3"/>
        <v>0</v>
      </c>
      <c r="Z8" s="306">
        <f t="shared" si="4"/>
        <v>0</v>
      </c>
      <c r="AA8" s="306"/>
      <c r="AB8" s="814"/>
      <c r="AC8" s="303"/>
      <c r="AD8" s="307" t="s">
        <v>649</v>
      </c>
      <c r="AE8" s="210"/>
      <c r="AF8" s="210"/>
      <c r="AG8" s="211">
        <f t="shared" si="5"/>
        <v>0.13</v>
      </c>
      <c r="AH8" s="157">
        <f t="shared" si="6"/>
        <v>0</v>
      </c>
      <c r="AI8" s="152">
        <f t="shared" si="7"/>
        <v>69072</v>
      </c>
      <c r="AK8" s="156" t="s">
        <v>691</v>
      </c>
      <c r="AL8" s="574" t="s">
        <v>690</v>
      </c>
      <c r="AM8" s="198">
        <f t="shared" si="8"/>
        <v>0</v>
      </c>
      <c r="AN8" s="199">
        <f t="shared" si="2"/>
        <v>45294</v>
      </c>
      <c r="AO8" s="159" t="s">
        <v>692</v>
      </c>
      <c r="AP8" s="783" t="s">
        <v>629</v>
      </c>
      <c r="AQ8" s="782">
        <v>12071839</v>
      </c>
      <c r="AR8" s="782">
        <v>12078867</v>
      </c>
      <c r="AS8" s="782">
        <v>12068233</v>
      </c>
      <c r="AT8" s="781"/>
      <c r="AU8" s="781"/>
      <c r="AV8" s="782">
        <v>12062075</v>
      </c>
      <c r="AW8" s="781"/>
      <c r="AX8" s="781"/>
      <c r="AY8" s="782">
        <v>12078868</v>
      </c>
      <c r="AZ8" s="781"/>
      <c r="BA8" s="781"/>
    </row>
    <row r="9" spans="1:54" ht="25" hidden="1" customHeight="1">
      <c r="A9" s="529" t="s">
        <v>903</v>
      </c>
      <c r="B9" s="258">
        <v>45294</v>
      </c>
      <c r="C9" s="259">
        <v>45299</v>
      </c>
      <c r="D9" s="185">
        <f t="shared" si="0"/>
        <v>2024</v>
      </c>
      <c r="E9" s="259" t="str">
        <f>VLOOKUP($B9,Week!$A$1:$C$1462,2,0)</f>
        <v>Week1</v>
      </c>
      <c r="F9" s="261" t="str">
        <f t="shared" si="1"/>
        <v>Jan</v>
      </c>
      <c r="G9" s="260" t="s">
        <v>825</v>
      </c>
      <c r="H9" s="462" t="s">
        <v>697</v>
      </c>
      <c r="I9" s="462" t="s">
        <v>2772</v>
      </c>
      <c r="J9" s="263" t="s">
        <v>653</v>
      </c>
      <c r="K9" s="264" t="s">
        <v>665</v>
      </c>
      <c r="L9" s="300" t="s">
        <v>2167</v>
      </c>
      <c r="M9" s="263" t="s">
        <v>654</v>
      </c>
      <c r="N9" s="447" t="s">
        <v>919</v>
      </c>
      <c r="O9" s="260" t="s">
        <v>655</v>
      </c>
      <c r="P9" s="265">
        <v>24</v>
      </c>
      <c r="Q9" s="265">
        <v>5</v>
      </c>
      <c r="R9" s="266">
        <v>7.4999999999999997E-3</v>
      </c>
      <c r="S9" s="260" t="s">
        <v>40</v>
      </c>
      <c r="T9" s="260" t="s">
        <v>112</v>
      </c>
      <c r="U9" s="621" t="s">
        <v>721</v>
      </c>
      <c r="V9" s="267">
        <v>924</v>
      </c>
      <c r="W9" s="267">
        <f>924</f>
        <v>924</v>
      </c>
      <c r="X9" s="268"/>
      <c r="Y9" s="269">
        <f t="shared" si="3"/>
        <v>0</v>
      </c>
      <c r="Z9" s="270">
        <f t="shared" si="4"/>
        <v>0</v>
      </c>
      <c r="AA9" s="270"/>
      <c r="AB9" s="811"/>
      <c r="AC9" s="267"/>
      <c r="AD9" s="307" t="s">
        <v>903</v>
      </c>
      <c r="AE9" s="210"/>
      <c r="AF9" s="210"/>
      <c r="AG9" s="211">
        <f t="shared" si="5"/>
        <v>0.307</v>
      </c>
      <c r="AH9" s="157">
        <f>(Z9*AG9)/1000</f>
        <v>0</v>
      </c>
      <c r="AI9" s="152">
        <f t="shared" si="7"/>
        <v>22176</v>
      </c>
      <c r="AK9" s="156" t="s">
        <v>691</v>
      </c>
      <c r="AL9" s="212" t="s">
        <v>690</v>
      </c>
      <c r="AM9" s="198">
        <f>AG9*Z9</f>
        <v>0</v>
      </c>
      <c r="AN9" s="199">
        <f t="shared" si="2"/>
        <v>45294</v>
      </c>
      <c r="AO9" s="159" t="s">
        <v>692</v>
      </c>
      <c r="AP9" s="781" t="s">
        <v>642</v>
      </c>
      <c r="AQ9" s="782">
        <v>12063755</v>
      </c>
      <c r="AR9" s="782">
        <v>12061353</v>
      </c>
      <c r="AS9" s="782">
        <v>12061354</v>
      </c>
      <c r="AT9" s="782">
        <v>12084023</v>
      </c>
      <c r="AU9" s="781"/>
      <c r="AV9" s="782">
        <v>12084228</v>
      </c>
      <c r="AW9" s="782"/>
      <c r="AX9" s="782"/>
      <c r="AY9" s="782"/>
      <c r="AZ9" s="782"/>
      <c r="BA9" s="781"/>
    </row>
    <row r="10" spans="1:54" ht="25" hidden="1" customHeight="1">
      <c r="A10" s="142" t="s">
        <v>120</v>
      </c>
      <c r="B10" s="258">
        <v>45294</v>
      </c>
      <c r="C10" s="259">
        <v>45299</v>
      </c>
      <c r="D10" s="185">
        <f t="shared" si="0"/>
        <v>2024</v>
      </c>
      <c r="E10" s="260" t="str">
        <f>VLOOKUP($B10,Week!$A$1:$C$1462,2,0)</f>
        <v>Week1</v>
      </c>
      <c r="F10" s="261" t="str">
        <f t="shared" si="1"/>
        <v>Jan</v>
      </c>
      <c r="G10" s="262" t="s">
        <v>749</v>
      </c>
      <c r="H10" s="260" t="s">
        <v>134</v>
      </c>
      <c r="I10" s="260" t="s">
        <v>2772</v>
      </c>
      <c r="J10" s="263" t="s">
        <v>164</v>
      </c>
      <c r="K10" s="264" t="s">
        <v>153</v>
      </c>
      <c r="L10" s="390" t="s">
        <v>2166</v>
      </c>
      <c r="M10" s="263" t="s">
        <v>165</v>
      </c>
      <c r="N10" s="260" t="s">
        <v>166</v>
      </c>
      <c r="O10" s="260" t="s">
        <v>502</v>
      </c>
      <c r="P10" s="265">
        <v>20</v>
      </c>
      <c r="Q10" s="265">
        <v>12</v>
      </c>
      <c r="R10" s="266">
        <v>6.8100000000000001E-3</v>
      </c>
      <c r="S10" s="260" t="s">
        <v>76</v>
      </c>
      <c r="T10" s="260" t="s">
        <v>56</v>
      </c>
      <c r="U10" s="260" t="s">
        <v>89</v>
      </c>
      <c r="V10" s="267">
        <f>1000-61-58-47-62-67-16-25</f>
        <v>664</v>
      </c>
      <c r="W10" s="267">
        <v>664</v>
      </c>
      <c r="X10" s="268"/>
      <c r="Y10" s="269">
        <f t="shared" si="3"/>
        <v>0</v>
      </c>
      <c r="Z10" s="270">
        <f t="shared" si="4"/>
        <v>0</v>
      </c>
      <c r="AA10" s="270">
        <f>Q10*Z10</f>
        <v>0</v>
      </c>
      <c r="AB10" s="811">
        <v>2</v>
      </c>
      <c r="AC10" s="267">
        <f>Z10*AB10</f>
        <v>0</v>
      </c>
      <c r="AD10" s="209" t="s">
        <v>168</v>
      </c>
      <c r="AE10" s="210"/>
      <c r="AF10" s="210"/>
      <c r="AG10" s="211">
        <f t="shared" si="5"/>
        <v>0.154</v>
      </c>
      <c r="AH10" s="157">
        <f t="shared" si="6"/>
        <v>0</v>
      </c>
      <c r="AI10" s="152">
        <f t="shared" si="7"/>
        <v>13280</v>
      </c>
      <c r="AK10" s="156" t="s">
        <v>691</v>
      </c>
      <c r="AL10" s="156" t="s">
        <v>689</v>
      </c>
      <c r="AM10" s="198">
        <f t="shared" si="8"/>
        <v>0</v>
      </c>
      <c r="AN10" s="199">
        <f t="shared" si="2"/>
        <v>45294</v>
      </c>
      <c r="AO10" s="159" t="s">
        <v>692</v>
      </c>
      <c r="AP10" s="783" t="s">
        <v>610</v>
      </c>
      <c r="AQ10" s="781" t="s">
        <v>158</v>
      </c>
      <c r="AR10" s="783" t="s">
        <v>523</v>
      </c>
      <c r="AS10" s="781"/>
      <c r="AT10" s="782">
        <v>12055901</v>
      </c>
      <c r="AU10" s="781"/>
      <c r="AV10" s="783" t="s">
        <v>544</v>
      </c>
      <c r="AW10" s="781"/>
      <c r="AX10" s="782" t="s">
        <v>398</v>
      </c>
      <c r="AY10" s="781"/>
      <c r="AZ10" s="781"/>
      <c r="BA10" s="781"/>
    </row>
    <row r="11" spans="1:54" ht="24.75" hidden="1" customHeight="1">
      <c r="A11" s="529" t="s">
        <v>649</v>
      </c>
      <c r="B11" s="296">
        <v>45295</v>
      </c>
      <c r="C11" s="296">
        <v>45299</v>
      </c>
      <c r="D11" s="185">
        <f t="shared" si="0"/>
        <v>2024</v>
      </c>
      <c r="E11" s="296" t="str">
        <f>VLOOKUP($B11,Week!$A$1:$C$1462,2,0)</f>
        <v>Week1</v>
      </c>
      <c r="F11" s="297" t="str">
        <f t="shared" si="1"/>
        <v>Jan</v>
      </c>
      <c r="G11" s="298" t="s">
        <v>47</v>
      </c>
      <c r="H11" s="298" t="s">
        <v>260</v>
      </c>
      <c r="I11" s="298" t="s">
        <v>2702</v>
      </c>
      <c r="J11" s="580" t="s">
        <v>698</v>
      </c>
      <c r="K11" s="300" t="s">
        <v>176</v>
      </c>
      <c r="L11" s="300" t="s">
        <v>2167</v>
      </c>
      <c r="M11" s="299" t="s">
        <v>262</v>
      </c>
      <c r="N11" s="298" t="s">
        <v>350</v>
      </c>
      <c r="O11" s="298" t="s">
        <v>351</v>
      </c>
      <c r="P11" s="301">
        <v>24</v>
      </c>
      <c r="Q11" s="301">
        <v>5</v>
      </c>
      <c r="R11" s="302">
        <v>6.1999999999999998E-3</v>
      </c>
      <c r="S11" s="298" t="s">
        <v>352</v>
      </c>
      <c r="T11" s="298" t="s">
        <v>56</v>
      </c>
      <c r="U11" s="298" t="s">
        <v>57</v>
      </c>
      <c r="V11" s="303">
        <f>8334-2878+36</f>
        <v>5492</v>
      </c>
      <c r="W11" s="303">
        <f>4685+262+262+283</f>
        <v>5492</v>
      </c>
      <c r="X11" s="304"/>
      <c r="Y11" s="305">
        <f t="shared" si="3"/>
        <v>0</v>
      </c>
      <c r="Z11" s="306">
        <f t="shared" si="4"/>
        <v>0</v>
      </c>
      <c r="AA11" s="306"/>
      <c r="AB11" s="814"/>
      <c r="AC11" s="303"/>
      <c r="AD11" s="307" t="s">
        <v>649</v>
      </c>
      <c r="AE11" s="210"/>
      <c r="AF11" s="210"/>
      <c r="AG11" s="211">
        <f t="shared" si="5"/>
        <v>0.13</v>
      </c>
      <c r="AH11" s="157">
        <f t="shared" si="6"/>
        <v>0</v>
      </c>
      <c r="AI11" s="152">
        <f t="shared" si="7"/>
        <v>131808</v>
      </c>
      <c r="AK11" s="156" t="s">
        <v>691</v>
      </c>
      <c r="AL11" s="574" t="s">
        <v>690</v>
      </c>
      <c r="AM11" s="198">
        <f t="shared" si="8"/>
        <v>0</v>
      </c>
      <c r="AN11" s="199">
        <f t="shared" si="2"/>
        <v>45295</v>
      </c>
      <c r="AO11" s="159" t="s">
        <v>692</v>
      </c>
      <c r="AP11" s="783" t="s">
        <v>629</v>
      </c>
      <c r="AQ11" s="782">
        <v>12071839</v>
      </c>
      <c r="AR11" s="782">
        <v>12078867</v>
      </c>
      <c r="AS11" s="782">
        <v>12068233</v>
      </c>
      <c r="AT11" s="781"/>
      <c r="AU11" s="781"/>
      <c r="AV11" s="782">
        <v>12062075</v>
      </c>
      <c r="AW11" s="781"/>
      <c r="AX11" s="781"/>
      <c r="AY11" s="782">
        <v>12078868</v>
      </c>
      <c r="AZ11" s="781"/>
      <c r="BA11" s="781"/>
    </row>
    <row r="12" spans="1:54" ht="25" hidden="1" customHeight="1">
      <c r="B12" s="258">
        <v>45295</v>
      </c>
      <c r="C12" s="259">
        <v>45307</v>
      </c>
      <c r="D12" s="185">
        <f t="shared" si="0"/>
        <v>2024</v>
      </c>
      <c r="E12" s="259" t="str">
        <f>VLOOKUP($B12,Week!$A$1:$C$1462,2,0)</f>
        <v>Week1</v>
      </c>
      <c r="F12" s="261" t="str">
        <f t="shared" si="1"/>
        <v>Jan</v>
      </c>
      <c r="G12" s="260" t="s">
        <v>824</v>
      </c>
      <c r="H12" s="260" t="s">
        <v>424</v>
      </c>
      <c r="I12" s="260" t="s">
        <v>2772</v>
      </c>
      <c r="J12" s="263" t="s">
        <v>653</v>
      </c>
      <c r="K12" s="264" t="s">
        <v>665</v>
      </c>
      <c r="L12" s="300" t="s">
        <v>2167</v>
      </c>
      <c r="M12" s="263" t="s">
        <v>654</v>
      </c>
      <c r="N12" s="260" t="s">
        <v>656</v>
      </c>
      <c r="O12" s="260" t="s">
        <v>655</v>
      </c>
      <c r="P12" s="265">
        <v>24</v>
      </c>
      <c r="Q12" s="265">
        <v>5</v>
      </c>
      <c r="R12" s="266">
        <v>7.4999999999999997E-3</v>
      </c>
      <c r="S12" s="260" t="s">
        <v>40</v>
      </c>
      <c r="T12" s="260" t="s">
        <v>112</v>
      </c>
      <c r="U12" s="621" t="s">
        <v>721</v>
      </c>
      <c r="V12" s="267">
        <v>924</v>
      </c>
      <c r="W12" s="267">
        <f>5+826+8+85</f>
        <v>924</v>
      </c>
      <c r="X12" s="268"/>
      <c r="Y12" s="269">
        <f t="shared" si="3"/>
        <v>0</v>
      </c>
      <c r="Z12" s="270">
        <f t="shared" si="4"/>
        <v>0</v>
      </c>
      <c r="AA12" s="270"/>
      <c r="AB12" s="811"/>
      <c r="AC12" s="267"/>
      <c r="AD12" s="209"/>
      <c r="AE12" s="210"/>
      <c r="AF12" s="210"/>
      <c r="AG12" s="211">
        <f t="shared" si="5"/>
        <v>0.307</v>
      </c>
      <c r="AH12" s="157">
        <f>(Z12*AG12)/1000</f>
        <v>0</v>
      </c>
      <c r="AI12" s="152">
        <f t="shared" si="7"/>
        <v>22176</v>
      </c>
      <c r="AK12" s="156" t="s">
        <v>691</v>
      </c>
      <c r="AL12" s="212" t="s">
        <v>690</v>
      </c>
      <c r="AM12" s="198">
        <f>AG12*Z12</f>
        <v>0</v>
      </c>
      <c r="AN12" s="199">
        <f t="shared" si="2"/>
        <v>45295</v>
      </c>
      <c r="AO12" s="159" t="s">
        <v>692</v>
      </c>
      <c r="AP12" s="781" t="s">
        <v>642</v>
      </c>
      <c r="AQ12" s="782">
        <v>12063755</v>
      </c>
      <c r="AR12" s="782">
        <v>12061353</v>
      </c>
      <c r="AS12" s="782">
        <v>12061354</v>
      </c>
      <c r="AT12" s="782">
        <v>12084023</v>
      </c>
      <c r="AU12" s="781"/>
      <c r="AV12" s="782">
        <v>12084228</v>
      </c>
      <c r="AW12" s="782"/>
      <c r="AX12" s="782"/>
      <c r="AY12" s="782"/>
      <c r="AZ12" s="782"/>
      <c r="BA12" s="781"/>
    </row>
    <row r="13" spans="1:54" ht="25" hidden="1" customHeight="1">
      <c r="A13" s="142" t="s">
        <v>120</v>
      </c>
      <c r="B13" s="466">
        <v>45295</v>
      </c>
      <c r="C13" s="467">
        <v>45299</v>
      </c>
      <c r="D13" s="185">
        <f t="shared" si="0"/>
        <v>2024</v>
      </c>
      <c r="E13" s="468" t="str">
        <f>VLOOKUP($B13,Week!$A$1:$C$1462,2,0)</f>
        <v>Week1</v>
      </c>
      <c r="F13" s="469" t="str">
        <f t="shared" si="1"/>
        <v>Jan</v>
      </c>
      <c r="G13" s="470" t="s">
        <v>752</v>
      </c>
      <c r="H13" s="468" t="s">
        <v>82</v>
      </c>
      <c r="I13" s="468" t="s">
        <v>82</v>
      </c>
      <c r="J13" s="471" t="s">
        <v>720</v>
      </c>
      <c r="K13" s="472" t="s">
        <v>85</v>
      </c>
      <c r="L13" s="390" t="s">
        <v>2166</v>
      </c>
      <c r="M13" s="471" t="s">
        <v>579</v>
      </c>
      <c r="N13" s="468" t="s">
        <v>580</v>
      </c>
      <c r="O13" s="468" t="s">
        <v>581</v>
      </c>
      <c r="P13" s="473">
        <v>8</v>
      </c>
      <c r="Q13" s="473">
        <v>60</v>
      </c>
      <c r="R13" s="474">
        <v>6.8100000000000001E-3</v>
      </c>
      <c r="S13" s="468" t="s">
        <v>76</v>
      </c>
      <c r="T13" s="468" t="s">
        <v>56</v>
      </c>
      <c r="U13" s="468" t="s">
        <v>89</v>
      </c>
      <c r="V13" s="475">
        <v>546</v>
      </c>
      <c r="W13" s="475">
        <f>5+541</f>
        <v>546</v>
      </c>
      <c r="X13" s="476"/>
      <c r="Y13" s="477">
        <f t="shared" si="3"/>
        <v>0</v>
      </c>
      <c r="Z13" s="478">
        <f t="shared" si="4"/>
        <v>0</v>
      </c>
      <c r="AA13" s="478">
        <f>Q13*Z13</f>
        <v>0</v>
      </c>
      <c r="AB13" s="828">
        <v>6</v>
      </c>
      <c r="AC13" s="475">
        <f>Z13*AB13</f>
        <v>0</v>
      </c>
      <c r="AD13" s="209"/>
      <c r="AE13" s="210"/>
      <c r="AF13" s="210"/>
      <c r="AG13" s="211">
        <f t="shared" si="5"/>
        <v>0.75</v>
      </c>
      <c r="AH13" s="157">
        <f t="shared" si="6"/>
        <v>0</v>
      </c>
      <c r="AI13" s="152">
        <f t="shared" si="7"/>
        <v>4368</v>
      </c>
      <c r="AK13" s="156" t="s">
        <v>691</v>
      </c>
      <c r="AL13" s="156" t="s">
        <v>689</v>
      </c>
      <c r="AM13" s="198">
        <f t="shared" si="8"/>
        <v>0</v>
      </c>
      <c r="AN13" s="199">
        <f t="shared" si="2"/>
        <v>45295</v>
      </c>
      <c r="AO13" s="159" t="s">
        <v>692</v>
      </c>
      <c r="AP13" s="783" t="s">
        <v>622</v>
      </c>
      <c r="AQ13" s="782">
        <v>12004862</v>
      </c>
      <c r="AR13" s="782">
        <v>12080753</v>
      </c>
      <c r="AS13" s="782"/>
      <c r="AT13" s="782">
        <v>12082897</v>
      </c>
      <c r="AU13" s="781"/>
      <c r="AV13" s="782">
        <v>12082898</v>
      </c>
      <c r="AW13" s="782">
        <v>12082899</v>
      </c>
      <c r="AX13" s="796" t="s">
        <v>621</v>
      </c>
      <c r="AY13" s="782"/>
      <c r="AZ13" s="782"/>
      <c r="BA13" s="781"/>
    </row>
    <row r="14" spans="1:54" ht="25" hidden="1" customHeight="1">
      <c r="A14" s="142" t="s">
        <v>438</v>
      </c>
      <c r="B14" s="424">
        <v>45296</v>
      </c>
      <c r="C14" s="425">
        <v>45207</v>
      </c>
      <c r="D14" s="185">
        <f t="shared" si="0"/>
        <v>2024</v>
      </c>
      <c r="E14" s="427" t="str">
        <f>VLOOKUP($B14,Week!$A$1:$C$1462,2,0)</f>
        <v>Week1</v>
      </c>
      <c r="F14" s="426" t="str">
        <f t="shared" si="1"/>
        <v>Jan</v>
      </c>
      <c r="G14" s="427" t="s">
        <v>829</v>
      </c>
      <c r="H14" s="427" t="s">
        <v>104</v>
      </c>
      <c r="I14" s="427" t="s">
        <v>2772</v>
      </c>
      <c r="J14" s="428" t="s">
        <v>434</v>
      </c>
      <c r="K14" s="429" t="s">
        <v>433</v>
      </c>
      <c r="L14" s="300" t="s">
        <v>2167</v>
      </c>
      <c r="M14" s="428" t="s">
        <v>565</v>
      </c>
      <c r="N14" s="427" t="s">
        <v>567</v>
      </c>
      <c r="O14" s="427" t="s">
        <v>566</v>
      </c>
      <c r="P14" s="430">
        <v>16</v>
      </c>
      <c r="Q14" s="430">
        <v>6</v>
      </c>
      <c r="R14" s="431">
        <v>8.1300000000000001E-3</v>
      </c>
      <c r="S14" s="427" t="s">
        <v>40</v>
      </c>
      <c r="T14" s="427" t="s">
        <v>112</v>
      </c>
      <c r="U14" s="427" t="s">
        <v>662</v>
      </c>
      <c r="V14" s="432">
        <v>599</v>
      </c>
      <c r="W14" s="432">
        <v>599</v>
      </c>
      <c r="X14" s="433"/>
      <c r="Y14" s="434">
        <f t="shared" si="3"/>
        <v>0</v>
      </c>
      <c r="Z14" s="435">
        <f t="shared" si="4"/>
        <v>0</v>
      </c>
      <c r="AA14" s="435"/>
      <c r="AB14" s="826">
        <v>1</v>
      </c>
      <c r="AC14" s="432">
        <f>AB14*V14*P14</f>
        <v>9584</v>
      </c>
      <c r="AD14" s="307" t="s">
        <v>573</v>
      </c>
      <c r="AE14" s="511"/>
      <c r="AF14" s="511"/>
      <c r="AG14" s="211">
        <f t="shared" si="5"/>
        <v>0.11700000000000001</v>
      </c>
      <c r="AH14" s="157">
        <f>(Z14*AG14)/1000</f>
        <v>0</v>
      </c>
      <c r="AI14" s="152">
        <f t="shared" si="7"/>
        <v>9584</v>
      </c>
      <c r="AK14" s="156" t="s">
        <v>691</v>
      </c>
      <c r="AL14" s="574" t="s">
        <v>690</v>
      </c>
      <c r="AM14" s="198">
        <f t="shared" si="8"/>
        <v>0</v>
      </c>
      <c r="AN14" s="199">
        <f t="shared" si="2"/>
        <v>45296</v>
      </c>
      <c r="AO14" s="159" t="s">
        <v>692</v>
      </c>
      <c r="AP14" s="781"/>
      <c r="AQ14" s="782"/>
      <c r="AR14" s="782">
        <v>12080450</v>
      </c>
      <c r="AS14" s="782"/>
      <c r="AT14" s="782">
        <v>12083198</v>
      </c>
      <c r="AU14" s="781"/>
      <c r="AV14" s="782">
        <v>12080491</v>
      </c>
      <c r="AW14" s="782"/>
      <c r="AX14" s="782" t="s">
        <v>627</v>
      </c>
      <c r="AY14" s="782"/>
      <c r="AZ14" s="782"/>
      <c r="BA14" s="781"/>
    </row>
    <row r="15" spans="1:54" ht="24.75" hidden="1" customHeight="1">
      <c r="B15" s="295">
        <v>45296</v>
      </c>
      <c r="C15" s="296"/>
      <c r="D15" s="185">
        <f t="shared" si="0"/>
        <v>2024</v>
      </c>
      <c r="E15" s="296" t="str">
        <f>VLOOKUP($B15,Week!$A$1:$C$1462,2,0)</f>
        <v>Week1</v>
      </c>
      <c r="F15" s="297" t="str">
        <f t="shared" si="1"/>
        <v>Jan</v>
      </c>
      <c r="G15" s="298" t="s">
        <v>47</v>
      </c>
      <c r="H15" s="298" t="s">
        <v>260</v>
      </c>
      <c r="I15" s="298" t="s">
        <v>2702</v>
      </c>
      <c r="J15" s="580" t="s">
        <v>698</v>
      </c>
      <c r="K15" s="300" t="s">
        <v>176</v>
      </c>
      <c r="L15" s="300" t="s">
        <v>2167</v>
      </c>
      <c r="M15" s="299" t="s">
        <v>262</v>
      </c>
      <c r="N15" s="298" t="s">
        <v>350</v>
      </c>
      <c r="O15" s="298" t="s">
        <v>351</v>
      </c>
      <c r="P15" s="301">
        <v>24</v>
      </c>
      <c r="Q15" s="301">
        <v>5</v>
      </c>
      <c r="R15" s="302">
        <v>6.1999999999999998E-3</v>
      </c>
      <c r="S15" s="298" t="s">
        <v>352</v>
      </c>
      <c r="T15" s="298" t="s">
        <v>56</v>
      </c>
      <c r="U15" s="298" t="s">
        <v>57</v>
      </c>
      <c r="V15" s="303">
        <v>1997</v>
      </c>
      <c r="W15" s="303">
        <f>2804-262-262-283</f>
        <v>1997</v>
      </c>
      <c r="X15" s="304"/>
      <c r="Y15" s="305">
        <f t="shared" si="3"/>
        <v>0</v>
      </c>
      <c r="Z15" s="306">
        <f t="shared" si="4"/>
        <v>0</v>
      </c>
      <c r="AA15" s="306"/>
      <c r="AB15" s="814"/>
      <c r="AC15" s="303"/>
      <c r="AD15" s="209"/>
      <c r="AE15" s="210"/>
      <c r="AF15" s="210"/>
      <c r="AG15" s="211">
        <f t="shared" si="5"/>
        <v>0.13</v>
      </c>
      <c r="AH15" s="157">
        <f>(Z15*AG15)/1000</f>
        <v>0</v>
      </c>
      <c r="AI15" s="152">
        <f t="shared" si="7"/>
        <v>47928</v>
      </c>
      <c r="AK15" s="156" t="s">
        <v>691</v>
      </c>
      <c r="AL15" s="574" t="s">
        <v>690</v>
      </c>
      <c r="AM15" s="198">
        <f t="shared" si="8"/>
        <v>0</v>
      </c>
      <c r="AN15" s="199">
        <f t="shared" si="2"/>
        <v>45296</v>
      </c>
      <c r="AO15" s="159" t="s">
        <v>692</v>
      </c>
      <c r="AP15" s="783" t="s">
        <v>629</v>
      </c>
      <c r="AQ15" s="782">
        <v>12071839</v>
      </c>
      <c r="AR15" s="782">
        <v>12078867</v>
      </c>
      <c r="AS15" s="782">
        <v>12068233</v>
      </c>
      <c r="AT15" s="781"/>
      <c r="AU15" s="781"/>
      <c r="AV15" s="782">
        <v>12062075</v>
      </c>
      <c r="AW15" s="781"/>
      <c r="AX15" s="781"/>
      <c r="AY15" s="782">
        <v>12078868</v>
      </c>
      <c r="AZ15" s="781"/>
      <c r="BA15" s="781"/>
    </row>
    <row r="16" spans="1:54" ht="25" hidden="1" customHeight="1">
      <c r="A16" s="142" t="s">
        <v>120</v>
      </c>
      <c r="B16" s="466">
        <v>45296</v>
      </c>
      <c r="C16" s="467">
        <v>45299</v>
      </c>
      <c r="D16" s="185">
        <f t="shared" si="0"/>
        <v>2024</v>
      </c>
      <c r="E16" s="468" t="str">
        <f>VLOOKUP($B16,Week!$A$1:$C$1462,2,0)</f>
        <v>Week1</v>
      </c>
      <c r="F16" s="469" t="str">
        <f t="shared" si="1"/>
        <v>Jan</v>
      </c>
      <c r="G16" s="470" t="s">
        <v>752</v>
      </c>
      <c r="H16" s="468" t="s">
        <v>82</v>
      </c>
      <c r="I16" s="468" t="s">
        <v>82</v>
      </c>
      <c r="J16" s="471" t="s">
        <v>720</v>
      </c>
      <c r="K16" s="472" t="s">
        <v>85</v>
      </c>
      <c r="L16" s="390" t="s">
        <v>2166</v>
      </c>
      <c r="M16" s="471" t="s">
        <v>579</v>
      </c>
      <c r="N16" s="468" t="s">
        <v>580</v>
      </c>
      <c r="O16" s="468" t="s">
        <v>581</v>
      </c>
      <c r="P16" s="473">
        <v>8</v>
      </c>
      <c r="Q16" s="473">
        <v>60</v>
      </c>
      <c r="R16" s="474">
        <v>6.8100000000000001E-3</v>
      </c>
      <c r="S16" s="468" t="s">
        <v>76</v>
      </c>
      <c r="T16" s="468" t="s">
        <v>56</v>
      </c>
      <c r="U16" s="468" t="s">
        <v>89</v>
      </c>
      <c r="V16" s="475">
        <v>555</v>
      </c>
      <c r="W16" s="475">
        <v>555</v>
      </c>
      <c r="X16" s="476"/>
      <c r="Y16" s="477">
        <f t="shared" si="3"/>
        <v>0</v>
      </c>
      <c r="Z16" s="478">
        <f t="shared" si="4"/>
        <v>0</v>
      </c>
      <c r="AA16" s="478">
        <f>Q16*Z16</f>
        <v>0</v>
      </c>
      <c r="AB16" s="828">
        <v>6</v>
      </c>
      <c r="AC16" s="475">
        <f>Z16*AB16</f>
        <v>0</v>
      </c>
      <c r="AD16" s="209"/>
      <c r="AE16" s="210"/>
      <c r="AF16" s="210"/>
      <c r="AG16" s="211">
        <f t="shared" si="5"/>
        <v>0.75</v>
      </c>
      <c r="AH16" s="157">
        <f>(Z16*AG16)/1000</f>
        <v>0</v>
      </c>
      <c r="AI16" s="152">
        <f t="shared" si="7"/>
        <v>4440</v>
      </c>
      <c r="AK16" s="156" t="s">
        <v>691</v>
      </c>
      <c r="AL16" s="156" t="s">
        <v>689</v>
      </c>
      <c r="AM16" s="198">
        <f t="shared" si="8"/>
        <v>0</v>
      </c>
      <c r="AN16" s="199">
        <f t="shared" si="2"/>
        <v>45296</v>
      </c>
      <c r="AO16" s="159" t="s">
        <v>692</v>
      </c>
      <c r="AP16" s="783" t="s">
        <v>622</v>
      </c>
      <c r="AQ16" s="782">
        <v>12004862</v>
      </c>
      <c r="AR16" s="782">
        <v>12080753</v>
      </c>
      <c r="AS16" s="782"/>
      <c r="AT16" s="782">
        <v>12082897</v>
      </c>
      <c r="AU16" s="781"/>
      <c r="AV16" s="782">
        <v>12082898</v>
      </c>
      <c r="AW16" s="782">
        <v>12082899</v>
      </c>
      <c r="AX16" s="796" t="s">
        <v>621</v>
      </c>
      <c r="AY16" s="782"/>
      <c r="AZ16" s="782"/>
      <c r="BA16" s="781"/>
    </row>
    <row r="17" spans="1:53" ht="25" hidden="1" customHeight="1">
      <c r="A17" s="529" t="s">
        <v>598</v>
      </c>
      <c r="B17" s="246">
        <v>45297</v>
      </c>
      <c r="C17" s="247">
        <v>45299</v>
      </c>
      <c r="D17" s="185">
        <f t="shared" si="0"/>
        <v>2024</v>
      </c>
      <c r="E17" s="247" t="str">
        <f>VLOOKUP($B17,Week!$A$1:$C$1462,2,0)</f>
        <v>Week1</v>
      </c>
      <c r="F17" s="248" t="str">
        <f t="shared" si="1"/>
        <v>Jan</v>
      </c>
      <c r="G17" s="599" t="s">
        <v>829</v>
      </c>
      <c r="H17" s="249" t="s">
        <v>104</v>
      </c>
      <c r="I17" s="249" t="s">
        <v>2772</v>
      </c>
      <c r="J17" s="250" t="s">
        <v>105</v>
      </c>
      <c r="K17" s="251" t="s">
        <v>593</v>
      </c>
      <c r="L17" s="300" t="s">
        <v>2167</v>
      </c>
      <c r="M17" s="250" t="s">
        <v>594</v>
      </c>
      <c r="N17" s="249" t="s">
        <v>596</v>
      </c>
      <c r="O17" s="249" t="s">
        <v>304</v>
      </c>
      <c r="P17" s="252">
        <v>8</v>
      </c>
      <c r="Q17" s="252">
        <v>5</v>
      </c>
      <c r="R17" s="253">
        <v>6.0000000000000001E-3</v>
      </c>
      <c r="S17" s="249" t="s">
        <v>55</v>
      </c>
      <c r="T17" s="249" t="s">
        <v>112</v>
      </c>
      <c r="U17" s="249" t="s">
        <v>57</v>
      </c>
      <c r="V17" s="254">
        <v>202</v>
      </c>
      <c r="W17" s="254">
        <v>202</v>
      </c>
      <c r="X17" s="255"/>
      <c r="Y17" s="256">
        <f t="shared" si="3"/>
        <v>0</v>
      </c>
      <c r="Z17" s="257">
        <f t="shared" si="4"/>
        <v>0</v>
      </c>
      <c r="AA17" s="257"/>
      <c r="AB17" s="810"/>
      <c r="AC17" s="254"/>
      <c r="AD17" s="209"/>
      <c r="AE17" s="210"/>
      <c r="AF17" s="210"/>
      <c r="AG17" s="211">
        <f t="shared" si="5"/>
        <v>0.25800000000000001</v>
      </c>
      <c r="AH17" s="157">
        <v>0.26621999999999996</v>
      </c>
      <c r="AI17" s="152">
        <f t="shared" si="7"/>
        <v>1616</v>
      </c>
      <c r="AK17" s="156" t="s">
        <v>691</v>
      </c>
      <c r="AL17" s="574" t="s">
        <v>690</v>
      </c>
      <c r="AM17" s="198">
        <f t="shared" ref="AM17:AM22" si="9">AG17*Z17</f>
        <v>0</v>
      </c>
      <c r="AN17" s="199">
        <f t="shared" si="2"/>
        <v>45297</v>
      </c>
      <c r="AO17" s="159" t="s">
        <v>692</v>
      </c>
      <c r="AP17" s="781"/>
      <c r="AQ17" s="782">
        <v>12071839</v>
      </c>
      <c r="AR17" s="782">
        <v>12042650</v>
      </c>
      <c r="AS17" s="782">
        <v>12042649</v>
      </c>
      <c r="AT17" s="782">
        <v>12084100</v>
      </c>
      <c r="AU17" s="781"/>
      <c r="AV17" s="782">
        <v>12084001</v>
      </c>
      <c r="AW17" s="781"/>
      <c r="AX17" s="781"/>
      <c r="AY17" s="781"/>
      <c r="AZ17" s="782"/>
      <c r="BA17" s="781"/>
    </row>
    <row r="18" spans="1:53" ht="25" hidden="1" customHeight="1">
      <c r="B18" s="320">
        <v>45297</v>
      </c>
      <c r="C18" s="321">
        <v>45306</v>
      </c>
      <c r="D18" s="185">
        <f t="shared" si="0"/>
        <v>2024</v>
      </c>
      <c r="E18" s="321" t="str">
        <f>VLOOKUP($B18,Week!$A$1:$C$1462,2,0)</f>
        <v>Week1</v>
      </c>
      <c r="F18" s="322" t="str">
        <f t="shared" si="1"/>
        <v>Jan</v>
      </c>
      <c r="G18" s="323" t="s">
        <v>47</v>
      </c>
      <c r="H18" s="323" t="s">
        <v>518</v>
      </c>
      <c r="I18" s="298" t="s">
        <v>2702</v>
      </c>
      <c r="J18" s="324" t="s">
        <v>70</v>
      </c>
      <c r="K18" s="325" t="s">
        <v>564</v>
      </c>
      <c r="L18" s="300" t="s">
        <v>2167</v>
      </c>
      <c r="M18" s="324" t="s">
        <v>558</v>
      </c>
      <c r="N18" s="323" t="s">
        <v>559</v>
      </c>
      <c r="O18" s="323" t="s">
        <v>560</v>
      </c>
      <c r="P18" s="326">
        <v>12</v>
      </c>
      <c r="Q18" s="326">
        <v>3</v>
      </c>
      <c r="R18" s="327">
        <v>8.0000000000000002E-3</v>
      </c>
      <c r="S18" s="323" t="s">
        <v>40</v>
      </c>
      <c r="T18" s="323" t="s">
        <v>56</v>
      </c>
      <c r="U18" s="323" t="s">
        <v>57</v>
      </c>
      <c r="V18" s="397">
        <v>515</v>
      </c>
      <c r="W18" s="328">
        <f>2+513</f>
        <v>515</v>
      </c>
      <c r="X18" s="329"/>
      <c r="Y18" s="330">
        <f t="shared" si="3"/>
        <v>0</v>
      </c>
      <c r="Z18" s="331">
        <f t="shared" si="4"/>
        <v>0</v>
      </c>
      <c r="AA18" s="331"/>
      <c r="AB18" s="816"/>
      <c r="AC18" s="328"/>
      <c r="AD18" s="209"/>
      <c r="AE18" s="210"/>
      <c r="AF18" s="210"/>
      <c r="AG18" s="211">
        <f t="shared" si="5"/>
        <v>0.22600000000000001</v>
      </c>
      <c r="AH18" s="157">
        <f t="shared" ref="AH18:AH24" si="10">(Z18*AG18)/1000</f>
        <v>0</v>
      </c>
      <c r="AI18" s="152">
        <f t="shared" si="7"/>
        <v>6180</v>
      </c>
      <c r="AK18" s="156" t="s">
        <v>691</v>
      </c>
      <c r="AL18" s="212" t="s">
        <v>690</v>
      </c>
      <c r="AM18" s="198">
        <f t="shared" si="9"/>
        <v>0</v>
      </c>
      <c r="AN18" s="199">
        <f t="shared" si="2"/>
        <v>45297</v>
      </c>
      <c r="AO18" s="159" t="s">
        <v>692</v>
      </c>
      <c r="AP18" s="783" t="s">
        <v>623</v>
      </c>
      <c r="AQ18" s="782"/>
      <c r="AR18" s="782">
        <v>12042650</v>
      </c>
      <c r="AS18" s="782">
        <v>12042649</v>
      </c>
      <c r="AT18" s="782"/>
      <c r="AU18" s="781"/>
      <c r="AV18" s="782">
        <v>12083156</v>
      </c>
      <c r="AW18" s="782"/>
      <c r="AX18" s="782"/>
      <c r="AY18" s="782">
        <v>12083147</v>
      </c>
      <c r="AZ18" s="782">
        <v>12083148</v>
      </c>
      <c r="BA18" s="781"/>
    </row>
    <row r="19" spans="1:53" ht="25" hidden="1" customHeight="1">
      <c r="B19" s="398">
        <v>45297</v>
      </c>
      <c r="C19" s="399">
        <v>45320</v>
      </c>
      <c r="D19" s="185">
        <f t="shared" si="0"/>
        <v>2024</v>
      </c>
      <c r="E19" s="399" t="str">
        <f>VLOOKUP($B19,Week!$A$1:$C$1462,2,0)</f>
        <v>Week1</v>
      </c>
      <c r="F19" s="400" t="str">
        <f t="shared" si="1"/>
        <v>Jan</v>
      </c>
      <c r="G19" s="401" t="s">
        <v>47</v>
      </c>
      <c r="H19" s="401" t="s">
        <v>518</v>
      </c>
      <c r="I19" s="298" t="s">
        <v>2702</v>
      </c>
      <c r="J19" s="402" t="s">
        <v>70</v>
      </c>
      <c r="K19" s="403" t="s">
        <v>98</v>
      </c>
      <c r="L19" s="300" t="s">
        <v>2167</v>
      </c>
      <c r="M19" s="402" t="s">
        <v>553</v>
      </c>
      <c r="N19" s="404" t="s">
        <v>557</v>
      </c>
      <c r="O19" s="401" t="s">
        <v>101</v>
      </c>
      <c r="P19" s="405">
        <v>12</v>
      </c>
      <c r="Q19" s="405">
        <v>5</v>
      </c>
      <c r="R19" s="406">
        <v>8.0000000000000002E-3</v>
      </c>
      <c r="S19" s="401" t="s">
        <v>40</v>
      </c>
      <c r="T19" s="401" t="s">
        <v>56</v>
      </c>
      <c r="U19" s="401" t="s">
        <v>499</v>
      </c>
      <c r="V19" s="407">
        <v>320</v>
      </c>
      <c r="W19" s="407">
        <v>320</v>
      </c>
      <c r="X19" s="408"/>
      <c r="Y19" s="409">
        <f t="shared" si="3"/>
        <v>0</v>
      </c>
      <c r="Z19" s="410">
        <f t="shared" si="4"/>
        <v>0</v>
      </c>
      <c r="AA19" s="410"/>
      <c r="AB19" s="824">
        <v>1</v>
      </c>
      <c r="AC19" s="407">
        <f>Z19*AB19</f>
        <v>0</v>
      </c>
      <c r="AD19" s="209"/>
      <c r="AE19" s="210"/>
      <c r="AF19" s="210"/>
      <c r="AG19" s="211">
        <f t="shared" si="5"/>
        <v>0.115</v>
      </c>
      <c r="AH19" s="157">
        <f t="shared" si="10"/>
        <v>0</v>
      </c>
      <c r="AI19" s="152">
        <f t="shared" si="7"/>
        <v>3840</v>
      </c>
      <c r="AK19" s="156" t="s">
        <v>691</v>
      </c>
      <c r="AL19" s="212" t="s">
        <v>690</v>
      </c>
      <c r="AM19" s="198">
        <f t="shared" si="9"/>
        <v>0</v>
      </c>
      <c r="AN19" s="199">
        <f t="shared" si="2"/>
        <v>45297</v>
      </c>
      <c r="AO19" s="159" t="s">
        <v>692</v>
      </c>
      <c r="AP19" s="783" t="s">
        <v>623</v>
      </c>
      <c r="AQ19" s="782">
        <v>12071839</v>
      </c>
      <c r="AR19" s="782">
        <v>12047514</v>
      </c>
      <c r="AS19" s="782">
        <v>12047515</v>
      </c>
      <c r="AT19" s="782"/>
      <c r="AU19" s="781"/>
      <c r="AV19" s="782">
        <v>12072447</v>
      </c>
      <c r="AW19" s="782"/>
      <c r="AX19" s="782"/>
      <c r="AY19" s="782">
        <v>12064574</v>
      </c>
      <c r="AZ19" s="782">
        <v>12064576</v>
      </c>
      <c r="BA19" s="781"/>
    </row>
    <row r="20" spans="1:53" ht="25" hidden="1" customHeight="1">
      <c r="B20" s="357">
        <v>45297</v>
      </c>
      <c r="C20" s="358">
        <v>45299</v>
      </c>
      <c r="D20" s="185">
        <f t="shared" si="0"/>
        <v>2024</v>
      </c>
      <c r="E20" s="358" t="str">
        <f>VLOOKUP($B20,Week!$A$1:$C$1462,2,0)</f>
        <v>Week1</v>
      </c>
      <c r="F20" s="360" t="str">
        <f t="shared" si="1"/>
        <v>Jan</v>
      </c>
      <c r="G20" s="359" t="s">
        <v>47</v>
      </c>
      <c r="H20" s="359" t="s">
        <v>518</v>
      </c>
      <c r="I20" s="298" t="s">
        <v>2702</v>
      </c>
      <c r="J20" s="361" t="s">
        <v>70</v>
      </c>
      <c r="K20" s="362" t="s">
        <v>94</v>
      </c>
      <c r="L20" s="300" t="s">
        <v>2167</v>
      </c>
      <c r="M20" s="361" t="s">
        <v>519</v>
      </c>
      <c r="N20" s="359" t="s">
        <v>589</v>
      </c>
      <c r="O20" s="359" t="s">
        <v>97</v>
      </c>
      <c r="P20" s="363">
        <v>12</v>
      </c>
      <c r="Q20" s="363">
        <v>5</v>
      </c>
      <c r="R20" s="364">
        <v>8.0000000000000002E-3</v>
      </c>
      <c r="S20" s="359" t="s">
        <v>40</v>
      </c>
      <c r="T20" s="359" t="s">
        <v>56</v>
      </c>
      <c r="U20" s="359" t="s">
        <v>57</v>
      </c>
      <c r="V20" s="365">
        <v>2919</v>
      </c>
      <c r="W20" s="365">
        <f>21+1+2897</f>
        <v>2919</v>
      </c>
      <c r="X20" s="366"/>
      <c r="Y20" s="367">
        <f t="shared" si="3"/>
        <v>0</v>
      </c>
      <c r="Z20" s="368">
        <f t="shared" si="4"/>
        <v>0</v>
      </c>
      <c r="AA20" s="368"/>
      <c r="AB20" s="819"/>
      <c r="AC20" s="365"/>
      <c r="AD20" s="209"/>
      <c r="AE20" s="210"/>
      <c r="AF20" s="210"/>
      <c r="AG20" s="211">
        <f t="shared" si="5"/>
        <v>0.14499999999999999</v>
      </c>
      <c r="AH20" s="157">
        <f t="shared" si="10"/>
        <v>0</v>
      </c>
      <c r="AI20" s="152">
        <f t="shared" si="7"/>
        <v>35028</v>
      </c>
      <c r="AK20" s="156" t="s">
        <v>691</v>
      </c>
      <c r="AL20" s="574" t="s">
        <v>690</v>
      </c>
      <c r="AM20" s="198">
        <f t="shared" si="9"/>
        <v>0</v>
      </c>
      <c r="AN20" s="199">
        <f t="shared" si="2"/>
        <v>45297</v>
      </c>
      <c r="AO20" s="159" t="s">
        <v>692</v>
      </c>
      <c r="AP20" s="783" t="s">
        <v>628</v>
      </c>
      <c r="AQ20" s="782">
        <v>12071839</v>
      </c>
      <c r="AR20" s="782">
        <v>12047514</v>
      </c>
      <c r="AS20" s="782">
        <v>12047515</v>
      </c>
      <c r="AT20" s="782"/>
      <c r="AU20" s="781"/>
      <c r="AV20" s="782">
        <v>12080617</v>
      </c>
      <c r="AW20" s="782"/>
      <c r="AX20" s="782"/>
      <c r="AY20" s="782">
        <v>12080618</v>
      </c>
      <c r="AZ20" s="782">
        <v>12080619</v>
      </c>
      <c r="BA20" s="781"/>
    </row>
    <row r="21" spans="1:53" ht="25" hidden="1" customHeight="1">
      <c r="B21" s="424">
        <v>45297</v>
      </c>
      <c r="C21" s="425">
        <v>45309</v>
      </c>
      <c r="D21" s="185">
        <f t="shared" si="0"/>
        <v>2024</v>
      </c>
      <c r="E21" s="425" t="str">
        <f>VLOOKUP($B21,Week!$A$1:$C$1462,2,0)</f>
        <v>Week1</v>
      </c>
      <c r="F21" s="426" t="str">
        <f t="shared" si="1"/>
        <v>Jan</v>
      </c>
      <c r="G21" s="427" t="s">
        <v>47</v>
      </c>
      <c r="H21" s="427" t="s">
        <v>518</v>
      </c>
      <c r="I21" s="298" t="s">
        <v>2702</v>
      </c>
      <c r="J21" s="428" t="s">
        <v>70</v>
      </c>
      <c r="K21" s="429" t="s">
        <v>94</v>
      </c>
      <c r="L21" s="300" t="s">
        <v>2167</v>
      </c>
      <c r="M21" s="428" t="s">
        <v>521</v>
      </c>
      <c r="N21" s="427" t="s">
        <v>587</v>
      </c>
      <c r="O21" s="427" t="s">
        <v>522</v>
      </c>
      <c r="P21" s="430">
        <v>18</v>
      </c>
      <c r="Q21" s="430">
        <v>5</v>
      </c>
      <c r="R21" s="431">
        <v>8.0000000000000002E-3</v>
      </c>
      <c r="S21" s="427" t="s">
        <v>40</v>
      </c>
      <c r="T21" s="427" t="s">
        <v>56</v>
      </c>
      <c r="U21" s="427" t="s">
        <v>89</v>
      </c>
      <c r="V21" s="432">
        <v>1700</v>
      </c>
      <c r="W21" s="432">
        <f>999+123+578</f>
        <v>1700</v>
      </c>
      <c r="X21" s="433"/>
      <c r="Y21" s="434">
        <f t="shared" si="3"/>
        <v>0</v>
      </c>
      <c r="Z21" s="435">
        <f t="shared" si="4"/>
        <v>0</v>
      </c>
      <c r="AA21" s="435"/>
      <c r="AB21" s="826">
        <v>1</v>
      </c>
      <c r="AC21" s="432">
        <f>Z21*AB21</f>
        <v>0</v>
      </c>
      <c r="AD21" s="209"/>
      <c r="AE21" s="210"/>
      <c r="AF21" s="210"/>
      <c r="AG21" s="211">
        <f>(MID(O21,1,3)/1000)/3</f>
        <v>9.0000000000000011E-2</v>
      </c>
      <c r="AH21" s="157">
        <f t="shared" si="10"/>
        <v>0</v>
      </c>
      <c r="AI21" s="152">
        <f t="shared" si="7"/>
        <v>30600</v>
      </c>
      <c r="AK21" s="156" t="s">
        <v>691</v>
      </c>
      <c r="AL21" s="212" t="s">
        <v>690</v>
      </c>
      <c r="AM21" s="198">
        <f t="shared" si="9"/>
        <v>0</v>
      </c>
      <c r="AN21" s="199">
        <f t="shared" si="2"/>
        <v>45297</v>
      </c>
      <c r="AO21" s="159" t="s">
        <v>692</v>
      </c>
      <c r="AP21" s="783" t="s">
        <v>628</v>
      </c>
      <c r="AQ21" s="782"/>
      <c r="AR21" s="782"/>
      <c r="AS21" s="782"/>
      <c r="AT21" s="782"/>
      <c r="AU21" s="781"/>
      <c r="AV21" s="782">
        <v>12080791</v>
      </c>
      <c r="AW21" s="782" t="s">
        <v>641</v>
      </c>
      <c r="AX21" s="782" t="s">
        <v>533</v>
      </c>
      <c r="AY21" s="782"/>
      <c r="AZ21" s="782"/>
      <c r="BA21" s="781"/>
    </row>
    <row r="22" spans="1:53" ht="24.65" hidden="1" customHeight="1">
      <c r="B22" s="246">
        <v>45297</v>
      </c>
      <c r="C22" s="247">
        <v>45299</v>
      </c>
      <c r="D22" s="185">
        <f t="shared" si="0"/>
        <v>2024</v>
      </c>
      <c r="E22" s="247" t="str">
        <f>VLOOKUP($B22,Week!$A$1:$C$1462,2,0)</f>
        <v>Week1</v>
      </c>
      <c r="F22" s="248" t="str">
        <f t="shared" si="1"/>
        <v>Jan</v>
      </c>
      <c r="G22" s="249" t="s">
        <v>47</v>
      </c>
      <c r="H22" s="249" t="s">
        <v>260</v>
      </c>
      <c r="I22" s="298" t="s">
        <v>2702</v>
      </c>
      <c r="J22" s="250" t="s">
        <v>70</v>
      </c>
      <c r="K22" s="251" t="s">
        <v>1020</v>
      </c>
      <c r="L22" s="300" t="s">
        <v>2167</v>
      </c>
      <c r="M22" s="250" t="s">
        <v>741</v>
      </c>
      <c r="N22" s="249" t="s">
        <v>740</v>
      </c>
      <c r="O22" s="249" t="s">
        <v>742</v>
      </c>
      <c r="P22" s="252">
        <v>24</v>
      </c>
      <c r="Q22" s="252">
        <v>5</v>
      </c>
      <c r="R22" s="249">
        <v>6.1999999999999998E-3</v>
      </c>
      <c r="S22" s="249" t="s">
        <v>352</v>
      </c>
      <c r="T22" s="249" t="s">
        <v>56</v>
      </c>
      <c r="U22" s="249" t="s">
        <v>739</v>
      </c>
      <c r="V22" s="254">
        <v>2030</v>
      </c>
      <c r="W22" s="254">
        <f>4756-4707+1981</f>
        <v>2030</v>
      </c>
      <c r="X22" s="255"/>
      <c r="Y22" s="256">
        <f t="shared" si="3"/>
        <v>0</v>
      </c>
      <c r="Z22" s="257">
        <f t="shared" si="4"/>
        <v>0</v>
      </c>
      <c r="AA22" s="257"/>
      <c r="AB22" s="810"/>
      <c r="AC22" s="254"/>
      <c r="AD22" s="209"/>
      <c r="AE22" s="210"/>
      <c r="AF22" s="210"/>
      <c r="AG22" s="211">
        <f>MID(O22,1,3)/1000</f>
        <v>0.14299999999999999</v>
      </c>
      <c r="AH22" s="157">
        <f t="shared" si="10"/>
        <v>0</v>
      </c>
      <c r="AI22" s="152">
        <f t="shared" si="7"/>
        <v>48720</v>
      </c>
      <c r="AK22" s="156" t="s">
        <v>691</v>
      </c>
      <c r="AL22" s="212" t="s">
        <v>690</v>
      </c>
      <c r="AM22" s="198">
        <f t="shared" si="9"/>
        <v>0</v>
      </c>
      <c r="AN22" s="199">
        <f t="shared" si="2"/>
        <v>45297</v>
      </c>
      <c r="AO22" s="159" t="s">
        <v>692</v>
      </c>
      <c r="AP22" s="783" t="s">
        <v>609</v>
      </c>
      <c r="AQ22" s="782">
        <v>12071839</v>
      </c>
      <c r="AR22" s="782">
        <v>12047514</v>
      </c>
      <c r="AS22" s="782">
        <v>12047515</v>
      </c>
      <c r="AT22" s="781"/>
      <c r="AU22" s="781"/>
      <c r="AV22" s="782">
        <v>12080613</v>
      </c>
      <c r="AW22" s="781"/>
      <c r="AX22" s="781"/>
      <c r="AY22" s="782">
        <v>12080614</v>
      </c>
      <c r="AZ22" s="782">
        <v>12080616</v>
      </c>
      <c r="BA22" s="781"/>
    </row>
    <row r="23" spans="1:53" ht="25" hidden="1" customHeight="1">
      <c r="A23" s="142" t="s">
        <v>120</v>
      </c>
      <c r="B23" s="466">
        <v>45297</v>
      </c>
      <c r="C23" s="467">
        <v>45299</v>
      </c>
      <c r="D23" s="185">
        <f t="shared" si="0"/>
        <v>2024</v>
      </c>
      <c r="E23" s="468" t="str">
        <f>VLOOKUP($B23,Week!$A$1:$C$1462,2,0)</f>
        <v>Week1</v>
      </c>
      <c r="F23" s="469" t="str">
        <f t="shared" si="1"/>
        <v>Jan</v>
      </c>
      <c r="G23" s="470" t="s">
        <v>752</v>
      </c>
      <c r="H23" s="468" t="s">
        <v>82</v>
      </c>
      <c r="I23" s="468" t="s">
        <v>82</v>
      </c>
      <c r="J23" s="471" t="s">
        <v>720</v>
      </c>
      <c r="K23" s="472" t="s">
        <v>85</v>
      </c>
      <c r="L23" s="390" t="s">
        <v>2166</v>
      </c>
      <c r="M23" s="471" t="s">
        <v>579</v>
      </c>
      <c r="N23" s="468" t="s">
        <v>580</v>
      </c>
      <c r="O23" s="468" t="s">
        <v>581</v>
      </c>
      <c r="P23" s="473">
        <v>8</v>
      </c>
      <c r="Q23" s="473">
        <v>60</v>
      </c>
      <c r="R23" s="474">
        <v>6.8100000000000001E-3</v>
      </c>
      <c r="S23" s="468" t="s">
        <v>76</v>
      </c>
      <c r="T23" s="468" t="s">
        <v>56</v>
      </c>
      <c r="U23" s="468" t="s">
        <v>89</v>
      </c>
      <c r="V23" s="475">
        <f>1408-546-555</f>
        <v>307</v>
      </c>
      <c r="W23" s="475">
        <v>307</v>
      </c>
      <c r="X23" s="476"/>
      <c r="Y23" s="477">
        <f t="shared" si="3"/>
        <v>0</v>
      </c>
      <c r="Z23" s="478">
        <f t="shared" si="4"/>
        <v>0</v>
      </c>
      <c r="AA23" s="478">
        <f>Q23*Z23</f>
        <v>0</v>
      </c>
      <c r="AB23" s="828">
        <v>6</v>
      </c>
      <c r="AC23" s="475">
        <f>Z23*AB23</f>
        <v>0</v>
      </c>
      <c r="AD23" s="209"/>
      <c r="AE23" s="210"/>
      <c r="AF23" s="210"/>
      <c r="AG23" s="211">
        <f>MID(O23,1,3)/1000</f>
        <v>0.75</v>
      </c>
      <c r="AH23" s="157">
        <f t="shared" si="10"/>
        <v>0</v>
      </c>
      <c r="AI23" s="152">
        <f t="shared" si="7"/>
        <v>2456</v>
      </c>
      <c r="AK23" s="156" t="s">
        <v>691</v>
      </c>
      <c r="AL23" s="156" t="s">
        <v>689</v>
      </c>
      <c r="AM23" s="198">
        <f t="shared" ref="AM23:AM54" si="11">AG23*Z23</f>
        <v>0</v>
      </c>
      <c r="AN23" s="199">
        <f t="shared" si="2"/>
        <v>45297</v>
      </c>
      <c r="AO23" s="159" t="s">
        <v>692</v>
      </c>
      <c r="AP23" s="783" t="s">
        <v>622</v>
      </c>
      <c r="AQ23" s="782">
        <v>12004862</v>
      </c>
      <c r="AR23" s="782">
        <v>12080753</v>
      </c>
      <c r="AS23" s="782"/>
      <c r="AT23" s="782">
        <v>12082897</v>
      </c>
      <c r="AU23" s="781"/>
      <c r="AV23" s="782">
        <v>12082898</v>
      </c>
      <c r="AW23" s="782">
        <v>12082899</v>
      </c>
      <c r="AX23" s="796" t="s">
        <v>621</v>
      </c>
      <c r="AY23" s="782"/>
      <c r="AZ23" s="782"/>
      <c r="BA23" s="781"/>
    </row>
    <row r="24" spans="1:53" ht="25" hidden="1" customHeight="1">
      <c r="A24" s="142" t="s">
        <v>120</v>
      </c>
      <c r="B24" s="582">
        <v>45297</v>
      </c>
      <c r="C24" s="535">
        <v>45330</v>
      </c>
      <c r="D24" s="185">
        <f t="shared" si="0"/>
        <v>2024</v>
      </c>
      <c r="E24" s="535" t="str">
        <f>VLOOKUP($B24,Week!$A$1:$C$1462,2,0)</f>
        <v>Week1</v>
      </c>
      <c r="F24" s="536" t="str">
        <f t="shared" si="1"/>
        <v>Jan</v>
      </c>
      <c r="G24" s="537" t="s">
        <v>1012</v>
      </c>
      <c r="H24" s="537" t="s">
        <v>82</v>
      </c>
      <c r="I24" s="537" t="s">
        <v>82</v>
      </c>
      <c r="J24" s="538" t="s">
        <v>235</v>
      </c>
      <c r="K24" s="539" t="s">
        <v>85</v>
      </c>
      <c r="L24" s="390" t="s">
        <v>2166</v>
      </c>
      <c r="M24" s="538" t="s">
        <v>165</v>
      </c>
      <c r="N24" s="537" t="s">
        <v>258</v>
      </c>
      <c r="O24" s="537" t="s">
        <v>705</v>
      </c>
      <c r="P24" s="540">
        <v>20</v>
      </c>
      <c r="Q24" s="540">
        <v>12</v>
      </c>
      <c r="R24" s="541">
        <v>6.8100000000000001E-3</v>
      </c>
      <c r="S24" s="537" t="s">
        <v>76</v>
      </c>
      <c r="T24" s="537" t="s">
        <v>56</v>
      </c>
      <c r="U24" s="537" t="s">
        <v>89</v>
      </c>
      <c r="V24" s="542">
        <v>957</v>
      </c>
      <c r="W24" s="542">
        <f>761</f>
        <v>761</v>
      </c>
      <c r="X24" s="543">
        <f>(3920)/20</f>
        <v>196</v>
      </c>
      <c r="Y24" s="544">
        <f t="shared" si="3"/>
        <v>0</v>
      </c>
      <c r="Z24" s="545">
        <f t="shared" si="4"/>
        <v>0</v>
      </c>
      <c r="AA24" s="545">
        <f>Q24*Z24</f>
        <v>0</v>
      </c>
      <c r="AB24" s="832">
        <v>2</v>
      </c>
      <c r="AC24" s="542">
        <f>Z24*AB24</f>
        <v>0</v>
      </c>
      <c r="AD24" s="209" t="s">
        <v>905</v>
      </c>
      <c r="AE24" s="210"/>
      <c r="AF24" s="210"/>
      <c r="AG24" s="211">
        <f>MID(O24,1,3)/1000</f>
        <v>0.14399999999999999</v>
      </c>
      <c r="AH24" s="157">
        <f t="shared" si="10"/>
        <v>0</v>
      </c>
      <c r="AI24" s="152">
        <f t="shared" si="7"/>
        <v>19140</v>
      </c>
      <c r="AK24" s="156" t="s">
        <v>691</v>
      </c>
      <c r="AL24" s="156" t="s">
        <v>689</v>
      </c>
      <c r="AM24" s="198">
        <f t="shared" si="11"/>
        <v>0</v>
      </c>
      <c r="AN24" s="199">
        <f t="shared" si="2"/>
        <v>45297</v>
      </c>
      <c r="AO24" s="159" t="s">
        <v>692</v>
      </c>
      <c r="AP24" s="781"/>
      <c r="AQ24" s="782">
        <v>12071839</v>
      </c>
      <c r="AR24" s="783" t="s">
        <v>523</v>
      </c>
      <c r="AS24" s="781"/>
      <c r="AT24" s="783" t="s">
        <v>524</v>
      </c>
      <c r="AU24" s="781"/>
      <c r="AV24" s="782">
        <v>12027007</v>
      </c>
      <c r="AW24" s="782"/>
      <c r="AX24" s="782" t="s">
        <v>398</v>
      </c>
      <c r="AY24" s="782"/>
      <c r="AZ24" s="782"/>
      <c r="BA24" s="781"/>
    </row>
    <row r="25" spans="1:53" ht="25" hidden="1" customHeight="1">
      <c r="B25" s="183">
        <v>45298</v>
      </c>
      <c r="C25" s="184"/>
      <c r="D25" s="185">
        <f t="shared" si="0"/>
        <v>2024</v>
      </c>
      <c r="E25" s="185" t="str">
        <f>VLOOKUP($B25,Week!$A$1:$C$1462,2,0)</f>
        <v>Week1</v>
      </c>
      <c r="F25" s="186" t="str">
        <f t="shared" si="1"/>
        <v>Jan</v>
      </c>
      <c r="G25" s="185"/>
      <c r="H25" s="185"/>
      <c r="I25" s="185"/>
      <c r="J25" s="187"/>
      <c r="K25" s="188"/>
      <c r="L25" s="300"/>
      <c r="M25" s="187" t="s">
        <v>1254</v>
      </c>
      <c r="N25" s="185"/>
      <c r="O25" s="185"/>
      <c r="P25" s="189"/>
      <c r="Q25" s="189"/>
      <c r="R25" s="190"/>
      <c r="S25" s="185"/>
      <c r="T25" s="185"/>
      <c r="U25" s="185"/>
      <c r="V25" s="191"/>
      <c r="W25" s="191"/>
      <c r="X25" s="192"/>
      <c r="Y25" s="193"/>
      <c r="Z25" s="194"/>
      <c r="AA25" s="194"/>
      <c r="AB25" s="805"/>
      <c r="AC25" s="191"/>
      <c r="AD25" s="187"/>
      <c r="AE25" s="195"/>
      <c r="AF25" s="195"/>
      <c r="AG25" s="196"/>
      <c r="AH25" s="197"/>
      <c r="AK25" s="156" t="s">
        <v>691</v>
      </c>
      <c r="AM25" s="198">
        <f t="shared" si="11"/>
        <v>0</v>
      </c>
      <c r="AN25" s="199">
        <f t="shared" si="2"/>
        <v>45298</v>
      </c>
      <c r="AO25" s="159" t="s">
        <v>692</v>
      </c>
      <c r="AP25" s="781"/>
      <c r="AQ25" s="782"/>
      <c r="AR25" s="782"/>
      <c r="AS25" s="782"/>
      <c r="AT25" s="782"/>
      <c r="AU25" s="781"/>
      <c r="AV25" s="782"/>
      <c r="AW25" s="782"/>
      <c r="AX25" s="782"/>
      <c r="AY25" s="782"/>
      <c r="AZ25" s="782"/>
      <c r="BA25" s="781"/>
    </row>
    <row r="26" spans="1:53" ht="25" hidden="1" customHeight="1">
      <c r="A26" s="142" t="s">
        <v>438</v>
      </c>
      <c r="B26" s="534">
        <v>45298</v>
      </c>
      <c r="C26" s="535">
        <v>45314</v>
      </c>
      <c r="D26" s="185">
        <f t="shared" si="0"/>
        <v>2024</v>
      </c>
      <c r="E26" s="537" t="str">
        <f>VLOOKUP($B26,Week!$A$1:$C$1462,2,0)</f>
        <v>Week1</v>
      </c>
      <c r="F26" s="536" t="str">
        <f t="shared" si="1"/>
        <v>Jan</v>
      </c>
      <c r="G26" s="537" t="s">
        <v>828</v>
      </c>
      <c r="H26" s="537" t="s">
        <v>500</v>
      </c>
      <c r="I26" s="537" t="s">
        <v>2772</v>
      </c>
      <c r="J26" s="538" t="s">
        <v>679</v>
      </c>
      <c r="K26" s="539" t="s">
        <v>433</v>
      </c>
      <c r="L26" s="300" t="s">
        <v>2167</v>
      </c>
      <c r="M26" s="538" t="s">
        <v>565</v>
      </c>
      <c r="N26" s="537" t="s">
        <v>686</v>
      </c>
      <c r="O26" s="537" t="s">
        <v>678</v>
      </c>
      <c r="P26" s="540">
        <v>24</v>
      </c>
      <c r="Q26" s="540">
        <v>6</v>
      </c>
      <c r="R26" s="541">
        <v>6.1999999999999998E-3</v>
      </c>
      <c r="S26" s="537" t="s">
        <v>352</v>
      </c>
      <c r="T26" s="537" t="s">
        <v>112</v>
      </c>
      <c r="U26" s="537" t="s">
        <v>662</v>
      </c>
      <c r="V26" s="542">
        <f>2799</f>
        <v>2799</v>
      </c>
      <c r="W26" s="542">
        <f>532</f>
        <v>532</v>
      </c>
      <c r="X26" s="543">
        <f>(118+27995)/12</f>
        <v>2342.75</v>
      </c>
      <c r="Y26" s="544">
        <f t="shared" ref="Y26:Y69" si="12">(W26+X26)-V26</f>
        <v>75.75</v>
      </c>
      <c r="Z26" s="545">
        <f t="shared" ref="Z26:Z69" si="13">IF(Y26&lt;0,((V26*P26)-((W26+X26)*P26)),0)</f>
        <v>0</v>
      </c>
      <c r="AA26" s="545"/>
      <c r="AB26" s="832">
        <v>1</v>
      </c>
      <c r="AC26" s="542">
        <f>AB26*V26*P26</f>
        <v>67176</v>
      </c>
      <c r="AD26" s="307" t="s">
        <v>672</v>
      </c>
      <c r="AE26" s="572"/>
      <c r="AF26" s="572"/>
      <c r="AG26" s="211">
        <f t="shared" ref="AG26:AG69" si="14">MID(O26,1,3)/1000</f>
        <v>0.14099999999999999</v>
      </c>
      <c r="AH26" s="157">
        <f t="shared" ref="AH26:AH33" si="15">(Z26*AG26)/1000</f>
        <v>0</v>
      </c>
      <c r="AI26" s="152">
        <f t="shared" ref="AI26:AI69" si="16">V26*P26</f>
        <v>67176</v>
      </c>
      <c r="AK26" s="156" t="s">
        <v>691</v>
      </c>
      <c r="AL26" s="574" t="s">
        <v>690</v>
      </c>
      <c r="AM26" s="198">
        <f t="shared" si="11"/>
        <v>0</v>
      </c>
      <c r="AN26" s="199">
        <f t="shared" si="2"/>
        <v>45298</v>
      </c>
      <c r="AO26" s="159" t="s">
        <v>692</v>
      </c>
      <c r="AP26" s="781"/>
      <c r="AQ26" s="782"/>
      <c r="AR26" s="782">
        <v>12080450</v>
      </c>
      <c r="AS26" s="782"/>
      <c r="AT26" s="782">
        <v>12083198</v>
      </c>
      <c r="AU26" s="781"/>
      <c r="AV26" s="782">
        <v>12080491</v>
      </c>
      <c r="AW26" s="782"/>
      <c r="AX26" s="782" t="s">
        <v>627</v>
      </c>
      <c r="AY26" s="782"/>
      <c r="AZ26" s="782"/>
      <c r="BA26" s="781"/>
    </row>
    <row r="27" spans="1:53" ht="25" hidden="1" customHeight="1">
      <c r="B27" s="213">
        <v>45299</v>
      </c>
      <c r="C27" s="214">
        <v>45303</v>
      </c>
      <c r="D27" s="185">
        <f t="shared" si="0"/>
        <v>2024</v>
      </c>
      <c r="E27" s="215" t="str">
        <f>VLOOKUP($B27,Week!$A$1:$C$1462,2,0)</f>
        <v>Week2</v>
      </c>
      <c r="F27" s="216" t="str">
        <f t="shared" si="1"/>
        <v>Jan</v>
      </c>
      <c r="G27" s="215" t="s">
        <v>763</v>
      </c>
      <c r="H27" s="215" t="s">
        <v>104</v>
      </c>
      <c r="I27" s="215" t="s">
        <v>2772</v>
      </c>
      <c r="J27" s="209" t="s">
        <v>105</v>
      </c>
      <c r="K27" s="217" t="s">
        <v>107</v>
      </c>
      <c r="L27" s="300" t="s">
        <v>2167</v>
      </c>
      <c r="M27" s="209" t="s">
        <v>108</v>
      </c>
      <c r="N27" s="215" t="s">
        <v>109</v>
      </c>
      <c r="O27" s="215" t="s">
        <v>110</v>
      </c>
      <c r="P27" s="218">
        <v>36</v>
      </c>
      <c r="Q27" s="218">
        <v>5</v>
      </c>
      <c r="R27" s="219">
        <v>7.4999999999999997E-3</v>
      </c>
      <c r="S27" s="215" t="s">
        <v>111</v>
      </c>
      <c r="T27" s="215" t="s">
        <v>112</v>
      </c>
      <c r="U27" s="215" t="s">
        <v>113</v>
      </c>
      <c r="V27" s="220">
        <f>792-661</f>
        <v>131</v>
      </c>
      <c r="W27" s="220">
        <f>792-661</f>
        <v>131</v>
      </c>
      <c r="X27" s="221"/>
      <c r="Y27" s="222">
        <f t="shared" si="12"/>
        <v>0</v>
      </c>
      <c r="Z27" s="223">
        <f t="shared" si="13"/>
        <v>0</v>
      </c>
      <c r="AA27" s="223"/>
      <c r="AB27" s="807"/>
      <c r="AC27" s="220"/>
      <c r="AD27" s="209"/>
      <c r="AE27" s="210"/>
      <c r="AF27" s="210"/>
      <c r="AG27" s="211">
        <f t="shared" si="14"/>
        <v>0.308</v>
      </c>
      <c r="AH27" s="157">
        <f t="shared" si="15"/>
        <v>0</v>
      </c>
      <c r="AI27" s="152">
        <f t="shared" si="16"/>
        <v>4716</v>
      </c>
      <c r="AK27" s="156" t="s">
        <v>691</v>
      </c>
      <c r="AL27" s="574" t="s">
        <v>690</v>
      </c>
      <c r="AM27" s="198">
        <f t="shared" si="11"/>
        <v>0</v>
      </c>
      <c r="AN27" s="199">
        <f t="shared" si="2"/>
        <v>45299</v>
      </c>
      <c r="AO27" s="159" t="s">
        <v>692</v>
      </c>
      <c r="AP27" s="781"/>
      <c r="AQ27" s="782">
        <v>12063755</v>
      </c>
      <c r="AR27" s="782">
        <v>12061353</v>
      </c>
      <c r="AS27" s="782">
        <v>12061354</v>
      </c>
      <c r="AT27" s="782">
        <v>12068566</v>
      </c>
      <c r="AU27" s="781"/>
      <c r="AV27" s="782">
        <v>12068564</v>
      </c>
      <c r="AW27" s="782">
        <v>12062153</v>
      </c>
      <c r="AX27" s="782"/>
      <c r="AY27" s="782">
        <v>12068565</v>
      </c>
      <c r="AZ27" s="782"/>
      <c r="BA27" s="781"/>
    </row>
    <row r="28" spans="1:53" ht="25" hidden="1" customHeight="1">
      <c r="B28" s="213">
        <v>45299</v>
      </c>
      <c r="C28" s="214">
        <v>45303</v>
      </c>
      <c r="D28" s="185">
        <f t="shared" si="0"/>
        <v>2024</v>
      </c>
      <c r="E28" s="215" t="str">
        <f>VLOOKUP($B28,Week!$A$1:$C$1462,2,0)</f>
        <v>Week2</v>
      </c>
      <c r="F28" s="216" t="str">
        <f t="shared" si="1"/>
        <v>Jan</v>
      </c>
      <c r="G28" s="215" t="s">
        <v>765</v>
      </c>
      <c r="H28" s="215" t="s">
        <v>104</v>
      </c>
      <c r="I28" s="215" t="s">
        <v>2772</v>
      </c>
      <c r="J28" s="209" t="s">
        <v>105</v>
      </c>
      <c r="K28" s="217" t="s">
        <v>107</v>
      </c>
      <c r="L28" s="300" t="s">
        <v>2167</v>
      </c>
      <c r="M28" s="209" t="s">
        <v>108</v>
      </c>
      <c r="N28" s="215" t="s">
        <v>109</v>
      </c>
      <c r="O28" s="215" t="s">
        <v>110</v>
      </c>
      <c r="P28" s="218">
        <v>36</v>
      </c>
      <c r="Q28" s="218">
        <v>5</v>
      </c>
      <c r="R28" s="219">
        <v>7.4999999999999997E-3</v>
      </c>
      <c r="S28" s="215" t="s">
        <v>111</v>
      </c>
      <c r="T28" s="215" t="s">
        <v>112</v>
      </c>
      <c r="U28" s="215" t="s">
        <v>113</v>
      </c>
      <c r="V28" s="220">
        <v>792</v>
      </c>
      <c r="W28" s="220">
        <v>792</v>
      </c>
      <c r="X28" s="221"/>
      <c r="Y28" s="222">
        <f t="shared" si="12"/>
        <v>0</v>
      </c>
      <c r="Z28" s="223">
        <f t="shared" si="13"/>
        <v>0</v>
      </c>
      <c r="AA28" s="223"/>
      <c r="AB28" s="807"/>
      <c r="AC28" s="220"/>
      <c r="AD28" s="209"/>
      <c r="AE28" s="210"/>
      <c r="AF28" s="210"/>
      <c r="AG28" s="211">
        <f t="shared" si="14"/>
        <v>0.308</v>
      </c>
      <c r="AH28" s="157">
        <f t="shared" si="15"/>
        <v>0</v>
      </c>
      <c r="AI28" s="152">
        <f t="shared" si="16"/>
        <v>28512</v>
      </c>
      <c r="AK28" s="156" t="s">
        <v>691</v>
      </c>
      <c r="AL28" s="574" t="s">
        <v>690</v>
      </c>
      <c r="AM28" s="198">
        <f t="shared" si="11"/>
        <v>0</v>
      </c>
      <c r="AN28" s="199">
        <f t="shared" si="2"/>
        <v>45299</v>
      </c>
      <c r="AO28" s="159" t="s">
        <v>692</v>
      </c>
      <c r="AP28" s="781"/>
      <c r="AQ28" s="782">
        <v>12063755</v>
      </c>
      <c r="AR28" s="782">
        <v>12061353</v>
      </c>
      <c r="AS28" s="782">
        <v>12061354</v>
      </c>
      <c r="AT28" s="782">
        <v>12068566</v>
      </c>
      <c r="AU28" s="781"/>
      <c r="AV28" s="782">
        <v>12068564</v>
      </c>
      <c r="AW28" s="782">
        <v>12062153</v>
      </c>
      <c r="AX28" s="782"/>
      <c r="AY28" s="782">
        <v>12068565</v>
      </c>
      <c r="AZ28" s="782"/>
      <c r="BA28" s="781"/>
    </row>
    <row r="29" spans="1:53" ht="25" hidden="1" customHeight="1">
      <c r="B29" s="213">
        <v>45299</v>
      </c>
      <c r="C29" s="214">
        <v>45303</v>
      </c>
      <c r="D29" s="185">
        <f t="shared" si="0"/>
        <v>2024</v>
      </c>
      <c r="E29" s="215" t="str">
        <f>VLOOKUP($B29,Week!$A$1:$C$1462,2,0)</f>
        <v>Week2</v>
      </c>
      <c r="F29" s="216" t="str">
        <f t="shared" si="1"/>
        <v>Jan</v>
      </c>
      <c r="G29" s="215" t="s">
        <v>766</v>
      </c>
      <c r="H29" s="215" t="s">
        <v>104</v>
      </c>
      <c r="I29" s="215" t="s">
        <v>2772</v>
      </c>
      <c r="J29" s="209" t="s">
        <v>105</v>
      </c>
      <c r="K29" s="217" t="s">
        <v>107</v>
      </c>
      <c r="L29" s="300" t="s">
        <v>2167</v>
      </c>
      <c r="M29" s="209" t="s">
        <v>108</v>
      </c>
      <c r="N29" s="215" t="s">
        <v>109</v>
      </c>
      <c r="O29" s="215" t="s">
        <v>110</v>
      </c>
      <c r="P29" s="218">
        <v>36</v>
      </c>
      <c r="Q29" s="218">
        <v>5</v>
      </c>
      <c r="R29" s="219">
        <v>7.4999999999999997E-3</v>
      </c>
      <c r="S29" s="215" t="s">
        <v>111</v>
      </c>
      <c r="T29" s="215" t="s">
        <v>112</v>
      </c>
      <c r="U29" s="215" t="s">
        <v>113</v>
      </c>
      <c r="V29" s="220">
        <v>792</v>
      </c>
      <c r="W29" s="220">
        <v>792</v>
      </c>
      <c r="X29" s="221"/>
      <c r="Y29" s="222">
        <f t="shared" si="12"/>
        <v>0</v>
      </c>
      <c r="Z29" s="223">
        <f t="shared" si="13"/>
        <v>0</v>
      </c>
      <c r="AA29" s="223"/>
      <c r="AB29" s="807"/>
      <c r="AC29" s="220"/>
      <c r="AD29" s="209"/>
      <c r="AE29" s="210"/>
      <c r="AF29" s="210"/>
      <c r="AG29" s="211">
        <f t="shared" si="14"/>
        <v>0.308</v>
      </c>
      <c r="AH29" s="157">
        <f t="shared" si="15"/>
        <v>0</v>
      </c>
      <c r="AI29" s="152">
        <f t="shared" si="16"/>
        <v>28512</v>
      </c>
      <c r="AK29" s="156" t="s">
        <v>691</v>
      </c>
      <c r="AL29" s="574" t="s">
        <v>690</v>
      </c>
      <c r="AM29" s="198">
        <f t="shared" si="11"/>
        <v>0</v>
      </c>
      <c r="AN29" s="199">
        <f t="shared" si="2"/>
        <v>45299</v>
      </c>
      <c r="AO29" s="159" t="s">
        <v>692</v>
      </c>
      <c r="AP29" s="781"/>
      <c r="AQ29" s="782">
        <v>12063755</v>
      </c>
      <c r="AR29" s="782">
        <v>12061353</v>
      </c>
      <c r="AS29" s="782">
        <v>12061354</v>
      </c>
      <c r="AT29" s="782">
        <v>12068566</v>
      </c>
      <c r="AU29" s="781"/>
      <c r="AV29" s="782">
        <v>12068564</v>
      </c>
      <c r="AW29" s="782">
        <v>12062153</v>
      </c>
      <c r="AX29" s="782"/>
      <c r="AY29" s="782">
        <v>12068565</v>
      </c>
      <c r="AZ29" s="782"/>
      <c r="BA29" s="781"/>
    </row>
    <row r="30" spans="1:53" ht="25" hidden="1" customHeight="1">
      <c r="B30" s="213">
        <v>45299</v>
      </c>
      <c r="C30" s="214">
        <v>45317</v>
      </c>
      <c r="D30" s="185">
        <f t="shared" si="0"/>
        <v>2024</v>
      </c>
      <c r="E30" s="215" t="str">
        <f>VLOOKUP($B30,Week!$A$1:$C$1462,2,0)</f>
        <v>Week2</v>
      </c>
      <c r="F30" s="216" t="str">
        <f t="shared" si="1"/>
        <v>Jan</v>
      </c>
      <c r="G30" s="215" t="s">
        <v>767</v>
      </c>
      <c r="H30" s="215" t="s">
        <v>104</v>
      </c>
      <c r="I30" s="215" t="s">
        <v>2772</v>
      </c>
      <c r="J30" s="209" t="s">
        <v>105</v>
      </c>
      <c r="K30" s="217" t="s">
        <v>107</v>
      </c>
      <c r="L30" s="300" t="s">
        <v>2167</v>
      </c>
      <c r="M30" s="209" t="s">
        <v>108</v>
      </c>
      <c r="N30" s="215" t="s">
        <v>109</v>
      </c>
      <c r="O30" s="215" t="s">
        <v>110</v>
      </c>
      <c r="P30" s="218">
        <v>36</v>
      </c>
      <c r="Q30" s="218">
        <v>5</v>
      </c>
      <c r="R30" s="219">
        <v>7.4999999999999997E-3</v>
      </c>
      <c r="S30" s="215" t="s">
        <v>111</v>
      </c>
      <c r="T30" s="215" t="s">
        <v>112</v>
      </c>
      <c r="U30" s="215" t="s">
        <v>113</v>
      </c>
      <c r="V30" s="220">
        <v>615</v>
      </c>
      <c r="W30" s="220">
        <f>2330-131-792-792</f>
        <v>615</v>
      </c>
      <c r="X30" s="221"/>
      <c r="Y30" s="222">
        <f t="shared" si="12"/>
        <v>0</v>
      </c>
      <c r="Z30" s="223">
        <f t="shared" si="13"/>
        <v>0</v>
      </c>
      <c r="AA30" s="223"/>
      <c r="AB30" s="807"/>
      <c r="AC30" s="220"/>
      <c r="AD30" s="209"/>
      <c r="AE30" s="210"/>
      <c r="AF30" s="210"/>
      <c r="AG30" s="211">
        <f t="shared" si="14"/>
        <v>0.308</v>
      </c>
      <c r="AH30" s="157">
        <f t="shared" si="15"/>
        <v>0</v>
      </c>
      <c r="AI30" s="152">
        <f t="shared" si="16"/>
        <v>22140</v>
      </c>
      <c r="AK30" s="156" t="s">
        <v>691</v>
      </c>
      <c r="AL30" s="574" t="s">
        <v>690</v>
      </c>
      <c r="AM30" s="198">
        <f t="shared" si="11"/>
        <v>0</v>
      </c>
      <c r="AN30" s="199">
        <f t="shared" si="2"/>
        <v>45299</v>
      </c>
      <c r="AO30" s="159" t="s">
        <v>692</v>
      </c>
      <c r="AP30" s="781"/>
      <c r="AQ30" s="782">
        <v>12063755</v>
      </c>
      <c r="AR30" s="782">
        <v>12061353</v>
      </c>
      <c r="AS30" s="782">
        <v>12061354</v>
      </c>
      <c r="AT30" s="782">
        <v>12068566</v>
      </c>
      <c r="AU30" s="781"/>
      <c r="AV30" s="782">
        <v>12068564</v>
      </c>
      <c r="AW30" s="782">
        <v>12062153</v>
      </c>
      <c r="AX30" s="782"/>
      <c r="AY30" s="782">
        <v>12068565</v>
      </c>
      <c r="AZ30" s="782"/>
      <c r="BA30" s="781"/>
    </row>
    <row r="31" spans="1:53" ht="24.65" hidden="1" customHeight="1">
      <c r="A31" s="529" t="s">
        <v>651</v>
      </c>
      <c r="B31" s="308">
        <v>45299</v>
      </c>
      <c r="C31" s="309">
        <v>45303</v>
      </c>
      <c r="D31" s="185">
        <f t="shared" si="0"/>
        <v>2024</v>
      </c>
      <c r="E31" s="309" t="str">
        <f>VLOOKUP($B31,Week!$A$1:$C$1462,2,0)</f>
        <v>Week2</v>
      </c>
      <c r="F31" s="310" t="str">
        <f t="shared" si="1"/>
        <v>Jan</v>
      </c>
      <c r="G31" s="311" t="s">
        <v>760</v>
      </c>
      <c r="H31" s="311" t="s">
        <v>311</v>
      </c>
      <c r="I31" s="311" t="s">
        <v>2772</v>
      </c>
      <c r="J31" s="312" t="s">
        <v>738</v>
      </c>
      <c r="K31" s="313" t="s">
        <v>107</v>
      </c>
      <c r="L31" s="300" t="s">
        <v>2167</v>
      </c>
      <c r="M31" s="312" t="s">
        <v>313</v>
      </c>
      <c r="N31" s="311" t="s">
        <v>314</v>
      </c>
      <c r="O31" s="311" t="s">
        <v>110</v>
      </c>
      <c r="P31" s="314">
        <v>36</v>
      </c>
      <c r="Q31" s="314">
        <v>5</v>
      </c>
      <c r="R31" s="315">
        <v>7.4999999999999997E-3</v>
      </c>
      <c r="S31" s="311" t="s">
        <v>111</v>
      </c>
      <c r="T31" s="311" t="s">
        <v>112</v>
      </c>
      <c r="U31" s="311" t="s">
        <v>57</v>
      </c>
      <c r="V31" s="316">
        <v>792</v>
      </c>
      <c r="W31" s="316">
        <v>792</v>
      </c>
      <c r="X31" s="317"/>
      <c r="Y31" s="318">
        <f t="shared" si="12"/>
        <v>0</v>
      </c>
      <c r="Z31" s="319">
        <f t="shared" si="13"/>
        <v>0</v>
      </c>
      <c r="AA31" s="319"/>
      <c r="AB31" s="815"/>
      <c r="AC31" s="316"/>
      <c r="AD31" s="515"/>
      <c r="AE31" s="210"/>
      <c r="AF31" s="210"/>
      <c r="AG31" s="211">
        <f t="shared" si="14"/>
        <v>0.308</v>
      </c>
      <c r="AH31" s="157">
        <f t="shared" si="15"/>
        <v>0</v>
      </c>
      <c r="AI31" s="152">
        <f t="shared" si="16"/>
        <v>28512</v>
      </c>
      <c r="AK31" s="156" t="s">
        <v>691</v>
      </c>
      <c r="AL31" s="212" t="s">
        <v>690</v>
      </c>
      <c r="AM31" s="198">
        <f t="shared" si="11"/>
        <v>0</v>
      </c>
      <c r="AN31" s="199">
        <f t="shared" si="2"/>
        <v>45299</v>
      </c>
      <c r="AO31" s="159" t="s">
        <v>692</v>
      </c>
      <c r="AP31" s="783" t="s">
        <v>644</v>
      </c>
      <c r="AQ31" s="782">
        <v>12063755</v>
      </c>
      <c r="AR31" s="782">
        <v>12061353</v>
      </c>
      <c r="AS31" s="782">
        <v>12061354</v>
      </c>
      <c r="AT31" s="782">
        <v>12062266</v>
      </c>
      <c r="AU31" s="781"/>
      <c r="AV31" s="782">
        <v>12062261</v>
      </c>
      <c r="AW31" s="782">
        <v>12062153</v>
      </c>
      <c r="AX31" s="782"/>
      <c r="AY31" s="782">
        <v>12062262</v>
      </c>
      <c r="AZ31" s="782"/>
      <c r="BA31" s="781"/>
    </row>
    <row r="32" spans="1:53" ht="24.65" hidden="1" customHeight="1">
      <c r="A32" s="529" t="s">
        <v>651</v>
      </c>
      <c r="B32" s="308">
        <v>45299</v>
      </c>
      <c r="C32" s="309">
        <v>45309</v>
      </c>
      <c r="D32" s="185">
        <f t="shared" si="0"/>
        <v>2024</v>
      </c>
      <c r="E32" s="309" t="str">
        <f>VLOOKUP($B32,Week!$A$1:$C$1462,2,0)</f>
        <v>Week2</v>
      </c>
      <c r="F32" s="310" t="str">
        <f t="shared" si="1"/>
        <v>Jan</v>
      </c>
      <c r="G32" s="311" t="s">
        <v>761</v>
      </c>
      <c r="H32" s="311" t="s">
        <v>311</v>
      </c>
      <c r="I32" s="311" t="s">
        <v>2772</v>
      </c>
      <c r="J32" s="312" t="s">
        <v>738</v>
      </c>
      <c r="K32" s="313" t="s">
        <v>107</v>
      </c>
      <c r="L32" s="300" t="s">
        <v>2167</v>
      </c>
      <c r="M32" s="312" t="s">
        <v>313</v>
      </c>
      <c r="N32" s="311" t="s">
        <v>314</v>
      </c>
      <c r="O32" s="311" t="s">
        <v>110</v>
      </c>
      <c r="P32" s="314">
        <v>36</v>
      </c>
      <c r="Q32" s="314">
        <v>5</v>
      </c>
      <c r="R32" s="315">
        <v>7.4999999999999997E-3</v>
      </c>
      <c r="S32" s="311" t="s">
        <v>111</v>
      </c>
      <c r="T32" s="311" t="s">
        <v>112</v>
      </c>
      <c r="U32" s="311" t="s">
        <v>57</v>
      </c>
      <c r="V32" s="316">
        <v>792</v>
      </c>
      <c r="W32" s="316">
        <f>1086-792</f>
        <v>294</v>
      </c>
      <c r="X32" s="317">
        <f>(17928)/36</f>
        <v>498</v>
      </c>
      <c r="Y32" s="318">
        <f t="shared" si="12"/>
        <v>0</v>
      </c>
      <c r="Z32" s="319">
        <f t="shared" si="13"/>
        <v>0</v>
      </c>
      <c r="AA32" s="319"/>
      <c r="AB32" s="815"/>
      <c r="AC32" s="316"/>
      <c r="AD32" s="515"/>
      <c r="AE32" s="210"/>
      <c r="AF32" s="210"/>
      <c r="AG32" s="211">
        <f t="shared" si="14"/>
        <v>0.308</v>
      </c>
      <c r="AH32" s="157">
        <f t="shared" si="15"/>
        <v>0</v>
      </c>
      <c r="AI32" s="152">
        <f t="shared" si="16"/>
        <v>28512</v>
      </c>
      <c r="AK32" s="156" t="s">
        <v>691</v>
      </c>
      <c r="AL32" s="212" t="s">
        <v>690</v>
      </c>
      <c r="AM32" s="198">
        <f t="shared" si="11"/>
        <v>0</v>
      </c>
      <c r="AN32" s="199">
        <f t="shared" si="2"/>
        <v>45299</v>
      </c>
      <c r="AO32" s="159" t="s">
        <v>692</v>
      </c>
      <c r="AP32" s="783" t="s">
        <v>644</v>
      </c>
      <c r="AQ32" s="782">
        <v>12063755</v>
      </c>
      <c r="AR32" s="782">
        <v>12061353</v>
      </c>
      <c r="AS32" s="782">
        <v>12061354</v>
      </c>
      <c r="AT32" s="782">
        <v>12062266</v>
      </c>
      <c r="AU32" s="781"/>
      <c r="AV32" s="782">
        <v>12062261</v>
      </c>
      <c r="AW32" s="782">
        <v>12062153</v>
      </c>
      <c r="AX32" s="782"/>
      <c r="AY32" s="782">
        <v>12062262</v>
      </c>
      <c r="AZ32" s="782"/>
      <c r="BA32" s="781"/>
    </row>
    <row r="33" spans="1:53" ht="25" hidden="1" customHeight="1">
      <c r="A33" s="142" t="s">
        <v>120</v>
      </c>
      <c r="B33" s="582">
        <v>45299</v>
      </c>
      <c r="C33" s="535">
        <v>45330</v>
      </c>
      <c r="D33" s="185">
        <f t="shared" si="0"/>
        <v>2024</v>
      </c>
      <c r="E33" s="535" t="str">
        <f>VLOOKUP($B33,Week!$A$1:$C$1462,2,0)</f>
        <v>Week2</v>
      </c>
      <c r="F33" s="536" t="str">
        <f t="shared" si="1"/>
        <v>Jan</v>
      </c>
      <c r="G33" s="537" t="s">
        <v>1012</v>
      </c>
      <c r="H33" s="537" t="s">
        <v>82</v>
      </c>
      <c r="I33" s="537" t="s">
        <v>82</v>
      </c>
      <c r="J33" s="538" t="s">
        <v>235</v>
      </c>
      <c r="K33" s="539" t="s">
        <v>85</v>
      </c>
      <c r="L33" s="390" t="s">
        <v>2166</v>
      </c>
      <c r="M33" s="538" t="s">
        <v>165</v>
      </c>
      <c r="N33" s="537" t="s">
        <v>258</v>
      </c>
      <c r="O33" s="537" t="s">
        <v>705</v>
      </c>
      <c r="P33" s="540">
        <v>20</v>
      </c>
      <c r="Q33" s="540">
        <v>12</v>
      </c>
      <c r="R33" s="541">
        <v>6.8100000000000001E-3</v>
      </c>
      <c r="S33" s="537" t="s">
        <v>76</v>
      </c>
      <c r="T33" s="537" t="s">
        <v>56</v>
      </c>
      <c r="U33" s="537" t="s">
        <v>89</v>
      </c>
      <c r="V33" s="542">
        <v>1282</v>
      </c>
      <c r="W33" s="542">
        <f>1282</f>
        <v>1282</v>
      </c>
      <c r="X33" s="543"/>
      <c r="Y33" s="544">
        <f t="shared" si="12"/>
        <v>0</v>
      </c>
      <c r="Z33" s="545">
        <f t="shared" si="13"/>
        <v>0</v>
      </c>
      <c r="AA33" s="545">
        <f>Q33*Z33</f>
        <v>0</v>
      </c>
      <c r="AB33" s="832">
        <v>2</v>
      </c>
      <c r="AC33" s="542">
        <f>Z33*AB33</f>
        <v>0</v>
      </c>
      <c r="AD33" s="209"/>
      <c r="AE33" s="210"/>
      <c r="AF33" s="210"/>
      <c r="AG33" s="211">
        <f t="shared" si="14"/>
        <v>0.14399999999999999</v>
      </c>
      <c r="AH33" s="157">
        <f t="shared" si="15"/>
        <v>0</v>
      </c>
      <c r="AI33" s="152">
        <f t="shared" si="16"/>
        <v>25640</v>
      </c>
      <c r="AK33" s="156" t="s">
        <v>691</v>
      </c>
      <c r="AL33" s="156" t="s">
        <v>689</v>
      </c>
      <c r="AM33" s="198">
        <f t="shared" si="11"/>
        <v>0</v>
      </c>
      <c r="AN33" s="199">
        <f t="shared" si="2"/>
        <v>45299</v>
      </c>
      <c r="AO33" s="159" t="s">
        <v>692</v>
      </c>
      <c r="AP33" s="781"/>
      <c r="AQ33" s="782">
        <v>12071839</v>
      </c>
      <c r="AR33" s="783" t="s">
        <v>523</v>
      </c>
      <c r="AS33" s="781"/>
      <c r="AT33" s="783" t="s">
        <v>524</v>
      </c>
      <c r="AU33" s="781"/>
      <c r="AV33" s="782">
        <v>12027007</v>
      </c>
      <c r="AW33" s="782"/>
      <c r="AX33" s="782" t="s">
        <v>398</v>
      </c>
      <c r="AY33" s="782"/>
      <c r="AZ33" s="782"/>
      <c r="BA33" s="781"/>
    </row>
    <row r="34" spans="1:53" ht="25" hidden="1" customHeight="1">
      <c r="B34" s="283">
        <v>45300</v>
      </c>
      <c r="C34" s="284">
        <v>45324</v>
      </c>
      <c r="D34" s="185">
        <f t="shared" si="0"/>
        <v>2024</v>
      </c>
      <c r="E34" s="284" t="str">
        <f>VLOOKUP($B34,Week!$A$1:$C$1462,2,0)</f>
        <v>Week2</v>
      </c>
      <c r="F34" s="285" t="str">
        <f t="shared" si="1"/>
        <v>Jan</v>
      </c>
      <c r="G34" s="460" t="s">
        <v>836</v>
      </c>
      <c r="H34" s="286" t="s">
        <v>104</v>
      </c>
      <c r="I34" s="286" t="s">
        <v>2772</v>
      </c>
      <c r="J34" s="287" t="s">
        <v>105</v>
      </c>
      <c r="K34" s="288" t="s">
        <v>51</v>
      </c>
      <c r="L34" s="300" t="s">
        <v>2167</v>
      </c>
      <c r="M34" s="287" t="s">
        <v>595</v>
      </c>
      <c r="N34" s="286" t="s">
        <v>597</v>
      </c>
      <c r="O34" s="286" t="s">
        <v>187</v>
      </c>
      <c r="P34" s="289">
        <v>8</v>
      </c>
      <c r="Q34" s="289">
        <v>5</v>
      </c>
      <c r="R34" s="290">
        <v>6.0000000000000001E-3</v>
      </c>
      <c r="S34" s="286" t="s">
        <v>55</v>
      </c>
      <c r="T34" s="286" t="s">
        <v>112</v>
      </c>
      <c r="U34" s="286" t="s">
        <v>57</v>
      </c>
      <c r="V34" s="291">
        <f>1400</f>
        <v>1400</v>
      </c>
      <c r="W34" s="291"/>
      <c r="X34" s="292">
        <f>(1607+9593)/8</f>
        <v>1400</v>
      </c>
      <c r="Y34" s="293">
        <f t="shared" si="12"/>
        <v>0</v>
      </c>
      <c r="Z34" s="294">
        <f t="shared" si="13"/>
        <v>0</v>
      </c>
      <c r="AA34" s="294"/>
      <c r="AB34" s="813"/>
      <c r="AC34" s="291"/>
      <c r="AD34" s="209"/>
      <c r="AE34" s="210"/>
      <c r="AF34" s="210"/>
      <c r="AG34" s="211">
        <f t="shared" si="14"/>
        <v>0.14499999999999999</v>
      </c>
      <c r="AH34" s="157">
        <v>0.26621999999999996</v>
      </c>
      <c r="AI34" s="152">
        <f t="shared" si="16"/>
        <v>11200</v>
      </c>
      <c r="AK34" s="156" t="s">
        <v>691</v>
      </c>
      <c r="AL34" s="574" t="s">
        <v>690</v>
      </c>
      <c r="AM34" s="198">
        <f t="shared" si="11"/>
        <v>0</v>
      </c>
      <c r="AN34" s="199">
        <f t="shared" si="2"/>
        <v>45300</v>
      </c>
      <c r="AO34" s="159" t="s">
        <v>692</v>
      </c>
      <c r="AP34" s="783" t="s">
        <v>640</v>
      </c>
      <c r="AQ34" s="782">
        <v>12071839</v>
      </c>
      <c r="AR34" s="782">
        <v>12047514</v>
      </c>
      <c r="AS34" s="782">
        <v>12047515</v>
      </c>
      <c r="AT34" s="782">
        <v>12083107</v>
      </c>
      <c r="AU34" s="781"/>
      <c r="AV34" s="782">
        <v>12084002</v>
      </c>
      <c r="AW34" s="781"/>
      <c r="AX34" s="781"/>
      <c r="AY34" s="781"/>
      <c r="AZ34" s="782"/>
      <c r="BA34" s="781"/>
    </row>
    <row r="35" spans="1:53" ht="25" hidden="1" customHeight="1">
      <c r="B35" s="283">
        <v>45300</v>
      </c>
      <c r="C35" s="284">
        <v>45335</v>
      </c>
      <c r="D35" s="185">
        <f t="shared" si="0"/>
        <v>2024</v>
      </c>
      <c r="E35" s="284" t="str">
        <f>VLOOKUP($B35,Week!$A$1:$C$1462,2,0)</f>
        <v>Week2</v>
      </c>
      <c r="F35" s="285" t="str">
        <f t="shared" si="1"/>
        <v>Jan</v>
      </c>
      <c r="G35" s="460" t="s">
        <v>881</v>
      </c>
      <c r="H35" s="286" t="s">
        <v>104</v>
      </c>
      <c r="I35" s="286" t="s">
        <v>2772</v>
      </c>
      <c r="J35" s="287" t="s">
        <v>105</v>
      </c>
      <c r="K35" s="288" t="s">
        <v>51</v>
      </c>
      <c r="L35" s="300" t="s">
        <v>2167</v>
      </c>
      <c r="M35" s="287" t="s">
        <v>595</v>
      </c>
      <c r="N35" s="286" t="s">
        <v>597</v>
      </c>
      <c r="O35" s="286" t="s">
        <v>187</v>
      </c>
      <c r="P35" s="289">
        <v>8</v>
      </c>
      <c r="Q35" s="289">
        <v>5</v>
      </c>
      <c r="R35" s="290">
        <v>6.0000000000000001E-3</v>
      </c>
      <c r="S35" s="286" t="s">
        <v>55</v>
      </c>
      <c r="T35" s="286" t="s">
        <v>112</v>
      </c>
      <c r="U35" s="286" t="s">
        <v>57</v>
      </c>
      <c r="V35" s="291">
        <f>1400</f>
        <v>1400</v>
      </c>
      <c r="W35" s="291"/>
      <c r="X35" s="292">
        <f>(11200)/8</f>
        <v>1400</v>
      </c>
      <c r="Y35" s="293">
        <f t="shared" si="12"/>
        <v>0</v>
      </c>
      <c r="Z35" s="294">
        <f t="shared" si="13"/>
        <v>0</v>
      </c>
      <c r="AA35" s="294"/>
      <c r="AB35" s="813"/>
      <c r="AC35" s="291"/>
      <c r="AD35" s="209"/>
      <c r="AE35" s="210"/>
      <c r="AF35" s="210"/>
      <c r="AG35" s="211">
        <f t="shared" si="14"/>
        <v>0.14499999999999999</v>
      </c>
      <c r="AH35" s="157">
        <v>0.26621999999999996</v>
      </c>
      <c r="AI35" s="152">
        <f t="shared" si="16"/>
        <v>11200</v>
      </c>
      <c r="AK35" s="156" t="s">
        <v>691</v>
      </c>
      <c r="AL35" s="574" t="s">
        <v>690</v>
      </c>
      <c r="AM35" s="198">
        <f t="shared" si="11"/>
        <v>0</v>
      </c>
      <c r="AN35" s="199">
        <f t="shared" si="2"/>
        <v>45300</v>
      </c>
      <c r="AO35" s="159" t="s">
        <v>692</v>
      </c>
      <c r="AP35" s="783" t="s">
        <v>640</v>
      </c>
      <c r="AQ35" s="782">
        <v>12071839</v>
      </c>
      <c r="AR35" s="782">
        <v>12047514</v>
      </c>
      <c r="AS35" s="782">
        <v>12047515</v>
      </c>
      <c r="AT35" s="782">
        <v>12083107</v>
      </c>
      <c r="AU35" s="781"/>
      <c r="AV35" s="782">
        <v>12084002</v>
      </c>
      <c r="AW35" s="781"/>
      <c r="AX35" s="781"/>
      <c r="AY35" s="781"/>
      <c r="AZ35" s="782"/>
      <c r="BA35" s="781"/>
    </row>
    <row r="36" spans="1:53" ht="25" hidden="1" customHeight="1">
      <c r="B36" s="283">
        <v>45300</v>
      </c>
      <c r="C36" s="284">
        <v>45342</v>
      </c>
      <c r="D36" s="185">
        <f t="shared" si="0"/>
        <v>2024</v>
      </c>
      <c r="E36" s="284" t="str">
        <f>VLOOKUP($B36,Week!$A$1:$C$1462,2,0)</f>
        <v>Week2</v>
      </c>
      <c r="F36" s="285" t="str">
        <f t="shared" si="1"/>
        <v>Jan</v>
      </c>
      <c r="G36" s="460" t="s">
        <v>882</v>
      </c>
      <c r="H36" s="286" t="s">
        <v>104</v>
      </c>
      <c r="I36" s="286" t="s">
        <v>2772</v>
      </c>
      <c r="J36" s="287" t="s">
        <v>105</v>
      </c>
      <c r="K36" s="288" t="s">
        <v>51</v>
      </c>
      <c r="L36" s="300" t="s">
        <v>2167</v>
      </c>
      <c r="M36" s="287" t="s">
        <v>595</v>
      </c>
      <c r="N36" s="286" t="s">
        <v>597</v>
      </c>
      <c r="O36" s="286" t="s">
        <v>187</v>
      </c>
      <c r="P36" s="289">
        <v>8</v>
      </c>
      <c r="Q36" s="289">
        <v>5</v>
      </c>
      <c r="R36" s="290">
        <v>6.0000000000000001E-3</v>
      </c>
      <c r="S36" s="286" t="s">
        <v>55</v>
      </c>
      <c r="T36" s="286" t="s">
        <v>112</v>
      </c>
      <c r="U36" s="286" t="s">
        <v>57</v>
      </c>
      <c r="V36" s="291">
        <f>700</f>
        <v>700</v>
      </c>
      <c r="W36" s="291"/>
      <c r="X36" s="292">
        <f>(5600)/8</f>
        <v>700</v>
      </c>
      <c r="Y36" s="293">
        <f t="shared" si="12"/>
        <v>0</v>
      </c>
      <c r="Z36" s="294">
        <f t="shared" si="13"/>
        <v>0</v>
      </c>
      <c r="AA36" s="294"/>
      <c r="AB36" s="813"/>
      <c r="AC36" s="291"/>
      <c r="AD36" s="209"/>
      <c r="AE36" s="210"/>
      <c r="AF36" s="210"/>
      <c r="AG36" s="211">
        <f t="shared" si="14"/>
        <v>0.14499999999999999</v>
      </c>
      <c r="AH36" s="157">
        <v>0.26621999999999996</v>
      </c>
      <c r="AI36" s="152">
        <f t="shared" si="16"/>
        <v>5600</v>
      </c>
      <c r="AK36" s="156" t="s">
        <v>691</v>
      </c>
      <c r="AL36" s="574" t="s">
        <v>690</v>
      </c>
      <c r="AM36" s="198">
        <f t="shared" si="11"/>
        <v>0</v>
      </c>
      <c r="AN36" s="199">
        <f t="shared" si="2"/>
        <v>45300</v>
      </c>
      <c r="AO36" s="159" t="s">
        <v>692</v>
      </c>
      <c r="AP36" s="783" t="s">
        <v>640</v>
      </c>
      <c r="AQ36" s="782">
        <v>12071839</v>
      </c>
      <c r="AR36" s="782">
        <v>12047514</v>
      </c>
      <c r="AS36" s="782">
        <v>12047515</v>
      </c>
      <c r="AT36" s="782">
        <v>12083107</v>
      </c>
      <c r="AU36" s="781"/>
      <c r="AV36" s="782">
        <v>12084002</v>
      </c>
      <c r="AW36" s="781"/>
      <c r="AX36" s="781"/>
      <c r="AY36" s="781"/>
      <c r="AZ36" s="782"/>
      <c r="BA36" s="781"/>
    </row>
    <row r="37" spans="1:53" ht="25" hidden="1" customHeight="1">
      <c r="B37" s="213">
        <v>45300</v>
      </c>
      <c r="C37" s="214">
        <v>45317</v>
      </c>
      <c r="D37" s="185">
        <f t="shared" si="0"/>
        <v>2024</v>
      </c>
      <c r="E37" s="215" t="str">
        <f>VLOOKUP($B37,Week!$A$1:$C$1462,2,0)</f>
        <v>Week2</v>
      </c>
      <c r="F37" s="216" t="str">
        <f t="shared" si="1"/>
        <v>Jan</v>
      </c>
      <c r="G37" s="215" t="s">
        <v>767</v>
      </c>
      <c r="H37" s="215" t="s">
        <v>104</v>
      </c>
      <c r="I37" s="215" t="s">
        <v>2772</v>
      </c>
      <c r="J37" s="209" t="s">
        <v>105</v>
      </c>
      <c r="K37" s="217" t="s">
        <v>107</v>
      </c>
      <c r="L37" s="300" t="s">
        <v>2167</v>
      </c>
      <c r="M37" s="209" t="s">
        <v>108</v>
      </c>
      <c r="N37" s="215" t="s">
        <v>109</v>
      </c>
      <c r="O37" s="215" t="s">
        <v>110</v>
      </c>
      <c r="P37" s="218">
        <v>36</v>
      </c>
      <c r="Q37" s="218">
        <v>5</v>
      </c>
      <c r="R37" s="219">
        <v>7.4999999999999997E-3</v>
      </c>
      <c r="S37" s="215" t="s">
        <v>111</v>
      </c>
      <c r="T37" s="215" t="s">
        <v>112</v>
      </c>
      <c r="U37" s="215" t="s">
        <v>113</v>
      </c>
      <c r="V37" s="220">
        <f>792-615</f>
        <v>177</v>
      </c>
      <c r="W37" s="220">
        <v>177</v>
      </c>
      <c r="X37" s="221"/>
      <c r="Y37" s="222">
        <f t="shared" si="12"/>
        <v>0</v>
      </c>
      <c r="Z37" s="223">
        <f t="shared" si="13"/>
        <v>0</v>
      </c>
      <c r="AA37" s="223"/>
      <c r="AB37" s="807"/>
      <c r="AC37" s="220"/>
      <c r="AD37" s="209"/>
      <c r="AE37" s="210"/>
      <c r="AF37" s="210"/>
      <c r="AG37" s="211">
        <f t="shared" si="14"/>
        <v>0.308</v>
      </c>
      <c r="AH37" s="157">
        <f t="shared" ref="AH37:AH43" si="17">(Z37*AG37)/1000</f>
        <v>0</v>
      </c>
      <c r="AI37" s="152">
        <f t="shared" si="16"/>
        <v>6372</v>
      </c>
      <c r="AK37" s="156" t="s">
        <v>691</v>
      </c>
      <c r="AL37" s="574" t="s">
        <v>690</v>
      </c>
      <c r="AM37" s="198">
        <f t="shared" si="11"/>
        <v>0</v>
      </c>
      <c r="AN37" s="199">
        <f t="shared" si="2"/>
        <v>45300</v>
      </c>
      <c r="AO37" s="159" t="s">
        <v>692</v>
      </c>
      <c r="AP37" s="781"/>
      <c r="AQ37" s="782">
        <v>12063755</v>
      </c>
      <c r="AR37" s="782">
        <v>12061353</v>
      </c>
      <c r="AS37" s="782">
        <v>12061354</v>
      </c>
      <c r="AT37" s="782">
        <v>12068566</v>
      </c>
      <c r="AU37" s="781"/>
      <c r="AV37" s="782">
        <v>12068564</v>
      </c>
      <c r="AW37" s="782">
        <v>12062153</v>
      </c>
      <c r="AX37" s="782"/>
      <c r="AY37" s="782">
        <v>12068565</v>
      </c>
      <c r="AZ37" s="782"/>
      <c r="BA37" s="781"/>
    </row>
    <row r="38" spans="1:53" ht="25" hidden="1" customHeight="1">
      <c r="B38" s="213">
        <v>45300</v>
      </c>
      <c r="C38" s="214">
        <v>45317</v>
      </c>
      <c r="D38" s="185">
        <f t="shared" si="0"/>
        <v>2024</v>
      </c>
      <c r="E38" s="215" t="str">
        <f>VLOOKUP($B38,Week!$A$1:$C$1462,2,0)</f>
        <v>Week2</v>
      </c>
      <c r="F38" s="216" t="str">
        <f t="shared" si="1"/>
        <v>Jan</v>
      </c>
      <c r="G38" s="215" t="s">
        <v>768</v>
      </c>
      <c r="H38" s="215" t="s">
        <v>104</v>
      </c>
      <c r="I38" s="215" t="s">
        <v>2772</v>
      </c>
      <c r="J38" s="209" t="s">
        <v>105</v>
      </c>
      <c r="K38" s="217" t="s">
        <v>107</v>
      </c>
      <c r="L38" s="300" t="s">
        <v>2167</v>
      </c>
      <c r="M38" s="209" t="s">
        <v>108</v>
      </c>
      <c r="N38" s="215" t="s">
        <v>109</v>
      </c>
      <c r="O38" s="215" t="s">
        <v>110</v>
      </c>
      <c r="P38" s="218">
        <v>36</v>
      </c>
      <c r="Q38" s="218">
        <v>5</v>
      </c>
      <c r="R38" s="219">
        <v>7.4999999999999997E-3</v>
      </c>
      <c r="S38" s="215" t="s">
        <v>111</v>
      </c>
      <c r="T38" s="215" t="s">
        <v>112</v>
      </c>
      <c r="U38" s="215" t="s">
        <v>113</v>
      </c>
      <c r="V38" s="220">
        <v>792</v>
      </c>
      <c r="W38" s="220">
        <v>792</v>
      </c>
      <c r="X38" s="221"/>
      <c r="Y38" s="222">
        <f t="shared" si="12"/>
        <v>0</v>
      </c>
      <c r="Z38" s="223">
        <f t="shared" si="13"/>
        <v>0</v>
      </c>
      <c r="AA38" s="223"/>
      <c r="AB38" s="807"/>
      <c r="AC38" s="220"/>
      <c r="AD38" s="209"/>
      <c r="AE38" s="210"/>
      <c r="AF38" s="210"/>
      <c r="AG38" s="211">
        <f t="shared" si="14"/>
        <v>0.308</v>
      </c>
      <c r="AH38" s="157">
        <f t="shared" si="17"/>
        <v>0</v>
      </c>
      <c r="AI38" s="152">
        <f t="shared" si="16"/>
        <v>28512</v>
      </c>
      <c r="AK38" s="156" t="s">
        <v>691</v>
      </c>
      <c r="AL38" s="574" t="s">
        <v>690</v>
      </c>
      <c r="AM38" s="198">
        <f t="shared" si="11"/>
        <v>0</v>
      </c>
      <c r="AN38" s="199">
        <f t="shared" si="2"/>
        <v>45300</v>
      </c>
      <c r="AO38" s="159" t="s">
        <v>692</v>
      </c>
      <c r="AP38" s="781"/>
      <c r="AQ38" s="782">
        <v>12063755</v>
      </c>
      <c r="AR38" s="782">
        <v>12061353</v>
      </c>
      <c r="AS38" s="782">
        <v>12061354</v>
      </c>
      <c r="AT38" s="782">
        <v>12068566</v>
      </c>
      <c r="AU38" s="781"/>
      <c r="AV38" s="782">
        <v>12068564</v>
      </c>
      <c r="AW38" s="782">
        <v>12062153</v>
      </c>
      <c r="AX38" s="782"/>
      <c r="AY38" s="782">
        <v>12068565</v>
      </c>
      <c r="AZ38" s="782"/>
      <c r="BA38" s="781"/>
    </row>
    <row r="39" spans="1:53" ht="25" hidden="1" customHeight="1">
      <c r="B39" s="213">
        <v>45300</v>
      </c>
      <c r="C39" s="214">
        <v>45317</v>
      </c>
      <c r="D39" s="185">
        <f t="shared" si="0"/>
        <v>2024</v>
      </c>
      <c r="E39" s="215" t="str">
        <f>VLOOKUP($B39,Week!$A$1:$C$1462,2,0)</f>
        <v>Week2</v>
      </c>
      <c r="F39" s="216" t="str">
        <f t="shared" si="1"/>
        <v>Jan</v>
      </c>
      <c r="G39" s="215" t="s">
        <v>769</v>
      </c>
      <c r="H39" s="215" t="s">
        <v>104</v>
      </c>
      <c r="I39" s="215" t="s">
        <v>2772</v>
      </c>
      <c r="J39" s="209" t="s">
        <v>105</v>
      </c>
      <c r="K39" s="217" t="s">
        <v>107</v>
      </c>
      <c r="L39" s="300" t="s">
        <v>2167</v>
      </c>
      <c r="M39" s="209" t="s">
        <v>108</v>
      </c>
      <c r="N39" s="215" t="s">
        <v>109</v>
      </c>
      <c r="O39" s="215" t="s">
        <v>110</v>
      </c>
      <c r="P39" s="218">
        <v>36</v>
      </c>
      <c r="Q39" s="218">
        <v>5</v>
      </c>
      <c r="R39" s="219">
        <v>7.4999999999999997E-3</v>
      </c>
      <c r="S39" s="215" t="s">
        <v>111</v>
      </c>
      <c r="T39" s="215" t="s">
        <v>112</v>
      </c>
      <c r="U39" s="215" t="s">
        <v>113</v>
      </c>
      <c r="V39" s="220">
        <v>792</v>
      </c>
      <c r="W39" s="220">
        <v>792</v>
      </c>
      <c r="X39" s="221"/>
      <c r="Y39" s="222">
        <f t="shared" si="12"/>
        <v>0</v>
      </c>
      <c r="Z39" s="223">
        <f t="shared" si="13"/>
        <v>0</v>
      </c>
      <c r="AA39" s="223"/>
      <c r="AB39" s="807"/>
      <c r="AC39" s="220"/>
      <c r="AD39" s="209"/>
      <c r="AE39" s="210"/>
      <c r="AF39" s="210"/>
      <c r="AG39" s="211">
        <f t="shared" si="14"/>
        <v>0.308</v>
      </c>
      <c r="AH39" s="157">
        <f t="shared" si="17"/>
        <v>0</v>
      </c>
      <c r="AI39" s="152">
        <f t="shared" si="16"/>
        <v>28512</v>
      </c>
      <c r="AK39" s="156" t="s">
        <v>691</v>
      </c>
      <c r="AL39" s="574" t="s">
        <v>690</v>
      </c>
      <c r="AM39" s="198">
        <f t="shared" si="11"/>
        <v>0</v>
      </c>
      <c r="AN39" s="199">
        <f t="shared" si="2"/>
        <v>45300</v>
      </c>
      <c r="AO39" s="159" t="s">
        <v>692</v>
      </c>
      <c r="AP39" s="781"/>
      <c r="AQ39" s="782">
        <v>12063755</v>
      </c>
      <c r="AR39" s="782">
        <v>12061353</v>
      </c>
      <c r="AS39" s="782">
        <v>12061354</v>
      </c>
      <c r="AT39" s="782">
        <v>12068566</v>
      </c>
      <c r="AU39" s="781"/>
      <c r="AV39" s="782">
        <v>12068564</v>
      </c>
      <c r="AW39" s="782">
        <v>12062153</v>
      </c>
      <c r="AX39" s="782"/>
      <c r="AY39" s="782">
        <v>12068565</v>
      </c>
      <c r="AZ39" s="782"/>
      <c r="BA39" s="781"/>
    </row>
    <row r="40" spans="1:53" ht="25" hidden="1" customHeight="1">
      <c r="B40" s="213">
        <v>45300</v>
      </c>
      <c r="C40" s="214">
        <v>45317</v>
      </c>
      <c r="D40" s="185">
        <f t="shared" si="0"/>
        <v>2024</v>
      </c>
      <c r="E40" s="215" t="str">
        <f>VLOOKUP($B40,Week!$A$1:$C$1462,2,0)</f>
        <v>Week2</v>
      </c>
      <c r="F40" s="216" t="str">
        <f t="shared" si="1"/>
        <v>Jan</v>
      </c>
      <c r="G40" s="215" t="s">
        <v>770</v>
      </c>
      <c r="H40" s="215" t="s">
        <v>104</v>
      </c>
      <c r="I40" s="215" t="s">
        <v>2772</v>
      </c>
      <c r="J40" s="209" t="s">
        <v>105</v>
      </c>
      <c r="K40" s="217" t="s">
        <v>107</v>
      </c>
      <c r="L40" s="300" t="s">
        <v>2167</v>
      </c>
      <c r="M40" s="209" t="s">
        <v>108</v>
      </c>
      <c r="N40" s="215" t="s">
        <v>109</v>
      </c>
      <c r="O40" s="215" t="s">
        <v>110</v>
      </c>
      <c r="P40" s="218">
        <v>36</v>
      </c>
      <c r="Q40" s="218">
        <v>5</v>
      </c>
      <c r="R40" s="219">
        <v>7.4999999999999997E-3</v>
      </c>
      <c r="S40" s="215" t="s">
        <v>111</v>
      </c>
      <c r="T40" s="215" t="s">
        <v>112</v>
      </c>
      <c r="U40" s="215" t="s">
        <v>113</v>
      </c>
      <c r="V40" s="220">
        <v>792</v>
      </c>
      <c r="W40" s="220">
        <v>792</v>
      </c>
      <c r="X40" s="221"/>
      <c r="Y40" s="222">
        <f t="shared" si="12"/>
        <v>0</v>
      </c>
      <c r="Z40" s="223">
        <f t="shared" si="13"/>
        <v>0</v>
      </c>
      <c r="AA40" s="223"/>
      <c r="AB40" s="807"/>
      <c r="AC40" s="220"/>
      <c r="AD40" s="209"/>
      <c r="AE40" s="210"/>
      <c r="AF40" s="210"/>
      <c r="AG40" s="211">
        <f t="shared" si="14"/>
        <v>0.308</v>
      </c>
      <c r="AH40" s="157">
        <f t="shared" si="17"/>
        <v>0</v>
      </c>
      <c r="AI40" s="152">
        <f t="shared" si="16"/>
        <v>28512</v>
      </c>
      <c r="AK40" s="156" t="s">
        <v>691</v>
      </c>
      <c r="AL40" s="574" t="s">
        <v>690</v>
      </c>
      <c r="AM40" s="198">
        <f t="shared" si="11"/>
        <v>0</v>
      </c>
      <c r="AN40" s="199">
        <f t="shared" si="2"/>
        <v>45300</v>
      </c>
      <c r="AO40" s="159" t="s">
        <v>692</v>
      </c>
      <c r="AP40" s="781"/>
      <c r="AQ40" s="782">
        <v>12063755</v>
      </c>
      <c r="AR40" s="782">
        <v>12061353</v>
      </c>
      <c r="AS40" s="782">
        <v>12061354</v>
      </c>
      <c r="AT40" s="782">
        <v>12068566</v>
      </c>
      <c r="AU40" s="781"/>
      <c r="AV40" s="782">
        <v>12068564</v>
      </c>
      <c r="AW40" s="782">
        <v>12062153</v>
      </c>
      <c r="AX40" s="782"/>
      <c r="AY40" s="782">
        <v>12068565</v>
      </c>
      <c r="AZ40" s="782"/>
      <c r="BA40" s="781"/>
    </row>
    <row r="41" spans="1:53" ht="25" hidden="1" customHeight="1">
      <c r="B41" s="213">
        <v>45300</v>
      </c>
      <c r="C41" s="214">
        <v>45317</v>
      </c>
      <c r="D41" s="185">
        <f t="shared" si="0"/>
        <v>2024</v>
      </c>
      <c r="E41" s="215" t="str">
        <f>VLOOKUP($B41,Week!$A$1:$C$1462,2,0)</f>
        <v>Week2</v>
      </c>
      <c r="F41" s="216" t="str">
        <f t="shared" si="1"/>
        <v>Jan</v>
      </c>
      <c r="G41" s="215" t="s">
        <v>771</v>
      </c>
      <c r="H41" s="215" t="s">
        <v>104</v>
      </c>
      <c r="I41" s="215" t="s">
        <v>2772</v>
      </c>
      <c r="J41" s="209" t="s">
        <v>105</v>
      </c>
      <c r="K41" s="217" t="s">
        <v>107</v>
      </c>
      <c r="L41" s="300" t="s">
        <v>2167</v>
      </c>
      <c r="M41" s="209" t="s">
        <v>108</v>
      </c>
      <c r="N41" s="215" t="s">
        <v>109</v>
      </c>
      <c r="O41" s="215" t="s">
        <v>110</v>
      </c>
      <c r="P41" s="218">
        <v>36</v>
      </c>
      <c r="Q41" s="218">
        <v>5</v>
      </c>
      <c r="R41" s="219">
        <v>7.4999999999999997E-3</v>
      </c>
      <c r="S41" s="215" t="s">
        <v>111</v>
      </c>
      <c r="T41" s="215" t="s">
        <v>112</v>
      </c>
      <c r="U41" s="215" t="s">
        <v>113</v>
      </c>
      <c r="V41" s="220">
        <v>623</v>
      </c>
      <c r="W41" s="220">
        <f>2594+19-177-792-792-792</f>
        <v>60</v>
      </c>
      <c r="X41" s="221">
        <f>(20268)/36</f>
        <v>563</v>
      </c>
      <c r="Y41" s="222">
        <f t="shared" si="12"/>
        <v>0</v>
      </c>
      <c r="Z41" s="223">
        <f t="shared" si="13"/>
        <v>0</v>
      </c>
      <c r="AA41" s="223"/>
      <c r="AB41" s="807"/>
      <c r="AC41" s="220"/>
      <c r="AD41" s="209"/>
      <c r="AE41" s="210"/>
      <c r="AF41" s="210"/>
      <c r="AG41" s="211">
        <f t="shared" si="14"/>
        <v>0.308</v>
      </c>
      <c r="AH41" s="157">
        <f t="shared" si="17"/>
        <v>0</v>
      </c>
      <c r="AI41" s="152">
        <f t="shared" si="16"/>
        <v>22428</v>
      </c>
      <c r="AK41" s="156" t="s">
        <v>691</v>
      </c>
      <c r="AL41" s="574" t="s">
        <v>690</v>
      </c>
      <c r="AM41" s="198">
        <f t="shared" si="11"/>
        <v>0</v>
      </c>
      <c r="AN41" s="199">
        <f t="shared" si="2"/>
        <v>45300</v>
      </c>
      <c r="AO41" s="159" t="s">
        <v>692</v>
      </c>
      <c r="AP41" s="781"/>
      <c r="AQ41" s="782">
        <v>12063755</v>
      </c>
      <c r="AR41" s="782">
        <v>12061353</v>
      </c>
      <c r="AS41" s="782">
        <v>12061354</v>
      </c>
      <c r="AT41" s="782">
        <v>12068566</v>
      </c>
      <c r="AU41" s="781"/>
      <c r="AV41" s="782">
        <v>12068564</v>
      </c>
      <c r="AW41" s="782">
        <v>12062153</v>
      </c>
      <c r="AX41" s="782"/>
      <c r="AY41" s="782">
        <v>12068565</v>
      </c>
      <c r="AZ41" s="782"/>
      <c r="BA41" s="781"/>
    </row>
    <row r="42" spans="1:53" ht="25" hidden="1" customHeight="1">
      <c r="A42" s="142" t="s">
        <v>120</v>
      </c>
      <c r="B42" s="582">
        <v>45300</v>
      </c>
      <c r="C42" s="535">
        <v>45330</v>
      </c>
      <c r="D42" s="185">
        <f t="shared" si="0"/>
        <v>2024</v>
      </c>
      <c r="E42" s="535" t="str">
        <f>VLOOKUP($B42,Week!$A$1:$C$1462,2,0)</f>
        <v>Week2</v>
      </c>
      <c r="F42" s="536" t="str">
        <f t="shared" si="1"/>
        <v>Jan</v>
      </c>
      <c r="G42" s="537" t="s">
        <v>1012</v>
      </c>
      <c r="H42" s="537" t="s">
        <v>82</v>
      </c>
      <c r="I42" s="537" t="s">
        <v>82</v>
      </c>
      <c r="J42" s="538" t="s">
        <v>235</v>
      </c>
      <c r="K42" s="539" t="s">
        <v>85</v>
      </c>
      <c r="L42" s="390" t="s">
        <v>2166</v>
      </c>
      <c r="M42" s="538" t="s">
        <v>165</v>
      </c>
      <c r="N42" s="537" t="s">
        <v>258</v>
      </c>
      <c r="O42" s="537" t="s">
        <v>705</v>
      </c>
      <c r="P42" s="540">
        <v>20</v>
      </c>
      <c r="Q42" s="540">
        <v>12</v>
      </c>
      <c r="R42" s="541">
        <v>6.8100000000000001E-3</v>
      </c>
      <c r="S42" s="537" t="s">
        <v>76</v>
      </c>
      <c r="T42" s="537" t="s">
        <v>56</v>
      </c>
      <c r="U42" s="537" t="s">
        <v>89</v>
      </c>
      <c r="V42" s="542">
        <f>2470-957-1282</f>
        <v>231</v>
      </c>
      <c r="W42" s="542">
        <f>46+185</f>
        <v>231</v>
      </c>
      <c r="X42" s="543"/>
      <c r="Y42" s="544">
        <f t="shared" si="12"/>
        <v>0</v>
      </c>
      <c r="Z42" s="545">
        <f t="shared" si="13"/>
        <v>0</v>
      </c>
      <c r="AA42" s="545">
        <f>Q42*Z42</f>
        <v>0</v>
      </c>
      <c r="AB42" s="832">
        <v>2</v>
      </c>
      <c r="AC42" s="542">
        <f>Z42*AB42</f>
        <v>0</v>
      </c>
      <c r="AD42" s="209"/>
      <c r="AE42" s="210"/>
      <c r="AF42" s="210"/>
      <c r="AG42" s="211">
        <f t="shared" si="14"/>
        <v>0.14399999999999999</v>
      </c>
      <c r="AH42" s="157">
        <f t="shared" si="17"/>
        <v>0</v>
      </c>
      <c r="AI42" s="152">
        <f t="shared" si="16"/>
        <v>4620</v>
      </c>
      <c r="AK42" s="156" t="s">
        <v>691</v>
      </c>
      <c r="AL42" s="156" t="s">
        <v>689</v>
      </c>
      <c r="AM42" s="198">
        <f t="shared" si="11"/>
        <v>0</v>
      </c>
      <c r="AN42" s="199">
        <f t="shared" si="2"/>
        <v>45300</v>
      </c>
      <c r="AO42" s="159" t="s">
        <v>692</v>
      </c>
      <c r="AP42" s="781"/>
      <c r="AQ42" s="782">
        <v>12071839</v>
      </c>
      <c r="AR42" s="783" t="s">
        <v>523</v>
      </c>
      <c r="AS42" s="781"/>
      <c r="AT42" s="783" t="s">
        <v>524</v>
      </c>
      <c r="AU42" s="781"/>
      <c r="AV42" s="782">
        <v>12027007</v>
      </c>
      <c r="AW42" s="782"/>
      <c r="AX42" s="782" t="s">
        <v>398</v>
      </c>
      <c r="AY42" s="782"/>
      <c r="AZ42" s="782"/>
      <c r="BA42" s="781"/>
    </row>
    <row r="43" spans="1:53" ht="25" hidden="1" customHeight="1">
      <c r="A43" s="142" t="s">
        <v>120</v>
      </c>
      <c r="B43" s="581">
        <v>45300</v>
      </c>
      <c r="C43" s="333">
        <v>45330</v>
      </c>
      <c r="D43" s="185">
        <f t="shared" si="0"/>
        <v>2024</v>
      </c>
      <c r="E43" s="335" t="str">
        <f>VLOOKUP($B43,Week!$A$1:$C$1462,2,0)</f>
        <v>Week2</v>
      </c>
      <c r="F43" s="334" t="str">
        <f t="shared" si="1"/>
        <v>Jan</v>
      </c>
      <c r="G43" s="335" t="s">
        <v>1012</v>
      </c>
      <c r="H43" s="335" t="s">
        <v>82</v>
      </c>
      <c r="I43" s="335" t="s">
        <v>82</v>
      </c>
      <c r="J43" s="336" t="s">
        <v>235</v>
      </c>
      <c r="K43" s="337" t="s">
        <v>85</v>
      </c>
      <c r="L43" s="390" t="s">
        <v>2166</v>
      </c>
      <c r="M43" s="336" t="s">
        <v>86</v>
      </c>
      <c r="N43" s="335" t="s">
        <v>273</v>
      </c>
      <c r="O43" s="335" t="s">
        <v>507</v>
      </c>
      <c r="P43" s="338">
        <v>8</v>
      </c>
      <c r="Q43" s="338">
        <v>50</v>
      </c>
      <c r="R43" s="339">
        <v>6.8100000000000001E-3</v>
      </c>
      <c r="S43" s="335" t="s">
        <v>76</v>
      </c>
      <c r="T43" s="335" t="s">
        <v>56</v>
      </c>
      <c r="U43" s="335" t="s">
        <v>89</v>
      </c>
      <c r="V43" s="341">
        <v>600</v>
      </c>
      <c r="W43" s="341">
        <f>5+595</f>
        <v>600</v>
      </c>
      <c r="X43" s="342"/>
      <c r="Y43" s="343">
        <f t="shared" si="12"/>
        <v>0</v>
      </c>
      <c r="Z43" s="344">
        <f t="shared" si="13"/>
        <v>0</v>
      </c>
      <c r="AA43" s="344">
        <f>Q43*Z43</f>
        <v>0</v>
      </c>
      <c r="AB43" s="817">
        <v>6</v>
      </c>
      <c r="AC43" s="341">
        <f>Z43*AB43</f>
        <v>0</v>
      </c>
      <c r="AD43" s="209"/>
      <c r="AE43" s="210"/>
      <c r="AF43" s="210"/>
      <c r="AG43" s="211">
        <f t="shared" si="14"/>
        <v>0.63</v>
      </c>
      <c r="AH43" s="157">
        <f t="shared" si="17"/>
        <v>0</v>
      </c>
      <c r="AI43" s="152">
        <f t="shared" si="16"/>
        <v>4800</v>
      </c>
      <c r="AK43" s="156" t="s">
        <v>691</v>
      </c>
      <c r="AL43" s="156" t="s">
        <v>689</v>
      </c>
      <c r="AM43" s="198">
        <f t="shared" si="11"/>
        <v>0</v>
      </c>
      <c r="AN43" s="199">
        <f t="shared" si="2"/>
        <v>45300</v>
      </c>
      <c r="AO43" s="159" t="s">
        <v>692</v>
      </c>
      <c r="AP43" s="781"/>
      <c r="AQ43" s="782">
        <v>12004862</v>
      </c>
      <c r="AR43" s="782">
        <v>12055234</v>
      </c>
      <c r="AS43" s="782"/>
      <c r="AT43" s="782">
        <v>12056345</v>
      </c>
      <c r="AU43" s="781"/>
      <c r="AV43" s="782">
        <v>12056200</v>
      </c>
      <c r="AW43" s="782"/>
      <c r="AX43" s="782" t="s">
        <v>93</v>
      </c>
      <c r="AY43" s="782"/>
      <c r="AZ43" s="782"/>
      <c r="BA43" s="781"/>
    </row>
    <row r="44" spans="1:53" ht="25" hidden="1" customHeight="1">
      <c r="B44" s="246">
        <v>45301</v>
      </c>
      <c r="C44" s="247">
        <v>45324</v>
      </c>
      <c r="D44" s="185">
        <f t="shared" si="0"/>
        <v>2024</v>
      </c>
      <c r="E44" s="247" t="str">
        <f>VLOOKUP($B44,Week!$A$1:$C$1462,2,0)</f>
        <v>Week2</v>
      </c>
      <c r="F44" s="248" t="str">
        <f t="shared" si="1"/>
        <v>Jan</v>
      </c>
      <c r="G44" s="599" t="s">
        <v>836</v>
      </c>
      <c r="H44" s="249" t="s">
        <v>104</v>
      </c>
      <c r="I44" s="249" t="s">
        <v>2772</v>
      </c>
      <c r="J44" s="250" t="s">
        <v>105</v>
      </c>
      <c r="K44" s="251" t="s">
        <v>593</v>
      </c>
      <c r="L44" s="300" t="s">
        <v>2167</v>
      </c>
      <c r="M44" s="250" t="s">
        <v>594</v>
      </c>
      <c r="N44" s="249" t="s">
        <v>596</v>
      </c>
      <c r="O44" s="249" t="s">
        <v>304</v>
      </c>
      <c r="P44" s="252">
        <v>8</v>
      </c>
      <c r="Q44" s="252">
        <v>5</v>
      </c>
      <c r="R44" s="253">
        <v>6.0000000000000001E-3</v>
      </c>
      <c r="S44" s="249" t="s">
        <v>55</v>
      </c>
      <c r="T44" s="249" t="s">
        <v>112</v>
      </c>
      <c r="U44" s="249" t="s">
        <v>57</v>
      </c>
      <c r="V44" s="254">
        <v>1900</v>
      </c>
      <c r="W44" s="254"/>
      <c r="X44" s="255">
        <f>(562+14638)/8</f>
        <v>1900</v>
      </c>
      <c r="Y44" s="256">
        <f t="shared" si="12"/>
        <v>0</v>
      </c>
      <c r="Z44" s="257">
        <f t="shared" si="13"/>
        <v>0</v>
      </c>
      <c r="AA44" s="257"/>
      <c r="AB44" s="810"/>
      <c r="AC44" s="254"/>
      <c r="AD44" s="209"/>
      <c r="AE44" s="210"/>
      <c r="AF44" s="210"/>
      <c r="AG44" s="211">
        <f t="shared" si="14"/>
        <v>0.25800000000000001</v>
      </c>
      <c r="AH44" s="157">
        <v>0.26621999999999996</v>
      </c>
      <c r="AI44" s="152">
        <f t="shared" si="16"/>
        <v>15200</v>
      </c>
      <c r="AK44" s="156" t="s">
        <v>691</v>
      </c>
      <c r="AL44" s="574" t="s">
        <v>690</v>
      </c>
      <c r="AM44" s="198">
        <f>AG44*Z44</f>
        <v>0</v>
      </c>
      <c r="AN44" s="199">
        <f t="shared" si="2"/>
        <v>45301</v>
      </c>
      <c r="AO44" s="159" t="s">
        <v>692</v>
      </c>
      <c r="AP44" s="781"/>
      <c r="AQ44" s="782">
        <v>12071839</v>
      </c>
      <c r="AR44" s="782">
        <v>12042650</v>
      </c>
      <c r="AS44" s="782">
        <v>12042649</v>
      </c>
      <c r="AT44" s="782">
        <v>12084100</v>
      </c>
      <c r="AU44" s="781"/>
      <c r="AV44" s="782">
        <v>12084001</v>
      </c>
      <c r="AW44" s="781"/>
      <c r="AX44" s="781"/>
      <c r="AY44" s="781"/>
      <c r="AZ44" s="782"/>
      <c r="BA44" s="781"/>
    </row>
    <row r="45" spans="1:53" ht="25" hidden="1" customHeight="1">
      <c r="B45" s="246">
        <v>45301</v>
      </c>
      <c r="C45" s="247">
        <v>45324</v>
      </c>
      <c r="D45" s="185">
        <f t="shared" si="0"/>
        <v>2024</v>
      </c>
      <c r="E45" s="247" t="str">
        <f>VLOOKUP($B45,Week!$A$1:$C$1462,2,0)</f>
        <v>Week2</v>
      </c>
      <c r="F45" s="248" t="str">
        <f t="shared" si="1"/>
        <v>Jan</v>
      </c>
      <c r="G45" s="599" t="s">
        <v>837</v>
      </c>
      <c r="H45" s="249" t="s">
        <v>104</v>
      </c>
      <c r="I45" s="249" t="s">
        <v>2772</v>
      </c>
      <c r="J45" s="250" t="s">
        <v>105</v>
      </c>
      <c r="K45" s="251" t="s">
        <v>593</v>
      </c>
      <c r="L45" s="300" t="s">
        <v>2167</v>
      </c>
      <c r="M45" s="250" t="s">
        <v>594</v>
      </c>
      <c r="N45" s="249" t="s">
        <v>596</v>
      </c>
      <c r="O45" s="249" t="s">
        <v>304</v>
      </c>
      <c r="P45" s="252">
        <v>8</v>
      </c>
      <c r="Q45" s="252">
        <v>5</v>
      </c>
      <c r="R45" s="253">
        <v>6.0000000000000001E-3</v>
      </c>
      <c r="S45" s="249" t="s">
        <v>55</v>
      </c>
      <c r="T45" s="249" t="s">
        <v>112</v>
      </c>
      <c r="U45" s="249" t="s">
        <v>57</v>
      </c>
      <c r="V45" s="254">
        <v>2400</v>
      </c>
      <c r="W45" s="254"/>
      <c r="X45" s="255">
        <f>(19200)/8</f>
        <v>2400</v>
      </c>
      <c r="Y45" s="256">
        <f t="shared" si="12"/>
        <v>0</v>
      </c>
      <c r="Z45" s="257">
        <f t="shared" si="13"/>
        <v>0</v>
      </c>
      <c r="AA45" s="257"/>
      <c r="AB45" s="810"/>
      <c r="AC45" s="254"/>
      <c r="AD45" s="209"/>
      <c r="AE45" s="210"/>
      <c r="AF45" s="210"/>
      <c r="AG45" s="211">
        <f t="shared" si="14"/>
        <v>0.25800000000000001</v>
      </c>
      <c r="AH45" s="157">
        <v>0.26621999999999996</v>
      </c>
      <c r="AI45" s="152">
        <f t="shared" si="16"/>
        <v>19200</v>
      </c>
      <c r="AK45" s="156" t="s">
        <v>691</v>
      </c>
      <c r="AL45" s="574" t="s">
        <v>690</v>
      </c>
      <c r="AM45" s="198">
        <f t="shared" si="11"/>
        <v>0</v>
      </c>
      <c r="AN45" s="199">
        <f t="shared" si="2"/>
        <v>45301</v>
      </c>
      <c r="AO45" s="159" t="s">
        <v>692</v>
      </c>
      <c r="AP45" s="781"/>
      <c r="AQ45" s="782">
        <v>12071839</v>
      </c>
      <c r="AR45" s="782">
        <v>12042650</v>
      </c>
      <c r="AS45" s="782">
        <v>12042649</v>
      </c>
      <c r="AT45" s="782">
        <v>12084100</v>
      </c>
      <c r="AU45" s="781"/>
      <c r="AV45" s="782">
        <v>12084001</v>
      </c>
      <c r="AW45" s="781"/>
      <c r="AX45" s="781"/>
      <c r="AY45" s="781"/>
      <c r="AZ45" s="782"/>
      <c r="BA45" s="781"/>
    </row>
    <row r="46" spans="1:53" ht="25" hidden="1" customHeight="1">
      <c r="B46" s="246">
        <v>45301</v>
      </c>
      <c r="C46" s="247">
        <v>45335</v>
      </c>
      <c r="D46" s="185">
        <f t="shared" si="0"/>
        <v>2024</v>
      </c>
      <c r="E46" s="247" t="str">
        <f>VLOOKUP($B46,Week!$A$1:$C$1462,2,0)</f>
        <v>Week2</v>
      </c>
      <c r="F46" s="248" t="str">
        <f t="shared" si="1"/>
        <v>Jan</v>
      </c>
      <c r="G46" s="599" t="s">
        <v>881</v>
      </c>
      <c r="H46" s="249" t="s">
        <v>104</v>
      </c>
      <c r="I46" s="249" t="s">
        <v>2772</v>
      </c>
      <c r="J46" s="250" t="s">
        <v>105</v>
      </c>
      <c r="K46" s="251" t="s">
        <v>593</v>
      </c>
      <c r="L46" s="300" t="s">
        <v>2167</v>
      </c>
      <c r="M46" s="250" t="s">
        <v>594</v>
      </c>
      <c r="N46" s="249" t="s">
        <v>596</v>
      </c>
      <c r="O46" s="249" t="s">
        <v>304</v>
      </c>
      <c r="P46" s="252">
        <v>8</v>
      </c>
      <c r="Q46" s="252">
        <v>5</v>
      </c>
      <c r="R46" s="253">
        <v>6.0000000000000001E-3</v>
      </c>
      <c r="S46" s="249" t="s">
        <v>55</v>
      </c>
      <c r="T46" s="249" t="s">
        <v>112</v>
      </c>
      <c r="U46" s="249" t="s">
        <v>57</v>
      </c>
      <c r="V46" s="254">
        <f>1900-29</f>
        <v>1871</v>
      </c>
      <c r="W46" s="254"/>
      <c r="X46" s="255">
        <f>(14971)/8</f>
        <v>1871.375</v>
      </c>
      <c r="Y46" s="256">
        <f t="shared" si="12"/>
        <v>0.375</v>
      </c>
      <c r="Z46" s="257">
        <f t="shared" si="13"/>
        <v>0</v>
      </c>
      <c r="AA46" s="257"/>
      <c r="AB46" s="810"/>
      <c r="AC46" s="254"/>
      <c r="AD46" s="209"/>
      <c r="AE46" s="210"/>
      <c r="AF46" s="210"/>
      <c r="AG46" s="211">
        <f t="shared" si="14"/>
        <v>0.25800000000000001</v>
      </c>
      <c r="AH46" s="157">
        <v>0.26621999999999996</v>
      </c>
      <c r="AI46" s="152">
        <f t="shared" si="16"/>
        <v>14968</v>
      </c>
      <c r="AK46" s="156" t="s">
        <v>691</v>
      </c>
      <c r="AL46" s="574" t="s">
        <v>690</v>
      </c>
      <c r="AM46" s="198">
        <f t="shared" si="11"/>
        <v>0</v>
      </c>
      <c r="AN46" s="199">
        <f t="shared" si="2"/>
        <v>45301</v>
      </c>
      <c r="AO46" s="159" t="s">
        <v>692</v>
      </c>
      <c r="AP46" s="781"/>
      <c r="AQ46" s="782">
        <v>12071839</v>
      </c>
      <c r="AR46" s="782">
        <v>12042650</v>
      </c>
      <c r="AS46" s="782">
        <v>12042649</v>
      </c>
      <c r="AT46" s="782">
        <v>12084100</v>
      </c>
      <c r="AU46" s="781"/>
      <c r="AV46" s="782">
        <v>12084001</v>
      </c>
      <c r="AW46" s="781"/>
      <c r="AX46" s="781"/>
      <c r="AY46" s="781"/>
      <c r="AZ46" s="782"/>
      <c r="BA46" s="781"/>
    </row>
    <row r="47" spans="1:53" ht="24.65" hidden="1" customHeight="1">
      <c r="B47" s="308">
        <v>45301</v>
      </c>
      <c r="C47" s="309">
        <v>45309</v>
      </c>
      <c r="D47" s="185">
        <f t="shared" si="0"/>
        <v>2024</v>
      </c>
      <c r="E47" s="309" t="str">
        <f>VLOOKUP($B47,Week!$A$1:$C$1462,2,0)</f>
        <v>Week2</v>
      </c>
      <c r="F47" s="310" t="str">
        <f t="shared" si="1"/>
        <v>Jan</v>
      </c>
      <c r="G47" s="311" t="s">
        <v>762</v>
      </c>
      <c r="H47" s="311" t="s">
        <v>311</v>
      </c>
      <c r="I47" s="311" t="s">
        <v>2772</v>
      </c>
      <c r="J47" s="312" t="s">
        <v>738</v>
      </c>
      <c r="K47" s="313" t="s">
        <v>107</v>
      </c>
      <c r="L47" s="300" t="s">
        <v>2167</v>
      </c>
      <c r="M47" s="312" t="s">
        <v>313</v>
      </c>
      <c r="N47" s="311" t="s">
        <v>314</v>
      </c>
      <c r="O47" s="311" t="s">
        <v>110</v>
      </c>
      <c r="P47" s="314">
        <v>36</v>
      </c>
      <c r="Q47" s="314">
        <v>5</v>
      </c>
      <c r="R47" s="315">
        <v>7.4999999999999997E-3</v>
      </c>
      <c r="S47" s="311" t="s">
        <v>111</v>
      </c>
      <c r="T47" s="311" t="s">
        <v>112</v>
      </c>
      <c r="U47" s="311" t="s">
        <v>57</v>
      </c>
      <c r="V47" s="316">
        <v>792</v>
      </c>
      <c r="W47" s="316">
        <f>28+764</f>
        <v>792</v>
      </c>
      <c r="X47" s="317"/>
      <c r="Y47" s="318">
        <f t="shared" si="12"/>
        <v>0</v>
      </c>
      <c r="Z47" s="319">
        <f t="shared" si="13"/>
        <v>0</v>
      </c>
      <c r="AA47" s="319"/>
      <c r="AB47" s="815"/>
      <c r="AC47" s="316"/>
      <c r="AD47" s="515"/>
      <c r="AE47" s="210"/>
      <c r="AF47" s="210"/>
      <c r="AG47" s="211">
        <f t="shared" si="14"/>
        <v>0.308</v>
      </c>
      <c r="AH47" s="157">
        <f t="shared" ref="AH47:AH54" si="18">(Z47*AG47)/1000</f>
        <v>0</v>
      </c>
      <c r="AI47" s="152">
        <f t="shared" si="16"/>
        <v>28512</v>
      </c>
      <c r="AK47" s="156" t="s">
        <v>691</v>
      </c>
      <c r="AL47" s="212" t="s">
        <v>690</v>
      </c>
      <c r="AM47" s="198">
        <f t="shared" si="11"/>
        <v>0</v>
      </c>
      <c r="AN47" s="199">
        <f t="shared" si="2"/>
        <v>45301</v>
      </c>
      <c r="AO47" s="159" t="s">
        <v>692</v>
      </c>
      <c r="AP47" s="783" t="s">
        <v>644</v>
      </c>
      <c r="AQ47" s="782">
        <v>12063755</v>
      </c>
      <c r="AR47" s="782">
        <v>12061353</v>
      </c>
      <c r="AS47" s="782">
        <v>12061354</v>
      </c>
      <c r="AT47" s="782">
        <v>12062266</v>
      </c>
      <c r="AU47" s="781"/>
      <c r="AV47" s="782">
        <v>12062261</v>
      </c>
      <c r="AW47" s="782">
        <v>12062153</v>
      </c>
      <c r="AX47" s="782"/>
      <c r="AY47" s="782">
        <v>12062262</v>
      </c>
      <c r="AZ47" s="782"/>
      <c r="BA47" s="781"/>
    </row>
    <row r="48" spans="1:53" ht="25" hidden="1" customHeight="1">
      <c r="A48" s="440"/>
      <c r="B48" s="271">
        <v>45301</v>
      </c>
      <c r="C48" s="271">
        <v>45310</v>
      </c>
      <c r="D48" s="185">
        <f t="shared" si="0"/>
        <v>2024</v>
      </c>
      <c r="E48" s="441" t="str">
        <f>VLOOKUP($B48,Week!$A$1:$C$1462,2,0)</f>
        <v>Week2</v>
      </c>
      <c r="F48" s="442" t="str">
        <f t="shared" si="1"/>
        <v>Jan</v>
      </c>
      <c r="G48" s="274" t="s">
        <v>846</v>
      </c>
      <c r="H48" s="274" t="s">
        <v>267</v>
      </c>
      <c r="I48" s="274" t="s">
        <v>2772</v>
      </c>
      <c r="J48" s="275" t="s">
        <v>699</v>
      </c>
      <c r="K48" s="276" t="s">
        <v>107</v>
      </c>
      <c r="L48" s="300" t="s">
        <v>2167</v>
      </c>
      <c r="M48" s="275" t="s">
        <v>136</v>
      </c>
      <c r="N48" s="274" t="s">
        <v>269</v>
      </c>
      <c r="O48" s="274" t="s">
        <v>270</v>
      </c>
      <c r="P48" s="277">
        <v>12</v>
      </c>
      <c r="Q48" s="277">
        <v>3</v>
      </c>
      <c r="R48" s="278">
        <v>7.4999999999999997E-3</v>
      </c>
      <c r="S48" s="274" t="s">
        <v>111</v>
      </c>
      <c r="T48" s="274" t="s">
        <v>112</v>
      </c>
      <c r="U48" s="274" t="s">
        <v>57</v>
      </c>
      <c r="V48" s="279">
        <v>2520</v>
      </c>
      <c r="W48" s="279">
        <v>2520</v>
      </c>
      <c r="X48" s="280"/>
      <c r="Y48" s="281">
        <f t="shared" si="12"/>
        <v>0</v>
      </c>
      <c r="Z48" s="282">
        <f t="shared" si="13"/>
        <v>0</v>
      </c>
      <c r="AA48" s="282"/>
      <c r="AB48" s="812"/>
      <c r="AC48" s="279"/>
      <c r="AD48" s="443" t="s">
        <v>737</v>
      </c>
      <c r="AE48" s="210"/>
      <c r="AF48" s="210"/>
      <c r="AG48" s="211">
        <f t="shared" si="14"/>
        <v>0.309</v>
      </c>
      <c r="AH48" s="157">
        <f t="shared" si="18"/>
        <v>0</v>
      </c>
      <c r="AI48" s="152">
        <f t="shared" si="16"/>
        <v>30240</v>
      </c>
      <c r="AK48" s="156" t="s">
        <v>691</v>
      </c>
      <c r="AL48" s="212" t="s">
        <v>690</v>
      </c>
      <c r="AM48" s="198">
        <f t="shared" si="11"/>
        <v>0</v>
      </c>
      <c r="AN48" s="199">
        <f t="shared" si="2"/>
        <v>45301</v>
      </c>
      <c r="AO48" s="159" t="s">
        <v>692</v>
      </c>
      <c r="AP48" s="781"/>
      <c r="AQ48" s="782">
        <v>12063755</v>
      </c>
      <c r="AR48" s="782">
        <v>12081257</v>
      </c>
      <c r="AS48" s="782">
        <v>12081260</v>
      </c>
      <c r="AT48" s="782"/>
      <c r="AU48" s="781"/>
      <c r="AV48" s="782">
        <v>12073316</v>
      </c>
      <c r="AW48" s="782"/>
      <c r="AX48" s="782"/>
      <c r="AY48" s="782">
        <v>12073342</v>
      </c>
      <c r="AZ48" s="782">
        <v>12073344</v>
      </c>
      <c r="BA48" s="782">
        <v>12073343</v>
      </c>
    </row>
    <row r="49" spans="1:53" ht="25" hidden="1" customHeight="1">
      <c r="A49" s="142" t="s">
        <v>120</v>
      </c>
      <c r="B49" s="385">
        <v>45301</v>
      </c>
      <c r="C49" s="386">
        <v>45307</v>
      </c>
      <c r="D49" s="185">
        <f t="shared" si="0"/>
        <v>2024</v>
      </c>
      <c r="E49" s="386" t="str">
        <f>VLOOKUP($B49,Week!$A$1:$C$1462,2,0)</f>
        <v>Week2</v>
      </c>
      <c r="F49" s="387" t="str">
        <f t="shared" si="1"/>
        <v>Jan</v>
      </c>
      <c r="G49" s="388" t="s">
        <v>756</v>
      </c>
      <c r="H49" s="388" t="s">
        <v>500</v>
      </c>
      <c r="I49" s="388" t="s">
        <v>2772</v>
      </c>
      <c r="J49" s="389" t="s">
        <v>285</v>
      </c>
      <c r="K49" s="390" t="s">
        <v>153</v>
      </c>
      <c r="L49" s="390" t="s">
        <v>2166</v>
      </c>
      <c r="M49" s="389" t="s">
        <v>165</v>
      </c>
      <c r="N49" s="388" t="s">
        <v>286</v>
      </c>
      <c r="O49" s="388" t="s">
        <v>503</v>
      </c>
      <c r="P49" s="391">
        <v>40</v>
      </c>
      <c r="Q49" s="391">
        <v>12</v>
      </c>
      <c r="R49" s="392">
        <v>6.8100000000000001E-3</v>
      </c>
      <c r="S49" s="388" t="s">
        <v>76</v>
      </c>
      <c r="T49" s="388" t="s">
        <v>56</v>
      </c>
      <c r="U49" s="388" t="s">
        <v>89</v>
      </c>
      <c r="V49" s="393">
        <v>694</v>
      </c>
      <c r="W49" s="393">
        <f>638</f>
        <v>638</v>
      </c>
      <c r="X49" s="394">
        <f>(2240)/40</f>
        <v>56</v>
      </c>
      <c r="Y49" s="395">
        <f t="shared" si="12"/>
        <v>0</v>
      </c>
      <c r="Z49" s="396">
        <f t="shared" si="13"/>
        <v>0</v>
      </c>
      <c r="AA49" s="396">
        <f>Q49*Z49</f>
        <v>0</v>
      </c>
      <c r="AB49" s="823">
        <v>2</v>
      </c>
      <c r="AC49" s="393">
        <f>Z49*AB49</f>
        <v>0</v>
      </c>
      <c r="AD49" s="209"/>
      <c r="AE49" s="210"/>
      <c r="AF49" s="210"/>
      <c r="AG49" s="211">
        <f t="shared" si="14"/>
        <v>0.154</v>
      </c>
      <c r="AH49" s="157">
        <f t="shared" si="18"/>
        <v>0</v>
      </c>
      <c r="AI49" s="152">
        <f t="shared" si="16"/>
        <v>27760</v>
      </c>
      <c r="AK49" s="156" t="s">
        <v>691</v>
      </c>
      <c r="AL49" s="156" t="s">
        <v>689</v>
      </c>
      <c r="AM49" s="198">
        <f t="shared" si="11"/>
        <v>0</v>
      </c>
      <c r="AN49" s="199">
        <f t="shared" si="2"/>
        <v>45301</v>
      </c>
      <c r="AO49" s="159" t="s">
        <v>692</v>
      </c>
      <c r="AP49" s="783" t="s">
        <v>611</v>
      </c>
      <c r="AQ49" s="782">
        <v>12028328</v>
      </c>
      <c r="AR49" s="782">
        <v>12019692</v>
      </c>
      <c r="AS49" s="781"/>
      <c r="AT49" s="782">
        <v>12065371</v>
      </c>
      <c r="AU49" s="782"/>
      <c r="AV49" s="782">
        <v>12055895</v>
      </c>
      <c r="AW49" s="782">
        <v>12034747</v>
      </c>
      <c r="AX49" s="782" t="s">
        <v>398</v>
      </c>
      <c r="AY49" s="781" t="s">
        <v>290</v>
      </c>
      <c r="AZ49" s="781"/>
      <c r="BA49" s="781"/>
    </row>
    <row r="50" spans="1:53" ht="25" hidden="1" customHeight="1">
      <c r="B50" s="357">
        <v>45302</v>
      </c>
      <c r="C50" s="358">
        <v>45317</v>
      </c>
      <c r="D50" s="185">
        <f t="shared" si="0"/>
        <v>2024</v>
      </c>
      <c r="E50" s="358" t="str">
        <f>VLOOKUP($B50,Week!$A$1:$C$1462,2,0)</f>
        <v>Week2</v>
      </c>
      <c r="F50" s="360" t="str">
        <f t="shared" si="1"/>
        <v>Jan</v>
      </c>
      <c r="G50" s="436" t="s">
        <v>844</v>
      </c>
      <c r="H50" s="359" t="s">
        <v>225</v>
      </c>
      <c r="I50" s="359" t="s">
        <v>2773</v>
      </c>
      <c r="J50" s="361" t="s">
        <v>650</v>
      </c>
      <c r="K50" s="362" t="s">
        <v>593</v>
      </c>
      <c r="L50" s="300" t="s">
        <v>2167</v>
      </c>
      <c r="M50" s="361" t="s">
        <v>717</v>
      </c>
      <c r="N50" s="359" t="s">
        <v>719</v>
      </c>
      <c r="O50" s="359" t="s">
        <v>230</v>
      </c>
      <c r="P50" s="363">
        <v>12</v>
      </c>
      <c r="Q50" s="363">
        <v>5</v>
      </c>
      <c r="R50" s="364">
        <v>6.0000000000000001E-3</v>
      </c>
      <c r="S50" s="359" t="s">
        <v>55</v>
      </c>
      <c r="T50" s="359" t="s">
        <v>112</v>
      </c>
      <c r="U50" s="359" t="s">
        <v>57</v>
      </c>
      <c r="V50" s="365">
        <v>2600</v>
      </c>
      <c r="W50" s="365"/>
      <c r="X50" s="366">
        <f>(550+30650)/12</f>
        <v>2600</v>
      </c>
      <c r="Y50" s="367">
        <f t="shared" si="12"/>
        <v>0</v>
      </c>
      <c r="Z50" s="368">
        <f t="shared" si="13"/>
        <v>0</v>
      </c>
      <c r="AA50" s="368"/>
      <c r="AB50" s="819"/>
      <c r="AC50" s="365"/>
      <c r="AD50" s="307" t="s">
        <v>672</v>
      </c>
      <c r="AE50" s="210"/>
      <c r="AF50" s="210"/>
      <c r="AG50" s="211">
        <f t="shared" si="14"/>
        <v>0.25800000000000001</v>
      </c>
      <c r="AH50" s="157">
        <f>(Z50*AG50)/1000</f>
        <v>0</v>
      </c>
      <c r="AI50" s="152">
        <f t="shared" si="16"/>
        <v>31200</v>
      </c>
      <c r="AK50" s="156" t="s">
        <v>691</v>
      </c>
      <c r="AL50" s="574" t="s">
        <v>690</v>
      </c>
      <c r="AM50" s="198">
        <f>AG50*Z50</f>
        <v>0</v>
      </c>
      <c r="AN50" s="199">
        <f t="shared" si="2"/>
        <v>45302</v>
      </c>
      <c r="AO50" s="159" t="s">
        <v>692</v>
      </c>
      <c r="AP50" s="783" t="s">
        <v>612</v>
      </c>
      <c r="AQ50" s="782">
        <v>12071839</v>
      </c>
      <c r="AR50" s="782">
        <v>12042650</v>
      </c>
      <c r="AS50" s="782">
        <v>12042649</v>
      </c>
      <c r="AT50" s="782">
        <v>12060840</v>
      </c>
      <c r="AU50" s="781"/>
      <c r="AV50" s="782">
        <v>12060849</v>
      </c>
      <c r="AW50" s="782"/>
      <c r="AX50" s="782"/>
      <c r="AY50" s="782"/>
      <c r="AZ50" s="782"/>
      <c r="BA50" s="781"/>
    </row>
    <row r="51" spans="1:53" ht="25" hidden="1" customHeight="1">
      <c r="A51" s="440"/>
      <c r="B51" s="271">
        <v>45302</v>
      </c>
      <c r="C51" s="271">
        <v>45310</v>
      </c>
      <c r="D51" s="185">
        <f t="shared" si="0"/>
        <v>2024</v>
      </c>
      <c r="E51" s="441" t="str">
        <f>VLOOKUP($B51,Week!$A$1:$C$1462,2,0)</f>
        <v>Week2</v>
      </c>
      <c r="F51" s="442" t="str">
        <f t="shared" si="1"/>
        <v>Jan</v>
      </c>
      <c r="G51" s="274" t="s">
        <v>847</v>
      </c>
      <c r="H51" s="274" t="s">
        <v>267</v>
      </c>
      <c r="I51" s="274" t="s">
        <v>2772</v>
      </c>
      <c r="J51" s="275" t="s">
        <v>699</v>
      </c>
      <c r="K51" s="276" t="s">
        <v>107</v>
      </c>
      <c r="L51" s="300" t="s">
        <v>2167</v>
      </c>
      <c r="M51" s="275" t="s">
        <v>136</v>
      </c>
      <c r="N51" s="274" t="s">
        <v>269</v>
      </c>
      <c r="O51" s="274" t="s">
        <v>270</v>
      </c>
      <c r="P51" s="277">
        <v>12</v>
      </c>
      <c r="Q51" s="277">
        <v>3</v>
      </c>
      <c r="R51" s="278">
        <v>7.4999999999999997E-3</v>
      </c>
      <c r="S51" s="274" t="s">
        <v>111</v>
      </c>
      <c r="T51" s="274" t="s">
        <v>112</v>
      </c>
      <c r="U51" s="274" t="s">
        <v>57</v>
      </c>
      <c r="V51" s="279">
        <v>2520</v>
      </c>
      <c r="W51" s="279">
        <v>2520</v>
      </c>
      <c r="X51" s="280"/>
      <c r="Y51" s="281">
        <f t="shared" si="12"/>
        <v>0</v>
      </c>
      <c r="Z51" s="282">
        <f t="shared" si="13"/>
        <v>0</v>
      </c>
      <c r="AA51" s="282"/>
      <c r="AB51" s="812"/>
      <c r="AC51" s="279"/>
      <c r="AD51" s="443" t="s">
        <v>737</v>
      </c>
      <c r="AE51" s="210"/>
      <c r="AF51" s="210"/>
      <c r="AG51" s="211">
        <f t="shared" si="14"/>
        <v>0.309</v>
      </c>
      <c r="AH51" s="157">
        <f>(Z51*AG51)/1000</f>
        <v>0</v>
      </c>
      <c r="AI51" s="152">
        <f t="shared" si="16"/>
        <v>30240</v>
      </c>
      <c r="AK51" s="156" t="s">
        <v>691</v>
      </c>
      <c r="AL51" s="212" t="s">
        <v>690</v>
      </c>
      <c r="AM51" s="198">
        <f>AG51*Z51</f>
        <v>0</v>
      </c>
      <c r="AN51" s="199">
        <f t="shared" si="2"/>
        <v>45302</v>
      </c>
      <c r="AO51" s="159" t="s">
        <v>692</v>
      </c>
      <c r="AP51" s="781"/>
      <c r="AQ51" s="782">
        <v>12063755</v>
      </c>
      <c r="AR51" s="782">
        <v>12081257</v>
      </c>
      <c r="AS51" s="782">
        <v>12081260</v>
      </c>
      <c r="AT51" s="782"/>
      <c r="AU51" s="781"/>
      <c r="AV51" s="782">
        <v>12073316</v>
      </c>
      <c r="AW51" s="782"/>
      <c r="AX51" s="782"/>
      <c r="AY51" s="782">
        <v>12073342</v>
      </c>
      <c r="AZ51" s="782">
        <v>12073344</v>
      </c>
      <c r="BA51" s="782">
        <v>12073343</v>
      </c>
    </row>
    <row r="52" spans="1:53" ht="25" hidden="1" customHeight="1">
      <c r="B52" s="213">
        <v>45302</v>
      </c>
      <c r="C52" s="214">
        <v>45317</v>
      </c>
      <c r="D52" s="185">
        <f t="shared" si="0"/>
        <v>2024</v>
      </c>
      <c r="E52" s="215" t="str">
        <f>VLOOKUP($B52,Week!$A$1:$C$1462,2,0)</f>
        <v>Week2</v>
      </c>
      <c r="F52" s="216" t="str">
        <f t="shared" si="1"/>
        <v>Jan</v>
      </c>
      <c r="G52" s="215" t="s">
        <v>771</v>
      </c>
      <c r="H52" s="215" t="s">
        <v>104</v>
      </c>
      <c r="I52" s="215" t="s">
        <v>2772</v>
      </c>
      <c r="J52" s="209" t="s">
        <v>105</v>
      </c>
      <c r="K52" s="217" t="s">
        <v>107</v>
      </c>
      <c r="L52" s="300" t="s">
        <v>2167</v>
      </c>
      <c r="M52" s="209" t="s">
        <v>108</v>
      </c>
      <c r="N52" s="215" t="s">
        <v>109</v>
      </c>
      <c r="O52" s="215" t="s">
        <v>110</v>
      </c>
      <c r="P52" s="218">
        <v>36</v>
      </c>
      <c r="Q52" s="218">
        <v>5</v>
      </c>
      <c r="R52" s="219">
        <v>7.4999999999999997E-3</v>
      </c>
      <c r="S52" s="215" t="s">
        <v>111</v>
      </c>
      <c r="T52" s="215" t="s">
        <v>112</v>
      </c>
      <c r="U52" s="215" t="s">
        <v>113</v>
      </c>
      <c r="V52" s="220">
        <f>792-623</f>
        <v>169</v>
      </c>
      <c r="W52" s="220">
        <f>792-623</f>
        <v>169</v>
      </c>
      <c r="X52" s="221"/>
      <c r="Y52" s="222">
        <f t="shared" si="12"/>
        <v>0</v>
      </c>
      <c r="Z52" s="223">
        <f t="shared" si="13"/>
        <v>0</v>
      </c>
      <c r="AA52" s="223"/>
      <c r="AB52" s="807"/>
      <c r="AC52" s="220"/>
      <c r="AD52" s="209"/>
      <c r="AE52" s="210"/>
      <c r="AF52" s="210"/>
      <c r="AG52" s="211">
        <f t="shared" si="14"/>
        <v>0.308</v>
      </c>
      <c r="AH52" s="157">
        <f t="shared" si="18"/>
        <v>0</v>
      </c>
      <c r="AI52" s="152">
        <f t="shared" si="16"/>
        <v>6084</v>
      </c>
      <c r="AK52" s="156" t="s">
        <v>691</v>
      </c>
      <c r="AL52" s="574" t="s">
        <v>690</v>
      </c>
      <c r="AM52" s="198">
        <f t="shared" si="11"/>
        <v>0</v>
      </c>
      <c r="AN52" s="199">
        <f t="shared" si="2"/>
        <v>45302</v>
      </c>
      <c r="AO52" s="159" t="s">
        <v>692</v>
      </c>
      <c r="AP52" s="781"/>
      <c r="AQ52" s="782">
        <v>12063755</v>
      </c>
      <c r="AR52" s="782">
        <v>12061353</v>
      </c>
      <c r="AS52" s="782">
        <v>12061354</v>
      </c>
      <c r="AT52" s="782">
        <v>12068566</v>
      </c>
      <c r="AU52" s="781"/>
      <c r="AV52" s="782">
        <v>12068564</v>
      </c>
      <c r="AW52" s="782">
        <v>12062153</v>
      </c>
      <c r="AX52" s="782"/>
      <c r="AY52" s="782">
        <v>12068565</v>
      </c>
      <c r="AZ52" s="782"/>
      <c r="BA52" s="781"/>
    </row>
    <row r="53" spans="1:53" ht="25" hidden="1" customHeight="1">
      <c r="B53" s="213">
        <v>45302</v>
      </c>
      <c r="C53" s="214">
        <v>45320</v>
      </c>
      <c r="D53" s="185">
        <f t="shared" si="0"/>
        <v>2024</v>
      </c>
      <c r="E53" s="215" t="str">
        <f>VLOOKUP($B53,Week!$A$1:$C$1462,2,0)</f>
        <v>Week2</v>
      </c>
      <c r="F53" s="216" t="str">
        <f t="shared" si="1"/>
        <v>Jan</v>
      </c>
      <c r="G53" s="215" t="s">
        <v>772</v>
      </c>
      <c r="H53" s="215" t="s">
        <v>104</v>
      </c>
      <c r="I53" s="215" t="s">
        <v>2772</v>
      </c>
      <c r="J53" s="209" t="s">
        <v>105</v>
      </c>
      <c r="K53" s="217" t="s">
        <v>107</v>
      </c>
      <c r="L53" s="300" t="s">
        <v>2167</v>
      </c>
      <c r="M53" s="209" t="s">
        <v>108</v>
      </c>
      <c r="N53" s="215" t="s">
        <v>109</v>
      </c>
      <c r="O53" s="215" t="s">
        <v>110</v>
      </c>
      <c r="P53" s="218">
        <v>36</v>
      </c>
      <c r="Q53" s="218">
        <v>5</v>
      </c>
      <c r="R53" s="219">
        <v>7.4999999999999997E-3</v>
      </c>
      <c r="S53" s="215" t="s">
        <v>111</v>
      </c>
      <c r="T53" s="215" t="s">
        <v>112</v>
      </c>
      <c r="U53" s="215" t="s">
        <v>113</v>
      </c>
      <c r="V53" s="220">
        <v>792</v>
      </c>
      <c r="W53" s="220">
        <v>792</v>
      </c>
      <c r="X53" s="221"/>
      <c r="Y53" s="222">
        <f t="shared" si="12"/>
        <v>0</v>
      </c>
      <c r="Z53" s="223">
        <f t="shared" si="13"/>
        <v>0</v>
      </c>
      <c r="AA53" s="223"/>
      <c r="AB53" s="807"/>
      <c r="AC53" s="220"/>
      <c r="AD53" s="209"/>
      <c r="AE53" s="210"/>
      <c r="AF53" s="210"/>
      <c r="AG53" s="211">
        <f t="shared" si="14"/>
        <v>0.308</v>
      </c>
      <c r="AH53" s="157">
        <f t="shared" si="18"/>
        <v>0</v>
      </c>
      <c r="AI53" s="152">
        <f t="shared" si="16"/>
        <v>28512</v>
      </c>
      <c r="AK53" s="156" t="s">
        <v>691</v>
      </c>
      <c r="AL53" s="574" t="s">
        <v>690</v>
      </c>
      <c r="AM53" s="198">
        <f t="shared" si="11"/>
        <v>0</v>
      </c>
      <c r="AN53" s="199">
        <f t="shared" si="2"/>
        <v>45302</v>
      </c>
      <c r="AO53" s="159" t="s">
        <v>692</v>
      </c>
      <c r="AP53" s="781"/>
      <c r="AQ53" s="782">
        <v>12063755</v>
      </c>
      <c r="AR53" s="782">
        <v>12061353</v>
      </c>
      <c r="AS53" s="782">
        <v>12061354</v>
      </c>
      <c r="AT53" s="782">
        <v>12068566</v>
      </c>
      <c r="AU53" s="781"/>
      <c r="AV53" s="782">
        <v>12068564</v>
      </c>
      <c r="AW53" s="782">
        <v>12062153</v>
      </c>
      <c r="AX53" s="782"/>
      <c r="AY53" s="782">
        <v>12068565</v>
      </c>
      <c r="AZ53" s="782"/>
      <c r="BA53" s="781"/>
    </row>
    <row r="54" spans="1:53" ht="25" hidden="1" customHeight="1">
      <c r="B54" s="213">
        <v>45302</v>
      </c>
      <c r="C54" s="214">
        <v>45320</v>
      </c>
      <c r="D54" s="185">
        <f t="shared" si="0"/>
        <v>2024</v>
      </c>
      <c r="E54" s="215" t="str">
        <f>VLOOKUP($B54,Week!$A$1:$C$1462,2,0)</f>
        <v>Week2</v>
      </c>
      <c r="F54" s="216" t="str">
        <f t="shared" si="1"/>
        <v>Jan</v>
      </c>
      <c r="G54" s="215" t="s">
        <v>773</v>
      </c>
      <c r="H54" s="215" t="s">
        <v>104</v>
      </c>
      <c r="I54" s="215" t="s">
        <v>2772</v>
      </c>
      <c r="J54" s="209" t="s">
        <v>105</v>
      </c>
      <c r="K54" s="217" t="s">
        <v>107</v>
      </c>
      <c r="L54" s="300" t="s">
        <v>2167</v>
      </c>
      <c r="M54" s="209" t="s">
        <v>108</v>
      </c>
      <c r="N54" s="215" t="s">
        <v>109</v>
      </c>
      <c r="O54" s="215" t="s">
        <v>110</v>
      </c>
      <c r="P54" s="218">
        <v>36</v>
      </c>
      <c r="Q54" s="218">
        <v>5</v>
      </c>
      <c r="R54" s="219">
        <v>7.4999999999999997E-3</v>
      </c>
      <c r="S54" s="215" t="s">
        <v>111</v>
      </c>
      <c r="T54" s="215" t="s">
        <v>112</v>
      </c>
      <c r="U54" s="215" t="s">
        <v>113</v>
      </c>
      <c r="V54" s="220">
        <f>1657-169-792</f>
        <v>696</v>
      </c>
      <c r="W54" s="220">
        <f>1657-169-792</f>
        <v>696</v>
      </c>
      <c r="X54" s="221"/>
      <c r="Y54" s="222">
        <f t="shared" si="12"/>
        <v>0</v>
      </c>
      <c r="Z54" s="223">
        <f t="shared" si="13"/>
        <v>0</v>
      </c>
      <c r="AA54" s="223"/>
      <c r="AB54" s="807"/>
      <c r="AC54" s="220"/>
      <c r="AD54" s="209"/>
      <c r="AE54" s="210"/>
      <c r="AF54" s="210"/>
      <c r="AG54" s="211">
        <f t="shared" si="14"/>
        <v>0.308</v>
      </c>
      <c r="AH54" s="157">
        <f t="shared" si="18"/>
        <v>0</v>
      </c>
      <c r="AI54" s="152">
        <f t="shared" si="16"/>
        <v>25056</v>
      </c>
      <c r="AK54" s="156" t="s">
        <v>691</v>
      </c>
      <c r="AL54" s="574" t="s">
        <v>690</v>
      </c>
      <c r="AM54" s="198">
        <f t="shared" si="11"/>
        <v>0</v>
      </c>
      <c r="AN54" s="199">
        <f t="shared" si="2"/>
        <v>45302</v>
      </c>
      <c r="AO54" s="159" t="s">
        <v>692</v>
      </c>
      <c r="AP54" s="781"/>
      <c r="AQ54" s="782">
        <v>12063755</v>
      </c>
      <c r="AR54" s="782">
        <v>12061353</v>
      </c>
      <c r="AS54" s="782">
        <v>12061354</v>
      </c>
      <c r="AT54" s="782">
        <v>12068566</v>
      </c>
      <c r="AU54" s="781"/>
      <c r="AV54" s="782">
        <v>12068564</v>
      </c>
      <c r="AW54" s="782">
        <v>12062153</v>
      </c>
      <c r="AX54" s="782"/>
      <c r="AY54" s="782">
        <v>12068565</v>
      </c>
      <c r="AZ54" s="782"/>
      <c r="BA54" s="781"/>
    </row>
    <row r="55" spans="1:53" ht="25" hidden="1" customHeight="1">
      <c r="A55" s="142" t="s">
        <v>120</v>
      </c>
      <c r="B55" s="385">
        <v>45302</v>
      </c>
      <c r="C55" s="386">
        <v>45307</v>
      </c>
      <c r="D55" s="185">
        <f t="shared" si="0"/>
        <v>2024</v>
      </c>
      <c r="E55" s="386" t="str">
        <f>VLOOKUP($B55,Week!$A$1:$C$1462,2,0)</f>
        <v>Week2</v>
      </c>
      <c r="F55" s="387" t="str">
        <f t="shared" si="1"/>
        <v>Jan</v>
      </c>
      <c r="G55" s="388" t="s">
        <v>756</v>
      </c>
      <c r="H55" s="388" t="s">
        <v>500</v>
      </c>
      <c r="I55" s="388" t="s">
        <v>2772</v>
      </c>
      <c r="J55" s="389" t="s">
        <v>285</v>
      </c>
      <c r="K55" s="390" t="s">
        <v>153</v>
      </c>
      <c r="L55" s="390" t="s">
        <v>2166</v>
      </c>
      <c r="M55" s="389" t="s">
        <v>165</v>
      </c>
      <c r="N55" s="388" t="s">
        <v>286</v>
      </c>
      <c r="O55" s="388" t="s">
        <v>503</v>
      </c>
      <c r="P55" s="391">
        <v>40</v>
      </c>
      <c r="Q55" s="391">
        <v>12</v>
      </c>
      <c r="R55" s="392">
        <v>6.8100000000000001E-3</v>
      </c>
      <c r="S55" s="388" t="s">
        <v>76</v>
      </c>
      <c r="T55" s="388" t="s">
        <v>56</v>
      </c>
      <c r="U55" s="388" t="s">
        <v>89</v>
      </c>
      <c r="V55" s="393">
        <v>641</v>
      </c>
      <c r="W55" s="393">
        <v>641</v>
      </c>
      <c r="X55" s="394"/>
      <c r="Y55" s="395">
        <f t="shared" si="12"/>
        <v>0</v>
      </c>
      <c r="Z55" s="396">
        <f t="shared" si="13"/>
        <v>0</v>
      </c>
      <c r="AA55" s="396">
        <f>Q55*Z55</f>
        <v>0</v>
      </c>
      <c r="AB55" s="823">
        <v>2</v>
      </c>
      <c r="AC55" s="393">
        <f>Z55*AB55</f>
        <v>0</v>
      </c>
      <c r="AD55" s="209"/>
      <c r="AE55" s="210"/>
      <c r="AF55" s="210"/>
      <c r="AG55" s="211">
        <f t="shared" si="14"/>
        <v>0.154</v>
      </c>
      <c r="AH55" s="157">
        <f t="shared" ref="AH55:AH62" si="19">(Z55*AG55)/1000</f>
        <v>0</v>
      </c>
      <c r="AI55" s="152">
        <f t="shared" si="16"/>
        <v>25640</v>
      </c>
      <c r="AK55" s="156" t="s">
        <v>691</v>
      </c>
      <c r="AL55" s="156" t="s">
        <v>689</v>
      </c>
      <c r="AM55" s="198">
        <f t="shared" ref="AM55:AM83" si="20">AG55*Z55</f>
        <v>0</v>
      </c>
      <c r="AN55" s="199">
        <f t="shared" si="2"/>
        <v>45302</v>
      </c>
      <c r="AO55" s="159" t="s">
        <v>692</v>
      </c>
      <c r="AP55" s="783" t="s">
        <v>611</v>
      </c>
      <c r="AQ55" s="782">
        <v>12028328</v>
      </c>
      <c r="AR55" s="782">
        <v>12019692</v>
      </c>
      <c r="AS55" s="781"/>
      <c r="AT55" s="782">
        <v>12065371</v>
      </c>
      <c r="AU55" s="782"/>
      <c r="AV55" s="782">
        <v>12055895</v>
      </c>
      <c r="AW55" s="782">
        <v>12034747</v>
      </c>
      <c r="AX55" s="782" t="s">
        <v>398</v>
      </c>
      <c r="AY55" s="781" t="s">
        <v>290</v>
      </c>
      <c r="AZ55" s="781"/>
      <c r="BA55" s="781"/>
    </row>
    <row r="56" spans="1:53" ht="25" hidden="1" customHeight="1">
      <c r="B56" s="357">
        <v>45303</v>
      </c>
      <c r="C56" s="358">
        <v>45317</v>
      </c>
      <c r="D56" s="185">
        <f t="shared" si="0"/>
        <v>2024</v>
      </c>
      <c r="E56" s="358" t="str">
        <f>VLOOKUP($B56,Week!$A$1:$C$1462,2,0)</f>
        <v>Week2</v>
      </c>
      <c r="F56" s="360" t="str">
        <f t="shared" si="1"/>
        <v>Jan</v>
      </c>
      <c r="G56" s="436" t="s">
        <v>845</v>
      </c>
      <c r="H56" s="359" t="s">
        <v>225</v>
      </c>
      <c r="I56" s="359" t="s">
        <v>2773</v>
      </c>
      <c r="J56" s="361" t="s">
        <v>650</v>
      </c>
      <c r="K56" s="362" t="s">
        <v>593</v>
      </c>
      <c r="L56" s="300" t="s">
        <v>2167</v>
      </c>
      <c r="M56" s="361" t="s">
        <v>717</v>
      </c>
      <c r="N56" s="359" t="s">
        <v>719</v>
      </c>
      <c r="O56" s="359" t="s">
        <v>230</v>
      </c>
      <c r="P56" s="363">
        <v>12</v>
      </c>
      <c r="Q56" s="363">
        <v>5</v>
      </c>
      <c r="R56" s="364">
        <v>6.0000000000000001E-3</v>
      </c>
      <c r="S56" s="359" t="s">
        <v>55</v>
      </c>
      <c r="T56" s="359" t="s">
        <v>112</v>
      </c>
      <c r="U56" s="359" t="s">
        <v>57</v>
      </c>
      <c r="V56" s="365">
        <v>2600</v>
      </c>
      <c r="W56" s="365"/>
      <c r="X56" s="366">
        <f>(1119+30081)/12</f>
        <v>2600</v>
      </c>
      <c r="Y56" s="367">
        <f t="shared" si="12"/>
        <v>0</v>
      </c>
      <c r="Z56" s="368">
        <f t="shared" si="13"/>
        <v>0</v>
      </c>
      <c r="AA56" s="368"/>
      <c r="AB56" s="819"/>
      <c r="AC56" s="365"/>
      <c r="AD56" s="307" t="s">
        <v>672</v>
      </c>
      <c r="AE56" s="210"/>
      <c r="AF56" s="210"/>
      <c r="AG56" s="211">
        <f t="shared" si="14"/>
        <v>0.25800000000000001</v>
      </c>
      <c r="AH56" s="157">
        <f>(Z56*AG56)/1000</f>
        <v>0</v>
      </c>
      <c r="AI56" s="152">
        <f t="shared" si="16"/>
        <v>31200</v>
      </c>
      <c r="AK56" s="156" t="s">
        <v>691</v>
      </c>
      <c r="AL56" s="574" t="s">
        <v>690</v>
      </c>
      <c r="AM56" s="198">
        <f>AG56*Z56</f>
        <v>0</v>
      </c>
      <c r="AN56" s="199">
        <f t="shared" si="2"/>
        <v>45303</v>
      </c>
      <c r="AO56" s="159" t="s">
        <v>692</v>
      </c>
      <c r="AP56" s="783" t="s">
        <v>612</v>
      </c>
      <c r="AQ56" s="782">
        <v>12071839</v>
      </c>
      <c r="AR56" s="782">
        <v>12042650</v>
      </c>
      <c r="AS56" s="782">
        <v>12042649</v>
      </c>
      <c r="AT56" s="782">
        <v>12060840</v>
      </c>
      <c r="AU56" s="781"/>
      <c r="AV56" s="782">
        <v>12060849</v>
      </c>
      <c r="AW56" s="782"/>
      <c r="AX56" s="782"/>
      <c r="AY56" s="782"/>
      <c r="AZ56" s="782"/>
      <c r="BA56" s="781"/>
    </row>
    <row r="57" spans="1:53" ht="24.65" hidden="1" customHeight="1">
      <c r="B57" s="308">
        <v>45303</v>
      </c>
      <c r="C57" s="309">
        <v>45316</v>
      </c>
      <c r="D57" s="185">
        <f t="shared" si="0"/>
        <v>2024</v>
      </c>
      <c r="E57" s="309" t="str">
        <f>VLOOKUP($B57,Week!$A$1:$C$1462,2,0)</f>
        <v>Week2</v>
      </c>
      <c r="F57" s="310" t="str">
        <f t="shared" si="1"/>
        <v>Jan</v>
      </c>
      <c r="G57" s="311" t="s">
        <v>855</v>
      </c>
      <c r="H57" s="311" t="s">
        <v>311</v>
      </c>
      <c r="I57" s="311" t="s">
        <v>2772</v>
      </c>
      <c r="J57" s="312" t="s">
        <v>738</v>
      </c>
      <c r="K57" s="313" t="s">
        <v>107</v>
      </c>
      <c r="L57" s="300" t="s">
        <v>2167</v>
      </c>
      <c r="M57" s="312" t="s">
        <v>313</v>
      </c>
      <c r="N57" s="311" t="s">
        <v>314</v>
      </c>
      <c r="O57" s="311" t="s">
        <v>110</v>
      </c>
      <c r="P57" s="314">
        <v>36</v>
      </c>
      <c r="Q57" s="314">
        <v>5</v>
      </c>
      <c r="R57" s="315">
        <v>7.4999999999999997E-3</v>
      </c>
      <c r="S57" s="311" t="s">
        <v>111</v>
      </c>
      <c r="T57" s="311" t="s">
        <v>112</v>
      </c>
      <c r="U57" s="311" t="s">
        <v>57</v>
      </c>
      <c r="V57" s="316">
        <v>792</v>
      </c>
      <c r="W57" s="316">
        <f>773+19</f>
        <v>792</v>
      </c>
      <c r="X57" s="317"/>
      <c r="Y57" s="318">
        <f t="shared" si="12"/>
        <v>0</v>
      </c>
      <c r="Z57" s="319">
        <f t="shared" si="13"/>
        <v>0</v>
      </c>
      <c r="AA57" s="319"/>
      <c r="AB57" s="815"/>
      <c r="AC57" s="316"/>
      <c r="AD57" s="515"/>
      <c r="AE57" s="210"/>
      <c r="AF57" s="210"/>
      <c r="AG57" s="211">
        <f t="shared" si="14"/>
        <v>0.308</v>
      </c>
      <c r="AH57" s="157">
        <f t="shared" si="19"/>
        <v>0</v>
      </c>
      <c r="AI57" s="152">
        <f t="shared" si="16"/>
        <v>28512</v>
      </c>
      <c r="AK57" s="156" t="s">
        <v>691</v>
      </c>
      <c r="AL57" s="212" t="s">
        <v>690</v>
      </c>
      <c r="AM57" s="198">
        <f t="shared" si="20"/>
        <v>0</v>
      </c>
      <c r="AN57" s="199">
        <f t="shared" si="2"/>
        <v>45303</v>
      </c>
      <c r="AO57" s="159" t="s">
        <v>692</v>
      </c>
      <c r="AP57" s="783" t="s">
        <v>644</v>
      </c>
      <c r="AQ57" s="782">
        <v>12063755</v>
      </c>
      <c r="AR57" s="782">
        <v>12061353</v>
      </c>
      <c r="AS57" s="782">
        <v>12061354</v>
      </c>
      <c r="AT57" s="782">
        <v>12062266</v>
      </c>
      <c r="AU57" s="781"/>
      <c r="AV57" s="782">
        <v>12062261</v>
      </c>
      <c r="AW57" s="782">
        <v>12062153</v>
      </c>
      <c r="AX57" s="782"/>
      <c r="AY57" s="782">
        <v>12062262</v>
      </c>
      <c r="AZ57" s="782"/>
      <c r="BA57" s="781"/>
    </row>
    <row r="58" spans="1:53" ht="24.65" hidden="1" customHeight="1">
      <c r="B58" s="308">
        <v>45303</v>
      </c>
      <c r="C58" s="309">
        <v>45316</v>
      </c>
      <c r="D58" s="185">
        <f t="shared" si="0"/>
        <v>2024</v>
      </c>
      <c r="E58" s="309" t="str">
        <f>VLOOKUP($B58,Week!$A$1:$C$1462,2,0)</f>
        <v>Week2</v>
      </c>
      <c r="F58" s="310" t="str">
        <f t="shared" si="1"/>
        <v>Jan</v>
      </c>
      <c r="G58" s="311" t="s">
        <v>856</v>
      </c>
      <c r="H58" s="311" t="s">
        <v>311</v>
      </c>
      <c r="I58" s="311" t="s">
        <v>2772</v>
      </c>
      <c r="J58" s="312" t="s">
        <v>738</v>
      </c>
      <c r="K58" s="313" t="s">
        <v>107</v>
      </c>
      <c r="L58" s="300" t="s">
        <v>2167</v>
      </c>
      <c r="M58" s="312" t="s">
        <v>313</v>
      </c>
      <c r="N58" s="311" t="s">
        <v>314</v>
      </c>
      <c r="O58" s="311" t="s">
        <v>110</v>
      </c>
      <c r="P58" s="314">
        <v>36</v>
      </c>
      <c r="Q58" s="314">
        <v>5</v>
      </c>
      <c r="R58" s="315">
        <v>7.4999999999999997E-3</v>
      </c>
      <c r="S58" s="311" t="s">
        <v>111</v>
      </c>
      <c r="T58" s="311" t="s">
        <v>112</v>
      </c>
      <c r="U58" s="311" t="s">
        <v>57</v>
      </c>
      <c r="V58" s="316">
        <v>792</v>
      </c>
      <c r="W58" s="316">
        <f>792</f>
        <v>792</v>
      </c>
      <c r="X58" s="317"/>
      <c r="Y58" s="318">
        <f t="shared" si="12"/>
        <v>0</v>
      </c>
      <c r="Z58" s="319">
        <f t="shared" si="13"/>
        <v>0</v>
      </c>
      <c r="AA58" s="319"/>
      <c r="AB58" s="815"/>
      <c r="AC58" s="316"/>
      <c r="AD58" s="515"/>
      <c r="AE58" s="210"/>
      <c r="AF58" s="210"/>
      <c r="AG58" s="211">
        <f t="shared" si="14"/>
        <v>0.308</v>
      </c>
      <c r="AH58" s="157">
        <f t="shared" si="19"/>
        <v>0</v>
      </c>
      <c r="AI58" s="152">
        <f t="shared" si="16"/>
        <v>28512</v>
      </c>
      <c r="AK58" s="156" t="s">
        <v>691</v>
      </c>
      <c r="AL58" s="212" t="s">
        <v>690</v>
      </c>
      <c r="AM58" s="198">
        <f t="shared" si="20"/>
        <v>0</v>
      </c>
      <c r="AN58" s="199">
        <f t="shared" si="2"/>
        <v>45303</v>
      </c>
      <c r="AO58" s="159" t="s">
        <v>692</v>
      </c>
      <c r="AP58" s="783" t="s">
        <v>644</v>
      </c>
      <c r="AQ58" s="782">
        <v>12063755</v>
      </c>
      <c r="AR58" s="782">
        <v>12061353</v>
      </c>
      <c r="AS58" s="782">
        <v>12061354</v>
      </c>
      <c r="AT58" s="782">
        <v>12062266</v>
      </c>
      <c r="AU58" s="781"/>
      <c r="AV58" s="782">
        <v>12062261</v>
      </c>
      <c r="AW58" s="782">
        <v>12062153</v>
      </c>
      <c r="AX58" s="782"/>
      <c r="AY58" s="782">
        <v>12062262</v>
      </c>
      <c r="AZ58" s="782"/>
      <c r="BA58" s="781"/>
    </row>
    <row r="59" spans="1:53" ht="24.65" hidden="1" customHeight="1">
      <c r="B59" s="308">
        <v>45303</v>
      </c>
      <c r="C59" s="309">
        <v>45316</v>
      </c>
      <c r="D59" s="185">
        <f t="shared" si="0"/>
        <v>2024</v>
      </c>
      <c r="E59" s="309" t="str">
        <f>VLOOKUP($B59,Week!$A$1:$C$1462,2,0)</f>
        <v>Week2</v>
      </c>
      <c r="F59" s="310" t="str">
        <f t="shared" si="1"/>
        <v>Jan</v>
      </c>
      <c r="G59" s="311" t="s">
        <v>857</v>
      </c>
      <c r="H59" s="311" t="s">
        <v>311</v>
      </c>
      <c r="I59" s="311" t="s">
        <v>2772</v>
      </c>
      <c r="J59" s="312" t="s">
        <v>738</v>
      </c>
      <c r="K59" s="313" t="s">
        <v>107</v>
      </c>
      <c r="L59" s="300" t="s">
        <v>2167</v>
      </c>
      <c r="M59" s="312" t="s">
        <v>313</v>
      </c>
      <c r="N59" s="311" t="s">
        <v>314</v>
      </c>
      <c r="O59" s="311" t="s">
        <v>110</v>
      </c>
      <c r="P59" s="314">
        <v>36</v>
      </c>
      <c r="Q59" s="314">
        <v>5</v>
      </c>
      <c r="R59" s="315">
        <v>7.4999999999999997E-3</v>
      </c>
      <c r="S59" s="311" t="s">
        <v>111</v>
      </c>
      <c r="T59" s="311" t="s">
        <v>112</v>
      </c>
      <c r="U59" s="311" t="s">
        <v>57</v>
      </c>
      <c r="V59" s="316">
        <f>792-265</f>
        <v>527</v>
      </c>
      <c r="W59" s="316">
        <f>2092-773-792</f>
        <v>527</v>
      </c>
      <c r="X59" s="317"/>
      <c r="Y59" s="318">
        <f t="shared" si="12"/>
        <v>0</v>
      </c>
      <c r="Z59" s="319">
        <f t="shared" si="13"/>
        <v>0</v>
      </c>
      <c r="AA59" s="319"/>
      <c r="AB59" s="815"/>
      <c r="AC59" s="316"/>
      <c r="AD59" s="515"/>
      <c r="AE59" s="210"/>
      <c r="AF59" s="210"/>
      <c r="AG59" s="211">
        <f t="shared" si="14"/>
        <v>0.308</v>
      </c>
      <c r="AH59" s="157">
        <f t="shared" si="19"/>
        <v>0</v>
      </c>
      <c r="AI59" s="152">
        <f t="shared" si="16"/>
        <v>18972</v>
      </c>
      <c r="AK59" s="156" t="s">
        <v>691</v>
      </c>
      <c r="AL59" s="212" t="s">
        <v>690</v>
      </c>
      <c r="AM59" s="198">
        <f t="shared" si="20"/>
        <v>0</v>
      </c>
      <c r="AN59" s="199">
        <f t="shared" si="2"/>
        <v>45303</v>
      </c>
      <c r="AO59" s="159" t="s">
        <v>692</v>
      </c>
      <c r="AP59" s="783" t="s">
        <v>644</v>
      </c>
      <c r="AQ59" s="782">
        <v>12063755</v>
      </c>
      <c r="AR59" s="782">
        <v>12061353</v>
      </c>
      <c r="AS59" s="782">
        <v>12061354</v>
      </c>
      <c r="AT59" s="782">
        <v>12062266</v>
      </c>
      <c r="AU59" s="781"/>
      <c r="AV59" s="782">
        <v>12062261</v>
      </c>
      <c r="AW59" s="782">
        <v>12062153</v>
      </c>
      <c r="AX59" s="782"/>
      <c r="AY59" s="782">
        <v>12062262</v>
      </c>
      <c r="AZ59" s="782"/>
      <c r="BA59" s="781"/>
    </row>
    <row r="60" spans="1:53" ht="25" hidden="1" customHeight="1">
      <c r="A60" s="529" t="s">
        <v>918</v>
      </c>
      <c r="B60" s="332">
        <v>45303</v>
      </c>
      <c r="C60" s="333">
        <v>45307</v>
      </c>
      <c r="D60" s="185">
        <f t="shared" si="0"/>
        <v>2024</v>
      </c>
      <c r="E60" s="333" t="str">
        <f>VLOOKUP($B60,Week!$A$1:$C$1462,2,0)</f>
        <v>Week2</v>
      </c>
      <c r="F60" s="334" t="str">
        <f t="shared" si="1"/>
        <v>Jan</v>
      </c>
      <c r="G60" s="335" t="s">
        <v>754</v>
      </c>
      <c r="H60" s="335" t="s">
        <v>600</v>
      </c>
      <c r="I60" s="335" t="s">
        <v>2772</v>
      </c>
      <c r="J60" s="336" t="s">
        <v>708</v>
      </c>
      <c r="K60" s="337" t="s">
        <v>665</v>
      </c>
      <c r="L60" s="300" t="s">
        <v>2167</v>
      </c>
      <c r="M60" s="336" t="s">
        <v>601</v>
      </c>
      <c r="N60" s="335" t="s">
        <v>604</v>
      </c>
      <c r="O60" s="335" t="s">
        <v>543</v>
      </c>
      <c r="P60" s="338">
        <v>8</v>
      </c>
      <c r="Q60" s="338">
        <v>3</v>
      </c>
      <c r="R60" s="339">
        <v>7.4999999999999997E-3</v>
      </c>
      <c r="S60" s="335" t="s">
        <v>40</v>
      </c>
      <c r="T60" s="335" t="s">
        <v>112</v>
      </c>
      <c r="U60" s="340" t="s">
        <v>722</v>
      </c>
      <c r="V60" s="341">
        <v>3500</v>
      </c>
      <c r="W60" s="341"/>
      <c r="X60" s="342">
        <f>(28000)/8</f>
        <v>3500</v>
      </c>
      <c r="Y60" s="343">
        <f t="shared" si="12"/>
        <v>0</v>
      </c>
      <c r="Z60" s="344">
        <f t="shared" si="13"/>
        <v>0</v>
      </c>
      <c r="AA60" s="344"/>
      <c r="AB60" s="817"/>
      <c r="AC60" s="341"/>
      <c r="AD60" s="307" t="s">
        <v>673</v>
      </c>
      <c r="AE60" s="210"/>
      <c r="AF60" s="210"/>
      <c r="AG60" s="211">
        <f t="shared" si="14"/>
        <v>0.309</v>
      </c>
      <c r="AH60" s="157">
        <f t="shared" si="19"/>
        <v>0</v>
      </c>
      <c r="AI60" s="152">
        <f t="shared" si="16"/>
        <v>28000</v>
      </c>
      <c r="AK60" s="156" t="s">
        <v>691</v>
      </c>
      <c r="AL60" s="574" t="s">
        <v>690</v>
      </c>
      <c r="AM60" s="198">
        <f t="shared" si="20"/>
        <v>0</v>
      </c>
      <c r="AN60" s="199">
        <f t="shared" si="2"/>
        <v>45303</v>
      </c>
      <c r="AO60" s="159" t="s">
        <v>692</v>
      </c>
      <c r="AP60" s="781" t="s">
        <v>642</v>
      </c>
      <c r="AQ60" s="782">
        <v>12063755</v>
      </c>
      <c r="AR60" s="782">
        <v>12061353</v>
      </c>
      <c r="AS60" s="782">
        <v>12061354</v>
      </c>
      <c r="AT60" s="782">
        <v>12084023</v>
      </c>
      <c r="AU60" s="781"/>
      <c r="AV60" s="782">
        <v>12084228</v>
      </c>
      <c r="AW60" s="782"/>
      <c r="AX60" s="782"/>
      <c r="AY60" s="782"/>
      <c r="AZ60" s="782"/>
      <c r="BA60" s="781"/>
    </row>
    <row r="61" spans="1:53" ht="25" hidden="1" customHeight="1">
      <c r="A61" s="142" t="s">
        <v>120</v>
      </c>
      <c r="B61" s="385">
        <v>45303</v>
      </c>
      <c r="C61" s="386">
        <v>45307</v>
      </c>
      <c r="D61" s="185">
        <f t="shared" si="0"/>
        <v>2024</v>
      </c>
      <c r="E61" s="386" t="str">
        <f>VLOOKUP($B61,Week!$A$1:$C$1462,2,0)</f>
        <v>Week2</v>
      </c>
      <c r="F61" s="387" t="str">
        <f t="shared" si="1"/>
        <v>Jan</v>
      </c>
      <c r="G61" s="388" t="s">
        <v>756</v>
      </c>
      <c r="H61" s="388" t="s">
        <v>500</v>
      </c>
      <c r="I61" s="388" t="s">
        <v>2772</v>
      </c>
      <c r="J61" s="389" t="s">
        <v>285</v>
      </c>
      <c r="K61" s="390" t="s">
        <v>153</v>
      </c>
      <c r="L61" s="390" t="s">
        <v>2166</v>
      </c>
      <c r="M61" s="389" t="s">
        <v>165</v>
      </c>
      <c r="N61" s="388" t="s">
        <v>286</v>
      </c>
      <c r="O61" s="388" t="s">
        <v>503</v>
      </c>
      <c r="P61" s="391">
        <v>40</v>
      </c>
      <c r="Q61" s="391">
        <v>12</v>
      </c>
      <c r="R61" s="392">
        <v>6.8100000000000001E-3</v>
      </c>
      <c r="S61" s="388" t="s">
        <v>76</v>
      </c>
      <c r="T61" s="388" t="s">
        <v>56</v>
      </c>
      <c r="U61" s="388" t="s">
        <v>89</v>
      </c>
      <c r="V61" s="393">
        <f>1624-694-641</f>
        <v>289</v>
      </c>
      <c r="W61" s="393">
        <v>289</v>
      </c>
      <c r="X61" s="394"/>
      <c r="Y61" s="395">
        <f t="shared" si="12"/>
        <v>0</v>
      </c>
      <c r="Z61" s="396">
        <f t="shared" si="13"/>
        <v>0</v>
      </c>
      <c r="AA61" s="396">
        <f>Q61*Z61</f>
        <v>0</v>
      </c>
      <c r="AB61" s="823">
        <v>2</v>
      </c>
      <c r="AC61" s="393">
        <f>Z61*AB61</f>
        <v>0</v>
      </c>
      <c r="AD61" s="209"/>
      <c r="AE61" s="210"/>
      <c r="AF61" s="210"/>
      <c r="AG61" s="211">
        <f t="shared" si="14"/>
        <v>0.154</v>
      </c>
      <c r="AH61" s="157">
        <f t="shared" si="19"/>
        <v>0</v>
      </c>
      <c r="AI61" s="152">
        <f t="shared" si="16"/>
        <v>11560</v>
      </c>
      <c r="AK61" s="156" t="s">
        <v>691</v>
      </c>
      <c r="AL61" s="156" t="s">
        <v>689</v>
      </c>
      <c r="AM61" s="198">
        <f t="shared" si="20"/>
        <v>0</v>
      </c>
      <c r="AN61" s="199">
        <f t="shared" si="2"/>
        <v>45303</v>
      </c>
      <c r="AO61" s="159" t="s">
        <v>692</v>
      </c>
      <c r="AP61" s="783" t="s">
        <v>611</v>
      </c>
      <c r="AQ61" s="782">
        <v>12028328</v>
      </c>
      <c r="AR61" s="782">
        <v>12019692</v>
      </c>
      <c r="AS61" s="781"/>
      <c r="AT61" s="782">
        <v>12065371</v>
      </c>
      <c r="AU61" s="782"/>
      <c r="AV61" s="782">
        <v>12055895</v>
      </c>
      <c r="AW61" s="782">
        <v>12034747</v>
      </c>
      <c r="AX61" s="782" t="s">
        <v>398</v>
      </c>
      <c r="AY61" s="781" t="s">
        <v>290</v>
      </c>
      <c r="AZ61" s="781"/>
      <c r="BA61" s="781"/>
    </row>
    <row r="62" spans="1:53" ht="25" hidden="1" customHeight="1">
      <c r="A62" s="142" t="s">
        <v>120</v>
      </c>
      <c r="B62" s="448">
        <v>45303</v>
      </c>
      <c r="C62" s="449">
        <v>45308</v>
      </c>
      <c r="D62" s="185">
        <f t="shared" si="0"/>
        <v>2024</v>
      </c>
      <c r="E62" s="450" t="str">
        <f>VLOOKUP($B62,Week!$A$1:$C$1462,2,0)</f>
        <v>Week2</v>
      </c>
      <c r="F62" s="451" t="str">
        <f t="shared" si="1"/>
        <v>Jan</v>
      </c>
      <c r="G62" s="450" t="s">
        <v>830</v>
      </c>
      <c r="H62" s="450" t="s">
        <v>134</v>
      </c>
      <c r="I62" s="450" t="s">
        <v>2772</v>
      </c>
      <c r="J62" s="452" t="s">
        <v>164</v>
      </c>
      <c r="K62" s="453" t="s">
        <v>153</v>
      </c>
      <c r="L62" s="390" t="s">
        <v>2166</v>
      </c>
      <c r="M62" s="452" t="s">
        <v>1642</v>
      </c>
      <c r="N62" s="450" t="s">
        <v>429</v>
      </c>
      <c r="O62" s="450" t="s">
        <v>505</v>
      </c>
      <c r="P62" s="454">
        <v>20</v>
      </c>
      <c r="Q62" s="454">
        <v>12</v>
      </c>
      <c r="R62" s="455">
        <v>6.8100000000000001E-3</v>
      </c>
      <c r="S62" s="450" t="s">
        <v>76</v>
      </c>
      <c r="T62" s="450" t="s">
        <v>56</v>
      </c>
      <c r="U62" s="450" t="s">
        <v>430</v>
      </c>
      <c r="V62" s="456">
        <v>424</v>
      </c>
      <c r="W62" s="456">
        <v>424</v>
      </c>
      <c r="X62" s="457"/>
      <c r="Y62" s="458">
        <f t="shared" si="12"/>
        <v>0</v>
      </c>
      <c r="Z62" s="459">
        <f t="shared" si="13"/>
        <v>0</v>
      </c>
      <c r="AA62" s="459">
        <f>Q62*Z62</f>
        <v>0</v>
      </c>
      <c r="AB62" s="827">
        <v>2</v>
      </c>
      <c r="AC62" s="456">
        <f>Z62*AB62</f>
        <v>0</v>
      </c>
      <c r="AD62" s="209" t="s">
        <v>218</v>
      </c>
      <c r="AE62" s="210"/>
      <c r="AF62" s="210"/>
      <c r="AG62" s="211">
        <f t="shared" si="14"/>
        <v>0.20399999999999999</v>
      </c>
      <c r="AH62" s="157">
        <f t="shared" si="19"/>
        <v>0</v>
      </c>
      <c r="AI62" s="152">
        <f t="shared" si="16"/>
        <v>8480</v>
      </c>
      <c r="AK62" s="156" t="s">
        <v>691</v>
      </c>
      <c r="AL62" s="156" t="s">
        <v>689</v>
      </c>
      <c r="AM62" s="198">
        <f t="shared" si="20"/>
        <v>0</v>
      </c>
      <c r="AN62" s="199">
        <f t="shared" si="2"/>
        <v>45303</v>
      </c>
      <c r="AO62" s="159" t="s">
        <v>692</v>
      </c>
      <c r="AP62" s="781"/>
      <c r="AQ62" s="782" t="s">
        <v>158</v>
      </c>
      <c r="AR62" s="782">
        <v>12019692</v>
      </c>
      <c r="AS62" s="782"/>
      <c r="AT62" s="782">
        <v>12055901</v>
      </c>
      <c r="AU62" s="781"/>
      <c r="AV62" s="782">
        <v>12055891</v>
      </c>
      <c r="AW62" s="782"/>
      <c r="AX62" s="782" t="s">
        <v>398</v>
      </c>
      <c r="AY62" s="782"/>
      <c r="AZ62" s="782"/>
      <c r="BA62" s="781"/>
    </row>
    <row r="63" spans="1:53" ht="24.65" hidden="1" customHeight="1">
      <c r="B63" s="308">
        <v>45304</v>
      </c>
      <c r="C63" s="309">
        <v>45316</v>
      </c>
      <c r="D63" s="185">
        <f t="shared" si="0"/>
        <v>2024</v>
      </c>
      <c r="E63" s="309" t="str">
        <f>VLOOKUP($B63,Week!$A$1:$C$1462,2,0)</f>
        <v>Week2</v>
      </c>
      <c r="F63" s="310" t="str">
        <f t="shared" si="1"/>
        <v>Jan</v>
      </c>
      <c r="G63" s="311" t="s">
        <v>857</v>
      </c>
      <c r="H63" s="311" t="s">
        <v>311</v>
      </c>
      <c r="I63" s="311" t="s">
        <v>2772</v>
      </c>
      <c r="J63" s="312" t="s">
        <v>738</v>
      </c>
      <c r="K63" s="313" t="s">
        <v>107</v>
      </c>
      <c r="L63" s="300" t="s">
        <v>2167</v>
      </c>
      <c r="M63" s="312" t="s">
        <v>313</v>
      </c>
      <c r="N63" s="311" t="s">
        <v>314</v>
      </c>
      <c r="O63" s="311" t="s">
        <v>110</v>
      </c>
      <c r="P63" s="314">
        <v>36</v>
      </c>
      <c r="Q63" s="314">
        <v>5</v>
      </c>
      <c r="R63" s="315">
        <v>7.4999999999999997E-3</v>
      </c>
      <c r="S63" s="311" t="s">
        <v>111</v>
      </c>
      <c r="T63" s="311" t="s">
        <v>112</v>
      </c>
      <c r="U63" s="311" t="s">
        <v>57</v>
      </c>
      <c r="V63" s="316">
        <v>265</v>
      </c>
      <c r="W63" s="316">
        <v>265</v>
      </c>
      <c r="X63" s="317"/>
      <c r="Y63" s="318">
        <f t="shared" si="12"/>
        <v>0</v>
      </c>
      <c r="Z63" s="319">
        <f t="shared" si="13"/>
        <v>0</v>
      </c>
      <c r="AA63" s="319"/>
      <c r="AB63" s="815"/>
      <c r="AC63" s="316"/>
      <c r="AD63" s="515"/>
      <c r="AE63" s="210"/>
      <c r="AF63" s="210"/>
      <c r="AG63" s="211">
        <f t="shared" si="14"/>
        <v>0.308</v>
      </c>
      <c r="AH63" s="157">
        <f>(Z63*AG63)/1000</f>
        <v>0</v>
      </c>
      <c r="AI63" s="152">
        <f t="shared" si="16"/>
        <v>9540</v>
      </c>
      <c r="AK63" s="156" t="s">
        <v>691</v>
      </c>
      <c r="AL63" s="212" t="s">
        <v>690</v>
      </c>
      <c r="AM63" s="198">
        <f>AG63*Z63</f>
        <v>0</v>
      </c>
      <c r="AN63" s="199">
        <f t="shared" si="2"/>
        <v>45304</v>
      </c>
      <c r="AO63" s="159" t="s">
        <v>692</v>
      </c>
      <c r="AP63" s="783" t="s">
        <v>644</v>
      </c>
      <c r="AQ63" s="782">
        <v>12063755</v>
      </c>
      <c r="AR63" s="782">
        <v>12061353</v>
      </c>
      <c r="AS63" s="782">
        <v>12061354</v>
      </c>
      <c r="AT63" s="782">
        <v>12062266</v>
      </c>
      <c r="AU63" s="781"/>
      <c r="AV63" s="782">
        <v>12062261</v>
      </c>
      <c r="AW63" s="782">
        <v>12062153</v>
      </c>
      <c r="AX63" s="782"/>
      <c r="AY63" s="782">
        <v>12062262</v>
      </c>
      <c r="AZ63" s="782"/>
      <c r="BA63" s="781"/>
    </row>
    <row r="64" spans="1:53" ht="25" hidden="1" customHeight="1">
      <c r="B64" s="213">
        <v>45304</v>
      </c>
      <c r="C64" s="214">
        <v>45320</v>
      </c>
      <c r="D64" s="185">
        <f t="shared" si="0"/>
        <v>2024</v>
      </c>
      <c r="E64" s="215" t="str">
        <f>VLOOKUP($B64,Week!$A$1:$C$1462,2,0)</f>
        <v>Week2</v>
      </c>
      <c r="F64" s="216" t="str">
        <f t="shared" si="1"/>
        <v>Jan</v>
      </c>
      <c r="G64" s="215" t="s">
        <v>773</v>
      </c>
      <c r="H64" s="215" t="s">
        <v>104</v>
      </c>
      <c r="I64" s="215" t="s">
        <v>2772</v>
      </c>
      <c r="J64" s="209" t="s">
        <v>105</v>
      </c>
      <c r="K64" s="217" t="s">
        <v>107</v>
      </c>
      <c r="L64" s="300" t="s">
        <v>2167</v>
      </c>
      <c r="M64" s="209" t="s">
        <v>108</v>
      </c>
      <c r="N64" s="215" t="s">
        <v>109</v>
      </c>
      <c r="O64" s="215" t="s">
        <v>110</v>
      </c>
      <c r="P64" s="218">
        <v>36</v>
      </c>
      <c r="Q64" s="218">
        <v>5</v>
      </c>
      <c r="R64" s="219">
        <v>7.4999999999999997E-3</v>
      </c>
      <c r="S64" s="215" t="s">
        <v>111</v>
      </c>
      <c r="T64" s="215" t="s">
        <v>112</v>
      </c>
      <c r="U64" s="215" t="s">
        <v>113</v>
      </c>
      <c r="V64" s="220">
        <f>792-696</f>
        <v>96</v>
      </c>
      <c r="W64" s="220">
        <v>96</v>
      </c>
      <c r="X64" s="221"/>
      <c r="Y64" s="222">
        <f t="shared" si="12"/>
        <v>0</v>
      </c>
      <c r="Z64" s="223">
        <f t="shared" si="13"/>
        <v>0</v>
      </c>
      <c r="AA64" s="223"/>
      <c r="AB64" s="807"/>
      <c r="AC64" s="220"/>
      <c r="AD64" s="209"/>
      <c r="AE64" s="210"/>
      <c r="AF64" s="210"/>
      <c r="AG64" s="211">
        <f t="shared" si="14"/>
        <v>0.308</v>
      </c>
      <c r="AH64" s="157">
        <f t="shared" ref="AH64:AH69" si="21">(Z64*AG64)/1000</f>
        <v>0</v>
      </c>
      <c r="AI64" s="152">
        <f t="shared" si="16"/>
        <v>3456</v>
      </c>
      <c r="AK64" s="156" t="s">
        <v>691</v>
      </c>
      <c r="AL64" s="574" t="s">
        <v>690</v>
      </c>
      <c r="AM64" s="198">
        <f>AG64*Z64</f>
        <v>0</v>
      </c>
      <c r="AN64" s="199">
        <f t="shared" si="2"/>
        <v>45304</v>
      </c>
      <c r="AO64" s="159" t="s">
        <v>692</v>
      </c>
      <c r="AP64" s="781"/>
      <c r="AQ64" s="782">
        <v>12063755</v>
      </c>
      <c r="AR64" s="782">
        <v>12061353</v>
      </c>
      <c r="AS64" s="782">
        <v>12061354</v>
      </c>
      <c r="AT64" s="782">
        <v>12068566</v>
      </c>
      <c r="AU64" s="781"/>
      <c r="AV64" s="782">
        <v>12068564</v>
      </c>
      <c r="AW64" s="782">
        <v>12062153</v>
      </c>
      <c r="AX64" s="782"/>
      <c r="AY64" s="782">
        <v>12068565</v>
      </c>
      <c r="AZ64" s="782"/>
      <c r="BA64" s="781"/>
    </row>
    <row r="65" spans="1:53" ht="25" hidden="1" customHeight="1">
      <c r="B65" s="213">
        <v>45304</v>
      </c>
      <c r="C65" s="214">
        <v>45320</v>
      </c>
      <c r="D65" s="185">
        <f t="shared" si="0"/>
        <v>2024</v>
      </c>
      <c r="E65" s="215" t="str">
        <f>VLOOKUP($B65,Week!$A$1:$C$1462,2,0)</f>
        <v>Week2</v>
      </c>
      <c r="F65" s="216" t="str">
        <f t="shared" si="1"/>
        <v>Jan</v>
      </c>
      <c r="G65" s="215" t="s">
        <v>764</v>
      </c>
      <c r="H65" s="215" t="s">
        <v>104</v>
      </c>
      <c r="I65" s="215" t="s">
        <v>2772</v>
      </c>
      <c r="J65" s="209" t="s">
        <v>105</v>
      </c>
      <c r="K65" s="217" t="s">
        <v>107</v>
      </c>
      <c r="L65" s="300" t="s">
        <v>2167</v>
      </c>
      <c r="M65" s="209" t="s">
        <v>108</v>
      </c>
      <c r="N65" s="215" t="s">
        <v>109</v>
      </c>
      <c r="O65" s="215" t="s">
        <v>110</v>
      </c>
      <c r="P65" s="218">
        <v>36</v>
      </c>
      <c r="Q65" s="218">
        <v>5</v>
      </c>
      <c r="R65" s="219">
        <v>7.4999999999999997E-3</v>
      </c>
      <c r="S65" s="215" t="s">
        <v>111</v>
      </c>
      <c r="T65" s="215" t="s">
        <v>112</v>
      </c>
      <c r="U65" s="215" t="s">
        <v>113</v>
      </c>
      <c r="V65" s="220">
        <v>792</v>
      </c>
      <c r="W65" s="220">
        <v>792</v>
      </c>
      <c r="X65" s="221"/>
      <c r="Y65" s="222">
        <f t="shared" si="12"/>
        <v>0</v>
      </c>
      <c r="Z65" s="223">
        <f t="shared" si="13"/>
        <v>0</v>
      </c>
      <c r="AA65" s="223"/>
      <c r="AB65" s="807"/>
      <c r="AC65" s="220"/>
      <c r="AD65" s="209"/>
      <c r="AE65" s="210"/>
      <c r="AF65" s="210"/>
      <c r="AG65" s="211">
        <f t="shared" si="14"/>
        <v>0.308</v>
      </c>
      <c r="AH65" s="157">
        <f t="shared" si="21"/>
        <v>0</v>
      </c>
      <c r="AI65" s="152">
        <f t="shared" si="16"/>
        <v>28512</v>
      </c>
      <c r="AK65" s="156" t="s">
        <v>691</v>
      </c>
      <c r="AL65" s="574" t="s">
        <v>690</v>
      </c>
      <c r="AM65" s="198">
        <f>AG65*Z65</f>
        <v>0</v>
      </c>
      <c r="AN65" s="199">
        <f t="shared" si="2"/>
        <v>45304</v>
      </c>
      <c r="AO65" s="159" t="s">
        <v>692</v>
      </c>
      <c r="AP65" s="781"/>
      <c r="AQ65" s="782">
        <v>12063755</v>
      </c>
      <c r="AR65" s="782">
        <v>12061353</v>
      </c>
      <c r="AS65" s="782">
        <v>12061354</v>
      </c>
      <c r="AT65" s="782">
        <v>12068566</v>
      </c>
      <c r="AU65" s="781"/>
      <c r="AV65" s="782">
        <v>12068564</v>
      </c>
      <c r="AW65" s="782">
        <v>12062153</v>
      </c>
      <c r="AX65" s="782"/>
      <c r="AY65" s="782">
        <v>12068565</v>
      </c>
      <c r="AZ65" s="782"/>
      <c r="BA65" s="781"/>
    </row>
    <row r="66" spans="1:53" ht="25" hidden="1" customHeight="1">
      <c r="B66" s="213">
        <v>45304</v>
      </c>
      <c r="C66" s="214">
        <v>45321</v>
      </c>
      <c r="D66" s="185">
        <f t="shared" si="0"/>
        <v>2024</v>
      </c>
      <c r="E66" s="215" t="str">
        <f>VLOOKUP($B66,Week!$A$1:$C$1462,2,0)</f>
        <v>Week2</v>
      </c>
      <c r="F66" s="216" t="str">
        <f t="shared" si="1"/>
        <v>Jan</v>
      </c>
      <c r="G66" s="215" t="s">
        <v>774</v>
      </c>
      <c r="H66" s="215" t="s">
        <v>104</v>
      </c>
      <c r="I66" s="215" t="s">
        <v>2772</v>
      </c>
      <c r="J66" s="209" t="s">
        <v>105</v>
      </c>
      <c r="K66" s="217" t="s">
        <v>107</v>
      </c>
      <c r="L66" s="300" t="s">
        <v>2167</v>
      </c>
      <c r="M66" s="209" t="s">
        <v>108</v>
      </c>
      <c r="N66" s="215" t="s">
        <v>109</v>
      </c>
      <c r="O66" s="215" t="s">
        <v>110</v>
      </c>
      <c r="P66" s="218">
        <v>36</v>
      </c>
      <c r="Q66" s="218">
        <v>5</v>
      </c>
      <c r="R66" s="219">
        <v>7.4999999999999997E-3</v>
      </c>
      <c r="S66" s="215" t="s">
        <v>111</v>
      </c>
      <c r="T66" s="215" t="s">
        <v>112</v>
      </c>
      <c r="U66" s="215" t="s">
        <v>113</v>
      </c>
      <c r="V66" s="220">
        <v>792</v>
      </c>
      <c r="W66" s="220">
        <v>792</v>
      </c>
      <c r="X66" s="221"/>
      <c r="Y66" s="222">
        <f t="shared" si="12"/>
        <v>0</v>
      </c>
      <c r="Z66" s="223">
        <f t="shared" si="13"/>
        <v>0</v>
      </c>
      <c r="AA66" s="223"/>
      <c r="AB66" s="807"/>
      <c r="AC66" s="220"/>
      <c r="AD66" s="209"/>
      <c r="AE66" s="210"/>
      <c r="AF66" s="210"/>
      <c r="AG66" s="211">
        <f t="shared" si="14"/>
        <v>0.308</v>
      </c>
      <c r="AH66" s="157">
        <f t="shared" si="21"/>
        <v>0</v>
      </c>
      <c r="AI66" s="152">
        <f t="shared" si="16"/>
        <v>28512</v>
      </c>
      <c r="AK66" s="156" t="s">
        <v>691</v>
      </c>
      <c r="AL66" s="574" t="s">
        <v>690</v>
      </c>
      <c r="AM66" s="198">
        <f t="shared" si="20"/>
        <v>0</v>
      </c>
      <c r="AN66" s="199">
        <f t="shared" si="2"/>
        <v>45304</v>
      </c>
      <c r="AO66" s="159" t="s">
        <v>692</v>
      </c>
      <c r="AP66" s="781"/>
      <c r="AQ66" s="782">
        <v>12063755</v>
      </c>
      <c r="AR66" s="782">
        <v>12061353</v>
      </c>
      <c r="AS66" s="782">
        <v>12061354</v>
      </c>
      <c r="AT66" s="782">
        <v>12068566</v>
      </c>
      <c r="AU66" s="781"/>
      <c r="AV66" s="782">
        <v>12068564</v>
      </c>
      <c r="AW66" s="782">
        <v>12062153</v>
      </c>
      <c r="AX66" s="782"/>
      <c r="AY66" s="782">
        <v>12068565</v>
      </c>
      <c r="AZ66" s="782"/>
      <c r="BA66" s="781"/>
    </row>
    <row r="67" spans="1:53" ht="25" hidden="1" customHeight="1">
      <c r="B67" s="213">
        <v>45304</v>
      </c>
      <c r="C67" s="214">
        <v>45322</v>
      </c>
      <c r="D67" s="185">
        <f t="shared" si="0"/>
        <v>2024</v>
      </c>
      <c r="E67" s="215" t="str">
        <f>VLOOKUP($B67,Week!$A$1:$C$1462,2,0)</f>
        <v>Week2</v>
      </c>
      <c r="F67" s="216" t="str">
        <f t="shared" si="1"/>
        <v>Jan</v>
      </c>
      <c r="G67" s="215" t="s">
        <v>780</v>
      </c>
      <c r="H67" s="215" t="s">
        <v>104</v>
      </c>
      <c r="I67" s="215" t="s">
        <v>2772</v>
      </c>
      <c r="J67" s="209" t="s">
        <v>105</v>
      </c>
      <c r="K67" s="217" t="s">
        <v>107</v>
      </c>
      <c r="L67" s="300" t="s">
        <v>2167</v>
      </c>
      <c r="M67" s="209" t="s">
        <v>108</v>
      </c>
      <c r="N67" s="215" t="s">
        <v>109</v>
      </c>
      <c r="O67" s="215" t="s">
        <v>110</v>
      </c>
      <c r="P67" s="218">
        <v>36</v>
      </c>
      <c r="Q67" s="218">
        <v>5</v>
      </c>
      <c r="R67" s="219">
        <v>7.4999999999999997E-3</v>
      </c>
      <c r="S67" s="215" t="s">
        <v>111</v>
      </c>
      <c r="T67" s="215" t="s">
        <v>112</v>
      </c>
      <c r="U67" s="215" t="s">
        <v>113</v>
      </c>
      <c r="V67" s="220">
        <v>792</v>
      </c>
      <c r="W67" s="220">
        <v>792</v>
      </c>
      <c r="X67" s="221"/>
      <c r="Y67" s="222">
        <f t="shared" si="12"/>
        <v>0</v>
      </c>
      <c r="Z67" s="223">
        <f t="shared" si="13"/>
        <v>0</v>
      </c>
      <c r="AA67" s="223"/>
      <c r="AB67" s="807"/>
      <c r="AC67" s="220"/>
      <c r="AD67" s="209"/>
      <c r="AE67" s="210"/>
      <c r="AF67" s="210"/>
      <c r="AG67" s="211">
        <f t="shared" si="14"/>
        <v>0.308</v>
      </c>
      <c r="AH67" s="157">
        <f t="shared" si="21"/>
        <v>0</v>
      </c>
      <c r="AI67" s="152">
        <f t="shared" si="16"/>
        <v>28512</v>
      </c>
      <c r="AK67" s="156" t="s">
        <v>691</v>
      </c>
      <c r="AL67" s="574" t="s">
        <v>690</v>
      </c>
      <c r="AM67" s="198">
        <f t="shared" si="20"/>
        <v>0</v>
      </c>
      <c r="AN67" s="199">
        <f t="shared" si="2"/>
        <v>45304</v>
      </c>
      <c r="AO67" s="159" t="s">
        <v>692</v>
      </c>
      <c r="AP67" s="781"/>
      <c r="AQ67" s="782">
        <v>12063755</v>
      </c>
      <c r="AR67" s="782">
        <v>12061353</v>
      </c>
      <c r="AS67" s="782">
        <v>12061354</v>
      </c>
      <c r="AT67" s="782">
        <v>12068566</v>
      </c>
      <c r="AU67" s="781"/>
      <c r="AV67" s="782">
        <v>12068564</v>
      </c>
      <c r="AW67" s="782">
        <v>12062153</v>
      </c>
      <c r="AX67" s="782"/>
      <c r="AY67" s="782">
        <v>12068565</v>
      </c>
      <c r="AZ67" s="782"/>
      <c r="BA67" s="781"/>
    </row>
    <row r="68" spans="1:53" ht="25" hidden="1" customHeight="1">
      <c r="B68" s="213">
        <v>45304</v>
      </c>
      <c r="C68" s="578">
        <v>45322</v>
      </c>
      <c r="D68" s="185">
        <f t="shared" si="0"/>
        <v>2024</v>
      </c>
      <c r="E68" s="215" t="str">
        <f>VLOOKUP($B68,Week!$A$1:$C$1462,2,0)</f>
        <v>Week2</v>
      </c>
      <c r="F68" s="216" t="str">
        <f t="shared" si="1"/>
        <v>Jan</v>
      </c>
      <c r="G68" s="215" t="s">
        <v>781</v>
      </c>
      <c r="H68" s="215" t="s">
        <v>104</v>
      </c>
      <c r="I68" s="215" t="s">
        <v>2772</v>
      </c>
      <c r="J68" s="209" t="s">
        <v>105</v>
      </c>
      <c r="K68" s="217" t="s">
        <v>107</v>
      </c>
      <c r="L68" s="300" t="s">
        <v>2167</v>
      </c>
      <c r="M68" s="209" t="s">
        <v>108</v>
      </c>
      <c r="N68" s="215" t="s">
        <v>109</v>
      </c>
      <c r="O68" s="215" t="s">
        <v>110</v>
      </c>
      <c r="P68" s="218">
        <v>36</v>
      </c>
      <c r="Q68" s="218">
        <v>5</v>
      </c>
      <c r="R68" s="219">
        <v>7.4999999999999997E-3</v>
      </c>
      <c r="S68" s="215" t="s">
        <v>111</v>
      </c>
      <c r="T68" s="215" t="s">
        <v>112</v>
      </c>
      <c r="U68" s="215" t="s">
        <v>113</v>
      </c>
      <c r="V68" s="220">
        <v>674</v>
      </c>
      <c r="W68" s="220">
        <f>3146-96-792-792-792</f>
        <v>674</v>
      </c>
      <c r="X68" s="221"/>
      <c r="Y68" s="222">
        <f t="shared" si="12"/>
        <v>0</v>
      </c>
      <c r="Z68" s="223">
        <f t="shared" si="13"/>
        <v>0</v>
      </c>
      <c r="AA68" s="223"/>
      <c r="AB68" s="807"/>
      <c r="AC68" s="220"/>
      <c r="AD68" s="209"/>
      <c r="AE68" s="210"/>
      <c r="AF68" s="210"/>
      <c r="AG68" s="211">
        <f t="shared" si="14"/>
        <v>0.308</v>
      </c>
      <c r="AH68" s="157">
        <f>(Z68*AG68)/1000</f>
        <v>0</v>
      </c>
      <c r="AI68" s="152">
        <f t="shared" si="16"/>
        <v>24264</v>
      </c>
      <c r="AK68" s="156" t="s">
        <v>691</v>
      </c>
      <c r="AL68" s="574" t="s">
        <v>690</v>
      </c>
      <c r="AM68" s="198">
        <f>AG68*Z68</f>
        <v>0</v>
      </c>
      <c r="AN68" s="199">
        <f t="shared" si="2"/>
        <v>45304</v>
      </c>
      <c r="AO68" s="159" t="s">
        <v>692</v>
      </c>
      <c r="AP68" s="781"/>
      <c r="AQ68" s="782">
        <v>12063755</v>
      </c>
      <c r="AR68" s="782">
        <v>12061353</v>
      </c>
      <c r="AS68" s="782">
        <v>12061354</v>
      </c>
      <c r="AT68" s="782">
        <v>12068566</v>
      </c>
      <c r="AU68" s="781"/>
      <c r="AV68" s="782">
        <v>12068564</v>
      </c>
      <c r="AW68" s="782">
        <v>12062153</v>
      </c>
      <c r="AX68" s="782"/>
      <c r="AY68" s="782">
        <v>12068565</v>
      </c>
      <c r="AZ68" s="782"/>
      <c r="BA68" s="781"/>
    </row>
    <row r="69" spans="1:53" ht="25" hidden="1" customHeight="1">
      <c r="A69" s="142" t="s">
        <v>120</v>
      </c>
      <c r="B69" s="448">
        <v>45304</v>
      </c>
      <c r="C69" s="449">
        <v>45308</v>
      </c>
      <c r="D69" s="185">
        <f t="shared" ref="D69:D132" si="22">IF(B69="","",YEAR(B69))</f>
        <v>2024</v>
      </c>
      <c r="E69" s="450" t="str">
        <f>VLOOKUP($B69,Week!$A$1:$C$1462,2,0)</f>
        <v>Week2</v>
      </c>
      <c r="F69" s="451" t="str">
        <f t="shared" ref="F69:F132" si="23">IF(B69="","",TEXT(B69,"[$-409]mmm"))</f>
        <v>Jan</v>
      </c>
      <c r="G69" s="450" t="s">
        <v>830</v>
      </c>
      <c r="H69" s="450" t="s">
        <v>134</v>
      </c>
      <c r="I69" s="450" t="s">
        <v>2772</v>
      </c>
      <c r="J69" s="452" t="s">
        <v>164</v>
      </c>
      <c r="K69" s="453" t="s">
        <v>153</v>
      </c>
      <c r="L69" s="390" t="s">
        <v>2166</v>
      </c>
      <c r="M69" s="452" t="s">
        <v>1642</v>
      </c>
      <c r="N69" s="450" t="s">
        <v>429</v>
      </c>
      <c r="O69" s="450" t="s">
        <v>505</v>
      </c>
      <c r="P69" s="454">
        <v>20</v>
      </c>
      <c r="Q69" s="454">
        <v>12</v>
      </c>
      <c r="R69" s="455">
        <v>6.8100000000000001E-3</v>
      </c>
      <c r="S69" s="450" t="s">
        <v>76</v>
      </c>
      <c r="T69" s="450" t="s">
        <v>56</v>
      </c>
      <c r="U69" s="450" t="s">
        <v>430</v>
      </c>
      <c r="V69" s="456">
        <f>1200-424</f>
        <v>776</v>
      </c>
      <c r="W69" s="456">
        <f>772</f>
        <v>772</v>
      </c>
      <c r="X69" s="457">
        <v>4</v>
      </c>
      <c r="Y69" s="458">
        <f t="shared" si="12"/>
        <v>0</v>
      </c>
      <c r="Z69" s="459">
        <f t="shared" si="13"/>
        <v>0</v>
      </c>
      <c r="AA69" s="459">
        <f>Q69*Z69</f>
        <v>0</v>
      </c>
      <c r="AB69" s="827">
        <v>2</v>
      </c>
      <c r="AC69" s="456">
        <f>Z69*AB69</f>
        <v>0</v>
      </c>
      <c r="AD69" s="209" t="s">
        <v>218</v>
      </c>
      <c r="AE69" s="210"/>
      <c r="AF69" s="210"/>
      <c r="AG69" s="211">
        <f t="shared" si="14"/>
        <v>0.20399999999999999</v>
      </c>
      <c r="AH69" s="157">
        <f t="shared" si="21"/>
        <v>0</v>
      </c>
      <c r="AI69" s="152">
        <f t="shared" si="16"/>
        <v>15520</v>
      </c>
      <c r="AK69" s="156" t="s">
        <v>691</v>
      </c>
      <c r="AL69" s="156" t="s">
        <v>689</v>
      </c>
      <c r="AM69" s="198">
        <f t="shared" si="20"/>
        <v>0</v>
      </c>
      <c r="AN69" s="199">
        <f t="shared" ref="AN69:AN132" si="24">B69</f>
        <v>45304</v>
      </c>
      <c r="AO69" s="159" t="s">
        <v>692</v>
      </c>
      <c r="AP69" s="781"/>
      <c r="AQ69" s="782" t="s">
        <v>158</v>
      </c>
      <c r="AR69" s="782">
        <v>12019692</v>
      </c>
      <c r="AS69" s="782"/>
      <c r="AT69" s="782">
        <v>12055901</v>
      </c>
      <c r="AU69" s="781"/>
      <c r="AV69" s="782">
        <v>12055891</v>
      </c>
      <c r="AW69" s="782"/>
      <c r="AX69" s="782" t="s">
        <v>398</v>
      </c>
      <c r="AY69" s="782"/>
      <c r="AZ69" s="782"/>
      <c r="BA69" s="781"/>
    </row>
    <row r="70" spans="1:53" ht="25" hidden="1" customHeight="1">
      <c r="B70" s="183">
        <v>45305</v>
      </c>
      <c r="C70" s="184"/>
      <c r="D70" s="185">
        <f t="shared" si="22"/>
        <v>2024</v>
      </c>
      <c r="E70" s="185" t="str">
        <f>VLOOKUP($B70,Week!$A$1:$C$1462,2,0)</f>
        <v>Week2</v>
      </c>
      <c r="F70" s="186" t="str">
        <f t="shared" si="23"/>
        <v>Jan</v>
      </c>
      <c r="G70" s="185"/>
      <c r="H70" s="185"/>
      <c r="I70" s="185"/>
      <c r="J70" s="187"/>
      <c r="K70" s="188"/>
      <c r="L70" s="300"/>
      <c r="M70" s="187"/>
      <c r="N70" s="185"/>
      <c r="O70" s="185"/>
      <c r="P70" s="189"/>
      <c r="Q70" s="189"/>
      <c r="R70" s="190"/>
      <c r="S70" s="185"/>
      <c r="T70" s="185"/>
      <c r="U70" s="185"/>
      <c r="V70" s="191"/>
      <c r="W70" s="191"/>
      <c r="X70" s="192"/>
      <c r="Y70" s="193"/>
      <c r="Z70" s="194"/>
      <c r="AA70" s="194"/>
      <c r="AB70" s="805"/>
      <c r="AC70" s="191"/>
      <c r="AD70" s="187"/>
      <c r="AE70" s="195"/>
      <c r="AF70" s="195"/>
      <c r="AG70" s="196"/>
      <c r="AH70" s="197"/>
      <c r="AK70" s="156" t="s">
        <v>691</v>
      </c>
      <c r="AM70" s="198">
        <f t="shared" si="20"/>
        <v>0</v>
      </c>
      <c r="AN70" s="199">
        <f t="shared" si="24"/>
        <v>45305</v>
      </c>
      <c r="AO70" s="159" t="s">
        <v>692</v>
      </c>
      <c r="AP70" s="781"/>
      <c r="AQ70" s="782"/>
      <c r="AR70" s="782"/>
      <c r="AS70" s="782"/>
      <c r="AT70" s="782"/>
      <c r="AU70" s="781"/>
      <c r="AV70" s="782"/>
      <c r="AW70" s="782"/>
      <c r="AX70" s="782"/>
      <c r="AY70" s="782"/>
      <c r="AZ70" s="782"/>
      <c r="BA70" s="781"/>
    </row>
    <row r="71" spans="1:53" ht="25" hidden="1" customHeight="1">
      <c r="A71" s="142" t="s">
        <v>438</v>
      </c>
      <c r="B71" s="424">
        <v>45306</v>
      </c>
      <c r="C71" s="425">
        <v>45324</v>
      </c>
      <c r="D71" s="185">
        <f t="shared" si="22"/>
        <v>2024</v>
      </c>
      <c r="E71" s="427" t="str">
        <f>VLOOKUP($B71,Week!$A$1:$C$1462,2,0)</f>
        <v>Week3</v>
      </c>
      <c r="F71" s="426" t="str">
        <f t="shared" si="23"/>
        <v>Jan</v>
      </c>
      <c r="G71" s="427" t="s">
        <v>837</v>
      </c>
      <c r="H71" s="427" t="s">
        <v>104</v>
      </c>
      <c r="I71" s="427" t="s">
        <v>2772</v>
      </c>
      <c r="J71" s="428" t="s">
        <v>434</v>
      </c>
      <c r="K71" s="429" t="s">
        <v>433</v>
      </c>
      <c r="L71" s="300" t="s">
        <v>2167</v>
      </c>
      <c r="M71" s="428" t="s">
        <v>565</v>
      </c>
      <c r="N71" s="427" t="s">
        <v>567</v>
      </c>
      <c r="O71" s="427" t="s">
        <v>566</v>
      </c>
      <c r="P71" s="430">
        <v>16</v>
      </c>
      <c r="Q71" s="430">
        <v>6</v>
      </c>
      <c r="R71" s="431">
        <v>8.1300000000000001E-3</v>
      </c>
      <c r="S71" s="427" t="s">
        <v>40</v>
      </c>
      <c r="T71" s="427" t="s">
        <v>112</v>
      </c>
      <c r="U71" s="427" t="s">
        <v>662</v>
      </c>
      <c r="V71" s="432">
        <v>721</v>
      </c>
      <c r="W71" s="432">
        <f>53+668</f>
        <v>721</v>
      </c>
      <c r="X71" s="433"/>
      <c r="Y71" s="434">
        <f t="shared" ref="Y71:Y117" si="25">(W71+X71)-V71</f>
        <v>0</v>
      </c>
      <c r="Z71" s="435">
        <f t="shared" ref="Z71:Z117" si="26">IF(Y71&lt;0,((V71*P71)-((W71+X71)*P71)),0)</f>
        <v>0</v>
      </c>
      <c r="AA71" s="435"/>
      <c r="AB71" s="826">
        <v>1</v>
      </c>
      <c r="AC71" s="432">
        <f>AB71*V71*P71</f>
        <v>11536</v>
      </c>
      <c r="AD71" s="307" t="s">
        <v>573</v>
      </c>
      <c r="AE71" s="511"/>
      <c r="AF71" s="511"/>
      <c r="AG71" s="211">
        <f t="shared" ref="AG71:AG117" si="27">MID(O71,1,3)/1000</f>
        <v>0.11700000000000001</v>
      </c>
      <c r="AH71" s="157">
        <f t="shared" ref="AH71:AH78" si="28">(Z71*AG71)/1000</f>
        <v>0</v>
      </c>
      <c r="AI71" s="152">
        <f t="shared" ref="AI71:AI117" si="29">V71*P71</f>
        <v>11536</v>
      </c>
      <c r="AK71" s="156" t="s">
        <v>691</v>
      </c>
      <c r="AL71" s="574" t="s">
        <v>690</v>
      </c>
      <c r="AM71" s="198">
        <f t="shared" ref="AM71:AM76" si="30">AG71*Z71</f>
        <v>0</v>
      </c>
      <c r="AN71" s="199">
        <f t="shared" si="24"/>
        <v>45306</v>
      </c>
      <c r="AO71" s="159" t="s">
        <v>692</v>
      </c>
      <c r="AP71" s="781"/>
      <c r="AQ71" s="782"/>
      <c r="AR71" s="782">
        <v>12080450</v>
      </c>
      <c r="AS71" s="782"/>
      <c r="AT71" s="782">
        <v>12083198</v>
      </c>
      <c r="AU71" s="781"/>
      <c r="AV71" s="782">
        <v>12080491</v>
      </c>
      <c r="AW71" s="782"/>
      <c r="AX71" s="782" t="s">
        <v>627</v>
      </c>
      <c r="AY71" s="782"/>
      <c r="AZ71" s="782"/>
      <c r="BA71" s="781"/>
    </row>
    <row r="72" spans="1:53" ht="24.75" hidden="1" customHeight="1">
      <c r="B72" s="295">
        <v>45306</v>
      </c>
      <c r="C72" s="296"/>
      <c r="D72" s="185">
        <f t="shared" si="22"/>
        <v>2024</v>
      </c>
      <c r="E72" s="296" t="str">
        <f>VLOOKUP($B72,Week!$A$1:$C$1462,2,0)</f>
        <v>Week3</v>
      </c>
      <c r="F72" s="297" t="str">
        <f t="shared" si="23"/>
        <v>Jan</v>
      </c>
      <c r="G72" s="298" t="s">
        <v>47</v>
      </c>
      <c r="H72" s="298" t="s">
        <v>260</v>
      </c>
      <c r="I72" s="298" t="s">
        <v>2702</v>
      </c>
      <c r="J72" s="580" t="s">
        <v>698</v>
      </c>
      <c r="K72" s="300" t="s">
        <v>176</v>
      </c>
      <c r="L72" s="300" t="s">
        <v>2167</v>
      </c>
      <c r="M72" s="299" t="s">
        <v>262</v>
      </c>
      <c r="N72" s="298" t="s">
        <v>350</v>
      </c>
      <c r="O72" s="298" t="s">
        <v>351</v>
      </c>
      <c r="P72" s="301">
        <v>24</v>
      </c>
      <c r="Q72" s="301">
        <v>5</v>
      </c>
      <c r="R72" s="302">
        <v>6.1999999999999998E-3</v>
      </c>
      <c r="S72" s="298" t="s">
        <v>352</v>
      </c>
      <c r="T72" s="298" t="s">
        <v>56</v>
      </c>
      <c r="U72" s="298" t="s">
        <v>57</v>
      </c>
      <c r="V72" s="303">
        <v>1100</v>
      </c>
      <c r="W72" s="303">
        <f>1100</f>
        <v>1100</v>
      </c>
      <c r="X72" s="304"/>
      <c r="Y72" s="305">
        <f t="shared" si="25"/>
        <v>0</v>
      </c>
      <c r="Z72" s="306">
        <f t="shared" si="26"/>
        <v>0</v>
      </c>
      <c r="AA72" s="306"/>
      <c r="AB72" s="814"/>
      <c r="AC72" s="303"/>
      <c r="AD72" s="209"/>
      <c r="AE72" s="210"/>
      <c r="AF72" s="210"/>
      <c r="AG72" s="211">
        <f t="shared" si="27"/>
        <v>0.13</v>
      </c>
      <c r="AH72" s="157">
        <f t="shared" si="28"/>
        <v>0</v>
      </c>
      <c r="AI72" s="152">
        <f t="shared" si="29"/>
        <v>26400</v>
      </c>
      <c r="AK72" s="156" t="s">
        <v>691</v>
      </c>
      <c r="AL72" s="574" t="s">
        <v>690</v>
      </c>
      <c r="AM72" s="198">
        <f t="shared" si="30"/>
        <v>0</v>
      </c>
      <c r="AN72" s="199">
        <f t="shared" si="24"/>
        <v>45306</v>
      </c>
      <c r="AO72" s="159" t="s">
        <v>692</v>
      </c>
      <c r="AP72" s="783" t="s">
        <v>629</v>
      </c>
      <c r="AQ72" s="782">
        <v>12071839</v>
      </c>
      <c r="AR72" s="782">
        <v>12078867</v>
      </c>
      <c r="AS72" s="782">
        <v>12068233</v>
      </c>
      <c r="AT72" s="781"/>
      <c r="AU72" s="781"/>
      <c r="AV72" s="782">
        <v>12062075</v>
      </c>
      <c r="AW72" s="781"/>
      <c r="AX72" s="781"/>
      <c r="AY72" s="782">
        <v>12078868</v>
      </c>
      <c r="AZ72" s="781"/>
      <c r="BA72" s="781"/>
    </row>
    <row r="73" spans="1:53" ht="24.65" hidden="1" customHeight="1">
      <c r="B73" s="308">
        <v>45306</v>
      </c>
      <c r="C73" s="309">
        <v>45323</v>
      </c>
      <c r="D73" s="185">
        <f t="shared" si="22"/>
        <v>2024</v>
      </c>
      <c r="E73" s="309" t="str">
        <f>VLOOKUP($B73,Week!$A$1:$C$1462,2,0)</f>
        <v>Week3</v>
      </c>
      <c r="F73" s="310" t="str">
        <f t="shared" si="23"/>
        <v>Jan</v>
      </c>
      <c r="G73" s="311" t="s">
        <v>858</v>
      </c>
      <c r="H73" s="311" t="s">
        <v>311</v>
      </c>
      <c r="I73" s="311" t="s">
        <v>2772</v>
      </c>
      <c r="J73" s="312" t="s">
        <v>738</v>
      </c>
      <c r="K73" s="313" t="s">
        <v>107</v>
      </c>
      <c r="L73" s="300" t="s">
        <v>2167</v>
      </c>
      <c r="M73" s="312" t="s">
        <v>313</v>
      </c>
      <c r="N73" s="311" t="s">
        <v>314</v>
      </c>
      <c r="O73" s="311" t="s">
        <v>110</v>
      </c>
      <c r="P73" s="314">
        <v>36</v>
      </c>
      <c r="Q73" s="314">
        <v>5</v>
      </c>
      <c r="R73" s="315">
        <v>7.4999999999999997E-3</v>
      </c>
      <c r="S73" s="311" t="s">
        <v>111</v>
      </c>
      <c r="T73" s="311" t="s">
        <v>112</v>
      </c>
      <c r="U73" s="311" t="s">
        <v>57</v>
      </c>
      <c r="V73" s="316">
        <v>792</v>
      </c>
      <c r="W73" s="316">
        <f>792</f>
        <v>792</v>
      </c>
      <c r="X73" s="317"/>
      <c r="Y73" s="318">
        <f t="shared" si="25"/>
        <v>0</v>
      </c>
      <c r="Z73" s="319">
        <f t="shared" si="26"/>
        <v>0</v>
      </c>
      <c r="AA73" s="319"/>
      <c r="AB73" s="815"/>
      <c r="AC73" s="316"/>
      <c r="AD73" s="515"/>
      <c r="AE73" s="210"/>
      <c r="AF73" s="210"/>
      <c r="AG73" s="211">
        <f t="shared" si="27"/>
        <v>0.308</v>
      </c>
      <c r="AH73" s="157">
        <f t="shared" si="28"/>
        <v>0</v>
      </c>
      <c r="AI73" s="152">
        <f t="shared" si="29"/>
        <v>28512</v>
      </c>
      <c r="AK73" s="156" t="s">
        <v>691</v>
      </c>
      <c r="AL73" s="212" t="s">
        <v>690</v>
      </c>
      <c r="AM73" s="198">
        <f t="shared" si="30"/>
        <v>0</v>
      </c>
      <c r="AN73" s="199">
        <f t="shared" si="24"/>
        <v>45306</v>
      </c>
      <c r="AO73" s="159" t="s">
        <v>692</v>
      </c>
      <c r="AP73" s="783" t="s">
        <v>644</v>
      </c>
      <c r="AQ73" s="782">
        <v>12063755</v>
      </c>
      <c r="AR73" s="782">
        <v>12061353</v>
      </c>
      <c r="AS73" s="782">
        <v>12061354</v>
      </c>
      <c r="AT73" s="782">
        <v>12062266</v>
      </c>
      <c r="AU73" s="781"/>
      <c r="AV73" s="782">
        <v>12062261</v>
      </c>
      <c r="AW73" s="782">
        <v>12062153</v>
      </c>
      <c r="AX73" s="782"/>
      <c r="AY73" s="782">
        <v>12062262</v>
      </c>
      <c r="AZ73" s="782"/>
      <c r="BA73" s="781"/>
    </row>
    <row r="74" spans="1:53" ht="25" hidden="1" customHeight="1">
      <c r="B74" s="213">
        <v>45306</v>
      </c>
      <c r="C74" s="578">
        <v>45322</v>
      </c>
      <c r="D74" s="185">
        <f t="shared" si="22"/>
        <v>2024</v>
      </c>
      <c r="E74" s="215" t="str">
        <f>VLOOKUP($B74,Week!$A$1:$C$1462,2,0)</f>
        <v>Week3</v>
      </c>
      <c r="F74" s="216" t="str">
        <f t="shared" si="23"/>
        <v>Jan</v>
      </c>
      <c r="G74" s="215" t="s">
        <v>781</v>
      </c>
      <c r="H74" s="215" t="s">
        <v>104</v>
      </c>
      <c r="I74" s="215" t="s">
        <v>2772</v>
      </c>
      <c r="J74" s="209" t="s">
        <v>105</v>
      </c>
      <c r="K74" s="217" t="s">
        <v>107</v>
      </c>
      <c r="L74" s="300" t="s">
        <v>2167</v>
      </c>
      <c r="M74" s="209" t="s">
        <v>108</v>
      </c>
      <c r="N74" s="215" t="s">
        <v>109</v>
      </c>
      <c r="O74" s="215" t="s">
        <v>110</v>
      </c>
      <c r="P74" s="218">
        <v>36</v>
      </c>
      <c r="Q74" s="218">
        <v>5</v>
      </c>
      <c r="R74" s="219">
        <v>7.4999999999999997E-3</v>
      </c>
      <c r="S74" s="215" t="s">
        <v>111</v>
      </c>
      <c r="T74" s="215" t="s">
        <v>112</v>
      </c>
      <c r="U74" s="215" t="s">
        <v>113</v>
      </c>
      <c r="V74" s="220">
        <f>792-674</f>
        <v>118</v>
      </c>
      <c r="W74" s="220">
        <f>792-674</f>
        <v>118</v>
      </c>
      <c r="X74" s="221"/>
      <c r="Y74" s="222">
        <f t="shared" si="25"/>
        <v>0</v>
      </c>
      <c r="Z74" s="223">
        <f t="shared" si="26"/>
        <v>0</v>
      </c>
      <c r="AA74" s="223"/>
      <c r="AB74" s="807"/>
      <c r="AC74" s="220"/>
      <c r="AD74" s="209"/>
      <c r="AE74" s="210"/>
      <c r="AF74" s="210"/>
      <c r="AG74" s="211">
        <f t="shared" si="27"/>
        <v>0.308</v>
      </c>
      <c r="AH74" s="157">
        <f>(Z74*AG74)/1000</f>
        <v>0</v>
      </c>
      <c r="AI74" s="152">
        <f t="shared" si="29"/>
        <v>4248</v>
      </c>
      <c r="AK74" s="156" t="s">
        <v>691</v>
      </c>
      <c r="AL74" s="574" t="s">
        <v>690</v>
      </c>
      <c r="AM74" s="198">
        <f>AG74*Z74</f>
        <v>0</v>
      </c>
      <c r="AN74" s="199">
        <f t="shared" si="24"/>
        <v>45306</v>
      </c>
      <c r="AO74" s="159" t="s">
        <v>692</v>
      </c>
      <c r="AP74" s="781"/>
      <c r="AQ74" s="782">
        <v>12063755</v>
      </c>
      <c r="AR74" s="782">
        <v>12061353</v>
      </c>
      <c r="AS74" s="782">
        <v>12061354</v>
      </c>
      <c r="AT74" s="782">
        <v>12068566</v>
      </c>
      <c r="AU74" s="781"/>
      <c r="AV74" s="782">
        <v>12068564</v>
      </c>
      <c r="AW74" s="782">
        <v>12062153</v>
      </c>
      <c r="AX74" s="782"/>
      <c r="AY74" s="782">
        <v>12068565</v>
      </c>
      <c r="AZ74" s="782"/>
      <c r="BA74" s="781"/>
    </row>
    <row r="75" spans="1:53" ht="25" hidden="1" customHeight="1">
      <c r="B75" s="213">
        <v>45306</v>
      </c>
      <c r="C75" s="578">
        <v>45324</v>
      </c>
      <c r="D75" s="185">
        <f t="shared" si="22"/>
        <v>2024</v>
      </c>
      <c r="E75" s="215" t="str">
        <f>VLOOKUP($B75,Week!$A$1:$C$1462,2,0)</f>
        <v>Week3</v>
      </c>
      <c r="F75" s="216" t="str">
        <f t="shared" si="23"/>
        <v>Jan</v>
      </c>
      <c r="G75" s="215" t="s">
        <v>775</v>
      </c>
      <c r="H75" s="215" t="s">
        <v>104</v>
      </c>
      <c r="I75" s="215" t="s">
        <v>2772</v>
      </c>
      <c r="J75" s="209" t="s">
        <v>105</v>
      </c>
      <c r="K75" s="217" t="s">
        <v>107</v>
      </c>
      <c r="L75" s="300" t="s">
        <v>2167</v>
      </c>
      <c r="M75" s="209" t="s">
        <v>108</v>
      </c>
      <c r="N75" s="215" t="s">
        <v>109</v>
      </c>
      <c r="O75" s="215" t="s">
        <v>110</v>
      </c>
      <c r="P75" s="218">
        <v>36</v>
      </c>
      <c r="Q75" s="218">
        <v>5</v>
      </c>
      <c r="R75" s="219">
        <v>7.4999999999999997E-3</v>
      </c>
      <c r="S75" s="215" t="s">
        <v>111</v>
      </c>
      <c r="T75" s="215" t="s">
        <v>112</v>
      </c>
      <c r="U75" s="215" t="s">
        <v>113</v>
      </c>
      <c r="V75" s="220">
        <v>792</v>
      </c>
      <c r="W75" s="220">
        <v>792</v>
      </c>
      <c r="X75" s="221"/>
      <c r="Y75" s="222">
        <f t="shared" si="25"/>
        <v>0</v>
      </c>
      <c r="Z75" s="223">
        <f t="shared" si="26"/>
        <v>0</v>
      </c>
      <c r="AA75" s="223"/>
      <c r="AB75" s="807"/>
      <c r="AC75" s="220"/>
      <c r="AD75" s="209"/>
      <c r="AE75" s="210"/>
      <c r="AF75" s="210"/>
      <c r="AG75" s="211">
        <f t="shared" si="27"/>
        <v>0.308</v>
      </c>
      <c r="AH75" s="157">
        <f>(Z75*AG75)/1000</f>
        <v>0</v>
      </c>
      <c r="AI75" s="152">
        <f t="shared" si="29"/>
        <v>28512</v>
      </c>
      <c r="AK75" s="156" t="s">
        <v>691</v>
      </c>
      <c r="AL75" s="574" t="s">
        <v>690</v>
      </c>
      <c r="AM75" s="198">
        <f>AG75*Z75</f>
        <v>0</v>
      </c>
      <c r="AN75" s="199">
        <f t="shared" si="24"/>
        <v>45306</v>
      </c>
      <c r="AO75" s="159" t="s">
        <v>692</v>
      </c>
      <c r="AP75" s="781"/>
      <c r="AQ75" s="782">
        <v>12063755</v>
      </c>
      <c r="AR75" s="782">
        <v>12061353</v>
      </c>
      <c r="AS75" s="782">
        <v>12061354</v>
      </c>
      <c r="AT75" s="782">
        <v>12068566</v>
      </c>
      <c r="AU75" s="781"/>
      <c r="AV75" s="782">
        <v>12068564</v>
      </c>
      <c r="AW75" s="782">
        <v>12062153</v>
      </c>
      <c r="AX75" s="782"/>
      <c r="AY75" s="782">
        <v>12068565</v>
      </c>
      <c r="AZ75" s="782"/>
      <c r="BA75" s="781"/>
    </row>
    <row r="76" spans="1:53" ht="25" hidden="1" customHeight="1">
      <c r="B76" s="213">
        <v>45306</v>
      </c>
      <c r="C76" s="578">
        <v>45324</v>
      </c>
      <c r="D76" s="185">
        <f t="shared" si="22"/>
        <v>2024</v>
      </c>
      <c r="E76" s="215" t="str">
        <f>VLOOKUP($B76,Week!$A$1:$C$1462,2,0)</f>
        <v>Week3</v>
      </c>
      <c r="F76" s="216" t="str">
        <f t="shared" si="23"/>
        <v>Jan</v>
      </c>
      <c r="G76" s="215" t="s">
        <v>776</v>
      </c>
      <c r="H76" s="215" t="s">
        <v>104</v>
      </c>
      <c r="I76" s="215" t="s">
        <v>2772</v>
      </c>
      <c r="J76" s="209" t="s">
        <v>105</v>
      </c>
      <c r="K76" s="217" t="s">
        <v>107</v>
      </c>
      <c r="L76" s="300" t="s">
        <v>2167</v>
      </c>
      <c r="M76" s="209" t="s">
        <v>108</v>
      </c>
      <c r="N76" s="215" t="s">
        <v>109</v>
      </c>
      <c r="O76" s="215" t="s">
        <v>110</v>
      </c>
      <c r="P76" s="218">
        <v>36</v>
      </c>
      <c r="Q76" s="218">
        <v>5</v>
      </c>
      <c r="R76" s="219">
        <v>7.4999999999999997E-3</v>
      </c>
      <c r="S76" s="215" t="s">
        <v>111</v>
      </c>
      <c r="T76" s="215" t="s">
        <v>112</v>
      </c>
      <c r="U76" s="215" t="s">
        <v>113</v>
      </c>
      <c r="V76" s="220">
        <v>792</v>
      </c>
      <c r="W76" s="220">
        <v>792</v>
      </c>
      <c r="X76" s="221"/>
      <c r="Y76" s="222">
        <f t="shared" si="25"/>
        <v>0</v>
      </c>
      <c r="Z76" s="223">
        <f t="shared" si="26"/>
        <v>0</v>
      </c>
      <c r="AA76" s="223"/>
      <c r="AB76" s="807"/>
      <c r="AC76" s="220"/>
      <c r="AD76" s="209"/>
      <c r="AE76" s="210"/>
      <c r="AF76" s="210"/>
      <c r="AG76" s="211">
        <f t="shared" si="27"/>
        <v>0.308</v>
      </c>
      <c r="AH76" s="157">
        <f t="shared" si="28"/>
        <v>0</v>
      </c>
      <c r="AI76" s="152">
        <f t="shared" si="29"/>
        <v>28512</v>
      </c>
      <c r="AK76" s="156" t="s">
        <v>691</v>
      </c>
      <c r="AL76" s="574" t="s">
        <v>690</v>
      </c>
      <c r="AM76" s="198">
        <f t="shared" si="30"/>
        <v>0</v>
      </c>
      <c r="AN76" s="199">
        <f t="shared" si="24"/>
        <v>45306</v>
      </c>
      <c r="AO76" s="159" t="s">
        <v>692</v>
      </c>
      <c r="AP76" s="781"/>
      <c r="AQ76" s="782">
        <v>12063755</v>
      </c>
      <c r="AR76" s="782">
        <v>12061353</v>
      </c>
      <c r="AS76" s="782">
        <v>12061354</v>
      </c>
      <c r="AT76" s="782">
        <v>12068566</v>
      </c>
      <c r="AU76" s="781"/>
      <c r="AV76" s="782">
        <v>12068564</v>
      </c>
      <c r="AW76" s="782">
        <v>12062153</v>
      </c>
      <c r="AX76" s="782"/>
      <c r="AY76" s="782">
        <v>12068565</v>
      </c>
      <c r="AZ76" s="782"/>
      <c r="BA76" s="781"/>
    </row>
    <row r="77" spans="1:53" ht="24.65" hidden="1" customHeight="1">
      <c r="B77" s="213">
        <v>45306</v>
      </c>
      <c r="C77" s="578">
        <v>45324</v>
      </c>
      <c r="D77" s="185">
        <f t="shared" si="22"/>
        <v>2024</v>
      </c>
      <c r="E77" s="215" t="str">
        <f>VLOOKUP($B77,Week!$A$1:$C$1462,2,0)</f>
        <v>Week3</v>
      </c>
      <c r="F77" s="216" t="str">
        <f t="shared" si="23"/>
        <v>Jan</v>
      </c>
      <c r="G77" s="215" t="s">
        <v>792</v>
      </c>
      <c r="H77" s="215" t="s">
        <v>104</v>
      </c>
      <c r="I77" s="215" t="s">
        <v>2772</v>
      </c>
      <c r="J77" s="209" t="s">
        <v>105</v>
      </c>
      <c r="K77" s="217" t="s">
        <v>107</v>
      </c>
      <c r="L77" s="300" t="s">
        <v>2167</v>
      </c>
      <c r="M77" s="209" t="s">
        <v>108</v>
      </c>
      <c r="N77" s="215" t="s">
        <v>109</v>
      </c>
      <c r="O77" s="215" t="s">
        <v>110</v>
      </c>
      <c r="P77" s="218">
        <v>36</v>
      </c>
      <c r="Q77" s="218">
        <v>5</v>
      </c>
      <c r="R77" s="219">
        <v>7.4999999999999997E-3</v>
      </c>
      <c r="S77" s="215" t="s">
        <v>111</v>
      </c>
      <c r="T77" s="215" t="s">
        <v>112</v>
      </c>
      <c r="U77" s="215" t="s">
        <v>113</v>
      </c>
      <c r="V77" s="220">
        <f>1873-118-792-792</f>
        <v>171</v>
      </c>
      <c r="W77" s="220">
        <f>1873-118-792-792</f>
        <v>171</v>
      </c>
      <c r="X77" s="221"/>
      <c r="Y77" s="222">
        <f t="shared" si="25"/>
        <v>0</v>
      </c>
      <c r="Z77" s="223">
        <f t="shared" si="26"/>
        <v>0</v>
      </c>
      <c r="AA77" s="223"/>
      <c r="AB77" s="807"/>
      <c r="AC77" s="220"/>
      <c r="AD77" s="209"/>
      <c r="AE77" s="210"/>
      <c r="AF77" s="210"/>
      <c r="AG77" s="211">
        <f t="shared" si="27"/>
        <v>0.308</v>
      </c>
      <c r="AH77" s="157">
        <f>(Z77*AG77)/1000</f>
        <v>0</v>
      </c>
      <c r="AI77" s="152">
        <f t="shared" si="29"/>
        <v>6156</v>
      </c>
      <c r="AK77" s="156" t="s">
        <v>691</v>
      </c>
      <c r="AL77" s="574" t="s">
        <v>690</v>
      </c>
      <c r="AM77" s="198">
        <f>AG77*Z77</f>
        <v>0</v>
      </c>
      <c r="AN77" s="199">
        <f t="shared" si="24"/>
        <v>45306</v>
      </c>
      <c r="AO77" s="159" t="s">
        <v>692</v>
      </c>
      <c r="AP77" s="781"/>
      <c r="AQ77" s="782">
        <v>12063755</v>
      </c>
      <c r="AR77" s="782">
        <v>12061353</v>
      </c>
      <c r="AS77" s="782">
        <v>12061354</v>
      </c>
      <c r="AT77" s="782">
        <v>12068566</v>
      </c>
      <c r="AU77" s="781"/>
      <c r="AV77" s="782">
        <v>12068564</v>
      </c>
      <c r="AW77" s="782">
        <v>12062153</v>
      </c>
      <c r="AX77" s="782"/>
      <c r="AY77" s="782">
        <v>12068565</v>
      </c>
      <c r="AZ77" s="782"/>
      <c r="BA77" s="781"/>
    </row>
    <row r="78" spans="1:53" ht="25" hidden="1" customHeight="1">
      <c r="A78" s="142" t="s">
        <v>120</v>
      </c>
      <c r="B78" s="385">
        <v>45306</v>
      </c>
      <c r="C78" s="386">
        <v>45314</v>
      </c>
      <c r="D78" s="185">
        <f t="shared" si="22"/>
        <v>2024</v>
      </c>
      <c r="E78" s="386" t="str">
        <f>VLOOKUP($B78,Week!$A$1:$C$1462,2,0)</f>
        <v>Week3</v>
      </c>
      <c r="F78" s="387" t="str">
        <f t="shared" si="23"/>
        <v>Jan</v>
      </c>
      <c r="G78" s="388" t="s">
        <v>757</v>
      </c>
      <c r="H78" s="388" t="s">
        <v>500</v>
      </c>
      <c r="I78" s="388" t="s">
        <v>2772</v>
      </c>
      <c r="J78" s="389" t="s">
        <v>285</v>
      </c>
      <c r="K78" s="390" t="s">
        <v>153</v>
      </c>
      <c r="L78" s="390" t="s">
        <v>2166</v>
      </c>
      <c r="M78" s="389" t="s">
        <v>165</v>
      </c>
      <c r="N78" s="388" t="s">
        <v>286</v>
      </c>
      <c r="O78" s="388" t="s">
        <v>503</v>
      </c>
      <c r="P78" s="391">
        <v>40</v>
      </c>
      <c r="Q78" s="391">
        <v>12</v>
      </c>
      <c r="R78" s="392">
        <v>6.8100000000000001E-3</v>
      </c>
      <c r="S78" s="388" t="s">
        <v>76</v>
      </c>
      <c r="T78" s="388" t="s">
        <v>56</v>
      </c>
      <c r="U78" s="388" t="s">
        <v>89</v>
      </c>
      <c r="V78" s="393">
        <v>629</v>
      </c>
      <c r="W78" s="393">
        <f>621</f>
        <v>621</v>
      </c>
      <c r="X78" s="394">
        <f>(333)/40</f>
        <v>8.3249999999999993</v>
      </c>
      <c r="Y78" s="395">
        <f t="shared" si="25"/>
        <v>0.32500000000004547</v>
      </c>
      <c r="Z78" s="396">
        <f t="shared" si="26"/>
        <v>0</v>
      </c>
      <c r="AA78" s="396">
        <f>Q78*Z78</f>
        <v>0</v>
      </c>
      <c r="AB78" s="823">
        <v>2</v>
      </c>
      <c r="AC78" s="393">
        <f>Z78*AB78</f>
        <v>0</v>
      </c>
      <c r="AD78" s="209"/>
      <c r="AE78" s="210"/>
      <c r="AF78" s="210"/>
      <c r="AG78" s="211">
        <f t="shared" si="27"/>
        <v>0.154</v>
      </c>
      <c r="AH78" s="157">
        <f t="shared" si="28"/>
        <v>0</v>
      </c>
      <c r="AI78" s="152">
        <f t="shared" si="29"/>
        <v>25160</v>
      </c>
      <c r="AK78" s="156" t="s">
        <v>691</v>
      </c>
      <c r="AL78" s="156" t="s">
        <v>689</v>
      </c>
      <c r="AM78" s="198">
        <f t="shared" si="20"/>
        <v>0</v>
      </c>
      <c r="AN78" s="199">
        <f t="shared" si="24"/>
        <v>45306</v>
      </c>
      <c r="AO78" s="159" t="s">
        <v>692</v>
      </c>
      <c r="AP78" s="783" t="s">
        <v>611</v>
      </c>
      <c r="AQ78" s="782">
        <v>12028328</v>
      </c>
      <c r="AR78" s="782">
        <v>12019692</v>
      </c>
      <c r="AS78" s="781"/>
      <c r="AT78" s="782">
        <v>12065371</v>
      </c>
      <c r="AU78" s="782"/>
      <c r="AV78" s="782">
        <v>12055895</v>
      </c>
      <c r="AW78" s="782">
        <v>12034747</v>
      </c>
      <c r="AX78" s="782" t="s">
        <v>398</v>
      </c>
      <c r="AY78" s="781" t="s">
        <v>290</v>
      </c>
      <c r="AZ78" s="781"/>
      <c r="BA78" s="781"/>
    </row>
    <row r="79" spans="1:53" ht="25.15" hidden="1" customHeight="1">
      <c r="B79" s="345">
        <v>45307</v>
      </c>
      <c r="C79" s="346">
        <v>45321</v>
      </c>
      <c r="D79" s="185">
        <f t="shared" si="22"/>
        <v>2024</v>
      </c>
      <c r="E79" s="347" t="str">
        <f>VLOOKUP($B79,Week!$A$1:$C$1462,2,0)</f>
        <v>Week3</v>
      </c>
      <c r="F79" s="348" t="str">
        <f t="shared" si="23"/>
        <v>Jan</v>
      </c>
      <c r="G79" s="347" t="s">
        <v>850</v>
      </c>
      <c r="H79" s="347" t="s">
        <v>424</v>
      </c>
      <c r="I79" s="347" t="s">
        <v>2772</v>
      </c>
      <c r="J79" s="438" t="s">
        <v>425</v>
      </c>
      <c r="K79" s="350" t="s">
        <v>176</v>
      </c>
      <c r="L79" s="300" t="s">
        <v>2167</v>
      </c>
      <c r="M79" s="349" t="s">
        <v>426</v>
      </c>
      <c r="N79" s="347" t="s">
        <v>427</v>
      </c>
      <c r="O79" s="347" t="s">
        <v>599</v>
      </c>
      <c r="P79" s="351">
        <v>36</v>
      </c>
      <c r="Q79" s="351">
        <v>5</v>
      </c>
      <c r="R79" s="352">
        <v>7.4999999999999997E-3</v>
      </c>
      <c r="S79" s="347" t="s">
        <v>111</v>
      </c>
      <c r="T79" s="347" t="s">
        <v>112</v>
      </c>
      <c r="U79" s="347" t="s">
        <v>57</v>
      </c>
      <c r="V79" s="353">
        <v>1288</v>
      </c>
      <c r="W79" s="353">
        <v>1288</v>
      </c>
      <c r="X79" s="354"/>
      <c r="Y79" s="355">
        <f t="shared" si="25"/>
        <v>0</v>
      </c>
      <c r="Z79" s="356">
        <f t="shared" si="26"/>
        <v>0</v>
      </c>
      <c r="AA79" s="353"/>
      <c r="AB79" s="818"/>
      <c r="AC79" s="353"/>
      <c r="AD79" s="307" t="s">
        <v>728</v>
      </c>
      <c r="AE79" s="210"/>
      <c r="AF79" s="210"/>
      <c r="AG79" s="211">
        <f t="shared" si="27"/>
        <v>0.14799999999999999</v>
      </c>
      <c r="AH79" s="157">
        <f t="shared" ref="AH79:AH87" si="31">(Z79*AG79)/1000</f>
        <v>0</v>
      </c>
      <c r="AI79" s="152">
        <f t="shared" si="29"/>
        <v>46368</v>
      </c>
      <c r="AK79" s="156" t="s">
        <v>691</v>
      </c>
      <c r="AL79" s="574" t="s">
        <v>690</v>
      </c>
      <c r="AM79" s="198">
        <f t="shared" si="20"/>
        <v>0</v>
      </c>
      <c r="AN79" s="199">
        <f t="shared" si="24"/>
        <v>45307</v>
      </c>
      <c r="AO79" s="159" t="s">
        <v>692</v>
      </c>
      <c r="AP79" s="783" t="s">
        <v>609</v>
      </c>
      <c r="AQ79" s="782">
        <v>12071839</v>
      </c>
      <c r="AR79" s="782">
        <v>12047514</v>
      </c>
      <c r="AS79" s="782">
        <v>12047515</v>
      </c>
      <c r="AT79" s="782">
        <v>12062098</v>
      </c>
      <c r="AU79" s="782"/>
      <c r="AV79" s="782">
        <v>12062100</v>
      </c>
      <c r="AW79" s="782">
        <v>12024404</v>
      </c>
      <c r="AX79" s="781"/>
      <c r="AY79" s="782">
        <v>12062116</v>
      </c>
      <c r="AZ79" s="782"/>
      <c r="BA79" s="781"/>
    </row>
    <row r="80" spans="1:53" ht="25.15" hidden="1" customHeight="1">
      <c r="B80" s="345">
        <v>45307</v>
      </c>
      <c r="C80" s="346">
        <v>45321</v>
      </c>
      <c r="D80" s="185">
        <f t="shared" si="22"/>
        <v>2024</v>
      </c>
      <c r="E80" s="347" t="str">
        <f>VLOOKUP($B80,Week!$A$1:$C$1462,2,0)</f>
        <v>Week3</v>
      </c>
      <c r="F80" s="348" t="str">
        <f t="shared" si="23"/>
        <v>Jan</v>
      </c>
      <c r="G80" s="347" t="s">
        <v>851</v>
      </c>
      <c r="H80" s="347" t="s">
        <v>424</v>
      </c>
      <c r="I80" s="347" t="s">
        <v>2772</v>
      </c>
      <c r="J80" s="438" t="s">
        <v>425</v>
      </c>
      <c r="K80" s="350" t="s">
        <v>176</v>
      </c>
      <c r="L80" s="300" t="s">
        <v>2167</v>
      </c>
      <c r="M80" s="349" t="s">
        <v>426</v>
      </c>
      <c r="N80" s="347" t="s">
        <v>427</v>
      </c>
      <c r="O80" s="347" t="s">
        <v>599</v>
      </c>
      <c r="P80" s="351">
        <v>36</v>
      </c>
      <c r="Q80" s="351">
        <v>5</v>
      </c>
      <c r="R80" s="352">
        <v>7.4999999999999997E-3</v>
      </c>
      <c r="S80" s="347" t="s">
        <v>111</v>
      </c>
      <c r="T80" s="347" t="s">
        <v>112</v>
      </c>
      <c r="U80" s="347" t="s">
        <v>57</v>
      </c>
      <c r="V80" s="353">
        <v>1288</v>
      </c>
      <c r="W80" s="353">
        <v>1288</v>
      </c>
      <c r="X80" s="354"/>
      <c r="Y80" s="355">
        <f t="shared" si="25"/>
        <v>0</v>
      </c>
      <c r="Z80" s="356">
        <f t="shared" si="26"/>
        <v>0</v>
      </c>
      <c r="AA80" s="353"/>
      <c r="AB80" s="818"/>
      <c r="AC80" s="353"/>
      <c r="AD80" s="307" t="s">
        <v>728</v>
      </c>
      <c r="AE80" s="210"/>
      <c r="AF80" s="210"/>
      <c r="AG80" s="211">
        <f t="shared" si="27"/>
        <v>0.14799999999999999</v>
      </c>
      <c r="AH80" s="157">
        <f t="shared" si="31"/>
        <v>0</v>
      </c>
      <c r="AI80" s="152">
        <f t="shared" si="29"/>
        <v>46368</v>
      </c>
      <c r="AK80" s="156" t="s">
        <v>691</v>
      </c>
      <c r="AL80" s="574" t="s">
        <v>690</v>
      </c>
      <c r="AM80" s="198">
        <f t="shared" si="20"/>
        <v>0</v>
      </c>
      <c r="AN80" s="199">
        <f t="shared" si="24"/>
        <v>45307</v>
      </c>
      <c r="AO80" s="159" t="s">
        <v>692</v>
      </c>
      <c r="AP80" s="783" t="s">
        <v>609</v>
      </c>
      <c r="AQ80" s="782">
        <v>12071839</v>
      </c>
      <c r="AR80" s="782">
        <v>12047514</v>
      </c>
      <c r="AS80" s="782">
        <v>12047515</v>
      </c>
      <c r="AT80" s="782">
        <v>12062098</v>
      </c>
      <c r="AU80" s="782"/>
      <c r="AV80" s="782">
        <v>12062100</v>
      </c>
      <c r="AW80" s="782">
        <v>12024404</v>
      </c>
      <c r="AX80" s="781"/>
      <c r="AY80" s="782">
        <v>12062116</v>
      </c>
      <c r="AZ80" s="782"/>
      <c r="BA80" s="781"/>
    </row>
    <row r="81" spans="1:53" ht="25.15" hidden="1" customHeight="1">
      <c r="B81" s="345">
        <v>45307</v>
      </c>
      <c r="C81" s="346">
        <v>45335</v>
      </c>
      <c r="D81" s="185">
        <f t="shared" si="22"/>
        <v>2024</v>
      </c>
      <c r="E81" s="347" t="str">
        <f>VLOOKUP($B81,Week!$A$1:$C$1462,2,0)</f>
        <v>Week3</v>
      </c>
      <c r="F81" s="348" t="str">
        <f t="shared" si="23"/>
        <v>Jan</v>
      </c>
      <c r="G81" s="347" t="s">
        <v>852</v>
      </c>
      <c r="H81" s="347" t="s">
        <v>424</v>
      </c>
      <c r="I81" s="347" t="s">
        <v>2772</v>
      </c>
      <c r="J81" s="438" t="s">
        <v>425</v>
      </c>
      <c r="K81" s="350" t="s">
        <v>176</v>
      </c>
      <c r="L81" s="300" t="s">
        <v>2167</v>
      </c>
      <c r="M81" s="349" t="s">
        <v>426</v>
      </c>
      <c r="N81" s="347" t="s">
        <v>427</v>
      </c>
      <c r="O81" s="347" t="s">
        <v>599</v>
      </c>
      <c r="P81" s="351">
        <v>36</v>
      </c>
      <c r="Q81" s="351">
        <v>5</v>
      </c>
      <c r="R81" s="352">
        <v>7.4999999999999997E-3</v>
      </c>
      <c r="S81" s="347" t="s">
        <v>111</v>
      </c>
      <c r="T81" s="347" t="s">
        <v>112</v>
      </c>
      <c r="U81" s="347" t="s">
        <v>57</v>
      </c>
      <c r="V81" s="353">
        <v>606</v>
      </c>
      <c r="W81" s="353">
        <f>3149-1288-1288+33</f>
        <v>606</v>
      </c>
      <c r="X81" s="354"/>
      <c r="Y81" s="355">
        <f t="shared" si="25"/>
        <v>0</v>
      </c>
      <c r="Z81" s="356">
        <f t="shared" si="26"/>
        <v>0</v>
      </c>
      <c r="AA81" s="353"/>
      <c r="AB81" s="818"/>
      <c r="AC81" s="353"/>
      <c r="AD81" s="307" t="s">
        <v>728</v>
      </c>
      <c r="AE81" s="210"/>
      <c r="AF81" s="210"/>
      <c r="AG81" s="211">
        <f t="shared" si="27"/>
        <v>0.14799999999999999</v>
      </c>
      <c r="AH81" s="157">
        <f>(Z81*AG81)/1000</f>
        <v>0</v>
      </c>
      <c r="AI81" s="152">
        <f t="shared" si="29"/>
        <v>21816</v>
      </c>
      <c r="AK81" s="156" t="s">
        <v>691</v>
      </c>
      <c r="AL81" s="574" t="s">
        <v>690</v>
      </c>
      <c r="AM81" s="198">
        <f>AG81*Z81</f>
        <v>0</v>
      </c>
      <c r="AN81" s="199">
        <f t="shared" si="24"/>
        <v>45307</v>
      </c>
      <c r="AO81" s="159" t="s">
        <v>692</v>
      </c>
      <c r="AP81" s="783" t="s">
        <v>609</v>
      </c>
      <c r="AQ81" s="782">
        <v>12071839</v>
      </c>
      <c r="AR81" s="782">
        <v>12047514</v>
      </c>
      <c r="AS81" s="782">
        <v>12047515</v>
      </c>
      <c r="AT81" s="782">
        <v>12062098</v>
      </c>
      <c r="AU81" s="782"/>
      <c r="AV81" s="782">
        <v>12062100</v>
      </c>
      <c r="AW81" s="782">
        <v>12024404</v>
      </c>
      <c r="AX81" s="781"/>
      <c r="AY81" s="782">
        <v>12062116</v>
      </c>
      <c r="AZ81" s="782"/>
      <c r="BA81" s="781"/>
    </row>
    <row r="82" spans="1:53" ht="25" hidden="1" customHeight="1">
      <c r="B82" s="283">
        <v>45307</v>
      </c>
      <c r="C82" s="284">
        <v>45348</v>
      </c>
      <c r="D82" s="185">
        <f t="shared" si="22"/>
        <v>2024</v>
      </c>
      <c r="E82" s="284" t="str">
        <f>VLOOKUP($B82,Week!$A$1:$C$1462,2,0)</f>
        <v>Week3</v>
      </c>
      <c r="F82" s="285" t="str">
        <f t="shared" si="23"/>
        <v>Jan</v>
      </c>
      <c r="G82" s="460" t="s">
        <v>901</v>
      </c>
      <c r="H82" s="286" t="s">
        <v>104</v>
      </c>
      <c r="I82" s="286" t="s">
        <v>2772</v>
      </c>
      <c r="J82" s="287" t="s">
        <v>105</v>
      </c>
      <c r="K82" s="288" t="s">
        <v>51</v>
      </c>
      <c r="L82" s="300" t="s">
        <v>2167</v>
      </c>
      <c r="M82" s="287" t="s">
        <v>595</v>
      </c>
      <c r="N82" s="286" t="s">
        <v>597</v>
      </c>
      <c r="O82" s="286" t="s">
        <v>187</v>
      </c>
      <c r="P82" s="289">
        <v>8</v>
      </c>
      <c r="Q82" s="289">
        <v>5</v>
      </c>
      <c r="R82" s="290">
        <v>6.0000000000000001E-3</v>
      </c>
      <c r="S82" s="286" t="s">
        <v>55</v>
      </c>
      <c r="T82" s="286" t="s">
        <v>112</v>
      </c>
      <c r="U82" s="286" t="s">
        <v>57</v>
      </c>
      <c r="V82" s="291">
        <f>5038/8</f>
        <v>629.75</v>
      </c>
      <c r="W82" s="291"/>
      <c r="X82" s="292">
        <f>5038/8</f>
        <v>629.75</v>
      </c>
      <c r="Y82" s="293">
        <f t="shared" si="25"/>
        <v>0</v>
      </c>
      <c r="Z82" s="294">
        <f t="shared" si="26"/>
        <v>0</v>
      </c>
      <c r="AA82" s="294"/>
      <c r="AB82" s="813"/>
      <c r="AC82" s="291"/>
      <c r="AD82" s="209"/>
      <c r="AE82" s="210"/>
      <c r="AF82" s="210"/>
      <c r="AG82" s="211">
        <f t="shared" si="27"/>
        <v>0.14499999999999999</v>
      </c>
      <c r="AH82" s="157">
        <v>0.26621999999999996</v>
      </c>
      <c r="AI82" s="152">
        <f t="shared" si="29"/>
        <v>5038</v>
      </c>
      <c r="AK82" s="156" t="s">
        <v>691</v>
      </c>
      <c r="AL82" s="574" t="s">
        <v>690</v>
      </c>
      <c r="AM82" s="198">
        <f>AG82*Z82</f>
        <v>0</v>
      </c>
      <c r="AN82" s="199">
        <f t="shared" si="24"/>
        <v>45307</v>
      </c>
      <c r="AO82" s="159" t="s">
        <v>692</v>
      </c>
      <c r="AP82" s="783" t="s">
        <v>640</v>
      </c>
      <c r="AQ82" s="782">
        <v>12071839</v>
      </c>
      <c r="AR82" s="782">
        <v>12047514</v>
      </c>
      <c r="AS82" s="782">
        <v>12047515</v>
      </c>
      <c r="AT82" s="782">
        <v>12083107</v>
      </c>
      <c r="AU82" s="781"/>
      <c r="AV82" s="782">
        <v>12084002</v>
      </c>
      <c r="AW82" s="781"/>
      <c r="AX82" s="781"/>
      <c r="AY82" s="781"/>
      <c r="AZ82" s="782"/>
      <c r="BA82" s="781"/>
    </row>
    <row r="83" spans="1:53" ht="25" hidden="1" customHeight="1">
      <c r="A83" s="142" t="s">
        <v>120</v>
      </c>
      <c r="B83" s="385">
        <v>45307</v>
      </c>
      <c r="C83" s="386">
        <v>45314</v>
      </c>
      <c r="D83" s="185">
        <f t="shared" si="22"/>
        <v>2024</v>
      </c>
      <c r="E83" s="386" t="str">
        <f>VLOOKUP($B83,Week!$A$1:$C$1462,2,0)</f>
        <v>Week3</v>
      </c>
      <c r="F83" s="387" t="str">
        <f t="shared" si="23"/>
        <v>Jan</v>
      </c>
      <c r="G83" s="388" t="s">
        <v>757</v>
      </c>
      <c r="H83" s="388" t="s">
        <v>500</v>
      </c>
      <c r="I83" s="388" t="s">
        <v>2772</v>
      </c>
      <c r="J83" s="389" t="s">
        <v>285</v>
      </c>
      <c r="K83" s="390" t="s">
        <v>153</v>
      </c>
      <c r="L83" s="390" t="s">
        <v>2166</v>
      </c>
      <c r="M83" s="389" t="s">
        <v>165</v>
      </c>
      <c r="N83" s="388" t="s">
        <v>286</v>
      </c>
      <c r="O83" s="388" t="s">
        <v>503</v>
      </c>
      <c r="P83" s="391">
        <v>40</v>
      </c>
      <c r="Q83" s="391">
        <v>12</v>
      </c>
      <c r="R83" s="392">
        <v>6.8100000000000001E-3</v>
      </c>
      <c r="S83" s="388" t="s">
        <v>76</v>
      </c>
      <c r="T83" s="388" t="s">
        <v>56</v>
      </c>
      <c r="U83" s="388" t="s">
        <v>89</v>
      </c>
      <c r="V83" s="393">
        <v>645</v>
      </c>
      <c r="W83" s="393">
        <f>645</f>
        <v>645</v>
      </c>
      <c r="X83" s="394"/>
      <c r="Y83" s="395">
        <f t="shared" si="25"/>
        <v>0</v>
      </c>
      <c r="Z83" s="396">
        <f t="shared" si="26"/>
        <v>0</v>
      </c>
      <c r="AA83" s="396">
        <f>Q83*Z83</f>
        <v>0</v>
      </c>
      <c r="AB83" s="823">
        <v>2</v>
      </c>
      <c r="AC83" s="393">
        <f>Z83*AB83</f>
        <v>0</v>
      </c>
      <c r="AD83" s="209"/>
      <c r="AE83" s="210"/>
      <c r="AF83" s="210"/>
      <c r="AG83" s="211">
        <f t="shared" si="27"/>
        <v>0.154</v>
      </c>
      <c r="AH83" s="157">
        <f t="shared" si="31"/>
        <v>0</v>
      </c>
      <c r="AI83" s="152">
        <f t="shared" si="29"/>
        <v>25800</v>
      </c>
      <c r="AK83" s="156" t="s">
        <v>691</v>
      </c>
      <c r="AL83" s="156" t="s">
        <v>689</v>
      </c>
      <c r="AM83" s="198">
        <f t="shared" si="20"/>
        <v>0</v>
      </c>
      <c r="AN83" s="199">
        <f t="shared" si="24"/>
        <v>45307</v>
      </c>
      <c r="AO83" s="159" t="s">
        <v>692</v>
      </c>
      <c r="AP83" s="783" t="s">
        <v>611</v>
      </c>
      <c r="AQ83" s="782">
        <v>12028328</v>
      </c>
      <c r="AR83" s="782">
        <v>12019692</v>
      </c>
      <c r="AS83" s="781"/>
      <c r="AT83" s="782">
        <v>12065371</v>
      </c>
      <c r="AU83" s="782"/>
      <c r="AV83" s="782">
        <v>12055895</v>
      </c>
      <c r="AW83" s="782">
        <v>12034747</v>
      </c>
      <c r="AX83" s="782" t="s">
        <v>398</v>
      </c>
      <c r="AY83" s="781" t="s">
        <v>290</v>
      </c>
      <c r="AZ83" s="781"/>
      <c r="BA83" s="781"/>
    </row>
    <row r="84" spans="1:53" ht="25" hidden="1" customHeight="1">
      <c r="A84" s="142" t="s">
        <v>438</v>
      </c>
      <c r="B84" s="424">
        <v>45308</v>
      </c>
      <c r="C84" s="425">
        <v>45324</v>
      </c>
      <c r="D84" s="185">
        <f t="shared" si="22"/>
        <v>2024</v>
      </c>
      <c r="E84" s="427" t="str">
        <f>VLOOKUP($B84,Week!$A$1:$C$1462,2,0)</f>
        <v>Week3</v>
      </c>
      <c r="F84" s="426" t="str">
        <f t="shared" si="23"/>
        <v>Jan</v>
      </c>
      <c r="G84" s="427" t="s">
        <v>837</v>
      </c>
      <c r="H84" s="427" t="s">
        <v>104</v>
      </c>
      <c r="I84" s="427" t="s">
        <v>2772</v>
      </c>
      <c r="J84" s="428" t="s">
        <v>434</v>
      </c>
      <c r="K84" s="429" t="s">
        <v>433</v>
      </c>
      <c r="L84" s="300" t="s">
        <v>2167</v>
      </c>
      <c r="M84" s="428" t="s">
        <v>565</v>
      </c>
      <c r="N84" s="427" t="s">
        <v>567</v>
      </c>
      <c r="O84" s="427" t="s">
        <v>566</v>
      </c>
      <c r="P84" s="430">
        <v>16</v>
      </c>
      <c r="Q84" s="430">
        <v>6</v>
      </c>
      <c r="R84" s="431">
        <v>8.1300000000000001E-3</v>
      </c>
      <c r="S84" s="427" t="s">
        <v>40</v>
      </c>
      <c r="T84" s="427" t="s">
        <v>112</v>
      </c>
      <c r="U84" s="427" t="s">
        <v>662</v>
      </c>
      <c r="V84" s="432">
        <f>1200-721</f>
        <v>479</v>
      </c>
      <c r="W84" s="432">
        <v>479</v>
      </c>
      <c r="X84" s="433"/>
      <c r="Y84" s="434">
        <f t="shared" si="25"/>
        <v>0</v>
      </c>
      <c r="Z84" s="435">
        <f t="shared" si="26"/>
        <v>0</v>
      </c>
      <c r="AA84" s="435"/>
      <c r="AB84" s="826">
        <v>1</v>
      </c>
      <c r="AC84" s="432">
        <f>AB84*V84*P84</f>
        <v>7664</v>
      </c>
      <c r="AD84" s="307" t="s">
        <v>573</v>
      </c>
      <c r="AE84" s="511"/>
      <c r="AF84" s="511"/>
      <c r="AG84" s="211">
        <f t="shared" si="27"/>
        <v>0.11700000000000001</v>
      </c>
      <c r="AH84" s="157">
        <f>(Z84*AG84)/1000</f>
        <v>0</v>
      </c>
      <c r="AI84" s="152">
        <f t="shared" si="29"/>
        <v>7664</v>
      </c>
      <c r="AK84" s="156" t="s">
        <v>691</v>
      </c>
      <c r="AL84" s="574" t="s">
        <v>690</v>
      </c>
      <c r="AM84" s="198">
        <f>AG84*Z84</f>
        <v>0</v>
      </c>
      <c r="AN84" s="199">
        <f t="shared" si="24"/>
        <v>45308</v>
      </c>
      <c r="AO84" s="159" t="s">
        <v>692</v>
      </c>
      <c r="AP84" s="781"/>
      <c r="AQ84" s="782"/>
      <c r="AR84" s="782">
        <v>12080450</v>
      </c>
      <c r="AS84" s="782"/>
      <c r="AT84" s="782">
        <v>12083198</v>
      </c>
      <c r="AU84" s="781"/>
      <c r="AV84" s="782">
        <v>12080491</v>
      </c>
      <c r="AW84" s="782"/>
      <c r="AX84" s="782" t="s">
        <v>627</v>
      </c>
      <c r="AY84" s="782"/>
      <c r="AZ84" s="782"/>
      <c r="BA84" s="781"/>
    </row>
    <row r="85" spans="1:53" ht="25" hidden="1" customHeight="1">
      <c r="A85" s="142" t="s">
        <v>438</v>
      </c>
      <c r="B85" s="424">
        <v>45309</v>
      </c>
      <c r="C85" s="425">
        <v>45324</v>
      </c>
      <c r="D85" s="185">
        <f t="shared" si="22"/>
        <v>2024</v>
      </c>
      <c r="E85" s="427" t="str">
        <f>VLOOKUP($B85,Week!$A$1:$C$1462,2,0)</f>
        <v>Week3</v>
      </c>
      <c r="F85" s="426" t="str">
        <f t="shared" si="23"/>
        <v>Jan</v>
      </c>
      <c r="G85" s="427" t="s">
        <v>836</v>
      </c>
      <c r="H85" s="427" t="s">
        <v>104</v>
      </c>
      <c r="I85" s="427" t="s">
        <v>2772</v>
      </c>
      <c r="J85" s="428" t="s">
        <v>434</v>
      </c>
      <c r="K85" s="429" t="s">
        <v>433</v>
      </c>
      <c r="L85" s="300" t="s">
        <v>2167</v>
      </c>
      <c r="M85" s="428" t="s">
        <v>565</v>
      </c>
      <c r="N85" s="427" t="s">
        <v>567</v>
      </c>
      <c r="O85" s="427" t="s">
        <v>566</v>
      </c>
      <c r="P85" s="430">
        <v>16</v>
      </c>
      <c r="Q85" s="430">
        <v>6</v>
      </c>
      <c r="R85" s="431">
        <v>8.1300000000000001E-3</v>
      </c>
      <c r="S85" s="427" t="s">
        <v>40</v>
      </c>
      <c r="T85" s="427" t="s">
        <v>112</v>
      </c>
      <c r="U85" s="427" t="s">
        <v>662</v>
      </c>
      <c r="V85" s="432">
        <f>656-479</f>
        <v>177</v>
      </c>
      <c r="W85" s="432">
        <v>177</v>
      </c>
      <c r="X85" s="433"/>
      <c r="Y85" s="434">
        <f t="shared" si="25"/>
        <v>0</v>
      </c>
      <c r="Z85" s="435">
        <f t="shared" si="26"/>
        <v>0</v>
      </c>
      <c r="AA85" s="435"/>
      <c r="AB85" s="826">
        <v>1</v>
      </c>
      <c r="AC85" s="432">
        <f>AB85*V85*P85</f>
        <v>2832</v>
      </c>
      <c r="AD85" s="307" t="s">
        <v>573</v>
      </c>
      <c r="AE85" s="511"/>
      <c r="AF85" s="511"/>
      <c r="AG85" s="211">
        <f t="shared" si="27"/>
        <v>0.11700000000000001</v>
      </c>
      <c r="AH85" s="157">
        <f>(Z85*AG85)/1000</f>
        <v>0</v>
      </c>
      <c r="AI85" s="152">
        <f t="shared" si="29"/>
        <v>2832</v>
      </c>
      <c r="AK85" s="156" t="s">
        <v>691</v>
      </c>
      <c r="AL85" s="574" t="s">
        <v>690</v>
      </c>
      <c r="AM85" s="198">
        <f>AG85*Z85</f>
        <v>0</v>
      </c>
      <c r="AN85" s="199">
        <f t="shared" si="24"/>
        <v>45309</v>
      </c>
      <c r="AO85" s="159" t="s">
        <v>692</v>
      </c>
      <c r="AP85" s="781"/>
      <c r="AQ85" s="782"/>
      <c r="AR85" s="782">
        <v>12080450</v>
      </c>
      <c r="AS85" s="782"/>
      <c r="AT85" s="782">
        <v>12083198</v>
      </c>
      <c r="AU85" s="781"/>
      <c r="AV85" s="782">
        <v>12080491</v>
      </c>
      <c r="AW85" s="782"/>
      <c r="AX85" s="782" t="s">
        <v>627</v>
      </c>
      <c r="AY85" s="782"/>
      <c r="AZ85" s="782"/>
      <c r="BA85" s="781"/>
    </row>
    <row r="86" spans="1:53" ht="25.15" hidden="1" customHeight="1">
      <c r="B86" s="345">
        <v>45308</v>
      </c>
      <c r="C86" s="346">
        <v>45335</v>
      </c>
      <c r="D86" s="185">
        <f t="shared" si="22"/>
        <v>2024</v>
      </c>
      <c r="E86" s="347" t="str">
        <f>VLOOKUP($B86,Week!$A$1:$C$1462,2,0)</f>
        <v>Week3</v>
      </c>
      <c r="F86" s="348" t="str">
        <f t="shared" si="23"/>
        <v>Jan</v>
      </c>
      <c r="G86" s="347" t="s">
        <v>852</v>
      </c>
      <c r="H86" s="347" t="s">
        <v>424</v>
      </c>
      <c r="I86" s="347" t="s">
        <v>2772</v>
      </c>
      <c r="J86" s="438" t="s">
        <v>425</v>
      </c>
      <c r="K86" s="350" t="s">
        <v>176</v>
      </c>
      <c r="L86" s="300" t="s">
        <v>2167</v>
      </c>
      <c r="M86" s="349" t="s">
        <v>426</v>
      </c>
      <c r="N86" s="347" t="s">
        <v>427</v>
      </c>
      <c r="O86" s="347" t="s">
        <v>599</v>
      </c>
      <c r="P86" s="351">
        <v>36</v>
      </c>
      <c r="Q86" s="351">
        <v>5</v>
      </c>
      <c r="R86" s="352">
        <v>7.4999999999999997E-3</v>
      </c>
      <c r="S86" s="347" t="s">
        <v>111</v>
      </c>
      <c r="T86" s="347" t="s">
        <v>112</v>
      </c>
      <c r="U86" s="347" t="s">
        <v>57</v>
      </c>
      <c r="V86" s="353">
        <f>1288-606</f>
        <v>682</v>
      </c>
      <c r="W86" s="353">
        <v>682</v>
      </c>
      <c r="X86" s="354"/>
      <c r="Y86" s="355">
        <f t="shared" si="25"/>
        <v>0</v>
      </c>
      <c r="Z86" s="356">
        <f t="shared" si="26"/>
        <v>0</v>
      </c>
      <c r="AA86" s="353"/>
      <c r="AB86" s="818"/>
      <c r="AC86" s="353"/>
      <c r="AD86" s="307" t="s">
        <v>728</v>
      </c>
      <c r="AE86" s="210"/>
      <c r="AF86" s="210"/>
      <c r="AG86" s="211">
        <f t="shared" si="27"/>
        <v>0.14799999999999999</v>
      </c>
      <c r="AH86" s="157">
        <f>(Z86*AG86)/1000</f>
        <v>0</v>
      </c>
      <c r="AI86" s="152">
        <f t="shared" si="29"/>
        <v>24552</v>
      </c>
      <c r="AK86" s="156" t="s">
        <v>691</v>
      </c>
      <c r="AL86" s="574" t="s">
        <v>690</v>
      </c>
      <c r="AM86" s="198">
        <f>AG86*Z86</f>
        <v>0</v>
      </c>
      <c r="AN86" s="199">
        <f t="shared" si="24"/>
        <v>45308</v>
      </c>
      <c r="AO86" s="159" t="s">
        <v>692</v>
      </c>
      <c r="AP86" s="783" t="s">
        <v>609</v>
      </c>
      <c r="AQ86" s="782">
        <v>12071839</v>
      </c>
      <c r="AR86" s="782">
        <v>12047514</v>
      </c>
      <c r="AS86" s="782">
        <v>12047515</v>
      </c>
      <c r="AT86" s="782">
        <v>12062098</v>
      </c>
      <c r="AU86" s="782"/>
      <c r="AV86" s="782">
        <v>12062100</v>
      </c>
      <c r="AW86" s="782">
        <v>12024404</v>
      </c>
      <c r="AX86" s="781"/>
      <c r="AY86" s="782">
        <v>12062116</v>
      </c>
      <c r="AZ86" s="782"/>
      <c r="BA86" s="781"/>
    </row>
    <row r="87" spans="1:53" ht="25.15" hidden="1" customHeight="1">
      <c r="B87" s="345">
        <v>45308</v>
      </c>
      <c r="C87" s="346">
        <v>45335</v>
      </c>
      <c r="D87" s="185">
        <f t="shared" si="22"/>
        <v>2024</v>
      </c>
      <c r="E87" s="347" t="str">
        <f>VLOOKUP($B87,Week!$A$1:$C$1462,2,0)</f>
        <v>Week3</v>
      </c>
      <c r="F87" s="348" t="str">
        <f t="shared" si="23"/>
        <v>Jan</v>
      </c>
      <c r="G87" s="347" t="s">
        <v>853</v>
      </c>
      <c r="H87" s="347" t="s">
        <v>424</v>
      </c>
      <c r="I87" s="347" t="s">
        <v>2772</v>
      </c>
      <c r="J87" s="438" t="s">
        <v>425</v>
      </c>
      <c r="K87" s="350" t="s">
        <v>176</v>
      </c>
      <c r="L87" s="300" t="s">
        <v>2167</v>
      </c>
      <c r="M87" s="349" t="s">
        <v>426</v>
      </c>
      <c r="N87" s="347" t="s">
        <v>427</v>
      </c>
      <c r="O87" s="347" t="s">
        <v>599</v>
      </c>
      <c r="P87" s="351">
        <v>36</v>
      </c>
      <c r="Q87" s="351">
        <v>5</v>
      </c>
      <c r="R87" s="352">
        <v>7.4999999999999997E-3</v>
      </c>
      <c r="S87" s="347" t="s">
        <v>111</v>
      </c>
      <c r="T87" s="347" t="s">
        <v>112</v>
      </c>
      <c r="U87" s="347" t="s">
        <v>57</v>
      </c>
      <c r="V87" s="353">
        <v>1288</v>
      </c>
      <c r="W87" s="353">
        <v>1288</v>
      </c>
      <c r="X87" s="354"/>
      <c r="Y87" s="355">
        <f t="shared" si="25"/>
        <v>0</v>
      </c>
      <c r="Z87" s="356">
        <f t="shared" si="26"/>
        <v>0</v>
      </c>
      <c r="AA87" s="353"/>
      <c r="AB87" s="818"/>
      <c r="AC87" s="353"/>
      <c r="AD87" s="307" t="s">
        <v>728</v>
      </c>
      <c r="AE87" s="210"/>
      <c r="AF87" s="210"/>
      <c r="AG87" s="211">
        <f t="shared" si="27"/>
        <v>0.14799999999999999</v>
      </c>
      <c r="AH87" s="157">
        <f t="shared" si="31"/>
        <v>0</v>
      </c>
      <c r="AI87" s="152">
        <f t="shared" si="29"/>
        <v>46368</v>
      </c>
      <c r="AK87" s="156" t="s">
        <v>691</v>
      </c>
      <c r="AL87" s="574" t="s">
        <v>690</v>
      </c>
      <c r="AM87" s="198">
        <f t="shared" ref="AM87:AM122" si="32">AG87*Z87</f>
        <v>0</v>
      </c>
      <c r="AN87" s="199">
        <f t="shared" si="24"/>
        <v>45308</v>
      </c>
      <c r="AO87" s="159" t="s">
        <v>692</v>
      </c>
      <c r="AP87" s="783" t="s">
        <v>609</v>
      </c>
      <c r="AQ87" s="782">
        <v>12071839</v>
      </c>
      <c r="AR87" s="782">
        <v>12047514</v>
      </c>
      <c r="AS87" s="782">
        <v>12047515</v>
      </c>
      <c r="AT87" s="782">
        <v>12062098</v>
      </c>
      <c r="AU87" s="782"/>
      <c r="AV87" s="782">
        <v>12062100</v>
      </c>
      <c r="AW87" s="782">
        <v>12024404</v>
      </c>
      <c r="AX87" s="781"/>
      <c r="AY87" s="782">
        <v>12062116</v>
      </c>
      <c r="AZ87" s="782"/>
      <c r="BA87" s="781"/>
    </row>
    <row r="88" spans="1:53" ht="24.65" hidden="1" customHeight="1">
      <c r="B88" s="411">
        <v>45308</v>
      </c>
      <c r="C88" s="412">
        <v>45313</v>
      </c>
      <c r="D88" s="185">
        <f t="shared" si="22"/>
        <v>2024</v>
      </c>
      <c r="E88" s="412" t="str">
        <f>VLOOKUP($B88,Week!$A$1:$C$1462,2,0)</f>
        <v>Week3</v>
      </c>
      <c r="F88" s="413" t="str">
        <f t="shared" si="23"/>
        <v>Jan</v>
      </c>
      <c r="G88" s="414" t="s">
        <v>47</v>
      </c>
      <c r="H88" s="414" t="s">
        <v>260</v>
      </c>
      <c r="I88" s="298" t="s">
        <v>2702</v>
      </c>
      <c r="J88" s="415" t="s">
        <v>261</v>
      </c>
      <c r="K88" s="416" t="s">
        <v>94</v>
      </c>
      <c r="L88" s="300" t="s">
        <v>2167</v>
      </c>
      <c r="M88" s="415" t="s">
        <v>1303</v>
      </c>
      <c r="N88" s="414" t="s">
        <v>263</v>
      </c>
      <c r="O88" s="414" t="s">
        <v>195</v>
      </c>
      <c r="P88" s="417">
        <v>24</v>
      </c>
      <c r="Q88" s="417">
        <v>5</v>
      </c>
      <c r="R88" s="418">
        <v>8.0000000000000002E-3</v>
      </c>
      <c r="S88" s="414" t="s">
        <v>40</v>
      </c>
      <c r="T88" s="414" t="s">
        <v>56</v>
      </c>
      <c r="U88" s="414" t="s">
        <v>57</v>
      </c>
      <c r="V88" s="419">
        <v>2410</v>
      </c>
      <c r="W88" s="419">
        <f>2410</f>
        <v>2410</v>
      </c>
      <c r="X88" s="420"/>
      <c r="Y88" s="421">
        <f t="shared" si="25"/>
        <v>0</v>
      </c>
      <c r="Z88" s="422">
        <f t="shared" si="26"/>
        <v>0</v>
      </c>
      <c r="AA88" s="422"/>
      <c r="AB88" s="825"/>
      <c r="AC88" s="419"/>
      <c r="AD88" s="209"/>
      <c r="AE88" s="210"/>
      <c r="AF88" s="210"/>
      <c r="AG88" s="211">
        <f t="shared" si="27"/>
        <v>0.14499999999999999</v>
      </c>
      <c r="AH88" s="157">
        <f>(Z88*AG88)/1000</f>
        <v>0</v>
      </c>
      <c r="AI88" s="152">
        <f t="shared" si="29"/>
        <v>57840</v>
      </c>
      <c r="AK88" s="156" t="s">
        <v>691</v>
      </c>
      <c r="AL88" s="212" t="s">
        <v>690</v>
      </c>
      <c r="AM88" s="198">
        <f>AG88*Z88</f>
        <v>0</v>
      </c>
      <c r="AN88" s="199">
        <f t="shared" si="24"/>
        <v>45308</v>
      </c>
      <c r="AO88" s="159" t="s">
        <v>692</v>
      </c>
      <c r="AP88" s="783" t="s">
        <v>609</v>
      </c>
      <c r="AQ88" s="782">
        <v>12071839</v>
      </c>
      <c r="AR88" s="782">
        <v>12047514</v>
      </c>
      <c r="AS88" s="782">
        <v>12047515</v>
      </c>
      <c r="AT88" s="781"/>
      <c r="AU88" s="781"/>
      <c r="AV88" s="782">
        <v>12080613</v>
      </c>
      <c r="AW88" s="781"/>
      <c r="AX88" s="781"/>
      <c r="AY88" s="782">
        <v>12080614</v>
      </c>
      <c r="AZ88" s="782">
        <v>12080616</v>
      </c>
      <c r="BA88" s="781"/>
    </row>
    <row r="89" spans="1:53" ht="25" hidden="1" customHeight="1">
      <c r="A89" s="142" t="s">
        <v>120</v>
      </c>
      <c r="B89" s="385">
        <v>45308</v>
      </c>
      <c r="C89" s="386">
        <v>45314</v>
      </c>
      <c r="D89" s="185">
        <f t="shared" si="22"/>
        <v>2024</v>
      </c>
      <c r="E89" s="386" t="str">
        <f>VLOOKUP($B89,Week!$A$1:$C$1462,2,0)</f>
        <v>Week3</v>
      </c>
      <c r="F89" s="387" t="str">
        <f t="shared" si="23"/>
        <v>Jan</v>
      </c>
      <c r="G89" s="388" t="s">
        <v>757</v>
      </c>
      <c r="H89" s="388" t="s">
        <v>500</v>
      </c>
      <c r="I89" s="388" t="s">
        <v>2772</v>
      </c>
      <c r="J89" s="389" t="s">
        <v>285</v>
      </c>
      <c r="K89" s="390" t="s">
        <v>153</v>
      </c>
      <c r="L89" s="390" t="s">
        <v>2166</v>
      </c>
      <c r="M89" s="389" t="s">
        <v>165</v>
      </c>
      <c r="N89" s="388" t="s">
        <v>286</v>
      </c>
      <c r="O89" s="388" t="s">
        <v>503</v>
      </c>
      <c r="P89" s="391">
        <v>40</v>
      </c>
      <c r="Q89" s="391">
        <v>12</v>
      </c>
      <c r="R89" s="392">
        <v>6.8100000000000001E-3</v>
      </c>
      <c r="S89" s="388" t="s">
        <v>76</v>
      </c>
      <c r="T89" s="388" t="s">
        <v>56</v>
      </c>
      <c r="U89" s="388" t="s">
        <v>89</v>
      </c>
      <c r="V89" s="393">
        <f>1624-629-645</f>
        <v>350</v>
      </c>
      <c r="W89" s="393">
        <v>350</v>
      </c>
      <c r="X89" s="394"/>
      <c r="Y89" s="395">
        <f t="shared" si="25"/>
        <v>0</v>
      </c>
      <c r="Z89" s="396">
        <f t="shared" si="26"/>
        <v>0</v>
      </c>
      <c r="AA89" s="396">
        <f>Q89*Z89</f>
        <v>0</v>
      </c>
      <c r="AB89" s="823">
        <v>2</v>
      </c>
      <c r="AC89" s="393">
        <f>Z89*AB89</f>
        <v>0</v>
      </c>
      <c r="AD89" s="209"/>
      <c r="AE89" s="210"/>
      <c r="AF89" s="210"/>
      <c r="AG89" s="211">
        <f t="shared" si="27"/>
        <v>0.154</v>
      </c>
      <c r="AH89" s="157">
        <f>(Z89*AG89)/1000</f>
        <v>0</v>
      </c>
      <c r="AI89" s="152">
        <f t="shared" si="29"/>
        <v>14000</v>
      </c>
      <c r="AK89" s="156" t="s">
        <v>691</v>
      </c>
      <c r="AL89" s="156" t="s">
        <v>689</v>
      </c>
      <c r="AM89" s="198">
        <f t="shared" si="32"/>
        <v>0</v>
      </c>
      <c r="AN89" s="199">
        <f t="shared" si="24"/>
        <v>45308</v>
      </c>
      <c r="AO89" s="159" t="s">
        <v>692</v>
      </c>
      <c r="AP89" s="783" t="s">
        <v>611</v>
      </c>
      <c r="AQ89" s="782">
        <v>12028328</v>
      </c>
      <c r="AR89" s="782">
        <v>12019692</v>
      </c>
      <c r="AS89" s="781"/>
      <c r="AT89" s="782">
        <v>12065371</v>
      </c>
      <c r="AU89" s="782"/>
      <c r="AV89" s="782">
        <v>12055895</v>
      </c>
      <c r="AW89" s="782">
        <v>12034747</v>
      </c>
      <c r="AX89" s="782" t="s">
        <v>398</v>
      </c>
      <c r="AY89" s="781" t="s">
        <v>290</v>
      </c>
      <c r="AZ89" s="781"/>
      <c r="BA89" s="781"/>
    </row>
    <row r="90" spans="1:53" ht="25" hidden="1" customHeight="1">
      <c r="A90" s="142" t="s">
        <v>120</v>
      </c>
      <c r="B90" s="385">
        <v>45308</v>
      </c>
      <c r="C90" s="386">
        <v>45314</v>
      </c>
      <c r="D90" s="185">
        <f t="shared" si="22"/>
        <v>2024</v>
      </c>
      <c r="E90" s="386" t="str">
        <f>VLOOKUP($B90,Week!$A$1:$C$1462,2,0)</f>
        <v>Week3</v>
      </c>
      <c r="F90" s="387" t="str">
        <f t="shared" si="23"/>
        <v>Jan</v>
      </c>
      <c r="G90" s="388" t="s">
        <v>838</v>
      </c>
      <c r="H90" s="388" t="s">
        <v>500</v>
      </c>
      <c r="I90" s="388" t="s">
        <v>2772</v>
      </c>
      <c r="J90" s="389" t="s">
        <v>285</v>
      </c>
      <c r="K90" s="390" t="s">
        <v>153</v>
      </c>
      <c r="L90" s="390" t="s">
        <v>2166</v>
      </c>
      <c r="M90" s="389" t="s">
        <v>165</v>
      </c>
      <c r="N90" s="388" t="s">
        <v>286</v>
      </c>
      <c r="O90" s="388" t="s">
        <v>503</v>
      </c>
      <c r="P90" s="391">
        <v>40</v>
      </c>
      <c r="Q90" s="391">
        <v>12</v>
      </c>
      <c r="R90" s="392">
        <v>6.8100000000000001E-3</v>
      </c>
      <c r="S90" s="388" t="s">
        <v>76</v>
      </c>
      <c r="T90" s="388" t="s">
        <v>56</v>
      </c>
      <c r="U90" s="388" t="s">
        <v>89</v>
      </c>
      <c r="V90" s="393">
        <v>294</v>
      </c>
      <c r="W90" s="393">
        <f>486-350</f>
        <v>136</v>
      </c>
      <c r="X90" s="394">
        <v>158</v>
      </c>
      <c r="Y90" s="395">
        <f t="shared" si="25"/>
        <v>0</v>
      </c>
      <c r="Z90" s="396">
        <f t="shared" si="26"/>
        <v>0</v>
      </c>
      <c r="AA90" s="396">
        <f>Q90*Z90</f>
        <v>0</v>
      </c>
      <c r="AB90" s="823">
        <v>2</v>
      </c>
      <c r="AC90" s="393">
        <f>Z90*AB90</f>
        <v>0</v>
      </c>
      <c r="AD90" s="209"/>
      <c r="AE90" s="210"/>
      <c r="AF90" s="210"/>
      <c r="AG90" s="211">
        <f t="shared" si="27"/>
        <v>0.154</v>
      </c>
      <c r="AH90" s="157">
        <f>(Z90*AG90)/1000</f>
        <v>0</v>
      </c>
      <c r="AI90" s="152">
        <f t="shared" si="29"/>
        <v>11760</v>
      </c>
      <c r="AK90" s="156" t="s">
        <v>691</v>
      </c>
      <c r="AL90" s="156" t="s">
        <v>689</v>
      </c>
      <c r="AM90" s="198">
        <f t="shared" si="32"/>
        <v>0</v>
      </c>
      <c r="AN90" s="199">
        <f t="shared" si="24"/>
        <v>45308</v>
      </c>
      <c r="AO90" s="159" t="s">
        <v>692</v>
      </c>
      <c r="AP90" s="783" t="s">
        <v>611</v>
      </c>
      <c r="AQ90" s="782">
        <v>12028328</v>
      </c>
      <c r="AR90" s="782">
        <v>12019692</v>
      </c>
      <c r="AS90" s="781"/>
      <c r="AT90" s="782">
        <v>12065371</v>
      </c>
      <c r="AU90" s="782"/>
      <c r="AV90" s="782">
        <v>12055895</v>
      </c>
      <c r="AW90" s="782">
        <v>12034747</v>
      </c>
      <c r="AX90" s="782" t="s">
        <v>398</v>
      </c>
      <c r="AY90" s="781" t="s">
        <v>290</v>
      </c>
      <c r="AZ90" s="781"/>
      <c r="BA90" s="781"/>
    </row>
    <row r="91" spans="1:53" ht="25" hidden="1" customHeight="1">
      <c r="A91" s="142" t="s">
        <v>438</v>
      </c>
      <c r="B91" s="424">
        <v>45309</v>
      </c>
      <c r="C91" s="425">
        <v>45324</v>
      </c>
      <c r="D91" s="185">
        <f t="shared" si="22"/>
        <v>2024</v>
      </c>
      <c r="E91" s="427" t="str">
        <f>VLOOKUP($B91,Week!$A$1:$C$1462,2,0)</f>
        <v>Week3</v>
      </c>
      <c r="F91" s="426" t="str">
        <f t="shared" si="23"/>
        <v>Jan</v>
      </c>
      <c r="G91" s="427" t="s">
        <v>836</v>
      </c>
      <c r="H91" s="427" t="s">
        <v>104</v>
      </c>
      <c r="I91" s="427" t="s">
        <v>2772</v>
      </c>
      <c r="J91" s="428" t="s">
        <v>434</v>
      </c>
      <c r="K91" s="429" t="s">
        <v>433</v>
      </c>
      <c r="L91" s="300" t="s">
        <v>2167</v>
      </c>
      <c r="M91" s="428" t="s">
        <v>565</v>
      </c>
      <c r="N91" s="427" t="s">
        <v>567</v>
      </c>
      <c r="O91" s="427" t="s">
        <v>566</v>
      </c>
      <c r="P91" s="430">
        <v>16</v>
      </c>
      <c r="Q91" s="430">
        <v>6</v>
      </c>
      <c r="R91" s="431">
        <v>8.1300000000000001E-3</v>
      </c>
      <c r="S91" s="427" t="s">
        <v>40</v>
      </c>
      <c r="T91" s="427" t="s">
        <v>112</v>
      </c>
      <c r="U91" s="427" t="s">
        <v>662</v>
      </c>
      <c r="V91" s="432">
        <f>600-177</f>
        <v>423</v>
      </c>
      <c r="W91" s="432">
        <v>423</v>
      </c>
      <c r="X91" s="433"/>
      <c r="Y91" s="434">
        <f t="shared" si="25"/>
        <v>0</v>
      </c>
      <c r="Z91" s="435">
        <f t="shared" si="26"/>
        <v>0</v>
      </c>
      <c r="AA91" s="435"/>
      <c r="AB91" s="826">
        <v>1</v>
      </c>
      <c r="AC91" s="432">
        <f>AB91*V91*P91</f>
        <v>6768</v>
      </c>
      <c r="AD91" s="307" t="s">
        <v>573</v>
      </c>
      <c r="AE91" s="511"/>
      <c r="AF91" s="511"/>
      <c r="AG91" s="211">
        <f t="shared" si="27"/>
        <v>0.11700000000000001</v>
      </c>
      <c r="AH91" s="157">
        <f>(Z91*AG91)/1000</f>
        <v>0</v>
      </c>
      <c r="AI91" s="152">
        <f t="shared" si="29"/>
        <v>6768</v>
      </c>
      <c r="AK91" s="156" t="s">
        <v>691</v>
      </c>
      <c r="AL91" s="574" t="s">
        <v>690</v>
      </c>
      <c r="AM91" s="198">
        <f t="shared" ref="AM91:AM96" si="33">AG91*Z91</f>
        <v>0</v>
      </c>
      <c r="AN91" s="199">
        <f t="shared" si="24"/>
        <v>45309</v>
      </c>
      <c r="AO91" s="159" t="s">
        <v>692</v>
      </c>
      <c r="AP91" s="781"/>
      <c r="AQ91" s="782"/>
      <c r="AR91" s="782">
        <v>12080450</v>
      </c>
      <c r="AS91" s="782"/>
      <c r="AT91" s="782">
        <v>12083198</v>
      </c>
      <c r="AU91" s="781"/>
      <c r="AV91" s="782">
        <v>12080491</v>
      </c>
      <c r="AW91" s="782"/>
      <c r="AX91" s="782" t="s">
        <v>627</v>
      </c>
      <c r="AY91" s="782"/>
      <c r="AZ91" s="782"/>
      <c r="BA91" s="781"/>
    </row>
    <row r="92" spans="1:53" ht="25" hidden="1" customHeight="1">
      <c r="A92" s="440"/>
      <c r="B92" s="332">
        <v>45309</v>
      </c>
      <c r="C92" s="333">
        <v>45323</v>
      </c>
      <c r="D92" s="185">
        <f t="shared" si="22"/>
        <v>2024</v>
      </c>
      <c r="E92" s="333" t="str">
        <f>VLOOKUP($B92,Week!$A$1:$C$1462,2,0)</f>
        <v>Week3</v>
      </c>
      <c r="F92" s="334" t="str">
        <f t="shared" si="23"/>
        <v>Jan</v>
      </c>
      <c r="G92" s="335" t="s">
        <v>863</v>
      </c>
      <c r="H92" s="335" t="s">
        <v>311</v>
      </c>
      <c r="I92" s="335" t="s">
        <v>2772</v>
      </c>
      <c r="J92" s="336" t="s">
        <v>738</v>
      </c>
      <c r="K92" s="337" t="s">
        <v>681</v>
      </c>
      <c r="L92" s="300" t="s">
        <v>2167</v>
      </c>
      <c r="M92" s="336" t="s">
        <v>683</v>
      </c>
      <c r="N92" s="335" t="s">
        <v>694</v>
      </c>
      <c r="O92" s="335" t="s">
        <v>684</v>
      </c>
      <c r="P92" s="338">
        <v>8</v>
      </c>
      <c r="Q92" s="338">
        <v>3</v>
      </c>
      <c r="R92" s="339">
        <v>8.0000000000000002E-3</v>
      </c>
      <c r="S92" s="335" t="s">
        <v>55</v>
      </c>
      <c r="T92" s="335" t="s">
        <v>112</v>
      </c>
      <c r="U92" s="340" t="s">
        <v>716</v>
      </c>
      <c r="V92" s="341">
        <f>200</f>
        <v>200</v>
      </c>
      <c r="W92" s="341"/>
      <c r="X92" s="342">
        <f>(1600)/8</f>
        <v>200</v>
      </c>
      <c r="Y92" s="343">
        <f t="shared" si="25"/>
        <v>0</v>
      </c>
      <c r="Z92" s="344">
        <f t="shared" si="26"/>
        <v>0</v>
      </c>
      <c r="AA92" s="344"/>
      <c r="AB92" s="817"/>
      <c r="AC92" s="341"/>
      <c r="AD92" s="443" t="s">
        <v>695</v>
      </c>
      <c r="AE92" s="210"/>
      <c r="AF92" s="210"/>
      <c r="AG92" s="211">
        <f t="shared" si="27"/>
        <v>0.219</v>
      </c>
      <c r="AH92" s="157">
        <v>0.26621999999999996</v>
      </c>
      <c r="AI92" s="152">
        <f t="shared" si="29"/>
        <v>1600</v>
      </c>
      <c r="AK92" s="156" t="s">
        <v>691</v>
      </c>
      <c r="AL92" s="574" t="s">
        <v>690</v>
      </c>
      <c r="AM92" s="198">
        <f t="shared" si="33"/>
        <v>0</v>
      </c>
      <c r="AN92" s="199">
        <f t="shared" si="24"/>
        <v>45309</v>
      </c>
      <c r="AO92" s="159" t="s">
        <v>692</v>
      </c>
      <c r="AP92" s="781" t="s">
        <v>642</v>
      </c>
      <c r="AQ92" s="782"/>
      <c r="AR92" s="782"/>
      <c r="AS92" s="782"/>
      <c r="AT92" s="782"/>
      <c r="AU92" s="781"/>
      <c r="AV92" s="782"/>
      <c r="AW92" s="781"/>
      <c r="AX92" s="781"/>
      <c r="AY92" s="781"/>
      <c r="AZ92" s="782"/>
      <c r="BA92" s="781"/>
    </row>
    <row r="93" spans="1:53" ht="25" hidden="1" customHeight="1">
      <c r="A93" s="440"/>
      <c r="B93" s="332">
        <v>45309</v>
      </c>
      <c r="C93" s="333">
        <v>45323</v>
      </c>
      <c r="D93" s="185">
        <f t="shared" si="22"/>
        <v>2024</v>
      </c>
      <c r="E93" s="333" t="str">
        <f>VLOOKUP($B93,Week!$A$1:$C$1462,2,0)</f>
        <v>Week3</v>
      </c>
      <c r="F93" s="334" t="str">
        <f t="shared" si="23"/>
        <v>Jan</v>
      </c>
      <c r="G93" s="335" t="s">
        <v>864</v>
      </c>
      <c r="H93" s="335" t="s">
        <v>311</v>
      </c>
      <c r="I93" s="335" t="s">
        <v>2772</v>
      </c>
      <c r="J93" s="336" t="s">
        <v>738</v>
      </c>
      <c r="K93" s="337" t="s">
        <v>681</v>
      </c>
      <c r="L93" s="300" t="s">
        <v>2167</v>
      </c>
      <c r="M93" s="336" t="s">
        <v>683</v>
      </c>
      <c r="N93" s="335" t="s">
        <v>694</v>
      </c>
      <c r="O93" s="335" t="s">
        <v>684</v>
      </c>
      <c r="P93" s="338">
        <v>8</v>
      </c>
      <c r="Q93" s="338">
        <v>3</v>
      </c>
      <c r="R93" s="339">
        <v>8.0000000000000002E-3</v>
      </c>
      <c r="S93" s="335" t="s">
        <v>55</v>
      </c>
      <c r="T93" s="335" t="s">
        <v>112</v>
      </c>
      <c r="U93" s="340" t="s">
        <v>716</v>
      </c>
      <c r="V93" s="341">
        <f>220</f>
        <v>220</v>
      </c>
      <c r="W93" s="341"/>
      <c r="X93" s="342">
        <f>(3874-1600)/8</f>
        <v>284.25</v>
      </c>
      <c r="Y93" s="343">
        <f t="shared" si="25"/>
        <v>64.25</v>
      </c>
      <c r="Z93" s="344">
        <f t="shared" si="26"/>
        <v>0</v>
      </c>
      <c r="AA93" s="344"/>
      <c r="AB93" s="817"/>
      <c r="AC93" s="341"/>
      <c r="AD93" s="443" t="s">
        <v>695</v>
      </c>
      <c r="AE93" s="210"/>
      <c r="AF93" s="210"/>
      <c r="AG93" s="211">
        <f t="shared" si="27"/>
        <v>0.219</v>
      </c>
      <c r="AH93" s="157">
        <v>0.26621999999999996</v>
      </c>
      <c r="AI93" s="152">
        <f t="shared" si="29"/>
        <v>1760</v>
      </c>
      <c r="AK93" s="156" t="s">
        <v>691</v>
      </c>
      <c r="AL93" s="574" t="s">
        <v>690</v>
      </c>
      <c r="AM93" s="198">
        <f t="shared" si="33"/>
        <v>0</v>
      </c>
      <c r="AN93" s="199">
        <f t="shared" si="24"/>
        <v>45309</v>
      </c>
      <c r="AO93" s="159" t="s">
        <v>692</v>
      </c>
      <c r="AP93" s="781" t="s">
        <v>642</v>
      </c>
      <c r="AQ93" s="782"/>
      <c r="AR93" s="782"/>
      <c r="AS93" s="782"/>
      <c r="AT93" s="782"/>
      <c r="AU93" s="781"/>
      <c r="AV93" s="782"/>
      <c r="AW93" s="781"/>
      <c r="AX93" s="781"/>
      <c r="AY93" s="781"/>
      <c r="AZ93" s="782"/>
      <c r="BA93" s="781"/>
    </row>
    <row r="94" spans="1:53" ht="25" hidden="1" customHeight="1">
      <c r="A94" s="440"/>
      <c r="B94" s="332">
        <v>45309</v>
      </c>
      <c r="C94" s="333">
        <v>45324</v>
      </c>
      <c r="D94" s="185">
        <f t="shared" si="22"/>
        <v>2024</v>
      </c>
      <c r="E94" s="333" t="str">
        <f>VLOOKUP($B94,Week!$A$1:$C$1462,2,0)</f>
        <v>Week3</v>
      </c>
      <c r="F94" s="334" t="str">
        <f t="shared" si="23"/>
        <v>Jan</v>
      </c>
      <c r="G94" s="335" t="s">
        <v>854</v>
      </c>
      <c r="H94" s="335" t="s">
        <v>675</v>
      </c>
      <c r="I94" s="335" t="s">
        <v>2772</v>
      </c>
      <c r="J94" s="336" t="s">
        <v>709</v>
      </c>
      <c r="K94" s="337" t="s">
        <v>681</v>
      </c>
      <c r="L94" s="300" t="s">
        <v>2167</v>
      </c>
      <c r="M94" s="336" t="s">
        <v>683</v>
      </c>
      <c r="N94" s="530" t="s">
        <v>713</v>
      </c>
      <c r="O94" s="335" t="s">
        <v>684</v>
      </c>
      <c r="P94" s="338">
        <v>8</v>
      </c>
      <c r="Q94" s="338">
        <v>3</v>
      </c>
      <c r="R94" s="339">
        <v>6.0000000000000001E-3</v>
      </c>
      <c r="S94" s="335" t="s">
        <v>55</v>
      </c>
      <c r="T94" s="335" t="s">
        <v>112</v>
      </c>
      <c r="U94" s="340" t="s">
        <v>716</v>
      </c>
      <c r="V94" s="341">
        <v>300</v>
      </c>
      <c r="W94" s="341">
        <f>172</f>
        <v>172</v>
      </c>
      <c r="X94" s="342">
        <f>(103+1008)/8</f>
        <v>138.875</v>
      </c>
      <c r="Y94" s="343">
        <f t="shared" si="25"/>
        <v>10.875</v>
      </c>
      <c r="Z94" s="344">
        <f t="shared" si="26"/>
        <v>0</v>
      </c>
      <c r="AA94" s="344"/>
      <c r="AB94" s="817"/>
      <c r="AC94" s="341"/>
      <c r="AD94" s="307" t="s">
        <v>672</v>
      </c>
      <c r="AE94" s="210"/>
      <c r="AF94" s="210"/>
      <c r="AG94" s="211">
        <f t="shared" si="27"/>
        <v>0.219</v>
      </c>
      <c r="AH94" s="157">
        <v>0.26621999999999996</v>
      </c>
      <c r="AI94" s="152">
        <f t="shared" si="29"/>
        <v>2400</v>
      </c>
      <c r="AK94" s="156" t="s">
        <v>691</v>
      </c>
      <c r="AL94" s="574" t="s">
        <v>690</v>
      </c>
      <c r="AM94" s="198">
        <f t="shared" si="33"/>
        <v>0</v>
      </c>
      <c r="AN94" s="199">
        <f t="shared" si="24"/>
        <v>45309</v>
      </c>
      <c r="AO94" s="159" t="s">
        <v>692</v>
      </c>
      <c r="AP94" s="781" t="s">
        <v>642</v>
      </c>
      <c r="AQ94" s="782"/>
      <c r="AR94" s="782"/>
      <c r="AS94" s="782"/>
      <c r="AT94" s="782"/>
      <c r="AU94" s="781"/>
      <c r="AV94" s="782"/>
      <c r="AW94" s="781"/>
      <c r="AX94" s="781"/>
      <c r="AY94" s="781"/>
      <c r="AZ94" s="782"/>
      <c r="BA94" s="781"/>
    </row>
    <row r="95" spans="1:53" ht="25" hidden="1" customHeight="1">
      <c r="B95" s="597">
        <v>45309</v>
      </c>
      <c r="C95" s="383">
        <v>45320</v>
      </c>
      <c r="D95" s="185">
        <f t="shared" si="22"/>
        <v>2024</v>
      </c>
      <c r="E95" s="224" t="str">
        <f>VLOOKUP($B95,Week!$A$1:$C$1462,2,0)</f>
        <v>Week3</v>
      </c>
      <c r="F95" s="226" t="str">
        <f t="shared" si="23"/>
        <v>Jan</v>
      </c>
      <c r="G95" s="225" t="s">
        <v>893</v>
      </c>
      <c r="H95" s="225" t="s">
        <v>225</v>
      </c>
      <c r="I95" s="225" t="s">
        <v>2773</v>
      </c>
      <c r="J95" s="227" t="s">
        <v>335</v>
      </c>
      <c r="K95" s="228" t="s">
        <v>176</v>
      </c>
      <c r="L95" s="300" t="s">
        <v>2167</v>
      </c>
      <c r="M95" s="227" t="s">
        <v>336</v>
      </c>
      <c r="N95" s="225" t="s">
        <v>337</v>
      </c>
      <c r="O95" s="225" t="s">
        <v>179</v>
      </c>
      <c r="P95" s="229">
        <v>36</v>
      </c>
      <c r="Q95" s="229">
        <v>5</v>
      </c>
      <c r="R95" s="230">
        <v>7.4999999999999997E-3</v>
      </c>
      <c r="S95" s="225" t="s">
        <v>111</v>
      </c>
      <c r="T95" s="225" t="s">
        <v>112</v>
      </c>
      <c r="U95" s="225" t="s">
        <v>113</v>
      </c>
      <c r="V95" s="231">
        <v>1288</v>
      </c>
      <c r="W95" s="231">
        <f>1314-1288+58+1203+1</f>
        <v>1288</v>
      </c>
      <c r="X95" s="232"/>
      <c r="Y95" s="233">
        <f t="shared" si="25"/>
        <v>0</v>
      </c>
      <c r="Z95" s="234">
        <f t="shared" si="26"/>
        <v>0</v>
      </c>
      <c r="AA95" s="234"/>
      <c r="AB95" s="822"/>
      <c r="AC95" s="231"/>
      <c r="AD95" s="307" t="s">
        <v>672</v>
      </c>
      <c r="AE95" s="210"/>
      <c r="AF95" s="210"/>
      <c r="AG95" s="211">
        <f t="shared" si="27"/>
        <v>0.14499999999999999</v>
      </c>
      <c r="AH95" s="157">
        <f t="shared" ref="AH95:AH101" si="34">(Z95*AG95)/1000</f>
        <v>0</v>
      </c>
      <c r="AI95" s="152">
        <f t="shared" si="29"/>
        <v>46368</v>
      </c>
      <c r="AK95" s="156" t="s">
        <v>691</v>
      </c>
      <c r="AL95" s="574" t="s">
        <v>690</v>
      </c>
      <c r="AM95" s="198">
        <f t="shared" si="33"/>
        <v>0</v>
      </c>
      <c r="AN95" s="199">
        <f t="shared" si="24"/>
        <v>45309</v>
      </c>
      <c r="AO95" s="159" t="s">
        <v>692</v>
      </c>
      <c r="AP95" s="783" t="s">
        <v>639</v>
      </c>
      <c r="AQ95" s="782">
        <v>12071839</v>
      </c>
      <c r="AR95" s="782">
        <v>12047514</v>
      </c>
      <c r="AS95" s="782">
        <v>12047515</v>
      </c>
      <c r="AT95" s="782">
        <v>12054919</v>
      </c>
      <c r="AU95" s="781"/>
      <c r="AV95" s="782">
        <v>12054869</v>
      </c>
      <c r="AW95" s="782">
        <v>12024404</v>
      </c>
      <c r="AX95" s="781"/>
      <c r="AY95" s="782">
        <v>12054815</v>
      </c>
      <c r="AZ95" s="781"/>
      <c r="BA95" s="781"/>
    </row>
    <row r="96" spans="1:53" ht="24.75" hidden="1" customHeight="1">
      <c r="B96" s="333">
        <v>45309</v>
      </c>
      <c r="C96" s="333">
        <v>45316</v>
      </c>
      <c r="D96" s="185">
        <f t="shared" si="22"/>
        <v>2024</v>
      </c>
      <c r="E96" s="335" t="str">
        <f>VLOOKUP($B96,Week!$A$1:$C$1462,2,0)</f>
        <v>Week3</v>
      </c>
      <c r="F96" s="334" t="str">
        <f t="shared" si="23"/>
        <v>Jan</v>
      </c>
      <c r="G96" s="335" t="s">
        <v>862</v>
      </c>
      <c r="H96" s="335" t="s">
        <v>363</v>
      </c>
      <c r="I96" s="335" t="s">
        <v>2772</v>
      </c>
      <c r="J96" s="336" t="s">
        <v>364</v>
      </c>
      <c r="K96" s="337" t="s">
        <v>176</v>
      </c>
      <c r="L96" s="300" t="s">
        <v>2167</v>
      </c>
      <c r="M96" s="382" t="s">
        <v>646</v>
      </c>
      <c r="N96" s="335" t="s">
        <v>647</v>
      </c>
      <c r="O96" s="335" t="s">
        <v>599</v>
      </c>
      <c r="P96" s="338">
        <v>36</v>
      </c>
      <c r="Q96" s="338">
        <v>5</v>
      </c>
      <c r="R96" s="339">
        <v>8.0000000000000002E-3</v>
      </c>
      <c r="S96" s="335" t="s">
        <v>40</v>
      </c>
      <c r="T96" s="335" t="s">
        <v>112</v>
      </c>
      <c r="U96" s="335" t="s">
        <v>57</v>
      </c>
      <c r="V96" s="341">
        <v>1288</v>
      </c>
      <c r="W96" s="341">
        <f>99+1189</f>
        <v>1288</v>
      </c>
      <c r="X96" s="342"/>
      <c r="Y96" s="343">
        <f t="shared" si="25"/>
        <v>0</v>
      </c>
      <c r="Z96" s="344">
        <f t="shared" si="26"/>
        <v>0</v>
      </c>
      <c r="AA96" s="344"/>
      <c r="AB96" s="821"/>
      <c r="AC96" s="341"/>
      <c r="AD96" s="209"/>
      <c r="AE96" s="210"/>
      <c r="AF96" s="210"/>
      <c r="AG96" s="211">
        <f t="shared" si="27"/>
        <v>0.14799999999999999</v>
      </c>
      <c r="AH96" s="157">
        <f t="shared" si="34"/>
        <v>0</v>
      </c>
      <c r="AI96" s="152">
        <f t="shared" si="29"/>
        <v>46368</v>
      </c>
      <c r="AK96" s="156" t="s">
        <v>691</v>
      </c>
      <c r="AL96" s="574" t="s">
        <v>690</v>
      </c>
      <c r="AM96" s="198">
        <f t="shared" si="33"/>
        <v>0</v>
      </c>
      <c r="AN96" s="199">
        <f t="shared" si="24"/>
        <v>45309</v>
      </c>
      <c r="AO96" s="159" t="s">
        <v>692</v>
      </c>
      <c r="AP96" s="781"/>
      <c r="AQ96" s="782">
        <v>12071839</v>
      </c>
      <c r="AR96" s="782"/>
      <c r="AS96" s="782"/>
      <c r="AT96" s="782"/>
      <c r="AU96" s="781"/>
      <c r="AV96" s="782"/>
      <c r="AW96" s="782"/>
      <c r="AX96" s="782"/>
      <c r="AY96" s="782"/>
      <c r="AZ96" s="782"/>
      <c r="BA96" s="781"/>
    </row>
    <row r="97" spans="1:53" ht="25" hidden="1" customHeight="1">
      <c r="A97" s="142" t="s">
        <v>120</v>
      </c>
      <c r="B97" s="385">
        <v>45309</v>
      </c>
      <c r="C97" s="386">
        <v>45321</v>
      </c>
      <c r="D97" s="185">
        <f t="shared" si="22"/>
        <v>2024</v>
      </c>
      <c r="E97" s="386" t="str">
        <f>VLOOKUP($B97,Week!$A$1:$C$1462,2,0)</f>
        <v>Week3</v>
      </c>
      <c r="F97" s="387" t="str">
        <f t="shared" si="23"/>
        <v>Jan</v>
      </c>
      <c r="G97" s="388" t="s">
        <v>838</v>
      </c>
      <c r="H97" s="388" t="s">
        <v>500</v>
      </c>
      <c r="I97" s="388" t="s">
        <v>2772</v>
      </c>
      <c r="J97" s="389" t="s">
        <v>285</v>
      </c>
      <c r="K97" s="390" t="s">
        <v>153</v>
      </c>
      <c r="L97" s="390" t="s">
        <v>2166</v>
      </c>
      <c r="M97" s="389" t="s">
        <v>165</v>
      </c>
      <c r="N97" s="388" t="s">
        <v>286</v>
      </c>
      <c r="O97" s="388" t="s">
        <v>503</v>
      </c>
      <c r="P97" s="391">
        <v>40</v>
      </c>
      <c r="Q97" s="391">
        <v>12</v>
      </c>
      <c r="R97" s="392">
        <v>6.8100000000000001E-3</v>
      </c>
      <c r="S97" s="388" t="s">
        <v>76</v>
      </c>
      <c r="T97" s="388" t="s">
        <v>56</v>
      </c>
      <c r="U97" s="388" t="s">
        <v>89</v>
      </c>
      <c r="V97" s="393">
        <v>651</v>
      </c>
      <c r="W97" s="393">
        <f>651</f>
        <v>651</v>
      </c>
      <c r="X97" s="394"/>
      <c r="Y97" s="395">
        <f t="shared" si="25"/>
        <v>0</v>
      </c>
      <c r="Z97" s="396">
        <f t="shared" si="26"/>
        <v>0</v>
      </c>
      <c r="AA97" s="396">
        <f>Q97*Z97</f>
        <v>0</v>
      </c>
      <c r="AB97" s="823">
        <v>2</v>
      </c>
      <c r="AC97" s="393">
        <f>Z97*AB97</f>
        <v>0</v>
      </c>
      <c r="AD97" s="209"/>
      <c r="AE97" s="210"/>
      <c r="AF97" s="210"/>
      <c r="AG97" s="211">
        <f t="shared" si="27"/>
        <v>0.154</v>
      </c>
      <c r="AH97" s="157">
        <f t="shared" si="34"/>
        <v>0</v>
      </c>
      <c r="AI97" s="152">
        <f t="shared" si="29"/>
        <v>26040</v>
      </c>
      <c r="AK97" s="156" t="s">
        <v>691</v>
      </c>
      <c r="AL97" s="156" t="s">
        <v>689</v>
      </c>
      <c r="AM97" s="198">
        <f t="shared" si="32"/>
        <v>0</v>
      </c>
      <c r="AN97" s="199">
        <f t="shared" si="24"/>
        <v>45309</v>
      </c>
      <c r="AO97" s="159" t="s">
        <v>692</v>
      </c>
      <c r="AP97" s="783" t="s">
        <v>611</v>
      </c>
      <c r="AQ97" s="782">
        <v>12028328</v>
      </c>
      <c r="AR97" s="782">
        <v>12019692</v>
      </c>
      <c r="AS97" s="781"/>
      <c r="AT97" s="782">
        <v>12065371</v>
      </c>
      <c r="AU97" s="782"/>
      <c r="AV97" s="782">
        <v>12055895</v>
      </c>
      <c r="AW97" s="782">
        <v>12034747</v>
      </c>
      <c r="AX97" s="782" t="s">
        <v>398</v>
      </c>
      <c r="AY97" s="781" t="s">
        <v>290</v>
      </c>
      <c r="AZ97" s="781"/>
      <c r="BA97" s="781"/>
    </row>
    <row r="98" spans="1:53" ht="25" hidden="1" customHeight="1">
      <c r="A98" s="516" t="s">
        <v>438</v>
      </c>
      <c r="B98" s="332">
        <v>45310</v>
      </c>
      <c r="C98" s="333">
        <v>45323</v>
      </c>
      <c r="D98" s="185">
        <f t="shared" si="22"/>
        <v>2024</v>
      </c>
      <c r="E98" s="335" t="str">
        <f>VLOOKUP($B98,Week!$A$1:$C$1462,2,0)</f>
        <v>Week3</v>
      </c>
      <c r="F98" s="334" t="str">
        <f t="shared" si="23"/>
        <v>Jan</v>
      </c>
      <c r="G98" s="335" t="s">
        <v>864</v>
      </c>
      <c r="H98" s="335" t="s">
        <v>311</v>
      </c>
      <c r="I98" s="335" t="s">
        <v>2772</v>
      </c>
      <c r="J98" s="336" t="s">
        <v>738</v>
      </c>
      <c r="K98" s="337" t="s">
        <v>671</v>
      </c>
      <c r="L98" s="300" t="s">
        <v>2167</v>
      </c>
      <c r="M98" s="336" t="s">
        <v>661</v>
      </c>
      <c r="N98" s="335" t="s">
        <v>666</v>
      </c>
      <c r="O98" s="335" t="s">
        <v>566</v>
      </c>
      <c r="P98" s="338">
        <v>16</v>
      </c>
      <c r="Q98" s="338">
        <v>6</v>
      </c>
      <c r="R98" s="339">
        <v>8.1300000000000001E-3</v>
      </c>
      <c r="S98" s="335" t="s">
        <v>55</v>
      </c>
      <c r="T98" s="335" t="s">
        <v>112</v>
      </c>
      <c r="U98" s="335" t="s">
        <v>662</v>
      </c>
      <c r="V98" s="341">
        <f>150</f>
        <v>150</v>
      </c>
      <c r="W98" s="341">
        <f>150</f>
        <v>150</v>
      </c>
      <c r="X98" s="342"/>
      <c r="Y98" s="343">
        <f>(W98+X98)-V98</f>
        <v>0</v>
      </c>
      <c r="Z98" s="344">
        <f t="shared" si="26"/>
        <v>0</v>
      </c>
      <c r="AA98" s="344"/>
      <c r="AB98" s="817">
        <v>1</v>
      </c>
      <c r="AC98" s="341">
        <f>AB98*V98*P98</f>
        <v>2400</v>
      </c>
      <c r="AD98" s="336" t="s">
        <v>2295</v>
      </c>
      <c r="AE98" s="533"/>
      <c r="AF98" s="533"/>
      <c r="AG98" s="211">
        <f t="shared" si="27"/>
        <v>0.11700000000000001</v>
      </c>
      <c r="AH98" s="157">
        <f>(Z98*AG98)/1000</f>
        <v>0</v>
      </c>
      <c r="AI98" s="152">
        <f t="shared" si="29"/>
        <v>2400</v>
      </c>
      <c r="AK98" s="156" t="s">
        <v>691</v>
      </c>
      <c r="AL98" s="212" t="s">
        <v>690</v>
      </c>
      <c r="AM98" s="198">
        <f>AG98*Z98</f>
        <v>0</v>
      </c>
      <c r="AN98" s="199">
        <f t="shared" si="24"/>
        <v>45310</v>
      </c>
      <c r="AO98" s="159" t="s">
        <v>692</v>
      </c>
      <c r="AP98" s="781"/>
      <c r="AQ98" s="782"/>
      <c r="AR98" s="782">
        <v>12080450</v>
      </c>
      <c r="AS98" s="782"/>
      <c r="AT98" s="782">
        <v>12083198</v>
      </c>
      <c r="AU98" s="781"/>
      <c r="AV98" s="782">
        <v>12080491</v>
      </c>
      <c r="AW98" s="782"/>
      <c r="AX98" s="782" t="s">
        <v>627</v>
      </c>
      <c r="AY98" s="782"/>
      <c r="AZ98" s="782"/>
      <c r="BA98" s="781"/>
    </row>
    <row r="99" spans="1:53" ht="25" hidden="1" customHeight="1">
      <c r="A99" s="516" t="s">
        <v>438</v>
      </c>
      <c r="B99" s="332">
        <v>45310</v>
      </c>
      <c r="C99" s="333">
        <v>45324</v>
      </c>
      <c r="D99" s="185">
        <f t="shared" si="22"/>
        <v>2024</v>
      </c>
      <c r="E99" s="335" t="str">
        <f>VLOOKUP($B99,Week!$A$1:$C$1462,2,0)</f>
        <v>Week3</v>
      </c>
      <c r="F99" s="334" t="str">
        <f t="shared" si="23"/>
        <v>Jan</v>
      </c>
      <c r="G99" s="335" t="s">
        <v>854</v>
      </c>
      <c r="H99" s="335" t="s">
        <v>675</v>
      </c>
      <c r="I99" s="335" t="s">
        <v>2772</v>
      </c>
      <c r="J99" s="336" t="s">
        <v>709</v>
      </c>
      <c r="K99" s="337" t="s">
        <v>671</v>
      </c>
      <c r="L99" s="300" t="s">
        <v>2167</v>
      </c>
      <c r="M99" s="336" t="s">
        <v>661</v>
      </c>
      <c r="N99" s="530" t="s">
        <v>714</v>
      </c>
      <c r="O99" s="335" t="s">
        <v>566</v>
      </c>
      <c r="P99" s="338">
        <v>16</v>
      </c>
      <c r="Q99" s="338">
        <v>6</v>
      </c>
      <c r="R99" s="339">
        <v>6.0000000000000001E-3</v>
      </c>
      <c r="S99" s="335" t="s">
        <v>55</v>
      </c>
      <c r="T99" s="335" t="s">
        <v>112</v>
      </c>
      <c r="U99" s="335" t="s">
        <v>662</v>
      </c>
      <c r="V99" s="341">
        <v>600</v>
      </c>
      <c r="W99" s="341">
        <f>540+60</f>
        <v>600</v>
      </c>
      <c r="X99" s="342">
        <f>(346)/8</f>
        <v>43.25</v>
      </c>
      <c r="Y99" s="343">
        <f t="shared" si="25"/>
        <v>43.25</v>
      </c>
      <c r="Z99" s="344">
        <f t="shared" si="26"/>
        <v>0</v>
      </c>
      <c r="AA99" s="344"/>
      <c r="AB99" s="817">
        <v>1</v>
      </c>
      <c r="AC99" s="341">
        <f>AB99*V99*P99</f>
        <v>9600</v>
      </c>
      <c r="AD99" s="336" t="s">
        <v>2295</v>
      </c>
      <c r="AE99" s="533"/>
      <c r="AF99" s="533"/>
      <c r="AG99" s="211">
        <f t="shared" si="27"/>
        <v>0.11700000000000001</v>
      </c>
      <c r="AH99" s="157">
        <f t="shared" si="34"/>
        <v>0</v>
      </c>
      <c r="AI99" s="152">
        <f t="shared" si="29"/>
        <v>9600</v>
      </c>
      <c r="AK99" s="156" t="s">
        <v>691</v>
      </c>
      <c r="AL99" s="212" t="s">
        <v>690</v>
      </c>
      <c r="AM99" s="198">
        <f>AG99*Z99</f>
        <v>0</v>
      </c>
      <c r="AN99" s="199">
        <f t="shared" si="24"/>
        <v>45310</v>
      </c>
      <c r="AO99" s="159" t="s">
        <v>692</v>
      </c>
      <c r="AP99" s="781"/>
      <c r="AQ99" s="782"/>
      <c r="AR99" s="782">
        <v>12080450</v>
      </c>
      <c r="AS99" s="782"/>
      <c r="AT99" s="782">
        <v>12083198</v>
      </c>
      <c r="AU99" s="781"/>
      <c r="AV99" s="782">
        <v>12080491</v>
      </c>
      <c r="AW99" s="782"/>
      <c r="AX99" s="782" t="s">
        <v>627</v>
      </c>
      <c r="AY99" s="782"/>
      <c r="AZ99" s="782"/>
      <c r="BA99" s="781"/>
    </row>
    <row r="100" spans="1:53" ht="25" hidden="1" customHeight="1">
      <c r="B100" s="597">
        <v>45310</v>
      </c>
      <c r="C100" s="383">
        <v>45329</v>
      </c>
      <c r="D100" s="185">
        <f t="shared" si="22"/>
        <v>2024</v>
      </c>
      <c r="E100" s="224" t="str">
        <f>VLOOKUP($B100,Week!$A$1:$C$1462,2,0)</f>
        <v>Week3</v>
      </c>
      <c r="F100" s="226" t="str">
        <f t="shared" si="23"/>
        <v>Jan</v>
      </c>
      <c r="G100" s="225" t="s">
        <v>892</v>
      </c>
      <c r="H100" s="225" t="s">
        <v>225</v>
      </c>
      <c r="I100" s="225" t="s">
        <v>2773</v>
      </c>
      <c r="J100" s="227" t="s">
        <v>335</v>
      </c>
      <c r="K100" s="228" t="s">
        <v>176</v>
      </c>
      <c r="L100" s="300" t="s">
        <v>2167</v>
      </c>
      <c r="M100" s="227" t="s">
        <v>336</v>
      </c>
      <c r="N100" s="225" t="s">
        <v>337</v>
      </c>
      <c r="O100" s="225" t="s">
        <v>179</v>
      </c>
      <c r="P100" s="229">
        <v>36</v>
      </c>
      <c r="Q100" s="229">
        <v>5</v>
      </c>
      <c r="R100" s="230">
        <v>7.4999999999999997E-3</v>
      </c>
      <c r="S100" s="225" t="s">
        <v>111</v>
      </c>
      <c r="T100" s="225" t="s">
        <v>112</v>
      </c>
      <c r="U100" s="225" t="s">
        <v>113</v>
      </c>
      <c r="V100" s="231">
        <v>1288</v>
      </c>
      <c r="W100" s="231">
        <v>1288</v>
      </c>
      <c r="X100" s="232"/>
      <c r="Y100" s="233">
        <f t="shared" si="25"/>
        <v>0</v>
      </c>
      <c r="Z100" s="234">
        <f t="shared" si="26"/>
        <v>0</v>
      </c>
      <c r="AA100" s="234"/>
      <c r="AB100" s="822"/>
      <c r="AC100" s="231"/>
      <c r="AD100" s="307" t="s">
        <v>672</v>
      </c>
      <c r="AE100" s="210"/>
      <c r="AF100" s="210"/>
      <c r="AG100" s="211">
        <f t="shared" si="27"/>
        <v>0.14499999999999999</v>
      </c>
      <c r="AH100" s="157">
        <f t="shared" si="34"/>
        <v>0</v>
      </c>
      <c r="AI100" s="152">
        <f t="shared" si="29"/>
        <v>46368</v>
      </c>
      <c r="AK100" s="156" t="s">
        <v>691</v>
      </c>
      <c r="AL100" s="574" t="s">
        <v>690</v>
      </c>
      <c r="AM100" s="198">
        <f>AG100*Z100</f>
        <v>0</v>
      </c>
      <c r="AN100" s="199">
        <f t="shared" si="24"/>
        <v>45310</v>
      </c>
      <c r="AO100" s="159" t="s">
        <v>692</v>
      </c>
      <c r="AP100" s="783" t="s">
        <v>639</v>
      </c>
      <c r="AQ100" s="782">
        <v>12071839</v>
      </c>
      <c r="AR100" s="782">
        <v>12047514</v>
      </c>
      <c r="AS100" s="782">
        <v>12047515</v>
      </c>
      <c r="AT100" s="782">
        <v>12054919</v>
      </c>
      <c r="AU100" s="781"/>
      <c r="AV100" s="782">
        <v>12054869</v>
      </c>
      <c r="AW100" s="782">
        <v>12024404</v>
      </c>
      <c r="AX100" s="781"/>
      <c r="AY100" s="782">
        <v>12054815</v>
      </c>
      <c r="AZ100" s="781"/>
      <c r="BA100" s="781"/>
    </row>
    <row r="101" spans="1:53" ht="25" hidden="1" customHeight="1">
      <c r="B101" s="597">
        <v>45310</v>
      </c>
      <c r="C101" s="383">
        <v>45336</v>
      </c>
      <c r="D101" s="185">
        <f t="shared" si="22"/>
        <v>2024</v>
      </c>
      <c r="E101" s="224" t="str">
        <f>VLOOKUP($B101,Week!$A$1:$C$1462,2,0)</f>
        <v>Week3</v>
      </c>
      <c r="F101" s="226" t="str">
        <f t="shared" si="23"/>
        <v>Jan</v>
      </c>
      <c r="G101" s="225" t="s">
        <v>894</v>
      </c>
      <c r="H101" s="225" t="s">
        <v>225</v>
      </c>
      <c r="I101" s="225" t="s">
        <v>2773</v>
      </c>
      <c r="J101" s="227" t="s">
        <v>335</v>
      </c>
      <c r="K101" s="228" t="s">
        <v>176</v>
      </c>
      <c r="L101" s="300" t="s">
        <v>2167</v>
      </c>
      <c r="M101" s="227" t="s">
        <v>336</v>
      </c>
      <c r="N101" s="225" t="s">
        <v>337</v>
      </c>
      <c r="O101" s="225" t="s">
        <v>179</v>
      </c>
      <c r="P101" s="229">
        <v>36</v>
      </c>
      <c r="Q101" s="229">
        <v>5</v>
      </c>
      <c r="R101" s="230">
        <v>7.4999999999999997E-3</v>
      </c>
      <c r="S101" s="225" t="s">
        <v>111</v>
      </c>
      <c r="T101" s="225" t="s">
        <v>112</v>
      </c>
      <c r="U101" s="225" t="s">
        <v>113</v>
      </c>
      <c r="V101" s="231">
        <v>1288</v>
      </c>
      <c r="W101" s="231">
        <v>1288</v>
      </c>
      <c r="X101" s="232"/>
      <c r="Y101" s="233">
        <f t="shared" si="25"/>
        <v>0</v>
      </c>
      <c r="Z101" s="234">
        <f t="shared" si="26"/>
        <v>0</v>
      </c>
      <c r="AA101" s="234"/>
      <c r="AB101" s="822"/>
      <c r="AC101" s="231"/>
      <c r="AD101" s="307" t="s">
        <v>672</v>
      </c>
      <c r="AE101" s="210"/>
      <c r="AF101" s="210"/>
      <c r="AG101" s="211">
        <f t="shared" si="27"/>
        <v>0.14499999999999999</v>
      </c>
      <c r="AH101" s="157">
        <f t="shared" si="34"/>
        <v>0</v>
      </c>
      <c r="AI101" s="152">
        <f t="shared" si="29"/>
        <v>46368</v>
      </c>
      <c r="AK101" s="156" t="s">
        <v>691</v>
      </c>
      <c r="AL101" s="574" t="s">
        <v>690</v>
      </c>
      <c r="AM101" s="198">
        <f t="shared" si="32"/>
        <v>0</v>
      </c>
      <c r="AN101" s="199">
        <f t="shared" si="24"/>
        <v>45310</v>
      </c>
      <c r="AO101" s="159" t="s">
        <v>692</v>
      </c>
      <c r="AP101" s="783" t="s">
        <v>639</v>
      </c>
      <c r="AQ101" s="782">
        <v>12071839</v>
      </c>
      <c r="AR101" s="782">
        <v>12047514</v>
      </c>
      <c r="AS101" s="782">
        <v>12047515</v>
      </c>
      <c r="AT101" s="782">
        <v>12054919</v>
      </c>
      <c r="AU101" s="781"/>
      <c r="AV101" s="782">
        <v>12054869</v>
      </c>
      <c r="AW101" s="782">
        <v>12024404</v>
      </c>
      <c r="AX101" s="781"/>
      <c r="AY101" s="782">
        <v>12054815</v>
      </c>
      <c r="AZ101" s="781"/>
      <c r="BA101" s="781"/>
    </row>
    <row r="102" spans="1:53" ht="25" hidden="1" customHeight="1">
      <c r="B102" s="332">
        <v>45310</v>
      </c>
      <c r="C102" s="333">
        <v>45323</v>
      </c>
      <c r="D102" s="185">
        <f t="shared" si="22"/>
        <v>2024</v>
      </c>
      <c r="E102" s="333" t="str">
        <f>VLOOKUP($B102,Week!$A$1:$C$1462,2,0)</f>
        <v>Week3</v>
      </c>
      <c r="F102" s="334" t="str">
        <f t="shared" si="23"/>
        <v>Jan</v>
      </c>
      <c r="G102" s="335" t="s">
        <v>863</v>
      </c>
      <c r="H102" s="335" t="s">
        <v>311</v>
      </c>
      <c r="I102" s="335" t="s">
        <v>2772</v>
      </c>
      <c r="J102" s="336" t="s">
        <v>738</v>
      </c>
      <c r="K102" s="337" t="s">
        <v>664</v>
      </c>
      <c r="L102" s="300" t="s">
        <v>2167</v>
      </c>
      <c r="M102" s="336" t="s">
        <v>603</v>
      </c>
      <c r="N102" s="335" t="s">
        <v>605</v>
      </c>
      <c r="O102" s="335" t="s">
        <v>602</v>
      </c>
      <c r="P102" s="338">
        <v>8</v>
      </c>
      <c r="Q102" s="338">
        <v>3</v>
      </c>
      <c r="R102" s="339">
        <v>8.0000000000000002E-3</v>
      </c>
      <c r="S102" s="335" t="s">
        <v>55</v>
      </c>
      <c r="T102" s="335" t="s">
        <v>112</v>
      </c>
      <c r="U102" s="340" t="s">
        <v>721</v>
      </c>
      <c r="V102" s="341">
        <f>300</f>
        <v>300</v>
      </c>
      <c r="W102" s="341"/>
      <c r="X102" s="342">
        <f>(518+1882)/8</f>
        <v>300</v>
      </c>
      <c r="Y102" s="343">
        <f t="shared" si="25"/>
        <v>0</v>
      </c>
      <c r="Z102" s="344">
        <f t="shared" si="26"/>
        <v>0</v>
      </c>
      <c r="AA102" s="344"/>
      <c r="AB102" s="817"/>
      <c r="AC102" s="341"/>
      <c r="AD102" s="307" t="s">
        <v>736</v>
      </c>
      <c r="AE102" s="210"/>
      <c r="AF102" s="210"/>
      <c r="AG102" s="211">
        <f t="shared" si="27"/>
        <v>0.30199999999999999</v>
      </c>
      <c r="AH102" s="157">
        <v>0.26621999999999996</v>
      </c>
      <c r="AI102" s="152">
        <f t="shared" si="29"/>
        <v>2400</v>
      </c>
      <c r="AK102" s="156" t="s">
        <v>691</v>
      </c>
      <c r="AL102" s="156" t="s">
        <v>690</v>
      </c>
      <c r="AM102" s="198">
        <f t="shared" si="32"/>
        <v>0</v>
      </c>
      <c r="AN102" s="199">
        <f t="shared" si="24"/>
        <v>45310</v>
      </c>
      <c r="AO102" s="159" t="s">
        <v>692</v>
      </c>
      <c r="AP102" s="781" t="s">
        <v>642</v>
      </c>
      <c r="AQ102" s="782"/>
      <c r="AR102" s="782"/>
      <c r="AS102" s="782"/>
      <c r="AT102" s="782"/>
      <c r="AU102" s="781"/>
      <c r="AV102" s="782"/>
      <c r="AW102" s="781"/>
      <c r="AX102" s="781"/>
      <c r="AY102" s="781"/>
      <c r="AZ102" s="782"/>
      <c r="BA102" s="781"/>
    </row>
    <row r="103" spans="1:53" ht="25" hidden="1" customHeight="1">
      <c r="B103" s="332">
        <v>45310</v>
      </c>
      <c r="C103" s="333">
        <v>45323</v>
      </c>
      <c r="D103" s="185">
        <f t="shared" si="22"/>
        <v>2024</v>
      </c>
      <c r="E103" s="333" t="str">
        <f>VLOOKUP($B103,Week!$A$1:$C$1462,2,0)</f>
        <v>Week3</v>
      </c>
      <c r="F103" s="334" t="str">
        <f t="shared" si="23"/>
        <v>Jan</v>
      </c>
      <c r="G103" s="335" t="s">
        <v>864</v>
      </c>
      <c r="H103" s="335" t="s">
        <v>311</v>
      </c>
      <c r="I103" s="335" t="s">
        <v>2772</v>
      </c>
      <c r="J103" s="336" t="s">
        <v>738</v>
      </c>
      <c r="K103" s="337" t="s">
        <v>664</v>
      </c>
      <c r="L103" s="300" t="s">
        <v>2167</v>
      </c>
      <c r="M103" s="336" t="s">
        <v>603</v>
      </c>
      <c r="N103" s="335" t="s">
        <v>605</v>
      </c>
      <c r="O103" s="335" t="s">
        <v>602</v>
      </c>
      <c r="P103" s="338">
        <v>8</v>
      </c>
      <c r="Q103" s="338">
        <v>3</v>
      </c>
      <c r="R103" s="339">
        <v>8.0000000000000002E-3</v>
      </c>
      <c r="S103" s="335" t="s">
        <v>55</v>
      </c>
      <c r="T103" s="335" t="s">
        <v>112</v>
      </c>
      <c r="U103" s="340" t="s">
        <v>721</v>
      </c>
      <c r="V103" s="341">
        <f>300</f>
        <v>300</v>
      </c>
      <c r="W103" s="341"/>
      <c r="X103" s="342">
        <f>(5775-1882)/8</f>
        <v>486.625</v>
      </c>
      <c r="Y103" s="343">
        <f t="shared" si="25"/>
        <v>186.625</v>
      </c>
      <c r="Z103" s="344">
        <f t="shared" si="26"/>
        <v>0</v>
      </c>
      <c r="AA103" s="344"/>
      <c r="AB103" s="817"/>
      <c r="AC103" s="341"/>
      <c r="AD103" s="307" t="s">
        <v>736</v>
      </c>
      <c r="AE103" s="210"/>
      <c r="AF103" s="210"/>
      <c r="AG103" s="211">
        <f t="shared" si="27"/>
        <v>0.30199999999999999</v>
      </c>
      <c r="AH103" s="157">
        <v>0.26621999999999996</v>
      </c>
      <c r="AI103" s="152">
        <f t="shared" si="29"/>
        <v>2400</v>
      </c>
      <c r="AK103" s="156" t="s">
        <v>691</v>
      </c>
      <c r="AL103" s="156" t="s">
        <v>690</v>
      </c>
      <c r="AM103" s="198">
        <f t="shared" si="32"/>
        <v>0</v>
      </c>
      <c r="AN103" s="199">
        <f t="shared" si="24"/>
        <v>45310</v>
      </c>
      <c r="AO103" s="159" t="s">
        <v>692</v>
      </c>
      <c r="AP103" s="781" t="s">
        <v>642</v>
      </c>
      <c r="AQ103" s="782"/>
      <c r="AR103" s="782"/>
      <c r="AS103" s="782"/>
      <c r="AT103" s="782"/>
      <c r="AU103" s="781"/>
      <c r="AV103" s="782"/>
      <c r="AW103" s="781"/>
      <c r="AX103" s="781"/>
      <c r="AY103" s="781"/>
      <c r="AZ103" s="782"/>
      <c r="BA103" s="781"/>
    </row>
    <row r="104" spans="1:53" ht="25" hidden="1" customHeight="1">
      <c r="A104" s="142" t="s">
        <v>120</v>
      </c>
      <c r="B104" s="385">
        <v>45310</v>
      </c>
      <c r="C104" s="386">
        <v>45321</v>
      </c>
      <c r="D104" s="185">
        <f t="shared" si="22"/>
        <v>2024</v>
      </c>
      <c r="E104" s="386" t="str">
        <f>VLOOKUP($B104,Week!$A$1:$C$1462,2,0)</f>
        <v>Week3</v>
      </c>
      <c r="F104" s="387" t="str">
        <f t="shared" si="23"/>
        <v>Jan</v>
      </c>
      <c r="G104" s="388" t="s">
        <v>838</v>
      </c>
      <c r="H104" s="388" t="s">
        <v>500</v>
      </c>
      <c r="I104" s="388" t="s">
        <v>2772</v>
      </c>
      <c r="J104" s="389" t="s">
        <v>285</v>
      </c>
      <c r="K104" s="390" t="s">
        <v>153</v>
      </c>
      <c r="L104" s="390" t="s">
        <v>2166</v>
      </c>
      <c r="M104" s="389" t="s">
        <v>165</v>
      </c>
      <c r="N104" s="388" t="s">
        <v>286</v>
      </c>
      <c r="O104" s="388" t="s">
        <v>503</v>
      </c>
      <c r="P104" s="391">
        <v>40</v>
      </c>
      <c r="Q104" s="391">
        <v>12</v>
      </c>
      <c r="R104" s="392">
        <v>6.8100000000000001E-3</v>
      </c>
      <c r="S104" s="388" t="s">
        <v>76</v>
      </c>
      <c r="T104" s="388" t="s">
        <v>56</v>
      </c>
      <c r="U104" s="388" t="s">
        <v>89</v>
      </c>
      <c r="V104" s="393">
        <v>642</v>
      </c>
      <c r="W104" s="393">
        <v>642</v>
      </c>
      <c r="X104" s="394"/>
      <c r="Y104" s="395">
        <f t="shared" si="25"/>
        <v>0</v>
      </c>
      <c r="Z104" s="396">
        <f t="shared" si="26"/>
        <v>0</v>
      </c>
      <c r="AA104" s="396">
        <f>Q104*Z104</f>
        <v>0</v>
      </c>
      <c r="AB104" s="823">
        <v>2</v>
      </c>
      <c r="AC104" s="393">
        <f>Z104*AB104</f>
        <v>0</v>
      </c>
      <c r="AD104" s="209"/>
      <c r="AE104" s="210"/>
      <c r="AF104" s="210"/>
      <c r="AG104" s="211">
        <f t="shared" si="27"/>
        <v>0.154</v>
      </c>
      <c r="AH104" s="157">
        <f t="shared" ref="AH104:AH111" si="35">(Z104*AG104)/1000</f>
        <v>0</v>
      </c>
      <c r="AI104" s="152">
        <f t="shared" si="29"/>
        <v>25680</v>
      </c>
      <c r="AK104" s="156" t="s">
        <v>691</v>
      </c>
      <c r="AL104" s="156" t="s">
        <v>689</v>
      </c>
      <c r="AM104" s="198">
        <f t="shared" si="32"/>
        <v>0</v>
      </c>
      <c r="AN104" s="199">
        <f t="shared" si="24"/>
        <v>45310</v>
      </c>
      <c r="AO104" s="159" t="s">
        <v>692</v>
      </c>
      <c r="AP104" s="783" t="s">
        <v>611</v>
      </c>
      <c r="AQ104" s="782">
        <v>12028328</v>
      </c>
      <c r="AR104" s="782">
        <v>12019692</v>
      </c>
      <c r="AS104" s="781"/>
      <c r="AT104" s="782">
        <v>12065371</v>
      </c>
      <c r="AU104" s="782"/>
      <c r="AV104" s="782">
        <v>12055895</v>
      </c>
      <c r="AW104" s="782">
        <v>12034747</v>
      </c>
      <c r="AX104" s="782" t="s">
        <v>398</v>
      </c>
      <c r="AY104" s="781" t="s">
        <v>290</v>
      </c>
      <c r="AZ104" s="781"/>
      <c r="BA104" s="781"/>
    </row>
    <row r="105" spans="1:53" ht="24.65" hidden="1" customHeight="1">
      <c r="B105" s="213">
        <v>45311</v>
      </c>
      <c r="C105" s="578">
        <v>45324</v>
      </c>
      <c r="D105" s="185">
        <f t="shared" si="22"/>
        <v>2024</v>
      </c>
      <c r="E105" s="215" t="str">
        <f>VLOOKUP($B105,Week!$A$1:$C$1462,2,0)</f>
        <v>Week3</v>
      </c>
      <c r="F105" s="216" t="str">
        <f t="shared" si="23"/>
        <v>Jan</v>
      </c>
      <c r="G105" s="215" t="s">
        <v>792</v>
      </c>
      <c r="H105" s="215" t="s">
        <v>104</v>
      </c>
      <c r="I105" s="215" t="s">
        <v>2772</v>
      </c>
      <c r="J105" s="209" t="s">
        <v>105</v>
      </c>
      <c r="K105" s="217" t="s">
        <v>107</v>
      </c>
      <c r="L105" s="300" t="s">
        <v>2167</v>
      </c>
      <c r="M105" s="209" t="s">
        <v>108</v>
      </c>
      <c r="N105" s="215" t="s">
        <v>109</v>
      </c>
      <c r="O105" s="215" t="s">
        <v>110</v>
      </c>
      <c r="P105" s="218">
        <v>36</v>
      </c>
      <c r="Q105" s="218">
        <v>5</v>
      </c>
      <c r="R105" s="219">
        <v>7.4999999999999997E-3</v>
      </c>
      <c r="S105" s="215" t="s">
        <v>111</v>
      </c>
      <c r="T105" s="215" t="s">
        <v>112</v>
      </c>
      <c r="U105" s="215" t="s">
        <v>113</v>
      </c>
      <c r="V105" s="220">
        <f>792-171</f>
        <v>621</v>
      </c>
      <c r="W105" s="220">
        <v>621</v>
      </c>
      <c r="X105" s="221"/>
      <c r="Y105" s="222">
        <f t="shared" si="25"/>
        <v>0</v>
      </c>
      <c r="Z105" s="223">
        <f t="shared" si="26"/>
        <v>0</v>
      </c>
      <c r="AA105" s="223"/>
      <c r="AB105" s="807"/>
      <c r="AC105" s="220"/>
      <c r="AD105" s="209"/>
      <c r="AE105" s="210"/>
      <c r="AF105" s="210"/>
      <c r="AG105" s="211">
        <f t="shared" si="27"/>
        <v>0.308</v>
      </c>
      <c r="AH105" s="157">
        <f>(Z105*AG105)/1000</f>
        <v>0</v>
      </c>
      <c r="AI105" s="152">
        <f t="shared" si="29"/>
        <v>22356</v>
      </c>
      <c r="AK105" s="156" t="s">
        <v>691</v>
      </c>
      <c r="AL105" s="574" t="s">
        <v>690</v>
      </c>
      <c r="AM105" s="198">
        <f>AG105*Z105</f>
        <v>0</v>
      </c>
      <c r="AN105" s="199">
        <f t="shared" si="24"/>
        <v>45311</v>
      </c>
      <c r="AO105" s="159" t="s">
        <v>692</v>
      </c>
      <c r="AP105" s="781"/>
      <c r="AQ105" s="782">
        <v>12063755</v>
      </c>
      <c r="AR105" s="782">
        <v>12061353</v>
      </c>
      <c r="AS105" s="782">
        <v>12061354</v>
      </c>
      <c r="AT105" s="782">
        <v>12068566</v>
      </c>
      <c r="AU105" s="781"/>
      <c r="AV105" s="782">
        <v>12068564</v>
      </c>
      <c r="AW105" s="782">
        <v>12062153</v>
      </c>
      <c r="AX105" s="782"/>
      <c r="AY105" s="782">
        <v>12068565</v>
      </c>
      <c r="AZ105" s="782"/>
      <c r="BA105" s="781"/>
    </row>
    <row r="106" spans="1:53" ht="25" hidden="1" customHeight="1">
      <c r="B106" s="213">
        <v>45311</v>
      </c>
      <c r="C106" s="578">
        <v>45324</v>
      </c>
      <c r="D106" s="185">
        <f t="shared" si="22"/>
        <v>2024</v>
      </c>
      <c r="E106" s="215" t="str">
        <f>VLOOKUP($B106,Week!$A$1:$C$1462,2,0)</f>
        <v>Week3</v>
      </c>
      <c r="F106" s="216" t="str">
        <f t="shared" si="23"/>
        <v>Jan</v>
      </c>
      <c r="G106" s="215" t="s">
        <v>787</v>
      </c>
      <c r="H106" s="215" t="s">
        <v>104</v>
      </c>
      <c r="I106" s="215" t="s">
        <v>2772</v>
      </c>
      <c r="J106" s="209" t="s">
        <v>105</v>
      </c>
      <c r="K106" s="217" t="s">
        <v>107</v>
      </c>
      <c r="L106" s="300" t="s">
        <v>2167</v>
      </c>
      <c r="M106" s="209" t="s">
        <v>108</v>
      </c>
      <c r="N106" s="215" t="s">
        <v>109</v>
      </c>
      <c r="O106" s="215" t="s">
        <v>110</v>
      </c>
      <c r="P106" s="218">
        <v>36</v>
      </c>
      <c r="Q106" s="218">
        <v>5</v>
      </c>
      <c r="R106" s="219">
        <v>7.4999999999999997E-3</v>
      </c>
      <c r="S106" s="215" t="s">
        <v>111</v>
      </c>
      <c r="T106" s="215" t="s">
        <v>112</v>
      </c>
      <c r="U106" s="215" t="s">
        <v>113</v>
      </c>
      <c r="V106" s="220">
        <f>1009-621</f>
        <v>388</v>
      </c>
      <c r="W106" s="220">
        <f>1009-621</f>
        <v>388</v>
      </c>
      <c r="X106" s="221"/>
      <c r="Y106" s="222">
        <f t="shared" si="25"/>
        <v>0</v>
      </c>
      <c r="Z106" s="223">
        <f t="shared" si="26"/>
        <v>0</v>
      </c>
      <c r="AA106" s="223"/>
      <c r="AB106" s="807"/>
      <c r="AC106" s="220"/>
      <c r="AD106" s="209"/>
      <c r="AE106" s="210"/>
      <c r="AF106" s="210"/>
      <c r="AG106" s="211">
        <f t="shared" si="27"/>
        <v>0.308</v>
      </c>
      <c r="AH106" s="157">
        <f>(Z106*AG106)/1000</f>
        <v>0</v>
      </c>
      <c r="AI106" s="152">
        <f t="shared" si="29"/>
        <v>13968</v>
      </c>
      <c r="AK106" s="156" t="s">
        <v>691</v>
      </c>
      <c r="AL106" s="574" t="s">
        <v>690</v>
      </c>
      <c r="AM106" s="198">
        <f>AG106*Z106</f>
        <v>0</v>
      </c>
      <c r="AN106" s="199">
        <f t="shared" si="24"/>
        <v>45311</v>
      </c>
      <c r="AO106" s="159" t="s">
        <v>692</v>
      </c>
      <c r="AP106" s="781"/>
      <c r="AQ106" s="782">
        <v>12063755</v>
      </c>
      <c r="AR106" s="782">
        <v>12061353</v>
      </c>
      <c r="AS106" s="782">
        <v>12061354</v>
      </c>
      <c r="AT106" s="782">
        <v>12068566</v>
      </c>
      <c r="AU106" s="781"/>
      <c r="AV106" s="782">
        <v>12068564</v>
      </c>
      <c r="AW106" s="782">
        <v>12062153</v>
      </c>
      <c r="AX106" s="782"/>
      <c r="AY106" s="782">
        <v>12068565</v>
      </c>
      <c r="AZ106" s="782"/>
      <c r="BA106" s="781"/>
    </row>
    <row r="107" spans="1:53" ht="24.75" hidden="1" customHeight="1">
      <c r="B107" s="320">
        <v>45311</v>
      </c>
      <c r="C107" s="321">
        <v>45323</v>
      </c>
      <c r="D107" s="185">
        <f t="shared" si="22"/>
        <v>2024</v>
      </c>
      <c r="E107" s="321" t="str">
        <f>VLOOKUP($B107,Week!$A$1:$C$1462,2,0)</f>
        <v>Week3</v>
      </c>
      <c r="F107" s="322" t="str">
        <f t="shared" si="23"/>
        <v>Jan</v>
      </c>
      <c r="G107" s="323" t="s">
        <v>863</v>
      </c>
      <c r="H107" s="323" t="s">
        <v>311</v>
      </c>
      <c r="I107" s="323" t="s">
        <v>2772</v>
      </c>
      <c r="J107" s="324" t="s">
        <v>738</v>
      </c>
      <c r="K107" s="325" t="s">
        <v>107</v>
      </c>
      <c r="L107" s="300" t="s">
        <v>2167</v>
      </c>
      <c r="M107" s="324" t="s">
        <v>313</v>
      </c>
      <c r="N107" s="323" t="s">
        <v>591</v>
      </c>
      <c r="O107" s="323" t="s">
        <v>592</v>
      </c>
      <c r="P107" s="326">
        <v>8</v>
      </c>
      <c r="Q107" s="326">
        <v>4</v>
      </c>
      <c r="R107" s="327">
        <v>7.4999999999999997E-3</v>
      </c>
      <c r="S107" s="323" t="s">
        <v>111</v>
      </c>
      <c r="T107" s="323" t="s">
        <v>112</v>
      </c>
      <c r="U107" s="323" t="s">
        <v>57</v>
      </c>
      <c r="V107" s="328">
        <f>800</f>
        <v>800</v>
      </c>
      <c r="W107" s="328"/>
      <c r="X107" s="329">
        <f>(578+5822)/8</f>
        <v>800</v>
      </c>
      <c r="Y107" s="330">
        <f t="shared" si="25"/>
        <v>0</v>
      </c>
      <c r="Z107" s="331">
        <f t="shared" si="26"/>
        <v>0</v>
      </c>
      <c r="AA107" s="331"/>
      <c r="AB107" s="816"/>
      <c r="AC107" s="328"/>
      <c r="AD107" s="443"/>
      <c r="AE107" s="210"/>
      <c r="AF107" s="210"/>
      <c r="AG107" s="211">
        <f t="shared" si="27"/>
        <v>0.30499999999999999</v>
      </c>
      <c r="AH107" s="157">
        <f t="shared" si="35"/>
        <v>0</v>
      </c>
      <c r="AI107" s="152">
        <f t="shared" si="29"/>
        <v>6400</v>
      </c>
      <c r="AK107" s="156" t="s">
        <v>691</v>
      </c>
      <c r="AL107" s="212" t="s">
        <v>690</v>
      </c>
      <c r="AM107" s="198">
        <f t="shared" si="32"/>
        <v>0</v>
      </c>
      <c r="AN107" s="199">
        <f t="shared" si="24"/>
        <v>45311</v>
      </c>
      <c r="AO107" s="159" t="s">
        <v>692</v>
      </c>
      <c r="AP107" s="783" t="s">
        <v>643</v>
      </c>
      <c r="AQ107" s="782">
        <v>12063755</v>
      </c>
      <c r="AR107" s="782">
        <v>12061353</v>
      </c>
      <c r="AS107" s="782">
        <v>12061354</v>
      </c>
      <c r="AT107" s="782">
        <v>12061547</v>
      </c>
      <c r="AU107" s="781"/>
      <c r="AV107" s="782">
        <v>12061557</v>
      </c>
      <c r="AW107" s="782"/>
      <c r="AX107" s="782"/>
      <c r="AY107" s="782"/>
      <c r="AZ107" s="782"/>
      <c r="BA107" s="781"/>
    </row>
    <row r="108" spans="1:53" ht="24.75" hidden="1" customHeight="1">
      <c r="B108" s="320">
        <v>45311</v>
      </c>
      <c r="C108" s="321">
        <v>45323</v>
      </c>
      <c r="D108" s="185">
        <f t="shared" si="22"/>
        <v>2024</v>
      </c>
      <c r="E108" s="321" t="str">
        <f>VLOOKUP($B108,Week!$A$1:$C$1462,2,0)</f>
        <v>Week3</v>
      </c>
      <c r="F108" s="322" t="str">
        <f t="shared" si="23"/>
        <v>Jan</v>
      </c>
      <c r="G108" s="323" t="s">
        <v>864</v>
      </c>
      <c r="H108" s="323" t="s">
        <v>311</v>
      </c>
      <c r="I108" s="323" t="s">
        <v>2772</v>
      </c>
      <c r="J108" s="324" t="s">
        <v>738</v>
      </c>
      <c r="K108" s="325" t="s">
        <v>107</v>
      </c>
      <c r="L108" s="300" t="s">
        <v>2167</v>
      </c>
      <c r="M108" s="324" t="s">
        <v>313</v>
      </c>
      <c r="N108" s="323" t="s">
        <v>591</v>
      </c>
      <c r="O108" s="323" t="s">
        <v>592</v>
      </c>
      <c r="P108" s="326">
        <v>8</v>
      </c>
      <c r="Q108" s="326">
        <v>4</v>
      </c>
      <c r="R108" s="327">
        <v>7.4999999999999997E-3</v>
      </c>
      <c r="S108" s="323" t="s">
        <v>111</v>
      </c>
      <c r="T108" s="323" t="s">
        <v>112</v>
      </c>
      <c r="U108" s="323" t="s">
        <v>57</v>
      </c>
      <c r="V108" s="328">
        <v>600</v>
      </c>
      <c r="W108" s="328"/>
      <c r="X108" s="329">
        <v>600</v>
      </c>
      <c r="Y108" s="330">
        <f t="shared" si="25"/>
        <v>0</v>
      </c>
      <c r="Z108" s="331">
        <f t="shared" si="26"/>
        <v>0</v>
      </c>
      <c r="AA108" s="331"/>
      <c r="AB108" s="816"/>
      <c r="AC108" s="328"/>
      <c r="AD108" s="443"/>
      <c r="AE108" s="210"/>
      <c r="AF108" s="210"/>
      <c r="AG108" s="211">
        <f t="shared" si="27"/>
        <v>0.30499999999999999</v>
      </c>
      <c r="AH108" s="157">
        <f t="shared" si="35"/>
        <v>0</v>
      </c>
      <c r="AI108" s="152">
        <f t="shared" si="29"/>
        <v>4800</v>
      </c>
      <c r="AK108" s="156" t="s">
        <v>691</v>
      </c>
      <c r="AL108" s="212" t="s">
        <v>690</v>
      </c>
      <c r="AM108" s="198">
        <f t="shared" si="32"/>
        <v>0</v>
      </c>
      <c r="AN108" s="199">
        <f t="shared" si="24"/>
        <v>45311</v>
      </c>
      <c r="AO108" s="159" t="s">
        <v>692</v>
      </c>
      <c r="AP108" s="783" t="s">
        <v>643</v>
      </c>
      <c r="AQ108" s="782">
        <v>12063755</v>
      </c>
      <c r="AR108" s="782">
        <v>12061353</v>
      </c>
      <c r="AS108" s="782">
        <v>12061354</v>
      </c>
      <c r="AT108" s="782">
        <v>12061547</v>
      </c>
      <c r="AU108" s="781"/>
      <c r="AV108" s="782">
        <v>12061557</v>
      </c>
      <c r="AW108" s="782"/>
      <c r="AX108" s="782"/>
      <c r="AY108" s="782"/>
      <c r="AZ108" s="782"/>
      <c r="BA108" s="781"/>
    </row>
    <row r="109" spans="1:53" ht="24.75" hidden="1" customHeight="1">
      <c r="B109" s="320">
        <v>45311</v>
      </c>
      <c r="C109" s="321">
        <v>45324</v>
      </c>
      <c r="D109" s="185">
        <f t="shared" si="22"/>
        <v>2024</v>
      </c>
      <c r="E109" s="321" t="str">
        <f>VLOOKUP($B109,Week!$A$1:$C$1462,2,0)</f>
        <v>Week3</v>
      </c>
      <c r="F109" s="322" t="str">
        <f t="shared" si="23"/>
        <v>Jan</v>
      </c>
      <c r="G109" s="323" t="s">
        <v>854</v>
      </c>
      <c r="H109" s="323" t="s">
        <v>675</v>
      </c>
      <c r="I109" s="323" t="s">
        <v>2772</v>
      </c>
      <c r="J109" s="324" t="s">
        <v>709</v>
      </c>
      <c r="K109" s="325" t="s">
        <v>107</v>
      </c>
      <c r="L109" s="300" t="s">
        <v>2167</v>
      </c>
      <c r="M109" s="324" t="s">
        <v>313</v>
      </c>
      <c r="N109" s="596" t="s">
        <v>710</v>
      </c>
      <c r="O109" s="323" t="s">
        <v>592</v>
      </c>
      <c r="P109" s="326">
        <v>8</v>
      </c>
      <c r="Q109" s="326">
        <v>4</v>
      </c>
      <c r="R109" s="327">
        <v>7.4999999999999997E-3</v>
      </c>
      <c r="S109" s="323" t="s">
        <v>111</v>
      </c>
      <c r="T109" s="323" t="s">
        <v>112</v>
      </c>
      <c r="U109" s="323" t="s">
        <v>57</v>
      </c>
      <c r="V109" s="328">
        <v>960</v>
      </c>
      <c r="W109" s="328"/>
      <c r="X109" s="329">
        <f>(228+7452)/8</f>
        <v>960</v>
      </c>
      <c r="Y109" s="330">
        <f t="shared" si="25"/>
        <v>0</v>
      </c>
      <c r="Z109" s="331">
        <f t="shared" si="26"/>
        <v>0</v>
      </c>
      <c r="AA109" s="331"/>
      <c r="AB109" s="816"/>
      <c r="AC109" s="328"/>
      <c r="AD109" s="307" t="s">
        <v>672</v>
      </c>
      <c r="AE109" s="210"/>
      <c r="AF109" s="210"/>
      <c r="AG109" s="211">
        <f t="shared" si="27"/>
        <v>0.30499999999999999</v>
      </c>
      <c r="AH109" s="157">
        <f t="shared" si="35"/>
        <v>0</v>
      </c>
      <c r="AI109" s="152">
        <f t="shared" si="29"/>
        <v>7680</v>
      </c>
      <c r="AK109" s="156" t="s">
        <v>691</v>
      </c>
      <c r="AL109" s="212" t="s">
        <v>690</v>
      </c>
      <c r="AM109" s="198">
        <f t="shared" si="32"/>
        <v>0</v>
      </c>
      <c r="AN109" s="199">
        <f t="shared" si="24"/>
        <v>45311</v>
      </c>
      <c r="AO109" s="159" t="s">
        <v>692</v>
      </c>
      <c r="AP109" s="783" t="s">
        <v>643</v>
      </c>
      <c r="AQ109" s="782">
        <v>12063755</v>
      </c>
      <c r="AR109" s="782">
        <v>12061353</v>
      </c>
      <c r="AS109" s="782">
        <v>12061354</v>
      </c>
      <c r="AT109" s="782">
        <v>12061547</v>
      </c>
      <c r="AU109" s="781"/>
      <c r="AV109" s="782">
        <v>12061557</v>
      </c>
      <c r="AW109" s="782"/>
      <c r="AX109" s="782"/>
      <c r="AY109" s="782"/>
      <c r="AZ109" s="782"/>
      <c r="BA109" s="781"/>
    </row>
    <row r="110" spans="1:53" ht="24.65" hidden="1" customHeight="1">
      <c r="B110" s="308">
        <v>45311</v>
      </c>
      <c r="C110" s="309">
        <v>45323</v>
      </c>
      <c r="D110" s="185">
        <f t="shared" si="22"/>
        <v>2024</v>
      </c>
      <c r="E110" s="309" t="str">
        <f>VLOOKUP($B110,Week!$A$1:$C$1462,2,0)</f>
        <v>Week3</v>
      </c>
      <c r="F110" s="310" t="str">
        <f t="shared" si="23"/>
        <v>Jan</v>
      </c>
      <c r="G110" s="311" t="s">
        <v>859</v>
      </c>
      <c r="H110" s="311" t="s">
        <v>311</v>
      </c>
      <c r="I110" s="311" t="s">
        <v>2772</v>
      </c>
      <c r="J110" s="312" t="s">
        <v>738</v>
      </c>
      <c r="K110" s="313" t="s">
        <v>107</v>
      </c>
      <c r="L110" s="300" t="s">
        <v>2167</v>
      </c>
      <c r="M110" s="312" t="s">
        <v>313</v>
      </c>
      <c r="N110" s="311" t="s">
        <v>314</v>
      </c>
      <c r="O110" s="311" t="s">
        <v>110</v>
      </c>
      <c r="P110" s="314">
        <v>36</v>
      </c>
      <c r="Q110" s="314">
        <v>5</v>
      </c>
      <c r="R110" s="315">
        <v>7.4999999999999997E-3</v>
      </c>
      <c r="S110" s="311" t="s">
        <v>111</v>
      </c>
      <c r="T110" s="311" t="s">
        <v>112</v>
      </c>
      <c r="U110" s="311" t="s">
        <v>57</v>
      </c>
      <c r="V110" s="316">
        <v>792</v>
      </c>
      <c r="W110" s="316">
        <f>8+784</f>
        <v>792</v>
      </c>
      <c r="X110" s="317"/>
      <c r="Y110" s="318">
        <f t="shared" si="25"/>
        <v>0</v>
      </c>
      <c r="Z110" s="319">
        <f t="shared" si="26"/>
        <v>0</v>
      </c>
      <c r="AA110" s="319"/>
      <c r="AB110" s="815"/>
      <c r="AC110" s="316"/>
      <c r="AD110" s="515"/>
      <c r="AE110" s="210"/>
      <c r="AF110" s="210"/>
      <c r="AG110" s="211">
        <f t="shared" si="27"/>
        <v>0.308</v>
      </c>
      <c r="AH110" s="157">
        <f t="shared" si="35"/>
        <v>0</v>
      </c>
      <c r="AI110" s="152">
        <f t="shared" si="29"/>
        <v>28512</v>
      </c>
      <c r="AK110" s="156" t="s">
        <v>691</v>
      </c>
      <c r="AL110" s="212" t="s">
        <v>690</v>
      </c>
      <c r="AM110" s="198">
        <f t="shared" si="32"/>
        <v>0</v>
      </c>
      <c r="AN110" s="199">
        <f t="shared" si="24"/>
        <v>45311</v>
      </c>
      <c r="AO110" s="159" t="s">
        <v>692</v>
      </c>
      <c r="AP110" s="783" t="s">
        <v>644</v>
      </c>
      <c r="AQ110" s="782">
        <v>12063755</v>
      </c>
      <c r="AR110" s="782">
        <v>12061353</v>
      </c>
      <c r="AS110" s="782">
        <v>12061354</v>
      </c>
      <c r="AT110" s="782">
        <v>12062266</v>
      </c>
      <c r="AU110" s="781"/>
      <c r="AV110" s="782">
        <v>12062261</v>
      </c>
      <c r="AW110" s="782">
        <v>12062153</v>
      </c>
      <c r="AX110" s="782"/>
      <c r="AY110" s="782">
        <v>12062262</v>
      </c>
      <c r="AZ110" s="782"/>
      <c r="BA110" s="781"/>
    </row>
    <row r="111" spans="1:53" ht="24.65" hidden="1" customHeight="1">
      <c r="B111" s="308">
        <v>45311</v>
      </c>
      <c r="C111" s="309">
        <v>45323</v>
      </c>
      <c r="D111" s="185">
        <f t="shared" si="22"/>
        <v>2024</v>
      </c>
      <c r="E111" s="309" t="str">
        <f>VLOOKUP($B111,Week!$A$1:$C$1462,2,0)</f>
        <v>Week3</v>
      </c>
      <c r="F111" s="310" t="str">
        <f t="shared" si="23"/>
        <v>Jan</v>
      </c>
      <c r="G111" s="311" t="s">
        <v>860</v>
      </c>
      <c r="H111" s="311" t="s">
        <v>311</v>
      </c>
      <c r="I111" s="311" t="s">
        <v>2772</v>
      </c>
      <c r="J111" s="312" t="s">
        <v>738</v>
      </c>
      <c r="K111" s="313" t="s">
        <v>107</v>
      </c>
      <c r="L111" s="300" t="s">
        <v>2167</v>
      </c>
      <c r="M111" s="312" t="s">
        <v>313</v>
      </c>
      <c r="N111" s="311" t="s">
        <v>314</v>
      </c>
      <c r="O111" s="311" t="s">
        <v>110</v>
      </c>
      <c r="P111" s="314">
        <v>36</v>
      </c>
      <c r="Q111" s="314">
        <v>5</v>
      </c>
      <c r="R111" s="315">
        <v>7.4999999999999997E-3</v>
      </c>
      <c r="S111" s="311" t="s">
        <v>111</v>
      </c>
      <c r="T111" s="311" t="s">
        <v>112</v>
      </c>
      <c r="U111" s="311" t="s">
        <v>57</v>
      </c>
      <c r="V111" s="316">
        <v>792</v>
      </c>
      <c r="W111" s="316">
        <f>1576-784</f>
        <v>792</v>
      </c>
      <c r="X111" s="317"/>
      <c r="Y111" s="318">
        <f t="shared" si="25"/>
        <v>0</v>
      </c>
      <c r="Z111" s="319">
        <f t="shared" si="26"/>
        <v>0</v>
      </c>
      <c r="AA111" s="319"/>
      <c r="AB111" s="815"/>
      <c r="AC111" s="316"/>
      <c r="AD111" s="515"/>
      <c r="AE111" s="210"/>
      <c r="AF111" s="210"/>
      <c r="AG111" s="211">
        <f t="shared" si="27"/>
        <v>0.308</v>
      </c>
      <c r="AH111" s="157">
        <f t="shared" si="35"/>
        <v>0</v>
      </c>
      <c r="AI111" s="152">
        <f t="shared" si="29"/>
        <v>28512</v>
      </c>
      <c r="AK111" s="156" t="s">
        <v>691</v>
      </c>
      <c r="AL111" s="212" t="s">
        <v>690</v>
      </c>
      <c r="AM111" s="198">
        <f t="shared" si="32"/>
        <v>0</v>
      </c>
      <c r="AN111" s="199">
        <f t="shared" si="24"/>
        <v>45311</v>
      </c>
      <c r="AO111" s="159" t="s">
        <v>692</v>
      </c>
      <c r="AP111" s="783" t="s">
        <v>644</v>
      </c>
      <c r="AQ111" s="782">
        <v>12063755</v>
      </c>
      <c r="AR111" s="782">
        <v>12061353</v>
      </c>
      <c r="AS111" s="782">
        <v>12061354</v>
      </c>
      <c r="AT111" s="782">
        <v>12062266</v>
      </c>
      <c r="AU111" s="781"/>
      <c r="AV111" s="782">
        <v>12062261</v>
      </c>
      <c r="AW111" s="782">
        <v>12062153</v>
      </c>
      <c r="AX111" s="782"/>
      <c r="AY111" s="782">
        <v>12062262</v>
      </c>
      <c r="AZ111" s="782"/>
      <c r="BA111" s="781"/>
    </row>
    <row r="112" spans="1:53" ht="25" hidden="1" customHeight="1">
      <c r="A112" s="440"/>
      <c r="B112" s="345">
        <v>45311</v>
      </c>
      <c r="C112" s="464">
        <v>45324</v>
      </c>
      <c r="D112" s="185">
        <f t="shared" si="22"/>
        <v>2024</v>
      </c>
      <c r="E112" s="464" t="str">
        <f>VLOOKUP($B112,Week!$A$1:$C$1462,2,0)</f>
        <v>Week3</v>
      </c>
      <c r="F112" s="465" t="str">
        <f t="shared" si="23"/>
        <v>Jan</v>
      </c>
      <c r="G112" s="347" t="s">
        <v>823</v>
      </c>
      <c r="H112" s="347" t="s">
        <v>134</v>
      </c>
      <c r="I112" s="347" t="s">
        <v>2772</v>
      </c>
      <c r="J112" s="349" t="s">
        <v>135</v>
      </c>
      <c r="K112" s="350" t="s">
        <v>107</v>
      </c>
      <c r="L112" s="300" t="s">
        <v>2167</v>
      </c>
      <c r="M112" s="349" t="s">
        <v>136</v>
      </c>
      <c r="N112" s="347" t="s">
        <v>137</v>
      </c>
      <c r="O112" s="347" t="s">
        <v>138</v>
      </c>
      <c r="P112" s="351">
        <v>24</v>
      </c>
      <c r="Q112" s="351">
        <v>3</v>
      </c>
      <c r="R112" s="352">
        <v>7.4999999999999997E-3</v>
      </c>
      <c r="S112" s="347" t="s">
        <v>111</v>
      </c>
      <c r="T112" s="347" t="s">
        <v>56</v>
      </c>
      <c r="U112" s="347" t="s">
        <v>572</v>
      </c>
      <c r="V112" s="353">
        <v>350</v>
      </c>
      <c r="W112" s="353">
        <f>15+335</f>
        <v>350</v>
      </c>
      <c r="X112" s="354"/>
      <c r="Y112" s="355">
        <f t="shared" si="25"/>
        <v>0</v>
      </c>
      <c r="Z112" s="356">
        <f t="shared" si="26"/>
        <v>0</v>
      </c>
      <c r="AA112" s="356"/>
      <c r="AB112" s="818"/>
      <c r="AC112" s="353"/>
      <c r="AD112" s="443"/>
      <c r="AE112" s="210"/>
      <c r="AF112" s="210"/>
      <c r="AG112" s="211">
        <f t="shared" si="27"/>
        <v>0.219</v>
      </c>
      <c r="AH112" s="157">
        <f>(Z112*AG112)/1000</f>
        <v>0</v>
      </c>
      <c r="AI112" s="152">
        <f t="shared" si="29"/>
        <v>8400</v>
      </c>
      <c r="AK112" s="156" t="s">
        <v>691</v>
      </c>
      <c r="AL112" s="212" t="s">
        <v>690</v>
      </c>
      <c r="AM112" s="198">
        <f>AG112*Z112</f>
        <v>0</v>
      </c>
      <c r="AN112" s="199">
        <f t="shared" si="24"/>
        <v>45311</v>
      </c>
      <c r="AO112" s="159" t="s">
        <v>692</v>
      </c>
      <c r="AP112" s="783" t="s">
        <v>610</v>
      </c>
      <c r="AQ112" s="796" t="s">
        <v>1500</v>
      </c>
      <c r="AR112" s="782" t="s">
        <v>140</v>
      </c>
      <c r="AS112" s="782" t="s">
        <v>141</v>
      </c>
      <c r="AT112" s="782"/>
      <c r="AU112" s="783" t="s">
        <v>568</v>
      </c>
      <c r="AV112" s="796" t="s">
        <v>569</v>
      </c>
      <c r="AW112" s="796" t="s">
        <v>570</v>
      </c>
      <c r="AX112" s="782"/>
      <c r="AY112" s="782">
        <v>12061259</v>
      </c>
      <c r="AZ112" s="782">
        <v>12064123</v>
      </c>
      <c r="BA112" s="782">
        <v>12064127</v>
      </c>
    </row>
    <row r="113" spans="1:53" ht="25" hidden="1" customHeight="1">
      <c r="A113" s="623"/>
      <c r="B113" s="332">
        <v>45311</v>
      </c>
      <c r="C113" s="333">
        <v>45323</v>
      </c>
      <c r="D113" s="185">
        <f t="shared" si="22"/>
        <v>2024</v>
      </c>
      <c r="E113" s="333" t="str">
        <f>VLOOKUP($B113,Week!$A$1:$C$1462,2,0)</f>
        <v>Week3</v>
      </c>
      <c r="F113" s="334" t="str">
        <f t="shared" si="23"/>
        <v>Jan</v>
      </c>
      <c r="G113" s="335" t="s">
        <v>864</v>
      </c>
      <c r="H113" s="335" t="s">
        <v>311</v>
      </c>
      <c r="I113" s="335" t="s">
        <v>2772</v>
      </c>
      <c r="J113" s="336" t="s">
        <v>738</v>
      </c>
      <c r="K113" s="337" t="s">
        <v>680</v>
      </c>
      <c r="L113" s="300" t="s">
        <v>2167</v>
      </c>
      <c r="M113" s="336" t="s">
        <v>682</v>
      </c>
      <c r="N113" s="335" t="s">
        <v>693</v>
      </c>
      <c r="O113" s="335" t="s">
        <v>602</v>
      </c>
      <c r="P113" s="338">
        <v>8</v>
      </c>
      <c r="Q113" s="338">
        <v>3</v>
      </c>
      <c r="R113" s="339">
        <v>6.0000000000000001E-3</v>
      </c>
      <c r="S113" s="335" t="s">
        <v>55</v>
      </c>
      <c r="T113" s="335" t="s">
        <v>112</v>
      </c>
      <c r="U113" s="340" t="s">
        <v>724</v>
      </c>
      <c r="V113" s="341">
        <f>220</f>
        <v>220</v>
      </c>
      <c r="W113" s="341"/>
      <c r="X113" s="342">
        <f>(2000)/8</f>
        <v>250</v>
      </c>
      <c r="Y113" s="343">
        <f t="shared" si="25"/>
        <v>30</v>
      </c>
      <c r="Z113" s="344">
        <f t="shared" si="26"/>
        <v>0</v>
      </c>
      <c r="AA113" s="344"/>
      <c r="AB113" s="817"/>
      <c r="AC113" s="341"/>
      <c r="AD113" s="443" t="s">
        <v>725</v>
      </c>
      <c r="AE113" s="210"/>
      <c r="AF113" s="210"/>
      <c r="AG113" s="211">
        <f t="shared" si="27"/>
        <v>0.30199999999999999</v>
      </c>
      <c r="AH113" s="157">
        <v>0.26621999999999996</v>
      </c>
      <c r="AI113" s="152">
        <f t="shared" si="29"/>
        <v>1760</v>
      </c>
      <c r="AK113" s="156" t="s">
        <v>691</v>
      </c>
      <c r="AL113" s="574" t="s">
        <v>690</v>
      </c>
      <c r="AM113" s="198">
        <f t="shared" si="32"/>
        <v>0</v>
      </c>
      <c r="AN113" s="199">
        <f t="shared" si="24"/>
        <v>45311</v>
      </c>
      <c r="AO113" s="159" t="s">
        <v>692</v>
      </c>
      <c r="AP113" s="781" t="s">
        <v>642</v>
      </c>
      <c r="AQ113" s="782"/>
      <c r="AR113" s="782"/>
      <c r="AS113" s="782"/>
      <c r="AT113" s="782"/>
      <c r="AU113" s="781"/>
      <c r="AV113" s="782"/>
      <c r="AW113" s="781"/>
      <c r="AX113" s="781"/>
      <c r="AY113" s="781"/>
      <c r="AZ113" s="782"/>
      <c r="BA113" s="781"/>
    </row>
    <row r="114" spans="1:53" ht="25" hidden="1" customHeight="1">
      <c r="A114" s="623"/>
      <c r="B114" s="332">
        <v>45311</v>
      </c>
      <c r="C114" s="333">
        <v>45324</v>
      </c>
      <c r="D114" s="185">
        <f t="shared" si="22"/>
        <v>2024</v>
      </c>
      <c r="E114" s="333" t="str">
        <f>VLOOKUP($B114,Week!$A$1:$C$1462,2,0)</f>
        <v>Week3</v>
      </c>
      <c r="F114" s="334" t="str">
        <f t="shared" si="23"/>
        <v>Jan</v>
      </c>
      <c r="G114" s="335" t="s">
        <v>854</v>
      </c>
      <c r="H114" s="335" t="s">
        <v>675</v>
      </c>
      <c r="I114" s="335" t="s">
        <v>2772</v>
      </c>
      <c r="J114" s="336" t="s">
        <v>709</v>
      </c>
      <c r="K114" s="337" t="s">
        <v>680</v>
      </c>
      <c r="L114" s="300" t="s">
        <v>2167</v>
      </c>
      <c r="M114" s="336" t="s">
        <v>682</v>
      </c>
      <c r="N114" s="530" t="s">
        <v>712</v>
      </c>
      <c r="O114" s="335" t="s">
        <v>602</v>
      </c>
      <c r="P114" s="338">
        <v>8</v>
      </c>
      <c r="Q114" s="338">
        <v>3</v>
      </c>
      <c r="R114" s="339">
        <v>6.0000000000000001E-3</v>
      </c>
      <c r="S114" s="335" t="s">
        <v>55</v>
      </c>
      <c r="T114" s="335" t="s">
        <v>112</v>
      </c>
      <c r="U114" s="340" t="s">
        <v>724</v>
      </c>
      <c r="V114" s="341">
        <f>725</f>
        <v>725</v>
      </c>
      <c r="W114" s="341"/>
      <c r="X114" s="342">
        <f>(212+5588)/8</f>
        <v>725</v>
      </c>
      <c r="Y114" s="343">
        <f t="shared" si="25"/>
        <v>0</v>
      </c>
      <c r="Z114" s="344">
        <f t="shared" si="26"/>
        <v>0</v>
      </c>
      <c r="AA114" s="344"/>
      <c r="AB114" s="817"/>
      <c r="AC114" s="341"/>
      <c r="AD114" s="307" t="s">
        <v>672</v>
      </c>
      <c r="AE114" s="210"/>
      <c r="AF114" s="210"/>
      <c r="AG114" s="211">
        <f t="shared" si="27"/>
        <v>0.30199999999999999</v>
      </c>
      <c r="AH114" s="157">
        <v>0.26621999999999996</v>
      </c>
      <c r="AI114" s="152">
        <f t="shared" si="29"/>
        <v>5800</v>
      </c>
      <c r="AK114" s="156" t="s">
        <v>691</v>
      </c>
      <c r="AL114" s="574" t="s">
        <v>690</v>
      </c>
      <c r="AM114" s="198">
        <f t="shared" si="32"/>
        <v>0</v>
      </c>
      <c r="AN114" s="199">
        <f t="shared" si="24"/>
        <v>45311</v>
      </c>
      <c r="AO114" s="159" t="s">
        <v>692</v>
      </c>
      <c r="AP114" s="781" t="s">
        <v>642</v>
      </c>
      <c r="AQ114" s="782"/>
      <c r="AR114" s="782"/>
      <c r="AS114" s="782"/>
      <c r="AT114" s="782"/>
      <c r="AU114" s="781"/>
      <c r="AV114" s="782"/>
      <c r="AW114" s="781"/>
      <c r="AX114" s="781"/>
      <c r="AY114" s="781"/>
      <c r="AZ114" s="782"/>
      <c r="BA114" s="781"/>
    </row>
    <row r="115" spans="1:53" ht="25" hidden="1" customHeight="1">
      <c r="A115" s="623"/>
      <c r="B115" s="332">
        <v>45311</v>
      </c>
      <c r="C115" s="333">
        <v>45337</v>
      </c>
      <c r="D115" s="185">
        <f t="shared" si="22"/>
        <v>2024</v>
      </c>
      <c r="E115" s="333" t="str">
        <f>VLOOKUP($B115,Week!$A$1:$C$1462,2,0)</f>
        <v>Week3</v>
      </c>
      <c r="F115" s="334" t="str">
        <f t="shared" si="23"/>
        <v>Jan</v>
      </c>
      <c r="G115" s="335" t="s">
        <v>891</v>
      </c>
      <c r="H115" s="335" t="s">
        <v>675</v>
      </c>
      <c r="I115" s="335" t="s">
        <v>2772</v>
      </c>
      <c r="J115" s="336" t="s">
        <v>709</v>
      </c>
      <c r="K115" s="337" t="s">
        <v>680</v>
      </c>
      <c r="L115" s="300" t="s">
        <v>2167</v>
      </c>
      <c r="M115" s="336" t="s">
        <v>682</v>
      </c>
      <c r="N115" s="530" t="s">
        <v>712</v>
      </c>
      <c r="O115" s="335" t="s">
        <v>602</v>
      </c>
      <c r="P115" s="338">
        <v>8</v>
      </c>
      <c r="Q115" s="338">
        <v>3</v>
      </c>
      <c r="R115" s="339">
        <v>6.0000000000000001E-3</v>
      </c>
      <c r="S115" s="335" t="s">
        <v>55</v>
      </c>
      <c r="T115" s="335" t="s">
        <v>112</v>
      </c>
      <c r="U115" s="340" t="s">
        <v>724</v>
      </c>
      <c r="V115" s="341">
        <v>1610</v>
      </c>
      <c r="W115" s="341"/>
      <c r="X115" s="342">
        <f>(18829-5588)/8</f>
        <v>1655.125</v>
      </c>
      <c r="Y115" s="343">
        <f t="shared" si="25"/>
        <v>45.125</v>
      </c>
      <c r="Z115" s="344">
        <f t="shared" si="26"/>
        <v>0</v>
      </c>
      <c r="AA115" s="344"/>
      <c r="AB115" s="817"/>
      <c r="AC115" s="341"/>
      <c r="AD115" s="307" t="s">
        <v>672</v>
      </c>
      <c r="AE115" s="210"/>
      <c r="AF115" s="210"/>
      <c r="AG115" s="211">
        <f t="shared" si="27"/>
        <v>0.30199999999999999</v>
      </c>
      <c r="AH115" s="157">
        <v>0.26621999999999996</v>
      </c>
      <c r="AI115" s="152">
        <f t="shared" si="29"/>
        <v>12880</v>
      </c>
      <c r="AK115" s="156" t="s">
        <v>691</v>
      </c>
      <c r="AL115" s="574" t="s">
        <v>690</v>
      </c>
      <c r="AM115" s="198">
        <f t="shared" si="32"/>
        <v>0</v>
      </c>
      <c r="AN115" s="199">
        <f t="shared" si="24"/>
        <v>45311</v>
      </c>
      <c r="AO115" s="159" t="s">
        <v>692</v>
      </c>
      <c r="AP115" s="781" t="s">
        <v>642</v>
      </c>
      <c r="AQ115" s="782"/>
      <c r="AR115" s="782"/>
      <c r="AS115" s="782"/>
      <c r="AT115" s="782"/>
      <c r="AU115" s="781"/>
      <c r="AV115" s="782"/>
      <c r="AW115" s="781"/>
      <c r="AX115" s="781"/>
      <c r="AY115" s="781"/>
      <c r="AZ115" s="782"/>
      <c r="BA115" s="781"/>
    </row>
    <row r="116" spans="1:53" ht="25" hidden="1" customHeight="1">
      <c r="A116" s="142" t="s">
        <v>120</v>
      </c>
      <c r="B116" s="385">
        <v>45311</v>
      </c>
      <c r="C116" s="386">
        <v>45321</v>
      </c>
      <c r="D116" s="185">
        <f t="shared" si="22"/>
        <v>2024</v>
      </c>
      <c r="E116" s="386" t="str">
        <f>VLOOKUP($B116,Week!$A$1:$C$1462,2,0)</f>
        <v>Week3</v>
      </c>
      <c r="F116" s="387" t="str">
        <f t="shared" si="23"/>
        <v>Jan</v>
      </c>
      <c r="G116" s="388" t="s">
        <v>838</v>
      </c>
      <c r="H116" s="388" t="s">
        <v>500</v>
      </c>
      <c r="I116" s="388" t="s">
        <v>2772</v>
      </c>
      <c r="J116" s="389" t="s">
        <v>285</v>
      </c>
      <c r="K116" s="390" t="s">
        <v>153</v>
      </c>
      <c r="L116" s="390" t="s">
        <v>2166</v>
      </c>
      <c r="M116" s="389" t="s">
        <v>165</v>
      </c>
      <c r="N116" s="388" t="s">
        <v>286</v>
      </c>
      <c r="O116" s="388" t="s">
        <v>503</v>
      </c>
      <c r="P116" s="391">
        <v>40</v>
      </c>
      <c r="Q116" s="391">
        <v>12</v>
      </c>
      <c r="R116" s="392">
        <v>6.8100000000000001E-3</v>
      </c>
      <c r="S116" s="388" t="s">
        <v>76</v>
      </c>
      <c r="T116" s="388" t="s">
        <v>56</v>
      </c>
      <c r="U116" s="388" t="s">
        <v>89</v>
      </c>
      <c r="V116" s="393">
        <f>1624-294-651-642</f>
        <v>37</v>
      </c>
      <c r="W116" s="393">
        <v>37</v>
      </c>
      <c r="X116" s="394"/>
      <c r="Y116" s="395">
        <f t="shared" si="25"/>
        <v>0</v>
      </c>
      <c r="Z116" s="396">
        <f t="shared" si="26"/>
        <v>0</v>
      </c>
      <c r="AA116" s="396">
        <f>Q116*Z116</f>
        <v>0</v>
      </c>
      <c r="AB116" s="823">
        <v>2</v>
      </c>
      <c r="AC116" s="393">
        <f>Z116*AB116</f>
        <v>0</v>
      </c>
      <c r="AD116" s="209"/>
      <c r="AE116" s="210"/>
      <c r="AF116" s="210"/>
      <c r="AG116" s="211">
        <f t="shared" si="27"/>
        <v>0.154</v>
      </c>
      <c r="AH116" s="157">
        <f>(Z116*AG116)/1000</f>
        <v>0</v>
      </c>
      <c r="AI116" s="152">
        <f t="shared" si="29"/>
        <v>1480</v>
      </c>
      <c r="AK116" s="156" t="s">
        <v>691</v>
      </c>
      <c r="AL116" s="156" t="s">
        <v>689</v>
      </c>
      <c r="AM116" s="198">
        <f t="shared" si="32"/>
        <v>0</v>
      </c>
      <c r="AN116" s="199">
        <f t="shared" si="24"/>
        <v>45311</v>
      </c>
      <c r="AO116" s="159" t="s">
        <v>692</v>
      </c>
      <c r="AP116" s="783" t="s">
        <v>611</v>
      </c>
      <c r="AQ116" s="782">
        <v>12028328</v>
      </c>
      <c r="AR116" s="782">
        <v>12019692</v>
      </c>
      <c r="AS116" s="781"/>
      <c r="AT116" s="782">
        <v>12065371</v>
      </c>
      <c r="AU116" s="782"/>
      <c r="AV116" s="782">
        <v>12055895</v>
      </c>
      <c r="AW116" s="782">
        <v>12034747</v>
      </c>
      <c r="AX116" s="782" t="s">
        <v>398</v>
      </c>
      <c r="AY116" s="781" t="s">
        <v>290</v>
      </c>
      <c r="AZ116" s="781"/>
      <c r="BA116" s="781"/>
    </row>
    <row r="117" spans="1:53" ht="25" hidden="1" customHeight="1">
      <c r="A117" s="142" t="s">
        <v>120</v>
      </c>
      <c r="B117" s="271">
        <v>45311</v>
      </c>
      <c r="C117" s="272">
        <v>45321</v>
      </c>
      <c r="D117" s="185">
        <f t="shared" si="22"/>
        <v>2024</v>
      </c>
      <c r="E117" s="272" t="str">
        <f>VLOOKUP($B117,Week!$A$1:$C$1462,2,0)</f>
        <v>Week3</v>
      </c>
      <c r="F117" s="273" t="str">
        <f t="shared" si="23"/>
        <v>Jan</v>
      </c>
      <c r="G117" s="274" t="s">
        <v>839</v>
      </c>
      <c r="H117" s="274" t="s">
        <v>500</v>
      </c>
      <c r="I117" s="274" t="s">
        <v>2772</v>
      </c>
      <c r="J117" s="275" t="s">
        <v>285</v>
      </c>
      <c r="K117" s="276" t="s">
        <v>153</v>
      </c>
      <c r="L117" s="390" t="s">
        <v>2166</v>
      </c>
      <c r="M117" s="275" t="s">
        <v>86</v>
      </c>
      <c r="N117" s="274" t="s">
        <v>547</v>
      </c>
      <c r="O117" s="274" t="s">
        <v>548</v>
      </c>
      <c r="P117" s="277">
        <v>10</v>
      </c>
      <c r="Q117" s="277">
        <v>50</v>
      </c>
      <c r="R117" s="278">
        <v>6.8100000000000001E-3</v>
      </c>
      <c r="S117" s="274" t="s">
        <v>76</v>
      </c>
      <c r="T117" s="274" t="s">
        <v>56</v>
      </c>
      <c r="U117" s="274" t="s">
        <v>89</v>
      </c>
      <c r="V117" s="279">
        <v>586</v>
      </c>
      <c r="W117" s="279">
        <f>4+582</f>
        <v>586</v>
      </c>
      <c r="X117" s="280"/>
      <c r="Y117" s="281">
        <f t="shared" si="25"/>
        <v>0</v>
      </c>
      <c r="Z117" s="282">
        <f t="shared" si="26"/>
        <v>0</v>
      </c>
      <c r="AA117" s="282">
        <f>Q117*Z117</f>
        <v>0</v>
      </c>
      <c r="AB117" s="812">
        <v>6</v>
      </c>
      <c r="AC117" s="279">
        <f>Z117*AB117</f>
        <v>0</v>
      </c>
      <c r="AD117" s="209"/>
      <c r="AE117" s="210"/>
      <c r="AF117" s="210"/>
      <c r="AG117" s="211">
        <f t="shared" si="27"/>
        <v>0.63</v>
      </c>
      <c r="AH117" s="157">
        <f>(Z117*AG117)/1000</f>
        <v>0</v>
      </c>
      <c r="AI117" s="152">
        <f t="shared" si="29"/>
        <v>5860</v>
      </c>
      <c r="AK117" s="156" t="s">
        <v>691</v>
      </c>
      <c r="AL117" s="156" t="s">
        <v>689</v>
      </c>
      <c r="AM117" s="198">
        <f t="shared" si="32"/>
        <v>0</v>
      </c>
      <c r="AN117" s="199">
        <f t="shared" si="24"/>
        <v>45311</v>
      </c>
      <c r="AO117" s="159" t="s">
        <v>692</v>
      </c>
      <c r="AP117" s="783" t="s">
        <v>620</v>
      </c>
      <c r="AQ117" s="782" t="s">
        <v>549</v>
      </c>
      <c r="AR117" s="782">
        <v>12055234</v>
      </c>
      <c r="AS117" s="781"/>
      <c r="AT117" s="782"/>
      <c r="AU117" s="782"/>
      <c r="AV117" s="782">
        <v>12062809</v>
      </c>
      <c r="AW117" s="782"/>
      <c r="AX117" s="782" t="s">
        <v>619</v>
      </c>
      <c r="AY117" s="781"/>
      <c r="AZ117" s="781"/>
      <c r="BA117" s="781"/>
    </row>
    <row r="118" spans="1:53" ht="25" hidden="1" customHeight="1">
      <c r="B118" s="183">
        <v>45312</v>
      </c>
      <c r="C118" s="184"/>
      <c r="D118" s="185">
        <f t="shared" si="22"/>
        <v>2024</v>
      </c>
      <c r="E118" s="185" t="str">
        <f>VLOOKUP($B118,Week!$A$1:$C$1462,2,0)</f>
        <v>Week3</v>
      </c>
      <c r="F118" s="186" t="str">
        <f t="shared" si="23"/>
        <v>Jan</v>
      </c>
      <c r="G118" s="185"/>
      <c r="H118" s="185"/>
      <c r="I118" s="185"/>
      <c r="J118" s="187"/>
      <c r="K118" s="188"/>
      <c r="L118" s="300"/>
      <c r="M118" s="187"/>
      <c r="N118" s="185"/>
      <c r="O118" s="185"/>
      <c r="P118" s="189"/>
      <c r="Q118" s="189"/>
      <c r="R118" s="190"/>
      <c r="S118" s="185"/>
      <c r="T118" s="185"/>
      <c r="U118" s="185"/>
      <c r="V118" s="191"/>
      <c r="W118" s="191"/>
      <c r="X118" s="192"/>
      <c r="Y118" s="193"/>
      <c r="Z118" s="194"/>
      <c r="AA118" s="194"/>
      <c r="AB118" s="805"/>
      <c r="AC118" s="191"/>
      <c r="AD118" s="187"/>
      <c r="AE118" s="195"/>
      <c r="AF118" s="195"/>
      <c r="AG118" s="196"/>
      <c r="AH118" s="197"/>
      <c r="AK118" s="156" t="s">
        <v>691</v>
      </c>
      <c r="AM118" s="198">
        <f t="shared" si="32"/>
        <v>0</v>
      </c>
      <c r="AN118" s="199">
        <f t="shared" si="24"/>
        <v>45312</v>
      </c>
      <c r="AO118" s="159" t="s">
        <v>692</v>
      </c>
      <c r="AP118" s="781"/>
      <c r="AQ118" s="782"/>
      <c r="AR118" s="782"/>
      <c r="AS118" s="782"/>
      <c r="AT118" s="782"/>
      <c r="AU118" s="781"/>
      <c r="AV118" s="782"/>
      <c r="AW118" s="782"/>
      <c r="AX118" s="782"/>
      <c r="AY118" s="782"/>
      <c r="AZ118" s="782"/>
      <c r="BA118" s="781"/>
    </row>
    <row r="119" spans="1:53" ht="24.65" hidden="1" customHeight="1">
      <c r="B119" s="369">
        <v>45313</v>
      </c>
      <c r="C119" s="370">
        <v>45322</v>
      </c>
      <c r="D119" s="185">
        <f t="shared" si="22"/>
        <v>2024</v>
      </c>
      <c r="E119" s="370" t="str">
        <f>VLOOKUP($B119,Week!$A$1:$C$1462,2,0)</f>
        <v>Week4</v>
      </c>
      <c r="F119" s="372" t="str">
        <f t="shared" si="23"/>
        <v>Jan</v>
      </c>
      <c r="G119" s="439" t="s">
        <v>834</v>
      </c>
      <c r="H119" s="371" t="s">
        <v>104</v>
      </c>
      <c r="I119" s="371" t="s">
        <v>2772</v>
      </c>
      <c r="J119" s="373" t="s">
        <v>105</v>
      </c>
      <c r="K119" s="374" t="s">
        <v>593</v>
      </c>
      <c r="L119" s="300" t="s">
        <v>2167</v>
      </c>
      <c r="M119" s="373" t="s">
        <v>594</v>
      </c>
      <c r="N119" s="371" t="s">
        <v>687</v>
      </c>
      <c r="O119" s="371" t="s">
        <v>415</v>
      </c>
      <c r="P119" s="375">
        <v>24</v>
      </c>
      <c r="Q119" s="375">
        <v>5</v>
      </c>
      <c r="R119" s="376">
        <v>6.0000000000000001E-3</v>
      </c>
      <c r="S119" s="371" t="s">
        <v>55</v>
      </c>
      <c r="T119" s="371" t="s">
        <v>112</v>
      </c>
      <c r="U119" s="371" t="s">
        <v>57</v>
      </c>
      <c r="V119" s="377">
        <v>700</v>
      </c>
      <c r="W119" s="377">
        <f>11+689</f>
        <v>700</v>
      </c>
      <c r="X119" s="378"/>
      <c r="Y119" s="379">
        <f t="shared" ref="Y119:Y150" si="36">(W119+X119)-V119</f>
        <v>0</v>
      </c>
      <c r="Z119" s="380">
        <f t="shared" ref="Z119:Z150" si="37">IF(Y119&lt;0,((V119*P119)-((W119+X119)*P119)),0)</f>
        <v>0</v>
      </c>
      <c r="AA119" s="380"/>
      <c r="AB119" s="820"/>
      <c r="AC119" s="377"/>
      <c r="AD119" s="486"/>
      <c r="AE119" s="210"/>
      <c r="AF119" s="210"/>
      <c r="AG119" s="211">
        <f t="shared" ref="AG119:AG126" si="38">MID(O119,1,3)/1000</f>
        <v>0.25800000000000001</v>
      </c>
      <c r="AH119" s="157">
        <f t="shared" ref="AH119:AH152" si="39">(Z119*AG119)/1000</f>
        <v>0</v>
      </c>
      <c r="AI119" s="152">
        <f t="shared" ref="AI119:AI126" si="40">V119*P119</f>
        <v>16800</v>
      </c>
      <c r="AK119" s="156" t="s">
        <v>691</v>
      </c>
      <c r="AL119" s="212" t="s">
        <v>690</v>
      </c>
      <c r="AM119" s="198">
        <f>AG119*Z119</f>
        <v>0</v>
      </c>
      <c r="AN119" s="199">
        <f t="shared" si="24"/>
        <v>45313</v>
      </c>
      <c r="AO119" s="159" t="s">
        <v>692</v>
      </c>
      <c r="AP119" s="783"/>
      <c r="AQ119" s="782"/>
      <c r="AR119" s="782"/>
      <c r="AS119" s="782"/>
      <c r="AT119" s="782"/>
      <c r="AU119" s="781"/>
      <c r="AV119" s="782"/>
      <c r="AW119" s="782"/>
      <c r="AX119" s="782"/>
      <c r="AY119" s="782"/>
      <c r="AZ119" s="782"/>
      <c r="BA119" s="781"/>
    </row>
    <row r="120" spans="1:53" ht="24.65" hidden="1" customHeight="1">
      <c r="B120" s="369">
        <v>45313</v>
      </c>
      <c r="C120" s="370">
        <v>45331</v>
      </c>
      <c r="D120" s="185">
        <f t="shared" si="22"/>
        <v>2024</v>
      </c>
      <c r="E120" s="370" t="str">
        <f>VLOOKUP($B120,Week!$A$1:$C$1462,2,0)</f>
        <v>Week4</v>
      </c>
      <c r="F120" s="372" t="str">
        <f t="shared" si="23"/>
        <v>Jan</v>
      </c>
      <c r="G120" s="439" t="s">
        <v>835</v>
      </c>
      <c r="H120" s="371" t="s">
        <v>104</v>
      </c>
      <c r="I120" s="371" t="s">
        <v>2772</v>
      </c>
      <c r="J120" s="373" t="s">
        <v>105</v>
      </c>
      <c r="K120" s="374" t="s">
        <v>593</v>
      </c>
      <c r="L120" s="300" t="s">
        <v>2167</v>
      </c>
      <c r="M120" s="373" t="s">
        <v>594</v>
      </c>
      <c r="N120" s="371" t="s">
        <v>687</v>
      </c>
      <c r="O120" s="371" t="s">
        <v>415</v>
      </c>
      <c r="P120" s="375">
        <v>24</v>
      </c>
      <c r="Q120" s="375">
        <v>5</v>
      </c>
      <c r="R120" s="376">
        <v>6.0000000000000001E-3</v>
      </c>
      <c r="S120" s="371" t="s">
        <v>55</v>
      </c>
      <c r="T120" s="371" t="s">
        <v>112</v>
      </c>
      <c r="U120" s="371" t="s">
        <v>57</v>
      </c>
      <c r="V120" s="377">
        <f>650</f>
        <v>650</v>
      </c>
      <c r="W120" s="377">
        <f>1031-689</f>
        <v>342</v>
      </c>
      <c r="X120" s="378">
        <f>(8470-1078)/24</f>
        <v>308</v>
      </c>
      <c r="Y120" s="379">
        <f t="shared" si="36"/>
        <v>0</v>
      </c>
      <c r="Z120" s="380">
        <f t="shared" si="37"/>
        <v>0</v>
      </c>
      <c r="AA120" s="380"/>
      <c r="AB120" s="820"/>
      <c r="AC120" s="377"/>
      <c r="AD120" s="486"/>
      <c r="AE120" s="210"/>
      <c r="AF120" s="210"/>
      <c r="AG120" s="211">
        <f t="shared" si="38"/>
        <v>0.25800000000000001</v>
      </c>
      <c r="AH120" s="157">
        <f t="shared" si="39"/>
        <v>0</v>
      </c>
      <c r="AI120" s="152">
        <f t="shared" si="40"/>
        <v>15600</v>
      </c>
      <c r="AK120" s="156" t="s">
        <v>691</v>
      </c>
      <c r="AL120" s="212" t="s">
        <v>690</v>
      </c>
      <c r="AM120" s="198">
        <f>AG120*Z120</f>
        <v>0</v>
      </c>
      <c r="AN120" s="199">
        <f t="shared" si="24"/>
        <v>45313</v>
      </c>
      <c r="AO120" s="159" t="s">
        <v>692</v>
      </c>
      <c r="AP120" s="783"/>
      <c r="AQ120" s="782"/>
      <c r="AR120" s="782"/>
      <c r="AS120" s="782"/>
      <c r="AT120" s="782"/>
      <c r="AU120" s="781"/>
      <c r="AV120" s="782"/>
      <c r="AW120" s="782"/>
      <c r="AX120" s="782"/>
      <c r="AY120" s="782"/>
      <c r="AZ120" s="782"/>
      <c r="BA120" s="781"/>
    </row>
    <row r="121" spans="1:53" ht="25" hidden="1" customHeight="1">
      <c r="B121" s="213">
        <v>45313</v>
      </c>
      <c r="C121" s="578">
        <v>45324</v>
      </c>
      <c r="D121" s="185">
        <f t="shared" si="22"/>
        <v>2024</v>
      </c>
      <c r="E121" s="215" t="str">
        <f>VLOOKUP($B121,Week!$A$1:$C$1462,2,0)</f>
        <v>Week4</v>
      </c>
      <c r="F121" s="216" t="str">
        <f t="shared" si="23"/>
        <v>Jan</v>
      </c>
      <c r="G121" s="215" t="s">
        <v>787</v>
      </c>
      <c r="H121" s="215" t="s">
        <v>104</v>
      </c>
      <c r="I121" s="215" t="s">
        <v>2772</v>
      </c>
      <c r="J121" s="209" t="s">
        <v>105</v>
      </c>
      <c r="K121" s="217" t="s">
        <v>107</v>
      </c>
      <c r="L121" s="300" t="s">
        <v>2167</v>
      </c>
      <c r="M121" s="209" t="s">
        <v>108</v>
      </c>
      <c r="N121" s="215" t="s">
        <v>109</v>
      </c>
      <c r="O121" s="215" t="s">
        <v>110</v>
      </c>
      <c r="P121" s="218">
        <v>36</v>
      </c>
      <c r="Q121" s="218">
        <v>5</v>
      </c>
      <c r="R121" s="219">
        <v>7.4999999999999997E-3</v>
      </c>
      <c r="S121" s="215" t="s">
        <v>111</v>
      </c>
      <c r="T121" s="215" t="s">
        <v>112</v>
      </c>
      <c r="U121" s="215" t="s">
        <v>113</v>
      </c>
      <c r="V121" s="220">
        <f>792-388</f>
        <v>404</v>
      </c>
      <c r="W121" s="220">
        <f>792-388</f>
        <v>404</v>
      </c>
      <c r="X121" s="221"/>
      <c r="Y121" s="222">
        <f t="shared" si="36"/>
        <v>0</v>
      </c>
      <c r="Z121" s="223">
        <f t="shared" si="37"/>
        <v>0</v>
      </c>
      <c r="AA121" s="223"/>
      <c r="AB121" s="807"/>
      <c r="AC121" s="220"/>
      <c r="AD121" s="209"/>
      <c r="AE121" s="210"/>
      <c r="AF121" s="210"/>
      <c r="AG121" s="211">
        <f t="shared" si="38"/>
        <v>0.308</v>
      </c>
      <c r="AH121" s="157">
        <f t="shared" si="39"/>
        <v>0</v>
      </c>
      <c r="AI121" s="152">
        <f t="shared" si="40"/>
        <v>14544</v>
      </c>
      <c r="AK121" s="156" t="s">
        <v>691</v>
      </c>
      <c r="AL121" s="574" t="s">
        <v>690</v>
      </c>
      <c r="AM121" s="198">
        <f t="shared" si="32"/>
        <v>0</v>
      </c>
      <c r="AN121" s="199">
        <f t="shared" si="24"/>
        <v>45313</v>
      </c>
      <c r="AO121" s="159" t="s">
        <v>692</v>
      </c>
      <c r="AP121" s="781"/>
      <c r="AQ121" s="782">
        <v>12063755</v>
      </c>
      <c r="AR121" s="782">
        <v>12061353</v>
      </c>
      <c r="AS121" s="782">
        <v>12061354</v>
      </c>
      <c r="AT121" s="782">
        <v>12068566</v>
      </c>
      <c r="AU121" s="781"/>
      <c r="AV121" s="782">
        <v>12068564</v>
      </c>
      <c r="AW121" s="782">
        <v>12062153</v>
      </c>
      <c r="AX121" s="782"/>
      <c r="AY121" s="782">
        <v>12068565</v>
      </c>
      <c r="AZ121" s="782"/>
      <c r="BA121" s="781"/>
    </row>
    <row r="122" spans="1:53" ht="25" hidden="1" customHeight="1">
      <c r="B122" s="213">
        <v>45313</v>
      </c>
      <c r="C122" s="578">
        <v>45324</v>
      </c>
      <c r="D122" s="185">
        <f t="shared" si="22"/>
        <v>2024</v>
      </c>
      <c r="E122" s="215" t="str">
        <f>VLOOKUP($B122,Week!$A$1:$C$1462,2,0)</f>
        <v>Week4</v>
      </c>
      <c r="F122" s="216" t="str">
        <f t="shared" si="23"/>
        <v>Jan</v>
      </c>
      <c r="G122" s="215" t="s">
        <v>788</v>
      </c>
      <c r="H122" s="215" t="s">
        <v>104</v>
      </c>
      <c r="I122" s="215" t="s">
        <v>2772</v>
      </c>
      <c r="J122" s="209" t="s">
        <v>105</v>
      </c>
      <c r="K122" s="217" t="s">
        <v>107</v>
      </c>
      <c r="L122" s="300" t="s">
        <v>2167</v>
      </c>
      <c r="M122" s="209" t="s">
        <v>108</v>
      </c>
      <c r="N122" s="215" t="s">
        <v>109</v>
      </c>
      <c r="O122" s="215" t="s">
        <v>110</v>
      </c>
      <c r="P122" s="218">
        <v>36</v>
      </c>
      <c r="Q122" s="218">
        <v>5</v>
      </c>
      <c r="R122" s="219">
        <v>7.4999999999999997E-3</v>
      </c>
      <c r="S122" s="215" t="s">
        <v>111</v>
      </c>
      <c r="T122" s="215" t="s">
        <v>112</v>
      </c>
      <c r="U122" s="215" t="s">
        <v>113</v>
      </c>
      <c r="V122" s="220">
        <v>792</v>
      </c>
      <c r="W122" s="220">
        <v>792</v>
      </c>
      <c r="X122" s="221"/>
      <c r="Y122" s="222">
        <f t="shared" si="36"/>
        <v>0</v>
      </c>
      <c r="Z122" s="223">
        <f t="shared" si="37"/>
        <v>0</v>
      </c>
      <c r="AA122" s="223"/>
      <c r="AB122" s="807"/>
      <c r="AC122" s="220"/>
      <c r="AD122" s="209"/>
      <c r="AE122" s="210"/>
      <c r="AF122" s="210"/>
      <c r="AG122" s="211">
        <f t="shared" si="38"/>
        <v>0.308</v>
      </c>
      <c r="AH122" s="157">
        <f t="shared" si="39"/>
        <v>0</v>
      </c>
      <c r="AI122" s="152">
        <f t="shared" si="40"/>
        <v>28512</v>
      </c>
      <c r="AK122" s="156" t="s">
        <v>691</v>
      </c>
      <c r="AL122" s="574" t="s">
        <v>690</v>
      </c>
      <c r="AM122" s="198">
        <f t="shared" si="32"/>
        <v>0</v>
      </c>
      <c r="AN122" s="199">
        <f t="shared" si="24"/>
        <v>45313</v>
      </c>
      <c r="AO122" s="159" t="s">
        <v>692</v>
      </c>
      <c r="AP122" s="781"/>
      <c r="AQ122" s="782">
        <v>12063755</v>
      </c>
      <c r="AR122" s="782">
        <v>12061353</v>
      </c>
      <c r="AS122" s="782">
        <v>12061354</v>
      </c>
      <c r="AT122" s="782">
        <v>12068566</v>
      </c>
      <c r="AU122" s="781"/>
      <c r="AV122" s="782">
        <v>12068564</v>
      </c>
      <c r="AW122" s="782">
        <v>12062153</v>
      </c>
      <c r="AX122" s="782"/>
      <c r="AY122" s="782">
        <v>12068565</v>
      </c>
      <c r="AZ122" s="782"/>
      <c r="BA122" s="781"/>
    </row>
    <row r="123" spans="1:53" ht="25" hidden="1" customHeight="1">
      <c r="B123" s="213">
        <v>45313</v>
      </c>
      <c r="C123" s="578">
        <v>45324</v>
      </c>
      <c r="D123" s="185">
        <f t="shared" si="22"/>
        <v>2024</v>
      </c>
      <c r="E123" s="215" t="str">
        <f>VLOOKUP($B123,Week!$A$1:$C$1462,2,0)</f>
        <v>Week4</v>
      </c>
      <c r="F123" s="216" t="str">
        <f t="shared" si="23"/>
        <v>Jan</v>
      </c>
      <c r="G123" s="215" t="s">
        <v>788</v>
      </c>
      <c r="H123" s="215" t="s">
        <v>104</v>
      </c>
      <c r="I123" s="215" t="s">
        <v>2772</v>
      </c>
      <c r="J123" s="209" t="s">
        <v>105</v>
      </c>
      <c r="K123" s="217" t="s">
        <v>107</v>
      </c>
      <c r="L123" s="300" t="s">
        <v>2167</v>
      </c>
      <c r="M123" s="209" t="s">
        <v>108</v>
      </c>
      <c r="N123" s="215" t="s">
        <v>109</v>
      </c>
      <c r="O123" s="215" t="s">
        <v>110</v>
      </c>
      <c r="P123" s="218">
        <v>36</v>
      </c>
      <c r="Q123" s="218">
        <v>5</v>
      </c>
      <c r="R123" s="219">
        <v>7.4999999999999997E-3</v>
      </c>
      <c r="S123" s="215" t="s">
        <v>111</v>
      </c>
      <c r="T123" s="215" t="s">
        <v>112</v>
      </c>
      <c r="U123" s="215" t="s">
        <v>113</v>
      </c>
      <c r="V123" s="220">
        <v>792</v>
      </c>
      <c r="W123" s="220">
        <v>792</v>
      </c>
      <c r="X123" s="221"/>
      <c r="Y123" s="222">
        <f t="shared" si="36"/>
        <v>0</v>
      </c>
      <c r="Z123" s="223">
        <f t="shared" si="37"/>
        <v>0</v>
      </c>
      <c r="AA123" s="223"/>
      <c r="AB123" s="807"/>
      <c r="AC123" s="220"/>
      <c r="AD123" s="209"/>
      <c r="AE123" s="210"/>
      <c r="AF123" s="210"/>
      <c r="AG123" s="211">
        <f t="shared" si="38"/>
        <v>0.308</v>
      </c>
      <c r="AH123" s="157">
        <f t="shared" si="39"/>
        <v>0</v>
      </c>
      <c r="AI123" s="152">
        <f t="shared" si="40"/>
        <v>28512</v>
      </c>
      <c r="AK123" s="156" t="s">
        <v>691</v>
      </c>
      <c r="AL123" s="574" t="s">
        <v>690</v>
      </c>
      <c r="AM123" s="198">
        <f t="shared" ref="AM123:AM134" si="41">AG123*Z123</f>
        <v>0</v>
      </c>
      <c r="AN123" s="199">
        <f t="shared" si="24"/>
        <v>45313</v>
      </c>
      <c r="AO123" s="159" t="s">
        <v>692</v>
      </c>
      <c r="AP123" s="781"/>
      <c r="AQ123" s="782">
        <v>12063755</v>
      </c>
      <c r="AR123" s="782">
        <v>12061353</v>
      </c>
      <c r="AS123" s="782">
        <v>12061354</v>
      </c>
      <c r="AT123" s="782">
        <v>12068566</v>
      </c>
      <c r="AU123" s="781"/>
      <c r="AV123" s="782">
        <v>12068564</v>
      </c>
      <c r="AW123" s="782">
        <v>12062153</v>
      </c>
      <c r="AX123" s="782"/>
      <c r="AY123" s="782">
        <v>12068565</v>
      </c>
      <c r="AZ123" s="782"/>
      <c r="BA123" s="781"/>
    </row>
    <row r="124" spans="1:53" ht="25" hidden="1" customHeight="1">
      <c r="B124" s="213">
        <v>45313</v>
      </c>
      <c r="C124" s="578">
        <v>45327</v>
      </c>
      <c r="D124" s="185">
        <f t="shared" si="22"/>
        <v>2024</v>
      </c>
      <c r="E124" s="215" t="str">
        <f>VLOOKUP($B124,Week!$A$1:$C$1462,2,0)</f>
        <v>Week4</v>
      </c>
      <c r="F124" s="216" t="str">
        <f t="shared" si="23"/>
        <v>Jan</v>
      </c>
      <c r="G124" s="215" t="s">
        <v>777</v>
      </c>
      <c r="H124" s="215" t="s">
        <v>104</v>
      </c>
      <c r="I124" s="215" t="s">
        <v>2772</v>
      </c>
      <c r="J124" s="209" t="s">
        <v>105</v>
      </c>
      <c r="K124" s="217" t="s">
        <v>107</v>
      </c>
      <c r="L124" s="300" t="s">
        <v>2167</v>
      </c>
      <c r="M124" s="209" t="s">
        <v>108</v>
      </c>
      <c r="N124" s="215" t="s">
        <v>109</v>
      </c>
      <c r="O124" s="215" t="s">
        <v>110</v>
      </c>
      <c r="P124" s="218">
        <v>36</v>
      </c>
      <c r="Q124" s="218">
        <v>5</v>
      </c>
      <c r="R124" s="219">
        <v>7.4999999999999997E-3</v>
      </c>
      <c r="S124" s="215" t="s">
        <v>111</v>
      </c>
      <c r="T124" s="215" t="s">
        <v>112</v>
      </c>
      <c r="U124" s="215" t="s">
        <v>113</v>
      </c>
      <c r="V124" s="220">
        <v>792</v>
      </c>
      <c r="W124" s="220">
        <v>792</v>
      </c>
      <c r="X124" s="221"/>
      <c r="Y124" s="222">
        <f t="shared" si="36"/>
        <v>0</v>
      </c>
      <c r="Z124" s="223">
        <f t="shared" si="37"/>
        <v>0</v>
      </c>
      <c r="AA124" s="223"/>
      <c r="AB124" s="807"/>
      <c r="AC124" s="220"/>
      <c r="AD124" s="209"/>
      <c r="AE124" s="210"/>
      <c r="AF124" s="210"/>
      <c r="AG124" s="211">
        <f t="shared" si="38"/>
        <v>0.308</v>
      </c>
      <c r="AH124" s="157">
        <f t="shared" si="39"/>
        <v>0</v>
      </c>
      <c r="AI124" s="152">
        <f t="shared" si="40"/>
        <v>28512</v>
      </c>
      <c r="AK124" s="156" t="s">
        <v>691</v>
      </c>
      <c r="AL124" s="574" t="s">
        <v>690</v>
      </c>
      <c r="AM124" s="198">
        <f t="shared" si="41"/>
        <v>0</v>
      </c>
      <c r="AN124" s="199">
        <f t="shared" si="24"/>
        <v>45313</v>
      </c>
      <c r="AO124" s="159" t="s">
        <v>692</v>
      </c>
      <c r="AP124" s="781"/>
      <c r="AQ124" s="782">
        <v>12063755</v>
      </c>
      <c r="AR124" s="782">
        <v>12061353</v>
      </c>
      <c r="AS124" s="782">
        <v>12061354</v>
      </c>
      <c r="AT124" s="782">
        <v>12068566</v>
      </c>
      <c r="AU124" s="781"/>
      <c r="AV124" s="782">
        <v>12068564</v>
      </c>
      <c r="AW124" s="782">
        <v>12062153</v>
      </c>
      <c r="AX124" s="782"/>
      <c r="AY124" s="782">
        <v>12068565</v>
      </c>
      <c r="AZ124" s="782"/>
      <c r="BA124" s="781"/>
    </row>
    <row r="125" spans="1:53" ht="25" hidden="1" customHeight="1">
      <c r="B125" s="213">
        <v>45313</v>
      </c>
      <c r="C125" s="578">
        <v>45327</v>
      </c>
      <c r="D125" s="185">
        <f t="shared" si="22"/>
        <v>2024</v>
      </c>
      <c r="E125" s="215" t="str">
        <f>VLOOKUP($B125,Week!$A$1:$C$1462,2,0)</f>
        <v>Week4</v>
      </c>
      <c r="F125" s="216" t="str">
        <f t="shared" si="23"/>
        <v>Jan</v>
      </c>
      <c r="G125" s="215" t="s">
        <v>778</v>
      </c>
      <c r="H125" s="215" t="s">
        <v>104</v>
      </c>
      <c r="I125" s="215" t="s">
        <v>2772</v>
      </c>
      <c r="J125" s="209" t="s">
        <v>105</v>
      </c>
      <c r="K125" s="217" t="s">
        <v>107</v>
      </c>
      <c r="L125" s="300" t="s">
        <v>2167</v>
      </c>
      <c r="M125" s="209" t="s">
        <v>108</v>
      </c>
      <c r="N125" s="215" t="s">
        <v>109</v>
      </c>
      <c r="O125" s="215" t="s">
        <v>110</v>
      </c>
      <c r="P125" s="218">
        <v>36</v>
      </c>
      <c r="Q125" s="218">
        <v>5</v>
      </c>
      <c r="R125" s="219">
        <v>7.4999999999999997E-3</v>
      </c>
      <c r="S125" s="215" t="s">
        <v>111</v>
      </c>
      <c r="T125" s="215" t="s">
        <v>112</v>
      </c>
      <c r="U125" s="215" t="s">
        <v>113</v>
      </c>
      <c r="V125" s="220">
        <f>2942-404-792-792-792</f>
        <v>162</v>
      </c>
      <c r="W125" s="220">
        <f>2942-404-792-792-792</f>
        <v>162</v>
      </c>
      <c r="X125" s="221"/>
      <c r="Y125" s="222">
        <f t="shared" si="36"/>
        <v>0</v>
      </c>
      <c r="Z125" s="223">
        <f t="shared" si="37"/>
        <v>0</v>
      </c>
      <c r="AA125" s="223"/>
      <c r="AB125" s="807"/>
      <c r="AC125" s="220"/>
      <c r="AD125" s="443" t="s">
        <v>1047</v>
      </c>
      <c r="AE125" s="210"/>
      <c r="AF125" s="210"/>
      <c r="AG125" s="211">
        <f t="shared" si="38"/>
        <v>0.308</v>
      </c>
      <c r="AH125" s="157">
        <f t="shared" si="39"/>
        <v>0</v>
      </c>
      <c r="AI125" s="152">
        <f t="shared" si="40"/>
        <v>5832</v>
      </c>
      <c r="AK125" s="156" t="s">
        <v>691</v>
      </c>
      <c r="AL125" s="574" t="s">
        <v>690</v>
      </c>
      <c r="AM125" s="198">
        <f t="shared" si="41"/>
        <v>0</v>
      </c>
      <c r="AN125" s="199">
        <f t="shared" si="24"/>
        <v>45313</v>
      </c>
      <c r="AO125" s="159" t="s">
        <v>692</v>
      </c>
      <c r="AP125" s="781"/>
      <c r="AQ125" s="782">
        <v>12063755</v>
      </c>
      <c r="AR125" s="782">
        <v>12061353</v>
      </c>
      <c r="AS125" s="782">
        <v>12061354</v>
      </c>
      <c r="AT125" s="782">
        <v>12068566</v>
      </c>
      <c r="AU125" s="781"/>
      <c r="AV125" s="782">
        <v>12068564</v>
      </c>
      <c r="AW125" s="782">
        <v>12062153</v>
      </c>
      <c r="AX125" s="782"/>
      <c r="AY125" s="782">
        <v>12068565</v>
      </c>
      <c r="AZ125" s="782"/>
      <c r="BA125" s="781"/>
    </row>
    <row r="126" spans="1:53" ht="25" hidden="1" customHeight="1">
      <c r="A126" s="142" t="s">
        <v>120</v>
      </c>
      <c r="B126" s="271">
        <v>45313</v>
      </c>
      <c r="C126" s="272">
        <v>45321</v>
      </c>
      <c r="D126" s="185">
        <f t="shared" si="22"/>
        <v>2024</v>
      </c>
      <c r="E126" s="272" t="str">
        <f>VLOOKUP($B126,Week!$A$1:$C$1462,2,0)</f>
        <v>Week4</v>
      </c>
      <c r="F126" s="273" t="str">
        <f t="shared" si="23"/>
        <v>Jan</v>
      </c>
      <c r="G126" s="274" t="s">
        <v>839</v>
      </c>
      <c r="H126" s="274" t="s">
        <v>500</v>
      </c>
      <c r="I126" s="274" t="s">
        <v>2772</v>
      </c>
      <c r="J126" s="275" t="s">
        <v>285</v>
      </c>
      <c r="K126" s="276" t="s">
        <v>153</v>
      </c>
      <c r="L126" s="390" t="s">
        <v>2166</v>
      </c>
      <c r="M126" s="275" t="s">
        <v>86</v>
      </c>
      <c r="N126" s="274" t="s">
        <v>547</v>
      </c>
      <c r="O126" s="274" t="s">
        <v>548</v>
      </c>
      <c r="P126" s="277">
        <v>10</v>
      </c>
      <c r="Q126" s="277">
        <v>50</v>
      </c>
      <c r="R126" s="278">
        <v>6.8100000000000001E-3</v>
      </c>
      <c r="S126" s="274" t="s">
        <v>76</v>
      </c>
      <c r="T126" s="274" t="s">
        <v>56</v>
      </c>
      <c r="U126" s="274" t="s">
        <v>89</v>
      </c>
      <c r="V126" s="279">
        <v>637</v>
      </c>
      <c r="W126" s="279">
        <v>637</v>
      </c>
      <c r="X126" s="280"/>
      <c r="Y126" s="281">
        <f t="shared" si="36"/>
        <v>0</v>
      </c>
      <c r="Z126" s="282">
        <f t="shared" si="37"/>
        <v>0</v>
      </c>
      <c r="AA126" s="282">
        <f>Q126*Z126</f>
        <v>0</v>
      </c>
      <c r="AB126" s="812">
        <v>6</v>
      </c>
      <c r="AC126" s="279">
        <f>Z126*AB126</f>
        <v>0</v>
      </c>
      <c r="AD126" s="209"/>
      <c r="AE126" s="210"/>
      <c r="AF126" s="210"/>
      <c r="AG126" s="211">
        <f t="shared" si="38"/>
        <v>0.63</v>
      </c>
      <c r="AH126" s="157">
        <f t="shared" si="39"/>
        <v>0</v>
      </c>
      <c r="AI126" s="152">
        <f t="shared" si="40"/>
        <v>6370</v>
      </c>
      <c r="AK126" s="156" t="s">
        <v>691</v>
      </c>
      <c r="AL126" s="156" t="s">
        <v>689</v>
      </c>
      <c r="AM126" s="198">
        <f t="shared" si="41"/>
        <v>0</v>
      </c>
      <c r="AN126" s="199">
        <f t="shared" si="24"/>
        <v>45313</v>
      </c>
      <c r="AO126" s="159" t="s">
        <v>692</v>
      </c>
      <c r="AP126" s="783" t="s">
        <v>620</v>
      </c>
      <c r="AQ126" s="782" t="s">
        <v>549</v>
      </c>
      <c r="AR126" s="782">
        <v>12055234</v>
      </c>
      <c r="AS126" s="781"/>
      <c r="AT126" s="782"/>
      <c r="AU126" s="782"/>
      <c r="AV126" s="782">
        <v>12062809</v>
      </c>
      <c r="AW126" s="782"/>
      <c r="AX126" s="782" t="s">
        <v>619</v>
      </c>
      <c r="AY126" s="781"/>
      <c r="AZ126" s="781"/>
      <c r="BA126" s="781"/>
    </row>
    <row r="127" spans="1:53" ht="24.65" hidden="1" customHeight="1">
      <c r="B127" s="466">
        <v>45314</v>
      </c>
      <c r="C127" s="467">
        <v>45322</v>
      </c>
      <c r="D127" s="185">
        <f t="shared" si="22"/>
        <v>2024</v>
      </c>
      <c r="E127" s="467" t="str">
        <f>VLOOKUP($B127,Week!$A$1:$C$1462,2,0)</f>
        <v>Week4</v>
      </c>
      <c r="F127" s="469" t="str">
        <f t="shared" si="23"/>
        <v>Jan</v>
      </c>
      <c r="G127" s="482" t="s">
        <v>834</v>
      </c>
      <c r="H127" s="482" t="s">
        <v>104</v>
      </c>
      <c r="I127" s="482" t="s">
        <v>2772</v>
      </c>
      <c r="J127" s="483" t="s">
        <v>105</v>
      </c>
      <c r="K127" s="484" t="s">
        <v>51</v>
      </c>
      <c r="L127" s="300" t="s">
        <v>2167</v>
      </c>
      <c r="M127" s="483" t="s">
        <v>674</v>
      </c>
      <c r="N127" s="482" t="s">
        <v>677</v>
      </c>
      <c r="O127" s="482" t="s">
        <v>501</v>
      </c>
      <c r="P127" s="473">
        <v>36</v>
      </c>
      <c r="Q127" s="473">
        <v>5</v>
      </c>
      <c r="R127" s="474">
        <v>6.0000000000000001E-3</v>
      </c>
      <c r="S127" s="482" t="s">
        <v>55</v>
      </c>
      <c r="T127" s="482" t="s">
        <v>112</v>
      </c>
      <c r="U127" s="482" t="s">
        <v>57</v>
      </c>
      <c r="V127" s="475">
        <f>450</f>
        <v>450</v>
      </c>
      <c r="W127" s="475">
        <v>450</v>
      </c>
      <c r="X127" s="476"/>
      <c r="Y127" s="477">
        <f t="shared" si="36"/>
        <v>0</v>
      </c>
      <c r="Z127" s="478">
        <f t="shared" si="37"/>
        <v>0</v>
      </c>
      <c r="AA127" s="478"/>
      <c r="AB127" s="828"/>
      <c r="AC127" s="475"/>
      <c r="AD127" s="486"/>
      <c r="AE127" s="210"/>
      <c r="AF127" s="210"/>
      <c r="AG127" s="211">
        <v>0.14499999999999999</v>
      </c>
      <c r="AH127" s="157">
        <f t="shared" si="39"/>
        <v>0</v>
      </c>
      <c r="AI127" s="152">
        <v>19800</v>
      </c>
      <c r="AK127" s="156" t="s">
        <v>691</v>
      </c>
      <c r="AL127" s="212" t="s">
        <v>690</v>
      </c>
      <c r="AM127" s="198">
        <f>AG127*Z127</f>
        <v>0</v>
      </c>
      <c r="AN127" s="199">
        <f t="shared" si="24"/>
        <v>45314</v>
      </c>
      <c r="AO127" s="159" t="s">
        <v>692</v>
      </c>
      <c r="AP127" s="781"/>
      <c r="AQ127" s="782"/>
      <c r="AR127" s="782"/>
      <c r="AS127" s="782"/>
      <c r="AT127" s="782"/>
      <c r="AU127" s="781"/>
      <c r="AV127" s="782"/>
      <c r="AW127" s="782"/>
      <c r="AX127" s="782"/>
      <c r="AY127" s="782"/>
      <c r="AZ127" s="782"/>
      <c r="BA127" s="781"/>
    </row>
    <row r="128" spans="1:53" ht="24.65" hidden="1" customHeight="1">
      <c r="B128" s="466">
        <v>45314</v>
      </c>
      <c r="C128" s="467">
        <v>45331</v>
      </c>
      <c r="D128" s="185">
        <f t="shared" si="22"/>
        <v>2024</v>
      </c>
      <c r="E128" s="467" t="str">
        <f>VLOOKUP($B128,Week!$A$1:$C$1462,2,0)</f>
        <v>Week4</v>
      </c>
      <c r="F128" s="469" t="str">
        <f t="shared" si="23"/>
        <v>Jan</v>
      </c>
      <c r="G128" s="482" t="s">
        <v>835</v>
      </c>
      <c r="H128" s="482" t="s">
        <v>104</v>
      </c>
      <c r="I128" s="482" t="s">
        <v>2772</v>
      </c>
      <c r="J128" s="483" t="s">
        <v>105</v>
      </c>
      <c r="K128" s="484" t="s">
        <v>51</v>
      </c>
      <c r="L128" s="300" t="s">
        <v>2167</v>
      </c>
      <c r="M128" s="483" t="s">
        <v>674</v>
      </c>
      <c r="N128" s="482" t="s">
        <v>677</v>
      </c>
      <c r="O128" s="482" t="s">
        <v>501</v>
      </c>
      <c r="P128" s="473">
        <v>36</v>
      </c>
      <c r="Q128" s="473">
        <v>5</v>
      </c>
      <c r="R128" s="474">
        <v>6.0000000000000001E-3</v>
      </c>
      <c r="S128" s="482" t="s">
        <v>55</v>
      </c>
      <c r="T128" s="482" t="s">
        <v>112</v>
      </c>
      <c r="U128" s="482" t="s">
        <v>57</v>
      </c>
      <c r="V128" s="475">
        <f>500</f>
        <v>500</v>
      </c>
      <c r="W128" s="475">
        <f>933-450+17</f>
        <v>500</v>
      </c>
      <c r="X128" s="476"/>
      <c r="Y128" s="477">
        <f t="shared" si="36"/>
        <v>0</v>
      </c>
      <c r="Z128" s="478">
        <f t="shared" si="37"/>
        <v>0</v>
      </c>
      <c r="AA128" s="478"/>
      <c r="AB128" s="828"/>
      <c r="AC128" s="475"/>
      <c r="AD128" s="486"/>
      <c r="AE128" s="210"/>
      <c r="AF128" s="210"/>
      <c r="AG128" s="211">
        <v>0.14499999999999999</v>
      </c>
      <c r="AH128" s="157">
        <f t="shared" si="39"/>
        <v>0</v>
      </c>
      <c r="AI128" s="152">
        <v>19800</v>
      </c>
      <c r="AK128" s="156" t="s">
        <v>691</v>
      </c>
      <c r="AL128" s="212" t="s">
        <v>690</v>
      </c>
      <c r="AM128" s="198">
        <f>AG128*Z128</f>
        <v>0</v>
      </c>
      <c r="AN128" s="199">
        <f t="shared" si="24"/>
        <v>45314</v>
      </c>
      <c r="AO128" s="159" t="s">
        <v>692</v>
      </c>
      <c r="AP128" s="781"/>
      <c r="AQ128" s="782"/>
      <c r="AR128" s="782"/>
      <c r="AS128" s="782"/>
      <c r="AT128" s="782"/>
      <c r="AU128" s="781"/>
      <c r="AV128" s="782"/>
      <c r="AW128" s="782"/>
      <c r="AX128" s="782"/>
      <c r="AY128" s="782"/>
      <c r="AZ128" s="782"/>
      <c r="BA128" s="781"/>
    </row>
    <row r="129" spans="1:53" ht="25" hidden="1" customHeight="1">
      <c r="B129" s="213">
        <v>45314</v>
      </c>
      <c r="C129" s="214">
        <v>45324</v>
      </c>
      <c r="D129" s="185">
        <f t="shared" si="22"/>
        <v>2024</v>
      </c>
      <c r="E129" s="215" t="str">
        <f>VLOOKUP($B129,Week!$A$1:$C$1462,2,0)</f>
        <v>Week4</v>
      </c>
      <c r="F129" s="216" t="str">
        <f t="shared" si="23"/>
        <v>Jan</v>
      </c>
      <c r="G129" s="215" t="s">
        <v>821</v>
      </c>
      <c r="H129" s="215" t="s">
        <v>134</v>
      </c>
      <c r="I129" s="215" t="s">
        <v>2772</v>
      </c>
      <c r="J129" s="209" t="s">
        <v>164</v>
      </c>
      <c r="K129" s="217" t="s">
        <v>176</v>
      </c>
      <c r="L129" s="300" t="s">
        <v>2167</v>
      </c>
      <c r="M129" s="209" t="s">
        <v>193</v>
      </c>
      <c r="N129" s="215" t="s">
        <v>194</v>
      </c>
      <c r="O129" s="215" t="s">
        <v>195</v>
      </c>
      <c r="P129" s="218">
        <v>24</v>
      </c>
      <c r="Q129" s="218">
        <v>5</v>
      </c>
      <c r="R129" s="219">
        <v>8.0000000000000002E-3</v>
      </c>
      <c r="S129" s="215" t="s">
        <v>40</v>
      </c>
      <c r="T129" s="215" t="s">
        <v>56</v>
      </c>
      <c r="U129" s="215" t="s">
        <v>57</v>
      </c>
      <c r="V129" s="220">
        <f>400</f>
        <v>400</v>
      </c>
      <c r="W129" s="220">
        <f>20+380</f>
        <v>400</v>
      </c>
      <c r="X129" s="221"/>
      <c r="Y129" s="222">
        <f t="shared" si="36"/>
        <v>0</v>
      </c>
      <c r="Z129" s="223">
        <f t="shared" si="37"/>
        <v>0</v>
      </c>
      <c r="AA129" s="220"/>
      <c r="AB129" s="807"/>
      <c r="AC129" s="220"/>
      <c r="AD129" s="381"/>
      <c r="AE129" s="220"/>
      <c r="AF129" s="220"/>
      <c r="AG129" s="211">
        <f t="shared" ref="AG129:AG136" si="42">MID(O129,1,3)/1000</f>
        <v>0.14499999999999999</v>
      </c>
      <c r="AH129" s="157">
        <f t="shared" si="39"/>
        <v>0</v>
      </c>
      <c r="AI129" s="152">
        <f t="shared" ref="AI129:AI170" si="43">V129*P129</f>
        <v>9600</v>
      </c>
      <c r="AK129" s="156" t="s">
        <v>691</v>
      </c>
      <c r="AL129" s="212" t="s">
        <v>690</v>
      </c>
      <c r="AM129" s="198">
        <f>AG129*Z129</f>
        <v>0</v>
      </c>
      <c r="AN129" s="199">
        <f t="shared" si="24"/>
        <v>45314</v>
      </c>
      <c r="AO129" s="159" t="s">
        <v>692</v>
      </c>
      <c r="AP129" s="783" t="s">
        <v>610</v>
      </c>
      <c r="AQ129" s="782">
        <v>12071839</v>
      </c>
      <c r="AR129" s="782">
        <v>12047514</v>
      </c>
      <c r="AS129" s="782">
        <v>12047515</v>
      </c>
      <c r="AT129" s="782"/>
      <c r="AU129" s="782">
        <v>12026902</v>
      </c>
      <c r="AV129" s="782">
        <v>12054724</v>
      </c>
      <c r="AW129" s="782">
        <v>12026904</v>
      </c>
      <c r="AX129" s="782"/>
      <c r="AY129" s="782">
        <v>12054436</v>
      </c>
      <c r="AZ129" s="782">
        <v>12054433</v>
      </c>
      <c r="BA129" s="782">
        <v>12054434</v>
      </c>
    </row>
    <row r="130" spans="1:53" ht="25" hidden="1" customHeight="1">
      <c r="B130" s="213">
        <v>45314</v>
      </c>
      <c r="C130" s="214">
        <v>45324</v>
      </c>
      <c r="D130" s="185">
        <f t="shared" si="22"/>
        <v>2024</v>
      </c>
      <c r="E130" s="215" t="str">
        <f>VLOOKUP($B130,Week!$A$1:$C$1462,2,0)</f>
        <v>Week4</v>
      </c>
      <c r="F130" s="216" t="str">
        <f t="shared" si="23"/>
        <v>Jan</v>
      </c>
      <c r="G130" s="215" t="s">
        <v>822</v>
      </c>
      <c r="H130" s="215" t="s">
        <v>134</v>
      </c>
      <c r="I130" s="215" t="s">
        <v>2772</v>
      </c>
      <c r="J130" s="209" t="s">
        <v>164</v>
      </c>
      <c r="K130" s="217" t="s">
        <v>204</v>
      </c>
      <c r="L130" s="300" t="s">
        <v>2167</v>
      </c>
      <c r="M130" s="209" t="s">
        <v>193</v>
      </c>
      <c r="N130" s="215" t="s">
        <v>205</v>
      </c>
      <c r="O130" s="215" t="s">
        <v>206</v>
      </c>
      <c r="P130" s="218">
        <v>24</v>
      </c>
      <c r="Q130" s="218">
        <v>5</v>
      </c>
      <c r="R130" s="219">
        <v>8.0000000000000002E-3</v>
      </c>
      <c r="S130" s="215" t="s">
        <v>40</v>
      </c>
      <c r="T130" s="215" t="s">
        <v>56</v>
      </c>
      <c r="U130" s="480" t="s">
        <v>499</v>
      </c>
      <c r="V130" s="220">
        <f>250</f>
        <v>250</v>
      </c>
      <c r="W130" s="220">
        <f>1+249</f>
        <v>250</v>
      </c>
      <c r="X130" s="221"/>
      <c r="Y130" s="222">
        <f t="shared" si="36"/>
        <v>0</v>
      </c>
      <c r="Z130" s="223">
        <f t="shared" si="37"/>
        <v>0</v>
      </c>
      <c r="AA130" s="220"/>
      <c r="AB130" s="807">
        <v>1</v>
      </c>
      <c r="AC130" s="220">
        <f>Z130*AB130</f>
        <v>0</v>
      </c>
      <c r="AD130" s="381"/>
      <c r="AE130" s="220"/>
      <c r="AF130" s="220"/>
      <c r="AG130" s="211">
        <f t="shared" si="42"/>
        <v>0.115</v>
      </c>
      <c r="AH130" s="157">
        <f t="shared" si="39"/>
        <v>0</v>
      </c>
      <c r="AI130" s="152">
        <f t="shared" si="43"/>
        <v>6000</v>
      </c>
      <c r="AK130" s="156" t="s">
        <v>691</v>
      </c>
      <c r="AL130" s="212" t="s">
        <v>690</v>
      </c>
      <c r="AM130" s="198">
        <f>AG130*Z130</f>
        <v>0</v>
      </c>
      <c r="AN130" s="199">
        <f t="shared" si="24"/>
        <v>45314</v>
      </c>
      <c r="AO130" s="159" t="s">
        <v>692</v>
      </c>
      <c r="AP130" s="783" t="s">
        <v>610</v>
      </c>
      <c r="AQ130" s="782">
        <v>12071839</v>
      </c>
      <c r="AR130" s="782">
        <v>12047514</v>
      </c>
      <c r="AS130" s="782">
        <v>12047515</v>
      </c>
      <c r="AT130" s="782"/>
      <c r="AU130" s="782">
        <v>12026902</v>
      </c>
      <c r="AV130" s="782">
        <v>12054722</v>
      </c>
      <c r="AW130" s="782">
        <v>12026904</v>
      </c>
      <c r="AX130" s="782"/>
      <c r="AY130" s="782">
        <v>12061939</v>
      </c>
      <c r="AZ130" s="782">
        <v>12061940</v>
      </c>
      <c r="BA130" s="782">
        <v>12061938</v>
      </c>
    </row>
    <row r="131" spans="1:53" ht="25" hidden="1" customHeight="1">
      <c r="B131" s="213">
        <v>45314</v>
      </c>
      <c r="C131" s="578">
        <v>45327</v>
      </c>
      <c r="D131" s="185">
        <f t="shared" si="22"/>
        <v>2024</v>
      </c>
      <c r="E131" s="215" t="str">
        <f>VLOOKUP($B131,Week!$A$1:$C$1462,2,0)</f>
        <v>Week4</v>
      </c>
      <c r="F131" s="216" t="str">
        <f t="shared" si="23"/>
        <v>Jan</v>
      </c>
      <c r="G131" s="215" t="s">
        <v>778</v>
      </c>
      <c r="H131" s="215" t="s">
        <v>104</v>
      </c>
      <c r="I131" s="215" t="s">
        <v>2772</v>
      </c>
      <c r="J131" s="209" t="s">
        <v>105</v>
      </c>
      <c r="K131" s="217" t="s">
        <v>107</v>
      </c>
      <c r="L131" s="300" t="s">
        <v>2167</v>
      </c>
      <c r="M131" s="209" t="s">
        <v>108</v>
      </c>
      <c r="N131" s="215" t="s">
        <v>109</v>
      </c>
      <c r="O131" s="215" t="s">
        <v>110</v>
      </c>
      <c r="P131" s="218">
        <v>36</v>
      </c>
      <c r="Q131" s="218">
        <v>5</v>
      </c>
      <c r="R131" s="219">
        <v>7.4999999999999997E-3</v>
      </c>
      <c r="S131" s="215" t="s">
        <v>111</v>
      </c>
      <c r="T131" s="215" t="s">
        <v>112</v>
      </c>
      <c r="U131" s="215" t="s">
        <v>113</v>
      </c>
      <c r="V131" s="220">
        <f>792-162</f>
        <v>630</v>
      </c>
      <c r="W131" s="220">
        <f>792-162</f>
        <v>630</v>
      </c>
      <c r="X131" s="221"/>
      <c r="Y131" s="222">
        <f t="shared" si="36"/>
        <v>0</v>
      </c>
      <c r="Z131" s="223">
        <f t="shared" si="37"/>
        <v>0</v>
      </c>
      <c r="AA131" s="223"/>
      <c r="AB131" s="807"/>
      <c r="AC131" s="220"/>
      <c r="AD131" s="209"/>
      <c r="AE131" s="210"/>
      <c r="AF131" s="210"/>
      <c r="AG131" s="211">
        <f t="shared" si="42"/>
        <v>0.308</v>
      </c>
      <c r="AH131" s="157">
        <f t="shared" si="39"/>
        <v>0</v>
      </c>
      <c r="AI131" s="152">
        <f t="shared" si="43"/>
        <v>22680</v>
      </c>
      <c r="AK131" s="156" t="s">
        <v>691</v>
      </c>
      <c r="AL131" s="574" t="s">
        <v>690</v>
      </c>
      <c r="AM131" s="198">
        <f>AG131*Z131</f>
        <v>0</v>
      </c>
      <c r="AN131" s="199">
        <f t="shared" si="24"/>
        <v>45314</v>
      </c>
      <c r="AO131" s="159" t="s">
        <v>692</v>
      </c>
      <c r="AP131" s="781"/>
      <c r="AQ131" s="782">
        <v>12063755</v>
      </c>
      <c r="AR131" s="782">
        <v>12061353</v>
      </c>
      <c r="AS131" s="782">
        <v>12061354</v>
      </c>
      <c r="AT131" s="782">
        <v>12068566</v>
      </c>
      <c r="AU131" s="781"/>
      <c r="AV131" s="782">
        <v>12068564</v>
      </c>
      <c r="AW131" s="782">
        <v>12062153</v>
      </c>
      <c r="AX131" s="782"/>
      <c r="AY131" s="782">
        <v>12068565</v>
      </c>
      <c r="AZ131" s="782"/>
      <c r="BA131" s="781"/>
    </row>
    <row r="132" spans="1:53" ht="25" hidden="1" customHeight="1">
      <c r="B132" s="213">
        <v>45314</v>
      </c>
      <c r="C132" s="578">
        <v>45327</v>
      </c>
      <c r="D132" s="185">
        <f t="shared" si="22"/>
        <v>2024</v>
      </c>
      <c r="E132" s="215" t="str">
        <f>VLOOKUP($B132,Week!$A$1:$C$1462,2,0)</f>
        <v>Week4</v>
      </c>
      <c r="F132" s="216" t="str">
        <f t="shared" si="23"/>
        <v>Jan</v>
      </c>
      <c r="G132" s="215" t="s">
        <v>782</v>
      </c>
      <c r="H132" s="215" t="s">
        <v>104</v>
      </c>
      <c r="I132" s="215" t="s">
        <v>2772</v>
      </c>
      <c r="J132" s="209" t="s">
        <v>105</v>
      </c>
      <c r="K132" s="217" t="s">
        <v>107</v>
      </c>
      <c r="L132" s="300" t="s">
        <v>2167</v>
      </c>
      <c r="M132" s="209" t="s">
        <v>108</v>
      </c>
      <c r="N132" s="215" t="s">
        <v>109</v>
      </c>
      <c r="O132" s="215" t="s">
        <v>110</v>
      </c>
      <c r="P132" s="218">
        <v>36</v>
      </c>
      <c r="Q132" s="218">
        <v>5</v>
      </c>
      <c r="R132" s="219">
        <v>7.4999999999999997E-3</v>
      </c>
      <c r="S132" s="215" t="s">
        <v>111</v>
      </c>
      <c r="T132" s="215" t="s">
        <v>112</v>
      </c>
      <c r="U132" s="215" t="s">
        <v>113</v>
      </c>
      <c r="V132" s="220">
        <v>792</v>
      </c>
      <c r="W132" s="220">
        <v>792</v>
      </c>
      <c r="X132" s="221"/>
      <c r="Y132" s="222">
        <f t="shared" si="36"/>
        <v>0</v>
      </c>
      <c r="Z132" s="223">
        <f t="shared" si="37"/>
        <v>0</v>
      </c>
      <c r="AA132" s="223"/>
      <c r="AB132" s="807"/>
      <c r="AC132" s="220"/>
      <c r="AD132" s="209"/>
      <c r="AE132" s="210"/>
      <c r="AF132" s="210"/>
      <c r="AG132" s="211">
        <f t="shared" si="42"/>
        <v>0.308</v>
      </c>
      <c r="AH132" s="157">
        <f t="shared" si="39"/>
        <v>0</v>
      </c>
      <c r="AI132" s="152">
        <f t="shared" si="43"/>
        <v>28512</v>
      </c>
      <c r="AK132" s="156" t="s">
        <v>691</v>
      </c>
      <c r="AL132" s="574" t="s">
        <v>690</v>
      </c>
      <c r="AM132" s="198">
        <f t="shared" si="41"/>
        <v>0</v>
      </c>
      <c r="AN132" s="199">
        <f t="shared" si="24"/>
        <v>45314</v>
      </c>
      <c r="AO132" s="159" t="s">
        <v>692</v>
      </c>
      <c r="AP132" s="781"/>
      <c r="AQ132" s="782">
        <v>12063755</v>
      </c>
      <c r="AR132" s="782">
        <v>12061353</v>
      </c>
      <c r="AS132" s="782">
        <v>12061354</v>
      </c>
      <c r="AT132" s="782">
        <v>12068566</v>
      </c>
      <c r="AU132" s="781"/>
      <c r="AV132" s="782">
        <v>12068564</v>
      </c>
      <c r="AW132" s="782">
        <v>12062153</v>
      </c>
      <c r="AX132" s="782"/>
      <c r="AY132" s="782">
        <v>12068565</v>
      </c>
      <c r="AZ132" s="782"/>
      <c r="BA132" s="781"/>
    </row>
    <row r="133" spans="1:53" ht="25" hidden="1" customHeight="1">
      <c r="B133" s="213">
        <v>45314</v>
      </c>
      <c r="C133" s="578">
        <v>45327</v>
      </c>
      <c r="D133" s="185">
        <f t="shared" ref="D133:D196" si="44">IF(B133="","",YEAR(B133))</f>
        <v>2024</v>
      </c>
      <c r="E133" s="215" t="str">
        <f>VLOOKUP($B133,Week!$A$1:$C$1462,2,0)</f>
        <v>Week4</v>
      </c>
      <c r="F133" s="216" t="str">
        <f t="shared" ref="F133:F196" si="45">IF(B133="","",TEXT(B133,"[$-409]mmm"))</f>
        <v>Jan</v>
      </c>
      <c r="G133" s="215" t="s">
        <v>783</v>
      </c>
      <c r="H133" s="215" t="s">
        <v>104</v>
      </c>
      <c r="I133" s="215" t="s">
        <v>2772</v>
      </c>
      <c r="J133" s="209" t="s">
        <v>105</v>
      </c>
      <c r="K133" s="217" t="s">
        <v>107</v>
      </c>
      <c r="L133" s="300" t="s">
        <v>2167</v>
      </c>
      <c r="M133" s="209" t="s">
        <v>108</v>
      </c>
      <c r="N133" s="215" t="s">
        <v>109</v>
      </c>
      <c r="O133" s="215" t="s">
        <v>110</v>
      </c>
      <c r="P133" s="218">
        <v>36</v>
      </c>
      <c r="Q133" s="218">
        <v>5</v>
      </c>
      <c r="R133" s="219">
        <v>7.4999999999999997E-3</v>
      </c>
      <c r="S133" s="215" t="s">
        <v>111</v>
      </c>
      <c r="T133" s="215" t="s">
        <v>112</v>
      </c>
      <c r="U133" s="215" t="s">
        <v>113</v>
      </c>
      <c r="V133" s="220">
        <v>792</v>
      </c>
      <c r="W133" s="220">
        <v>792</v>
      </c>
      <c r="X133" s="221"/>
      <c r="Y133" s="222">
        <f t="shared" si="36"/>
        <v>0</v>
      </c>
      <c r="Z133" s="223">
        <f t="shared" si="37"/>
        <v>0</v>
      </c>
      <c r="AA133" s="223"/>
      <c r="AB133" s="807"/>
      <c r="AC133" s="220"/>
      <c r="AD133" s="209"/>
      <c r="AE133" s="210"/>
      <c r="AF133" s="210"/>
      <c r="AG133" s="211">
        <f t="shared" si="42"/>
        <v>0.308</v>
      </c>
      <c r="AH133" s="157">
        <f t="shared" si="39"/>
        <v>0</v>
      </c>
      <c r="AI133" s="152">
        <f t="shared" si="43"/>
        <v>28512</v>
      </c>
      <c r="AK133" s="156" t="s">
        <v>691</v>
      </c>
      <c r="AL133" s="574" t="s">
        <v>690</v>
      </c>
      <c r="AM133" s="198">
        <f t="shared" si="41"/>
        <v>0</v>
      </c>
      <c r="AN133" s="199">
        <f t="shared" ref="AN133:AN196" si="46">B133</f>
        <v>45314</v>
      </c>
      <c r="AO133" s="159" t="s">
        <v>692</v>
      </c>
      <c r="AP133" s="781"/>
      <c r="AQ133" s="782">
        <v>12063755</v>
      </c>
      <c r="AR133" s="782">
        <v>12061353</v>
      </c>
      <c r="AS133" s="782">
        <v>12061354</v>
      </c>
      <c r="AT133" s="782">
        <v>12068566</v>
      </c>
      <c r="AU133" s="781"/>
      <c r="AV133" s="782">
        <v>12068564</v>
      </c>
      <c r="AW133" s="782">
        <v>12062153</v>
      </c>
      <c r="AX133" s="782"/>
      <c r="AY133" s="782">
        <v>12068565</v>
      </c>
      <c r="AZ133" s="782"/>
      <c r="BA133" s="781"/>
    </row>
    <row r="134" spans="1:53" ht="25" hidden="1" customHeight="1">
      <c r="B134" s="213">
        <v>45314</v>
      </c>
      <c r="C134" s="578">
        <v>45327</v>
      </c>
      <c r="D134" s="185">
        <f t="shared" si="44"/>
        <v>2024</v>
      </c>
      <c r="E134" s="215" t="str">
        <f>VLOOKUP($B134,Week!$A$1:$C$1462,2,0)</f>
        <v>Week4</v>
      </c>
      <c r="F134" s="216" t="str">
        <f t="shared" si="45"/>
        <v>Jan</v>
      </c>
      <c r="G134" s="215" t="s">
        <v>784</v>
      </c>
      <c r="H134" s="215" t="s">
        <v>104</v>
      </c>
      <c r="I134" s="215" t="s">
        <v>2772</v>
      </c>
      <c r="J134" s="209" t="s">
        <v>105</v>
      </c>
      <c r="K134" s="217" t="s">
        <v>107</v>
      </c>
      <c r="L134" s="300" t="s">
        <v>2167</v>
      </c>
      <c r="M134" s="209" t="s">
        <v>108</v>
      </c>
      <c r="N134" s="215" t="s">
        <v>109</v>
      </c>
      <c r="O134" s="215" t="s">
        <v>110</v>
      </c>
      <c r="P134" s="218">
        <v>36</v>
      </c>
      <c r="Q134" s="218">
        <v>5</v>
      </c>
      <c r="R134" s="219">
        <v>7.4999999999999997E-3</v>
      </c>
      <c r="S134" s="215" t="s">
        <v>111</v>
      </c>
      <c r="T134" s="215" t="s">
        <v>112</v>
      </c>
      <c r="U134" s="215" t="s">
        <v>113</v>
      </c>
      <c r="V134" s="220">
        <f>2502-630-792-792</f>
        <v>288</v>
      </c>
      <c r="W134" s="220">
        <f>2502-630-792-792</f>
        <v>288</v>
      </c>
      <c r="X134" s="221"/>
      <c r="Y134" s="222">
        <f t="shared" si="36"/>
        <v>0</v>
      </c>
      <c r="Z134" s="223">
        <f t="shared" si="37"/>
        <v>0</v>
      </c>
      <c r="AA134" s="223"/>
      <c r="AB134" s="807"/>
      <c r="AC134" s="220"/>
      <c r="AD134" s="443" t="s">
        <v>1049</v>
      </c>
      <c r="AE134" s="210"/>
      <c r="AF134" s="210"/>
      <c r="AG134" s="211">
        <f t="shared" si="42"/>
        <v>0.308</v>
      </c>
      <c r="AH134" s="157">
        <f t="shared" si="39"/>
        <v>0</v>
      </c>
      <c r="AI134" s="152">
        <f t="shared" si="43"/>
        <v>10368</v>
      </c>
      <c r="AK134" s="156" t="s">
        <v>691</v>
      </c>
      <c r="AL134" s="574" t="s">
        <v>690</v>
      </c>
      <c r="AM134" s="198">
        <f t="shared" si="41"/>
        <v>0</v>
      </c>
      <c r="AN134" s="199">
        <f t="shared" si="46"/>
        <v>45314</v>
      </c>
      <c r="AO134" s="159" t="s">
        <v>692</v>
      </c>
      <c r="AP134" s="781"/>
      <c r="AQ134" s="782">
        <v>12063755</v>
      </c>
      <c r="AR134" s="782">
        <v>12061353</v>
      </c>
      <c r="AS134" s="782">
        <v>12061354</v>
      </c>
      <c r="AT134" s="782">
        <v>12068566</v>
      </c>
      <c r="AU134" s="781"/>
      <c r="AV134" s="782">
        <v>12068564</v>
      </c>
      <c r="AW134" s="782">
        <v>12062153</v>
      </c>
      <c r="AX134" s="782"/>
      <c r="AY134" s="782">
        <v>12068565</v>
      </c>
      <c r="AZ134" s="782"/>
      <c r="BA134" s="781"/>
    </row>
    <row r="135" spans="1:53" ht="25" hidden="1" customHeight="1">
      <c r="A135" s="142" t="s">
        <v>120</v>
      </c>
      <c r="B135" s="271">
        <v>45314</v>
      </c>
      <c r="C135" s="272">
        <v>45321</v>
      </c>
      <c r="D135" s="185">
        <f t="shared" si="44"/>
        <v>2024</v>
      </c>
      <c r="E135" s="272" t="str">
        <f>VLOOKUP($B135,Week!$A$1:$C$1462,2,0)</f>
        <v>Week4</v>
      </c>
      <c r="F135" s="273" t="str">
        <f t="shared" si="45"/>
        <v>Jan</v>
      </c>
      <c r="G135" s="274" t="s">
        <v>839</v>
      </c>
      <c r="H135" s="274" t="s">
        <v>500</v>
      </c>
      <c r="I135" s="274" t="s">
        <v>2772</v>
      </c>
      <c r="J135" s="275" t="s">
        <v>285</v>
      </c>
      <c r="K135" s="276" t="s">
        <v>153</v>
      </c>
      <c r="L135" s="390" t="s">
        <v>2166</v>
      </c>
      <c r="M135" s="275" t="s">
        <v>86</v>
      </c>
      <c r="N135" s="274" t="s">
        <v>547</v>
      </c>
      <c r="O135" s="274" t="s">
        <v>548</v>
      </c>
      <c r="P135" s="277">
        <v>10</v>
      </c>
      <c r="Q135" s="277">
        <v>50</v>
      </c>
      <c r="R135" s="278">
        <v>6.8100000000000001E-3</v>
      </c>
      <c r="S135" s="274" t="s">
        <v>76</v>
      </c>
      <c r="T135" s="274" t="s">
        <v>56</v>
      </c>
      <c r="U135" s="274" t="s">
        <v>89</v>
      </c>
      <c r="V135" s="279">
        <v>608</v>
      </c>
      <c r="W135" s="279">
        <v>608</v>
      </c>
      <c r="X135" s="280"/>
      <c r="Y135" s="281">
        <f t="shared" si="36"/>
        <v>0</v>
      </c>
      <c r="Z135" s="282">
        <f t="shared" si="37"/>
        <v>0</v>
      </c>
      <c r="AA135" s="282">
        <f>Q135*Z135</f>
        <v>0</v>
      </c>
      <c r="AB135" s="812">
        <v>6</v>
      </c>
      <c r="AC135" s="279">
        <f>Z135*AB135</f>
        <v>0</v>
      </c>
      <c r="AD135" s="209"/>
      <c r="AE135" s="210"/>
      <c r="AF135" s="210"/>
      <c r="AG135" s="211">
        <f t="shared" si="42"/>
        <v>0.63</v>
      </c>
      <c r="AH135" s="157">
        <f t="shared" si="39"/>
        <v>0</v>
      </c>
      <c r="AI135" s="152">
        <f t="shared" si="43"/>
        <v>6080</v>
      </c>
      <c r="AK135" s="156" t="s">
        <v>691</v>
      </c>
      <c r="AL135" s="156" t="s">
        <v>689</v>
      </c>
      <c r="AM135" s="198">
        <f t="shared" ref="AM135:AM161" si="47">AG135*Z135</f>
        <v>0</v>
      </c>
      <c r="AN135" s="199">
        <f t="shared" si="46"/>
        <v>45314</v>
      </c>
      <c r="AO135" s="159" t="s">
        <v>692</v>
      </c>
      <c r="AP135" s="783" t="s">
        <v>620</v>
      </c>
      <c r="AQ135" s="782" t="s">
        <v>549</v>
      </c>
      <c r="AR135" s="782">
        <v>12055234</v>
      </c>
      <c r="AS135" s="781"/>
      <c r="AT135" s="782"/>
      <c r="AU135" s="782"/>
      <c r="AV135" s="782">
        <v>12062809</v>
      </c>
      <c r="AW135" s="782"/>
      <c r="AX135" s="782" t="s">
        <v>619</v>
      </c>
      <c r="AY135" s="781"/>
      <c r="AZ135" s="781"/>
      <c r="BA135" s="781"/>
    </row>
    <row r="136" spans="1:53" ht="24.75" hidden="1" customHeight="1">
      <c r="B136" s="295">
        <v>45315</v>
      </c>
      <c r="C136" s="296">
        <v>45327</v>
      </c>
      <c r="D136" s="185">
        <f t="shared" si="44"/>
        <v>2024</v>
      </c>
      <c r="E136" s="296" t="str">
        <f>VLOOKUP($B136,Week!$A$1:$C$1462,2,0)</f>
        <v>Week4</v>
      </c>
      <c r="F136" s="297" t="str">
        <f t="shared" si="45"/>
        <v>Jan</v>
      </c>
      <c r="G136" s="298" t="s">
        <v>47</v>
      </c>
      <c r="H136" s="298" t="s">
        <v>260</v>
      </c>
      <c r="I136" s="298" t="s">
        <v>2702</v>
      </c>
      <c r="J136" s="307" t="s">
        <v>904</v>
      </c>
      <c r="K136" s="300" t="s">
        <v>176</v>
      </c>
      <c r="L136" s="300" t="s">
        <v>2167</v>
      </c>
      <c r="M136" s="299" t="s">
        <v>262</v>
      </c>
      <c r="N136" s="298" t="s">
        <v>350</v>
      </c>
      <c r="O136" s="298" t="s">
        <v>351</v>
      </c>
      <c r="P136" s="301">
        <v>24</v>
      </c>
      <c r="Q136" s="301">
        <v>5</v>
      </c>
      <c r="R136" s="302">
        <v>6.1999999999999998E-3</v>
      </c>
      <c r="S136" s="298" t="s">
        <v>352</v>
      </c>
      <c r="T136" s="298" t="s">
        <v>56</v>
      </c>
      <c r="U136" s="298" t="s">
        <v>57</v>
      </c>
      <c r="V136" s="303">
        <v>1017</v>
      </c>
      <c r="W136" s="303">
        <v>1017</v>
      </c>
      <c r="X136" s="304"/>
      <c r="Y136" s="305">
        <f t="shared" si="36"/>
        <v>0</v>
      </c>
      <c r="Z136" s="306">
        <f t="shared" si="37"/>
        <v>0</v>
      </c>
      <c r="AA136" s="306"/>
      <c r="AB136" s="814"/>
      <c r="AC136" s="303"/>
      <c r="AD136" s="580" t="s">
        <v>672</v>
      </c>
      <c r="AE136" s="210"/>
      <c r="AF136" s="210"/>
      <c r="AG136" s="211">
        <f t="shared" si="42"/>
        <v>0.13</v>
      </c>
      <c r="AH136" s="157">
        <f t="shared" si="39"/>
        <v>0</v>
      </c>
      <c r="AI136" s="152">
        <f t="shared" si="43"/>
        <v>24408</v>
      </c>
      <c r="AK136" s="156" t="s">
        <v>691</v>
      </c>
      <c r="AL136" s="574" t="s">
        <v>690</v>
      </c>
      <c r="AM136" s="198">
        <f t="shared" si="47"/>
        <v>0</v>
      </c>
      <c r="AN136" s="199">
        <f t="shared" si="46"/>
        <v>45315</v>
      </c>
      <c r="AO136" s="159" t="s">
        <v>692</v>
      </c>
      <c r="AP136" s="783" t="s">
        <v>629</v>
      </c>
      <c r="AQ136" s="782">
        <v>12071839</v>
      </c>
      <c r="AR136" s="782">
        <v>12078867</v>
      </c>
      <c r="AS136" s="782">
        <v>12068233</v>
      </c>
      <c r="AT136" s="781"/>
      <c r="AU136" s="781"/>
      <c r="AV136" s="782">
        <v>12062075</v>
      </c>
      <c r="AW136" s="781"/>
      <c r="AX136" s="781"/>
      <c r="AY136" s="782">
        <v>12078868</v>
      </c>
      <c r="AZ136" s="781"/>
      <c r="BA136" s="781"/>
    </row>
    <row r="137" spans="1:53" ht="25" hidden="1" customHeight="1">
      <c r="B137" s="424">
        <v>45315</v>
      </c>
      <c r="C137" s="425">
        <v>45341</v>
      </c>
      <c r="D137" s="185">
        <f t="shared" si="44"/>
        <v>2024</v>
      </c>
      <c r="E137" s="425" t="str">
        <f>VLOOKUP($B137,Week!$A$1:$C$1462,2,0)</f>
        <v>Week4</v>
      </c>
      <c r="F137" s="426" t="str">
        <f t="shared" si="45"/>
        <v>Jan</v>
      </c>
      <c r="G137" s="427" t="s">
        <v>47</v>
      </c>
      <c r="H137" s="427" t="s">
        <v>518</v>
      </c>
      <c r="I137" s="298" t="s">
        <v>2702</v>
      </c>
      <c r="J137" s="428" t="s">
        <v>70</v>
      </c>
      <c r="K137" s="429" t="s">
        <v>94</v>
      </c>
      <c r="L137" s="300" t="s">
        <v>2167</v>
      </c>
      <c r="M137" s="428" t="s">
        <v>521</v>
      </c>
      <c r="N137" s="427" t="s">
        <v>587</v>
      </c>
      <c r="O137" s="427" t="s">
        <v>3198</v>
      </c>
      <c r="P137" s="430">
        <v>18</v>
      </c>
      <c r="Q137" s="430">
        <v>5</v>
      </c>
      <c r="R137" s="431">
        <v>8.0000000000000002E-3</v>
      </c>
      <c r="S137" s="427" t="s">
        <v>40</v>
      </c>
      <c r="T137" s="427" t="s">
        <v>56</v>
      </c>
      <c r="U137" s="427" t="s">
        <v>89</v>
      </c>
      <c r="V137" s="432">
        <f>850</f>
        <v>850</v>
      </c>
      <c r="W137" s="432">
        <f>50+800</f>
        <v>850</v>
      </c>
      <c r="X137" s="433"/>
      <c r="Y137" s="434">
        <f t="shared" si="36"/>
        <v>0</v>
      </c>
      <c r="Z137" s="435">
        <f t="shared" si="37"/>
        <v>0</v>
      </c>
      <c r="AA137" s="435"/>
      <c r="AB137" s="826">
        <v>1</v>
      </c>
      <c r="AC137" s="432">
        <f>Z137*AB137</f>
        <v>0</v>
      </c>
      <c r="AD137" s="209"/>
      <c r="AE137" s="210"/>
      <c r="AF137" s="210"/>
      <c r="AG137" s="211" t="e">
        <f>(MID(O137,1,3)/1000)/3</f>
        <v>#VALUE!</v>
      </c>
      <c r="AH137" s="157" t="e">
        <f t="shared" si="39"/>
        <v>#VALUE!</v>
      </c>
      <c r="AI137" s="152">
        <f t="shared" si="43"/>
        <v>15300</v>
      </c>
      <c r="AK137" s="156" t="s">
        <v>691</v>
      </c>
      <c r="AL137" s="212" t="s">
        <v>690</v>
      </c>
      <c r="AM137" s="198" t="e">
        <f t="shared" si="47"/>
        <v>#VALUE!</v>
      </c>
      <c r="AN137" s="199">
        <f t="shared" si="46"/>
        <v>45315</v>
      </c>
      <c r="AO137" s="159" t="s">
        <v>692</v>
      </c>
      <c r="AP137" s="783" t="s">
        <v>628</v>
      </c>
      <c r="AQ137" s="782"/>
      <c r="AR137" s="782"/>
      <c r="AS137" s="782"/>
      <c r="AT137" s="782"/>
      <c r="AU137" s="781"/>
      <c r="AV137" s="782">
        <v>12080791</v>
      </c>
      <c r="AW137" s="782" t="s">
        <v>641</v>
      </c>
      <c r="AX137" s="782" t="s">
        <v>533</v>
      </c>
      <c r="AY137" s="782"/>
      <c r="AZ137" s="782"/>
      <c r="BA137" s="781"/>
    </row>
    <row r="138" spans="1:53" ht="25" hidden="1" customHeight="1">
      <c r="A138" s="529" t="s">
        <v>755</v>
      </c>
      <c r="B138" s="357">
        <v>45315</v>
      </c>
      <c r="C138" s="358">
        <v>45323</v>
      </c>
      <c r="D138" s="185">
        <f t="shared" si="44"/>
        <v>2024</v>
      </c>
      <c r="E138" s="358" t="str">
        <f>VLOOKUP($B138,Week!$A$1:$C$1462,2,0)</f>
        <v>Week4</v>
      </c>
      <c r="F138" s="360" t="str">
        <f t="shared" si="45"/>
        <v>Jan</v>
      </c>
      <c r="G138" s="359" t="s">
        <v>47</v>
      </c>
      <c r="H138" s="359" t="s">
        <v>518</v>
      </c>
      <c r="I138" s="298" t="s">
        <v>2702</v>
      </c>
      <c r="J138" s="361" t="s">
        <v>70</v>
      </c>
      <c r="K138" s="362" t="s">
        <v>94</v>
      </c>
      <c r="L138" s="300" t="s">
        <v>2167</v>
      </c>
      <c r="M138" s="361" t="s">
        <v>519</v>
      </c>
      <c r="N138" s="436" t="s">
        <v>648</v>
      </c>
      <c r="O138" s="359" t="s">
        <v>97</v>
      </c>
      <c r="P138" s="363">
        <v>12</v>
      </c>
      <c r="Q138" s="363">
        <v>5</v>
      </c>
      <c r="R138" s="364">
        <v>8.0000000000000002E-3</v>
      </c>
      <c r="S138" s="359" t="s">
        <v>40</v>
      </c>
      <c r="T138" s="359" t="s">
        <v>56</v>
      </c>
      <c r="U138" s="359" t="s">
        <v>57</v>
      </c>
      <c r="V138" s="365">
        <v>12</v>
      </c>
      <c r="W138" s="365">
        <v>12</v>
      </c>
      <c r="X138" s="366"/>
      <c r="Y138" s="367">
        <f t="shared" si="36"/>
        <v>0</v>
      </c>
      <c r="Z138" s="368">
        <f t="shared" si="37"/>
        <v>0</v>
      </c>
      <c r="AA138" s="368"/>
      <c r="AB138" s="819"/>
      <c r="AC138" s="365"/>
      <c r="AD138" s="209"/>
      <c r="AE138" s="210"/>
      <c r="AF138" s="210"/>
      <c r="AG138" s="211">
        <f t="shared" ref="AG138:AG147" si="48">MID(O138,1,3)/1000</f>
        <v>0.14499999999999999</v>
      </c>
      <c r="AH138" s="157">
        <f t="shared" si="39"/>
        <v>0</v>
      </c>
      <c r="AI138" s="152">
        <f t="shared" si="43"/>
        <v>144</v>
      </c>
      <c r="AK138" s="156" t="s">
        <v>691</v>
      </c>
      <c r="AL138" s="574" t="s">
        <v>690</v>
      </c>
      <c r="AM138" s="198">
        <f t="shared" si="47"/>
        <v>0</v>
      </c>
      <c r="AN138" s="199">
        <f t="shared" si="46"/>
        <v>45315</v>
      </c>
      <c r="AO138" s="159" t="s">
        <v>692</v>
      </c>
      <c r="AP138" s="783" t="s">
        <v>628</v>
      </c>
      <c r="AQ138" s="782">
        <v>12071839</v>
      </c>
      <c r="AR138" s="782">
        <v>12047514</v>
      </c>
      <c r="AS138" s="782">
        <v>12047515</v>
      </c>
      <c r="AT138" s="782"/>
      <c r="AU138" s="781"/>
      <c r="AV138" s="782">
        <v>12080617</v>
      </c>
      <c r="AW138" s="782"/>
      <c r="AX138" s="782"/>
      <c r="AY138" s="782">
        <v>12080618</v>
      </c>
      <c r="AZ138" s="782">
        <v>12080619</v>
      </c>
      <c r="BA138" s="781"/>
    </row>
    <row r="139" spans="1:53" ht="25" hidden="1" customHeight="1">
      <c r="B139" s="357">
        <v>45315</v>
      </c>
      <c r="C139" s="358">
        <v>45320</v>
      </c>
      <c r="D139" s="185">
        <f t="shared" si="44"/>
        <v>2024</v>
      </c>
      <c r="E139" s="358" t="str">
        <f>VLOOKUP($B139,Week!$A$1:$C$1462,2,0)</f>
        <v>Week4</v>
      </c>
      <c r="F139" s="360" t="str">
        <f t="shared" si="45"/>
        <v>Jan</v>
      </c>
      <c r="G139" s="359" t="s">
        <v>47</v>
      </c>
      <c r="H139" s="359" t="s">
        <v>518</v>
      </c>
      <c r="I139" s="298" t="s">
        <v>2702</v>
      </c>
      <c r="J139" s="361" t="s">
        <v>70</v>
      </c>
      <c r="K139" s="362" t="s">
        <v>94</v>
      </c>
      <c r="L139" s="300" t="s">
        <v>2167</v>
      </c>
      <c r="M139" s="361" t="s">
        <v>519</v>
      </c>
      <c r="N139" s="359" t="s">
        <v>589</v>
      </c>
      <c r="O139" s="359" t="s">
        <v>97</v>
      </c>
      <c r="P139" s="363">
        <v>12</v>
      </c>
      <c r="Q139" s="363">
        <v>5</v>
      </c>
      <c r="R139" s="364">
        <v>8.0000000000000002E-3</v>
      </c>
      <c r="S139" s="359" t="s">
        <v>40</v>
      </c>
      <c r="T139" s="359" t="s">
        <v>56</v>
      </c>
      <c r="U139" s="359" t="s">
        <v>57</v>
      </c>
      <c r="V139" s="365">
        <f>2793</f>
        <v>2793</v>
      </c>
      <c r="W139" s="365">
        <f>10+2783</f>
        <v>2793</v>
      </c>
      <c r="X139" s="366"/>
      <c r="Y139" s="367">
        <f t="shared" si="36"/>
        <v>0</v>
      </c>
      <c r="Z139" s="368">
        <f t="shared" si="37"/>
        <v>0</v>
      </c>
      <c r="AA139" s="368"/>
      <c r="AB139" s="819"/>
      <c r="AC139" s="365"/>
      <c r="AD139" s="209"/>
      <c r="AE139" s="210"/>
      <c r="AF139" s="210"/>
      <c r="AG139" s="211">
        <f t="shared" si="48"/>
        <v>0.14499999999999999</v>
      </c>
      <c r="AH139" s="157">
        <f t="shared" si="39"/>
        <v>0</v>
      </c>
      <c r="AI139" s="152">
        <f t="shared" si="43"/>
        <v>33516</v>
      </c>
      <c r="AK139" s="156" t="s">
        <v>691</v>
      </c>
      <c r="AL139" s="574" t="s">
        <v>690</v>
      </c>
      <c r="AM139" s="198">
        <f t="shared" si="47"/>
        <v>0</v>
      </c>
      <c r="AN139" s="199">
        <f t="shared" si="46"/>
        <v>45315</v>
      </c>
      <c r="AO139" s="159" t="s">
        <v>692</v>
      </c>
      <c r="AP139" s="783" t="s">
        <v>628</v>
      </c>
      <c r="AQ139" s="782">
        <v>12071839</v>
      </c>
      <c r="AR139" s="782">
        <v>12047514</v>
      </c>
      <c r="AS139" s="782">
        <v>12047515</v>
      </c>
      <c r="AT139" s="782"/>
      <c r="AU139" s="781"/>
      <c r="AV139" s="782">
        <v>12080617</v>
      </c>
      <c r="AW139" s="782"/>
      <c r="AX139" s="782"/>
      <c r="AY139" s="782">
        <v>12080618</v>
      </c>
      <c r="AZ139" s="782">
        <v>12080619</v>
      </c>
      <c r="BA139" s="781"/>
    </row>
    <row r="140" spans="1:53" ht="25" hidden="1" customHeight="1">
      <c r="B140" s="357">
        <v>45315</v>
      </c>
      <c r="C140" s="358">
        <v>45327</v>
      </c>
      <c r="D140" s="185">
        <f t="shared" si="44"/>
        <v>2024</v>
      </c>
      <c r="E140" s="358" t="str">
        <f>VLOOKUP($B140,Week!$A$1:$C$1462,2,0)</f>
        <v>Week4</v>
      </c>
      <c r="F140" s="360" t="str">
        <f t="shared" si="45"/>
        <v>Jan</v>
      </c>
      <c r="G140" s="359" t="s">
        <v>47</v>
      </c>
      <c r="H140" s="359" t="s">
        <v>518</v>
      </c>
      <c r="I140" s="298" t="s">
        <v>2702</v>
      </c>
      <c r="J140" s="361" t="s">
        <v>70</v>
      </c>
      <c r="K140" s="362" t="s">
        <v>94</v>
      </c>
      <c r="L140" s="300" t="s">
        <v>2167</v>
      </c>
      <c r="M140" s="361" t="s">
        <v>519</v>
      </c>
      <c r="N140" s="359" t="s">
        <v>589</v>
      </c>
      <c r="O140" s="359" t="s">
        <v>97</v>
      </c>
      <c r="P140" s="363">
        <v>12</v>
      </c>
      <c r="Q140" s="363">
        <v>5</v>
      </c>
      <c r="R140" s="364">
        <v>8.0000000000000002E-3</v>
      </c>
      <c r="S140" s="359" t="s">
        <v>40</v>
      </c>
      <c r="T140" s="359" t="s">
        <v>56</v>
      </c>
      <c r="U140" s="359" t="s">
        <v>57</v>
      </c>
      <c r="V140" s="365">
        <f>3382</f>
        <v>3382</v>
      </c>
      <c r="W140" s="365">
        <f>6165-2783</f>
        <v>3382</v>
      </c>
      <c r="X140" s="366"/>
      <c r="Y140" s="367">
        <f t="shared" si="36"/>
        <v>0</v>
      </c>
      <c r="Z140" s="368">
        <f t="shared" si="37"/>
        <v>0</v>
      </c>
      <c r="AA140" s="368"/>
      <c r="AB140" s="819"/>
      <c r="AC140" s="365"/>
      <c r="AD140" s="209"/>
      <c r="AE140" s="210"/>
      <c r="AF140" s="210"/>
      <c r="AG140" s="211">
        <f t="shared" si="48"/>
        <v>0.14499999999999999</v>
      </c>
      <c r="AH140" s="157">
        <f t="shared" si="39"/>
        <v>0</v>
      </c>
      <c r="AI140" s="152">
        <f t="shared" si="43"/>
        <v>40584</v>
      </c>
      <c r="AK140" s="156" t="s">
        <v>691</v>
      </c>
      <c r="AL140" s="574" t="s">
        <v>690</v>
      </c>
      <c r="AM140" s="198">
        <f t="shared" si="47"/>
        <v>0</v>
      </c>
      <c r="AN140" s="199">
        <f t="shared" si="46"/>
        <v>45315</v>
      </c>
      <c r="AO140" s="159" t="s">
        <v>692</v>
      </c>
      <c r="AP140" s="783" t="s">
        <v>628</v>
      </c>
      <c r="AQ140" s="782">
        <v>12071839</v>
      </c>
      <c r="AR140" s="782">
        <v>12047514</v>
      </c>
      <c r="AS140" s="782">
        <v>12047515</v>
      </c>
      <c r="AT140" s="782"/>
      <c r="AU140" s="781"/>
      <c r="AV140" s="782">
        <v>12080617</v>
      </c>
      <c r="AW140" s="782"/>
      <c r="AX140" s="782"/>
      <c r="AY140" s="782">
        <v>12080618</v>
      </c>
      <c r="AZ140" s="782">
        <v>12080619</v>
      </c>
      <c r="BA140" s="781"/>
    </row>
    <row r="141" spans="1:53" ht="25" hidden="1" customHeight="1">
      <c r="B141" s="398">
        <v>45315</v>
      </c>
      <c r="C141" s="399">
        <v>45320</v>
      </c>
      <c r="D141" s="185">
        <f t="shared" si="44"/>
        <v>2024</v>
      </c>
      <c r="E141" s="399" t="str">
        <f>VLOOKUP($B141,Week!$A$1:$C$1462,2,0)</f>
        <v>Week4</v>
      </c>
      <c r="F141" s="400" t="str">
        <f t="shared" si="45"/>
        <v>Jan</v>
      </c>
      <c r="G141" s="401" t="s">
        <v>47</v>
      </c>
      <c r="H141" s="401" t="s">
        <v>518</v>
      </c>
      <c r="I141" s="298" t="s">
        <v>2702</v>
      </c>
      <c r="J141" s="402" t="s">
        <v>70</v>
      </c>
      <c r="K141" s="403" t="s">
        <v>98</v>
      </c>
      <c r="L141" s="300" t="s">
        <v>2167</v>
      </c>
      <c r="M141" s="402" t="s">
        <v>553</v>
      </c>
      <c r="N141" s="404" t="s">
        <v>557</v>
      </c>
      <c r="O141" s="401" t="s">
        <v>101</v>
      </c>
      <c r="P141" s="405">
        <v>12</v>
      </c>
      <c r="Q141" s="405">
        <v>5</v>
      </c>
      <c r="R141" s="406">
        <v>8.0000000000000002E-3</v>
      </c>
      <c r="S141" s="401" t="s">
        <v>40</v>
      </c>
      <c r="T141" s="401" t="s">
        <v>56</v>
      </c>
      <c r="U141" s="401" t="s">
        <v>499</v>
      </c>
      <c r="V141" s="407">
        <f>400</f>
        <v>400</v>
      </c>
      <c r="W141" s="407">
        <f>1+399</f>
        <v>400</v>
      </c>
      <c r="X141" s="408"/>
      <c r="Y141" s="409">
        <f t="shared" si="36"/>
        <v>0</v>
      </c>
      <c r="Z141" s="410">
        <f t="shared" si="37"/>
        <v>0</v>
      </c>
      <c r="AA141" s="410"/>
      <c r="AB141" s="824">
        <v>1</v>
      </c>
      <c r="AC141" s="407">
        <f>Z141*AB141</f>
        <v>0</v>
      </c>
      <c r="AD141" s="209"/>
      <c r="AE141" s="210"/>
      <c r="AF141" s="210"/>
      <c r="AG141" s="211">
        <f t="shared" si="48"/>
        <v>0.115</v>
      </c>
      <c r="AH141" s="157">
        <f t="shared" si="39"/>
        <v>0</v>
      </c>
      <c r="AI141" s="152">
        <f t="shared" si="43"/>
        <v>4800</v>
      </c>
      <c r="AK141" s="156" t="s">
        <v>691</v>
      </c>
      <c r="AL141" s="212" t="s">
        <v>690</v>
      </c>
      <c r="AM141" s="198">
        <f t="shared" si="47"/>
        <v>0</v>
      </c>
      <c r="AN141" s="199">
        <f t="shared" si="46"/>
        <v>45315</v>
      </c>
      <c r="AO141" s="159" t="s">
        <v>692</v>
      </c>
      <c r="AP141" s="783" t="s">
        <v>623</v>
      </c>
      <c r="AQ141" s="782">
        <v>12071839</v>
      </c>
      <c r="AR141" s="782">
        <v>12047514</v>
      </c>
      <c r="AS141" s="782">
        <v>12047515</v>
      </c>
      <c r="AT141" s="782"/>
      <c r="AU141" s="781"/>
      <c r="AV141" s="782">
        <v>12072447</v>
      </c>
      <c r="AW141" s="782"/>
      <c r="AX141" s="782"/>
      <c r="AY141" s="782">
        <v>12064574</v>
      </c>
      <c r="AZ141" s="782">
        <v>12064576</v>
      </c>
      <c r="BA141" s="781"/>
    </row>
    <row r="142" spans="1:53" ht="25" hidden="1" customHeight="1">
      <c r="B142" s="398">
        <v>45315</v>
      </c>
      <c r="C142" s="399">
        <v>45327</v>
      </c>
      <c r="D142" s="185">
        <f t="shared" si="44"/>
        <v>2024</v>
      </c>
      <c r="E142" s="399" t="str">
        <f>VLOOKUP($B142,Week!$A$1:$C$1462,2,0)</f>
        <v>Week4</v>
      </c>
      <c r="F142" s="400" t="str">
        <f t="shared" si="45"/>
        <v>Jan</v>
      </c>
      <c r="G142" s="401" t="s">
        <v>47</v>
      </c>
      <c r="H142" s="401" t="s">
        <v>518</v>
      </c>
      <c r="I142" s="298" t="s">
        <v>2702</v>
      </c>
      <c r="J142" s="402" t="s">
        <v>70</v>
      </c>
      <c r="K142" s="403" t="s">
        <v>98</v>
      </c>
      <c r="L142" s="300" t="s">
        <v>2167</v>
      </c>
      <c r="M142" s="402" t="s">
        <v>553</v>
      </c>
      <c r="N142" s="404" t="s">
        <v>557</v>
      </c>
      <c r="O142" s="401" t="s">
        <v>101</v>
      </c>
      <c r="P142" s="405">
        <v>12</v>
      </c>
      <c r="Q142" s="405">
        <v>5</v>
      </c>
      <c r="R142" s="406">
        <v>8.0000000000000002E-3</v>
      </c>
      <c r="S142" s="401" t="s">
        <v>40</v>
      </c>
      <c r="T142" s="401" t="s">
        <v>56</v>
      </c>
      <c r="U142" s="401" t="s">
        <v>499</v>
      </c>
      <c r="V142" s="407">
        <v>823</v>
      </c>
      <c r="W142" s="407">
        <f>1222-399</f>
        <v>823</v>
      </c>
      <c r="X142" s="408"/>
      <c r="Y142" s="409">
        <f t="shared" si="36"/>
        <v>0</v>
      </c>
      <c r="Z142" s="410">
        <f t="shared" si="37"/>
        <v>0</v>
      </c>
      <c r="AA142" s="410"/>
      <c r="AB142" s="824">
        <v>1</v>
      </c>
      <c r="AC142" s="407">
        <f>Z142*AB142</f>
        <v>0</v>
      </c>
      <c r="AD142" s="209"/>
      <c r="AE142" s="210"/>
      <c r="AF142" s="210"/>
      <c r="AG142" s="211">
        <f t="shared" si="48"/>
        <v>0.115</v>
      </c>
      <c r="AH142" s="157">
        <f t="shared" si="39"/>
        <v>0</v>
      </c>
      <c r="AI142" s="152">
        <f t="shared" si="43"/>
        <v>9876</v>
      </c>
      <c r="AK142" s="156" t="s">
        <v>691</v>
      </c>
      <c r="AL142" s="212" t="s">
        <v>690</v>
      </c>
      <c r="AM142" s="198">
        <f t="shared" si="47"/>
        <v>0</v>
      </c>
      <c r="AN142" s="199">
        <f t="shared" si="46"/>
        <v>45315</v>
      </c>
      <c r="AO142" s="159" t="s">
        <v>692</v>
      </c>
      <c r="AP142" s="783" t="s">
        <v>623</v>
      </c>
      <c r="AQ142" s="782">
        <v>12071839</v>
      </c>
      <c r="AR142" s="782">
        <v>12047514</v>
      </c>
      <c r="AS142" s="782">
        <v>12047515</v>
      </c>
      <c r="AT142" s="782"/>
      <c r="AU142" s="781"/>
      <c r="AV142" s="782">
        <v>12072447</v>
      </c>
      <c r="AW142" s="782"/>
      <c r="AX142" s="782"/>
      <c r="AY142" s="782">
        <v>12064574</v>
      </c>
      <c r="AZ142" s="782">
        <v>12064576</v>
      </c>
      <c r="BA142" s="781"/>
    </row>
    <row r="143" spans="1:53" ht="25" hidden="1" customHeight="1">
      <c r="B143" s="320">
        <v>45315</v>
      </c>
      <c r="C143" s="321">
        <v>45320</v>
      </c>
      <c r="D143" s="185">
        <f t="shared" si="44"/>
        <v>2024</v>
      </c>
      <c r="E143" s="321" t="str">
        <f>VLOOKUP($B143,Week!$A$1:$C$1462,2,0)</f>
        <v>Week4</v>
      </c>
      <c r="F143" s="322" t="str">
        <f t="shared" si="45"/>
        <v>Jan</v>
      </c>
      <c r="G143" s="323" t="s">
        <v>47</v>
      </c>
      <c r="H143" s="323" t="s">
        <v>518</v>
      </c>
      <c r="I143" s="298" t="s">
        <v>2702</v>
      </c>
      <c r="J143" s="324" t="s">
        <v>70</v>
      </c>
      <c r="K143" s="325" t="s">
        <v>564</v>
      </c>
      <c r="L143" s="300" t="s">
        <v>2167</v>
      </c>
      <c r="M143" s="324" t="s">
        <v>558</v>
      </c>
      <c r="N143" s="323" t="s">
        <v>559</v>
      </c>
      <c r="O143" s="323" t="s">
        <v>560</v>
      </c>
      <c r="P143" s="326">
        <v>12</v>
      </c>
      <c r="Q143" s="326">
        <v>3</v>
      </c>
      <c r="R143" s="327">
        <v>8.0000000000000002E-3</v>
      </c>
      <c r="S143" s="323" t="s">
        <v>40</v>
      </c>
      <c r="T143" s="323" t="s">
        <v>56</v>
      </c>
      <c r="U143" s="323" t="s">
        <v>57</v>
      </c>
      <c r="V143" s="397">
        <f>500</f>
        <v>500</v>
      </c>
      <c r="W143" s="328">
        <f>1+499</f>
        <v>500</v>
      </c>
      <c r="X143" s="329"/>
      <c r="Y143" s="330">
        <f t="shared" si="36"/>
        <v>0</v>
      </c>
      <c r="Z143" s="331">
        <f t="shared" si="37"/>
        <v>0</v>
      </c>
      <c r="AA143" s="331"/>
      <c r="AB143" s="816"/>
      <c r="AC143" s="328"/>
      <c r="AD143" s="209"/>
      <c r="AE143" s="210"/>
      <c r="AF143" s="210"/>
      <c r="AG143" s="211">
        <f t="shared" si="48"/>
        <v>0.22600000000000001</v>
      </c>
      <c r="AH143" s="157">
        <f t="shared" si="39"/>
        <v>0</v>
      </c>
      <c r="AI143" s="152">
        <f t="shared" si="43"/>
        <v>6000</v>
      </c>
      <c r="AK143" s="156" t="s">
        <v>691</v>
      </c>
      <c r="AL143" s="212" t="s">
        <v>690</v>
      </c>
      <c r="AM143" s="198">
        <f t="shared" si="47"/>
        <v>0</v>
      </c>
      <c r="AN143" s="199">
        <f t="shared" si="46"/>
        <v>45315</v>
      </c>
      <c r="AO143" s="159" t="s">
        <v>692</v>
      </c>
      <c r="AP143" s="783" t="s">
        <v>623</v>
      </c>
      <c r="AQ143" s="782"/>
      <c r="AR143" s="782">
        <v>12042650</v>
      </c>
      <c r="AS143" s="782">
        <v>12042649</v>
      </c>
      <c r="AT143" s="782"/>
      <c r="AU143" s="781"/>
      <c r="AV143" s="782">
        <v>12083156</v>
      </c>
      <c r="AW143" s="782"/>
      <c r="AX143" s="782"/>
      <c r="AY143" s="782">
        <v>12083147</v>
      </c>
      <c r="AZ143" s="782">
        <v>12083148</v>
      </c>
      <c r="BA143" s="781"/>
    </row>
    <row r="144" spans="1:53" ht="25" hidden="1" customHeight="1">
      <c r="B144" s="320">
        <v>45315</v>
      </c>
      <c r="C144" s="321">
        <v>45341</v>
      </c>
      <c r="D144" s="185">
        <f t="shared" si="44"/>
        <v>2024</v>
      </c>
      <c r="E144" s="321" t="str">
        <f>VLOOKUP($B144,Week!$A$1:$C$1462,2,0)</f>
        <v>Week4</v>
      </c>
      <c r="F144" s="322" t="str">
        <f t="shared" si="45"/>
        <v>Jan</v>
      </c>
      <c r="G144" s="323" t="s">
        <v>47</v>
      </c>
      <c r="H144" s="323" t="s">
        <v>518</v>
      </c>
      <c r="I144" s="298" t="s">
        <v>2702</v>
      </c>
      <c r="J144" s="324" t="s">
        <v>70</v>
      </c>
      <c r="K144" s="325" t="s">
        <v>564</v>
      </c>
      <c r="L144" s="300" t="s">
        <v>2167</v>
      </c>
      <c r="M144" s="324" t="s">
        <v>558</v>
      </c>
      <c r="N144" s="323" t="s">
        <v>559</v>
      </c>
      <c r="O144" s="323" t="s">
        <v>560</v>
      </c>
      <c r="P144" s="326">
        <v>12</v>
      </c>
      <c r="Q144" s="326">
        <v>3</v>
      </c>
      <c r="R144" s="327">
        <v>8.0000000000000002E-3</v>
      </c>
      <c r="S144" s="323" t="s">
        <v>40</v>
      </c>
      <c r="T144" s="323" t="s">
        <v>56</v>
      </c>
      <c r="U144" s="323" t="s">
        <v>57</v>
      </c>
      <c r="V144" s="397">
        <v>541</v>
      </c>
      <c r="W144" s="328">
        <f>1040-499</f>
        <v>541</v>
      </c>
      <c r="X144" s="329"/>
      <c r="Y144" s="330">
        <f t="shared" si="36"/>
        <v>0</v>
      </c>
      <c r="Z144" s="331">
        <f t="shared" si="37"/>
        <v>0</v>
      </c>
      <c r="AA144" s="331"/>
      <c r="AB144" s="816"/>
      <c r="AC144" s="328"/>
      <c r="AD144" s="209"/>
      <c r="AE144" s="210"/>
      <c r="AF144" s="210"/>
      <c r="AG144" s="211">
        <f t="shared" si="48"/>
        <v>0.22600000000000001</v>
      </c>
      <c r="AH144" s="157">
        <f t="shared" si="39"/>
        <v>0</v>
      </c>
      <c r="AI144" s="152">
        <f t="shared" si="43"/>
        <v>6492</v>
      </c>
      <c r="AK144" s="156" t="s">
        <v>691</v>
      </c>
      <c r="AL144" s="212" t="s">
        <v>690</v>
      </c>
      <c r="AM144" s="198">
        <f t="shared" si="47"/>
        <v>0</v>
      </c>
      <c r="AN144" s="199">
        <f t="shared" si="46"/>
        <v>45315</v>
      </c>
      <c r="AO144" s="159" t="s">
        <v>692</v>
      </c>
      <c r="AP144" s="783" t="s">
        <v>623</v>
      </c>
      <c r="AQ144" s="782"/>
      <c r="AR144" s="782">
        <v>12042650</v>
      </c>
      <c r="AS144" s="782">
        <v>12042649</v>
      </c>
      <c r="AT144" s="782"/>
      <c r="AU144" s="781"/>
      <c r="AV144" s="782">
        <v>12083156</v>
      </c>
      <c r="AW144" s="782"/>
      <c r="AX144" s="782"/>
      <c r="AY144" s="782">
        <v>12083147</v>
      </c>
      <c r="AZ144" s="782">
        <v>12083148</v>
      </c>
      <c r="BA144" s="781"/>
    </row>
    <row r="145" spans="1:53" ht="25" hidden="1" customHeight="1">
      <c r="A145" s="142" t="s">
        <v>120</v>
      </c>
      <c r="B145" s="308">
        <v>45315</v>
      </c>
      <c r="C145" s="309">
        <v>45322</v>
      </c>
      <c r="D145" s="185">
        <f t="shared" si="44"/>
        <v>2024</v>
      </c>
      <c r="E145" s="309" t="str">
        <f>VLOOKUP($B145,Week!$A$1:$C$1462,2,0)</f>
        <v>Week4</v>
      </c>
      <c r="F145" s="310" t="str">
        <f t="shared" si="45"/>
        <v>Jan</v>
      </c>
      <c r="G145" s="579" t="s">
        <v>834</v>
      </c>
      <c r="H145" s="311" t="s">
        <v>104</v>
      </c>
      <c r="I145" s="311" t="s">
        <v>2772</v>
      </c>
      <c r="J145" s="312" t="s">
        <v>105</v>
      </c>
      <c r="K145" s="313" t="s">
        <v>85</v>
      </c>
      <c r="L145" s="390" t="s">
        <v>2166</v>
      </c>
      <c r="M145" s="312" t="s">
        <v>86</v>
      </c>
      <c r="N145" s="311" t="s">
        <v>421</v>
      </c>
      <c r="O145" s="311" t="s">
        <v>506</v>
      </c>
      <c r="P145" s="314">
        <v>10</v>
      </c>
      <c r="Q145" s="314">
        <v>50</v>
      </c>
      <c r="R145" s="315">
        <v>6.8100000000000001E-3</v>
      </c>
      <c r="S145" s="311" t="s">
        <v>76</v>
      </c>
      <c r="T145" s="311" t="s">
        <v>112</v>
      </c>
      <c r="U145" s="311" t="s">
        <v>89</v>
      </c>
      <c r="V145" s="316">
        <v>100</v>
      </c>
      <c r="W145" s="316">
        <f>6+94</f>
        <v>100</v>
      </c>
      <c r="X145" s="317"/>
      <c r="Y145" s="318">
        <f t="shared" si="36"/>
        <v>0</v>
      </c>
      <c r="Z145" s="319">
        <f t="shared" si="37"/>
        <v>0</v>
      </c>
      <c r="AA145" s="319">
        <f>Q145*Z145</f>
        <v>0</v>
      </c>
      <c r="AB145" s="815">
        <v>6</v>
      </c>
      <c r="AC145" s="316">
        <f>Z145*AB145</f>
        <v>0</v>
      </c>
      <c r="AD145" s="381"/>
      <c r="AE145" s="210"/>
      <c r="AF145" s="210"/>
      <c r="AG145" s="211">
        <f t="shared" si="48"/>
        <v>0.57999999999999996</v>
      </c>
      <c r="AH145" s="157">
        <f t="shared" si="39"/>
        <v>0</v>
      </c>
      <c r="AI145" s="152">
        <f t="shared" si="43"/>
        <v>1000</v>
      </c>
      <c r="AJ145" s="156">
        <f>AI145*Q145</f>
        <v>50000</v>
      </c>
      <c r="AK145" s="156" t="s">
        <v>691</v>
      </c>
      <c r="AL145" s="156" t="s">
        <v>689</v>
      </c>
      <c r="AM145" s="198">
        <f t="shared" si="47"/>
        <v>0</v>
      </c>
      <c r="AN145" s="199">
        <f t="shared" si="46"/>
        <v>45315</v>
      </c>
      <c r="AO145" s="159" t="s">
        <v>692</v>
      </c>
      <c r="AP145" s="781" t="s">
        <v>423</v>
      </c>
      <c r="AQ145" s="781" t="s">
        <v>422</v>
      </c>
      <c r="AR145" s="782">
        <v>12055234</v>
      </c>
      <c r="AS145" s="781"/>
      <c r="AT145" s="782">
        <v>12069432</v>
      </c>
      <c r="AU145" s="781"/>
      <c r="AV145" s="782">
        <v>12069433</v>
      </c>
      <c r="AW145" s="781"/>
      <c r="AX145" s="781" t="s">
        <v>93</v>
      </c>
      <c r="AY145" s="781"/>
      <c r="AZ145" s="782"/>
      <c r="BA145" s="781"/>
    </row>
    <row r="146" spans="1:53" ht="25" hidden="1" customHeight="1">
      <c r="A146" s="142" t="s">
        <v>120</v>
      </c>
      <c r="B146" s="308">
        <v>45315</v>
      </c>
      <c r="C146" s="309">
        <v>45338</v>
      </c>
      <c r="D146" s="185">
        <f t="shared" si="44"/>
        <v>2024</v>
      </c>
      <c r="E146" s="309" t="str">
        <f>VLOOKUP($B146,Week!$A$1:$C$1462,2,0)</f>
        <v>Week4</v>
      </c>
      <c r="F146" s="310" t="str">
        <f t="shared" si="45"/>
        <v>Jan</v>
      </c>
      <c r="G146" s="579" t="s">
        <v>835</v>
      </c>
      <c r="H146" s="311" t="s">
        <v>104</v>
      </c>
      <c r="I146" s="311" t="s">
        <v>2772</v>
      </c>
      <c r="J146" s="312" t="s">
        <v>105</v>
      </c>
      <c r="K146" s="313" t="s">
        <v>85</v>
      </c>
      <c r="L146" s="390" t="s">
        <v>2166</v>
      </c>
      <c r="M146" s="312" t="s">
        <v>86</v>
      </c>
      <c r="N146" s="311" t="s">
        <v>421</v>
      </c>
      <c r="O146" s="311" t="s">
        <v>506</v>
      </c>
      <c r="P146" s="314">
        <v>10</v>
      </c>
      <c r="Q146" s="314">
        <v>50</v>
      </c>
      <c r="R146" s="315">
        <v>6.8100000000000001E-3</v>
      </c>
      <c r="S146" s="311" t="s">
        <v>76</v>
      </c>
      <c r="T146" s="311" t="s">
        <v>112</v>
      </c>
      <c r="U146" s="311" t="s">
        <v>89</v>
      </c>
      <c r="V146" s="316">
        <v>100</v>
      </c>
      <c r="W146" s="316">
        <f>100</f>
        <v>100</v>
      </c>
      <c r="X146" s="317"/>
      <c r="Y146" s="318">
        <f t="shared" si="36"/>
        <v>0</v>
      </c>
      <c r="Z146" s="319">
        <f t="shared" si="37"/>
        <v>0</v>
      </c>
      <c r="AA146" s="319">
        <f>Q146*Z146</f>
        <v>0</v>
      </c>
      <c r="AB146" s="815">
        <v>6</v>
      </c>
      <c r="AC146" s="316">
        <f>Z146*AB146</f>
        <v>0</v>
      </c>
      <c r="AD146" s="381"/>
      <c r="AE146" s="210"/>
      <c r="AF146" s="210"/>
      <c r="AG146" s="211">
        <f t="shared" si="48"/>
        <v>0.57999999999999996</v>
      </c>
      <c r="AH146" s="157">
        <f t="shared" si="39"/>
        <v>0</v>
      </c>
      <c r="AI146" s="152">
        <f t="shared" si="43"/>
        <v>1000</v>
      </c>
      <c r="AJ146" s="156">
        <f>AI146*Q146</f>
        <v>50000</v>
      </c>
      <c r="AK146" s="156" t="s">
        <v>691</v>
      </c>
      <c r="AL146" s="156" t="s">
        <v>689</v>
      </c>
      <c r="AM146" s="198">
        <f t="shared" si="47"/>
        <v>0</v>
      </c>
      <c r="AN146" s="199">
        <f t="shared" si="46"/>
        <v>45315</v>
      </c>
      <c r="AO146" s="159" t="s">
        <v>692</v>
      </c>
      <c r="AP146" s="781" t="s">
        <v>423</v>
      </c>
      <c r="AQ146" s="781" t="s">
        <v>422</v>
      </c>
      <c r="AR146" s="782">
        <v>12055234</v>
      </c>
      <c r="AS146" s="781"/>
      <c r="AT146" s="782">
        <v>12069432</v>
      </c>
      <c r="AU146" s="781"/>
      <c r="AV146" s="782">
        <v>12069433</v>
      </c>
      <c r="AW146" s="781"/>
      <c r="AX146" s="781" t="s">
        <v>93</v>
      </c>
      <c r="AY146" s="781"/>
      <c r="AZ146" s="782"/>
      <c r="BA146" s="781"/>
    </row>
    <row r="147" spans="1:53" ht="25" hidden="1" customHeight="1">
      <c r="A147" s="142" t="s">
        <v>120</v>
      </c>
      <c r="B147" s="271">
        <v>45315</v>
      </c>
      <c r="C147" s="272">
        <v>45321</v>
      </c>
      <c r="D147" s="185">
        <f t="shared" si="44"/>
        <v>2024</v>
      </c>
      <c r="E147" s="272" t="str">
        <f>VLOOKUP($B147,Week!$A$1:$C$1462,2,0)</f>
        <v>Week4</v>
      </c>
      <c r="F147" s="273" t="str">
        <f t="shared" si="45"/>
        <v>Jan</v>
      </c>
      <c r="G147" s="274" t="s">
        <v>839</v>
      </c>
      <c r="H147" s="274" t="s">
        <v>500</v>
      </c>
      <c r="I147" s="274" t="s">
        <v>2772</v>
      </c>
      <c r="J147" s="275" t="s">
        <v>285</v>
      </c>
      <c r="K147" s="276" t="s">
        <v>153</v>
      </c>
      <c r="L147" s="390" t="s">
        <v>2166</v>
      </c>
      <c r="M147" s="275" t="s">
        <v>86</v>
      </c>
      <c r="N147" s="274" t="s">
        <v>547</v>
      </c>
      <c r="O147" s="274" t="s">
        <v>548</v>
      </c>
      <c r="P147" s="277">
        <v>10</v>
      </c>
      <c r="Q147" s="277">
        <v>50</v>
      </c>
      <c r="R147" s="278">
        <v>6.8100000000000001E-3</v>
      </c>
      <c r="S147" s="274" t="s">
        <v>76</v>
      </c>
      <c r="T147" s="274" t="s">
        <v>56</v>
      </c>
      <c r="U147" s="274" t="s">
        <v>89</v>
      </c>
      <c r="V147" s="279">
        <f>2056-586-637-608</f>
        <v>225</v>
      </c>
      <c r="W147" s="279">
        <v>225</v>
      </c>
      <c r="X147" s="280"/>
      <c r="Y147" s="281">
        <f t="shared" si="36"/>
        <v>0</v>
      </c>
      <c r="Z147" s="282">
        <f t="shared" si="37"/>
        <v>0</v>
      </c>
      <c r="AA147" s="282">
        <f>Q147*Z147</f>
        <v>0</v>
      </c>
      <c r="AB147" s="812">
        <v>6</v>
      </c>
      <c r="AC147" s="279">
        <f>Z147*AB147</f>
        <v>0</v>
      </c>
      <c r="AD147" s="209"/>
      <c r="AE147" s="210"/>
      <c r="AF147" s="210"/>
      <c r="AG147" s="211">
        <f t="shared" si="48"/>
        <v>0.63</v>
      </c>
      <c r="AH147" s="157">
        <f>(Z147*AG147)/1000</f>
        <v>0</v>
      </c>
      <c r="AI147" s="152">
        <f t="shared" si="43"/>
        <v>2250</v>
      </c>
      <c r="AK147" s="156" t="s">
        <v>691</v>
      </c>
      <c r="AL147" s="156" t="s">
        <v>689</v>
      </c>
      <c r="AM147" s="198">
        <f>AG147*Z147</f>
        <v>0</v>
      </c>
      <c r="AN147" s="199">
        <f t="shared" si="46"/>
        <v>45315</v>
      </c>
      <c r="AO147" s="159" t="s">
        <v>692</v>
      </c>
      <c r="AP147" s="783" t="s">
        <v>620</v>
      </c>
      <c r="AQ147" s="782" t="s">
        <v>549</v>
      </c>
      <c r="AR147" s="782">
        <v>12055234</v>
      </c>
      <c r="AS147" s="781"/>
      <c r="AT147" s="782"/>
      <c r="AU147" s="782"/>
      <c r="AV147" s="782">
        <v>12062809</v>
      </c>
      <c r="AW147" s="782"/>
      <c r="AX147" s="782" t="s">
        <v>619</v>
      </c>
      <c r="AY147" s="781"/>
      <c r="AZ147" s="781"/>
      <c r="BA147" s="781"/>
    </row>
    <row r="148" spans="1:53" ht="25" hidden="1" customHeight="1">
      <c r="A148" s="142" t="s">
        <v>120</v>
      </c>
      <c r="B148" s="559">
        <v>45315</v>
      </c>
      <c r="C148" s="560">
        <v>45324</v>
      </c>
      <c r="D148" s="185">
        <f t="shared" si="44"/>
        <v>2024</v>
      </c>
      <c r="E148" s="561" t="str">
        <f>VLOOKUP($B148,Week!$A$1:$C$1462,2,0)</f>
        <v>Week4</v>
      </c>
      <c r="F148" s="562" t="str">
        <f t="shared" si="45"/>
        <v>Jan</v>
      </c>
      <c r="G148" s="561" t="s">
        <v>819</v>
      </c>
      <c r="H148" s="561" t="s">
        <v>134</v>
      </c>
      <c r="I148" s="561" t="s">
        <v>2772</v>
      </c>
      <c r="J148" s="563" t="s">
        <v>164</v>
      </c>
      <c r="K148" s="564" t="s">
        <v>355</v>
      </c>
      <c r="L148" s="390" t="s">
        <v>2166</v>
      </c>
      <c r="M148" s="563" t="s">
        <v>356</v>
      </c>
      <c r="N148" s="561" t="s">
        <v>652</v>
      </c>
      <c r="O148" s="561" t="s">
        <v>508</v>
      </c>
      <c r="P148" s="565">
        <v>18</v>
      </c>
      <c r="Q148" s="565">
        <v>8</v>
      </c>
      <c r="R148" s="566">
        <v>5.0000000000000001E-3</v>
      </c>
      <c r="S148" s="561" t="s">
        <v>55</v>
      </c>
      <c r="T148" s="561" t="s">
        <v>56</v>
      </c>
      <c r="U148" s="561" t="s">
        <v>89</v>
      </c>
      <c r="V148" s="567">
        <f>600</f>
        <v>600</v>
      </c>
      <c r="W148" s="567">
        <f>72+528</f>
        <v>600</v>
      </c>
      <c r="X148" s="568">
        <f>(900)/18</f>
        <v>50</v>
      </c>
      <c r="Y148" s="569">
        <f t="shared" si="36"/>
        <v>50</v>
      </c>
      <c r="Z148" s="570">
        <f t="shared" si="37"/>
        <v>0</v>
      </c>
      <c r="AA148" s="570">
        <f>Q148*Z148</f>
        <v>0</v>
      </c>
      <c r="AB148" s="834">
        <v>2</v>
      </c>
      <c r="AC148" s="567">
        <f>Z148*AB148</f>
        <v>0</v>
      </c>
      <c r="AD148" s="209"/>
      <c r="AE148" s="210"/>
      <c r="AF148" s="210"/>
      <c r="AG148" s="211">
        <f>MID(O148,1,2)/1000</f>
        <v>0.09</v>
      </c>
      <c r="AH148" s="157">
        <f>(Z148*AG148)/1000</f>
        <v>0</v>
      </c>
      <c r="AI148" s="152">
        <f t="shared" si="43"/>
        <v>10800</v>
      </c>
      <c r="AK148" s="156" t="s">
        <v>691</v>
      </c>
      <c r="AL148" s="156" t="s">
        <v>689</v>
      </c>
      <c r="AM148" s="198">
        <f>AG148*Z148</f>
        <v>0</v>
      </c>
      <c r="AN148" s="199">
        <f t="shared" si="46"/>
        <v>45315</v>
      </c>
      <c r="AO148" s="159" t="s">
        <v>692</v>
      </c>
      <c r="AP148" s="783"/>
      <c r="AQ148" s="782"/>
      <c r="AR148" s="782"/>
      <c r="AS148" s="782"/>
      <c r="AT148" s="782"/>
      <c r="AU148" s="782"/>
      <c r="AV148" s="782"/>
      <c r="AW148" s="782"/>
      <c r="AX148" s="782"/>
      <c r="AY148" s="782"/>
      <c r="AZ148" s="782"/>
      <c r="BA148" s="781"/>
    </row>
    <row r="149" spans="1:53" ht="24.65" hidden="1" customHeight="1">
      <c r="B149" s="411">
        <v>45316</v>
      </c>
      <c r="C149" s="412">
        <v>45321</v>
      </c>
      <c r="D149" s="185">
        <f t="shared" si="44"/>
        <v>2024</v>
      </c>
      <c r="E149" s="412" t="str">
        <f>VLOOKUP($B149,Week!$A$1:$C$1462,2,0)</f>
        <v>Week4</v>
      </c>
      <c r="F149" s="413" t="str">
        <f t="shared" si="45"/>
        <v>Jan</v>
      </c>
      <c r="G149" s="414" t="s">
        <v>47</v>
      </c>
      <c r="H149" s="414" t="s">
        <v>260</v>
      </c>
      <c r="I149" s="298" t="s">
        <v>2702</v>
      </c>
      <c r="J149" s="415" t="s">
        <v>261</v>
      </c>
      <c r="K149" s="416" t="s">
        <v>94</v>
      </c>
      <c r="L149" s="300" t="s">
        <v>2167</v>
      </c>
      <c r="M149" s="415" t="s">
        <v>1303</v>
      </c>
      <c r="N149" s="414" t="s">
        <v>263</v>
      </c>
      <c r="O149" s="414" t="s">
        <v>195</v>
      </c>
      <c r="P149" s="417">
        <v>24</v>
      </c>
      <c r="Q149" s="417">
        <v>5</v>
      </c>
      <c r="R149" s="418">
        <v>8.0000000000000002E-3</v>
      </c>
      <c r="S149" s="414" t="s">
        <v>40</v>
      </c>
      <c r="T149" s="414" t="s">
        <v>56</v>
      </c>
      <c r="U149" s="414" t="s">
        <v>57</v>
      </c>
      <c r="V149" s="419">
        <f>540</f>
        <v>540</v>
      </c>
      <c r="W149" s="419">
        <f>540</f>
        <v>540</v>
      </c>
      <c r="X149" s="420"/>
      <c r="Y149" s="421">
        <f t="shared" si="36"/>
        <v>0</v>
      </c>
      <c r="Z149" s="422">
        <f t="shared" si="37"/>
        <v>0</v>
      </c>
      <c r="AA149" s="422"/>
      <c r="AB149" s="825"/>
      <c r="AC149" s="419"/>
      <c r="AD149" s="209"/>
      <c r="AE149" s="210"/>
      <c r="AF149" s="210"/>
      <c r="AG149" s="211">
        <f>MID(O149,1,3)/1000</f>
        <v>0.14499999999999999</v>
      </c>
      <c r="AH149" s="157">
        <f t="shared" si="39"/>
        <v>0</v>
      </c>
      <c r="AI149" s="152">
        <f t="shared" si="43"/>
        <v>12960</v>
      </c>
      <c r="AK149" s="156" t="s">
        <v>691</v>
      </c>
      <c r="AL149" s="212" t="s">
        <v>690</v>
      </c>
      <c r="AM149" s="198">
        <f t="shared" si="47"/>
        <v>0</v>
      </c>
      <c r="AN149" s="199">
        <f t="shared" si="46"/>
        <v>45316</v>
      </c>
      <c r="AO149" s="159" t="s">
        <v>692</v>
      </c>
      <c r="AP149" s="783" t="s">
        <v>609</v>
      </c>
      <c r="AQ149" s="782">
        <v>12071839</v>
      </c>
      <c r="AR149" s="782">
        <v>12047514</v>
      </c>
      <c r="AS149" s="782">
        <v>12047515</v>
      </c>
      <c r="AT149" s="781"/>
      <c r="AU149" s="781"/>
      <c r="AV149" s="782">
        <v>12080613</v>
      </c>
      <c r="AW149" s="781"/>
      <c r="AX149" s="781"/>
      <c r="AY149" s="782">
        <v>12080614</v>
      </c>
      <c r="AZ149" s="782">
        <v>12080616</v>
      </c>
      <c r="BA149" s="781"/>
    </row>
    <row r="150" spans="1:53" ht="24.65" hidden="1" customHeight="1">
      <c r="B150" s="411">
        <v>45316</v>
      </c>
      <c r="C150" s="412">
        <v>45334</v>
      </c>
      <c r="D150" s="185">
        <f t="shared" si="44"/>
        <v>2024</v>
      </c>
      <c r="E150" s="412" t="str">
        <f>VLOOKUP($B150,Week!$A$1:$C$1462,2,0)</f>
        <v>Week4</v>
      </c>
      <c r="F150" s="413" t="str">
        <f t="shared" si="45"/>
        <v>Jan</v>
      </c>
      <c r="G150" s="414" t="s">
        <v>47</v>
      </c>
      <c r="H150" s="414" t="s">
        <v>260</v>
      </c>
      <c r="I150" s="298" t="s">
        <v>2702</v>
      </c>
      <c r="J150" s="415" t="s">
        <v>261</v>
      </c>
      <c r="K150" s="416" t="s">
        <v>94</v>
      </c>
      <c r="L150" s="300" t="s">
        <v>2167</v>
      </c>
      <c r="M150" s="415" t="s">
        <v>1303</v>
      </c>
      <c r="N150" s="414" t="s">
        <v>263</v>
      </c>
      <c r="O150" s="414" t="s">
        <v>195</v>
      </c>
      <c r="P150" s="417">
        <v>24</v>
      </c>
      <c r="Q150" s="417">
        <v>5</v>
      </c>
      <c r="R150" s="418">
        <v>8.0000000000000002E-3</v>
      </c>
      <c r="S150" s="414" t="s">
        <v>40</v>
      </c>
      <c r="T150" s="414" t="s">
        <v>56</v>
      </c>
      <c r="U150" s="414" t="s">
        <v>57</v>
      </c>
      <c r="V150" s="419">
        <v>1288</v>
      </c>
      <c r="W150" s="419">
        <f>1828-540</f>
        <v>1288</v>
      </c>
      <c r="X150" s="420"/>
      <c r="Y150" s="421">
        <f t="shared" si="36"/>
        <v>0</v>
      </c>
      <c r="Z150" s="422">
        <f t="shared" si="37"/>
        <v>0</v>
      </c>
      <c r="AA150" s="422"/>
      <c r="AB150" s="825"/>
      <c r="AC150" s="419"/>
      <c r="AD150" s="209"/>
      <c r="AE150" s="210"/>
      <c r="AF150" s="210"/>
      <c r="AG150" s="211">
        <f>MID(O150,1,3)/1000</f>
        <v>0.14499999999999999</v>
      </c>
      <c r="AH150" s="157">
        <f t="shared" si="39"/>
        <v>0</v>
      </c>
      <c r="AI150" s="152">
        <f t="shared" si="43"/>
        <v>30912</v>
      </c>
      <c r="AK150" s="156" t="s">
        <v>691</v>
      </c>
      <c r="AL150" s="212" t="s">
        <v>690</v>
      </c>
      <c r="AM150" s="198">
        <f t="shared" si="47"/>
        <v>0</v>
      </c>
      <c r="AN150" s="199">
        <f t="shared" si="46"/>
        <v>45316</v>
      </c>
      <c r="AO150" s="159" t="s">
        <v>692</v>
      </c>
      <c r="AP150" s="783" t="s">
        <v>609</v>
      </c>
      <c r="AQ150" s="782">
        <v>12071839</v>
      </c>
      <c r="AR150" s="782">
        <v>12047514</v>
      </c>
      <c r="AS150" s="782">
        <v>12047515</v>
      </c>
      <c r="AT150" s="781"/>
      <c r="AU150" s="781"/>
      <c r="AV150" s="782">
        <v>12080613</v>
      </c>
      <c r="AW150" s="781"/>
      <c r="AX150" s="781"/>
      <c r="AY150" s="782">
        <v>12080614</v>
      </c>
      <c r="AZ150" s="782">
        <v>12080616</v>
      </c>
      <c r="BA150" s="781"/>
    </row>
    <row r="151" spans="1:53" ht="24.65" hidden="1" customHeight="1">
      <c r="B151" s="546">
        <v>45316</v>
      </c>
      <c r="C151" s="547">
        <v>45320</v>
      </c>
      <c r="D151" s="185">
        <f t="shared" si="44"/>
        <v>2024</v>
      </c>
      <c r="E151" s="547" t="str">
        <f>VLOOKUP($B151,Week!$A$1:$C$1462,2,0)</f>
        <v>Week4</v>
      </c>
      <c r="F151" s="548" t="str">
        <f t="shared" si="45"/>
        <v>Jan</v>
      </c>
      <c r="G151" s="549" t="s">
        <v>47</v>
      </c>
      <c r="H151" s="549" t="s">
        <v>518</v>
      </c>
      <c r="I151" s="298" t="s">
        <v>2702</v>
      </c>
      <c r="J151" s="550" t="s">
        <v>70</v>
      </c>
      <c r="K151" s="551" t="s">
        <v>1020</v>
      </c>
      <c r="L151" s="300" t="s">
        <v>2167</v>
      </c>
      <c r="M151" s="550" t="s">
        <v>746</v>
      </c>
      <c r="N151" s="618" t="s">
        <v>751</v>
      </c>
      <c r="O151" s="549" t="s">
        <v>747</v>
      </c>
      <c r="P151" s="552">
        <v>12</v>
      </c>
      <c r="Q151" s="552">
        <v>5</v>
      </c>
      <c r="R151" s="549">
        <v>6.1999999999999998E-3</v>
      </c>
      <c r="S151" s="549" t="s">
        <v>352</v>
      </c>
      <c r="T151" s="549" t="s">
        <v>56</v>
      </c>
      <c r="U151" s="549" t="s">
        <v>739</v>
      </c>
      <c r="V151" s="554">
        <v>2456</v>
      </c>
      <c r="W151" s="554">
        <f>101+1+2407-53</f>
        <v>2456</v>
      </c>
      <c r="X151" s="555"/>
      <c r="Y151" s="556">
        <f t="shared" ref="Y151:Y170" si="49">(W151+X151)-V151</f>
        <v>0</v>
      </c>
      <c r="Z151" s="557">
        <f t="shared" ref="Z151:Z170" si="50">IF(Y151&lt;0,((V151*P151)-((W151+X151)*P151)),0)</f>
        <v>0</v>
      </c>
      <c r="AA151" s="557"/>
      <c r="AB151" s="833"/>
      <c r="AC151" s="554"/>
      <c r="AD151" s="209"/>
      <c r="AE151" s="210"/>
      <c r="AF151" s="210"/>
      <c r="AG151" s="211">
        <f>MID(O151,1,3)/1000</f>
        <v>0.14299999999999999</v>
      </c>
      <c r="AH151" s="157">
        <f t="shared" si="39"/>
        <v>0</v>
      </c>
      <c r="AI151" s="152">
        <f t="shared" si="43"/>
        <v>29472</v>
      </c>
      <c r="AK151" s="156" t="s">
        <v>691</v>
      </c>
      <c r="AL151" s="212" t="s">
        <v>690</v>
      </c>
      <c r="AM151" s="198">
        <f t="shared" si="47"/>
        <v>0</v>
      </c>
      <c r="AN151" s="199">
        <f t="shared" si="46"/>
        <v>45316</v>
      </c>
      <c r="AO151" s="159" t="s">
        <v>692</v>
      </c>
      <c r="AP151" s="783" t="s">
        <v>609</v>
      </c>
      <c r="AQ151" s="782">
        <v>12071839</v>
      </c>
      <c r="AR151" s="782">
        <v>12047514</v>
      </c>
      <c r="AS151" s="782">
        <v>12047515</v>
      </c>
      <c r="AT151" s="781"/>
      <c r="AU151" s="781"/>
      <c r="AV151" s="782">
        <v>12080613</v>
      </c>
      <c r="AW151" s="781"/>
      <c r="AX151" s="781"/>
      <c r="AY151" s="782">
        <v>12080614</v>
      </c>
      <c r="AZ151" s="782">
        <v>12080616</v>
      </c>
      <c r="BA151" s="781"/>
    </row>
    <row r="152" spans="1:53" ht="24.65" hidden="1" customHeight="1">
      <c r="B152" s="246">
        <v>45316</v>
      </c>
      <c r="C152" s="247">
        <v>45334</v>
      </c>
      <c r="D152" s="185">
        <f t="shared" si="44"/>
        <v>2024</v>
      </c>
      <c r="E152" s="247" t="str">
        <f>VLOOKUP($B152,Week!$A$1:$C$1462,2,0)</f>
        <v>Week4</v>
      </c>
      <c r="F152" s="248" t="str">
        <f t="shared" si="45"/>
        <v>Jan</v>
      </c>
      <c r="G152" s="249" t="s">
        <v>47</v>
      </c>
      <c r="H152" s="249" t="s">
        <v>260</v>
      </c>
      <c r="I152" s="298" t="s">
        <v>2702</v>
      </c>
      <c r="J152" s="250" t="s">
        <v>70</v>
      </c>
      <c r="K152" s="251" t="s">
        <v>1020</v>
      </c>
      <c r="L152" s="300" t="s">
        <v>2167</v>
      </c>
      <c r="M152" s="250" t="s">
        <v>741</v>
      </c>
      <c r="N152" s="249" t="s">
        <v>740</v>
      </c>
      <c r="O152" s="249" t="s">
        <v>742</v>
      </c>
      <c r="P152" s="252">
        <v>24</v>
      </c>
      <c r="Q152" s="252">
        <v>5</v>
      </c>
      <c r="R152" s="249">
        <v>6.1999999999999998E-3</v>
      </c>
      <c r="S152" s="249" t="s">
        <v>352</v>
      </c>
      <c r="T152" s="249" t="s">
        <v>56</v>
      </c>
      <c r="U152" s="249" t="s">
        <v>739</v>
      </c>
      <c r="V152" s="254">
        <v>3247</v>
      </c>
      <c r="W152" s="254">
        <f>3247</f>
        <v>3247</v>
      </c>
      <c r="X152" s="255"/>
      <c r="Y152" s="256">
        <f t="shared" si="49"/>
        <v>0</v>
      </c>
      <c r="Z152" s="257">
        <f t="shared" si="50"/>
        <v>0</v>
      </c>
      <c r="AA152" s="257"/>
      <c r="AB152" s="810"/>
      <c r="AC152" s="254"/>
      <c r="AD152" s="209"/>
      <c r="AE152" s="210"/>
      <c r="AF152" s="210"/>
      <c r="AG152" s="211">
        <f>MID(O152,1,3)/1000</f>
        <v>0.14299999999999999</v>
      </c>
      <c r="AH152" s="157">
        <f t="shared" si="39"/>
        <v>0</v>
      </c>
      <c r="AI152" s="152">
        <f t="shared" si="43"/>
        <v>77928</v>
      </c>
      <c r="AK152" s="156" t="s">
        <v>691</v>
      </c>
      <c r="AL152" s="212" t="s">
        <v>690</v>
      </c>
      <c r="AM152" s="198">
        <f t="shared" si="47"/>
        <v>0</v>
      </c>
      <c r="AN152" s="199">
        <f t="shared" si="46"/>
        <v>45316</v>
      </c>
      <c r="AO152" s="159" t="s">
        <v>692</v>
      </c>
      <c r="AP152" s="783" t="s">
        <v>609</v>
      </c>
      <c r="AQ152" s="782">
        <v>12071839</v>
      </c>
      <c r="AR152" s="782">
        <v>12047514</v>
      </c>
      <c r="AS152" s="782">
        <v>12047515</v>
      </c>
      <c r="AT152" s="781"/>
      <c r="AU152" s="781"/>
      <c r="AV152" s="782">
        <v>12080613</v>
      </c>
      <c r="AW152" s="781"/>
      <c r="AX152" s="781"/>
      <c r="AY152" s="782">
        <v>12080614</v>
      </c>
      <c r="AZ152" s="782">
        <v>12080616</v>
      </c>
      <c r="BA152" s="781"/>
    </row>
    <row r="153" spans="1:53" ht="25" hidden="1" customHeight="1">
      <c r="A153" s="142" t="s">
        <v>120</v>
      </c>
      <c r="B153" s="283">
        <v>45316</v>
      </c>
      <c r="C153" s="284">
        <v>45324</v>
      </c>
      <c r="D153" s="185">
        <f t="shared" si="44"/>
        <v>2024</v>
      </c>
      <c r="E153" s="286" t="str">
        <f>VLOOKUP($B153,Week!$A$1:$C$1462,2,0)</f>
        <v>Week4</v>
      </c>
      <c r="F153" s="285" t="str">
        <f t="shared" si="45"/>
        <v>Jan</v>
      </c>
      <c r="G153" s="286" t="s">
        <v>820</v>
      </c>
      <c r="H153" s="286" t="s">
        <v>134</v>
      </c>
      <c r="I153" s="286" t="s">
        <v>2772</v>
      </c>
      <c r="J153" s="287" t="s">
        <v>164</v>
      </c>
      <c r="K153" s="288" t="s">
        <v>153</v>
      </c>
      <c r="L153" s="390" t="s">
        <v>2166</v>
      </c>
      <c r="M153" s="287" t="s">
        <v>214</v>
      </c>
      <c r="N153" s="286" t="s">
        <v>215</v>
      </c>
      <c r="O153" s="286" t="s">
        <v>504</v>
      </c>
      <c r="P153" s="289">
        <v>20</v>
      </c>
      <c r="Q153" s="289">
        <v>8</v>
      </c>
      <c r="R153" s="290">
        <v>1.4999999999999999E-2</v>
      </c>
      <c r="S153" s="286" t="s">
        <v>217</v>
      </c>
      <c r="T153" s="286" t="s">
        <v>56</v>
      </c>
      <c r="U153" s="286" t="s">
        <v>89</v>
      </c>
      <c r="V153" s="291">
        <v>500</v>
      </c>
      <c r="W153" s="291">
        <f>500</f>
        <v>500</v>
      </c>
      <c r="X153" s="292">
        <f>(1420)/20</f>
        <v>71</v>
      </c>
      <c r="Y153" s="293">
        <f t="shared" si="49"/>
        <v>71</v>
      </c>
      <c r="Z153" s="294">
        <f t="shared" si="50"/>
        <v>0</v>
      </c>
      <c r="AA153" s="291">
        <f>Q153*Z153</f>
        <v>0</v>
      </c>
      <c r="AB153" s="813">
        <v>2</v>
      </c>
      <c r="AC153" s="291">
        <f>Z153*AB153</f>
        <v>0</v>
      </c>
      <c r="AD153" s="209" t="s">
        <v>218</v>
      </c>
      <c r="AE153" s="210"/>
      <c r="AF153" s="210"/>
      <c r="AG153" s="211">
        <f>MID(O153,1,3)/1000</f>
        <v>0.19400000000000001</v>
      </c>
      <c r="AH153" s="157">
        <f t="shared" ref="AH153:AH168" si="51">(Z153*AG153)/1000</f>
        <v>0</v>
      </c>
      <c r="AI153" s="152">
        <f t="shared" si="43"/>
        <v>10000</v>
      </c>
      <c r="AK153" s="156" t="s">
        <v>691</v>
      </c>
      <c r="AL153" s="156" t="s">
        <v>689</v>
      </c>
      <c r="AM153" s="198">
        <f t="shared" si="47"/>
        <v>0</v>
      </c>
      <c r="AN153" s="199">
        <f t="shared" si="46"/>
        <v>45316</v>
      </c>
      <c r="AO153" s="159" t="s">
        <v>692</v>
      </c>
      <c r="AP153" s="783" t="s">
        <v>610</v>
      </c>
      <c r="AQ153" s="782"/>
      <c r="AR153" s="782">
        <v>12064528</v>
      </c>
      <c r="AS153" s="782"/>
      <c r="AT153" s="782">
        <v>12064478</v>
      </c>
      <c r="AU153" s="781"/>
      <c r="AV153" s="782">
        <v>12064493</v>
      </c>
      <c r="AW153" s="782"/>
      <c r="AX153" s="782" t="s">
        <v>545</v>
      </c>
      <c r="AY153" s="782"/>
      <c r="AZ153" s="782"/>
      <c r="BA153" s="781"/>
    </row>
    <row r="154" spans="1:53" ht="25" hidden="1" customHeight="1">
      <c r="A154" s="142" t="s">
        <v>120</v>
      </c>
      <c r="B154" s="357">
        <v>45316</v>
      </c>
      <c r="C154" s="358">
        <v>45327</v>
      </c>
      <c r="D154" s="185">
        <f t="shared" si="44"/>
        <v>2024</v>
      </c>
      <c r="E154" s="359" t="str">
        <f>VLOOKUP($B154,Week!$A$1:$C$1462,2,0)</f>
        <v>Week4</v>
      </c>
      <c r="F154" s="360" t="str">
        <f t="shared" si="45"/>
        <v>Jan</v>
      </c>
      <c r="G154" s="359" t="s">
        <v>865</v>
      </c>
      <c r="H154" s="359" t="s">
        <v>344</v>
      </c>
      <c r="I154" s="359" t="s">
        <v>2772</v>
      </c>
      <c r="J154" s="361" t="s">
        <v>345</v>
      </c>
      <c r="K154" s="362" t="s">
        <v>355</v>
      </c>
      <c r="L154" s="390" t="s">
        <v>2166</v>
      </c>
      <c r="M154" s="361" t="s">
        <v>356</v>
      </c>
      <c r="N154" s="359" t="s">
        <v>357</v>
      </c>
      <c r="O154" s="359" t="s">
        <v>508</v>
      </c>
      <c r="P154" s="363">
        <v>18</v>
      </c>
      <c r="Q154" s="363">
        <v>8</v>
      </c>
      <c r="R154" s="364">
        <v>6.0000000000000001E-3</v>
      </c>
      <c r="S154" s="359" t="s">
        <v>55</v>
      </c>
      <c r="T154" s="359" t="s">
        <v>56</v>
      </c>
      <c r="U154" s="359" t="s">
        <v>89</v>
      </c>
      <c r="V154" s="365">
        <f>200</f>
        <v>200</v>
      </c>
      <c r="W154" s="365">
        <f>25+175</f>
        <v>200</v>
      </c>
      <c r="X154" s="366"/>
      <c r="Y154" s="367">
        <f t="shared" si="49"/>
        <v>0</v>
      </c>
      <c r="Z154" s="368">
        <f t="shared" si="50"/>
        <v>0</v>
      </c>
      <c r="AA154" s="368">
        <f>Q154*Z154</f>
        <v>0</v>
      </c>
      <c r="AB154" s="819">
        <v>2</v>
      </c>
      <c r="AC154" s="365">
        <f>Z154*AB154</f>
        <v>0</v>
      </c>
      <c r="AD154" s="443"/>
      <c r="AE154" s="210"/>
      <c r="AF154" s="210"/>
      <c r="AG154" s="211">
        <f>MID(O154,1,2)/1000</f>
        <v>0.09</v>
      </c>
      <c r="AH154" s="157">
        <f t="shared" si="51"/>
        <v>0</v>
      </c>
      <c r="AI154" s="152">
        <f t="shared" si="43"/>
        <v>3600</v>
      </c>
      <c r="AK154" s="156" t="s">
        <v>691</v>
      </c>
      <c r="AL154" s="156" t="s">
        <v>689</v>
      </c>
      <c r="AM154" s="198">
        <f t="shared" si="47"/>
        <v>0</v>
      </c>
      <c r="AN154" s="199">
        <f t="shared" si="46"/>
        <v>45316</v>
      </c>
      <c r="AO154" s="159" t="s">
        <v>692</v>
      </c>
      <c r="AP154" s="781"/>
      <c r="AQ154" s="782"/>
      <c r="AR154" s="782" t="s">
        <v>531</v>
      </c>
      <c r="AS154" s="782"/>
      <c r="AT154" s="782"/>
      <c r="AU154" s="782">
        <v>12054219</v>
      </c>
      <c r="AV154" s="782">
        <v>12054239</v>
      </c>
      <c r="AW154" s="782"/>
      <c r="AX154" s="782" t="s">
        <v>532</v>
      </c>
      <c r="AY154" s="782"/>
      <c r="AZ154" s="782"/>
      <c r="BA154" s="781"/>
    </row>
    <row r="155" spans="1:53" ht="25" hidden="1" customHeight="1">
      <c r="A155" s="142" t="s">
        <v>120</v>
      </c>
      <c r="B155" s="369">
        <v>45316</v>
      </c>
      <c r="C155" s="370">
        <v>45327</v>
      </c>
      <c r="D155" s="185">
        <f t="shared" si="44"/>
        <v>2024</v>
      </c>
      <c r="E155" s="371" t="str">
        <f>VLOOKUP($B155,Week!$A$1:$C$1462,2,0)</f>
        <v>Week4</v>
      </c>
      <c r="F155" s="372" t="str">
        <f t="shared" si="45"/>
        <v>Jan</v>
      </c>
      <c r="G155" s="371" t="s">
        <v>865</v>
      </c>
      <c r="H155" s="371" t="s">
        <v>344</v>
      </c>
      <c r="I155" s="371" t="s">
        <v>2772</v>
      </c>
      <c r="J155" s="373" t="s">
        <v>345</v>
      </c>
      <c r="K155" s="374" t="s">
        <v>153</v>
      </c>
      <c r="L155" s="390" t="s">
        <v>2166</v>
      </c>
      <c r="M155" s="373" t="s">
        <v>214</v>
      </c>
      <c r="N155" s="371" t="s">
        <v>346</v>
      </c>
      <c r="O155" s="371" t="s">
        <v>509</v>
      </c>
      <c r="P155" s="375">
        <v>18</v>
      </c>
      <c r="Q155" s="375">
        <v>8</v>
      </c>
      <c r="R155" s="376">
        <v>6.8100000000000001E-3</v>
      </c>
      <c r="S155" s="371" t="s">
        <v>76</v>
      </c>
      <c r="T155" s="371" t="s">
        <v>56</v>
      </c>
      <c r="U155" s="371" t="s">
        <v>89</v>
      </c>
      <c r="V155" s="377">
        <v>269</v>
      </c>
      <c r="W155" s="377">
        <f>11+258</f>
        <v>269</v>
      </c>
      <c r="X155" s="378"/>
      <c r="Y155" s="379">
        <f t="shared" si="49"/>
        <v>0</v>
      </c>
      <c r="Z155" s="380">
        <f t="shared" si="50"/>
        <v>0</v>
      </c>
      <c r="AA155" s="380">
        <f>Q155*Z155</f>
        <v>0</v>
      </c>
      <c r="AB155" s="820">
        <v>1</v>
      </c>
      <c r="AC155" s="377">
        <f>Z155*AB155</f>
        <v>0</v>
      </c>
      <c r="AD155" s="443"/>
      <c r="AE155" s="210"/>
      <c r="AF155" s="210"/>
      <c r="AG155" s="211">
        <f t="shared" ref="AG155:AG170" si="52">MID(O155,1,3)/1000</f>
        <v>0.10100000000000001</v>
      </c>
      <c r="AH155" s="157">
        <f>(Z155*AG155)/1000</f>
        <v>0</v>
      </c>
      <c r="AI155" s="152">
        <f t="shared" si="43"/>
        <v>4842</v>
      </c>
      <c r="AK155" s="156" t="s">
        <v>691</v>
      </c>
      <c r="AL155" s="156" t="s">
        <v>689</v>
      </c>
      <c r="AM155" s="198">
        <f>AG155*Z155</f>
        <v>0</v>
      </c>
      <c r="AN155" s="199">
        <f t="shared" si="46"/>
        <v>45316</v>
      </c>
      <c r="AO155" s="159" t="s">
        <v>692</v>
      </c>
      <c r="AP155" s="781"/>
      <c r="AQ155" s="781" t="s">
        <v>158</v>
      </c>
      <c r="AR155" s="782">
        <v>12038019</v>
      </c>
      <c r="AS155" s="781"/>
      <c r="AT155" s="800">
        <v>12055751</v>
      </c>
      <c r="AU155" s="781"/>
      <c r="AV155" s="800">
        <v>12049471</v>
      </c>
      <c r="AW155" s="781"/>
      <c r="AX155" s="781" t="s">
        <v>162</v>
      </c>
      <c r="AY155" s="781"/>
      <c r="AZ155" s="781"/>
      <c r="BA155" s="781"/>
    </row>
    <row r="156" spans="1:53" ht="25" hidden="1" customHeight="1">
      <c r="B156" s="213">
        <v>45317</v>
      </c>
      <c r="C156" s="578">
        <v>45327</v>
      </c>
      <c r="D156" s="185">
        <f t="shared" si="44"/>
        <v>2024</v>
      </c>
      <c r="E156" s="215" t="str">
        <f>VLOOKUP($B156,Week!$A$1:$C$1462,2,0)</f>
        <v>Week4</v>
      </c>
      <c r="F156" s="216" t="str">
        <f t="shared" si="45"/>
        <v>Jan</v>
      </c>
      <c r="G156" s="215" t="s">
        <v>784</v>
      </c>
      <c r="H156" s="215" t="s">
        <v>104</v>
      </c>
      <c r="I156" s="215" t="s">
        <v>2772</v>
      </c>
      <c r="J156" s="209" t="s">
        <v>105</v>
      </c>
      <c r="K156" s="217" t="s">
        <v>107</v>
      </c>
      <c r="L156" s="300" t="s">
        <v>2167</v>
      </c>
      <c r="M156" s="209" t="s">
        <v>108</v>
      </c>
      <c r="N156" s="215" t="s">
        <v>109</v>
      </c>
      <c r="O156" s="215" t="s">
        <v>110</v>
      </c>
      <c r="P156" s="218">
        <v>36</v>
      </c>
      <c r="Q156" s="218">
        <v>5</v>
      </c>
      <c r="R156" s="219">
        <v>7.4999999999999997E-3</v>
      </c>
      <c r="S156" s="215" t="s">
        <v>111</v>
      </c>
      <c r="T156" s="215" t="s">
        <v>112</v>
      </c>
      <c r="U156" s="215" t="s">
        <v>113</v>
      </c>
      <c r="V156" s="220">
        <f>792-288</f>
        <v>504</v>
      </c>
      <c r="W156" s="220">
        <v>504</v>
      </c>
      <c r="X156" s="221"/>
      <c r="Y156" s="222">
        <f t="shared" si="49"/>
        <v>0</v>
      </c>
      <c r="Z156" s="223">
        <f t="shared" si="50"/>
        <v>0</v>
      </c>
      <c r="AA156" s="223"/>
      <c r="AB156" s="807"/>
      <c r="AC156" s="220"/>
      <c r="AD156" s="209"/>
      <c r="AE156" s="210"/>
      <c r="AF156" s="210"/>
      <c r="AG156" s="211">
        <f t="shared" si="52"/>
        <v>0.308</v>
      </c>
      <c r="AH156" s="157">
        <f t="shared" ref="AH156:AH161" si="53">(Z156*AG156)/1000</f>
        <v>0</v>
      </c>
      <c r="AI156" s="152">
        <f t="shared" si="43"/>
        <v>18144</v>
      </c>
      <c r="AK156" s="156" t="s">
        <v>691</v>
      </c>
      <c r="AL156" s="574" t="s">
        <v>690</v>
      </c>
      <c r="AM156" s="198">
        <f t="shared" si="47"/>
        <v>0</v>
      </c>
      <c r="AN156" s="199">
        <f t="shared" si="46"/>
        <v>45317</v>
      </c>
      <c r="AO156" s="159" t="s">
        <v>692</v>
      </c>
      <c r="AP156" s="781"/>
      <c r="AQ156" s="782">
        <v>12063755</v>
      </c>
      <c r="AR156" s="782">
        <v>12061353</v>
      </c>
      <c r="AS156" s="782">
        <v>12061354</v>
      </c>
      <c r="AT156" s="782">
        <v>12068566</v>
      </c>
      <c r="AU156" s="781"/>
      <c r="AV156" s="782">
        <v>12068564</v>
      </c>
      <c r="AW156" s="782">
        <v>12062153</v>
      </c>
      <c r="AX156" s="782"/>
      <c r="AY156" s="782">
        <v>12068565</v>
      </c>
      <c r="AZ156" s="782"/>
      <c r="BA156" s="781"/>
    </row>
    <row r="157" spans="1:53" ht="25" hidden="1" customHeight="1">
      <c r="B157" s="213">
        <v>45317</v>
      </c>
      <c r="C157" s="578">
        <v>45327</v>
      </c>
      <c r="D157" s="185">
        <f t="shared" si="44"/>
        <v>2024</v>
      </c>
      <c r="E157" s="215" t="str">
        <f>VLOOKUP($B157,Week!$A$1:$C$1462,2,0)</f>
        <v>Week4</v>
      </c>
      <c r="F157" s="216" t="str">
        <f t="shared" si="45"/>
        <v>Jan</v>
      </c>
      <c r="G157" s="215" t="s">
        <v>785</v>
      </c>
      <c r="H157" s="215" t="s">
        <v>104</v>
      </c>
      <c r="I157" s="215" t="s">
        <v>2772</v>
      </c>
      <c r="J157" s="209" t="s">
        <v>105</v>
      </c>
      <c r="K157" s="217" t="s">
        <v>107</v>
      </c>
      <c r="L157" s="300" t="s">
        <v>2167</v>
      </c>
      <c r="M157" s="209" t="s">
        <v>108</v>
      </c>
      <c r="N157" s="215" t="s">
        <v>109</v>
      </c>
      <c r="O157" s="215" t="s">
        <v>110</v>
      </c>
      <c r="P157" s="218">
        <v>36</v>
      </c>
      <c r="Q157" s="218">
        <v>5</v>
      </c>
      <c r="R157" s="219">
        <v>7.4999999999999997E-3</v>
      </c>
      <c r="S157" s="215" t="s">
        <v>111</v>
      </c>
      <c r="T157" s="215" t="s">
        <v>112</v>
      </c>
      <c r="U157" s="215" t="s">
        <v>113</v>
      </c>
      <c r="V157" s="220">
        <v>792</v>
      </c>
      <c r="W157" s="220">
        <v>792</v>
      </c>
      <c r="X157" s="221"/>
      <c r="Y157" s="222">
        <f t="shared" si="49"/>
        <v>0</v>
      </c>
      <c r="Z157" s="223">
        <f t="shared" si="50"/>
        <v>0</v>
      </c>
      <c r="AA157" s="223"/>
      <c r="AB157" s="807"/>
      <c r="AC157" s="220"/>
      <c r="AD157" s="209"/>
      <c r="AE157" s="210"/>
      <c r="AF157" s="210"/>
      <c r="AG157" s="211">
        <f t="shared" si="52"/>
        <v>0.308</v>
      </c>
      <c r="AH157" s="157">
        <f t="shared" si="53"/>
        <v>0</v>
      </c>
      <c r="AI157" s="152">
        <f t="shared" si="43"/>
        <v>28512</v>
      </c>
      <c r="AK157" s="156" t="s">
        <v>691</v>
      </c>
      <c r="AL157" s="574" t="s">
        <v>690</v>
      </c>
      <c r="AM157" s="198">
        <f t="shared" si="47"/>
        <v>0</v>
      </c>
      <c r="AN157" s="199">
        <f t="shared" si="46"/>
        <v>45317</v>
      </c>
      <c r="AO157" s="159" t="s">
        <v>692</v>
      </c>
      <c r="AP157" s="781"/>
      <c r="AQ157" s="782">
        <v>12063755</v>
      </c>
      <c r="AR157" s="782">
        <v>12061353</v>
      </c>
      <c r="AS157" s="782">
        <v>12061354</v>
      </c>
      <c r="AT157" s="782">
        <v>12068566</v>
      </c>
      <c r="AU157" s="781"/>
      <c r="AV157" s="782">
        <v>12068564</v>
      </c>
      <c r="AW157" s="782">
        <v>12062153</v>
      </c>
      <c r="AX157" s="782"/>
      <c r="AY157" s="782">
        <v>12068565</v>
      </c>
      <c r="AZ157" s="782"/>
      <c r="BA157" s="781"/>
    </row>
    <row r="158" spans="1:53" ht="25" hidden="1" customHeight="1">
      <c r="B158" s="213">
        <v>45317</v>
      </c>
      <c r="C158" s="578">
        <v>45327</v>
      </c>
      <c r="D158" s="185">
        <f t="shared" si="44"/>
        <v>2024</v>
      </c>
      <c r="E158" s="215" t="str">
        <f>VLOOKUP($B158,Week!$A$1:$C$1462,2,0)</f>
        <v>Week4</v>
      </c>
      <c r="F158" s="216" t="str">
        <f t="shared" si="45"/>
        <v>Jan</v>
      </c>
      <c r="G158" s="215" t="s">
        <v>786</v>
      </c>
      <c r="H158" s="215" t="s">
        <v>104</v>
      </c>
      <c r="I158" s="215" t="s">
        <v>2772</v>
      </c>
      <c r="J158" s="209" t="s">
        <v>105</v>
      </c>
      <c r="K158" s="217" t="s">
        <v>107</v>
      </c>
      <c r="L158" s="300" t="s">
        <v>2167</v>
      </c>
      <c r="M158" s="209" t="s">
        <v>108</v>
      </c>
      <c r="N158" s="215" t="s">
        <v>109</v>
      </c>
      <c r="O158" s="215" t="s">
        <v>110</v>
      </c>
      <c r="P158" s="218">
        <v>36</v>
      </c>
      <c r="Q158" s="218">
        <v>5</v>
      </c>
      <c r="R158" s="219">
        <v>7.4999999999999997E-3</v>
      </c>
      <c r="S158" s="215" t="s">
        <v>111</v>
      </c>
      <c r="T158" s="215" t="s">
        <v>112</v>
      </c>
      <c r="U158" s="215" t="s">
        <v>113</v>
      </c>
      <c r="V158" s="220">
        <v>792</v>
      </c>
      <c r="W158" s="220">
        <v>792</v>
      </c>
      <c r="X158" s="221"/>
      <c r="Y158" s="222">
        <f t="shared" si="49"/>
        <v>0</v>
      </c>
      <c r="Z158" s="223">
        <f t="shared" si="50"/>
        <v>0</v>
      </c>
      <c r="AA158" s="223"/>
      <c r="AB158" s="807"/>
      <c r="AC158" s="220"/>
      <c r="AD158" s="209"/>
      <c r="AE158" s="210"/>
      <c r="AF158" s="210"/>
      <c r="AG158" s="211">
        <f t="shared" si="52"/>
        <v>0.308</v>
      </c>
      <c r="AH158" s="157">
        <f t="shared" si="53"/>
        <v>0</v>
      </c>
      <c r="AI158" s="152">
        <f t="shared" si="43"/>
        <v>28512</v>
      </c>
      <c r="AK158" s="156" t="s">
        <v>691</v>
      </c>
      <c r="AL158" s="574" t="s">
        <v>690</v>
      </c>
      <c r="AM158" s="198">
        <f t="shared" si="47"/>
        <v>0</v>
      </c>
      <c r="AN158" s="199">
        <f t="shared" si="46"/>
        <v>45317</v>
      </c>
      <c r="AO158" s="159" t="s">
        <v>692</v>
      </c>
      <c r="AP158" s="781"/>
      <c r="AQ158" s="782">
        <v>12063755</v>
      </c>
      <c r="AR158" s="782">
        <v>12061353</v>
      </c>
      <c r="AS158" s="782">
        <v>12061354</v>
      </c>
      <c r="AT158" s="782">
        <v>12068566</v>
      </c>
      <c r="AU158" s="781"/>
      <c r="AV158" s="782">
        <v>12068564</v>
      </c>
      <c r="AW158" s="782">
        <v>12062153</v>
      </c>
      <c r="AX158" s="782"/>
      <c r="AY158" s="782">
        <v>12068565</v>
      </c>
      <c r="AZ158" s="782"/>
      <c r="BA158" s="781"/>
    </row>
    <row r="159" spans="1:53" ht="25" hidden="1" customHeight="1">
      <c r="B159" s="213">
        <v>45317</v>
      </c>
      <c r="C159" s="578">
        <v>45327</v>
      </c>
      <c r="D159" s="185">
        <f t="shared" si="44"/>
        <v>2024</v>
      </c>
      <c r="E159" s="215" t="str">
        <f>VLOOKUP($B159,Week!$A$1:$C$1462,2,0)</f>
        <v>Week4</v>
      </c>
      <c r="F159" s="216" t="str">
        <f t="shared" si="45"/>
        <v>Jan</v>
      </c>
      <c r="G159" s="215" t="s">
        <v>794</v>
      </c>
      <c r="H159" s="215" t="s">
        <v>104</v>
      </c>
      <c r="I159" s="215" t="s">
        <v>2772</v>
      </c>
      <c r="J159" s="209" t="s">
        <v>105</v>
      </c>
      <c r="K159" s="217" t="s">
        <v>107</v>
      </c>
      <c r="L159" s="300" t="s">
        <v>2167</v>
      </c>
      <c r="M159" s="209" t="s">
        <v>108</v>
      </c>
      <c r="N159" s="215" t="s">
        <v>109</v>
      </c>
      <c r="O159" s="215" t="s">
        <v>110</v>
      </c>
      <c r="P159" s="218">
        <v>36</v>
      </c>
      <c r="Q159" s="218">
        <v>5</v>
      </c>
      <c r="R159" s="219">
        <v>7.4999999999999997E-3</v>
      </c>
      <c r="S159" s="215" t="s">
        <v>111</v>
      </c>
      <c r="T159" s="215" t="s">
        <v>112</v>
      </c>
      <c r="U159" s="215" t="s">
        <v>113</v>
      </c>
      <c r="V159" s="220">
        <v>792</v>
      </c>
      <c r="W159" s="220">
        <v>792</v>
      </c>
      <c r="X159" s="221"/>
      <c r="Y159" s="222">
        <f t="shared" si="49"/>
        <v>0</v>
      </c>
      <c r="Z159" s="223">
        <f t="shared" si="50"/>
        <v>0</v>
      </c>
      <c r="AA159" s="223"/>
      <c r="AB159" s="807"/>
      <c r="AC159" s="220"/>
      <c r="AD159" s="209"/>
      <c r="AE159" s="210"/>
      <c r="AF159" s="210"/>
      <c r="AG159" s="211">
        <f t="shared" si="52"/>
        <v>0.308</v>
      </c>
      <c r="AH159" s="157">
        <f t="shared" si="53"/>
        <v>0</v>
      </c>
      <c r="AI159" s="152">
        <f t="shared" si="43"/>
        <v>28512</v>
      </c>
      <c r="AK159" s="156" t="s">
        <v>691</v>
      </c>
      <c r="AL159" s="574" t="s">
        <v>690</v>
      </c>
      <c r="AM159" s="198">
        <f t="shared" si="47"/>
        <v>0</v>
      </c>
      <c r="AN159" s="199">
        <f t="shared" si="46"/>
        <v>45317</v>
      </c>
      <c r="AO159" s="159" t="s">
        <v>692</v>
      </c>
      <c r="AP159" s="781"/>
      <c r="AQ159" s="782">
        <v>12063755</v>
      </c>
      <c r="AR159" s="782">
        <v>12061353</v>
      </c>
      <c r="AS159" s="782">
        <v>12061354</v>
      </c>
      <c r="AT159" s="782">
        <v>12068566</v>
      </c>
      <c r="AU159" s="781"/>
      <c r="AV159" s="782">
        <v>12068564</v>
      </c>
      <c r="AW159" s="782">
        <v>12062153</v>
      </c>
      <c r="AX159" s="782"/>
      <c r="AY159" s="782">
        <v>12068565</v>
      </c>
      <c r="AZ159" s="782"/>
      <c r="BA159" s="781"/>
    </row>
    <row r="160" spans="1:53" ht="25" hidden="1" customHeight="1">
      <c r="B160" s="213">
        <v>45317</v>
      </c>
      <c r="C160" s="578">
        <v>45327</v>
      </c>
      <c r="D160" s="185">
        <f t="shared" si="44"/>
        <v>2024</v>
      </c>
      <c r="E160" s="215" t="str">
        <f>VLOOKUP($B160,Week!$A$1:$C$1462,2,0)</f>
        <v>Week4</v>
      </c>
      <c r="F160" s="216" t="str">
        <f t="shared" si="45"/>
        <v>Jan</v>
      </c>
      <c r="G160" s="215" t="s">
        <v>795</v>
      </c>
      <c r="H160" s="215" t="s">
        <v>104</v>
      </c>
      <c r="I160" s="215" t="s">
        <v>2772</v>
      </c>
      <c r="J160" s="209" t="s">
        <v>105</v>
      </c>
      <c r="K160" s="217" t="s">
        <v>107</v>
      </c>
      <c r="L160" s="300" t="s">
        <v>2167</v>
      </c>
      <c r="M160" s="209" t="s">
        <v>108</v>
      </c>
      <c r="N160" s="215" t="s">
        <v>109</v>
      </c>
      <c r="O160" s="215" t="s">
        <v>110</v>
      </c>
      <c r="P160" s="218">
        <v>36</v>
      </c>
      <c r="Q160" s="218">
        <v>5</v>
      </c>
      <c r="R160" s="219">
        <v>7.4999999999999997E-3</v>
      </c>
      <c r="S160" s="215" t="s">
        <v>111</v>
      </c>
      <c r="T160" s="215" t="s">
        <v>112</v>
      </c>
      <c r="U160" s="215" t="s">
        <v>113</v>
      </c>
      <c r="V160" s="220">
        <v>792</v>
      </c>
      <c r="W160" s="220">
        <v>792</v>
      </c>
      <c r="X160" s="221"/>
      <c r="Y160" s="222">
        <f t="shared" si="49"/>
        <v>0</v>
      </c>
      <c r="Z160" s="223">
        <f t="shared" si="50"/>
        <v>0</v>
      </c>
      <c r="AA160" s="223"/>
      <c r="AB160" s="807"/>
      <c r="AC160" s="220"/>
      <c r="AD160" s="209"/>
      <c r="AE160" s="210"/>
      <c r="AF160" s="210"/>
      <c r="AG160" s="211">
        <f t="shared" si="52"/>
        <v>0.308</v>
      </c>
      <c r="AH160" s="157">
        <f t="shared" si="53"/>
        <v>0</v>
      </c>
      <c r="AI160" s="152">
        <f t="shared" si="43"/>
        <v>28512</v>
      </c>
      <c r="AK160" s="156" t="s">
        <v>691</v>
      </c>
      <c r="AL160" s="574" t="s">
        <v>690</v>
      </c>
      <c r="AM160" s="198">
        <f t="shared" si="47"/>
        <v>0</v>
      </c>
      <c r="AN160" s="199">
        <f t="shared" si="46"/>
        <v>45317</v>
      </c>
      <c r="AO160" s="159" t="s">
        <v>692</v>
      </c>
      <c r="AP160" s="781"/>
      <c r="AQ160" s="782">
        <v>12063755</v>
      </c>
      <c r="AR160" s="782">
        <v>12061353</v>
      </c>
      <c r="AS160" s="782">
        <v>12061354</v>
      </c>
      <c r="AT160" s="782">
        <v>12068566</v>
      </c>
      <c r="AU160" s="781"/>
      <c r="AV160" s="782">
        <v>12068564</v>
      </c>
      <c r="AW160" s="782">
        <v>12062153</v>
      </c>
      <c r="AX160" s="782"/>
      <c r="AY160" s="782">
        <v>12068565</v>
      </c>
      <c r="AZ160" s="782"/>
      <c r="BA160" s="781"/>
    </row>
    <row r="161" spans="1:53" ht="25" hidden="1" customHeight="1">
      <c r="B161" s="213">
        <v>45317</v>
      </c>
      <c r="C161" s="578">
        <v>45327</v>
      </c>
      <c r="D161" s="185">
        <f t="shared" si="44"/>
        <v>2024</v>
      </c>
      <c r="E161" s="215" t="str">
        <f>VLOOKUP($B161,Week!$A$1:$C$1462,2,0)</f>
        <v>Week4</v>
      </c>
      <c r="F161" s="216" t="str">
        <f t="shared" si="45"/>
        <v>Jan</v>
      </c>
      <c r="G161" s="215" t="s">
        <v>798</v>
      </c>
      <c r="H161" s="215" t="s">
        <v>104</v>
      </c>
      <c r="I161" s="215" t="s">
        <v>2772</v>
      </c>
      <c r="J161" s="209" t="s">
        <v>105</v>
      </c>
      <c r="K161" s="217" t="s">
        <v>107</v>
      </c>
      <c r="L161" s="300" t="s">
        <v>2167</v>
      </c>
      <c r="M161" s="209" t="s">
        <v>108</v>
      </c>
      <c r="N161" s="215" t="s">
        <v>109</v>
      </c>
      <c r="O161" s="215" t="s">
        <v>110</v>
      </c>
      <c r="P161" s="218">
        <v>36</v>
      </c>
      <c r="Q161" s="218">
        <v>5</v>
      </c>
      <c r="R161" s="219">
        <v>7.4999999999999997E-3</v>
      </c>
      <c r="S161" s="215" t="s">
        <v>111</v>
      </c>
      <c r="T161" s="215" t="s">
        <v>112</v>
      </c>
      <c r="U161" s="215" t="s">
        <v>113</v>
      </c>
      <c r="V161" s="220">
        <f>3803-504-792-792-792-792</f>
        <v>131</v>
      </c>
      <c r="W161" s="220">
        <f>3803-504-792-792-792-792</f>
        <v>131</v>
      </c>
      <c r="X161" s="221"/>
      <c r="Y161" s="222">
        <f t="shared" si="49"/>
        <v>0</v>
      </c>
      <c r="Z161" s="223">
        <f t="shared" si="50"/>
        <v>0</v>
      </c>
      <c r="AA161" s="223"/>
      <c r="AB161" s="807"/>
      <c r="AC161" s="220"/>
      <c r="AD161" s="209"/>
      <c r="AE161" s="210"/>
      <c r="AF161" s="210"/>
      <c r="AG161" s="211">
        <f t="shared" si="52"/>
        <v>0.308</v>
      </c>
      <c r="AH161" s="157">
        <f t="shared" si="53"/>
        <v>0</v>
      </c>
      <c r="AI161" s="152">
        <f t="shared" si="43"/>
        <v>4716</v>
      </c>
      <c r="AK161" s="156" t="s">
        <v>691</v>
      </c>
      <c r="AL161" s="574" t="s">
        <v>690</v>
      </c>
      <c r="AM161" s="198">
        <f t="shared" si="47"/>
        <v>0</v>
      </c>
      <c r="AN161" s="199">
        <f t="shared" si="46"/>
        <v>45317</v>
      </c>
      <c r="AO161" s="159" t="s">
        <v>692</v>
      </c>
      <c r="AP161" s="781"/>
      <c r="AQ161" s="782">
        <v>12063755</v>
      </c>
      <c r="AR161" s="782">
        <v>12061353</v>
      </c>
      <c r="AS161" s="782">
        <v>12061354</v>
      </c>
      <c r="AT161" s="782">
        <v>12068566</v>
      </c>
      <c r="AU161" s="781"/>
      <c r="AV161" s="782">
        <v>12068564</v>
      </c>
      <c r="AW161" s="782">
        <v>12062153</v>
      </c>
      <c r="AX161" s="782"/>
      <c r="AY161" s="782">
        <v>12068565</v>
      </c>
      <c r="AZ161" s="782"/>
      <c r="BA161" s="781"/>
    </row>
    <row r="162" spans="1:53" ht="25" hidden="1" customHeight="1">
      <c r="A162" s="142" t="s">
        <v>120</v>
      </c>
      <c r="B162" s="369">
        <v>45317</v>
      </c>
      <c r="C162" s="370">
        <v>45327</v>
      </c>
      <c r="D162" s="185">
        <f t="shared" si="44"/>
        <v>2024</v>
      </c>
      <c r="E162" s="371" t="str">
        <f>VLOOKUP($B162,Week!$A$1:$C$1462,2,0)</f>
        <v>Week4</v>
      </c>
      <c r="F162" s="372" t="str">
        <f t="shared" si="45"/>
        <v>Jan</v>
      </c>
      <c r="G162" s="371" t="s">
        <v>865</v>
      </c>
      <c r="H162" s="371" t="s">
        <v>344</v>
      </c>
      <c r="I162" s="371" t="s">
        <v>2772</v>
      </c>
      <c r="J162" s="373" t="s">
        <v>345</v>
      </c>
      <c r="K162" s="374" t="s">
        <v>153</v>
      </c>
      <c r="L162" s="390" t="s">
        <v>2166</v>
      </c>
      <c r="M162" s="373" t="s">
        <v>214</v>
      </c>
      <c r="N162" s="371" t="s">
        <v>346</v>
      </c>
      <c r="O162" s="371" t="s">
        <v>509</v>
      </c>
      <c r="P162" s="375">
        <v>18</v>
      </c>
      <c r="Q162" s="375">
        <v>8</v>
      </c>
      <c r="R162" s="376">
        <v>6.8100000000000001E-3</v>
      </c>
      <c r="S162" s="371" t="s">
        <v>76</v>
      </c>
      <c r="T162" s="371" t="s">
        <v>56</v>
      </c>
      <c r="U162" s="371" t="s">
        <v>89</v>
      </c>
      <c r="V162" s="377">
        <f>1700-269</f>
        <v>1431</v>
      </c>
      <c r="W162" s="377">
        <v>1431</v>
      </c>
      <c r="X162" s="378"/>
      <c r="Y162" s="379">
        <f t="shared" si="49"/>
        <v>0</v>
      </c>
      <c r="Z162" s="380">
        <f t="shared" si="50"/>
        <v>0</v>
      </c>
      <c r="AA162" s="380">
        <f>Q162*Z162</f>
        <v>0</v>
      </c>
      <c r="AB162" s="820">
        <v>1</v>
      </c>
      <c r="AC162" s="377">
        <f>Z162*AB162</f>
        <v>0</v>
      </c>
      <c r="AD162" s="443"/>
      <c r="AE162" s="210"/>
      <c r="AF162" s="210"/>
      <c r="AG162" s="211">
        <f t="shared" si="52"/>
        <v>0.10100000000000001</v>
      </c>
      <c r="AH162" s="157">
        <f>(Z162*AG162)/1000</f>
        <v>0</v>
      </c>
      <c r="AI162" s="152">
        <f t="shared" si="43"/>
        <v>25758</v>
      </c>
      <c r="AK162" s="156" t="s">
        <v>691</v>
      </c>
      <c r="AL162" s="156" t="s">
        <v>689</v>
      </c>
      <c r="AM162" s="198">
        <f>AG162*Z162</f>
        <v>0</v>
      </c>
      <c r="AN162" s="199">
        <f t="shared" si="46"/>
        <v>45317</v>
      </c>
      <c r="AO162" s="159" t="s">
        <v>692</v>
      </c>
      <c r="AP162" s="781"/>
      <c r="AQ162" s="781" t="s">
        <v>158</v>
      </c>
      <c r="AR162" s="782">
        <v>12038019</v>
      </c>
      <c r="AS162" s="781"/>
      <c r="AT162" s="800">
        <v>12055751</v>
      </c>
      <c r="AU162" s="781"/>
      <c r="AV162" s="800">
        <v>12049471</v>
      </c>
      <c r="AW162" s="781"/>
      <c r="AX162" s="781" t="s">
        <v>162</v>
      </c>
      <c r="AY162" s="781"/>
      <c r="AZ162" s="781"/>
      <c r="BA162" s="781"/>
    </row>
    <row r="163" spans="1:53" ht="25" hidden="1" customHeight="1">
      <c r="A163" s="440"/>
      <c r="B163" s="271">
        <v>45318</v>
      </c>
      <c r="C163" s="271">
        <v>45329</v>
      </c>
      <c r="D163" s="185">
        <f t="shared" si="44"/>
        <v>2024</v>
      </c>
      <c r="E163" s="441" t="str">
        <f>VLOOKUP($B163,Week!$A$1:$C$1462,2,0)</f>
        <v>Week4</v>
      </c>
      <c r="F163" s="442" t="str">
        <f t="shared" si="45"/>
        <v>Jan</v>
      </c>
      <c r="G163" s="274" t="s">
        <v>848</v>
      </c>
      <c r="H163" s="274" t="s">
        <v>267</v>
      </c>
      <c r="I163" s="274" t="s">
        <v>2772</v>
      </c>
      <c r="J163" s="275" t="s">
        <v>699</v>
      </c>
      <c r="K163" s="276" t="s">
        <v>107</v>
      </c>
      <c r="L163" s="300" t="s">
        <v>2167</v>
      </c>
      <c r="M163" s="275" t="s">
        <v>136</v>
      </c>
      <c r="N163" s="274" t="s">
        <v>269</v>
      </c>
      <c r="O163" s="274" t="s">
        <v>270</v>
      </c>
      <c r="P163" s="277">
        <v>12</v>
      </c>
      <c r="Q163" s="277">
        <v>3</v>
      </c>
      <c r="R163" s="278">
        <v>7.4999999999999997E-3</v>
      </c>
      <c r="S163" s="274" t="s">
        <v>111</v>
      </c>
      <c r="T163" s="274" t="s">
        <v>112</v>
      </c>
      <c r="U163" s="274" t="s">
        <v>57</v>
      </c>
      <c r="V163" s="279">
        <v>2520</v>
      </c>
      <c r="W163" s="279">
        <f>188+2332</f>
        <v>2520</v>
      </c>
      <c r="X163" s="280"/>
      <c r="Y163" s="281">
        <f t="shared" si="49"/>
        <v>0</v>
      </c>
      <c r="Z163" s="282">
        <f t="shared" si="50"/>
        <v>0</v>
      </c>
      <c r="AA163" s="282"/>
      <c r="AB163" s="812"/>
      <c r="AC163" s="279"/>
      <c r="AD163" s="443" t="s">
        <v>737</v>
      </c>
      <c r="AE163" s="210"/>
      <c r="AF163" s="210"/>
      <c r="AG163" s="211">
        <f t="shared" si="52"/>
        <v>0.309</v>
      </c>
      <c r="AH163" s="157">
        <f t="shared" si="51"/>
        <v>0</v>
      </c>
      <c r="AI163" s="152">
        <f t="shared" si="43"/>
        <v>30240</v>
      </c>
      <c r="AK163" s="156" t="s">
        <v>691</v>
      </c>
      <c r="AL163" s="212" t="s">
        <v>690</v>
      </c>
      <c r="AM163" s="198">
        <f t="shared" ref="AM163:AM168" si="54">AG163*Z163</f>
        <v>0</v>
      </c>
      <c r="AN163" s="199">
        <f t="shared" si="46"/>
        <v>45318</v>
      </c>
      <c r="AO163" s="159" t="s">
        <v>692</v>
      </c>
      <c r="AP163" s="781"/>
      <c r="AQ163" s="782">
        <v>12063755</v>
      </c>
      <c r="AR163" s="782">
        <v>12081257</v>
      </c>
      <c r="AS163" s="782">
        <v>12081260</v>
      </c>
      <c r="AT163" s="782"/>
      <c r="AU163" s="781"/>
      <c r="AV163" s="782">
        <v>12073316</v>
      </c>
      <c r="AW163" s="782"/>
      <c r="AX163" s="782"/>
      <c r="AY163" s="782">
        <v>12073342</v>
      </c>
      <c r="AZ163" s="782">
        <v>12073344</v>
      </c>
      <c r="BA163" s="782">
        <v>12073343</v>
      </c>
    </row>
    <row r="164" spans="1:53" ht="25" hidden="1" customHeight="1">
      <c r="A164" s="440"/>
      <c r="B164" s="271">
        <v>45318</v>
      </c>
      <c r="C164" s="271">
        <v>45357</v>
      </c>
      <c r="D164" s="185">
        <f t="shared" si="44"/>
        <v>2024</v>
      </c>
      <c r="E164" s="441" t="str">
        <f>VLOOKUP($B164,Week!$A$1:$C$1462,2,0)</f>
        <v>Week4</v>
      </c>
      <c r="F164" s="442" t="str">
        <f t="shared" si="45"/>
        <v>Jan</v>
      </c>
      <c r="G164" s="274" t="s">
        <v>849</v>
      </c>
      <c r="H164" s="274" t="s">
        <v>267</v>
      </c>
      <c r="I164" s="274" t="s">
        <v>2772</v>
      </c>
      <c r="J164" s="275" t="s">
        <v>699</v>
      </c>
      <c r="K164" s="276" t="s">
        <v>107</v>
      </c>
      <c r="L164" s="300" t="s">
        <v>2167</v>
      </c>
      <c r="M164" s="275" t="s">
        <v>136</v>
      </c>
      <c r="N164" s="274" t="s">
        <v>269</v>
      </c>
      <c r="O164" s="274" t="s">
        <v>270</v>
      </c>
      <c r="P164" s="277">
        <v>12</v>
      </c>
      <c r="Q164" s="277">
        <v>3</v>
      </c>
      <c r="R164" s="278">
        <v>7.4999999999999997E-3</v>
      </c>
      <c r="S164" s="274" t="s">
        <v>111</v>
      </c>
      <c r="T164" s="274" t="s">
        <v>112</v>
      </c>
      <c r="U164" s="274" t="s">
        <v>57</v>
      </c>
      <c r="V164" s="279">
        <v>2520</v>
      </c>
      <c r="W164" s="279">
        <f>4852-2332</f>
        <v>2520</v>
      </c>
      <c r="X164" s="280"/>
      <c r="Y164" s="281">
        <f t="shared" si="49"/>
        <v>0</v>
      </c>
      <c r="Z164" s="282">
        <f t="shared" si="50"/>
        <v>0</v>
      </c>
      <c r="AA164" s="282"/>
      <c r="AB164" s="812"/>
      <c r="AC164" s="279"/>
      <c r="AD164" s="443" t="s">
        <v>737</v>
      </c>
      <c r="AE164" s="210"/>
      <c r="AF164" s="210"/>
      <c r="AG164" s="211">
        <f t="shared" si="52"/>
        <v>0.309</v>
      </c>
      <c r="AH164" s="157">
        <f t="shared" si="51"/>
        <v>0</v>
      </c>
      <c r="AI164" s="152">
        <f t="shared" si="43"/>
        <v>30240</v>
      </c>
      <c r="AK164" s="156" t="s">
        <v>691</v>
      </c>
      <c r="AL164" s="212" t="s">
        <v>690</v>
      </c>
      <c r="AM164" s="198">
        <f t="shared" si="54"/>
        <v>0</v>
      </c>
      <c r="AN164" s="199">
        <f t="shared" si="46"/>
        <v>45318</v>
      </c>
      <c r="AO164" s="159" t="s">
        <v>692</v>
      </c>
      <c r="AP164" s="781"/>
      <c r="AQ164" s="782">
        <v>12063755</v>
      </c>
      <c r="AR164" s="782">
        <v>12081257</v>
      </c>
      <c r="AS164" s="782">
        <v>12081260</v>
      </c>
      <c r="AT164" s="782"/>
      <c r="AU164" s="781"/>
      <c r="AV164" s="782">
        <v>12073316</v>
      </c>
      <c r="AW164" s="782"/>
      <c r="AX164" s="782"/>
      <c r="AY164" s="782">
        <v>12073342</v>
      </c>
      <c r="AZ164" s="782">
        <v>12073344</v>
      </c>
      <c r="BA164" s="782">
        <v>12073343</v>
      </c>
    </row>
    <row r="165" spans="1:53" ht="25" hidden="1" customHeight="1">
      <c r="B165" s="308">
        <v>45318</v>
      </c>
      <c r="C165" s="309">
        <v>45345</v>
      </c>
      <c r="D165" s="185">
        <f t="shared" si="44"/>
        <v>2024</v>
      </c>
      <c r="E165" s="309" t="str">
        <f>VLOOKUP($B165,Week!$A$1:$C$1462,2,0)</f>
        <v>Week4</v>
      </c>
      <c r="F165" s="310" t="str">
        <f t="shared" si="45"/>
        <v>Jan</v>
      </c>
      <c r="G165" s="311" t="s">
        <v>914</v>
      </c>
      <c r="H165" s="311" t="s">
        <v>431</v>
      </c>
      <c r="I165" s="311" t="s">
        <v>2772</v>
      </c>
      <c r="J165" s="312" t="s">
        <v>432</v>
      </c>
      <c r="K165" s="313" t="s">
        <v>107</v>
      </c>
      <c r="L165" s="300" t="s">
        <v>2167</v>
      </c>
      <c r="M165" s="312" t="s">
        <v>136</v>
      </c>
      <c r="N165" s="311" t="s">
        <v>542</v>
      </c>
      <c r="O165" s="311" t="s">
        <v>543</v>
      </c>
      <c r="P165" s="314">
        <v>8</v>
      </c>
      <c r="Q165" s="314">
        <v>3</v>
      </c>
      <c r="R165" s="315">
        <v>7.4999999999999997E-3</v>
      </c>
      <c r="S165" s="311" t="s">
        <v>111</v>
      </c>
      <c r="T165" s="311" t="s">
        <v>112</v>
      </c>
      <c r="U165" s="311" t="s">
        <v>57</v>
      </c>
      <c r="V165" s="316">
        <f>600-100</f>
        <v>500</v>
      </c>
      <c r="W165" s="316"/>
      <c r="X165" s="317">
        <f>(458+4939-1397)/8</f>
        <v>500</v>
      </c>
      <c r="Y165" s="318">
        <f t="shared" si="49"/>
        <v>0</v>
      </c>
      <c r="Z165" s="319">
        <f t="shared" si="50"/>
        <v>0</v>
      </c>
      <c r="AA165" s="319"/>
      <c r="AB165" s="815"/>
      <c r="AC165" s="316"/>
      <c r="AD165" s="209"/>
      <c r="AE165" s="210"/>
      <c r="AF165" s="210"/>
      <c r="AG165" s="211">
        <f t="shared" si="52"/>
        <v>0.309</v>
      </c>
      <c r="AH165" s="157">
        <f t="shared" si="51"/>
        <v>0</v>
      </c>
      <c r="AI165" s="152">
        <f t="shared" si="43"/>
        <v>4000</v>
      </c>
      <c r="AK165" s="156" t="s">
        <v>691</v>
      </c>
      <c r="AL165" s="212" t="s">
        <v>690</v>
      </c>
      <c r="AM165" s="198">
        <f t="shared" si="54"/>
        <v>0</v>
      </c>
      <c r="AN165" s="199">
        <f t="shared" si="46"/>
        <v>45318</v>
      </c>
      <c r="AO165" s="159" t="s">
        <v>692</v>
      </c>
      <c r="AP165" s="781"/>
      <c r="AQ165" s="782">
        <v>12063755</v>
      </c>
      <c r="AR165" s="782">
        <v>12061353</v>
      </c>
      <c r="AS165" s="782">
        <v>12061354</v>
      </c>
      <c r="AT165" s="782">
        <v>12062182</v>
      </c>
      <c r="AU165" s="781"/>
      <c r="AV165" s="782">
        <v>12062186</v>
      </c>
      <c r="AW165" s="782"/>
      <c r="AX165" s="782"/>
      <c r="AY165" s="782"/>
      <c r="AZ165" s="782"/>
      <c r="BA165" s="781"/>
    </row>
    <row r="166" spans="1:53" ht="24.65" hidden="1" customHeight="1">
      <c r="B166" s="308">
        <v>45318</v>
      </c>
      <c r="C166" s="309">
        <v>45330</v>
      </c>
      <c r="D166" s="185">
        <f t="shared" si="44"/>
        <v>2024</v>
      </c>
      <c r="E166" s="309" t="str">
        <f>VLOOKUP($B166,Week!$A$1:$C$1462,2,0)</f>
        <v>Week4</v>
      </c>
      <c r="F166" s="310" t="str">
        <f t="shared" si="45"/>
        <v>Jan</v>
      </c>
      <c r="G166" s="311" t="s">
        <v>889</v>
      </c>
      <c r="H166" s="311" t="s">
        <v>311</v>
      </c>
      <c r="I166" s="311" t="s">
        <v>2772</v>
      </c>
      <c r="J166" s="312" t="s">
        <v>738</v>
      </c>
      <c r="K166" s="313" t="s">
        <v>107</v>
      </c>
      <c r="L166" s="300" t="s">
        <v>2167</v>
      </c>
      <c r="M166" s="312" t="s">
        <v>313</v>
      </c>
      <c r="N166" s="311" t="s">
        <v>314</v>
      </c>
      <c r="O166" s="311" t="s">
        <v>110</v>
      </c>
      <c r="P166" s="314">
        <v>36</v>
      </c>
      <c r="Q166" s="314">
        <v>5</v>
      </c>
      <c r="R166" s="315">
        <v>7.4999999999999997E-3</v>
      </c>
      <c r="S166" s="311" t="s">
        <v>111</v>
      </c>
      <c r="T166" s="311" t="s">
        <v>112</v>
      </c>
      <c r="U166" s="311" t="s">
        <v>57</v>
      </c>
      <c r="V166" s="316">
        <v>792</v>
      </c>
      <c r="W166" s="316">
        <f>22+770</f>
        <v>792</v>
      </c>
      <c r="X166" s="317"/>
      <c r="Y166" s="318">
        <f t="shared" si="49"/>
        <v>0</v>
      </c>
      <c r="Z166" s="319">
        <f t="shared" si="50"/>
        <v>0</v>
      </c>
      <c r="AA166" s="319"/>
      <c r="AB166" s="815"/>
      <c r="AC166" s="316"/>
      <c r="AD166" s="515"/>
      <c r="AE166" s="210"/>
      <c r="AF166" s="210"/>
      <c r="AG166" s="211">
        <f t="shared" si="52"/>
        <v>0.308</v>
      </c>
      <c r="AH166" s="157">
        <f t="shared" si="51"/>
        <v>0</v>
      </c>
      <c r="AI166" s="152">
        <f t="shared" si="43"/>
        <v>28512</v>
      </c>
      <c r="AK166" s="156" t="s">
        <v>691</v>
      </c>
      <c r="AL166" s="212" t="s">
        <v>690</v>
      </c>
      <c r="AM166" s="198">
        <f>AG166*Z166</f>
        <v>0</v>
      </c>
      <c r="AN166" s="199">
        <f t="shared" si="46"/>
        <v>45318</v>
      </c>
      <c r="AO166" s="159" t="s">
        <v>692</v>
      </c>
      <c r="AP166" s="783" t="s">
        <v>644</v>
      </c>
      <c r="AQ166" s="782">
        <v>12063755</v>
      </c>
      <c r="AR166" s="782">
        <v>12061353</v>
      </c>
      <c r="AS166" s="782">
        <v>12061354</v>
      </c>
      <c r="AT166" s="782">
        <v>12062266</v>
      </c>
      <c r="AU166" s="781"/>
      <c r="AV166" s="782">
        <v>12062261</v>
      </c>
      <c r="AW166" s="782">
        <v>12062153</v>
      </c>
      <c r="AX166" s="782"/>
      <c r="AY166" s="782">
        <v>12062262</v>
      </c>
      <c r="AZ166" s="782"/>
      <c r="BA166" s="781"/>
    </row>
    <row r="167" spans="1:53" ht="24.65" hidden="1" customHeight="1">
      <c r="B167" s="308">
        <v>45318</v>
      </c>
      <c r="C167" s="309">
        <v>45337</v>
      </c>
      <c r="D167" s="185">
        <f t="shared" si="44"/>
        <v>2024</v>
      </c>
      <c r="E167" s="309" t="str">
        <f>VLOOKUP($B167,Week!$A$1:$C$1462,2,0)</f>
        <v>Week4</v>
      </c>
      <c r="F167" s="310" t="str">
        <f t="shared" si="45"/>
        <v>Jan</v>
      </c>
      <c r="G167" s="311" t="s">
        <v>890</v>
      </c>
      <c r="H167" s="311" t="s">
        <v>311</v>
      </c>
      <c r="I167" s="311" t="s">
        <v>2772</v>
      </c>
      <c r="J167" s="312" t="s">
        <v>738</v>
      </c>
      <c r="K167" s="313" t="s">
        <v>107</v>
      </c>
      <c r="L167" s="300" t="s">
        <v>2167</v>
      </c>
      <c r="M167" s="312" t="s">
        <v>313</v>
      </c>
      <c r="N167" s="311" t="s">
        <v>314</v>
      </c>
      <c r="O167" s="311" t="s">
        <v>110</v>
      </c>
      <c r="P167" s="314">
        <v>36</v>
      </c>
      <c r="Q167" s="314">
        <v>5</v>
      </c>
      <c r="R167" s="315">
        <v>7.4999999999999997E-3</v>
      </c>
      <c r="S167" s="311" t="s">
        <v>111</v>
      </c>
      <c r="T167" s="311" t="s">
        <v>112</v>
      </c>
      <c r="U167" s="311" t="s">
        <v>57</v>
      </c>
      <c r="V167" s="316">
        <v>792</v>
      </c>
      <c r="W167" s="316">
        <v>792</v>
      </c>
      <c r="X167" s="317"/>
      <c r="Y167" s="318">
        <f t="shared" si="49"/>
        <v>0</v>
      </c>
      <c r="Z167" s="319">
        <f t="shared" si="50"/>
        <v>0</v>
      </c>
      <c r="AA167" s="319"/>
      <c r="AB167" s="815"/>
      <c r="AC167" s="316"/>
      <c r="AD167" s="515"/>
      <c r="AE167" s="210"/>
      <c r="AF167" s="210"/>
      <c r="AG167" s="211">
        <f t="shared" si="52"/>
        <v>0.308</v>
      </c>
      <c r="AH167" s="157">
        <f t="shared" si="51"/>
        <v>0</v>
      </c>
      <c r="AI167" s="152">
        <f t="shared" si="43"/>
        <v>28512</v>
      </c>
      <c r="AK167" s="156" t="s">
        <v>691</v>
      </c>
      <c r="AL167" s="212" t="s">
        <v>690</v>
      </c>
      <c r="AM167" s="198">
        <f t="shared" si="54"/>
        <v>0</v>
      </c>
      <c r="AN167" s="199">
        <f t="shared" si="46"/>
        <v>45318</v>
      </c>
      <c r="AO167" s="159" t="s">
        <v>692</v>
      </c>
      <c r="AP167" s="783" t="s">
        <v>644</v>
      </c>
      <c r="AQ167" s="782">
        <v>12063755</v>
      </c>
      <c r="AR167" s="782">
        <v>12061353</v>
      </c>
      <c r="AS167" s="782">
        <v>12061354</v>
      </c>
      <c r="AT167" s="782">
        <v>12062266</v>
      </c>
      <c r="AU167" s="781"/>
      <c r="AV167" s="782">
        <v>12062261</v>
      </c>
      <c r="AW167" s="782">
        <v>12062153</v>
      </c>
      <c r="AX167" s="782"/>
      <c r="AY167" s="782">
        <v>12062262</v>
      </c>
      <c r="AZ167" s="782"/>
      <c r="BA167" s="781"/>
    </row>
    <row r="168" spans="1:53" ht="24.75" hidden="1" customHeight="1">
      <c r="B168" s="320">
        <v>45318</v>
      </c>
      <c r="C168" s="321">
        <v>45337</v>
      </c>
      <c r="D168" s="185">
        <f t="shared" si="44"/>
        <v>2024</v>
      </c>
      <c r="E168" s="321" t="str">
        <f>VLOOKUP($B168,Week!$A$1:$C$1462,2,0)</f>
        <v>Week4</v>
      </c>
      <c r="F168" s="322" t="str">
        <f t="shared" si="45"/>
        <v>Jan</v>
      </c>
      <c r="G168" s="323" t="s">
        <v>891</v>
      </c>
      <c r="H168" s="323" t="s">
        <v>675</v>
      </c>
      <c r="I168" s="323" t="s">
        <v>2772</v>
      </c>
      <c r="J168" s="324" t="s">
        <v>709</v>
      </c>
      <c r="K168" s="325" t="s">
        <v>107</v>
      </c>
      <c r="L168" s="300" t="s">
        <v>2167</v>
      </c>
      <c r="M168" s="324" t="s">
        <v>313</v>
      </c>
      <c r="N168" s="596" t="s">
        <v>710</v>
      </c>
      <c r="O168" s="323" t="s">
        <v>592</v>
      </c>
      <c r="P168" s="326">
        <v>8</v>
      </c>
      <c r="Q168" s="326">
        <v>4</v>
      </c>
      <c r="R168" s="327">
        <v>7.4999999999999997E-3</v>
      </c>
      <c r="S168" s="323" t="s">
        <v>111</v>
      </c>
      <c r="T168" s="323" t="s">
        <v>112</v>
      </c>
      <c r="U168" s="323" t="s">
        <v>57</v>
      </c>
      <c r="V168" s="328">
        <v>1500</v>
      </c>
      <c r="W168" s="328"/>
      <c r="X168" s="329">
        <f>(436+10961+637+330)/8</f>
        <v>1545.5</v>
      </c>
      <c r="Y168" s="330">
        <f t="shared" si="49"/>
        <v>45.5</v>
      </c>
      <c r="Z168" s="331">
        <f t="shared" si="50"/>
        <v>0</v>
      </c>
      <c r="AA168" s="331"/>
      <c r="AB168" s="816"/>
      <c r="AC168" s="328"/>
      <c r="AD168" s="307" t="s">
        <v>1115</v>
      </c>
      <c r="AE168" s="210"/>
      <c r="AF168" s="210"/>
      <c r="AG168" s="211">
        <f t="shared" si="52"/>
        <v>0.30499999999999999</v>
      </c>
      <c r="AH168" s="157">
        <f t="shared" si="51"/>
        <v>0</v>
      </c>
      <c r="AI168" s="152">
        <f t="shared" si="43"/>
        <v>12000</v>
      </c>
      <c r="AK168" s="156" t="s">
        <v>691</v>
      </c>
      <c r="AL168" s="212" t="s">
        <v>690</v>
      </c>
      <c r="AM168" s="198">
        <f t="shared" si="54"/>
        <v>0</v>
      </c>
      <c r="AN168" s="199">
        <f t="shared" si="46"/>
        <v>45318</v>
      </c>
      <c r="AO168" s="159" t="s">
        <v>692</v>
      </c>
      <c r="AP168" s="783" t="s">
        <v>643</v>
      </c>
      <c r="AQ168" s="782">
        <v>12063755</v>
      </c>
      <c r="AR168" s="782">
        <v>12061353</v>
      </c>
      <c r="AS168" s="782">
        <v>12061354</v>
      </c>
      <c r="AT168" s="782">
        <v>12061547</v>
      </c>
      <c r="AU168" s="781"/>
      <c r="AV168" s="782">
        <v>12061557</v>
      </c>
      <c r="AW168" s="782"/>
      <c r="AX168" s="782"/>
      <c r="AY168" s="782"/>
      <c r="AZ168" s="782"/>
      <c r="BA168" s="781"/>
    </row>
    <row r="169" spans="1:53" ht="25" hidden="1" customHeight="1">
      <c r="A169" s="598"/>
      <c r="B169" s="332">
        <v>45318</v>
      </c>
      <c r="C169" s="333">
        <v>45324</v>
      </c>
      <c r="D169" s="185">
        <f t="shared" si="44"/>
        <v>2024</v>
      </c>
      <c r="E169" s="333" t="str">
        <f>VLOOKUP($B169,Week!$A$1:$C$1462,2,0)</f>
        <v>Week4</v>
      </c>
      <c r="F169" s="334" t="str">
        <f t="shared" si="45"/>
        <v>Jan</v>
      </c>
      <c r="G169" s="335" t="s">
        <v>854</v>
      </c>
      <c r="H169" s="335" t="s">
        <v>675</v>
      </c>
      <c r="I169" s="335" t="s">
        <v>2772</v>
      </c>
      <c r="J169" s="336" t="s">
        <v>709</v>
      </c>
      <c r="K169" s="337" t="s">
        <v>664</v>
      </c>
      <c r="L169" s="300" t="s">
        <v>2167</v>
      </c>
      <c r="M169" s="336" t="s">
        <v>603</v>
      </c>
      <c r="N169" s="530" t="s">
        <v>711</v>
      </c>
      <c r="O169" s="335" t="s">
        <v>602</v>
      </c>
      <c r="P169" s="338">
        <v>8</v>
      </c>
      <c r="Q169" s="338">
        <v>3</v>
      </c>
      <c r="R169" s="339">
        <v>6.0000000000000001E-3</v>
      </c>
      <c r="S169" s="335" t="s">
        <v>55</v>
      </c>
      <c r="T169" s="335" t="s">
        <v>112</v>
      </c>
      <c r="U169" s="340" t="s">
        <v>723</v>
      </c>
      <c r="V169" s="341">
        <v>700</v>
      </c>
      <c r="W169" s="341"/>
      <c r="X169" s="342">
        <f>(172+5520)/8</f>
        <v>711.5</v>
      </c>
      <c r="Y169" s="343">
        <f t="shared" si="49"/>
        <v>11.5</v>
      </c>
      <c r="Z169" s="344">
        <f t="shared" si="50"/>
        <v>0</v>
      </c>
      <c r="AA169" s="344"/>
      <c r="AB169" s="817"/>
      <c r="AC169" s="341"/>
      <c r="AD169" s="307" t="s">
        <v>672</v>
      </c>
      <c r="AE169" s="210"/>
      <c r="AF169" s="210"/>
      <c r="AG169" s="211">
        <f t="shared" si="52"/>
        <v>0.30199999999999999</v>
      </c>
      <c r="AH169" s="157">
        <v>0.26621999999999996</v>
      </c>
      <c r="AI169" s="152">
        <f t="shared" si="43"/>
        <v>5600</v>
      </c>
      <c r="AK169" s="156" t="s">
        <v>691</v>
      </c>
      <c r="AL169" s="212" t="s">
        <v>690</v>
      </c>
      <c r="AM169" s="198">
        <f t="shared" ref="AM169:AM188" si="55">AG169*Z169</f>
        <v>0</v>
      </c>
      <c r="AN169" s="199">
        <f t="shared" si="46"/>
        <v>45318</v>
      </c>
      <c r="AO169" s="159" t="s">
        <v>692</v>
      </c>
      <c r="AP169" s="781" t="s">
        <v>642</v>
      </c>
      <c r="AQ169" s="782"/>
      <c r="AR169" s="782"/>
      <c r="AS169" s="782"/>
      <c r="AT169" s="782"/>
      <c r="AU169" s="781"/>
      <c r="AV169" s="782"/>
      <c r="AW169" s="781"/>
      <c r="AX169" s="781"/>
      <c r="AY169" s="781"/>
      <c r="AZ169" s="782"/>
      <c r="BA169" s="781"/>
    </row>
    <row r="170" spans="1:53" ht="25" hidden="1" customHeight="1">
      <c r="A170" s="142" t="s">
        <v>120</v>
      </c>
      <c r="B170" s="385">
        <v>45318</v>
      </c>
      <c r="C170" s="386">
        <v>45328</v>
      </c>
      <c r="D170" s="185">
        <f t="shared" si="44"/>
        <v>2024</v>
      </c>
      <c r="E170" s="386" t="str">
        <f>VLOOKUP($B170,Week!$A$1:$C$1462,2,0)</f>
        <v>Week4</v>
      </c>
      <c r="F170" s="387" t="str">
        <f t="shared" si="45"/>
        <v>Jan</v>
      </c>
      <c r="G170" s="388" t="s">
        <v>758</v>
      </c>
      <c r="H170" s="388" t="s">
        <v>500</v>
      </c>
      <c r="I170" s="388" t="s">
        <v>2772</v>
      </c>
      <c r="J170" s="389" t="s">
        <v>285</v>
      </c>
      <c r="K170" s="390" t="s">
        <v>153</v>
      </c>
      <c r="L170" s="390" t="s">
        <v>2166</v>
      </c>
      <c r="M170" s="389" t="s">
        <v>165</v>
      </c>
      <c r="N170" s="388" t="s">
        <v>286</v>
      </c>
      <c r="O170" s="388" t="s">
        <v>503</v>
      </c>
      <c r="P170" s="391">
        <v>40</v>
      </c>
      <c r="Q170" s="391">
        <v>12</v>
      </c>
      <c r="R170" s="392">
        <v>6.8100000000000001E-3</v>
      </c>
      <c r="S170" s="388" t="s">
        <v>76</v>
      </c>
      <c r="T170" s="388" t="s">
        <v>56</v>
      </c>
      <c r="U170" s="388" t="s">
        <v>89</v>
      </c>
      <c r="V170" s="393">
        <v>677</v>
      </c>
      <c r="W170" s="393">
        <v>677</v>
      </c>
      <c r="X170" s="394"/>
      <c r="Y170" s="395">
        <f t="shared" si="49"/>
        <v>0</v>
      </c>
      <c r="Z170" s="396">
        <f t="shared" si="50"/>
        <v>0</v>
      </c>
      <c r="AA170" s="396">
        <f>Q170*Z170</f>
        <v>0</v>
      </c>
      <c r="AB170" s="823">
        <v>2</v>
      </c>
      <c r="AC170" s="393">
        <f>Z170*AB170</f>
        <v>0</v>
      </c>
      <c r="AD170" s="209"/>
      <c r="AE170" s="210"/>
      <c r="AF170" s="210"/>
      <c r="AG170" s="211">
        <f t="shared" si="52"/>
        <v>0.154</v>
      </c>
      <c r="AH170" s="157">
        <f>(Z170*AG170)/1000</f>
        <v>0</v>
      </c>
      <c r="AI170" s="152">
        <f t="shared" si="43"/>
        <v>27080</v>
      </c>
      <c r="AK170" s="156" t="s">
        <v>691</v>
      </c>
      <c r="AL170" s="156" t="s">
        <v>689</v>
      </c>
      <c r="AM170" s="198">
        <f t="shared" si="55"/>
        <v>0</v>
      </c>
      <c r="AN170" s="199">
        <f t="shared" si="46"/>
        <v>45318</v>
      </c>
      <c r="AO170" s="159" t="s">
        <v>692</v>
      </c>
      <c r="AP170" s="783" t="s">
        <v>611</v>
      </c>
      <c r="AQ170" s="782">
        <v>12028328</v>
      </c>
      <c r="AR170" s="782">
        <v>12019692</v>
      </c>
      <c r="AS170" s="781"/>
      <c r="AT170" s="782">
        <v>12065371</v>
      </c>
      <c r="AU170" s="782"/>
      <c r="AV170" s="782">
        <v>12055895</v>
      </c>
      <c r="AW170" s="782">
        <v>12034747</v>
      </c>
      <c r="AX170" s="782" t="s">
        <v>398</v>
      </c>
      <c r="AY170" s="781" t="s">
        <v>290</v>
      </c>
      <c r="AZ170" s="781"/>
      <c r="BA170" s="781"/>
    </row>
    <row r="171" spans="1:53" ht="25" hidden="1" customHeight="1">
      <c r="B171" s="183">
        <v>45319</v>
      </c>
      <c r="C171" s="184"/>
      <c r="D171" s="185">
        <f t="shared" si="44"/>
        <v>2024</v>
      </c>
      <c r="E171" s="185" t="str">
        <f>VLOOKUP($B171,Week!$A$1:$C$1462,2,0)</f>
        <v>Week4</v>
      </c>
      <c r="F171" s="186" t="str">
        <f t="shared" si="45"/>
        <v>Jan</v>
      </c>
      <c r="G171" s="185"/>
      <c r="H171" s="185"/>
      <c r="I171" s="185"/>
      <c r="J171" s="187"/>
      <c r="K171" s="188"/>
      <c r="L171" s="300"/>
      <c r="M171" s="187"/>
      <c r="N171" s="185"/>
      <c r="O171" s="185"/>
      <c r="P171" s="189"/>
      <c r="Q171" s="189"/>
      <c r="R171" s="190"/>
      <c r="S171" s="185"/>
      <c r="T171" s="185"/>
      <c r="U171" s="185"/>
      <c r="V171" s="191"/>
      <c r="W171" s="191"/>
      <c r="X171" s="192"/>
      <c r="Y171" s="193"/>
      <c r="Z171" s="194"/>
      <c r="AA171" s="194"/>
      <c r="AB171" s="805"/>
      <c r="AC171" s="191"/>
      <c r="AD171" s="187"/>
      <c r="AE171" s="195"/>
      <c r="AF171" s="195"/>
      <c r="AG171" s="196"/>
      <c r="AH171" s="197"/>
      <c r="AK171" s="156" t="s">
        <v>691</v>
      </c>
      <c r="AM171" s="198">
        <f t="shared" si="55"/>
        <v>0</v>
      </c>
      <c r="AN171" s="199">
        <f t="shared" si="46"/>
        <v>45319</v>
      </c>
      <c r="AO171" s="159" t="s">
        <v>692</v>
      </c>
      <c r="AP171" s="781"/>
      <c r="AQ171" s="782"/>
      <c r="AR171" s="782"/>
      <c r="AS171" s="782"/>
      <c r="AT171" s="782"/>
      <c r="AU171" s="781"/>
      <c r="AV171" s="782"/>
      <c r="AW171" s="782"/>
      <c r="AX171" s="782"/>
      <c r="AY171" s="782"/>
      <c r="AZ171" s="782"/>
      <c r="BA171" s="781"/>
    </row>
    <row r="172" spans="1:53" ht="24.75" hidden="1" customHeight="1">
      <c r="B172" s="295">
        <v>45320</v>
      </c>
      <c r="C172" s="296">
        <v>45327</v>
      </c>
      <c r="D172" s="185">
        <f t="shared" si="44"/>
        <v>2024</v>
      </c>
      <c r="E172" s="296" t="str">
        <f>VLOOKUP($B172,Week!$A$1:$C$1462,2,0)</f>
        <v>Week5</v>
      </c>
      <c r="F172" s="297" t="str">
        <f t="shared" si="45"/>
        <v>Jan</v>
      </c>
      <c r="G172" s="298" t="s">
        <v>47</v>
      </c>
      <c r="H172" s="298" t="s">
        <v>260</v>
      </c>
      <c r="I172" s="298" t="s">
        <v>2702</v>
      </c>
      <c r="J172" s="307" t="s">
        <v>904</v>
      </c>
      <c r="K172" s="300" t="s">
        <v>176</v>
      </c>
      <c r="L172" s="300" t="s">
        <v>2167</v>
      </c>
      <c r="M172" s="299" t="s">
        <v>262</v>
      </c>
      <c r="N172" s="298" t="s">
        <v>350</v>
      </c>
      <c r="O172" s="298" t="s">
        <v>351</v>
      </c>
      <c r="P172" s="301">
        <v>24</v>
      </c>
      <c r="Q172" s="301">
        <v>5</v>
      </c>
      <c r="R172" s="302">
        <v>6.1999999999999998E-3</v>
      </c>
      <c r="S172" s="298" t="s">
        <v>352</v>
      </c>
      <c r="T172" s="298" t="s">
        <v>56</v>
      </c>
      <c r="U172" s="298" t="s">
        <v>57</v>
      </c>
      <c r="V172" s="303">
        <v>6111</v>
      </c>
      <c r="W172" s="303">
        <f>6111</f>
        <v>6111</v>
      </c>
      <c r="X172" s="304"/>
      <c r="Y172" s="305">
        <f t="shared" ref="Y172:Y206" si="56">(W172+X172)-V172</f>
        <v>0</v>
      </c>
      <c r="Z172" s="306">
        <f t="shared" ref="Z172:Z206" si="57">IF(Y172&lt;0,((V172*P172)-((W172+X172)*P172)),0)</f>
        <v>0</v>
      </c>
      <c r="AA172" s="306"/>
      <c r="AB172" s="814"/>
      <c r="AC172" s="303"/>
      <c r="AD172" s="580" t="s">
        <v>672</v>
      </c>
      <c r="AE172" s="210"/>
      <c r="AF172" s="210"/>
      <c r="AG172" s="211">
        <f t="shared" ref="AG172:AG206" si="58">MID(O172,1,3)/1000</f>
        <v>0.13</v>
      </c>
      <c r="AH172" s="157">
        <f t="shared" ref="AH172:AH181" si="59">(Z172*AG172)/1000</f>
        <v>0</v>
      </c>
      <c r="AI172" s="152">
        <f t="shared" ref="AI172:AI206" si="60">V172*P172</f>
        <v>146664</v>
      </c>
      <c r="AK172" s="156" t="s">
        <v>691</v>
      </c>
      <c r="AL172" s="574" t="s">
        <v>690</v>
      </c>
      <c r="AM172" s="198">
        <f t="shared" si="55"/>
        <v>0</v>
      </c>
      <c r="AN172" s="199">
        <f t="shared" si="46"/>
        <v>45320</v>
      </c>
      <c r="AO172" s="159" t="s">
        <v>692</v>
      </c>
      <c r="AP172" s="783" t="s">
        <v>629</v>
      </c>
      <c r="AQ172" s="782">
        <v>12071839</v>
      </c>
      <c r="AR172" s="782">
        <v>12078867</v>
      </c>
      <c r="AS172" s="782">
        <v>12068233</v>
      </c>
      <c r="AT172" s="781"/>
      <c r="AU172" s="781"/>
      <c r="AV172" s="782">
        <v>12062075</v>
      </c>
      <c r="AW172" s="781"/>
      <c r="AX172" s="781"/>
      <c r="AY172" s="782">
        <v>12078868</v>
      </c>
      <c r="AZ172" s="781"/>
      <c r="BA172" s="781"/>
    </row>
    <row r="173" spans="1:53" ht="25" hidden="1" customHeight="1">
      <c r="A173" s="142" t="s">
        <v>120</v>
      </c>
      <c r="B173" s="385">
        <v>45320</v>
      </c>
      <c r="C173" s="386">
        <v>45328</v>
      </c>
      <c r="D173" s="185">
        <f t="shared" si="44"/>
        <v>2024</v>
      </c>
      <c r="E173" s="386" t="str">
        <f>VLOOKUP($B173,Week!$A$1:$C$1462,2,0)</f>
        <v>Week5</v>
      </c>
      <c r="F173" s="387" t="str">
        <f t="shared" si="45"/>
        <v>Jan</v>
      </c>
      <c r="G173" s="388" t="s">
        <v>758</v>
      </c>
      <c r="H173" s="388" t="s">
        <v>500</v>
      </c>
      <c r="I173" s="388" t="s">
        <v>2772</v>
      </c>
      <c r="J173" s="389" t="s">
        <v>285</v>
      </c>
      <c r="K173" s="390" t="s">
        <v>153</v>
      </c>
      <c r="L173" s="390" t="s">
        <v>2166</v>
      </c>
      <c r="M173" s="389" t="s">
        <v>165</v>
      </c>
      <c r="N173" s="388" t="s">
        <v>286</v>
      </c>
      <c r="O173" s="388" t="s">
        <v>503</v>
      </c>
      <c r="P173" s="391">
        <v>40</v>
      </c>
      <c r="Q173" s="391">
        <v>12</v>
      </c>
      <c r="R173" s="392">
        <v>6.8100000000000001E-3</v>
      </c>
      <c r="S173" s="388" t="s">
        <v>76</v>
      </c>
      <c r="T173" s="388" t="s">
        <v>56</v>
      </c>
      <c r="U173" s="388" t="s">
        <v>89</v>
      </c>
      <c r="V173" s="393">
        <v>667</v>
      </c>
      <c r="W173" s="393">
        <v>667</v>
      </c>
      <c r="X173" s="394"/>
      <c r="Y173" s="395">
        <f t="shared" si="56"/>
        <v>0</v>
      </c>
      <c r="Z173" s="396">
        <f t="shared" si="57"/>
        <v>0</v>
      </c>
      <c r="AA173" s="396">
        <f>Q173*Z173</f>
        <v>0</v>
      </c>
      <c r="AB173" s="823">
        <v>2</v>
      </c>
      <c r="AC173" s="393">
        <f>Z173*AB173</f>
        <v>0</v>
      </c>
      <c r="AD173" s="209"/>
      <c r="AE173" s="210"/>
      <c r="AF173" s="210"/>
      <c r="AG173" s="211">
        <f t="shared" si="58"/>
        <v>0.154</v>
      </c>
      <c r="AH173" s="157">
        <f t="shared" si="59"/>
        <v>0</v>
      </c>
      <c r="AI173" s="152">
        <f t="shared" si="60"/>
        <v>26680</v>
      </c>
      <c r="AK173" s="156" t="s">
        <v>691</v>
      </c>
      <c r="AL173" s="156" t="s">
        <v>689</v>
      </c>
      <c r="AM173" s="198">
        <f t="shared" si="55"/>
        <v>0</v>
      </c>
      <c r="AN173" s="199">
        <f t="shared" si="46"/>
        <v>45320</v>
      </c>
      <c r="AO173" s="159" t="s">
        <v>692</v>
      </c>
      <c r="AP173" s="783" t="s">
        <v>611</v>
      </c>
      <c r="AQ173" s="782">
        <v>12028328</v>
      </c>
      <c r="AR173" s="782">
        <v>12019692</v>
      </c>
      <c r="AS173" s="781"/>
      <c r="AT173" s="782">
        <v>12065371</v>
      </c>
      <c r="AU173" s="782"/>
      <c r="AV173" s="782">
        <v>12055895</v>
      </c>
      <c r="AW173" s="782">
        <v>12034747</v>
      </c>
      <c r="AX173" s="782" t="s">
        <v>398</v>
      </c>
      <c r="AY173" s="781" t="s">
        <v>290</v>
      </c>
      <c r="AZ173" s="781"/>
      <c r="BA173" s="781"/>
    </row>
    <row r="174" spans="1:53" ht="25" hidden="1" customHeight="1">
      <c r="B174" s="213">
        <v>45321</v>
      </c>
      <c r="C174" s="578">
        <v>45327</v>
      </c>
      <c r="D174" s="185">
        <f t="shared" si="44"/>
        <v>2024</v>
      </c>
      <c r="E174" s="215" t="str">
        <f>VLOOKUP($B174,Week!$A$1:$C$1462,2,0)</f>
        <v>Week5</v>
      </c>
      <c r="F174" s="216" t="str">
        <f t="shared" si="45"/>
        <v>Jan</v>
      </c>
      <c r="G174" s="215" t="s">
        <v>798</v>
      </c>
      <c r="H174" s="215" t="s">
        <v>104</v>
      </c>
      <c r="I174" s="215" t="s">
        <v>2772</v>
      </c>
      <c r="J174" s="209" t="s">
        <v>105</v>
      </c>
      <c r="K174" s="217" t="s">
        <v>107</v>
      </c>
      <c r="L174" s="300" t="s">
        <v>2167</v>
      </c>
      <c r="M174" s="209" t="s">
        <v>108</v>
      </c>
      <c r="N174" s="215" t="s">
        <v>109</v>
      </c>
      <c r="O174" s="215" t="s">
        <v>110</v>
      </c>
      <c r="P174" s="218">
        <v>36</v>
      </c>
      <c r="Q174" s="218">
        <v>5</v>
      </c>
      <c r="R174" s="219">
        <v>7.4999999999999997E-3</v>
      </c>
      <c r="S174" s="215" t="s">
        <v>111</v>
      </c>
      <c r="T174" s="215" t="s">
        <v>112</v>
      </c>
      <c r="U174" s="215" t="s">
        <v>113</v>
      </c>
      <c r="V174" s="220">
        <f>792-131</f>
        <v>661</v>
      </c>
      <c r="W174" s="220">
        <f>792-131</f>
        <v>661</v>
      </c>
      <c r="X174" s="221"/>
      <c r="Y174" s="222">
        <f t="shared" si="56"/>
        <v>0</v>
      </c>
      <c r="Z174" s="223">
        <f t="shared" si="57"/>
        <v>0</v>
      </c>
      <c r="AA174" s="223"/>
      <c r="AB174" s="807"/>
      <c r="AC174" s="220"/>
      <c r="AD174" s="209"/>
      <c r="AE174" s="210"/>
      <c r="AF174" s="210"/>
      <c r="AG174" s="211">
        <f t="shared" si="58"/>
        <v>0.308</v>
      </c>
      <c r="AH174" s="157">
        <f>(Z174*AG174)/1000</f>
        <v>0</v>
      </c>
      <c r="AI174" s="152">
        <f t="shared" si="60"/>
        <v>23796</v>
      </c>
      <c r="AK174" s="156" t="s">
        <v>691</v>
      </c>
      <c r="AL174" s="574" t="s">
        <v>690</v>
      </c>
      <c r="AM174" s="198">
        <f>AG174*Z174</f>
        <v>0</v>
      </c>
      <c r="AN174" s="199">
        <f t="shared" si="46"/>
        <v>45321</v>
      </c>
      <c r="AO174" s="159" t="s">
        <v>692</v>
      </c>
      <c r="AP174" s="781"/>
      <c r="AQ174" s="782">
        <v>12063755</v>
      </c>
      <c r="AR174" s="782">
        <v>12061353</v>
      </c>
      <c r="AS174" s="782">
        <v>12061354</v>
      </c>
      <c r="AT174" s="782">
        <v>12068566</v>
      </c>
      <c r="AU174" s="781"/>
      <c r="AV174" s="782">
        <v>12068564</v>
      </c>
      <c r="AW174" s="782">
        <v>12062153</v>
      </c>
      <c r="AX174" s="782"/>
      <c r="AY174" s="782">
        <v>12068565</v>
      </c>
      <c r="AZ174" s="782"/>
      <c r="BA174" s="781"/>
    </row>
    <row r="175" spans="1:53" ht="25" hidden="1" customHeight="1">
      <c r="B175" s="213">
        <v>45321</v>
      </c>
      <c r="C175" s="578">
        <v>45327</v>
      </c>
      <c r="D175" s="185">
        <f t="shared" si="44"/>
        <v>2024</v>
      </c>
      <c r="E175" s="215" t="str">
        <f>VLOOKUP($B175,Week!$A$1:$C$1462,2,0)</f>
        <v>Week5</v>
      </c>
      <c r="F175" s="216" t="str">
        <f t="shared" si="45"/>
        <v>Jan</v>
      </c>
      <c r="G175" s="215" t="s">
        <v>789</v>
      </c>
      <c r="H175" s="215" t="s">
        <v>104</v>
      </c>
      <c r="I175" s="215" t="s">
        <v>2772</v>
      </c>
      <c r="J175" s="209" t="s">
        <v>105</v>
      </c>
      <c r="K175" s="217" t="s">
        <v>107</v>
      </c>
      <c r="L175" s="300" t="s">
        <v>2167</v>
      </c>
      <c r="M175" s="209" t="s">
        <v>108</v>
      </c>
      <c r="N175" s="215" t="s">
        <v>109</v>
      </c>
      <c r="O175" s="215" t="s">
        <v>110</v>
      </c>
      <c r="P175" s="218">
        <v>36</v>
      </c>
      <c r="Q175" s="218">
        <v>5</v>
      </c>
      <c r="R175" s="219">
        <v>7.4999999999999997E-3</v>
      </c>
      <c r="S175" s="215" t="s">
        <v>111</v>
      </c>
      <c r="T175" s="215" t="s">
        <v>112</v>
      </c>
      <c r="U175" s="215" t="s">
        <v>113</v>
      </c>
      <c r="V175" s="220">
        <v>792</v>
      </c>
      <c r="W175" s="220">
        <v>792</v>
      </c>
      <c r="X175" s="221"/>
      <c r="Y175" s="222">
        <f t="shared" si="56"/>
        <v>0</v>
      </c>
      <c r="Z175" s="223">
        <f t="shared" si="57"/>
        <v>0</v>
      </c>
      <c r="AA175" s="223"/>
      <c r="AB175" s="807"/>
      <c r="AC175" s="220"/>
      <c r="AD175" s="209"/>
      <c r="AE175" s="210"/>
      <c r="AF175" s="210"/>
      <c r="AG175" s="211">
        <f t="shared" si="58"/>
        <v>0.308</v>
      </c>
      <c r="AH175" s="157">
        <f t="shared" si="59"/>
        <v>0</v>
      </c>
      <c r="AI175" s="152">
        <f t="shared" si="60"/>
        <v>28512</v>
      </c>
      <c r="AK175" s="156" t="s">
        <v>691</v>
      </c>
      <c r="AL175" s="574" t="s">
        <v>690</v>
      </c>
      <c r="AM175" s="198">
        <f t="shared" si="55"/>
        <v>0</v>
      </c>
      <c r="AN175" s="199">
        <f t="shared" si="46"/>
        <v>45321</v>
      </c>
      <c r="AO175" s="159" t="s">
        <v>692</v>
      </c>
      <c r="AP175" s="781"/>
      <c r="AQ175" s="782">
        <v>12063755</v>
      </c>
      <c r="AR175" s="782">
        <v>12061353</v>
      </c>
      <c r="AS175" s="782">
        <v>12061354</v>
      </c>
      <c r="AT175" s="782">
        <v>12068566</v>
      </c>
      <c r="AU175" s="781"/>
      <c r="AV175" s="782">
        <v>12068564</v>
      </c>
      <c r="AW175" s="782">
        <v>12062153</v>
      </c>
      <c r="AX175" s="782"/>
      <c r="AY175" s="782">
        <v>12068565</v>
      </c>
      <c r="AZ175" s="782"/>
      <c r="BA175" s="781"/>
    </row>
    <row r="176" spans="1:53" ht="25" hidden="1" customHeight="1">
      <c r="B176" s="213">
        <v>45321</v>
      </c>
      <c r="C176" s="578">
        <v>45328</v>
      </c>
      <c r="D176" s="185">
        <f t="shared" si="44"/>
        <v>2024</v>
      </c>
      <c r="E176" s="215" t="str">
        <f>VLOOKUP($B176,Week!$A$1:$C$1462,2,0)</f>
        <v>Week5</v>
      </c>
      <c r="F176" s="216" t="str">
        <f t="shared" si="45"/>
        <v>Jan</v>
      </c>
      <c r="G176" s="215" t="s">
        <v>790</v>
      </c>
      <c r="H176" s="215" t="s">
        <v>104</v>
      </c>
      <c r="I176" s="215" t="s">
        <v>2772</v>
      </c>
      <c r="J176" s="209" t="s">
        <v>105</v>
      </c>
      <c r="K176" s="217" t="s">
        <v>107</v>
      </c>
      <c r="L176" s="300" t="s">
        <v>2167</v>
      </c>
      <c r="M176" s="209" t="s">
        <v>108</v>
      </c>
      <c r="N176" s="215" t="s">
        <v>109</v>
      </c>
      <c r="O176" s="215" t="s">
        <v>110</v>
      </c>
      <c r="P176" s="218">
        <v>36</v>
      </c>
      <c r="Q176" s="218">
        <v>5</v>
      </c>
      <c r="R176" s="219">
        <v>7.4999999999999997E-3</v>
      </c>
      <c r="S176" s="215" t="s">
        <v>111</v>
      </c>
      <c r="T176" s="215" t="s">
        <v>112</v>
      </c>
      <c r="U176" s="215" t="s">
        <v>113</v>
      </c>
      <c r="V176" s="220">
        <v>792</v>
      </c>
      <c r="W176" s="220">
        <v>792</v>
      </c>
      <c r="X176" s="221"/>
      <c r="Y176" s="222">
        <f t="shared" si="56"/>
        <v>0</v>
      </c>
      <c r="Z176" s="223">
        <f t="shared" si="57"/>
        <v>0</v>
      </c>
      <c r="AA176" s="223"/>
      <c r="AB176" s="807"/>
      <c r="AC176" s="220"/>
      <c r="AD176" s="209"/>
      <c r="AE176" s="210"/>
      <c r="AF176" s="210"/>
      <c r="AG176" s="211">
        <f t="shared" si="58"/>
        <v>0.308</v>
      </c>
      <c r="AH176" s="157">
        <f t="shared" si="59"/>
        <v>0</v>
      </c>
      <c r="AI176" s="152">
        <f t="shared" si="60"/>
        <v>28512</v>
      </c>
      <c r="AK176" s="156" t="s">
        <v>691</v>
      </c>
      <c r="AL176" s="574" t="s">
        <v>690</v>
      </c>
      <c r="AM176" s="198">
        <f t="shared" si="55"/>
        <v>0</v>
      </c>
      <c r="AN176" s="199">
        <f t="shared" si="46"/>
        <v>45321</v>
      </c>
      <c r="AO176" s="159" t="s">
        <v>692</v>
      </c>
      <c r="AP176" s="781"/>
      <c r="AQ176" s="782">
        <v>12063755</v>
      </c>
      <c r="AR176" s="782">
        <v>12061353</v>
      </c>
      <c r="AS176" s="782">
        <v>12061354</v>
      </c>
      <c r="AT176" s="782">
        <v>12068566</v>
      </c>
      <c r="AU176" s="781"/>
      <c r="AV176" s="782">
        <v>12068564</v>
      </c>
      <c r="AW176" s="782">
        <v>12062153</v>
      </c>
      <c r="AX176" s="782"/>
      <c r="AY176" s="782">
        <v>12068565</v>
      </c>
      <c r="AZ176" s="782"/>
      <c r="BA176" s="781"/>
    </row>
    <row r="177" spans="1:53" ht="25" hidden="1" customHeight="1">
      <c r="B177" s="213">
        <v>45321</v>
      </c>
      <c r="C177" s="578">
        <v>45328</v>
      </c>
      <c r="D177" s="185">
        <f t="shared" si="44"/>
        <v>2024</v>
      </c>
      <c r="E177" s="215" t="str">
        <f>VLOOKUP($B177,Week!$A$1:$C$1462,2,0)</f>
        <v>Week5</v>
      </c>
      <c r="F177" s="216" t="str">
        <f t="shared" si="45"/>
        <v>Jan</v>
      </c>
      <c r="G177" s="215" t="s">
        <v>791</v>
      </c>
      <c r="H177" s="215" t="s">
        <v>104</v>
      </c>
      <c r="I177" s="215" t="s">
        <v>2772</v>
      </c>
      <c r="J177" s="209" t="s">
        <v>105</v>
      </c>
      <c r="K177" s="217" t="s">
        <v>107</v>
      </c>
      <c r="L177" s="300" t="s">
        <v>2167</v>
      </c>
      <c r="M177" s="209" t="s">
        <v>108</v>
      </c>
      <c r="N177" s="215" t="s">
        <v>109</v>
      </c>
      <c r="O177" s="215" t="s">
        <v>110</v>
      </c>
      <c r="P177" s="218">
        <v>36</v>
      </c>
      <c r="Q177" s="218">
        <v>5</v>
      </c>
      <c r="R177" s="219">
        <v>7.4999999999999997E-3</v>
      </c>
      <c r="S177" s="215" t="s">
        <v>111</v>
      </c>
      <c r="T177" s="215" t="s">
        <v>112</v>
      </c>
      <c r="U177" s="215" t="s">
        <v>113</v>
      </c>
      <c r="V177" s="220">
        <v>792</v>
      </c>
      <c r="W177" s="220">
        <v>792</v>
      </c>
      <c r="X177" s="221"/>
      <c r="Y177" s="222">
        <f t="shared" si="56"/>
        <v>0</v>
      </c>
      <c r="Z177" s="223">
        <f t="shared" si="57"/>
        <v>0</v>
      </c>
      <c r="AA177" s="223"/>
      <c r="AB177" s="807"/>
      <c r="AC177" s="220"/>
      <c r="AD177" s="209"/>
      <c r="AE177" s="210"/>
      <c r="AF177" s="210"/>
      <c r="AG177" s="211">
        <f t="shared" si="58"/>
        <v>0.308</v>
      </c>
      <c r="AH177" s="157">
        <f t="shared" si="59"/>
        <v>0</v>
      </c>
      <c r="AI177" s="152">
        <f t="shared" si="60"/>
        <v>28512</v>
      </c>
      <c r="AK177" s="156" t="s">
        <v>691</v>
      </c>
      <c r="AL177" s="574" t="s">
        <v>690</v>
      </c>
      <c r="AM177" s="198">
        <f t="shared" si="55"/>
        <v>0</v>
      </c>
      <c r="AN177" s="199">
        <f t="shared" si="46"/>
        <v>45321</v>
      </c>
      <c r="AO177" s="159" t="s">
        <v>692</v>
      </c>
      <c r="AP177" s="781"/>
      <c r="AQ177" s="782">
        <v>12063755</v>
      </c>
      <c r="AR177" s="782">
        <v>12061353</v>
      </c>
      <c r="AS177" s="782">
        <v>12061354</v>
      </c>
      <c r="AT177" s="782">
        <v>12068566</v>
      </c>
      <c r="AU177" s="781"/>
      <c r="AV177" s="782">
        <v>12068564</v>
      </c>
      <c r="AW177" s="782">
        <v>12062153</v>
      </c>
      <c r="AX177" s="782"/>
      <c r="AY177" s="782">
        <v>12068565</v>
      </c>
      <c r="AZ177" s="782"/>
      <c r="BA177" s="781"/>
    </row>
    <row r="178" spans="1:53" ht="25" hidden="1" customHeight="1">
      <c r="B178" s="213">
        <v>45321</v>
      </c>
      <c r="C178" s="578">
        <v>45328</v>
      </c>
      <c r="D178" s="185">
        <f t="shared" si="44"/>
        <v>2024</v>
      </c>
      <c r="E178" s="215" t="str">
        <f>VLOOKUP($B178,Week!$A$1:$C$1462,2,0)</f>
        <v>Week5</v>
      </c>
      <c r="F178" s="216" t="str">
        <f t="shared" si="45"/>
        <v>Jan</v>
      </c>
      <c r="G178" s="215" t="s">
        <v>801</v>
      </c>
      <c r="H178" s="215" t="s">
        <v>104</v>
      </c>
      <c r="I178" s="215" t="s">
        <v>2772</v>
      </c>
      <c r="J178" s="209" t="s">
        <v>105</v>
      </c>
      <c r="K178" s="217" t="s">
        <v>107</v>
      </c>
      <c r="L178" s="300" t="s">
        <v>2167</v>
      </c>
      <c r="M178" s="209" t="s">
        <v>108</v>
      </c>
      <c r="N178" s="215" t="s">
        <v>109</v>
      </c>
      <c r="O178" s="215" t="s">
        <v>110</v>
      </c>
      <c r="P178" s="218">
        <v>36</v>
      </c>
      <c r="Q178" s="218">
        <v>5</v>
      </c>
      <c r="R178" s="219">
        <v>7.4999999999999997E-3</v>
      </c>
      <c r="S178" s="215" t="s">
        <v>111</v>
      </c>
      <c r="T178" s="215" t="s">
        <v>112</v>
      </c>
      <c r="U178" s="215" t="s">
        <v>113</v>
      </c>
      <c r="V178" s="220">
        <v>792</v>
      </c>
      <c r="W178" s="220">
        <v>792</v>
      </c>
      <c r="X178" s="221"/>
      <c r="Y178" s="222">
        <f t="shared" si="56"/>
        <v>0</v>
      </c>
      <c r="Z178" s="223">
        <f t="shared" si="57"/>
        <v>0</v>
      </c>
      <c r="AA178" s="223"/>
      <c r="AB178" s="807"/>
      <c r="AC178" s="220"/>
      <c r="AD178" s="209"/>
      <c r="AE178" s="210"/>
      <c r="AF178" s="210"/>
      <c r="AG178" s="211">
        <f t="shared" si="58"/>
        <v>0.308</v>
      </c>
      <c r="AH178" s="157">
        <f t="shared" si="59"/>
        <v>0</v>
      </c>
      <c r="AI178" s="152">
        <f t="shared" si="60"/>
        <v>28512</v>
      </c>
      <c r="AK178" s="156" t="s">
        <v>691</v>
      </c>
      <c r="AL178" s="574" t="s">
        <v>690</v>
      </c>
      <c r="AM178" s="198">
        <f t="shared" si="55"/>
        <v>0</v>
      </c>
      <c r="AN178" s="199">
        <f t="shared" si="46"/>
        <v>45321</v>
      </c>
      <c r="AO178" s="159" t="s">
        <v>692</v>
      </c>
      <c r="AP178" s="781"/>
      <c r="AQ178" s="782">
        <v>12063755</v>
      </c>
      <c r="AR178" s="782">
        <v>12061353</v>
      </c>
      <c r="AS178" s="782">
        <v>12061354</v>
      </c>
      <c r="AT178" s="782">
        <v>12068566</v>
      </c>
      <c r="AU178" s="781"/>
      <c r="AV178" s="782">
        <v>12068564</v>
      </c>
      <c r="AW178" s="782">
        <v>12062153</v>
      </c>
      <c r="AX178" s="782"/>
      <c r="AY178" s="782">
        <v>12068565</v>
      </c>
      <c r="AZ178" s="782"/>
      <c r="BA178" s="781"/>
    </row>
    <row r="179" spans="1:53" ht="25" hidden="1" customHeight="1">
      <c r="B179" s="213">
        <v>45321</v>
      </c>
      <c r="C179" s="578">
        <v>45328</v>
      </c>
      <c r="D179" s="185">
        <f t="shared" si="44"/>
        <v>2024</v>
      </c>
      <c r="E179" s="215" t="str">
        <f>VLOOKUP($B179,Week!$A$1:$C$1462,2,0)</f>
        <v>Week5</v>
      </c>
      <c r="F179" s="216" t="str">
        <f t="shared" si="45"/>
        <v>Jan</v>
      </c>
      <c r="G179" s="215" t="s">
        <v>779</v>
      </c>
      <c r="H179" s="215" t="s">
        <v>104</v>
      </c>
      <c r="I179" s="215" t="s">
        <v>2772</v>
      </c>
      <c r="J179" s="209" t="s">
        <v>105</v>
      </c>
      <c r="K179" s="217" t="s">
        <v>107</v>
      </c>
      <c r="L179" s="300" t="s">
        <v>2167</v>
      </c>
      <c r="M179" s="209" t="s">
        <v>108</v>
      </c>
      <c r="N179" s="215" t="s">
        <v>109</v>
      </c>
      <c r="O179" s="215" t="s">
        <v>110</v>
      </c>
      <c r="P179" s="218">
        <v>36</v>
      </c>
      <c r="Q179" s="218">
        <v>5</v>
      </c>
      <c r="R179" s="219">
        <v>7.4999999999999997E-3</v>
      </c>
      <c r="S179" s="215" t="s">
        <v>111</v>
      </c>
      <c r="T179" s="215" t="s">
        <v>112</v>
      </c>
      <c r="U179" s="215" t="s">
        <v>113</v>
      </c>
      <c r="V179" s="220">
        <f>4264-661-792-792-792-792</f>
        <v>435</v>
      </c>
      <c r="W179" s="220">
        <f>4264-661-792-792-792-792</f>
        <v>435</v>
      </c>
      <c r="X179" s="221"/>
      <c r="Y179" s="222">
        <f t="shared" si="56"/>
        <v>0</v>
      </c>
      <c r="Z179" s="223">
        <f t="shared" si="57"/>
        <v>0</v>
      </c>
      <c r="AA179" s="223"/>
      <c r="AB179" s="807"/>
      <c r="AC179" s="220"/>
      <c r="AD179" s="209"/>
      <c r="AE179" s="210"/>
      <c r="AF179" s="210"/>
      <c r="AG179" s="211">
        <f t="shared" si="58"/>
        <v>0.308</v>
      </c>
      <c r="AH179" s="157">
        <f t="shared" si="59"/>
        <v>0</v>
      </c>
      <c r="AI179" s="152">
        <f t="shared" si="60"/>
        <v>15660</v>
      </c>
      <c r="AK179" s="156" t="s">
        <v>691</v>
      </c>
      <c r="AL179" s="574" t="s">
        <v>690</v>
      </c>
      <c r="AM179" s="198">
        <f t="shared" si="55"/>
        <v>0</v>
      </c>
      <c r="AN179" s="199">
        <f t="shared" si="46"/>
        <v>45321</v>
      </c>
      <c r="AO179" s="159" t="s">
        <v>692</v>
      </c>
      <c r="AP179" s="781"/>
      <c r="AQ179" s="782">
        <v>12063755</v>
      </c>
      <c r="AR179" s="782">
        <v>12061353</v>
      </c>
      <c r="AS179" s="782">
        <v>12061354</v>
      </c>
      <c r="AT179" s="782">
        <v>12068566</v>
      </c>
      <c r="AU179" s="781"/>
      <c r="AV179" s="782">
        <v>12068564</v>
      </c>
      <c r="AW179" s="782">
        <v>12062153</v>
      </c>
      <c r="AX179" s="782"/>
      <c r="AY179" s="782">
        <v>12068565</v>
      </c>
      <c r="AZ179" s="782"/>
      <c r="BA179" s="781"/>
    </row>
    <row r="180" spans="1:53" ht="25" hidden="1" customHeight="1">
      <c r="A180" s="142" t="s">
        <v>120</v>
      </c>
      <c r="B180" s="385">
        <v>45321</v>
      </c>
      <c r="C180" s="386">
        <v>45328</v>
      </c>
      <c r="D180" s="185">
        <f t="shared" si="44"/>
        <v>2024</v>
      </c>
      <c r="E180" s="386" t="str">
        <f>VLOOKUP($B180,Week!$A$1:$C$1462,2,0)</f>
        <v>Week5</v>
      </c>
      <c r="F180" s="387" t="str">
        <f t="shared" si="45"/>
        <v>Jan</v>
      </c>
      <c r="G180" s="388" t="s">
        <v>758</v>
      </c>
      <c r="H180" s="388" t="s">
        <v>500</v>
      </c>
      <c r="I180" s="388" t="s">
        <v>2772</v>
      </c>
      <c r="J180" s="389" t="s">
        <v>285</v>
      </c>
      <c r="K180" s="390" t="s">
        <v>153</v>
      </c>
      <c r="L180" s="390" t="s">
        <v>2166</v>
      </c>
      <c r="M180" s="389" t="s">
        <v>165</v>
      </c>
      <c r="N180" s="388" t="s">
        <v>286</v>
      </c>
      <c r="O180" s="388" t="s">
        <v>503</v>
      </c>
      <c r="P180" s="391">
        <v>40</v>
      </c>
      <c r="Q180" s="391">
        <v>12</v>
      </c>
      <c r="R180" s="392">
        <v>6.8100000000000001E-3</v>
      </c>
      <c r="S180" s="388" t="s">
        <v>76</v>
      </c>
      <c r="T180" s="388" t="s">
        <v>56</v>
      </c>
      <c r="U180" s="388" t="s">
        <v>89</v>
      </c>
      <c r="V180" s="393">
        <f>1624-677-667</f>
        <v>280</v>
      </c>
      <c r="W180" s="393">
        <v>280</v>
      </c>
      <c r="X180" s="394"/>
      <c r="Y180" s="395">
        <f t="shared" si="56"/>
        <v>0</v>
      </c>
      <c r="Z180" s="396">
        <f t="shared" si="57"/>
        <v>0</v>
      </c>
      <c r="AA180" s="396">
        <f>Q180*Z180</f>
        <v>0</v>
      </c>
      <c r="AB180" s="823">
        <v>2</v>
      </c>
      <c r="AC180" s="393">
        <f>Z180*AB180</f>
        <v>0</v>
      </c>
      <c r="AD180" s="209"/>
      <c r="AE180" s="210"/>
      <c r="AF180" s="210"/>
      <c r="AG180" s="211">
        <f t="shared" si="58"/>
        <v>0.154</v>
      </c>
      <c r="AH180" s="157">
        <f t="shared" si="59"/>
        <v>0</v>
      </c>
      <c r="AI180" s="152">
        <f t="shared" si="60"/>
        <v>11200</v>
      </c>
      <c r="AK180" s="156" t="s">
        <v>691</v>
      </c>
      <c r="AL180" s="156" t="s">
        <v>689</v>
      </c>
      <c r="AM180" s="198">
        <f t="shared" si="55"/>
        <v>0</v>
      </c>
      <c r="AN180" s="199">
        <f t="shared" si="46"/>
        <v>45321</v>
      </c>
      <c r="AO180" s="159" t="s">
        <v>692</v>
      </c>
      <c r="AP180" s="783" t="s">
        <v>611</v>
      </c>
      <c r="AQ180" s="782">
        <v>12028328</v>
      </c>
      <c r="AR180" s="782">
        <v>12019692</v>
      </c>
      <c r="AS180" s="781"/>
      <c r="AT180" s="782">
        <v>12065371</v>
      </c>
      <c r="AU180" s="782"/>
      <c r="AV180" s="782">
        <v>12055895</v>
      </c>
      <c r="AW180" s="782">
        <v>12034747</v>
      </c>
      <c r="AX180" s="782" t="s">
        <v>398</v>
      </c>
      <c r="AY180" s="781" t="s">
        <v>290</v>
      </c>
      <c r="AZ180" s="781"/>
      <c r="BA180" s="781"/>
    </row>
    <row r="181" spans="1:53" ht="25" hidden="1" customHeight="1">
      <c r="A181" s="142" t="s">
        <v>120</v>
      </c>
      <c r="B181" s="385">
        <v>45321</v>
      </c>
      <c r="C181" s="386">
        <v>45331</v>
      </c>
      <c r="D181" s="185">
        <f t="shared" si="44"/>
        <v>2024</v>
      </c>
      <c r="E181" s="386" t="str">
        <f>VLOOKUP($B181,Week!$A$1:$C$1462,2,0)</f>
        <v>Week5</v>
      </c>
      <c r="F181" s="387" t="str">
        <f t="shared" si="45"/>
        <v>Jan</v>
      </c>
      <c r="G181" s="388" t="s">
        <v>759</v>
      </c>
      <c r="H181" s="388" t="s">
        <v>500</v>
      </c>
      <c r="I181" s="388" t="s">
        <v>2772</v>
      </c>
      <c r="J181" s="389" t="s">
        <v>285</v>
      </c>
      <c r="K181" s="390" t="s">
        <v>153</v>
      </c>
      <c r="L181" s="390" t="s">
        <v>2166</v>
      </c>
      <c r="M181" s="389" t="s">
        <v>165</v>
      </c>
      <c r="N181" s="388" t="s">
        <v>286</v>
      </c>
      <c r="O181" s="388" t="s">
        <v>503</v>
      </c>
      <c r="P181" s="391">
        <v>40</v>
      </c>
      <c r="Q181" s="391">
        <v>12</v>
      </c>
      <c r="R181" s="392">
        <v>6.8100000000000001E-3</v>
      </c>
      <c r="S181" s="388" t="s">
        <v>76</v>
      </c>
      <c r="T181" s="388" t="s">
        <v>56</v>
      </c>
      <c r="U181" s="388" t="s">
        <v>89</v>
      </c>
      <c r="V181" s="393">
        <v>364</v>
      </c>
      <c r="W181" s="393">
        <f>644-280</f>
        <v>364</v>
      </c>
      <c r="X181" s="394"/>
      <c r="Y181" s="395">
        <f t="shared" si="56"/>
        <v>0</v>
      </c>
      <c r="Z181" s="396">
        <f t="shared" si="57"/>
        <v>0</v>
      </c>
      <c r="AA181" s="396">
        <f>Q181*Z181</f>
        <v>0</v>
      </c>
      <c r="AB181" s="823">
        <v>2</v>
      </c>
      <c r="AC181" s="393">
        <f>Z181*AB181</f>
        <v>0</v>
      </c>
      <c r="AD181" s="209"/>
      <c r="AE181" s="210"/>
      <c r="AF181" s="210"/>
      <c r="AG181" s="211">
        <f t="shared" si="58"/>
        <v>0.154</v>
      </c>
      <c r="AH181" s="157">
        <f t="shared" si="59"/>
        <v>0</v>
      </c>
      <c r="AI181" s="152">
        <f t="shared" si="60"/>
        <v>14560</v>
      </c>
      <c r="AK181" s="156" t="s">
        <v>691</v>
      </c>
      <c r="AL181" s="156" t="s">
        <v>689</v>
      </c>
      <c r="AM181" s="198">
        <f t="shared" si="55"/>
        <v>0</v>
      </c>
      <c r="AN181" s="199">
        <f t="shared" si="46"/>
        <v>45321</v>
      </c>
      <c r="AO181" s="159" t="s">
        <v>692</v>
      </c>
      <c r="AP181" s="783" t="s">
        <v>611</v>
      </c>
      <c r="AQ181" s="782">
        <v>12028328</v>
      </c>
      <c r="AR181" s="782">
        <v>12019692</v>
      </c>
      <c r="AS181" s="781"/>
      <c r="AT181" s="782">
        <v>12065371</v>
      </c>
      <c r="AU181" s="782"/>
      <c r="AV181" s="782">
        <v>12055895</v>
      </c>
      <c r="AW181" s="782">
        <v>12034747</v>
      </c>
      <c r="AX181" s="782" t="s">
        <v>398</v>
      </c>
      <c r="AY181" s="781" t="s">
        <v>290</v>
      </c>
      <c r="AZ181" s="781"/>
      <c r="BA181" s="781"/>
    </row>
    <row r="182" spans="1:53" ht="25" hidden="1" customHeight="1">
      <c r="B182" s="213">
        <v>45322</v>
      </c>
      <c r="C182" s="578">
        <v>45328</v>
      </c>
      <c r="D182" s="185">
        <f t="shared" si="44"/>
        <v>2024</v>
      </c>
      <c r="E182" s="215" t="str">
        <f>VLOOKUP($B182,Week!$A$1:$C$1462,2,0)</f>
        <v>Week5</v>
      </c>
      <c r="F182" s="216" t="str">
        <f t="shared" si="45"/>
        <v>Jan</v>
      </c>
      <c r="G182" s="215" t="s">
        <v>779</v>
      </c>
      <c r="H182" s="215" t="s">
        <v>104</v>
      </c>
      <c r="I182" s="215" t="s">
        <v>2772</v>
      </c>
      <c r="J182" s="209" t="s">
        <v>105</v>
      </c>
      <c r="K182" s="217" t="s">
        <v>107</v>
      </c>
      <c r="L182" s="300" t="s">
        <v>2167</v>
      </c>
      <c r="M182" s="209" t="s">
        <v>108</v>
      </c>
      <c r="N182" s="215" t="s">
        <v>109</v>
      </c>
      <c r="O182" s="215" t="s">
        <v>110</v>
      </c>
      <c r="P182" s="218">
        <v>36</v>
      </c>
      <c r="Q182" s="218">
        <v>5</v>
      </c>
      <c r="R182" s="219">
        <v>7.4999999999999997E-3</v>
      </c>
      <c r="S182" s="215" t="s">
        <v>111</v>
      </c>
      <c r="T182" s="215" t="s">
        <v>112</v>
      </c>
      <c r="U182" s="215" t="s">
        <v>113</v>
      </c>
      <c r="V182" s="220">
        <f>792-435</f>
        <v>357</v>
      </c>
      <c r="W182" s="220">
        <f>357</f>
        <v>357</v>
      </c>
      <c r="X182" s="221"/>
      <c r="Y182" s="222">
        <f t="shared" si="56"/>
        <v>0</v>
      </c>
      <c r="Z182" s="223">
        <f t="shared" si="57"/>
        <v>0</v>
      </c>
      <c r="AA182" s="223"/>
      <c r="AB182" s="807"/>
      <c r="AC182" s="220"/>
      <c r="AD182" s="209"/>
      <c r="AE182" s="210"/>
      <c r="AF182" s="210"/>
      <c r="AG182" s="211">
        <f t="shared" si="58"/>
        <v>0.308</v>
      </c>
      <c r="AH182" s="157">
        <f>(Z182*AG182)/1000</f>
        <v>0</v>
      </c>
      <c r="AI182" s="152">
        <f t="shared" si="60"/>
        <v>12852</v>
      </c>
      <c r="AK182" s="156" t="s">
        <v>691</v>
      </c>
      <c r="AL182" s="574" t="s">
        <v>690</v>
      </c>
      <c r="AM182" s="198">
        <f>AG182*Z182</f>
        <v>0</v>
      </c>
      <c r="AN182" s="199">
        <f t="shared" si="46"/>
        <v>45322</v>
      </c>
      <c r="AO182" s="159" t="s">
        <v>692</v>
      </c>
      <c r="AP182" s="781"/>
      <c r="AQ182" s="782">
        <v>12063755</v>
      </c>
      <c r="AR182" s="782">
        <v>12061353</v>
      </c>
      <c r="AS182" s="782">
        <v>12061354</v>
      </c>
      <c r="AT182" s="782">
        <v>12068566</v>
      </c>
      <c r="AU182" s="781"/>
      <c r="AV182" s="782">
        <v>12068564</v>
      </c>
      <c r="AW182" s="782">
        <v>12062153</v>
      </c>
      <c r="AX182" s="782"/>
      <c r="AY182" s="782">
        <v>12068565</v>
      </c>
      <c r="AZ182" s="782"/>
      <c r="BA182" s="781"/>
    </row>
    <row r="183" spans="1:53" ht="25" hidden="1" customHeight="1">
      <c r="B183" s="213">
        <v>45322</v>
      </c>
      <c r="C183" s="578">
        <v>45330</v>
      </c>
      <c r="D183" s="185">
        <f t="shared" si="44"/>
        <v>2024</v>
      </c>
      <c r="E183" s="215" t="str">
        <f>VLOOKUP($B183,Week!$A$1:$C$1462,2,0)</f>
        <v>Week5</v>
      </c>
      <c r="F183" s="216" t="str">
        <f t="shared" si="45"/>
        <v>Jan</v>
      </c>
      <c r="G183" s="215" t="s">
        <v>796</v>
      </c>
      <c r="H183" s="215" t="s">
        <v>104</v>
      </c>
      <c r="I183" s="215" t="s">
        <v>2772</v>
      </c>
      <c r="J183" s="209" t="s">
        <v>105</v>
      </c>
      <c r="K183" s="217" t="s">
        <v>107</v>
      </c>
      <c r="L183" s="300" t="s">
        <v>2167</v>
      </c>
      <c r="M183" s="209" t="s">
        <v>108</v>
      </c>
      <c r="N183" s="215" t="s">
        <v>109</v>
      </c>
      <c r="O183" s="215" t="s">
        <v>110</v>
      </c>
      <c r="P183" s="218">
        <v>36</v>
      </c>
      <c r="Q183" s="218">
        <v>5</v>
      </c>
      <c r="R183" s="219">
        <v>7.4999999999999997E-3</v>
      </c>
      <c r="S183" s="215" t="s">
        <v>111</v>
      </c>
      <c r="T183" s="215" t="s">
        <v>112</v>
      </c>
      <c r="U183" s="215" t="s">
        <v>113</v>
      </c>
      <c r="V183" s="220">
        <v>792</v>
      </c>
      <c r="W183" s="220">
        <v>792</v>
      </c>
      <c r="X183" s="221"/>
      <c r="Y183" s="222">
        <f t="shared" si="56"/>
        <v>0</v>
      </c>
      <c r="Z183" s="223">
        <f t="shared" si="57"/>
        <v>0</v>
      </c>
      <c r="AA183" s="223"/>
      <c r="AB183" s="807"/>
      <c r="AC183" s="220"/>
      <c r="AD183" s="209"/>
      <c r="AE183" s="210"/>
      <c r="AF183" s="210"/>
      <c r="AG183" s="211">
        <f t="shared" si="58"/>
        <v>0.308</v>
      </c>
      <c r="AH183" s="157">
        <f t="shared" ref="AH183:AH188" si="61">(Z183*AG183)/1000</f>
        <v>0</v>
      </c>
      <c r="AI183" s="152">
        <f t="shared" si="60"/>
        <v>28512</v>
      </c>
      <c r="AK183" s="156" t="s">
        <v>691</v>
      </c>
      <c r="AL183" s="574" t="s">
        <v>690</v>
      </c>
      <c r="AM183" s="198">
        <f t="shared" si="55"/>
        <v>0</v>
      </c>
      <c r="AN183" s="199">
        <f t="shared" si="46"/>
        <v>45322</v>
      </c>
      <c r="AO183" s="159" t="s">
        <v>692</v>
      </c>
      <c r="AP183" s="781"/>
      <c r="AQ183" s="782">
        <v>12063755</v>
      </c>
      <c r="AR183" s="782">
        <v>12061353</v>
      </c>
      <c r="AS183" s="782">
        <v>12061354</v>
      </c>
      <c r="AT183" s="782">
        <v>12068566</v>
      </c>
      <c r="AU183" s="781"/>
      <c r="AV183" s="782">
        <v>12068564</v>
      </c>
      <c r="AW183" s="782">
        <v>12062153</v>
      </c>
      <c r="AX183" s="782"/>
      <c r="AY183" s="782">
        <v>12068565</v>
      </c>
      <c r="AZ183" s="782"/>
      <c r="BA183" s="781"/>
    </row>
    <row r="184" spans="1:53" ht="25" hidden="1" customHeight="1">
      <c r="B184" s="213">
        <v>45322</v>
      </c>
      <c r="C184" s="578">
        <v>45331</v>
      </c>
      <c r="D184" s="185">
        <f t="shared" si="44"/>
        <v>2024</v>
      </c>
      <c r="E184" s="215" t="str">
        <f>VLOOKUP($B184,Week!$A$1:$C$1462,2,0)</f>
        <v>Week5</v>
      </c>
      <c r="F184" s="216" t="str">
        <f t="shared" si="45"/>
        <v>Jan</v>
      </c>
      <c r="G184" s="215" t="s">
        <v>797</v>
      </c>
      <c r="H184" s="215" t="s">
        <v>104</v>
      </c>
      <c r="I184" s="215" t="s">
        <v>2772</v>
      </c>
      <c r="J184" s="209" t="s">
        <v>105</v>
      </c>
      <c r="K184" s="217" t="s">
        <v>107</v>
      </c>
      <c r="L184" s="300" t="s">
        <v>2167</v>
      </c>
      <c r="M184" s="209" t="s">
        <v>108</v>
      </c>
      <c r="N184" s="215" t="s">
        <v>109</v>
      </c>
      <c r="O184" s="215" t="s">
        <v>110</v>
      </c>
      <c r="P184" s="218">
        <v>36</v>
      </c>
      <c r="Q184" s="218">
        <v>5</v>
      </c>
      <c r="R184" s="219">
        <v>7.4999999999999997E-3</v>
      </c>
      <c r="S184" s="215" t="s">
        <v>111</v>
      </c>
      <c r="T184" s="215" t="s">
        <v>112</v>
      </c>
      <c r="U184" s="215" t="s">
        <v>113</v>
      </c>
      <c r="V184" s="220">
        <v>792</v>
      </c>
      <c r="W184" s="220">
        <v>792</v>
      </c>
      <c r="X184" s="221"/>
      <c r="Y184" s="222">
        <f t="shared" si="56"/>
        <v>0</v>
      </c>
      <c r="Z184" s="223">
        <f t="shared" si="57"/>
        <v>0</v>
      </c>
      <c r="AA184" s="223"/>
      <c r="AB184" s="807"/>
      <c r="AC184" s="220"/>
      <c r="AD184" s="209"/>
      <c r="AE184" s="210"/>
      <c r="AF184" s="210"/>
      <c r="AG184" s="211">
        <f t="shared" si="58"/>
        <v>0.308</v>
      </c>
      <c r="AH184" s="157">
        <f t="shared" si="61"/>
        <v>0</v>
      </c>
      <c r="AI184" s="152">
        <f t="shared" si="60"/>
        <v>28512</v>
      </c>
      <c r="AK184" s="156" t="s">
        <v>691</v>
      </c>
      <c r="AL184" s="574" t="s">
        <v>690</v>
      </c>
      <c r="AM184" s="198">
        <f t="shared" si="55"/>
        <v>0</v>
      </c>
      <c r="AN184" s="199">
        <f t="shared" si="46"/>
        <v>45322</v>
      </c>
      <c r="AO184" s="159" t="s">
        <v>692</v>
      </c>
      <c r="AP184" s="781"/>
      <c r="AQ184" s="782">
        <v>12063755</v>
      </c>
      <c r="AR184" s="782">
        <v>12061353</v>
      </c>
      <c r="AS184" s="782">
        <v>12061354</v>
      </c>
      <c r="AT184" s="782">
        <v>12068566</v>
      </c>
      <c r="AU184" s="781"/>
      <c r="AV184" s="782">
        <v>12068564</v>
      </c>
      <c r="AW184" s="782">
        <v>12062153</v>
      </c>
      <c r="AX184" s="782"/>
      <c r="AY184" s="782">
        <v>12068565</v>
      </c>
      <c r="AZ184" s="782"/>
      <c r="BA184" s="781"/>
    </row>
    <row r="185" spans="1:53" ht="25" hidden="1" customHeight="1">
      <c r="B185" s="213">
        <v>45322</v>
      </c>
      <c r="C185" s="578">
        <v>45331</v>
      </c>
      <c r="D185" s="185">
        <f t="shared" si="44"/>
        <v>2024</v>
      </c>
      <c r="E185" s="215" t="str">
        <f>VLOOKUP($B185,Week!$A$1:$C$1462,2,0)</f>
        <v>Week5</v>
      </c>
      <c r="F185" s="216" t="str">
        <f t="shared" si="45"/>
        <v>Jan</v>
      </c>
      <c r="G185" s="215" t="s">
        <v>806</v>
      </c>
      <c r="H185" s="215" t="s">
        <v>104</v>
      </c>
      <c r="I185" s="215" t="s">
        <v>2772</v>
      </c>
      <c r="J185" s="209" t="s">
        <v>105</v>
      </c>
      <c r="K185" s="217" t="s">
        <v>107</v>
      </c>
      <c r="L185" s="300" t="s">
        <v>2167</v>
      </c>
      <c r="M185" s="209" t="s">
        <v>108</v>
      </c>
      <c r="N185" s="215" t="s">
        <v>109</v>
      </c>
      <c r="O185" s="215" t="s">
        <v>110</v>
      </c>
      <c r="P185" s="218">
        <v>36</v>
      </c>
      <c r="Q185" s="218">
        <v>5</v>
      </c>
      <c r="R185" s="219">
        <v>7.4999999999999997E-3</v>
      </c>
      <c r="S185" s="215" t="s">
        <v>111</v>
      </c>
      <c r="T185" s="215" t="s">
        <v>112</v>
      </c>
      <c r="U185" s="215" t="s">
        <v>113</v>
      </c>
      <c r="V185" s="220">
        <v>792</v>
      </c>
      <c r="W185" s="220">
        <v>792</v>
      </c>
      <c r="X185" s="221"/>
      <c r="Y185" s="222">
        <f t="shared" si="56"/>
        <v>0</v>
      </c>
      <c r="Z185" s="223">
        <f t="shared" si="57"/>
        <v>0</v>
      </c>
      <c r="AA185" s="223"/>
      <c r="AB185" s="807"/>
      <c r="AC185" s="220"/>
      <c r="AD185" s="209"/>
      <c r="AE185" s="210"/>
      <c r="AF185" s="210"/>
      <c r="AG185" s="211">
        <f t="shared" si="58"/>
        <v>0.308</v>
      </c>
      <c r="AH185" s="157">
        <f t="shared" si="61"/>
        <v>0</v>
      </c>
      <c r="AI185" s="152">
        <f t="shared" si="60"/>
        <v>28512</v>
      </c>
      <c r="AK185" s="156" t="s">
        <v>691</v>
      </c>
      <c r="AL185" s="574" t="s">
        <v>690</v>
      </c>
      <c r="AM185" s="198">
        <f t="shared" si="55"/>
        <v>0</v>
      </c>
      <c r="AN185" s="199">
        <f t="shared" si="46"/>
        <v>45322</v>
      </c>
      <c r="AO185" s="159" t="s">
        <v>692</v>
      </c>
      <c r="AP185" s="781"/>
      <c r="AQ185" s="782">
        <v>12063755</v>
      </c>
      <c r="AR185" s="782">
        <v>12061353</v>
      </c>
      <c r="AS185" s="782">
        <v>12061354</v>
      </c>
      <c r="AT185" s="782">
        <v>12068566</v>
      </c>
      <c r="AU185" s="781"/>
      <c r="AV185" s="782">
        <v>12068564</v>
      </c>
      <c r="AW185" s="782">
        <v>12062153</v>
      </c>
      <c r="AX185" s="782"/>
      <c r="AY185" s="782">
        <v>12068565</v>
      </c>
      <c r="AZ185" s="782"/>
      <c r="BA185" s="781"/>
    </row>
    <row r="186" spans="1:53" ht="25" hidden="1" customHeight="1">
      <c r="B186" s="213">
        <v>45322</v>
      </c>
      <c r="C186" s="578">
        <v>45335</v>
      </c>
      <c r="D186" s="185">
        <f t="shared" si="44"/>
        <v>2024</v>
      </c>
      <c r="E186" s="215" t="str">
        <f>VLOOKUP($B186,Week!$A$1:$C$1462,2,0)</f>
        <v>Week5</v>
      </c>
      <c r="F186" s="216" t="str">
        <f t="shared" si="45"/>
        <v>Jan</v>
      </c>
      <c r="G186" s="215" t="s">
        <v>807</v>
      </c>
      <c r="H186" s="215" t="s">
        <v>104</v>
      </c>
      <c r="I186" s="215" t="s">
        <v>2772</v>
      </c>
      <c r="J186" s="209" t="s">
        <v>105</v>
      </c>
      <c r="K186" s="217" t="s">
        <v>107</v>
      </c>
      <c r="L186" s="300" t="s">
        <v>2167</v>
      </c>
      <c r="M186" s="209" t="s">
        <v>108</v>
      </c>
      <c r="N186" s="215" t="s">
        <v>109</v>
      </c>
      <c r="O186" s="215" t="s">
        <v>110</v>
      </c>
      <c r="P186" s="218">
        <v>36</v>
      </c>
      <c r="Q186" s="218">
        <v>5</v>
      </c>
      <c r="R186" s="219">
        <v>7.4999999999999997E-3</v>
      </c>
      <c r="S186" s="215" t="s">
        <v>111</v>
      </c>
      <c r="T186" s="215" t="s">
        <v>112</v>
      </c>
      <c r="U186" s="215" t="s">
        <v>113</v>
      </c>
      <c r="V186" s="220">
        <v>792</v>
      </c>
      <c r="W186" s="220">
        <v>792</v>
      </c>
      <c r="X186" s="221"/>
      <c r="Y186" s="222">
        <f t="shared" si="56"/>
        <v>0</v>
      </c>
      <c r="Z186" s="223">
        <f t="shared" si="57"/>
        <v>0</v>
      </c>
      <c r="AA186" s="223"/>
      <c r="AB186" s="807"/>
      <c r="AC186" s="220"/>
      <c r="AD186" s="307" t="s">
        <v>1133</v>
      </c>
      <c r="AE186" s="210"/>
      <c r="AF186" s="210"/>
      <c r="AG186" s="211">
        <f t="shared" si="58"/>
        <v>0.308</v>
      </c>
      <c r="AH186" s="157">
        <f t="shared" si="61"/>
        <v>0</v>
      </c>
      <c r="AI186" s="152">
        <f t="shared" si="60"/>
        <v>28512</v>
      </c>
      <c r="AK186" s="156" t="s">
        <v>691</v>
      </c>
      <c r="AL186" s="574" t="s">
        <v>690</v>
      </c>
      <c r="AM186" s="198">
        <f t="shared" si="55"/>
        <v>0</v>
      </c>
      <c r="AN186" s="199">
        <f t="shared" si="46"/>
        <v>45322</v>
      </c>
      <c r="AO186" s="159" t="s">
        <v>692</v>
      </c>
      <c r="AP186" s="781"/>
      <c r="AQ186" s="782">
        <v>12063755</v>
      </c>
      <c r="AR186" s="782">
        <v>12061353</v>
      </c>
      <c r="AS186" s="782">
        <v>12061354</v>
      </c>
      <c r="AT186" s="782">
        <v>12068566</v>
      </c>
      <c r="AU186" s="781"/>
      <c r="AV186" s="782">
        <v>12068564</v>
      </c>
      <c r="AW186" s="782">
        <v>12062153</v>
      </c>
      <c r="AX186" s="782"/>
      <c r="AY186" s="782">
        <v>12068565</v>
      </c>
      <c r="AZ186" s="782"/>
      <c r="BA186" s="781"/>
    </row>
    <row r="187" spans="1:53" ht="25" hidden="1" customHeight="1">
      <c r="B187" s="213">
        <v>45322</v>
      </c>
      <c r="C187" s="578">
        <v>45335</v>
      </c>
      <c r="D187" s="185">
        <f t="shared" si="44"/>
        <v>2024</v>
      </c>
      <c r="E187" s="215" t="str">
        <f>VLOOKUP($B187,Week!$A$1:$C$1462,2,0)</f>
        <v>Week5</v>
      </c>
      <c r="F187" s="216" t="str">
        <f t="shared" si="45"/>
        <v>Jan</v>
      </c>
      <c r="G187" s="215" t="s">
        <v>808</v>
      </c>
      <c r="H187" s="215" t="s">
        <v>104</v>
      </c>
      <c r="I187" s="215" t="s">
        <v>2772</v>
      </c>
      <c r="J187" s="209" t="s">
        <v>105</v>
      </c>
      <c r="K187" s="217" t="s">
        <v>107</v>
      </c>
      <c r="L187" s="300" t="s">
        <v>2167</v>
      </c>
      <c r="M187" s="209" t="s">
        <v>108</v>
      </c>
      <c r="N187" s="215" t="s">
        <v>109</v>
      </c>
      <c r="O187" s="215" t="s">
        <v>110</v>
      </c>
      <c r="P187" s="218">
        <v>36</v>
      </c>
      <c r="Q187" s="218">
        <v>5</v>
      </c>
      <c r="R187" s="219">
        <v>7.4999999999999997E-3</v>
      </c>
      <c r="S187" s="215" t="s">
        <v>111</v>
      </c>
      <c r="T187" s="215" t="s">
        <v>112</v>
      </c>
      <c r="U187" s="215" t="s">
        <v>113</v>
      </c>
      <c r="V187" s="220">
        <v>502</v>
      </c>
      <c r="W187" s="220">
        <f>4027-357-792-792-792-792</f>
        <v>502</v>
      </c>
      <c r="X187" s="221"/>
      <c r="Y187" s="222">
        <f t="shared" si="56"/>
        <v>0</v>
      </c>
      <c r="Z187" s="223">
        <f t="shared" si="57"/>
        <v>0</v>
      </c>
      <c r="AA187" s="223"/>
      <c r="AB187" s="807"/>
      <c r="AC187" s="220"/>
      <c r="AD187" s="307" t="s">
        <v>1134</v>
      </c>
      <c r="AE187" s="210"/>
      <c r="AF187" s="210"/>
      <c r="AG187" s="211">
        <f t="shared" si="58"/>
        <v>0.308</v>
      </c>
      <c r="AH187" s="157">
        <f t="shared" si="61"/>
        <v>0</v>
      </c>
      <c r="AI187" s="152">
        <f t="shared" si="60"/>
        <v>18072</v>
      </c>
      <c r="AK187" s="156" t="s">
        <v>691</v>
      </c>
      <c r="AL187" s="574" t="s">
        <v>690</v>
      </c>
      <c r="AM187" s="198">
        <f t="shared" si="55"/>
        <v>0</v>
      </c>
      <c r="AN187" s="199">
        <f t="shared" si="46"/>
        <v>45322</v>
      </c>
      <c r="AO187" s="159" t="s">
        <v>692</v>
      </c>
      <c r="AP187" s="781"/>
      <c r="AQ187" s="782">
        <v>12063755</v>
      </c>
      <c r="AR187" s="782">
        <v>12061353</v>
      </c>
      <c r="AS187" s="782">
        <v>12061354</v>
      </c>
      <c r="AT187" s="782">
        <v>12068566</v>
      </c>
      <c r="AU187" s="781"/>
      <c r="AV187" s="782">
        <v>12068564</v>
      </c>
      <c r="AW187" s="782">
        <v>12062153</v>
      </c>
      <c r="AX187" s="782"/>
      <c r="AY187" s="782">
        <v>12068565</v>
      </c>
      <c r="AZ187" s="782"/>
      <c r="BA187" s="781"/>
    </row>
    <row r="188" spans="1:53" ht="25" hidden="1" customHeight="1">
      <c r="A188" s="142" t="s">
        <v>120</v>
      </c>
      <c r="B188" s="385">
        <v>45322</v>
      </c>
      <c r="C188" s="386">
        <v>45331</v>
      </c>
      <c r="D188" s="185">
        <f t="shared" si="44"/>
        <v>2024</v>
      </c>
      <c r="E188" s="386" t="str">
        <f>VLOOKUP($B188,Week!$A$1:$C$1462,2,0)</f>
        <v>Week5</v>
      </c>
      <c r="F188" s="387" t="str">
        <f t="shared" si="45"/>
        <v>Jan</v>
      </c>
      <c r="G188" s="388" t="s">
        <v>759</v>
      </c>
      <c r="H188" s="388" t="s">
        <v>500</v>
      </c>
      <c r="I188" s="388" t="s">
        <v>2772</v>
      </c>
      <c r="J188" s="389" t="s">
        <v>285</v>
      </c>
      <c r="K188" s="390" t="s">
        <v>153</v>
      </c>
      <c r="L188" s="390" t="s">
        <v>2166</v>
      </c>
      <c r="M188" s="389" t="s">
        <v>165</v>
      </c>
      <c r="N188" s="388" t="s">
        <v>286</v>
      </c>
      <c r="O188" s="388" t="s">
        <v>503</v>
      </c>
      <c r="P188" s="391">
        <v>40</v>
      </c>
      <c r="Q188" s="391">
        <v>12</v>
      </c>
      <c r="R188" s="392">
        <v>6.8100000000000001E-3</v>
      </c>
      <c r="S188" s="388" t="s">
        <v>76</v>
      </c>
      <c r="T188" s="388" t="s">
        <v>56</v>
      </c>
      <c r="U188" s="388" t="s">
        <v>89</v>
      </c>
      <c r="V188" s="393">
        <f>649</f>
        <v>649</v>
      </c>
      <c r="W188" s="393">
        <v>649</v>
      </c>
      <c r="X188" s="394"/>
      <c r="Y188" s="395">
        <f t="shared" si="56"/>
        <v>0</v>
      </c>
      <c r="Z188" s="396">
        <f t="shared" si="57"/>
        <v>0</v>
      </c>
      <c r="AA188" s="396">
        <f>Q188*Z188</f>
        <v>0</v>
      </c>
      <c r="AB188" s="823">
        <v>2</v>
      </c>
      <c r="AC188" s="393">
        <f>Z188*AB188</f>
        <v>0</v>
      </c>
      <c r="AD188" s="307" t="s">
        <v>1139</v>
      </c>
      <c r="AE188" s="210"/>
      <c r="AF188" s="210"/>
      <c r="AG188" s="211">
        <f t="shared" si="58"/>
        <v>0.154</v>
      </c>
      <c r="AH188" s="157">
        <f t="shared" si="61"/>
        <v>0</v>
      </c>
      <c r="AI188" s="152">
        <f t="shared" si="60"/>
        <v>25960</v>
      </c>
      <c r="AK188" s="156" t="s">
        <v>691</v>
      </c>
      <c r="AL188" s="156" t="s">
        <v>689</v>
      </c>
      <c r="AM188" s="198">
        <f t="shared" si="55"/>
        <v>0</v>
      </c>
      <c r="AN188" s="199">
        <f t="shared" si="46"/>
        <v>45322</v>
      </c>
      <c r="AO188" s="159" t="s">
        <v>692</v>
      </c>
      <c r="AP188" s="783" t="s">
        <v>611</v>
      </c>
      <c r="AQ188" s="782">
        <v>12028328</v>
      </c>
      <c r="AR188" s="782">
        <v>12019692</v>
      </c>
      <c r="AS188" s="781"/>
      <c r="AT188" s="782">
        <v>12065371</v>
      </c>
      <c r="AU188" s="782"/>
      <c r="AV188" s="782">
        <v>12055895</v>
      </c>
      <c r="AW188" s="782">
        <v>12034747</v>
      </c>
      <c r="AX188" s="782" t="s">
        <v>398</v>
      </c>
      <c r="AY188" s="781" t="s">
        <v>290</v>
      </c>
      <c r="AZ188" s="781"/>
      <c r="BA188" s="781"/>
    </row>
    <row r="189" spans="1:53" ht="25" hidden="1" customHeight="1">
      <c r="B189" s="246">
        <v>45323</v>
      </c>
      <c r="C189" s="247">
        <v>45335</v>
      </c>
      <c r="D189" s="185">
        <f t="shared" si="44"/>
        <v>2024</v>
      </c>
      <c r="E189" s="247" t="str">
        <f>VLOOKUP($B189,Week!$A$1:$C$1462,2,0)</f>
        <v>Week5</v>
      </c>
      <c r="F189" s="248" t="str">
        <f t="shared" si="45"/>
        <v>Feb</v>
      </c>
      <c r="G189" s="599" t="s">
        <v>881</v>
      </c>
      <c r="H189" s="249" t="s">
        <v>104</v>
      </c>
      <c r="I189" s="249" t="s">
        <v>2772</v>
      </c>
      <c r="J189" s="250" t="s">
        <v>105</v>
      </c>
      <c r="K189" s="251" t="s">
        <v>593</v>
      </c>
      <c r="L189" s="300" t="s">
        <v>2167</v>
      </c>
      <c r="M189" s="250" t="s">
        <v>594</v>
      </c>
      <c r="N189" s="249" t="s">
        <v>596</v>
      </c>
      <c r="O189" s="249" t="s">
        <v>304</v>
      </c>
      <c r="P189" s="252">
        <v>8</v>
      </c>
      <c r="Q189" s="252">
        <v>5</v>
      </c>
      <c r="R189" s="253">
        <v>6.0000000000000001E-3</v>
      </c>
      <c r="S189" s="249" t="s">
        <v>55</v>
      </c>
      <c r="T189" s="249" t="s">
        <v>112</v>
      </c>
      <c r="U189" s="249" t="s">
        <v>57</v>
      </c>
      <c r="V189" s="254">
        <f>229/8</f>
        <v>28.625</v>
      </c>
      <c r="W189" s="254">
        <v>29</v>
      </c>
      <c r="X189" s="255"/>
      <c r="Y189" s="256">
        <f t="shared" si="56"/>
        <v>0.375</v>
      </c>
      <c r="Z189" s="257">
        <f t="shared" si="57"/>
        <v>0</v>
      </c>
      <c r="AA189" s="257"/>
      <c r="AB189" s="810"/>
      <c r="AC189" s="254"/>
      <c r="AD189" s="209"/>
      <c r="AE189" s="210"/>
      <c r="AF189" s="210"/>
      <c r="AG189" s="211">
        <f t="shared" si="58"/>
        <v>0.25800000000000001</v>
      </c>
      <c r="AH189" s="157">
        <v>0.26621999999999996</v>
      </c>
      <c r="AI189" s="152">
        <f t="shared" si="60"/>
        <v>229</v>
      </c>
      <c r="AK189" s="156" t="s">
        <v>691</v>
      </c>
      <c r="AL189" s="574" t="s">
        <v>690</v>
      </c>
      <c r="AM189" s="198">
        <f>AG189*Z189</f>
        <v>0</v>
      </c>
      <c r="AN189" s="199">
        <f t="shared" si="46"/>
        <v>45323</v>
      </c>
      <c r="AO189" s="159" t="s">
        <v>692</v>
      </c>
      <c r="AP189" s="781"/>
      <c r="AQ189" s="782">
        <v>12071839</v>
      </c>
      <c r="AR189" s="782">
        <v>12042650</v>
      </c>
      <c r="AS189" s="782">
        <v>12042649</v>
      </c>
      <c r="AT189" s="782">
        <v>12084100</v>
      </c>
      <c r="AU189" s="781"/>
      <c r="AV189" s="782">
        <v>12084001</v>
      </c>
      <c r="AW189" s="781"/>
      <c r="AX189" s="781"/>
      <c r="AY189" s="781"/>
      <c r="AZ189" s="782"/>
      <c r="BA189" s="781"/>
    </row>
    <row r="190" spans="1:53" ht="25" hidden="1" customHeight="1">
      <c r="B190" s="246">
        <v>45323</v>
      </c>
      <c r="C190" s="247">
        <v>45342</v>
      </c>
      <c r="D190" s="185">
        <f t="shared" si="44"/>
        <v>2024</v>
      </c>
      <c r="E190" s="247" t="str">
        <f>VLOOKUP($B190,Week!$A$1:$C$1462,2,0)</f>
        <v>Week5</v>
      </c>
      <c r="F190" s="248" t="str">
        <f t="shared" si="45"/>
        <v>Feb</v>
      </c>
      <c r="G190" s="599" t="s">
        <v>882</v>
      </c>
      <c r="H190" s="249" t="s">
        <v>104</v>
      </c>
      <c r="I190" s="249" t="s">
        <v>2772</v>
      </c>
      <c r="J190" s="250" t="s">
        <v>105</v>
      </c>
      <c r="K190" s="251" t="s">
        <v>593</v>
      </c>
      <c r="L190" s="300" t="s">
        <v>2167</v>
      </c>
      <c r="M190" s="250" t="s">
        <v>594</v>
      </c>
      <c r="N190" s="249" t="s">
        <v>596</v>
      </c>
      <c r="O190" s="249" t="s">
        <v>304</v>
      </c>
      <c r="P190" s="252">
        <v>8</v>
      </c>
      <c r="Q190" s="252">
        <v>5</v>
      </c>
      <c r="R190" s="253">
        <v>6.0000000000000001E-3</v>
      </c>
      <c r="S190" s="249" t="s">
        <v>55</v>
      </c>
      <c r="T190" s="249" t="s">
        <v>112</v>
      </c>
      <c r="U190" s="249" t="s">
        <v>57</v>
      </c>
      <c r="V190" s="254">
        <v>2400</v>
      </c>
      <c r="W190" s="254"/>
      <c r="X190" s="255">
        <v>2400</v>
      </c>
      <c r="Y190" s="256">
        <f t="shared" si="56"/>
        <v>0</v>
      </c>
      <c r="Z190" s="257">
        <f t="shared" si="57"/>
        <v>0</v>
      </c>
      <c r="AA190" s="257"/>
      <c r="AB190" s="810"/>
      <c r="AC190" s="254"/>
      <c r="AD190" s="307" t="s">
        <v>1138</v>
      </c>
      <c r="AE190" s="210"/>
      <c r="AF190" s="210"/>
      <c r="AG190" s="211">
        <f t="shared" si="58"/>
        <v>0.25800000000000001</v>
      </c>
      <c r="AH190" s="157">
        <v>0.26621999999999996</v>
      </c>
      <c r="AI190" s="152">
        <f t="shared" si="60"/>
        <v>19200</v>
      </c>
      <c r="AK190" s="156" t="s">
        <v>691</v>
      </c>
      <c r="AL190" s="574" t="s">
        <v>690</v>
      </c>
      <c r="AM190" s="198">
        <f>AG190*Z190</f>
        <v>0</v>
      </c>
      <c r="AN190" s="199">
        <f t="shared" si="46"/>
        <v>45323</v>
      </c>
      <c r="AO190" s="159" t="s">
        <v>692</v>
      </c>
      <c r="AP190" s="781"/>
      <c r="AQ190" s="782">
        <v>12071839</v>
      </c>
      <c r="AR190" s="782">
        <v>12042650</v>
      </c>
      <c r="AS190" s="782">
        <v>12042649</v>
      </c>
      <c r="AT190" s="782">
        <v>12084100</v>
      </c>
      <c r="AU190" s="781"/>
      <c r="AV190" s="782">
        <v>12084001</v>
      </c>
      <c r="AW190" s="781"/>
      <c r="AX190" s="781"/>
      <c r="AY190" s="781"/>
      <c r="AZ190" s="782"/>
      <c r="BA190" s="781"/>
    </row>
    <row r="191" spans="1:53" ht="25" hidden="1" customHeight="1">
      <c r="B191" s="246">
        <v>45323</v>
      </c>
      <c r="C191" s="247">
        <v>45348</v>
      </c>
      <c r="D191" s="185">
        <f t="shared" si="44"/>
        <v>2024</v>
      </c>
      <c r="E191" s="247" t="str">
        <f>VLOOKUP($B191,Week!$A$1:$C$1462,2,0)</f>
        <v>Week5</v>
      </c>
      <c r="F191" s="248" t="str">
        <f t="shared" si="45"/>
        <v>Feb</v>
      </c>
      <c r="G191" s="599" t="s">
        <v>901</v>
      </c>
      <c r="H191" s="249" t="s">
        <v>104</v>
      </c>
      <c r="I191" s="249" t="s">
        <v>2772</v>
      </c>
      <c r="J191" s="250" t="s">
        <v>105</v>
      </c>
      <c r="K191" s="251" t="s">
        <v>593</v>
      </c>
      <c r="L191" s="300" t="s">
        <v>2167</v>
      </c>
      <c r="M191" s="250" t="s">
        <v>594</v>
      </c>
      <c r="N191" s="249" t="s">
        <v>596</v>
      </c>
      <c r="O191" s="249" t="s">
        <v>304</v>
      </c>
      <c r="P191" s="252">
        <v>8</v>
      </c>
      <c r="Q191" s="252">
        <v>5</v>
      </c>
      <c r="R191" s="253">
        <v>6.0000000000000001E-3</v>
      </c>
      <c r="S191" s="249" t="s">
        <v>55</v>
      </c>
      <c r="T191" s="249" t="s">
        <v>112</v>
      </c>
      <c r="U191" s="249" t="s">
        <v>57</v>
      </c>
      <c r="V191" s="254">
        <f>2400-34</f>
        <v>2366</v>
      </c>
      <c r="W191" s="254"/>
      <c r="X191" s="255">
        <f>(18928)/8</f>
        <v>2366</v>
      </c>
      <c r="Y191" s="256">
        <f t="shared" si="56"/>
        <v>0</v>
      </c>
      <c r="Z191" s="257">
        <f t="shared" si="57"/>
        <v>0</v>
      </c>
      <c r="AA191" s="257"/>
      <c r="AB191" s="810"/>
      <c r="AC191" s="254"/>
      <c r="AD191" s="307" t="s">
        <v>1141</v>
      </c>
      <c r="AE191" s="210"/>
      <c r="AF191" s="210"/>
      <c r="AG191" s="211">
        <f t="shared" si="58"/>
        <v>0.25800000000000001</v>
      </c>
      <c r="AH191" s="157">
        <v>0.26621999999999996</v>
      </c>
      <c r="AI191" s="152">
        <f t="shared" si="60"/>
        <v>18928</v>
      </c>
      <c r="AK191" s="156" t="s">
        <v>691</v>
      </c>
      <c r="AL191" s="574" t="s">
        <v>690</v>
      </c>
      <c r="AM191" s="198">
        <f t="shared" ref="AM191:AM196" si="62">AG191*Z191</f>
        <v>0</v>
      </c>
      <c r="AN191" s="199">
        <f t="shared" si="46"/>
        <v>45323</v>
      </c>
      <c r="AO191" s="159" t="s">
        <v>692</v>
      </c>
      <c r="AP191" s="781"/>
      <c r="AQ191" s="782">
        <v>12071839</v>
      </c>
      <c r="AR191" s="782">
        <v>12042650</v>
      </c>
      <c r="AS191" s="782">
        <v>12042649</v>
      </c>
      <c r="AT191" s="782">
        <v>12084100</v>
      </c>
      <c r="AU191" s="781"/>
      <c r="AV191" s="782">
        <v>12084001</v>
      </c>
      <c r="AW191" s="781"/>
      <c r="AX191" s="781"/>
      <c r="AY191" s="781"/>
      <c r="AZ191" s="782"/>
      <c r="BA191" s="781"/>
    </row>
    <row r="192" spans="1:53" ht="24.65" hidden="1" customHeight="1">
      <c r="B192" s="466">
        <v>45323</v>
      </c>
      <c r="C192" s="467">
        <v>45331</v>
      </c>
      <c r="D192" s="185">
        <f t="shared" si="44"/>
        <v>2024</v>
      </c>
      <c r="E192" s="467" t="str">
        <f>VLOOKUP($B192,Week!$A$1:$C$1462,2,0)</f>
        <v>Week5</v>
      </c>
      <c r="F192" s="469" t="str">
        <f t="shared" si="45"/>
        <v>Feb</v>
      </c>
      <c r="G192" s="468" t="s">
        <v>861</v>
      </c>
      <c r="H192" s="468" t="s">
        <v>675</v>
      </c>
      <c r="I192" s="468" t="s">
        <v>2772</v>
      </c>
      <c r="J192" s="471" t="s">
        <v>709</v>
      </c>
      <c r="K192" s="472" t="s">
        <v>107</v>
      </c>
      <c r="L192" s="300" t="s">
        <v>2167</v>
      </c>
      <c r="M192" s="471" t="s">
        <v>313</v>
      </c>
      <c r="N192" s="617" t="s">
        <v>696</v>
      </c>
      <c r="O192" s="468" t="s">
        <v>110</v>
      </c>
      <c r="P192" s="473">
        <v>36</v>
      </c>
      <c r="Q192" s="473">
        <v>5</v>
      </c>
      <c r="R192" s="474">
        <v>7.4999999999999997E-3</v>
      </c>
      <c r="S192" s="468" t="s">
        <v>111</v>
      </c>
      <c r="T192" s="468" t="s">
        <v>112</v>
      </c>
      <c r="U192" s="468" t="s">
        <v>57</v>
      </c>
      <c r="V192" s="475">
        <v>792</v>
      </c>
      <c r="W192" s="475">
        <v>792</v>
      </c>
      <c r="X192" s="476"/>
      <c r="Y192" s="477">
        <f t="shared" si="56"/>
        <v>0</v>
      </c>
      <c r="Z192" s="478">
        <f t="shared" si="57"/>
        <v>0</v>
      </c>
      <c r="AA192" s="478"/>
      <c r="AB192" s="828"/>
      <c r="AC192" s="475"/>
      <c r="AD192" s="307" t="s">
        <v>1136</v>
      </c>
      <c r="AE192" s="210"/>
      <c r="AF192" s="210"/>
      <c r="AG192" s="211">
        <f t="shared" si="58"/>
        <v>0.308</v>
      </c>
      <c r="AH192" s="157">
        <f t="shared" ref="AH192:AH199" si="63">(Z192*AG192)/1000</f>
        <v>0</v>
      </c>
      <c r="AI192" s="152">
        <f t="shared" si="60"/>
        <v>28512</v>
      </c>
      <c r="AK192" s="156" t="s">
        <v>691</v>
      </c>
      <c r="AL192" s="212" t="s">
        <v>690</v>
      </c>
      <c r="AM192" s="198">
        <f t="shared" si="62"/>
        <v>0</v>
      </c>
      <c r="AN192" s="199">
        <f t="shared" si="46"/>
        <v>45323</v>
      </c>
      <c r="AO192" s="159" t="s">
        <v>692</v>
      </c>
      <c r="AP192" s="783" t="s">
        <v>644</v>
      </c>
      <c r="AQ192" s="782">
        <v>12063755</v>
      </c>
      <c r="AR192" s="782">
        <v>12061353</v>
      </c>
      <c r="AS192" s="782">
        <v>12061354</v>
      </c>
      <c r="AT192" s="782">
        <v>12089990</v>
      </c>
      <c r="AU192" s="781"/>
      <c r="AV192" s="782">
        <v>12089997</v>
      </c>
      <c r="AW192" s="782">
        <v>12088207</v>
      </c>
      <c r="AX192" s="782"/>
      <c r="AY192" s="782">
        <v>12089998</v>
      </c>
      <c r="AZ192" s="782"/>
      <c r="BA192" s="781"/>
    </row>
    <row r="193" spans="1:53" ht="24.65" hidden="1" customHeight="1">
      <c r="B193" s="466">
        <v>45323</v>
      </c>
      <c r="C193" s="467">
        <v>45334</v>
      </c>
      <c r="D193" s="185">
        <f t="shared" si="44"/>
        <v>2024</v>
      </c>
      <c r="E193" s="467" t="str">
        <f>VLOOKUP($B193,Week!$A$1:$C$1462,2,0)</f>
        <v>Week5</v>
      </c>
      <c r="F193" s="469" t="str">
        <f t="shared" si="45"/>
        <v>Feb</v>
      </c>
      <c r="G193" s="468" t="s">
        <v>888</v>
      </c>
      <c r="H193" s="468" t="s">
        <v>675</v>
      </c>
      <c r="I193" s="468" t="s">
        <v>2772</v>
      </c>
      <c r="J193" s="471" t="s">
        <v>709</v>
      </c>
      <c r="K193" s="472" t="s">
        <v>107</v>
      </c>
      <c r="L193" s="300" t="s">
        <v>2167</v>
      </c>
      <c r="M193" s="471" t="s">
        <v>313</v>
      </c>
      <c r="N193" s="617" t="s">
        <v>696</v>
      </c>
      <c r="O193" s="468" t="s">
        <v>110</v>
      </c>
      <c r="P193" s="473">
        <v>36</v>
      </c>
      <c r="Q193" s="473">
        <v>5</v>
      </c>
      <c r="R193" s="474">
        <v>7.4999999999999997E-3</v>
      </c>
      <c r="S193" s="468" t="s">
        <v>111</v>
      </c>
      <c r="T193" s="468" t="s">
        <v>112</v>
      </c>
      <c r="U193" s="468" t="s">
        <v>57</v>
      </c>
      <c r="V193" s="475">
        <v>550</v>
      </c>
      <c r="W193" s="475">
        <v>550</v>
      </c>
      <c r="X193" s="476"/>
      <c r="Y193" s="477">
        <f t="shared" si="56"/>
        <v>0</v>
      </c>
      <c r="Z193" s="478">
        <f t="shared" si="57"/>
        <v>0</v>
      </c>
      <c r="AA193" s="478"/>
      <c r="AB193" s="828"/>
      <c r="AC193" s="475"/>
      <c r="AD193" s="515"/>
      <c r="AE193" s="210"/>
      <c r="AF193" s="210"/>
      <c r="AG193" s="211">
        <f t="shared" si="58"/>
        <v>0.308</v>
      </c>
      <c r="AH193" s="157">
        <f t="shared" si="63"/>
        <v>0</v>
      </c>
      <c r="AI193" s="152">
        <f t="shared" si="60"/>
        <v>19800</v>
      </c>
      <c r="AK193" s="156" t="s">
        <v>691</v>
      </c>
      <c r="AL193" s="212" t="s">
        <v>690</v>
      </c>
      <c r="AM193" s="198">
        <f t="shared" si="62"/>
        <v>0</v>
      </c>
      <c r="AN193" s="199">
        <f t="shared" si="46"/>
        <v>45323</v>
      </c>
      <c r="AO193" s="159" t="s">
        <v>692</v>
      </c>
      <c r="AP193" s="783" t="s">
        <v>644</v>
      </c>
      <c r="AQ193" s="782">
        <v>12063755</v>
      </c>
      <c r="AR193" s="782">
        <v>12061353</v>
      </c>
      <c r="AS193" s="782">
        <v>12061354</v>
      </c>
      <c r="AT193" s="782">
        <v>12089990</v>
      </c>
      <c r="AU193" s="781"/>
      <c r="AV193" s="782">
        <v>12089997</v>
      </c>
      <c r="AW193" s="782">
        <v>12088207</v>
      </c>
      <c r="AX193" s="782"/>
      <c r="AY193" s="782">
        <v>12089998</v>
      </c>
      <c r="AZ193" s="782"/>
      <c r="BA193" s="781"/>
    </row>
    <row r="194" spans="1:53" ht="25" hidden="1" customHeight="1">
      <c r="B194" s="398">
        <v>45323</v>
      </c>
      <c r="C194" s="399">
        <v>45327</v>
      </c>
      <c r="D194" s="185">
        <f t="shared" si="44"/>
        <v>2024</v>
      </c>
      <c r="E194" s="399" t="str">
        <f>VLOOKUP($B194,Week!$A$1:$C$1462,2,0)</f>
        <v>Week5</v>
      </c>
      <c r="F194" s="400" t="str">
        <f t="shared" si="45"/>
        <v>Feb</v>
      </c>
      <c r="G194" s="401" t="s">
        <v>887</v>
      </c>
      <c r="H194" s="401" t="s">
        <v>675</v>
      </c>
      <c r="I194" s="401" t="s">
        <v>2772</v>
      </c>
      <c r="J194" s="402" t="s">
        <v>709</v>
      </c>
      <c r="K194" s="403" t="s">
        <v>665</v>
      </c>
      <c r="L194" s="300" t="s">
        <v>2167</v>
      </c>
      <c r="M194" s="402" t="s">
        <v>654</v>
      </c>
      <c r="N194" s="401" t="s">
        <v>750</v>
      </c>
      <c r="O194" s="401" t="s">
        <v>655</v>
      </c>
      <c r="P194" s="405">
        <v>24</v>
      </c>
      <c r="Q194" s="405">
        <v>5</v>
      </c>
      <c r="R194" s="406">
        <v>7.4999999999999997E-3</v>
      </c>
      <c r="S194" s="401" t="s">
        <v>40</v>
      </c>
      <c r="T194" s="401" t="s">
        <v>112</v>
      </c>
      <c r="U194" s="622" t="s">
        <v>721</v>
      </c>
      <c r="V194" s="407">
        <v>390</v>
      </c>
      <c r="W194" s="407">
        <f>48+342</f>
        <v>390</v>
      </c>
      <c r="X194" s="408"/>
      <c r="Y194" s="409">
        <f t="shared" si="56"/>
        <v>0</v>
      </c>
      <c r="Z194" s="410">
        <f t="shared" si="57"/>
        <v>0</v>
      </c>
      <c r="AA194" s="410"/>
      <c r="AB194" s="824"/>
      <c r="AC194" s="407"/>
      <c r="AD194" s="307" t="s">
        <v>1135</v>
      </c>
      <c r="AE194" s="210"/>
      <c r="AF194" s="210"/>
      <c r="AG194" s="211">
        <f t="shared" si="58"/>
        <v>0.307</v>
      </c>
      <c r="AH194" s="157">
        <f t="shared" si="63"/>
        <v>0</v>
      </c>
      <c r="AI194" s="152">
        <f t="shared" si="60"/>
        <v>9360</v>
      </c>
      <c r="AK194" s="156" t="s">
        <v>691</v>
      </c>
      <c r="AL194" s="212" t="s">
        <v>690</v>
      </c>
      <c r="AM194" s="198">
        <f t="shared" si="62"/>
        <v>0</v>
      </c>
      <c r="AN194" s="199">
        <f t="shared" si="46"/>
        <v>45323</v>
      </c>
      <c r="AO194" s="159" t="s">
        <v>692</v>
      </c>
      <c r="AP194" s="781" t="s">
        <v>642</v>
      </c>
      <c r="AQ194" s="782">
        <v>12063755</v>
      </c>
      <c r="AR194" s="782">
        <v>12061353</v>
      </c>
      <c r="AS194" s="782">
        <v>12061354</v>
      </c>
      <c r="AT194" s="782">
        <v>12090189</v>
      </c>
      <c r="AU194" s="781"/>
      <c r="AV194" s="782">
        <v>12090188</v>
      </c>
      <c r="AW194" s="782">
        <v>12068154</v>
      </c>
      <c r="AX194" s="782"/>
      <c r="AY194" s="782">
        <v>12090190</v>
      </c>
      <c r="AZ194" s="782"/>
      <c r="BA194" s="781"/>
    </row>
    <row r="195" spans="1:53" ht="25" hidden="1" customHeight="1">
      <c r="B195" s="398">
        <v>45323</v>
      </c>
      <c r="C195" s="399">
        <v>45334</v>
      </c>
      <c r="D195" s="185">
        <f t="shared" si="44"/>
        <v>2024</v>
      </c>
      <c r="E195" s="399" t="str">
        <f>VLOOKUP($B195,Week!$A$1:$C$1462,2,0)</f>
        <v>Week5</v>
      </c>
      <c r="F195" s="400" t="str">
        <f t="shared" si="45"/>
        <v>Feb</v>
      </c>
      <c r="G195" s="401" t="s">
        <v>888</v>
      </c>
      <c r="H195" s="401" t="s">
        <v>675</v>
      </c>
      <c r="I195" s="401" t="s">
        <v>2772</v>
      </c>
      <c r="J195" s="402" t="s">
        <v>709</v>
      </c>
      <c r="K195" s="403" t="s">
        <v>665</v>
      </c>
      <c r="L195" s="300" t="s">
        <v>2167</v>
      </c>
      <c r="M195" s="402" t="s">
        <v>654</v>
      </c>
      <c r="N195" s="401" t="s">
        <v>750</v>
      </c>
      <c r="O195" s="401" t="s">
        <v>655</v>
      </c>
      <c r="P195" s="405">
        <v>24</v>
      </c>
      <c r="Q195" s="405">
        <v>5</v>
      </c>
      <c r="R195" s="406">
        <v>7.4999999999999997E-3</v>
      </c>
      <c r="S195" s="401" t="s">
        <v>40</v>
      </c>
      <c r="T195" s="401" t="s">
        <v>112</v>
      </c>
      <c r="U195" s="622" t="s">
        <v>721</v>
      </c>
      <c r="V195" s="407">
        <v>250</v>
      </c>
      <c r="W195" s="407">
        <f>589-342</f>
        <v>247</v>
      </c>
      <c r="X195" s="408">
        <v>3</v>
      </c>
      <c r="Y195" s="409">
        <f t="shared" si="56"/>
        <v>0</v>
      </c>
      <c r="Z195" s="410">
        <f t="shared" si="57"/>
        <v>0</v>
      </c>
      <c r="AA195" s="410"/>
      <c r="AB195" s="824"/>
      <c r="AC195" s="407"/>
      <c r="AD195" s="307" t="s">
        <v>1135</v>
      </c>
      <c r="AE195" s="210"/>
      <c r="AF195" s="210"/>
      <c r="AG195" s="211">
        <f t="shared" si="58"/>
        <v>0.307</v>
      </c>
      <c r="AH195" s="157">
        <f t="shared" si="63"/>
        <v>0</v>
      </c>
      <c r="AI195" s="152">
        <f t="shared" si="60"/>
        <v>6000</v>
      </c>
      <c r="AK195" s="156" t="s">
        <v>691</v>
      </c>
      <c r="AL195" s="212" t="s">
        <v>690</v>
      </c>
      <c r="AM195" s="198">
        <f t="shared" si="62"/>
        <v>0</v>
      </c>
      <c r="AN195" s="199">
        <f t="shared" si="46"/>
        <v>45323</v>
      </c>
      <c r="AO195" s="159" t="s">
        <v>692</v>
      </c>
      <c r="AP195" s="781" t="s">
        <v>642</v>
      </c>
      <c r="AQ195" s="782">
        <v>12063755</v>
      </c>
      <c r="AR195" s="782">
        <v>12061353</v>
      </c>
      <c r="AS195" s="782">
        <v>12061354</v>
      </c>
      <c r="AT195" s="782">
        <v>12090189</v>
      </c>
      <c r="AU195" s="781"/>
      <c r="AV195" s="782">
        <v>12090188</v>
      </c>
      <c r="AW195" s="782">
        <v>12068154</v>
      </c>
      <c r="AX195" s="782"/>
      <c r="AY195" s="782">
        <v>12090190</v>
      </c>
      <c r="AZ195" s="782"/>
      <c r="BA195" s="781"/>
    </row>
    <row r="196" spans="1:53" ht="25" hidden="1" customHeight="1">
      <c r="B196" s="258">
        <v>45323</v>
      </c>
      <c r="C196" s="259">
        <v>45342</v>
      </c>
      <c r="D196" s="185">
        <f t="shared" si="44"/>
        <v>2024</v>
      </c>
      <c r="E196" s="259" t="str">
        <f>VLOOKUP($B196,Week!$A$1:$C$1462,2,0)</f>
        <v>Week5</v>
      </c>
      <c r="F196" s="261" t="str">
        <f t="shared" si="45"/>
        <v>Feb</v>
      </c>
      <c r="G196" s="260" t="s">
        <v>826</v>
      </c>
      <c r="H196" s="260" t="s">
        <v>424</v>
      </c>
      <c r="I196" s="260" t="s">
        <v>2772</v>
      </c>
      <c r="J196" s="263" t="s">
        <v>653</v>
      </c>
      <c r="K196" s="264" t="s">
        <v>665</v>
      </c>
      <c r="L196" s="300" t="s">
        <v>2167</v>
      </c>
      <c r="M196" s="263" t="s">
        <v>654</v>
      </c>
      <c r="N196" s="260" t="s">
        <v>656</v>
      </c>
      <c r="O196" s="260" t="s">
        <v>655</v>
      </c>
      <c r="P196" s="265">
        <v>24</v>
      </c>
      <c r="Q196" s="265">
        <v>5</v>
      </c>
      <c r="R196" s="266">
        <v>7.4999999999999997E-3</v>
      </c>
      <c r="S196" s="260" t="s">
        <v>40</v>
      </c>
      <c r="T196" s="260" t="s">
        <v>112</v>
      </c>
      <c r="U196" s="621" t="s">
        <v>721</v>
      </c>
      <c r="V196" s="267">
        <v>924</v>
      </c>
      <c r="W196" s="267">
        <f>924</f>
        <v>924</v>
      </c>
      <c r="X196" s="268"/>
      <c r="Y196" s="269">
        <f t="shared" si="56"/>
        <v>0</v>
      </c>
      <c r="Z196" s="270">
        <f t="shared" si="57"/>
        <v>0</v>
      </c>
      <c r="AA196" s="270"/>
      <c r="AB196" s="811"/>
      <c r="AC196" s="267"/>
      <c r="AD196" s="307" t="s">
        <v>1137</v>
      </c>
      <c r="AE196" s="210"/>
      <c r="AF196" s="210"/>
      <c r="AG196" s="211">
        <f t="shared" si="58"/>
        <v>0.307</v>
      </c>
      <c r="AH196" s="157">
        <f t="shared" si="63"/>
        <v>0</v>
      </c>
      <c r="AI196" s="152">
        <f t="shared" si="60"/>
        <v>22176</v>
      </c>
      <c r="AK196" s="156" t="s">
        <v>691</v>
      </c>
      <c r="AL196" s="212" t="s">
        <v>690</v>
      </c>
      <c r="AM196" s="198">
        <f t="shared" si="62"/>
        <v>0</v>
      </c>
      <c r="AN196" s="199">
        <f t="shared" si="46"/>
        <v>45323</v>
      </c>
      <c r="AO196" s="159" t="s">
        <v>692</v>
      </c>
      <c r="AP196" s="781" t="s">
        <v>642</v>
      </c>
      <c r="AQ196" s="782">
        <v>12063755</v>
      </c>
      <c r="AR196" s="782">
        <v>12061353</v>
      </c>
      <c r="AS196" s="782">
        <v>12061354</v>
      </c>
      <c r="AT196" s="782">
        <v>12084023</v>
      </c>
      <c r="AU196" s="781"/>
      <c r="AV196" s="782">
        <v>12084228</v>
      </c>
      <c r="AW196" s="782"/>
      <c r="AX196" s="782"/>
      <c r="AY196" s="782"/>
      <c r="AZ196" s="782"/>
      <c r="BA196" s="781"/>
    </row>
    <row r="197" spans="1:53" ht="25" hidden="1" customHeight="1">
      <c r="A197" s="142" t="s">
        <v>120</v>
      </c>
      <c r="B197" s="385">
        <v>45323</v>
      </c>
      <c r="C197" s="386">
        <v>45331</v>
      </c>
      <c r="D197" s="185">
        <f t="shared" ref="D197:D260" si="64">IF(B197="","",YEAR(B197))</f>
        <v>2024</v>
      </c>
      <c r="E197" s="386" t="str">
        <f>VLOOKUP($B197,Week!$A$1:$C$1462,2,0)</f>
        <v>Week5</v>
      </c>
      <c r="F197" s="387" t="str">
        <f t="shared" ref="F197:F260" si="65">IF(B197="","",TEXT(B197,"[$-409]mmm"))</f>
        <v>Feb</v>
      </c>
      <c r="G197" s="388" t="s">
        <v>759</v>
      </c>
      <c r="H197" s="388" t="s">
        <v>500</v>
      </c>
      <c r="I197" s="388" t="s">
        <v>2772</v>
      </c>
      <c r="J197" s="389" t="s">
        <v>285</v>
      </c>
      <c r="K197" s="390" t="s">
        <v>153</v>
      </c>
      <c r="L197" s="390" t="s">
        <v>2166</v>
      </c>
      <c r="M197" s="389" t="s">
        <v>165</v>
      </c>
      <c r="N197" s="388" t="s">
        <v>286</v>
      </c>
      <c r="O197" s="388" t="s">
        <v>503</v>
      </c>
      <c r="P197" s="391">
        <v>40</v>
      </c>
      <c r="Q197" s="391">
        <v>12</v>
      </c>
      <c r="R197" s="392">
        <v>6.8100000000000001E-3</v>
      </c>
      <c r="S197" s="388" t="s">
        <v>76</v>
      </c>
      <c r="T197" s="388" t="s">
        <v>56</v>
      </c>
      <c r="U197" s="388" t="s">
        <v>89</v>
      </c>
      <c r="V197" s="393">
        <f>1624-364-649</f>
        <v>611</v>
      </c>
      <c r="W197" s="393">
        <v>611</v>
      </c>
      <c r="X197" s="394"/>
      <c r="Y197" s="395">
        <f t="shared" si="56"/>
        <v>0</v>
      </c>
      <c r="Z197" s="396">
        <f t="shared" si="57"/>
        <v>0</v>
      </c>
      <c r="AA197" s="396">
        <f>Q197*Z197</f>
        <v>0</v>
      </c>
      <c r="AB197" s="823">
        <v>2</v>
      </c>
      <c r="AC197" s="393">
        <f>Z197*AB197</f>
        <v>0</v>
      </c>
      <c r="AD197" s="307" t="s">
        <v>1140</v>
      </c>
      <c r="AE197" s="210"/>
      <c r="AF197" s="210"/>
      <c r="AG197" s="211">
        <f t="shared" si="58"/>
        <v>0.154</v>
      </c>
      <c r="AH197" s="157">
        <f t="shared" si="63"/>
        <v>0</v>
      </c>
      <c r="AI197" s="152">
        <f t="shared" si="60"/>
        <v>24440</v>
      </c>
      <c r="AK197" s="156" t="s">
        <v>691</v>
      </c>
      <c r="AL197" s="156" t="s">
        <v>689</v>
      </c>
      <c r="AM197" s="198">
        <f t="shared" ref="AM197:AM209" si="66">AG197*Z197</f>
        <v>0</v>
      </c>
      <c r="AN197" s="199">
        <f t="shared" ref="AN197:AN260" si="67">B197</f>
        <v>45323</v>
      </c>
      <c r="AO197" s="159" t="s">
        <v>692</v>
      </c>
      <c r="AP197" s="783" t="s">
        <v>611</v>
      </c>
      <c r="AQ197" s="782">
        <v>12028328</v>
      </c>
      <c r="AR197" s="782">
        <v>12019692</v>
      </c>
      <c r="AS197" s="781"/>
      <c r="AT197" s="782">
        <v>12065371</v>
      </c>
      <c r="AU197" s="782"/>
      <c r="AV197" s="782">
        <v>12055895</v>
      </c>
      <c r="AW197" s="782">
        <v>12034747</v>
      </c>
      <c r="AX197" s="782" t="s">
        <v>398</v>
      </c>
      <c r="AY197" s="781" t="s">
        <v>290</v>
      </c>
      <c r="AZ197" s="781"/>
      <c r="BA197" s="781"/>
    </row>
    <row r="198" spans="1:53" ht="24.65" hidden="1" customHeight="1">
      <c r="B198" s="411">
        <v>45324</v>
      </c>
      <c r="C198" s="412">
        <v>45334</v>
      </c>
      <c r="D198" s="185">
        <f t="shared" si="64"/>
        <v>2024</v>
      </c>
      <c r="E198" s="412" t="str">
        <f>VLOOKUP($B198,Week!$A$1:$C$1462,2,0)</f>
        <v>Week5</v>
      </c>
      <c r="F198" s="413" t="str">
        <f t="shared" si="65"/>
        <v>Feb</v>
      </c>
      <c r="G198" s="414" t="s">
        <v>47</v>
      </c>
      <c r="H198" s="414" t="s">
        <v>260</v>
      </c>
      <c r="I198" s="298" t="s">
        <v>2702</v>
      </c>
      <c r="J198" s="415" t="s">
        <v>261</v>
      </c>
      <c r="K198" s="416" t="s">
        <v>94</v>
      </c>
      <c r="L198" s="300" t="s">
        <v>2167</v>
      </c>
      <c r="M198" s="415" t="s">
        <v>1303</v>
      </c>
      <c r="N198" s="414" t="s">
        <v>263</v>
      </c>
      <c r="O198" s="414" t="s">
        <v>195</v>
      </c>
      <c r="P198" s="417">
        <v>24</v>
      </c>
      <c r="Q198" s="417">
        <v>5</v>
      </c>
      <c r="R198" s="418">
        <v>8.0000000000000002E-3</v>
      </c>
      <c r="S198" s="414" t="s">
        <v>40</v>
      </c>
      <c r="T198" s="414" t="s">
        <v>56</v>
      </c>
      <c r="U198" s="414" t="s">
        <v>57</v>
      </c>
      <c r="V198" s="419">
        <v>5524</v>
      </c>
      <c r="W198" s="419">
        <v>5524</v>
      </c>
      <c r="X198" s="420"/>
      <c r="Y198" s="421">
        <f t="shared" si="56"/>
        <v>0</v>
      </c>
      <c r="Z198" s="422">
        <f t="shared" si="57"/>
        <v>0</v>
      </c>
      <c r="AA198" s="422"/>
      <c r="AB198" s="825"/>
      <c r="AC198" s="419"/>
      <c r="AD198" s="209"/>
      <c r="AE198" s="210"/>
      <c r="AF198" s="210"/>
      <c r="AG198" s="211">
        <f t="shared" si="58"/>
        <v>0.14499999999999999</v>
      </c>
      <c r="AH198" s="157">
        <f t="shared" si="63"/>
        <v>0</v>
      </c>
      <c r="AI198" s="152">
        <f t="shared" si="60"/>
        <v>132576</v>
      </c>
      <c r="AK198" s="156" t="s">
        <v>691</v>
      </c>
      <c r="AL198" s="212" t="s">
        <v>690</v>
      </c>
      <c r="AM198" s="198">
        <f t="shared" si="66"/>
        <v>0</v>
      </c>
      <c r="AN198" s="199">
        <f t="shared" si="67"/>
        <v>45324</v>
      </c>
      <c r="AO198" s="159" t="s">
        <v>692</v>
      </c>
      <c r="AP198" s="783" t="s">
        <v>609</v>
      </c>
      <c r="AQ198" s="782">
        <v>12071839</v>
      </c>
      <c r="AR198" s="782">
        <v>12047514</v>
      </c>
      <c r="AS198" s="782">
        <v>12047515</v>
      </c>
      <c r="AT198" s="781"/>
      <c r="AU198" s="781"/>
      <c r="AV198" s="782">
        <v>12080613</v>
      </c>
      <c r="AW198" s="781"/>
      <c r="AX198" s="781"/>
      <c r="AY198" s="782">
        <v>12080614</v>
      </c>
      <c r="AZ198" s="782">
        <v>12080616</v>
      </c>
      <c r="BA198" s="781"/>
    </row>
    <row r="199" spans="1:53" ht="25" hidden="1" customHeight="1">
      <c r="A199" s="142" t="s">
        <v>120</v>
      </c>
      <c r="B199" s="271">
        <v>45324</v>
      </c>
      <c r="C199" s="272">
        <v>45331</v>
      </c>
      <c r="D199" s="185">
        <f t="shared" si="64"/>
        <v>2024</v>
      </c>
      <c r="E199" s="272" t="str">
        <f>VLOOKUP($B199,Week!$A$1:$C$1462,2,0)</f>
        <v>Week5</v>
      </c>
      <c r="F199" s="273" t="str">
        <f t="shared" si="65"/>
        <v>Feb</v>
      </c>
      <c r="G199" s="274" t="s">
        <v>840</v>
      </c>
      <c r="H199" s="274" t="s">
        <v>500</v>
      </c>
      <c r="I199" s="274" t="s">
        <v>2772</v>
      </c>
      <c r="J199" s="275" t="s">
        <v>285</v>
      </c>
      <c r="K199" s="276" t="s">
        <v>153</v>
      </c>
      <c r="L199" s="390" t="s">
        <v>2166</v>
      </c>
      <c r="M199" s="275" t="s">
        <v>86</v>
      </c>
      <c r="N199" s="274" t="s">
        <v>547</v>
      </c>
      <c r="O199" s="274" t="s">
        <v>548</v>
      </c>
      <c r="P199" s="277">
        <v>10</v>
      </c>
      <c r="Q199" s="277">
        <v>50</v>
      </c>
      <c r="R199" s="278">
        <v>6.8100000000000001E-3</v>
      </c>
      <c r="S199" s="274" t="s">
        <v>76</v>
      </c>
      <c r="T199" s="274" t="s">
        <v>56</v>
      </c>
      <c r="U199" s="274" t="s">
        <v>89</v>
      </c>
      <c r="V199" s="279">
        <v>622</v>
      </c>
      <c r="W199" s="279">
        <v>622</v>
      </c>
      <c r="X199" s="280"/>
      <c r="Y199" s="281">
        <f t="shared" si="56"/>
        <v>0</v>
      </c>
      <c r="Z199" s="282">
        <f t="shared" si="57"/>
        <v>0</v>
      </c>
      <c r="AA199" s="282">
        <f>Q199*Z199</f>
        <v>0</v>
      </c>
      <c r="AB199" s="812">
        <v>6</v>
      </c>
      <c r="AC199" s="279">
        <f>Z199*AB199</f>
        <v>0</v>
      </c>
      <c r="AD199" s="209"/>
      <c r="AE199" s="210"/>
      <c r="AF199" s="210"/>
      <c r="AG199" s="211">
        <f t="shared" si="58"/>
        <v>0.63</v>
      </c>
      <c r="AH199" s="157">
        <f t="shared" si="63"/>
        <v>0</v>
      </c>
      <c r="AI199" s="152">
        <f t="shared" si="60"/>
        <v>6220</v>
      </c>
      <c r="AK199" s="156" t="s">
        <v>691</v>
      </c>
      <c r="AL199" s="156" t="s">
        <v>689</v>
      </c>
      <c r="AM199" s="198">
        <f t="shared" si="66"/>
        <v>0</v>
      </c>
      <c r="AN199" s="199">
        <f t="shared" si="67"/>
        <v>45324</v>
      </c>
      <c r="AO199" s="159" t="s">
        <v>692</v>
      </c>
      <c r="AP199" s="783" t="s">
        <v>620</v>
      </c>
      <c r="AQ199" s="782" t="s">
        <v>549</v>
      </c>
      <c r="AR199" s="782">
        <v>12055234</v>
      </c>
      <c r="AS199" s="781"/>
      <c r="AT199" s="782"/>
      <c r="AU199" s="782"/>
      <c r="AV199" s="782">
        <v>12062809</v>
      </c>
      <c r="AW199" s="782"/>
      <c r="AX199" s="782" t="s">
        <v>619</v>
      </c>
      <c r="AY199" s="781"/>
      <c r="AZ199" s="781"/>
      <c r="BA199" s="781"/>
    </row>
    <row r="200" spans="1:53" ht="25" hidden="1" customHeight="1">
      <c r="A200" s="440"/>
      <c r="B200" s="332">
        <v>45325</v>
      </c>
      <c r="C200" s="333">
        <v>45337</v>
      </c>
      <c r="D200" s="185">
        <f t="shared" si="64"/>
        <v>2024</v>
      </c>
      <c r="E200" s="333" t="str">
        <f>VLOOKUP($B200,Week!$A$1:$C$1462,2,0)</f>
        <v>Week5</v>
      </c>
      <c r="F200" s="334" t="str">
        <f t="shared" si="65"/>
        <v>Feb</v>
      </c>
      <c r="G200" s="335" t="s">
        <v>891</v>
      </c>
      <c r="H200" s="335" t="s">
        <v>675</v>
      </c>
      <c r="I200" s="335" t="s">
        <v>2772</v>
      </c>
      <c r="J200" s="336" t="s">
        <v>709</v>
      </c>
      <c r="K200" s="337" t="s">
        <v>681</v>
      </c>
      <c r="L200" s="300" t="s">
        <v>2167</v>
      </c>
      <c r="M200" s="336" t="s">
        <v>683</v>
      </c>
      <c r="N200" s="530" t="s">
        <v>713</v>
      </c>
      <c r="O200" s="335" t="s">
        <v>684</v>
      </c>
      <c r="P200" s="338">
        <v>8</v>
      </c>
      <c r="Q200" s="338">
        <v>3</v>
      </c>
      <c r="R200" s="339">
        <v>6.0000000000000001E-3</v>
      </c>
      <c r="S200" s="335" t="s">
        <v>55</v>
      </c>
      <c r="T200" s="335" t="s">
        <v>112</v>
      </c>
      <c r="U200" s="340" t="s">
        <v>716</v>
      </c>
      <c r="V200" s="341">
        <v>250</v>
      </c>
      <c r="W200" s="341">
        <f>77+173</f>
        <v>250</v>
      </c>
      <c r="X200" s="342"/>
      <c r="Y200" s="343">
        <f t="shared" si="56"/>
        <v>0</v>
      </c>
      <c r="Z200" s="344">
        <f t="shared" si="57"/>
        <v>0</v>
      </c>
      <c r="AA200" s="344"/>
      <c r="AB200" s="817"/>
      <c r="AC200" s="341"/>
      <c r="AD200" s="307" t="s">
        <v>672</v>
      </c>
      <c r="AE200" s="210"/>
      <c r="AF200" s="210"/>
      <c r="AG200" s="211">
        <f t="shared" si="58"/>
        <v>0.219</v>
      </c>
      <c r="AH200" s="157">
        <v>0.26621999999999996</v>
      </c>
      <c r="AI200" s="152">
        <f t="shared" si="60"/>
        <v>2000</v>
      </c>
      <c r="AK200" s="156" t="s">
        <v>691</v>
      </c>
      <c r="AL200" s="574" t="s">
        <v>690</v>
      </c>
      <c r="AM200" s="198">
        <f t="shared" si="66"/>
        <v>0</v>
      </c>
      <c r="AN200" s="199">
        <f t="shared" si="67"/>
        <v>45325</v>
      </c>
      <c r="AO200" s="159" t="s">
        <v>692</v>
      </c>
      <c r="AP200" s="781" t="s">
        <v>642</v>
      </c>
      <c r="AQ200" s="782"/>
      <c r="AR200" s="782"/>
      <c r="AS200" s="782"/>
      <c r="AT200" s="782"/>
      <c r="AU200" s="781"/>
      <c r="AV200" s="782"/>
      <c r="AW200" s="781"/>
      <c r="AX200" s="781"/>
      <c r="AY200" s="781"/>
      <c r="AZ200" s="782"/>
      <c r="BA200" s="781"/>
    </row>
    <row r="201" spans="1:53" ht="24.65" hidden="1" customHeight="1">
      <c r="B201" s="308">
        <v>45325</v>
      </c>
      <c r="C201" s="309">
        <v>45344</v>
      </c>
      <c r="D201" s="185">
        <f t="shared" si="64"/>
        <v>2024</v>
      </c>
      <c r="E201" s="309" t="str">
        <f>VLOOKUP($B201,Week!$A$1:$C$1462,2,0)</f>
        <v>Week5</v>
      </c>
      <c r="F201" s="310" t="str">
        <f t="shared" si="65"/>
        <v>Feb</v>
      </c>
      <c r="G201" s="311" t="s">
        <v>920</v>
      </c>
      <c r="H201" s="311" t="s">
        <v>311</v>
      </c>
      <c r="I201" s="311" t="s">
        <v>2772</v>
      </c>
      <c r="J201" s="312" t="s">
        <v>738</v>
      </c>
      <c r="K201" s="313" t="s">
        <v>107</v>
      </c>
      <c r="L201" s="300" t="s">
        <v>2167</v>
      </c>
      <c r="M201" s="312" t="s">
        <v>313</v>
      </c>
      <c r="N201" s="311" t="s">
        <v>314</v>
      </c>
      <c r="O201" s="311" t="s">
        <v>110</v>
      </c>
      <c r="P201" s="314">
        <v>36</v>
      </c>
      <c r="Q201" s="314">
        <v>5</v>
      </c>
      <c r="R201" s="315">
        <v>7.4999999999999997E-3</v>
      </c>
      <c r="S201" s="311" t="s">
        <v>111</v>
      </c>
      <c r="T201" s="311" t="s">
        <v>112</v>
      </c>
      <c r="U201" s="311" t="s">
        <v>57</v>
      </c>
      <c r="V201" s="316">
        <v>792</v>
      </c>
      <c r="W201" s="316">
        <f>102+690</f>
        <v>792</v>
      </c>
      <c r="X201" s="317"/>
      <c r="Y201" s="318">
        <f t="shared" si="56"/>
        <v>0</v>
      </c>
      <c r="Z201" s="319">
        <f t="shared" si="57"/>
        <v>0</v>
      </c>
      <c r="AA201" s="319"/>
      <c r="AB201" s="815"/>
      <c r="AC201" s="316"/>
      <c r="AD201" s="307" t="s">
        <v>1132</v>
      </c>
      <c r="AE201" s="210"/>
      <c r="AF201" s="210"/>
      <c r="AG201" s="211">
        <f t="shared" si="58"/>
        <v>0.308</v>
      </c>
      <c r="AH201" s="157">
        <f t="shared" ref="AH201:AH206" si="68">(Z201*AG201)/1000</f>
        <v>0</v>
      </c>
      <c r="AI201" s="152">
        <f t="shared" si="60"/>
        <v>28512</v>
      </c>
      <c r="AK201" s="156" t="s">
        <v>691</v>
      </c>
      <c r="AL201" s="212" t="s">
        <v>690</v>
      </c>
      <c r="AM201" s="198">
        <f t="shared" si="66"/>
        <v>0</v>
      </c>
      <c r="AN201" s="199">
        <f t="shared" si="67"/>
        <v>45325</v>
      </c>
      <c r="AO201" s="159" t="s">
        <v>692</v>
      </c>
      <c r="AP201" s="783" t="s">
        <v>644</v>
      </c>
      <c r="AQ201" s="782">
        <v>12063755</v>
      </c>
      <c r="AR201" s="782">
        <v>12061353</v>
      </c>
      <c r="AS201" s="782">
        <v>12061354</v>
      </c>
      <c r="AT201" s="782">
        <v>12062266</v>
      </c>
      <c r="AU201" s="781"/>
      <c r="AV201" s="782">
        <v>12062261</v>
      </c>
      <c r="AW201" s="782">
        <v>12062153</v>
      </c>
      <c r="AX201" s="782"/>
      <c r="AY201" s="782">
        <v>12062262</v>
      </c>
      <c r="AZ201" s="782"/>
      <c r="BA201" s="781"/>
    </row>
    <row r="202" spans="1:53" ht="24.65" hidden="1" customHeight="1">
      <c r="B202" s="308">
        <v>45325</v>
      </c>
      <c r="C202" s="309">
        <v>45344</v>
      </c>
      <c r="D202" s="185">
        <f t="shared" si="64"/>
        <v>2024</v>
      </c>
      <c r="E202" s="309" t="str">
        <f>VLOOKUP($B202,Week!$A$1:$C$1462,2,0)</f>
        <v>Week5</v>
      </c>
      <c r="F202" s="310" t="str">
        <f t="shared" si="65"/>
        <v>Feb</v>
      </c>
      <c r="G202" s="311" t="s">
        <v>921</v>
      </c>
      <c r="H202" s="311" t="s">
        <v>311</v>
      </c>
      <c r="I202" s="311" t="s">
        <v>2772</v>
      </c>
      <c r="J202" s="312" t="s">
        <v>738</v>
      </c>
      <c r="K202" s="313" t="s">
        <v>107</v>
      </c>
      <c r="L202" s="300" t="s">
        <v>2167</v>
      </c>
      <c r="M202" s="312" t="s">
        <v>313</v>
      </c>
      <c r="N202" s="311" t="s">
        <v>314</v>
      </c>
      <c r="O202" s="311" t="s">
        <v>110</v>
      </c>
      <c r="P202" s="314">
        <v>36</v>
      </c>
      <c r="Q202" s="314">
        <v>5</v>
      </c>
      <c r="R202" s="315">
        <v>7.4999999999999997E-3</v>
      </c>
      <c r="S202" s="311" t="s">
        <v>111</v>
      </c>
      <c r="T202" s="311" t="s">
        <v>112</v>
      </c>
      <c r="U202" s="311" t="s">
        <v>57</v>
      </c>
      <c r="V202" s="316">
        <v>792</v>
      </c>
      <c r="W202" s="316">
        <v>792</v>
      </c>
      <c r="X202" s="317"/>
      <c r="Y202" s="318">
        <f t="shared" si="56"/>
        <v>0</v>
      </c>
      <c r="Z202" s="319">
        <f t="shared" si="57"/>
        <v>0</v>
      </c>
      <c r="AA202" s="319"/>
      <c r="AB202" s="815"/>
      <c r="AC202" s="316"/>
      <c r="AD202" s="515"/>
      <c r="AE202" s="210"/>
      <c r="AF202" s="210"/>
      <c r="AG202" s="211">
        <f t="shared" si="58"/>
        <v>0.308</v>
      </c>
      <c r="AH202" s="157">
        <f t="shared" si="68"/>
        <v>0</v>
      </c>
      <c r="AI202" s="152">
        <f t="shared" si="60"/>
        <v>28512</v>
      </c>
      <c r="AK202" s="156" t="s">
        <v>691</v>
      </c>
      <c r="AL202" s="212" t="s">
        <v>690</v>
      </c>
      <c r="AM202" s="198">
        <f t="shared" si="66"/>
        <v>0</v>
      </c>
      <c r="AN202" s="199">
        <f t="shared" si="67"/>
        <v>45325</v>
      </c>
      <c r="AO202" s="159" t="s">
        <v>692</v>
      </c>
      <c r="AP202" s="783" t="s">
        <v>644</v>
      </c>
      <c r="AQ202" s="782">
        <v>12063755</v>
      </c>
      <c r="AR202" s="782">
        <v>12061353</v>
      </c>
      <c r="AS202" s="782">
        <v>12061354</v>
      </c>
      <c r="AT202" s="782">
        <v>12062266</v>
      </c>
      <c r="AU202" s="781"/>
      <c r="AV202" s="782">
        <v>12062261</v>
      </c>
      <c r="AW202" s="782">
        <v>12062153</v>
      </c>
      <c r="AX202" s="782"/>
      <c r="AY202" s="782">
        <v>12062262</v>
      </c>
      <c r="AZ202" s="782"/>
      <c r="BA202" s="781"/>
    </row>
    <row r="203" spans="1:53" ht="24.65" hidden="1" customHeight="1">
      <c r="B203" s="308">
        <v>45325</v>
      </c>
      <c r="C203" s="309">
        <v>45351</v>
      </c>
      <c r="D203" s="185">
        <f t="shared" si="64"/>
        <v>2024</v>
      </c>
      <c r="E203" s="309" t="str">
        <f>VLOOKUP($B203,Week!$A$1:$C$1462,2,0)</f>
        <v>Week5</v>
      </c>
      <c r="F203" s="310" t="str">
        <f t="shared" si="65"/>
        <v>Feb</v>
      </c>
      <c r="G203" s="311" t="s">
        <v>922</v>
      </c>
      <c r="H203" s="311" t="s">
        <v>311</v>
      </c>
      <c r="I203" s="311" t="s">
        <v>2772</v>
      </c>
      <c r="J203" s="312" t="s">
        <v>738</v>
      </c>
      <c r="K203" s="313" t="s">
        <v>107</v>
      </c>
      <c r="L203" s="300" t="s">
        <v>2167</v>
      </c>
      <c r="M203" s="312" t="s">
        <v>313</v>
      </c>
      <c r="N203" s="311" t="s">
        <v>314</v>
      </c>
      <c r="O203" s="311" t="s">
        <v>110</v>
      </c>
      <c r="P203" s="314">
        <v>36</v>
      </c>
      <c r="Q203" s="314">
        <v>5</v>
      </c>
      <c r="R203" s="315">
        <v>7.4999999999999997E-3</v>
      </c>
      <c r="S203" s="311" t="s">
        <v>111</v>
      </c>
      <c r="T203" s="311" t="s">
        <v>112</v>
      </c>
      <c r="U203" s="311" t="s">
        <v>57</v>
      </c>
      <c r="V203" s="316">
        <v>792</v>
      </c>
      <c r="W203" s="316">
        <v>792</v>
      </c>
      <c r="X203" s="317"/>
      <c r="Y203" s="318">
        <f t="shared" si="56"/>
        <v>0</v>
      </c>
      <c r="Z203" s="319">
        <f t="shared" si="57"/>
        <v>0</v>
      </c>
      <c r="AA203" s="319"/>
      <c r="AB203" s="815"/>
      <c r="AC203" s="316"/>
      <c r="AD203" s="515"/>
      <c r="AE203" s="210"/>
      <c r="AF203" s="210"/>
      <c r="AG203" s="211">
        <f t="shared" si="58"/>
        <v>0.308</v>
      </c>
      <c r="AH203" s="157">
        <f t="shared" si="68"/>
        <v>0</v>
      </c>
      <c r="AI203" s="152">
        <f t="shared" si="60"/>
        <v>28512</v>
      </c>
      <c r="AK203" s="156" t="s">
        <v>691</v>
      </c>
      <c r="AL203" s="212" t="s">
        <v>690</v>
      </c>
      <c r="AM203" s="198">
        <f t="shared" si="66"/>
        <v>0</v>
      </c>
      <c r="AN203" s="199">
        <f t="shared" si="67"/>
        <v>45325</v>
      </c>
      <c r="AO203" s="159" t="s">
        <v>692</v>
      </c>
      <c r="AP203" s="783" t="s">
        <v>644</v>
      </c>
      <c r="AQ203" s="782">
        <v>12063755</v>
      </c>
      <c r="AR203" s="782">
        <v>12061353</v>
      </c>
      <c r="AS203" s="782">
        <v>12061354</v>
      </c>
      <c r="AT203" s="782">
        <v>12062266</v>
      </c>
      <c r="AU203" s="781"/>
      <c r="AV203" s="782">
        <v>12062261</v>
      </c>
      <c r="AW203" s="782">
        <v>12062153</v>
      </c>
      <c r="AX203" s="782"/>
      <c r="AY203" s="782">
        <v>12062262</v>
      </c>
      <c r="AZ203" s="782"/>
      <c r="BA203" s="781"/>
    </row>
    <row r="204" spans="1:53" ht="24.65" hidden="1" customHeight="1">
      <c r="B204" s="308">
        <v>45325</v>
      </c>
      <c r="C204" s="309">
        <v>45351</v>
      </c>
      <c r="D204" s="185">
        <f t="shared" si="64"/>
        <v>2024</v>
      </c>
      <c r="E204" s="309" t="str">
        <f>VLOOKUP($B204,Week!$A$1:$C$1462,2,0)</f>
        <v>Week5</v>
      </c>
      <c r="F204" s="310" t="str">
        <f t="shared" si="65"/>
        <v>Feb</v>
      </c>
      <c r="G204" s="311" t="s">
        <v>923</v>
      </c>
      <c r="H204" s="311" t="s">
        <v>311</v>
      </c>
      <c r="I204" s="311" t="s">
        <v>2772</v>
      </c>
      <c r="J204" s="312" t="s">
        <v>738</v>
      </c>
      <c r="K204" s="313" t="s">
        <v>107</v>
      </c>
      <c r="L204" s="300" t="s">
        <v>2167</v>
      </c>
      <c r="M204" s="312" t="s">
        <v>313</v>
      </c>
      <c r="N204" s="311" t="s">
        <v>314</v>
      </c>
      <c r="O204" s="311" t="s">
        <v>110</v>
      </c>
      <c r="P204" s="314">
        <v>36</v>
      </c>
      <c r="Q204" s="314">
        <v>5</v>
      </c>
      <c r="R204" s="315">
        <v>7.4999999999999997E-3</v>
      </c>
      <c r="S204" s="311" t="s">
        <v>111</v>
      </c>
      <c r="T204" s="311" t="s">
        <v>112</v>
      </c>
      <c r="U204" s="311" t="s">
        <v>57</v>
      </c>
      <c r="V204" s="316">
        <v>792</v>
      </c>
      <c r="W204" s="316">
        <v>792</v>
      </c>
      <c r="X204" s="317"/>
      <c r="Y204" s="318">
        <f t="shared" si="56"/>
        <v>0</v>
      </c>
      <c r="Z204" s="319">
        <f t="shared" si="57"/>
        <v>0</v>
      </c>
      <c r="AA204" s="319"/>
      <c r="AB204" s="815"/>
      <c r="AC204" s="316"/>
      <c r="AD204" s="515"/>
      <c r="AE204" s="210"/>
      <c r="AF204" s="210"/>
      <c r="AG204" s="211">
        <f t="shared" si="58"/>
        <v>0.308</v>
      </c>
      <c r="AH204" s="157">
        <f t="shared" si="68"/>
        <v>0</v>
      </c>
      <c r="AI204" s="152">
        <f t="shared" si="60"/>
        <v>28512</v>
      </c>
      <c r="AK204" s="156" t="s">
        <v>691</v>
      </c>
      <c r="AL204" s="212" t="s">
        <v>690</v>
      </c>
      <c r="AM204" s="198">
        <f t="shared" si="66"/>
        <v>0</v>
      </c>
      <c r="AN204" s="199">
        <f t="shared" si="67"/>
        <v>45325</v>
      </c>
      <c r="AO204" s="159" t="s">
        <v>692</v>
      </c>
      <c r="AP204" s="783" t="s">
        <v>644</v>
      </c>
      <c r="AQ204" s="782">
        <v>12063755</v>
      </c>
      <c r="AR204" s="782">
        <v>12061353</v>
      </c>
      <c r="AS204" s="782">
        <v>12061354</v>
      </c>
      <c r="AT204" s="782">
        <v>12062266</v>
      </c>
      <c r="AU204" s="781"/>
      <c r="AV204" s="782">
        <v>12062261</v>
      </c>
      <c r="AW204" s="782">
        <v>12062153</v>
      </c>
      <c r="AX204" s="782"/>
      <c r="AY204" s="782">
        <v>12062262</v>
      </c>
      <c r="AZ204" s="782"/>
      <c r="BA204" s="781"/>
    </row>
    <row r="205" spans="1:53" ht="24.65" hidden="1" customHeight="1">
      <c r="B205" s="308">
        <v>45325</v>
      </c>
      <c r="C205" s="309">
        <v>45358</v>
      </c>
      <c r="D205" s="185">
        <f t="shared" si="64"/>
        <v>2024</v>
      </c>
      <c r="E205" s="309" t="str">
        <f>VLOOKUP($B205,Week!$A$1:$C$1462,2,0)</f>
        <v>Week5</v>
      </c>
      <c r="F205" s="310" t="str">
        <f t="shared" si="65"/>
        <v>Feb</v>
      </c>
      <c r="G205" s="311" t="s">
        <v>924</v>
      </c>
      <c r="H205" s="311" t="s">
        <v>311</v>
      </c>
      <c r="I205" s="311" t="s">
        <v>2772</v>
      </c>
      <c r="J205" s="312" t="s">
        <v>738</v>
      </c>
      <c r="K205" s="313" t="s">
        <v>107</v>
      </c>
      <c r="L205" s="300" t="s">
        <v>2167</v>
      </c>
      <c r="M205" s="312" t="s">
        <v>313</v>
      </c>
      <c r="N205" s="311" t="s">
        <v>314</v>
      </c>
      <c r="O205" s="311" t="s">
        <v>110</v>
      </c>
      <c r="P205" s="314">
        <v>36</v>
      </c>
      <c r="Q205" s="314">
        <v>5</v>
      </c>
      <c r="R205" s="315">
        <v>7.4999999999999997E-3</v>
      </c>
      <c r="S205" s="311" t="s">
        <v>111</v>
      </c>
      <c r="T205" s="311" t="s">
        <v>112</v>
      </c>
      <c r="U205" s="311" t="s">
        <v>57</v>
      </c>
      <c r="V205" s="316">
        <v>792</v>
      </c>
      <c r="W205" s="316">
        <v>792</v>
      </c>
      <c r="X205" s="317"/>
      <c r="Y205" s="318">
        <f t="shared" si="56"/>
        <v>0</v>
      </c>
      <c r="Z205" s="319">
        <f t="shared" si="57"/>
        <v>0</v>
      </c>
      <c r="AA205" s="319"/>
      <c r="AB205" s="815"/>
      <c r="AC205" s="316"/>
      <c r="AD205" s="515"/>
      <c r="AE205" s="210"/>
      <c r="AF205" s="210"/>
      <c r="AG205" s="211">
        <f t="shared" si="58"/>
        <v>0.308</v>
      </c>
      <c r="AH205" s="157">
        <f t="shared" si="68"/>
        <v>0</v>
      </c>
      <c r="AI205" s="152">
        <f t="shared" si="60"/>
        <v>28512</v>
      </c>
      <c r="AK205" s="156" t="s">
        <v>691</v>
      </c>
      <c r="AL205" s="212" t="s">
        <v>690</v>
      </c>
      <c r="AM205" s="198">
        <f t="shared" si="66"/>
        <v>0</v>
      </c>
      <c r="AN205" s="199">
        <f t="shared" si="67"/>
        <v>45325</v>
      </c>
      <c r="AO205" s="159" t="s">
        <v>692</v>
      </c>
      <c r="AP205" s="783" t="s">
        <v>644</v>
      </c>
      <c r="AQ205" s="782">
        <v>12063755</v>
      </c>
      <c r="AR205" s="782">
        <v>12061353</v>
      </c>
      <c r="AS205" s="782">
        <v>12061354</v>
      </c>
      <c r="AT205" s="782">
        <v>12062266</v>
      </c>
      <c r="AU205" s="781"/>
      <c r="AV205" s="782">
        <v>12062261</v>
      </c>
      <c r="AW205" s="782">
        <v>12062153</v>
      </c>
      <c r="AX205" s="782"/>
      <c r="AY205" s="782">
        <v>12062262</v>
      </c>
      <c r="AZ205" s="782"/>
      <c r="BA205" s="781"/>
    </row>
    <row r="206" spans="1:53" ht="25" hidden="1" customHeight="1">
      <c r="A206" s="142" t="s">
        <v>120</v>
      </c>
      <c r="B206" s="271">
        <v>45325</v>
      </c>
      <c r="C206" s="272">
        <v>45331</v>
      </c>
      <c r="D206" s="185">
        <f t="shared" si="64"/>
        <v>2024</v>
      </c>
      <c r="E206" s="272" t="str">
        <f>VLOOKUP($B206,Week!$A$1:$C$1462,2,0)</f>
        <v>Week5</v>
      </c>
      <c r="F206" s="273" t="str">
        <f t="shared" si="65"/>
        <v>Feb</v>
      </c>
      <c r="G206" s="274" t="s">
        <v>840</v>
      </c>
      <c r="H206" s="274" t="s">
        <v>500</v>
      </c>
      <c r="I206" s="274" t="s">
        <v>2772</v>
      </c>
      <c r="J206" s="275" t="s">
        <v>285</v>
      </c>
      <c r="K206" s="276" t="s">
        <v>153</v>
      </c>
      <c r="L206" s="390" t="s">
        <v>2166</v>
      </c>
      <c r="M206" s="275" t="s">
        <v>86</v>
      </c>
      <c r="N206" s="274" t="s">
        <v>547</v>
      </c>
      <c r="O206" s="274" t="s">
        <v>548</v>
      </c>
      <c r="P206" s="277">
        <v>10</v>
      </c>
      <c r="Q206" s="277">
        <v>50</v>
      </c>
      <c r="R206" s="278">
        <v>6.8100000000000001E-3</v>
      </c>
      <c r="S206" s="274" t="s">
        <v>76</v>
      </c>
      <c r="T206" s="274" t="s">
        <v>56</v>
      </c>
      <c r="U206" s="274" t="s">
        <v>89</v>
      </c>
      <c r="V206" s="279">
        <v>646</v>
      </c>
      <c r="W206" s="279">
        <f>646</f>
        <v>646</v>
      </c>
      <c r="X206" s="280"/>
      <c r="Y206" s="281">
        <f t="shared" si="56"/>
        <v>0</v>
      </c>
      <c r="Z206" s="282">
        <f t="shared" si="57"/>
        <v>0</v>
      </c>
      <c r="AA206" s="282">
        <f>Q206*Z206</f>
        <v>0</v>
      </c>
      <c r="AB206" s="812">
        <v>6</v>
      </c>
      <c r="AC206" s="279">
        <f>Z206*AB206</f>
        <v>0</v>
      </c>
      <c r="AD206" s="209"/>
      <c r="AE206" s="210"/>
      <c r="AF206" s="210"/>
      <c r="AG206" s="211">
        <f t="shared" si="58"/>
        <v>0.63</v>
      </c>
      <c r="AH206" s="157">
        <f t="shared" si="68"/>
        <v>0</v>
      </c>
      <c r="AI206" s="152">
        <f t="shared" si="60"/>
        <v>6460</v>
      </c>
      <c r="AK206" s="156" t="s">
        <v>691</v>
      </c>
      <c r="AL206" s="156" t="s">
        <v>689</v>
      </c>
      <c r="AM206" s="198">
        <f t="shared" si="66"/>
        <v>0</v>
      </c>
      <c r="AN206" s="199">
        <f t="shared" si="67"/>
        <v>45325</v>
      </c>
      <c r="AO206" s="159" t="s">
        <v>692</v>
      </c>
      <c r="AP206" s="783" t="s">
        <v>620</v>
      </c>
      <c r="AQ206" s="782" t="s">
        <v>549</v>
      </c>
      <c r="AR206" s="782">
        <v>12055234</v>
      </c>
      <c r="AS206" s="781"/>
      <c r="AT206" s="782"/>
      <c r="AU206" s="782"/>
      <c r="AV206" s="782">
        <v>12062809</v>
      </c>
      <c r="AW206" s="782"/>
      <c r="AX206" s="782" t="s">
        <v>619</v>
      </c>
      <c r="AY206" s="781"/>
      <c r="AZ206" s="781"/>
      <c r="BA206" s="781"/>
    </row>
    <row r="207" spans="1:53" ht="25" hidden="1" customHeight="1">
      <c r="B207" s="183">
        <v>45326</v>
      </c>
      <c r="C207" s="184"/>
      <c r="D207" s="185">
        <f t="shared" si="64"/>
        <v>2024</v>
      </c>
      <c r="E207" s="185" t="str">
        <f>VLOOKUP($B207,Week!$A$1:$C$1462,2,0)</f>
        <v>Week5</v>
      </c>
      <c r="F207" s="186" t="str">
        <f t="shared" si="65"/>
        <v>Feb</v>
      </c>
      <c r="G207" s="185"/>
      <c r="H207" s="185"/>
      <c r="I207" s="185"/>
      <c r="J207" s="187"/>
      <c r="K207" s="188"/>
      <c r="L207" s="300"/>
      <c r="M207" s="187"/>
      <c r="N207" s="185"/>
      <c r="O207" s="185"/>
      <c r="P207" s="189"/>
      <c r="Q207" s="189"/>
      <c r="R207" s="190"/>
      <c r="S207" s="185"/>
      <c r="T207" s="185"/>
      <c r="U207" s="185"/>
      <c r="V207" s="191"/>
      <c r="W207" s="191"/>
      <c r="X207" s="192"/>
      <c r="Y207" s="193"/>
      <c r="Z207" s="194"/>
      <c r="AA207" s="194"/>
      <c r="AB207" s="805"/>
      <c r="AC207" s="191"/>
      <c r="AD207" s="187"/>
      <c r="AE207" s="195"/>
      <c r="AF207" s="195"/>
      <c r="AG207" s="196"/>
      <c r="AH207" s="197"/>
      <c r="AK207" s="156" t="s">
        <v>691</v>
      </c>
      <c r="AM207" s="198">
        <f t="shared" si="66"/>
        <v>0</v>
      </c>
      <c r="AN207" s="199">
        <f t="shared" si="67"/>
        <v>45326</v>
      </c>
      <c r="AO207" s="159" t="s">
        <v>692</v>
      </c>
      <c r="AP207" s="781"/>
      <c r="AQ207" s="782"/>
      <c r="AR207" s="782"/>
      <c r="AS207" s="782"/>
      <c r="AT207" s="782"/>
      <c r="AU207" s="781"/>
      <c r="AV207" s="782"/>
      <c r="AW207" s="782"/>
      <c r="AX207" s="782"/>
      <c r="AY207" s="782"/>
      <c r="AZ207" s="782"/>
      <c r="BA207" s="781"/>
    </row>
    <row r="208" spans="1:53" ht="25" hidden="1" customHeight="1">
      <c r="A208" s="142" t="s">
        <v>438</v>
      </c>
      <c r="B208" s="424">
        <v>45327</v>
      </c>
      <c r="C208" s="425">
        <v>45335</v>
      </c>
      <c r="D208" s="185">
        <f t="shared" si="64"/>
        <v>2024</v>
      </c>
      <c r="E208" s="427" t="str">
        <f>VLOOKUP($B208,Week!$A$1:$C$1462,2,0)</f>
        <v>Week6</v>
      </c>
      <c r="F208" s="426" t="str">
        <f t="shared" si="65"/>
        <v>Feb</v>
      </c>
      <c r="G208" s="427" t="s">
        <v>881</v>
      </c>
      <c r="H208" s="427" t="s">
        <v>104</v>
      </c>
      <c r="I208" s="427" t="s">
        <v>2772</v>
      </c>
      <c r="J208" s="428" t="s">
        <v>105</v>
      </c>
      <c r="K208" s="429" t="s">
        <v>433</v>
      </c>
      <c r="L208" s="300" t="s">
        <v>2167</v>
      </c>
      <c r="M208" s="428" t="s">
        <v>565</v>
      </c>
      <c r="N208" s="427" t="s">
        <v>567</v>
      </c>
      <c r="O208" s="427" t="s">
        <v>566</v>
      </c>
      <c r="P208" s="430">
        <v>16</v>
      </c>
      <c r="Q208" s="430">
        <v>6</v>
      </c>
      <c r="R208" s="431">
        <v>8.1300000000000001E-3</v>
      </c>
      <c r="S208" s="427" t="s">
        <v>40</v>
      </c>
      <c r="T208" s="427" t="s">
        <v>112</v>
      </c>
      <c r="U208" s="427" t="s">
        <v>662</v>
      </c>
      <c r="V208" s="432">
        <v>600</v>
      </c>
      <c r="W208" s="432">
        <f>8+22+587-17</f>
        <v>600</v>
      </c>
      <c r="X208" s="433"/>
      <c r="Y208" s="434">
        <f t="shared" ref="Y208:Y238" si="69">(W208+X208)-V208</f>
        <v>0</v>
      </c>
      <c r="Z208" s="435">
        <f t="shared" ref="Z208:Z238" si="70">IF(Y208&lt;0,((V208*P208)-((W208+X208)*P208)),0)</f>
        <v>0</v>
      </c>
      <c r="AA208" s="435"/>
      <c r="AB208" s="826">
        <v>1</v>
      </c>
      <c r="AC208" s="432">
        <f>AB208*V208*P208</f>
        <v>9600</v>
      </c>
      <c r="AD208" s="307" t="s">
        <v>573</v>
      </c>
      <c r="AE208" s="511"/>
      <c r="AF208" s="511"/>
      <c r="AG208" s="211">
        <f t="shared" ref="AG208:AG238" si="71">MID(O208,1,3)/1000</f>
        <v>0.11700000000000001</v>
      </c>
      <c r="AH208" s="157">
        <f t="shared" ref="AH208:AH226" si="72">(Z208*AG208)/1000</f>
        <v>0</v>
      </c>
      <c r="AI208" s="152">
        <f t="shared" ref="AI208:AI238" si="73">V208*P208</f>
        <v>9600</v>
      </c>
      <c r="AK208" s="156" t="s">
        <v>691</v>
      </c>
      <c r="AL208" s="574" t="s">
        <v>690</v>
      </c>
      <c r="AM208" s="198">
        <f t="shared" si="66"/>
        <v>0</v>
      </c>
      <c r="AN208" s="199">
        <f t="shared" si="67"/>
        <v>45327</v>
      </c>
      <c r="AO208" s="159" t="s">
        <v>692</v>
      </c>
      <c r="AP208" s="781"/>
      <c r="AQ208" s="782"/>
      <c r="AR208" s="782">
        <v>12080450</v>
      </c>
      <c r="AS208" s="782"/>
      <c r="AT208" s="782">
        <v>12083198</v>
      </c>
      <c r="AU208" s="781"/>
      <c r="AV208" s="782">
        <v>12080491</v>
      </c>
      <c r="AW208" s="782"/>
      <c r="AX208" s="782" t="s">
        <v>627</v>
      </c>
      <c r="AY208" s="782"/>
      <c r="AZ208" s="782"/>
      <c r="BA208" s="781"/>
    </row>
    <row r="209" spans="1:53" ht="24.75" hidden="1" customHeight="1">
      <c r="B209" s="295">
        <v>45327</v>
      </c>
      <c r="C209" s="296">
        <v>45335</v>
      </c>
      <c r="D209" s="185">
        <f t="shared" si="64"/>
        <v>2024</v>
      </c>
      <c r="E209" s="296" t="str">
        <f>VLOOKUP($B209,Week!$A$1:$C$1462,2,0)</f>
        <v>Week6</v>
      </c>
      <c r="F209" s="297" t="str">
        <f t="shared" si="65"/>
        <v>Feb</v>
      </c>
      <c r="G209" s="298" t="s">
        <v>47</v>
      </c>
      <c r="H209" s="298" t="s">
        <v>260</v>
      </c>
      <c r="I209" s="298" t="s">
        <v>2702</v>
      </c>
      <c r="J209" s="307" t="s">
        <v>904</v>
      </c>
      <c r="K209" s="300" t="s">
        <v>176</v>
      </c>
      <c r="L209" s="300" t="s">
        <v>2167</v>
      </c>
      <c r="M209" s="299" t="s">
        <v>262</v>
      </c>
      <c r="N209" s="298" t="s">
        <v>350</v>
      </c>
      <c r="O209" s="298" t="s">
        <v>351</v>
      </c>
      <c r="P209" s="301">
        <v>24</v>
      </c>
      <c r="Q209" s="301">
        <v>5</v>
      </c>
      <c r="R209" s="302">
        <v>6.1999999999999998E-3</v>
      </c>
      <c r="S209" s="298" t="s">
        <v>352</v>
      </c>
      <c r="T209" s="298" t="s">
        <v>56</v>
      </c>
      <c r="U209" s="298" t="s">
        <v>57</v>
      </c>
      <c r="V209" s="303">
        <v>4127</v>
      </c>
      <c r="W209" s="303">
        <f>4127</f>
        <v>4127</v>
      </c>
      <c r="X209" s="304"/>
      <c r="Y209" s="305">
        <f t="shared" si="69"/>
        <v>0</v>
      </c>
      <c r="Z209" s="306">
        <f t="shared" si="70"/>
        <v>0</v>
      </c>
      <c r="AA209" s="306"/>
      <c r="AB209" s="814"/>
      <c r="AC209" s="303"/>
      <c r="AD209" s="580" t="s">
        <v>672</v>
      </c>
      <c r="AE209" s="210"/>
      <c r="AF209" s="210"/>
      <c r="AG209" s="211">
        <f t="shared" si="71"/>
        <v>0.13</v>
      </c>
      <c r="AH209" s="157">
        <f t="shared" si="72"/>
        <v>0</v>
      </c>
      <c r="AI209" s="152">
        <f t="shared" si="73"/>
        <v>99048</v>
      </c>
      <c r="AK209" s="156" t="s">
        <v>691</v>
      </c>
      <c r="AL209" s="574" t="s">
        <v>690</v>
      </c>
      <c r="AM209" s="198">
        <f t="shared" si="66"/>
        <v>0</v>
      </c>
      <c r="AN209" s="199">
        <f t="shared" si="67"/>
        <v>45327</v>
      </c>
      <c r="AO209" s="159" t="s">
        <v>692</v>
      </c>
      <c r="AP209" s="783" t="s">
        <v>629</v>
      </c>
      <c r="AQ209" s="782">
        <v>12071839</v>
      </c>
      <c r="AR209" s="782">
        <v>12078867</v>
      </c>
      <c r="AS209" s="782">
        <v>12068233</v>
      </c>
      <c r="AT209" s="781"/>
      <c r="AU209" s="781"/>
      <c r="AV209" s="782">
        <v>12062075</v>
      </c>
      <c r="AW209" s="781"/>
      <c r="AX209" s="781"/>
      <c r="AY209" s="782">
        <v>12078868</v>
      </c>
      <c r="AZ209" s="781"/>
      <c r="BA209" s="781"/>
    </row>
    <row r="210" spans="1:53" ht="25" hidden="1" customHeight="1">
      <c r="B210" s="357">
        <v>45327</v>
      </c>
      <c r="C210" s="358">
        <v>45345</v>
      </c>
      <c r="D210" s="185">
        <f t="shared" si="64"/>
        <v>2024</v>
      </c>
      <c r="E210" s="358" t="str">
        <f>VLOOKUP($B210,Week!$A$1:$C$1462,2,0)</f>
        <v>Week6</v>
      </c>
      <c r="F210" s="360" t="str">
        <f t="shared" si="65"/>
        <v>Feb</v>
      </c>
      <c r="G210" s="358" t="s">
        <v>914</v>
      </c>
      <c r="H210" s="359" t="s">
        <v>431</v>
      </c>
      <c r="I210" s="359" t="s">
        <v>2772</v>
      </c>
      <c r="J210" s="361" t="s">
        <v>432</v>
      </c>
      <c r="K210" s="362" t="s">
        <v>365</v>
      </c>
      <c r="L210" s="300" t="s">
        <v>2167</v>
      </c>
      <c r="M210" s="361" t="s">
        <v>561</v>
      </c>
      <c r="N210" s="359" t="s">
        <v>562</v>
      </c>
      <c r="O210" s="359" t="s">
        <v>187</v>
      </c>
      <c r="P210" s="363">
        <v>8</v>
      </c>
      <c r="Q210" s="363">
        <v>4</v>
      </c>
      <c r="R210" s="364">
        <v>7.4999999999999997E-3</v>
      </c>
      <c r="S210" s="359" t="s">
        <v>111</v>
      </c>
      <c r="T210" s="359" t="s">
        <v>112</v>
      </c>
      <c r="U210" s="359" t="s">
        <v>57</v>
      </c>
      <c r="V210" s="365">
        <f>1200-100</f>
        <v>1100</v>
      </c>
      <c r="W210" s="365"/>
      <c r="X210" s="366">
        <f>(36+8789)/8</f>
        <v>1103.125</v>
      </c>
      <c r="Y210" s="367">
        <f t="shared" si="69"/>
        <v>3.125</v>
      </c>
      <c r="Z210" s="368">
        <f t="shared" si="70"/>
        <v>0</v>
      </c>
      <c r="AA210" s="368"/>
      <c r="AB210" s="819"/>
      <c r="AC210" s="365"/>
      <c r="AD210" s="209">
        <f>(39699-315)/8</f>
        <v>4923</v>
      </c>
      <c r="AE210" s="210"/>
      <c r="AF210" s="210"/>
      <c r="AG210" s="211">
        <f t="shared" si="71"/>
        <v>0.14499999999999999</v>
      </c>
      <c r="AH210" s="157">
        <f t="shared" si="72"/>
        <v>0</v>
      </c>
      <c r="AI210" s="152">
        <f t="shared" si="73"/>
        <v>8800</v>
      </c>
      <c r="AK210" s="156" t="s">
        <v>691</v>
      </c>
      <c r="AL210" s="212" t="s">
        <v>690</v>
      </c>
      <c r="AM210" s="198">
        <f t="shared" ref="AM210:AM226" si="74">AG210*Z210</f>
        <v>0</v>
      </c>
      <c r="AN210" s="199">
        <f t="shared" si="67"/>
        <v>45327</v>
      </c>
      <c r="AO210" s="159" t="s">
        <v>692</v>
      </c>
      <c r="AP210" s="783" t="s">
        <v>613</v>
      </c>
      <c r="AQ210" s="782">
        <v>12071839</v>
      </c>
      <c r="AR210" s="782">
        <v>12047514</v>
      </c>
      <c r="AS210" s="782">
        <v>12047515</v>
      </c>
      <c r="AT210" s="782">
        <v>12062626</v>
      </c>
      <c r="AU210" s="782" t="s">
        <v>563</v>
      </c>
      <c r="AV210" s="782">
        <v>12062625</v>
      </c>
      <c r="AW210" s="782"/>
      <c r="AX210" s="782"/>
      <c r="AY210" s="782"/>
      <c r="AZ210" s="782"/>
      <c r="BA210" s="781"/>
    </row>
    <row r="211" spans="1:53" ht="25" hidden="1" customHeight="1">
      <c r="A211" s="142" t="s">
        <v>120</v>
      </c>
      <c r="B211" s="271">
        <v>45327</v>
      </c>
      <c r="C211" s="272">
        <v>45331</v>
      </c>
      <c r="D211" s="185">
        <f t="shared" si="64"/>
        <v>2024</v>
      </c>
      <c r="E211" s="272" t="str">
        <f>VLOOKUP($B211,Week!$A$1:$C$1462,2,0)</f>
        <v>Week6</v>
      </c>
      <c r="F211" s="273" t="str">
        <f t="shared" si="65"/>
        <v>Feb</v>
      </c>
      <c r="G211" s="274" t="s">
        <v>840</v>
      </c>
      <c r="H211" s="274" t="s">
        <v>500</v>
      </c>
      <c r="I211" s="274" t="s">
        <v>2772</v>
      </c>
      <c r="J211" s="275" t="s">
        <v>285</v>
      </c>
      <c r="K211" s="276" t="s">
        <v>153</v>
      </c>
      <c r="L211" s="390" t="s">
        <v>2166</v>
      </c>
      <c r="M211" s="275" t="s">
        <v>86</v>
      </c>
      <c r="N211" s="274" t="s">
        <v>547</v>
      </c>
      <c r="O211" s="274" t="s">
        <v>548</v>
      </c>
      <c r="P211" s="277">
        <v>10</v>
      </c>
      <c r="Q211" s="277">
        <v>50</v>
      </c>
      <c r="R211" s="278">
        <v>6.8100000000000001E-3</v>
      </c>
      <c r="S211" s="274" t="s">
        <v>76</v>
      </c>
      <c r="T211" s="274" t="s">
        <v>56</v>
      </c>
      <c r="U211" s="274" t="s">
        <v>89</v>
      </c>
      <c r="V211" s="279">
        <v>631</v>
      </c>
      <c r="W211" s="279">
        <f>631</f>
        <v>631</v>
      </c>
      <c r="X211" s="280"/>
      <c r="Y211" s="281">
        <f t="shared" si="69"/>
        <v>0</v>
      </c>
      <c r="Z211" s="282">
        <f t="shared" si="70"/>
        <v>0</v>
      </c>
      <c r="AA211" s="282">
        <f>Q211*Z211</f>
        <v>0</v>
      </c>
      <c r="AB211" s="812">
        <v>6</v>
      </c>
      <c r="AC211" s="279">
        <f>Z211*AB211</f>
        <v>0</v>
      </c>
      <c r="AD211" s="209"/>
      <c r="AE211" s="210"/>
      <c r="AF211" s="210"/>
      <c r="AG211" s="211">
        <f t="shared" si="71"/>
        <v>0.63</v>
      </c>
      <c r="AH211" s="157">
        <f t="shared" si="72"/>
        <v>0</v>
      </c>
      <c r="AI211" s="152">
        <f t="shared" si="73"/>
        <v>6310</v>
      </c>
      <c r="AK211" s="156" t="s">
        <v>691</v>
      </c>
      <c r="AL211" s="156" t="s">
        <v>689</v>
      </c>
      <c r="AM211" s="198">
        <f t="shared" si="74"/>
        <v>0</v>
      </c>
      <c r="AN211" s="199">
        <f t="shared" si="67"/>
        <v>45327</v>
      </c>
      <c r="AO211" s="159" t="s">
        <v>692</v>
      </c>
      <c r="AP211" s="783" t="s">
        <v>620</v>
      </c>
      <c r="AQ211" s="782" t="s">
        <v>549</v>
      </c>
      <c r="AR211" s="782">
        <v>12055234</v>
      </c>
      <c r="AS211" s="781"/>
      <c r="AT211" s="782"/>
      <c r="AU211" s="782"/>
      <c r="AV211" s="782">
        <v>12062809</v>
      </c>
      <c r="AW211" s="782"/>
      <c r="AX211" s="782" t="s">
        <v>619</v>
      </c>
      <c r="AY211" s="781"/>
      <c r="AZ211" s="781"/>
      <c r="BA211" s="781"/>
    </row>
    <row r="212" spans="1:53" ht="25" hidden="1" customHeight="1">
      <c r="A212" s="142" t="s">
        <v>438</v>
      </c>
      <c r="B212" s="424">
        <v>45328</v>
      </c>
      <c r="C212" s="425">
        <v>45342</v>
      </c>
      <c r="D212" s="185">
        <f t="shared" si="64"/>
        <v>2024</v>
      </c>
      <c r="E212" s="427" t="str">
        <f>VLOOKUP($B212,Week!$A$1:$C$1462,2,0)</f>
        <v>Week6</v>
      </c>
      <c r="F212" s="426" t="str">
        <f t="shared" si="65"/>
        <v>Feb</v>
      </c>
      <c r="G212" s="427" t="s">
        <v>882</v>
      </c>
      <c r="H212" s="427" t="s">
        <v>104</v>
      </c>
      <c r="I212" s="427" t="s">
        <v>2772</v>
      </c>
      <c r="J212" s="428" t="s">
        <v>105</v>
      </c>
      <c r="K212" s="429" t="s">
        <v>433</v>
      </c>
      <c r="L212" s="300" t="s">
        <v>2167</v>
      </c>
      <c r="M212" s="428" t="s">
        <v>565</v>
      </c>
      <c r="N212" s="427" t="s">
        <v>567</v>
      </c>
      <c r="O212" s="427" t="s">
        <v>566</v>
      </c>
      <c r="P212" s="430">
        <v>16</v>
      </c>
      <c r="Q212" s="430">
        <v>6</v>
      </c>
      <c r="R212" s="431">
        <v>8.1300000000000001E-3</v>
      </c>
      <c r="S212" s="427" t="s">
        <v>40</v>
      </c>
      <c r="T212" s="427" t="s">
        <v>112</v>
      </c>
      <c r="U212" s="427" t="s">
        <v>662</v>
      </c>
      <c r="V212" s="432">
        <f>650</f>
        <v>650</v>
      </c>
      <c r="W212" s="432">
        <f>17+40+278+315</f>
        <v>650</v>
      </c>
      <c r="X212" s="433"/>
      <c r="Y212" s="434">
        <f t="shared" si="69"/>
        <v>0</v>
      </c>
      <c r="Z212" s="435">
        <f t="shared" si="70"/>
        <v>0</v>
      </c>
      <c r="AA212" s="435"/>
      <c r="AB212" s="826">
        <v>1</v>
      </c>
      <c r="AC212" s="432">
        <f>AB212*V212*P212</f>
        <v>10400</v>
      </c>
      <c r="AD212" s="307" t="s">
        <v>573</v>
      </c>
      <c r="AE212" s="511"/>
      <c r="AF212" s="511"/>
      <c r="AG212" s="211">
        <f t="shared" si="71"/>
        <v>0.11700000000000001</v>
      </c>
      <c r="AH212" s="157">
        <f t="shared" si="72"/>
        <v>0</v>
      </c>
      <c r="AI212" s="152">
        <f t="shared" si="73"/>
        <v>10400</v>
      </c>
      <c r="AK212" s="156" t="s">
        <v>691</v>
      </c>
      <c r="AL212" s="574" t="s">
        <v>690</v>
      </c>
      <c r="AM212" s="198">
        <f t="shared" si="74"/>
        <v>0</v>
      </c>
      <c r="AN212" s="199">
        <f t="shared" si="67"/>
        <v>45328</v>
      </c>
      <c r="AO212" s="159" t="s">
        <v>692</v>
      </c>
      <c r="AP212" s="781"/>
      <c r="AQ212" s="782"/>
      <c r="AR212" s="782">
        <v>12080450</v>
      </c>
      <c r="AS212" s="782"/>
      <c r="AT212" s="782">
        <v>12083198</v>
      </c>
      <c r="AU212" s="781"/>
      <c r="AV212" s="782">
        <v>12080491</v>
      </c>
      <c r="AW212" s="782"/>
      <c r="AX212" s="782" t="s">
        <v>627</v>
      </c>
      <c r="AY212" s="782"/>
      <c r="AZ212" s="782"/>
      <c r="BA212" s="781"/>
    </row>
    <row r="213" spans="1:53" ht="24.65" hidden="1" customHeight="1">
      <c r="B213" s="602">
        <v>45328</v>
      </c>
      <c r="C213" s="603">
        <v>45331</v>
      </c>
      <c r="D213" s="185">
        <f t="shared" si="64"/>
        <v>2024</v>
      </c>
      <c r="E213" s="603" t="str">
        <f>VLOOKUP($B213,Week!$A$1:$C$1462,2,0)</f>
        <v>Week6</v>
      </c>
      <c r="F213" s="605" t="str">
        <f t="shared" si="65"/>
        <v>Feb</v>
      </c>
      <c r="G213" s="604" t="s">
        <v>1127</v>
      </c>
      <c r="H213" s="604" t="s">
        <v>82</v>
      </c>
      <c r="I213" s="604" t="s">
        <v>82</v>
      </c>
      <c r="J213" s="606" t="s">
        <v>235</v>
      </c>
      <c r="K213" s="607" t="s">
        <v>107</v>
      </c>
      <c r="L213" s="300" t="s">
        <v>2167</v>
      </c>
      <c r="M213" s="606" t="s">
        <v>654</v>
      </c>
      <c r="N213" s="604" t="s">
        <v>753</v>
      </c>
      <c r="O213" s="604" t="s">
        <v>110</v>
      </c>
      <c r="P213" s="608">
        <v>36</v>
      </c>
      <c r="Q213" s="608">
        <v>5</v>
      </c>
      <c r="R213" s="609">
        <v>7.4999999999999997E-3</v>
      </c>
      <c r="S213" s="604" t="s">
        <v>111</v>
      </c>
      <c r="T213" s="604" t="s">
        <v>112</v>
      </c>
      <c r="U213" s="604" t="s">
        <v>113</v>
      </c>
      <c r="V213" s="610">
        <v>792</v>
      </c>
      <c r="W213" s="610">
        <f>1+791</f>
        <v>792</v>
      </c>
      <c r="X213" s="611"/>
      <c r="Y213" s="612">
        <f t="shared" si="69"/>
        <v>0</v>
      </c>
      <c r="Z213" s="613">
        <f t="shared" si="70"/>
        <v>0</v>
      </c>
      <c r="AA213" s="613"/>
      <c r="AB213" s="836"/>
      <c r="AC213" s="610"/>
      <c r="AD213" s="307" t="s">
        <v>1175</v>
      </c>
      <c r="AE213" s="210"/>
      <c r="AF213" s="210"/>
      <c r="AG213" s="211">
        <f t="shared" si="71"/>
        <v>0.308</v>
      </c>
      <c r="AH213" s="157">
        <f t="shared" si="72"/>
        <v>0</v>
      </c>
      <c r="AI213" s="152">
        <f t="shared" si="73"/>
        <v>28512</v>
      </c>
      <c r="AK213" s="156" t="s">
        <v>691</v>
      </c>
      <c r="AL213" s="212" t="s">
        <v>690</v>
      </c>
      <c r="AM213" s="198">
        <f t="shared" si="74"/>
        <v>0</v>
      </c>
      <c r="AN213" s="199">
        <f t="shared" si="67"/>
        <v>45328</v>
      </c>
      <c r="AO213" s="159" t="s">
        <v>692</v>
      </c>
      <c r="AP213" s="783" t="s">
        <v>644</v>
      </c>
      <c r="AQ213" s="782">
        <v>12063755</v>
      </c>
      <c r="AR213" s="782">
        <v>12061353</v>
      </c>
      <c r="AS213" s="782">
        <v>12061354</v>
      </c>
      <c r="AT213" s="782">
        <v>12062266</v>
      </c>
      <c r="AU213" s="781"/>
      <c r="AV213" s="782">
        <v>12062261</v>
      </c>
      <c r="AW213" s="782">
        <v>12062153</v>
      </c>
      <c r="AX213" s="782"/>
      <c r="AY213" s="782">
        <v>12062262</v>
      </c>
      <c r="AZ213" s="782"/>
      <c r="BA213" s="781"/>
    </row>
    <row r="214" spans="1:53" ht="25" hidden="1" customHeight="1">
      <c r="B214" s="213">
        <v>45328</v>
      </c>
      <c r="C214" s="578">
        <v>45335</v>
      </c>
      <c r="D214" s="185">
        <f t="shared" si="64"/>
        <v>2024</v>
      </c>
      <c r="E214" s="215" t="str">
        <f>VLOOKUP($B214,Week!$A$1:$C$1462,2,0)</f>
        <v>Week6</v>
      </c>
      <c r="F214" s="216" t="str">
        <f t="shared" si="65"/>
        <v>Feb</v>
      </c>
      <c r="G214" s="215" t="s">
        <v>808</v>
      </c>
      <c r="H214" s="215" t="s">
        <v>104</v>
      </c>
      <c r="I214" s="215" t="s">
        <v>2772</v>
      </c>
      <c r="J214" s="209" t="s">
        <v>105</v>
      </c>
      <c r="K214" s="217" t="s">
        <v>107</v>
      </c>
      <c r="L214" s="300" t="s">
        <v>2167</v>
      </c>
      <c r="M214" s="209" t="s">
        <v>108</v>
      </c>
      <c r="N214" s="215" t="s">
        <v>109</v>
      </c>
      <c r="O214" s="215" t="s">
        <v>110</v>
      </c>
      <c r="P214" s="218">
        <v>36</v>
      </c>
      <c r="Q214" s="218">
        <v>5</v>
      </c>
      <c r="R214" s="219">
        <v>7.4999999999999997E-3</v>
      </c>
      <c r="S214" s="215" t="s">
        <v>111</v>
      </c>
      <c r="T214" s="215" t="s">
        <v>112</v>
      </c>
      <c r="U214" s="215" t="s">
        <v>113</v>
      </c>
      <c r="V214" s="220">
        <f>792-502</f>
        <v>290</v>
      </c>
      <c r="W214" s="220">
        <f>792-502</f>
        <v>290</v>
      </c>
      <c r="X214" s="221"/>
      <c r="Y214" s="222">
        <f t="shared" si="69"/>
        <v>0</v>
      </c>
      <c r="Z214" s="223">
        <f t="shared" si="70"/>
        <v>0</v>
      </c>
      <c r="AA214" s="223"/>
      <c r="AB214" s="807"/>
      <c r="AC214" s="220"/>
      <c r="AD214" s="209"/>
      <c r="AE214" s="210"/>
      <c r="AF214" s="210"/>
      <c r="AG214" s="211">
        <f t="shared" si="71"/>
        <v>0.308</v>
      </c>
      <c r="AH214" s="157">
        <f t="shared" si="72"/>
        <v>0</v>
      </c>
      <c r="AI214" s="152">
        <f t="shared" si="73"/>
        <v>10440</v>
      </c>
      <c r="AK214" s="156" t="s">
        <v>691</v>
      </c>
      <c r="AL214" s="574" t="s">
        <v>690</v>
      </c>
      <c r="AM214" s="198">
        <f t="shared" si="74"/>
        <v>0</v>
      </c>
      <c r="AN214" s="199">
        <f t="shared" si="67"/>
        <v>45328</v>
      </c>
      <c r="AO214" s="159" t="s">
        <v>692</v>
      </c>
      <c r="AP214" s="781"/>
      <c r="AQ214" s="782">
        <v>12063755</v>
      </c>
      <c r="AR214" s="782">
        <v>12061353</v>
      </c>
      <c r="AS214" s="782">
        <v>12061354</v>
      </c>
      <c r="AT214" s="782">
        <v>12068566</v>
      </c>
      <c r="AU214" s="781"/>
      <c r="AV214" s="782">
        <v>12068564</v>
      </c>
      <c r="AW214" s="782">
        <v>12062153</v>
      </c>
      <c r="AX214" s="782"/>
      <c r="AY214" s="782">
        <v>12068565</v>
      </c>
      <c r="AZ214" s="782"/>
      <c r="BA214" s="781"/>
    </row>
    <row r="215" spans="1:53" ht="25" hidden="1" customHeight="1">
      <c r="B215" s="213">
        <v>45328</v>
      </c>
      <c r="C215" s="578">
        <v>45335</v>
      </c>
      <c r="D215" s="185">
        <f t="shared" si="64"/>
        <v>2024</v>
      </c>
      <c r="E215" s="215" t="str">
        <f>VLOOKUP($B215,Week!$A$1:$C$1462,2,0)</f>
        <v>Week6</v>
      </c>
      <c r="F215" s="216" t="str">
        <f t="shared" si="65"/>
        <v>Feb</v>
      </c>
      <c r="G215" s="215" t="s">
        <v>1028</v>
      </c>
      <c r="H215" s="215" t="s">
        <v>104</v>
      </c>
      <c r="I215" s="215" t="s">
        <v>2772</v>
      </c>
      <c r="J215" s="209" t="s">
        <v>105</v>
      </c>
      <c r="K215" s="217" t="s">
        <v>107</v>
      </c>
      <c r="L215" s="300" t="s">
        <v>2167</v>
      </c>
      <c r="M215" s="209" t="s">
        <v>108</v>
      </c>
      <c r="N215" s="215" t="s">
        <v>109</v>
      </c>
      <c r="O215" s="215" t="s">
        <v>110</v>
      </c>
      <c r="P215" s="218">
        <v>36</v>
      </c>
      <c r="Q215" s="218">
        <v>5</v>
      </c>
      <c r="R215" s="219">
        <v>7.4999999999999997E-3</v>
      </c>
      <c r="S215" s="215" t="s">
        <v>111</v>
      </c>
      <c r="T215" s="215" t="s">
        <v>112</v>
      </c>
      <c r="U215" s="215" t="s">
        <v>113</v>
      </c>
      <c r="V215" s="220">
        <v>792</v>
      </c>
      <c r="W215" s="220">
        <v>792</v>
      </c>
      <c r="X215" s="221"/>
      <c r="Y215" s="222">
        <f t="shared" si="69"/>
        <v>0</v>
      </c>
      <c r="Z215" s="223">
        <f t="shared" si="70"/>
        <v>0</v>
      </c>
      <c r="AA215" s="223"/>
      <c r="AB215" s="807"/>
      <c r="AC215" s="220"/>
      <c r="AD215" s="209"/>
      <c r="AE215" s="210"/>
      <c r="AF215" s="210"/>
      <c r="AG215" s="211">
        <f t="shared" si="71"/>
        <v>0.308</v>
      </c>
      <c r="AH215" s="157">
        <f t="shared" si="72"/>
        <v>0</v>
      </c>
      <c r="AI215" s="152">
        <f t="shared" si="73"/>
        <v>28512</v>
      </c>
      <c r="AK215" s="156" t="s">
        <v>691</v>
      </c>
      <c r="AL215" s="574" t="s">
        <v>690</v>
      </c>
      <c r="AM215" s="198">
        <f t="shared" si="74"/>
        <v>0</v>
      </c>
      <c r="AN215" s="199">
        <f t="shared" si="67"/>
        <v>45328</v>
      </c>
      <c r="AO215" s="159" t="s">
        <v>692</v>
      </c>
      <c r="AP215" s="781"/>
      <c r="AQ215" s="782">
        <v>12063755</v>
      </c>
      <c r="AR215" s="782">
        <v>12061353</v>
      </c>
      <c r="AS215" s="782">
        <v>12061354</v>
      </c>
      <c r="AT215" s="782">
        <v>12068566</v>
      </c>
      <c r="AU215" s="781"/>
      <c r="AV215" s="782">
        <v>12068564</v>
      </c>
      <c r="AW215" s="782">
        <v>12062153</v>
      </c>
      <c r="AX215" s="782"/>
      <c r="AY215" s="782">
        <v>12068565</v>
      </c>
      <c r="AZ215" s="782"/>
      <c r="BA215" s="781"/>
    </row>
    <row r="216" spans="1:53" ht="24.65" hidden="1" customHeight="1">
      <c r="B216" s="213">
        <v>45328</v>
      </c>
      <c r="C216" s="578">
        <v>45336</v>
      </c>
      <c r="D216" s="185">
        <f t="shared" si="64"/>
        <v>2024</v>
      </c>
      <c r="E216" s="215" t="str">
        <f>VLOOKUP($B216,Week!$A$1:$C$1462,2,0)</f>
        <v>Week6</v>
      </c>
      <c r="F216" s="216" t="str">
        <f t="shared" si="65"/>
        <v>Feb</v>
      </c>
      <c r="G216" s="215" t="s">
        <v>812</v>
      </c>
      <c r="H216" s="215" t="s">
        <v>104</v>
      </c>
      <c r="I216" s="215" t="s">
        <v>2772</v>
      </c>
      <c r="J216" s="209" t="s">
        <v>105</v>
      </c>
      <c r="K216" s="217" t="s">
        <v>107</v>
      </c>
      <c r="L216" s="300" t="s">
        <v>2167</v>
      </c>
      <c r="M216" s="209" t="s">
        <v>108</v>
      </c>
      <c r="N216" s="215" t="s">
        <v>109</v>
      </c>
      <c r="O216" s="215" t="s">
        <v>110</v>
      </c>
      <c r="P216" s="218">
        <v>36</v>
      </c>
      <c r="Q216" s="218">
        <v>5</v>
      </c>
      <c r="R216" s="219">
        <v>7.4999999999999997E-3</v>
      </c>
      <c r="S216" s="215" t="s">
        <v>111</v>
      </c>
      <c r="T216" s="215" t="s">
        <v>112</v>
      </c>
      <c r="U216" s="215" t="s">
        <v>113</v>
      </c>
      <c r="V216" s="220">
        <v>792</v>
      </c>
      <c r="W216" s="220">
        <v>792</v>
      </c>
      <c r="X216" s="221"/>
      <c r="Y216" s="222">
        <f t="shared" si="69"/>
        <v>0</v>
      </c>
      <c r="Z216" s="223">
        <f t="shared" si="70"/>
        <v>0</v>
      </c>
      <c r="AA216" s="223"/>
      <c r="AB216" s="807"/>
      <c r="AC216" s="220"/>
      <c r="AD216" s="209"/>
      <c r="AE216" s="210"/>
      <c r="AF216" s="210"/>
      <c r="AG216" s="211">
        <f t="shared" si="71"/>
        <v>0.308</v>
      </c>
      <c r="AH216" s="157">
        <f t="shared" si="72"/>
        <v>0</v>
      </c>
      <c r="AI216" s="152">
        <f t="shared" si="73"/>
        <v>28512</v>
      </c>
      <c r="AK216" s="156" t="s">
        <v>691</v>
      </c>
      <c r="AL216" s="574" t="s">
        <v>690</v>
      </c>
      <c r="AM216" s="198">
        <f t="shared" si="74"/>
        <v>0</v>
      </c>
      <c r="AN216" s="199">
        <f t="shared" si="67"/>
        <v>45328</v>
      </c>
      <c r="AO216" s="159" t="s">
        <v>692</v>
      </c>
      <c r="AP216" s="781"/>
      <c r="AQ216" s="782">
        <v>12063755</v>
      </c>
      <c r="AR216" s="782">
        <v>12061353</v>
      </c>
      <c r="AS216" s="782">
        <v>12061354</v>
      </c>
      <c r="AT216" s="782">
        <v>12068566</v>
      </c>
      <c r="AU216" s="781"/>
      <c r="AV216" s="782">
        <v>12068564</v>
      </c>
      <c r="AW216" s="782">
        <v>12062153</v>
      </c>
      <c r="AX216" s="782"/>
      <c r="AY216" s="782">
        <v>12068565</v>
      </c>
      <c r="AZ216" s="782"/>
      <c r="BA216" s="781"/>
    </row>
    <row r="217" spans="1:53" ht="25" hidden="1" customHeight="1">
      <c r="B217" s="213">
        <v>45328</v>
      </c>
      <c r="C217" s="578">
        <v>45337</v>
      </c>
      <c r="D217" s="185">
        <f t="shared" si="64"/>
        <v>2024</v>
      </c>
      <c r="E217" s="215" t="str">
        <f>VLOOKUP($B217,Week!$A$1:$C$1462,2,0)</f>
        <v>Week6</v>
      </c>
      <c r="F217" s="216" t="str">
        <f t="shared" si="65"/>
        <v>Feb</v>
      </c>
      <c r="G217" s="215" t="s">
        <v>802</v>
      </c>
      <c r="H217" s="215" t="s">
        <v>104</v>
      </c>
      <c r="I217" s="215" t="s">
        <v>2772</v>
      </c>
      <c r="J217" s="209" t="s">
        <v>105</v>
      </c>
      <c r="K217" s="217" t="s">
        <v>107</v>
      </c>
      <c r="L217" s="300" t="s">
        <v>2167</v>
      </c>
      <c r="M217" s="209" t="s">
        <v>108</v>
      </c>
      <c r="N217" s="215" t="s">
        <v>109</v>
      </c>
      <c r="O217" s="215" t="s">
        <v>110</v>
      </c>
      <c r="P217" s="218">
        <v>36</v>
      </c>
      <c r="Q217" s="218">
        <v>5</v>
      </c>
      <c r="R217" s="219">
        <v>7.4999999999999997E-3</v>
      </c>
      <c r="S217" s="215" t="s">
        <v>111</v>
      </c>
      <c r="T217" s="215" t="s">
        <v>112</v>
      </c>
      <c r="U217" s="215" t="s">
        <v>113</v>
      </c>
      <c r="V217" s="220">
        <v>709</v>
      </c>
      <c r="W217" s="220">
        <f>2583-290-792-792</f>
        <v>709</v>
      </c>
      <c r="X217" s="221"/>
      <c r="Y217" s="222">
        <f t="shared" si="69"/>
        <v>0</v>
      </c>
      <c r="Z217" s="223">
        <f t="shared" si="70"/>
        <v>0</v>
      </c>
      <c r="AA217" s="223"/>
      <c r="AB217" s="807"/>
      <c r="AC217" s="220"/>
      <c r="AD217" s="209"/>
      <c r="AE217" s="210"/>
      <c r="AF217" s="210"/>
      <c r="AG217" s="211">
        <f t="shared" si="71"/>
        <v>0.308</v>
      </c>
      <c r="AH217" s="157">
        <f t="shared" si="72"/>
        <v>0</v>
      </c>
      <c r="AI217" s="152">
        <f t="shared" si="73"/>
        <v>25524</v>
      </c>
      <c r="AK217" s="156" t="s">
        <v>691</v>
      </c>
      <c r="AL217" s="574" t="s">
        <v>690</v>
      </c>
      <c r="AM217" s="198">
        <f t="shared" si="74"/>
        <v>0</v>
      </c>
      <c r="AN217" s="199">
        <f t="shared" si="67"/>
        <v>45328</v>
      </c>
      <c r="AO217" s="159" t="s">
        <v>692</v>
      </c>
      <c r="AP217" s="781"/>
      <c r="AQ217" s="782">
        <v>12063755</v>
      </c>
      <c r="AR217" s="782">
        <v>12061353</v>
      </c>
      <c r="AS217" s="782">
        <v>12061354</v>
      </c>
      <c r="AT217" s="782">
        <v>12068566</v>
      </c>
      <c r="AU217" s="781"/>
      <c r="AV217" s="782">
        <v>12068564</v>
      </c>
      <c r="AW217" s="782">
        <v>12062153</v>
      </c>
      <c r="AX217" s="782"/>
      <c r="AY217" s="782">
        <v>12068565</v>
      </c>
      <c r="AZ217" s="782"/>
      <c r="BA217" s="781"/>
    </row>
    <row r="218" spans="1:53" ht="25" hidden="1" customHeight="1">
      <c r="A218" s="142" t="s">
        <v>120</v>
      </c>
      <c r="B218" s="271">
        <v>45328</v>
      </c>
      <c r="C218" s="272">
        <v>45331</v>
      </c>
      <c r="D218" s="185">
        <f t="shared" si="64"/>
        <v>2024</v>
      </c>
      <c r="E218" s="272" t="str">
        <f>VLOOKUP($B218,Week!$A$1:$C$1462,2,0)</f>
        <v>Week6</v>
      </c>
      <c r="F218" s="273" t="str">
        <f t="shared" si="65"/>
        <v>Feb</v>
      </c>
      <c r="G218" s="274" t="s">
        <v>840</v>
      </c>
      <c r="H218" s="274" t="s">
        <v>500</v>
      </c>
      <c r="I218" s="274" t="s">
        <v>2772</v>
      </c>
      <c r="J218" s="275" t="s">
        <v>285</v>
      </c>
      <c r="K218" s="276" t="s">
        <v>153</v>
      </c>
      <c r="L218" s="390" t="s">
        <v>2166</v>
      </c>
      <c r="M218" s="275" t="s">
        <v>86</v>
      </c>
      <c r="N218" s="274" t="s">
        <v>547</v>
      </c>
      <c r="O218" s="274" t="s">
        <v>548</v>
      </c>
      <c r="P218" s="277">
        <v>10</v>
      </c>
      <c r="Q218" s="277">
        <v>50</v>
      </c>
      <c r="R218" s="278">
        <v>6.8100000000000001E-3</v>
      </c>
      <c r="S218" s="274" t="s">
        <v>76</v>
      </c>
      <c r="T218" s="274" t="s">
        <v>56</v>
      </c>
      <c r="U218" s="274" t="s">
        <v>89</v>
      </c>
      <c r="V218" s="279">
        <f>2056-622-646-631</f>
        <v>157</v>
      </c>
      <c r="W218" s="279">
        <v>157</v>
      </c>
      <c r="X218" s="280"/>
      <c r="Y218" s="281">
        <f t="shared" si="69"/>
        <v>0</v>
      </c>
      <c r="Z218" s="282">
        <f t="shared" si="70"/>
        <v>0</v>
      </c>
      <c r="AA218" s="282">
        <f>Q218*Z218</f>
        <v>0</v>
      </c>
      <c r="AB218" s="812">
        <v>6</v>
      </c>
      <c r="AC218" s="279">
        <f>Z218*AB218</f>
        <v>0</v>
      </c>
      <c r="AD218" s="209"/>
      <c r="AE218" s="210"/>
      <c r="AF218" s="210"/>
      <c r="AG218" s="211">
        <f t="shared" si="71"/>
        <v>0.63</v>
      </c>
      <c r="AH218" s="157">
        <f t="shared" si="72"/>
        <v>0</v>
      </c>
      <c r="AI218" s="152">
        <f t="shared" si="73"/>
        <v>1570</v>
      </c>
      <c r="AK218" s="156" t="s">
        <v>691</v>
      </c>
      <c r="AL218" s="156" t="s">
        <v>689</v>
      </c>
      <c r="AM218" s="198">
        <f t="shared" si="74"/>
        <v>0</v>
      </c>
      <c r="AN218" s="199">
        <f t="shared" si="67"/>
        <v>45328</v>
      </c>
      <c r="AO218" s="159" t="s">
        <v>692</v>
      </c>
      <c r="AP218" s="783" t="s">
        <v>620</v>
      </c>
      <c r="AQ218" s="782" t="s">
        <v>549</v>
      </c>
      <c r="AR218" s="782">
        <v>12055234</v>
      </c>
      <c r="AS218" s="781"/>
      <c r="AT218" s="782"/>
      <c r="AU218" s="782"/>
      <c r="AV218" s="782">
        <v>12062809</v>
      </c>
      <c r="AW218" s="782"/>
      <c r="AX218" s="782" t="s">
        <v>619</v>
      </c>
      <c r="AY218" s="781"/>
      <c r="AZ218" s="781"/>
      <c r="BA218" s="781"/>
    </row>
    <row r="219" spans="1:53" ht="24.75" hidden="1" customHeight="1">
      <c r="A219" s="142" t="s">
        <v>120</v>
      </c>
      <c r="B219" s="308">
        <v>45328</v>
      </c>
      <c r="C219" s="309">
        <v>45335</v>
      </c>
      <c r="D219" s="185">
        <f t="shared" si="64"/>
        <v>2024</v>
      </c>
      <c r="E219" s="519" t="str">
        <f>VLOOKUP($B219,Week!$A$1:$C$1462,2,0)</f>
        <v>Week6</v>
      </c>
      <c r="F219" s="520" t="str">
        <f t="shared" si="65"/>
        <v>Feb</v>
      </c>
      <c r="G219" s="446" t="s">
        <v>47</v>
      </c>
      <c r="H219" s="311" t="s">
        <v>518</v>
      </c>
      <c r="I219" s="298" t="s">
        <v>2702</v>
      </c>
      <c r="J219" s="312" t="s">
        <v>70</v>
      </c>
      <c r="K219" s="313" t="s">
        <v>85</v>
      </c>
      <c r="L219" s="390" t="s">
        <v>2166</v>
      </c>
      <c r="M219" s="312" t="s">
        <v>515</v>
      </c>
      <c r="N219" s="311" t="s">
        <v>588</v>
      </c>
      <c r="O219" s="311" t="s">
        <v>546</v>
      </c>
      <c r="P219" s="314">
        <v>12</v>
      </c>
      <c r="Q219" s="314">
        <v>20</v>
      </c>
      <c r="R219" s="315">
        <v>6.1999999999999998E-3</v>
      </c>
      <c r="S219" s="311" t="s">
        <v>352</v>
      </c>
      <c r="T219" s="311" t="s">
        <v>56</v>
      </c>
      <c r="U219" s="311"/>
      <c r="V219" s="316">
        <f>850</f>
        <v>850</v>
      </c>
      <c r="W219" s="316">
        <f>41+809</f>
        <v>850</v>
      </c>
      <c r="X219" s="317"/>
      <c r="Y219" s="318">
        <f t="shared" si="69"/>
        <v>0</v>
      </c>
      <c r="Z219" s="319">
        <f t="shared" si="70"/>
        <v>0</v>
      </c>
      <c r="AA219" s="319">
        <f>Q219*Z219</f>
        <v>0</v>
      </c>
      <c r="AB219" s="815"/>
      <c r="AC219" s="316">
        <f>Z219*AB219</f>
        <v>0</v>
      </c>
      <c r="AD219" s="209"/>
      <c r="AE219" s="210"/>
      <c r="AF219" s="210"/>
      <c r="AG219" s="211">
        <f t="shared" si="71"/>
        <v>0.22</v>
      </c>
      <c r="AH219" s="157">
        <f t="shared" si="72"/>
        <v>0</v>
      </c>
      <c r="AI219" s="152">
        <f t="shared" si="73"/>
        <v>10200</v>
      </c>
      <c r="AK219" s="156" t="s">
        <v>691</v>
      </c>
      <c r="AL219" s="156" t="s">
        <v>689</v>
      </c>
      <c r="AM219" s="198">
        <f t="shared" si="74"/>
        <v>0</v>
      </c>
      <c r="AN219" s="199">
        <f t="shared" si="67"/>
        <v>45328</v>
      </c>
      <c r="AO219" s="159" t="s">
        <v>692</v>
      </c>
      <c r="AP219" s="783" t="s">
        <v>613</v>
      </c>
      <c r="AQ219" s="782"/>
      <c r="AR219" s="782" t="s">
        <v>614</v>
      </c>
      <c r="AS219" s="782"/>
      <c r="AT219" s="782">
        <v>12083140</v>
      </c>
      <c r="AU219" s="781"/>
      <c r="AV219" s="782">
        <v>12083143</v>
      </c>
      <c r="AW219" s="782"/>
      <c r="AX219" s="782"/>
      <c r="AY219" s="782"/>
      <c r="AZ219" s="782"/>
      <c r="BA219" s="781"/>
    </row>
    <row r="220" spans="1:53" ht="25" hidden="1" customHeight="1">
      <c r="A220" s="142" t="s">
        <v>438</v>
      </c>
      <c r="B220" s="424">
        <v>45329</v>
      </c>
      <c r="C220" s="425">
        <v>45348</v>
      </c>
      <c r="D220" s="185">
        <f t="shared" si="64"/>
        <v>2024</v>
      </c>
      <c r="E220" s="427" t="str">
        <f>VLOOKUP($B220,Week!$A$1:$C$1462,2,0)</f>
        <v>Week6</v>
      </c>
      <c r="F220" s="426" t="str">
        <f t="shared" si="65"/>
        <v>Feb</v>
      </c>
      <c r="G220" s="427" t="s">
        <v>901</v>
      </c>
      <c r="H220" s="427" t="s">
        <v>104</v>
      </c>
      <c r="I220" s="427" t="s">
        <v>2772</v>
      </c>
      <c r="J220" s="428" t="s">
        <v>105</v>
      </c>
      <c r="K220" s="429" t="s">
        <v>433</v>
      </c>
      <c r="L220" s="300" t="s">
        <v>2167</v>
      </c>
      <c r="M220" s="428" t="s">
        <v>565</v>
      </c>
      <c r="N220" s="427" t="s">
        <v>567</v>
      </c>
      <c r="O220" s="427" t="s">
        <v>566</v>
      </c>
      <c r="P220" s="430">
        <v>16</v>
      </c>
      <c r="Q220" s="430">
        <v>6</v>
      </c>
      <c r="R220" s="431">
        <v>8.1300000000000001E-3</v>
      </c>
      <c r="S220" s="427" t="s">
        <v>40</v>
      </c>
      <c r="T220" s="427" t="s">
        <v>112</v>
      </c>
      <c r="U220" s="427" t="s">
        <v>662</v>
      </c>
      <c r="V220" s="432">
        <f>650</f>
        <v>650</v>
      </c>
      <c r="W220" s="432">
        <f>334+197+18+96</f>
        <v>645</v>
      </c>
      <c r="X220" s="433">
        <f>(2706-2664)/8</f>
        <v>5.25</v>
      </c>
      <c r="Y220" s="434">
        <f t="shared" si="69"/>
        <v>0.25</v>
      </c>
      <c r="Z220" s="435">
        <f t="shared" si="70"/>
        <v>0</v>
      </c>
      <c r="AA220" s="435"/>
      <c r="AB220" s="826">
        <v>1</v>
      </c>
      <c r="AC220" s="432">
        <f>AB220*V220*P220</f>
        <v>10400</v>
      </c>
      <c r="AD220" s="307" t="s">
        <v>573</v>
      </c>
      <c r="AE220" s="511"/>
      <c r="AF220" s="511"/>
      <c r="AG220" s="211">
        <f t="shared" si="71"/>
        <v>0.11700000000000001</v>
      </c>
      <c r="AH220" s="157">
        <f t="shared" si="72"/>
        <v>0</v>
      </c>
      <c r="AI220" s="152">
        <f t="shared" si="73"/>
        <v>10400</v>
      </c>
      <c r="AK220" s="156" t="s">
        <v>691</v>
      </c>
      <c r="AL220" s="574" t="s">
        <v>690</v>
      </c>
      <c r="AM220" s="198">
        <f t="shared" si="74"/>
        <v>0</v>
      </c>
      <c r="AN220" s="199">
        <f t="shared" si="67"/>
        <v>45329</v>
      </c>
      <c r="AO220" s="159" t="s">
        <v>692</v>
      </c>
      <c r="AP220" s="781"/>
      <c r="AQ220" s="782"/>
      <c r="AR220" s="782">
        <v>12080450</v>
      </c>
      <c r="AS220" s="782"/>
      <c r="AT220" s="782">
        <v>12083198</v>
      </c>
      <c r="AU220" s="781"/>
      <c r="AV220" s="782">
        <v>12080491</v>
      </c>
      <c r="AW220" s="782"/>
      <c r="AX220" s="782" t="s">
        <v>627</v>
      </c>
      <c r="AY220" s="782"/>
      <c r="AZ220" s="782"/>
      <c r="BA220" s="781"/>
    </row>
    <row r="221" spans="1:53" ht="25" hidden="1" customHeight="1">
      <c r="B221" s="213">
        <v>45329</v>
      </c>
      <c r="C221" s="578">
        <v>45337</v>
      </c>
      <c r="D221" s="185">
        <f t="shared" si="64"/>
        <v>2024</v>
      </c>
      <c r="E221" s="215" t="str">
        <f>VLOOKUP($B221,Week!$A$1:$C$1462,2,0)</f>
        <v>Week6</v>
      </c>
      <c r="F221" s="216" t="str">
        <f t="shared" si="65"/>
        <v>Feb</v>
      </c>
      <c r="G221" s="215" t="s">
        <v>802</v>
      </c>
      <c r="H221" s="215" t="s">
        <v>104</v>
      </c>
      <c r="I221" s="215" t="s">
        <v>2772</v>
      </c>
      <c r="J221" s="209" t="s">
        <v>105</v>
      </c>
      <c r="K221" s="217" t="s">
        <v>107</v>
      </c>
      <c r="L221" s="300" t="s">
        <v>2167</v>
      </c>
      <c r="M221" s="209" t="s">
        <v>108</v>
      </c>
      <c r="N221" s="215" t="s">
        <v>109</v>
      </c>
      <c r="O221" s="215" t="s">
        <v>110</v>
      </c>
      <c r="P221" s="218">
        <v>36</v>
      </c>
      <c r="Q221" s="218">
        <v>5</v>
      </c>
      <c r="R221" s="219">
        <v>7.4999999999999997E-3</v>
      </c>
      <c r="S221" s="215" t="s">
        <v>111</v>
      </c>
      <c r="T221" s="215" t="s">
        <v>112</v>
      </c>
      <c r="U221" s="215" t="s">
        <v>113</v>
      </c>
      <c r="V221" s="220">
        <f>792-709</f>
        <v>83</v>
      </c>
      <c r="W221" s="220">
        <f>792-709</f>
        <v>83</v>
      </c>
      <c r="X221" s="221"/>
      <c r="Y221" s="222">
        <f t="shared" si="69"/>
        <v>0</v>
      </c>
      <c r="Z221" s="223">
        <f t="shared" si="70"/>
        <v>0</v>
      </c>
      <c r="AA221" s="223"/>
      <c r="AB221" s="807"/>
      <c r="AC221" s="220"/>
      <c r="AD221" s="209"/>
      <c r="AE221" s="210"/>
      <c r="AF221" s="210"/>
      <c r="AG221" s="211">
        <f t="shared" si="71"/>
        <v>0.308</v>
      </c>
      <c r="AH221" s="157">
        <f>(Z221*AG221)/1000</f>
        <v>0</v>
      </c>
      <c r="AI221" s="152">
        <f t="shared" si="73"/>
        <v>2988</v>
      </c>
      <c r="AK221" s="156" t="s">
        <v>691</v>
      </c>
      <c r="AL221" s="574" t="s">
        <v>690</v>
      </c>
      <c r="AM221" s="198">
        <f>AG221*Z221</f>
        <v>0</v>
      </c>
      <c r="AN221" s="199">
        <f t="shared" si="67"/>
        <v>45329</v>
      </c>
      <c r="AO221" s="159" t="s">
        <v>692</v>
      </c>
      <c r="AP221" s="781"/>
      <c r="AQ221" s="782">
        <v>12063755</v>
      </c>
      <c r="AR221" s="782">
        <v>12061353</v>
      </c>
      <c r="AS221" s="782">
        <v>12061354</v>
      </c>
      <c r="AT221" s="782">
        <v>12068566</v>
      </c>
      <c r="AU221" s="781"/>
      <c r="AV221" s="782">
        <v>12068564</v>
      </c>
      <c r="AW221" s="782">
        <v>12062153</v>
      </c>
      <c r="AX221" s="782"/>
      <c r="AY221" s="782">
        <v>12068565</v>
      </c>
      <c r="AZ221" s="782"/>
      <c r="BA221" s="781"/>
    </row>
    <row r="222" spans="1:53" ht="25" hidden="1" customHeight="1">
      <c r="B222" s="213">
        <v>45329</v>
      </c>
      <c r="C222" s="578">
        <v>45337</v>
      </c>
      <c r="D222" s="185">
        <f t="shared" si="64"/>
        <v>2024</v>
      </c>
      <c r="E222" s="215" t="str">
        <f>VLOOKUP($B222,Week!$A$1:$C$1462,2,0)</f>
        <v>Week6</v>
      </c>
      <c r="F222" s="216" t="str">
        <f t="shared" si="65"/>
        <v>Feb</v>
      </c>
      <c r="G222" s="215" t="s">
        <v>803</v>
      </c>
      <c r="H222" s="215" t="s">
        <v>104</v>
      </c>
      <c r="I222" s="215" t="s">
        <v>2772</v>
      </c>
      <c r="J222" s="209" t="s">
        <v>105</v>
      </c>
      <c r="K222" s="217" t="s">
        <v>107</v>
      </c>
      <c r="L222" s="300" t="s">
        <v>2167</v>
      </c>
      <c r="M222" s="209" t="s">
        <v>108</v>
      </c>
      <c r="N222" s="215" t="s">
        <v>109</v>
      </c>
      <c r="O222" s="215" t="s">
        <v>110</v>
      </c>
      <c r="P222" s="218">
        <v>36</v>
      </c>
      <c r="Q222" s="218">
        <v>5</v>
      </c>
      <c r="R222" s="219">
        <v>7.4999999999999997E-3</v>
      </c>
      <c r="S222" s="215" t="s">
        <v>111</v>
      </c>
      <c r="T222" s="215" t="s">
        <v>112</v>
      </c>
      <c r="U222" s="215" t="s">
        <v>113</v>
      </c>
      <c r="V222" s="220">
        <v>792</v>
      </c>
      <c r="W222" s="220">
        <v>792</v>
      </c>
      <c r="X222" s="221"/>
      <c r="Y222" s="222">
        <f t="shared" si="69"/>
        <v>0</v>
      </c>
      <c r="Z222" s="223">
        <f t="shared" si="70"/>
        <v>0</v>
      </c>
      <c r="AA222" s="223"/>
      <c r="AB222" s="807"/>
      <c r="AC222" s="220"/>
      <c r="AD222" s="209"/>
      <c r="AE222" s="210"/>
      <c r="AF222" s="210"/>
      <c r="AG222" s="211">
        <f t="shared" si="71"/>
        <v>0.308</v>
      </c>
      <c r="AH222" s="157">
        <f t="shared" si="72"/>
        <v>0</v>
      </c>
      <c r="AI222" s="152">
        <f t="shared" si="73"/>
        <v>28512</v>
      </c>
      <c r="AK222" s="156" t="s">
        <v>691</v>
      </c>
      <c r="AL222" s="574" t="s">
        <v>690</v>
      </c>
      <c r="AM222" s="198">
        <f t="shared" si="74"/>
        <v>0</v>
      </c>
      <c r="AN222" s="199">
        <f t="shared" si="67"/>
        <v>45329</v>
      </c>
      <c r="AO222" s="159" t="s">
        <v>692</v>
      </c>
      <c r="AP222" s="781"/>
      <c r="AQ222" s="782">
        <v>12063755</v>
      </c>
      <c r="AR222" s="782">
        <v>12061353</v>
      </c>
      <c r="AS222" s="782">
        <v>12061354</v>
      </c>
      <c r="AT222" s="782">
        <v>12068566</v>
      </c>
      <c r="AU222" s="781"/>
      <c r="AV222" s="782">
        <v>12068564</v>
      </c>
      <c r="AW222" s="782">
        <v>12062153</v>
      </c>
      <c r="AX222" s="782"/>
      <c r="AY222" s="782">
        <v>12068565</v>
      </c>
      <c r="AZ222" s="782"/>
      <c r="BA222" s="781"/>
    </row>
    <row r="223" spans="1:53" ht="25" hidden="1" customHeight="1">
      <c r="B223" s="213">
        <v>45329</v>
      </c>
      <c r="C223" s="578">
        <v>45337</v>
      </c>
      <c r="D223" s="185">
        <f t="shared" si="64"/>
        <v>2024</v>
      </c>
      <c r="E223" s="215" t="str">
        <f>VLOOKUP($B223,Week!$A$1:$C$1462,2,0)</f>
        <v>Week6</v>
      </c>
      <c r="F223" s="216" t="str">
        <f t="shared" si="65"/>
        <v>Feb</v>
      </c>
      <c r="G223" s="215" t="s">
        <v>814</v>
      </c>
      <c r="H223" s="215" t="s">
        <v>104</v>
      </c>
      <c r="I223" s="215" t="s">
        <v>2772</v>
      </c>
      <c r="J223" s="209" t="s">
        <v>105</v>
      </c>
      <c r="K223" s="217" t="s">
        <v>107</v>
      </c>
      <c r="L223" s="300" t="s">
        <v>2167</v>
      </c>
      <c r="M223" s="209" t="s">
        <v>108</v>
      </c>
      <c r="N223" s="215" t="s">
        <v>109</v>
      </c>
      <c r="O223" s="215" t="s">
        <v>110</v>
      </c>
      <c r="P223" s="218">
        <v>36</v>
      </c>
      <c r="Q223" s="218">
        <v>5</v>
      </c>
      <c r="R223" s="219">
        <v>7.4999999999999997E-3</v>
      </c>
      <c r="S223" s="215" t="s">
        <v>111</v>
      </c>
      <c r="T223" s="215" t="s">
        <v>112</v>
      </c>
      <c r="U223" s="215" t="s">
        <v>113</v>
      </c>
      <c r="V223" s="220">
        <v>792</v>
      </c>
      <c r="W223" s="220">
        <v>792</v>
      </c>
      <c r="X223" s="221"/>
      <c r="Y223" s="222">
        <f t="shared" si="69"/>
        <v>0</v>
      </c>
      <c r="Z223" s="223">
        <f t="shared" si="70"/>
        <v>0</v>
      </c>
      <c r="AA223" s="223"/>
      <c r="AB223" s="807"/>
      <c r="AC223" s="220"/>
      <c r="AD223" s="209"/>
      <c r="AE223" s="210"/>
      <c r="AF223" s="210"/>
      <c r="AG223" s="211">
        <f t="shared" si="71"/>
        <v>0.308</v>
      </c>
      <c r="AH223" s="157">
        <f t="shared" si="72"/>
        <v>0</v>
      </c>
      <c r="AI223" s="152">
        <f t="shared" si="73"/>
        <v>28512</v>
      </c>
      <c r="AK223" s="156" t="s">
        <v>691</v>
      </c>
      <c r="AL223" s="574" t="s">
        <v>690</v>
      </c>
      <c r="AM223" s="198">
        <f t="shared" si="74"/>
        <v>0</v>
      </c>
      <c r="AN223" s="199">
        <f t="shared" si="67"/>
        <v>45329</v>
      </c>
      <c r="AO223" s="159" t="s">
        <v>692</v>
      </c>
      <c r="AP223" s="781"/>
      <c r="AQ223" s="782">
        <v>12063755</v>
      </c>
      <c r="AR223" s="782">
        <v>12061353</v>
      </c>
      <c r="AS223" s="782">
        <v>12061354</v>
      </c>
      <c r="AT223" s="782">
        <v>12068566</v>
      </c>
      <c r="AU223" s="781"/>
      <c r="AV223" s="782">
        <v>12068564</v>
      </c>
      <c r="AW223" s="782">
        <v>12062153</v>
      </c>
      <c r="AX223" s="782"/>
      <c r="AY223" s="782">
        <v>12068565</v>
      </c>
      <c r="AZ223" s="782"/>
      <c r="BA223" s="781"/>
    </row>
    <row r="224" spans="1:53" ht="25" hidden="1" customHeight="1">
      <c r="B224" s="213">
        <v>45329</v>
      </c>
      <c r="C224" s="578">
        <v>45338</v>
      </c>
      <c r="D224" s="185">
        <f t="shared" si="64"/>
        <v>2024</v>
      </c>
      <c r="E224" s="215" t="str">
        <f>VLOOKUP($B224,Week!$A$1:$C$1462,2,0)</f>
        <v>Week6</v>
      </c>
      <c r="F224" s="216" t="str">
        <f t="shared" si="65"/>
        <v>Feb</v>
      </c>
      <c r="G224" s="215" t="s">
        <v>815</v>
      </c>
      <c r="H224" s="215" t="s">
        <v>104</v>
      </c>
      <c r="I224" s="215" t="s">
        <v>2772</v>
      </c>
      <c r="J224" s="209" t="s">
        <v>105</v>
      </c>
      <c r="K224" s="217" t="s">
        <v>107</v>
      </c>
      <c r="L224" s="300" t="s">
        <v>2167</v>
      </c>
      <c r="M224" s="209" t="s">
        <v>108</v>
      </c>
      <c r="N224" s="215" t="s">
        <v>109</v>
      </c>
      <c r="O224" s="215" t="s">
        <v>110</v>
      </c>
      <c r="P224" s="218">
        <v>36</v>
      </c>
      <c r="Q224" s="218">
        <v>5</v>
      </c>
      <c r="R224" s="219">
        <v>7.4999999999999997E-3</v>
      </c>
      <c r="S224" s="215" t="s">
        <v>111</v>
      </c>
      <c r="T224" s="215" t="s">
        <v>112</v>
      </c>
      <c r="U224" s="215" t="s">
        <v>113</v>
      </c>
      <c r="V224" s="220">
        <v>792</v>
      </c>
      <c r="W224" s="220">
        <v>792</v>
      </c>
      <c r="X224" s="221"/>
      <c r="Y224" s="222">
        <f t="shared" si="69"/>
        <v>0</v>
      </c>
      <c r="Z224" s="223">
        <f t="shared" si="70"/>
        <v>0</v>
      </c>
      <c r="AA224" s="223"/>
      <c r="AB224" s="807"/>
      <c r="AC224" s="220"/>
      <c r="AD224" s="209"/>
      <c r="AE224" s="210"/>
      <c r="AF224" s="210"/>
      <c r="AG224" s="211">
        <f t="shared" si="71"/>
        <v>0.308</v>
      </c>
      <c r="AH224" s="157">
        <f t="shared" si="72"/>
        <v>0</v>
      </c>
      <c r="AI224" s="152">
        <f t="shared" si="73"/>
        <v>28512</v>
      </c>
      <c r="AK224" s="156" t="s">
        <v>691</v>
      </c>
      <c r="AL224" s="574" t="s">
        <v>690</v>
      </c>
      <c r="AM224" s="198">
        <f t="shared" si="74"/>
        <v>0</v>
      </c>
      <c r="AN224" s="199">
        <f t="shared" si="67"/>
        <v>45329</v>
      </c>
      <c r="AO224" s="159" t="s">
        <v>692</v>
      </c>
      <c r="AP224" s="781"/>
      <c r="AQ224" s="782">
        <v>12063755</v>
      </c>
      <c r="AR224" s="782">
        <v>12061353</v>
      </c>
      <c r="AS224" s="782">
        <v>12061354</v>
      </c>
      <c r="AT224" s="782">
        <v>12068566</v>
      </c>
      <c r="AU224" s="781"/>
      <c r="AV224" s="782">
        <v>12068564</v>
      </c>
      <c r="AW224" s="782">
        <v>12062153</v>
      </c>
      <c r="AX224" s="782"/>
      <c r="AY224" s="782">
        <v>12068565</v>
      </c>
      <c r="AZ224" s="782"/>
      <c r="BA224" s="781"/>
    </row>
    <row r="225" spans="1:53" ht="25" hidden="1" customHeight="1">
      <c r="B225" s="213">
        <v>45329</v>
      </c>
      <c r="C225" s="578">
        <v>45338</v>
      </c>
      <c r="D225" s="185">
        <f t="shared" si="64"/>
        <v>2024</v>
      </c>
      <c r="E225" s="215" t="str">
        <f>VLOOKUP($B225,Week!$A$1:$C$1462,2,0)</f>
        <v>Week6</v>
      </c>
      <c r="F225" s="216" t="str">
        <f t="shared" si="65"/>
        <v>Feb</v>
      </c>
      <c r="G225" s="215" t="s">
        <v>793</v>
      </c>
      <c r="H225" s="215" t="s">
        <v>104</v>
      </c>
      <c r="I225" s="215" t="s">
        <v>2772</v>
      </c>
      <c r="J225" s="209" t="s">
        <v>105</v>
      </c>
      <c r="K225" s="217" t="s">
        <v>107</v>
      </c>
      <c r="L225" s="300" t="s">
        <v>2167</v>
      </c>
      <c r="M225" s="209" t="s">
        <v>108</v>
      </c>
      <c r="N225" s="215" t="s">
        <v>109</v>
      </c>
      <c r="O225" s="215" t="s">
        <v>110</v>
      </c>
      <c r="P225" s="218">
        <v>36</v>
      </c>
      <c r="Q225" s="218">
        <v>5</v>
      </c>
      <c r="R225" s="219">
        <v>7.4999999999999997E-3</v>
      </c>
      <c r="S225" s="215" t="s">
        <v>111</v>
      </c>
      <c r="T225" s="215" t="s">
        <v>112</v>
      </c>
      <c r="U225" s="215" t="s">
        <v>113</v>
      </c>
      <c r="V225" s="220">
        <f>321</f>
        <v>321</v>
      </c>
      <c r="W225" s="220">
        <f>2780-83-792-792-792</f>
        <v>321</v>
      </c>
      <c r="X225" s="221"/>
      <c r="Y225" s="222">
        <f t="shared" si="69"/>
        <v>0</v>
      </c>
      <c r="Z225" s="223">
        <f t="shared" si="70"/>
        <v>0</v>
      </c>
      <c r="AA225" s="223"/>
      <c r="AB225" s="807"/>
      <c r="AC225" s="220"/>
      <c r="AD225" s="209"/>
      <c r="AE225" s="210"/>
      <c r="AF225" s="210"/>
      <c r="AG225" s="211">
        <f t="shared" si="71"/>
        <v>0.308</v>
      </c>
      <c r="AH225" s="157">
        <f t="shared" si="72"/>
        <v>0</v>
      </c>
      <c r="AI225" s="152">
        <f t="shared" si="73"/>
        <v>11556</v>
      </c>
      <c r="AK225" s="156" t="s">
        <v>691</v>
      </c>
      <c r="AL225" s="574" t="s">
        <v>690</v>
      </c>
      <c r="AM225" s="198">
        <f t="shared" si="74"/>
        <v>0</v>
      </c>
      <c r="AN225" s="199">
        <f t="shared" si="67"/>
        <v>45329</v>
      </c>
      <c r="AO225" s="159" t="s">
        <v>692</v>
      </c>
      <c r="AP225" s="781"/>
      <c r="AQ225" s="782">
        <v>12063755</v>
      </c>
      <c r="AR225" s="782">
        <v>12061353</v>
      </c>
      <c r="AS225" s="782">
        <v>12061354</v>
      </c>
      <c r="AT225" s="782">
        <v>12068566</v>
      </c>
      <c r="AU225" s="781"/>
      <c r="AV225" s="782">
        <v>12068564</v>
      </c>
      <c r="AW225" s="782">
        <v>12062153</v>
      </c>
      <c r="AX225" s="782"/>
      <c r="AY225" s="782">
        <v>12068565</v>
      </c>
      <c r="AZ225" s="782"/>
      <c r="BA225" s="781"/>
    </row>
    <row r="226" spans="1:53" ht="25" hidden="1" customHeight="1">
      <c r="A226" s="142" t="s">
        <v>120</v>
      </c>
      <c r="B226" s="466">
        <v>45329</v>
      </c>
      <c r="C226" s="467">
        <v>45341</v>
      </c>
      <c r="D226" s="185">
        <f t="shared" si="64"/>
        <v>2024</v>
      </c>
      <c r="E226" s="468" t="str">
        <f>VLOOKUP($B226,Week!$A$1:$C$1462,2,0)</f>
        <v>Week6</v>
      </c>
      <c r="F226" s="469" t="str">
        <f t="shared" si="65"/>
        <v>Feb</v>
      </c>
      <c r="G226" s="470" t="s">
        <v>883</v>
      </c>
      <c r="H226" s="468" t="s">
        <v>82</v>
      </c>
      <c r="I226" s="468" t="s">
        <v>82</v>
      </c>
      <c r="J226" s="471" t="s">
        <v>720</v>
      </c>
      <c r="K226" s="472" t="s">
        <v>85</v>
      </c>
      <c r="L226" s="390" t="s">
        <v>2166</v>
      </c>
      <c r="M226" s="471" t="s">
        <v>579</v>
      </c>
      <c r="N226" s="468" t="s">
        <v>580</v>
      </c>
      <c r="O226" s="468" t="s">
        <v>581</v>
      </c>
      <c r="P226" s="473">
        <v>8</v>
      </c>
      <c r="Q226" s="473">
        <v>60</v>
      </c>
      <c r="R226" s="474">
        <v>6.8100000000000001E-3</v>
      </c>
      <c r="S226" s="468" t="s">
        <v>76</v>
      </c>
      <c r="T226" s="468" t="s">
        <v>56</v>
      </c>
      <c r="U226" s="468" t="s">
        <v>89</v>
      </c>
      <c r="V226" s="475">
        <v>644</v>
      </c>
      <c r="W226" s="475">
        <v>644</v>
      </c>
      <c r="X226" s="476"/>
      <c r="Y226" s="477">
        <f t="shared" si="69"/>
        <v>0</v>
      </c>
      <c r="Z226" s="478">
        <f t="shared" si="70"/>
        <v>0</v>
      </c>
      <c r="AA226" s="478">
        <f>Q226*Z226</f>
        <v>0</v>
      </c>
      <c r="AB226" s="828">
        <v>6</v>
      </c>
      <c r="AC226" s="475">
        <f>Z226*AB226</f>
        <v>0</v>
      </c>
      <c r="AD226" s="209"/>
      <c r="AE226" s="210"/>
      <c r="AF226" s="210"/>
      <c r="AG226" s="211">
        <f t="shared" si="71"/>
        <v>0.75</v>
      </c>
      <c r="AH226" s="157">
        <f t="shared" si="72"/>
        <v>0</v>
      </c>
      <c r="AI226" s="152">
        <f t="shared" si="73"/>
        <v>5152</v>
      </c>
      <c r="AK226" s="156" t="s">
        <v>691</v>
      </c>
      <c r="AL226" s="156" t="s">
        <v>689</v>
      </c>
      <c r="AM226" s="198">
        <f t="shared" si="74"/>
        <v>0</v>
      </c>
      <c r="AN226" s="199">
        <f t="shared" si="67"/>
        <v>45329</v>
      </c>
      <c r="AO226" s="159" t="s">
        <v>692</v>
      </c>
      <c r="AP226" s="783" t="s">
        <v>622</v>
      </c>
      <c r="AQ226" s="782">
        <v>12004862</v>
      </c>
      <c r="AR226" s="782">
        <v>12080753</v>
      </c>
      <c r="AS226" s="782"/>
      <c r="AT226" s="782">
        <v>12082897</v>
      </c>
      <c r="AU226" s="781"/>
      <c r="AV226" s="782">
        <v>12082898</v>
      </c>
      <c r="AW226" s="782">
        <v>12082899</v>
      </c>
      <c r="AX226" s="796" t="s">
        <v>621</v>
      </c>
      <c r="AY226" s="782"/>
      <c r="AZ226" s="782"/>
      <c r="BA226" s="781"/>
    </row>
    <row r="227" spans="1:53" ht="25" hidden="1" customHeight="1">
      <c r="B227" s="357">
        <v>45330</v>
      </c>
      <c r="C227" s="358">
        <v>45339</v>
      </c>
      <c r="D227" s="185">
        <f t="shared" si="64"/>
        <v>2024</v>
      </c>
      <c r="E227" s="358" t="str">
        <f>VLOOKUP($B227,Week!$A$1:$C$1462,2,0)</f>
        <v>Week6</v>
      </c>
      <c r="F227" s="360" t="str">
        <f t="shared" si="65"/>
        <v>Feb</v>
      </c>
      <c r="G227" s="436" t="s">
        <v>1024</v>
      </c>
      <c r="H227" s="359" t="s">
        <v>225</v>
      </c>
      <c r="I227" s="359" t="s">
        <v>2773</v>
      </c>
      <c r="J227" s="361" t="s">
        <v>650</v>
      </c>
      <c r="K227" s="362" t="s">
        <v>593</v>
      </c>
      <c r="L227" s="300" t="s">
        <v>2167</v>
      </c>
      <c r="M227" s="361" t="s">
        <v>717</v>
      </c>
      <c r="N227" s="359" t="s">
        <v>719</v>
      </c>
      <c r="O227" s="359" t="s">
        <v>230</v>
      </c>
      <c r="P227" s="363">
        <v>12</v>
      </c>
      <c r="Q227" s="363">
        <v>5</v>
      </c>
      <c r="R227" s="364">
        <v>6.0000000000000001E-3</v>
      </c>
      <c r="S227" s="359" t="s">
        <v>55</v>
      </c>
      <c r="T227" s="359" t="s">
        <v>112</v>
      </c>
      <c r="U227" s="359" t="s">
        <v>57</v>
      </c>
      <c r="V227" s="365">
        <v>2600</v>
      </c>
      <c r="W227" s="365"/>
      <c r="X227" s="366">
        <f>(2863+28337)/12</f>
        <v>2600</v>
      </c>
      <c r="Y227" s="367">
        <f t="shared" si="69"/>
        <v>0</v>
      </c>
      <c r="Z227" s="368">
        <f t="shared" si="70"/>
        <v>0</v>
      </c>
      <c r="AA227" s="368"/>
      <c r="AB227" s="819"/>
      <c r="AC227" s="365"/>
      <c r="AD227" s="307" t="s">
        <v>672</v>
      </c>
      <c r="AE227" s="210"/>
      <c r="AF227" s="210"/>
      <c r="AG227" s="211">
        <f t="shared" si="71"/>
        <v>0.25800000000000001</v>
      </c>
      <c r="AH227" s="157">
        <f t="shared" ref="AH227:AH233" si="75">(Z227*AG227)/1000</f>
        <v>0</v>
      </c>
      <c r="AI227" s="152">
        <f t="shared" si="73"/>
        <v>31200</v>
      </c>
      <c r="AK227" s="156" t="s">
        <v>691</v>
      </c>
      <c r="AL227" s="574" t="s">
        <v>690</v>
      </c>
      <c r="AM227" s="198">
        <f t="shared" ref="AM227:AM233" si="76">AG227*Z227</f>
        <v>0</v>
      </c>
      <c r="AN227" s="199">
        <f t="shared" si="67"/>
        <v>45330</v>
      </c>
      <c r="AO227" s="159" t="s">
        <v>692</v>
      </c>
      <c r="AP227" s="783" t="s">
        <v>612</v>
      </c>
      <c r="AQ227" s="782">
        <v>12071839</v>
      </c>
      <c r="AR227" s="782">
        <v>12042650</v>
      </c>
      <c r="AS227" s="782">
        <v>12042649</v>
      </c>
      <c r="AT227" s="782">
        <v>12060840</v>
      </c>
      <c r="AU227" s="781"/>
      <c r="AV227" s="782">
        <v>12060849</v>
      </c>
      <c r="AW227" s="782"/>
      <c r="AX227" s="782"/>
      <c r="AY227" s="782"/>
      <c r="AZ227" s="782"/>
      <c r="BA227" s="781"/>
    </row>
    <row r="228" spans="1:53" ht="25" hidden="1" customHeight="1">
      <c r="B228" s="213">
        <v>45330</v>
      </c>
      <c r="C228" s="578">
        <v>45338</v>
      </c>
      <c r="D228" s="185">
        <f t="shared" si="64"/>
        <v>2024</v>
      </c>
      <c r="E228" s="215" t="str">
        <f>VLOOKUP($B228,Week!$A$1:$C$1462,2,0)</f>
        <v>Week6</v>
      </c>
      <c r="F228" s="216" t="str">
        <f t="shared" si="65"/>
        <v>Feb</v>
      </c>
      <c r="G228" s="215" t="s">
        <v>793</v>
      </c>
      <c r="H228" s="215" t="s">
        <v>104</v>
      </c>
      <c r="I228" s="215" t="s">
        <v>2772</v>
      </c>
      <c r="J228" s="209" t="s">
        <v>105</v>
      </c>
      <c r="K228" s="217" t="s">
        <v>107</v>
      </c>
      <c r="L228" s="300" t="s">
        <v>2167</v>
      </c>
      <c r="M228" s="209" t="s">
        <v>108</v>
      </c>
      <c r="N228" s="215" t="s">
        <v>109</v>
      </c>
      <c r="O228" s="215" t="s">
        <v>110</v>
      </c>
      <c r="P228" s="218">
        <v>36</v>
      </c>
      <c r="Q228" s="218">
        <v>5</v>
      </c>
      <c r="R228" s="219">
        <v>7.4999999999999997E-3</v>
      </c>
      <c r="S228" s="215" t="s">
        <v>111</v>
      </c>
      <c r="T228" s="215" t="s">
        <v>112</v>
      </c>
      <c r="U228" s="215" t="s">
        <v>113</v>
      </c>
      <c r="V228" s="220">
        <f>792-321</f>
        <v>471</v>
      </c>
      <c r="W228" s="220">
        <f>792-321</f>
        <v>471</v>
      </c>
      <c r="X228" s="221"/>
      <c r="Y228" s="222">
        <f t="shared" si="69"/>
        <v>0</v>
      </c>
      <c r="Z228" s="223">
        <f t="shared" si="70"/>
        <v>0</v>
      </c>
      <c r="AA228" s="223"/>
      <c r="AB228" s="807"/>
      <c r="AC228" s="220"/>
      <c r="AD228" s="209"/>
      <c r="AE228" s="210"/>
      <c r="AF228" s="210"/>
      <c r="AG228" s="211">
        <f t="shared" si="71"/>
        <v>0.308</v>
      </c>
      <c r="AH228" s="157">
        <f t="shared" si="75"/>
        <v>0</v>
      </c>
      <c r="AI228" s="152">
        <f t="shared" si="73"/>
        <v>16956</v>
      </c>
      <c r="AK228" s="156" t="s">
        <v>691</v>
      </c>
      <c r="AL228" s="574" t="s">
        <v>690</v>
      </c>
      <c r="AM228" s="198">
        <f t="shared" si="76"/>
        <v>0</v>
      </c>
      <c r="AN228" s="199">
        <f t="shared" si="67"/>
        <v>45330</v>
      </c>
      <c r="AO228" s="159" t="s">
        <v>692</v>
      </c>
      <c r="AP228" s="781"/>
      <c r="AQ228" s="782">
        <v>12063755</v>
      </c>
      <c r="AR228" s="782">
        <v>12061353</v>
      </c>
      <c r="AS228" s="782">
        <v>12061354</v>
      </c>
      <c r="AT228" s="782">
        <v>12068566</v>
      </c>
      <c r="AU228" s="781"/>
      <c r="AV228" s="782">
        <v>12068564</v>
      </c>
      <c r="AW228" s="782">
        <v>12062153</v>
      </c>
      <c r="AX228" s="782"/>
      <c r="AY228" s="782">
        <v>12068565</v>
      </c>
      <c r="AZ228" s="782"/>
      <c r="BA228" s="781"/>
    </row>
    <row r="229" spans="1:53" ht="25" hidden="1" customHeight="1">
      <c r="B229" s="213">
        <v>45330</v>
      </c>
      <c r="C229" s="578">
        <v>45338</v>
      </c>
      <c r="D229" s="185">
        <f t="shared" si="64"/>
        <v>2024</v>
      </c>
      <c r="E229" s="215" t="str">
        <f>VLOOKUP($B229,Week!$A$1:$C$1462,2,0)</f>
        <v>Week6</v>
      </c>
      <c r="F229" s="216" t="str">
        <f t="shared" si="65"/>
        <v>Feb</v>
      </c>
      <c r="G229" s="215" t="s">
        <v>809</v>
      </c>
      <c r="H229" s="215" t="s">
        <v>104</v>
      </c>
      <c r="I229" s="215" t="s">
        <v>2772</v>
      </c>
      <c r="J229" s="209" t="s">
        <v>105</v>
      </c>
      <c r="K229" s="217" t="s">
        <v>107</v>
      </c>
      <c r="L229" s="300" t="s">
        <v>2167</v>
      </c>
      <c r="M229" s="209" t="s">
        <v>108</v>
      </c>
      <c r="N229" s="215" t="s">
        <v>109</v>
      </c>
      <c r="O229" s="215" t="s">
        <v>110</v>
      </c>
      <c r="P229" s="218">
        <v>36</v>
      </c>
      <c r="Q229" s="218">
        <v>5</v>
      </c>
      <c r="R229" s="219">
        <v>7.4999999999999997E-3</v>
      </c>
      <c r="S229" s="215" t="s">
        <v>111</v>
      </c>
      <c r="T229" s="215" t="s">
        <v>112</v>
      </c>
      <c r="U229" s="215" t="s">
        <v>113</v>
      </c>
      <c r="V229" s="220">
        <v>792</v>
      </c>
      <c r="W229" s="220">
        <v>792</v>
      </c>
      <c r="X229" s="221"/>
      <c r="Y229" s="222">
        <f t="shared" si="69"/>
        <v>0</v>
      </c>
      <c r="Z229" s="223">
        <f t="shared" si="70"/>
        <v>0</v>
      </c>
      <c r="AA229" s="223"/>
      <c r="AB229" s="807"/>
      <c r="AC229" s="220"/>
      <c r="AD229" s="209"/>
      <c r="AE229" s="210"/>
      <c r="AF229" s="210"/>
      <c r="AG229" s="211">
        <f t="shared" si="71"/>
        <v>0.308</v>
      </c>
      <c r="AH229" s="157">
        <f>(Z229*AG229)/1000</f>
        <v>0</v>
      </c>
      <c r="AI229" s="152">
        <f t="shared" si="73"/>
        <v>28512</v>
      </c>
      <c r="AK229" s="156" t="s">
        <v>691</v>
      </c>
      <c r="AL229" s="574" t="s">
        <v>690</v>
      </c>
      <c r="AM229" s="198">
        <f>AG229*Z229</f>
        <v>0</v>
      </c>
      <c r="AN229" s="199">
        <f t="shared" si="67"/>
        <v>45330</v>
      </c>
      <c r="AO229" s="159" t="s">
        <v>692</v>
      </c>
      <c r="AP229" s="781"/>
      <c r="AQ229" s="782">
        <v>12063755</v>
      </c>
      <c r="AR229" s="782">
        <v>12061353</v>
      </c>
      <c r="AS229" s="782">
        <v>12061354</v>
      </c>
      <c r="AT229" s="782">
        <v>12068566</v>
      </c>
      <c r="AU229" s="781"/>
      <c r="AV229" s="782">
        <v>12068564</v>
      </c>
      <c r="AW229" s="782">
        <v>12062153</v>
      </c>
      <c r="AX229" s="782"/>
      <c r="AY229" s="782">
        <v>12068565</v>
      </c>
      <c r="AZ229" s="782"/>
      <c r="BA229" s="781"/>
    </row>
    <row r="230" spans="1:53" ht="25" hidden="1" customHeight="1">
      <c r="B230" s="213">
        <v>45330</v>
      </c>
      <c r="C230" s="578">
        <v>45342</v>
      </c>
      <c r="D230" s="185">
        <f t="shared" si="64"/>
        <v>2024</v>
      </c>
      <c r="E230" s="215" t="str">
        <f>VLOOKUP($B230,Week!$A$1:$C$1462,2,0)</f>
        <v>Week6</v>
      </c>
      <c r="F230" s="216" t="str">
        <f t="shared" si="65"/>
        <v>Feb</v>
      </c>
      <c r="G230" s="215" t="s">
        <v>810</v>
      </c>
      <c r="H230" s="215" t="s">
        <v>104</v>
      </c>
      <c r="I230" s="215" t="s">
        <v>2772</v>
      </c>
      <c r="J230" s="209" t="s">
        <v>105</v>
      </c>
      <c r="K230" s="217" t="s">
        <v>107</v>
      </c>
      <c r="L230" s="300" t="s">
        <v>2167</v>
      </c>
      <c r="M230" s="209" t="s">
        <v>108</v>
      </c>
      <c r="N230" s="215" t="s">
        <v>109</v>
      </c>
      <c r="O230" s="215" t="s">
        <v>110</v>
      </c>
      <c r="P230" s="218">
        <v>36</v>
      </c>
      <c r="Q230" s="218">
        <v>5</v>
      </c>
      <c r="R230" s="219">
        <v>7.4999999999999997E-3</v>
      </c>
      <c r="S230" s="215" t="s">
        <v>111</v>
      </c>
      <c r="T230" s="215" t="s">
        <v>112</v>
      </c>
      <c r="U230" s="215" t="s">
        <v>113</v>
      </c>
      <c r="V230" s="220">
        <v>792</v>
      </c>
      <c r="W230" s="220">
        <v>792</v>
      </c>
      <c r="X230" s="221"/>
      <c r="Y230" s="222">
        <f t="shared" si="69"/>
        <v>0</v>
      </c>
      <c r="Z230" s="223">
        <f t="shared" si="70"/>
        <v>0</v>
      </c>
      <c r="AA230" s="223"/>
      <c r="AB230" s="807"/>
      <c r="AC230" s="220"/>
      <c r="AD230" s="209"/>
      <c r="AE230" s="210"/>
      <c r="AF230" s="210"/>
      <c r="AG230" s="211">
        <f t="shared" si="71"/>
        <v>0.308</v>
      </c>
      <c r="AH230" s="157">
        <f t="shared" si="75"/>
        <v>0</v>
      </c>
      <c r="AI230" s="152">
        <f t="shared" si="73"/>
        <v>28512</v>
      </c>
      <c r="AK230" s="156" t="s">
        <v>691</v>
      </c>
      <c r="AL230" s="574" t="s">
        <v>690</v>
      </c>
      <c r="AM230" s="198">
        <f t="shared" si="76"/>
        <v>0</v>
      </c>
      <c r="AN230" s="199">
        <f t="shared" si="67"/>
        <v>45330</v>
      </c>
      <c r="AO230" s="159" t="s">
        <v>692</v>
      </c>
      <c r="AP230" s="781"/>
      <c r="AQ230" s="782">
        <v>12063755</v>
      </c>
      <c r="AR230" s="782">
        <v>12061353</v>
      </c>
      <c r="AS230" s="782">
        <v>12061354</v>
      </c>
      <c r="AT230" s="782">
        <v>12068566</v>
      </c>
      <c r="AU230" s="781"/>
      <c r="AV230" s="782">
        <v>12068564</v>
      </c>
      <c r="AW230" s="782">
        <v>12062153</v>
      </c>
      <c r="AX230" s="782"/>
      <c r="AY230" s="782">
        <v>12068565</v>
      </c>
      <c r="AZ230" s="782"/>
      <c r="BA230" s="781"/>
    </row>
    <row r="231" spans="1:53" ht="25" hidden="1" customHeight="1">
      <c r="B231" s="213">
        <v>45330</v>
      </c>
      <c r="C231" s="578">
        <v>45342</v>
      </c>
      <c r="D231" s="185">
        <f t="shared" si="64"/>
        <v>2024</v>
      </c>
      <c r="E231" s="215" t="str">
        <f>VLOOKUP($B231,Week!$A$1:$C$1462,2,0)</f>
        <v>Week6</v>
      </c>
      <c r="F231" s="216" t="str">
        <f t="shared" si="65"/>
        <v>Feb</v>
      </c>
      <c r="G231" s="215" t="s">
        <v>811</v>
      </c>
      <c r="H231" s="215" t="s">
        <v>104</v>
      </c>
      <c r="I231" s="215" t="s">
        <v>2772</v>
      </c>
      <c r="J231" s="209" t="s">
        <v>105</v>
      </c>
      <c r="K231" s="217" t="s">
        <v>107</v>
      </c>
      <c r="L231" s="300" t="s">
        <v>2167</v>
      </c>
      <c r="M231" s="209" t="s">
        <v>108</v>
      </c>
      <c r="N231" s="215" t="s">
        <v>109</v>
      </c>
      <c r="O231" s="215" t="s">
        <v>110</v>
      </c>
      <c r="P231" s="218">
        <v>36</v>
      </c>
      <c r="Q231" s="218">
        <v>5</v>
      </c>
      <c r="R231" s="219">
        <v>7.4999999999999997E-3</v>
      </c>
      <c r="S231" s="215" t="s">
        <v>111</v>
      </c>
      <c r="T231" s="215" t="s">
        <v>112</v>
      </c>
      <c r="U231" s="215" t="s">
        <v>113</v>
      </c>
      <c r="V231" s="220">
        <v>792</v>
      </c>
      <c r="W231" s="220">
        <v>792</v>
      </c>
      <c r="X231" s="221"/>
      <c r="Y231" s="222">
        <f t="shared" si="69"/>
        <v>0</v>
      </c>
      <c r="Z231" s="223">
        <f t="shared" si="70"/>
        <v>0</v>
      </c>
      <c r="AA231" s="223"/>
      <c r="AB231" s="807"/>
      <c r="AC231" s="220"/>
      <c r="AD231" s="209"/>
      <c r="AE231" s="210"/>
      <c r="AF231" s="210"/>
      <c r="AG231" s="211">
        <f t="shared" si="71"/>
        <v>0.308</v>
      </c>
      <c r="AH231" s="157">
        <f>(Z231*AG231)/1000</f>
        <v>0</v>
      </c>
      <c r="AI231" s="152">
        <f t="shared" si="73"/>
        <v>28512</v>
      </c>
      <c r="AK231" s="156" t="s">
        <v>691</v>
      </c>
      <c r="AL231" s="574" t="s">
        <v>690</v>
      </c>
      <c r="AM231" s="198">
        <f>AG231*Z231</f>
        <v>0</v>
      </c>
      <c r="AN231" s="199">
        <f t="shared" si="67"/>
        <v>45330</v>
      </c>
      <c r="AO231" s="159" t="s">
        <v>692</v>
      </c>
      <c r="AP231" s="781"/>
      <c r="AQ231" s="782">
        <v>12063755</v>
      </c>
      <c r="AR231" s="782">
        <v>12061353</v>
      </c>
      <c r="AS231" s="782">
        <v>12061354</v>
      </c>
      <c r="AT231" s="782">
        <v>12068566</v>
      </c>
      <c r="AU231" s="781"/>
      <c r="AV231" s="782">
        <v>12068564</v>
      </c>
      <c r="AW231" s="782">
        <v>12062153</v>
      </c>
      <c r="AX231" s="782"/>
      <c r="AY231" s="782">
        <v>12068565</v>
      </c>
      <c r="AZ231" s="782"/>
      <c r="BA231" s="781"/>
    </row>
    <row r="232" spans="1:53" ht="25" hidden="1" customHeight="1">
      <c r="B232" s="213">
        <v>45330</v>
      </c>
      <c r="C232" s="578">
        <v>45342</v>
      </c>
      <c r="D232" s="185">
        <f t="shared" si="64"/>
        <v>2024</v>
      </c>
      <c r="E232" s="215" t="str">
        <f>VLOOKUP($B232,Week!$A$1:$C$1462,2,0)</f>
        <v>Week6</v>
      </c>
      <c r="F232" s="216" t="str">
        <f t="shared" si="65"/>
        <v>Feb</v>
      </c>
      <c r="G232" s="215" t="s">
        <v>818</v>
      </c>
      <c r="H232" s="215" t="s">
        <v>104</v>
      </c>
      <c r="I232" s="215" t="s">
        <v>2772</v>
      </c>
      <c r="J232" s="209" t="s">
        <v>105</v>
      </c>
      <c r="K232" s="217" t="s">
        <v>107</v>
      </c>
      <c r="L232" s="300" t="s">
        <v>2167</v>
      </c>
      <c r="M232" s="209" t="s">
        <v>108</v>
      </c>
      <c r="N232" s="215" t="s">
        <v>109</v>
      </c>
      <c r="O232" s="215" t="s">
        <v>110</v>
      </c>
      <c r="P232" s="218">
        <v>36</v>
      </c>
      <c r="Q232" s="218">
        <v>5</v>
      </c>
      <c r="R232" s="219">
        <v>7.4999999999999997E-3</v>
      </c>
      <c r="S232" s="215" t="s">
        <v>111</v>
      </c>
      <c r="T232" s="215" t="s">
        <v>112</v>
      </c>
      <c r="U232" s="215" t="s">
        <v>113</v>
      </c>
      <c r="V232" s="220">
        <f>3243-471-792-792-792</f>
        <v>396</v>
      </c>
      <c r="W232" s="220">
        <f>3243-471-792-792-792</f>
        <v>396</v>
      </c>
      <c r="X232" s="221"/>
      <c r="Y232" s="222">
        <f t="shared" si="69"/>
        <v>0</v>
      </c>
      <c r="Z232" s="223">
        <f t="shared" si="70"/>
        <v>0</v>
      </c>
      <c r="AA232" s="223"/>
      <c r="AB232" s="807"/>
      <c r="AC232" s="220"/>
      <c r="AD232" s="209"/>
      <c r="AE232" s="210"/>
      <c r="AF232" s="210"/>
      <c r="AG232" s="211">
        <f t="shared" si="71"/>
        <v>0.308</v>
      </c>
      <c r="AH232" s="157">
        <f>(Z232*AG232)/1000</f>
        <v>0</v>
      </c>
      <c r="AI232" s="152">
        <f t="shared" si="73"/>
        <v>14256</v>
      </c>
      <c r="AK232" s="156" t="s">
        <v>691</v>
      </c>
      <c r="AL232" s="574" t="s">
        <v>690</v>
      </c>
      <c r="AM232" s="198">
        <f>AG232*Z232</f>
        <v>0</v>
      </c>
      <c r="AN232" s="199">
        <f t="shared" si="67"/>
        <v>45330</v>
      </c>
      <c r="AO232" s="159" t="s">
        <v>692</v>
      </c>
      <c r="AP232" s="781"/>
      <c r="AQ232" s="782">
        <v>12063755</v>
      </c>
      <c r="AR232" s="782">
        <v>12061353</v>
      </c>
      <c r="AS232" s="782">
        <v>12061354</v>
      </c>
      <c r="AT232" s="782">
        <v>12068566</v>
      </c>
      <c r="AU232" s="781"/>
      <c r="AV232" s="782">
        <v>12068564</v>
      </c>
      <c r="AW232" s="782">
        <v>12062153</v>
      </c>
      <c r="AX232" s="782"/>
      <c r="AY232" s="782">
        <v>12068565</v>
      </c>
      <c r="AZ232" s="782"/>
      <c r="BA232" s="781"/>
    </row>
    <row r="233" spans="1:53" ht="25" hidden="1" customHeight="1">
      <c r="A233" s="142" t="s">
        <v>120</v>
      </c>
      <c r="B233" s="466">
        <v>45330</v>
      </c>
      <c r="C233" s="467">
        <v>45341</v>
      </c>
      <c r="D233" s="185">
        <f t="shared" si="64"/>
        <v>2024</v>
      </c>
      <c r="E233" s="468" t="str">
        <f>VLOOKUP($B233,Week!$A$1:$C$1462,2,0)</f>
        <v>Week6</v>
      </c>
      <c r="F233" s="469" t="str">
        <f t="shared" si="65"/>
        <v>Feb</v>
      </c>
      <c r="G233" s="470" t="s">
        <v>883</v>
      </c>
      <c r="H233" s="468" t="s">
        <v>82</v>
      </c>
      <c r="I233" s="468" t="s">
        <v>82</v>
      </c>
      <c r="J233" s="471" t="s">
        <v>720</v>
      </c>
      <c r="K233" s="472" t="s">
        <v>85</v>
      </c>
      <c r="L233" s="390" t="s">
        <v>2166</v>
      </c>
      <c r="M233" s="471" t="s">
        <v>579</v>
      </c>
      <c r="N233" s="468" t="s">
        <v>580</v>
      </c>
      <c r="O233" s="468" t="s">
        <v>581</v>
      </c>
      <c r="P233" s="473">
        <v>8</v>
      </c>
      <c r="Q233" s="473">
        <v>60</v>
      </c>
      <c r="R233" s="474">
        <v>6.8100000000000001E-3</v>
      </c>
      <c r="S233" s="468" t="s">
        <v>76</v>
      </c>
      <c r="T233" s="468" t="s">
        <v>56</v>
      </c>
      <c r="U233" s="468" t="s">
        <v>89</v>
      </c>
      <c r="V233" s="475">
        <v>631</v>
      </c>
      <c r="W233" s="475">
        <v>631</v>
      </c>
      <c r="X233" s="476"/>
      <c r="Y233" s="477">
        <f t="shared" si="69"/>
        <v>0</v>
      </c>
      <c r="Z233" s="478">
        <f t="shared" si="70"/>
        <v>0</v>
      </c>
      <c r="AA233" s="478">
        <f>Q233*Z233</f>
        <v>0</v>
      </c>
      <c r="AB233" s="828">
        <v>6</v>
      </c>
      <c r="AC233" s="475">
        <f>Z233*AB233</f>
        <v>0</v>
      </c>
      <c r="AD233" s="209"/>
      <c r="AE233" s="210"/>
      <c r="AF233" s="210"/>
      <c r="AG233" s="211">
        <f t="shared" si="71"/>
        <v>0.75</v>
      </c>
      <c r="AH233" s="157">
        <f t="shared" si="75"/>
        <v>0</v>
      </c>
      <c r="AI233" s="152">
        <f t="shared" si="73"/>
        <v>5048</v>
      </c>
      <c r="AK233" s="156" t="s">
        <v>691</v>
      </c>
      <c r="AL233" s="156" t="s">
        <v>689</v>
      </c>
      <c r="AM233" s="198">
        <f t="shared" si="76"/>
        <v>0</v>
      </c>
      <c r="AN233" s="199">
        <f t="shared" si="67"/>
        <v>45330</v>
      </c>
      <c r="AO233" s="159" t="s">
        <v>692</v>
      </c>
      <c r="AP233" s="783" t="s">
        <v>622</v>
      </c>
      <c r="AQ233" s="782">
        <v>12004862</v>
      </c>
      <c r="AR233" s="782">
        <v>12080753</v>
      </c>
      <c r="AS233" s="782"/>
      <c r="AT233" s="782">
        <v>12082897</v>
      </c>
      <c r="AU233" s="781"/>
      <c r="AV233" s="782">
        <v>12082898</v>
      </c>
      <c r="AW233" s="782">
        <v>12082899</v>
      </c>
      <c r="AX233" s="796" t="s">
        <v>621</v>
      </c>
      <c r="AY233" s="782"/>
      <c r="AZ233" s="782"/>
      <c r="BA233" s="781"/>
    </row>
    <row r="234" spans="1:53" ht="25" hidden="1" customHeight="1">
      <c r="B234" s="597">
        <v>45331</v>
      </c>
      <c r="C234" s="383">
        <v>45337</v>
      </c>
      <c r="D234" s="185">
        <f t="shared" si="64"/>
        <v>2024</v>
      </c>
      <c r="E234" s="224" t="str">
        <f>VLOOKUP($B234,Week!$A$1:$C$1462,2,0)</f>
        <v>Week6</v>
      </c>
      <c r="F234" s="226" t="str">
        <f t="shared" si="65"/>
        <v>Feb</v>
      </c>
      <c r="G234" s="225" t="s">
        <v>895</v>
      </c>
      <c r="H234" s="225" t="s">
        <v>225</v>
      </c>
      <c r="I234" s="225" t="s">
        <v>2773</v>
      </c>
      <c r="J234" s="227" t="s">
        <v>335</v>
      </c>
      <c r="K234" s="228" t="s">
        <v>176</v>
      </c>
      <c r="L234" s="300" t="s">
        <v>2167</v>
      </c>
      <c r="M234" s="227" t="s">
        <v>336</v>
      </c>
      <c r="N234" s="225" t="s">
        <v>337</v>
      </c>
      <c r="O234" s="225" t="s">
        <v>179</v>
      </c>
      <c r="P234" s="229">
        <v>36</v>
      </c>
      <c r="Q234" s="229">
        <v>5</v>
      </c>
      <c r="R234" s="230">
        <v>7.4999999999999997E-3</v>
      </c>
      <c r="S234" s="225" t="s">
        <v>111</v>
      </c>
      <c r="T234" s="225" t="s">
        <v>112</v>
      </c>
      <c r="U234" s="225" t="s">
        <v>113</v>
      </c>
      <c r="V234" s="231">
        <v>1288</v>
      </c>
      <c r="W234" s="231">
        <f>2618-1288-1288+1+1245</f>
        <v>1288</v>
      </c>
      <c r="X234" s="232"/>
      <c r="Y234" s="233">
        <f t="shared" si="69"/>
        <v>0</v>
      </c>
      <c r="Z234" s="234">
        <f t="shared" si="70"/>
        <v>0</v>
      </c>
      <c r="AA234" s="234"/>
      <c r="AB234" s="822"/>
      <c r="AC234" s="231"/>
      <c r="AD234" s="307" t="s">
        <v>672</v>
      </c>
      <c r="AE234" s="210"/>
      <c r="AF234" s="210"/>
      <c r="AG234" s="211">
        <f t="shared" si="71"/>
        <v>0.14499999999999999</v>
      </c>
      <c r="AH234" s="157">
        <f>(Z234*AG234)/1000</f>
        <v>0</v>
      </c>
      <c r="AI234" s="152">
        <f t="shared" si="73"/>
        <v>46368</v>
      </c>
      <c r="AK234" s="156" t="s">
        <v>691</v>
      </c>
      <c r="AL234" s="574" t="s">
        <v>690</v>
      </c>
      <c r="AM234" s="198">
        <f t="shared" ref="AM234:AM243" si="77">AG234*Z234</f>
        <v>0</v>
      </c>
      <c r="AN234" s="199">
        <f t="shared" si="67"/>
        <v>45331</v>
      </c>
      <c r="AO234" s="159" t="s">
        <v>692</v>
      </c>
      <c r="AP234" s="783" t="s">
        <v>639</v>
      </c>
      <c r="AQ234" s="782">
        <v>12071839</v>
      </c>
      <c r="AR234" s="782">
        <v>12047514</v>
      </c>
      <c r="AS234" s="782">
        <v>12047515</v>
      </c>
      <c r="AT234" s="782">
        <v>12054919</v>
      </c>
      <c r="AU234" s="781"/>
      <c r="AV234" s="782">
        <v>12054869</v>
      </c>
      <c r="AW234" s="782">
        <v>12024404</v>
      </c>
      <c r="AX234" s="781"/>
      <c r="AY234" s="782">
        <v>12054815</v>
      </c>
      <c r="AZ234" s="781"/>
      <c r="BA234" s="781"/>
    </row>
    <row r="235" spans="1:53" ht="24.75" hidden="1" customHeight="1">
      <c r="B235" s="333">
        <v>45331</v>
      </c>
      <c r="C235" s="333">
        <v>45337</v>
      </c>
      <c r="D235" s="185">
        <f t="shared" si="64"/>
        <v>2024</v>
      </c>
      <c r="E235" s="335" t="str">
        <f>VLOOKUP($B235,Week!$A$1:$C$1462,2,0)</f>
        <v>Week6</v>
      </c>
      <c r="F235" s="334" t="str">
        <f t="shared" si="65"/>
        <v>Feb</v>
      </c>
      <c r="G235" s="335" t="s">
        <v>902</v>
      </c>
      <c r="H235" s="335" t="s">
        <v>363</v>
      </c>
      <c r="I235" s="335" t="s">
        <v>2772</v>
      </c>
      <c r="J235" s="336" t="s">
        <v>364</v>
      </c>
      <c r="K235" s="337" t="s">
        <v>176</v>
      </c>
      <c r="L235" s="300" t="s">
        <v>2167</v>
      </c>
      <c r="M235" s="382" t="s">
        <v>646</v>
      </c>
      <c r="N235" s="335" t="s">
        <v>647</v>
      </c>
      <c r="O235" s="335" t="s">
        <v>599</v>
      </c>
      <c r="P235" s="338">
        <v>36</v>
      </c>
      <c r="Q235" s="338">
        <v>5</v>
      </c>
      <c r="R235" s="339">
        <v>8.0000000000000002E-3</v>
      </c>
      <c r="S235" s="335" t="s">
        <v>40</v>
      </c>
      <c r="T235" s="335" t="s">
        <v>112</v>
      </c>
      <c r="U235" s="335" t="s">
        <v>57</v>
      </c>
      <c r="V235" s="341">
        <v>1288</v>
      </c>
      <c r="W235" s="341">
        <f>44+1244</f>
        <v>1288</v>
      </c>
      <c r="X235" s="342"/>
      <c r="Y235" s="343">
        <f t="shared" si="69"/>
        <v>0</v>
      </c>
      <c r="Z235" s="344">
        <f t="shared" si="70"/>
        <v>0</v>
      </c>
      <c r="AA235" s="344"/>
      <c r="AB235" s="821"/>
      <c r="AC235" s="341"/>
      <c r="AD235" s="209"/>
      <c r="AE235" s="210"/>
      <c r="AF235" s="210"/>
      <c r="AG235" s="211">
        <f t="shared" si="71"/>
        <v>0.14799999999999999</v>
      </c>
      <c r="AH235" s="157">
        <f>(Z235*AG235)/1000</f>
        <v>0</v>
      </c>
      <c r="AI235" s="152">
        <f t="shared" si="73"/>
        <v>46368</v>
      </c>
      <c r="AK235" s="156" t="s">
        <v>691</v>
      </c>
      <c r="AL235" s="574" t="s">
        <v>690</v>
      </c>
      <c r="AM235" s="198">
        <f t="shared" si="77"/>
        <v>0</v>
      </c>
      <c r="AN235" s="199">
        <f t="shared" si="67"/>
        <v>45331</v>
      </c>
      <c r="AO235" s="159" t="s">
        <v>692</v>
      </c>
      <c r="AP235" s="781"/>
      <c r="AQ235" s="782">
        <v>12071839</v>
      </c>
      <c r="AR235" s="782"/>
      <c r="AS235" s="782"/>
      <c r="AT235" s="782"/>
      <c r="AU235" s="781"/>
      <c r="AV235" s="782"/>
      <c r="AW235" s="782"/>
      <c r="AX235" s="782"/>
      <c r="AY235" s="782"/>
      <c r="AZ235" s="782"/>
      <c r="BA235" s="781"/>
    </row>
    <row r="236" spans="1:53" ht="24.75" hidden="1" customHeight="1">
      <c r="B236" s="333">
        <v>45331</v>
      </c>
      <c r="C236" s="333">
        <v>45337</v>
      </c>
      <c r="D236" s="185">
        <f t="shared" si="64"/>
        <v>2024</v>
      </c>
      <c r="E236" s="335" t="str">
        <f>VLOOKUP($B236,Week!$A$1:$C$1462,2,0)</f>
        <v>Week6</v>
      </c>
      <c r="F236" s="334" t="str">
        <f t="shared" si="65"/>
        <v>Feb</v>
      </c>
      <c r="G236" s="335" t="s">
        <v>906</v>
      </c>
      <c r="H236" s="335" t="s">
        <v>363</v>
      </c>
      <c r="I236" s="335" t="s">
        <v>2772</v>
      </c>
      <c r="J236" s="336" t="s">
        <v>364</v>
      </c>
      <c r="K236" s="337" t="s">
        <v>176</v>
      </c>
      <c r="L236" s="300" t="s">
        <v>2167</v>
      </c>
      <c r="M236" s="382" t="s">
        <v>646</v>
      </c>
      <c r="N236" s="335" t="s">
        <v>647</v>
      </c>
      <c r="O236" s="335" t="s">
        <v>599</v>
      </c>
      <c r="P236" s="338">
        <v>36</v>
      </c>
      <c r="Q236" s="338">
        <v>5</v>
      </c>
      <c r="R236" s="339">
        <v>8.0000000000000002E-3</v>
      </c>
      <c r="S236" s="335" t="s">
        <v>40</v>
      </c>
      <c r="T236" s="335" t="s">
        <v>112</v>
      </c>
      <c r="U236" s="335" t="s">
        <v>57</v>
      </c>
      <c r="V236" s="341">
        <v>1288</v>
      </c>
      <c r="W236" s="341">
        <f>2532-1244</f>
        <v>1288</v>
      </c>
      <c r="X236" s="342"/>
      <c r="Y236" s="343">
        <f t="shared" si="69"/>
        <v>0</v>
      </c>
      <c r="Z236" s="344">
        <f t="shared" si="70"/>
        <v>0</v>
      </c>
      <c r="AA236" s="344"/>
      <c r="AB236" s="821"/>
      <c r="AC236" s="341"/>
      <c r="AD236" s="209"/>
      <c r="AE236" s="210"/>
      <c r="AF236" s="210"/>
      <c r="AG236" s="211">
        <f t="shared" si="71"/>
        <v>0.14799999999999999</v>
      </c>
      <c r="AH236" s="157">
        <f>(Z236*AG236)/1000</f>
        <v>0</v>
      </c>
      <c r="AI236" s="152">
        <f t="shared" si="73"/>
        <v>46368</v>
      </c>
      <c r="AK236" s="156" t="s">
        <v>691</v>
      </c>
      <c r="AL236" s="574" t="s">
        <v>690</v>
      </c>
      <c r="AM236" s="198">
        <f t="shared" si="77"/>
        <v>0</v>
      </c>
      <c r="AN236" s="199">
        <f t="shared" si="67"/>
        <v>45331</v>
      </c>
      <c r="AO236" s="159" t="s">
        <v>692</v>
      </c>
      <c r="AP236" s="781"/>
      <c r="AQ236" s="782">
        <v>12071839</v>
      </c>
      <c r="AR236" s="782"/>
      <c r="AS236" s="782"/>
      <c r="AT236" s="782"/>
      <c r="AU236" s="781"/>
      <c r="AV236" s="782"/>
      <c r="AW236" s="782"/>
      <c r="AX236" s="782"/>
      <c r="AY236" s="782"/>
      <c r="AZ236" s="782"/>
      <c r="BA236" s="781"/>
    </row>
    <row r="237" spans="1:53" ht="25" hidden="1" customHeight="1">
      <c r="A237" s="142" t="s">
        <v>120</v>
      </c>
      <c r="B237" s="466">
        <v>45331</v>
      </c>
      <c r="C237" s="467">
        <v>45341</v>
      </c>
      <c r="D237" s="185">
        <f t="shared" si="64"/>
        <v>2024</v>
      </c>
      <c r="E237" s="468" t="str">
        <f>VLOOKUP($B237,Week!$A$1:$C$1462,2,0)</f>
        <v>Week6</v>
      </c>
      <c r="F237" s="469" t="str">
        <f t="shared" si="65"/>
        <v>Feb</v>
      </c>
      <c r="G237" s="470" t="s">
        <v>883</v>
      </c>
      <c r="H237" s="468" t="s">
        <v>82</v>
      </c>
      <c r="I237" s="468" t="s">
        <v>82</v>
      </c>
      <c r="J237" s="471" t="s">
        <v>720</v>
      </c>
      <c r="K237" s="472" t="s">
        <v>85</v>
      </c>
      <c r="L237" s="390" t="s">
        <v>2166</v>
      </c>
      <c r="M237" s="471" t="s">
        <v>579</v>
      </c>
      <c r="N237" s="468" t="s">
        <v>580</v>
      </c>
      <c r="O237" s="468" t="s">
        <v>581</v>
      </c>
      <c r="P237" s="473">
        <v>8</v>
      </c>
      <c r="Q237" s="473">
        <v>60</v>
      </c>
      <c r="R237" s="474">
        <v>6.8100000000000001E-3</v>
      </c>
      <c r="S237" s="468" t="s">
        <v>76</v>
      </c>
      <c r="T237" s="468" t="s">
        <v>56</v>
      </c>
      <c r="U237" s="468" t="s">
        <v>89</v>
      </c>
      <c r="V237" s="475">
        <f>1408-644-631</f>
        <v>133</v>
      </c>
      <c r="W237" s="475">
        <v>133</v>
      </c>
      <c r="X237" s="476"/>
      <c r="Y237" s="477">
        <f t="shared" si="69"/>
        <v>0</v>
      </c>
      <c r="Z237" s="478">
        <f t="shared" si="70"/>
        <v>0</v>
      </c>
      <c r="AA237" s="478">
        <f>Q237*Z237</f>
        <v>0</v>
      </c>
      <c r="AB237" s="828">
        <v>6</v>
      </c>
      <c r="AC237" s="475">
        <f>Z237*AB237</f>
        <v>0</v>
      </c>
      <c r="AD237" s="209"/>
      <c r="AE237" s="210"/>
      <c r="AF237" s="210"/>
      <c r="AG237" s="211">
        <f t="shared" si="71"/>
        <v>0.75</v>
      </c>
      <c r="AH237" s="157">
        <f>(Z237*AG237)/1000</f>
        <v>0</v>
      </c>
      <c r="AI237" s="152">
        <f t="shared" si="73"/>
        <v>1064</v>
      </c>
      <c r="AK237" s="156" t="s">
        <v>691</v>
      </c>
      <c r="AL237" s="156" t="s">
        <v>689</v>
      </c>
      <c r="AM237" s="198">
        <f t="shared" si="77"/>
        <v>0</v>
      </c>
      <c r="AN237" s="199">
        <f t="shared" si="67"/>
        <v>45331</v>
      </c>
      <c r="AO237" s="159" t="s">
        <v>692</v>
      </c>
      <c r="AP237" s="783" t="s">
        <v>622</v>
      </c>
      <c r="AQ237" s="782">
        <v>12004862</v>
      </c>
      <c r="AR237" s="782">
        <v>12080753</v>
      </c>
      <c r="AS237" s="782"/>
      <c r="AT237" s="782">
        <v>12082897</v>
      </c>
      <c r="AU237" s="781"/>
      <c r="AV237" s="782">
        <v>12082898</v>
      </c>
      <c r="AW237" s="782">
        <v>12082899</v>
      </c>
      <c r="AX237" s="796" t="s">
        <v>621</v>
      </c>
      <c r="AY237" s="782"/>
      <c r="AZ237" s="782"/>
      <c r="BA237" s="781"/>
    </row>
    <row r="238" spans="1:53" ht="25" hidden="1" customHeight="1">
      <c r="A238" s="142" t="s">
        <v>120</v>
      </c>
      <c r="B238" s="466">
        <v>45331</v>
      </c>
      <c r="C238" s="467">
        <v>45341</v>
      </c>
      <c r="D238" s="185">
        <f t="shared" si="64"/>
        <v>2024</v>
      </c>
      <c r="E238" s="468" t="str">
        <f>VLOOKUP($B238,Week!$A$1:$C$1462,2,0)</f>
        <v>Week6</v>
      </c>
      <c r="F238" s="469" t="str">
        <f t="shared" si="65"/>
        <v>Feb</v>
      </c>
      <c r="G238" s="470" t="s">
        <v>885</v>
      </c>
      <c r="H238" s="468" t="s">
        <v>82</v>
      </c>
      <c r="I238" s="468" t="s">
        <v>82</v>
      </c>
      <c r="J238" s="471" t="s">
        <v>720</v>
      </c>
      <c r="K238" s="472" t="s">
        <v>85</v>
      </c>
      <c r="L238" s="390" t="s">
        <v>2166</v>
      </c>
      <c r="M238" s="471" t="s">
        <v>579</v>
      </c>
      <c r="N238" s="468" t="s">
        <v>580</v>
      </c>
      <c r="O238" s="468" t="s">
        <v>581</v>
      </c>
      <c r="P238" s="473">
        <v>8</v>
      </c>
      <c r="Q238" s="473">
        <v>60</v>
      </c>
      <c r="R238" s="474">
        <v>6.8100000000000001E-3</v>
      </c>
      <c r="S238" s="468" t="s">
        <v>76</v>
      </c>
      <c r="T238" s="468" t="s">
        <v>56</v>
      </c>
      <c r="U238" s="468" t="s">
        <v>89</v>
      </c>
      <c r="V238" s="475">
        <v>552</v>
      </c>
      <c r="W238" s="475">
        <f>685-133</f>
        <v>552</v>
      </c>
      <c r="X238" s="476"/>
      <c r="Y238" s="477">
        <f t="shared" si="69"/>
        <v>0</v>
      </c>
      <c r="Z238" s="478">
        <f t="shared" si="70"/>
        <v>0</v>
      </c>
      <c r="AA238" s="478">
        <f>Q238*Z238</f>
        <v>0</v>
      </c>
      <c r="AB238" s="828">
        <v>6</v>
      </c>
      <c r="AC238" s="475">
        <f>Z238*AB238</f>
        <v>0</v>
      </c>
      <c r="AD238" s="209"/>
      <c r="AE238" s="210"/>
      <c r="AF238" s="210"/>
      <c r="AG238" s="211">
        <f t="shared" si="71"/>
        <v>0.75</v>
      </c>
      <c r="AH238" s="157">
        <f>(Z238*AG238)/1000</f>
        <v>0</v>
      </c>
      <c r="AI238" s="152">
        <f t="shared" si="73"/>
        <v>4416</v>
      </c>
      <c r="AK238" s="156" t="s">
        <v>691</v>
      </c>
      <c r="AL238" s="156" t="s">
        <v>689</v>
      </c>
      <c r="AM238" s="198">
        <f t="shared" si="77"/>
        <v>0</v>
      </c>
      <c r="AN238" s="199">
        <f t="shared" si="67"/>
        <v>45331</v>
      </c>
      <c r="AO238" s="159" t="s">
        <v>692</v>
      </c>
      <c r="AP238" s="783" t="s">
        <v>622</v>
      </c>
      <c r="AQ238" s="782">
        <v>12004862</v>
      </c>
      <c r="AR238" s="782">
        <v>12080753</v>
      </c>
      <c r="AS238" s="782"/>
      <c r="AT238" s="782">
        <v>12082897</v>
      </c>
      <c r="AU238" s="781"/>
      <c r="AV238" s="782">
        <v>12082898</v>
      </c>
      <c r="AW238" s="782">
        <v>12082899</v>
      </c>
      <c r="AX238" s="796" t="s">
        <v>621</v>
      </c>
      <c r="AY238" s="782"/>
      <c r="AZ238" s="782"/>
      <c r="BA238" s="781"/>
    </row>
    <row r="239" spans="1:53" ht="24.65" hidden="1" customHeight="1">
      <c r="B239" s="183">
        <v>45332</v>
      </c>
      <c r="C239" s="184"/>
      <c r="D239" s="185">
        <f t="shared" si="64"/>
        <v>2024</v>
      </c>
      <c r="E239" s="185" t="str">
        <f>VLOOKUP($B239,Week!$A$1:$C$1462,2,0)</f>
        <v>Week6</v>
      </c>
      <c r="F239" s="186" t="str">
        <f t="shared" si="65"/>
        <v>Feb</v>
      </c>
      <c r="G239" s="185"/>
      <c r="H239" s="185"/>
      <c r="I239" s="185"/>
      <c r="J239" s="187"/>
      <c r="K239" s="188"/>
      <c r="L239" s="300"/>
      <c r="M239" s="187"/>
      <c r="N239" s="185"/>
      <c r="O239" s="185"/>
      <c r="P239" s="189"/>
      <c r="Q239" s="189"/>
      <c r="R239" s="190"/>
      <c r="S239" s="185"/>
      <c r="T239" s="185"/>
      <c r="U239" s="185"/>
      <c r="V239" s="191"/>
      <c r="W239" s="191"/>
      <c r="X239" s="192"/>
      <c r="Y239" s="193"/>
      <c r="Z239" s="194"/>
      <c r="AA239" s="194"/>
      <c r="AB239" s="805"/>
      <c r="AC239" s="191"/>
      <c r="AD239" s="187"/>
      <c r="AE239" s="195"/>
      <c r="AF239" s="195"/>
      <c r="AG239" s="196"/>
      <c r="AH239" s="197"/>
      <c r="AK239" s="156" t="s">
        <v>691</v>
      </c>
      <c r="AM239" s="198">
        <f t="shared" si="77"/>
        <v>0</v>
      </c>
      <c r="AN239" s="199">
        <f t="shared" si="67"/>
        <v>45332</v>
      </c>
      <c r="AO239" s="159" t="s">
        <v>692</v>
      </c>
      <c r="AP239" s="781"/>
      <c r="AQ239" s="782"/>
      <c r="AR239" s="782"/>
      <c r="AS239" s="782"/>
      <c r="AT239" s="782"/>
      <c r="AU239" s="781"/>
      <c r="AV239" s="782"/>
      <c r="AW239" s="782"/>
      <c r="AX239" s="782"/>
      <c r="AY239" s="782"/>
      <c r="AZ239" s="782"/>
      <c r="BA239" s="781"/>
    </row>
    <row r="240" spans="1:53" ht="25" hidden="1" customHeight="1">
      <c r="B240" s="183">
        <v>45333</v>
      </c>
      <c r="C240" s="184"/>
      <c r="D240" s="185">
        <f t="shared" si="64"/>
        <v>2024</v>
      </c>
      <c r="E240" s="185" t="str">
        <f>VLOOKUP($B240,Week!$A$1:$C$1462,2,0)</f>
        <v>Week6</v>
      </c>
      <c r="F240" s="186" t="str">
        <f t="shared" si="65"/>
        <v>Feb</v>
      </c>
      <c r="G240" s="185"/>
      <c r="H240" s="185"/>
      <c r="I240" s="185"/>
      <c r="J240" s="187"/>
      <c r="K240" s="188"/>
      <c r="L240" s="300"/>
      <c r="M240" s="187"/>
      <c r="N240" s="185"/>
      <c r="O240" s="185"/>
      <c r="P240" s="189"/>
      <c r="Q240" s="189"/>
      <c r="R240" s="190"/>
      <c r="S240" s="185"/>
      <c r="T240" s="185"/>
      <c r="U240" s="185"/>
      <c r="V240" s="191"/>
      <c r="W240" s="191"/>
      <c r="X240" s="192"/>
      <c r="Y240" s="193"/>
      <c r="Z240" s="194"/>
      <c r="AA240" s="194"/>
      <c r="AB240" s="805"/>
      <c r="AC240" s="191"/>
      <c r="AD240" s="187"/>
      <c r="AE240" s="195"/>
      <c r="AF240" s="195"/>
      <c r="AG240" s="196"/>
      <c r="AH240" s="197"/>
      <c r="AK240" s="156" t="s">
        <v>691</v>
      </c>
      <c r="AM240" s="198">
        <f t="shared" si="77"/>
        <v>0</v>
      </c>
      <c r="AN240" s="199">
        <f t="shared" si="67"/>
        <v>45333</v>
      </c>
      <c r="AO240" s="159" t="s">
        <v>692</v>
      </c>
      <c r="AP240" s="781"/>
      <c r="AQ240" s="782"/>
      <c r="AR240" s="782"/>
      <c r="AS240" s="782"/>
      <c r="AT240" s="782"/>
      <c r="AU240" s="781"/>
      <c r="AV240" s="782"/>
      <c r="AW240" s="782"/>
      <c r="AX240" s="782"/>
      <c r="AY240" s="782"/>
      <c r="AZ240" s="782"/>
      <c r="BA240" s="781"/>
    </row>
    <row r="241" spans="1:53" ht="25" hidden="1" customHeight="1">
      <c r="B241" s="183">
        <v>45334</v>
      </c>
      <c r="C241" s="184"/>
      <c r="D241" s="185">
        <f t="shared" si="64"/>
        <v>2024</v>
      </c>
      <c r="E241" s="185" t="str">
        <f>VLOOKUP($B241,Week!$A$1:$C$1462,2,0)</f>
        <v>Week7</v>
      </c>
      <c r="F241" s="186" t="str">
        <f t="shared" si="65"/>
        <v>Feb</v>
      </c>
      <c r="G241" s="185"/>
      <c r="H241" s="185"/>
      <c r="I241" s="185"/>
      <c r="J241" s="187"/>
      <c r="K241" s="188"/>
      <c r="L241" s="300"/>
      <c r="M241" s="187"/>
      <c r="N241" s="185"/>
      <c r="O241" s="185"/>
      <c r="P241" s="189"/>
      <c r="Q241" s="189"/>
      <c r="R241" s="190"/>
      <c r="S241" s="185"/>
      <c r="T241" s="185"/>
      <c r="U241" s="185"/>
      <c r="V241" s="191"/>
      <c r="W241" s="191"/>
      <c r="X241" s="192"/>
      <c r="Y241" s="193"/>
      <c r="Z241" s="194"/>
      <c r="AA241" s="194"/>
      <c r="AB241" s="805"/>
      <c r="AC241" s="191"/>
      <c r="AD241" s="187"/>
      <c r="AE241" s="195"/>
      <c r="AF241" s="195"/>
      <c r="AG241" s="196"/>
      <c r="AH241" s="197"/>
      <c r="AK241" s="156" t="s">
        <v>691</v>
      </c>
      <c r="AM241" s="198">
        <f t="shared" si="77"/>
        <v>0</v>
      </c>
      <c r="AN241" s="199">
        <f t="shared" si="67"/>
        <v>45334</v>
      </c>
      <c r="AO241" s="159" t="s">
        <v>692</v>
      </c>
      <c r="AP241" s="781"/>
      <c r="AQ241" s="782"/>
      <c r="AR241" s="782"/>
      <c r="AS241" s="782"/>
      <c r="AT241" s="782"/>
      <c r="AU241" s="781"/>
      <c r="AV241" s="782"/>
      <c r="AW241" s="782"/>
      <c r="AX241" s="782"/>
      <c r="AY241" s="782"/>
      <c r="AZ241" s="782"/>
      <c r="BA241" s="781"/>
    </row>
    <row r="242" spans="1:53" ht="25" hidden="1" customHeight="1">
      <c r="B242" s="597">
        <v>45335</v>
      </c>
      <c r="C242" s="383">
        <v>45348</v>
      </c>
      <c r="D242" s="185">
        <f t="shared" si="64"/>
        <v>2024</v>
      </c>
      <c r="E242" s="224" t="str">
        <f>VLOOKUP($B242,Week!$A$1:$C$1462,2,0)</f>
        <v>Week7</v>
      </c>
      <c r="F242" s="226" t="str">
        <f t="shared" si="65"/>
        <v>Feb</v>
      </c>
      <c r="G242" s="225" t="s">
        <v>896</v>
      </c>
      <c r="H242" s="225" t="s">
        <v>225</v>
      </c>
      <c r="I242" s="225" t="s">
        <v>2773</v>
      </c>
      <c r="J242" s="227" t="s">
        <v>335</v>
      </c>
      <c r="K242" s="228" t="s">
        <v>176</v>
      </c>
      <c r="L242" s="300" t="s">
        <v>2167</v>
      </c>
      <c r="M242" s="227" t="s">
        <v>336</v>
      </c>
      <c r="N242" s="225" t="s">
        <v>337</v>
      </c>
      <c r="O242" s="225" t="s">
        <v>179</v>
      </c>
      <c r="P242" s="229">
        <v>36</v>
      </c>
      <c r="Q242" s="229">
        <v>5</v>
      </c>
      <c r="R242" s="230">
        <v>7.4999999999999997E-3</v>
      </c>
      <c r="S242" s="225" t="s">
        <v>111</v>
      </c>
      <c r="T242" s="225" t="s">
        <v>112</v>
      </c>
      <c r="U242" s="225" t="s">
        <v>113</v>
      </c>
      <c r="V242" s="231">
        <v>1288</v>
      </c>
      <c r="W242" s="231">
        <f>6+1282</f>
        <v>1288</v>
      </c>
      <c r="X242" s="232"/>
      <c r="Y242" s="233">
        <f>(W242+X242)-V242</f>
        <v>0</v>
      </c>
      <c r="Z242" s="234">
        <f>IF(Y242&lt;0,((V242*P242)-((W242+X242)*P242)),0)</f>
        <v>0</v>
      </c>
      <c r="AA242" s="234"/>
      <c r="AB242" s="822"/>
      <c r="AC242" s="231"/>
      <c r="AD242" s="307" t="s">
        <v>672</v>
      </c>
      <c r="AE242" s="210"/>
      <c r="AF242" s="210"/>
      <c r="AG242" s="211">
        <f>MID(O242,1,3)/1000</f>
        <v>0.14499999999999999</v>
      </c>
      <c r="AH242" s="157">
        <f t="shared" ref="AH242:AH254" si="78">(Z242*AG242)/1000</f>
        <v>0</v>
      </c>
      <c r="AI242" s="152">
        <f>V242*P242</f>
        <v>46368</v>
      </c>
      <c r="AK242" s="156" t="s">
        <v>691</v>
      </c>
      <c r="AL242" s="574" t="s">
        <v>690</v>
      </c>
      <c r="AM242" s="198">
        <f t="shared" si="77"/>
        <v>0</v>
      </c>
      <c r="AN242" s="199">
        <f t="shared" si="67"/>
        <v>45335</v>
      </c>
      <c r="AO242" s="159" t="s">
        <v>692</v>
      </c>
      <c r="AP242" s="783" t="s">
        <v>639</v>
      </c>
      <c r="AQ242" s="782">
        <v>12071839</v>
      </c>
      <c r="AR242" s="782">
        <v>12047514</v>
      </c>
      <c r="AS242" s="782">
        <v>12047515</v>
      </c>
      <c r="AT242" s="782">
        <v>12054919</v>
      </c>
      <c r="AU242" s="781"/>
      <c r="AV242" s="782">
        <v>12054869</v>
      </c>
      <c r="AW242" s="782">
        <v>12024404</v>
      </c>
      <c r="AX242" s="781"/>
      <c r="AY242" s="782">
        <v>12054815</v>
      </c>
      <c r="AZ242" s="781"/>
      <c r="BA242" s="781"/>
    </row>
    <row r="243" spans="1:53" ht="24.75" hidden="1" customHeight="1">
      <c r="B243" s="333">
        <v>45335</v>
      </c>
      <c r="C243" s="333">
        <v>45344</v>
      </c>
      <c r="D243" s="185">
        <f t="shared" si="64"/>
        <v>2024</v>
      </c>
      <c r="E243" s="335" t="str">
        <f>VLOOKUP($B243,Week!$A$1:$C$1462,2,0)</f>
        <v>Week7</v>
      </c>
      <c r="F243" s="334" t="str">
        <f t="shared" si="65"/>
        <v>Feb</v>
      </c>
      <c r="G243" s="335" t="s">
        <v>907</v>
      </c>
      <c r="H243" s="335" t="s">
        <v>363</v>
      </c>
      <c r="I243" s="335" t="s">
        <v>2772</v>
      </c>
      <c r="J243" s="336" t="s">
        <v>364</v>
      </c>
      <c r="K243" s="337" t="s">
        <v>176</v>
      </c>
      <c r="L243" s="300" t="s">
        <v>2167</v>
      </c>
      <c r="M243" s="382" t="s">
        <v>646</v>
      </c>
      <c r="N243" s="335" t="s">
        <v>647</v>
      </c>
      <c r="O243" s="335" t="s">
        <v>599</v>
      </c>
      <c r="P243" s="338">
        <v>36</v>
      </c>
      <c r="Q243" s="338">
        <v>5</v>
      </c>
      <c r="R243" s="339">
        <v>8.0000000000000002E-3</v>
      </c>
      <c r="S243" s="335" t="s">
        <v>40</v>
      </c>
      <c r="T243" s="335" t="s">
        <v>112</v>
      </c>
      <c r="U243" s="335" t="s">
        <v>57</v>
      </c>
      <c r="V243" s="341">
        <v>1288</v>
      </c>
      <c r="W243" s="341">
        <f>1288</f>
        <v>1288</v>
      </c>
      <c r="X243" s="342"/>
      <c r="Y243" s="343">
        <f>(W243+X243)-V243</f>
        <v>0</v>
      </c>
      <c r="Z243" s="344">
        <f>IF(Y243&lt;0,((V243*P243)-((W243+X243)*P243)),0)</f>
        <v>0</v>
      </c>
      <c r="AA243" s="344"/>
      <c r="AB243" s="821"/>
      <c r="AC243" s="341"/>
      <c r="AD243" s="209"/>
      <c r="AE243" s="210"/>
      <c r="AF243" s="210"/>
      <c r="AG243" s="211">
        <f>MID(O243,1,3)/1000</f>
        <v>0.14799999999999999</v>
      </c>
      <c r="AH243" s="157">
        <f t="shared" si="78"/>
        <v>0</v>
      </c>
      <c r="AI243" s="152">
        <f>V243*P243</f>
        <v>46368</v>
      </c>
      <c r="AK243" s="156" t="s">
        <v>691</v>
      </c>
      <c r="AL243" s="574" t="s">
        <v>690</v>
      </c>
      <c r="AM243" s="198">
        <f t="shared" si="77"/>
        <v>0</v>
      </c>
      <c r="AN243" s="199">
        <f t="shared" si="67"/>
        <v>45335</v>
      </c>
      <c r="AO243" s="159" t="s">
        <v>692</v>
      </c>
      <c r="AP243" s="781"/>
      <c r="AQ243" s="782">
        <v>12071839</v>
      </c>
      <c r="AR243" s="782"/>
      <c r="AS243" s="782"/>
      <c r="AT243" s="782"/>
      <c r="AU243" s="781"/>
      <c r="AV243" s="782"/>
      <c r="AW243" s="782"/>
      <c r="AX243" s="782"/>
      <c r="AY243" s="782"/>
      <c r="AZ243" s="782"/>
      <c r="BA243" s="781"/>
    </row>
    <row r="244" spans="1:53" ht="24.75" hidden="1" customHeight="1">
      <c r="B244" s="333">
        <v>45335</v>
      </c>
      <c r="C244" s="333">
        <v>45344</v>
      </c>
      <c r="D244" s="185">
        <f t="shared" si="64"/>
        <v>2024</v>
      </c>
      <c r="E244" s="335" t="str">
        <f>VLOOKUP($B244,Week!$A$1:$C$1462,2,0)</f>
        <v>Week7</v>
      </c>
      <c r="F244" s="334" t="str">
        <f t="shared" si="65"/>
        <v>Feb</v>
      </c>
      <c r="G244" s="335" t="s">
        <v>908</v>
      </c>
      <c r="H244" s="335" t="s">
        <v>363</v>
      </c>
      <c r="I244" s="335" t="s">
        <v>2772</v>
      </c>
      <c r="J244" s="336" t="s">
        <v>364</v>
      </c>
      <c r="K244" s="337" t="s">
        <v>176</v>
      </c>
      <c r="L244" s="300" t="s">
        <v>2167</v>
      </c>
      <c r="M244" s="382" t="s">
        <v>646</v>
      </c>
      <c r="N244" s="335" t="s">
        <v>647</v>
      </c>
      <c r="O244" s="335" t="s">
        <v>599</v>
      </c>
      <c r="P244" s="338">
        <v>36</v>
      </c>
      <c r="Q244" s="338">
        <v>5</v>
      </c>
      <c r="R244" s="339">
        <v>8.0000000000000002E-3</v>
      </c>
      <c r="S244" s="335" t="s">
        <v>40</v>
      </c>
      <c r="T244" s="335" t="s">
        <v>112</v>
      </c>
      <c r="U244" s="335" t="s">
        <v>57</v>
      </c>
      <c r="V244" s="341">
        <v>1288</v>
      </c>
      <c r="W244" s="341">
        <f>1463-1288+188</f>
        <v>363</v>
      </c>
      <c r="X244" s="342">
        <f>(5103+32248)/36</f>
        <v>1037.5277777777778</v>
      </c>
      <c r="Y244" s="343">
        <f>(W244+X244)-V244</f>
        <v>112.52777777777783</v>
      </c>
      <c r="Z244" s="344">
        <f>IF(Y244&lt;0,((V244*P244)-((W244+X244)*P244)),0)</f>
        <v>0</v>
      </c>
      <c r="AA244" s="344"/>
      <c r="AB244" s="821"/>
      <c r="AC244" s="341"/>
      <c r="AD244" s="209"/>
      <c r="AE244" s="210"/>
      <c r="AF244" s="210"/>
      <c r="AG244" s="211">
        <f>MID(O244,1,3)/1000</f>
        <v>0.14799999999999999</v>
      </c>
      <c r="AH244" s="157">
        <f t="shared" si="78"/>
        <v>0</v>
      </c>
      <c r="AI244" s="152">
        <f>V244*P244</f>
        <v>46368</v>
      </c>
      <c r="AK244" s="156" t="s">
        <v>691</v>
      </c>
      <c r="AL244" s="574" t="s">
        <v>690</v>
      </c>
      <c r="AM244" s="198">
        <f t="shared" ref="AM244:AM269" si="79">AG244*Z244</f>
        <v>0</v>
      </c>
      <c r="AN244" s="199">
        <f t="shared" si="67"/>
        <v>45335</v>
      </c>
      <c r="AO244" s="159" t="s">
        <v>692</v>
      </c>
      <c r="AP244" s="781"/>
      <c r="AQ244" s="782">
        <v>12071839</v>
      </c>
      <c r="AR244" s="782"/>
      <c r="AS244" s="782"/>
      <c r="AT244" s="782"/>
      <c r="AU244" s="781"/>
      <c r="AV244" s="782"/>
      <c r="AW244" s="782"/>
      <c r="AX244" s="782"/>
      <c r="AY244" s="782"/>
      <c r="AZ244" s="782"/>
      <c r="BA244" s="781"/>
    </row>
    <row r="245" spans="1:53" ht="25" hidden="1" customHeight="1">
      <c r="B245" s="213">
        <v>45335</v>
      </c>
      <c r="C245" s="214">
        <v>45350</v>
      </c>
      <c r="D245" s="185">
        <f t="shared" si="64"/>
        <v>2024</v>
      </c>
      <c r="E245" s="215" t="str">
        <f>VLOOKUP($B245,Week!$A$1:$C$1462,2,0)</f>
        <v>Week7</v>
      </c>
      <c r="F245" s="216" t="str">
        <f t="shared" si="65"/>
        <v>Feb</v>
      </c>
      <c r="G245" s="215" t="s">
        <v>910</v>
      </c>
      <c r="H245" s="215" t="s">
        <v>134</v>
      </c>
      <c r="I245" s="215" t="s">
        <v>2772</v>
      </c>
      <c r="J245" s="209" t="s">
        <v>164</v>
      </c>
      <c r="K245" s="217" t="s">
        <v>176</v>
      </c>
      <c r="L245" s="300" t="s">
        <v>2167</v>
      </c>
      <c r="M245" s="209" t="s">
        <v>193</v>
      </c>
      <c r="N245" s="215" t="s">
        <v>194</v>
      </c>
      <c r="O245" s="215" t="s">
        <v>195</v>
      </c>
      <c r="P245" s="218">
        <v>24</v>
      </c>
      <c r="Q245" s="218">
        <v>5</v>
      </c>
      <c r="R245" s="219">
        <v>8.0000000000000002E-3</v>
      </c>
      <c r="S245" s="215" t="s">
        <v>40</v>
      </c>
      <c r="T245" s="215" t="s">
        <v>56</v>
      </c>
      <c r="U245" s="215" t="s">
        <v>57</v>
      </c>
      <c r="V245" s="220">
        <v>250</v>
      </c>
      <c r="W245" s="220">
        <v>250</v>
      </c>
      <c r="X245" s="221"/>
      <c r="Y245" s="222">
        <f>(W245+X245)-V245</f>
        <v>0</v>
      </c>
      <c r="Z245" s="223">
        <f>IF(Y245&lt;0,((V245*P245)-((W245+X245)*P245)),0)</f>
        <v>0</v>
      </c>
      <c r="AA245" s="220"/>
      <c r="AB245" s="807"/>
      <c r="AC245" s="220"/>
      <c r="AD245" s="381"/>
      <c r="AE245" s="220"/>
      <c r="AF245" s="220"/>
      <c r="AG245" s="211">
        <f>MID(O245,1,3)/1000</f>
        <v>0.14499999999999999</v>
      </c>
      <c r="AH245" s="157">
        <f t="shared" si="78"/>
        <v>0</v>
      </c>
      <c r="AI245" s="152">
        <f>V245*P245</f>
        <v>6000</v>
      </c>
      <c r="AK245" s="156" t="s">
        <v>691</v>
      </c>
      <c r="AL245" s="212" t="s">
        <v>690</v>
      </c>
      <c r="AM245" s="198">
        <f t="shared" si="79"/>
        <v>0</v>
      </c>
      <c r="AN245" s="199">
        <f t="shared" si="67"/>
        <v>45335</v>
      </c>
      <c r="AO245" s="159" t="s">
        <v>692</v>
      </c>
      <c r="AP245" s="783" t="s">
        <v>610</v>
      </c>
      <c r="AQ245" s="782">
        <v>12071839</v>
      </c>
      <c r="AR245" s="782">
        <v>12047514</v>
      </c>
      <c r="AS245" s="782">
        <v>12047515</v>
      </c>
      <c r="AT245" s="782"/>
      <c r="AU245" s="782">
        <v>12026902</v>
      </c>
      <c r="AV245" s="782">
        <v>12054724</v>
      </c>
      <c r="AW245" s="782">
        <v>12026904</v>
      </c>
      <c r="AX245" s="782"/>
      <c r="AY245" s="782">
        <v>12054436</v>
      </c>
      <c r="AZ245" s="782">
        <v>12054433</v>
      </c>
      <c r="BA245" s="782">
        <v>12054434</v>
      </c>
    </row>
    <row r="246" spans="1:53" ht="25" hidden="1" customHeight="1">
      <c r="A246" s="142" t="s">
        <v>120</v>
      </c>
      <c r="B246" s="466">
        <v>45335</v>
      </c>
      <c r="C246" s="467">
        <v>45341</v>
      </c>
      <c r="D246" s="185">
        <f t="shared" si="64"/>
        <v>2024</v>
      </c>
      <c r="E246" s="468" t="str">
        <f>VLOOKUP($B246,Week!$A$1:$C$1462,2,0)</f>
        <v>Week7</v>
      </c>
      <c r="F246" s="469" t="str">
        <f t="shared" si="65"/>
        <v>Feb</v>
      </c>
      <c r="G246" s="470" t="s">
        <v>885</v>
      </c>
      <c r="H246" s="468" t="s">
        <v>82</v>
      </c>
      <c r="I246" s="468" t="s">
        <v>82</v>
      </c>
      <c r="J246" s="471" t="s">
        <v>720</v>
      </c>
      <c r="K246" s="472" t="s">
        <v>85</v>
      </c>
      <c r="L246" s="390" t="s">
        <v>2166</v>
      </c>
      <c r="M246" s="471" t="s">
        <v>579</v>
      </c>
      <c r="N246" s="468" t="s">
        <v>580</v>
      </c>
      <c r="O246" s="468" t="s">
        <v>581</v>
      </c>
      <c r="P246" s="473">
        <v>8</v>
      </c>
      <c r="Q246" s="473">
        <v>60</v>
      </c>
      <c r="R246" s="474">
        <v>6.8100000000000001E-3</v>
      </c>
      <c r="S246" s="468" t="s">
        <v>76</v>
      </c>
      <c r="T246" s="468" t="s">
        <v>56</v>
      </c>
      <c r="U246" s="468" t="s">
        <v>89</v>
      </c>
      <c r="V246" s="475">
        <v>673</v>
      </c>
      <c r="W246" s="475">
        <v>673</v>
      </c>
      <c r="X246" s="476"/>
      <c r="Y246" s="477">
        <f>(W246+X246)-V246</f>
        <v>0</v>
      </c>
      <c r="Z246" s="478">
        <f>IF(Y246&lt;0,((V246*P246)-((W246+X246)*P246)),0)</f>
        <v>0</v>
      </c>
      <c r="AA246" s="478">
        <f>Q246*Z246</f>
        <v>0</v>
      </c>
      <c r="AB246" s="828">
        <v>6</v>
      </c>
      <c r="AC246" s="475">
        <f>Z246*AB246</f>
        <v>0</v>
      </c>
      <c r="AD246" s="209"/>
      <c r="AE246" s="210"/>
      <c r="AF246" s="210"/>
      <c r="AG246" s="211">
        <f>MID(O246,1,3)/1000</f>
        <v>0.75</v>
      </c>
      <c r="AH246" s="157">
        <f t="shared" si="78"/>
        <v>0</v>
      </c>
      <c r="AI246" s="152">
        <f>V246*P246</f>
        <v>5384</v>
      </c>
      <c r="AK246" s="156" t="s">
        <v>691</v>
      </c>
      <c r="AL246" s="156" t="s">
        <v>689</v>
      </c>
      <c r="AM246" s="198">
        <f t="shared" si="79"/>
        <v>0</v>
      </c>
      <c r="AN246" s="199">
        <f t="shared" si="67"/>
        <v>45335</v>
      </c>
      <c r="AO246" s="159" t="s">
        <v>692</v>
      </c>
      <c r="AP246" s="783" t="s">
        <v>622</v>
      </c>
      <c r="AQ246" s="782">
        <v>12004862</v>
      </c>
      <c r="AR246" s="782">
        <v>12080753</v>
      </c>
      <c r="AS246" s="782"/>
      <c r="AT246" s="782">
        <v>12082897</v>
      </c>
      <c r="AU246" s="781"/>
      <c r="AV246" s="782">
        <v>12082898</v>
      </c>
      <c r="AW246" s="782">
        <v>12082899</v>
      </c>
      <c r="AX246" s="796" t="s">
        <v>621</v>
      </c>
      <c r="AY246" s="782"/>
      <c r="AZ246" s="782"/>
      <c r="BA246" s="781"/>
    </row>
    <row r="247" spans="1:53" ht="25" hidden="1" customHeight="1">
      <c r="B247" s="183">
        <v>45336</v>
      </c>
      <c r="C247" s="184"/>
      <c r="D247" s="185">
        <f t="shared" si="64"/>
        <v>2024</v>
      </c>
      <c r="E247" s="185" t="str">
        <f>VLOOKUP($B247,Week!$A$1:$C$1462,2,0)</f>
        <v>Week7</v>
      </c>
      <c r="F247" s="186" t="str">
        <f t="shared" si="65"/>
        <v>Feb</v>
      </c>
      <c r="G247" s="185"/>
      <c r="H247" s="185"/>
      <c r="I247" s="185"/>
      <c r="J247" s="187"/>
      <c r="K247" s="188"/>
      <c r="L247" s="300"/>
      <c r="M247" s="187" t="s">
        <v>1255</v>
      </c>
      <c r="N247" s="185"/>
      <c r="O247" s="185"/>
      <c r="P247" s="189"/>
      <c r="Q247" s="189"/>
      <c r="R247" s="190"/>
      <c r="S247" s="185"/>
      <c r="T247" s="185"/>
      <c r="U247" s="185"/>
      <c r="V247" s="191"/>
      <c r="W247" s="191"/>
      <c r="X247" s="192"/>
      <c r="Y247" s="193"/>
      <c r="Z247" s="194"/>
      <c r="AA247" s="194"/>
      <c r="AB247" s="805"/>
      <c r="AC247" s="191"/>
      <c r="AD247" s="187"/>
      <c r="AE247" s="195"/>
      <c r="AF247" s="195"/>
      <c r="AG247" s="196"/>
      <c r="AH247" s="197"/>
      <c r="AK247" s="156" t="s">
        <v>691</v>
      </c>
      <c r="AM247" s="198">
        <f t="shared" si="79"/>
        <v>0</v>
      </c>
      <c r="AN247" s="199">
        <f t="shared" si="67"/>
        <v>45336</v>
      </c>
      <c r="AO247" s="159" t="s">
        <v>692</v>
      </c>
      <c r="AP247" s="781"/>
      <c r="AQ247" s="782"/>
      <c r="AR247" s="782"/>
      <c r="AS247" s="782"/>
      <c r="AT247" s="782"/>
      <c r="AU247" s="781"/>
      <c r="AV247" s="782"/>
      <c r="AW247" s="782"/>
      <c r="AX247" s="782"/>
      <c r="AY247" s="782"/>
      <c r="AZ247" s="782"/>
      <c r="BA247" s="781"/>
    </row>
    <row r="248" spans="1:53" ht="24.75" hidden="1" customHeight="1">
      <c r="B248" s="295">
        <v>45336</v>
      </c>
      <c r="C248" s="296">
        <v>45341</v>
      </c>
      <c r="D248" s="185">
        <f t="shared" si="64"/>
        <v>2024</v>
      </c>
      <c r="E248" s="296" t="str">
        <f>VLOOKUP($B248,Week!$A$1:$C$1462,2,0)</f>
        <v>Week7</v>
      </c>
      <c r="F248" s="297" t="str">
        <f t="shared" si="65"/>
        <v>Feb</v>
      </c>
      <c r="G248" s="298" t="s">
        <v>47</v>
      </c>
      <c r="H248" s="298" t="s">
        <v>260</v>
      </c>
      <c r="I248" s="298" t="s">
        <v>2702</v>
      </c>
      <c r="J248" s="307" t="s">
        <v>904</v>
      </c>
      <c r="K248" s="300" t="s">
        <v>176</v>
      </c>
      <c r="L248" s="300" t="s">
        <v>2167</v>
      </c>
      <c r="M248" s="299" t="s">
        <v>262</v>
      </c>
      <c r="N248" s="298" t="s">
        <v>350</v>
      </c>
      <c r="O248" s="298" t="s">
        <v>351</v>
      </c>
      <c r="P248" s="301">
        <v>24</v>
      </c>
      <c r="Q248" s="301">
        <v>5</v>
      </c>
      <c r="R248" s="302">
        <v>6.1999999999999998E-3</v>
      </c>
      <c r="S248" s="298" t="s">
        <v>352</v>
      </c>
      <c r="T248" s="298" t="s">
        <v>56</v>
      </c>
      <c r="U248" s="298" t="s">
        <v>57</v>
      </c>
      <c r="V248" s="303">
        <v>2001</v>
      </c>
      <c r="W248" s="303">
        <f>2001</f>
        <v>2001</v>
      </c>
      <c r="X248" s="304"/>
      <c r="Y248" s="305">
        <f t="shared" ref="Y248:Y268" si="80">(W248+X248)-V248</f>
        <v>0</v>
      </c>
      <c r="Z248" s="306">
        <f t="shared" ref="Z248:Z268" si="81">IF(Y248&lt;0,((V248*P248)-((W248+X248)*P248)),0)</f>
        <v>0</v>
      </c>
      <c r="AA248" s="306"/>
      <c r="AB248" s="814"/>
      <c r="AC248" s="303"/>
      <c r="AD248" s="580" t="s">
        <v>672</v>
      </c>
      <c r="AE248" s="210"/>
      <c r="AF248" s="210"/>
      <c r="AG248" s="211">
        <f t="shared" ref="AG248:AG268" si="82">MID(O248,1,3)/1000</f>
        <v>0.13</v>
      </c>
      <c r="AH248" s="157">
        <f t="shared" si="78"/>
        <v>0</v>
      </c>
      <c r="AI248" s="152">
        <f t="shared" ref="AI248:AI268" si="83">V248*P248</f>
        <v>48024</v>
      </c>
      <c r="AK248" s="156" t="s">
        <v>691</v>
      </c>
      <c r="AL248" s="574" t="s">
        <v>690</v>
      </c>
      <c r="AM248" s="198">
        <f t="shared" si="79"/>
        <v>0</v>
      </c>
      <c r="AN248" s="199">
        <f t="shared" si="67"/>
        <v>45336</v>
      </c>
      <c r="AO248" s="159" t="s">
        <v>692</v>
      </c>
      <c r="AP248" s="783" t="s">
        <v>629</v>
      </c>
      <c r="AQ248" s="782">
        <v>12071839</v>
      </c>
      <c r="AR248" s="782">
        <v>12078867</v>
      </c>
      <c r="AS248" s="782">
        <v>12068233</v>
      </c>
      <c r="AT248" s="781"/>
      <c r="AU248" s="781"/>
      <c r="AV248" s="782">
        <v>12062075</v>
      </c>
      <c r="AW248" s="781"/>
      <c r="AX248" s="781"/>
      <c r="AY248" s="782">
        <v>12078868</v>
      </c>
      <c r="AZ248" s="781"/>
      <c r="BA248" s="781"/>
    </row>
    <row r="249" spans="1:53" ht="25" hidden="1" customHeight="1">
      <c r="A249" s="142" t="s">
        <v>120</v>
      </c>
      <c r="B249" s="466">
        <v>45336</v>
      </c>
      <c r="C249" s="467">
        <v>45341</v>
      </c>
      <c r="D249" s="185">
        <f t="shared" si="64"/>
        <v>2024</v>
      </c>
      <c r="E249" s="468" t="str">
        <f>VLOOKUP($B249,Week!$A$1:$C$1462,2,0)</f>
        <v>Week7</v>
      </c>
      <c r="F249" s="469" t="str">
        <f t="shared" si="65"/>
        <v>Feb</v>
      </c>
      <c r="G249" s="470" t="s">
        <v>885</v>
      </c>
      <c r="H249" s="468" t="s">
        <v>82</v>
      </c>
      <c r="I249" s="468" t="s">
        <v>82</v>
      </c>
      <c r="J249" s="471" t="s">
        <v>720</v>
      </c>
      <c r="K249" s="472" t="s">
        <v>85</v>
      </c>
      <c r="L249" s="390" t="s">
        <v>2166</v>
      </c>
      <c r="M249" s="471" t="s">
        <v>579</v>
      </c>
      <c r="N249" s="468" t="s">
        <v>580</v>
      </c>
      <c r="O249" s="468" t="s">
        <v>581</v>
      </c>
      <c r="P249" s="473">
        <v>8</v>
      </c>
      <c r="Q249" s="473">
        <v>60</v>
      </c>
      <c r="R249" s="474">
        <v>6.8100000000000001E-3</v>
      </c>
      <c r="S249" s="468" t="s">
        <v>76</v>
      </c>
      <c r="T249" s="468" t="s">
        <v>56</v>
      </c>
      <c r="U249" s="468" t="s">
        <v>89</v>
      </c>
      <c r="V249" s="475">
        <f>1408-552-673</f>
        <v>183</v>
      </c>
      <c r="W249" s="475">
        <v>183</v>
      </c>
      <c r="X249" s="476"/>
      <c r="Y249" s="477">
        <f t="shared" si="80"/>
        <v>0</v>
      </c>
      <c r="Z249" s="478">
        <f t="shared" si="81"/>
        <v>0</v>
      </c>
      <c r="AA249" s="478">
        <f>Q249*Z249</f>
        <v>0</v>
      </c>
      <c r="AB249" s="828">
        <v>6</v>
      </c>
      <c r="AC249" s="475">
        <f>Z249*AB249</f>
        <v>0</v>
      </c>
      <c r="AD249" s="209"/>
      <c r="AE249" s="210"/>
      <c r="AF249" s="210"/>
      <c r="AG249" s="211">
        <f t="shared" si="82"/>
        <v>0.75</v>
      </c>
      <c r="AH249" s="157">
        <f t="shared" si="78"/>
        <v>0</v>
      </c>
      <c r="AI249" s="152">
        <f t="shared" si="83"/>
        <v>1464</v>
      </c>
      <c r="AK249" s="156" t="s">
        <v>691</v>
      </c>
      <c r="AL249" s="156" t="s">
        <v>689</v>
      </c>
      <c r="AM249" s="198">
        <f t="shared" si="79"/>
        <v>0</v>
      </c>
      <c r="AN249" s="199">
        <f t="shared" si="67"/>
        <v>45336</v>
      </c>
      <c r="AO249" s="159" t="s">
        <v>692</v>
      </c>
      <c r="AP249" s="783" t="s">
        <v>622</v>
      </c>
      <c r="AQ249" s="782">
        <v>12004862</v>
      </c>
      <c r="AR249" s="782">
        <v>12080753</v>
      </c>
      <c r="AS249" s="782"/>
      <c r="AT249" s="782">
        <v>12082897</v>
      </c>
      <c r="AU249" s="781"/>
      <c r="AV249" s="782">
        <v>12082898</v>
      </c>
      <c r="AW249" s="782">
        <v>12082899</v>
      </c>
      <c r="AX249" s="796" t="s">
        <v>621</v>
      </c>
      <c r="AY249" s="782"/>
      <c r="AZ249" s="782"/>
      <c r="BA249" s="781"/>
    </row>
    <row r="250" spans="1:53" ht="25" hidden="1" customHeight="1">
      <c r="A250" s="142" t="s">
        <v>120</v>
      </c>
      <c r="B250" s="466">
        <v>45336</v>
      </c>
      <c r="C250" s="467">
        <v>45344</v>
      </c>
      <c r="D250" s="185">
        <f t="shared" si="64"/>
        <v>2024</v>
      </c>
      <c r="E250" s="468" t="str">
        <f>VLOOKUP($B250,Week!$A$1:$C$1462,2,0)</f>
        <v>Week7</v>
      </c>
      <c r="F250" s="469" t="str">
        <f t="shared" si="65"/>
        <v>Feb</v>
      </c>
      <c r="G250" s="470" t="s">
        <v>884</v>
      </c>
      <c r="H250" s="468" t="s">
        <v>82</v>
      </c>
      <c r="I250" s="468" t="s">
        <v>82</v>
      </c>
      <c r="J250" s="471" t="s">
        <v>720</v>
      </c>
      <c r="K250" s="472" t="s">
        <v>85</v>
      </c>
      <c r="L250" s="390" t="s">
        <v>2166</v>
      </c>
      <c r="M250" s="471" t="s">
        <v>579</v>
      </c>
      <c r="N250" s="468" t="s">
        <v>580</v>
      </c>
      <c r="O250" s="468" t="s">
        <v>581</v>
      </c>
      <c r="P250" s="473">
        <v>8</v>
      </c>
      <c r="Q250" s="473">
        <v>60</v>
      </c>
      <c r="R250" s="474">
        <v>6.8100000000000001E-3</v>
      </c>
      <c r="S250" s="468" t="s">
        <v>76</v>
      </c>
      <c r="T250" s="468" t="s">
        <v>56</v>
      </c>
      <c r="U250" s="468" t="s">
        <v>89</v>
      </c>
      <c r="V250" s="475">
        <f>760-183</f>
        <v>577</v>
      </c>
      <c r="W250" s="475">
        <v>577</v>
      </c>
      <c r="X250" s="476"/>
      <c r="Y250" s="477">
        <f t="shared" si="80"/>
        <v>0</v>
      </c>
      <c r="Z250" s="478">
        <f t="shared" si="81"/>
        <v>0</v>
      </c>
      <c r="AA250" s="478">
        <f>Q250*Z250</f>
        <v>0</v>
      </c>
      <c r="AB250" s="828">
        <v>6</v>
      </c>
      <c r="AC250" s="475">
        <f>Z250*AB250</f>
        <v>0</v>
      </c>
      <c r="AD250" s="209"/>
      <c r="AE250" s="210"/>
      <c r="AF250" s="210"/>
      <c r="AG250" s="211">
        <f t="shared" si="82"/>
        <v>0.75</v>
      </c>
      <c r="AH250" s="157">
        <f t="shared" si="78"/>
        <v>0</v>
      </c>
      <c r="AI250" s="152">
        <f t="shared" si="83"/>
        <v>4616</v>
      </c>
      <c r="AK250" s="156" t="s">
        <v>691</v>
      </c>
      <c r="AL250" s="156" t="s">
        <v>689</v>
      </c>
      <c r="AM250" s="198">
        <f t="shared" si="79"/>
        <v>0</v>
      </c>
      <c r="AN250" s="199">
        <f t="shared" si="67"/>
        <v>45336</v>
      </c>
      <c r="AO250" s="159" t="s">
        <v>692</v>
      </c>
      <c r="AP250" s="783" t="s">
        <v>622</v>
      </c>
      <c r="AQ250" s="782">
        <v>12004862</v>
      </c>
      <c r="AR250" s="782">
        <v>12080753</v>
      </c>
      <c r="AS250" s="782"/>
      <c r="AT250" s="782">
        <v>12082897</v>
      </c>
      <c r="AU250" s="781"/>
      <c r="AV250" s="782">
        <v>12082898</v>
      </c>
      <c r="AW250" s="782">
        <v>12082899</v>
      </c>
      <c r="AX250" s="796" t="s">
        <v>621</v>
      </c>
      <c r="AY250" s="782"/>
      <c r="AZ250" s="782"/>
      <c r="BA250" s="781"/>
    </row>
    <row r="251" spans="1:53" ht="24.65" hidden="1" customHeight="1">
      <c r="B251" s="602">
        <v>45337</v>
      </c>
      <c r="C251" s="603">
        <v>45339</v>
      </c>
      <c r="D251" s="185">
        <f t="shared" si="64"/>
        <v>2024</v>
      </c>
      <c r="E251" s="603" t="str">
        <f>VLOOKUP($B251,Week!$A$1:$C$1462,2,0)</f>
        <v>Week7</v>
      </c>
      <c r="F251" s="605" t="str">
        <f t="shared" si="65"/>
        <v>Feb</v>
      </c>
      <c r="G251" s="604" t="s">
        <v>1173</v>
      </c>
      <c r="H251" s="604" t="s">
        <v>82</v>
      </c>
      <c r="I251" s="604" t="s">
        <v>82</v>
      </c>
      <c r="J251" s="606" t="s">
        <v>235</v>
      </c>
      <c r="K251" s="607" t="s">
        <v>107</v>
      </c>
      <c r="L251" s="300" t="s">
        <v>2167</v>
      </c>
      <c r="M251" s="606" t="s">
        <v>654</v>
      </c>
      <c r="N251" s="604" t="s">
        <v>753</v>
      </c>
      <c r="O251" s="604" t="s">
        <v>110</v>
      </c>
      <c r="P251" s="608">
        <v>36</v>
      </c>
      <c r="Q251" s="608">
        <v>5</v>
      </c>
      <c r="R251" s="609">
        <v>7.4999999999999997E-3</v>
      </c>
      <c r="S251" s="604" t="s">
        <v>111</v>
      </c>
      <c r="T251" s="604" t="s">
        <v>112</v>
      </c>
      <c r="U251" s="604" t="s">
        <v>113</v>
      </c>
      <c r="V251" s="610">
        <v>792</v>
      </c>
      <c r="W251" s="610">
        <v>792</v>
      </c>
      <c r="X251" s="611"/>
      <c r="Y251" s="612">
        <f t="shared" si="80"/>
        <v>0</v>
      </c>
      <c r="Z251" s="613">
        <f t="shared" si="81"/>
        <v>0</v>
      </c>
      <c r="AA251" s="613"/>
      <c r="AB251" s="836"/>
      <c r="AC251" s="610"/>
      <c r="AD251" s="307" t="s">
        <v>1048</v>
      </c>
      <c r="AE251" s="210"/>
      <c r="AF251" s="210"/>
      <c r="AG251" s="211">
        <f t="shared" si="82"/>
        <v>0.308</v>
      </c>
      <c r="AH251" s="157">
        <f>(Z251*AG251)/1000</f>
        <v>0</v>
      </c>
      <c r="AI251" s="152">
        <f t="shared" si="83"/>
        <v>28512</v>
      </c>
      <c r="AK251" s="156" t="s">
        <v>691</v>
      </c>
      <c r="AL251" s="212" t="s">
        <v>690</v>
      </c>
      <c r="AM251" s="198">
        <f t="shared" si="79"/>
        <v>0</v>
      </c>
      <c r="AN251" s="199">
        <f t="shared" si="67"/>
        <v>45337</v>
      </c>
      <c r="AO251" s="159" t="s">
        <v>692</v>
      </c>
      <c r="AP251" s="783" t="s">
        <v>644</v>
      </c>
      <c r="AQ251" s="782">
        <v>12063755</v>
      </c>
      <c r="AR251" s="782">
        <v>12061353</v>
      </c>
      <c r="AS251" s="782">
        <v>12061354</v>
      </c>
      <c r="AT251" s="782">
        <v>12062266</v>
      </c>
      <c r="AU251" s="781"/>
      <c r="AV251" s="782">
        <v>12062261</v>
      </c>
      <c r="AW251" s="782">
        <v>12062153</v>
      </c>
      <c r="AX251" s="782"/>
      <c r="AY251" s="782">
        <v>12062262</v>
      </c>
      <c r="AZ251" s="782"/>
      <c r="BA251" s="781"/>
    </row>
    <row r="252" spans="1:53" ht="24.65" hidden="1" customHeight="1">
      <c r="B252" s="602">
        <v>45337</v>
      </c>
      <c r="C252" s="603">
        <v>45343</v>
      </c>
      <c r="D252" s="185">
        <f t="shared" si="64"/>
        <v>2024</v>
      </c>
      <c r="E252" s="603" t="str">
        <f>VLOOKUP($B252,Week!$A$1:$C$1462,2,0)</f>
        <v>Week7</v>
      </c>
      <c r="F252" s="605" t="str">
        <f t="shared" si="65"/>
        <v>Feb</v>
      </c>
      <c r="G252" s="604" t="s">
        <v>1174</v>
      </c>
      <c r="H252" s="604" t="s">
        <v>82</v>
      </c>
      <c r="I252" s="604" t="s">
        <v>82</v>
      </c>
      <c r="J252" s="606" t="s">
        <v>235</v>
      </c>
      <c r="K252" s="607" t="s">
        <v>107</v>
      </c>
      <c r="L252" s="300" t="s">
        <v>2167</v>
      </c>
      <c r="M252" s="606" t="s">
        <v>654</v>
      </c>
      <c r="N252" s="604" t="s">
        <v>753</v>
      </c>
      <c r="O252" s="604" t="s">
        <v>110</v>
      </c>
      <c r="P252" s="608">
        <v>36</v>
      </c>
      <c r="Q252" s="608">
        <v>5</v>
      </c>
      <c r="R252" s="609">
        <v>7.4999999999999997E-3</v>
      </c>
      <c r="S252" s="604" t="s">
        <v>111</v>
      </c>
      <c r="T252" s="604" t="s">
        <v>112</v>
      </c>
      <c r="U252" s="604" t="s">
        <v>113</v>
      </c>
      <c r="V252" s="610">
        <v>792</v>
      </c>
      <c r="W252" s="610">
        <f>1217-792</f>
        <v>425</v>
      </c>
      <c r="X252" s="611">
        <f>(16024)/36</f>
        <v>445.11111111111109</v>
      </c>
      <c r="Y252" s="612">
        <f t="shared" si="80"/>
        <v>78.111111111111086</v>
      </c>
      <c r="Z252" s="613">
        <f t="shared" si="81"/>
        <v>0</v>
      </c>
      <c r="AA252" s="613"/>
      <c r="AB252" s="836"/>
      <c r="AC252" s="610"/>
      <c r="AD252" s="307" t="s">
        <v>1048</v>
      </c>
      <c r="AE252" s="210"/>
      <c r="AF252" s="210"/>
      <c r="AG252" s="211">
        <f t="shared" si="82"/>
        <v>0.308</v>
      </c>
      <c r="AH252" s="157">
        <f>(Z252*AG252)/1000</f>
        <v>0</v>
      </c>
      <c r="AI252" s="152">
        <f t="shared" si="83"/>
        <v>28512</v>
      </c>
      <c r="AK252" s="156" t="s">
        <v>691</v>
      </c>
      <c r="AL252" s="212" t="s">
        <v>690</v>
      </c>
      <c r="AM252" s="198">
        <f t="shared" si="79"/>
        <v>0</v>
      </c>
      <c r="AN252" s="199">
        <f t="shared" si="67"/>
        <v>45337</v>
      </c>
      <c r="AO252" s="159" t="s">
        <v>692</v>
      </c>
      <c r="AP252" s="783" t="s">
        <v>644</v>
      </c>
      <c r="AQ252" s="782">
        <v>12063755</v>
      </c>
      <c r="AR252" s="782">
        <v>12061353</v>
      </c>
      <c r="AS252" s="782">
        <v>12061354</v>
      </c>
      <c r="AT252" s="782">
        <v>12062266</v>
      </c>
      <c r="AU252" s="781"/>
      <c r="AV252" s="782">
        <v>12062261</v>
      </c>
      <c r="AW252" s="782">
        <v>12062153</v>
      </c>
      <c r="AX252" s="782"/>
      <c r="AY252" s="782">
        <v>12062262</v>
      </c>
      <c r="AZ252" s="782"/>
      <c r="BA252" s="781"/>
    </row>
    <row r="253" spans="1:53" ht="24.65" hidden="1" customHeight="1">
      <c r="B253" s="411">
        <v>45337</v>
      </c>
      <c r="C253" s="412">
        <v>45342</v>
      </c>
      <c r="D253" s="185">
        <f t="shared" si="64"/>
        <v>2024</v>
      </c>
      <c r="E253" s="412" t="str">
        <f>VLOOKUP($B253,Week!$A$1:$C$1462,2,0)</f>
        <v>Week7</v>
      </c>
      <c r="F253" s="413" t="str">
        <f t="shared" si="65"/>
        <v>Feb</v>
      </c>
      <c r="G253" s="414" t="s">
        <v>47</v>
      </c>
      <c r="H253" s="414" t="s">
        <v>260</v>
      </c>
      <c r="I253" s="298" t="s">
        <v>2702</v>
      </c>
      <c r="J253" s="415" t="s">
        <v>261</v>
      </c>
      <c r="K253" s="416" t="s">
        <v>94</v>
      </c>
      <c r="L253" s="300" t="s">
        <v>2167</v>
      </c>
      <c r="M253" s="415" t="s">
        <v>1303</v>
      </c>
      <c r="N253" s="414" t="s">
        <v>263</v>
      </c>
      <c r="O253" s="414" t="s">
        <v>195</v>
      </c>
      <c r="P253" s="417">
        <v>24</v>
      </c>
      <c r="Q253" s="417">
        <v>5</v>
      </c>
      <c r="R253" s="418">
        <v>8.0000000000000002E-3</v>
      </c>
      <c r="S253" s="414" t="s">
        <v>40</v>
      </c>
      <c r="T253" s="414" t="s">
        <v>56</v>
      </c>
      <c r="U253" s="414" t="s">
        <v>57</v>
      </c>
      <c r="V253" s="419">
        <v>4274</v>
      </c>
      <c r="W253" s="419">
        <f>4274</f>
        <v>4274</v>
      </c>
      <c r="X253" s="420"/>
      <c r="Y253" s="421">
        <f t="shared" si="80"/>
        <v>0</v>
      </c>
      <c r="Z253" s="422">
        <f t="shared" si="81"/>
        <v>0</v>
      </c>
      <c r="AA253" s="422"/>
      <c r="AB253" s="825"/>
      <c r="AC253" s="419"/>
      <c r="AD253" s="209"/>
      <c r="AE253" s="210"/>
      <c r="AF253" s="210"/>
      <c r="AG253" s="211">
        <f t="shared" si="82"/>
        <v>0.14499999999999999</v>
      </c>
      <c r="AH253" s="157">
        <f t="shared" si="78"/>
        <v>0</v>
      </c>
      <c r="AI253" s="152">
        <f t="shared" si="83"/>
        <v>102576</v>
      </c>
      <c r="AK253" s="156" t="s">
        <v>691</v>
      </c>
      <c r="AL253" s="212" t="s">
        <v>690</v>
      </c>
      <c r="AM253" s="198">
        <f t="shared" si="79"/>
        <v>0</v>
      </c>
      <c r="AN253" s="199">
        <f t="shared" si="67"/>
        <v>45337</v>
      </c>
      <c r="AO253" s="159" t="s">
        <v>692</v>
      </c>
      <c r="AP253" s="783" t="s">
        <v>609</v>
      </c>
      <c r="AQ253" s="782">
        <v>12071839</v>
      </c>
      <c r="AR253" s="782">
        <v>12047514</v>
      </c>
      <c r="AS253" s="782">
        <v>12047515</v>
      </c>
      <c r="AT253" s="781"/>
      <c r="AU253" s="781"/>
      <c r="AV253" s="782">
        <v>12080613</v>
      </c>
      <c r="AW253" s="781"/>
      <c r="AX253" s="781"/>
      <c r="AY253" s="782">
        <v>12080614</v>
      </c>
      <c r="AZ253" s="782">
        <v>12080616</v>
      </c>
      <c r="BA253" s="781"/>
    </row>
    <row r="254" spans="1:53" ht="25" hidden="1" customHeight="1">
      <c r="A254" s="142" t="s">
        <v>120</v>
      </c>
      <c r="B254" s="466">
        <v>45337</v>
      </c>
      <c r="C254" s="467">
        <v>45344</v>
      </c>
      <c r="D254" s="185">
        <f t="shared" si="64"/>
        <v>2024</v>
      </c>
      <c r="E254" s="468" t="str">
        <f>VLOOKUP($B254,Week!$A$1:$C$1462,2,0)</f>
        <v>Week7</v>
      </c>
      <c r="F254" s="469" t="str">
        <f t="shared" si="65"/>
        <v>Feb</v>
      </c>
      <c r="G254" s="470" t="s">
        <v>884</v>
      </c>
      <c r="H254" s="468" t="s">
        <v>82</v>
      </c>
      <c r="I254" s="468" t="s">
        <v>82</v>
      </c>
      <c r="J254" s="471" t="s">
        <v>720</v>
      </c>
      <c r="K254" s="472" t="s">
        <v>85</v>
      </c>
      <c r="L254" s="390" t="s">
        <v>2166</v>
      </c>
      <c r="M254" s="471" t="s">
        <v>579</v>
      </c>
      <c r="N254" s="468" t="s">
        <v>580</v>
      </c>
      <c r="O254" s="468" t="s">
        <v>581</v>
      </c>
      <c r="P254" s="473">
        <v>8</v>
      </c>
      <c r="Q254" s="473">
        <v>60</v>
      </c>
      <c r="R254" s="474">
        <v>6.8100000000000001E-3</v>
      </c>
      <c r="S254" s="468" t="s">
        <v>76</v>
      </c>
      <c r="T254" s="468" t="s">
        <v>56</v>
      </c>
      <c r="U254" s="468" t="s">
        <v>89</v>
      </c>
      <c r="V254" s="475">
        <v>663</v>
      </c>
      <c r="W254" s="475">
        <v>663</v>
      </c>
      <c r="X254" s="476"/>
      <c r="Y254" s="477">
        <f t="shared" si="80"/>
        <v>0</v>
      </c>
      <c r="Z254" s="478">
        <f t="shared" si="81"/>
        <v>0</v>
      </c>
      <c r="AA254" s="478">
        <f>Q254*Z254</f>
        <v>0</v>
      </c>
      <c r="AB254" s="828">
        <v>6</v>
      </c>
      <c r="AC254" s="475">
        <f>Z254*AB254</f>
        <v>0</v>
      </c>
      <c r="AD254" s="209"/>
      <c r="AE254" s="210"/>
      <c r="AF254" s="210"/>
      <c r="AG254" s="211">
        <f t="shared" si="82"/>
        <v>0.75</v>
      </c>
      <c r="AH254" s="157">
        <f t="shared" si="78"/>
        <v>0</v>
      </c>
      <c r="AI254" s="152">
        <f t="shared" si="83"/>
        <v>5304</v>
      </c>
      <c r="AK254" s="156" t="s">
        <v>691</v>
      </c>
      <c r="AL254" s="156" t="s">
        <v>689</v>
      </c>
      <c r="AM254" s="198">
        <f t="shared" si="79"/>
        <v>0</v>
      </c>
      <c r="AN254" s="199">
        <f t="shared" si="67"/>
        <v>45337</v>
      </c>
      <c r="AO254" s="159" t="s">
        <v>692</v>
      </c>
      <c r="AP254" s="783" t="s">
        <v>622</v>
      </c>
      <c r="AQ254" s="782">
        <v>12004862</v>
      </c>
      <c r="AR254" s="782">
        <v>12080753</v>
      </c>
      <c r="AS254" s="782"/>
      <c r="AT254" s="782">
        <v>12082897</v>
      </c>
      <c r="AU254" s="781"/>
      <c r="AV254" s="782">
        <v>12082898</v>
      </c>
      <c r="AW254" s="782">
        <v>12082899</v>
      </c>
      <c r="AX254" s="796" t="s">
        <v>621</v>
      </c>
      <c r="AY254" s="782"/>
      <c r="AZ254" s="782"/>
      <c r="BA254" s="781"/>
    </row>
    <row r="255" spans="1:53" ht="25" hidden="1" customHeight="1">
      <c r="B255" s="213">
        <v>45338</v>
      </c>
      <c r="C255" s="578">
        <v>45345</v>
      </c>
      <c r="D255" s="185">
        <f t="shared" si="64"/>
        <v>2024</v>
      </c>
      <c r="E255" s="215" t="str">
        <f>VLOOKUP($B255,Week!$A$1:$C$1462,2,0)</f>
        <v>Week7</v>
      </c>
      <c r="F255" s="216" t="str">
        <f t="shared" si="65"/>
        <v>Feb</v>
      </c>
      <c r="G255" s="215" t="s">
        <v>818</v>
      </c>
      <c r="H255" s="215" t="s">
        <v>104</v>
      </c>
      <c r="I255" s="215" t="s">
        <v>2772</v>
      </c>
      <c r="J255" s="209" t="s">
        <v>105</v>
      </c>
      <c r="K255" s="217" t="s">
        <v>107</v>
      </c>
      <c r="L255" s="300" t="s">
        <v>2167</v>
      </c>
      <c r="M255" s="209" t="s">
        <v>108</v>
      </c>
      <c r="N255" s="215" t="s">
        <v>109</v>
      </c>
      <c r="O255" s="215" t="s">
        <v>110</v>
      </c>
      <c r="P255" s="218">
        <v>36</v>
      </c>
      <c r="Q255" s="218">
        <v>5</v>
      </c>
      <c r="R255" s="219">
        <v>7.4999999999999997E-3</v>
      </c>
      <c r="S255" s="215" t="s">
        <v>111</v>
      </c>
      <c r="T255" s="215" t="s">
        <v>112</v>
      </c>
      <c r="U255" s="215" t="s">
        <v>113</v>
      </c>
      <c r="V255" s="220">
        <f>792-396</f>
        <v>396</v>
      </c>
      <c r="W255" s="220">
        <f>792-396</f>
        <v>396</v>
      </c>
      <c r="X255" s="221"/>
      <c r="Y255" s="222">
        <f t="shared" si="80"/>
        <v>0</v>
      </c>
      <c r="Z255" s="223">
        <f t="shared" si="81"/>
        <v>0</v>
      </c>
      <c r="AA255" s="223"/>
      <c r="AB255" s="807"/>
      <c r="AC255" s="220"/>
      <c r="AD255" s="209"/>
      <c r="AE255" s="210"/>
      <c r="AF255" s="210"/>
      <c r="AG255" s="211">
        <f t="shared" si="82"/>
        <v>0.308</v>
      </c>
      <c r="AH255" s="157">
        <f t="shared" ref="AH255:AH268" si="84">(Z255*AG255)/1000</f>
        <v>0</v>
      </c>
      <c r="AI255" s="152">
        <f t="shared" si="83"/>
        <v>14256</v>
      </c>
      <c r="AK255" s="156" t="s">
        <v>691</v>
      </c>
      <c r="AL255" s="574" t="s">
        <v>690</v>
      </c>
      <c r="AM255" s="198">
        <f t="shared" si="79"/>
        <v>0</v>
      </c>
      <c r="AN255" s="199">
        <f t="shared" si="67"/>
        <v>45338</v>
      </c>
      <c r="AO255" s="159" t="s">
        <v>692</v>
      </c>
      <c r="AP255" s="781"/>
      <c r="AQ255" s="782">
        <v>12063755</v>
      </c>
      <c r="AR255" s="782">
        <v>12061353</v>
      </c>
      <c r="AS255" s="782">
        <v>12061354</v>
      </c>
      <c r="AT255" s="782">
        <v>12068566</v>
      </c>
      <c r="AU255" s="781"/>
      <c r="AV255" s="782">
        <v>12068564</v>
      </c>
      <c r="AW255" s="782">
        <v>12062153</v>
      </c>
      <c r="AX255" s="782"/>
      <c r="AY255" s="782">
        <v>12068565</v>
      </c>
      <c r="AZ255" s="782"/>
      <c r="BA255" s="781"/>
    </row>
    <row r="256" spans="1:53" ht="25" hidden="1" customHeight="1">
      <c r="B256" s="213">
        <v>45338</v>
      </c>
      <c r="C256" s="578">
        <v>45345</v>
      </c>
      <c r="D256" s="185">
        <f t="shared" si="64"/>
        <v>2024</v>
      </c>
      <c r="E256" s="215" t="str">
        <f>VLOOKUP($B256,Week!$A$1:$C$1462,2,0)</f>
        <v>Week7</v>
      </c>
      <c r="F256" s="216" t="str">
        <f t="shared" si="65"/>
        <v>Feb</v>
      </c>
      <c r="G256" s="215" t="s">
        <v>799</v>
      </c>
      <c r="H256" s="215" t="s">
        <v>104</v>
      </c>
      <c r="I256" s="215" t="s">
        <v>2772</v>
      </c>
      <c r="J256" s="209" t="s">
        <v>105</v>
      </c>
      <c r="K256" s="217" t="s">
        <v>107</v>
      </c>
      <c r="L256" s="300" t="s">
        <v>2167</v>
      </c>
      <c r="M256" s="209" t="s">
        <v>108</v>
      </c>
      <c r="N256" s="215" t="s">
        <v>109</v>
      </c>
      <c r="O256" s="215" t="s">
        <v>110</v>
      </c>
      <c r="P256" s="218">
        <v>36</v>
      </c>
      <c r="Q256" s="218">
        <v>5</v>
      </c>
      <c r="R256" s="219">
        <v>7.4999999999999997E-3</v>
      </c>
      <c r="S256" s="215" t="s">
        <v>111</v>
      </c>
      <c r="T256" s="215" t="s">
        <v>112</v>
      </c>
      <c r="U256" s="215" t="s">
        <v>113</v>
      </c>
      <c r="V256" s="220">
        <v>792</v>
      </c>
      <c r="W256" s="220">
        <v>792</v>
      </c>
      <c r="X256" s="221"/>
      <c r="Y256" s="222">
        <f t="shared" si="80"/>
        <v>0</v>
      </c>
      <c r="Z256" s="223">
        <f t="shared" si="81"/>
        <v>0</v>
      </c>
      <c r="AA256" s="223"/>
      <c r="AB256" s="807"/>
      <c r="AC256" s="220"/>
      <c r="AD256" s="209"/>
      <c r="AE256" s="210"/>
      <c r="AF256" s="210"/>
      <c r="AG256" s="211">
        <f t="shared" si="82"/>
        <v>0.308</v>
      </c>
      <c r="AH256" s="157">
        <f t="shared" si="84"/>
        <v>0</v>
      </c>
      <c r="AI256" s="152">
        <f t="shared" si="83"/>
        <v>28512</v>
      </c>
      <c r="AK256" s="156" t="s">
        <v>691</v>
      </c>
      <c r="AL256" s="574" t="s">
        <v>690</v>
      </c>
      <c r="AM256" s="198">
        <f t="shared" si="79"/>
        <v>0</v>
      </c>
      <c r="AN256" s="199">
        <f t="shared" si="67"/>
        <v>45338</v>
      </c>
      <c r="AO256" s="159" t="s">
        <v>692</v>
      </c>
      <c r="AP256" s="781"/>
      <c r="AQ256" s="782">
        <v>12063755</v>
      </c>
      <c r="AR256" s="782">
        <v>12061353</v>
      </c>
      <c r="AS256" s="782">
        <v>12061354</v>
      </c>
      <c r="AT256" s="782">
        <v>12068566</v>
      </c>
      <c r="AU256" s="781"/>
      <c r="AV256" s="782">
        <v>12068564</v>
      </c>
      <c r="AW256" s="782">
        <v>12062153</v>
      </c>
      <c r="AX256" s="782"/>
      <c r="AY256" s="782">
        <v>12068565</v>
      </c>
      <c r="AZ256" s="782"/>
      <c r="BA256" s="781"/>
    </row>
    <row r="257" spans="1:53" ht="25" hidden="1" customHeight="1">
      <c r="B257" s="213">
        <v>45338</v>
      </c>
      <c r="C257" s="578">
        <v>45345</v>
      </c>
      <c r="D257" s="185">
        <f t="shared" si="64"/>
        <v>2024</v>
      </c>
      <c r="E257" s="215" t="str">
        <f>VLOOKUP($B257,Week!$A$1:$C$1462,2,0)</f>
        <v>Week7</v>
      </c>
      <c r="F257" s="216" t="str">
        <f t="shared" si="65"/>
        <v>Feb</v>
      </c>
      <c r="G257" s="215" t="s">
        <v>800</v>
      </c>
      <c r="H257" s="215" t="s">
        <v>104</v>
      </c>
      <c r="I257" s="215" t="s">
        <v>2772</v>
      </c>
      <c r="J257" s="209" t="s">
        <v>105</v>
      </c>
      <c r="K257" s="217" t="s">
        <v>107</v>
      </c>
      <c r="L257" s="300" t="s">
        <v>2167</v>
      </c>
      <c r="M257" s="209" t="s">
        <v>108</v>
      </c>
      <c r="N257" s="215" t="s">
        <v>109</v>
      </c>
      <c r="O257" s="215" t="s">
        <v>110</v>
      </c>
      <c r="P257" s="218">
        <v>36</v>
      </c>
      <c r="Q257" s="218">
        <v>5</v>
      </c>
      <c r="R257" s="219">
        <v>7.4999999999999997E-3</v>
      </c>
      <c r="S257" s="215" t="s">
        <v>111</v>
      </c>
      <c r="T257" s="215" t="s">
        <v>112</v>
      </c>
      <c r="U257" s="215" t="s">
        <v>113</v>
      </c>
      <c r="V257" s="220">
        <v>792</v>
      </c>
      <c r="W257" s="220">
        <v>792</v>
      </c>
      <c r="X257" s="221"/>
      <c r="Y257" s="222">
        <f t="shared" si="80"/>
        <v>0</v>
      </c>
      <c r="Z257" s="223">
        <f t="shared" si="81"/>
        <v>0</v>
      </c>
      <c r="AA257" s="223"/>
      <c r="AB257" s="807"/>
      <c r="AC257" s="220"/>
      <c r="AD257" s="209"/>
      <c r="AE257" s="210"/>
      <c r="AF257" s="210"/>
      <c r="AG257" s="211">
        <f t="shared" si="82"/>
        <v>0.308</v>
      </c>
      <c r="AH257" s="157">
        <f t="shared" si="84"/>
        <v>0</v>
      </c>
      <c r="AI257" s="152">
        <f t="shared" si="83"/>
        <v>28512</v>
      </c>
      <c r="AK257" s="156" t="s">
        <v>691</v>
      </c>
      <c r="AL257" s="574" t="s">
        <v>690</v>
      </c>
      <c r="AM257" s="198">
        <f t="shared" si="79"/>
        <v>0</v>
      </c>
      <c r="AN257" s="199">
        <f t="shared" si="67"/>
        <v>45338</v>
      </c>
      <c r="AO257" s="159" t="s">
        <v>692</v>
      </c>
      <c r="AP257" s="781"/>
      <c r="AQ257" s="782">
        <v>12063755</v>
      </c>
      <c r="AR257" s="782">
        <v>12061353</v>
      </c>
      <c r="AS257" s="782">
        <v>12061354</v>
      </c>
      <c r="AT257" s="782">
        <v>12068566</v>
      </c>
      <c r="AU257" s="781"/>
      <c r="AV257" s="782">
        <v>12068564</v>
      </c>
      <c r="AW257" s="782">
        <v>12062153</v>
      </c>
      <c r="AX257" s="782"/>
      <c r="AY257" s="782">
        <v>12068565</v>
      </c>
      <c r="AZ257" s="782"/>
      <c r="BA257" s="781"/>
    </row>
    <row r="258" spans="1:53" ht="25" hidden="1" customHeight="1">
      <c r="B258" s="213">
        <v>45338</v>
      </c>
      <c r="C258" s="578">
        <v>45345</v>
      </c>
      <c r="D258" s="185">
        <f t="shared" si="64"/>
        <v>2024</v>
      </c>
      <c r="E258" s="215" t="str">
        <f>VLOOKUP($B258,Week!$A$1:$C$1462,2,0)</f>
        <v>Week7</v>
      </c>
      <c r="F258" s="216" t="str">
        <f t="shared" si="65"/>
        <v>Feb</v>
      </c>
      <c r="G258" s="215" t="s">
        <v>816</v>
      </c>
      <c r="H258" s="215" t="s">
        <v>104</v>
      </c>
      <c r="I258" s="215" t="s">
        <v>2772</v>
      </c>
      <c r="J258" s="209" t="s">
        <v>105</v>
      </c>
      <c r="K258" s="217" t="s">
        <v>107</v>
      </c>
      <c r="L258" s="300" t="s">
        <v>2167</v>
      </c>
      <c r="M258" s="209" t="s">
        <v>108</v>
      </c>
      <c r="N258" s="215" t="s">
        <v>109</v>
      </c>
      <c r="O258" s="215" t="s">
        <v>110</v>
      </c>
      <c r="P258" s="218">
        <v>36</v>
      </c>
      <c r="Q258" s="218">
        <v>5</v>
      </c>
      <c r="R258" s="219">
        <v>7.4999999999999997E-3</v>
      </c>
      <c r="S258" s="215" t="s">
        <v>111</v>
      </c>
      <c r="T258" s="215" t="s">
        <v>112</v>
      </c>
      <c r="U258" s="215" t="s">
        <v>113</v>
      </c>
      <c r="V258" s="220">
        <v>792</v>
      </c>
      <c r="W258" s="220">
        <v>792</v>
      </c>
      <c r="X258" s="221"/>
      <c r="Y258" s="222">
        <f t="shared" si="80"/>
        <v>0</v>
      </c>
      <c r="Z258" s="223">
        <f t="shared" si="81"/>
        <v>0</v>
      </c>
      <c r="AA258" s="223"/>
      <c r="AB258" s="807"/>
      <c r="AC258" s="220"/>
      <c r="AD258" s="209"/>
      <c r="AE258" s="210"/>
      <c r="AF258" s="210"/>
      <c r="AG258" s="211">
        <f t="shared" si="82"/>
        <v>0.308</v>
      </c>
      <c r="AH258" s="157">
        <f t="shared" si="84"/>
        <v>0</v>
      </c>
      <c r="AI258" s="152">
        <f t="shared" si="83"/>
        <v>28512</v>
      </c>
      <c r="AK258" s="156" t="s">
        <v>691</v>
      </c>
      <c r="AL258" s="574" t="s">
        <v>690</v>
      </c>
      <c r="AM258" s="198">
        <f t="shared" si="79"/>
        <v>0</v>
      </c>
      <c r="AN258" s="199">
        <f t="shared" si="67"/>
        <v>45338</v>
      </c>
      <c r="AO258" s="159" t="s">
        <v>692</v>
      </c>
      <c r="AP258" s="781"/>
      <c r="AQ258" s="782">
        <v>12063755</v>
      </c>
      <c r="AR258" s="782">
        <v>12061353</v>
      </c>
      <c r="AS258" s="782">
        <v>12061354</v>
      </c>
      <c r="AT258" s="782">
        <v>12068566</v>
      </c>
      <c r="AU258" s="781"/>
      <c r="AV258" s="782">
        <v>12068564</v>
      </c>
      <c r="AW258" s="782">
        <v>12062153</v>
      </c>
      <c r="AX258" s="782"/>
      <c r="AY258" s="782">
        <v>12068565</v>
      </c>
      <c r="AZ258" s="782"/>
      <c r="BA258" s="781"/>
    </row>
    <row r="259" spans="1:53" ht="25" hidden="1" customHeight="1">
      <c r="B259" s="213">
        <v>45338</v>
      </c>
      <c r="C259" s="578">
        <v>45348</v>
      </c>
      <c r="D259" s="185">
        <f t="shared" si="64"/>
        <v>2024</v>
      </c>
      <c r="E259" s="215" t="str">
        <f>VLOOKUP($B259,Week!$A$1:$C$1462,2,0)</f>
        <v>Week7</v>
      </c>
      <c r="F259" s="216" t="str">
        <f t="shared" si="65"/>
        <v>Feb</v>
      </c>
      <c r="G259" s="215" t="s">
        <v>804</v>
      </c>
      <c r="H259" s="215" t="s">
        <v>104</v>
      </c>
      <c r="I259" s="215" t="s">
        <v>2772</v>
      </c>
      <c r="J259" s="209" t="s">
        <v>105</v>
      </c>
      <c r="K259" s="217" t="s">
        <v>107</v>
      </c>
      <c r="L259" s="300" t="s">
        <v>2167</v>
      </c>
      <c r="M259" s="209" t="s">
        <v>108</v>
      </c>
      <c r="N259" s="215" t="s">
        <v>109</v>
      </c>
      <c r="O259" s="215" t="s">
        <v>110</v>
      </c>
      <c r="P259" s="218">
        <v>36</v>
      </c>
      <c r="Q259" s="218">
        <v>5</v>
      </c>
      <c r="R259" s="219">
        <v>7.4999999999999997E-3</v>
      </c>
      <c r="S259" s="215" t="s">
        <v>111</v>
      </c>
      <c r="T259" s="215" t="s">
        <v>112</v>
      </c>
      <c r="U259" s="215" t="s">
        <v>113</v>
      </c>
      <c r="V259" s="220">
        <f>2899-396-792-792-792</f>
        <v>127</v>
      </c>
      <c r="W259" s="220">
        <v>127</v>
      </c>
      <c r="X259" s="221"/>
      <c r="Y259" s="222">
        <f t="shared" si="80"/>
        <v>0</v>
      </c>
      <c r="Z259" s="223">
        <f t="shared" si="81"/>
        <v>0</v>
      </c>
      <c r="AA259" s="223"/>
      <c r="AB259" s="807"/>
      <c r="AC259" s="220"/>
      <c r="AD259" s="209"/>
      <c r="AE259" s="210"/>
      <c r="AF259" s="210"/>
      <c r="AG259" s="211">
        <f t="shared" si="82"/>
        <v>0.308</v>
      </c>
      <c r="AH259" s="157">
        <f t="shared" si="84"/>
        <v>0</v>
      </c>
      <c r="AI259" s="152">
        <f t="shared" si="83"/>
        <v>4572</v>
      </c>
      <c r="AK259" s="156" t="s">
        <v>691</v>
      </c>
      <c r="AL259" s="574" t="s">
        <v>690</v>
      </c>
      <c r="AM259" s="198">
        <f t="shared" si="79"/>
        <v>0</v>
      </c>
      <c r="AN259" s="199">
        <f t="shared" si="67"/>
        <v>45338</v>
      </c>
      <c r="AO259" s="159" t="s">
        <v>692</v>
      </c>
      <c r="AP259" s="781"/>
      <c r="AQ259" s="782">
        <v>12063755</v>
      </c>
      <c r="AR259" s="782">
        <v>12061353</v>
      </c>
      <c r="AS259" s="782">
        <v>12061354</v>
      </c>
      <c r="AT259" s="782">
        <v>12068566</v>
      </c>
      <c r="AU259" s="781"/>
      <c r="AV259" s="782">
        <v>12068564</v>
      </c>
      <c r="AW259" s="782">
        <v>12062153</v>
      </c>
      <c r="AX259" s="782"/>
      <c r="AY259" s="782">
        <v>12068565</v>
      </c>
      <c r="AZ259" s="782"/>
      <c r="BA259" s="781"/>
    </row>
    <row r="260" spans="1:53" ht="24.65" hidden="1" customHeight="1">
      <c r="B260" s="246">
        <v>45338</v>
      </c>
      <c r="C260" s="247">
        <v>45341</v>
      </c>
      <c r="D260" s="185">
        <f t="shared" si="64"/>
        <v>2024</v>
      </c>
      <c r="E260" s="247" t="str">
        <f>VLOOKUP($B260,Week!$A$1:$C$1462,2,0)</f>
        <v>Week7</v>
      </c>
      <c r="F260" s="248" t="str">
        <f t="shared" si="65"/>
        <v>Feb</v>
      </c>
      <c r="G260" s="249" t="s">
        <v>47</v>
      </c>
      <c r="H260" s="249" t="s">
        <v>260</v>
      </c>
      <c r="I260" s="298" t="s">
        <v>2702</v>
      </c>
      <c r="J260" s="250" t="s">
        <v>70</v>
      </c>
      <c r="K260" s="251" t="s">
        <v>1020</v>
      </c>
      <c r="L260" s="300" t="s">
        <v>2167</v>
      </c>
      <c r="M260" s="250" t="s">
        <v>741</v>
      </c>
      <c r="N260" s="249" t="s">
        <v>740</v>
      </c>
      <c r="O260" s="249" t="s">
        <v>742</v>
      </c>
      <c r="P260" s="252">
        <v>24</v>
      </c>
      <c r="Q260" s="252">
        <v>5</v>
      </c>
      <c r="R260" s="249">
        <v>6.1999999999999998E-3</v>
      </c>
      <c r="S260" s="249" t="s">
        <v>352</v>
      </c>
      <c r="T260" s="249" t="s">
        <v>56</v>
      </c>
      <c r="U260" s="249" t="s">
        <v>739</v>
      </c>
      <c r="V260" s="254">
        <v>1805</v>
      </c>
      <c r="W260" s="254">
        <v>1805</v>
      </c>
      <c r="X260" s="255"/>
      <c r="Y260" s="256">
        <f t="shared" si="80"/>
        <v>0</v>
      </c>
      <c r="Z260" s="257">
        <f t="shared" si="81"/>
        <v>0</v>
      </c>
      <c r="AA260" s="257"/>
      <c r="AB260" s="810"/>
      <c r="AC260" s="254"/>
      <c r="AD260" s="209"/>
      <c r="AE260" s="210"/>
      <c r="AF260" s="210"/>
      <c r="AG260" s="211">
        <f t="shared" si="82"/>
        <v>0.14299999999999999</v>
      </c>
      <c r="AH260" s="157">
        <f t="shared" si="84"/>
        <v>0</v>
      </c>
      <c r="AI260" s="152">
        <f t="shared" si="83"/>
        <v>43320</v>
      </c>
      <c r="AK260" s="156" t="s">
        <v>691</v>
      </c>
      <c r="AL260" s="212" t="s">
        <v>690</v>
      </c>
      <c r="AM260" s="198">
        <f t="shared" si="79"/>
        <v>0</v>
      </c>
      <c r="AN260" s="199">
        <f t="shared" si="67"/>
        <v>45338</v>
      </c>
      <c r="AO260" s="159" t="s">
        <v>692</v>
      </c>
      <c r="AP260" s="783" t="s">
        <v>609</v>
      </c>
      <c r="AQ260" s="782">
        <v>12071839</v>
      </c>
      <c r="AR260" s="782">
        <v>12047514</v>
      </c>
      <c r="AS260" s="782">
        <v>12047515</v>
      </c>
      <c r="AT260" s="781"/>
      <c r="AU260" s="781"/>
      <c r="AV260" s="782">
        <v>12080613</v>
      </c>
      <c r="AW260" s="781"/>
      <c r="AX260" s="781"/>
      <c r="AY260" s="782">
        <v>12080614</v>
      </c>
      <c r="AZ260" s="782">
        <v>12080616</v>
      </c>
      <c r="BA260" s="781"/>
    </row>
    <row r="261" spans="1:53" ht="25" hidden="1" customHeight="1">
      <c r="A261" s="142" t="s">
        <v>120</v>
      </c>
      <c r="B261" s="466">
        <v>45338</v>
      </c>
      <c r="C261" s="467">
        <v>45344</v>
      </c>
      <c r="D261" s="185">
        <f t="shared" ref="D261:D324" si="85">IF(B261="","",YEAR(B261))</f>
        <v>2024</v>
      </c>
      <c r="E261" s="468" t="str">
        <f>VLOOKUP($B261,Week!$A$1:$C$1462,2,0)</f>
        <v>Week7</v>
      </c>
      <c r="F261" s="469" t="str">
        <f t="shared" ref="F261:F324" si="86">IF(B261="","",TEXT(B261,"[$-409]mmm"))</f>
        <v>Feb</v>
      </c>
      <c r="G261" s="470" t="s">
        <v>884</v>
      </c>
      <c r="H261" s="468" t="s">
        <v>82</v>
      </c>
      <c r="I261" s="468" t="s">
        <v>82</v>
      </c>
      <c r="J261" s="471" t="s">
        <v>720</v>
      </c>
      <c r="K261" s="472" t="s">
        <v>85</v>
      </c>
      <c r="L261" s="390" t="s">
        <v>2166</v>
      </c>
      <c r="M261" s="471" t="s">
        <v>579</v>
      </c>
      <c r="N261" s="468" t="s">
        <v>580</v>
      </c>
      <c r="O261" s="468" t="s">
        <v>581</v>
      </c>
      <c r="P261" s="473">
        <v>8</v>
      </c>
      <c r="Q261" s="473">
        <v>60</v>
      </c>
      <c r="R261" s="474">
        <v>6.8100000000000001E-3</v>
      </c>
      <c r="S261" s="468" t="s">
        <v>76</v>
      </c>
      <c r="T261" s="468" t="s">
        <v>56</v>
      </c>
      <c r="U261" s="468" t="s">
        <v>89</v>
      </c>
      <c r="V261" s="475">
        <f>1408-577-663</f>
        <v>168</v>
      </c>
      <c r="W261" s="475">
        <v>168</v>
      </c>
      <c r="X261" s="476"/>
      <c r="Y261" s="477">
        <f t="shared" si="80"/>
        <v>0</v>
      </c>
      <c r="Z261" s="478">
        <f t="shared" si="81"/>
        <v>0</v>
      </c>
      <c r="AA261" s="478">
        <f>Q261*Z261</f>
        <v>0</v>
      </c>
      <c r="AB261" s="828">
        <v>6</v>
      </c>
      <c r="AC261" s="475">
        <f>Z261*AB261</f>
        <v>0</v>
      </c>
      <c r="AD261" s="209"/>
      <c r="AE261" s="210"/>
      <c r="AF261" s="210"/>
      <c r="AG261" s="211">
        <f t="shared" si="82"/>
        <v>0.75</v>
      </c>
      <c r="AH261" s="157">
        <f t="shared" si="84"/>
        <v>0</v>
      </c>
      <c r="AI261" s="152">
        <f t="shared" si="83"/>
        <v>1344</v>
      </c>
      <c r="AK261" s="156" t="s">
        <v>691</v>
      </c>
      <c r="AL261" s="156" t="s">
        <v>689</v>
      </c>
      <c r="AM261" s="198">
        <f t="shared" si="79"/>
        <v>0</v>
      </c>
      <c r="AN261" s="199">
        <f t="shared" ref="AN261:AN324" si="87">B261</f>
        <v>45338</v>
      </c>
      <c r="AO261" s="159" t="s">
        <v>692</v>
      </c>
      <c r="AP261" s="783" t="s">
        <v>622</v>
      </c>
      <c r="AQ261" s="782">
        <v>12004862</v>
      </c>
      <c r="AR261" s="782">
        <v>12080753</v>
      </c>
      <c r="AS261" s="782"/>
      <c r="AT261" s="782">
        <v>12082897</v>
      </c>
      <c r="AU261" s="781"/>
      <c r="AV261" s="782">
        <v>12082898</v>
      </c>
      <c r="AW261" s="782">
        <v>12082899</v>
      </c>
      <c r="AX261" s="796" t="s">
        <v>621</v>
      </c>
      <c r="AY261" s="782"/>
      <c r="AZ261" s="782"/>
      <c r="BA261" s="781"/>
    </row>
    <row r="262" spans="1:53" ht="25" hidden="1" customHeight="1">
      <c r="A262" s="142" t="s">
        <v>120</v>
      </c>
      <c r="B262" s="466">
        <v>45338</v>
      </c>
      <c r="C262" s="467">
        <v>45345</v>
      </c>
      <c r="D262" s="185">
        <f t="shared" si="85"/>
        <v>2024</v>
      </c>
      <c r="E262" s="468" t="str">
        <f>VLOOKUP($B262,Week!$A$1:$C$1462,2,0)</f>
        <v>Week7</v>
      </c>
      <c r="F262" s="469" t="str">
        <f t="shared" si="86"/>
        <v>Feb</v>
      </c>
      <c r="G262" s="470" t="s">
        <v>886</v>
      </c>
      <c r="H262" s="468" t="s">
        <v>82</v>
      </c>
      <c r="I262" s="468" t="s">
        <v>82</v>
      </c>
      <c r="J262" s="471" t="s">
        <v>720</v>
      </c>
      <c r="K262" s="472" t="s">
        <v>85</v>
      </c>
      <c r="L262" s="390" t="s">
        <v>2166</v>
      </c>
      <c r="M262" s="471" t="s">
        <v>579</v>
      </c>
      <c r="N262" s="468" t="s">
        <v>580</v>
      </c>
      <c r="O262" s="468" t="s">
        <v>581</v>
      </c>
      <c r="P262" s="473">
        <v>8</v>
      </c>
      <c r="Q262" s="473">
        <v>60</v>
      </c>
      <c r="R262" s="474">
        <v>6.8100000000000001E-3</v>
      </c>
      <c r="S262" s="468" t="s">
        <v>76</v>
      </c>
      <c r="T262" s="468" t="s">
        <v>56</v>
      </c>
      <c r="U262" s="468" t="s">
        <v>89</v>
      </c>
      <c r="V262" s="475">
        <v>490</v>
      </c>
      <c r="W262" s="475">
        <v>490</v>
      </c>
      <c r="X262" s="476"/>
      <c r="Y262" s="477">
        <f t="shared" si="80"/>
        <v>0</v>
      </c>
      <c r="Z262" s="478">
        <f t="shared" si="81"/>
        <v>0</v>
      </c>
      <c r="AA262" s="478">
        <f>Q262*Z262</f>
        <v>0</v>
      </c>
      <c r="AB262" s="828">
        <v>6</v>
      </c>
      <c r="AC262" s="475">
        <f>Z262*AB262</f>
        <v>0</v>
      </c>
      <c r="AD262" s="209"/>
      <c r="AE262" s="210"/>
      <c r="AF262" s="210"/>
      <c r="AG262" s="211">
        <f t="shared" si="82"/>
        <v>0.75</v>
      </c>
      <c r="AH262" s="157">
        <f t="shared" si="84"/>
        <v>0</v>
      </c>
      <c r="AI262" s="152">
        <f t="shared" si="83"/>
        <v>3920</v>
      </c>
      <c r="AK262" s="156" t="s">
        <v>691</v>
      </c>
      <c r="AL262" s="156" t="s">
        <v>689</v>
      </c>
      <c r="AM262" s="198">
        <f t="shared" si="79"/>
        <v>0</v>
      </c>
      <c r="AN262" s="199">
        <f t="shared" si="87"/>
        <v>45338</v>
      </c>
      <c r="AO262" s="159" t="s">
        <v>692</v>
      </c>
      <c r="AP262" s="783" t="s">
        <v>622</v>
      </c>
      <c r="AQ262" s="782">
        <v>12004862</v>
      </c>
      <c r="AR262" s="782">
        <v>12080753</v>
      </c>
      <c r="AS262" s="782"/>
      <c r="AT262" s="782">
        <v>12082897</v>
      </c>
      <c r="AU262" s="781"/>
      <c r="AV262" s="782">
        <v>12082898</v>
      </c>
      <c r="AW262" s="782">
        <v>12082899</v>
      </c>
      <c r="AX262" s="796" t="s">
        <v>621</v>
      </c>
      <c r="AY262" s="782"/>
      <c r="AZ262" s="782"/>
      <c r="BA262" s="781"/>
    </row>
    <row r="263" spans="1:53" ht="25" hidden="1" customHeight="1">
      <c r="A263" s="440"/>
      <c r="B263" s="345">
        <v>45339</v>
      </c>
      <c r="C263" s="464">
        <v>45350</v>
      </c>
      <c r="D263" s="185">
        <f t="shared" si="85"/>
        <v>2024</v>
      </c>
      <c r="E263" s="464" t="str">
        <f>VLOOKUP($B263,Week!$A$1:$C$1462,2,0)</f>
        <v>Week7</v>
      </c>
      <c r="F263" s="465" t="str">
        <f t="shared" si="86"/>
        <v>Feb</v>
      </c>
      <c r="G263" s="347" t="s">
        <v>912</v>
      </c>
      <c r="H263" s="347" t="s">
        <v>134</v>
      </c>
      <c r="I263" s="347" t="s">
        <v>2772</v>
      </c>
      <c r="J263" s="349" t="s">
        <v>135</v>
      </c>
      <c r="K263" s="350" t="s">
        <v>107</v>
      </c>
      <c r="L263" s="300" t="s">
        <v>2167</v>
      </c>
      <c r="M263" s="349" t="s">
        <v>136</v>
      </c>
      <c r="N263" s="347" t="s">
        <v>137</v>
      </c>
      <c r="O263" s="347" t="s">
        <v>138</v>
      </c>
      <c r="P263" s="351">
        <v>24</v>
      </c>
      <c r="Q263" s="351">
        <v>3</v>
      </c>
      <c r="R263" s="352">
        <v>7.4999999999999997E-3</v>
      </c>
      <c r="S263" s="347" t="s">
        <v>111</v>
      </c>
      <c r="T263" s="347" t="s">
        <v>56</v>
      </c>
      <c r="U263" s="347" t="s">
        <v>572</v>
      </c>
      <c r="V263" s="353">
        <v>300</v>
      </c>
      <c r="W263" s="353">
        <f>7+293</f>
        <v>300</v>
      </c>
      <c r="X263" s="354"/>
      <c r="Y263" s="355">
        <f t="shared" si="80"/>
        <v>0</v>
      </c>
      <c r="Z263" s="356">
        <f t="shared" si="81"/>
        <v>0</v>
      </c>
      <c r="AA263" s="356"/>
      <c r="AB263" s="818"/>
      <c r="AC263" s="353"/>
      <c r="AD263" s="443"/>
      <c r="AE263" s="210"/>
      <c r="AF263" s="210"/>
      <c r="AG263" s="211">
        <f t="shared" si="82"/>
        <v>0.219</v>
      </c>
      <c r="AH263" s="157">
        <f t="shared" si="84"/>
        <v>0</v>
      </c>
      <c r="AI263" s="152">
        <f t="shared" si="83"/>
        <v>7200</v>
      </c>
      <c r="AK263" s="156" t="s">
        <v>691</v>
      </c>
      <c r="AL263" s="212" t="s">
        <v>690</v>
      </c>
      <c r="AM263" s="198">
        <f t="shared" si="79"/>
        <v>0</v>
      </c>
      <c r="AN263" s="199">
        <f t="shared" si="87"/>
        <v>45339</v>
      </c>
      <c r="AO263" s="159" t="s">
        <v>692</v>
      </c>
      <c r="AP263" s="783" t="s">
        <v>610</v>
      </c>
      <c r="AQ263" s="796" t="s">
        <v>1500</v>
      </c>
      <c r="AR263" s="782" t="s">
        <v>140</v>
      </c>
      <c r="AS263" s="782" t="s">
        <v>141</v>
      </c>
      <c r="AT263" s="782"/>
      <c r="AU263" s="783" t="s">
        <v>568</v>
      </c>
      <c r="AV263" s="796" t="s">
        <v>569</v>
      </c>
      <c r="AW263" s="796" t="s">
        <v>570</v>
      </c>
      <c r="AX263" s="782"/>
      <c r="AY263" s="782">
        <v>12061259</v>
      </c>
      <c r="AZ263" s="782">
        <v>12064123</v>
      </c>
      <c r="BA263" s="782">
        <v>12064127</v>
      </c>
    </row>
    <row r="264" spans="1:53" ht="25" hidden="1" customHeight="1">
      <c r="B264" s="213">
        <v>45339</v>
      </c>
      <c r="C264" s="578">
        <v>45348</v>
      </c>
      <c r="D264" s="185">
        <f t="shared" si="85"/>
        <v>2024</v>
      </c>
      <c r="E264" s="215" t="str">
        <f>VLOOKUP($B264,Week!$A$1:$C$1462,2,0)</f>
        <v>Week7</v>
      </c>
      <c r="F264" s="216" t="str">
        <f t="shared" si="86"/>
        <v>Feb</v>
      </c>
      <c r="G264" s="215" t="s">
        <v>804</v>
      </c>
      <c r="H264" s="215" t="s">
        <v>104</v>
      </c>
      <c r="I264" s="215" t="s">
        <v>2772</v>
      </c>
      <c r="J264" s="209" t="s">
        <v>105</v>
      </c>
      <c r="K264" s="217" t="s">
        <v>107</v>
      </c>
      <c r="L264" s="300" t="s">
        <v>2167</v>
      </c>
      <c r="M264" s="209" t="s">
        <v>108</v>
      </c>
      <c r="N264" s="215" t="s">
        <v>109</v>
      </c>
      <c r="O264" s="215" t="s">
        <v>110</v>
      </c>
      <c r="P264" s="218">
        <v>36</v>
      </c>
      <c r="Q264" s="218">
        <v>5</v>
      </c>
      <c r="R264" s="219">
        <v>7.4999999999999997E-3</v>
      </c>
      <c r="S264" s="215" t="s">
        <v>111</v>
      </c>
      <c r="T264" s="215" t="s">
        <v>112</v>
      </c>
      <c r="U264" s="215" t="s">
        <v>113</v>
      </c>
      <c r="V264" s="220">
        <f>792-127</f>
        <v>665</v>
      </c>
      <c r="W264" s="220">
        <f>792-127</f>
        <v>665</v>
      </c>
      <c r="X264" s="221"/>
      <c r="Y264" s="222">
        <f t="shared" si="80"/>
        <v>0</v>
      </c>
      <c r="Z264" s="223">
        <f t="shared" si="81"/>
        <v>0</v>
      </c>
      <c r="AA264" s="223"/>
      <c r="AB264" s="807"/>
      <c r="AC264" s="220"/>
      <c r="AD264" s="209"/>
      <c r="AE264" s="210"/>
      <c r="AF264" s="210"/>
      <c r="AG264" s="211">
        <f t="shared" si="82"/>
        <v>0.308</v>
      </c>
      <c r="AH264" s="157">
        <f t="shared" si="84"/>
        <v>0</v>
      </c>
      <c r="AI264" s="152">
        <f t="shared" si="83"/>
        <v>23940</v>
      </c>
      <c r="AK264" s="156" t="s">
        <v>691</v>
      </c>
      <c r="AL264" s="574" t="s">
        <v>690</v>
      </c>
      <c r="AM264" s="198">
        <f t="shared" si="79"/>
        <v>0</v>
      </c>
      <c r="AN264" s="199">
        <f t="shared" si="87"/>
        <v>45339</v>
      </c>
      <c r="AO264" s="159" t="s">
        <v>692</v>
      </c>
      <c r="AP264" s="781"/>
      <c r="AQ264" s="782">
        <v>12063755</v>
      </c>
      <c r="AR264" s="782">
        <v>12061353</v>
      </c>
      <c r="AS264" s="782">
        <v>12061354</v>
      </c>
      <c r="AT264" s="782">
        <v>12068566</v>
      </c>
      <c r="AU264" s="781"/>
      <c r="AV264" s="782">
        <v>12068564</v>
      </c>
      <c r="AW264" s="782">
        <v>12062153</v>
      </c>
      <c r="AX264" s="782"/>
      <c r="AY264" s="782">
        <v>12068565</v>
      </c>
      <c r="AZ264" s="782"/>
      <c r="BA264" s="781"/>
    </row>
    <row r="265" spans="1:53" ht="25" hidden="1" customHeight="1">
      <c r="B265" s="213">
        <v>45339</v>
      </c>
      <c r="C265" s="578">
        <v>45348</v>
      </c>
      <c r="D265" s="185">
        <f t="shared" si="85"/>
        <v>2024</v>
      </c>
      <c r="E265" s="215" t="str">
        <f>VLOOKUP($B265,Week!$A$1:$C$1462,2,0)</f>
        <v>Week7</v>
      </c>
      <c r="F265" s="216" t="str">
        <f t="shared" si="86"/>
        <v>Feb</v>
      </c>
      <c r="G265" s="215" t="s">
        <v>805</v>
      </c>
      <c r="H265" s="215" t="s">
        <v>104</v>
      </c>
      <c r="I265" s="215" t="s">
        <v>2772</v>
      </c>
      <c r="J265" s="209" t="s">
        <v>105</v>
      </c>
      <c r="K265" s="217" t="s">
        <v>107</v>
      </c>
      <c r="L265" s="300" t="s">
        <v>2167</v>
      </c>
      <c r="M265" s="209" t="s">
        <v>108</v>
      </c>
      <c r="N265" s="215" t="s">
        <v>109</v>
      </c>
      <c r="O265" s="215" t="s">
        <v>110</v>
      </c>
      <c r="P265" s="218">
        <v>36</v>
      </c>
      <c r="Q265" s="218">
        <v>5</v>
      </c>
      <c r="R265" s="219">
        <v>7.4999999999999997E-3</v>
      </c>
      <c r="S265" s="215" t="s">
        <v>111</v>
      </c>
      <c r="T265" s="215" t="s">
        <v>112</v>
      </c>
      <c r="U265" s="215" t="s">
        <v>113</v>
      </c>
      <c r="V265" s="220">
        <v>792</v>
      </c>
      <c r="W265" s="220">
        <v>792</v>
      </c>
      <c r="X265" s="221"/>
      <c r="Y265" s="222">
        <f t="shared" si="80"/>
        <v>0</v>
      </c>
      <c r="Z265" s="223">
        <f t="shared" si="81"/>
        <v>0</v>
      </c>
      <c r="AA265" s="223"/>
      <c r="AB265" s="807"/>
      <c r="AC265" s="220"/>
      <c r="AD265" s="209"/>
      <c r="AE265" s="210"/>
      <c r="AF265" s="210"/>
      <c r="AG265" s="211">
        <f t="shared" si="82"/>
        <v>0.308</v>
      </c>
      <c r="AH265" s="157">
        <f t="shared" si="84"/>
        <v>0</v>
      </c>
      <c r="AI265" s="152">
        <f t="shared" si="83"/>
        <v>28512</v>
      </c>
      <c r="AK265" s="156" t="s">
        <v>691</v>
      </c>
      <c r="AL265" s="574" t="s">
        <v>690</v>
      </c>
      <c r="AM265" s="198">
        <f t="shared" si="79"/>
        <v>0</v>
      </c>
      <c r="AN265" s="199">
        <f t="shared" si="87"/>
        <v>45339</v>
      </c>
      <c r="AO265" s="159" t="s">
        <v>692</v>
      </c>
      <c r="AP265" s="781"/>
      <c r="AQ265" s="782">
        <v>12063755</v>
      </c>
      <c r="AR265" s="782">
        <v>12061353</v>
      </c>
      <c r="AS265" s="782">
        <v>12061354</v>
      </c>
      <c r="AT265" s="782">
        <v>12068566</v>
      </c>
      <c r="AU265" s="781"/>
      <c r="AV265" s="782">
        <v>12068564</v>
      </c>
      <c r="AW265" s="782">
        <v>12062153</v>
      </c>
      <c r="AX265" s="782"/>
      <c r="AY265" s="782">
        <v>12068565</v>
      </c>
      <c r="AZ265" s="782"/>
      <c r="BA265" s="781"/>
    </row>
    <row r="266" spans="1:53" ht="25" hidden="1" customHeight="1">
      <c r="B266" s="213">
        <v>45339</v>
      </c>
      <c r="C266" s="578">
        <v>45348</v>
      </c>
      <c r="D266" s="185">
        <f t="shared" si="85"/>
        <v>2024</v>
      </c>
      <c r="E266" s="215" t="str">
        <f>VLOOKUP($B266,Week!$A$1:$C$1462,2,0)</f>
        <v>Week7</v>
      </c>
      <c r="F266" s="216" t="str">
        <f t="shared" si="86"/>
        <v>Feb</v>
      </c>
      <c r="G266" s="215" t="s">
        <v>813</v>
      </c>
      <c r="H266" s="215" t="s">
        <v>104</v>
      </c>
      <c r="I266" s="215" t="s">
        <v>2772</v>
      </c>
      <c r="J266" s="209" t="s">
        <v>105</v>
      </c>
      <c r="K266" s="217" t="s">
        <v>107</v>
      </c>
      <c r="L266" s="300" t="s">
        <v>2167</v>
      </c>
      <c r="M266" s="209" t="s">
        <v>108</v>
      </c>
      <c r="N266" s="215" t="s">
        <v>109</v>
      </c>
      <c r="O266" s="215" t="s">
        <v>110</v>
      </c>
      <c r="P266" s="218">
        <v>36</v>
      </c>
      <c r="Q266" s="218">
        <v>5</v>
      </c>
      <c r="R266" s="219">
        <v>7.4999999999999997E-3</v>
      </c>
      <c r="S266" s="215" t="s">
        <v>111</v>
      </c>
      <c r="T266" s="215" t="s">
        <v>112</v>
      </c>
      <c r="U266" s="215" t="s">
        <v>113</v>
      </c>
      <c r="V266" s="220">
        <v>792</v>
      </c>
      <c r="W266" s="220">
        <v>792</v>
      </c>
      <c r="X266" s="221"/>
      <c r="Y266" s="222">
        <f t="shared" si="80"/>
        <v>0</v>
      </c>
      <c r="Z266" s="223">
        <f t="shared" si="81"/>
        <v>0</v>
      </c>
      <c r="AA266" s="223"/>
      <c r="AB266" s="807"/>
      <c r="AC266" s="220"/>
      <c r="AD266" s="209"/>
      <c r="AE266" s="210"/>
      <c r="AF266" s="210"/>
      <c r="AG266" s="211">
        <f t="shared" si="82"/>
        <v>0.308</v>
      </c>
      <c r="AH266" s="157">
        <f t="shared" si="84"/>
        <v>0</v>
      </c>
      <c r="AI266" s="152">
        <f t="shared" si="83"/>
        <v>28512</v>
      </c>
      <c r="AK266" s="156" t="s">
        <v>691</v>
      </c>
      <c r="AL266" s="574" t="s">
        <v>690</v>
      </c>
      <c r="AM266" s="198">
        <f t="shared" si="79"/>
        <v>0</v>
      </c>
      <c r="AN266" s="199">
        <f t="shared" si="87"/>
        <v>45339</v>
      </c>
      <c r="AO266" s="159" t="s">
        <v>692</v>
      </c>
      <c r="AP266" s="781"/>
      <c r="AQ266" s="782">
        <v>12063755</v>
      </c>
      <c r="AR266" s="782">
        <v>12061353</v>
      </c>
      <c r="AS266" s="782">
        <v>12061354</v>
      </c>
      <c r="AT266" s="782">
        <v>12068566</v>
      </c>
      <c r="AU266" s="781"/>
      <c r="AV266" s="782">
        <v>12068564</v>
      </c>
      <c r="AW266" s="782">
        <v>12062153</v>
      </c>
      <c r="AX266" s="782"/>
      <c r="AY266" s="782">
        <v>12068565</v>
      </c>
      <c r="AZ266" s="782"/>
      <c r="BA266" s="781"/>
    </row>
    <row r="267" spans="1:53" ht="25" hidden="1" customHeight="1">
      <c r="B267" s="213">
        <v>45339</v>
      </c>
      <c r="C267" s="578">
        <v>45348</v>
      </c>
      <c r="D267" s="185">
        <f t="shared" si="85"/>
        <v>2024</v>
      </c>
      <c r="E267" s="215" t="str">
        <f>VLOOKUP($B267,Week!$A$1:$C$1462,2,0)</f>
        <v>Week7</v>
      </c>
      <c r="F267" s="216" t="str">
        <f t="shared" si="86"/>
        <v>Feb</v>
      </c>
      <c r="G267" s="215" t="s">
        <v>817</v>
      </c>
      <c r="H267" s="215" t="s">
        <v>104</v>
      </c>
      <c r="I267" s="215" t="s">
        <v>2772</v>
      </c>
      <c r="J267" s="209" t="s">
        <v>105</v>
      </c>
      <c r="K267" s="217" t="s">
        <v>107</v>
      </c>
      <c r="L267" s="300" t="s">
        <v>2167</v>
      </c>
      <c r="M267" s="209" t="s">
        <v>108</v>
      </c>
      <c r="N267" s="215" t="s">
        <v>109</v>
      </c>
      <c r="O267" s="215" t="s">
        <v>110</v>
      </c>
      <c r="P267" s="218">
        <v>36</v>
      </c>
      <c r="Q267" s="218">
        <v>5</v>
      </c>
      <c r="R267" s="219">
        <v>7.4999999999999997E-3</v>
      </c>
      <c r="S267" s="215" t="s">
        <v>111</v>
      </c>
      <c r="T267" s="215" t="s">
        <v>112</v>
      </c>
      <c r="U267" s="215" t="s">
        <v>113</v>
      </c>
      <c r="V267" s="220">
        <f>2538-665-792-792</f>
        <v>289</v>
      </c>
      <c r="W267" s="220">
        <f>2538-665-792-792</f>
        <v>289</v>
      </c>
      <c r="X267" s="221"/>
      <c r="Y267" s="222">
        <f t="shared" si="80"/>
        <v>0</v>
      </c>
      <c r="Z267" s="223">
        <f t="shared" si="81"/>
        <v>0</v>
      </c>
      <c r="AA267" s="223"/>
      <c r="AB267" s="807"/>
      <c r="AC267" s="220"/>
      <c r="AD267" s="209"/>
      <c r="AE267" s="210"/>
      <c r="AF267" s="210"/>
      <c r="AG267" s="211">
        <f t="shared" si="82"/>
        <v>0.308</v>
      </c>
      <c r="AH267" s="157">
        <f t="shared" si="84"/>
        <v>0</v>
      </c>
      <c r="AI267" s="152">
        <f t="shared" si="83"/>
        <v>10404</v>
      </c>
      <c r="AK267" s="156" t="s">
        <v>691</v>
      </c>
      <c r="AL267" s="574" t="s">
        <v>690</v>
      </c>
      <c r="AM267" s="198">
        <f t="shared" si="79"/>
        <v>0</v>
      </c>
      <c r="AN267" s="199">
        <f t="shared" si="87"/>
        <v>45339</v>
      </c>
      <c r="AO267" s="159" t="s">
        <v>692</v>
      </c>
      <c r="AP267" s="781"/>
      <c r="AQ267" s="782">
        <v>12063755</v>
      </c>
      <c r="AR267" s="782">
        <v>12061353</v>
      </c>
      <c r="AS267" s="782">
        <v>12061354</v>
      </c>
      <c r="AT267" s="782">
        <v>12068566</v>
      </c>
      <c r="AU267" s="781"/>
      <c r="AV267" s="782">
        <v>12068564</v>
      </c>
      <c r="AW267" s="782">
        <v>12062153</v>
      </c>
      <c r="AX267" s="782"/>
      <c r="AY267" s="782">
        <v>12068565</v>
      </c>
      <c r="AZ267" s="782"/>
      <c r="BA267" s="781"/>
    </row>
    <row r="268" spans="1:53" ht="25" hidden="1" customHeight="1">
      <c r="A268" s="142" t="s">
        <v>120</v>
      </c>
      <c r="B268" s="466">
        <v>45339</v>
      </c>
      <c r="C268" s="467">
        <v>45345</v>
      </c>
      <c r="D268" s="185">
        <f t="shared" si="85"/>
        <v>2024</v>
      </c>
      <c r="E268" s="468" t="str">
        <f>VLOOKUP($B268,Week!$A$1:$C$1462,2,0)</f>
        <v>Week7</v>
      </c>
      <c r="F268" s="469" t="str">
        <f t="shared" si="86"/>
        <v>Feb</v>
      </c>
      <c r="G268" s="470" t="s">
        <v>886</v>
      </c>
      <c r="H268" s="468" t="s">
        <v>82</v>
      </c>
      <c r="I268" s="468" t="s">
        <v>82</v>
      </c>
      <c r="J268" s="471" t="s">
        <v>720</v>
      </c>
      <c r="K268" s="472" t="s">
        <v>85</v>
      </c>
      <c r="L268" s="390" t="s">
        <v>2166</v>
      </c>
      <c r="M268" s="471" t="s">
        <v>579</v>
      </c>
      <c r="N268" s="468" t="s">
        <v>580</v>
      </c>
      <c r="O268" s="468" t="s">
        <v>581</v>
      </c>
      <c r="P268" s="473">
        <v>8</v>
      </c>
      <c r="Q268" s="473">
        <v>60</v>
      </c>
      <c r="R268" s="474">
        <v>6.8100000000000001E-3</v>
      </c>
      <c r="S268" s="468" t="s">
        <v>76</v>
      </c>
      <c r="T268" s="468" t="s">
        <v>56</v>
      </c>
      <c r="U268" s="468" t="s">
        <v>89</v>
      </c>
      <c r="V268" s="475">
        <v>719</v>
      </c>
      <c r="W268" s="475">
        <v>719</v>
      </c>
      <c r="X268" s="476"/>
      <c r="Y268" s="477">
        <f t="shared" si="80"/>
        <v>0</v>
      </c>
      <c r="Z268" s="478">
        <f t="shared" si="81"/>
        <v>0</v>
      </c>
      <c r="AA268" s="478">
        <f>Q268*Z268</f>
        <v>0</v>
      </c>
      <c r="AB268" s="828">
        <v>6</v>
      </c>
      <c r="AC268" s="475">
        <f>Z268*AB268</f>
        <v>0</v>
      </c>
      <c r="AD268" s="209"/>
      <c r="AE268" s="210"/>
      <c r="AF268" s="210"/>
      <c r="AG268" s="211">
        <f t="shared" si="82"/>
        <v>0.75</v>
      </c>
      <c r="AH268" s="157">
        <f t="shared" si="84"/>
        <v>0</v>
      </c>
      <c r="AI268" s="152">
        <f t="shared" si="83"/>
        <v>5752</v>
      </c>
      <c r="AK268" s="156" t="s">
        <v>691</v>
      </c>
      <c r="AL268" s="156" t="s">
        <v>689</v>
      </c>
      <c r="AM268" s="198">
        <f t="shared" si="79"/>
        <v>0</v>
      </c>
      <c r="AN268" s="199">
        <f t="shared" si="87"/>
        <v>45339</v>
      </c>
      <c r="AO268" s="159" t="s">
        <v>692</v>
      </c>
      <c r="AP268" s="783" t="s">
        <v>622</v>
      </c>
      <c r="AQ268" s="782">
        <v>12004862</v>
      </c>
      <c r="AR268" s="782">
        <v>12080753</v>
      </c>
      <c r="AS268" s="782"/>
      <c r="AT268" s="782">
        <v>12082897</v>
      </c>
      <c r="AU268" s="781"/>
      <c r="AV268" s="782">
        <v>12082898</v>
      </c>
      <c r="AW268" s="782">
        <v>12082899</v>
      </c>
      <c r="AX268" s="796" t="s">
        <v>621</v>
      </c>
      <c r="AY268" s="782"/>
      <c r="AZ268" s="782"/>
      <c r="BA268" s="781"/>
    </row>
    <row r="269" spans="1:53" ht="25" hidden="1" customHeight="1">
      <c r="B269" s="183">
        <v>45340</v>
      </c>
      <c r="C269" s="184"/>
      <c r="D269" s="185">
        <f t="shared" si="85"/>
        <v>2024</v>
      </c>
      <c r="E269" s="185" t="str">
        <f>VLOOKUP($B269,Week!$A$1:$C$1462,2,0)</f>
        <v>Week7</v>
      </c>
      <c r="F269" s="186" t="str">
        <f t="shared" si="86"/>
        <v>Feb</v>
      </c>
      <c r="G269" s="185"/>
      <c r="H269" s="185"/>
      <c r="I269" s="185"/>
      <c r="J269" s="187"/>
      <c r="K269" s="188"/>
      <c r="L269" s="300"/>
      <c r="M269" s="187"/>
      <c r="N269" s="185"/>
      <c r="O269" s="185"/>
      <c r="P269" s="189"/>
      <c r="Q269" s="189"/>
      <c r="R269" s="190"/>
      <c r="S269" s="185"/>
      <c r="T269" s="185"/>
      <c r="U269" s="185"/>
      <c r="V269" s="191"/>
      <c r="W269" s="191"/>
      <c r="X269" s="192"/>
      <c r="Y269" s="193"/>
      <c r="Z269" s="194"/>
      <c r="AA269" s="194"/>
      <c r="AB269" s="805"/>
      <c r="AC269" s="191"/>
      <c r="AD269" s="187"/>
      <c r="AE269" s="195"/>
      <c r="AF269" s="195"/>
      <c r="AG269" s="196"/>
      <c r="AH269" s="197"/>
      <c r="AK269" s="156" t="s">
        <v>691</v>
      </c>
      <c r="AM269" s="198">
        <f t="shared" si="79"/>
        <v>0</v>
      </c>
      <c r="AN269" s="199">
        <f t="shared" si="87"/>
        <v>45340</v>
      </c>
      <c r="AO269" s="159" t="s">
        <v>692</v>
      </c>
      <c r="AP269" s="781"/>
      <c r="AQ269" s="782"/>
      <c r="AR269" s="782"/>
      <c r="AS269" s="782"/>
      <c r="AT269" s="782"/>
      <c r="AU269" s="781"/>
      <c r="AV269" s="782"/>
      <c r="AW269" s="782"/>
      <c r="AX269" s="782"/>
      <c r="AY269" s="782"/>
      <c r="AZ269" s="782"/>
      <c r="BA269" s="781"/>
    </row>
    <row r="270" spans="1:53" ht="25" hidden="1" customHeight="1">
      <c r="B270" s="213">
        <v>45341</v>
      </c>
      <c r="C270" s="578">
        <v>45348</v>
      </c>
      <c r="D270" s="185">
        <f t="shared" si="85"/>
        <v>2024</v>
      </c>
      <c r="E270" s="215" t="str">
        <f>VLOOKUP($B270,Week!$A$1:$C$1462,2,0)</f>
        <v>Week8</v>
      </c>
      <c r="F270" s="216" t="str">
        <f t="shared" si="86"/>
        <v>Feb</v>
      </c>
      <c r="G270" s="215" t="s">
        <v>817</v>
      </c>
      <c r="H270" s="215" t="s">
        <v>104</v>
      </c>
      <c r="I270" s="215" t="s">
        <v>2772</v>
      </c>
      <c r="J270" s="209" t="s">
        <v>105</v>
      </c>
      <c r="K270" s="217" t="s">
        <v>107</v>
      </c>
      <c r="L270" s="300" t="s">
        <v>2167</v>
      </c>
      <c r="M270" s="209" t="s">
        <v>108</v>
      </c>
      <c r="N270" s="215" t="s">
        <v>109</v>
      </c>
      <c r="O270" s="215" t="s">
        <v>110</v>
      </c>
      <c r="P270" s="218">
        <v>36</v>
      </c>
      <c r="Q270" s="218">
        <v>5</v>
      </c>
      <c r="R270" s="219">
        <v>7.4999999999999997E-3</v>
      </c>
      <c r="S270" s="215" t="s">
        <v>111</v>
      </c>
      <c r="T270" s="215" t="s">
        <v>112</v>
      </c>
      <c r="U270" s="215" t="s">
        <v>113</v>
      </c>
      <c r="V270" s="220">
        <f>792-289</f>
        <v>503</v>
      </c>
      <c r="W270" s="220">
        <f>792-289</f>
        <v>503</v>
      </c>
      <c r="X270" s="221"/>
      <c r="Y270" s="222">
        <f t="shared" ref="Y270:Y301" si="88">(W270+X270)-V270</f>
        <v>0</v>
      </c>
      <c r="Z270" s="223">
        <f t="shared" ref="Z270:Z301" si="89">IF(Y270&lt;0,((V270*P270)-((W270+X270)*P270)),0)</f>
        <v>0</v>
      </c>
      <c r="AA270" s="223"/>
      <c r="AB270" s="807"/>
      <c r="AC270" s="220"/>
      <c r="AD270" s="209"/>
      <c r="AE270" s="210"/>
      <c r="AF270" s="210"/>
      <c r="AG270" s="211">
        <f t="shared" ref="AG270:AG278" si="90">MID(O270,1,3)/1000</f>
        <v>0.308</v>
      </c>
      <c r="AH270" s="157">
        <f t="shared" ref="AH270:AH277" si="91">(Z270*AG270)/1000</f>
        <v>0</v>
      </c>
      <c r="AI270" s="152">
        <f t="shared" ref="AI270:AI278" si="92">V270*P270</f>
        <v>18108</v>
      </c>
      <c r="AK270" s="156" t="s">
        <v>691</v>
      </c>
      <c r="AL270" s="574" t="s">
        <v>690</v>
      </c>
      <c r="AM270" s="198">
        <f>AG270*Z270</f>
        <v>0</v>
      </c>
      <c r="AN270" s="199">
        <f t="shared" si="87"/>
        <v>45341</v>
      </c>
      <c r="AO270" s="159" t="s">
        <v>692</v>
      </c>
      <c r="AP270" s="781"/>
      <c r="AQ270" s="782">
        <v>12063755</v>
      </c>
      <c r="AR270" s="782">
        <v>12061353</v>
      </c>
      <c r="AS270" s="782">
        <v>12061354</v>
      </c>
      <c r="AT270" s="782">
        <v>12068566</v>
      </c>
      <c r="AU270" s="781"/>
      <c r="AV270" s="782">
        <v>12068564</v>
      </c>
      <c r="AW270" s="782">
        <v>12062153</v>
      </c>
      <c r="AX270" s="782"/>
      <c r="AY270" s="782">
        <v>12068565</v>
      </c>
      <c r="AZ270" s="782"/>
      <c r="BA270" s="781"/>
    </row>
    <row r="271" spans="1:53" ht="25" hidden="1" customHeight="1">
      <c r="B271" s="213">
        <v>45341</v>
      </c>
      <c r="C271" s="578">
        <v>45348</v>
      </c>
      <c r="D271" s="185">
        <f t="shared" si="85"/>
        <v>2024</v>
      </c>
      <c r="E271" s="215" t="str">
        <f>VLOOKUP($B271,Week!$A$1:$C$1462,2,0)</f>
        <v>Week8</v>
      </c>
      <c r="F271" s="216" t="str">
        <f t="shared" si="86"/>
        <v>Feb</v>
      </c>
      <c r="G271" s="215" t="s">
        <v>866</v>
      </c>
      <c r="H271" s="215" t="s">
        <v>104</v>
      </c>
      <c r="I271" s="215" t="s">
        <v>2772</v>
      </c>
      <c r="J271" s="209" t="s">
        <v>105</v>
      </c>
      <c r="K271" s="217" t="s">
        <v>107</v>
      </c>
      <c r="L271" s="300" t="s">
        <v>2167</v>
      </c>
      <c r="M271" s="209" t="s">
        <v>108</v>
      </c>
      <c r="N271" s="215" t="s">
        <v>109</v>
      </c>
      <c r="O271" s="215" t="s">
        <v>110</v>
      </c>
      <c r="P271" s="218">
        <v>36</v>
      </c>
      <c r="Q271" s="218">
        <v>5</v>
      </c>
      <c r="R271" s="219">
        <v>7.4999999999999997E-3</v>
      </c>
      <c r="S271" s="215" t="s">
        <v>111</v>
      </c>
      <c r="T271" s="215" t="s">
        <v>112</v>
      </c>
      <c r="U271" s="215" t="s">
        <v>113</v>
      </c>
      <c r="V271" s="220">
        <v>792</v>
      </c>
      <c r="W271" s="220">
        <v>792</v>
      </c>
      <c r="X271" s="221"/>
      <c r="Y271" s="222">
        <f t="shared" si="88"/>
        <v>0</v>
      </c>
      <c r="Z271" s="223">
        <f t="shared" si="89"/>
        <v>0</v>
      </c>
      <c r="AA271" s="223"/>
      <c r="AB271" s="807"/>
      <c r="AC271" s="220"/>
      <c r="AD271" s="209"/>
      <c r="AE271" s="210"/>
      <c r="AF271" s="210"/>
      <c r="AG271" s="211">
        <f t="shared" si="90"/>
        <v>0.308</v>
      </c>
      <c r="AH271" s="157">
        <f t="shared" si="91"/>
        <v>0</v>
      </c>
      <c r="AI271" s="152">
        <f t="shared" si="92"/>
        <v>28512</v>
      </c>
      <c r="AK271" s="156" t="s">
        <v>691</v>
      </c>
      <c r="AL271" s="574" t="s">
        <v>690</v>
      </c>
      <c r="AM271" s="198">
        <f>AG271*Z271</f>
        <v>0</v>
      </c>
      <c r="AN271" s="199">
        <f t="shared" si="87"/>
        <v>45341</v>
      </c>
      <c r="AO271" s="159" t="s">
        <v>692</v>
      </c>
      <c r="AP271" s="781"/>
      <c r="AQ271" s="782">
        <v>12063755</v>
      </c>
      <c r="AR271" s="782">
        <v>12061353</v>
      </c>
      <c r="AS271" s="782">
        <v>12061354</v>
      </c>
      <c r="AT271" s="782">
        <v>12068566</v>
      </c>
      <c r="AU271" s="781"/>
      <c r="AV271" s="782">
        <v>12068564</v>
      </c>
      <c r="AW271" s="782">
        <v>12062153</v>
      </c>
      <c r="AX271" s="782"/>
      <c r="AY271" s="782">
        <v>12068565</v>
      </c>
      <c r="AZ271" s="782"/>
      <c r="BA271" s="781"/>
    </row>
    <row r="272" spans="1:53" ht="25" hidden="1" customHeight="1">
      <c r="B272" s="213">
        <v>45341</v>
      </c>
      <c r="C272" s="578">
        <v>45348</v>
      </c>
      <c r="D272" s="185">
        <f t="shared" si="85"/>
        <v>2024</v>
      </c>
      <c r="E272" s="215" t="str">
        <f>VLOOKUP($B272,Week!$A$1:$C$1462,2,0)</f>
        <v>Week8</v>
      </c>
      <c r="F272" s="216" t="str">
        <f t="shared" si="86"/>
        <v>Feb</v>
      </c>
      <c r="G272" s="215" t="s">
        <v>867</v>
      </c>
      <c r="H272" s="215" t="s">
        <v>104</v>
      </c>
      <c r="I272" s="215" t="s">
        <v>2772</v>
      </c>
      <c r="J272" s="209" t="s">
        <v>105</v>
      </c>
      <c r="K272" s="217" t="s">
        <v>107</v>
      </c>
      <c r="L272" s="300" t="s">
        <v>2167</v>
      </c>
      <c r="M272" s="209" t="s">
        <v>108</v>
      </c>
      <c r="N272" s="215" t="s">
        <v>109</v>
      </c>
      <c r="O272" s="215" t="s">
        <v>110</v>
      </c>
      <c r="P272" s="218">
        <v>36</v>
      </c>
      <c r="Q272" s="218">
        <v>5</v>
      </c>
      <c r="R272" s="219">
        <v>7.4999999999999997E-3</v>
      </c>
      <c r="S272" s="215" t="s">
        <v>111</v>
      </c>
      <c r="T272" s="215" t="s">
        <v>112</v>
      </c>
      <c r="U272" s="215" t="s">
        <v>113</v>
      </c>
      <c r="V272" s="220">
        <v>792</v>
      </c>
      <c r="W272" s="220">
        <v>792</v>
      </c>
      <c r="X272" s="221"/>
      <c r="Y272" s="222">
        <f t="shared" si="88"/>
        <v>0</v>
      </c>
      <c r="Z272" s="223">
        <f t="shared" si="89"/>
        <v>0</v>
      </c>
      <c r="AA272" s="223"/>
      <c r="AB272" s="807"/>
      <c r="AC272" s="220"/>
      <c r="AD272" s="209"/>
      <c r="AE272" s="210"/>
      <c r="AF272" s="210"/>
      <c r="AG272" s="211">
        <f t="shared" si="90"/>
        <v>0.308</v>
      </c>
      <c r="AH272" s="157">
        <f t="shared" si="91"/>
        <v>0</v>
      </c>
      <c r="AI272" s="152">
        <f t="shared" si="92"/>
        <v>28512</v>
      </c>
      <c r="AK272" s="156" t="s">
        <v>691</v>
      </c>
      <c r="AL272" s="574" t="s">
        <v>690</v>
      </c>
      <c r="AM272" s="198">
        <f>AG272*Z272</f>
        <v>0</v>
      </c>
      <c r="AN272" s="199">
        <f t="shared" si="87"/>
        <v>45341</v>
      </c>
      <c r="AO272" s="159" t="s">
        <v>692</v>
      </c>
      <c r="AP272" s="781"/>
      <c r="AQ272" s="782">
        <v>12063755</v>
      </c>
      <c r="AR272" s="782">
        <v>12061353</v>
      </c>
      <c r="AS272" s="782">
        <v>12061354</v>
      </c>
      <c r="AT272" s="782">
        <v>12068566</v>
      </c>
      <c r="AU272" s="781"/>
      <c r="AV272" s="782">
        <v>12068564</v>
      </c>
      <c r="AW272" s="782">
        <v>12062153</v>
      </c>
      <c r="AX272" s="782"/>
      <c r="AY272" s="782">
        <v>12068565</v>
      </c>
      <c r="AZ272" s="782"/>
      <c r="BA272" s="781"/>
    </row>
    <row r="273" spans="1:53" ht="25" hidden="1" customHeight="1">
      <c r="B273" s="213">
        <v>45341</v>
      </c>
      <c r="C273" s="578">
        <v>45352</v>
      </c>
      <c r="D273" s="185">
        <f t="shared" si="85"/>
        <v>2024</v>
      </c>
      <c r="E273" s="215" t="str">
        <f>VLOOKUP($B273,Week!$A$1:$C$1462,2,0)</f>
        <v>Week8</v>
      </c>
      <c r="F273" s="216" t="str">
        <f t="shared" si="86"/>
        <v>Feb</v>
      </c>
      <c r="G273" s="215" t="s">
        <v>868</v>
      </c>
      <c r="H273" s="215" t="s">
        <v>104</v>
      </c>
      <c r="I273" s="215" t="s">
        <v>2772</v>
      </c>
      <c r="J273" s="209" t="s">
        <v>105</v>
      </c>
      <c r="K273" s="217" t="s">
        <v>107</v>
      </c>
      <c r="L273" s="300" t="s">
        <v>2167</v>
      </c>
      <c r="M273" s="209" t="s">
        <v>108</v>
      </c>
      <c r="N273" s="215" t="s">
        <v>109</v>
      </c>
      <c r="O273" s="215" t="s">
        <v>110</v>
      </c>
      <c r="P273" s="218">
        <v>36</v>
      </c>
      <c r="Q273" s="218">
        <v>5</v>
      </c>
      <c r="R273" s="219">
        <v>7.4999999999999997E-3</v>
      </c>
      <c r="S273" s="215" t="s">
        <v>111</v>
      </c>
      <c r="T273" s="215" t="s">
        <v>112</v>
      </c>
      <c r="U273" s="215" t="s">
        <v>113</v>
      </c>
      <c r="V273" s="220">
        <v>792</v>
      </c>
      <c r="W273" s="220">
        <v>792</v>
      </c>
      <c r="X273" s="221"/>
      <c r="Y273" s="222">
        <f t="shared" si="88"/>
        <v>0</v>
      </c>
      <c r="Z273" s="223">
        <f t="shared" si="89"/>
        <v>0</v>
      </c>
      <c r="AA273" s="223"/>
      <c r="AB273" s="807"/>
      <c r="AC273" s="220"/>
      <c r="AD273" s="209"/>
      <c r="AE273" s="210"/>
      <c r="AF273" s="210"/>
      <c r="AG273" s="211">
        <f t="shared" si="90"/>
        <v>0.308</v>
      </c>
      <c r="AH273" s="157">
        <f t="shared" si="91"/>
        <v>0</v>
      </c>
      <c r="AI273" s="152">
        <f t="shared" si="92"/>
        <v>28512</v>
      </c>
      <c r="AK273" s="156" t="s">
        <v>691</v>
      </c>
      <c r="AL273" s="574" t="s">
        <v>690</v>
      </c>
      <c r="AM273" s="198">
        <f>AG273*Z273</f>
        <v>0</v>
      </c>
      <c r="AN273" s="199">
        <f t="shared" si="87"/>
        <v>45341</v>
      </c>
      <c r="AO273" s="159" t="s">
        <v>692</v>
      </c>
      <c r="AP273" s="781"/>
      <c r="AQ273" s="782">
        <v>12063755</v>
      </c>
      <c r="AR273" s="782">
        <v>12061353</v>
      </c>
      <c r="AS273" s="782">
        <v>12061354</v>
      </c>
      <c r="AT273" s="782">
        <v>12068566</v>
      </c>
      <c r="AU273" s="781"/>
      <c r="AV273" s="782">
        <v>12068564</v>
      </c>
      <c r="AW273" s="782">
        <v>12062153</v>
      </c>
      <c r="AX273" s="782"/>
      <c r="AY273" s="782">
        <v>12068565</v>
      </c>
      <c r="AZ273" s="782"/>
      <c r="BA273" s="781"/>
    </row>
    <row r="274" spans="1:53" ht="25" hidden="1" customHeight="1">
      <c r="B274" s="213">
        <v>45341</v>
      </c>
      <c r="C274" s="578">
        <v>45352</v>
      </c>
      <c r="D274" s="185">
        <f t="shared" si="85"/>
        <v>2024</v>
      </c>
      <c r="E274" s="215" t="str">
        <f>VLOOKUP($B274,Week!$A$1:$C$1462,2,0)</f>
        <v>Week8</v>
      </c>
      <c r="F274" s="216" t="str">
        <f t="shared" si="86"/>
        <v>Feb</v>
      </c>
      <c r="G274" s="215" t="s">
        <v>869</v>
      </c>
      <c r="H274" s="215" t="s">
        <v>104</v>
      </c>
      <c r="I274" s="215" t="s">
        <v>2772</v>
      </c>
      <c r="J274" s="209" t="s">
        <v>105</v>
      </c>
      <c r="K274" s="217" t="s">
        <v>107</v>
      </c>
      <c r="L274" s="300" t="s">
        <v>2167</v>
      </c>
      <c r="M274" s="209" t="s">
        <v>108</v>
      </c>
      <c r="N274" s="215" t="s">
        <v>109</v>
      </c>
      <c r="O274" s="215" t="s">
        <v>110</v>
      </c>
      <c r="P274" s="218">
        <v>36</v>
      </c>
      <c r="Q274" s="218">
        <v>5</v>
      </c>
      <c r="R274" s="219">
        <v>7.4999999999999997E-3</v>
      </c>
      <c r="S274" s="215" t="s">
        <v>111</v>
      </c>
      <c r="T274" s="215" t="s">
        <v>112</v>
      </c>
      <c r="U274" s="215" t="s">
        <v>113</v>
      </c>
      <c r="V274" s="220">
        <f>3651-503-792-792-792</f>
        <v>772</v>
      </c>
      <c r="W274" s="220">
        <f>3651-503-792-792-792</f>
        <v>772</v>
      </c>
      <c r="X274" s="221"/>
      <c r="Y274" s="222">
        <f t="shared" si="88"/>
        <v>0</v>
      </c>
      <c r="Z274" s="223">
        <f t="shared" si="89"/>
        <v>0</v>
      </c>
      <c r="AA274" s="223"/>
      <c r="AB274" s="807"/>
      <c r="AC274" s="220"/>
      <c r="AD274" s="209"/>
      <c r="AE274" s="210"/>
      <c r="AF274" s="210"/>
      <c r="AG274" s="211">
        <f t="shared" si="90"/>
        <v>0.308</v>
      </c>
      <c r="AH274" s="157">
        <f t="shared" si="91"/>
        <v>0</v>
      </c>
      <c r="AI274" s="152">
        <f t="shared" si="92"/>
        <v>27792</v>
      </c>
      <c r="AK274" s="156" t="s">
        <v>691</v>
      </c>
      <c r="AL274" s="574" t="s">
        <v>690</v>
      </c>
      <c r="AM274" s="198">
        <f>AG274*Z274</f>
        <v>0</v>
      </c>
      <c r="AN274" s="199">
        <f t="shared" si="87"/>
        <v>45341</v>
      </c>
      <c r="AO274" s="159" t="s">
        <v>692</v>
      </c>
      <c r="AP274" s="781"/>
      <c r="AQ274" s="782">
        <v>12063755</v>
      </c>
      <c r="AR274" s="782">
        <v>12061353</v>
      </c>
      <c r="AS274" s="782">
        <v>12061354</v>
      </c>
      <c r="AT274" s="782">
        <v>12068566</v>
      </c>
      <c r="AU274" s="781"/>
      <c r="AV274" s="782">
        <v>12068564</v>
      </c>
      <c r="AW274" s="782">
        <v>12062153</v>
      </c>
      <c r="AX274" s="782"/>
      <c r="AY274" s="782">
        <v>12068565</v>
      </c>
      <c r="AZ274" s="782"/>
      <c r="BA274" s="781"/>
    </row>
    <row r="275" spans="1:53" ht="25" hidden="1" customHeight="1">
      <c r="A275" s="142" t="s">
        <v>120</v>
      </c>
      <c r="B275" s="466">
        <v>45341</v>
      </c>
      <c r="C275" s="467">
        <v>45345</v>
      </c>
      <c r="D275" s="185">
        <f t="shared" si="85"/>
        <v>2024</v>
      </c>
      <c r="E275" s="468" t="str">
        <f>VLOOKUP($B275,Week!$A$1:$C$1462,2,0)</f>
        <v>Week8</v>
      </c>
      <c r="F275" s="469" t="str">
        <f t="shared" si="86"/>
        <v>Feb</v>
      </c>
      <c r="G275" s="470" t="s">
        <v>886</v>
      </c>
      <c r="H275" s="468" t="s">
        <v>82</v>
      </c>
      <c r="I275" s="468" t="s">
        <v>82</v>
      </c>
      <c r="J275" s="471" t="s">
        <v>720</v>
      </c>
      <c r="K275" s="472" t="s">
        <v>85</v>
      </c>
      <c r="L275" s="390" t="s">
        <v>2166</v>
      </c>
      <c r="M275" s="471" t="s">
        <v>579</v>
      </c>
      <c r="N275" s="468" t="s">
        <v>580</v>
      </c>
      <c r="O275" s="468" t="s">
        <v>581</v>
      </c>
      <c r="P275" s="473">
        <v>8</v>
      </c>
      <c r="Q275" s="473">
        <v>60</v>
      </c>
      <c r="R275" s="474">
        <v>6.8100000000000001E-3</v>
      </c>
      <c r="S275" s="468" t="s">
        <v>76</v>
      </c>
      <c r="T275" s="468" t="s">
        <v>56</v>
      </c>
      <c r="U275" s="468" t="s">
        <v>89</v>
      </c>
      <c r="V275" s="475">
        <f>1408-490-719</f>
        <v>199</v>
      </c>
      <c r="W275" s="475">
        <v>199</v>
      </c>
      <c r="X275" s="476"/>
      <c r="Y275" s="477">
        <f t="shared" si="88"/>
        <v>0</v>
      </c>
      <c r="Z275" s="478">
        <f t="shared" si="89"/>
        <v>0</v>
      </c>
      <c r="AA275" s="478">
        <f>Q275*Z275</f>
        <v>0</v>
      </c>
      <c r="AB275" s="828">
        <v>6</v>
      </c>
      <c r="AC275" s="475">
        <f>Z275*AB275</f>
        <v>0</v>
      </c>
      <c r="AD275" s="209"/>
      <c r="AE275" s="210"/>
      <c r="AF275" s="210"/>
      <c r="AG275" s="211">
        <f t="shared" si="90"/>
        <v>0.75</v>
      </c>
      <c r="AH275" s="157">
        <f t="shared" si="91"/>
        <v>0</v>
      </c>
      <c r="AI275" s="152">
        <f t="shared" si="92"/>
        <v>1592</v>
      </c>
      <c r="AK275" s="156" t="s">
        <v>691</v>
      </c>
      <c r="AL275" s="156" t="s">
        <v>689</v>
      </c>
      <c r="AM275" s="198">
        <f t="shared" ref="AM275:AM280" si="93">AG275*Z275</f>
        <v>0</v>
      </c>
      <c r="AN275" s="199">
        <f t="shared" si="87"/>
        <v>45341</v>
      </c>
      <c r="AO275" s="159" t="s">
        <v>692</v>
      </c>
      <c r="AP275" s="783" t="s">
        <v>622</v>
      </c>
      <c r="AQ275" s="782">
        <v>12004862</v>
      </c>
      <c r="AR275" s="782">
        <v>12080753</v>
      </c>
      <c r="AS275" s="782"/>
      <c r="AT275" s="782">
        <v>12082897</v>
      </c>
      <c r="AU275" s="781"/>
      <c r="AV275" s="782">
        <v>12082898</v>
      </c>
      <c r="AW275" s="782">
        <v>12082899</v>
      </c>
      <c r="AX275" s="796" t="s">
        <v>621</v>
      </c>
      <c r="AY275" s="782"/>
      <c r="AZ275" s="782"/>
      <c r="BA275" s="781"/>
    </row>
    <row r="276" spans="1:53" ht="24.75" hidden="1" customHeight="1">
      <c r="A276" s="142" t="s">
        <v>120</v>
      </c>
      <c r="B276" s="308">
        <v>45341</v>
      </c>
      <c r="C276" s="309"/>
      <c r="D276" s="185">
        <f t="shared" si="85"/>
        <v>2024</v>
      </c>
      <c r="E276" s="519" t="str">
        <f>VLOOKUP($B276,Week!$A$1:$C$1462,2,0)</f>
        <v>Week8</v>
      </c>
      <c r="F276" s="520" t="str">
        <f t="shared" si="86"/>
        <v>Feb</v>
      </c>
      <c r="G276" s="446" t="s">
        <v>47</v>
      </c>
      <c r="H276" s="311" t="s">
        <v>518</v>
      </c>
      <c r="I276" s="298" t="s">
        <v>2702</v>
      </c>
      <c r="J276" s="312" t="s">
        <v>70</v>
      </c>
      <c r="K276" s="313" t="s">
        <v>85</v>
      </c>
      <c r="L276" s="390" t="s">
        <v>2166</v>
      </c>
      <c r="M276" s="312" t="s">
        <v>515</v>
      </c>
      <c r="N276" s="311" t="s">
        <v>588</v>
      </c>
      <c r="O276" s="311" t="s">
        <v>546</v>
      </c>
      <c r="P276" s="314">
        <v>12</v>
      </c>
      <c r="Q276" s="314">
        <v>20</v>
      </c>
      <c r="R276" s="315">
        <v>6.1999999999999998E-3</v>
      </c>
      <c r="S276" s="311" t="s">
        <v>352</v>
      </c>
      <c r="T276" s="311" t="s">
        <v>56</v>
      </c>
      <c r="U276" s="311"/>
      <c r="V276" s="316">
        <v>511</v>
      </c>
      <c r="W276" s="316">
        <f>54+331</f>
        <v>385</v>
      </c>
      <c r="X276" s="317">
        <f>(1512)/12</f>
        <v>126</v>
      </c>
      <c r="Y276" s="318">
        <f t="shared" si="88"/>
        <v>0</v>
      </c>
      <c r="Z276" s="319">
        <f t="shared" si="89"/>
        <v>0</v>
      </c>
      <c r="AA276" s="319">
        <f>Q276*Z276</f>
        <v>0</v>
      </c>
      <c r="AB276" s="815"/>
      <c r="AC276" s="316">
        <f>Z276*AB276</f>
        <v>0</v>
      </c>
      <c r="AD276" s="209"/>
      <c r="AE276" s="210"/>
      <c r="AF276" s="210"/>
      <c r="AG276" s="211">
        <f t="shared" si="90"/>
        <v>0.22</v>
      </c>
      <c r="AH276" s="157">
        <f t="shared" si="91"/>
        <v>0</v>
      </c>
      <c r="AI276" s="152">
        <f t="shared" si="92"/>
        <v>6132</v>
      </c>
      <c r="AK276" s="156" t="s">
        <v>691</v>
      </c>
      <c r="AL276" s="156" t="s">
        <v>689</v>
      </c>
      <c r="AM276" s="198">
        <f t="shared" si="93"/>
        <v>0</v>
      </c>
      <c r="AN276" s="199">
        <f t="shared" si="87"/>
        <v>45341</v>
      </c>
      <c r="AO276" s="159" t="s">
        <v>692</v>
      </c>
      <c r="AP276" s="783" t="s">
        <v>613</v>
      </c>
      <c r="AQ276" s="782"/>
      <c r="AR276" s="782" t="s">
        <v>614</v>
      </c>
      <c r="AS276" s="782"/>
      <c r="AT276" s="782">
        <v>12083140</v>
      </c>
      <c r="AU276" s="781"/>
      <c r="AV276" s="782">
        <v>12083143</v>
      </c>
      <c r="AW276" s="782"/>
      <c r="AX276" s="782"/>
      <c r="AY276" s="782"/>
      <c r="AZ276" s="782"/>
      <c r="BA276" s="781"/>
    </row>
    <row r="277" spans="1:53" ht="25" hidden="1" customHeight="1">
      <c r="A277" s="142" t="s">
        <v>120</v>
      </c>
      <c r="B277" s="295">
        <v>45341</v>
      </c>
      <c r="C277" s="296">
        <v>45350</v>
      </c>
      <c r="D277" s="185">
        <f t="shared" si="85"/>
        <v>2024</v>
      </c>
      <c r="E277" s="298" t="str">
        <f>VLOOKUP($B277,Week!$A$1:$C$1462,2,0)</f>
        <v>Week8</v>
      </c>
      <c r="F277" s="297" t="str">
        <f t="shared" si="86"/>
        <v>Feb</v>
      </c>
      <c r="G277" s="298" t="s">
        <v>909</v>
      </c>
      <c r="H277" s="298" t="s">
        <v>134</v>
      </c>
      <c r="I277" s="298" t="s">
        <v>2772</v>
      </c>
      <c r="J277" s="299" t="s">
        <v>164</v>
      </c>
      <c r="K277" s="300" t="s">
        <v>584</v>
      </c>
      <c r="L277" s="390" t="s">
        <v>2166</v>
      </c>
      <c r="M277" s="299" t="s">
        <v>575</v>
      </c>
      <c r="N277" s="298" t="s">
        <v>577</v>
      </c>
      <c r="O277" s="298" t="s">
        <v>576</v>
      </c>
      <c r="P277" s="301">
        <v>10</v>
      </c>
      <c r="Q277" s="301">
        <v>50</v>
      </c>
      <c r="R277" s="302">
        <v>6.8100000000000001E-3</v>
      </c>
      <c r="S277" s="298" t="s">
        <v>76</v>
      </c>
      <c r="T277" s="298" t="s">
        <v>56</v>
      </c>
      <c r="U277" s="298"/>
      <c r="V277" s="303">
        <v>200</v>
      </c>
      <c r="W277" s="303">
        <f>14+186</f>
        <v>200</v>
      </c>
      <c r="X277" s="304"/>
      <c r="Y277" s="305">
        <f t="shared" si="88"/>
        <v>0</v>
      </c>
      <c r="Z277" s="306">
        <f t="shared" si="89"/>
        <v>0</v>
      </c>
      <c r="AA277" s="306">
        <f>Q277*Z277</f>
        <v>0</v>
      </c>
      <c r="AB277" s="814"/>
      <c r="AC277" s="303">
        <f>Z277*AB277</f>
        <v>0</v>
      </c>
      <c r="AD277" s="209"/>
      <c r="AE277" s="210"/>
      <c r="AF277" s="210"/>
      <c r="AG277" s="211">
        <f t="shared" si="90"/>
        <v>0.6</v>
      </c>
      <c r="AH277" s="157">
        <f t="shared" si="91"/>
        <v>0</v>
      </c>
      <c r="AI277" s="152">
        <f t="shared" si="92"/>
        <v>2000</v>
      </c>
      <c r="AK277" s="156" t="s">
        <v>691</v>
      </c>
      <c r="AL277" s="156" t="s">
        <v>689</v>
      </c>
      <c r="AM277" s="198">
        <f>AG277*Z277</f>
        <v>0</v>
      </c>
      <c r="AN277" s="199">
        <f t="shared" si="87"/>
        <v>45341</v>
      </c>
      <c r="AO277" s="159" t="s">
        <v>692</v>
      </c>
      <c r="AP277" s="781"/>
      <c r="AQ277" s="781"/>
      <c r="AR277" s="796" t="s">
        <v>529</v>
      </c>
      <c r="AS277" s="781"/>
      <c r="AT277" s="800"/>
      <c r="AU277" s="781"/>
      <c r="AV277" s="800">
        <v>12083562</v>
      </c>
      <c r="AW277" s="781"/>
      <c r="AX277" s="783" t="s">
        <v>617</v>
      </c>
      <c r="AY277" s="781" t="s">
        <v>615</v>
      </c>
      <c r="AZ277" s="781" t="s">
        <v>616</v>
      </c>
      <c r="BA277" s="781"/>
    </row>
    <row r="278" spans="1:53" ht="25" hidden="1" customHeight="1">
      <c r="A278" s="529" t="s">
        <v>598</v>
      </c>
      <c r="B278" s="283">
        <v>45342</v>
      </c>
      <c r="C278" s="284">
        <v>45348</v>
      </c>
      <c r="D278" s="185">
        <f t="shared" si="85"/>
        <v>2024</v>
      </c>
      <c r="E278" s="284" t="str">
        <f>VLOOKUP($B278,Week!$A$1:$C$1462,2,0)</f>
        <v>Week8</v>
      </c>
      <c r="F278" s="285" t="str">
        <f t="shared" si="86"/>
        <v>Feb</v>
      </c>
      <c r="G278" s="460" t="s">
        <v>901</v>
      </c>
      <c r="H278" s="286" t="s">
        <v>104</v>
      </c>
      <c r="I278" s="286" t="s">
        <v>2772</v>
      </c>
      <c r="J278" s="287" t="s">
        <v>105</v>
      </c>
      <c r="K278" s="288" t="s">
        <v>51</v>
      </c>
      <c r="L278" s="300" t="s">
        <v>2167</v>
      </c>
      <c r="M278" s="287" t="s">
        <v>595</v>
      </c>
      <c r="N278" s="286" t="s">
        <v>597</v>
      </c>
      <c r="O278" s="286" t="s">
        <v>187</v>
      </c>
      <c r="P278" s="289">
        <v>8</v>
      </c>
      <c r="Q278" s="289">
        <v>5</v>
      </c>
      <c r="R278" s="290">
        <v>6.0000000000000001E-3</v>
      </c>
      <c r="S278" s="286" t="s">
        <v>55</v>
      </c>
      <c r="T278" s="286" t="s">
        <v>112</v>
      </c>
      <c r="U278" s="286" t="s">
        <v>57</v>
      </c>
      <c r="V278" s="291">
        <f>562/8</f>
        <v>70.25</v>
      </c>
      <c r="W278" s="291"/>
      <c r="X278" s="292">
        <f>562/8</f>
        <v>70.25</v>
      </c>
      <c r="Y278" s="293">
        <f t="shared" si="88"/>
        <v>0</v>
      </c>
      <c r="Z278" s="294">
        <f t="shared" si="89"/>
        <v>0</v>
      </c>
      <c r="AA278" s="294"/>
      <c r="AB278" s="813"/>
      <c r="AC278" s="291"/>
      <c r="AD278" s="209"/>
      <c r="AE278" s="210"/>
      <c r="AF278" s="210"/>
      <c r="AG278" s="211">
        <f t="shared" si="90"/>
        <v>0.14499999999999999</v>
      </c>
      <c r="AH278" s="157">
        <v>0.26621999999999996</v>
      </c>
      <c r="AI278" s="152">
        <f t="shared" si="92"/>
        <v>562</v>
      </c>
      <c r="AK278" s="156" t="s">
        <v>691</v>
      </c>
      <c r="AL278" s="574" t="s">
        <v>690</v>
      </c>
      <c r="AM278" s="198">
        <f t="shared" si="93"/>
        <v>0</v>
      </c>
      <c r="AN278" s="199">
        <f t="shared" si="87"/>
        <v>45342</v>
      </c>
      <c r="AO278" s="159" t="s">
        <v>692</v>
      </c>
      <c r="AP278" s="783" t="s">
        <v>640</v>
      </c>
      <c r="AQ278" s="782">
        <v>12071839</v>
      </c>
      <c r="AR278" s="782">
        <v>12047514</v>
      </c>
      <c r="AS278" s="782">
        <v>12047515</v>
      </c>
      <c r="AT278" s="782">
        <v>12083107</v>
      </c>
      <c r="AU278" s="781"/>
      <c r="AV278" s="782">
        <v>12084002</v>
      </c>
      <c r="AW278" s="781"/>
      <c r="AX278" s="781"/>
      <c r="AY278" s="781"/>
      <c r="AZ278" s="782"/>
      <c r="BA278" s="781"/>
    </row>
    <row r="279" spans="1:53" ht="24.65" hidden="1" customHeight="1">
      <c r="B279" s="283">
        <v>45342</v>
      </c>
      <c r="C279" s="284">
        <v>45356</v>
      </c>
      <c r="D279" s="185">
        <f t="shared" si="85"/>
        <v>2024</v>
      </c>
      <c r="E279" s="284" t="str">
        <f>VLOOKUP($B279,Week!$A$1:$C$1462,2,0)</f>
        <v>Week8</v>
      </c>
      <c r="F279" s="285" t="str">
        <f t="shared" si="86"/>
        <v>Feb</v>
      </c>
      <c r="G279" s="624" t="s">
        <v>926</v>
      </c>
      <c r="H279" s="624" t="s">
        <v>104</v>
      </c>
      <c r="I279" s="624" t="s">
        <v>2772</v>
      </c>
      <c r="J279" s="625" t="s">
        <v>105</v>
      </c>
      <c r="K279" s="288" t="s">
        <v>51</v>
      </c>
      <c r="L279" s="300" t="s">
        <v>2167</v>
      </c>
      <c r="M279" s="287" t="s">
        <v>595</v>
      </c>
      <c r="N279" s="286" t="s">
        <v>597</v>
      </c>
      <c r="O279" s="286" t="s">
        <v>187</v>
      </c>
      <c r="P279" s="289">
        <v>8</v>
      </c>
      <c r="Q279" s="289">
        <v>5</v>
      </c>
      <c r="R279" s="290">
        <v>6.0000000000000001E-3</v>
      </c>
      <c r="S279" s="286" t="s">
        <v>55</v>
      </c>
      <c r="T279" s="286" t="s">
        <v>112</v>
      </c>
      <c r="U279" s="286" t="s">
        <v>57</v>
      </c>
      <c r="V279" s="291">
        <f>1400</f>
        <v>1400</v>
      </c>
      <c r="W279" s="291"/>
      <c r="X279" s="292">
        <f>11200/8</f>
        <v>1400</v>
      </c>
      <c r="Y279" s="293">
        <f t="shared" si="88"/>
        <v>0</v>
      </c>
      <c r="Z279" s="294">
        <f t="shared" si="89"/>
        <v>0</v>
      </c>
      <c r="AA279" s="294"/>
      <c r="AB279" s="813"/>
      <c r="AC279" s="291"/>
      <c r="AD279" s="486"/>
      <c r="AE279" s="210"/>
      <c r="AF279" s="210"/>
      <c r="AG279" s="211">
        <v>0.14499999999999999</v>
      </c>
      <c r="AH279" s="157">
        <f t="shared" ref="AH279:AH286" si="94">(Z279*AG279)/1000</f>
        <v>0</v>
      </c>
      <c r="AI279" s="152">
        <v>19800</v>
      </c>
      <c r="AK279" s="156" t="s">
        <v>691</v>
      </c>
      <c r="AL279" s="212" t="s">
        <v>690</v>
      </c>
      <c r="AM279" s="198">
        <f t="shared" si="93"/>
        <v>0</v>
      </c>
      <c r="AN279" s="199">
        <f t="shared" si="87"/>
        <v>45342</v>
      </c>
      <c r="AO279" s="159" t="s">
        <v>692</v>
      </c>
      <c r="AP279" s="781"/>
      <c r="AQ279" s="782">
        <v>12071839</v>
      </c>
      <c r="AR279" s="782">
        <v>12047514</v>
      </c>
      <c r="AS279" s="782">
        <v>12047515</v>
      </c>
      <c r="AT279" s="782"/>
      <c r="AU279" s="781"/>
      <c r="AV279" s="782"/>
      <c r="AW279" s="782"/>
      <c r="AX279" s="782"/>
      <c r="AY279" s="782"/>
      <c r="AZ279" s="782"/>
      <c r="BA279" s="781"/>
    </row>
    <row r="280" spans="1:53" ht="24.65" hidden="1" customHeight="1">
      <c r="B280" s="283">
        <v>45342</v>
      </c>
      <c r="C280" s="284">
        <v>45363</v>
      </c>
      <c r="D280" s="185">
        <f t="shared" si="85"/>
        <v>2024</v>
      </c>
      <c r="E280" s="284" t="str">
        <f>VLOOKUP($B280,Week!$A$1:$C$1462,2,0)</f>
        <v>Week8</v>
      </c>
      <c r="F280" s="285" t="str">
        <f t="shared" si="86"/>
        <v>Feb</v>
      </c>
      <c r="G280" s="626" t="s">
        <v>927</v>
      </c>
      <c r="H280" s="624" t="s">
        <v>104</v>
      </c>
      <c r="I280" s="624" t="s">
        <v>2772</v>
      </c>
      <c r="J280" s="625" t="s">
        <v>105</v>
      </c>
      <c r="K280" s="288" t="s">
        <v>51</v>
      </c>
      <c r="L280" s="300" t="s">
        <v>2167</v>
      </c>
      <c r="M280" s="287" t="s">
        <v>595</v>
      </c>
      <c r="N280" s="286" t="s">
        <v>597</v>
      </c>
      <c r="O280" s="286" t="s">
        <v>187</v>
      </c>
      <c r="P280" s="289">
        <v>8</v>
      </c>
      <c r="Q280" s="289">
        <v>5</v>
      </c>
      <c r="R280" s="290">
        <v>6.0000000000000001E-3</v>
      </c>
      <c r="S280" s="286" t="s">
        <v>55</v>
      </c>
      <c r="T280" s="286" t="s">
        <v>112</v>
      </c>
      <c r="U280" s="286" t="s">
        <v>57</v>
      </c>
      <c r="V280" s="291">
        <f>700</f>
        <v>700</v>
      </c>
      <c r="W280" s="291"/>
      <c r="X280" s="292">
        <f>5600/8</f>
        <v>700</v>
      </c>
      <c r="Y280" s="293">
        <f t="shared" si="88"/>
        <v>0</v>
      </c>
      <c r="Z280" s="294">
        <f t="shared" si="89"/>
        <v>0</v>
      </c>
      <c r="AA280" s="294"/>
      <c r="AB280" s="813"/>
      <c r="AC280" s="291"/>
      <c r="AD280" s="486"/>
      <c r="AE280" s="210"/>
      <c r="AF280" s="210"/>
      <c r="AG280" s="211">
        <v>0.14499999999999999</v>
      </c>
      <c r="AH280" s="157">
        <f t="shared" si="94"/>
        <v>0</v>
      </c>
      <c r="AI280" s="152">
        <v>19800</v>
      </c>
      <c r="AK280" s="156" t="s">
        <v>691</v>
      </c>
      <c r="AL280" s="212" t="s">
        <v>690</v>
      </c>
      <c r="AM280" s="198">
        <f t="shared" si="93"/>
        <v>0</v>
      </c>
      <c r="AN280" s="199">
        <f t="shared" si="87"/>
        <v>45342</v>
      </c>
      <c r="AO280" s="159" t="s">
        <v>692</v>
      </c>
      <c r="AP280" s="781"/>
      <c r="AQ280" s="782">
        <v>12071839</v>
      </c>
      <c r="AR280" s="782">
        <v>12047514</v>
      </c>
      <c r="AS280" s="782">
        <v>12047515</v>
      </c>
      <c r="AT280" s="782"/>
      <c r="AU280" s="781"/>
      <c r="AV280" s="782"/>
      <c r="AW280" s="782"/>
      <c r="AX280" s="782"/>
      <c r="AY280" s="782"/>
      <c r="AZ280" s="782"/>
      <c r="BA280" s="781"/>
    </row>
    <row r="281" spans="1:53" ht="24.75" hidden="1" customHeight="1">
      <c r="B281" s="224">
        <v>45342</v>
      </c>
      <c r="C281" s="224">
        <v>45356</v>
      </c>
      <c r="D281" s="185">
        <f t="shared" si="85"/>
        <v>2024</v>
      </c>
      <c r="E281" s="225" t="str">
        <f>VLOOKUP($B281,Week!$A$1:$C$1462,2,0)</f>
        <v>Week8</v>
      </c>
      <c r="F281" s="226" t="str">
        <f t="shared" si="86"/>
        <v>Feb</v>
      </c>
      <c r="G281" s="225" t="s">
        <v>913</v>
      </c>
      <c r="H281" s="225" t="s">
        <v>392</v>
      </c>
      <c r="I281" s="225" t="s">
        <v>2772</v>
      </c>
      <c r="J281" s="227" t="s">
        <v>393</v>
      </c>
      <c r="K281" s="228" t="s">
        <v>176</v>
      </c>
      <c r="L281" s="300" t="s">
        <v>2167</v>
      </c>
      <c r="M281" s="228" t="s">
        <v>399</v>
      </c>
      <c r="N281" s="225" t="s">
        <v>400</v>
      </c>
      <c r="O281" s="225" t="s">
        <v>195</v>
      </c>
      <c r="P281" s="229">
        <v>24</v>
      </c>
      <c r="Q281" s="229">
        <v>5</v>
      </c>
      <c r="R281" s="230">
        <v>8.0000000000000002E-3</v>
      </c>
      <c r="S281" s="225" t="s">
        <v>40</v>
      </c>
      <c r="T281" s="225" t="s">
        <v>56</v>
      </c>
      <c r="U281" s="225" t="s">
        <v>57</v>
      </c>
      <c r="V281" s="231">
        <v>900</v>
      </c>
      <c r="W281" s="231">
        <f>10+890</f>
        <v>900</v>
      </c>
      <c r="X281" s="232"/>
      <c r="Y281" s="233">
        <f t="shared" si="88"/>
        <v>0</v>
      </c>
      <c r="Z281" s="234">
        <f t="shared" si="89"/>
        <v>0</v>
      </c>
      <c r="AA281" s="234"/>
      <c r="AB281" s="808"/>
      <c r="AC281" s="231"/>
      <c r="AD281" s="220">
        <v>30000</v>
      </c>
      <c r="AE281" s="210"/>
      <c r="AF281" s="210"/>
      <c r="AG281" s="211">
        <f t="shared" ref="AG281:AG301" si="95">MID(O281,1,3)/1000</f>
        <v>0.14499999999999999</v>
      </c>
      <c r="AH281" s="157">
        <f t="shared" si="94"/>
        <v>0</v>
      </c>
      <c r="AI281" s="152">
        <f t="shared" ref="AI281:AI319" si="96">V281*P281</f>
        <v>21600</v>
      </c>
      <c r="AK281" s="156" t="s">
        <v>691</v>
      </c>
      <c r="AL281" s="574" t="s">
        <v>690</v>
      </c>
      <c r="AM281" s="198">
        <f t="shared" ref="AM281:AM287" si="97">AG281*Z281</f>
        <v>0</v>
      </c>
      <c r="AN281" s="199">
        <f t="shared" si="87"/>
        <v>45342</v>
      </c>
      <c r="AO281" s="159" t="s">
        <v>692</v>
      </c>
      <c r="AP281" s="783" t="s">
        <v>638</v>
      </c>
      <c r="AQ281" s="783" t="s">
        <v>631</v>
      </c>
      <c r="AR281" s="783" t="s">
        <v>632</v>
      </c>
      <c r="AS281" s="783" t="s">
        <v>633</v>
      </c>
      <c r="AT281" s="781"/>
      <c r="AU281" s="783" t="s">
        <v>626</v>
      </c>
      <c r="AV281" s="783" t="s">
        <v>630</v>
      </c>
      <c r="AW281" s="783" t="s">
        <v>634</v>
      </c>
      <c r="AX281" s="781"/>
      <c r="AY281" s="783" t="s">
        <v>635</v>
      </c>
      <c r="AZ281" s="783" t="s">
        <v>636</v>
      </c>
      <c r="BA281" s="783" t="s">
        <v>637</v>
      </c>
    </row>
    <row r="282" spans="1:53" ht="26.25" hidden="1" customHeight="1">
      <c r="B282" s="235">
        <v>45342</v>
      </c>
      <c r="C282" s="235">
        <v>45356</v>
      </c>
      <c r="D282" s="185">
        <f t="shared" si="85"/>
        <v>2024</v>
      </c>
      <c r="E282" s="236" t="str">
        <f>VLOOKUP($B282,Week!$A$1:$C$1462,2,0)</f>
        <v>Week8</v>
      </c>
      <c r="F282" s="237" t="str">
        <f t="shared" si="86"/>
        <v>Feb</v>
      </c>
      <c r="G282" s="236" t="s">
        <v>913</v>
      </c>
      <c r="H282" s="236" t="s">
        <v>392</v>
      </c>
      <c r="I282" s="236" t="s">
        <v>2772</v>
      </c>
      <c r="J282" s="238" t="s">
        <v>393</v>
      </c>
      <c r="K282" s="239" t="s">
        <v>204</v>
      </c>
      <c r="L282" s="300" t="s">
        <v>2167</v>
      </c>
      <c r="M282" s="238" t="s">
        <v>406</v>
      </c>
      <c r="N282" s="236" t="s">
        <v>407</v>
      </c>
      <c r="O282" s="236" t="s">
        <v>206</v>
      </c>
      <c r="P282" s="240">
        <v>24</v>
      </c>
      <c r="Q282" s="240">
        <v>5</v>
      </c>
      <c r="R282" s="241">
        <v>8.0000000000000002E-3</v>
      </c>
      <c r="S282" s="236" t="s">
        <v>40</v>
      </c>
      <c r="T282" s="236" t="s">
        <v>56</v>
      </c>
      <c r="U282" s="236" t="s">
        <v>499</v>
      </c>
      <c r="V282" s="242">
        <v>800</v>
      </c>
      <c r="W282" s="242">
        <f>8+792</f>
        <v>800</v>
      </c>
      <c r="X282" s="243"/>
      <c r="Y282" s="244">
        <f t="shared" si="88"/>
        <v>0</v>
      </c>
      <c r="Z282" s="245">
        <f t="shared" si="89"/>
        <v>0</v>
      </c>
      <c r="AA282" s="245"/>
      <c r="AB282" s="809">
        <v>1</v>
      </c>
      <c r="AC282" s="242">
        <f>Z282*AB282</f>
        <v>0</v>
      </c>
      <c r="AD282" s="209"/>
      <c r="AE282" s="210"/>
      <c r="AF282" s="210"/>
      <c r="AG282" s="211">
        <f t="shared" si="95"/>
        <v>0.115</v>
      </c>
      <c r="AH282" s="157">
        <f t="shared" si="94"/>
        <v>0</v>
      </c>
      <c r="AI282" s="152">
        <f t="shared" si="96"/>
        <v>19200</v>
      </c>
      <c r="AK282" s="156" t="s">
        <v>691</v>
      </c>
      <c r="AL282" s="574" t="s">
        <v>690</v>
      </c>
      <c r="AM282" s="198">
        <f t="shared" si="97"/>
        <v>0</v>
      </c>
      <c r="AN282" s="199">
        <f t="shared" si="87"/>
        <v>45342</v>
      </c>
      <c r="AO282" s="159" t="s">
        <v>692</v>
      </c>
      <c r="AP282" s="783" t="s">
        <v>608</v>
      </c>
      <c r="AQ282" s="782">
        <v>12071839</v>
      </c>
      <c r="AR282" s="782">
        <v>12047514</v>
      </c>
      <c r="AS282" s="782">
        <v>12047515</v>
      </c>
      <c r="AT282" s="781"/>
      <c r="AU282" s="782">
        <v>12026902</v>
      </c>
      <c r="AV282" s="782">
        <v>12081781</v>
      </c>
      <c r="AW282" s="782">
        <v>12026904</v>
      </c>
      <c r="AX282" s="781"/>
      <c r="AY282" s="783" t="s">
        <v>625</v>
      </c>
      <c r="AZ282" s="783" t="s">
        <v>624</v>
      </c>
      <c r="BA282" s="783" t="s">
        <v>624</v>
      </c>
    </row>
    <row r="283" spans="1:53" ht="25" hidden="1" customHeight="1">
      <c r="B283" s="213">
        <v>45342</v>
      </c>
      <c r="C283" s="214">
        <v>45350</v>
      </c>
      <c r="D283" s="185">
        <f t="shared" si="85"/>
        <v>2024</v>
      </c>
      <c r="E283" s="215" t="str">
        <f>VLOOKUP($B283,Week!$A$1:$C$1462,2,0)</f>
        <v>Week8</v>
      </c>
      <c r="F283" s="216" t="str">
        <f t="shared" si="86"/>
        <v>Feb</v>
      </c>
      <c r="G283" s="215" t="s">
        <v>911</v>
      </c>
      <c r="H283" s="215" t="s">
        <v>134</v>
      </c>
      <c r="I283" s="215" t="s">
        <v>2772</v>
      </c>
      <c r="J283" s="209" t="s">
        <v>164</v>
      </c>
      <c r="K283" s="217" t="s">
        <v>204</v>
      </c>
      <c r="L283" s="300" t="s">
        <v>2167</v>
      </c>
      <c r="M283" s="209" t="s">
        <v>193</v>
      </c>
      <c r="N283" s="215" t="s">
        <v>205</v>
      </c>
      <c r="O283" s="215" t="s">
        <v>206</v>
      </c>
      <c r="P283" s="218">
        <v>24</v>
      </c>
      <c r="Q283" s="218">
        <v>5</v>
      </c>
      <c r="R283" s="219">
        <v>8.0000000000000002E-3</v>
      </c>
      <c r="S283" s="215" t="s">
        <v>40</v>
      </c>
      <c r="T283" s="215" t="s">
        <v>56</v>
      </c>
      <c r="U283" s="480" t="s">
        <v>499</v>
      </c>
      <c r="V283" s="220">
        <f>250</f>
        <v>250</v>
      </c>
      <c r="W283" s="220">
        <f>10+240</f>
        <v>250</v>
      </c>
      <c r="X283" s="221"/>
      <c r="Y283" s="222">
        <f t="shared" si="88"/>
        <v>0</v>
      </c>
      <c r="Z283" s="223">
        <f t="shared" si="89"/>
        <v>0</v>
      </c>
      <c r="AA283" s="220"/>
      <c r="AB283" s="807">
        <v>1</v>
      </c>
      <c r="AC283" s="220">
        <f>Z283*AB283</f>
        <v>0</v>
      </c>
      <c r="AD283" s="381"/>
      <c r="AE283" s="220"/>
      <c r="AF283" s="220"/>
      <c r="AG283" s="211">
        <f t="shared" si="95"/>
        <v>0.115</v>
      </c>
      <c r="AH283" s="157">
        <f>(Z283*AG283)/1000</f>
        <v>0</v>
      </c>
      <c r="AI283" s="152">
        <f t="shared" si="96"/>
        <v>6000</v>
      </c>
      <c r="AK283" s="156" t="s">
        <v>691</v>
      </c>
      <c r="AL283" s="212" t="s">
        <v>690</v>
      </c>
      <c r="AM283" s="198">
        <f t="shared" si="97"/>
        <v>0</v>
      </c>
      <c r="AN283" s="199">
        <f t="shared" si="87"/>
        <v>45342</v>
      </c>
      <c r="AO283" s="159" t="s">
        <v>692</v>
      </c>
      <c r="AP283" s="783" t="s">
        <v>610</v>
      </c>
      <c r="AQ283" s="782">
        <v>12071839</v>
      </c>
      <c r="AR283" s="782">
        <v>12047514</v>
      </c>
      <c r="AS283" s="782">
        <v>12047515</v>
      </c>
      <c r="AT283" s="782"/>
      <c r="AU283" s="782">
        <v>12026902</v>
      </c>
      <c r="AV283" s="782">
        <v>12054722</v>
      </c>
      <c r="AW283" s="782">
        <v>12026904</v>
      </c>
      <c r="AX283" s="782"/>
      <c r="AY283" s="782">
        <v>12061939</v>
      </c>
      <c r="AZ283" s="782">
        <v>12061940</v>
      </c>
      <c r="BA283" s="782">
        <v>12061938</v>
      </c>
    </row>
    <row r="284" spans="1:53" ht="24.75" hidden="1" customHeight="1">
      <c r="B284" s="295">
        <v>45342</v>
      </c>
      <c r="C284" s="296">
        <v>45348</v>
      </c>
      <c r="D284" s="185">
        <f t="shared" si="85"/>
        <v>2024</v>
      </c>
      <c r="E284" s="296" t="str">
        <f>VLOOKUP($B284,Week!$A$1:$C$1462,2,0)</f>
        <v>Week8</v>
      </c>
      <c r="F284" s="297" t="str">
        <f t="shared" si="86"/>
        <v>Feb</v>
      </c>
      <c r="G284" s="298" t="s">
        <v>47</v>
      </c>
      <c r="H284" s="298" t="s">
        <v>260</v>
      </c>
      <c r="I284" s="298" t="s">
        <v>2702</v>
      </c>
      <c r="J284" s="307" t="s">
        <v>904</v>
      </c>
      <c r="K284" s="300" t="s">
        <v>176</v>
      </c>
      <c r="L284" s="300" t="s">
        <v>2167</v>
      </c>
      <c r="M284" s="299" t="s">
        <v>262</v>
      </c>
      <c r="N284" s="298" t="s">
        <v>350</v>
      </c>
      <c r="O284" s="298" t="s">
        <v>351</v>
      </c>
      <c r="P284" s="301">
        <v>24</v>
      </c>
      <c r="Q284" s="301">
        <v>5</v>
      </c>
      <c r="R284" s="302">
        <v>6.1999999999999998E-3</v>
      </c>
      <c r="S284" s="298" t="s">
        <v>352</v>
      </c>
      <c r="T284" s="298" t="s">
        <v>56</v>
      </c>
      <c r="U284" s="298" t="s">
        <v>57</v>
      </c>
      <c r="V284" s="303">
        <v>2447</v>
      </c>
      <c r="W284" s="303">
        <v>2447</v>
      </c>
      <c r="X284" s="304"/>
      <c r="Y284" s="305">
        <f t="shared" si="88"/>
        <v>0</v>
      </c>
      <c r="Z284" s="306">
        <f t="shared" si="89"/>
        <v>0</v>
      </c>
      <c r="AA284" s="306"/>
      <c r="AB284" s="814"/>
      <c r="AC284" s="303"/>
      <c r="AD284" s="580" t="s">
        <v>672</v>
      </c>
      <c r="AE284" s="210"/>
      <c r="AF284" s="210"/>
      <c r="AG284" s="211">
        <f t="shared" si="95"/>
        <v>0.13</v>
      </c>
      <c r="AH284" s="157">
        <f t="shared" si="94"/>
        <v>0</v>
      </c>
      <c r="AI284" s="152">
        <f t="shared" si="96"/>
        <v>58728</v>
      </c>
      <c r="AK284" s="156" t="s">
        <v>691</v>
      </c>
      <c r="AL284" s="574" t="s">
        <v>690</v>
      </c>
      <c r="AM284" s="198">
        <f t="shared" si="97"/>
        <v>0</v>
      </c>
      <c r="AN284" s="199">
        <f t="shared" si="87"/>
        <v>45342</v>
      </c>
      <c r="AO284" s="159" t="s">
        <v>692</v>
      </c>
      <c r="AP284" s="783" t="s">
        <v>629</v>
      </c>
      <c r="AQ284" s="782">
        <v>12071839</v>
      </c>
      <c r="AR284" s="782">
        <v>12078867</v>
      </c>
      <c r="AS284" s="782">
        <v>12068233</v>
      </c>
      <c r="AT284" s="781"/>
      <c r="AU284" s="781"/>
      <c r="AV284" s="782">
        <v>12062075</v>
      </c>
      <c r="AW284" s="781"/>
      <c r="AX284" s="781"/>
      <c r="AY284" s="782">
        <v>12078868</v>
      </c>
      <c r="AZ284" s="781"/>
      <c r="BA284" s="781"/>
    </row>
    <row r="285" spans="1:53" ht="25" hidden="1" customHeight="1">
      <c r="B285" s="357">
        <v>45342</v>
      </c>
      <c r="C285" s="358">
        <v>45363</v>
      </c>
      <c r="D285" s="185">
        <f t="shared" si="85"/>
        <v>2024</v>
      </c>
      <c r="E285" s="358" t="str">
        <f>VLOOKUP($B285,Week!$A$1:$C$1462,2,0)</f>
        <v>Week8</v>
      </c>
      <c r="F285" s="360" t="str">
        <f t="shared" si="86"/>
        <v>Feb</v>
      </c>
      <c r="G285" s="436" t="s">
        <v>1025</v>
      </c>
      <c r="H285" s="359" t="s">
        <v>225</v>
      </c>
      <c r="I285" s="359" t="s">
        <v>2773</v>
      </c>
      <c r="J285" s="361" t="s">
        <v>650</v>
      </c>
      <c r="K285" s="362" t="s">
        <v>593</v>
      </c>
      <c r="L285" s="300" t="s">
        <v>2167</v>
      </c>
      <c r="M285" s="361" t="s">
        <v>717</v>
      </c>
      <c r="N285" s="359" t="s">
        <v>719</v>
      </c>
      <c r="O285" s="359" t="s">
        <v>230</v>
      </c>
      <c r="P285" s="363">
        <v>12</v>
      </c>
      <c r="Q285" s="363">
        <v>5</v>
      </c>
      <c r="R285" s="364">
        <v>6.0000000000000001E-3</v>
      </c>
      <c r="S285" s="359" t="s">
        <v>55</v>
      </c>
      <c r="T285" s="359" t="s">
        <v>112</v>
      </c>
      <c r="U285" s="359" t="s">
        <v>57</v>
      </c>
      <c r="V285" s="365">
        <f>19693/12</f>
        <v>1641.0833333333333</v>
      </c>
      <c r="W285" s="365"/>
      <c r="X285" s="366">
        <f>(1881+17812)/12</f>
        <v>1641.0833333333333</v>
      </c>
      <c r="Y285" s="367">
        <f t="shared" si="88"/>
        <v>0</v>
      </c>
      <c r="Z285" s="368">
        <f t="shared" si="89"/>
        <v>0</v>
      </c>
      <c r="AA285" s="368"/>
      <c r="AB285" s="819"/>
      <c r="AC285" s="365"/>
      <c r="AD285" s="307" t="s">
        <v>672</v>
      </c>
      <c r="AE285" s="210"/>
      <c r="AF285" s="210"/>
      <c r="AG285" s="211">
        <f t="shared" si="95"/>
        <v>0.25800000000000001</v>
      </c>
      <c r="AH285" s="157">
        <f>(Z285*AG285)/1000</f>
        <v>0</v>
      </c>
      <c r="AI285" s="152">
        <f t="shared" si="96"/>
        <v>19693</v>
      </c>
      <c r="AK285" s="156" t="s">
        <v>691</v>
      </c>
      <c r="AL285" s="574" t="s">
        <v>690</v>
      </c>
      <c r="AM285" s="198">
        <f>AG285*Z285</f>
        <v>0</v>
      </c>
      <c r="AN285" s="199">
        <f t="shared" si="87"/>
        <v>45342</v>
      </c>
      <c r="AO285" s="159" t="s">
        <v>692</v>
      </c>
      <c r="AP285" s="783" t="s">
        <v>612</v>
      </c>
      <c r="AQ285" s="782">
        <v>12071839</v>
      </c>
      <c r="AR285" s="782">
        <v>12042650</v>
      </c>
      <c r="AS285" s="782">
        <v>12042649</v>
      </c>
      <c r="AT285" s="782">
        <v>12060840</v>
      </c>
      <c r="AU285" s="781"/>
      <c r="AV285" s="782">
        <v>12060849</v>
      </c>
      <c r="AW285" s="782"/>
      <c r="AX285" s="782"/>
      <c r="AY285" s="782"/>
      <c r="AZ285" s="782"/>
      <c r="BA285" s="781"/>
    </row>
    <row r="286" spans="1:53" ht="26.25" hidden="1" customHeight="1">
      <c r="A286" s="142" t="s">
        <v>120</v>
      </c>
      <c r="B286" s="235">
        <v>45342</v>
      </c>
      <c r="C286" s="235">
        <v>45356</v>
      </c>
      <c r="D286" s="185">
        <f t="shared" si="85"/>
        <v>2024</v>
      </c>
      <c r="E286" s="236" t="str">
        <f>VLOOKUP($B286,Week!$A$1:$C$1462,2,0)</f>
        <v>Week8</v>
      </c>
      <c r="F286" s="237" t="str">
        <f t="shared" si="86"/>
        <v>Feb</v>
      </c>
      <c r="G286" s="236" t="s">
        <v>913</v>
      </c>
      <c r="H286" s="236" t="s">
        <v>392</v>
      </c>
      <c r="I286" s="236" t="s">
        <v>2772</v>
      </c>
      <c r="J286" s="238" t="s">
        <v>393</v>
      </c>
      <c r="K286" s="239" t="s">
        <v>153</v>
      </c>
      <c r="L286" s="390" t="s">
        <v>2166</v>
      </c>
      <c r="M286" s="238" t="s">
        <v>165</v>
      </c>
      <c r="N286" s="236" t="s">
        <v>685</v>
      </c>
      <c r="O286" s="236" t="s">
        <v>167</v>
      </c>
      <c r="P286" s="240">
        <v>20</v>
      </c>
      <c r="Q286" s="240">
        <v>12</v>
      </c>
      <c r="R286" s="241">
        <v>6.8100000000000001E-3</v>
      </c>
      <c r="S286" s="236" t="s">
        <v>76</v>
      </c>
      <c r="T286" s="236" t="s">
        <v>56</v>
      </c>
      <c r="U286" s="236" t="s">
        <v>89</v>
      </c>
      <c r="V286" s="242">
        <v>400</v>
      </c>
      <c r="W286" s="242">
        <f>400</f>
        <v>400</v>
      </c>
      <c r="X286" s="243"/>
      <c r="Y286" s="244">
        <f t="shared" si="88"/>
        <v>0</v>
      </c>
      <c r="Z286" s="245">
        <f t="shared" si="89"/>
        <v>0</v>
      </c>
      <c r="AA286" s="245">
        <f>Q286*Z286</f>
        <v>0</v>
      </c>
      <c r="AB286" s="809">
        <v>2</v>
      </c>
      <c r="AC286" s="242">
        <f>Z286*AB286</f>
        <v>0</v>
      </c>
      <c r="AD286" s="307" t="s">
        <v>672</v>
      </c>
      <c r="AE286" s="210"/>
      <c r="AF286" s="210"/>
      <c r="AG286" s="211">
        <f t="shared" si="95"/>
        <v>0.154</v>
      </c>
      <c r="AH286" s="157">
        <f t="shared" si="94"/>
        <v>0</v>
      </c>
      <c r="AI286" s="152">
        <f t="shared" si="96"/>
        <v>8000</v>
      </c>
      <c r="AK286" s="156" t="s">
        <v>691</v>
      </c>
      <c r="AL286" s="156" t="s">
        <v>689</v>
      </c>
      <c r="AM286" s="198">
        <f t="shared" si="97"/>
        <v>0</v>
      </c>
      <c r="AN286" s="199">
        <f t="shared" si="87"/>
        <v>45342</v>
      </c>
      <c r="AO286" s="159" t="s">
        <v>692</v>
      </c>
      <c r="AP286" s="783"/>
      <c r="AQ286" s="781" t="s">
        <v>158</v>
      </c>
      <c r="AR286" s="783" t="s">
        <v>523</v>
      </c>
      <c r="AS286" s="781"/>
      <c r="AT286" s="783" t="s">
        <v>607</v>
      </c>
      <c r="AU286" s="781"/>
      <c r="AV286" s="783" t="s">
        <v>606</v>
      </c>
      <c r="AW286" s="781"/>
      <c r="AX286" s="781" t="s">
        <v>398</v>
      </c>
      <c r="AY286" s="781"/>
      <c r="AZ286" s="781"/>
      <c r="BA286" s="781"/>
    </row>
    <row r="287" spans="1:53" ht="25" hidden="1" customHeight="1">
      <c r="A287" s="142" t="s">
        <v>120</v>
      </c>
      <c r="B287" s="385">
        <v>45342</v>
      </c>
      <c r="C287" s="386">
        <v>45356</v>
      </c>
      <c r="D287" s="185">
        <f t="shared" si="85"/>
        <v>2024</v>
      </c>
      <c r="E287" s="386" t="str">
        <f>VLOOKUP($B287,Week!$A$1:$C$1462,2,0)</f>
        <v>Week8</v>
      </c>
      <c r="F287" s="387" t="str">
        <f t="shared" si="86"/>
        <v>Feb</v>
      </c>
      <c r="G287" s="388" t="s">
        <v>841</v>
      </c>
      <c r="H287" s="388" t="s">
        <v>500</v>
      </c>
      <c r="I287" s="388" t="s">
        <v>2772</v>
      </c>
      <c r="J287" s="389" t="s">
        <v>285</v>
      </c>
      <c r="K287" s="390" t="s">
        <v>153</v>
      </c>
      <c r="L287" s="390" t="s">
        <v>2166</v>
      </c>
      <c r="M287" s="389" t="s">
        <v>165</v>
      </c>
      <c r="N287" s="388" t="s">
        <v>286</v>
      </c>
      <c r="O287" s="388" t="s">
        <v>503</v>
      </c>
      <c r="P287" s="391">
        <v>40</v>
      </c>
      <c r="Q287" s="391">
        <v>12</v>
      </c>
      <c r="R287" s="392">
        <v>6.8100000000000001E-3</v>
      </c>
      <c r="S287" s="388" t="s">
        <v>76</v>
      </c>
      <c r="T287" s="388" t="s">
        <v>56</v>
      </c>
      <c r="U287" s="388" t="s">
        <v>89</v>
      </c>
      <c r="V287" s="393">
        <v>485</v>
      </c>
      <c r="W287" s="393">
        <f>18+467</f>
        <v>485</v>
      </c>
      <c r="X287" s="394"/>
      <c r="Y287" s="395">
        <f t="shared" si="88"/>
        <v>0</v>
      </c>
      <c r="Z287" s="396">
        <f t="shared" si="89"/>
        <v>0</v>
      </c>
      <c r="AA287" s="396">
        <f>Q287*Z287</f>
        <v>0</v>
      </c>
      <c r="AB287" s="823">
        <v>2</v>
      </c>
      <c r="AC287" s="393">
        <f>Z287*AB287</f>
        <v>0</v>
      </c>
      <c r="AD287" s="209"/>
      <c r="AE287" s="210"/>
      <c r="AF287" s="210"/>
      <c r="AG287" s="211">
        <f t="shared" si="95"/>
        <v>0.154</v>
      </c>
      <c r="AH287" s="157">
        <f>(Z287*AG287)/1000</f>
        <v>0</v>
      </c>
      <c r="AI287" s="152">
        <f t="shared" si="96"/>
        <v>19400</v>
      </c>
      <c r="AK287" s="156" t="s">
        <v>691</v>
      </c>
      <c r="AL287" s="156" t="s">
        <v>689</v>
      </c>
      <c r="AM287" s="198">
        <f t="shared" si="97"/>
        <v>0</v>
      </c>
      <c r="AN287" s="199">
        <f t="shared" si="87"/>
        <v>45342</v>
      </c>
      <c r="AO287" s="159" t="s">
        <v>692</v>
      </c>
      <c r="AP287" s="783" t="s">
        <v>611</v>
      </c>
      <c r="AQ287" s="782">
        <v>12028328</v>
      </c>
      <c r="AR287" s="782">
        <v>12019692</v>
      </c>
      <c r="AS287" s="781"/>
      <c r="AT287" s="782">
        <v>12065371</v>
      </c>
      <c r="AU287" s="782"/>
      <c r="AV287" s="782">
        <v>12055895</v>
      </c>
      <c r="AW287" s="782">
        <v>12034747</v>
      </c>
      <c r="AX287" s="782" t="s">
        <v>398</v>
      </c>
      <c r="AY287" s="781" t="s">
        <v>290</v>
      </c>
      <c r="AZ287" s="781"/>
      <c r="BA287" s="781"/>
    </row>
    <row r="288" spans="1:53" ht="25" hidden="1" customHeight="1">
      <c r="A288" s="529" t="s">
        <v>598</v>
      </c>
      <c r="B288" s="357">
        <v>45343</v>
      </c>
      <c r="C288" s="358">
        <v>45363</v>
      </c>
      <c r="D288" s="185">
        <f t="shared" si="85"/>
        <v>2024</v>
      </c>
      <c r="E288" s="358" t="str">
        <f>VLOOKUP($B288,Week!$A$1:$C$1462,2,0)</f>
        <v>Week8</v>
      </c>
      <c r="F288" s="360" t="str">
        <f t="shared" si="86"/>
        <v>Feb</v>
      </c>
      <c r="G288" s="436" t="s">
        <v>1025</v>
      </c>
      <c r="H288" s="359" t="s">
        <v>225</v>
      </c>
      <c r="I288" s="359" t="s">
        <v>2773</v>
      </c>
      <c r="J288" s="361" t="s">
        <v>650</v>
      </c>
      <c r="K288" s="362" t="s">
        <v>593</v>
      </c>
      <c r="L288" s="300" t="s">
        <v>2167</v>
      </c>
      <c r="M288" s="361" t="s">
        <v>717</v>
      </c>
      <c r="N288" s="359" t="s">
        <v>719</v>
      </c>
      <c r="O288" s="359" t="s">
        <v>230</v>
      </c>
      <c r="P288" s="363">
        <v>12</v>
      </c>
      <c r="Q288" s="363">
        <v>5</v>
      </c>
      <c r="R288" s="364">
        <v>6.0000000000000001E-3</v>
      </c>
      <c r="S288" s="359" t="s">
        <v>55</v>
      </c>
      <c r="T288" s="359" t="s">
        <v>112</v>
      </c>
      <c r="U288" s="359" t="s">
        <v>57</v>
      </c>
      <c r="V288" s="365">
        <f>11507/12</f>
        <v>958.91666666666663</v>
      </c>
      <c r="W288" s="365"/>
      <c r="X288" s="366">
        <f>(11507)/12</f>
        <v>958.91666666666663</v>
      </c>
      <c r="Y288" s="367">
        <f t="shared" si="88"/>
        <v>0</v>
      </c>
      <c r="Z288" s="368">
        <f t="shared" si="89"/>
        <v>0</v>
      </c>
      <c r="AA288" s="368"/>
      <c r="AB288" s="819"/>
      <c r="AC288" s="365"/>
      <c r="AD288" s="307" t="s">
        <v>672</v>
      </c>
      <c r="AE288" s="210"/>
      <c r="AF288" s="210"/>
      <c r="AG288" s="211">
        <f t="shared" si="95"/>
        <v>0.25800000000000001</v>
      </c>
      <c r="AH288" s="157">
        <f>(Z288*AG288)/1000</f>
        <v>0</v>
      </c>
      <c r="AI288" s="152">
        <f t="shared" si="96"/>
        <v>11507</v>
      </c>
      <c r="AK288" s="156" t="s">
        <v>691</v>
      </c>
      <c r="AL288" s="574" t="s">
        <v>690</v>
      </c>
      <c r="AM288" s="198">
        <f t="shared" ref="AM288:AM296" si="98">AG288*Z288</f>
        <v>0</v>
      </c>
      <c r="AN288" s="199">
        <f t="shared" si="87"/>
        <v>45343</v>
      </c>
      <c r="AO288" s="159" t="s">
        <v>692</v>
      </c>
      <c r="AP288" s="783" t="s">
        <v>612</v>
      </c>
      <c r="AQ288" s="782">
        <v>12071839</v>
      </c>
      <c r="AR288" s="782">
        <v>12042650</v>
      </c>
      <c r="AS288" s="782">
        <v>12042649</v>
      </c>
      <c r="AT288" s="782">
        <v>12060840</v>
      </c>
      <c r="AU288" s="781"/>
      <c r="AV288" s="782">
        <v>12060849</v>
      </c>
      <c r="AW288" s="782"/>
      <c r="AX288" s="782"/>
      <c r="AY288" s="782"/>
      <c r="AZ288" s="782"/>
      <c r="BA288" s="781"/>
    </row>
    <row r="289" spans="1:53" ht="25" hidden="1" customHeight="1">
      <c r="A289" s="529" t="s">
        <v>598</v>
      </c>
      <c r="B289" s="246">
        <v>45343</v>
      </c>
      <c r="C289" s="247">
        <v>45348</v>
      </c>
      <c r="D289" s="185">
        <f t="shared" si="85"/>
        <v>2024</v>
      </c>
      <c r="E289" s="247" t="str">
        <f>VLOOKUP($B289,Week!$A$1:$C$1462,2,0)</f>
        <v>Week8</v>
      </c>
      <c r="F289" s="248" t="str">
        <f t="shared" si="86"/>
        <v>Feb</v>
      </c>
      <c r="G289" s="599" t="s">
        <v>901</v>
      </c>
      <c r="H289" s="249" t="s">
        <v>104</v>
      </c>
      <c r="I289" s="249" t="s">
        <v>2772</v>
      </c>
      <c r="J289" s="250" t="s">
        <v>105</v>
      </c>
      <c r="K289" s="251" t="s">
        <v>593</v>
      </c>
      <c r="L289" s="300" t="s">
        <v>2167</v>
      </c>
      <c r="M289" s="250" t="s">
        <v>594</v>
      </c>
      <c r="N289" s="249" t="s">
        <v>596</v>
      </c>
      <c r="O289" s="249" t="s">
        <v>304</v>
      </c>
      <c r="P289" s="252">
        <v>8</v>
      </c>
      <c r="Q289" s="252">
        <v>5</v>
      </c>
      <c r="R289" s="253">
        <v>6.0000000000000001E-3</v>
      </c>
      <c r="S289" s="249" t="s">
        <v>55</v>
      </c>
      <c r="T289" s="249" t="s">
        <v>112</v>
      </c>
      <c r="U289" s="249" t="s">
        <v>57</v>
      </c>
      <c r="V289" s="254">
        <v>34</v>
      </c>
      <c r="W289" s="254"/>
      <c r="X289" s="255">
        <v>34</v>
      </c>
      <c r="Y289" s="256">
        <f t="shared" si="88"/>
        <v>0</v>
      </c>
      <c r="Z289" s="257">
        <f t="shared" si="89"/>
        <v>0</v>
      </c>
      <c r="AA289" s="257"/>
      <c r="AB289" s="810"/>
      <c r="AC289" s="254"/>
      <c r="AD289" s="307" t="s">
        <v>1141</v>
      </c>
      <c r="AE289" s="210"/>
      <c r="AF289" s="210"/>
      <c r="AG289" s="211">
        <f t="shared" si="95"/>
        <v>0.25800000000000001</v>
      </c>
      <c r="AH289" s="157">
        <v>0.26621999999999996</v>
      </c>
      <c r="AI289" s="152">
        <f t="shared" si="96"/>
        <v>272</v>
      </c>
      <c r="AK289" s="156" t="s">
        <v>691</v>
      </c>
      <c r="AL289" s="574" t="s">
        <v>690</v>
      </c>
      <c r="AM289" s="198">
        <f t="shared" si="98"/>
        <v>0</v>
      </c>
      <c r="AN289" s="199">
        <f t="shared" si="87"/>
        <v>45343</v>
      </c>
      <c r="AO289" s="159" t="s">
        <v>692</v>
      </c>
      <c r="AP289" s="781"/>
      <c r="AQ289" s="782">
        <v>12071839</v>
      </c>
      <c r="AR289" s="782">
        <v>12042650</v>
      </c>
      <c r="AS289" s="782">
        <v>12042649</v>
      </c>
      <c r="AT289" s="782">
        <v>12084100</v>
      </c>
      <c r="AU289" s="781"/>
      <c r="AV289" s="782">
        <v>12084001</v>
      </c>
      <c r="AW289" s="781"/>
      <c r="AX289" s="781"/>
      <c r="AY289" s="781"/>
      <c r="AZ289" s="782"/>
      <c r="BA289" s="781"/>
    </row>
    <row r="290" spans="1:53" ht="25" hidden="1" customHeight="1">
      <c r="B290" s="246">
        <v>45343</v>
      </c>
      <c r="C290" s="247">
        <v>45356</v>
      </c>
      <c r="D290" s="185">
        <f t="shared" si="85"/>
        <v>2024</v>
      </c>
      <c r="E290" s="247" t="str">
        <f>VLOOKUP($B290,Week!$A$1:$C$1462,2,0)</f>
        <v>Week8</v>
      </c>
      <c r="F290" s="248" t="str">
        <f t="shared" si="86"/>
        <v>Feb</v>
      </c>
      <c r="G290" s="599" t="s">
        <v>926</v>
      </c>
      <c r="H290" s="249" t="s">
        <v>104</v>
      </c>
      <c r="I290" s="249" t="s">
        <v>2772</v>
      </c>
      <c r="J290" s="250" t="s">
        <v>105</v>
      </c>
      <c r="K290" s="251" t="s">
        <v>593</v>
      </c>
      <c r="L290" s="300" t="s">
        <v>2167</v>
      </c>
      <c r="M290" s="250" t="s">
        <v>594</v>
      </c>
      <c r="N290" s="249" t="s">
        <v>596</v>
      </c>
      <c r="O290" s="249" t="s">
        <v>304</v>
      </c>
      <c r="P290" s="252">
        <v>8</v>
      </c>
      <c r="Q290" s="252">
        <v>5</v>
      </c>
      <c r="R290" s="253">
        <v>6.0000000000000001E-3</v>
      </c>
      <c r="S290" s="249" t="s">
        <v>55</v>
      </c>
      <c r="T290" s="249" t="s">
        <v>112</v>
      </c>
      <c r="U290" s="249" t="s">
        <v>57</v>
      </c>
      <c r="V290" s="254">
        <f>2400</f>
        <v>2400</v>
      </c>
      <c r="W290" s="254"/>
      <c r="X290" s="255">
        <v>2400</v>
      </c>
      <c r="Y290" s="256">
        <f t="shared" si="88"/>
        <v>0</v>
      </c>
      <c r="Z290" s="257">
        <f t="shared" si="89"/>
        <v>0</v>
      </c>
      <c r="AA290" s="257"/>
      <c r="AB290" s="810"/>
      <c r="AC290" s="254"/>
      <c r="AD290" s="209"/>
      <c r="AE290" s="210"/>
      <c r="AF290" s="210"/>
      <c r="AG290" s="211">
        <f t="shared" si="95"/>
        <v>0.25800000000000001</v>
      </c>
      <c r="AH290" s="157">
        <v>0.26621999999999996</v>
      </c>
      <c r="AI290" s="152">
        <f t="shared" si="96"/>
        <v>19200</v>
      </c>
      <c r="AK290" s="156" t="s">
        <v>691</v>
      </c>
      <c r="AL290" s="574" t="s">
        <v>690</v>
      </c>
      <c r="AM290" s="198">
        <f t="shared" si="98"/>
        <v>0</v>
      </c>
      <c r="AN290" s="199">
        <f t="shared" si="87"/>
        <v>45343</v>
      </c>
      <c r="AO290" s="159" t="s">
        <v>692</v>
      </c>
      <c r="AP290" s="781"/>
      <c r="AQ290" s="782">
        <v>12071839</v>
      </c>
      <c r="AR290" s="782">
        <v>12042650</v>
      </c>
      <c r="AS290" s="782">
        <v>12042649</v>
      </c>
      <c r="AT290" s="782">
        <v>12084100</v>
      </c>
      <c r="AU290" s="781"/>
      <c r="AV290" s="782">
        <v>12084001</v>
      </c>
      <c r="AW290" s="781"/>
      <c r="AX290" s="781"/>
      <c r="AY290" s="781"/>
      <c r="AZ290" s="782"/>
      <c r="BA290" s="781"/>
    </row>
    <row r="291" spans="1:53" ht="25" hidden="1" customHeight="1">
      <c r="B291" s="246">
        <v>45343</v>
      </c>
      <c r="C291" s="247">
        <v>45363</v>
      </c>
      <c r="D291" s="185">
        <f t="shared" si="85"/>
        <v>2024</v>
      </c>
      <c r="E291" s="247" t="str">
        <f>VLOOKUP($B291,Week!$A$1:$C$1462,2,0)</f>
        <v>Week8</v>
      </c>
      <c r="F291" s="248" t="str">
        <f t="shared" si="86"/>
        <v>Feb</v>
      </c>
      <c r="G291" s="599" t="s">
        <v>927</v>
      </c>
      <c r="H291" s="249" t="s">
        <v>104</v>
      </c>
      <c r="I291" s="249" t="s">
        <v>2772</v>
      </c>
      <c r="J291" s="250" t="s">
        <v>105</v>
      </c>
      <c r="K291" s="251" t="s">
        <v>593</v>
      </c>
      <c r="L291" s="300" t="s">
        <v>2167</v>
      </c>
      <c r="M291" s="250" t="s">
        <v>594</v>
      </c>
      <c r="N291" s="249" t="s">
        <v>596</v>
      </c>
      <c r="O291" s="249" t="s">
        <v>304</v>
      </c>
      <c r="P291" s="252">
        <v>8</v>
      </c>
      <c r="Q291" s="252">
        <v>5</v>
      </c>
      <c r="R291" s="253">
        <v>6.0000000000000001E-3</v>
      </c>
      <c r="S291" s="249" t="s">
        <v>55</v>
      </c>
      <c r="T291" s="249" t="s">
        <v>112</v>
      </c>
      <c r="U291" s="249" t="s">
        <v>57</v>
      </c>
      <c r="V291" s="254">
        <f>2400</f>
        <v>2400</v>
      </c>
      <c r="W291" s="254"/>
      <c r="X291" s="255">
        <v>2400</v>
      </c>
      <c r="Y291" s="256">
        <f t="shared" si="88"/>
        <v>0</v>
      </c>
      <c r="Z291" s="257">
        <f t="shared" si="89"/>
        <v>0</v>
      </c>
      <c r="AA291" s="257"/>
      <c r="AB291" s="810"/>
      <c r="AC291" s="254"/>
      <c r="AD291" s="209"/>
      <c r="AE291" s="210"/>
      <c r="AF291" s="210"/>
      <c r="AG291" s="211">
        <f t="shared" si="95"/>
        <v>0.25800000000000001</v>
      </c>
      <c r="AH291" s="157">
        <v>0.26621999999999996</v>
      </c>
      <c r="AI291" s="152">
        <f t="shared" si="96"/>
        <v>19200</v>
      </c>
      <c r="AK291" s="156" t="s">
        <v>691</v>
      </c>
      <c r="AL291" s="574" t="s">
        <v>690</v>
      </c>
      <c r="AM291" s="198">
        <f t="shared" si="98"/>
        <v>0</v>
      </c>
      <c r="AN291" s="199">
        <f t="shared" si="87"/>
        <v>45343</v>
      </c>
      <c r="AO291" s="159" t="s">
        <v>692</v>
      </c>
      <c r="AP291" s="781"/>
      <c r="AQ291" s="782">
        <v>12071839</v>
      </c>
      <c r="AR291" s="782">
        <v>12042650</v>
      </c>
      <c r="AS291" s="782">
        <v>12042649</v>
      </c>
      <c r="AT291" s="782">
        <v>12084100</v>
      </c>
      <c r="AU291" s="781"/>
      <c r="AV291" s="782">
        <v>12084001</v>
      </c>
      <c r="AW291" s="781"/>
      <c r="AX291" s="781"/>
      <c r="AY291" s="781"/>
      <c r="AZ291" s="782"/>
      <c r="BA291" s="781"/>
    </row>
    <row r="292" spans="1:53" ht="25" hidden="1" customHeight="1">
      <c r="B292" s="213">
        <v>45343</v>
      </c>
      <c r="C292" s="578">
        <v>45352</v>
      </c>
      <c r="D292" s="185">
        <f t="shared" si="85"/>
        <v>2024</v>
      </c>
      <c r="E292" s="215" t="str">
        <f>VLOOKUP($B292,Week!$A$1:$C$1462,2,0)</f>
        <v>Week8</v>
      </c>
      <c r="F292" s="216" t="str">
        <f t="shared" si="86"/>
        <v>Feb</v>
      </c>
      <c r="G292" s="215" t="s">
        <v>869</v>
      </c>
      <c r="H292" s="215" t="s">
        <v>104</v>
      </c>
      <c r="I292" s="215" t="s">
        <v>2772</v>
      </c>
      <c r="J292" s="209" t="s">
        <v>105</v>
      </c>
      <c r="K292" s="217" t="s">
        <v>107</v>
      </c>
      <c r="L292" s="300" t="s">
        <v>2167</v>
      </c>
      <c r="M292" s="209" t="s">
        <v>108</v>
      </c>
      <c r="N292" s="215" t="s">
        <v>109</v>
      </c>
      <c r="O292" s="215" t="s">
        <v>110</v>
      </c>
      <c r="P292" s="218">
        <v>36</v>
      </c>
      <c r="Q292" s="218">
        <v>5</v>
      </c>
      <c r="R292" s="219">
        <v>7.4999999999999997E-3</v>
      </c>
      <c r="S292" s="215" t="s">
        <v>111</v>
      </c>
      <c r="T292" s="215" t="s">
        <v>112</v>
      </c>
      <c r="U292" s="215" t="s">
        <v>113</v>
      </c>
      <c r="V292" s="220">
        <f>792-772</f>
        <v>20</v>
      </c>
      <c r="W292" s="220">
        <v>20</v>
      </c>
      <c r="X292" s="221"/>
      <c r="Y292" s="222">
        <f t="shared" si="88"/>
        <v>0</v>
      </c>
      <c r="Z292" s="223">
        <f t="shared" si="89"/>
        <v>0</v>
      </c>
      <c r="AA292" s="223"/>
      <c r="AB292" s="807"/>
      <c r="AC292" s="220"/>
      <c r="AD292" s="209"/>
      <c r="AE292" s="210"/>
      <c r="AF292" s="210"/>
      <c r="AG292" s="211">
        <f t="shared" si="95"/>
        <v>0.308</v>
      </c>
      <c r="AH292" s="157">
        <f t="shared" ref="AH292:AH305" si="99">(Z292*AG292)/1000</f>
        <v>0</v>
      </c>
      <c r="AI292" s="152">
        <f t="shared" si="96"/>
        <v>720</v>
      </c>
      <c r="AK292" s="156" t="s">
        <v>691</v>
      </c>
      <c r="AL292" s="574" t="s">
        <v>690</v>
      </c>
      <c r="AM292" s="198">
        <f t="shared" si="98"/>
        <v>0</v>
      </c>
      <c r="AN292" s="199">
        <f t="shared" si="87"/>
        <v>45343</v>
      </c>
      <c r="AO292" s="159" t="s">
        <v>692</v>
      </c>
      <c r="AP292" s="781"/>
      <c r="AQ292" s="782">
        <v>12063755</v>
      </c>
      <c r="AR292" s="782">
        <v>12061353</v>
      </c>
      <c r="AS292" s="782">
        <v>12061354</v>
      </c>
      <c r="AT292" s="782">
        <v>12068566</v>
      </c>
      <c r="AU292" s="781"/>
      <c r="AV292" s="782">
        <v>12068564</v>
      </c>
      <c r="AW292" s="782">
        <v>12062153</v>
      </c>
      <c r="AX292" s="782"/>
      <c r="AY292" s="782">
        <v>12068565</v>
      </c>
      <c r="AZ292" s="782"/>
      <c r="BA292" s="781"/>
    </row>
    <row r="293" spans="1:53" ht="25" hidden="1" customHeight="1">
      <c r="B293" s="213">
        <v>45343</v>
      </c>
      <c r="C293" s="578">
        <v>45352</v>
      </c>
      <c r="D293" s="185">
        <f t="shared" si="85"/>
        <v>2024</v>
      </c>
      <c r="E293" s="215" t="str">
        <f>VLOOKUP($B293,Week!$A$1:$C$1462,2,0)</f>
        <v>Week8</v>
      </c>
      <c r="F293" s="216" t="str">
        <f t="shared" si="86"/>
        <v>Feb</v>
      </c>
      <c r="G293" s="215" t="s">
        <v>870</v>
      </c>
      <c r="H293" s="215" t="s">
        <v>104</v>
      </c>
      <c r="I293" s="215" t="s">
        <v>2772</v>
      </c>
      <c r="J293" s="209" t="s">
        <v>105</v>
      </c>
      <c r="K293" s="217" t="s">
        <v>107</v>
      </c>
      <c r="L293" s="300" t="s">
        <v>2167</v>
      </c>
      <c r="M293" s="209" t="s">
        <v>108</v>
      </c>
      <c r="N293" s="215" t="s">
        <v>109</v>
      </c>
      <c r="O293" s="215" t="s">
        <v>110</v>
      </c>
      <c r="P293" s="218">
        <v>36</v>
      </c>
      <c r="Q293" s="218">
        <v>5</v>
      </c>
      <c r="R293" s="219">
        <v>7.4999999999999997E-3</v>
      </c>
      <c r="S293" s="215" t="s">
        <v>111</v>
      </c>
      <c r="T293" s="215" t="s">
        <v>112</v>
      </c>
      <c r="U293" s="215" t="s">
        <v>113</v>
      </c>
      <c r="V293" s="220">
        <v>792</v>
      </c>
      <c r="W293" s="220">
        <v>792</v>
      </c>
      <c r="X293" s="221"/>
      <c r="Y293" s="222">
        <f t="shared" si="88"/>
        <v>0</v>
      </c>
      <c r="Z293" s="223">
        <f t="shared" si="89"/>
        <v>0</v>
      </c>
      <c r="AA293" s="223"/>
      <c r="AB293" s="807"/>
      <c r="AC293" s="220"/>
      <c r="AD293" s="209"/>
      <c r="AE293" s="210"/>
      <c r="AF293" s="210"/>
      <c r="AG293" s="211">
        <f t="shared" si="95"/>
        <v>0.308</v>
      </c>
      <c r="AH293" s="157">
        <f t="shared" si="99"/>
        <v>0</v>
      </c>
      <c r="AI293" s="152">
        <f t="shared" si="96"/>
        <v>28512</v>
      </c>
      <c r="AK293" s="156" t="s">
        <v>691</v>
      </c>
      <c r="AL293" s="574" t="s">
        <v>690</v>
      </c>
      <c r="AM293" s="198">
        <f t="shared" si="98"/>
        <v>0</v>
      </c>
      <c r="AN293" s="199">
        <f t="shared" si="87"/>
        <v>45343</v>
      </c>
      <c r="AO293" s="159" t="s">
        <v>692</v>
      </c>
      <c r="AP293" s="781"/>
      <c r="AQ293" s="782">
        <v>12063755</v>
      </c>
      <c r="AR293" s="782">
        <v>12061353</v>
      </c>
      <c r="AS293" s="782">
        <v>12061354</v>
      </c>
      <c r="AT293" s="782">
        <v>12068566</v>
      </c>
      <c r="AU293" s="781"/>
      <c r="AV293" s="782">
        <v>12068564</v>
      </c>
      <c r="AW293" s="782">
        <v>12062153</v>
      </c>
      <c r="AX293" s="782"/>
      <c r="AY293" s="782">
        <v>12068565</v>
      </c>
      <c r="AZ293" s="782"/>
      <c r="BA293" s="781"/>
    </row>
    <row r="294" spans="1:53" ht="25" hidden="1" customHeight="1">
      <c r="B294" s="213">
        <v>45343</v>
      </c>
      <c r="C294" s="578">
        <v>45353</v>
      </c>
      <c r="D294" s="185">
        <f t="shared" si="85"/>
        <v>2024</v>
      </c>
      <c r="E294" s="215" t="str">
        <f>VLOOKUP($B294,Week!$A$1:$C$1462,2,0)</f>
        <v>Week8</v>
      </c>
      <c r="F294" s="216" t="str">
        <f t="shared" si="86"/>
        <v>Feb</v>
      </c>
      <c r="G294" s="215" t="s">
        <v>871</v>
      </c>
      <c r="H294" s="215" t="s">
        <v>104</v>
      </c>
      <c r="I294" s="215" t="s">
        <v>2772</v>
      </c>
      <c r="J294" s="209" t="s">
        <v>105</v>
      </c>
      <c r="K294" s="217" t="s">
        <v>107</v>
      </c>
      <c r="L294" s="300" t="s">
        <v>2167</v>
      </c>
      <c r="M294" s="209" t="s">
        <v>108</v>
      </c>
      <c r="N294" s="215" t="s">
        <v>109</v>
      </c>
      <c r="O294" s="215" t="s">
        <v>110</v>
      </c>
      <c r="P294" s="218">
        <v>36</v>
      </c>
      <c r="Q294" s="218">
        <v>5</v>
      </c>
      <c r="R294" s="219">
        <v>7.4999999999999997E-3</v>
      </c>
      <c r="S294" s="215" t="s">
        <v>111</v>
      </c>
      <c r="T294" s="215" t="s">
        <v>112</v>
      </c>
      <c r="U294" s="215" t="s">
        <v>113</v>
      </c>
      <c r="V294" s="220">
        <v>792</v>
      </c>
      <c r="W294" s="220">
        <v>792</v>
      </c>
      <c r="X294" s="221"/>
      <c r="Y294" s="222">
        <f t="shared" si="88"/>
        <v>0</v>
      </c>
      <c r="Z294" s="223">
        <f t="shared" si="89"/>
        <v>0</v>
      </c>
      <c r="AA294" s="223"/>
      <c r="AB294" s="807"/>
      <c r="AC294" s="220"/>
      <c r="AD294" s="209"/>
      <c r="AE294" s="210"/>
      <c r="AF294" s="210"/>
      <c r="AG294" s="211">
        <f t="shared" si="95"/>
        <v>0.308</v>
      </c>
      <c r="AH294" s="157">
        <f t="shared" si="99"/>
        <v>0</v>
      </c>
      <c r="AI294" s="152">
        <f t="shared" si="96"/>
        <v>28512</v>
      </c>
      <c r="AK294" s="156" t="s">
        <v>691</v>
      </c>
      <c r="AL294" s="574" t="s">
        <v>690</v>
      </c>
      <c r="AM294" s="198">
        <f t="shared" si="98"/>
        <v>0</v>
      </c>
      <c r="AN294" s="199">
        <f t="shared" si="87"/>
        <v>45343</v>
      </c>
      <c r="AO294" s="159" t="s">
        <v>692</v>
      </c>
      <c r="AP294" s="781"/>
      <c r="AQ294" s="782">
        <v>12063755</v>
      </c>
      <c r="AR294" s="782">
        <v>12061353</v>
      </c>
      <c r="AS294" s="782">
        <v>12061354</v>
      </c>
      <c r="AT294" s="782">
        <v>12068566</v>
      </c>
      <c r="AU294" s="781"/>
      <c r="AV294" s="782">
        <v>12068564</v>
      </c>
      <c r="AW294" s="782">
        <v>12062153</v>
      </c>
      <c r="AX294" s="782"/>
      <c r="AY294" s="782">
        <v>12068565</v>
      </c>
      <c r="AZ294" s="782"/>
      <c r="BA294" s="781"/>
    </row>
    <row r="295" spans="1:53" ht="24.65" hidden="1" customHeight="1">
      <c r="B295" s="213">
        <v>45343</v>
      </c>
      <c r="C295" s="578">
        <v>45353</v>
      </c>
      <c r="D295" s="185">
        <f t="shared" si="85"/>
        <v>2024</v>
      </c>
      <c r="E295" s="215" t="str">
        <f>VLOOKUP($B295,Week!$A$1:$C$1462,2,0)</f>
        <v>Week8</v>
      </c>
      <c r="F295" s="216" t="str">
        <f t="shared" si="86"/>
        <v>Feb</v>
      </c>
      <c r="G295" s="215" t="s">
        <v>872</v>
      </c>
      <c r="H295" s="215" t="s">
        <v>104</v>
      </c>
      <c r="I295" s="215" t="s">
        <v>2772</v>
      </c>
      <c r="J295" s="209" t="s">
        <v>105</v>
      </c>
      <c r="K295" s="217" t="s">
        <v>107</v>
      </c>
      <c r="L295" s="300" t="s">
        <v>2167</v>
      </c>
      <c r="M295" s="209" t="s">
        <v>108</v>
      </c>
      <c r="N295" s="215" t="s">
        <v>109</v>
      </c>
      <c r="O295" s="215" t="s">
        <v>110</v>
      </c>
      <c r="P295" s="218">
        <v>36</v>
      </c>
      <c r="Q295" s="218">
        <v>5</v>
      </c>
      <c r="R295" s="219">
        <v>7.4999999999999997E-3</v>
      </c>
      <c r="S295" s="215" t="s">
        <v>111</v>
      </c>
      <c r="T295" s="215" t="s">
        <v>112</v>
      </c>
      <c r="U295" s="215" t="s">
        <v>113</v>
      </c>
      <c r="V295" s="220">
        <v>534</v>
      </c>
      <c r="W295" s="220">
        <f>2138-20-792-792</f>
        <v>534</v>
      </c>
      <c r="X295" s="221"/>
      <c r="Y295" s="222">
        <f t="shared" si="88"/>
        <v>0</v>
      </c>
      <c r="Z295" s="223">
        <f t="shared" si="89"/>
        <v>0</v>
      </c>
      <c r="AA295" s="223"/>
      <c r="AB295" s="807"/>
      <c r="AC295" s="220"/>
      <c r="AD295" s="209"/>
      <c r="AE295" s="210"/>
      <c r="AF295" s="210"/>
      <c r="AG295" s="211">
        <f t="shared" si="95"/>
        <v>0.308</v>
      </c>
      <c r="AH295" s="157">
        <f t="shared" si="99"/>
        <v>0</v>
      </c>
      <c r="AI295" s="152">
        <f t="shared" si="96"/>
        <v>19224</v>
      </c>
      <c r="AK295" s="156" t="s">
        <v>691</v>
      </c>
      <c r="AL295" s="574" t="s">
        <v>690</v>
      </c>
      <c r="AM295" s="198">
        <f t="shared" si="98"/>
        <v>0</v>
      </c>
      <c r="AN295" s="199">
        <f t="shared" si="87"/>
        <v>45343</v>
      </c>
      <c r="AO295" s="159" t="s">
        <v>692</v>
      </c>
      <c r="AP295" s="781"/>
      <c r="AQ295" s="782">
        <v>12063755</v>
      </c>
      <c r="AR295" s="782">
        <v>12061353</v>
      </c>
      <c r="AS295" s="782">
        <v>12061354</v>
      </c>
      <c r="AT295" s="782">
        <v>12068566</v>
      </c>
      <c r="AU295" s="781"/>
      <c r="AV295" s="782">
        <v>12068564</v>
      </c>
      <c r="AW295" s="782">
        <v>12062153</v>
      </c>
      <c r="AX295" s="782"/>
      <c r="AY295" s="782">
        <v>12068565</v>
      </c>
      <c r="AZ295" s="782"/>
      <c r="BA295" s="781"/>
    </row>
    <row r="296" spans="1:53" ht="25" hidden="1" customHeight="1">
      <c r="A296" s="142" t="s">
        <v>120</v>
      </c>
      <c r="B296" s="385">
        <v>45343</v>
      </c>
      <c r="C296" s="386">
        <v>45356</v>
      </c>
      <c r="D296" s="185">
        <f t="shared" si="85"/>
        <v>2024</v>
      </c>
      <c r="E296" s="386" t="str">
        <f>VLOOKUP($B296,Week!$A$1:$C$1462,2,0)</f>
        <v>Week8</v>
      </c>
      <c r="F296" s="387" t="str">
        <f t="shared" si="86"/>
        <v>Feb</v>
      </c>
      <c r="G296" s="388" t="s">
        <v>841</v>
      </c>
      <c r="H296" s="388" t="s">
        <v>500</v>
      </c>
      <c r="I296" s="388" t="s">
        <v>2772</v>
      </c>
      <c r="J296" s="389" t="s">
        <v>285</v>
      </c>
      <c r="K296" s="390" t="s">
        <v>153</v>
      </c>
      <c r="L296" s="390" t="s">
        <v>2166</v>
      </c>
      <c r="M296" s="389" t="s">
        <v>165</v>
      </c>
      <c r="N296" s="388" t="s">
        <v>286</v>
      </c>
      <c r="O296" s="388" t="s">
        <v>503</v>
      </c>
      <c r="P296" s="391">
        <v>40</v>
      </c>
      <c r="Q296" s="391">
        <v>12</v>
      </c>
      <c r="R296" s="392">
        <v>6.8100000000000001E-3</v>
      </c>
      <c r="S296" s="388" t="s">
        <v>76</v>
      </c>
      <c r="T296" s="388" t="s">
        <v>56</v>
      </c>
      <c r="U296" s="388" t="s">
        <v>89</v>
      </c>
      <c r="V296" s="393">
        <v>626</v>
      </c>
      <c r="W296" s="393">
        <v>626</v>
      </c>
      <c r="X296" s="394"/>
      <c r="Y296" s="395">
        <f t="shared" si="88"/>
        <v>0</v>
      </c>
      <c r="Z296" s="396">
        <f t="shared" si="89"/>
        <v>0</v>
      </c>
      <c r="AA296" s="396">
        <f>Q296*Z296</f>
        <v>0</v>
      </c>
      <c r="AB296" s="823">
        <v>2</v>
      </c>
      <c r="AC296" s="393">
        <f>Z296*AB296</f>
        <v>0</v>
      </c>
      <c r="AD296" s="209"/>
      <c r="AE296" s="210"/>
      <c r="AF296" s="210"/>
      <c r="AG296" s="211">
        <f t="shared" si="95"/>
        <v>0.154</v>
      </c>
      <c r="AH296" s="157">
        <f t="shared" si="99"/>
        <v>0</v>
      </c>
      <c r="AI296" s="152">
        <f t="shared" si="96"/>
        <v>25040</v>
      </c>
      <c r="AK296" s="156" t="s">
        <v>691</v>
      </c>
      <c r="AL296" s="156" t="s">
        <v>689</v>
      </c>
      <c r="AM296" s="198">
        <f t="shared" si="98"/>
        <v>0</v>
      </c>
      <c r="AN296" s="199">
        <f t="shared" si="87"/>
        <v>45343</v>
      </c>
      <c r="AO296" s="159" t="s">
        <v>692</v>
      </c>
      <c r="AP296" s="783" t="s">
        <v>611</v>
      </c>
      <c r="AQ296" s="782">
        <v>12028328</v>
      </c>
      <c r="AR296" s="782">
        <v>12019692</v>
      </c>
      <c r="AS296" s="781"/>
      <c r="AT296" s="782">
        <v>12065371</v>
      </c>
      <c r="AU296" s="782"/>
      <c r="AV296" s="782">
        <v>12055895</v>
      </c>
      <c r="AW296" s="782">
        <v>12034747</v>
      </c>
      <c r="AX296" s="782" t="s">
        <v>398</v>
      </c>
      <c r="AY296" s="781" t="s">
        <v>290</v>
      </c>
      <c r="AZ296" s="781"/>
      <c r="BA296" s="781"/>
    </row>
    <row r="297" spans="1:53" ht="25" hidden="1" customHeight="1">
      <c r="A297" s="529" t="s">
        <v>755</v>
      </c>
      <c r="B297" s="357">
        <v>45344</v>
      </c>
      <c r="C297" s="358">
        <v>45352</v>
      </c>
      <c r="D297" s="185">
        <f t="shared" si="85"/>
        <v>2024</v>
      </c>
      <c r="E297" s="358" t="str">
        <f>VLOOKUP($B297,Week!$A$1:$C$1462,2,0)</f>
        <v>Week8</v>
      </c>
      <c r="F297" s="360" t="str">
        <f t="shared" si="86"/>
        <v>Feb</v>
      </c>
      <c r="G297" s="359" t="s">
        <v>47</v>
      </c>
      <c r="H297" s="359" t="s">
        <v>518</v>
      </c>
      <c r="I297" s="298" t="s">
        <v>2702</v>
      </c>
      <c r="J297" s="361" t="s">
        <v>70</v>
      </c>
      <c r="K297" s="362" t="s">
        <v>94</v>
      </c>
      <c r="L297" s="300" t="s">
        <v>2167</v>
      </c>
      <c r="M297" s="361" t="s">
        <v>519</v>
      </c>
      <c r="N297" s="436" t="s">
        <v>648</v>
      </c>
      <c r="O297" s="359" t="s">
        <v>97</v>
      </c>
      <c r="P297" s="363">
        <v>12</v>
      </c>
      <c r="Q297" s="363">
        <v>5</v>
      </c>
      <c r="R297" s="364">
        <v>8.0000000000000002E-3</v>
      </c>
      <c r="S297" s="359" t="s">
        <v>40</v>
      </c>
      <c r="T297" s="359" t="s">
        <v>56</v>
      </c>
      <c r="U297" s="359" t="s">
        <v>57</v>
      </c>
      <c r="V297" s="365">
        <v>12</v>
      </c>
      <c r="W297" s="365">
        <v>12</v>
      </c>
      <c r="X297" s="366"/>
      <c r="Y297" s="367">
        <f t="shared" si="88"/>
        <v>0</v>
      </c>
      <c r="Z297" s="368">
        <f t="shared" si="89"/>
        <v>0</v>
      </c>
      <c r="AA297" s="368"/>
      <c r="AB297" s="819"/>
      <c r="AC297" s="365"/>
      <c r="AD297" s="209"/>
      <c r="AE297" s="210"/>
      <c r="AF297" s="210"/>
      <c r="AG297" s="211">
        <f t="shared" si="95"/>
        <v>0.14499999999999999</v>
      </c>
      <c r="AH297" s="157">
        <f t="shared" si="99"/>
        <v>0</v>
      </c>
      <c r="AI297" s="152">
        <f t="shared" si="96"/>
        <v>144</v>
      </c>
      <c r="AK297" s="156" t="s">
        <v>691</v>
      </c>
      <c r="AL297" s="574" t="s">
        <v>690</v>
      </c>
      <c r="AM297" s="198">
        <f t="shared" ref="AM297:AM303" si="100">AG297*Z297</f>
        <v>0</v>
      </c>
      <c r="AN297" s="199">
        <f t="shared" si="87"/>
        <v>45344</v>
      </c>
      <c r="AO297" s="159" t="s">
        <v>692</v>
      </c>
      <c r="AP297" s="783" t="s">
        <v>628</v>
      </c>
      <c r="AQ297" s="782">
        <v>12071839</v>
      </c>
      <c r="AR297" s="782">
        <v>12047514</v>
      </c>
      <c r="AS297" s="782">
        <v>12047515</v>
      </c>
      <c r="AT297" s="782"/>
      <c r="AU297" s="781"/>
      <c r="AV297" s="782">
        <v>12080617</v>
      </c>
      <c r="AW297" s="782"/>
      <c r="AX297" s="782"/>
      <c r="AY297" s="782">
        <v>12080618</v>
      </c>
      <c r="AZ297" s="782">
        <v>12080619</v>
      </c>
      <c r="BA297" s="781"/>
    </row>
    <row r="298" spans="1:53" ht="25" hidden="1" customHeight="1">
      <c r="B298" s="357">
        <v>45344</v>
      </c>
      <c r="C298" s="358">
        <v>45350</v>
      </c>
      <c r="D298" s="185">
        <f t="shared" si="85"/>
        <v>2024</v>
      </c>
      <c r="E298" s="358" t="str">
        <f>VLOOKUP($B298,Week!$A$1:$C$1462,2,0)</f>
        <v>Week8</v>
      </c>
      <c r="F298" s="360" t="str">
        <f t="shared" si="86"/>
        <v>Feb</v>
      </c>
      <c r="G298" s="359" t="s">
        <v>47</v>
      </c>
      <c r="H298" s="359" t="s">
        <v>518</v>
      </c>
      <c r="I298" s="298" t="s">
        <v>2702</v>
      </c>
      <c r="J298" s="361" t="s">
        <v>70</v>
      </c>
      <c r="K298" s="362" t="s">
        <v>94</v>
      </c>
      <c r="L298" s="300" t="s">
        <v>2167</v>
      </c>
      <c r="M298" s="361" t="s">
        <v>519</v>
      </c>
      <c r="N298" s="359" t="s">
        <v>589</v>
      </c>
      <c r="O298" s="359" t="s">
        <v>97</v>
      </c>
      <c r="P298" s="363">
        <v>12</v>
      </c>
      <c r="Q298" s="363">
        <v>5</v>
      </c>
      <c r="R298" s="364">
        <v>8.0000000000000002E-3</v>
      </c>
      <c r="S298" s="359" t="s">
        <v>40</v>
      </c>
      <c r="T298" s="359" t="s">
        <v>56</v>
      </c>
      <c r="U298" s="359" t="s">
        <v>57</v>
      </c>
      <c r="V298" s="365">
        <v>1068</v>
      </c>
      <c r="W298" s="365">
        <f>5+1063</f>
        <v>1068</v>
      </c>
      <c r="X298" s="366"/>
      <c r="Y298" s="367">
        <f t="shared" si="88"/>
        <v>0</v>
      </c>
      <c r="Z298" s="368">
        <f t="shared" si="89"/>
        <v>0</v>
      </c>
      <c r="AA298" s="368"/>
      <c r="AB298" s="819"/>
      <c r="AC298" s="365"/>
      <c r="AD298" s="209"/>
      <c r="AE298" s="210"/>
      <c r="AF298" s="210"/>
      <c r="AG298" s="211">
        <f t="shared" si="95"/>
        <v>0.14499999999999999</v>
      </c>
      <c r="AH298" s="157">
        <f t="shared" si="99"/>
        <v>0</v>
      </c>
      <c r="AI298" s="152">
        <f t="shared" si="96"/>
        <v>12816</v>
      </c>
      <c r="AK298" s="156" t="s">
        <v>691</v>
      </c>
      <c r="AL298" s="574" t="s">
        <v>690</v>
      </c>
      <c r="AM298" s="198">
        <f t="shared" si="100"/>
        <v>0</v>
      </c>
      <c r="AN298" s="199">
        <f t="shared" si="87"/>
        <v>45344</v>
      </c>
      <c r="AO298" s="159" t="s">
        <v>692</v>
      </c>
      <c r="AP298" s="783" t="s">
        <v>628</v>
      </c>
      <c r="AQ298" s="782">
        <v>12071839</v>
      </c>
      <c r="AR298" s="782">
        <v>12047514</v>
      </c>
      <c r="AS298" s="782">
        <v>12047515</v>
      </c>
      <c r="AT298" s="782"/>
      <c r="AU298" s="781"/>
      <c r="AV298" s="782">
        <v>12080617</v>
      </c>
      <c r="AW298" s="782"/>
      <c r="AX298" s="782"/>
      <c r="AY298" s="782">
        <v>12080618</v>
      </c>
      <c r="AZ298" s="782">
        <v>12080619</v>
      </c>
      <c r="BA298" s="781"/>
    </row>
    <row r="299" spans="1:53" ht="24.65" hidden="1" customHeight="1">
      <c r="B299" s="411">
        <v>45344</v>
      </c>
      <c r="C299" s="412">
        <v>45349</v>
      </c>
      <c r="D299" s="185">
        <f t="shared" si="85"/>
        <v>2024</v>
      </c>
      <c r="E299" s="412" t="str">
        <f>VLOOKUP($B299,Week!$A$1:$C$1462,2,0)</f>
        <v>Week8</v>
      </c>
      <c r="F299" s="413" t="str">
        <f t="shared" si="86"/>
        <v>Feb</v>
      </c>
      <c r="G299" s="414" t="s">
        <v>47</v>
      </c>
      <c r="H299" s="414" t="s">
        <v>260</v>
      </c>
      <c r="I299" s="298" t="s">
        <v>2702</v>
      </c>
      <c r="J299" s="415" t="s">
        <v>261</v>
      </c>
      <c r="K299" s="416" t="s">
        <v>94</v>
      </c>
      <c r="L299" s="300" t="s">
        <v>2167</v>
      </c>
      <c r="M299" s="415" t="s">
        <v>1303</v>
      </c>
      <c r="N299" s="414" t="s">
        <v>263</v>
      </c>
      <c r="O299" s="414" t="s">
        <v>195</v>
      </c>
      <c r="P299" s="417">
        <v>24</v>
      </c>
      <c r="Q299" s="417">
        <v>5</v>
      </c>
      <c r="R299" s="418">
        <v>8.0000000000000002E-3</v>
      </c>
      <c r="S299" s="414" t="s">
        <v>40</v>
      </c>
      <c r="T299" s="414" t="s">
        <v>56</v>
      </c>
      <c r="U299" s="414" t="s">
        <v>57</v>
      </c>
      <c r="V299" s="419">
        <f>5661-3750-417</f>
        <v>1494</v>
      </c>
      <c r="W299" s="419">
        <f>1494</f>
        <v>1494</v>
      </c>
      <c r="X299" s="420"/>
      <c r="Y299" s="421">
        <f t="shared" si="88"/>
        <v>0</v>
      </c>
      <c r="Z299" s="422">
        <f t="shared" si="89"/>
        <v>0</v>
      </c>
      <c r="AA299" s="422"/>
      <c r="AB299" s="825"/>
      <c r="AC299" s="419"/>
      <c r="AD299" s="209"/>
      <c r="AE299" s="210"/>
      <c r="AF299" s="210"/>
      <c r="AG299" s="211">
        <f t="shared" si="95"/>
        <v>0.14499999999999999</v>
      </c>
      <c r="AH299" s="157">
        <f t="shared" si="99"/>
        <v>0</v>
      </c>
      <c r="AI299" s="152">
        <f t="shared" si="96"/>
        <v>35856</v>
      </c>
      <c r="AK299" s="156" t="s">
        <v>691</v>
      </c>
      <c r="AL299" s="212" t="s">
        <v>690</v>
      </c>
      <c r="AM299" s="198">
        <f t="shared" si="100"/>
        <v>0</v>
      </c>
      <c r="AN299" s="199">
        <f t="shared" si="87"/>
        <v>45344</v>
      </c>
      <c r="AO299" s="159" t="s">
        <v>692</v>
      </c>
      <c r="AP299" s="783" t="s">
        <v>609</v>
      </c>
      <c r="AQ299" s="782">
        <v>12071839</v>
      </c>
      <c r="AR299" s="782">
        <v>12047514</v>
      </c>
      <c r="AS299" s="782">
        <v>12047515</v>
      </c>
      <c r="AT299" s="781"/>
      <c r="AU299" s="781"/>
      <c r="AV299" s="782">
        <v>12080613</v>
      </c>
      <c r="AW299" s="781"/>
      <c r="AX299" s="781"/>
      <c r="AY299" s="782">
        <v>12080614</v>
      </c>
      <c r="AZ299" s="782">
        <v>12080616</v>
      </c>
      <c r="BA299" s="781"/>
    </row>
    <row r="300" spans="1:53" ht="24.65" hidden="1" customHeight="1">
      <c r="B300" s="411">
        <v>45344</v>
      </c>
      <c r="C300" s="412">
        <v>45352</v>
      </c>
      <c r="D300" s="185">
        <f t="shared" si="85"/>
        <v>2024</v>
      </c>
      <c r="E300" s="412" t="str">
        <f>VLOOKUP($B300,Week!$A$1:$C$1462,2,0)</f>
        <v>Week8</v>
      </c>
      <c r="F300" s="413" t="str">
        <f t="shared" si="86"/>
        <v>Feb</v>
      </c>
      <c r="G300" s="414" t="s">
        <v>47</v>
      </c>
      <c r="H300" s="414" t="s">
        <v>260</v>
      </c>
      <c r="I300" s="298" t="s">
        <v>2702</v>
      </c>
      <c r="J300" s="415" t="s">
        <v>261</v>
      </c>
      <c r="K300" s="416" t="s">
        <v>94</v>
      </c>
      <c r="L300" s="300" t="s">
        <v>2167</v>
      </c>
      <c r="M300" s="415" t="s">
        <v>1303</v>
      </c>
      <c r="N300" s="414" t="s">
        <v>263</v>
      </c>
      <c r="O300" s="414" t="s">
        <v>195</v>
      </c>
      <c r="P300" s="417">
        <v>24</v>
      </c>
      <c r="Q300" s="417">
        <v>5</v>
      </c>
      <c r="R300" s="418">
        <v>8.0000000000000002E-3</v>
      </c>
      <c r="S300" s="414" t="s">
        <v>40</v>
      </c>
      <c r="T300" s="414" t="s">
        <v>56</v>
      </c>
      <c r="U300" s="414" t="s">
        <v>57</v>
      </c>
      <c r="V300" s="419">
        <v>1328</v>
      </c>
      <c r="W300" s="419">
        <f>2822-1494</f>
        <v>1328</v>
      </c>
      <c r="X300" s="420"/>
      <c r="Y300" s="421">
        <f t="shared" si="88"/>
        <v>0</v>
      </c>
      <c r="Z300" s="422">
        <f t="shared" si="89"/>
        <v>0</v>
      </c>
      <c r="AA300" s="422"/>
      <c r="AB300" s="825"/>
      <c r="AC300" s="419"/>
      <c r="AD300" s="209"/>
      <c r="AE300" s="210"/>
      <c r="AF300" s="210"/>
      <c r="AG300" s="211">
        <f t="shared" si="95"/>
        <v>0.14499999999999999</v>
      </c>
      <c r="AH300" s="157">
        <f t="shared" si="99"/>
        <v>0</v>
      </c>
      <c r="AI300" s="152">
        <f t="shared" si="96"/>
        <v>31872</v>
      </c>
      <c r="AK300" s="156" t="s">
        <v>691</v>
      </c>
      <c r="AL300" s="212" t="s">
        <v>690</v>
      </c>
      <c r="AM300" s="198">
        <f t="shared" si="100"/>
        <v>0</v>
      </c>
      <c r="AN300" s="199">
        <f t="shared" si="87"/>
        <v>45344</v>
      </c>
      <c r="AO300" s="159" t="s">
        <v>692</v>
      </c>
      <c r="AP300" s="783" t="s">
        <v>609</v>
      </c>
      <c r="AQ300" s="782">
        <v>12071839</v>
      </c>
      <c r="AR300" s="782">
        <v>12047514</v>
      </c>
      <c r="AS300" s="782">
        <v>12047515</v>
      </c>
      <c r="AT300" s="781"/>
      <c r="AU300" s="781"/>
      <c r="AV300" s="782">
        <v>12080613</v>
      </c>
      <c r="AW300" s="781"/>
      <c r="AX300" s="781"/>
      <c r="AY300" s="782">
        <v>12080614</v>
      </c>
      <c r="AZ300" s="782">
        <v>12080616</v>
      </c>
      <c r="BA300" s="781"/>
    </row>
    <row r="301" spans="1:53" ht="25" hidden="1" customHeight="1">
      <c r="B301" s="398">
        <v>45344</v>
      </c>
      <c r="C301" s="399">
        <v>45352</v>
      </c>
      <c r="D301" s="185">
        <f t="shared" si="85"/>
        <v>2024</v>
      </c>
      <c r="E301" s="399" t="str">
        <f>VLOOKUP($B301,Week!$A$1:$C$1462,2,0)</f>
        <v>Week8</v>
      </c>
      <c r="F301" s="400" t="str">
        <f t="shared" si="86"/>
        <v>Feb</v>
      </c>
      <c r="G301" s="401" t="s">
        <v>47</v>
      </c>
      <c r="H301" s="401" t="s">
        <v>518</v>
      </c>
      <c r="I301" s="298" t="s">
        <v>2702</v>
      </c>
      <c r="J301" s="402" t="s">
        <v>70</v>
      </c>
      <c r="K301" s="403" t="s">
        <v>98</v>
      </c>
      <c r="L301" s="300" t="s">
        <v>2167</v>
      </c>
      <c r="M301" s="402" t="s">
        <v>553</v>
      </c>
      <c r="N301" s="404" t="s">
        <v>557</v>
      </c>
      <c r="O301" s="401" t="s">
        <v>101</v>
      </c>
      <c r="P301" s="405">
        <v>12</v>
      </c>
      <c r="Q301" s="405">
        <v>5</v>
      </c>
      <c r="R301" s="406">
        <v>8.0000000000000002E-3</v>
      </c>
      <c r="S301" s="401" t="s">
        <v>40</v>
      </c>
      <c r="T301" s="401" t="s">
        <v>56</v>
      </c>
      <c r="U301" s="401" t="s">
        <v>499</v>
      </c>
      <c r="V301" s="407">
        <v>466</v>
      </c>
      <c r="W301" s="407">
        <f>1+465</f>
        <v>466</v>
      </c>
      <c r="X301" s="408"/>
      <c r="Y301" s="409">
        <f t="shared" si="88"/>
        <v>0</v>
      </c>
      <c r="Z301" s="410">
        <f t="shared" si="89"/>
        <v>0</v>
      </c>
      <c r="AA301" s="410"/>
      <c r="AB301" s="824">
        <v>1</v>
      </c>
      <c r="AC301" s="407">
        <f>Z301*AB301</f>
        <v>0</v>
      </c>
      <c r="AD301" s="209"/>
      <c r="AE301" s="210"/>
      <c r="AF301" s="210"/>
      <c r="AG301" s="211">
        <f t="shared" si="95"/>
        <v>0.115</v>
      </c>
      <c r="AH301" s="157">
        <f t="shared" si="99"/>
        <v>0</v>
      </c>
      <c r="AI301" s="152">
        <f t="shared" si="96"/>
        <v>5592</v>
      </c>
      <c r="AK301" s="156" t="s">
        <v>691</v>
      </c>
      <c r="AL301" s="212" t="s">
        <v>690</v>
      </c>
      <c r="AM301" s="198">
        <f t="shared" si="100"/>
        <v>0</v>
      </c>
      <c r="AN301" s="199">
        <f t="shared" si="87"/>
        <v>45344</v>
      </c>
      <c r="AO301" s="159" t="s">
        <v>692</v>
      </c>
      <c r="AP301" s="783" t="s">
        <v>623</v>
      </c>
      <c r="AQ301" s="782">
        <v>12071839</v>
      </c>
      <c r="AR301" s="782">
        <v>12047514</v>
      </c>
      <c r="AS301" s="782">
        <v>12047515</v>
      </c>
      <c r="AT301" s="782"/>
      <c r="AU301" s="781"/>
      <c r="AV301" s="782">
        <v>12072447</v>
      </c>
      <c r="AW301" s="782"/>
      <c r="AX301" s="782"/>
      <c r="AY301" s="782">
        <v>12064574</v>
      </c>
      <c r="AZ301" s="782">
        <v>12064576</v>
      </c>
      <c r="BA301" s="781"/>
    </row>
    <row r="302" spans="1:53" ht="25" hidden="1" customHeight="1">
      <c r="B302" s="424">
        <v>45344</v>
      </c>
      <c r="C302" s="425">
        <v>45350</v>
      </c>
      <c r="D302" s="185">
        <f t="shared" si="85"/>
        <v>2024</v>
      </c>
      <c r="E302" s="425" t="str">
        <f>VLOOKUP($B302,Week!$A$1:$C$1462,2,0)</f>
        <v>Week8</v>
      </c>
      <c r="F302" s="426" t="str">
        <f t="shared" si="86"/>
        <v>Feb</v>
      </c>
      <c r="G302" s="427" t="s">
        <v>47</v>
      </c>
      <c r="H302" s="427" t="s">
        <v>518</v>
      </c>
      <c r="I302" s="298" t="s">
        <v>2702</v>
      </c>
      <c r="J302" s="428" t="s">
        <v>70</v>
      </c>
      <c r="K302" s="429" t="s">
        <v>94</v>
      </c>
      <c r="L302" s="300" t="s">
        <v>2167</v>
      </c>
      <c r="M302" s="428" t="s">
        <v>521</v>
      </c>
      <c r="N302" s="427" t="s">
        <v>587</v>
      </c>
      <c r="O302" s="427" t="s">
        <v>3198</v>
      </c>
      <c r="P302" s="430">
        <v>18</v>
      </c>
      <c r="Q302" s="430">
        <v>5</v>
      </c>
      <c r="R302" s="431">
        <v>8.0000000000000002E-3</v>
      </c>
      <c r="S302" s="427" t="s">
        <v>40</v>
      </c>
      <c r="T302" s="427" t="s">
        <v>56</v>
      </c>
      <c r="U302" s="427" t="s">
        <v>89</v>
      </c>
      <c r="V302" s="432">
        <f>235+318</f>
        <v>553</v>
      </c>
      <c r="W302" s="432">
        <f>488</f>
        <v>488</v>
      </c>
      <c r="X302" s="433">
        <v>65</v>
      </c>
      <c r="Y302" s="434">
        <f t="shared" ref="Y302:Y319" si="101">(W302+X302)-V302</f>
        <v>0</v>
      </c>
      <c r="Z302" s="435">
        <f t="shared" ref="Z302:Z319" si="102">IF(Y302&lt;0,((V302*P302)-((W302+X302)*P302)),0)</f>
        <v>0</v>
      </c>
      <c r="AA302" s="435"/>
      <c r="AB302" s="826">
        <v>1</v>
      </c>
      <c r="AC302" s="432">
        <f>Z302*AB302</f>
        <v>0</v>
      </c>
      <c r="AD302" s="209"/>
      <c r="AE302" s="210"/>
      <c r="AF302" s="210"/>
      <c r="AG302" s="211" t="e">
        <f>(MID(O302,1,3)/1000)/3</f>
        <v>#VALUE!</v>
      </c>
      <c r="AH302" s="157" t="e">
        <f t="shared" si="99"/>
        <v>#VALUE!</v>
      </c>
      <c r="AI302" s="152">
        <f t="shared" si="96"/>
        <v>9954</v>
      </c>
      <c r="AK302" s="156" t="s">
        <v>691</v>
      </c>
      <c r="AL302" s="212" t="s">
        <v>690</v>
      </c>
      <c r="AM302" s="198" t="e">
        <f t="shared" si="100"/>
        <v>#VALUE!</v>
      </c>
      <c r="AN302" s="199">
        <f t="shared" si="87"/>
        <v>45344</v>
      </c>
      <c r="AO302" s="159" t="s">
        <v>692</v>
      </c>
      <c r="AP302" s="783" t="s">
        <v>628</v>
      </c>
      <c r="AQ302" s="782"/>
      <c r="AR302" s="782"/>
      <c r="AS302" s="782"/>
      <c r="AT302" s="782"/>
      <c r="AU302" s="781"/>
      <c r="AV302" s="782">
        <v>12080791</v>
      </c>
      <c r="AW302" s="782" t="s">
        <v>641</v>
      </c>
      <c r="AX302" s="782" t="s">
        <v>533</v>
      </c>
      <c r="AY302" s="782"/>
      <c r="AZ302" s="782"/>
      <c r="BA302" s="781"/>
    </row>
    <row r="303" spans="1:53" ht="25" hidden="1" customHeight="1">
      <c r="B303" s="424">
        <v>45344</v>
      </c>
      <c r="C303" s="425">
        <v>45352</v>
      </c>
      <c r="D303" s="185">
        <f t="shared" si="85"/>
        <v>2024</v>
      </c>
      <c r="E303" s="425" t="str">
        <f>VLOOKUP($B303,Week!$A$1:$C$1462,2,0)</f>
        <v>Week8</v>
      </c>
      <c r="F303" s="426" t="str">
        <f t="shared" si="86"/>
        <v>Feb</v>
      </c>
      <c r="G303" s="427" t="s">
        <v>47</v>
      </c>
      <c r="H303" s="427" t="s">
        <v>518</v>
      </c>
      <c r="I303" s="298" t="s">
        <v>2702</v>
      </c>
      <c r="J303" s="428" t="s">
        <v>70</v>
      </c>
      <c r="K303" s="429" t="s">
        <v>94</v>
      </c>
      <c r="L303" s="300" t="s">
        <v>2167</v>
      </c>
      <c r="M303" s="428" t="s">
        <v>521</v>
      </c>
      <c r="N303" s="427" t="s">
        <v>587</v>
      </c>
      <c r="O303" s="427" t="s">
        <v>3198</v>
      </c>
      <c r="P303" s="430">
        <v>18</v>
      </c>
      <c r="Q303" s="430">
        <v>5</v>
      </c>
      <c r="R303" s="431">
        <v>8.0000000000000002E-3</v>
      </c>
      <c r="S303" s="427" t="s">
        <v>40</v>
      </c>
      <c r="T303" s="427" t="s">
        <v>56</v>
      </c>
      <c r="U303" s="427" t="s">
        <v>89</v>
      </c>
      <c r="V303" s="432">
        <f>1409-235-318</f>
        <v>856</v>
      </c>
      <c r="W303" s="432">
        <f>895-488+449</f>
        <v>856</v>
      </c>
      <c r="X303" s="433"/>
      <c r="Y303" s="434">
        <f t="shared" si="101"/>
        <v>0</v>
      </c>
      <c r="Z303" s="435">
        <f t="shared" si="102"/>
        <v>0</v>
      </c>
      <c r="AA303" s="435"/>
      <c r="AB303" s="826">
        <v>1</v>
      </c>
      <c r="AC303" s="432">
        <f>Z303*AB303</f>
        <v>0</v>
      </c>
      <c r="AD303" s="209"/>
      <c r="AE303" s="210"/>
      <c r="AF303" s="210"/>
      <c r="AG303" s="211" t="e">
        <f>(MID(O303,1,3)/1000)/3</f>
        <v>#VALUE!</v>
      </c>
      <c r="AH303" s="157" t="e">
        <f t="shared" si="99"/>
        <v>#VALUE!</v>
      </c>
      <c r="AI303" s="152">
        <f t="shared" si="96"/>
        <v>15408</v>
      </c>
      <c r="AK303" s="156" t="s">
        <v>691</v>
      </c>
      <c r="AL303" s="212" t="s">
        <v>690</v>
      </c>
      <c r="AM303" s="198" t="e">
        <f t="shared" si="100"/>
        <v>#VALUE!</v>
      </c>
      <c r="AN303" s="199">
        <f t="shared" si="87"/>
        <v>45344</v>
      </c>
      <c r="AO303" s="159" t="s">
        <v>692</v>
      </c>
      <c r="AP303" s="783" t="s">
        <v>628</v>
      </c>
      <c r="AQ303" s="782"/>
      <c r="AR303" s="782"/>
      <c r="AS303" s="782"/>
      <c r="AT303" s="782"/>
      <c r="AU303" s="781"/>
      <c r="AV303" s="782">
        <v>12080791</v>
      </c>
      <c r="AW303" s="782" t="s">
        <v>641</v>
      </c>
      <c r="AX303" s="782" t="s">
        <v>533</v>
      </c>
      <c r="AY303" s="782"/>
      <c r="AZ303" s="782"/>
      <c r="BA303" s="781"/>
    </row>
    <row r="304" spans="1:53" ht="25" hidden="1" customHeight="1">
      <c r="A304" s="142" t="s">
        <v>120</v>
      </c>
      <c r="B304" s="385">
        <v>45344</v>
      </c>
      <c r="C304" s="386">
        <v>45356</v>
      </c>
      <c r="D304" s="185">
        <f t="shared" si="85"/>
        <v>2024</v>
      </c>
      <c r="E304" s="386" t="str">
        <f>VLOOKUP($B304,Week!$A$1:$C$1462,2,0)</f>
        <v>Week8</v>
      </c>
      <c r="F304" s="387" t="str">
        <f t="shared" si="86"/>
        <v>Feb</v>
      </c>
      <c r="G304" s="388" t="s">
        <v>841</v>
      </c>
      <c r="H304" s="388" t="s">
        <v>500</v>
      </c>
      <c r="I304" s="388" t="s">
        <v>2772</v>
      </c>
      <c r="J304" s="389" t="s">
        <v>285</v>
      </c>
      <c r="K304" s="390" t="s">
        <v>153</v>
      </c>
      <c r="L304" s="390" t="s">
        <v>2166</v>
      </c>
      <c r="M304" s="389" t="s">
        <v>165</v>
      </c>
      <c r="N304" s="388" t="s">
        <v>286</v>
      </c>
      <c r="O304" s="388" t="s">
        <v>503</v>
      </c>
      <c r="P304" s="391">
        <v>40</v>
      </c>
      <c r="Q304" s="391">
        <v>12</v>
      </c>
      <c r="R304" s="392">
        <v>6.8100000000000001E-3</v>
      </c>
      <c r="S304" s="388" t="s">
        <v>76</v>
      </c>
      <c r="T304" s="388" t="s">
        <v>56</v>
      </c>
      <c r="U304" s="388" t="s">
        <v>89</v>
      </c>
      <c r="V304" s="393">
        <f>1624-485-626</f>
        <v>513</v>
      </c>
      <c r="W304" s="393">
        <v>513</v>
      </c>
      <c r="X304" s="394"/>
      <c r="Y304" s="395">
        <f t="shared" si="101"/>
        <v>0</v>
      </c>
      <c r="Z304" s="396">
        <f t="shared" si="102"/>
        <v>0</v>
      </c>
      <c r="AA304" s="396">
        <f>Q304*Z304</f>
        <v>0</v>
      </c>
      <c r="AB304" s="823">
        <v>2</v>
      </c>
      <c r="AC304" s="393">
        <f>Z304*AB304</f>
        <v>0</v>
      </c>
      <c r="AD304" s="209"/>
      <c r="AE304" s="210"/>
      <c r="AF304" s="210"/>
      <c r="AG304" s="211">
        <f t="shared" ref="AG304:AG319" si="103">MID(O304,1,3)/1000</f>
        <v>0.154</v>
      </c>
      <c r="AH304" s="157">
        <f t="shared" si="99"/>
        <v>0</v>
      </c>
      <c r="AI304" s="152">
        <f t="shared" si="96"/>
        <v>20520</v>
      </c>
      <c r="AK304" s="156" t="s">
        <v>691</v>
      </c>
      <c r="AL304" s="156" t="s">
        <v>689</v>
      </c>
      <c r="AM304" s="198">
        <f t="shared" ref="AM304:AM316" si="104">AG304*Z304</f>
        <v>0</v>
      </c>
      <c r="AN304" s="199">
        <f t="shared" si="87"/>
        <v>45344</v>
      </c>
      <c r="AO304" s="159" t="s">
        <v>692</v>
      </c>
      <c r="AP304" s="783" t="s">
        <v>611</v>
      </c>
      <c r="AQ304" s="782">
        <v>12028328</v>
      </c>
      <c r="AR304" s="782">
        <v>12019692</v>
      </c>
      <c r="AS304" s="781"/>
      <c r="AT304" s="782">
        <v>12065371</v>
      </c>
      <c r="AU304" s="782"/>
      <c r="AV304" s="782">
        <v>12055895</v>
      </c>
      <c r="AW304" s="782">
        <v>12034747</v>
      </c>
      <c r="AX304" s="782" t="s">
        <v>398</v>
      </c>
      <c r="AY304" s="781" t="s">
        <v>290</v>
      </c>
      <c r="AZ304" s="781"/>
      <c r="BA304" s="781"/>
    </row>
    <row r="305" spans="1:53" ht="25" hidden="1" customHeight="1">
      <c r="A305" s="142" t="s">
        <v>120</v>
      </c>
      <c r="B305" s="466">
        <v>45344</v>
      </c>
      <c r="C305" s="467">
        <v>45353</v>
      </c>
      <c r="D305" s="185">
        <f t="shared" si="85"/>
        <v>2024</v>
      </c>
      <c r="E305" s="468" t="str">
        <f>VLOOKUP($B305,Week!$A$1:$C$1462,2,0)</f>
        <v>Week8</v>
      </c>
      <c r="F305" s="469" t="str">
        <f t="shared" si="86"/>
        <v>Feb</v>
      </c>
      <c r="G305" s="470" t="s">
        <v>900</v>
      </c>
      <c r="H305" s="468" t="s">
        <v>82</v>
      </c>
      <c r="I305" s="468" t="s">
        <v>82</v>
      </c>
      <c r="J305" s="471" t="s">
        <v>720</v>
      </c>
      <c r="K305" s="472" t="s">
        <v>85</v>
      </c>
      <c r="L305" s="390" t="s">
        <v>2166</v>
      </c>
      <c r="M305" s="471" t="s">
        <v>579</v>
      </c>
      <c r="N305" s="468" t="s">
        <v>580</v>
      </c>
      <c r="O305" s="468" t="s">
        <v>581</v>
      </c>
      <c r="P305" s="473">
        <v>8</v>
      </c>
      <c r="Q305" s="473">
        <v>60</v>
      </c>
      <c r="R305" s="474">
        <v>6.8100000000000001E-3</v>
      </c>
      <c r="S305" s="468" t="s">
        <v>76</v>
      </c>
      <c r="T305" s="468" t="s">
        <v>56</v>
      </c>
      <c r="U305" s="468" t="s">
        <v>89</v>
      </c>
      <c r="V305" s="475">
        <v>164</v>
      </c>
      <c r="W305" s="475">
        <f>6+158</f>
        <v>164</v>
      </c>
      <c r="X305" s="476"/>
      <c r="Y305" s="477">
        <f t="shared" si="101"/>
        <v>0</v>
      </c>
      <c r="Z305" s="478">
        <f t="shared" si="102"/>
        <v>0</v>
      </c>
      <c r="AA305" s="478">
        <f>Q305*Z305</f>
        <v>0</v>
      </c>
      <c r="AB305" s="828">
        <v>6</v>
      </c>
      <c r="AC305" s="475">
        <f>Z305*AB305</f>
        <v>0</v>
      </c>
      <c r="AD305" s="209"/>
      <c r="AE305" s="210"/>
      <c r="AF305" s="210"/>
      <c r="AG305" s="211">
        <f t="shared" si="103"/>
        <v>0.75</v>
      </c>
      <c r="AH305" s="157">
        <f t="shared" si="99"/>
        <v>0</v>
      </c>
      <c r="AI305" s="152">
        <f t="shared" si="96"/>
        <v>1312</v>
      </c>
      <c r="AK305" s="156" t="s">
        <v>691</v>
      </c>
      <c r="AL305" s="156" t="s">
        <v>689</v>
      </c>
      <c r="AM305" s="198">
        <f t="shared" si="104"/>
        <v>0</v>
      </c>
      <c r="AN305" s="199">
        <f t="shared" si="87"/>
        <v>45344</v>
      </c>
      <c r="AO305" s="159" t="s">
        <v>692</v>
      </c>
      <c r="AP305" s="783" t="s">
        <v>622</v>
      </c>
      <c r="AQ305" s="782">
        <v>12004862</v>
      </c>
      <c r="AR305" s="782">
        <v>12080753</v>
      </c>
      <c r="AS305" s="782"/>
      <c r="AT305" s="782">
        <v>12082897</v>
      </c>
      <c r="AU305" s="781"/>
      <c r="AV305" s="782">
        <v>12082898</v>
      </c>
      <c r="AW305" s="782">
        <v>12082899</v>
      </c>
      <c r="AX305" s="796" t="s">
        <v>621</v>
      </c>
      <c r="AY305" s="782"/>
      <c r="AZ305" s="782"/>
      <c r="BA305" s="781"/>
    </row>
    <row r="306" spans="1:53" ht="25" hidden="1" customHeight="1">
      <c r="B306" s="246">
        <v>45345</v>
      </c>
      <c r="C306" s="247">
        <v>45363</v>
      </c>
      <c r="D306" s="185">
        <f t="shared" si="85"/>
        <v>2024</v>
      </c>
      <c r="E306" s="247" t="str">
        <f>VLOOKUP($B306,Week!$A$1:$C$1462,2,0)</f>
        <v>Week8</v>
      </c>
      <c r="F306" s="248" t="str">
        <f t="shared" si="86"/>
        <v>Feb</v>
      </c>
      <c r="G306" s="599" t="s">
        <v>1014</v>
      </c>
      <c r="H306" s="249" t="s">
        <v>104</v>
      </c>
      <c r="I306" s="249" t="s">
        <v>2772</v>
      </c>
      <c r="J306" s="250" t="s">
        <v>105</v>
      </c>
      <c r="K306" s="251" t="s">
        <v>593</v>
      </c>
      <c r="L306" s="300" t="s">
        <v>2167</v>
      </c>
      <c r="M306" s="250" t="s">
        <v>594</v>
      </c>
      <c r="N306" s="249" t="s">
        <v>596</v>
      </c>
      <c r="O306" s="249" t="s">
        <v>304</v>
      </c>
      <c r="P306" s="252">
        <v>8</v>
      </c>
      <c r="Q306" s="252">
        <v>5</v>
      </c>
      <c r="R306" s="253">
        <v>6.0000000000000001E-3</v>
      </c>
      <c r="S306" s="249" t="s">
        <v>55</v>
      </c>
      <c r="T306" s="249" t="s">
        <v>112</v>
      </c>
      <c r="U306" s="249" t="s">
        <v>57</v>
      </c>
      <c r="V306" s="254">
        <v>1900</v>
      </c>
      <c r="W306" s="254"/>
      <c r="X306" s="255">
        <f>(276+14924)/8</f>
        <v>1900</v>
      </c>
      <c r="Y306" s="256">
        <f t="shared" si="101"/>
        <v>0</v>
      </c>
      <c r="Z306" s="257">
        <f t="shared" si="102"/>
        <v>0</v>
      </c>
      <c r="AA306" s="257"/>
      <c r="AB306" s="810"/>
      <c r="AC306" s="254"/>
      <c r="AD306" s="209"/>
      <c r="AE306" s="210"/>
      <c r="AF306" s="210"/>
      <c r="AG306" s="211">
        <f t="shared" si="103"/>
        <v>0.25800000000000001</v>
      </c>
      <c r="AH306" s="157">
        <v>0.26621999999999996</v>
      </c>
      <c r="AI306" s="152">
        <f t="shared" si="96"/>
        <v>15200</v>
      </c>
      <c r="AK306" s="156" t="s">
        <v>691</v>
      </c>
      <c r="AL306" s="574" t="s">
        <v>690</v>
      </c>
      <c r="AM306" s="198">
        <f t="shared" si="104"/>
        <v>0</v>
      </c>
      <c r="AN306" s="199">
        <f t="shared" si="87"/>
        <v>45345</v>
      </c>
      <c r="AO306" s="159" t="s">
        <v>692</v>
      </c>
      <c r="AP306" s="781"/>
      <c r="AQ306" s="782">
        <v>12071839</v>
      </c>
      <c r="AR306" s="782">
        <v>12042650</v>
      </c>
      <c r="AS306" s="782">
        <v>12042649</v>
      </c>
      <c r="AT306" s="782">
        <v>12084100</v>
      </c>
      <c r="AU306" s="781"/>
      <c r="AV306" s="782">
        <v>12084001</v>
      </c>
      <c r="AW306" s="781"/>
      <c r="AX306" s="781"/>
      <c r="AY306" s="781"/>
      <c r="AZ306" s="782"/>
      <c r="BA306" s="781"/>
    </row>
    <row r="307" spans="1:53" ht="25" hidden="1" customHeight="1">
      <c r="B307" s="246">
        <v>45345</v>
      </c>
      <c r="C307" s="247">
        <v>45370</v>
      </c>
      <c r="D307" s="185">
        <f t="shared" si="85"/>
        <v>2024</v>
      </c>
      <c r="E307" s="247" t="str">
        <f>VLOOKUP($B307,Week!$A$1:$C$1462,2,0)</f>
        <v>Week8</v>
      </c>
      <c r="F307" s="248" t="str">
        <f t="shared" si="86"/>
        <v>Feb</v>
      </c>
      <c r="G307" s="599" t="s">
        <v>928</v>
      </c>
      <c r="H307" s="249" t="s">
        <v>104</v>
      </c>
      <c r="I307" s="249" t="s">
        <v>2772</v>
      </c>
      <c r="J307" s="250" t="s">
        <v>105</v>
      </c>
      <c r="K307" s="251" t="s">
        <v>593</v>
      </c>
      <c r="L307" s="300" t="s">
        <v>2167</v>
      </c>
      <c r="M307" s="250" t="s">
        <v>594</v>
      </c>
      <c r="N307" s="249" t="s">
        <v>596</v>
      </c>
      <c r="O307" s="249" t="s">
        <v>304</v>
      </c>
      <c r="P307" s="252">
        <v>8</v>
      </c>
      <c r="Q307" s="252">
        <v>5</v>
      </c>
      <c r="R307" s="253">
        <v>6.0000000000000001E-3</v>
      </c>
      <c r="S307" s="249" t="s">
        <v>55</v>
      </c>
      <c r="T307" s="249" t="s">
        <v>112</v>
      </c>
      <c r="U307" s="249" t="s">
        <v>57</v>
      </c>
      <c r="V307" s="254">
        <f>1400</f>
        <v>1400</v>
      </c>
      <c r="W307" s="254"/>
      <c r="X307" s="255">
        <v>1400</v>
      </c>
      <c r="Y307" s="256">
        <f t="shared" si="101"/>
        <v>0</v>
      </c>
      <c r="Z307" s="257">
        <f t="shared" si="102"/>
        <v>0</v>
      </c>
      <c r="AA307" s="257"/>
      <c r="AB307" s="810"/>
      <c r="AC307" s="254"/>
      <c r="AD307" s="209"/>
      <c r="AE307" s="210"/>
      <c r="AF307" s="210"/>
      <c r="AG307" s="211">
        <f t="shared" si="103"/>
        <v>0.25800000000000001</v>
      </c>
      <c r="AH307" s="157">
        <v>0.26621999999999996</v>
      </c>
      <c r="AI307" s="152">
        <f t="shared" si="96"/>
        <v>11200</v>
      </c>
      <c r="AK307" s="156" t="s">
        <v>691</v>
      </c>
      <c r="AL307" s="574" t="s">
        <v>690</v>
      </c>
      <c r="AM307" s="198">
        <f t="shared" si="104"/>
        <v>0</v>
      </c>
      <c r="AN307" s="199">
        <f t="shared" si="87"/>
        <v>45345</v>
      </c>
      <c r="AO307" s="159" t="s">
        <v>692</v>
      </c>
      <c r="AP307" s="781"/>
      <c r="AQ307" s="782">
        <v>12071839</v>
      </c>
      <c r="AR307" s="782">
        <v>12042650</v>
      </c>
      <c r="AS307" s="782">
        <v>12042649</v>
      </c>
      <c r="AT307" s="782">
        <v>12084100</v>
      </c>
      <c r="AU307" s="781"/>
      <c r="AV307" s="782">
        <v>12084001</v>
      </c>
      <c r="AW307" s="781"/>
      <c r="AX307" s="781"/>
      <c r="AY307" s="781"/>
      <c r="AZ307" s="782"/>
      <c r="BA307" s="781"/>
    </row>
    <row r="308" spans="1:53" ht="25" hidden="1" customHeight="1">
      <c r="B308" s="246">
        <v>45345</v>
      </c>
      <c r="C308" s="247">
        <v>45370</v>
      </c>
      <c r="D308" s="185">
        <f t="shared" si="85"/>
        <v>2024</v>
      </c>
      <c r="E308" s="247" t="str">
        <f>VLOOKUP($B308,Week!$A$1:$C$1462,2,0)</f>
        <v>Week8</v>
      </c>
      <c r="F308" s="248" t="str">
        <f t="shared" si="86"/>
        <v>Feb</v>
      </c>
      <c r="G308" s="599" t="s">
        <v>1015</v>
      </c>
      <c r="H308" s="249" t="s">
        <v>104</v>
      </c>
      <c r="I308" s="249" t="s">
        <v>2772</v>
      </c>
      <c r="J308" s="250" t="s">
        <v>105</v>
      </c>
      <c r="K308" s="251" t="s">
        <v>593</v>
      </c>
      <c r="L308" s="300" t="s">
        <v>2167</v>
      </c>
      <c r="M308" s="250" t="s">
        <v>594</v>
      </c>
      <c r="N308" s="249" t="s">
        <v>596</v>
      </c>
      <c r="O308" s="249" t="s">
        <v>304</v>
      </c>
      <c r="P308" s="252">
        <v>8</v>
      </c>
      <c r="Q308" s="252">
        <v>5</v>
      </c>
      <c r="R308" s="253">
        <v>6.0000000000000001E-3</v>
      </c>
      <c r="S308" s="249" t="s">
        <v>55</v>
      </c>
      <c r="T308" s="249" t="s">
        <v>112</v>
      </c>
      <c r="U308" s="249" t="s">
        <v>57</v>
      </c>
      <c r="V308" s="254">
        <v>1900</v>
      </c>
      <c r="W308" s="254"/>
      <c r="X308" s="255">
        <v>1900</v>
      </c>
      <c r="Y308" s="256">
        <f t="shared" si="101"/>
        <v>0</v>
      </c>
      <c r="Z308" s="257">
        <f t="shared" si="102"/>
        <v>0</v>
      </c>
      <c r="AA308" s="257"/>
      <c r="AB308" s="810"/>
      <c r="AC308" s="254"/>
      <c r="AD308" s="209"/>
      <c r="AE308" s="210"/>
      <c r="AF308" s="210"/>
      <c r="AG308" s="211">
        <f t="shared" si="103"/>
        <v>0.25800000000000001</v>
      </c>
      <c r="AH308" s="157">
        <v>0.26621999999999996</v>
      </c>
      <c r="AI308" s="152">
        <f t="shared" si="96"/>
        <v>15200</v>
      </c>
      <c r="AK308" s="156" t="s">
        <v>691</v>
      </c>
      <c r="AL308" s="574" t="s">
        <v>690</v>
      </c>
      <c r="AM308" s="198">
        <f t="shared" si="104"/>
        <v>0</v>
      </c>
      <c r="AN308" s="199">
        <f t="shared" si="87"/>
        <v>45345</v>
      </c>
      <c r="AO308" s="159" t="s">
        <v>692</v>
      </c>
      <c r="AP308" s="781"/>
      <c r="AQ308" s="782">
        <v>12071839</v>
      </c>
      <c r="AR308" s="782">
        <v>12042650</v>
      </c>
      <c r="AS308" s="782">
        <v>12042649</v>
      </c>
      <c r="AT308" s="782">
        <v>12084100</v>
      </c>
      <c r="AU308" s="781"/>
      <c r="AV308" s="782">
        <v>12084001</v>
      </c>
      <c r="AW308" s="781"/>
      <c r="AX308" s="781"/>
      <c r="AY308" s="781"/>
      <c r="AZ308" s="782"/>
      <c r="BA308" s="781"/>
    </row>
    <row r="309" spans="1:53" ht="25" hidden="1" customHeight="1">
      <c r="B309" s="213">
        <v>45345</v>
      </c>
      <c r="C309" s="578">
        <v>45353</v>
      </c>
      <c r="D309" s="185">
        <f t="shared" si="85"/>
        <v>2024</v>
      </c>
      <c r="E309" s="215" t="str">
        <f>VLOOKUP($B309,Week!$A$1:$C$1462,2,0)</f>
        <v>Week8</v>
      </c>
      <c r="F309" s="216" t="str">
        <f t="shared" si="86"/>
        <v>Feb</v>
      </c>
      <c r="G309" s="215" t="s">
        <v>872</v>
      </c>
      <c r="H309" s="215" t="s">
        <v>104</v>
      </c>
      <c r="I309" s="215" t="s">
        <v>2772</v>
      </c>
      <c r="J309" s="209" t="s">
        <v>105</v>
      </c>
      <c r="K309" s="217" t="s">
        <v>107</v>
      </c>
      <c r="L309" s="300" t="s">
        <v>2167</v>
      </c>
      <c r="M309" s="209" t="s">
        <v>108</v>
      </c>
      <c r="N309" s="215" t="s">
        <v>109</v>
      </c>
      <c r="O309" s="215" t="s">
        <v>110</v>
      </c>
      <c r="P309" s="218">
        <v>36</v>
      </c>
      <c r="Q309" s="218">
        <v>5</v>
      </c>
      <c r="R309" s="219">
        <v>7.4999999999999997E-3</v>
      </c>
      <c r="S309" s="215" t="s">
        <v>111</v>
      </c>
      <c r="T309" s="215" t="s">
        <v>112</v>
      </c>
      <c r="U309" s="215" t="s">
        <v>113</v>
      </c>
      <c r="V309" s="220">
        <f>792-534</f>
        <v>258</v>
      </c>
      <c r="W309" s="220">
        <f>77+181</f>
        <v>258</v>
      </c>
      <c r="X309" s="221"/>
      <c r="Y309" s="222">
        <f t="shared" si="101"/>
        <v>0</v>
      </c>
      <c r="Z309" s="223">
        <f t="shared" si="102"/>
        <v>0</v>
      </c>
      <c r="AA309" s="223"/>
      <c r="AB309" s="807"/>
      <c r="AC309" s="220"/>
      <c r="AD309" s="209"/>
      <c r="AE309" s="210"/>
      <c r="AF309" s="210"/>
      <c r="AG309" s="211">
        <f t="shared" si="103"/>
        <v>0.308</v>
      </c>
      <c r="AH309" s="157">
        <f t="shared" ref="AH309:AH316" si="105">(Z309*AG309)/1000</f>
        <v>0</v>
      </c>
      <c r="AI309" s="152">
        <f t="shared" si="96"/>
        <v>9288</v>
      </c>
      <c r="AK309" s="156" t="s">
        <v>691</v>
      </c>
      <c r="AL309" s="574" t="s">
        <v>690</v>
      </c>
      <c r="AM309" s="198">
        <f>AG309*Z309</f>
        <v>0</v>
      </c>
      <c r="AN309" s="199">
        <f t="shared" si="87"/>
        <v>45345</v>
      </c>
      <c r="AO309" s="159" t="s">
        <v>692</v>
      </c>
      <c r="AP309" s="781"/>
      <c r="AQ309" s="782">
        <v>12063755</v>
      </c>
      <c r="AR309" s="782">
        <v>12061353</v>
      </c>
      <c r="AS309" s="782">
        <v>12061354</v>
      </c>
      <c r="AT309" s="782">
        <v>12068566</v>
      </c>
      <c r="AU309" s="781"/>
      <c r="AV309" s="782">
        <v>12068564</v>
      </c>
      <c r="AW309" s="782">
        <v>12062153</v>
      </c>
      <c r="AX309" s="782"/>
      <c r="AY309" s="782">
        <v>12068565</v>
      </c>
      <c r="AZ309" s="782"/>
      <c r="BA309" s="781"/>
    </row>
    <row r="310" spans="1:53" ht="25" hidden="1" customHeight="1">
      <c r="B310" s="213">
        <v>45345</v>
      </c>
      <c r="C310" s="578">
        <v>45356</v>
      </c>
      <c r="D310" s="185">
        <f t="shared" si="85"/>
        <v>2024</v>
      </c>
      <c r="E310" s="215" t="str">
        <f>VLOOKUP($B310,Week!$A$1:$C$1462,2,0)</f>
        <v>Week8</v>
      </c>
      <c r="F310" s="216" t="str">
        <f t="shared" si="86"/>
        <v>Feb</v>
      </c>
      <c r="G310" s="215" t="s">
        <v>873</v>
      </c>
      <c r="H310" s="215" t="s">
        <v>104</v>
      </c>
      <c r="I310" s="215" t="s">
        <v>2772</v>
      </c>
      <c r="J310" s="209" t="s">
        <v>105</v>
      </c>
      <c r="K310" s="217" t="s">
        <v>107</v>
      </c>
      <c r="L310" s="300" t="s">
        <v>2167</v>
      </c>
      <c r="M310" s="209" t="s">
        <v>108</v>
      </c>
      <c r="N310" s="215" t="s">
        <v>109</v>
      </c>
      <c r="O310" s="215" t="s">
        <v>110</v>
      </c>
      <c r="P310" s="218">
        <v>36</v>
      </c>
      <c r="Q310" s="218">
        <v>5</v>
      </c>
      <c r="R310" s="219">
        <v>7.4999999999999997E-3</v>
      </c>
      <c r="S310" s="215" t="s">
        <v>111</v>
      </c>
      <c r="T310" s="215" t="s">
        <v>112</v>
      </c>
      <c r="U310" s="215" t="s">
        <v>113</v>
      </c>
      <c r="V310" s="220">
        <v>792</v>
      </c>
      <c r="W310" s="220">
        <f>792</f>
        <v>792</v>
      </c>
      <c r="X310" s="221"/>
      <c r="Y310" s="222">
        <f t="shared" si="101"/>
        <v>0</v>
      </c>
      <c r="Z310" s="223">
        <f t="shared" si="102"/>
        <v>0</v>
      </c>
      <c r="AA310" s="223"/>
      <c r="AB310" s="807"/>
      <c r="AC310" s="220"/>
      <c r="AD310" s="209"/>
      <c r="AE310" s="210"/>
      <c r="AF310" s="210"/>
      <c r="AG310" s="211">
        <f t="shared" si="103"/>
        <v>0.308</v>
      </c>
      <c r="AH310" s="157">
        <f t="shared" si="105"/>
        <v>0</v>
      </c>
      <c r="AI310" s="152">
        <f t="shared" si="96"/>
        <v>28512</v>
      </c>
      <c r="AK310" s="156" t="s">
        <v>691</v>
      </c>
      <c r="AL310" s="574" t="s">
        <v>690</v>
      </c>
      <c r="AM310" s="198">
        <f t="shared" si="104"/>
        <v>0</v>
      </c>
      <c r="AN310" s="199">
        <f t="shared" si="87"/>
        <v>45345</v>
      </c>
      <c r="AO310" s="159" t="s">
        <v>692</v>
      </c>
      <c r="AP310" s="781"/>
      <c r="AQ310" s="782">
        <v>12063755</v>
      </c>
      <c r="AR310" s="782">
        <v>12061353</v>
      </c>
      <c r="AS310" s="782">
        <v>12061354</v>
      </c>
      <c r="AT310" s="782">
        <v>12068566</v>
      </c>
      <c r="AU310" s="781"/>
      <c r="AV310" s="782">
        <v>12068564</v>
      </c>
      <c r="AW310" s="782">
        <v>12062153</v>
      </c>
      <c r="AX310" s="782"/>
      <c r="AY310" s="782">
        <v>12068565</v>
      </c>
      <c r="AZ310" s="782"/>
      <c r="BA310" s="781"/>
    </row>
    <row r="311" spans="1:53" ht="25" hidden="1" customHeight="1">
      <c r="B311" s="213">
        <v>45345</v>
      </c>
      <c r="C311" s="578">
        <v>45356</v>
      </c>
      <c r="D311" s="185">
        <f t="shared" si="85"/>
        <v>2024</v>
      </c>
      <c r="E311" s="215" t="str">
        <f>VLOOKUP($B311,Week!$A$1:$C$1462,2,0)</f>
        <v>Week8</v>
      </c>
      <c r="F311" s="216" t="str">
        <f t="shared" si="86"/>
        <v>Feb</v>
      </c>
      <c r="G311" s="215" t="s">
        <v>874</v>
      </c>
      <c r="H311" s="215" t="s">
        <v>104</v>
      </c>
      <c r="I311" s="215" t="s">
        <v>2772</v>
      </c>
      <c r="J311" s="209" t="s">
        <v>105</v>
      </c>
      <c r="K311" s="217" t="s">
        <v>107</v>
      </c>
      <c r="L311" s="300" t="s">
        <v>2167</v>
      </c>
      <c r="M311" s="209" t="s">
        <v>108</v>
      </c>
      <c r="N311" s="215" t="s">
        <v>109</v>
      </c>
      <c r="O311" s="215" t="s">
        <v>110</v>
      </c>
      <c r="P311" s="218">
        <v>36</v>
      </c>
      <c r="Q311" s="218">
        <v>5</v>
      </c>
      <c r="R311" s="219">
        <v>7.4999999999999997E-3</v>
      </c>
      <c r="S311" s="215" t="s">
        <v>111</v>
      </c>
      <c r="T311" s="215" t="s">
        <v>112</v>
      </c>
      <c r="U311" s="215" t="s">
        <v>113</v>
      </c>
      <c r="V311" s="220">
        <v>489</v>
      </c>
      <c r="W311" s="220">
        <f>1462-181-792</f>
        <v>489</v>
      </c>
      <c r="X311" s="221"/>
      <c r="Y311" s="222">
        <f t="shared" si="101"/>
        <v>0</v>
      </c>
      <c r="Z311" s="223">
        <f t="shared" si="102"/>
        <v>0</v>
      </c>
      <c r="AA311" s="223"/>
      <c r="AB311" s="807"/>
      <c r="AC311" s="220"/>
      <c r="AD311" s="209"/>
      <c r="AE311" s="210"/>
      <c r="AF311" s="210"/>
      <c r="AG311" s="211">
        <f t="shared" si="103"/>
        <v>0.308</v>
      </c>
      <c r="AH311" s="157">
        <f t="shared" si="105"/>
        <v>0</v>
      </c>
      <c r="AI311" s="152">
        <f t="shared" si="96"/>
        <v>17604</v>
      </c>
      <c r="AK311" s="156" t="s">
        <v>691</v>
      </c>
      <c r="AL311" s="574" t="s">
        <v>690</v>
      </c>
      <c r="AM311" s="198">
        <f t="shared" si="104"/>
        <v>0</v>
      </c>
      <c r="AN311" s="199">
        <f t="shared" si="87"/>
        <v>45345</v>
      </c>
      <c r="AO311" s="159" t="s">
        <v>692</v>
      </c>
      <c r="AP311" s="781"/>
      <c r="AQ311" s="782">
        <v>12063755</v>
      </c>
      <c r="AR311" s="782">
        <v>12061353</v>
      </c>
      <c r="AS311" s="782">
        <v>12061354</v>
      </c>
      <c r="AT311" s="782">
        <v>12068566</v>
      </c>
      <c r="AU311" s="781"/>
      <c r="AV311" s="782">
        <v>12068564</v>
      </c>
      <c r="AW311" s="782">
        <v>12062153</v>
      </c>
      <c r="AX311" s="782"/>
      <c r="AY311" s="782">
        <v>12068565</v>
      </c>
      <c r="AZ311" s="782"/>
      <c r="BA311" s="781"/>
    </row>
    <row r="312" spans="1:53" ht="25" hidden="1" customHeight="1">
      <c r="B312" s="357">
        <v>45345</v>
      </c>
      <c r="C312" s="358">
        <v>45350</v>
      </c>
      <c r="D312" s="185">
        <f t="shared" si="85"/>
        <v>2024</v>
      </c>
      <c r="E312" s="358" t="str">
        <f>VLOOKUP($B312,Week!$A$1:$C$1462,2,0)</f>
        <v>Week8</v>
      </c>
      <c r="F312" s="360" t="str">
        <f t="shared" si="86"/>
        <v>Feb</v>
      </c>
      <c r="G312" s="359" t="s">
        <v>47</v>
      </c>
      <c r="H312" s="359" t="s">
        <v>518</v>
      </c>
      <c r="I312" s="298" t="s">
        <v>2702</v>
      </c>
      <c r="J312" s="361" t="s">
        <v>70</v>
      </c>
      <c r="K312" s="362" t="s">
        <v>94</v>
      </c>
      <c r="L312" s="300" t="s">
        <v>2167</v>
      </c>
      <c r="M312" s="361" t="s">
        <v>519</v>
      </c>
      <c r="N312" s="359" t="s">
        <v>589</v>
      </c>
      <c r="O312" s="359" t="s">
        <v>97</v>
      </c>
      <c r="P312" s="363">
        <v>12</v>
      </c>
      <c r="Q312" s="363">
        <v>5</v>
      </c>
      <c r="R312" s="364">
        <v>8.0000000000000002E-3</v>
      </c>
      <c r="S312" s="359" t="s">
        <v>40</v>
      </c>
      <c r="T312" s="359" t="s">
        <v>56</v>
      </c>
      <c r="U312" s="359" t="s">
        <v>57</v>
      </c>
      <c r="V312" s="365">
        <f>788+757-1068</f>
        <v>477</v>
      </c>
      <c r="W312" s="365">
        <v>477</v>
      </c>
      <c r="X312" s="366"/>
      <c r="Y312" s="367">
        <f t="shared" si="101"/>
        <v>0</v>
      </c>
      <c r="Z312" s="368">
        <f t="shared" si="102"/>
        <v>0</v>
      </c>
      <c r="AA312" s="368"/>
      <c r="AB312" s="819"/>
      <c r="AC312" s="365"/>
      <c r="AD312" s="209"/>
      <c r="AE312" s="210"/>
      <c r="AF312" s="210"/>
      <c r="AG312" s="211">
        <f t="shared" si="103"/>
        <v>0.14499999999999999</v>
      </c>
      <c r="AH312" s="157">
        <f t="shared" si="105"/>
        <v>0</v>
      </c>
      <c r="AI312" s="152">
        <f t="shared" si="96"/>
        <v>5724</v>
      </c>
      <c r="AK312" s="156" t="s">
        <v>691</v>
      </c>
      <c r="AL312" s="574" t="s">
        <v>690</v>
      </c>
      <c r="AM312" s="198">
        <f t="shared" si="104"/>
        <v>0</v>
      </c>
      <c r="AN312" s="199">
        <f t="shared" si="87"/>
        <v>45345</v>
      </c>
      <c r="AO312" s="159" t="s">
        <v>692</v>
      </c>
      <c r="AP312" s="783" t="s">
        <v>628</v>
      </c>
      <c r="AQ312" s="782">
        <v>12071839</v>
      </c>
      <c r="AR312" s="782">
        <v>12047514</v>
      </c>
      <c r="AS312" s="782">
        <v>12047515</v>
      </c>
      <c r="AT312" s="782"/>
      <c r="AU312" s="781"/>
      <c r="AV312" s="782">
        <v>12080617</v>
      </c>
      <c r="AW312" s="782"/>
      <c r="AX312" s="782"/>
      <c r="AY312" s="782">
        <v>12080618</v>
      </c>
      <c r="AZ312" s="782">
        <v>12080619</v>
      </c>
      <c r="BA312" s="781"/>
    </row>
    <row r="313" spans="1:53" ht="25" hidden="1" customHeight="1">
      <c r="B313" s="357">
        <v>45345</v>
      </c>
      <c r="C313" s="358">
        <v>45352</v>
      </c>
      <c r="D313" s="185">
        <f t="shared" si="85"/>
        <v>2024</v>
      </c>
      <c r="E313" s="358" t="str">
        <f>VLOOKUP($B313,Week!$A$1:$C$1462,2,0)</f>
        <v>Week8</v>
      </c>
      <c r="F313" s="360" t="str">
        <f t="shared" si="86"/>
        <v>Feb</v>
      </c>
      <c r="G313" s="359" t="s">
        <v>47</v>
      </c>
      <c r="H313" s="359" t="s">
        <v>518</v>
      </c>
      <c r="I313" s="298" t="s">
        <v>2702</v>
      </c>
      <c r="J313" s="361" t="s">
        <v>70</v>
      </c>
      <c r="K313" s="362" t="s">
        <v>94</v>
      </c>
      <c r="L313" s="300" t="s">
        <v>2167</v>
      </c>
      <c r="M313" s="361" t="s">
        <v>519</v>
      </c>
      <c r="N313" s="359" t="s">
        <v>589</v>
      </c>
      <c r="O313" s="359" t="s">
        <v>97</v>
      </c>
      <c r="P313" s="363">
        <v>12</v>
      </c>
      <c r="Q313" s="363">
        <v>5</v>
      </c>
      <c r="R313" s="364">
        <v>8.0000000000000002E-3</v>
      </c>
      <c r="S313" s="359" t="s">
        <v>40</v>
      </c>
      <c r="T313" s="359" t="s">
        <v>56</v>
      </c>
      <c r="U313" s="359" t="s">
        <v>57</v>
      </c>
      <c r="V313" s="365">
        <f>417</f>
        <v>417</v>
      </c>
      <c r="W313" s="365">
        <v>417</v>
      </c>
      <c r="X313" s="366"/>
      <c r="Y313" s="367">
        <f t="shared" si="101"/>
        <v>0</v>
      </c>
      <c r="Z313" s="368">
        <f t="shared" si="102"/>
        <v>0</v>
      </c>
      <c r="AA313" s="368"/>
      <c r="AB313" s="819"/>
      <c r="AC313" s="365"/>
      <c r="AD313" s="209"/>
      <c r="AE313" s="210"/>
      <c r="AF313" s="210"/>
      <c r="AG313" s="211">
        <f t="shared" si="103"/>
        <v>0.14499999999999999</v>
      </c>
      <c r="AH313" s="157">
        <f>(Z313*AG313)/1000</f>
        <v>0</v>
      </c>
      <c r="AI313" s="152">
        <f t="shared" si="96"/>
        <v>5004</v>
      </c>
      <c r="AK313" s="156" t="s">
        <v>691</v>
      </c>
      <c r="AL313" s="574" t="s">
        <v>690</v>
      </c>
      <c r="AM313" s="198">
        <f>AG313*Z313</f>
        <v>0</v>
      </c>
      <c r="AN313" s="199">
        <f t="shared" si="87"/>
        <v>45345</v>
      </c>
      <c r="AO313" s="159" t="s">
        <v>692</v>
      </c>
      <c r="AP313" s="783" t="s">
        <v>628</v>
      </c>
      <c r="AQ313" s="782">
        <v>12071839</v>
      </c>
      <c r="AR313" s="782">
        <v>12047514</v>
      </c>
      <c r="AS313" s="782">
        <v>12047515</v>
      </c>
      <c r="AT313" s="782"/>
      <c r="AU313" s="781"/>
      <c r="AV313" s="782">
        <v>12080617</v>
      </c>
      <c r="AW313" s="782"/>
      <c r="AX313" s="782"/>
      <c r="AY313" s="782">
        <v>12080618</v>
      </c>
      <c r="AZ313" s="782">
        <v>12080619</v>
      </c>
      <c r="BA313" s="781"/>
    </row>
    <row r="314" spans="1:53" ht="24.65" hidden="1" customHeight="1">
      <c r="B314" s="546">
        <v>45345</v>
      </c>
      <c r="C314" s="547">
        <v>45350</v>
      </c>
      <c r="D314" s="185">
        <f t="shared" si="85"/>
        <v>2024</v>
      </c>
      <c r="E314" s="547" t="str">
        <f>VLOOKUP($B314,Week!$A$1:$C$1462,2,0)</f>
        <v>Week8</v>
      </c>
      <c r="F314" s="548" t="str">
        <f t="shared" si="86"/>
        <v>Feb</v>
      </c>
      <c r="G314" s="549" t="s">
        <v>47</v>
      </c>
      <c r="H314" s="549" t="s">
        <v>518</v>
      </c>
      <c r="I314" s="298" t="s">
        <v>2702</v>
      </c>
      <c r="J314" s="550" t="s">
        <v>70</v>
      </c>
      <c r="K314" s="551" t="s">
        <v>1020</v>
      </c>
      <c r="L314" s="300" t="s">
        <v>2167</v>
      </c>
      <c r="M314" s="550" t="s">
        <v>746</v>
      </c>
      <c r="N314" s="618" t="s">
        <v>751</v>
      </c>
      <c r="O314" s="549" t="s">
        <v>747</v>
      </c>
      <c r="P314" s="552">
        <v>12</v>
      </c>
      <c r="Q314" s="552">
        <v>5</v>
      </c>
      <c r="R314" s="549">
        <v>6.1999999999999998E-3</v>
      </c>
      <c r="S314" s="549" t="s">
        <v>352</v>
      </c>
      <c r="T314" s="549" t="s">
        <v>56</v>
      </c>
      <c r="U314" s="549" t="s">
        <v>739</v>
      </c>
      <c r="V314" s="554">
        <v>233</v>
      </c>
      <c r="W314" s="554">
        <f>53+35+145</f>
        <v>233</v>
      </c>
      <c r="X314" s="555"/>
      <c r="Y314" s="556">
        <f t="shared" si="101"/>
        <v>0</v>
      </c>
      <c r="Z314" s="557">
        <f t="shared" si="102"/>
        <v>0</v>
      </c>
      <c r="AA314" s="557"/>
      <c r="AB314" s="833"/>
      <c r="AC314" s="554"/>
      <c r="AD314" s="209"/>
      <c r="AE314" s="210"/>
      <c r="AF314" s="210"/>
      <c r="AG314" s="211">
        <f t="shared" si="103"/>
        <v>0.14299999999999999</v>
      </c>
      <c r="AH314" s="157">
        <f>(Z314*AG314)/1000</f>
        <v>0</v>
      </c>
      <c r="AI314" s="152">
        <f t="shared" si="96"/>
        <v>2796</v>
      </c>
      <c r="AK314" s="156" t="s">
        <v>691</v>
      </c>
      <c r="AL314" s="212" t="s">
        <v>690</v>
      </c>
      <c r="AM314" s="198">
        <f>AG314*Z314</f>
        <v>0</v>
      </c>
      <c r="AN314" s="199">
        <f t="shared" si="87"/>
        <v>45345</v>
      </c>
      <c r="AO314" s="159" t="s">
        <v>692</v>
      </c>
      <c r="AP314" s="783" t="s">
        <v>609</v>
      </c>
      <c r="AQ314" s="782">
        <v>12071839</v>
      </c>
      <c r="AR314" s="782">
        <v>12047514</v>
      </c>
      <c r="AS314" s="782">
        <v>12047515</v>
      </c>
      <c r="AT314" s="781"/>
      <c r="AU314" s="781"/>
      <c r="AV314" s="782">
        <v>12080613</v>
      </c>
      <c r="AW314" s="781"/>
      <c r="AX314" s="781"/>
      <c r="AY314" s="782">
        <v>12080614</v>
      </c>
      <c r="AZ314" s="782">
        <v>12080616</v>
      </c>
      <c r="BA314" s="781"/>
    </row>
    <row r="315" spans="1:53" ht="24.65" hidden="1" customHeight="1">
      <c r="B315" s="246">
        <v>45345</v>
      </c>
      <c r="C315" s="247">
        <v>45350</v>
      </c>
      <c r="D315" s="185">
        <f t="shared" si="85"/>
        <v>2024</v>
      </c>
      <c r="E315" s="247" t="str">
        <f>VLOOKUP($B315,Week!$A$1:$C$1462,2,0)</f>
        <v>Week8</v>
      </c>
      <c r="F315" s="248" t="str">
        <f t="shared" si="86"/>
        <v>Feb</v>
      </c>
      <c r="G315" s="249" t="s">
        <v>47</v>
      </c>
      <c r="H315" s="249" t="s">
        <v>260</v>
      </c>
      <c r="I315" s="298" t="s">
        <v>2702</v>
      </c>
      <c r="J315" s="250" t="s">
        <v>70</v>
      </c>
      <c r="K315" s="251" t="s">
        <v>1020</v>
      </c>
      <c r="L315" s="300" t="s">
        <v>2167</v>
      </c>
      <c r="M315" s="250" t="s">
        <v>741</v>
      </c>
      <c r="N315" s="249" t="s">
        <v>740</v>
      </c>
      <c r="O315" s="249" t="s">
        <v>742</v>
      </c>
      <c r="P315" s="252">
        <v>24</v>
      </c>
      <c r="Q315" s="252">
        <v>5</v>
      </c>
      <c r="R315" s="249">
        <v>6.1999999999999998E-3</v>
      </c>
      <c r="S315" s="249" t="s">
        <v>352</v>
      </c>
      <c r="T315" s="249" t="s">
        <v>56</v>
      </c>
      <c r="U315" s="249" t="s">
        <v>739</v>
      </c>
      <c r="V315" s="254">
        <f>1000-5</f>
        <v>995</v>
      </c>
      <c r="W315" s="254">
        <v>995</v>
      </c>
      <c r="X315" s="255"/>
      <c r="Y315" s="256">
        <f t="shared" si="101"/>
        <v>0</v>
      </c>
      <c r="Z315" s="257">
        <f t="shared" si="102"/>
        <v>0</v>
      </c>
      <c r="AA315" s="257"/>
      <c r="AB315" s="810"/>
      <c r="AC315" s="254"/>
      <c r="AD315" s="209"/>
      <c r="AE315" s="210"/>
      <c r="AF315" s="210"/>
      <c r="AG315" s="211">
        <f t="shared" si="103"/>
        <v>0.14299999999999999</v>
      </c>
      <c r="AH315" s="157">
        <f>(Z315*AG315)/1000</f>
        <v>0</v>
      </c>
      <c r="AI315" s="152">
        <f t="shared" si="96"/>
        <v>23880</v>
      </c>
      <c r="AK315" s="156" t="s">
        <v>691</v>
      </c>
      <c r="AL315" s="212" t="s">
        <v>690</v>
      </c>
      <c r="AM315" s="198">
        <f>AG315*Z315</f>
        <v>0</v>
      </c>
      <c r="AN315" s="199">
        <f t="shared" si="87"/>
        <v>45345</v>
      </c>
      <c r="AO315" s="159" t="s">
        <v>692</v>
      </c>
      <c r="AP315" s="783" t="s">
        <v>609</v>
      </c>
      <c r="AQ315" s="782">
        <v>12071839</v>
      </c>
      <c r="AR315" s="782">
        <v>12047514</v>
      </c>
      <c r="AS315" s="782">
        <v>12047515</v>
      </c>
      <c r="AT315" s="781"/>
      <c r="AU315" s="781"/>
      <c r="AV315" s="782">
        <v>12080613</v>
      </c>
      <c r="AW315" s="781"/>
      <c r="AX315" s="781"/>
      <c r="AY315" s="782">
        <v>12080614</v>
      </c>
      <c r="AZ315" s="782">
        <v>12080616</v>
      </c>
      <c r="BA315" s="781"/>
    </row>
    <row r="316" spans="1:53" ht="25" hidden="1" customHeight="1">
      <c r="A316" s="142" t="s">
        <v>120</v>
      </c>
      <c r="B316" s="466">
        <v>45345</v>
      </c>
      <c r="C316" s="467">
        <v>45353</v>
      </c>
      <c r="D316" s="185">
        <f t="shared" si="85"/>
        <v>2024</v>
      </c>
      <c r="E316" s="468" t="str">
        <f>VLOOKUP($B316,Week!$A$1:$C$1462,2,0)</f>
        <v>Week8</v>
      </c>
      <c r="F316" s="469" t="str">
        <f t="shared" si="86"/>
        <v>Feb</v>
      </c>
      <c r="G316" s="470" t="s">
        <v>900</v>
      </c>
      <c r="H316" s="468" t="s">
        <v>82</v>
      </c>
      <c r="I316" s="468" t="s">
        <v>82</v>
      </c>
      <c r="J316" s="471" t="s">
        <v>720</v>
      </c>
      <c r="K316" s="472" t="s">
        <v>85</v>
      </c>
      <c r="L316" s="390" t="s">
        <v>2166</v>
      </c>
      <c r="M316" s="471" t="s">
        <v>579</v>
      </c>
      <c r="N316" s="468" t="s">
        <v>580</v>
      </c>
      <c r="O316" s="468" t="s">
        <v>581</v>
      </c>
      <c r="P316" s="473">
        <v>8</v>
      </c>
      <c r="Q316" s="473">
        <v>60</v>
      </c>
      <c r="R316" s="474">
        <v>6.8100000000000001E-3</v>
      </c>
      <c r="S316" s="468" t="s">
        <v>76</v>
      </c>
      <c r="T316" s="468" t="s">
        <v>56</v>
      </c>
      <c r="U316" s="468" t="s">
        <v>89</v>
      </c>
      <c r="V316" s="475">
        <v>633</v>
      </c>
      <c r="W316" s="475">
        <v>633</v>
      </c>
      <c r="X316" s="476"/>
      <c r="Y316" s="477">
        <f t="shared" si="101"/>
        <v>0</v>
      </c>
      <c r="Z316" s="478">
        <f t="shared" si="102"/>
        <v>0</v>
      </c>
      <c r="AA316" s="478">
        <f>Q316*Z316</f>
        <v>0</v>
      </c>
      <c r="AB316" s="828">
        <v>6</v>
      </c>
      <c r="AC316" s="475">
        <f>Z316*AB316</f>
        <v>0</v>
      </c>
      <c r="AD316" s="209"/>
      <c r="AE316" s="210"/>
      <c r="AF316" s="210"/>
      <c r="AG316" s="211">
        <f t="shared" si="103"/>
        <v>0.75</v>
      </c>
      <c r="AH316" s="157">
        <f t="shared" si="105"/>
        <v>0</v>
      </c>
      <c r="AI316" s="152">
        <f t="shared" si="96"/>
        <v>5064</v>
      </c>
      <c r="AK316" s="156" t="s">
        <v>691</v>
      </c>
      <c r="AL316" s="156" t="s">
        <v>689</v>
      </c>
      <c r="AM316" s="198">
        <f t="shared" si="104"/>
        <v>0</v>
      </c>
      <c r="AN316" s="199">
        <f t="shared" si="87"/>
        <v>45345</v>
      </c>
      <c r="AO316" s="159" t="s">
        <v>692</v>
      </c>
      <c r="AP316" s="783" t="s">
        <v>622</v>
      </c>
      <c r="AQ316" s="782">
        <v>12004862</v>
      </c>
      <c r="AR316" s="782">
        <v>12080753</v>
      </c>
      <c r="AS316" s="782"/>
      <c r="AT316" s="782">
        <v>12082897</v>
      </c>
      <c r="AU316" s="781"/>
      <c r="AV316" s="782">
        <v>12082898</v>
      </c>
      <c r="AW316" s="782">
        <v>12082899</v>
      </c>
      <c r="AX316" s="796" t="s">
        <v>621</v>
      </c>
      <c r="AY316" s="782"/>
      <c r="AZ316" s="782"/>
      <c r="BA316" s="781"/>
    </row>
    <row r="317" spans="1:53" ht="25" hidden="1" customHeight="1">
      <c r="B317" s="597">
        <v>45346</v>
      </c>
      <c r="C317" s="383">
        <v>45352</v>
      </c>
      <c r="D317" s="185">
        <f t="shared" si="85"/>
        <v>2024</v>
      </c>
      <c r="E317" s="224" t="str">
        <f>VLOOKUP($B317,Week!$A$1:$C$1462,2,0)</f>
        <v>Week8</v>
      </c>
      <c r="F317" s="226" t="str">
        <f t="shared" si="86"/>
        <v>Feb</v>
      </c>
      <c r="G317" s="225" t="s">
        <v>897</v>
      </c>
      <c r="H317" s="225" t="s">
        <v>225</v>
      </c>
      <c r="I317" s="225" t="s">
        <v>2773</v>
      </c>
      <c r="J317" s="227" t="s">
        <v>335</v>
      </c>
      <c r="K317" s="228" t="s">
        <v>176</v>
      </c>
      <c r="L317" s="300" t="s">
        <v>2167</v>
      </c>
      <c r="M317" s="227" t="s">
        <v>336</v>
      </c>
      <c r="N317" s="225" t="s">
        <v>337</v>
      </c>
      <c r="O317" s="225" t="s">
        <v>179</v>
      </c>
      <c r="P317" s="229">
        <v>36</v>
      </c>
      <c r="Q317" s="229">
        <v>5</v>
      </c>
      <c r="R317" s="230">
        <v>7.4999999999999997E-3</v>
      </c>
      <c r="S317" s="225" t="s">
        <v>111</v>
      </c>
      <c r="T317" s="225" t="s">
        <v>112</v>
      </c>
      <c r="U317" s="225" t="s">
        <v>113</v>
      </c>
      <c r="V317" s="231">
        <v>1288</v>
      </c>
      <c r="W317" s="231">
        <f>1368-1282+1202</f>
        <v>1288</v>
      </c>
      <c r="X317" s="232"/>
      <c r="Y317" s="233">
        <f t="shared" si="101"/>
        <v>0</v>
      </c>
      <c r="Z317" s="234">
        <f t="shared" si="102"/>
        <v>0</v>
      </c>
      <c r="AA317" s="234"/>
      <c r="AB317" s="822"/>
      <c r="AC317" s="231"/>
      <c r="AD317" s="307" t="s">
        <v>672</v>
      </c>
      <c r="AE317" s="210"/>
      <c r="AF317" s="210"/>
      <c r="AG317" s="211">
        <f t="shared" si="103"/>
        <v>0.14499999999999999</v>
      </c>
      <c r="AH317" s="157">
        <f>(Z317*AG317)/1000</f>
        <v>0</v>
      </c>
      <c r="AI317" s="152">
        <f t="shared" si="96"/>
        <v>46368</v>
      </c>
      <c r="AK317" s="156" t="s">
        <v>691</v>
      </c>
      <c r="AL317" s="574" t="s">
        <v>690</v>
      </c>
      <c r="AM317" s="198">
        <f t="shared" ref="AM317:AM327" si="106">AG317*Z317</f>
        <v>0</v>
      </c>
      <c r="AN317" s="199">
        <f t="shared" si="87"/>
        <v>45346</v>
      </c>
      <c r="AO317" s="159" t="s">
        <v>692</v>
      </c>
      <c r="AP317" s="783" t="s">
        <v>639</v>
      </c>
      <c r="AQ317" s="782">
        <v>12071839</v>
      </c>
      <c r="AR317" s="782">
        <v>12047514</v>
      </c>
      <c r="AS317" s="782">
        <v>12047515</v>
      </c>
      <c r="AT317" s="782">
        <v>12054919</v>
      </c>
      <c r="AU317" s="781"/>
      <c r="AV317" s="782">
        <v>12054869</v>
      </c>
      <c r="AW317" s="782">
        <v>12024404</v>
      </c>
      <c r="AX317" s="781"/>
      <c r="AY317" s="782">
        <v>12054815</v>
      </c>
      <c r="AZ317" s="781"/>
      <c r="BA317" s="781"/>
    </row>
    <row r="318" spans="1:53" ht="25" hidden="1" customHeight="1">
      <c r="B318" s="597">
        <v>45346</v>
      </c>
      <c r="C318" s="383">
        <v>45352</v>
      </c>
      <c r="D318" s="185">
        <f t="shared" si="85"/>
        <v>2024</v>
      </c>
      <c r="E318" s="224" t="str">
        <f>VLOOKUP($B318,Week!$A$1:$C$1462,2,0)</f>
        <v>Week8</v>
      </c>
      <c r="F318" s="226" t="str">
        <f t="shared" si="86"/>
        <v>Feb</v>
      </c>
      <c r="G318" s="225" t="s">
        <v>898</v>
      </c>
      <c r="H318" s="225" t="s">
        <v>225</v>
      </c>
      <c r="I318" s="225" t="s">
        <v>2773</v>
      </c>
      <c r="J318" s="227" t="s">
        <v>335</v>
      </c>
      <c r="K318" s="228" t="s">
        <v>176</v>
      </c>
      <c r="L318" s="300" t="s">
        <v>2167</v>
      </c>
      <c r="M318" s="227" t="s">
        <v>336</v>
      </c>
      <c r="N318" s="225" t="s">
        <v>337</v>
      </c>
      <c r="O318" s="225" t="s">
        <v>179</v>
      </c>
      <c r="P318" s="229">
        <v>36</v>
      </c>
      <c r="Q318" s="229">
        <v>5</v>
      </c>
      <c r="R318" s="230">
        <v>7.4999999999999997E-3</v>
      </c>
      <c r="S318" s="225" t="s">
        <v>111</v>
      </c>
      <c r="T318" s="225" t="s">
        <v>112</v>
      </c>
      <c r="U318" s="225" t="s">
        <v>113</v>
      </c>
      <c r="V318" s="231">
        <v>1288</v>
      </c>
      <c r="W318" s="231">
        <v>1288</v>
      </c>
      <c r="X318" s="232"/>
      <c r="Y318" s="233">
        <f t="shared" si="101"/>
        <v>0</v>
      </c>
      <c r="Z318" s="234">
        <f t="shared" si="102"/>
        <v>0</v>
      </c>
      <c r="AA318" s="234"/>
      <c r="AB318" s="822"/>
      <c r="AC318" s="231"/>
      <c r="AD318" s="307" t="s">
        <v>672</v>
      </c>
      <c r="AE318" s="210"/>
      <c r="AF318" s="210"/>
      <c r="AG318" s="211">
        <f t="shared" si="103"/>
        <v>0.14499999999999999</v>
      </c>
      <c r="AH318" s="157">
        <f>(Z318*AG318)/1000</f>
        <v>0</v>
      </c>
      <c r="AI318" s="152">
        <f t="shared" si="96"/>
        <v>46368</v>
      </c>
      <c r="AK318" s="156" t="s">
        <v>691</v>
      </c>
      <c r="AL318" s="574" t="s">
        <v>690</v>
      </c>
      <c r="AM318" s="198">
        <f t="shared" si="106"/>
        <v>0</v>
      </c>
      <c r="AN318" s="199">
        <f t="shared" si="87"/>
        <v>45346</v>
      </c>
      <c r="AO318" s="159" t="s">
        <v>692</v>
      </c>
      <c r="AP318" s="783" t="s">
        <v>639</v>
      </c>
      <c r="AQ318" s="782">
        <v>12071839</v>
      </c>
      <c r="AR318" s="782">
        <v>12047514</v>
      </c>
      <c r="AS318" s="782">
        <v>12047515</v>
      </c>
      <c r="AT318" s="782">
        <v>12054919</v>
      </c>
      <c r="AU318" s="781"/>
      <c r="AV318" s="782">
        <v>12054869</v>
      </c>
      <c r="AW318" s="782">
        <v>12024404</v>
      </c>
      <c r="AX318" s="781"/>
      <c r="AY318" s="782">
        <v>12054815</v>
      </c>
      <c r="AZ318" s="781"/>
      <c r="BA318" s="781"/>
    </row>
    <row r="319" spans="1:53" ht="25" hidden="1" customHeight="1">
      <c r="B319" s="597">
        <v>45346</v>
      </c>
      <c r="C319" s="383">
        <v>45358</v>
      </c>
      <c r="D319" s="185">
        <f t="shared" si="85"/>
        <v>2024</v>
      </c>
      <c r="E319" s="224" t="str">
        <f>VLOOKUP($B319,Week!$A$1:$C$1462,2,0)</f>
        <v>Week8</v>
      </c>
      <c r="F319" s="226" t="str">
        <f t="shared" si="86"/>
        <v>Feb</v>
      </c>
      <c r="G319" s="225" t="s">
        <v>899</v>
      </c>
      <c r="H319" s="225" t="s">
        <v>225</v>
      </c>
      <c r="I319" s="225" t="s">
        <v>2773</v>
      </c>
      <c r="J319" s="227" t="s">
        <v>335</v>
      </c>
      <c r="K319" s="228" t="s">
        <v>176</v>
      </c>
      <c r="L319" s="300" t="s">
        <v>2167</v>
      </c>
      <c r="M319" s="227" t="s">
        <v>336</v>
      </c>
      <c r="N319" s="225" t="s">
        <v>337</v>
      </c>
      <c r="O319" s="225" t="s">
        <v>179</v>
      </c>
      <c r="P319" s="229">
        <v>36</v>
      </c>
      <c r="Q319" s="229">
        <v>5</v>
      </c>
      <c r="R319" s="230">
        <v>7.4999999999999997E-3</v>
      </c>
      <c r="S319" s="225" t="s">
        <v>111</v>
      </c>
      <c r="T319" s="225" t="s">
        <v>112</v>
      </c>
      <c r="U319" s="225" t="s">
        <v>113</v>
      </c>
      <c r="V319" s="231">
        <v>1288</v>
      </c>
      <c r="W319" s="231">
        <f>3471-1202-1288</f>
        <v>981</v>
      </c>
      <c r="X319" s="232">
        <f>(10952+139)/36</f>
        <v>308.08333333333331</v>
      </c>
      <c r="Y319" s="233">
        <f t="shared" si="101"/>
        <v>1.0833333333332575</v>
      </c>
      <c r="Z319" s="234">
        <f t="shared" si="102"/>
        <v>0</v>
      </c>
      <c r="AA319" s="234"/>
      <c r="AB319" s="822"/>
      <c r="AC319" s="231"/>
      <c r="AD319" s="307" t="s">
        <v>672</v>
      </c>
      <c r="AE319" s="210"/>
      <c r="AF319" s="210"/>
      <c r="AG319" s="211">
        <f t="shared" si="103"/>
        <v>0.14499999999999999</v>
      </c>
      <c r="AH319" s="157">
        <f>(Z319*AG319)/1000</f>
        <v>0</v>
      </c>
      <c r="AI319" s="152">
        <f t="shared" si="96"/>
        <v>46368</v>
      </c>
      <c r="AK319" s="156" t="s">
        <v>691</v>
      </c>
      <c r="AL319" s="574" t="s">
        <v>690</v>
      </c>
      <c r="AM319" s="198">
        <f t="shared" si="106"/>
        <v>0</v>
      </c>
      <c r="AN319" s="199">
        <f t="shared" si="87"/>
        <v>45346</v>
      </c>
      <c r="AO319" s="159" t="s">
        <v>692</v>
      </c>
      <c r="AP319" s="783" t="s">
        <v>639</v>
      </c>
      <c r="AQ319" s="782">
        <v>12071839</v>
      </c>
      <c r="AR319" s="782">
        <v>12047514</v>
      </c>
      <c r="AS319" s="782">
        <v>12047515</v>
      </c>
      <c r="AT319" s="782">
        <v>12054919</v>
      </c>
      <c r="AU319" s="781"/>
      <c r="AV319" s="782">
        <v>12054869</v>
      </c>
      <c r="AW319" s="782">
        <v>12024404</v>
      </c>
      <c r="AX319" s="781"/>
      <c r="AY319" s="782">
        <v>12054815</v>
      </c>
      <c r="AZ319" s="781"/>
      <c r="BA319" s="781"/>
    </row>
    <row r="320" spans="1:53" ht="25" hidden="1" customHeight="1">
      <c r="B320" s="183">
        <v>45347</v>
      </c>
      <c r="C320" s="184"/>
      <c r="D320" s="185">
        <f t="shared" si="85"/>
        <v>2024</v>
      </c>
      <c r="E320" s="185" t="str">
        <f>VLOOKUP($B320,Week!$A$1:$C$1462,2,0)</f>
        <v>Week8</v>
      </c>
      <c r="F320" s="186" t="str">
        <f t="shared" si="86"/>
        <v>Feb</v>
      </c>
      <c r="G320" s="185"/>
      <c r="H320" s="185"/>
      <c r="I320" s="185"/>
      <c r="J320" s="187"/>
      <c r="K320" s="188"/>
      <c r="L320" s="300"/>
      <c r="M320" s="187"/>
      <c r="N320" s="185"/>
      <c r="O320" s="185"/>
      <c r="P320" s="189"/>
      <c r="Q320" s="189"/>
      <c r="R320" s="190"/>
      <c r="S320" s="185"/>
      <c r="T320" s="185"/>
      <c r="U320" s="185"/>
      <c r="V320" s="191"/>
      <c r="W320" s="191"/>
      <c r="X320" s="192"/>
      <c r="Y320" s="193"/>
      <c r="Z320" s="194"/>
      <c r="AA320" s="194"/>
      <c r="AB320" s="805"/>
      <c r="AC320" s="191"/>
      <c r="AD320" s="187"/>
      <c r="AE320" s="195"/>
      <c r="AF320" s="195"/>
      <c r="AG320" s="196"/>
      <c r="AH320" s="197"/>
      <c r="AK320" s="156" t="s">
        <v>691</v>
      </c>
      <c r="AM320" s="198">
        <f t="shared" si="106"/>
        <v>0</v>
      </c>
      <c r="AN320" s="199">
        <f t="shared" si="87"/>
        <v>45347</v>
      </c>
      <c r="AO320" s="159" t="s">
        <v>692</v>
      </c>
      <c r="AP320" s="781"/>
      <c r="AQ320" s="782"/>
      <c r="AR320" s="782"/>
      <c r="AS320" s="782"/>
      <c r="AT320" s="782"/>
      <c r="AU320" s="781"/>
      <c r="AV320" s="782"/>
      <c r="AW320" s="782"/>
      <c r="AX320" s="782"/>
      <c r="AY320" s="782"/>
      <c r="AZ320" s="782"/>
      <c r="BA320" s="781"/>
    </row>
    <row r="321" spans="1:53" ht="25" hidden="1" customHeight="1">
      <c r="B321" s="213">
        <v>45348</v>
      </c>
      <c r="C321" s="578">
        <v>45356</v>
      </c>
      <c r="D321" s="185">
        <f t="shared" si="85"/>
        <v>2024</v>
      </c>
      <c r="E321" s="215" t="str">
        <f>VLOOKUP($B321,Week!$A$1:$C$1462,2,0)</f>
        <v>Week9</v>
      </c>
      <c r="F321" s="216" t="str">
        <f t="shared" si="86"/>
        <v>Feb</v>
      </c>
      <c r="G321" s="215" t="s">
        <v>874</v>
      </c>
      <c r="H321" s="215" t="s">
        <v>104</v>
      </c>
      <c r="I321" s="215" t="s">
        <v>2772</v>
      </c>
      <c r="J321" s="209" t="s">
        <v>105</v>
      </c>
      <c r="K321" s="217" t="s">
        <v>107</v>
      </c>
      <c r="L321" s="300" t="s">
        <v>2167</v>
      </c>
      <c r="M321" s="209" t="s">
        <v>108</v>
      </c>
      <c r="N321" s="215" t="s">
        <v>109</v>
      </c>
      <c r="O321" s="215" t="s">
        <v>110</v>
      </c>
      <c r="P321" s="218">
        <v>36</v>
      </c>
      <c r="Q321" s="218">
        <v>5</v>
      </c>
      <c r="R321" s="219">
        <v>7.4999999999999997E-3</v>
      </c>
      <c r="S321" s="215" t="s">
        <v>111</v>
      </c>
      <c r="T321" s="215" t="s">
        <v>112</v>
      </c>
      <c r="U321" s="215" t="s">
        <v>113</v>
      </c>
      <c r="V321" s="220">
        <f>792-489</f>
        <v>303</v>
      </c>
      <c r="W321" s="220">
        <f>792-489</f>
        <v>303</v>
      </c>
      <c r="X321" s="221"/>
      <c r="Y321" s="222">
        <f t="shared" ref="Y321:Y362" si="107">(W321+X321)-V321</f>
        <v>0</v>
      </c>
      <c r="Z321" s="223">
        <f t="shared" ref="Z321:Z362" si="108">IF(Y321&lt;0,((V321*P321)-((W321+X321)*P321)),0)</f>
        <v>0</v>
      </c>
      <c r="AA321" s="223"/>
      <c r="AB321" s="807"/>
      <c r="AC321" s="220"/>
      <c r="AD321" s="209"/>
      <c r="AE321" s="210"/>
      <c r="AF321" s="210"/>
      <c r="AG321" s="211">
        <f t="shared" ref="AG321:AG327" si="109">MID(O321,1,3)/1000</f>
        <v>0.308</v>
      </c>
      <c r="AH321" s="157">
        <f t="shared" ref="AH321:AH328" si="110">(Z321*AG321)/1000</f>
        <v>0</v>
      </c>
      <c r="AI321" s="152">
        <f t="shared" ref="AI321:AI356" si="111">V321*P321</f>
        <v>10908</v>
      </c>
      <c r="AK321" s="156" t="s">
        <v>691</v>
      </c>
      <c r="AL321" s="574" t="s">
        <v>690</v>
      </c>
      <c r="AM321" s="198">
        <f>AG321*Z321</f>
        <v>0</v>
      </c>
      <c r="AN321" s="199">
        <f t="shared" si="87"/>
        <v>45348</v>
      </c>
      <c r="AO321" s="159" t="s">
        <v>692</v>
      </c>
      <c r="AP321" s="781"/>
      <c r="AQ321" s="782">
        <v>12063755</v>
      </c>
      <c r="AR321" s="782">
        <v>12061353</v>
      </c>
      <c r="AS321" s="782">
        <v>12061354</v>
      </c>
      <c r="AT321" s="782">
        <v>12068566</v>
      </c>
      <c r="AU321" s="781"/>
      <c r="AV321" s="782">
        <v>12068564</v>
      </c>
      <c r="AW321" s="782">
        <v>12062153</v>
      </c>
      <c r="AX321" s="782"/>
      <c r="AY321" s="782">
        <v>12068565</v>
      </c>
      <c r="AZ321" s="782"/>
      <c r="BA321" s="781"/>
    </row>
    <row r="322" spans="1:53" ht="25" hidden="1" customHeight="1">
      <c r="B322" s="213">
        <v>45348</v>
      </c>
      <c r="C322" s="578">
        <v>45356</v>
      </c>
      <c r="D322" s="185">
        <f t="shared" si="85"/>
        <v>2024</v>
      </c>
      <c r="E322" s="215" t="str">
        <f>VLOOKUP($B322,Week!$A$1:$C$1462,2,0)</f>
        <v>Week9</v>
      </c>
      <c r="F322" s="216" t="str">
        <f t="shared" si="86"/>
        <v>Feb</v>
      </c>
      <c r="G322" s="215" t="s">
        <v>875</v>
      </c>
      <c r="H322" s="215" t="s">
        <v>104</v>
      </c>
      <c r="I322" s="215" t="s">
        <v>2772</v>
      </c>
      <c r="J322" s="209" t="s">
        <v>105</v>
      </c>
      <c r="K322" s="217" t="s">
        <v>107</v>
      </c>
      <c r="L322" s="300" t="s">
        <v>2167</v>
      </c>
      <c r="M322" s="209" t="s">
        <v>108</v>
      </c>
      <c r="N322" s="215" t="s">
        <v>109</v>
      </c>
      <c r="O322" s="215" t="s">
        <v>110</v>
      </c>
      <c r="P322" s="218">
        <v>36</v>
      </c>
      <c r="Q322" s="218">
        <v>5</v>
      </c>
      <c r="R322" s="219">
        <v>7.4999999999999997E-3</v>
      </c>
      <c r="S322" s="215" t="s">
        <v>111</v>
      </c>
      <c r="T322" s="215" t="s">
        <v>112</v>
      </c>
      <c r="U322" s="215" t="s">
        <v>113</v>
      </c>
      <c r="V322" s="220">
        <v>792</v>
      </c>
      <c r="W322" s="220">
        <v>792</v>
      </c>
      <c r="X322" s="221"/>
      <c r="Y322" s="222">
        <f t="shared" si="107"/>
        <v>0</v>
      </c>
      <c r="Z322" s="223">
        <f t="shared" si="108"/>
        <v>0</v>
      </c>
      <c r="AA322" s="223"/>
      <c r="AB322" s="807"/>
      <c r="AC322" s="220"/>
      <c r="AD322" s="209"/>
      <c r="AE322" s="210"/>
      <c r="AF322" s="210"/>
      <c r="AG322" s="211">
        <f t="shared" si="109"/>
        <v>0.308</v>
      </c>
      <c r="AH322" s="157">
        <f t="shared" si="110"/>
        <v>0</v>
      </c>
      <c r="AI322" s="152">
        <f t="shared" si="111"/>
        <v>28512</v>
      </c>
      <c r="AK322" s="156" t="s">
        <v>691</v>
      </c>
      <c r="AL322" s="574" t="s">
        <v>690</v>
      </c>
      <c r="AM322" s="198">
        <f>AG322*Z322</f>
        <v>0</v>
      </c>
      <c r="AN322" s="199">
        <f t="shared" si="87"/>
        <v>45348</v>
      </c>
      <c r="AO322" s="159" t="s">
        <v>692</v>
      </c>
      <c r="AP322" s="781"/>
      <c r="AQ322" s="782">
        <v>12063755</v>
      </c>
      <c r="AR322" s="782">
        <v>12061353</v>
      </c>
      <c r="AS322" s="782">
        <v>12061354</v>
      </c>
      <c r="AT322" s="782">
        <v>12068566</v>
      </c>
      <c r="AU322" s="781"/>
      <c r="AV322" s="782">
        <v>12068564</v>
      </c>
      <c r="AW322" s="782">
        <v>12062153</v>
      </c>
      <c r="AX322" s="782"/>
      <c r="AY322" s="782">
        <v>12068565</v>
      </c>
      <c r="AZ322" s="782"/>
      <c r="BA322" s="781"/>
    </row>
    <row r="323" spans="1:53" ht="25" hidden="1" customHeight="1">
      <c r="B323" s="213">
        <v>45348</v>
      </c>
      <c r="C323" s="578">
        <v>45356</v>
      </c>
      <c r="D323" s="185">
        <f t="shared" si="85"/>
        <v>2024</v>
      </c>
      <c r="E323" s="215" t="str">
        <f>VLOOKUP($B323,Week!$A$1:$C$1462,2,0)</f>
        <v>Week9</v>
      </c>
      <c r="F323" s="216" t="str">
        <f t="shared" si="86"/>
        <v>Feb</v>
      </c>
      <c r="G323" s="215" t="s">
        <v>876</v>
      </c>
      <c r="H323" s="215" t="s">
        <v>104</v>
      </c>
      <c r="I323" s="215" t="s">
        <v>2772</v>
      </c>
      <c r="J323" s="209" t="s">
        <v>105</v>
      </c>
      <c r="K323" s="217" t="s">
        <v>107</v>
      </c>
      <c r="L323" s="300" t="s">
        <v>2167</v>
      </c>
      <c r="M323" s="209" t="s">
        <v>108</v>
      </c>
      <c r="N323" s="215" t="s">
        <v>109</v>
      </c>
      <c r="O323" s="215" t="s">
        <v>110</v>
      </c>
      <c r="P323" s="218">
        <v>36</v>
      </c>
      <c r="Q323" s="218">
        <v>5</v>
      </c>
      <c r="R323" s="219">
        <v>7.4999999999999997E-3</v>
      </c>
      <c r="S323" s="215" t="s">
        <v>111</v>
      </c>
      <c r="T323" s="215" t="s">
        <v>112</v>
      </c>
      <c r="U323" s="215" t="s">
        <v>113</v>
      </c>
      <c r="V323" s="220">
        <v>792</v>
      </c>
      <c r="W323" s="220">
        <v>792</v>
      </c>
      <c r="X323" s="221"/>
      <c r="Y323" s="222">
        <f t="shared" si="107"/>
        <v>0</v>
      </c>
      <c r="Z323" s="223">
        <f t="shared" si="108"/>
        <v>0</v>
      </c>
      <c r="AA323" s="223"/>
      <c r="AB323" s="807"/>
      <c r="AC323" s="220"/>
      <c r="AD323" s="209"/>
      <c r="AE323" s="210"/>
      <c r="AF323" s="210"/>
      <c r="AG323" s="211">
        <f t="shared" si="109"/>
        <v>0.308</v>
      </c>
      <c r="AH323" s="157">
        <f t="shared" si="110"/>
        <v>0</v>
      </c>
      <c r="AI323" s="152">
        <f t="shared" si="111"/>
        <v>28512</v>
      </c>
      <c r="AK323" s="156" t="s">
        <v>691</v>
      </c>
      <c r="AL323" s="574" t="s">
        <v>690</v>
      </c>
      <c r="AM323" s="198">
        <f t="shared" si="106"/>
        <v>0</v>
      </c>
      <c r="AN323" s="199">
        <f t="shared" si="87"/>
        <v>45348</v>
      </c>
      <c r="AO323" s="159" t="s">
        <v>692</v>
      </c>
      <c r="AP323" s="781"/>
      <c r="AQ323" s="782">
        <v>12063755</v>
      </c>
      <c r="AR323" s="782">
        <v>12061353</v>
      </c>
      <c r="AS323" s="782">
        <v>12061354</v>
      </c>
      <c r="AT323" s="782">
        <v>12068566</v>
      </c>
      <c r="AU323" s="781"/>
      <c r="AV323" s="782">
        <v>12068564</v>
      </c>
      <c r="AW323" s="782">
        <v>12062153</v>
      </c>
      <c r="AX323" s="782"/>
      <c r="AY323" s="782">
        <v>12068565</v>
      </c>
      <c r="AZ323" s="782"/>
      <c r="BA323" s="781"/>
    </row>
    <row r="324" spans="1:53" ht="25" hidden="1" customHeight="1">
      <c r="B324" s="213">
        <v>45348</v>
      </c>
      <c r="C324" s="578">
        <v>45356</v>
      </c>
      <c r="D324" s="185">
        <f t="shared" si="85"/>
        <v>2024</v>
      </c>
      <c r="E324" s="215" t="str">
        <f>VLOOKUP($B324,Week!$A$1:$C$1462,2,0)</f>
        <v>Week9</v>
      </c>
      <c r="F324" s="216" t="str">
        <f t="shared" si="86"/>
        <v>Feb</v>
      </c>
      <c r="G324" s="215" t="s">
        <v>877</v>
      </c>
      <c r="H324" s="215" t="s">
        <v>104</v>
      </c>
      <c r="I324" s="215" t="s">
        <v>2772</v>
      </c>
      <c r="J324" s="209" t="s">
        <v>105</v>
      </c>
      <c r="K324" s="217" t="s">
        <v>107</v>
      </c>
      <c r="L324" s="300" t="s">
        <v>2167</v>
      </c>
      <c r="M324" s="209" t="s">
        <v>108</v>
      </c>
      <c r="N324" s="215" t="s">
        <v>109</v>
      </c>
      <c r="O324" s="215" t="s">
        <v>110</v>
      </c>
      <c r="P324" s="218">
        <v>36</v>
      </c>
      <c r="Q324" s="218">
        <v>5</v>
      </c>
      <c r="R324" s="219">
        <v>7.4999999999999997E-3</v>
      </c>
      <c r="S324" s="215" t="s">
        <v>111</v>
      </c>
      <c r="T324" s="215" t="s">
        <v>112</v>
      </c>
      <c r="U324" s="215" t="s">
        <v>113</v>
      </c>
      <c r="V324" s="220">
        <v>792</v>
      </c>
      <c r="W324" s="220">
        <v>792</v>
      </c>
      <c r="X324" s="221"/>
      <c r="Y324" s="222">
        <f t="shared" si="107"/>
        <v>0</v>
      </c>
      <c r="Z324" s="223">
        <f t="shared" si="108"/>
        <v>0</v>
      </c>
      <c r="AA324" s="223"/>
      <c r="AB324" s="807"/>
      <c r="AC324" s="220"/>
      <c r="AD324" s="209"/>
      <c r="AE324" s="210"/>
      <c r="AF324" s="210"/>
      <c r="AG324" s="211">
        <f t="shared" si="109"/>
        <v>0.308</v>
      </c>
      <c r="AH324" s="157">
        <f t="shared" si="110"/>
        <v>0</v>
      </c>
      <c r="AI324" s="152">
        <f t="shared" si="111"/>
        <v>28512</v>
      </c>
      <c r="AK324" s="156" t="s">
        <v>691</v>
      </c>
      <c r="AL324" s="574" t="s">
        <v>690</v>
      </c>
      <c r="AM324" s="198">
        <f t="shared" si="106"/>
        <v>0</v>
      </c>
      <c r="AN324" s="199">
        <f t="shared" si="87"/>
        <v>45348</v>
      </c>
      <c r="AO324" s="159" t="s">
        <v>692</v>
      </c>
      <c r="AP324" s="781"/>
      <c r="AQ324" s="782">
        <v>12063755</v>
      </c>
      <c r="AR324" s="782">
        <v>12061353</v>
      </c>
      <c r="AS324" s="782">
        <v>12061354</v>
      </c>
      <c r="AT324" s="782">
        <v>12068566</v>
      </c>
      <c r="AU324" s="781"/>
      <c r="AV324" s="782">
        <v>12068564</v>
      </c>
      <c r="AW324" s="782">
        <v>12062153</v>
      </c>
      <c r="AX324" s="782"/>
      <c r="AY324" s="782">
        <v>12068565</v>
      </c>
      <c r="AZ324" s="782"/>
      <c r="BA324" s="781"/>
    </row>
    <row r="325" spans="1:53" ht="25" hidden="1" customHeight="1">
      <c r="B325" s="213">
        <v>45348</v>
      </c>
      <c r="C325" s="578">
        <v>45357</v>
      </c>
      <c r="D325" s="185">
        <f t="shared" ref="D325:D388" si="112">IF(B325="","",YEAR(B325))</f>
        <v>2024</v>
      </c>
      <c r="E325" s="215" t="str">
        <f>VLOOKUP($B325,Week!$A$1:$C$1462,2,0)</f>
        <v>Week9</v>
      </c>
      <c r="F325" s="216" t="str">
        <f t="shared" ref="F325:F388" si="113">IF(B325="","",TEXT(B325,"[$-409]mmm"))</f>
        <v>Feb</v>
      </c>
      <c r="G325" s="215" t="s">
        <v>878</v>
      </c>
      <c r="H325" s="215" t="s">
        <v>104</v>
      </c>
      <c r="I325" s="215" t="s">
        <v>2772</v>
      </c>
      <c r="J325" s="209" t="s">
        <v>105</v>
      </c>
      <c r="K325" s="217" t="s">
        <v>107</v>
      </c>
      <c r="L325" s="300" t="s">
        <v>2167</v>
      </c>
      <c r="M325" s="209" t="s">
        <v>108</v>
      </c>
      <c r="N325" s="215" t="s">
        <v>109</v>
      </c>
      <c r="O325" s="215" t="s">
        <v>110</v>
      </c>
      <c r="P325" s="218">
        <v>36</v>
      </c>
      <c r="Q325" s="218">
        <v>5</v>
      </c>
      <c r="R325" s="219">
        <v>7.4999999999999997E-3</v>
      </c>
      <c r="S325" s="215" t="s">
        <v>111</v>
      </c>
      <c r="T325" s="215" t="s">
        <v>112</v>
      </c>
      <c r="U325" s="215" t="s">
        <v>113</v>
      </c>
      <c r="V325" s="220">
        <v>792</v>
      </c>
      <c r="W325" s="220">
        <v>792</v>
      </c>
      <c r="X325" s="221"/>
      <c r="Y325" s="222">
        <f t="shared" si="107"/>
        <v>0</v>
      </c>
      <c r="Z325" s="223">
        <f t="shared" si="108"/>
        <v>0</v>
      </c>
      <c r="AA325" s="223"/>
      <c r="AB325" s="807"/>
      <c r="AC325" s="220"/>
      <c r="AD325" s="209"/>
      <c r="AE325" s="210"/>
      <c r="AF325" s="210"/>
      <c r="AG325" s="211">
        <f t="shared" si="109"/>
        <v>0.308</v>
      </c>
      <c r="AH325" s="157">
        <f t="shared" si="110"/>
        <v>0</v>
      </c>
      <c r="AI325" s="152">
        <f t="shared" si="111"/>
        <v>28512</v>
      </c>
      <c r="AK325" s="156" t="s">
        <v>691</v>
      </c>
      <c r="AL325" s="574" t="s">
        <v>690</v>
      </c>
      <c r="AM325" s="198">
        <f t="shared" si="106"/>
        <v>0</v>
      </c>
      <c r="AN325" s="199">
        <f t="shared" ref="AN325:AN388" si="114">B325</f>
        <v>45348</v>
      </c>
      <c r="AO325" s="159" t="s">
        <v>692</v>
      </c>
      <c r="AP325" s="781"/>
      <c r="AQ325" s="782">
        <v>12063755</v>
      </c>
      <c r="AR325" s="782">
        <v>12061353</v>
      </c>
      <c r="AS325" s="782">
        <v>12061354</v>
      </c>
      <c r="AT325" s="782">
        <v>12068566</v>
      </c>
      <c r="AU325" s="781"/>
      <c r="AV325" s="782">
        <v>12068564</v>
      </c>
      <c r="AW325" s="782">
        <v>12062153</v>
      </c>
      <c r="AX325" s="782"/>
      <c r="AY325" s="782">
        <v>12068565</v>
      </c>
      <c r="AZ325" s="782"/>
      <c r="BA325" s="781"/>
    </row>
    <row r="326" spans="1:53" ht="25" hidden="1" customHeight="1">
      <c r="B326" s="213">
        <v>45348</v>
      </c>
      <c r="C326" s="578">
        <v>45357</v>
      </c>
      <c r="D326" s="185">
        <f t="shared" si="112"/>
        <v>2024</v>
      </c>
      <c r="E326" s="215" t="str">
        <f>VLOOKUP($B326,Week!$A$1:$C$1462,2,0)</f>
        <v>Week9</v>
      </c>
      <c r="F326" s="216" t="str">
        <f t="shared" si="113"/>
        <v>Feb</v>
      </c>
      <c r="G326" s="215" t="s">
        <v>879</v>
      </c>
      <c r="H326" s="215" t="s">
        <v>104</v>
      </c>
      <c r="I326" s="215" t="s">
        <v>2772</v>
      </c>
      <c r="J326" s="209" t="s">
        <v>105</v>
      </c>
      <c r="K326" s="217" t="s">
        <v>107</v>
      </c>
      <c r="L326" s="300" t="s">
        <v>2167</v>
      </c>
      <c r="M326" s="209" t="s">
        <v>108</v>
      </c>
      <c r="N326" s="215" t="s">
        <v>109</v>
      </c>
      <c r="O326" s="215" t="s">
        <v>110</v>
      </c>
      <c r="P326" s="218">
        <v>36</v>
      </c>
      <c r="Q326" s="218">
        <v>5</v>
      </c>
      <c r="R326" s="219">
        <v>7.4999999999999997E-3</v>
      </c>
      <c r="S326" s="215" t="s">
        <v>111</v>
      </c>
      <c r="T326" s="215" t="s">
        <v>112</v>
      </c>
      <c r="U326" s="215" t="s">
        <v>113</v>
      </c>
      <c r="V326" s="220">
        <f>3764-303-792-792-792-792</f>
        <v>293</v>
      </c>
      <c r="W326" s="220">
        <f>3764-303-792-792-792-792</f>
        <v>293</v>
      </c>
      <c r="X326" s="221"/>
      <c r="Y326" s="222">
        <f t="shared" si="107"/>
        <v>0</v>
      </c>
      <c r="Z326" s="223">
        <f t="shared" si="108"/>
        <v>0</v>
      </c>
      <c r="AA326" s="223"/>
      <c r="AB326" s="807"/>
      <c r="AC326" s="220"/>
      <c r="AD326" s="209"/>
      <c r="AE326" s="210"/>
      <c r="AF326" s="210"/>
      <c r="AG326" s="211">
        <f t="shared" si="109"/>
        <v>0.308</v>
      </c>
      <c r="AH326" s="157">
        <f t="shared" si="110"/>
        <v>0</v>
      </c>
      <c r="AI326" s="152">
        <f t="shared" si="111"/>
        <v>10548</v>
      </c>
      <c r="AK326" s="156" t="s">
        <v>691</v>
      </c>
      <c r="AL326" s="574" t="s">
        <v>690</v>
      </c>
      <c r="AM326" s="198">
        <f t="shared" si="106"/>
        <v>0</v>
      </c>
      <c r="AN326" s="199">
        <f t="shared" si="114"/>
        <v>45348</v>
      </c>
      <c r="AO326" s="159" t="s">
        <v>692</v>
      </c>
      <c r="AP326" s="781"/>
      <c r="AQ326" s="782">
        <v>12063755</v>
      </c>
      <c r="AR326" s="782">
        <v>12061353</v>
      </c>
      <c r="AS326" s="782">
        <v>12061354</v>
      </c>
      <c r="AT326" s="782">
        <v>12068566</v>
      </c>
      <c r="AU326" s="781"/>
      <c r="AV326" s="782">
        <v>12068564</v>
      </c>
      <c r="AW326" s="782">
        <v>12062153</v>
      </c>
      <c r="AX326" s="782"/>
      <c r="AY326" s="782">
        <v>12068565</v>
      </c>
      <c r="AZ326" s="782"/>
      <c r="BA326" s="781"/>
    </row>
    <row r="327" spans="1:53" ht="25" hidden="1" customHeight="1">
      <c r="A327" s="142" t="s">
        <v>120</v>
      </c>
      <c r="B327" s="466">
        <v>45348</v>
      </c>
      <c r="C327" s="467">
        <v>45353</v>
      </c>
      <c r="D327" s="185">
        <f t="shared" si="112"/>
        <v>2024</v>
      </c>
      <c r="E327" s="468" t="str">
        <f>VLOOKUP($B327,Week!$A$1:$C$1462,2,0)</f>
        <v>Week9</v>
      </c>
      <c r="F327" s="469" t="str">
        <f t="shared" si="113"/>
        <v>Feb</v>
      </c>
      <c r="G327" s="470" t="s">
        <v>900</v>
      </c>
      <c r="H327" s="468" t="s">
        <v>82</v>
      </c>
      <c r="I327" s="468" t="s">
        <v>82</v>
      </c>
      <c r="J327" s="471" t="s">
        <v>720</v>
      </c>
      <c r="K327" s="472" t="s">
        <v>85</v>
      </c>
      <c r="L327" s="390" t="s">
        <v>2166</v>
      </c>
      <c r="M327" s="471" t="s">
        <v>579</v>
      </c>
      <c r="N327" s="468" t="s">
        <v>580</v>
      </c>
      <c r="O327" s="468" t="s">
        <v>581</v>
      </c>
      <c r="P327" s="473">
        <v>8</v>
      </c>
      <c r="Q327" s="473">
        <v>60</v>
      </c>
      <c r="R327" s="474">
        <v>6.8100000000000001E-3</v>
      </c>
      <c r="S327" s="468" t="s">
        <v>76</v>
      </c>
      <c r="T327" s="468" t="s">
        <v>56</v>
      </c>
      <c r="U327" s="468" t="s">
        <v>89</v>
      </c>
      <c r="V327" s="475">
        <f>1408-164-633</f>
        <v>611</v>
      </c>
      <c r="W327" s="475">
        <v>611</v>
      </c>
      <c r="X327" s="476"/>
      <c r="Y327" s="477">
        <f t="shared" si="107"/>
        <v>0</v>
      </c>
      <c r="Z327" s="478">
        <f t="shared" si="108"/>
        <v>0</v>
      </c>
      <c r="AA327" s="478">
        <f>Q327*Z327</f>
        <v>0</v>
      </c>
      <c r="AB327" s="828">
        <v>6</v>
      </c>
      <c r="AC327" s="475">
        <f>Z327*AB327</f>
        <v>0</v>
      </c>
      <c r="AD327" s="209"/>
      <c r="AE327" s="210"/>
      <c r="AF327" s="210"/>
      <c r="AG327" s="211">
        <f t="shared" si="109"/>
        <v>0.75</v>
      </c>
      <c r="AH327" s="157">
        <f t="shared" si="110"/>
        <v>0</v>
      </c>
      <c r="AI327" s="152">
        <f t="shared" si="111"/>
        <v>4888</v>
      </c>
      <c r="AK327" s="156" t="s">
        <v>691</v>
      </c>
      <c r="AL327" s="156" t="s">
        <v>689</v>
      </c>
      <c r="AM327" s="198">
        <f t="shared" si="106"/>
        <v>0</v>
      </c>
      <c r="AN327" s="199">
        <f t="shared" si="114"/>
        <v>45348</v>
      </c>
      <c r="AO327" s="159" t="s">
        <v>692</v>
      </c>
      <c r="AP327" s="783" t="s">
        <v>622</v>
      </c>
      <c r="AQ327" s="782">
        <v>12004862</v>
      </c>
      <c r="AR327" s="782">
        <v>12080753</v>
      </c>
      <c r="AS327" s="782"/>
      <c r="AT327" s="782">
        <v>12082897</v>
      </c>
      <c r="AU327" s="781"/>
      <c r="AV327" s="782">
        <v>12082898</v>
      </c>
      <c r="AW327" s="782">
        <v>12082899</v>
      </c>
      <c r="AX327" s="796" t="s">
        <v>621</v>
      </c>
      <c r="AY327" s="782"/>
      <c r="AZ327" s="782"/>
      <c r="BA327" s="781"/>
    </row>
    <row r="328" spans="1:53" ht="25" hidden="1" customHeight="1">
      <c r="A328" s="142" t="s">
        <v>120</v>
      </c>
      <c r="B328" s="357">
        <v>45348</v>
      </c>
      <c r="C328" s="358">
        <v>45355</v>
      </c>
      <c r="D328" s="185">
        <f t="shared" si="112"/>
        <v>2024</v>
      </c>
      <c r="E328" s="359" t="str">
        <f>VLOOKUP($B328,Week!$A$1:$C$1462,2,0)</f>
        <v>Week9</v>
      </c>
      <c r="F328" s="360" t="str">
        <f t="shared" si="113"/>
        <v>Feb</v>
      </c>
      <c r="G328" s="359" t="s">
        <v>915</v>
      </c>
      <c r="H328" s="359" t="s">
        <v>344</v>
      </c>
      <c r="I328" s="359" t="s">
        <v>2772</v>
      </c>
      <c r="J328" s="361" t="s">
        <v>345</v>
      </c>
      <c r="K328" s="362" t="s">
        <v>355</v>
      </c>
      <c r="L328" s="390" t="s">
        <v>2166</v>
      </c>
      <c r="M328" s="361" t="s">
        <v>356</v>
      </c>
      <c r="N328" s="359" t="s">
        <v>357</v>
      </c>
      <c r="O328" s="359" t="s">
        <v>508</v>
      </c>
      <c r="P328" s="363">
        <v>18</v>
      </c>
      <c r="Q328" s="363">
        <v>8</v>
      </c>
      <c r="R328" s="364">
        <v>6.0000000000000001E-3</v>
      </c>
      <c r="S328" s="359" t="s">
        <v>55</v>
      </c>
      <c r="T328" s="359" t="s">
        <v>56</v>
      </c>
      <c r="U328" s="359" t="s">
        <v>89</v>
      </c>
      <c r="V328" s="365">
        <v>250</v>
      </c>
      <c r="W328" s="365">
        <v>250</v>
      </c>
      <c r="X328" s="366"/>
      <c r="Y328" s="367">
        <f t="shared" si="107"/>
        <v>0</v>
      </c>
      <c r="Z328" s="368">
        <f t="shared" si="108"/>
        <v>0</v>
      </c>
      <c r="AA328" s="368">
        <f>Q328*Z328</f>
        <v>0</v>
      </c>
      <c r="AB328" s="819">
        <v>2</v>
      </c>
      <c r="AC328" s="365">
        <f>Z328*AB328</f>
        <v>0</v>
      </c>
      <c r="AD328" s="443"/>
      <c r="AE328" s="210"/>
      <c r="AF328" s="210"/>
      <c r="AG328" s="211">
        <f>MID(O328,1,2)/1000</f>
        <v>0.09</v>
      </c>
      <c r="AH328" s="157">
        <f t="shared" si="110"/>
        <v>0</v>
      </c>
      <c r="AI328" s="152">
        <f t="shared" si="111"/>
        <v>4500</v>
      </c>
      <c r="AK328" s="156" t="s">
        <v>691</v>
      </c>
      <c r="AL328" s="156" t="s">
        <v>689</v>
      </c>
      <c r="AM328" s="198">
        <f t="shared" ref="AM328:AM335" si="115">AG328*Z328</f>
        <v>0</v>
      </c>
      <c r="AN328" s="199">
        <f t="shared" si="114"/>
        <v>45348</v>
      </c>
      <c r="AO328" s="159" t="s">
        <v>692</v>
      </c>
      <c r="AP328" s="781"/>
      <c r="AQ328" s="782"/>
      <c r="AR328" s="782" t="s">
        <v>531</v>
      </c>
      <c r="AS328" s="782"/>
      <c r="AT328" s="782"/>
      <c r="AU328" s="782">
        <v>12054219</v>
      </c>
      <c r="AV328" s="782">
        <v>12054239</v>
      </c>
      <c r="AW328" s="782"/>
      <c r="AX328" s="782" t="s">
        <v>532</v>
      </c>
      <c r="AY328" s="782"/>
      <c r="AZ328" s="782"/>
      <c r="BA328" s="781"/>
    </row>
    <row r="329" spans="1:53" ht="25" hidden="1" customHeight="1">
      <c r="B329" s="246">
        <v>45349</v>
      </c>
      <c r="C329" s="247">
        <v>45370</v>
      </c>
      <c r="D329" s="185">
        <f t="shared" si="112"/>
        <v>2024</v>
      </c>
      <c r="E329" s="247" t="str">
        <f>VLOOKUP($B329,Week!$A$1:$C$1462,2,0)</f>
        <v>Week9</v>
      </c>
      <c r="F329" s="248" t="str">
        <f t="shared" si="113"/>
        <v>Feb</v>
      </c>
      <c r="G329" s="599" t="s">
        <v>1016</v>
      </c>
      <c r="H329" s="249" t="s">
        <v>104</v>
      </c>
      <c r="I329" s="249" t="s">
        <v>2772</v>
      </c>
      <c r="J329" s="250" t="s">
        <v>105</v>
      </c>
      <c r="K329" s="251" t="s">
        <v>593</v>
      </c>
      <c r="L329" s="300" t="s">
        <v>2167</v>
      </c>
      <c r="M329" s="250" t="s">
        <v>594</v>
      </c>
      <c r="N329" s="249" t="s">
        <v>596</v>
      </c>
      <c r="O329" s="249" t="s">
        <v>304</v>
      </c>
      <c r="P329" s="252">
        <v>8</v>
      </c>
      <c r="Q329" s="252">
        <v>5</v>
      </c>
      <c r="R329" s="253">
        <v>6.0000000000000001E-3</v>
      </c>
      <c r="S329" s="249" t="s">
        <v>55</v>
      </c>
      <c r="T329" s="249" t="s">
        <v>112</v>
      </c>
      <c r="U329" s="249" t="s">
        <v>57</v>
      </c>
      <c r="V329" s="254">
        <v>1900</v>
      </c>
      <c r="W329" s="254"/>
      <c r="X329" s="255">
        <f>(2904+12296)/8</f>
        <v>1900</v>
      </c>
      <c r="Y329" s="256">
        <f t="shared" si="107"/>
        <v>0</v>
      </c>
      <c r="Z329" s="257">
        <f t="shared" si="108"/>
        <v>0</v>
      </c>
      <c r="AA329" s="257"/>
      <c r="AB329" s="810"/>
      <c r="AC329" s="254"/>
      <c r="AD329" s="209"/>
      <c r="AE329" s="210"/>
      <c r="AF329" s="210"/>
      <c r="AG329" s="211">
        <f t="shared" ref="AG329:AG356" si="116">MID(O329,1,3)/1000</f>
        <v>0.25800000000000001</v>
      </c>
      <c r="AH329" s="157">
        <v>0.26621999999999996</v>
      </c>
      <c r="AI329" s="152">
        <f t="shared" si="111"/>
        <v>15200</v>
      </c>
      <c r="AK329" s="156" t="s">
        <v>691</v>
      </c>
      <c r="AL329" s="574" t="s">
        <v>690</v>
      </c>
      <c r="AM329" s="198">
        <f t="shared" si="115"/>
        <v>0</v>
      </c>
      <c r="AN329" s="199">
        <f t="shared" si="114"/>
        <v>45349</v>
      </c>
      <c r="AO329" s="159" t="s">
        <v>692</v>
      </c>
      <c r="AP329" s="781"/>
      <c r="AQ329" s="782">
        <v>12071839</v>
      </c>
      <c r="AR329" s="782">
        <v>12042650</v>
      </c>
      <c r="AS329" s="782">
        <v>12042649</v>
      </c>
      <c r="AT329" s="782">
        <v>12084100</v>
      </c>
      <c r="AU329" s="781"/>
      <c r="AV329" s="782">
        <v>12084001</v>
      </c>
      <c r="AW329" s="781"/>
      <c r="AX329" s="781"/>
      <c r="AY329" s="781"/>
      <c r="AZ329" s="782"/>
      <c r="BA329" s="781"/>
    </row>
    <row r="330" spans="1:53" ht="25" hidden="1" customHeight="1">
      <c r="B330" s="246">
        <v>45349</v>
      </c>
      <c r="C330" s="247">
        <v>45376</v>
      </c>
      <c r="D330" s="185">
        <f t="shared" si="112"/>
        <v>2024</v>
      </c>
      <c r="E330" s="247" t="str">
        <f>VLOOKUP($B330,Week!$A$1:$C$1462,2,0)</f>
        <v>Week9</v>
      </c>
      <c r="F330" s="248" t="str">
        <f t="shared" si="113"/>
        <v>Feb</v>
      </c>
      <c r="G330" s="599" t="s">
        <v>929</v>
      </c>
      <c r="H330" s="249" t="s">
        <v>104</v>
      </c>
      <c r="I330" s="249" t="s">
        <v>2772</v>
      </c>
      <c r="J330" s="250" t="s">
        <v>105</v>
      </c>
      <c r="K330" s="251" t="s">
        <v>593</v>
      </c>
      <c r="L330" s="300" t="s">
        <v>2167</v>
      </c>
      <c r="M330" s="250" t="s">
        <v>594</v>
      </c>
      <c r="N330" s="249" t="s">
        <v>596</v>
      </c>
      <c r="O330" s="249" t="s">
        <v>304</v>
      </c>
      <c r="P330" s="252">
        <v>8</v>
      </c>
      <c r="Q330" s="252">
        <v>5</v>
      </c>
      <c r="R330" s="253">
        <v>6.0000000000000001E-3</v>
      </c>
      <c r="S330" s="249" t="s">
        <v>55</v>
      </c>
      <c r="T330" s="249" t="s">
        <v>112</v>
      </c>
      <c r="U330" s="249" t="s">
        <v>57</v>
      </c>
      <c r="V330" s="254">
        <v>1900</v>
      </c>
      <c r="W330" s="254"/>
      <c r="X330" s="255">
        <v>1900</v>
      </c>
      <c r="Y330" s="256">
        <f t="shared" si="107"/>
        <v>0</v>
      </c>
      <c r="Z330" s="257">
        <f t="shared" si="108"/>
        <v>0</v>
      </c>
      <c r="AA330" s="257"/>
      <c r="AB330" s="810"/>
      <c r="AC330" s="254"/>
      <c r="AD330" s="209"/>
      <c r="AE330" s="210"/>
      <c r="AF330" s="210"/>
      <c r="AG330" s="211">
        <f t="shared" si="116"/>
        <v>0.25800000000000001</v>
      </c>
      <c r="AH330" s="157">
        <v>0.26621999999999996</v>
      </c>
      <c r="AI330" s="152">
        <f t="shared" si="111"/>
        <v>15200</v>
      </c>
      <c r="AK330" s="156" t="s">
        <v>691</v>
      </c>
      <c r="AL330" s="574" t="s">
        <v>690</v>
      </c>
      <c r="AM330" s="198">
        <f t="shared" si="115"/>
        <v>0</v>
      </c>
      <c r="AN330" s="199">
        <f t="shared" si="114"/>
        <v>45349</v>
      </c>
      <c r="AO330" s="159" t="s">
        <v>692</v>
      </c>
      <c r="AP330" s="781"/>
      <c r="AQ330" s="782">
        <v>12071839</v>
      </c>
      <c r="AR330" s="782">
        <v>12042650</v>
      </c>
      <c r="AS330" s="782">
        <v>12042649</v>
      </c>
      <c r="AT330" s="782">
        <v>12084100</v>
      </c>
      <c r="AU330" s="781"/>
      <c r="AV330" s="782">
        <v>12084001</v>
      </c>
      <c r="AW330" s="781"/>
      <c r="AX330" s="781"/>
      <c r="AY330" s="781"/>
      <c r="AZ330" s="782"/>
      <c r="BA330" s="781"/>
    </row>
    <row r="331" spans="1:53" ht="25" hidden="1" customHeight="1">
      <c r="B331" s="213">
        <v>45349</v>
      </c>
      <c r="C331" s="578">
        <v>45357</v>
      </c>
      <c r="D331" s="185">
        <f t="shared" si="112"/>
        <v>2024</v>
      </c>
      <c r="E331" s="215" t="str">
        <f>VLOOKUP($B331,Week!$A$1:$C$1462,2,0)</f>
        <v>Week9</v>
      </c>
      <c r="F331" s="216" t="str">
        <f t="shared" si="113"/>
        <v>Feb</v>
      </c>
      <c r="G331" s="215" t="s">
        <v>879</v>
      </c>
      <c r="H331" s="215" t="s">
        <v>104</v>
      </c>
      <c r="I331" s="215" t="s">
        <v>2772</v>
      </c>
      <c r="J331" s="209" t="s">
        <v>105</v>
      </c>
      <c r="K331" s="217" t="s">
        <v>107</v>
      </c>
      <c r="L331" s="300" t="s">
        <v>2167</v>
      </c>
      <c r="M331" s="209" t="s">
        <v>108</v>
      </c>
      <c r="N331" s="215" t="s">
        <v>109</v>
      </c>
      <c r="O331" s="215" t="s">
        <v>110</v>
      </c>
      <c r="P331" s="218">
        <v>36</v>
      </c>
      <c r="Q331" s="218">
        <v>5</v>
      </c>
      <c r="R331" s="219">
        <v>7.4999999999999997E-3</v>
      </c>
      <c r="S331" s="215" t="s">
        <v>111</v>
      </c>
      <c r="T331" s="215" t="s">
        <v>112</v>
      </c>
      <c r="U331" s="215" t="s">
        <v>113</v>
      </c>
      <c r="V331" s="220">
        <f>792-293</f>
        <v>499</v>
      </c>
      <c r="W331" s="220">
        <f>792-293</f>
        <v>499</v>
      </c>
      <c r="X331" s="221"/>
      <c r="Y331" s="222">
        <f t="shared" si="107"/>
        <v>0</v>
      </c>
      <c r="Z331" s="223">
        <f t="shared" si="108"/>
        <v>0</v>
      </c>
      <c r="AA331" s="223"/>
      <c r="AB331" s="807"/>
      <c r="AC331" s="220"/>
      <c r="AD331" s="209"/>
      <c r="AE331" s="210"/>
      <c r="AF331" s="210"/>
      <c r="AG331" s="211">
        <f t="shared" si="116"/>
        <v>0.308</v>
      </c>
      <c r="AH331" s="157">
        <f>(Z331*AG331)/1000</f>
        <v>0</v>
      </c>
      <c r="AI331" s="152">
        <f t="shared" si="111"/>
        <v>17964</v>
      </c>
      <c r="AK331" s="156" t="s">
        <v>691</v>
      </c>
      <c r="AL331" s="574" t="s">
        <v>690</v>
      </c>
      <c r="AM331" s="198">
        <f t="shared" si="115"/>
        <v>0</v>
      </c>
      <c r="AN331" s="199">
        <f t="shared" si="114"/>
        <v>45349</v>
      </c>
      <c r="AO331" s="159" t="s">
        <v>692</v>
      </c>
      <c r="AP331" s="781"/>
      <c r="AQ331" s="782">
        <v>12063755</v>
      </c>
      <c r="AR331" s="782">
        <v>12061353</v>
      </c>
      <c r="AS331" s="782">
        <v>12061354</v>
      </c>
      <c r="AT331" s="782">
        <v>12068566</v>
      </c>
      <c r="AU331" s="781"/>
      <c r="AV331" s="782">
        <v>12068564</v>
      </c>
      <c r="AW331" s="782">
        <v>12062153</v>
      </c>
      <c r="AX331" s="782"/>
      <c r="AY331" s="782">
        <v>12068565</v>
      </c>
      <c r="AZ331" s="782"/>
      <c r="BA331" s="781"/>
    </row>
    <row r="332" spans="1:53" ht="24.65" hidden="1" customHeight="1">
      <c r="B332" s="213">
        <v>45349</v>
      </c>
      <c r="C332" s="578">
        <v>45357</v>
      </c>
      <c r="D332" s="185">
        <f t="shared" si="112"/>
        <v>2024</v>
      </c>
      <c r="E332" s="215" t="str">
        <f>VLOOKUP($B332,Week!$A$1:$C$1462,2,0)</f>
        <v>Week9</v>
      </c>
      <c r="F332" s="216" t="str">
        <f t="shared" si="113"/>
        <v>Feb</v>
      </c>
      <c r="G332" s="215" t="s">
        <v>880</v>
      </c>
      <c r="H332" s="215" t="s">
        <v>104</v>
      </c>
      <c r="I332" s="215" t="s">
        <v>2772</v>
      </c>
      <c r="J332" s="209" t="s">
        <v>105</v>
      </c>
      <c r="K332" s="217" t="s">
        <v>107</v>
      </c>
      <c r="L332" s="300" t="s">
        <v>2167</v>
      </c>
      <c r="M332" s="209" t="s">
        <v>108</v>
      </c>
      <c r="N332" s="215" t="s">
        <v>109</v>
      </c>
      <c r="O332" s="215" t="s">
        <v>110</v>
      </c>
      <c r="P332" s="218">
        <v>36</v>
      </c>
      <c r="Q332" s="218">
        <v>5</v>
      </c>
      <c r="R332" s="219">
        <v>7.4999999999999997E-3</v>
      </c>
      <c r="S332" s="215" t="s">
        <v>111</v>
      </c>
      <c r="T332" s="215" t="s">
        <v>112</v>
      </c>
      <c r="U332" s="215" t="s">
        <v>113</v>
      </c>
      <c r="V332" s="220">
        <v>792</v>
      </c>
      <c r="W332" s="220">
        <v>792</v>
      </c>
      <c r="X332" s="221"/>
      <c r="Y332" s="222">
        <f t="shared" si="107"/>
        <v>0</v>
      </c>
      <c r="Z332" s="223">
        <f t="shared" si="108"/>
        <v>0</v>
      </c>
      <c r="AA332" s="223"/>
      <c r="AB332" s="807"/>
      <c r="AC332" s="220"/>
      <c r="AD332" s="209"/>
      <c r="AE332" s="210"/>
      <c r="AF332" s="210"/>
      <c r="AG332" s="211">
        <f t="shared" si="116"/>
        <v>0.308</v>
      </c>
      <c r="AH332" s="157">
        <f t="shared" ref="AH332:AH352" si="117">(Z332*AG332)/1000</f>
        <v>0</v>
      </c>
      <c r="AI332" s="152">
        <f t="shared" si="111"/>
        <v>28512</v>
      </c>
      <c r="AK332" s="156" t="s">
        <v>691</v>
      </c>
      <c r="AL332" s="574" t="s">
        <v>690</v>
      </c>
      <c r="AM332" s="198">
        <f t="shared" si="115"/>
        <v>0</v>
      </c>
      <c r="AN332" s="199">
        <f t="shared" si="114"/>
        <v>45349</v>
      </c>
      <c r="AO332" s="159" t="s">
        <v>692</v>
      </c>
      <c r="AP332" s="781"/>
      <c r="AQ332" s="782">
        <v>12063755</v>
      </c>
      <c r="AR332" s="782">
        <v>12061353</v>
      </c>
      <c r="AS332" s="782">
        <v>12061354</v>
      </c>
      <c r="AT332" s="782">
        <v>12068566</v>
      </c>
      <c r="AU332" s="781"/>
      <c r="AV332" s="782">
        <v>12068564</v>
      </c>
      <c r="AW332" s="782">
        <v>12062153</v>
      </c>
      <c r="AX332" s="782"/>
      <c r="AY332" s="782">
        <v>12068565</v>
      </c>
      <c r="AZ332" s="782"/>
      <c r="BA332" s="781"/>
    </row>
    <row r="333" spans="1:53" ht="25" hidden="1" customHeight="1">
      <c r="B333" s="213">
        <v>45349</v>
      </c>
      <c r="C333" s="578">
        <v>45357</v>
      </c>
      <c r="D333" s="185">
        <f t="shared" si="112"/>
        <v>2024</v>
      </c>
      <c r="E333" s="215" t="str">
        <f>VLOOKUP($B333,Week!$A$1:$C$1462,2,0)</f>
        <v>Week9</v>
      </c>
      <c r="F333" s="216" t="str">
        <f t="shared" si="113"/>
        <v>Feb</v>
      </c>
      <c r="G333" s="215" t="s">
        <v>930</v>
      </c>
      <c r="H333" s="215" t="s">
        <v>104</v>
      </c>
      <c r="I333" s="215" t="s">
        <v>2772</v>
      </c>
      <c r="J333" s="209" t="s">
        <v>105</v>
      </c>
      <c r="K333" s="217" t="s">
        <v>107</v>
      </c>
      <c r="L333" s="300" t="s">
        <v>2167</v>
      </c>
      <c r="M333" s="209" t="s">
        <v>108</v>
      </c>
      <c r="N333" s="215" t="s">
        <v>109</v>
      </c>
      <c r="O333" s="215" t="s">
        <v>110</v>
      </c>
      <c r="P333" s="218">
        <v>36</v>
      </c>
      <c r="Q333" s="218">
        <v>5</v>
      </c>
      <c r="R333" s="219">
        <v>7.4999999999999997E-3</v>
      </c>
      <c r="S333" s="215" t="s">
        <v>111</v>
      </c>
      <c r="T333" s="215" t="s">
        <v>112</v>
      </c>
      <c r="U333" s="215" t="s">
        <v>113</v>
      </c>
      <c r="V333" s="220">
        <v>792</v>
      </c>
      <c r="W333" s="220">
        <v>792</v>
      </c>
      <c r="X333" s="221"/>
      <c r="Y333" s="222">
        <f t="shared" si="107"/>
        <v>0</v>
      </c>
      <c r="Z333" s="223">
        <f t="shared" si="108"/>
        <v>0</v>
      </c>
      <c r="AA333" s="223"/>
      <c r="AB333" s="807"/>
      <c r="AC333" s="220"/>
      <c r="AD333" s="209"/>
      <c r="AE333" s="210"/>
      <c r="AF333" s="210"/>
      <c r="AG333" s="211">
        <f t="shared" si="116"/>
        <v>0.308</v>
      </c>
      <c r="AH333" s="157">
        <f t="shared" si="117"/>
        <v>0</v>
      </c>
      <c r="AI333" s="152">
        <f t="shared" si="111"/>
        <v>28512</v>
      </c>
      <c r="AK333" s="156" t="s">
        <v>691</v>
      </c>
      <c r="AL333" s="574" t="s">
        <v>690</v>
      </c>
      <c r="AM333" s="198">
        <f t="shared" si="115"/>
        <v>0</v>
      </c>
      <c r="AN333" s="199">
        <f t="shared" si="114"/>
        <v>45349</v>
      </c>
      <c r="AO333" s="159" t="s">
        <v>692</v>
      </c>
      <c r="AP333" s="781"/>
      <c r="AQ333" s="782">
        <v>12063755</v>
      </c>
      <c r="AR333" s="782">
        <v>12061353</v>
      </c>
      <c r="AS333" s="782">
        <v>12061354</v>
      </c>
      <c r="AT333" s="782">
        <v>12068566</v>
      </c>
      <c r="AU333" s="781"/>
      <c r="AV333" s="782">
        <v>12068564</v>
      </c>
      <c r="AW333" s="782">
        <v>12062153</v>
      </c>
      <c r="AX333" s="782"/>
      <c r="AY333" s="782">
        <v>12068565</v>
      </c>
      <c r="AZ333" s="782"/>
      <c r="BA333" s="781"/>
    </row>
    <row r="334" spans="1:53" ht="25" hidden="1" customHeight="1">
      <c r="B334" s="213">
        <v>45349</v>
      </c>
      <c r="C334" s="578">
        <v>45358</v>
      </c>
      <c r="D334" s="185">
        <f t="shared" si="112"/>
        <v>2024</v>
      </c>
      <c r="E334" s="215" t="str">
        <f>VLOOKUP($B334,Week!$A$1:$C$1462,2,0)</f>
        <v>Week9</v>
      </c>
      <c r="F334" s="216" t="str">
        <f t="shared" si="113"/>
        <v>Feb</v>
      </c>
      <c r="G334" s="215" t="s">
        <v>931</v>
      </c>
      <c r="H334" s="215" t="s">
        <v>104</v>
      </c>
      <c r="I334" s="215" t="s">
        <v>2772</v>
      </c>
      <c r="J334" s="209" t="s">
        <v>105</v>
      </c>
      <c r="K334" s="217" t="s">
        <v>107</v>
      </c>
      <c r="L334" s="300" t="s">
        <v>2167</v>
      </c>
      <c r="M334" s="209" t="s">
        <v>108</v>
      </c>
      <c r="N334" s="215" t="s">
        <v>109</v>
      </c>
      <c r="O334" s="215" t="s">
        <v>110</v>
      </c>
      <c r="P334" s="218">
        <v>36</v>
      </c>
      <c r="Q334" s="218">
        <v>5</v>
      </c>
      <c r="R334" s="219">
        <v>7.4999999999999997E-3</v>
      </c>
      <c r="S334" s="215" t="s">
        <v>111</v>
      </c>
      <c r="T334" s="215" t="s">
        <v>112</v>
      </c>
      <c r="U334" s="215" t="s">
        <v>113</v>
      </c>
      <c r="V334" s="220">
        <v>792</v>
      </c>
      <c r="W334" s="220">
        <v>792</v>
      </c>
      <c r="X334" s="221"/>
      <c r="Y334" s="222">
        <f t="shared" si="107"/>
        <v>0</v>
      </c>
      <c r="Z334" s="223">
        <f t="shared" si="108"/>
        <v>0</v>
      </c>
      <c r="AA334" s="223"/>
      <c r="AB334" s="807"/>
      <c r="AC334" s="220"/>
      <c r="AD334" s="209"/>
      <c r="AE334" s="210"/>
      <c r="AF334" s="210"/>
      <c r="AG334" s="211">
        <f t="shared" si="116"/>
        <v>0.308</v>
      </c>
      <c r="AH334" s="157">
        <f t="shared" si="117"/>
        <v>0</v>
      </c>
      <c r="AI334" s="152">
        <f t="shared" si="111"/>
        <v>28512</v>
      </c>
      <c r="AK334" s="156" t="s">
        <v>691</v>
      </c>
      <c r="AL334" s="574" t="s">
        <v>690</v>
      </c>
      <c r="AM334" s="198">
        <f t="shared" si="115"/>
        <v>0</v>
      </c>
      <c r="AN334" s="199">
        <f t="shared" si="114"/>
        <v>45349</v>
      </c>
      <c r="AO334" s="159" t="s">
        <v>692</v>
      </c>
      <c r="AP334" s="781"/>
      <c r="AQ334" s="782">
        <v>12063755</v>
      </c>
      <c r="AR334" s="782">
        <v>12061353</v>
      </c>
      <c r="AS334" s="782">
        <v>12061354</v>
      </c>
      <c r="AT334" s="782">
        <v>12068566</v>
      </c>
      <c r="AU334" s="781"/>
      <c r="AV334" s="782">
        <v>12068564</v>
      </c>
      <c r="AW334" s="782">
        <v>12062153</v>
      </c>
      <c r="AX334" s="782"/>
      <c r="AY334" s="782">
        <v>12068565</v>
      </c>
      <c r="AZ334" s="782"/>
      <c r="BA334" s="781"/>
    </row>
    <row r="335" spans="1:53" ht="25" hidden="1" customHeight="1">
      <c r="B335" s="213">
        <v>45349</v>
      </c>
      <c r="C335" s="578">
        <v>45359</v>
      </c>
      <c r="D335" s="185">
        <f t="shared" si="112"/>
        <v>2024</v>
      </c>
      <c r="E335" s="215" t="str">
        <f>VLOOKUP($B335,Week!$A$1:$C$1462,2,0)</f>
        <v>Week9</v>
      </c>
      <c r="F335" s="216" t="str">
        <f t="shared" si="113"/>
        <v>Feb</v>
      </c>
      <c r="G335" s="480" t="s">
        <v>925</v>
      </c>
      <c r="H335" s="215" t="s">
        <v>104</v>
      </c>
      <c r="I335" s="215" t="s">
        <v>2772</v>
      </c>
      <c r="J335" s="209" t="s">
        <v>105</v>
      </c>
      <c r="K335" s="217" t="s">
        <v>107</v>
      </c>
      <c r="L335" s="300" t="s">
        <v>2167</v>
      </c>
      <c r="M335" s="209" t="s">
        <v>108</v>
      </c>
      <c r="N335" s="215" t="s">
        <v>109</v>
      </c>
      <c r="O335" s="215" t="s">
        <v>110</v>
      </c>
      <c r="P335" s="218">
        <v>36</v>
      </c>
      <c r="Q335" s="218">
        <v>5</v>
      </c>
      <c r="R335" s="219">
        <v>7.4999999999999997E-3</v>
      </c>
      <c r="S335" s="215" t="s">
        <v>111</v>
      </c>
      <c r="T335" s="215" t="s">
        <v>112</v>
      </c>
      <c r="U335" s="215" t="s">
        <v>113</v>
      </c>
      <c r="V335" s="220">
        <v>161</v>
      </c>
      <c r="W335" s="220">
        <f>3036-499-792-792-792</f>
        <v>161</v>
      </c>
      <c r="X335" s="221"/>
      <c r="Y335" s="222">
        <f t="shared" si="107"/>
        <v>0</v>
      </c>
      <c r="Z335" s="223">
        <f t="shared" si="108"/>
        <v>0</v>
      </c>
      <c r="AA335" s="223"/>
      <c r="AB335" s="807"/>
      <c r="AC335" s="220"/>
      <c r="AD335" s="209"/>
      <c r="AE335" s="210"/>
      <c r="AF335" s="210"/>
      <c r="AG335" s="211">
        <f t="shared" si="116"/>
        <v>0.308</v>
      </c>
      <c r="AH335" s="157">
        <f>(Z335*AG335)/1000</f>
        <v>0</v>
      </c>
      <c r="AI335" s="152">
        <f t="shared" si="111"/>
        <v>5796</v>
      </c>
      <c r="AK335" s="156" t="s">
        <v>691</v>
      </c>
      <c r="AL335" s="574" t="s">
        <v>690</v>
      </c>
      <c r="AM335" s="198">
        <f t="shared" si="115"/>
        <v>0</v>
      </c>
      <c r="AN335" s="199">
        <f t="shared" si="114"/>
        <v>45349</v>
      </c>
      <c r="AO335" s="159" t="s">
        <v>692</v>
      </c>
      <c r="AP335" s="781"/>
      <c r="AQ335" s="782">
        <v>12063755</v>
      </c>
      <c r="AR335" s="782">
        <v>12061353</v>
      </c>
      <c r="AS335" s="782">
        <v>12061354</v>
      </c>
      <c r="AT335" s="782">
        <v>12068566</v>
      </c>
      <c r="AU335" s="781"/>
      <c r="AV335" s="782">
        <v>12068564</v>
      </c>
      <c r="AW335" s="782">
        <v>12062153</v>
      </c>
      <c r="AX335" s="782"/>
      <c r="AY335" s="782">
        <v>12068565</v>
      </c>
      <c r="AZ335" s="782"/>
      <c r="BA335" s="781"/>
    </row>
    <row r="336" spans="1:53" ht="25" hidden="1" customHeight="1">
      <c r="A336" s="142" t="s">
        <v>120</v>
      </c>
      <c r="B336" s="369">
        <v>45349</v>
      </c>
      <c r="C336" s="370">
        <v>45355</v>
      </c>
      <c r="D336" s="185">
        <f t="shared" si="112"/>
        <v>2024</v>
      </c>
      <c r="E336" s="371" t="str">
        <f>VLOOKUP($B336,Week!$A$1:$C$1462,2,0)</f>
        <v>Week9</v>
      </c>
      <c r="F336" s="372" t="str">
        <f t="shared" si="113"/>
        <v>Feb</v>
      </c>
      <c r="G336" s="371" t="s">
        <v>915</v>
      </c>
      <c r="H336" s="371" t="s">
        <v>344</v>
      </c>
      <c r="I336" s="371" t="s">
        <v>2772</v>
      </c>
      <c r="J336" s="373" t="s">
        <v>345</v>
      </c>
      <c r="K336" s="374" t="s">
        <v>153</v>
      </c>
      <c r="L336" s="390" t="s">
        <v>2166</v>
      </c>
      <c r="M336" s="373" t="s">
        <v>214</v>
      </c>
      <c r="N336" s="371" t="s">
        <v>346</v>
      </c>
      <c r="O336" s="371" t="s">
        <v>509</v>
      </c>
      <c r="P336" s="375">
        <v>18</v>
      </c>
      <c r="Q336" s="375">
        <v>8</v>
      </c>
      <c r="R336" s="376">
        <v>6.8100000000000001E-3</v>
      </c>
      <c r="S336" s="371" t="s">
        <v>76</v>
      </c>
      <c r="T336" s="371" t="s">
        <v>56</v>
      </c>
      <c r="U336" s="371" t="s">
        <v>89</v>
      </c>
      <c r="V336" s="377">
        <f>1650</f>
        <v>1650</v>
      </c>
      <c r="W336" s="377">
        <f>41+1601+8</f>
        <v>1650</v>
      </c>
      <c r="X336" s="378"/>
      <c r="Y336" s="379">
        <f t="shared" si="107"/>
        <v>0</v>
      </c>
      <c r="Z336" s="380">
        <f t="shared" si="108"/>
        <v>0</v>
      </c>
      <c r="AA336" s="380">
        <f>Q336*Z336</f>
        <v>0</v>
      </c>
      <c r="AB336" s="820">
        <v>1</v>
      </c>
      <c r="AC336" s="377">
        <f>Z336*AB336</f>
        <v>0</v>
      </c>
      <c r="AD336" s="443"/>
      <c r="AE336" s="210"/>
      <c r="AF336" s="210"/>
      <c r="AG336" s="211">
        <f t="shared" si="116"/>
        <v>0.10100000000000001</v>
      </c>
      <c r="AH336" s="157">
        <f t="shared" si="117"/>
        <v>0</v>
      </c>
      <c r="AI336" s="152">
        <f t="shared" si="111"/>
        <v>29700</v>
      </c>
      <c r="AK336" s="156" t="s">
        <v>691</v>
      </c>
      <c r="AL336" s="156" t="s">
        <v>689</v>
      </c>
      <c r="AM336" s="198">
        <f t="shared" ref="AM336:AM352" si="118">AG336*Z336</f>
        <v>0</v>
      </c>
      <c r="AN336" s="199">
        <f t="shared" si="114"/>
        <v>45349</v>
      </c>
      <c r="AO336" s="159" t="s">
        <v>692</v>
      </c>
      <c r="AP336" s="781"/>
      <c r="AQ336" s="781" t="s">
        <v>158</v>
      </c>
      <c r="AR336" s="782">
        <v>12038019</v>
      </c>
      <c r="AS336" s="781"/>
      <c r="AT336" s="800">
        <v>12055751</v>
      </c>
      <c r="AU336" s="781"/>
      <c r="AV336" s="800">
        <v>12049471</v>
      </c>
      <c r="AW336" s="781"/>
      <c r="AX336" s="781" t="s">
        <v>162</v>
      </c>
      <c r="AY336" s="781"/>
      <c r="AZ336" s="781"/>
      <c r="BA336" s="781"/>
    </row>
    <row r="337" spans="1:53" ht="24.65" hidden="1" customHeight="1">
      <c r="B337" s="411">
        <v>45350</v>
      </c>
      <c r="C337" s="412">
        <v>45355</v>
      </c>
      <c r="D337" s="185">
        <f t="shared" si="112"/>
        <v>2024</v>
      </c>
      <c r="E337" s="412" t="str">
        <f>VLOOKUP($B337,Week!$A$1:$C$1462,2,0)</f>
        <v>Week9</v>
      </c>
      <c r="F337" s="413" t="str">
        <f t="shared" si="113"/>
        <v>Feb</v>
      </c>
      <c r="G337" s="414" t="s">
        <v>47</v>
      </c>
      <c r="H337" s="414" t="s">
        <v>260</v>
      </c>
      <c r="I337" s="298" t="s">
        <v>2702</v>
      </c>
      <c r="J337" s="415" t="s">
        <v>261</v>
      </c>
      <c r="K337" s="416" t="s">
        <v>94</v>
      </c>
      <c r="L337" s="300" t="s">
        <v>2167</v>
      </c>
      <c r="M337" s="415" t="s">
        <v>1303</v>
      </c>
      <c r="N337" s="414" t="s">
        <v>263</v>
      </c>
      <c r="O337" s="414" t="s">
        <v>195</v>
      </c>
      <c r="P337" s="417">
        <v>24</v>
      </c>
      <c r="Q337" s="417">
        <v>5</v>
      </c>
      <c r="R337" s="418">
        <v>8.0000000000000002E-3</v>
      </c>
      <c r="S337" s="414" t="s">
        <v>40</v>
      </c>
      <c r="T337" s="414" t="s">
        <v>56</v>
      </c>
      <c r="U337" s="414" t="s">
        <v>57</v>
      </c>
      <c r="V337" s="419">
        <v>6221</v>
      </c>
      <c r="W337" s="419">
        <f>6221</f>
        <v>6221</v>
      </c>
      <c r="X337" s="420"/>
      <c r="Y337" s="421">
        <f t="shared" si="107"/>
        <v>0</v>
      </c>
      <c r="Z337" s="422">
        <f t="shared" si="108"/>
        <v>0</v>
      </c>
      <c r="AA337" s="422"/>
      <c r="AB337" s="825"/>
      <c r="AC337" s="419"/>
      <c r="AD337" s="209"/>
      <c r="AE337" s="210"/>
      <c r="AF337" s="210"/>
      <c r="AG337" s="211">
        <f t="shared" si="116"/>
        <v>0.14499999999999999</v>
      </c>
      <c r="AH337" s="157">
        <f>(Z337*AG337)/1000</f>
        <v>0</v>
      </c>
      <c r="AI337" s="152">
        <f t="shared" si="111"/>
        <v>149304</v>
      </c>
      <c r="AK337" s="156" t="s">
        <v>691</v>
      </c>
      <c r="AL337" s="212" t="s">
        <v>690</v>
      </c>
      <c r="AM337" s="198">
        <f>AG337*Z337</f>
        <v>0</v>
      </c>
      <c r="AN337" s="199">
        <f t="shared" si="114"/>
        <v>45350</v>
      </c>
      <c r="AO337" s="159" t="s">
        <v>692</v>
      </c>
      <c r="AP337" s="783" t="s">
        <v>609</v>
      </c>
      <c r="AQ337" s="782">
        <v>12071839</v>
      </c>
      <c r="AR337" s="782">
        <v>12047514</v>
      </c>
      <c r="AS337" s="782">
        <v>12047515</v>
      </c>
      <c r="AT337" s="781"/>
      <c r="AU337" s="781"/>
      <c r="AV337" s="782">
        <v>12080613</v>
      </c>
      <c r="AW337" s="781"/>
      <c r="AX337" s="781"/>
      <c r="AY337" s="782">
        <v>12080614</v>
      </c>
      <c r="AZ337" s="782">
        <v>12080616</v>
      </c>
      <c r="BA337" s="781"/>
    </row>
    <row r="338" spans="1:53" ht="25" hidden="1" customHeight="1">
      <c r="A338" s="142" t="s">
        <v>120</v>
      </c>
      <c r="B338" s="271">
        <v>45350</v>
      </c>
      <c r="C338" s="272">
        <v>45363</v>
      </c>
      <c r="D338" s="185">
        <f t="shared" si="112"/>
        <v>2024</v>
      </c>
      <c r="E338" s="272" t="str">
        <f>VLOOKUP($B338,Week!$A$1:$C$1462,2,0)</f>
        <v>Week9</v>
      </c>
      <c r="F338" s="273" t="str">
        <f t="shared" si="113"/>
        <v>Feb</v>
      </c>
      <c r="G338" s="274" t="s">
        <v>842</v>
      </c>
      <c r="H338" s="274" t="s">
        <v>500</v>
      </c>
      <c r="I338" s="274" t="s">
        <v>2772</v>
      </c>
      <c r="J338" s="275" t="s">
        <v>285</v>
      </c>
      <c r="K338" s="276" t="s">
        <v>153</v>
      </c>
      <c r="L338" s="390" t="s">
        <v>2166</v>
      </c>
      <c r="M338" s="275" t="s">
        <v>86</v>
      </c>
      <c r="N338" s="274" t="s">
        <v>547</v>
      </c>
      <c r="O338" s="274" t="s">
        <v>548</v>
      </c>
      <c r="P338" s="277">
        <v>10</v>
      </c>
      <c r="Q338" s="277">
        <v>50</v>
      </c>
      <c r="R338" s="278">
        <v>6.8100000000000001E-3</v>
      </c>
      <c r="S338" s="274" t="s">
        <v>76</v>
      </c>
      <c r="T338" s="274" t="s">
        <v>56</v>
      </c>
      <c r="U338" s="274" t="s">
        <v>89</v>
      </c>
      <c r="V338" s="279">
        <v>654</v>
      </c>
      <c r="W338" s="279">
        <f>647</f>
        <v>647</v>
      </c>
      <c r="X338" s="280">
        <f>(70)/10</f>
        <v>7</v>
      </c>
      <c r="Y338" s="281">
        <f t="shared" si="107"/>
        <v>0</v>
      </c>
      <c r="Z338" s="282">
        <f t="shared" si="108"/>
        <v>0</v>
      </c>
      <c r="AA338" s="282">
        <f>Q338*Z338</f>
        <v>0</v>
      </c>
      <c r="AB338" s="812">
        <v>6</v>
      </c>
      <c r="AC338" s="279">
        <f>Z338*AB338</f>
        <v>0</v>
      </c>
      <c r="AD338" s="209"/>
      <c r="AE338" s="210"/>
      <c r="AF338" s="210"/>
      <c r="AG338" s="211">
        <f t="shared" si="116"/>
        <v>0.63</v>
      </c>
      <c r="AH338" s="157">
        <f t="shared" si="117"/>
        <v>0</v>
      </c>
      <c r="AI338" s="152">
        <f t="shared" si="111"/>
        <v>6540</v>
      </c>
      <c r="AK338" s="156" t="s">
        <v>691</v>
      </c>
      <c r="AL338" s="156" t="s">
        <v>689</v>
      </c>
      <c r="AM338" s="198">
        <f t="shared" si="118"/>
        <v>0</v>
      </c>
      <c r="AN338" s="199">
        <f t="shared" si="114"/>
        <v>45350</v>
      </c>
      <c r="AO338" s="159" t="s">
        <v>692</v>
      </c>
      <c r="AP338" s="783" t="s">
        <v>620</v>
      </c>
      <c r="AQ338" s="782" t="s">
        <v>549</v>
      </c>
      <c r="AR338" s="782">
        <v>12055234</v>
      </c>
      <c r="AS338" s="781"/>
      <c r="AT338" s="782"/>
      <c r="AU338" s="782"/>
      <c r="AV338" s="782">
        <v>12062809</v>
      </c>
      <c r="AW338" s="782"/>
      <c r="AX338" s="782" t="s">
        <v>619</v>
      </c>
      <c r="AY338" s="781"/>
      <c r="AZ338" s="781"/>
      <c r="BA338" s="781"/>
    </row>
    <row r="339" spans="1:53" ht="24.65" hidden="1" customHeight="1">
      <c r="B339" s="308">
        <v>45351</v>
      </c>
      <c r="C339" s="309">
        <v>45379</v>
      </c>
      <c r="D339" s="185">
        <f t="shared" si="112"/>
        <v>2024</v>
      </c>
      <c r="E339" s="309" t="str">
        <f>VLOOKUP($B339,Week!$A$1:$C$1462,2,0)</f>
        <v>Week9</v>
      </c>
      <c r="F339" s="310" t="str">
        <f t="shared" si="113"/>
        <v>Feb</v>
      </c>
      <c r="G339" s="311" t="s">
        <v>1022</v>
      </c>
      <c r="H339" s="311" t="s">
        <v>311</v>
      </c>
      <c r="I339" s="311" t="s">
        <v>2772</v>
      </c>
      <c r="J339" s="312" t="s">
        <v>738</v>
      </c>
      <c r="K339" s="313" t="s">
        <v>107</v>
      </c>
      <c r="L339" s="300" t="s">
        <v>2167</v>
      </c>
      <c r="M339" s="312" t="s">
        <v>313</v>
      </c>
      <c r="N339" s="311" t="s">
        <v>314</v>
      </c>
      <c r="O339" s="311" t="s">
        <v>110</v>
      </c>
      <c r="P339" s="314">
        <v>36</v>
      </c>
      <c r="Q339" s="314">
        <v>5</v>
      </c>
      <c r="R339" s="315">
        <v>7.4999999999999997E-3</v>
      </c>
      <c r="S339" s="311" t="s">
        <v>111</v>
      </c>
      <c r="T339" s="311" t="s">
        <v>112</v>
      </c>
      <c r="U339" s="311" t="s">
        <v>57</v>
      </c>
      <c r="V339" s="316">
        <v>792</v>
      </c>
      <c r="W339" s="316">
        <f>17+775</f>
        <v>792</v>
      </c>
      <c r="X339" s="317"/>
      <c r="Y339" s="318">
        <f t="shared" si="107"/>
        <v>0</v>
      </c>
      <c r="Z339" s="319">
        <f t="shared" si="108"/>
        <v>0</v>
      </c>
      <c r="AA339" s="319"/>
      <c r="AB339" s="815"/>
      <c r="AC339" s="316"/>
      <c r="AD339" s="515"/>
      <c r="AE339" s="210"/>
      <c r="AF339" s="210"/>
      <c r="AG339" s="211">
        <f t="shared" si="116"/>
        <v>0.308</v>
      </c>
      <c r="AH339" s="157">
        <f>(Z339*AG339)/1000</f>
        <v>0</v>
      </c>
      <c r="AI339" s="152">
        <f t="shared" si="111"/>
        <v>28512</v>
      </c>
      <c r="AK339" s="156" t="s">
        <v>691</v>
      </c>
      <c r="AL339" s="212" t="s">
        <v>690</v>
      </c>
      <c r="AM339" s="198">
        <f>AG339*Z339</f>
        <v>0</v>
      </c>
      <c r="AN339" s="199">
        <f t="shared" si="114"/>
        <v>45351</v>
      </c>
      <c r="AO339" s="159" t="s">
        <v>692</v>
      </c>
      <c r="AP339" s="783" t="s">
        <v>644</v>
      </c>
      <c r="AQ339" s="782">
        <v>12063755</v>
      </c>
      <c r="AR339" s="782">
        <v>12061353</v>
      </c>
      <c r="AS339" s="782">
        <v>12061354</v>
      </c>
      <c r="AT339" s="782">
        <v>12062266</v>
      </c>
      <c r="AU339" s="781"/>
      <c r="AV339" s="782">
        <v>12062261</v>
      </c>
      <c r="AW339" s="782">
        <v>12062153</v>
      </c>
      <c r="AX339" s="782"/>
      <c r="AY339" s="782">
        <v>12062262</v>
      </c>
      <c r="AZ339" s="782"/>
      <c r="BA339" s="781"/>
    </row>
    <row r="340" spans="1:53" ht="25" hidden="1" customHeight="1">
      <c r="A340" s="440"/>
      <c r="B340" s="271">
        <v>45351</v>
      </c>
      <c r="C340" s="271">
        <v>45371</v>
      </c>
      <c r="D340" s="185">
        <f t="shared" si="112"/>
        <v>2024</v>
      </c>
      <c r="E340" s="441" t="str">
        <f>VLOOKUP($B340,Week!$A$1:$C$1462,2,0)</f>
        <v>Week9</v>
      </c>
      <c r="F340" s="442" t="str">
        <f t="shared" si="113"/>
        <v>Feb</v>
      </c>
      <c r="G340" s="274" t="s">
        <v>1009</v>
      </c>
      <c r="H340" s="274" t="s">
        <v>267</v>
      </c>
      <c r="I340" s="274" t="s">
        <v>2772</v>
      </c>
      <c r="J340" s="275" t="s">
        <v>699</v>
      </c>
      <c r="K340" s="276" t="s">
        <v>107</v>
      </c>
      <c r="L340" s="300" t="s">
        <v>2167</v>
      </c>
      <c r="M340" s="275" t="s">
        <v>136</v>
      </c>
      <c r="N340" s="274" t="s">
        <v>269</v>
      </c>
      <c r="O340" s="274" t="s">
        <v>270</v>
      </c>
      <c r="P340" s="277">
        <v>12</v>
      </c>
      <c r="Q340" s="277">
        <v>3</v>
      </c>
      <c r="R340" s="278">
        <v>7.4999999999999997E-3</v>
      </c>
      <c r="S340" s="274" t="s">
        <v>111</v>
      </c>
      <c r="T340" s="274" t="s">
        <v>112</v>
      </c>
      <c r="U340" s="274" t="s">
        <v>57</v>
      </c>
      <c r="V340" s="279">
        <v>2520</v>
      </c>
      <c r="W340" s="279">
        <f>134+2386</f>
        <v>2520</v>
      </c>
      <c r="X340" s="280"/>
      <c r="Y340" s="281">
        <f t="shared" si="107"/>
        <v>0</v>
      </c>
      <c r="Z340" s="282">
        <f t="shared" si="108"/>
        <v>0</v>
      </c>
      <c r="AA340" s="282"/>
      <c r="AB340" s="812"/>
      <c r="AC340" s="279"/>
      <c r="AD340" s="443" t="s">
        <v>737</v>
      </c>
      <c r="AE340" s="210"/>
      <c r="AF340" s="210"/>
      <c r="AG340" s="211">
        <f t="shared" si="116"/>
        <v>0.309</v>
      </c>
      <c r="AH340" s="157">
        <f>(Z340*AG340)/1000</f>
        <v>0</v>
      </c>
      <c r="AI340" s="152">
        <f t="shared" si="111"/>
        <v>30240</v>
      </c>
      <c r="AK340" s="156" t="s">
        <v>691</v>
      </c>
      <c r="AL340" s="212" t="s">
        <v>690</v>
      </c>
      <c r="AM340" s="198">
        <f>AG340*Z340</f>
        <v>0</v>
      </c>
      <c r="AN340" s="199">
        <f t="shared" si="114"/>
        <v>45351</v>
      </c>
      <c r="AO340" s="159" t="s">
        <v>692</v>
      </c>
      <c r="AP340" s="781"/>
      <c r="AQ340" s="782">
        <v>12063755</v>
      </c>
      <c r="AR340" s="782">
        <v>12081257</v>
      </c>
      <c r="AS340" s="782">
        <v>12081260</v>
      </c>
      <c r="AT340" s="782"/>
      <c r="AU340" s="781"/>
      <c r="AV340" s="782">
        <v>12073316</v>
      </c>
      <c r="AW340" s="782"/>
      <c r="AX340" s="782"/>
      <c r="AY340" s="782">
        <v>12073342</v>
      </c>
      <c r="AZ340" s="782">
        <v>12073344</v>
      </c>
      <c r="BA340" s="782">
        <v>12073343</v>
      </c>
    </row>
    <row r="341" spans="1:53" ht="25" hidden="1" customHeight="1">
      <c r="A341" s="440"/>
      <c r="B341" s="271">
        <v>45351</v>
      </c>
      <c r="C341" s="271">
        <v>45378</v>
      </c>
      <c r="D341" s="185">
        <f t="shared" si="112"/>
        <v>2024</v>
      </c>
      <c r="E341" s="441" t="str">
        <f>VLOOKUP($B341,Week!$A$1:$C$1462,2,0)</f>
        <v>Week9</v>
      </c>
      <c r="F341" s="442" t="str">
        <f t="shared" si="113"/>
        <v>Feb</v>
      </c>
      <c r="G341" s="274" t="s">
        <v>1010</v>
      </c>
      <c r="H341" s="274" t="s">
        <v>267</v>
      </c>
      <c r="I341" s="274" t="s">
        <v>2772</v>
      </c>
      <c r="J341" s="275" t="s">
        <v>699</v>
      </c>
      <c r="K341" s="276" t="s">
        <v>107</v>
      </c>
      <c r="L341" s="300" t="s">
        <v>2167</v>
      </c>
      <c r="M341" s="275" t="s">
        <v>136</v>
      </c>
      <c r="N341" s="274" t="s">
        <v>269</v>
      </c>
      <c r="O341" s="274" t="s">
        <v>270</v>
      </c>
      <c r="P341" s="277">
        <v>12</v>
      </c>
      <c r="Q341" s="277">
        <v>3</v>
      </c>
      <c r="R341" s="278">
        <v>7.4999999999999997E-3</v>
      </c>
      <c r="S341" s="274" t="s">
        <v>111</v>
      </c>
      <c r="T341" s="274" t="s">
        <v>112</v>
      </c>
      <c r="U341" s="274" t="s">
        <v>57</v>
      </c>
      <c r="V341" s="279">
        <v>2520</v>
      </c>
      <c r="W341" s="279">
        <f>4906-2386</f>
        <v>2520</v>
      </c>
      <c r="X341" s="280"/>
      <c r="Y341" s="281">
        <f t="shared" si="107"/>
        <v>0</v>
      </c>
      <c r="Z341" s="282">
        <f t="shared" si="108"/>
        <v>0</v>
      </c>
      <c r="AA341" s="282"/>
      <c r="AB341" s="812"/>
      <c r="AC341" s="279"/>
      <c r="AD341" s="443" t="s">
        <v>737</v>
      </c>
      <c r="AE341" s="210"/>
      <c r="AF341" s="210"/>
      <c r="AG341" s="211">
        <f t="shared" si="116"/>
        <v>0.309</v>
      </c>
      <c r="AH341" s="157">
        <f>(Z341*AG341)/1000</f>
        <v>0</v>
      </c>
      <c r="AI341" s="152">
        <f t="shared" si="111"/>
        <v>30240</v>
      </c>
      <c r="AK341" s="156" t="s">
        <v>691</v>
      </c>
      <c r="AL341" s="212" t="s">
        <v>690</v>
      </c>
      <c r="AM341" s="198">
        <f>AG341*Z341</f>
        <v>0</v>
      </c>
      <c r="AN341" s="199">
        <f t="shared" si="114"/>
        <v>45351</v>
      </c>
      <c r="AO341" s="159" t="s">
        <v>692</v>
      </c>
      <c r="AP341" s="781"/>
      <c r="AQ341" s="782">
        <v>12063755</v>
      </c>
      <c r="AR341" s="782">
        <v>12081257</v>
      </c>
      <c r="AS341" s="782">
        <v>12081260</v>
      </c>
      <c r="AT341" s="782"/>
      <c r="AU341" s="781"/>
      <c r="AV341" s="782">
        <v>12073316</v>
      </c>
      <c r="AW341" s="782"/>
      <c r="AX341" s="782"/>
      <c r="AY341" s="782">
        <v>12073342</v>
      </c>
      <c r="AZ341" s="782">
        <v>12073344</v>
      </c>
      <c r="BA341" s="782">
        <v>12073343</v>
      </c>
    </row>
    <row r="342" spans="1:53" ht="25" hidden="1" customHeight="1">
      <c r="B342" s="258">
        <v>45351</v>
      </c>
      <c r="C342" s="259">
        <v>45363</v>
      </c>
      <c r="D342" s="185">
        <f t="shared" si="112"/>
        <v>2024</v>
      </c>
      <c r="E342" s="259" t="str">
        <f>VLOOKUP($B342,Week!$A$1:$C$1462,2,0)</f>
        <v>Week9</v>
      </c>
      <c r="F342" s="261" t="str">
        <f t="shared" si="113"/>
        <v>Feb</v>
      </c>
      <c r="G342" s="260" t="s">
        <v>827</v>
      </c>
      <c r="H342" s="260" t="s">
        <v>424</v>
      </c>
      <c r="I342" s="260" t="s">
        <v>2772</v>
      </c>
      <c r="J342" s="263" t="s">
        <v>653</v>
      </c>
      <c r="K342" s="264" t="s">
        <v>665</v>
      </c>
      <c r="L342" s="300" t="s">
        <v>2167</v>
      </c>
      <c r="M342" s="263" t="s">
        <v>654</v>
      </c>
      <c r="N342" s="260" t="s">
        <v>656</v>
      </c>
      <c r="O342" s="260" t="s">
        <v>655</v>
      </c>
      <c r="P342" s="265">
        <v>24</v>
      </c>
      <c r="Q342" s="265">
        <v>5</v>
      </c>
      <c r="R342" s="266">
        <v>7.4999999999999997E-3</v>
      </c>
      <c r="S342" s="260" t="s">
        <v>40</v>
      </c>
      <c r="T342" s="260" t="s">
        <v>112</v>
      </c>
      <c r="U342" s="621" t="s">
        <v>721</v>
      </c>
      <c r="V342" s="267">
        <v>924</v>
      </c>
      <c r="W342" s="267">
        <f>866</f>
        <v>866</v>
      </c>
      <c r="X342" s="268">
        <f>(912+552)/24</f>
        <v>61</v>
      </c>
      <c r="Y342" s="269">
        <f t="shared" si="107"/>
        <v>3</v>
      </c>
      <c r="Z342" s="270">
        <f t="shared" si="108"/>
        <v>0</v>
      </c>
      <c r="AA342" s="270"/>
      <c r="AB342" s="811"/>
      <c r="AC342" s="267"/>
      <c r="AD342" s="209" t="s">
        <v>1126</v>
      </c>
      <c r="AE342" s="210"/>
      <c r="AF342" s="210"/>
      <c r="AG342" s="211">
        <f t="shared" si="116"/>
        <v>0.307</v>
      </c>
      <c r="AH342" s="157">
        <f>(Z342*AG342)/1000</f>
        <v>0</v>
      </c>
      <c r="AI342" s="152">
        <f t="shared" si="111"/>
        <v>22176</v>
      </c>
      <c r="AK342" s="156" t="s">
        <v>691</v>
      </c>
      <c r="AL342" s="212" t="s">
        <v>690</v>
      </c>
      <c r="AM342" s="198">
        <f>AG342*Z342</f>
        <v>0</v>
      </c>
      <c r="AN342" s="199">
        <f t="shared" si="114"/>
        <v>45351</v>
      </c>
      <c r="AO342" s="159" t="s">
        <v>692</v>
      </c>
      <c r="AP342" s="781" t="s">
        <v>642</v>
      </c>
      <c r="AQ342" s="782">
        <v>12063755</v>
      </c>
      <c r="AR342" s="782">
        <v>12061353</v>
      </c>
      <c r="AS342" s="782">
        <v>12061354</v>
      </c>
      <c r="AT342" s="782">
        <v>12084023</v>
      </c>
      <c r="AU342" s="781"/>
      <c r="AV342" s="782">
        <v>12084228</v>
      </c>
      <c r="AW342" s="782"/>
      <c r="AX342" s="782"/>
      <c r="AY342" s="782"/>
      <c r="AZ342" s="782"/>
      <c r="BA342" s="781"/>
    </row>
    <row r="343" spans="1:53" ht="25" hidden="1" customHeight="1">
      <c r="B343" s="332">
        <v>45351</v>
      </c>
      <c r="C343" s="333">
        <v>45356</v>
      </c>
      <c r="D343" s="185">
        <f t="shared" si="112"/>
        <v>2024</v>
      </c>
      <c r="E343" s="333" t="str">
        <f>VLOOKUP($B343,Week!$A$1:$C$1462,2,0)</f>
        <v>Week9</v>
      </c>
      <c r="F343" s="334" t="str">
        <f t="shared" si="113"/>
        <v>Feb</v>
      </c>
      <c r="G343" s="335" t="s">
        <v>1013</v>
      </c>
      <c r="H343" s="335" t="s">
        <v>600</v>
      </c>
      <c r="I343" s="335" t="s">
        <v>2772</v>
      </c>
      <c r="J343" s="336" t="s">
        <v>708</v>
      </c>
      <c r="K343" s="337" t="s">
        <v>665</v>
      </c>
      <c r="L343" s="300" t="s">
        <v>2167</v>
      </c>
      <c r="M343" s="336" t="s">
        <v>601</v>
      </c>
      <c r="N343" s="335" t="s">
        <v>604</v>
      </c>
      <c r="O343" s="335" t="s">
        <v>543</v>
      </c>
      <c r="P343" s="338">
        <v>8</v>
      </c>
      <c r="Q343" s="338">
        <v>3</v>
      </c>
      <c r="R343" s="339">
        <v>7.4999999999999997E-3</v>
      </c>
      <c r="S343" s="335" t="s">
        <v>40</v>
      </c>
      <c r="T343" s="335" t="s">
        <v>112</v>
      </c>
      <c r="U343" s="340" t="s">
        <v>722</v>
      </c>
      <c r="V343" s="341">
        <v>3500</v>
      </c>
      <c r="W343" s="341">
        <f>3432+17+51</f>
        <v>3500</v>
      </c>
      <c r="X343" s="342"/>
      <c r="Y343" s="343">
        <f t="shared" si="107"/>
        <v>0</v>
      </c>
      <c r="Z343" s="344">
        <f t="shared" si="108"/>
        <v>0</v>
      </c>
      <c r="AA343" s="344"/>
      <c r="AB343" s="817"/>
      <c r="AC343" s="341"/>
      <c r="AD343" s="307" t="s">
        <v>673</v>
      </c>
      <c r="AE343" s="210"/>
      <c r="AF343" s="210"/>
      <c r="AG343" s="211">
        <f t="shared" si="116"/>
        <v>0.309</v>
      </c>
      <c r="AH343" s="157">
        <f>(Z343*AG343)/1000</f>
        <v>0</v>
      </c>
      <c r="AI343" s="152">
        <f t="shared" si="111"/>
        <v>28000</v>
      </c>
      <c r="AK343" s="156" t="s">
        <v>691</v>
      </c>
      <c r="AL343" s="574" t="s">
        <v>690</v>
      </c>
      <c r="AM343" s="198">
        <f>AG343*Z343</f>
        <v>0</v>
      </c>
      <c r="AN343" s="199">
        <f t="shared" si="114"/>
        <v>45351</v>
      </c>
      <c r="AO343" s="159" t="s">
        <v>692</v>
      </c>
      <c r="AP343" s="781" t="s">
        <v>642</v>
      </c>
      <c r="AQ343" s="782">
        <v>12063755</v>
      </c>
      <c r="AR343" s="782">
        <v>12061353</v>
      </c>
      <c r="AS343" s="782">
        <v>12061354</v>
      </c>
      <c r="AT343" s="782">
        <v>12084023</v>
      </c>
      <c r="AU343" s="781"/>
      <c r="AV343" s="782">
        <v>12084228</v>
      </c>
      <c r="AW343" s="782"/>
      <c r="AX343" s="782"/>
      <c r="AY343" s="782"/>
      <c r="AZ343" s="782"/>
      <c r="BA343" s="781"/>
    </row>
    <row r="344" spans="1:53" ht="25" hidden="1" customHeight="1">
      <c r="A344" s="142" t="s">
        <v>120</v>
      </c>
      <c r="B344" s="271">
        <v>45351</v>
      </c>
      <c r="C344" s="272">
        <v>45363</v>
      </c>
      <c r="D344" s="185">
        <f t="shared" si="112"/>
        <v>2024</v>
      </c>
      <c r="E344" s="272" t="str">
        <f>VLOOKUP($B344,Week!$A$1:$C$1462,2,0)</f>
        <v>Week9</v>
      </c>
      <c r="F344" s="273" t="str">
        <f t="shared" si="113"/>
        <v>Feb</v>
      </c>
      <c r="G344" s="274" t="s">
        <v>842</v>
      </c>
      <c r="H344" s="274" t="s">
        <v>500</v>
      </c>
      <c r="I344" s="274" t="s">
        <v>2772</v>
      </c>
      <c r="J344" s="275" t="s">
        <v>285</v>
      </c>
      <c r="K344" s="276" t="s">
        <v>153</v>
      </c>
      <c r="L344" s="390" t="s">
        <v>2166</v>
      </c>
      <c r="M344" s="275" t="s">
        <v>86</v>
      </c>
      <c r="N344" s="274" t="s">
        <v>547</v>
      </c>
      <c r="O344" s="274" t="s">
        <v>548</v>
      </c>
      <c r="P344" s="277">
        <v>10</v>
      </c>
      <c r="Q344" s="277">
        <v>50</v>
      </c>
      <c r="R344" s="278">
        <v>6.8100000000000001E-3</v>
      </c>
      <c r="S344" s="274" t="s">
        <v>76</v>
      </c>
      <c r="T344" s="274" t="s">
        <v>56</v>
      </c>
      <c r="U344" s="274" t="s">
        <v>89</v>
      </c>
      <c r="V344" s="279">
        <v>853</v>
      </c>
      <c r="W344" s="279">
        <v>853</v>
      </c>
      <c r="X344" s="280"/>
      <c r="Y344" s="281">
        <f t="shared" si="107"/>
        <v>0</v>
      </c>
      <c r="Z344" s="282">
        <f t="shared" si="108"/>
        <v>0</v>
      </c>
      <c r="AA344" s="282">
        <f>Q344*Z344</f>
        <v>0</v>
      </c>
      <c r="AB344" s="812">
        <v>6</v>
      </c>
      <c r="AC344" s="279">
        <f>Z344*AB344</f>
        <v>0</v>
      </c>
      <c r="AD344" s="209"/>
      <c r="AE344" s="210"/>
      <c r="AF344" s="210"/>
      <c r="AG344" s="211">
        <f t="shared" si="116"/>
        <v>0.63</v>
      </c>
      <c r="AH344" s="157">
        <f t="shared" si="117"/>
        <v>0</v>
      </c>
      <c r="AI344" s="152">
        <f t="shared" si="111"/>
        <v>8530</v>
      </c>
      <c r="AK344" s="156" t="s">
        <v>691</v>
      </c>
      <c r="AL344" s="156" t="s">
        <v>689</v>
      </c>
      <c r="AM344" s="198">
        <f t="shared" si="118"/>
        <v>0</v>
      </c>
      <c r="AN344" s="199">
        <f t="shared" si="114"/>
        <v>45351</v>
      </c>
      <c r="AO344" s="159" t="s">
        <v>692</v>
      </c>
      <c r="AP344" s="783" t="s">
        <v>620</v>
      </c>
      <c r="AQ344" s="782" t="s">
        <v>549</v>
      </c>
      <c r="AR344" s="782">
        <v>12055234</v>
      </c>
      <c r="AS344" s="781"/>
      <c r="AT344" s="782"/>
      <c r="AU344" s="782"/>
      <c r="AV344" s="782">
        <v>12062809</v>
      </c>
      <c r="AW344" s="782"/>
      <c r="AX344" s="782" t="s">
        <v>619</v>
      </c>
      <c r="AY344" s="781"/>
      <c r="AZ344" s="781"/>
      <c r="BA344" s="781"/>
    </row>
    <row r="345" spans="1:53" ht="25" hidden="1" customHeight="1">
      <c r="A345" s="142" t="s">
        <v>438</v>
      </c>
      <c r="B345" s="424">
        <v>45352</v>
      </c>
      <c r="C345" s="425">
        <v>45362</v>
      </c>
      <c r="D345" s="185">
        <f t="shared" si="112"/>
        <v>2024</v>
      </c>
      <c r="E345" s="427" t="str">
        <f>VLOOKUP($B345,Week!$A$1:$C$1462,2,0)</f>
        <v>Week9</v>
      </c>
      <c r="F345" s="426" t="str">
        <f t="shared" si="113"/>
        <v>Mar</v>
      </c>
      <c r="G345" s="427" t="s">
        <v>927</v>
      </c>
      <c r="H345" s="427" t="s">
        <v>104</v>
      </c>
      <c r="I345" s="427" t="s">
        <v>2772</v>
      </c>
      <c r="J345" s="428" t="s">
        <v>105</v>
      </c>
      <c r="K345" s="429" t="s">
        <v>433</v>
      </c>
      <c r="L345" s="300" t="s">
        <v>2167</v>
      </c>
      <c r="M345" s="428" t="s">
        <v>565</v>
      </c>
      <c r="N345" s="427" t="s">
        <v>567</v>
      </c>
      <c r="O345" s="427" t="s">
        <v>566</v>
      </c>
      <c r="P345" s="430">
        <v>16</v>
      </c>
      <c r="Q345" s="430">
        <v>6</v>
      </c>
      <c r="R345" s="431">
        <v>8.1300000000000001E-3</v>
      </c>
      <c r="S345" s="427" t="s">
        <v>40</v>
      </c>
      <c r="T345" s="427" t="s">
        <v>112</v>
      </c>
      <c r="U345" s="427" t="s">
        <v>662</v>
      </c>
      <c r="V345" s="432">
        <v>650</v>
      </c>
      <c r="W345" s="432">
        <v>650</v>
      </c>
      <c r="X345" s="433"/>
      <c r="Y345" s="434">
        <f t="shared" si="107"/>
        <v>0</v>
      </c>
      <c r="Z345" s="435">
        <f t="shared" si="108"/>
        <v>0</v>
      </c>
      <c r="AA345" s="435"/>
      <c r="AB345" s="826">
        <v>1</v>
      </c>
      <c r="AC345" s="432">
        <f t="shared" ref="AC345:AC352" si="119">AB345*V345*P345</f>
        <v>10400</v>
      </c>
      <c r="AD345" s="307" t="s">
        <v>573</v>
      </c>
      <c r="AE345" s="511"/>
      <c r="AF345" s="511"/>
      <c r="AG345" s="211">
        <f t="shared" si="116"/>
        <v>0.11700000000000001</v>
      </c>
      <c r="AH345" s="157">
        <f t="shared" si="117"/>
        <v>0</v>
      </c>
      <c r="AI345" s="152">
        <f t="shared" si="111"/>
        <v>10400</v>
      </c>
      <c r="AK345" s="156" t="s">
        <v>691</v>
      </c>
      <c r="AL345" s="574" t="s">
        <v>690</v>
      </c>
      <c r="AM345" s="198">
        <f t="shared" si="118"/>
        <v>0</v>
      </c>
      <c r="AN345" s="199">
        <f t="shared" si="114"/>
        <v>45352</v>
      </c>
      <c r="AO345" s="159" t="s">
        <v>692</v>
      </c>
      <c r="AP345" s="781"/>
      <c r="AQ345" s="782"/>
      <c r="AR345" s="782">
        <v>12080450</v>
      </c>
      <c r="AS345" s="782"/>
      <c r="AT345" s="782">
        <v>12083198</v>
      </c>
      <c r="AU345" s="781"/>
      <c r="AV345" s="782">
        <v>12080491</v>
      </c>
      <c r="AW345" s="782"/>
      <c r="AX345" s="782" t="s">
        <v>627</v>
      </c>
      <c r="AY345" s="782"/>
      <c r="AZ345" s="782"/>
      <c r="BA345" s="781"/>
    </row>
    <row r="346" spans="1:53" ht="25" hidden="1" customHeight="1">
      <c r="A346" s="142" t="s">
        <v>438</v>
      </c>
      <c r="B346" s="424">
        <v>45352</v>
      </c>
      <c r="C346" s="425">
        <v>45362</v>
      </c>
      <c r="D346" s="185">
        <f t="shared" si="112"/>
        <v>2024</v>
      </c>
      <c r="E346" s="427" t="str">
        <f>VLOOKUP($B346,Week!$A$1:$C$1462,2,0)</f>
        <v>Week9</v>
      </c>
      <c r="F346" s="426" t="str">
        <f t="shared" si="113"/>
        <v>Mar</v>
      </c>
      <c r="G346" s="427" t="s">
        <v>1014</v>
      </c>
      <c r="H346" s="427" t="s">
        <v>104</v>
      </c>
      <c r="I346" s="427" t="s">
        <v>2772</v>
      </c>
      <c r="J346" s="428" t="s">
        <v>105</v>
      </c>
      <c r="K346" s="429" t="s">
        <v>433</v>
      </c>
      <c r="L346" s="300" t="s">
        <v>2167</v>
      </c>
      <c r="M346" s="428" t="s">
        <v>565</v>
      </c>
      <c r="N346" s="427" t="s">
        <v>567</v>
      </c>
      <c r="O346" s="427" t="s">
        <v>566</v>
      </c>
      <c r="P346" s="430">
        <v>16</v>
      </c>
      <c r="Q346" s="430">
        <v>6</v>
      </c>
      <c r="R346" s="431">
        <v>8.1300000000000001E-3</v>
      </c>
      <c r="S346" s="427" t="s">
        <v>40</v>
      </c>
      <c r="T346" s="427" t="s">
        <v>112</v>
      </c>
      <c r="U346" s="427" t="s">
        <v>662</v>
      </c>
      <c r="V346" s="432">
        <v>600</v>
      </c>
      <c r="W346" s="432">
        <f>769-650</f>
        <v>119</v>
      </c>
      <c r="X346" s="433">
        <f>(363+3485)/8</f>
        <v>481</v>
      </c>
      <c r="Y346" s="434">
        <f t="shared" si="107"/>
        <v>0</v>
      </c>
      <c r="Z346" s="435">
        <f t="shared" si="108"/>
        <v>0</v>
      </c>
      <c r="AA346" s="435"/>
      <c r="AB346" s="826">
        <v>1</v>
      </c>
      <c r="AC346" s="432">
        <f t="shared" si="119"/>
        <v>9600</v>
      </c>
      <c r="AD346" s="307" t="s">
        <v>573</v>
      </c>
      <c r="AE346" s="511"/>
      <c r="AF346" s="511"/>
      <c r="AG346" s="211">
        <f t="shared" si="116"/>
        <v>0.11700000000000001</v>
      </c>
      <c r="AH346" s="157">
        <f t="shared" si="117"/>
        <v>0</v>
      </c>
      <c r="AI346" s="152">
        <f t="shared" si="111"/>
        <v>9600</v>
      </c>
      <c r="AK346" s="156" t="s">
        <v>691</v>
      </c>
      <c r="AL346" s="574" t="s">
        <v>690</v>
      </c>
      <c r="AM346" s="198">
        <f t="shared" si="118"/>
        <v>0</v>
      </c>
      <c r="AN346" s="199">
        <f t="shared" si="114"/>
        <v>45352</v>
      </c>
      <c r="AO346" s="159" t="s">
        <v>692</v>
      </c>
      <c r="AP346" s="781"/>
      <c r="AQ346" s="782"/>
      <c r="AR346" s="782">
        <v>12080450</v>
      </c>
      <c r="AS346" s="782"/>
      <c r="AT346" s="782">
        <v>12083198</v>
      </c>
      <c r="AU346" s="781"/>
      <c r="AV346" s="782">
        <v>12080491</v>
      </c>
      <c r="AW346" s="782"/>
      <c r="AX346" s="782" t="s">
        <v>627</v>
      </c>
      <c r="AY346" s="782"/>
      <c r="AZ346" s="782"/>
      <c r="BA346" s="781"/>
    </row>
    <row r="347" spans="1:53" ht="25" hidden="1" customHeight="1">
      <c r="A347" s="142" t="s">
        <v>438</v>
      </c>
      <c r="B347" s="424">
        <v>45352</v>
      </c>
      <c r="C347" s="425">
        <v>45370</v>
      </c>
      <c r="D347" s="185">
        <f t="shared" si="112"/>
        <v>2024</v>
      </c>
      <c r="E347" s="427" t="str">
        <f>VLOOKUP($B347,Week!$A$1:$C$1462,2,0)</f>
        <v>Week9</v>
      </c>
      <c r="F347" s="426" t="str">
        <f t="shared" si="113"/>
        <v>Mar</v>
      </c>
      <c r="G347" s="427" t="s">
        <v>928</v>
      </c>
      <c r="H347" s="427" t="s">
        <v>104</v>
      </c>
      <c r="I347" s="427" t="s">
        <v>2772</v>
      </c>
      <c r="J347" s="428" t="s">
        <v>105</v>
      </c>
      <c r="K347" s="429" t="s">
        <v>433</v>
      </c>
      <c r="L347" s="300" t="s">
        <v>2167</v>
      </c>
      <c r="M347" s="428" t="s">
        <v>565</v>
      </c>
      <c r="N347" s="427" t="s">
        <v>567</v>
      </c>
      <c r="O347" s="427" t="s">
        <v>566</v>
      </c>
      <c r="P347" s="430">
        <v>16</v>
      </c>
      <c r="Q347" s="430">
        <v>6</v>
      </c>
      <c r="R347" s="431">
        <v>8.1300000000000001E-3</v>
      </c>
      <c r="S347" s="427" t="s">
        <v>40</v>
      </c>
      <c r="T347" s="427" t="s">
        <v>112</v>
      </c>
      <c r="U347" s="427" t="s">
        <v>662</v>
      </c>
      <c r="V347" s="432">
        <v>650</v>
      </c>
      <c r="W347" s="432"/>
      <c r="X347" s="433">
        <f>5200/8</f>
        <v>650</v>
      </c>
      <c r="Y347" s="434">
        <f t="shared" si="107"/>
        <v>0</v>
      </c>
      <c r="Z347" s="435">
        <f t="shared" si="108"/>
        <v>0</v>
      </c>
      <c r="AA347" s="435"/>
      <c r="AB347" s="826">
        <v>1</v>
      </c>
      <c r="AC347" s="432">
        <f t="shared" si="119"/>
        <v>10400</v>
      </c>
      <c r="AD347" s="307" t="s">
        <v>573</v>
      </c>
      <c r="AE347" s="511"/>
      <c r="AF347" s="511"/>
      <c r="AG347" s="211">
        <f t="shared" si="116"/>
        <v>0.11700000000000001</v>
      </c>
      <c r="AH347" s="157">
        <f t="shared" si="117"/>
        <v>0</v>
      </c>
      <c r="AI347" s="152">
        <f t="shared" si="111"/>
        <v>10400</v>
      </c>
      <c r="AK347" s="156" t="s">
        <v>691</v>
      </c>
      <c r="AL347" s="574" t="s">
        <v>690</v>
      </c>
      <c r="AM347" s="198">
        <f t="shared" si="118"/>
        <v>0</v>
      </c>
      <c r="AN347" s="199">
        <f t="shared" si="114"/>
        <v>45352</v>
      </c>
      <c r="AO347" s="159" t="s">
        <v>692</v>
      </c>
      <c r="AP347" s="781"/>
      <c r="AQ347" s="782"/>
      <c r="AR347" s="782">
        <v>12080450</v>
      </c>
      <c r="AS347" s="782"/>
      <c r="AT347" s="782">
        <v>12083198</v>
      </c>
      <c r="AU347" s="781"/>
      <c r="AV347" s="782">
        <v>12080491</v>
      </c>
      <c r="AW347" s="782"/>
      <c r="AX347" s="782" t="s">
        <v>627</v>
      </c>
      <c r="AY347" s="782"/>
      <c r="AZ347" s="782"/>
      <c r="BA347" s="781"/>
    </row>
    <row r="348" spans="1:53" ht="25" hidden="1" customHeight="1">
      <c r="A348" s="142" t="s">
        <v>438</v>
      </c>
      <c r="B348" s="424">
        <v>45352</v>
      </c>
      <c r="C348" s="425">
        <v>45370</v>
      </c>
      <c r="D348" s="185">
        <f t="shared" si="112"/>
        <v>2024</v>
      </c>
      <c r="E348" s="427" t="str">
        <f>VLOOKUP($B348,Week!$A$1:$C$1462,2,0)</f>
        <v>Week9</v>
      </c>
      <c r="F348" s="426" t="str">
        <f t="shared" si="113"/>
        <v>Mar</v>
      </c>
      <c r="G348" s="427" t="s">
        <v>1015</v>
      </c>
      <c r="H348" s="427" t="s">
        <v>104</v>
      </c>
      <c r="I348" s="427" t="s">
        <v>2772</v>
      </c>
      <c r="J348" s="428" t="s">
        <v>105</v>
      </c>
      <c r="K348" s="429" t="s">
        <v>433</v>
      </c>
      <c r="L348" s="300" t="s">
        <v>2167</v>
      </c>
      <c r="M348" s="428" t="s">
        <v>565</v>
      </c>
      <c r="N348" s="427" t="s">
        <v>567</v>
      </c>
      <c r="O348" s="427" t="s">
        <v>566</v>
      </c>
      <c r="P348" s="430">
        <v>16</v>
      </c>
      <c r="Q348" s="430">
        <v>6</v>
      </c>
      <c r="R348" s="431">
        <v>8.1300000000000001E-3</v>
      </c>
      <c r="S348" s="427" t="s">
        <v>40</v>
      </c>
      <c r="T348" s="427" t="s">
        <v>112</v>
      </c>
      <c r="U348" s="427" t="s">
        <v>662</v>
      </c>
      <c r="V348" s="432">
        <v>600</v>
      </c>
      <c r="W348" s="432"/>
      <c r="X348" s="433">
        <f>4800/8</f>
        <v>600</v>
      </c>
      <c r="Y348" s="434">
        <f t="shared" si="107"/>
        <v>0</v>
      </c>
      <c r="Z348" s="435">
        <f t="shared" si="108"/>
        <v>0</v>
      </c>
      <c r="AA348" s="435"/>
      <c r="AB348" s="826">
        <v>1</v>
      </c>
      <c r="AC348" s="432">
        <f t="shared" si="119"/>
        <v>9600</v>
      </c>
      <c r="AD348" s="307" t="s">
        <v>573</v>
      </c>
      <c r="AE348" s="511"/>
      <c r="AF348" s="511"/>
      <c r="AG348" s="211">
        <f t="shared" si="116"/>
        <v>0.11700000000000001</v>
      </c>
      <c r="AH348" s="157">
        <f t="shared" si="117"/>
        <v>0</v>
      </c>
      <c r="AI348" s="152">
        <f t="shared" si="111"/>
        <v>9600</v>
      </c>
      <c r="AK348" s="156" t="s">
        <v>691</v>
      </c>
      <c r="AL348" s="574" t="s">
        <v>690</v>
      </c>
      <c r="AM348" s="198">
        <f t="shared" si="118"/>
        <v>0</v>
      </c>
      <c r="AN348" s="199">
        <f t="shared" si="114"/>
        <v>45352</v>
      </c>
      <c r="AO348" s="159" t="s">
        <v>692</v>
      </c>
      <c r="AP348" s="781"/>
      <c r="AQ348" s="782"/>
      <c r="AR348" s="782">
        <v>12080450</v>
      </c>
      <c r="AS348" s="782"/>
      <c r="AT348" s="782">
        <v>12083198</v>
      </c>
      <c r="AU348" s="781"/>
      <c r="AV348" s="782">
        <v>12080491</v>
      </c>
      <c r="AW348" s="782"/>
      <c r="AX348" s="782" t="s">
        <v>627</v>
      </c>
      <c r="AY348" s="782"/>
      <c r="AZ348" s="782"/>
      <c r="BA348" s="781"/>
    </row>
    <row r="349" spans="1:53" ht="25" hidden="1" customHeight="1">
      <c r="A349" s="142" t="s">
        <v>438</v>
      </c>
      <c r="B349" s="424">
        <v>45352</v>
      </c>
      <c r="C349" s="425">
        <v>45370</v>
      </c>
      <c r="D349" s="185">
        <f t="shared" si="112"/>
        <v>2024</v>
      </c>
      <c r="E349" s="427" t="str">
        <f>VLOOKUP($B349,Week!$A$1:$C$1462,2,0)</f>
        <v>Week9</v>
      </c>
      <c r="F349" s="426" t="str">
        <f t="shared" si="113"/>
        <v>Mar</v>
      </c>
      <c r="G349" s="427" t="s">
        <v>1016</v>
      </c>
      <c r="H349" s="427" t="s">
        <v>104</v>
      </c>
      <c r="I349" s="427" t="s">
        <v>2772</v>
      </c>
      <c r="J349" s="428" t="s">
        <v>105</v>
      </c>
      <c r="K349" s="429" t="s">
        <v>433</v>
      </c>
      <c r="L349" s="300" t="s">
        <v>2167</v>
      </c>
      <c r="M349" s="428" t="s">
        <v>565</v>
      </c>
      <c r="N349" s="427" t="s">
        <v>567</v>
      </c>
      <c r="O349" s="427" t="s">
        <v>566</v>
      </c>
      <c r="P349" s="430">
        <v>16</v>
      </c>
      <c r="Q349" s="430">
        <v>6</v>
      </c>
      <c r="R349" s="431">
        <v>8.1300000000000001E-3</v>
      </c>
      <c r="S349" s="427" t="s">
        <v>40</v>
      </c>
      <c r="T349" s="427" t="s">
        <v>112</v>
      </c>
      <c r="U349" s="427" t="s">
        <v>662</v>
      </c>
      <c r="V349" s="432">
        <v>600</v>
      </c>
      <c r="W349" s="432"/>
      <c r="X349" s="433">
        <f>4800/8</f>
        <v>600</v>
      </c>
      <c r="Y349" s="434">
        <f t="shared" si="107"/>
        <v>0</v>
      </c>
      <c r="Z349" s="435">
        <f t="shared" si="108"/>
        <v>0</v>
      </c>
      <c r="AA349" s="435"/>
      <c r="AB349" s="826">
        <v>1</v>
      </c>
      <c r="AC349" s="432">
        <f t="shared" si="119"/>
        <v>9600</v>
      </c>
      <c r="AD349" s="307" t="s">
        <v>573</v>
      </c>
      <c r="AE349" s="511"/>
      <c r="AF349" s="511"/>
      <c r="AG349" s="211">
        <f t="shared" si="116"/>
        <v>0.11700000000000001</v>
      </c>
      <c r="AH349" s="157">
        <f t="shared" si="117"/>
        <v>0</v>
      </c>
      <c r="AI349" s="152">
        <f t="shared" si="111"/>
        <v>9600</v>
      </c>
      <c r="AK349" s="156" t="s">
        <v>691</v>
      </c>
      <c r="AL349" s="574" t="s">
        <v>690</v>
      </c>
      <c r="AM349" s="198">
        <f t="shared" si="118"/>
        <v>0</v>
      </c>
      <c r="AN349" s="199">
        <f t="shared" si="114"/>
        <v>45352</v>
      </c>
      <c r="AO349" s="159" t="s">
        <v>692</v>
      </c>
      <c r="AP349" s="781"/>
      <c r="AQ349" s="782"/>
      <c r="AR349" s="782">
        <v>12080450</v>
      </c>
      <c r="AS349" s="782"/>
      <c r="AT349" s="782">
        <v>12083198</v>
      </c>
      <c r="AU349" s="781"/>
      <c r="AV349" s="782">
        <v>12080491</v>
      </c>
      <c r="AW349" s="782"/>
      <c r="AX349" s="782" t="s">
        <v>627</v>
      </c>
      <c r="AY349" s="782"/>
      <c r="AZ349" s="782"/>
      <c r="BA349" s="781"/>
    </row>
    <row r="350" spans="1:53" ht="25" hidden="1" customHeight="1">
      <c r="A350" s="142" t="s">
        <v>438</v>
      </c>
      <c r="B350" s="424">
        <v>45352</v>
      </c>
      <c r="C350" s="425">
        <v>45376</v>
      </c>
      <c r="D350" s="185">
        <f t="shared" si="112"/>
        <v>2024</v>
      </c>
      <c r="E350" s="427" t="str">
        <f>VLOOKUP($B350,Week!$A$1:$C$1462,2,0)</f>
        <v>Week9</v>
      </c>
      <c r="F350" s="426" t="str">
        <f t="shared" si="113"/>
        <v>Mar</v>
      </c>
      <c r="G350" s="427" t="s">
        <v>929</v>
      </c>
      <c r="H350" s="427" t="s">
        <v>104</v>
      </c>
      <c r="I350" s="427" t="s">
        <v>2772</v>
      </c>
      <c r="J350" s="428" t="s">
        <v>105</v>
      </c>
      <c r="K350" s="429" t="s">
        <v>433</v>
      </c>
      <c r="L350" s="300" t="s">
        <v>2167</v>
      </c>
      <c r="M350" s="428" t="s">
        <v>565</v>
      </c>
      <c r="N350" s="427" t="s">
        <v>567</v>
      </c>
      <c r="O350" s="427" t="s">
        <v>566</v>
      </c>
      <c r="P350" s="430">
        <v>16</v>
      </c>
      <c r="Q350" s="430">
        <v>6</v>
      </c>
      <c r="R350" s="431">
        <v>8.1300000000000001E-3</v>
      </c>
      <c r="S350" s="427" t="s">
        <v>40</v>
      </c>
      <c r="T350" s="427" t="s">
        <v>112</v>
      </c>
      <c r="U350" s="427" t="s">
        <v>662</v>
      </c>
      <c r="V350" s="432">
        <v>650</v>
      </c>
      <c r="W350" s="432"/>
      <c r="X350" s="433">
        <f>5200/8</f>
        <v>650</v>
      </c>
      <c r="Y350" s="434">
        <f t="shared" si="107"/>
        <v>0</v>
      </c>
      <c r="Z350" s="435">
        <f t="shared" si="108"/>
        <v>0</v>
      </c>
      <c r="AA350" s="435"/>
      <c r="AB350" s="826">
        <v>1</v>
      </c>
      <c r="AC350" s="432">
        <f t="shared" si="119"/>
        <v>10400</v>
      </c>
      <c r="AD350" s="307" t="s">
        <v>573</v>
      </c>
      <c r="AE350" s="511"/>
      <c r="AF350" s="511"/>
      <c r="AG350" s="211">
        <f t="shared" si="116"/>
        <v>0.11700000000000001</v>
      </c>
      <c r="AH350" s="157">
        <f t="shared" si="117"/>
        <v>0</v>
      </c>
      <c r="AI350" s="152">
        <f t="shared" si="111"/>
        <v>10400</v>
      </c>
      <c r="AK350" s="156" t="s">
        <v>691</v>
      </c>
      <c r="AL350" s="574" t="s">
        <v>690</v>
      </c>
      <c r="AM350" s="198">
        <f t="shared" si="118"/>
        <v>0</v>
      </c>
      <c r="AN350" s="199">
        <f t="shared" si="114"/>
        <v>45352</v>
      </c>
      <c r="AO350" s="159" t="s">
        <v>692</v>
      </c>
      <c r="AP350" s="781"/>
      <c r="AQ350" s="782"/>
      <c r="AR350" s="782">
        <v>12080450</v>
      </c>
      <c r="AS350" s="782"/>
      <c r="AT350" s="782">
        <v>12083198</v>
      </c>
      <c r="AU350" s="781"/>
      <c r="AV350" s="782">
        <v>12080491</v>
      </c>
      <c r="AW350" s="782"/>
      <c r="AX350" s="782" t="s">
        <v>627</v>
      </c>
      <c r="AY350" s="782"/>
      <c r="AZ350" s="782"/>
      <c r="BA350" s="781"/>
    </row>
    <row r="351" spans="1:53" ht="25" hidden="1" customHeight="1">
      <c r="A351" s="142" t="s">
        <v>438</v>
      </c>
      <c r="B351" s="424">
        <v>45352</v>
      </c>
      <c r="C351" s="425">
        <v>45384</v>
      </c>
      <c r="D351" s="185">
        <f t="shared" si="112"/>
        <v>2024</v>
      </c>
      <c r="E351" s="427" t="str">
        <f>VLOOKUP($B351,Week!$A$1:$C$1462,2,0)</f>
        <v>Week9</v>
      </c>
      <c r="F351" s="426" t="str">
        <f t="shared" si="113"/>
        <v>Mar</v>
      </c>
      <c r="G351" s="427" t="s">
        <v>1017</v>
      </c>
      <c r="H351" s="427" t="s">
        <v>104</v>
      </c>
      <c r="I351" s="427" t="s">
        <v>2772</v>
      </c>
      <c r="J351" s="428" t="s">
        <v>105</v>
      </c>
      <c r="K351" s="429" t="s">
        <v>433</v>
      </c>
      <c r="L351" s="300" t="s">
        <v>2167</v>
      </c>
      <c r="M351" s="428" t="s">
        <v>565</v>
      </c>
      <c r="N351" s="427" t="s">
        <v>567</v>
      </c>
      <c r="O351" s="427" t="s">
        <v>566</v>
      </c>
      <c r="P351" s="430">
        <v>16</v>
      </c>
      <c r="Q351" s="430">
        <v>6</v>
      </c>
      <c r="R351" s="431">
        <v>8.1300000000000001E-3</v>
      </c>
      <c r="S351" s="427" t="s">
        <v>40</v>
      </c>
      <c r="T351" s="427" t="s">
        <v>112</v>
      </c>
      <c r="U351" s="427" t="s">
        <v>662</v>
      </c>
      <c r="V351" s="432">
        <v>650</v>
      </c>
      <c r="W351" s="432"/>
      <c r="X351" s="433">
        <f>5200/8</f>
        <v>650</v>
      </c>
      <c r="Y351" s="434">
        <f t="shared" si="107"/>
        <v>0</v>
      </c>
      <c r="Z351" s="435">
        <f t="shared" si="108"/>
        <v>0</v>
      </c>
      <c r="AA351" s="435"/>
      <c r="AB351" s="826">
        <v>1</v>
      </c>
      <c r="AC351" s="432">
        <f t="shared" si="119"/>
        <v>10400</v>
      </c>
      <c r="AD351" s="307" t="s">
        <v>573</v>
      </c>
      <c r="AE351" s="511"/>
      <c r="AF351" s="511"/>
      <c r="AG351" s="211">
        <f t="shared" si="116"/>
        <v>0.11700000000000001</v>
      </c>
      <c r="AH351" s="157">
        <f t="shared" si="117"/>
        <v>0</v>
      </c>
      <c r="AI351" s="152">
        <f t="shared" si="111"/>
        <v>10400</v>
      </c>
      <c r="AK351" s="156" t="s">
        <v>691</v>
      </c>
      <c r="AL351" s="574" t="s">
        <v>690</v>
      </c>
      <c r="AM351" s="198">
        <f t="shared" si="118"/>
        <v>0</v>
      </c>
      <c r="AN351" s="199">
        <f t="shared" si="114"/>
        <v>45352</v>
      </c>
      <c r="AO351" s="159" t="s">
        <v>692</v>
      </c>
      <c r="AP351" s="781"/>
      <c r="AQ351" s="782"/>
      <c r="AR351" s="782">
        <v>12080450</v>
      </c>
      <c r="AS351" s="782"/>
      <c r="AT351" s="782">
        <v>12083198</v>
      </c>
      <c r="AU351" s="781"/>
      <c r="AV351" s="782">
        <v>12080491</v>
      </c>
      <c r="AW351" s="782"/>
      <c r="AX351" s="782" t="s">
        <v>627</v>
      </c>
      <c r="AY351" s="782"/>
      <c r="AZ351" s="782"/>
      <c r="BA351" s="781"/>
    </row>
    <row r="352" spans="1:53" ht="25" hidden="1" customHeight="1">
      <c r="A352" s="516" t="s">
        <v>438</v>
      </c>
      <c r="B352" s="332">
        <v>45352</v>
      </c>
      <c r="C352" s="333">
        <v>45385</v>
      </c>
      <c r="D352" s="185">
        <f t="shared" si="112"/>
        <v>2024</v>
      </c>
      <c r="E352" s="335" t="str">
        <f>VLOOKUP($B352,Week!$A$1:$C$1462,2,0)</f>
        <v>Week9</v>
      </c>
      <c r="F352" s="334" t="str">
        <f t="shared" si="113"/>
        <v>Mar</v>
      </c>
      <c r="G352" s="335" t="s">
        <v>1082</v>
      </c>
      <c r="H352" s="335" t="s">
        <v>675</v>
      </c>
      <c r="I352" s="335" t="s">
        <v>2772</v>
      </c>
      <c r="J352" s="336" t="s">
        <v>709</v>
      </c>
      <c r="K352" s="337" t="s">
        <v>671</v>
      </c>
      <c r="L352" s="300" t="s">
        <v>2167</v>
      </c>
      <c r="M352" s="336" t="s">
        <v>661</v>
      </c>
      <c r="N352" s="530" t="s">
        <v>714</v>
      </c>
      <c r="O352" s="335" t="s">
        <v>566</v>
      </c>
      <c r="P352" s="338">
        <v>16</v>
      </c>
      <c r="Q352" s="338">
        <v>6</v>
      </c>
      <c r="R352" s="339">
        <v>6.0000000000000001E-3</v>
      </c>
      <c r="S352" s="335" t="s">
        <v>55</v>
      </c>
      <c r="T352" s="335" t="s">
        <v>112</v>
      </c>
      <c r="U352" s="335" t="s">
        <v>662</v>
      </c>
      <c r="V352" s="341">
        <v>378</v>
      </c>
      <c r="W352" s="341"/>
      <c r="X352" s="342">
        <f>(346+3129)/8</f>
        <v>434.375</v>
      </c>
      <c r="Y352" s="343">
        <f t="shared" si="107"/>
        <v>56.375</v>
      </c>
      <c r="Z352" s="344">
        <f t="shared" si="108"/>
        <v>0</v>
      </c>
      <c r="AA352" s="344"/>
      <c r="AB352" s="817">
        <v>1</v>
      </c>
      <c r="AC352" s="341">
        <f t="shared" si="119"/>
        <v>6048</v>
      </c>
      <c r="AD352" s="336" t="s">
        <v>573</v>
      </c>
      <c r="AE352" s="533"/>
      <c r="AF352" s="533"/>
      <c r="AG352" s="211">
        <f t="shared" si="116"/>
        <v>0.11700000000000001</v>
      </c>
      <c r="AH352" s="157">
        <f t="shared" si="117"/>
        <v>0</v>
      </c>
      <c r="AI352" s="152">
        <f t="shared" si="111"/>
        <v>6048</v>
      </c>
      <c r="AK352" s="156" t="s">
        <v>691</v>
      </c>
      <c r="AL352" s="212" t="s">
        <v>690</v>
      </c>
      <c r="AM352" s="198">
        <f t="shared" si="118"/>
        <v>0</v>
      </c>
      <c r="AN352" s="199">
        <f t="shared" si="114"/>
        <v>45352</v>
      </c>
      <c r="AO352" s="159" t="s">
        <v>692</v>
      </c>
      <c r="AP352" s="781"/>
      <c r="AQ352" s="782"/>
      <c r="AR352" s="782">
        <v>12080450</v>
      </c>
      <c r="AS352" s="782"/>
      <c r="AT352" s="782">
        <v>12083198</v>
      </c>
      <c r="AU352" s="781"/>
      <c r="AV352" s="782">
        <v>12080491</v>
      </c>
      <c r="AW352" s="782"/>
      <c r="AX352" s="782" t="s">
        <v>627</v>
      </c>
      <c r="AY352" s="782"/>
      <c r="AZ352" s="782"/>
      <c r="BA352" s="781"/>
    </row>
    <row r="353" spans="1:53" ht="25" hidden="1" customHeight="1">
      <c r="A353" s="142" t="s">
        <v>120</v>
      </c>
      <c r="B353" s="271">
        <v>45352</v>
      </c>
      <c r="C353" s="272">
        <v>45365</v>
      </c>
      <c r="D353" s="185">
        <f t="shared" si="112"/>
        <v>2024</v>
      </c>
      <c r="E353" s="272" t="str">
        <f>VLOOKUP($B353,Week!$A$1:$C$1462,2,0)</f>
        <v>Week9</v>
      </c>
      <c r="F353" s="273" t="str">
        <f t="shared" si="113"/>
        <v>Mar</v>
      </c>
      <c r="G353" s="274" t="s">
        <v>842</v>
      </c>
      <c r="H353" s="274" t="s">
        <v>500</v>
      </c>
      <c r="I353" s="274" t="s">
        <v>2772</v>
      </c>
      <c r="J353" s="275" t="s">
        <v>285</v>
      </c>
      <c r="K353" s="276" t="s">
        <v>153</v>
      </c>
      <c r="L353" s="390" t="s">
        <v>2166</v>
      </c>
      <c r="M353" s="275" t="s">
        <v>86</v>
      </c>
      <c r="N353" s="274" t="s">
        <v>547</v>
      </c>
      <c r="O353" s="274" t="s">
        <v>548</v>
      </c>
      <c r="P353" s="277">
        <v>10</v>
      </c>
      <c r="Q353" s="277">
        <v>50</v>
      </c>
      <c r="R353" s="278">
        <v>6.8100000000000001E-3</v>
      </c>
      <c r="S353" s="274" t="s">
        <v>76</v>
      </c>
      <c r="T353" s="274" t="s">
        <v>56</v>
      </c>
      <c r="U353" s="274" t="s">
        <v>89</v>
      </c>
      <c r="V353" s="279">
        <f>2056-654-853</f>
        <v>549</v>
      </c>
      <c r="W353" s="279">
        <f>324</f>
        <v>324</v>
      </c>
      <c r="X353" s="280">
        <f>(2250)/10</f>
        <v>225</v>
      </c>
      <c r="Y353" s="281">
        <f t="shared" si="107"/>
        <v>0</v>
      </c>
      <c r="Z353" s="282">
        <f t="shared" si="108"/>
        <v>0</v>
      </c>
      <c r="AA353" s="282">
        <f>Q353*Z353</f>
        <v>0</v>
      </c>
      <c r="AB353" s="812">
        <v>6</v>
      </c>
      <c r="AC353" s="279">
        <f>Z353*AB353</f>
        <v>0</v>
      </c>
      <c r="AD353" s="209"/>
      <c r="AE353" s="210"/>
      <c r="AF353" s="210"/>
      <c r="AG353" s="211">
        <f t="shared" si="116"/>
        <v>0.63</v>
      </c>
      <c r="AH353" s="157">
        <f>(Z353*AG353)/1000</f>
        <v>0</v>
      </c>
      <c r="AI353" s="152">
        <f t="shared" si="111"/>
        <v>5490</v>
      </c>
      <c r="AK353" s="156" t="s">
        <v>691</v>
      </c>
      <c r="AL353" s="156" t="s">
        <v>689</v>
      </c>
      <c r="AM353" s="198">
        <f>AG353*Z353</f>
        <v>0</v>
      </c>
      <c r="AN353" s="199">
        <f t="shared" si="114"/>
        <v>45352</v>
      </c>
      <c r="AO353" s="159" t="s">
        <v>692</v>
      </c>
      <c r="AP353" s="783" t="s">
        <v>620</v>
      </c>
      <c r="AQ353" s="782" t="s">
        <v>549</v>
      </c>
      <c r="AR353" s="782">
        <v>12055234</v>
      </c>
      <c r="AS353" s="781"/>
      <c r="AT353" s="782"/>
      <c r="AU353" s="782"/>
      <c r="AV353" s="782">
        <v>12062809</v>
      </c>
      <c r="AW353" s="782"/>
      <c r="AX353" s="782" t="s">
        <v>619</v>
      </c>
      <c r="AY353" s="781"/>
      <c r="AZ353" s="781"/>
      <c r="BA353" s="781"/>
    </row>
    <row r="354" spans="1:53" ht="25" hidden="1" customHeight="1">
      <c r="A354" s="142" t="s">
        <v>120</v>
      </c>
      <c r="B354" s="308">
        <v>45352</v>
      </c>
      <c r="C354" s="558">
        <v>45360</v>
      </c>
      <c r="D354" s="185">
        <f t="shared" si="112"/>
        <v>2024</v>
      </c>
      <c r="E354" s="309" t="str">
        <f>VLOOKUP($B354,Week!$A$1:$C$1462,2,0)</f>
        <v>Week9</v>
      </c>
      <c r="F354" s="310" t="str">
        <f t="shared" si="113"/>
        <v>Mar</v>
      </c>
      <c r="G354" s="579" t="s">
        <v>925</v>
      </c>
      <c r="H354" s="311" t="s">
        <v>104</v>
      </c>
      <c r="I354" s="311" t="s">
        <v>2772</v>
      </c>
      <c r="J354" s="312" t="s">
        <v>105</v>
      </c>
      <c r="K354" s="313" t="s">
        <v>85</v>
      </c>
      <c r="L354" s="390" t="s">
        <v>2166</v>
      </c>
      <c r="M354" s="312" t="s">
        <v>86</v>
      </c>
      <c r="N354" s="311" t="s">
        <v>421</v>
      </c>
      <c r="O354" s="311" t="s">
        <v>506</v>
      </c>
      <c r="P354" s="314">
        <v>10</v>
      </c>
      <c r="Q354" s="314">
        <v>50</v>
      </c>
      <c r="R354" s="315">
        <v>6.8100000000000001E-3</v>
      </c>
      <c r="S354" s="311" t="s">
        <v>76</v>
      </c>
      <c r="T354" s="311" t="s">
        <v>112</v>
      </c>
      <c r="U354" s="311" t="s">
        <v>89</v>
      </c>
      <c r="V354" s="316">
        <v>250</v>
      </c>
      <c r="W354" s="316">
        <f>84</f>
        <v>84</v>
      </c>
      <c r="X354" s="317">
        <f>(20+1640)/10</f>
        <v>166</v>
      </c>
      <c r="Y354" s="318">
        <f t="shared" si="107"/>
        <v>0</v>
      </c>
      <c r="Z354" s="319">
        <f t="shared" si="108"/>
        <v>0</v>
      </c>
      <c r="AA354" s="319">
        <f>Q354*Z354</f>
        <v>0</v>
      </c>
      <c r="AB354" s="815">
        <v>6</v>
      </c>
      <c r="AC354" s="316">
        <f>Z354*AB354</f>
        <v>0</v>
      </c>
      <c r="AD354" s="381"/>
      <c r="AE354" s="210"/>
      <c r="AF354" s="210"/>
      <c r="AG354" s="211">
        <f t="shared" si="116"/>
        <v>0.57999999999999996</v>
      </c>
      <c r="AH354" s="157">
        <f>(Z354*AG354)/1000</f>
        <v>0</v>
      </c>
      <c r="AI354" s="152">
        <f t="shared" si="111"/>
        <v>2500</v>
      </c>
      <c r="AJ354" s="156">
        <f>AI354*Q354</f>
        <v>125000</v>
      </c>
      <c r="AK354" s="156" t="s">
        <v>691</v>
      </c>
      <c r="AL354" s="156" t="s">
        <v>689</v>
      </c>
      <c r="AM354" s="198">
        <f>AG354*Z354</f>
        <v>0</v>
      </c>
      <c r="AN354" s="199">
        <f t="shared" si="114"/>
        <v>45352</v>
      </c>
      <c r="AO354" s="159" t="s">
        <v>692</v>
      </c>
      <c r="AP354" s="781" t="s">
        <v>423</v>
      </c>
      <c r="AQ354" s="781" t="s">
        <v>422</v>
      </c>
      <c r="AR354" s="782">
        <v>12055234</v>
      </c>
      <c r="AS354" s="781"/>
      <c r="AT354" s="782">
        <v>12069432</v>
      </c>
      <c r="AU354" s="781"/>
      <c r="AV354" s="782">
        <v>12069433</v>
      </c>
      <c r="AW354" s="781"/>
      <c r="AX354" s="781" t="s">
        <v>93</v>
      </c>
      <c r="AY354" s="781"/>
      <c r="AZ354" s="782"/>
      <c r="BA354" s="781"/>
    </row>
    <row r="355" spans="1:53" ht="25.15" hidden="1" customHeight="1">
      <c r="B355" s="345">
        <v>45353</v>
      </c>
      <c r="C355" s="346">
        <v>45370</v>
      </c>
      <c r="D355" s="185">
        <f t="shared" si="112"/>
        <v>2024</v>
      </c>
      <c r="E355" s="347" t="str">
        <f>VLOOKUP($B355,Week!$A$1:$C$1462,2,0)</f>
        <v>Week9</v>
      </c>
      <c r="F355" s="348" t="str">
        <f t="shared" si="113"/>
        <v>Mar</v>
      </c>
      <c r="G355" s="347" t="s">
        <v>916</v>
      </c>
      <c r="H355" s="347" t="s">
        <v>424</v>
      </c>
      <c r="I355" s="347" t="s">
        <v>2772</v>
      </c>
      <c r="J355" s="438" t="s">
        <v>425</v>
      </c>
      <c r="K355" s="350" t="s">
        <v>176</v>
      </c>
      <c r="L355" s="300" t="s">
        <v>2167</v>
      </c>
      <c r="M355" s="349" t="s">
        <v>426</v>
      </c>
      <c r="N355" s="347" t="s">
        <v>427</v>
      </c>
      <c r="O355" s="347" t="s">
        <v>599</v>
      </c>
      <c r="P355" s="351">
        <v>36</v>
      </c>
      <c r="Q355" s="351">
        <v>5</v>
      </c>
      <c r="R355" s="352">
        <v>7.4999999999999997E-3</v>
      </c>
      <c r="S355" s="347" t="s">
        <v>111</v>
      </c>
      <c r="T355" s="347" t="s">
        <v>112</v>
      </c>
      <c r="U355" s="347" t="s">
        <v>57</v>
      </c>
      <c r="V355" s="353">
        <v>1288</v>
      </c>
      <c r="W355" s="353">
        <f>69+1219</f>
        <v>1288</v>
      </c>
      <c r="X355" s="354"/>
      <c r="Y355" s="355">
        <f t="shared" si="107"/>
        <v>0</v>
      </c>
      <c r="Z355" s="356">
        <f t="shared" si="108"/>
        <v>0</v>
      </c>
      <c r="AA355" s="353"/>
      <c r="AB355" s="818"/>
      <c r="AC355" s="353"/>
      <c r="AD355" s="307" t="s">
        <v>728</v>
      </c>
      <c r="AE355" s="210"/>
      <c r="AF355" s="210"/>
      <c r="AG355" s="211">
        <f t="shared" si="116"/>
        <v>0.14799999999999999</v>
      </c>
      <c r="AH355" s="157">
        <f t="shared" ref="AH355:AH362" si="120">(Z355*AG355)/1000</f>
        <v>0</v>
      </c>
      <c r="AI355" s="152">
        <f t="shared" si="111"/>
        <v>46368</v>
      </c>
      <c r="AK355" s="156" t="s">
        <v>691</v>
      </c>
      <c r="AL355" s="574" t="s">
        <v>690</v>
      </c>
      <c r="AM355" s="198">
        <f t="shared" ref="AM355:AM361" si="121">AG355*Z355</f>
        <v>0</v>
      </c>
      <c r="AN355" s="199">
        <f t="shared" si="114"/>
        <v>45353</v>
      </c>
      <c r="AO355" s="159" t="s">
        <v>692</v>
      </c>
      <c r="AP355" s="783" t="s">
        <v>609</v>
      </c>
      <c r="AQ355" s="782">
        <v>12071839</v>
      </c>
      <c r="AR355" s="782">
        <v>12047514</v>
      </c>
      <c r="AS355" s="782">
        <v>12047515</v>
      </c>
      <c r="AT355" s="782">
        <v>12062098</v>
      </c>
      <c r="AU355" s="782"/>
      <c r="AV355" s="782">
        <v>12062100</v>
      </c>
      <c r="AW355" s="782">
        <v>12024404</v>
      </c>
      <c r="AX355" s="781"/>
      <c r="AY355" s="782">
        <v>12062116</v>
      </c>
      <c r="AZ355" s="782"/>
      <c r="BA355" s="781"/>
    </row>
    <row r="356" spans="1:53" ht="25.15" hidden="1" customHeight="1">
      <c r="B356" s="345">
        <v>45353</v>
      </c>
      <c r="C356" s="346">
        <v>45377</v>
      </c>
      <c r="D356" s="185">
        <f t="shared" si="112"/>
        <v>2024</v>
      </c>
      <c r="E356" s="347" t="str">
        <f>VLOOKUP($B356,Week!$A$1:$C$1462,2,0)</f>
        <v>Week9</v>
      </c>
      <c r="F356" s="348" t="str">
        <f t="shared" si="113"/>
        <v>Mar</v>
      </c>
      <c r="G356" s="347" t="s">
        <v>917</v>
      </c>
      <c r="H356" s="347" t="s">
        <v>424</v>
      </c>
      <c r="I356" s="347" t="s">
        <v>2772</v>
      </c>
      <c r="J356" s="438" t="s">
        <v>425</v>
      </c>
      <c r="K356" s="350" t="s">
        <v>176</v>
      </c>
      <c r="L356" s="300" t="s">
        <v>2167</v>
      </c>
      <c r="M356" s="349" t="s">
        <v>426</v>
      </c>
      <c r="N356" s="347" t="s">
        <v>427</v>
      </c>
      <c r="O356" s="347" t="s">
        <v>599</v>
      </c>
      <c r="P356" s="351">
        <v>36</v>
      </c>
      <c r="Q356" s="351">
        <v>5</v>
      </c>
      <c r="R356" s="352">
        <v>7.4999999999999997E-3</v>
      </c>
      <c r="S356" s="347" t="s">
        <v>111</v>
      </c>
      <c r="T356" s="347" t="s">
        <v>112</v>
      </c>
      <c r="U356" s="347" t="s">
        <v>57</v>
      </c>
      <c r="V356" s="353">
        <v>1288</v>
      </c>
      <c r="W356" s="353">
        <f>2507-1219</f>
        <v>1288</v>
      </c>
      <c r="X356" s="354"/>
      <c r="Y356" s="355">
        <f t="shared" si="107"/>
        <v>0</v>
      </c>
      <c r="Z356" s="356">
        <f t="shared" si="108"/>
        <v>0</v>
      </c>
      <c r="AA356" s="353"/>
      <c r="AB356" s="818"/>
      <c r="AC356" s="353"/>
      <c r="AD356" s="307" t="s">
        <v>728</v>
      </c>
      <c r="AE356" s="210"/>
      <c r="AF356" s="210"/>
      <c r="AG356" s="211">
        <f t="shared" si="116"/>
        <v>0.14799999999999999</v>
      </c>
      <c r="AH356" s="157">
        <f t="shared" si="120"/>
        <v>0</v>
      </c>
      <c r="AI356" s="152">
        <f t="shared" si="111"/>
        <v>46368</v>
      </c>
      <c r="AK356" s="156" t="s">
        <v>691</v>
      </c>
      <c r="AL356" s="574" t="s">
        <v>690</v>
      </c>
      <c r="AM356" s="198">
        <f t="shared" si="121"/>
        <v>0</v>
      </c>
      <c r="AN356" s="199">
        <f t="shared" si="114"/>
        <v>45353</v>
      </c>
      <c r="AO356" s="159" t="s">
        <v>692</v>
      </c>
      <c r="AP356" s="783" t="s">
        <v>609</v>
      </c>
      <c r="AQ356" s="782">
        <v>12071839</v>
      </c>
      <c r="AR356" s="782">
        <v>12047514</v>
      </c>
      <c r="AS356" s="782">
        <v>12047515</v>
      </c>
      <c r="AT356" s="782">
        <v>12062098</v>
      </c>
      <c r="AU356" s="782"/>
      <c r="AV356" s="782">
        <v>12062100</v>
      </c>
      <c r="AW356" s="782">
        <v>12024404</v>
      </c>
      <c r="AX356" s="781"/>
      <c r="AY356" s="782">
        <v>12062116</v>
      </c>
      <c r="AZ356" s="782"/>
      <c r="BA356" s="781"/>
    </row>
    <row r="357" spans="1:53" ht="24.65" hidden="1" customHeight="1">
      <c r="B357" s="283">
        <v>45353</v>
      </c>
      <c r="C357" s="284">
        <v>45363</v>
      </c>
      <c r="D357" s="185">
        <f t="shared" si="112"/>
        <v>2024</v>
      </c>
      <c r="E357" s="284" t="str">
        <f>VLOOKUP($B357,Week!$A$1:$C$1462,2,0)</f>
        <v>Week9</v>
      </c>
      <c r="F357" s="285" t="str">
        <f t="shared" si="113"/>
        <v>Mar</v>
      </c>
      <c r="G357" s="626" t="s">
        <v>1014</v>
      </c>
      <c r="H357" s="624" t="s">
        <v>104</v>
      </c>
      <c r="I357" s="624" t="s">
        <v>2772</v>
      </c>
      <c r="J357" s="625" t="s">
        <v>105</v>
      </c>
      <c r="K357" s="288" t="s">
        <v>51</v>
      </c>
      <c r="L357" s="300" t="s">
        <v>2167</v>
      </c>
      <c r="M357" s="287" t="s">
        <v>595</v>
      </c>
      <c r="N357" s="286" t="s">
        <v>597</v>
      </c>
      <c r="O357" s="286" t="s">
        <v>187</v>
      </c>
      <c r="P357" s="289">
        <v>8</v>
      </c>
      <c r="Q357" s="289">
        <v>5</v>
      </c>
      <c r="R357" s="290">
        <v>6.0000000000000001E-3</v>
      </c>
      <c r="S357" s="286" t="s">
        <v>55</v>
      </c>
      <c r="T357" s="286" t="s">
        <v>112</v>
      </c>
      <c r="U357" s="286" t="s">
        <v>57</v>
      </c>
      <c r="V357" s="291">
        <v>1400</v>
      </c>
      <c r="W357" s="291"/>
      <c r="X357" s="292">
        <f>(1920+9280)/8</f>
        <v>1400</v>
      </c>
      <c r="Y357" s="293">
        <f t="shared" si="107"/>
        <v>0</v>
      </c>
      <c r="Z357" s="294">
        <f t="shared" si="108"/>
        <v>0</v>
      </c>
      <c r="AA357" s="294"/>
      <c r="AB357" s="813"/>
      <c r="AC357" s="291"/>
      <c r="AD357" s="486"/>
      <c r="AE357" s="210"/>
      <c r="AF357" s="210"/>
      <c r="AG357" s="211">
        <v>0.14499999999999999</v>
      </c>
      <c r="AH357" s="157">
        <f t="shared" si="120"/>
        <v>0</v>
      </c>
      <c r="AI357" s="152">
        <v>19800</v>
      </c>
      <c r="AK357" s="156" t="s">
        <v>691</v>
      </c>
      <c r="AL357" s="212" t="s">
        <v>690</v>
      </c>
      <c r="AM357" s="198">
        <f t="shared" si="121"/>
        <v>0</v>
      </c>
      <c r="AN357" s="199">
        <f t="shared" si="114"/>
        <v>45353</v>
      </c>
      <c r="AO357" s="159" t="s">
        <v>692</v>
      </c>
      <c r="AP357" s="781"/>
      <c r="AQ357" s="782">
        <v>12071839</v>
      </c>
      <c r="AR357" s="782">
        <v>12047514</v>
      </c>
      <c r="AS357" s="782">
        <v>12047515</v>
      </c>
      <c r="AT357" s="782"/>
      <c r="AU357" s="781"/>
      <c r="AV357" s="782"/>
      <c r="AW357" s="782"/>
      <c r="AX357" s="782"/>
      <c r="AY357" s="782"/>
      <c r="AZ357" s="782"/>
      <c r="BA357" s="781"/>
    </row>
    <row r="358" spans="1:53" ht="24.65" hidden="1" customHeight="1">
      <c r="B358" s="283">
        <v>45353</v>
      </c>
      <c r="C358" s="284">
        <v>45370</v>
      </c>
      <c r="D358" s="185">
        <f t="shared" si="112"/>
        <v>2024</v>
      </c>
      <c r="E358" s="284" t="str">
        <f>VLOOKUP($B358,Week!$A$1:$C$1462,2,0)</f>
        <v>Week9</v>
      </c>
      <c r="F358" s="285" t="str">
        <f t="shared" si="113"/>
        <v>Mar</v>
      </c>
      <c r="G358" s="626" t="s">
        <v>928</v>
      </c>
      <c r="H358" s="624" t="s">
        <v>104</v>
      </c>
      <c r="I358" s="624" t="s">
        <v>2772</v>
      </c>
      <c r="J358" s="625" t="s">
        <v>105</v>
      </c>
      <c r="K358" s="288" t="s">
        <v>51</v>
      </c>
      <c r="L358" s="300" t="s">
        <v>2167</v>
      </c>
      <c r="M358" s="287" t="s">
        <v>595</v>
      </c>
      <c r="N358" s="286" t="s">
        <v>597</v>
      </c>
      <c r="O358" s="286" t="s">
        <v>187</v>
      </c>
      <c r="P358" s="289">
        <v>8</v>
      </c>
      <c r="Q358" s="289">
        <v>5</v>
      </c>
      <c r="R358" s="290">
        <v>6.0000000000000001E-3</v>
      </c>
      <c r="S358" s="286" t="s">
        <v>55</v>
      </c>
      <c r="T358" s="286" t="s">
        <v>112</v>
      </c>
      <c r="U358" s="286" t="s">
        <v>57</v>
      </c>
      <c r="V358" s="291">
        <f>1900</f>
        <v>1900</v>
      </c>
      <c r="W358" s="291"/>
      <c r="X358" s="292">
        <v>1900</v>
      </c>
      <c r="Y358" s="293">
        <f t="shared" si="107"/>
        <v>0</v>
      </c>
      <c r="Z358" s="294">
        <f t="shared" si="108"/>
        <v>0</v>
      </c>
      <c r="AA358" s="294"/>
      <c r="AB358" s="813"/>
      <c r="AC358" s="291"/>
      <c r="AD358" s="486"/>
      <c r="AE358" s="210"/>
      <c r="AF358" s="210"/>
      <c r="AG358" s="211">
        <v>0.14499999999999999</v>
      </c>
      <c r="AH358" s="157">
        <f t="shared" si="120"/>
        <v>0</v>
      </c>
      <c r="AI358" s="152">
        <v>19800</v>
      </c>
      <c r="AK358" s="156" t="s">
        <v>691</v>
      </c>
      <c r="AL358" s="212" t="s">
        <v>690</v>
      </c>
      <c r="AM358" s="198">
        <f t="shared" si="121"/>
        <v>0</v>
      </c>
      <c r="AN358" s="199">
        <f t="shared" si="114"/>
        <v>45353</v>
      </c>
      <c r="AO358" s="159" t="s">
        <v>692</v>
      </c>
      <c r="AP358" s="781"/>
      <c r="AQ358" s="782">
        <v>12071839</v>
      </c>
      <c r="AR358" s="782">
        <v>12047514</v>
      </c>
      <c r="AS358" s="782">
        <v>12047515</v>
      </c>
      <c r="AT358" s="782"/>
      <c r="AU358" s="781"/>
      <c r="AV358" s="782"/>
      <c r="AW358" s="782"/>
      <c r="AX358" s="782"/>
      <c r="AY358" s="782"/>
      <c r="AZ358" s="782"/>
      <c r="BA358" s="781"/>
    </row>
    <row r="359" spans="1:53" ht="24.65" hidden="1" customHeight="1">
      <c r="B359" s="283">
        <v>45353</v>
      </c>
      <c r="C359" s="284">
        <v>45370</v>
      </c>
      <c r="D359" s="185">
        <f t="shared" si="112"/>
        <v>2024</v>
      </c>
      <c r="E359" s="284" t="str">
        <f>VLOOKUP($B359,Week!$A$1:$C$1462,2,0)</f>
        <v>Week9</v>
      </c>
      <c r="F359" s="285" t="str">
        <f t="shared" si="113"/>
        <v>Mar</v>
      </c>
      <c r="G359" s="626" t="s">
        <v>1015</v>
      </c>
      <c r="H359" s="624" t="s">
        <v>104</v>
      </c>
      <c r="I359" s="624" t="s">
        <v>2772</v>
      </c>
      <c r="J359" s="625" t="s">
        <v>105</v>
      </c>
      <c r="K359" s="288" t="s">
        <v>51</v>
      </c>
      <c r="L359" s="300" t="s">
        <v>2167</v>
      </c>
      <c r="M359" s="287" t="s">
        <v>595</v>
      </c>
      <c r="N359" s="286" t="s">
        <v>597</v>
      </c>
      <c r="O359" s="286" t="s">
        <v>187</v>
      </c>
      <c r="P359" s="289">
        <v>8</v>
      </c>
      <c r="Q359" s="289">
        <v>5</v>
      </c>
      <c r="R359" s="290">
        <v>6.0000000000000001E-3</v>
      </c>
      <c r="S359" s="286" t="s">
        <v>55</v>
      </c>
      <c r="T359" s="286" t="s">
        <v>112</v>
      </c>
      <c r="U359" s="286" t="s">
        <v>57</v>
      </c>
      <c r="V359" s="291">
        <v>1400</v>
      </c>
      <c r="W359" s="291"/>
      <c r="X359" s="292">
        <v>1400</v>
      </c>
      <c r="Y359" s="293">
        <f t="shared" si="107"/>
        <v>0</v>
      </c>
      <c r="Z359" s="294">
        <f t="shared" si="108"/>
        <v>0</v>
      </c>
      <c r="AA359" s="294"/>
      <c r="AB359" s="813"/>
      <c r="AC359" s="291"/>
      <c r="AD359" s="486"/>
      <c r="AE359" s="210"/>
      <c r="AF359" s="210"/>
      <c r="AG359" s="211">
        <v>0.14499999999999999</v>
      </c>
      <c r="AH359" s="157">
        <f t="shared" si="120"/>
        <v>0</v>
      </c>
      <c r="AI359" s="152">
        <v>19800</v>
      </c>
      <c r="AK359" s="156" t="s">
        <v>691</v>
      </c>
      <c r="AL359" s="212" t="s">
        <v>690</v>
      </c>
      <c r="AM359" s="198">
        <f t="shared" si="121"/>
        <v>0</v>
      </c>
      <c r="AN359" s="199">
        <f t="shared" si="114"/>
        <v>45353</v>
      </c>
      <c r="AO359" s="159" t="s">
        <v>692</v>
      </c>
      <c r="AP359" s="781"/>
      <c r="AQ359" s="782">
        <v>12071839</v>
      </c>
      <c r="AR359" s="782">
        <v>12047514</v>
      </c>
      <c r="AS359" s="782">
        <v>12047515</v>
      </c>
      <c r="AT359" s="782"/>
      <c r="AU359" s="781"/>
      <c r="AV359" s="782"/>
      <c r="AW359" s="782"/>
      <c r="AX359" s="782"/>
      <c r="AY359" s="782"/>
      <c r="AZ359" s="782"/>
      <c r="BA359" s="781"/>
    </row>
    <row r="360" spans="1:53" ht="24.65" hidden="1" customHeight="1">
      <c r="B360" s="283">
        <v>45353</v>
      </c>
      <c r="C360" s="284">
        <v>45370</v>
      </c>
      <c r="D360" s="185">
        <f t="shared" si="112"/>
        <v>2024</v>
      </c>
      <c r="E360" s="284" t="str">
        <f>VLOOKUP($B360,Week!$A$1:$C$1462,2,0)</f>
        <v>Week9</v>
      </c>
      <c r="F360" s="285" t="str">
        <f t="shared" si="113"/>
        <v>Mar</v>
      </c>
      <c r="G360" s="626" t="s">
        <v>1016</v>
      </c>
      <c r="H360" s="624" t="s">
        <v>104</v>
      </c>
      <c r="I360" s="624" t="s">
        <v>2772</v>
      </c>
      <c r="J360" s="625" t="s">
        <v>105</v>
      </c>
      <c r="K360" s="288" t="s">
        <v>51</v>
      </c>
      <c r="L360" s="300" t="s">
        <v>2167</v>
      </c>
      <c r="M360" s="287" t="s">
        <v>595</v>
      </c>
      <c r="N360" s="286" t="s">
        <v>597</v>
      </c>
      <c r="O360" s="286" t="s">
        <v>187</v>
      </c>
      <c r="P360" s="289">
        <v>8</v>
      </c>
      <c r="Q360" s="289">
        <v>5</v>
      </c>
      <c r="R360" s="290">
        <v>6.0000000000000001E-3</v>
      </c>
      <c r="S360" s="286" t="s">
        <v>55</v>
      </c>
      <c r="T360" s="286" t="s">
        <v>112</v>
      </c>
      <c r="U360" s="286" t="s">
        <v>57</v>
      </c>
      <c r="V360" s="291">
        <v>1400</v>
      </c>
      <c r="W360" s="291"/>
      <c r="X360" s="292">
        <v>1400</v>
      </c>
      <c r="Y360" s="293">
        <f t="shared" si="107"/>
        <v>0</v>
      </c>
      <c r="Z360" s="294">
        <f t="shared" si="108"/>
        <v>0</v>
      </c>
      <c r="AA360" s="294"/>
      <c r="AB360" s="813"/>
      <c r="AC360" s="291"/>
      <c r="AD360" s="486"/>
      <c r="AE360" s="210"/>
      <c r="AF360" s="210"/>
      <c r="AG360" s="211">
        <v>0.14499999999999999</v>
      </c>
      <c r="AH360" s="157">
        <f t="shared" si="120"/>
        <v>0</v>
      </c>
      <c r="AI360" s="152">
        <v>19800</v>
      </c>
      <c r="AK360" s="156" t="s">
        <v>691</v>
      </c>
      <c r="AL360" s="212" t="s">
        <v>690</v>
      </c>
      <c r="AM360" s="198">
        <f t="shared" si="121"/>
        <v>0</v>
      </c>
      <c r="AN360" s="199">
        <f t="shared" si="114"/>
        <v>45353</v>
      </c>
      <c r="AO360" s="159" t="s">
        <v>692</v>
      </c>
      <c r="AP360" s="781"/>
      <c r="AQ360" s="782">
        <v>12071839</v>
      </c>
      <c r="AR360" s="782">
        <v>12047514</v>
      </c>
      <c r="AS360" s="782">
        <v>12047515</v>
      </c>
      <c r="AT360" s="782"/>
      <c r="AU360" s="781"/>
      <c r="AV360" s="782"/>
      <c r="AW360" s="782"/>
      <c r="AX360" s="782"/>
      <c r="AY360" s="782"/>
      <c r="AZ360" s="782"/>
      <c r="BA360" s="781"/>
    </row>
    <row r="361" spans="1:53" ht="24.65" hidden="1" customHeight="1">
      <c r="B361" s="283">
        <v>45353</v>
      </c>
      <c r="C361" s="284">
        <v>45376</v>
      </c>
      <c r="D361" s="185">
        <f t="shared" si="112"/>
        <v>2024</v>
      </c>
      <c r="E361" s="284" t="str">
        <f>VLOOKUP($B361,Week!$A$1:$C$1462,2,0)</f>
        <v>Week9</v>
      </c>
      <c r="F361" s="285" t="str">
        <f t="shared" si="113"/>
        <v>Mar</v>
      </c>
      <c r="G361" s="626" t="s">
        <v>929</v>
      </c>
      <c r="H361" s="624" t="s">
        <v>104</v>
      </c>
      <c r="I361" s="624" t="s">
        <v>2772</v>
      </c>
      <c r="J361" s="625" t="s">
        <v>105</v>
      </c>
      <c r="K361" s="288" t="s">
        <v>51</v>
      </c>
      <c r="L361" s="300" t="s">
        <v>2167</v>
      </c>
      <c r="M361" s="287" t="s">
        <v>595</v>
      </c>
      <c r="N361" s="286" t="s">
        <v>597</v>
      </c>
      <c r="O361" s="286" t="s">
        <v>187</v>
      </c>
      <c r="P361" s="289">
        <v>8</v>
      </c>
      <c r="Q361" s="289">
        <v>5</v>
      </c>
      <c r="R361" s="290">
        <v>6.0000000000000001E-3</v>
      </c>
      <c r="S361" s="286" t="s">
        <v>55</v>
      </c>
      <c r="T361" s="286" t="s">
        <v>112</v>
      </c>
      <c r="U361" s="286" t="s">
        <v>57</v>
      </c>
      <c r="V361" s="291">
        <f>999+23</f>
        <v>1022</v>
      </c>
      <c r="W361" s="291"/>
      <c r="X361" s="292">
        <v>1022</v>
      </c>
      <c r="Y361" s="293">
        <f t="shared" si="107"/>
        <v>0</v>
      </c>
      <c r="Z361" s="294">
        <f t="shared" si="108"/>
        <v>0</v>
      </c>
      <c r="AA361" s="294"/>
      <c r="AB361" s="813"/>
      <c r="AC361" s="291"/>
      <c r="AD361" s="486"/>
      <c r="AE361" s="210"/>
      <c r="AF361" s="210"/>
      <c r="AG361" s="211">
        <v>0.14499999999999999</v>
      </c>
      <c r="AH361" s="157">
        <f t="shared" si="120"/>
        <v>0</v>
      </c>
      <c r="AI361" s="152">
        <v>19800</v>
      </c>
      <c r="AK361" s="156" t="s">
        <v>691</v>
      </c>
      <c r="AL361" s="212" t="s">
        <v>690</v>
      </c>
      <c r="AM361" s="198">
        <f t="shared" si="121"/>
        <v>0</v>
      </c>
      <c r="AN361" s="199">
        <f t="shared" si="114"/>
        <v>45353</v>
      </c>
      <c r="AO361" s="159" t="s">
        <v>692</v>
      </c>
      <c r="AP361" s="781"/>
      <c r="AQ361" s="782">
        <v>12071839</v>
      </c>
      <c r="AR361" s="782">
        <v>12047514</v>
      </c>
      <c r="AS361" s="782">
        <v>12047515</v>
      </c>
      <c r="AT361" s="782"/>
      <c r="AU361" s="781"/>
      <c r="AV361" s="782"/>
      <c r="AW361" s="782"/>
      <c r="AX361" s="782"/>
      <c r="AY361" s="782"/>
      <c r="AZ361" s="782"/>
      <c r="BA361" s="781"/>
    </row>
    <row r="362" spans="1:53" ht="25" hidden="1" customHeight="1">
      <c r="A362" s="142" t="s">
        <v>120</v>
      </c>
      <c r="B362" s="308">
        <v>45353</v>
      </c>
      <c r="C362" s="558">
        <v>45360</v>
      </c>
      <c r="D362" s="185">
        <f t="shared" si="112"/>
        <v>2024</v>
      </c>
      <c r="E362" s="309" t="str">
        <f>VLOOKUP($B362,Week!$A$1:$C$1462,2,0)</f>
        <v>Week9</v>
      </c>
      <c r="F362" s="310" t="str">
        <f t="shared" si="113"/>
        <v>Mar</v>
      </c>
      <c r="G362" s="579" t="s">
        <v>925</v>
      </c>
      <c r="H362" s="311" t="s">
        <v>104</v>
      </c>
      <c r="I362" s="311" t="s">
        <v>2772</v>
      </c>
      <c r="J362" s="312" t="s">
        <v>105</v>
      </c>
      <c r="K362" s="313" t="s">
        <v>85</v>
      </c>
      <c r="L362" s="390" t="s">
        <v>2166</v>
      </c>
      <c r="M362" s="312" t="s">
        <v>86</v>
      </c>
      <c r="N362" s="311" t="s">
        <v>421</v>
      </c>
      <c r="O362" s="311" t="s">
        <v>506</v>
      </c>
      <c r="P362" s="314">
        <v>10</v>
      </c>
      <c r="Q362" s="314">
        <v>50</v>
      </c>
      <c r="R362" s="315">
        <v>6.8100000000000001E-3</v>
      </c>
      <c r="S362" s="311" t="s">
        <v>76</v>
      </c>
      <c r="T362" s="311" t="s">
        <v>112</v>
      </c>
      <c r="U362" s="311" t="s">
        <v>89</v>
      </c>
      <c r="V362" s="316">
        <f>800-250</f>
        <v>550</v>
      </c>
      <c r="W362" s="316">
        <f>550</f>
        <v>550</v>
      </c>
      <c r="X362" s="317"/>
      <c r="Y362" s="318">
        <f t="shared" si="107"/>
        <v>0</v>
      </c>
      <c r="Z362" s="319">
        <f t="shared" si="108"/>
        <v>0</v>
      </c>
      <c r="AA362" s="319">
        <f>Q362*Z362</f>
        <v>0</v>
      </c>
      <c r="AB362" s="815">
        <v>6</v>
      </c>
      <c r="AC362" s="316">
        <f>Z362*AB362</f>
        <v>0</v>
      </c>
      <c r="AD362" s="381"/>
      <c r="AE362" s="210"/>
      <c r="AF362" s="210"/>
      <c r="AG362" s="211">
        <f>MID(O362,1,3)/1000</f>
        <v>0.57999999999999996</v>
      </c>
      <c r="AH362" s="157">
        <f t="shared" si="120"/>
        <v>0</v>
      </c>
      <c r="AI362" s="152">
        <f>V362*P362</f>
        <v>5500</v>
      </c>
      <c r="AJ362" s="156">
        <f>AI362*Q362</f>
        <v>275000</v>
      </c>
      <c r="AK362" s="156" t="s">
        <v>691</v>
      </c>
      <c r="AL362" s="156" t="s">
        <v>689</v>
      </c>
      <c r="AM362" s="198">
        <f t="shared" ref="AM362:AM390" si="122">AG362*Z362</f>
        <v>0</v>
      </c>
      <c r="AN362" s="199">
        <f t="shared" si="114"/>
        <v>45353</v>
      </c>
      <c r="AO362" s="159" t="s">
        <v>692</v>
      </c>
      <c r="AP362" s="781" t="s">
        <v>423</v>
      </c>
      <c r="AQ362" s="781" t="s">
        <v>422</v>
      </c>
      <c r="AR362" s="782">
        <v>12055234</v>
      </c>
      <c r="AS362" s="781"/>
      <c r="AT362" s="782">
        <v>12069432</v>
      </c>
      <c r="AU362" s="781"/>
      <c r="AV362" s="782">
        <v>12069433</v>
      </c>
      <c r="AW362" s="781"/>
      <c r="AX362" s="781" t="s">
        <v>93</v>
      </c>
      <c r="AY362" s="781"/>
      <c r="AZ362" s="782"/>
      <c r="BA362" s="781"/>
    </row>
    <row r="363" spans="1:53" ht="25" hidden="1" customHeight="1">
      <c r="B363" s="183">
        <v>45354</v>
      </c>
      <c r="C363" s="184"/>
      <c r="D363" s="185">
        <f t="shared" si="112"/>
        <v>2024</v>
      </c>
      <c r="E363" s="185" t="str">
        <f>VLOOKUP($B363,Week!$A$1:$C$1462,2,0)</f>
        <v>Week9</v>
      </c>
      <c r="F363" s="186" t="str">
        <f t="shared" si="113"/>
        <v>Mar</v>
      </c>
      <c r="G363" s="185"/>
      <c r="H363" s="185"/>
      <c r="I363" s="185"/>
      <c r="J363" s="187"/>
      <c r="K363" s="188"/>
      <c r="L363" s="300"/>
      <c r="M363" s="187"/>
      <c r="N363" s="185"/>
      <c r="O363" s="185"/>
      <c r="P363" s="189"/>
      <c r="Q363" s="189"/>
      <c r="R363" s="190"/>
      <c r="S363" s="185"/>
      <c r="T363" s="185"/>
      <c r="U363" s="185"/>
      <c r="V363" s="191"/>
      <c r="W363" s="191"/>
      <c r="X363" s="192"/>
      <c r="Y363" s="193"/>
      <c r="Z363" s="194"/>
      <c r="AA363" s="194"/>
      <c r="AB363" s="805"/>
      <c r="AC363" s="191"/>
      <c r="AD363" s="187"/>
      <c r="AE363" s="195"/>
      <c r="AF363" s="195"/>
      <c r="AG363" s="196"/>
      <c r="AH363" s="197"/>
      <c r="AK363" s="156" t="s">
        <v>691</v>
      </c>
      <c r="AM363" s="198">
        <f t="shared" si="122"/>
        <v>0</v>
      </c>
      <c r="AN363" s="199">
        <f t="shared" si="114"/>
        <v>45354</v>
      </c>
      <c r="AO363" s="159" t="s">
        <v>692</v>
      </c>
      <c r="AP363" s="781"/>
      <c r="AQ363" s="782"/>
      <c r="AR363" s="782"/>
      <c r="AS363" s="782"/>
      <c r="AT363" s="782"/>
      <c r="AU363" s="781"/>
      <c r="AV363" s="782"/>
      <c r="AW363" s="782"/>
      <c r="AX363" s="782"/>
      <c r="AY363" s="782"/>
      <c r="AZ363" s="782"/>
      <c r="BA363" s="781"/>
    </row>
    <row r="364" spans="1:53" ht="24.75" hidden="1" customHeight="1">
      <c r="B364" s="295">
        <v>45355</v>
      </c>
      <c r="C364" s="296">
        <v>45358</v>
      </c>
      <c r="D364" s="185">
        <f t="shared" si="112"/>
        <v>2024</v>
      </c>
      <c r="E364" s="296" t="str">
        <f>VLOOKUP($B364,Week!$A$1:$C$1462,2,0)</f>
        <v>Week10</v>
      </c>
      <c r="F364" s="297" t="str">
        <f t="shared" si="113"/>
        <v>Mar</v>
      </c>
      <c r="G364" s="298" t="s">
        <v>47</v>
      </c>
      <c r="H364" s="298" t="s">
        <v>260</v>
      </c>
      <c r="I364" s="298" t="s">
        <v>2702</v>
      </c>
      <c r="J364" s="307" t="s">
        <v>904</v>
      </c>
      <c r="K364" s="300" t="s">
        <v>176</v>
      </c>
      <c r="L364" s="300" t="s">
        <v>2167</v>
      </c>
      <c r="M364" s="299" t="s">
        <v>262</v>
      </c>
      <c r="N364" s="298" t="s">
        <v>350</v>
      </c>
      <c r="O364" s="298" t="s">
        <v>351</v>
      </c>
      <c r="P364" s="301">
        <v>24</v>
      </c>
      <c r="Q364" s="301">
        <v>5</v>
      </c>
      <c r="R364" s="302">
        <v>6.1999999999999998E-3</v>
      </c>
      <c r="S364" s="298" t="s">
        <v>352</v>
      </c>
      <c r="T364" s="298" t="s">
        <v>56</v>
      </c>
      <c r="U364" s="298" t="s">
        <v>57</v>
      </c>
      <c r="V364" s="303">
        <v>6411</v>
      </c>
      <c r="W364" s="303">
        <f>6411</f>
        <v>6411</v>
      </c>
      <c r="X364" s="304"/>
      <c r="Y364" s="305">
        <f t="shared" ref="Y364:Y395" si="123">(W364+X364)-V364</f>
        <v>0</v>
      </c>
      <c r="Z364" s="306">
        <f t="shared" ref="Z364:Z395" si="124">IF(Y364&lt;0,((V364*P364)-((W364+X364)*P364)),0)</f>
        <v>0</v>
      </c>
      <c r="AA364" s="306"/>
      <c r="AB364" s="814"/>
      <c r="AC364" s="303"/>
      <c r="AD364" s="580" t="s">
        <v>672</v>
      </c>
      <c r="AE364" s="210"/>
      <c r="AF364" s="210"/>
      <c r="AG364" s="211">
        <f t="shared" ref="AG364:AG395" si="125">MID(O364,1,3)/1000</f>
        <v>0.13</v>
      </c>
      <c r="AH364" s="157">
        <f t="shared" ref="AH364:AH372" si="126">(Z364*AG364)/1000</f>
        <v>0</v>
      </c>
      <c r="AI364" s="152">
        <f t="shared" ref="AI364:AI395" si="127">V364*P364</f>
        <v>153864</v>
      </c>
      <c r="AK364" s="156" t="s">
        <v>691</v>
      </c>
      <c r="AL364" s="574" t="s">
        <v>690</v>
      </c>
      <c r="AM364" s="198">
        <f t="shared" si="122"/>
        <v>0</v>
      </c>
      <c r="AN364" s="199">
        <f t="shared" si="114"/>
        <v>45355</v>
      </c>
      <c r="AO364" s="159" t="s">
        <v>692</v>
      </c>
      <c r="AP364" s="783" t="s">
        <v>629</v>
      </c>
      <c r="AQ364" s="782">
        <v>12071839</v>
      </c>
      <c r="AR364" s="782">
        <v>12078867</v>
      </c>
      <c r="AS364" s="782">
        <v>12068233</v>
      </c>
      <c r="AT364" s="781"/>
      <c r="AU364" s="781"/>
      <c r="AV364" s="782">
        <v>12062075</v>
      </c>
      <c r="AW364" s="781"/>
      <c r="AX364" s="781"/>
      <c r="AY364" s="782">
        <v>12078868</v>
      </c>
      <c r="AZ364" s="781"/>
      <c r="BA364" s="781"/>
    </row>
    <row r="365" spans="1:53" ht="24.65" hidden="1" customHeight="1">
      <c r="A365" s="142" t="s">
        <v>120</v>
      </c>
      <c r="B365" s="385">
        <v>45355</v>
      </c>
      <c r="C365" s="386">
        <v>45365</v>
      </c>
      <c r="D365" s="185">
        <f t="shared" si="112"/>
        <v>2024</v>
      </c>
      <c r="E365" s="386" t="str">
        <f>VLOOKUP($B365,Week!$A$1:$C$1462,2,0)</f>
        <v>Week10</v>
      </c>
      <c r="F365" s="387" t="str">
        <f t="shared" si="113"/>
        <v>Mar</v>
      </c>
      <c r="G365" s="388" t="s">
        <v>843</v>
      </c>
      <c r="H365" s="388" t="s">
        <v>500</v>
      </c>
      <c r="I365" s="388" t="s">
        <v>2772</v>
      </c>
      <c r="J365" s="389" t="s">
        <v>285</v>
      </c>
      <c r="K365" s="390" t="s">
        <v>153</v>
      </c>
      <c r="L365" s="390" t="s">
        <v>2166</v>
      </c>
      <c r="M365" s="389" t="s">
        <v>165</v>
      </c>
      <c r="N365" s="388" t="s">
        <v>286</v>
      </c>
      <c r="O365" s="388" t="s">
        <v>503</v>
      </c>
      <c r="P365" s="391">
        <v>40</v>
      </c>
      <c r="Q365" s="391">
        <v>12</v>
      </c>
      <c r="R365" s="392">
        <v>6.8100000000000001E-3</v>
      </c>
      <c r="S365" s="388" t="s">
        <v>76</v>
      </c>
      <c r="T365" s="388" t="s">
        <v>56</v>
      </c>
      <c r="U365" s="388" t="s">
        <v>89</v>
      </c>
      <c r="V365" s="393">
        <v>409</v>
      </c>
      <c r="W365" s="393">
        <f>409</f>
        <v>409</v>
      </c>
      <c r="X365" s="394"/>
      <c r="Y365" s="395">
        <f t="shared" si="123"/>
        <v>0</v>
      </c>
      <c r="Z365" s="396">
        <f t="shared" si="124"/>
        <v>0</v>
      </c>
      <c r="AA365" s="396">
        <f>Q365*Z365</f>
        <v>0</v>
      </c>
      <c r="AB365" s="823">
        <v>2</v>
      </c>
      <c r="AC365" s="393">
        <f>Z365*AB365</f>
        <v>0</v>
      </c>
      <c r="AD365" s="209"/>
      <c r="AE365" s="210"/>
      <c r="AF365" s="210"/>
      <c r="AG365" s="211">
        <f t="shared" si="125"/>
        <v>0.154</v>
      </c>
      <c r="AH365" s="157">
        <f t="shared" si="126"/>
        <v>0</v>
      </c>
      <c r="AI365" s="152">
        <f t="shared" si="127"/>
        <v>16360</v>
      </c>
      <c r="AK365" s="156" t="s">
        <v>691</v>
      </c>
      <c r="AL365" s="156" t="s">
        <v>689</v>
      </c>
      <c r="AM365" s="198">
        <f t="shared" si="122"/>
        <v>0</v>
      </c>
      <c r="AN365" s="199">
        <f t="shared" si="114"/>
        <v>45355</v>
      </c>
      <c r="AO365" s="159" t="s">
        <v>692</v>
      </c>
      <c r="AP365" s="783" t="s">
        <v>611</v>
      </c>
      <c r="AQ365" s="782">
        <v>12028328</v>
      </c>
      <c r="AR365" s="782">
        <v>12019692</v>
      </c>
      <c r="AS365" s="781"/>
      <c r="AT365" s="782">
        <v>12065371</v>
      </c>
      <c r="AU365" s="782"/>
      <c r="AV365" s="782">
        <v>12055895</v>
      </c>
      <c r="AW365" s="782">
        <v>12034747</v>
      </c>
      <c r="AX365" s="782" t="s">
        <v>398</v>
      </c>
      <c r="AY365" s="781" t="s">
        <v>290</v>
      </c>
      <c r="AZ365" s="781"/>
      <c r="BA365" s="781"/>
    </row>
    <row r="366" spans="1:53" ht="25" hidden="1" customHeight="1">
      <c r="B366" s="213">
        <v>45356</v>
      </c>
      <c r="C366" s="578">
        <v>45359</v>
      </c>
      <c r="D366" s="185">
        <f t="shared" si="112"/>
        <v>2024</v>
      </c>
      <c r="E366" s="215" t="str">
        <f>VLOOKUP($B366,Week!$A$1:$C$1462,2,0)</f>
        <v>Week10</v>
      </c>
      <c r="F366" s="216" t="str">
        <f t="shared" si="113"/>
        <v>Mar</v>
      </c>
      <c r="G366" s="480" t="s">
        <v>925</v>
      </c>
      <c r="H366" s="215" t="s">
        <v>104</v>
      </c>
      <c r="I366" s="215" t="s">
        <v>2772</v>
      </c>
      <c r="J366" s="209" t="s">
        <v>105</v>
      </c>
      <c r="K366" s="217" t="s">
        <v>107</v>
      </c>
      <c r="L366" s="300" t="s">
        <v>2167</v>
      </c>
      <c r="M366" s="209" t="s">
        <v>108</v>
      </c>
      <c r="N366" s="215" t="s">
        <v>109</v>
      </c>
      <c r="O366" s="215" t="s">
        <v>110</v>
      </c>
      <c r="P366" s="218">
        <v>36</v>
      </c>
      <c r="Q366" s="218">
        <v>5</v>
      </c>
      <c r="R366" s="219">
        <v>7.4999999999999997E-3</v>
      </c>
      <c r="S366" s="215" t="s">
        <v>111</v>
      </c>
      <c r="T366" s="215" t="s">
        <v>112</v>
      </c>
      <c r="U366" s="215" t="s">
        <v>113</v>
      </c>
      <c r="V366" s="220">
        <f>440-161</f>
        <v>279</v>
      </c>
      <c r="W366" s="220">
        <f>440-161</f>
        <v>279</v>
      </c>
      <c r="X366" s="221"/>
      <c r="Y366" s="222">
        <f t="shared" si="123"/>
        <v>0</v>
      </c>
      <c r="Z366" s="223">
        <f t="shared" si="124"/>
        <v>0</v>
      </c>
      <c r="AA366" s="223"/>
      <c r="AB366" s="807"/>
      <c r="AC366" s="220"/>
      <c r="AD366" s="209"/>
      <c r="AE366" s="210"/>
      <c r="AF366" s="210"/>
      <c r="AG366" s="211">
        <f t="shared" si="125"/>
        <v>0.308</v>
      </c>
      <c r="AH366" s="157">
        <f t="shared" si="126"/>
        <v>0</v>
      </c>
      <c r="AI366" s="152">
        <f t="shared" si="127"/>
        <v>10044</v>
      </c>
      <c r="AK366" s="156" t="s">
        <v>691</v>
      </c>
      <c r="AL366" s="574" t="s">
        <v>690</v>
      </c>
      <c r="AM366" s="198">
        <f t="shared" si="122"/>
        <v>0</v>
      </c>
      <c r="AN366" s="199">
        <f t="shared" si="114"/>
        <v>45356</v>
      </c>
      <c r="AO366" s="159" t="s">
        <v>692</v>
      </c>
      <c r="AP366" s="781"/>
      <c r="AQ366" s="782">
        <v>12063755</v>
      </c>
      <c r="AR366" s="782">
        <v>12061353</v>
      </c>
      <c r="AS366" s="782">
        <v>12061354</v>
      </c>
      <c r="AT366" s="782">
        <v>12068566</v>
      </c>
      <c r="AU366" s="781"/>
      <c r="AV366" s="782">
        <v>12068564</v>
      </c>
      <c r="AW366" s="782">
        <v>12062153</v>
      </c>
      <c r="AX366" s="782"/>
      <c r="AY366" s="782">
        <v>12068565</v>
      </c>
      <c r="AZ366" s="782"/>
      <c r="BA366" s="781"/>
    </row>
    <row r="367" spans="1:53" ht="25" hidden="1" customHeight="1">
      <c r="B367" s="213">
        <v>45356</v>
      </c>
      <c r="C367" s="578">
        <v>45359</v>
      </c>
      <c r="D367" s="185">
        <f t="shared" si="112"/>
        <v>2024</v>
      </c>
      <c r="E367" s="215" t="str">
        <f>VLOOKUP($B367,Week!$A$1:$C$1462,2,0)</f>
        <v>Week10</v>
      </c>
      <c r="F367" s="216" t="str">
        <f t="shared" si="113"/>
        <v>Mar</v>
      </c>
      <c r="G367" s="215" t="s">
        <v>932</v>
      </c>
      <c r="H367" s="215" t="s">
        <v>104</v>
      </c>
      <c r="I367" s="215" t="s">
        <v>2772</v>
      </c>
      <c r="J367" s="209" t="s">
        <v>105</v>
      </c>
      <c r="K367" s="217" t="s">
        <v>107</v>
      </c>
      <c r="L367" s="300" t="s">
        <v>2167</v>
      </c>
      <c r="M367" s="209" t="s">
        <v>108</v>
      </c>
      <c r="N367" s="215" t="s">
        <v>109</v>
      </c>
      <c r="O367" s="215" t="s">
        <v>110</v>
      </c>
      <c r="P367" s="218">
        <v>36</v>
      </c>
      <c r="Q367" s="218">
        <v>5</v>
      </c>
      <c r="R367" s="219">
        <v>7.4999999999999997E-3</v>
      </c>
      <c r="S367" s="215" t="s">
        <v>111</v>
      </c>
      <c r="T367" s="215" t="s">
        <v>112</v>
      </c>
      <c r="U367" s="215" t="s">
        <v>113</v>
      </c>
      <c r="V367" s="220">
        <v>792</v>
      </c>
      <c r="W367" s="220">
        <v>792</v>
      </c>
      <c r="X367" s="221"/>
      <c r="Y367" s="222">
        <f t="shared" si="123"/>
        <v>0</v>
      </c>
      <c r="Z367" s="223">
        <f t="shared" si="124"/>
        <v>0</v>
      </c>
      <c r="AA367" s="223"/>
      <c r="AB367" s="807"/>
      <c r="AC367" s="220"/>
      <c r="AD367" s="209"/>
      <c r="AE367" s="210"/>
      <c r="AF367" s="210"/>
      <c r="AG367" s="211">
        <f t="shared" si="125"/>
        <v>0.308</v>
      </c>
      <c r="AH367" s="157">
        <f t="shared" si="126"/>
        <v>0</v>
      </c>
      <c r="AI367" s="152">
        <f t="shared" si="127"/>
        <v>28512</v>
      </c>
      <c r="AK367" s="156" t="s">
        <v>691</v>
      </c>
      <c r="AL367" s="574" t="s">
        <v>690</v>
      </c>
      <c r="AM367" s="198">
        <f t="shared" si="122"/>
        <v>0</v>
      </c>
      <c r="AN367" s="199">
        <f t="shared" si="114"/>
        <v>45356</v>
      </c>
      <c r="AO367" s="159" t="s">
        <v>692</v>
      </c>
      <c r="AP367" s="781"/>
      <c r="AQ367" s="782">
        <v>12063755</v>
      </c>
      <c r="AR367" s="782">
        <v>12061353</v>
      </c>
      <c r="AS367" s="782">
        <v>12061354</v>
      </c>
      <c r="AT367" s="782">
        <v>12068566</v>
      </c>
      <c r="AU367" s="781"/>
      <c r="AV367" s="782">
        <v>12068564</v>
      </c>
      <c r="AW367" s="782">
        <v>12062153</v>
      </c>
      <c r="AX367" s="782"/>
      <c r="AY367" s="782">
        <v>12068565</v>
      </c>
      <c r="AZ367" s="782"/>
      <c r="BA367" s="781"/>
    </row>
    <row r="368" spans="1:53" ht="25" hidden="1" customHeight="1">
      <c r="B368" s="213">
        <v>45356</v>
      </c>
      <c r="C368" s="578">
        <v>45359</v>
      </c>
      <c r="D368" s="185">
        <f t="shared" si="112"/>
        <v>2024</v>
      </c>
      <c r="E368" s="215" t="str">
        <f>VLOOKUP($B368,Week!$A$1:$C$1462,2,0)</f>
        <v>Week10</v>
      </c>
      <c r="F368" s="216" t="str">
        <f t="shared" si="113"/>
        <v>Mar</v>
      </c>
      <c r="G368" s="215" t="s">
        <v>933</v>
      </c>
      <c r="H368" s="215" t="s">
        <v>104</v>
      </c>
      <c r="I368" s="215" t="s">
        <v>2772</v>
      </c>
      <c r="J368" s="209" t="s">
        <v>105</v>
      </c>
      <c r="K368" s="217" t="s">
        <v>107</v>
      </c>
      <c r="L368" s="300" t="s">
        <v>2167</v>
      </c>
      <c r="M368" s="209" t="s">
        <v>108</v>
      </c>
      <c r="N368" s="215" t="s">
        <v>109</v>
      </c>
      <c r="O368" s="215" t="s">
        <v>110</v>
      </c>
      <c r="P368" s="218">
        <v>36</v>
      </c>
      <c r="Q368" s="218">
        <v>5</v>
      </c>
      <c r="R368" s="219">
        <v>7.4999999999999997E-3</v>
      </c>
      <c r="S368" s="215" t="s">
        <v>111</v>
      </c>
      <c r="T368" s="215" t="s">
        <v>112</v>
      </c>
      <c r="U368" s="215" t="s">
        <v>113</v>
      </c>
      <c r="V368" s="220">
        <v>792</v>
      </c>
      <c r="W368" s="220">
        <v>792</v>
      </c>
      <c r="X368" s="221"/>
      <c r="Y368" s="222">
        <f t="shared" si="123"/>
        <v>0</v>
      </c>
      <c r="Z368" s="223">
        <f t="shared" si="124"/>
        <v>0</v>
      </c>
      <c r="AA368" s="223"/>
      <c r="AB368" s="807"/>
      <c r="AC368" s="220"/>
      <c r="AD368" s="209"/>
      <c r="AE368" s="210"/>
      <c r="AF368" s="210"/>
      <c r="AG368" s="211">
        <f t="shared" si="125"/>
        <v>0.308</v>
      </c>
      <c r="AH368" s="157">
        <f t="shared" si="126"/>
        <v>0</v>
      </c>
      <c r="AI368" s="152">
        <f t="shared" si="127"/>
        <v>28512</v>
      </c>
      <c r="AK368" s="156" t="s">
        <v>691</v>
      </c>
      <c r="AL368" s="574" t="s">
        <v>690</v>
      </c>
      <c r="AM368" s="198">
        <f t="shared" si="122"/>
        <v>0</v>
      </c>
      <c r="AN368" s="199">
        <f t="shared" si="114"/>
        <v>45356</v>
      </c>
      <c r="AO368" s="159" t="s">
        <v>692</v>
      </c>
      <c r="AP368" s="781"/>
      <c r="AQ368" s="782">
        <v>12063755</v>
      </c>
      <c r="AR368" s="782">
        <v>12061353</v>
      </c>
      <c r="AS368" s="782">
        <v>12061354</v>
      </c>
      <c r="AT368" s="782">
        <v>12068566</v>
      </c>
      <c r="AU368" s="781"/>
      <c r="AV368" s="782">
        <v>12068564</v>
      </c>
      <c r="AW368" s="782">
        <v>12062153</v>
      </c>
      <c r="AX368" s="782"/>
      <c r="AY368" s="782">
        <v>12068565</v>
      </c>
      <c r="AZ368" s="782"/>
      <c r="BA368" s="781"/>
    </row>
    <row r="369" spans="1:53" ht="24.65" hidden="1" customHeight="1">
      <c r="B369" s="213">
        <v>45356</v>
      </c>
      <c r="C369" s="578">
        <v>45359</v>
      </c>
      <c r="D369" s="185">
        <f t="shared" si="112"/>
        <v>2024</v>
      </c>
      <c r="E369" s="215" t="str">
        <f>VLOOKUP($B369,Week!$A$1:$C$1462,2,0)</f>
        <v>Week10</v>
      </c>
      <c r="F369" s="216" t="str">
        <f t="shared" si="113"/>
        <v>Mar</v>
      </c>
      <c r="G369" s="215" t="s">
        <v>934</v>
      </c>
      <c r="H369" s="215" t="s">
        <v>104</v>
      </c>
      <c r="I369" s="215" t="s">
        <v>2772</v>
      </c>
      <c r="J369" s="209" t="s">
        <v>105</v>
      </c>
      <c r="K369" s="217" t="s">
        <v>107</v>
      </c>
      <c r="L369" s="300" t="s">
        <v>2167</v>
      </c>
      <c r="M369" s="209" t="s">
        <v>108</v>
      </c>
      <c r="N369" s="215" t="s">
        <v>109</v>
      </c>
      <c r="O369" s="215" t="s">
        <v>110</v>
      </c>
      <c r="P369" s="218">
        <v>36</v>
      </c>
      <c r="Q369" s="218">
        <v>5</v>
      </c>
      <c r="R369" s="219">
        <v>7.4999999999999997E-3</v>
      </c>
      <c r="S369" s="215" t="s">
        <v>111</v>
      </c>
      <c r="T369" s="215" t="s">
        <v>112</v>
      </c>
      <c r="U369" s="215" t="s">
        <v>113</v>
      </c>
      <c r="V369" s="220">
        <v>792</v>
      </c>
      <c r="W369" s="220">
        <v>792</v>
      </c>
      <c r="X369" s="221"/>
      <c r="Y369" s="222">
        <f t="shared" si="123"/>
        <v>0</v>
      </c>
      <c r="Z369" s="223">
        <f t="shared" si="124"/>
        <v>0</v>
      </c>
      <c r="AA369" s="223"/>
      <c r="AB369" s="807"/>
      <c r="AC369" s="220"/>
      <c r="AD369" s="209"/>
      <c r="AE369" s="210"/>
      <c r="AF369" s="210"/>
      <c r="AG369" s="211">
        <f t="shared" si="125"/>
        <v>0.308</v>
      </c>
      <c r="AH369" s="157">
        <f t="shared" si="126"/>
        <v>0</v>
      </c>
      <c r="AI369" s="152">
        <f t="shared" si="127"/>
        <v>28512</v>
      </c>
      <c r="AK369" s="156" t="s">
        <v>691</v>
      </c>
      <c r="AL369" s="574" t="s">
        <v>690</v>
      </c>
      <c r="AM369" s="198">
        <f t="shared" si="122"/>
        <v>0</v>
      </c>
      <c r="AN369" s="199">
        <f t="shared" si="114"/>
        <v>45356</v>
      </c>
      <c r="AO369" s="159" t="s">
        <v>692</v>
      </c>
      <c r="AP369" s="781"/>
      <c r="AQ369" s="782">
        <v>12063755</v>
      </c>
      <c r="AR369" s="782">
        <v>12061353</v>
      </c>
      <c r="AS369" s="782">
        <v>12061354</v>
      </c>
      <c r="AT369" s="782">
        <v>12068566</v>
      </c>
      <c r="AU369" s="781"/>
      <c r="AV369" s="782">
        <v>12068564</v>
      </c>
      <c r="AW369" s="782">
        <v>12062153</v>
      </c>
      <c r="AX369" s="782"/>
      <c r="AY369" s="782">
        <v>12068565</v>
      </c>
      <c r="AZ369" s="782"/>
      <c r="BA369" s="781"/>
    </row>
    <row r="370" spans="1:53" ht="25" hidden="1" customHeight="1">
      <c r="B370" s="213">
        <v>45356</v>
      </c>
      <c r="C370" s="578">
        <v>45359</v>
      </c>
      <c r="D370" s="185">
        <f t="shared" si="112"/>
        <v>2024</v>
      </c>
      <c r="E370" s="215" t="str">
        <f>VLOOKUP($B370,Week!$A$1:$C$1462,2,0)</f>
        <v>Week10</v>
      </c>
      <c r="F370" s="216" t="str">
        <f t="shared" si="113"/>
        <v>Mar</v>
      </c>
      <c r="G370" s="215" t="s">
        <v>935</v>
      </c>
      <c r="H370" s="215" t="s">
        <v>104</v>
      </c>
      <c r="I370" s="215" t="s">
        <v>2772</v>
      </c>
      <c r="J370" s="209" t="s">
        <v>105</v>
      </c>
      <c r="K370" s="217" t="s">
        <v>107</v>
      </c>
      <c r="L370" s="300" t="s">
        <v>2167</v>
      </c>
      <c r="M370" s="209" t="s">
        <v>108</v>
      </c>
      <c r="N370" s="215" t="s">
        <v>109</v>
      </c>
      <c r="O370" s="215" t="s">
        <v>110</v>
      </c>
      <c r="P370" s="218">
        <v>36</v>
      </c>
      <c r="Q370" s="218">
        <v>5</v>
      </c>
      <c r="R370" s="219">
        <v>7.4999999999999997E-3</v>
      </c>
      <c r="S370" s="215" t="s">
        <v>111</v>
      </c>
      <c r="T370" s="215" t="s">
        <v>112</v>
      </c>
      <c r="U370" s="215" t="s">
        <v>113</v>
      </c>
      <c r="V370" s="220">
        <v>792</v>
      </c>
      <c r="W370" s="220">
        <v>792</v>
      </c>
      <c r="X370" s="221"/>
      <c r="Y370" s="222">
        <f t="shared" si="123"/>
        <v>0</v>
      </c>
      <c r="Z370" s="223">
        <f t="shared" si="124"/>
        <v>0</v>
      </c>
      <c r="AA370" s="223"/>
      <c r="AB370" s="807"/>
      <c r="AC370" s="220"/>
      <c r="AD370" s="209"/>
      <c r="AE370" s="210"/>
      <c r="AF370" s="210"/>
      <c r="AG370" s="211">
        <f t="shared" si="125"/>
        <v>0.308</v>
      </c>
      <c r="AH370" s="157">
        <f t="shared" si="126"/>
        <v>0</v>
      </c>
      <c r="AI370" s="152">
        <f t="shared" si="127"/>
        <v>28512</v>
      </c>
      <c r="AK370" s="156" t="s">
        <v>691</v>
      </c>
      <c r="AL370" s="574" t="s">
        <v>690</v>
      </c>
      <c r="AM370" s="198">
        <f t="shared" si="122"/>
        <v>0</v>
      </c>
      <c r="AN370" s="199">
        <f t="shared" si="114"/>
        <v>45356</v>
      </c>
      <c r="AO370" s="159" t="s">
        <v>692</v>
      </c>
      <c r="AP370" s="781"/>
      <c r="AQ370" s="782">
        <v>12063755</v>
      </c>
      <c r="AR370" s="782">
        <v>12061353</v>
      </c>
      <c r="AS370" s="782">
        <v>12061354</v>
      </c>
      <c r="AT370" s="782">
        <v>12068566</v>
      </c>
      <c r="AU370" s="781"/>
      <c r="AV370" s="782">
        <v>12068564</v>
      </c>
      <c r="AW370" s="782">
        <v>12062153</v>
      </c>
      <c r="AX370" s="782"/>
      <c r="AY370" s="782">
        <v>12068565</v>
      </c>
      <c r="AZ370" s="782"/>
      <c r="BA370" s="781"/>
    </row>
    <row r="371" spans="1:53" ht="25" hidden="1" customHeight="1">
      <c r="B371" s="213">
        <v>45356</v>
      </c>
      <c r="C371" s="578">
        <v>45364</v>
      </c>
      <c r="D371" s="185">
        <f t="shared" si="112"/>
        <v>2024</v>
      </c>
      <c r="E371" s="215" t="str">
        <f>VLOOKUP($B371,Week!$A$1:$C$1462,2,0)</f>
        <v>Week10</v>
      </c>
      <c r="F371" s="216" t="str">
        <f t="shared" si="113"/>
        <v>Mar</v>
      </c>
      <c r="G371" s="215" t="s">
        <v>936</v>
      </c>
      <c r="H371" s="215" t="s">
        <v>104</v>
      </c>
      <c r="I371" s="215" t="s">
        <v>2772</v>
      </c>
      <c r="J371" s="209" t="s">
        <v>105</v>
      </c>
      <c r="K371" s="217" t="s">
        <v>107</v>
      </c>
      <c r="L371" s="300" t="s">
        <v>2167</v>
      </c>
      <c r="M371" s="209" t="s">
        <v>108</v>
      </c>
      <c r="N371" s="215" t="s">
        <v>109</v>
      </c>
      <c r="O371" s="215" t="s">
        <v>110</v>
      </c>
      <c r="P371" s="218">
        <v>36</v>
      </c>
      <c r="Q371" s="218">
        <v>5</v>
      </c>
      <c r="R371" s="219">
        <v>7.4999999999999997E-3</v>
      </c>
      <c r="S371" s="215" t="s">
        <v>111</v>
      </c>
      <c r="T371" s="215" t="s">
        <v>112</v>
      </c>
      <c r="U371" s="215" t="s">
        <v>113</v>
      </c>
      <c r="V371" s="220">
        <f>4050-279-792-792-792-792</f>
        <v>603</v>
      </c>
      <c r="W371" s="220">
        <f>4050-279-792-792-792-792</f>
        <v>603</v>
      </c>
      <c r="X371" s="221"/>
      <c r="Y371" s="222">
        <f t="shared" si="123"/>
        <v>0</v>
      </c>
      <c r="Z371" s="223">
        <f t="shared" si="124"/>
        <v>0</v>
      </c>
      <c r="AA371" s="223"/>
      <c r="AB371" s="807"/>
      <c r="AC371" s="220"/>
      <c r="AD371" s="209"/>
      <c r="AE371" s="210"/>
      <c r="AF371" s="210"/>
      <c r="AG371" s="211">
        <f t="shared" si="125"/>
        <v>0.308</v>
      </c>
      <c r="AH371" s="157">
        <f t="shared" si="126"/>
        <v>0</v>
      </c>
      <c r="AI371" s="152">
        <f t="shared" si="127"/>
        <v>21708</v>
      </c>
      <c r="AK371" s="156" t="s">
        <v>691</v>
      </c>
      <c r="AL371" s="574" t="s">
        <v>690</v>
      </c>
      <c r="AM371" s="198">
        <f t="shared" si="122"/>
        <v>0</v>
      </c>
      <c r="AN371" s="199">
        <f t="shared" si="114"/>
        <v>45356</v>
      </c>
      <c r="AO371" s="159" t="s">
        <v>692</v>
      </c>
      <c r="AP371" s="781"/>
      <c r="AQ371" s="782">
        <v>12063755</v>
      </c>
      <c r="AR371" s="782">
        <v>12061353</v>
      </c>
      <c r="AS371" s="782">
        <v>12061354</v>
      </c>
      <c r="AT371" s="782">
        <v>12068566</v>
      </c>
      <c r="AU371" s="781"/>
      <c r="AV371" s="782">
        <v>12068564</v>
      </c>
      <c r="AW371" s="782">
        <v>12062153</v>
      </c>
      <c r="AX371" s="782"/>
      <c r="AY371" s="782">
        <v>12068565</v>
      </c>
      <c r="AZ371" s="782"/>
      <c r="BA371" s="781"/>
    </row>
    <row r="372" spans="1:53" ht="25" hidden="1" customHeight="1">
      <c r="A372" s="142" t="s">
        <v>120</v>
      </c>
      <c r="B372" s="385">
        <v>45356</v>
      </c>
      <c r="C372" s="386">
        <v>45365</v>
      </c>
      <c r="D372" s="185">
        <f t="shared" si="112"/>
        <v>2024</v>
      </c>
      <c r="E372" s="386" t="str">
        <f>VLOOKUP($B372,Week!$A$1:$C$1462,2,0)</f>
        <v>Week10</v>
      </c>
      <c r="F372" s="387" t="str">
        <f t="shared" si="113"/>
        <v>Mar</v>
      </c>
      <c r="G372" s="388" t="s">
        <v>843</v>
      </c>
      <c r="H372" s="388" t="s">
        <v>500</v>
      </c>
      <c r="I372" s="388" t="s">
        <v>2772</v>
      </c>
      <c r="J372" s="389" t="s">
        <v>285</v>
      </c>
      <c r="K372" s="390" t="s">
        <v>153</v>
      </c>
      <c r="L372" s="390" t="s">
        <v>2166</v>
      </c>
      <c r="M372" s="389" t="s">
        <v>165</v>
      </c>
      <c r="N372" s="388" t="s">
        <v>286</v>
      </c>
      <c r="O372" s="388" t="s">
        <v>503</v>
      </c>
      <c r="P372" s="391">
        <v>40</v>
      </c>
      <c r="Q372" s="391">
        <v>12</v>
      </c>
      <c r="R372" s="392">
        <v>6.8100000000000001E-3</v>
      </c>
      <c r="S372" s="388" t="s">
        <v>76</v>
      </c>
      <c r="T372" s="388" t="s">
        <v>56</v>
      </c>
      <c r="U372" s="388" t="s">
        <v>89</v>
      </c>
      <c r="V372" s="393">
        <v>432</v>
      </c>
      <c r="W372" s="393">
        <v>432</v>
      </c>
      <c r="X372" s="394"/>
      <c r="Y372" s="395">
        <f t="shared" si="123"/>
        <v>0</v>
      </c>
      <c r="Z372" s="396">
        <f t="shared" si="124"/>
        <v>0</v>
      </c>
      <c r="AA372" s="396">
        <f>Q372*Z372</f>
        <v>0</v>
      </c>
      <c r="AB372" s="823">
        <v>2</v>
      </c>
      <c r="AC372" s="393">
        <f>Z372*AB372</f>
        <v>0</v>
      </c>
      <c r="AD372" s="209"/>
      <c r="AE372" s="210"/>
      <c r="AF372" s="210"/>
      <c r="AG372" s="211">
        <f t="shared" si="125"/>
        <v>0.154</v>
      </c>
      <c r="AH372" s="157">
        <f t="shared" si="126"/>
        <v>0</v>
      </c>
      <c r="AI372" s="152">
        <f t="shared" si="127"/>
        <v>17280</v>
      </c>
      <c r="AK372" s="156" t="s">
        <v>691</v>
      </c>
      <c r="AL372" s="156" t="s">
        <v>689</v>
      </c>
      <c r="AM372" s="198">
        <f t="shared" si="122"/>
        <v>0</v>
      </c>
      <c r="AN372" s="199">
        <f t="shared" si="114"/>
        <v>45356</v>
      </c>
      <c r="AO372" s="159" t="s">
        <v>692</v>
      </c>
      <c r="AP372" s="783" t="s">
        <v>611</v>
      </c>
      <c r="AQ372" s="782">
        <v>12028328</v>
      </c>
      <c r="AR372" s="782">
        <v>12019692</v>
      </c>
      <c r="AS372" s="781"/>
      <c r="AT372" s="782">
        <v>12065371</v>
      </c>
      <c r="AU372" s="782"/>
      <c r="AV372" s="782">
        <v>12055895</v>
      </c>
      <c r="AW372" s="782">
        <v>12034747</v>
      </c>
      <c r="AX372" s="782" t="s">
        <v>398</v>
      </c>
      <c r="AY372" s="781" t="s">
        <v>290</v>
      </c>
      <c r="AZ372" s="781"/>
      <c r="BA372" s="781"/>
    </row>
    <row r="373" spans="1:53" ht="24.65" hidden="1" customHeight="1">
      <c r="B373" s="246">
        <v>45357</v>
      </c>
      <c r="C373" s="247">
        <v>45384</v>
      </c>
      <c r="D373" s="185">
        <f t="shared" si="112"/>
        <v>2024</v>
      </c>
      <c r="E373" s="247" t="str">
        <f>VLOOKUP($B373,Week!$A$1:$C$1462,2,0)</f>
        <v>Week10</v>
      </c>
      <c r="F373" s="248" t="str">
        <f t="shared" si="113"/>
        <v>Mar</v>
      </c>
      <c r="G373" s="599" t="s">
        <v>1017</v>
      </c>
      <c r="H373" s="249" t="s">
        <v>104</v>
      </c>
      <c r="I373" s="249" t="s">
        <v>2772</v>
      </c>
      <c r="J373" s="250" t="s">
        <v>105</v>
      </c>
      <c r="K373" s="251" t="s">
        <v>593</v>
      </c>
      <c r="L373" s="300" t="s">
        <v>2167</v>
      </c>
      <c r="M373" s="250" t="s">
        <v>594</v>
      </c>
      <c r="N373" s="249" t="s">
        <v>596</v>
      </c>
      <c r="O373" s="249" t="s">
        <v>304</v>
      </c>
      <c r="P373" s="252">
        <v>8</v>
      </c>
      <c r="Q373" s="252">
        <v>5</v>
      </c>
      <c r="R373" s="253">
        <v>6.0000000000000001E-3</v>
      </c>
      <c r="S373" s="249" t="s">
        <v>55</v>
      </c>
      <c r="T373" s="249" t="s">
        <v>112</v>
      </c>
      <c r="U373" s="249" t="s">
        <v>57</v>
      </c>
      <c r="V373" s="254">
        <v>1900</v>
      </c>
      <c r="W373" s="254"/>
      <c r="X373" s="255">
        <f>1900</f>
        <v>1900</v>
      </c>
      <c r="Y373" s="256">
        <f t="shared" si="123"/>
        <v>0</v>
      </c>
      <c r="Z373" s="257">
        <f t="shared" si="124"/>
        <v>0</v>
      </c>
      <c r="AA373" s="257"/>
      <c r="AB373" s="810"/>
      <c r="AC373" s="254"/>
      <c r="AD373" s="209"/>
      <c r="AE373" s="210"/>
      <c r="AF373" s="210"/>
      <c r="AG373" s="211">
        <f t="shared" si="125"/>
        <v>0.25800000000000001</v>
      </c>
      <c r="AH373" s="157">
        <v>0.26621999999999996</v>
      </c>
      <c r="AI373" s="152">
        <f t="shared" si="127"/>
        <v>15200</v>
      </c>
      <c r="AK373" s="156" t="s">
        <v>691</v>
      </c>
      <c r="AL373" s="574" t="s">
        <v>690</v>
      </c>
      <c r="AM373" s="198">
        <f t="shared" si="122"/>
        <v>0</v>
      </c>
      <c r="AN373" s="199">
        <f t="shared" si="114"/>
        <v>45357</v>
      </c>
      <c r="AO373" s="159" t="s">
        <v>692</v>
      </c>
      <c r="AP373" s="781"/>
      <c r="AQ373" s="782">
        <v>12071839</v>
      </c>
      <c r="AR373" s="782">
        <v>12042650</v>
      </c>
      <c r="AS373" s="782">
        <v>12042649</v>
      </c>
      <c r="AT373" s="782">
        <v>12084100</v>
      </c>
      <c r="AU373" s="781"/>
      <c r="AV373" s="782">
        <v>12084001</v>
      </c>
      <c r="AW373" s="781"/>
      <c r="AX373" s="781"/>
      <c r="AY373" s="781"/>
      <c r="AZ373" s="782"/>
      <c r="BA373" s="781"/>
    </row>
    <row r="374" spans="1:53" ht="25" hidden="1" customHeight="1">
      <c r="B374" s="246">
        <v>45357</v>
      </c>
      <c r="C374" s="247">
        <v>45390</v>
      </c>
      <c r="D374" s="185">
        <f t="shared" si="112"/>
        <v>2024</v>
      </c>
      <c r="E374" s="247" t="str">
        <f>VLOOKUP($B374,Week!$A$1:$C$1462,2,0)</f>
        <v>Week10</v>
      </c>
      <c r="F374" s="248" t="str">
        <f t="shared" si="113"/>
        <v>Mar</v>
      </c>
      <c r="G374" s="599" t="s">
        <v>1083</v>
      </c>
      <c r="H374" s="249" t="s">
        <v>104</v>
      </c>
      <c r="I374" s="249" t="s">
        <v>2772</v>
      </c>
      <c r="J374" s="250" t="s">
        <v>105</v>
      </c>
      <c r="K374" s="251" t="s">
        <v>593</v>
      </c>
      <c r="L374" s="300" t="s">
        <v>2167</v>
      </c>
      <c r="M374" s="250" t="s">
        <v>594</v>
      </c>
      <c r="N374" s="249" t="s">
        <v>596</v>
      </c>
      <c r="O374" s="249" t="s">
        <v>304</v>
      </c>
      <c r="P374" s="252">
        <v>8</v>
      </c>
      <c r="Q374" s="252">
        <v>5</v>
      </c>
      <c r="R374" s="253">
        <v>6.0000000000000001E-3</v>
      </c>
      <c r="S374" s="249" t="s">
        <v>55</v>
      </c>
      <c r="T374" s="249" t="s">
        <v>112</v>
      </c>
      <c r="U374" s="249" t="s">
        <v>57</v>
      </c>
      <c r="V374" s="254">
        <v>2400</v>
      </c>
      <c r="W374" s="254"/>
      <c r="X374" s="255">
        <f>2400</f>
        <v>2400</v>
      </c>
      <c r="Y374" s="256">
        <f t="shared" si="123"/>
        <v>0</v>
      </c>
      <c r="Z374" s="257">
        <f t="shared" si="124"/>
        <v>0</v>
      </c>
      <c r="AA374" s="257"/>
      <c r="AB374" s="810"/>
      <c r="AC374" s="254"/>
      <c r="AD374" s="209"/>
      <c r="AE374" s="210"/>
      <c r="AF374" s="210"/>
      <c r="AG374" s="211">
        <f t="shared" si="125"/>
        <v>0.25800000000000001</v>
      </c>
      <c r="AH374" s="157">
        <v>0.26621999999999996</v>
      </c>
      <c r="AI374" s="152">
        <f t="shared" si="127"/>
        <v>19200</v>
      </c>
      <c r="AK374" s="156" t="s">
        <v>691</v>
      </c>
      <c r="AL374" s="574" t="s">
        <v>690</v>
      </c>
      <c r="AM374" s="198">
        <f t="shared" si="122"/>
        <v>0</v>
      </c>
      <c r="AN374" s="199">
        <f t="shared" si="114"/>
        <v>45357</v>
      </c>
      <c r="AO374" s="159" t="s">
        <v>692</v>
      </c>
      <c r="AP374" s="781"/>
      <c r="AQ374" s="782">
        <v>12071839</v>
      </c>
      <c r="AR374" s="782">
        <v>12042650</v>
      </c>
      <c r="AS374" s="782">
        <v>12042649</v>
      </c>
      <c r="AT374" s="782">
        <v>12084100</v>
      </c>
      <c r="AU374" s="781"/>
      <c r="AV374" s="782">
        <v>12084001</v>
      </c>
      <c r="AW374" s="781"/>
      <c r="AX374" s="781"/>
      <c r="AY374" s="781"/>
      <c r="AZ374" s="782"/>
      <c r="BA374" s="781"/>
    </row>
    <row r="375" spans="1:53" ht="25" hidden="1" customHeight="1">
      <c r="B375" s="213">
        <v>45357</v>
      </c>
      <c r="C375" s="578">
        <v>45364</v>
      </c>
      <c r="D375" s="185">
        <f t="shared" si="112"/>
        <v>2024</v>
      </c>
      <c r="E375" s="215" t="str">
        <f>VLOOKUP($B375,Week!$A$1:$C$1462,2,0)</f>
        <v>Week10</v>
      </c>
      <c r="F375" s="216" t="str">
        <f t="shared" si="113"/>
        <v>Mar</v>
      </c>
      <c r="G375" s="215" t="s">
        <v>936</v>
      </c>
      <c r="H375" s="215" t="s">
        <v>104</v>
      </c>
      <c r="I375" s="215" t="s">
        <v>2772</v>
      </c>
      <c r="J375" s="209" t="s">
        <v>105</v>
      </c>
      <c r="K375" s="217" t="s">
        <v>107</v>
      </c>
      <c r="L375" s="300" t="s">
        <v>2167</v>
      </c>
      <c r="M375" s="209" t="s">
        <v>108</v>
      </c>
      <c r="N375" s="215" t="s">
        <v>109</v>
      </c>
      <c r="O375" s="215" t="s">
        <v>110</v>
      </c>
      <c r="P375" s="218">
        <v>36</v>
      </c>
      <c r="Q375" s="218">
        <v>5</v>
      </c>
      <c r="R375" s="219">
        <v>7.4999999999999997E-3</v>
      </c>
      <c r="S375" s="215" t="s">
        <v>111</v>
      </c>
      <c r="T375" s="215" t="s">
        <v>112</v>
      </c>
      <c r="U375" s="215" t="s">
        <v>113</v>
      </c>
      <c r="V375" s="220">
        <f>792-603</f>
        <v>189</v>
      </c>
      <c r="W375" s="220">
        <f>792-603</f>
        <v>189</v>
      </c>
      <c r="X375" s="221"/>
      <c r="Y375" s="222">
        <f t="shared" si="123"/>
        <v>0</v>
      </c>
      <c r="Z375" s="223">
        <f t="shared" si="124"/>
        <v>0</v>
      </c>
      <c r="AA375" s="223"/>
      <c r="AB375" s="807"/>
      <c r="AC375" s="220"/>
      <c r="AD375" s="209"/>
      <c r="AE375" s="210"/>
      <c r="AF375" s="210"/>
      <c r="AG375" s="211">
        <f t="shared" si="125"/>
        <v>0.308</v>
      </c>
      <c r="AH375" s="157">
        <f t="shared" ref="AH375:AH390" si="128">(Z375*AG375)/1000</f>
        <v>0</v>
      </c>
      <c r="AI375" s="152">
        <f t="shared" si="127"/>
        <v>6804</v>
      </c>
      <c r="AK375" s="156" t="s">
        <v>691</v>
      </c>
      <c r="AL375" s="574" t="s">
        <v>690</v>
      </c>
      <c r="AM375" s="198">
        <f t="shared" si="122"/>
        <v>0</v>
      </c>
      <c r="AN375" s="199">
        <f t="shared" si="114"/>
        <v>45357</v>
      </c>
      <c r="AO375" s="159" t="s">
        <v>692</v>
      </c>
      <c r="AP375" s="781"/>
      <c r="AQ375" s="782">
        <v>12063755</v>
      </c>
      <c r="AR375" s="782">
        <v>12061353</v>
      </c>
      <c r="AS375" s="782">
        <v>12061354</v>
      </c>
      <c r="AT375" s="782">
        <v>12068566</v>
      </c>
      <c r="AU375" s="781"/>
      <c r="AV375" s="782">
        <v>12068564</v>
      </c>
      <c r="AW375" s="782">
        <v>12062153</v>
      </c>
      <c r="AX375" s="782"/>
      <c r="AY375" s="782">
        <v>12068565</v>
      </c>
      <c r="AZ375" s="782"/>
      <c r="BA375" s="781"/>
    </row>
    <row r="376" spans="1:53" ht="25" hidden="1" customHeight="1">
      <c r="B376" s="213">
        <v>45357</v>
      </c>
      <c r="C376" s="578">
        <v>45364</v>
      </c>
      <c r="D376" s="185">
        <f t="shared" si="112"/>
        <v>2024</v>
      </c>
      <c r="E376" s="215" t="str">
        <f>VLOOKUP($B376,Week!$A$1:$C$1462,2,0)</f>
        <v>Week10</v>
      </c>
      <c r="F376" s="216" t="str">
        <f t="shared" si="113"/>
        <v>Mar</v>
      </c>
      <c r="G376" s="215" t="s">
        <v>937</v>
      </c>
      <c r="H376" s="215" t="s">
        <v>104</v>
      </c>
      <c r="I376" s="215" t="s">
        <v>2772</v>
      </c>
      <c r="J376" s="209" t="s">
        <v>105</v>
      </c>
      <c r="K376" s="217" t="s">
        <v>107</v>
      </c>
      <c r="L376" s="300" t="s">
        <v>2167</v>
      </c>
      <c r="M376" s="209" t="s">
        <v>108</v>
      </c>
      <c r="N376" s="215" t="s">
        <v>109</v>
      </c>
      <c r="O376" s="215" t="s">
        <v>110</v>
      </c>
      <c r="P376" s="218">
        <v>36</v>
      </c>
      <c r="Q376" s="218">
        <v>5</v>
      </c>
      <c r="R376" s="219">
        <v>7.4999999999999997E-3</v>
      </c>
      <c r="S376" s="215" t="s">
        <v>111</v>
      </c>
      <c r="T376" s="215" t="s">
        <v>112</v>
      </c>
      <c r="U376" s="215" t="s">
        <v>113</v>
      </c>
      <c r="V376" s="220">
        <v>792</v>
      </c>
      <c r="W376" s="220">
        <v>792</v>
      </c>
      <c r="X376" s="221"/>
      <c r="Y376" s="222">
        <f t="shared" si="123"/>
        <v>0</v>
      </c>
      <c r="Z376" s="223">
        <f t="shared" si="124"/>
        <v>0</v>
      </c>
      <c r="AA376" s="223"/>
      <c r="AB376" s="807"/>
      <c r="AC376" s="220"/>
      <c r="AD376" s="209"/>
      <c r="AE376" s="210"/>
      <c r="AF376" s="210"/>
      <c r="AG376" s="211">
        <f t="shared" si="125"/>
        <v>0.308</v>
      </c>
      <c r="AH376" s="157">
        <f t="shared" si="128"/>
        <v>0</v>
      </c>
      <c r="AI376" s="152">
        <f t="shared" si="127"/>
        <v>28512</v>
      </c>
      <c r="AK376" s="156" t="s">
        <v>691</v>
      </c>
      <c r="AL376" s="574" t="s">
        <v>690</v>
      </c>
      <c r="AM376" s="198">
        <f t="shared" si="122"/>
        <v>0</v>
      </c>
      <c r="AN376" s="199">
        <f t="shared" si="114"/>
        <v>45357</v>
      </c>
      <c r="AO376" s="159" t="s">
        <v>692</v>
      </c>
      <c r="AP376" s="781"/>
      <c r="AQ376" s="782">
        <v>12063755</v>
      </c>
      <c r="AR376" s="782">
        <v>12061353</v>
      </c>
      <c r="AS376" s="782">
        <v>12061354</v>
      </c>
      <c r="AT376" s="782">
        <v>12068566</v>
      </c>
      <c r="AU376" s="781"/>
      <c r="AV376" s="782">
        <v>12068564</v>
      </c>
      <c r="AW376" s="782">
        <v>12062153</v>
      </c>
      <c r="AX376" s="782"/>
      <c r="AY376" s="782">
        <v>12068565</v>
      </c>
      <c r="AZ376" s="782"/>
      <c r="BA376" s="781"/>
    </row>
    <row r="377" spans="1:53" ht="25" hidden="1" customHeight="1">
      <c r="B377" s="213">
        <v>45357</v>
      </c>
      <c r="C377" s="578">
        <v>45365</v>
      </c>
      <c r="D377" s="185">
        <f t="shared" si="112"/>
        <v>2024</v>
      </c>
      <c r="E377" s="215" t="str">
        <f>VLOOKUP($B377,Week!$A$1:$C$1462,2,0)</f>
        <v>Week10</v>
      </c>
      <c r="F377" s="216" t="str">
        <f t="shared" si="113"/>
        <v>Mar</v>
      </c>
      <c r="G377" s="215" t="s">
        <v>938</v>
      </c>
      <c r="H377" s="215" t="s">
        <v>104</v>
      </c>
      <c r="I377" s="215" t="s">
        <v>2772</v>
      </c>
      <c r="J377" s="209" t="s">
        <v>105</v>
      </c>
      <c r="K377" s="217" t="s">
        <v>107</v>
      </c>
      <c r="L377" s="300" t="s">
        <v>2167</v>
      </c>
      <c r="M377" s="209" t="s">
        <v>108</v>
      </c>
      <c r="N377" s="215" t="s">
        <v>109</v>
      </c>
      <c r="O377" s="215" t="s">
        <v>110</v>
      </c>
      <c r="P377" s="218">
        <v>36</v>
      </c>
      <c r="Q377" s="218">
        <v>5</v>
      </c>
      <c r="R377" s="219">
        <v>7.4999999999999997E-3</v>
      </c>
      <c r="S377" s="215" t="s">
        <v>111</v>
      </c>
      <c r="T377" s="215" t="s">
        <v>112</v>
      </c>
      <c r="U377" s="215" t="s">
        <v>113</v>
      </c>
      <c r="V377" s="220">
        <v>792</v>
      </c>
      <c r="W377" s="220">
        <v>792</v>
      </c>
      <c r="X377" s="221"/>
      <c r="Y377" s="222">
        <f t="shared" si="123"/>
        <v>0</v>
      </c>
      <c r="Z377" s="223">
        <f t="shared" si="124"/>
        <v>0</v>
      </c>
      <c r="AA377" s="223"/>
      <c r="AB377" s="807"/>
      <c r="AC377" s="220"/>
      <c r="AD377" s="209"/>
      <c r="AE377" s="210"/>
      <c r="AF377" s="210"/>
      <c r="AG377" s="211">
        <f t="shared" si="125"/>
        <v>0.308</v>
      </c>
      <c r="AH377" s="157">
        <f t="shared" si="128"/>
        <v>0</v>
      </c>
      <c r="AI377" s="152">
        <f t="shared" si="127"/>
        <v>28512</v>
      </c>
      <c r="AK377" s="156" t="s">
        <v>691</v>
      </c>
      <c r="AL377" s="574" t="s">
        <v>690</v>
      </c>
      <c r="AM377" s="198">
        <f t="shared" si="122"/>
        <v>0</v>
      </c>
      <c r="AN377" s="199">
        <f t="shared" si="114"/>
        <v>45357</v>
      </c>
      <c r="AO377" s="159" t="s">
        <v>692</v>
      </c>
      <c r="AP377" s="781"/>
      <c r="AQ377" s="782">
        <v>12063755</v>
      </c>
      <c r="AR377" s="782">
        <v>12061353</v>
      </c>
      <c r="AS377" s="782">
        <v>12061354</v>
      </c>
      <c r="AT377" s="782">
        <v>12068566</v>
      </c>
      <c r="AU377" s="781"/>
      <c r="AV377" s="782">
        <v>12068564</v>
      </c>
      <c r="AW377" s="782">
        <v>12062153</v>
      </c>
      <c r="AX377" s="782"/>
      <c r="AY377" s="782">
        <v>12068565</v>
      </c>
      <c r="AZ377" s="782"/>
      <c r="BA377" s="781"/>
    </row>
    <row r="378" spans="1:53" ht="25" hidden="1" customHeight="1">
      <c r="B378" s="213">
        <v>45357</v>
      </c>
      <c r="C378" s="578">
        <v>45365</v>
      </c>
      <c r="D378" s="185">
        <f t="shared" si="112"/>
        <v>2024</v>
      </c>
      <c r="E378" s="215" t="str">
        <f>VLOOKUP($B378,Week!$A$1:$C$1462,2,0)</f>
        <v>Week10</v>
      </c>
      <c r="F378" s="216" t="str">
        <f t="shared" si="113"/>
        <v>Mar</v>
      </c>
      <c r="G378" s="215" t="s">
        <v>939</v>
      </c>
      <c r="H378" s="215" t="s">
        <v>104</v>
      </c>
      <c r="I378" s="215" t="s">
        <v>2772</v>
      </c>
      <c r="J378" s="209" t="s">
        <v>105</v>
      </c>
      <c r="K378" s="217" t="s">
        <v>107</v>
      </c>
      <c r="L378" s="300" t="s">
        <v>2167</v>
      </c>
      <c r="M378" s="209" t="s">
        <v>108</v>
      </c>
      <c r="N378" s="215" t="s">
        <v>109</v>
      </c>
      <c r="O378" s="215" t="s">
        <v>110</v>
      </c>
      <c r="P378" s="218">
        <v>36</v>
      </c>
      <c r="Q378" s="218">
        <v>5</v>
      </c>
      <c r="R378" s="219">
        <v>7.4999999999999997E-3</v>
      </c>
      <c r="S378" s="215" t="s">
        <v>111</v>
      </c>
      <c r="T378" s="215" t="s">
        <v>112</v>
      </c>
      <c r="U378" s="215" t="s">
        <v>113</v>
      </c>
      <c r="V378" s="220">
        <v>792</v>
      </c>
      <c r="W378" s="220">
        <v>792</v>
      </c>
      <c r="X378" s="221"/>
      <c r="Y378" s="222">
        <f t="shared" si="123"/>
        <v>0</v>
      </c>
      <c r="Z378" s="223">
        <f t="shared" si="124"/>
        <v>0</v>
      </c>
      <c r="AA378" s="223"/>
      <c r="AB378" s="807"/>
      <c r="AC378" s="220"/>
      <c r="AD378" s="209"/>
      <c r="AE378" s="210"/>
      <c r="AF378" s="210"/>
      <c r="AG378" s="211">
        <f t="shared" si="125"/>
        <v>0.308</v>
      </c>
      <c r="AH378" s="157">
        <f t="shared" si="128"/>
        <v>0</v>
      </c>
      <c r="AI378" s="152">
        <f t="shared" si="127"/>
        <v>28512</v>
      </c>
      <c r="AK378" s="156" t="s">
        <v>691</v>
      </c>
      <c r="AL378" s="574" t="s">
        <v>690</v>
      </c>
      <c r="AM378" s="198">
        <f t="shared" si="122"/>
        <v>0</v>
      </c>
      <c r="AN378" s="199">
        <f t="shared" si="114"/>
        <v>45357</v>
      </c>
      <c r="AO378" s="159" t="s">
        <v>692</v>
      </c>
      <c r="AP378" s="781"/>
      <c r="AQ378" s="782">
        <v>12063755</v>
      </c>
      <c r="AR378" s="782">
        <v>12061353</v>
      </c>
      <c r="AS378" s="782">
        <v>12061354</v>
      </c>
      <c r="AT378" s="782">
        <v>12068566</v>
      </c>
      <c r="AU378" s="781"/>
      <c r="AV378" s="782">
        <v>12068564</v>
      </c>
      <c r="AW378" s="782">
        <v>12062153</v>
      </c>
      <c r="AX378" s="782"/>
      <c r="AY378" s="782">
        <v>12068565</v>
      </c>
      <c r="AZ378" s="782"/>
      <c r="BA378" s="781"/>
    </row>
    <row r="379" spans="1:53" ht="25" hidden="1" customHeight="1">
      <c r="B379" s="213">
        <v>45357</v>
      </c>
      <c r="C379" s="578">
        <v>45365</v>
      </c>
      <c r="D379" s="185">
        <f t="shared" si="112"/>
        <v>2024</v>
      </c>
      <c r="E379" s="215" t="str">
        <f>VLOOKUP($B379,Week!$A$1:$C$1462,2,0)</f>
        <v>Week10</v>
      </c>
      <c r="F379" s="216" t="str">
        <f t="shared" si="113"/>
        <v>Mar</v>
      </c>
      <c r="G379" s="215" t="s">
        <v>940</v>
      </c>
      <c r="H379" s="215" t="s">
        <v>104</v>
      </c>
      <c r="I379" s="215" t="s">
        <v>2772</v>
      </c>
      <c r="J379" s="209" t="s">
        <v>105</v>
      </c>
      <c r="K379" s="217" t="s">
        <v>107</v>
      </c>
      <c r="L379" s="300" t="s">
        <v>2167</v>
      </c>
      <c r="M379" s="209" t="s">
        <v>108</v>
      </c>
      <c r="N379" s="215" t="s">
        <v>109</v>
      </c>
      <c r="O379" s="215" t="s">
        <v>110</v>
      </c>
      <c r="P379" s="218">
        <v>36</v>
      </c>
      <c r="Q379" s="218">
        <v>5</v>
      </c>
      <c r="R379" s="219">
        <v>7.4999999999999997E-3</v>
      </c>
      <c r="S379" s="215" t="s">
        <v>111</v>
      </c>
      <c r="T379" s="215" t="s">
        <v>112</v>
      </c>
      <c r="U379" s="215" t="s">
        <v>113</v>
      </c>
      <c r="V379" s="220">
        <f>2810-189-792-792-792</f>
        <v>245</v>
      </c>
      <c r="W379" s="220">
        <f>2810-189-792-792-792</f>
        <v>245</v>
      </c>
      <c r="X379" s="221"/>
      <c r="Y379" s="222">
        <f t="shared" si="123"/>
        <v>0</v>
      </c>
      <c r="Z379" s="223">
        <f t="shared" si="124"/>
        <v>0</v>
      </c>
      <c r="AA379" s="223"/>
      <c r="AB379" s="807"/>
      <c r="AC379" s="220"/>
      <c r="AD379" s="209"/>
      <c r="AE379" s="210"/>
      <c r="AF379" s="210"/>
      <c r="AG379" s="211">
        <f t="shared" si="125"/>
        <v>0.308</v>
      </c>
      <c r="AH379" s="157">
        <f t="shared" si="128"/>
        <v>0</v>
      </c>
      <c r="AI379" s="152">
        <f t="shared" si="127"/>
        <v>8820</v>
      </c>
      <c r="AK379" s="156" t="s">
        <v>691</v>
      </c>
      <c r="AL379" s="574" t="s">
        <v>690</v>
      </c>
      <c r="AM379" s="198">
        <f t="shared" si="122"/>
        <v>0</v>
      </c>
      <c r="AN379" s="199">
        <f t="shared" si="114"/>
        <v>45357</v>
      </c>
      <c r="AO379" s="159" t="s">
        <v>692</v>
      </c>
      <c r="AP379" s="781"/>
      <c r="AQ379" s="782">
        <v>12063755</v>
      </c>
      <c r="AR379" s="782">
        <v>12061353</v>
      </c>
      <c r="AS379" s="782">
        <v>12061354</v>
      </c>
      <c r="AT379" s="782">
        <v>12068566</v>
      </c>
      <c r="AU379" s="781"/>
      <c r="AV379" s="782">
        <v>12068564</v>
      </c>
      <c r="AW379" s="782">
        <v>12062153</v>
      </c>
      <c r="AX379" s="782"/>
      <c r="AY379" s="782">
        <v>12068565</v>
      </c>
      <c r="AZ379" s="782"/>
      <c r="BA379" s="781"/>
    </row>
    <row r="380" spans="1:53" ht="25" hidden="1" customHeight="1">
      <c r="A380" s="142" t="s">
        <v>120</v>
      </c>
      <c r="B380" s="385">
        <v>45357</v>
      </c>
      <c r="C380" s="386">
        <v>45365</v>
      </c>
      <c r="D380" s="185">
        <f t="shared" si="112"/>
        <v>2024</v>
      </c>
      <c r="E380" s="386" t="str">
        <f>VLOOKUP($B380,Week!$A$1:$C$1462,2,0)</f>
        <v>Week10</v>
      </c>
      <c r="F380" s="387" t="str">
        <f t="shared" si="113"/>
        <v>Mar</v>
      </c>
      <c r="G380" s="388" t="s">
        <v>843</v>
      </c>
      <c r="H380" s="388" t="s">
        <v>500</v>
      </c>
      <c r="I380" s="388" t="s">
        <v>2772</v>
      </c>
      <c r="J380" s="389" t="s">
        <v>285</v>
      </c>
      <c r="K380" s="390" t="s">
        <v>153</v>
      </c>
      <c r="L380" s="390" t="s">
        <v>2166</v>
      </c>
      <c r="M380" s="389" t="s">
        <v>165</v>
      </c>
      <c r="N380" s="388" t="s">
        <v>286</v>
      </c>
      <c r="O380" s="388" t="s">
        <v>503</v>
      </c>
      <c r="P380" s="391">
        <v>40</v>
      </c>
      <c r="Q380" s="391">
        <v>12</v>
      </c>
      <c r="R380" s="392">
        <v>6.8100000000000001E-3</v>
      </c>
      <c r="S380" s="388" t="s">
        <v>76</v>
      </c>
      <c r="T380" s="388" t="s">
        <v>56</v>
      </c>
      <c r="U380" s="388" t="s">
        <v>89</v>
      </c>
      <c r="V380" s="393">
        <v>469</v>
      </c>
      <c r="W380" s="393">
        <v>469</v>
      </c>
      <c r="X380" s="394"/>
      <c r="Y380" s="395">
        <f t="shared" si="123"/>
        <v>0</v>
      </c>
      <c r="Z380" s="396">
        <f t="shared" si="124"/>
        <v>0</v>
      </c>
      <c r="AA380" s="396">
        <f>Q380*Z380</f>
        <v>0</v>
      </c>
      <c r="AB380" s="823">
        <v>2</v>
      </c>
      <c r="AC380" s="393">
        <f>Z380*AB380</f>
        <v>0</v>
      </c>
      <c r="AD380" s="209"/>
      <c r="AE380" s="210"/>
      <c r="AF380" s="210"/>
      <c r="AG380" s="211">
        <f t="shared" si="125"/>
        <v>0.154</v>
      </c>
      <c r="AH380" s="157">
        <f t="shared" si="128"/>
        <v>0</v>
      </c>
      <c r="AI380" s="152">
        <f t="shared" si="127"/>
        <v>18760</v>
      </c>
      <c r="AK380" s="156" t="s">
        <v>691</v>
      </c>
      <c r="AL380" s="156" t="s">
        <v>689</v>
      </c>
      <c r="AM380" s="198">
        <f t="shared" si="122"/>
        <v>0</v>
      </c>
      <c r="AN380" s="199">
        <f t="shared" si="114"/>
        <v>45357</v>
      </c>
      <c r="AO380" s="159" t="s">
        <v>692</v>
      </c>
      <c r="AP380" s="783" t="s">
        <v>611</v>
      </c>
      <c r="AQ380" s="782">
        <v>12028328</v>
      </c>
      <c r="AR380" s="782">
        <v>12019692</v>
      </c>
      <c r="AS380" s="781"/>
      <c r="AT380" s="782">
        <v>12065371</v>
      </c>
      <c r="AU380" s="782"/>
      <c r="AV380" s="782">
        <v>12055895</v>
      </c>
      <c r="AW380" s="782">
        <v>12034747</v>
      </c>
      <c r="AX380" s="782" t="s">
        <v>398</v>
      </c>
      <c r="AY380" s="781" t="s">
        <v>290</v>
      </c>
      <c r="AZ380" s="781"/>
      <c r="BA380" s="781"/>
    </row>
    <row r="381" spans="1:53" ht="25" hidden="1" customHeight="1">
      <c r="B381" s="357">
        <v>45358</v>
      </c>
      <c r="C381" s="358">
        <v>45371</v>
      </c>
      <c r="D381" s="185">
        <f t="shared" si="112"/>
        <v>2024</v>
      </c>
      <c r="E381" s="358" t="str">
        <f>VLOOKUP($B381,Week!$A$1:$C$1462,2,0)</f>
        <v>Week10</v>
      </c>
      <c r="F381" s="360" t="str">
        <f t="shared" si="113"/>
        <v>Mar</v>
      </c>
      <c r="G381" s="436" t="s">
        <v>1109</v>
      </c>
      <c r="H381" s="359" t="s">
        <v>225</v>
      </c>
      <c r="I381" s="359" t="s">
        <v>2773</v>
      </c>
      <c r="J381" s="361" t="s">
        <v>650</v>
      </c>
      <c r="K381" s="362" t="s">
        <v>593</v>
      </c>
      <c r="L381" s="300" t="s">
        <v>2167</v>
      </c>
      <c r="M381" s="361" t="s">
        <v>717</v>
      </c>
      <c r="N381" s="359" t="s">
        <v>719</v>
      </c>
      <c r="O381" s="359" t="s">
        <v>230</v>
      </c>
      <c r="P381" s="363">
        <v>12</v>
      </c>
      <c r="Q381" s="363">
        <v>5</v>
      </c>
      <c r="R381" s="364">
        <v>6.0000000000000001E-3</v>
      </c>
      <c r="S381" s="359" t="s">
        <v>55</v>
      </c>
      <c r="T381" s="359" t="s">
        <v>112</v>
      </c>
      <c r="U381" s="359" t="s">
        <v>57</v>
      </c>
      <c r="V381" s="365">
        <v>2600</v>
      </c>
      <c r="W381" s="365"/>
      <c r="X381" s="366">
        <f>(243+30957)/12</f>
        <v>2600</v>
      </c>
      <c r="Y381" s="367">
        <f t="shared" si="123"/>
        <v>0</v>
      </c>
      <c r="Z381" s="368">
        <f t="shared" si="124"/>
        <v>0</v>
      </c>
      <c r="AA381" s="368"/>
      <c r="AB381" s="819"/>
      <c r="AC381" s="365"/>
      <c r="AD381" s="307" t="s">
        <v>672</v>
      </c>
      <c r="AE381" s="210"/>
      <c r="AF381" s="210"/>
      <c r="AG381" s="211">
        <f t="shared" si="125"/>
        <v>0.25800000000000001</v>
      </c>
      <c r="AH381" s="157">
        <f t="shared" si="128"/>
        <v>0</v>
      </c>
      <c r="AI381" s="152">
        <f t="shared" si="127"/>
        <v>31200</v>
      </c>
      <c r="AK381" s="156" t="s">
        <v>691</v>
      </c>
      <c r="AL381" s="574" t="s">
        <v>690</v>
      </c>
      <c r="AM381" s="198">
        <f t="shared" si="122"/>
        <v>0</v>
      </c>
      <c r="AN381" s="199">
        <f t="shared" si="114"/>
        <v>45358</v>
      </c>
      <c r="AO381" s="159" t="s">
        <v>692</v>
      </c>
      <c r="AP381" s="783" t="s">
        <v>612</v>
      </c>
      <c r="AQ381" s="782">
        <v>12071839</v>
      </c>
      <c r="AR381" s="782">
        <v>12042650</v>
      </c>
      <c r="AS381" s="782">
        <v>12042649</v>
      </c>
      <c r="AT381" s="782">
        <v>12060840</v>
      </c>
      <c r="AU381" s="781"/>
      <c r="AV381" s="782">
        <v>12060849</v>
      </c>
      <c r="AW381" s="782"/>
      <c r="AX381" s="782"/>
      <c r="AY381" s="782"/>
      <c r="AZ381" s="782"/>
      <c r="BA381" s="781"/>
    </row>
    <row r="382" spans="1:53" ht="25" hidden="1" customHeight="1">
      <c r="B382" s="213">
        <v>45358</v>
      </c>
      <c r="C382" s="578">
        <v>45365</v>
      </c>
      <c r="D382" s="185">
        <f t="shared" si="112"/>
        <v>2024</v>
      </c>
      <c r="E382" s="215" t="str">
        <f>VLOOKUP($B382,Week!$A$1:$C$1462,2,0)</f>
        <v>Week10</v>
      </c>
      <c r="F382" s="216" t="str">
        <f t="shared" si="113"/>
        <v>Mar</v>
      </c>
      <c r="G382" s="215" t="s">
        <v>940</v>
      </c>
      <c r="H382" s="215" t="s">
        <v>104</v>
      </c>
      <c r="I382" s="215" t="s">
        <v>2772</v>
      </c>
      <c r="J382" s="209" t="s">
        <v>105</v>
      </c>
      <c r="K382" s="217" t="s">
        <v>107</v>
      </c>
      <c r="L382" s="300" t="s">
        <v>2167</v>
      </c>
      <c r="M382" s="209" t="s">
        <v>108</v>
      </c>
      <c r="N382" s="215" t="s">
        <v>109</v>
      </c>
      <c r="O382" s="215" t="s">
        <v>110</v>
      </c>
      <c r="P382" s="218">
        <v>36</v>
      </c>
      <c r="Q382" s="218">
        <v>5</v>
      </c>
      <c r="R382" s="219">
        <v>7.4999999999999997E-3</v>
      </c>
      <c r="S382" s="215" t="s">
        <v>111</v>
      </c>
      <c r="T382" s="215" t="s">
        <v>112</v>
      </c>
      <c r="U382" s="215" t="s">
        <v>113</v>
      </c>
      <c r="V382" s="220">
        <f>792-245</f>
        <v>547</v>
      </c>
      <c r="W382" s="220">
        <f>792-245</f>
        <v>547</v>
      </c>
      <c r="X382" s="221"/>
      <c r="Y382" s="222">
        <f t="shared" si="123"/>
        <v>0</v>
      </c>
      <c r="Z382" s="223">
        <f t="shared" si="124"/>
        <v>0</v>
      </c>
      <c r="AA382" s="223"/>
      <c r="AB382" s="807"/>
      <c r="AC382" s="220"/>
      <c r="AD382" s="209"/>
      <c r="AE382" s="210"/>
      <c r="AF382" s="210"/>
      <c r="AG382" s="211">
        <f t="shared" si="125"/>
        <v>0.308</v>
      </c>
      <c r="AH382" s="157">
        <f t="shared" si="128"/>
        <v>0</v>
      </c>
      <c r="AI382" s="152">
        <f t="shared" si="127"/>
        <v>19692</v>
      </c>
      <c r="AK382" s="156" t="s">
        <v>691</v>
      </c>
      <c r="AL382" s="574" t="s">
        <v>690</v>
      </c>
      <c r="AM382" s="198">
        <f t="shared" si="122"/>
        <v>0</v>
      </c>
      <c r="AN382" s="199">
        <f t="shared" si="114"/>
        <v>45358</v>
      </c>
      <c r="AO382" s="159" t="s">
        <v>692</v>
      </c>
      <c r="AP382" s="781"/>
      <c r="AQ382" s="782">
        <v>12063755</v>
      </c>
      <c r="AR382" s="782">
        <v>12061353</v>
      </c>
      <c r="AS382" s="782">
        <v>12061354</v>
      </c>
      <c r="AT382" s="782">
        <v>12068566</v>
      </c>
      <c r="AU382" s="781"/>
      <c r="AV382" s="782">
        <v>12068564</v>
      </c>
      <c r="AW382" s="782">
        <v>12062153</v>
      </c>
      <c r="AX382" s="782"/>
      <c r="AY382" s="782">
        <v>12068565</v>
      </c>
      <c r="AZ382" s="782"/>
      <c r="BA382" s="781"/>
    </row>
    <row r="383" spans="1:53" ht="25" hidden="1" customHeight="1">
      <c r="B383" s="213">
        <v>45358</v>
      </c>
      <c r="C383" s="578">
        <v>45365</v>
      </c>
      <c r="D383" s="185">
        <f t="shared" si="112"/>
        <v>2024</v>
      </c>
      <c r="E383" s="215" t="str">
        <f>VLOOKUP($B383,Week!$A$1:$C$1462,2,0)</f>
        <v>Week10</v>
      </c>
      <c r="F383" s="216" t="str">
        <f t="shared" si="113"/>
        <v>Mar</v>
      </c>
      <c r="G383" s="215" t="s">
        <v>941</v>
      </c>
      <c r="H383" s="215" t="s">
        <v>104</v>
      </c>
      <c r="I383" s="215" t="s">
        <v>2772</v>
      </c>
      <c r="J383" s="209" t="s">
        <v>105</v>
      </c>
      <c r="K383" s="217" t="s">
        <v>107</v>
      </c>
      <c r="L383" s="300" t="s">
        <v>2167</v>
      </c>
      <c r="M383" s="209" t="s">
        <v>108</v>
      </c>
      <c r="N383" s="215" t="s">
        <v>109</v>
      </c>
      <c r="O383" s="215" t="s">
        <v>110</v>
      </c>
      <c r="P383" s="218">
        <v>36</v>
      </c>
      <c r="Q383" s="218">
        <v>5</v>
      </c>
      <c r="R383" s="219">
        <v>7.4999999999999997E-3</v>
      </c>
      <c r="S383" s="215" t="s">
        <v>111</v>
      </c>
      <c r="T383" s="215" t="s">
        <v>112</v>
      </c>
      <c r="U383" s="215" t="s">
        <v>113</v>
      </c>
      <c r="V383" s="220">
        <v>792</v>
      </c>
      <c r="W383" s="220">
        <v>792</v>
      </c>
      <c r="X383" s="221"/>
      <c r="Y383" s="222">
        <f t="shared" si="123"/>
        <v>0</v>
      </c>
      <c r="Z383" s="223">
        <f t="shared" si="124"/>
        <v>0</v>
      </c>
      <c r="AA383" s="223"/>
      <c r="AB383" s="807"/>
      <c r="AC383" s="220"/>
      <c r="AD383" s="209"/>
      <c r="AE383" s="210"/>
      <c r="AF383" s="210"/>
      <c r="AG383" s="211">
        <f t="shared" si="125"/>
        <v>0.308</v>
      </c>
      <c r="AH383" s="157">
        <f t="shared" si="128"/>
        <v>0</v>
      </c>
      <c r="AI383" s="152">
        <f t="shared" si="127"/>
        <v>28512</v>
      </c>
      <c r="AK383" s="156" t="s">
        <v>691</v>
      </c>
      <c r="AL383" s="574" t="s">
        <v>690</v>
      </c>
      <c r="AM383" s="198">
        <f t="shared" si="122"/>
        <v>0</v>
      </c>
      <c r="AN383" s="199">
        <f t="shared" si="114"/>
        <v>45358</v>
      </c>
      <c r="AO383" s="159" t="s">
        <v>692</v>
      </c>
      <c r="AP383" s="781"/>
      <c r="AQ383" s="782">
        <v>12063755</v>
      </c>
      <c r="AR383" s="782">
        <v>12061353</v>
      </c>
      <c r="AS383" s="782">
        <v>12061354</v>
      </c>
      <c r="AT383" s="782">
        <v>12068566</v>
      </c>
      <c r="AU383" s="781"/>
      <c r="AV383" s="782">
        <v>12068564</v>
      </c>
      <c r="AW383" s="782">
        <v>12062153</v>
      </c>
      <c r="AX383" s="782"/>
      <c r="AY383" s="782">
        <v>12068565</v>
      </c>
      <c r="AZ383" s="782"/>
      <c r="BA383" s="781"/>
    </row>
    <row r="384" spans="1:53" ht="25" hidden="1" customHeight="1">
      <c r="B384" s="213">
        <v>45358</v>
      </c>
      <c r="C384" s="578">
        <v>45365</v>
      </c>
      <c r="D384" s="185">
        <f t="shared" si="112"/>
        <v>2024</v>
      </c>
      <c r="E384" s="215" t="str">
        <f>VLOOKUP($B384,Week!$A$1:$C$1462,2,0)</f>
        <v>Week10</v>
      </c>
      <c r="F384" s="216" t="str">
        <f t="shared" si="113"/>
        <v>Mar</v>
      </c>
      <c r="G384" s="215" t="s">
        <v>942</v>
      </c>
      <c r="H384" s="215" t="s">
        <v>104</v>
      </c>
      <c r="I384" s="215" t="s">
        <v>2772</v>
      </c>
      <c r="J384" s="209" t="s">
        <v>105</v>
      </c>
      <c r="K384" s="217" t="s">
        <v>107</v>
      </c>
      <c r="L384" s="300" t="s">
        <v>2167</v>
      </c>
      <c r="M384" s="209" t="s">
        <v>108</v>
      </c>
      <c r="N384" s="215" t="s">
        <v>109</v>
      </c>
      <c r="O384" s="215" t="s">
        <v>110</v>
      </c>
      <c r="P384" s="218">
        <v>36</v>
      </c>
      <c r="Q384" s="218">
        <v>5</v>
      </c>
      <c r="R384" s="219">
        <v>7.4999999999999997E-3</v>
      </c>
      <c r="S384" s="215" t="s">
        <v>111</v>
      </c>
      <c r="T384" s="215" t="s">
        <v>112</v>
      </c>
      <c r="U384" s="215" t="s">
        <v>113</v>
      </c>
      <c r="V384" s="220">
        <v>792</v>
      </c>
      <c r="W384" s="220">
        <v>792</v>
      </c>
      <c r="X384" s="221"/>
      <c r="Y384" s="222">
        <f t="shared" si="123"/>
        <v>0</v>
      </c>
      <c r="Z384" s="223">
        <f t="shared" si="124"/>
        <v>0</v>
      </c>
      <c r="AA384" s="223"/>
      <c r="AB384" s="807"/>
      <c r="AC384" s="220"/>
      <c r="AD384" s="209"/>
      <c r="AE384" s="210"/>
      <c r="AF384" s="210"/>
      <c r="AG384" s="211">
        <f t="shared" si="125"/>
        <v>0.308</v>
      </c>
      <c r="AH384" s="157">
        <f t="shared" si="128"/>
        <v>0</v>
      </c>
      <c r="AI384" s="152">
        <f t="shared" si="127"/>
        <v>28512</v>
      </c>
      <c r="AK384" s="156" t="s">
        <v>691</v>
      </c>
      <c r="AL384" s="574" t="s">
        <v>690</v>
      </c>
      <c r="AM384" s="198">
        <f t="shared" si="122"/>
        <v>0</v>
      </c>
      <c r="AN384" s="199">
        <f t="shared" si="114"/>
        <v>45358</v>
      </c>
      <c r="AO384" s="159" t="s">
        <v>692</v>
      </c>
      <c r="AP384" s="781"/>
      <c r="AQ384" s="782">
        <v>12063755</v>
      </c>
      <c r="AR384" s="782">
        <v>12061353</v>
      </c>
      <c r="AS384" s="782">
        <v>12061354</v>
      </c>
      <c r="AT384" s="782">
        <v>12068566</v>
      </c>
      <c r="AU384" s="781"/>
      <c r="AV384" s="782">
        <v>12068564</v>
      </c>
      <c r="AW384" s="782">
        <v>12062153</v>
      </c>
      <c r="AX384" s="782"/>
      <c r="AY384" s="782">
        <v>12068565</v>
      </c>
      <c r="AZ384" s="782"/>
      <c r="BA384" s="781"/>
    </row>
    <row r="385" spans="1:53" ht="25" hidden="1" customHeight="1">
      <c r="B385" s="213">
        <v>45358</v>
      </c>
      <c r="C385" s="578">
        <v>45365</v>
      </c>
      <c r="D385" s="185">
        <f t="shared" si="112"/>
        <v>2024</v>
      </c>
      <c r="E385" s="215" t="str">
        <f>VLOOKUP($B385,Week!$A$1:$C$1462,2,0)</f>
        <v>Week10</v>
      </c>
      <c r="F385" s="216" t="str">
        <f t="shared" si="113"/>
        <v>Mar</v>
      </c>
      <c r="G385" s="215" t="s">
        <v>943</v>
      </c>
      <c r="H385" s="215" t="s">
        <v>104</v>
      </c>
      <c r="I385" s="215" t="s">
        <v>2772</v>
      </c>
      <c r="J385" s="209" t="s">
        <v>105</v>
      </c>
      <c r="K385" s="217" t="s">
        <v>107</v>
      </c>
      <c r="L385" s="300" t="s">
        <v>2167</v>
      </c>
      <c r="M385" s="209" t="s">
        <v>108</v>
      </c>
      <c r="N385" s="215" t="s">
        <v>109</v>
      </c>
      <c r="O385" s="215" t="s">
        <v>110</v>
      </c>
      <c r="P385" s="218">
        <v>36</v>
      </c>
      <c r="Q385" s="218">
        <v>5</v>
      </c>
      <c r="R385" s="219">
        <v>7.4999999999999997E-3</v>
      </c>
      <c r="S385" s="215" t="s">
        <v>111</v>
      </c>
      <c r="T385" s="215" t="s">
        <v>112</v>
      </c>
      <c r="U385" s="215" t="s">
        <v>113</v>
      </c>
      <c r="V385" s="220">
        <f>2780-547-792-792</f>
        <v>649</v>
      </c>
      <c r="W385" s="220">
        <f>2780-547-792-792</f>
        <v>649</v>
      </c>
      <c r="X385" s="221"/>
      <c r="Y385" s="222">
        <f t="shared" si="123"/>
        <v>0</v>
      </c>
      <c r="Z385" s="223">
        <f t="shared" si="124"/>
        <v>0</v>
      </c>
      <c r="AA385" s="223"/>
      <c r="AB385" s="807"/>
      <c r="AC385" s="220"/>
      <c r="AD385" s="209"/>
      <c r="AE385" s="210"/>
      <c r="AF385" s="210"/>
      <c r="AG385" s="211">
        <f t="shared" si="125"/>
        <v>0.308</v>
      </c>
      <c r="AH385" s="157">
        <f>(Z385*AG385)/1000</f>
        <v>0</v>
      </c>
      <c r="AI385" s="152">
        <f t="shared" si="127"/>
        <v>23364</v>
      </c>
      <c r="AK385" s="156" t="s">
        <v>691</v>
      </c>
      <c r="AL385" s="574" t="s">
        <v>690</v>
      </c>
      <c r="AM385" s="198">
        <f>AG385*Z385</f>
        <v>0</v>
      </c>
      <c r="AN385" s="199">
        <f t="shared" si="114"/>
        <v>45358</v>
      </c>
      <c r="AO385" s="159" t="s">
        <v>692</v>
      </c>
      <c r="AP385" s="781"/>
      <c r="AQ385" s="782">
        <v>12063755</v>
      </c>
      <c r="AR385" s="782">
        <v>12061353</v>
      </c>
      <c r="AS385" s="782">
        <v>12061354</v>
      </c>
      <c r="AT385" s="782">
        <v>12068566</v>
      </c>
      <c r="AU385" s="781"/>
      <c r="AV385" s="782">
        <v>12068564</v>
      </c>
      <c r="AW385" s="782">
        <v>12062153</v>
      </c>
      <c r="AX385" s="782"/>
      <c r="AY385" s="782">
        <v>12068565</v>
      </c>
      <c r="AZ385" s="782"/>
      <c r="BA385" s="781"/>
    </row>
    <row r="386" spans="1:53" ht="25" hidden="1" customHeight="1">
      <c r="A386" s="142" t="s">
        <v>120</v>
      </c>
      <c r="B386" s="385">
        <v>45358</v>
      </c>
      <c r="C386" s="386">
        <v>45365</v>
      </c>
      <c r="D386" s="185">
        <f t="shared" si="112"/>
        <v>2024</v>
      </c>
      <c r="E386" s="386" t="str">
        <f>VLOOKUP($B386,Week!$A$1:$C$1462,2,0)</f>
        <v>Week10</v>
      </c>
      <c r="F386" s="387" t="str">
        <f t="shared" si="113"/>
        <v>Mar</v>
      </c>
      <c r="G386" s="388" t="s">
        <v>843</v>
      </c>
      <c r="H386" s="388" t="s">
        <v>500</v>
      </c>
      <c r="I386" s="388" t="s">
        <v>2772</v>
      </c>
      <c r="J386" s="389" t="s">
        <v>285</v>
      </c>
      <c r="K386" s="390" t="s">
        <v>153</v>
      </c>
      <c r="L386" s="390" t="s">
        <v>2166</v>
      </c>
      <c r="M386" s="389" t="s">
        <v>165</v>
      </c>
      <c r="N386" s="388" t="s">
        <v>286</v>
      </c>
      <c r="O386" s="388" t="s">
        <v>503</v>
      </c>
      <c r="P386" s="391">
        <v>40</v>
      </c>
      <c r="Q386" s="391">
        <v>12</v>
      </c>
      <c r="R386" s="392">
        <v>6.8100000000000001E-3</v>
      </c>
      <c r="S386" s="388" t="s">
        <v>76</v>
      </c>
      <c r="T386" s="388" t="s">
        <v>56</v>
      </c>
      <c r="U386" s="388" t="s">
        <v>89</v>
      </c>
      <c r="V386" s="393">
        <f>1624-409-432-469</f>
        <v>314</v>
      </c>
      <c r="W386" s="393">
        <v>314</v>
      </c>
      <c r="X386" s="394"/>
      <c r="Y386" s="395">
        <f t="shared" si="123"/>
        <v>0</v>
      </c>
      <c r="Z386" s="396">
        <f t="shared" si="124"/>
        <v>0</v>
      </c>
      <c r="AA386" s="396">
        <f>Q386*Z386</f>
        <v>0</v>
      </c>
      <c r="AB386" s="823">
        <v>2</v>
      </c>
      <c r="AC386" s="393">
        <f>Z386*AB386</f>
        <v>0</v>
      </c>
      <c r="AD386" s="209"/>
      <c r="AE386" s="210"/>
      <c r="AF386" s="210"/>
      <c r="AG386" s="211">
        <f t="shared" si="125"/>
        <v>0.154</v>
      </c>
      <c r="AH386" s="157">
        <f t="shared" si="128"/>
        <v>0</v>
      </c>
      <c r="AI386" s="152">
        <f t="shared" si="127"/>
        <v>12560</v>
      </c>
      <c r="AK386" s="156" t="s">
        <v>691</v>
      </c>
      <c r="AL386" s="156" t="s">
        <v>689</v>
      </c>
      <c r="AM386" s="198">
        <f t="shared" si="122"/>
        <v>0</v>
      </c>
      <c r="AN386" s="199">
        <f t="shared" si="114"/>
        <v>45358</v>
      </c>
      <c r="AO386" s="159" t="s">
        <v>692</v>
      </c>
      <c r="AP386" s="783" t="s">
        <v>611</v>
      </c>
      <c r="AQ386" s="782">
        <v>12028328</v>
      </c>
      <c r="AR386" s="782">
        <v>12019692</v>
      </c>
      <c r="AS386" s="781"/>
      <c r="AT386" s="782">
        <v>12065371</v>
      </c>
      <c r="AU386" s="782"/>
      <c r="AV386" s="782">
        <v>12055895</v>
      </c>
      <c r="AW386" s="782">
        <v>12034747</v>
      </c>
      <c r="AX386" s="782" t="s">
        <v>398</v>
      </c>
      <c r="AY386" s="781" t="s">
        <v>290</v>
      </c>
      <c r="AZ386" s="781"/>
      <c r="BA386" s="781"/>
    </row>
    <row r="387" spans="1:53" ht="24.75" hidden="1" customHeight="1">
      <c r="A387" s="142" t="s">
        <v>120</v>
      </c>
      <c r="B387" s="308">
        <v>45358</v>
      </c>
      <c r="C387" s="309">
        <v>45363</v>
      </c>
      <c r="D387" s="185">
        <f t="shared" si="112"/>
        <v>2024</v>
      </c>
      <c r="E387" s="519" t="str">
        <f>VLOOKUP($B387,Week!$A$1:$C$1462,2,0)</f>
        <v>Week10</v>
      </c>
      <c r="F387" s="520" t="str">
        <f t="shared" si="113"/>
        <v>Mar</v>
      </c>
      <c r="G387" s="446" t="s">
        <v>47</v>
      </c>
      <c r="H387" s="311" t="s">
        <v>518</v>
      </c>
      <c r="I387" s="298" t="s">
        <v>2702</v>
      </c>
      <c r="J387" s="312" t="s">
        <v>70</v>
      </c>
      <c r="K387" s="313" t="s">
        <v>85</v>
      </c>
      <c r="L387" s="390" t="s">
        <v>2166</v>
      </c>
      <c r="M387" s="312" t="s">
        <v>515</v>
      </c>
      <c r="N387" s="311" t="s">
        <v>588</v>
      </c>
      <c r="O387" s="311" t="s">
        <v>546</v>
      </c>
      <c r="P387" s="314">
        <v>12</v>
      </c>
      <c r="Q387" s="314">
        <v>20</v>
      </c>
      <c r="R387" s="315">
        <v>6.1999999999999998E-3</v>
      </c>
      <c r="S387" s="311" t="s">
        <v>352</v>
      </c>
      <c r="T387" s="311" t="s">
        <v>56</v>
      </c>
      <c r="U387" s="311"/>
      <c r="V387" s="316">
        <v>177</v>
      </c>
      <c r="W387" s="316">
        <v>177</v>
      </c>
      <c r="X387" s="317"/>
      <c r="Y387" s="318">
        <f t="shared" si="123"/>
        <v>0</v>
      </c>
      <c r="Z387" s="319">
        <f t="shared" si="124"/>
        <v>0</v>
      </c>
      <c r="AA387" s="319">
        <f>Q387*Z387</f>
        <v>0</v>
      </c>
      <c r="AB387" s="815"/>
      <c r="AC387" s="316">
        <f>Z387*AB387</f>
        <v>0</v>
      </c>
      <c r="AD387" s="209"/>
      <c r="AE387" s="210"/>
      <c r="AF387" s="210"/>
      <c r="AG387" s="211">
        <f t="shared" si="125"/>
        <v>0.22</v>
      </c>
      <c r="AH387" s="157">
        <f t="shared" si="128"/>
        <v>0</v>
      </c>
      <c r="AI387" s="152">
        <f t="shared" si="127"/>
        <v>2124</v>
      </c>
      <c r="AK387" s="156" t="s">
        <v>691</v>
      </c>
      <c r="AL387" s="156" t="s">
        <v>689</v>
      </c>
      <c r="AM387" s="198">
        <f t="shared" si="122"/>
        <v>0</v>
      </c>
      <c r="AN387" s="199">
        <f t="shared" si="114"/>
        <v>45358</v>
      </c>
      <c r="AO387" s="159" t="s">
        <v>692</v>
      </c>
      <c r="AP387" s="783" t="s">
        <v>613</v>
      </c>
      <c r="AQ387" s="782"/>
      <c r="AR387" s="782" t="s">
        <v>614</v>
      </c>
      <c r="AS387" s="782"/>
      <c r="AT387" s="782">
        <v>12083140</v>
      </c>
      <c r="AU387" s="781"/>
      <c r="AV387" s="782">
        <v>12083143</v>
      </c>
      <c r="AW387" s="782"/>
      <c r="AX387" s="782"/>
      <c r="AY387" s="782"/>
      <c r="AZ387" s="782"/>
      <c r="BA387" s="781"/>
    </row>
    <row r="388" spans="1:53" ht="25" hidden="1" customHeight="1">
      <c r="B388" s="213">
        <v>45359</v>
      </c>
      <c r="C388" s="578">
        <v>45365</v>
      </c>
      <c r="D388" s="185">
        <f t="shared" si="112"/>
        <v>2024</v>
      </c>
      <c r="E388" s="215" t="str">
        <f>VLOOKUP($B388,Week!$A$1:$C$1462,2,0)</f>
        <v>Week10</v>
      </c>
      <c r="F388" s="216" t="str">
        <f t="shared" si="113"/>
        <v>Mar</v>
      </c>
      <c r="G388" s="215" t="s">
        <v>943</v>
      </c>
      <c r="H388" s="215" t="s">
        <v>104</v>
      </c>
      <c r="I388" s="215" t="s">
        <v>2772</v>
      </c>
      <c r="J388" s="209" t="s">
        <v>105</v>
      </c>
      <c r="K388" s="217" t="s">
        <v>107</v>
      </c>
      <c r="L388" s="300" t="s">
        <v>2167</v>
      </c>
      <c r="M388" s="209" t="s">
        <v>108</v>
      </c>
      <c r="N388" s="215" t="s">
        <v>109</v>
      </c>
      <c r="O388" s="215" t="s">
        <v>110</v>
      </c>
      <c r="P388" s="218">
        <v>36</v>
      </c>
      <c r="Q388" s="218">
        <v>5</v>
      </c>
      <c r="R388" s="219">
        <v>7.4999999999999997E-3</v>
      </c>
      <c r="S388" s="215" t="s">
        <v>111</v>
      </c>
      <c r="T388" s="215" t="s">
        <v>112</v>
      </c>
      <c r="U388" s="215" t="s">
        <v>113</v>
      </c>
      <c r="V388" s="220">
        <f>792-649</f>
        <v>143</v>
      </c>
      <c r="W388" s="220">
        <f>792-649</f>
        <v>143</v>
      </c>
      <c r="X388" s="221"/>
      <c r="Y388" s="222">
        <f t="shared" si="123"/>
        <v>0</v>
      </c>
      <c r="Z388" s="223">
        <f t="shared" si="124"/>
        <v>0</v>
      </c>
      <c r="AA388" s="223"/>
      <c r="AB388" s="807"/>
      <c r="AC388" s="220"/>
      <c r="AD388" s="209"/>
      <c r="AE388" s="210"/>
      <c r="AF388" s="210"/>
      <c r="AG388" s="211">
        <f t="shared" si="125"/>
        <v>0.308</v>
      </c>
      <c r="AH388" s="157">
        <f>(Z388*AG388)/1000</f>
        <v>0</v>
      </c>
      <c r="AI388" s="152">
        <f t="shared" si="127"/>
        <v>5148</v>
      </c>
      <c r="AK388" s="156" t="s">
        <v>691</v>
      </c>
      <c r="AL388" s="574" t="s">
        <v>690</v>
      </c>
      <c r="AM388" s="198">
        <f>AG388*Z388</f>
        <v>0</v>
      </c>
      <c r="AN388" s="199">
        <f t="shared" si="114"/>
        <v>45359</v>
      </c>
      <c r="AO388" s="159" t="s">
        <v>692</v>
      </c>
      <c r="AP388" s="781"/>
      <c r="AQ388" s="782">
        <v>12063755</v>
      </c>
      <c r="AR388" s="782">
        <v>12061353</v>
      </c>
      <c r="AS388" s="782">
        <v>12061354</v>
      </c>
      <c r="AT388" s="782">
        <v>12068566</v>
      </c>
      <c r="AU388" s="781"/>
      <c r="AV388" s="782">
        <v>12068564</v>
      </c>
      <c r="AW388" s="782">
        <v>12062153</v>
      </c>
      <c r="AX388" s="782"/>
      <c r="AY388" s="782">
        <v>12068565</v>
      </c>
      <c r="AZ388" s="782"/>
      <c r="BA388" s="781"/>
    </row>
    <row r="389" spans="1:53" ht="25" hidden="1" customHeight="1">
      <c r="B389" s="213">
        <v>45359</v>
      </c>
      <c r="C389" s="578">
        <v>45365</v>
      </c>
      <c r="D389" s="185">
        <f t="shared" ref="D389:D452" si="129">IF(B389="","",YEAR(B389))</f>
        <v>2024</v>
      </c>
      <c r="E389" s="215" t="str">
        <f>VLOOKUP($B389,Week!$A$1:$C$1462,2,0)</f>
        <v>Week10</v>
      </c>
      <c r="F389" s="216" t="str">
        <f t="shared" ref="F389:F452" si="130">IF(B389="","",TEXT(B389,"[$-409]mmm"))</f>
        <v>Mar</v>
      </c>
      <c r="G389" s="215" t="s">
        <v>944</v>
      </c>
      <c r="H389" s="215" t="s">
        <v>104</v>
      </c>
      <c r="I389" s="215" t="s">
        <v>2772</v>
      </c>
      <c r="J389" s="209" t="s">
        <v>105</v>
      </c>
      <c r="K389" s="217" t="s">
        <v>107</v>
      </c>
      <c r="L389" s="300" t="s">
        <v>2167</v>
      </c>
      <c r="M389" s="209" t="s">
        <v>108</v>
      </c>
      <c r="N389" s="215" t="s">
        <v>109</v>
      </c>
      <c r="O389" s="215" t="s">
        <v>110</v>
      </c>
      <c r="P389" s="218">
        <v>36</v>
      </c>
      <c r="Q389" s="218">
        <v>5</v>
      </c>
      <c r="R389" s="219">
        <v>7.4999999999999997E-3</v>
      </c>
      <c r="S389" s="215" t="s">
        <v>111</v>
      </c>
      <c r="T389" s="215" t="s">
        <v>112</v>
      </c>
      <c r="U389" s="215" t="s">
        <v>113</v>
      </c>
      <c r="V389" s="220">
        <v>792</v>
      </c>
      <c r="W389" s="220">
        <v>792</v>
      </c>
      <c r="X389" s="221"/>
      <c r="Y389" s="222">
        <f t="shared" si="123"/>
        <v>0</v>
      </c>
      <c r="Z389" s="223">
        <f t="shared" si="124"/>
        <v>0</v>
      </c>
      <c r="AA389" s="223"/>
      <c r="AB389" s="807"/>
      <c r="AC389" s="220"/>
      <c r="AD389" s="209">
        <f>13.5*8300</f>
        <v>112050</v>
      </c>
      <c r="AE389" s="210"/>
      <c r="AF389" s="210"/>
      <c r="AG389" s="211">
        <f t="shared" si="125"/>
        <v>0.308</v>
      </c>
      <c r="AH389" s="157">
        <f>(Z389*AG389)/1000</f>
        <v>0</v>
      </c>
      <c r="AI389" s="152">
        <f t="shared" si="127"/>
        <v>28512</v>
      </c>
      <c r="AK389" s="156" t="s">
        <v>691</v>
      </c>
      <c r="AL389" s="574" t="s">
        <v>690</v>
      </c>
      <c r="AM389" s="198">
        <f>AG389*Z389</f>
        <v>0</v>
      </c>
      <c r="AN389" s="199">
        <f t="shared" ref="AN389:AN452" si="131">B389</f>
        <v>45359</v>
      </c>
      <c r="AO389" s="159" t="s">
        <v>692</v>
      </c>
      <c r="AP389" s="781"/>
      <c r="AQ389" s="782">
        <v>12063755</v>
      </c>
      <c r="AR389" s="782">
        <v>12061353</v>
      </c>
      <c r="AS389" s="782">
        <v>12061354</v>
      </c>
      <c r="AT389" s="782">
        <v>12068566</v>
      </c>
      <c r="AU389" s="781"/>
      <c r="AV389" s="782">
        <v>12068564</v>
      </c>
      <c r="AW389" s="782">
        <v>12062153</v>
      </c>
      <c r="AX389" s="782"/>
      <c r="AY389" s="782">
        <v>12068565</v>
      </c>
      <c r="AZ389" s="782"/>
      <c r="BA389" s="781"/>
    </row>
    <row r="390" spans="1:53" ht="25" hidden="1" customHeight="1">
      <c r="B390" s="213">
        <v>45359</v>
      </c>
      <c r="C390" s="578">
        <v>45365</v>
      </c>
      <c r="D390" s="185">
        <f t="shared" si="129"/>
        <v>2024</v>
      </c>
      <c r="E390" s="215" t="str">
        <f>VLOOKUP($B390,Week!$A$1:$C$1462,2,0)</f>
        <v>Week10</v>
      </c>
      <c r="F390" s="216" t="str">
        <f t="shared" si="130"/>
        <v>Mar</v>
      </c>
      <c r="G390" s="215" t="s">
        <v>945</v>
      </c>
      <c r="H390" s="215" t="s">
        <v>104</v>
      </c>
      <c r="I390" s="215" t="s">
        <v>2772</v>
      </c>
      <c r="J390" s="209" t="s">
        <v>105</v>
      </c>
      <c r="K390" s="217" t="s">
        <v>107</v>
      </c>
      <c r="L390" s="300" t="s">
        <v>2167</v>
      </c>
      <c r="M390" s="209" t="s">
        <v>108</v>
      </c>
      <c r="N390" s="215" t="s">
        <v>109</v>
      </c>
      <c r="O390" s="215" t="s">
        <v>110</v>
      </c>
      <c r="P390" s="218">
        <v>36</v>
      </c>
      <c r="Q390" s="218">
        <v>5</v>
      </c>
      <c r="R390" s="219">
        <v>7.4999999999999997E-3</v>
      </c>
      <c r="S390" s="215" t="s">
        <v>111</v>
      </c>
      <c r="T390" s="215" t="s">
        <v>112</v>
      </c>
      <c r="U390" s="215" t="s">
        <v>113</v>
      </c>
      <c r="V390" s="220">
        <v>792</v>
      </c>
      <c r="W390" s="220">
        <v>792</v>
      </c>
      <c r="X390" s="221"/>
      <c r="Y390" s="222">
        <f t="shared" si="123"/>
        <v>0</v>
      </c>
      <c r="Z390" s="223">
        <f t="shared" si="124"/>
        <v>0</v>
      </c>
      <c r="AA390" s="223"/>
      <c r="AB390" s="807"/>
      <c r="AC390" s="220"/>
      <c r="AD390" s="209">
        <f>13.5*8300</f>
        <v>112050</v>
      </c>
      <c r="AE390" s="210"/>
      <c r="AF390" s="210"/>
      <c r="AG390" s="211">
        <f t="shared" si="125"/>
        <v>0.308</v>
      </c>
      <c r="AH390" s="157">
        <f t="shared" si="128"/>
        <v>0</v>
      </c>
      <c r="AI390" s="152">
        <f t="shared" si="127"/>
        <v>28512</v>
      </c>
      <c r="AK390" s="156" t="s">
        <v>691</v>
      </c>
      <c r="AL390" s="574" t="s">
        <v>690</v>
      </c>
      <c r="AM390" s="198">
        <f t="shared" si="122"/>
        <v>0</v>
      </c>
      <c r="AN390" s="199">
        <f t="shared" si="131"/>
        <v>45359</v>
      </c>
      <c r="AO390" s="159" t="s">
        <v>692</v>
      </c>
      <c r="AP390" s="781"/>
      <c r="AQ390" s="782">
        <v>12063755</v>
      </c>
      <c r="AR390" s="782">
        <v>12061353</v>
      </c>
      <c r="AS390" s="782">
        <v>12061354</v>
      </c>
      <c r="AT390" s="782">
        <v>12068566</v>
      </c>
      <c r="AU390" s="781"/>
      <c r="AV390" s="782">
        <v>12068564</v>
      </c>
      <c r="AW390" s="782">
        <v>12062153</v>
      </c>
      <c r="AX390" s="782"/>
      <c r="AY390" s="782">
        <v>12068565</v>
      </c>
      <c r="AZ390" s="782"/>
      <c r="BA390" s="781"/>
    </row>
    <row r="391" spans="1:53" ht="25" hidden="1" customHeight="1">
      <c r="B391" s="213">
        <v>45359</v>
      </c>
      <c r="C391" s="578">
        <v>45366</v>
      </c>
      <c r="D391" s="185">
        <f t="shared" si="129"/>
        <v>2024</v>
      </c>
      <c r="E391" s="215" t="str">
        <f>VLOOKUP($B391,Week!$A$1:$C$1462,2,0)</f>
        <v>Week10</v>
      </c>
      <c r="F391" s="216" t="str">
        <f t="shared" si="130"/>
        <v>Mar</v>
      </c>
      <c r="G391" s="215" t="s">
        <v>946</v>
      </c>
      <c r="H391" s="215" t="s">
        <v>104</v>
      </c>
      <c r="I391" s="215" t="s">
        <v>2772</v>
      </c>
      <c r="J391" s="209" t="s">
        <v>105</v>
      </c>
      <c r="K391" s="217" t="s">
        <v>107</v>
      </c>
      <c r="L391" s="300" t="s">
        <v>2167</v>
      </c>
      <c r="M391" s="209" t="s">
        <v>108</v>
      </c>
      <c r="N391" s="215" t="s">
        <v>109</v>
      </c>
      <c r="O391" s="215" t="s">
        <v>110</v>
      </c>
      <c r="P391" s="218">
        <v>36</v>
      </c>
      <c r="Q391" s="218">
        <v>5</v>
      </c>
      <c r="R391" s="219">
        <v>7.4999999999999997E-3</v>
      </c>
      <c r="S391" s="215" t="s">
        <v>111</v>
      </c>
      <c r="T391" s="215" t="s">
        <v>112</v>
      </c>
      <c r="U391" s="215" t="s">
        <v>113</v>
      </c>
      <c r="V391" s="220">
        <v>792</v>
      </c>
      <c r="W391" s="220">
        <v>792</v>
      </c>
      <c r="X391" s="221"/>
      <c r="Y391" s="222">
        <f t="shared" si="123"/>
        <v>0</v>
      </c>
      <c r="Z391" s="223">
        <f t="shared" si="124"/>
        <v>0</v>
      </c>
      <c r="AA391" s="223"/>
      <c r="AB391" s="807"/>
      <c r="AC391" s="220"/>
      <c r="AD391" s="209"/>
      <c r="AE391" s="210"/>
      <c r="AF391" s="210"/>
      <c r="AG391" s="211">
        <f t="shared" si="125"/>
        <v>0.308</v>
      </c>
      <c r="AH391" s="157">
        <f t="shared" ref="AH391:AH418" si="132">(Z391*AG391)/1000</f>
        <v>0</v>
      </c>
      <c r="AI391" s="152">
        <f t="shared" si="127"/>
        <v>28512</v>
      </c>
      <c r="AK391" s="156" t="s">
        <v>691</v>
      </c>
      <c r="AL391" s="574" t="s">
        <v>690</v>
      </c>
      <c r="AM391" s="198">
        <f t="shared" ref="AM391:AM418" si="133">AG391*Z391</f>
        <v>0</v>
      </c>
      <c r="AN391" s="199">
        <f t="shared" si="131"/>
        <v>45359</v>
      </c>
      <c r="AO391" s="159" t="s">
        <v>692</v>
      </c>
      <c r="AP391" s="781"/>
      <c r="AQ391" s="782">
        <v>12063755</v>
      </c>
      <c r="AR391" s="782">
        <v>12061353</v>
      </c>
      <c r="AS391" s="782">
        <v>12061354</v>
      </c>
      <c r="AT391" s="782">
        <v>12068566</v>
      </c>
      <c r="AU391" s="781"/>
      <c r="AV391" s="782">
        <v>12068564</v>
      </c>
      <c r="AW391" s="782">
        <v>12062153</v>
      </c>
      <c r="AX391" s="782"/>
      <c r="AY391" s="782">
        <v>12068565</v>
      </c>
      <c r="AZ391" s="782"/>
      <c r="BA391" s="781"/>
    </row>
    <row r="392" spans="1:53" ht="25" hidden="1" customHeight="1">
      <c r="B392" s="213">
        <v>45359</v>
      </c>
      <c r="C392" s="578">
        <v>45366</v>
      </c>
      <c r="D392" s="185">
        <f t="shared" si="129"/>
        <v>2024</v>
      </c>
      <c r="E392" s="215" t="str">
        <f>VLOOKUP($B392,Week!$A$1:$C$1462,2,0)</f>
        <v>Week10</v>
      </c>
      <c r="F392" s="216" t="str">
        <f t="shared" si="130"/>
        <v>Mar</v>
      </c>
      <c r="G392" s="215" t="s">
        <v>947</v>
      </c>
      <c r="H392" s="215" t="s">
        <v>104</v>
      </c>
      <c r="I392" s="215" t="s">
        <v>2772</v>
      </c>
      <c r="J392" s="209" t="s">
        <v>105</v>
      </c>
      <c r="K392" s="217" t="s">
        <v>107</v>
      </c>
      <c r="L392" s="300" t="s">
        <v>2167</v>
      </c>
      <c r="M392" s="209" t="s">
        <v>108</v>
      </c>
      <c r="N392" s="215" t="s">
        <v>109</v>
      </c>
      <c r="O392" s="215" t="s">
        <v>110</v>
      </c>
      <c r="P392" s="218">
        <v>36</v>
      </c>
      <c r="Q392" s="218">
        <v>5</v>
      </c>
      <c r="R392" s="219">
        <v>7.4999999999999997E-3</v>
      </c>
      <c r="S392" s="215" t="s">
        <v>111</v>
      </c>
      <c r="T392" s="215" t="s">
        <v>112</v>
      </c>
      <c r="U392" s="215" t="s">
        <v>113</v>
      </c>
      <c r="V392" s="220">
        <v>792</v>
      </c>
      <c r="W392" s="220">
        <v>792</v>
      </c>
      <c r="X392" s="221"/>
      <c r="Y392" s="222">
        <f t="shared" si="123"/>
        <v>0</v>
      </c>
      <c r="Z392" s="223">
        <f t="shared" si="124"/>
        <v>0</v>
      </c>
      <c r="AA392" s="223"/>
      <c r="AB392" s="807"/>
      <c r="AC392" s="220"/>
      <c r="AD392" s="209"/>
      <c r="AE392" s="210"/>
      <c r="AF392" s="210"/>
      <c r="AG392" s="211">
        <f t="shared" si="125"/>
        <v>0.308</v>
      </c>
      <c r="AH392" s="157">
        <f t="shared" si="132"/>
        <v>0</v>
      </c>
      <c r="AI392" s="152">
        <f t="shared" si="127"/>
        <v>28512</v>
      </c>
      <c r="AK392" s="156" t="s">
        <v>691</v>
      </c>
      <c r="AL392" s="574" t="s">
        <v>690</v>
      </c>
      <c r="AM392" s="198">
        <f t="shared" si="133"/>
        <v>0</v>
      </c>
      <c r="AN392" s="199">
        <f t="shared" si="131"/>
        <v>45359</v>
      </c>
      <c r="AO392" s="159" t="s">
        <v>692</v>
      </c>
      <c r="AP392" s="781"/>
      <c r="AQ392" s="782">
        <v>12063755</v>
      </c>
      <c r="AR392" s="782">
        <v>12061353</v>
      </c>
      <c r="AS392" s="782">
        <v>12061354</v>
      </c>
      <c r="AT392" s="782">
        <v>12068566</v>
      </c>
      <c r="AU392" s="781"/>
      <c r="AV392" s="782">
        <v>12068564</v>
      </c>
      <c r="AW392" s="782">
        <v>12062153</v>
      </c>
      <c r="AX392" s="782"/>
      <c r="AY392" s="782">
        <v>12068565</v>
      </c>
      <c r="AZ392" s="782"/>
      <c r="BA392" s="781"/>
    </row>
    <row r="393" spans="1:53" ht="25" hidden="1" customHeight="1">
      <c r="B393" s="213">
        <v>45359</v>
      </c>
      <c r="C393" s="578">
        <v>45369</v>
      </c>
      <c r="D393" s="185">
        <f t="shared" si="129"/>
        <v>2024</v>
      </c>
      <c r="E393" s="215" t="str">
        <f>VLOOKUP($B393,Week!$A$1:$C$1462,2,0)</f>
        <v>Week10</v>
      </c>
      <c r="F393" s="216" t="str">
        <f t="shared" si="130"/>
        <v>Mar</v>
      </c>
      <c r="G393" s="215" t="s">
        <v>948</v>
      </c>
      <c r="H393" s="215" t="s">
        <v>104</v>
      </c>
      <c r="I393" s="215" t="s">
        <v>2772</v>
      </c>
      <c r="J393" s="209" t="s">
        <v>105</v>
      </c>
      <c r="K393" s="217" t="s">
        <v>107</v>
      </c>
      <c r="L393" s="300" t="s">
        <v>2167</v>
      </c>
      <c r="M393" s="209" t="s">
        <v>108</v>
      </c>
      <c r="N393" s="215" t="s">
        <v>109</v>
      </c>
      <c r="O393" s="215" t="s">
        <v>110</v>
      </c>
      <c r="P393" s="218">
        <v>36</v>
      </c>
      <c r="Q393" s="218">
        <v>5</v>
      </c>
      <c r="R393" s="219">
        <v>7.4999999999999997E-3</v>
      </c>
      <c r="S393" s="215" t="s">
        <v>111</v>
      </c>
      <c r="T393" s="215" t="s">
        <v>112</v>
      </c>
      <c r="U393" s="215" t="s">
        <v>113</v>
      </c>
      <c r="V393" s="220">
        <f>4043-143-792-792-792-792</f>
        <v>732</v>
      </c>
      <c r="W393" s="220">
        <f>4043-143-792-792-792-792</f>
        <v>732</v>
      </c>
      <c r="X393" s="221"/>
      <c r="Y393" s="222">
        <f t="shared" si="123"/>
        <v>0</v>
      </c>
      <c r="Z393" s="223">
        <f t="shared" si="124"/>
        <v>0</v>
      </c>
      <c r="AA393" s="223"/>
      <c r="AB393" s="807"/>
      <c r="AC393" s="220"/>
      <c r="AD393" s="209"/>
      <c r="AE393" s="210"/>
      <c r="AF393" s="210"/>
      <c r="AG393" s="211">
        <f t="shared" si="125"/>
        <v>0.308</v>
      </c>
      <c r="AH393" s="157">
        <f t="shared" si="132"/>
        <v>0</v>
      </c>
      <c r="AI393" s="152">
        <f t="shared" si="127"/>
        <v>26352</v>
      </c>
      <c r="AK393" s="156" t="s">
        <v>691</v>
      </c>
      <c r="AL393" s="574" t="s">
        <v>690</v>
      </c>
      <c r="AM393" s="198">
        <f t="shared" si="133"/>
        <v>0</v>
      </c>
      <c r="AN393" s="199">
        <f t="shared" si="131"/>
        <v>45359</v>
      </c>
      <c r="AO393" s="159" t="s">
        <v>692</v>
      </c>
      <c r="AP393" s="781"/>
      <c r="AQ393" s="782">
        <v>12063755</v>
      </c>
      <c r="AR393" s="782">
        <v>12061353</v>
      </c>
      <c r="AS393" s="782">
        <v>12061354</v>
      </c>
      <c r="AT393" s="782">
        <v>12068566</v>
      </c>
      <c r="AU393" s="781"/>
      <c r="AV393" s="782">
        <v>12068564</v>
      </c>
      <c r="AW393" s="782">
        <v>12062153</v>
      </c>
      <c r="AX393" s="782"/>
      <c r="AY393" s="782">
        <v>12068565</v>
      </c>
      <c r="AZ393" s="782"/>
      <c r="BA393" s="781"/>
    </row>
    <row r="394" spans="1:53" ht="24.75" hidden="1" customHeight="1">
      <c r="A394" s="142" t="s">
        <v>120</v>
      </c>
      <c r="B394" s="308">
        <v>45359</v>
      </c>
      <c r="C394" s="309">
        <v>45363</v>
      </c>
      <c r="D394" s="185">
        <f t="shared" si="129"/>
        <v>2024</v>
      </c>
      <c r="E394" s="519" t="str">
        <f>VLOOKUP($B394,Week!$A$1:$C$1462,2,0)</f>
        <v>Week10</v>
      </c>
      <c r="F394" s="520" t="str">
        <f t="shared" si="130"/>
        <v>Mar</v>
      </c>
      <c r="G394" s="446" t="s">
        <v>47</v>
      </c>
      <c r="H394" s="311" t="s">
        <v>518</v>
      </c>
      <c r="I394" s="298" t="s">
        <v>2702</v>
      </c>
      <c r="J394" s="312" t="s">
        <v>70</v>
      </c>
      <c r="K394" s="313" t="s">
        <v>85</v>
      </c>
      <c r="L394" s="390" t="s">
        <v>2166</v>
      </c>
      <c r="M394" s="312" t="s">
        <v>515</v>
      </c>
      <c r="N394" s="311" t="s">
        <v>588</v>
      </c>
      <c r="O394" s="311" t="s">
        <v>546</v>
      </c>
      <c r="P394" s="314">
        <v>12</v>
      </c>
      <c r="Q394" s="314">
        <v>20</v>
      </c>
      <c r="R394" s="315">
        <v>6.1999999999999998E-3</v>
      </c>
      <c r="S394" s="311" t="s">
        <v>352</v>
      </c>
      <c r="T394" s="311" t="s">
        <v>56</v>
      </c>
      <c r="U394" s="311"/>
      <c r="V394" s="316">
        <f>960-511-177</f>
        <v>272</v>
      </c>
      <c r="W394" s="316">
        <v>272</v>
      </c>
      <c r="X394" s="317"/>
      <c r="Y394" s="318">
        <f t="shared" si="123"/>
        <v>0</v>
      </c>
      <c r="Z394" s="319">
        <f t="shared" si="124"/>
        <v>0</v>
      </c>
      <c r="AA394" s="319">
        <f>Q394*Z394</f>
        <v>0</v>
      </c>
      <c r="AB394" s="815"/>
      <c r="AC394" s="316">
        <f>Z394*AB394</f>
        <v>0</v>
      </c>
      <c r="AD394" s="209"/>
      <c r="AE394" s="210"/>
      <c r="AF394" s="210"/>
      <c r="AG394" s="211">
        <f t="shared" si="125"/>
        <v>0.22</v>
      </c>
      <c r="AH394" s="157">
        <f t="shared" si="132"/>
        <v>0</v>
      </c>
      <c r="AI394" s="152">
        <f t="shared" si="127"/>
        <v>3264</v>
      </c>
      <c r="AK394" s="156" t="s">
        <v>691</v>
      </c>
      <c r="AL394" s="156" t="s">
        <v>689</v>
      </c>
      <c r="AM394" s="198">
        <f t="shared" si="133"/>
        <v>0</v>
      </c>
      <c r="AN394" s="199">
        <f t="shared" si="131"/>
        <v>45359</v>
      </c>
      <c r="AO394" s="159" t="s">
        <v>692</v>
      </c>
      <c r="AP394" s="783" t="s">
        <v>613</v>
      </c>
      <c r="AQ394" s="782"/>
      <c r="AR394" s="782" t="s">
        <v>614</v>
      </c>
      <c r="AS394" s="782"/>
      <c r="AT394" s="782">
        <v>12083140</v>
      </c>
      <c r="AU394" s="781"/>
      <c r="AV394" s="782">
        <v>12083143</v>
      </c>
      <c r="AW394" s="782"/>
      <c r="AX394" s="782"/>
      <c r="AY394" s="782"/>
      <c r="AZ394" s="782"/>
      <c r="BA394" s="781"/>
    </row>
    <row r="395" spans="1:53" ht="24.75" hidden="1" customHeight="1">
      <c r="A395" s="142" t="s">
        <v>120</v>
      </c>
      <c r="B395" s="308">
        <v>45359</v>
      </c>
      <c r="C395" s="309"/>
      <c r="D395" s="185">
        <f t="shared" si="129"/>
        <v>2024</v>
      </c>
      <c r="E395" s="519" t="str">
        <f>VLOOKUP($B395,Week!$A$1:$C$1462,2,0)</f>
        <v>Week10</v>
      </c>
      <c r="F395" s="520" t="str">
        <f t="shared" si="130"/>
        <v>Mar</v>
      </c>
      <c r="G395" s="446" t="s">
        <v>47</v>
      </c>
      <c r="H395" s="311" t="s">
        <v>518</v>
      </c>
      <c r="I395" s="298" t="s">
        <v>2702</v>
      </c>
      <c r="J395" s="312" t="s">
        <v>70</v>
      </c>
      <c r="K395" s="313" t="s">
        <v>85</v>
      </c>
      <c r="L395" s="390" t="s">
        <v>2166</v>
      </c>
      <c r="M395" s="312" t="s">
        <v>515</v>
      </c>
      <c r="N395" s="311" t="s">
        <v>588</v>
      </c>
      <c r="O395" s="311" t="s">
        <v>546</v>
      </c>
      <c r="P395" s="314">
        <v>12</v>
      </c>
      <c r="Q395" s="314">
        <v>20</v>
      </c>
      <c r="R395" s="315">
        <v>6.1999999999999998E-3</v>
      </c>
      <c r="S395" s="311" t="s">
        <v>352</v>
      </c>
      <c r="T395" s="311" t="s">
        <v>56</v>
      </c>
      <c r="U395" s="311"/>
      <c r="V395" s="316">
        <v>421</v>
      </c>
      <c r="W395" s="316">
        <f>375-272</f>
        <v>103</v>
      </c>
      <c r="X395" s="317">
        <f>3816/12</f>
        <v>318</v>
      </c>
      <c r="Y395" s="318">
        <f t="shared" si="123"/>
        <v>0</v>
      </c>
      <c r="Z395" s="319">
        <f t="shared" si="124"/>
        <v>0</v>
      </c>
      <c r="AA395" s="319">
        <f>Q395*Z395</f>
        <v>0</v>
      </c>
      <c r="AB395" s="815"/>
      <c r="AC395" s="316">
        <f>Z395*AB395</f>
        <v>0</v>
      </c>
      <c r="AD395" s="209"/>
      <c r="AE395" s="210"/>
      <c r="AF395" s="210"/>
      <c r="AG395" s="211">
        <f t="shared" si="125"/>
        <v>0.22</v>
      </c>
      <c r="AH395" s="157">
        <f>(Z395*AG395)/1000</f>
        <v>0</v>
      </c>
      <c r="AI395" s="152">
        <f t="shared" si="127"/>
        <v>5052</v>
      </c>
      <c r="AK395" s="156" t="s">
        <v>691</v>
      </c>
      <c r="AL395" s="156" t="s">
        <v>689</v>
      </c>
      <c r="AM395" s="198">
        <f>AG395*Z395</f>
        <v>0</v>
      </c>
      <c r="AN395" s="199">
        <f t="shared" si="131"/>
        <v>45359</v>
      </c>
      <c r="AO395" s="159" t="s">
        <v>692</v>
      </c>
      <c r="AP395" s="783" t="s">
        <v>613</v>
      </c>
      <c r="AQ395" s="782"/>
      <c r="AR395" s="782" t="s">
        <v>614</v>
      </c>
      <c r="AS395" s="782"/>
      <c r="AT395" s="782">
        <v>12083140</v>
      </c>
      <c r="AU395" s="781"/>
      <c r="AV395" s="782">
        <v>12083143</v>
      </c>
      <c r="AW395" s="782"/>
      <c r="AX395" s="782"/>
      <c r="AY395" s="782"/>
      <c r="AZ395" s="782"/>
      <c r="BA395" s="781"/>
    </row>
    <row r="396" spans="1:53" ht="25" hidden="1" customHeight="1">
      <c r="A396" s="142" t="s">
        <v>120</v>
      </c>
      <c r="B396" s="383">
        <v>45359</v>
      </c>
      <c r="C396" s="224">
        <v>45377</v>
      </c>
      <c r="D396" s="185">
        <f t="shared" si="129"/>
        <v>2024</v>
      </c>
      <c r="E396" s="224" t="str">
        <f>VLOOKUP($B396,Week!$A$1:$C$1462,2,0)</f>
        <v>Week10</v>
      </c>
      <c r="F396" s="226" t="str">
        <f t="shared" si="130"/>
        <v>Mar</v>
      </c>
      <c r="G396" s="225" t="s">
        <v>1037</v>
      </c>
      <c r="H396" s="225" t="s">
        <v>1259</v>
      </c>
      <c r="I396" s="225" t="s">
        <v>2772</v>
      </c>
      <c r="J396" s="227" t="s">
        <v>512</v>
      </c>
      <c r="K396" s="228" t="s">
        <v>85</v>
      </c>
      <c r="L396" s="390" t="s">
        <v>2166</v>
      </c>
      <c r="M396" s="227" t="s">
        <v>165</v>
      </c>
      <c r="N396" s="225" t="s">
        <v>700</v>
      </c>
      <c r="O396" s="225" t="s">
        <v>287</v>
      </c>
      <c r="P396" s="229">
        <v>40</v>
      </c>
      <c r="Q396" s="229">
        <v>12</v>
      </c>
      <c r="R396" s="230">
        <v>8.1300000000000001E-3</v>
      </c>
      <c r="S396" s="225" t="s">
        <v>40</v>
      </c>
      <c r="T396" s="225" t="s">
        <v>112</v>
      </c>
      <c r="U396" s="225" t="s">
        <v>89</v>
      </c>
      <c r="V396" s="231">
        <v>138</v>
      </c>
      <c r="W396" s="231">
        <v>138</v>
      </c>
      <c r="X396" s="232"/>
      <c r="Y396" s="233">
        <f t="shared" ref="Y396:Y427" si="134">(W396+X396)-V396</f>
        <v>0</v>
      </c>
      <c r="Z396" s="234">
        <f t="shared" ref="Z396:Z427" si="135">IF(Y396&lt;0,((V396*P396)-((W396+X396)*P396)),0)</f>
        <v>0</v>
      </c>
      <c r="AA396" s="234">
        <f>Q396*Z396</f>
        <v>0</v>
      </c>
      <c r="AB396" s="822">
        <v>2</v>
      </c>
      <c r="AC396" s="231">
        <f>Z396*AB396</f>
        <v>0</v>
      </c>
      <c r="AD396" s="307" t="s">
        <v>729</v>
      </c>
      <c r="AE396" s="210"/>
      <c r="AF396" s="210"/>
      <c r="AG396" s="211">
        <f t="shared" ref="AG396:AG420" si="136">MID(O396,1,3)/1000</f>
        <v>0.154</v>
      </c>
      <c r="AH396" s="157">
        <f>(Z396*AG396)/1000</f>
        <v>0</v>
      </c>
      <c r="AI396" s="152">
        <f t="shared" ref="AI396:AI420" si="137">V396*P396</f>
        <v>5520</v>
      </c>
      <c r="AK396" s="156" t="s">
        <v>691</v>
      </c>
      <c r="AL396" s="156" t="s">
        <v>689</v>
      </c>
      <c r="AM396" s="198">
        <f>AG396*Z396</f>
        <v>0</v>
      </c>
      <c r="AN396" s="199">
        <f t="shared" si="131"/>
        <v>45359</v>
      </c>
      <c r="AO396" s="159" t="s">
        <v>692</v>
      </c>
      <c r="AP396" s="781"/>
      <c r="AQ396" s="782">
        <v>12028328</v>
      </c>
      <c r="AR396" s="782">
        <v>12019692</v>
      </c>
      <c r="AS396" s="782"/>
      <c r="AT396" s="782">
        <v>12056457</v>
      </c>
      <c r="AU396" s="782"/>
      <c r="AV396" s="782">
        <v>12056565</v>
      </c>
      <c r="AW396" s="782">
        <v>12034747</v>
      </c>
      <c r="AX396" s="782" t="s">
        <v>398</v>
      </c>
      <c r="AY396" s="782" t="s">
        <v>513</v>
      </c>
      <c r="AZ396" s="782"/>
      <c r="BA396" s="781"/>
    </row>
    <row r="397" spans="1:53" ht="25" hidden="1" customHeight="1">
      <c r="B397" s="213">
        <v>45360</v>
      </c>
      <c r="C397" s="578">
        <v>45369</v>
      </c>
      <c r="D397" s="185">
        <f t="shared" si="129"/>
        <v>2024</v>
      </c>
      <c r="E397" s="215" t="str">
        <f>VLOOKUP($B397,Week!$A$1:$C$1462,2,0)</f>
        <v>Week10</v>
      </c>
      <c r="F397" s="216" t="str">
        <f t="shared" si="130"/>
        <v>Mar</v>
      </c>
      <c r="G397" s="215" t="s">
        <v>949</v>
      </c>
      <c r="H397" s="215" t="s">
        <v>104</v>
      </c>
      <c r="I397" s="215" t="s">
        <v>2772</v>
      </c>
      <c r="J397" s="209" t="s">
        <v>105</v>
      </c>
      <c r="K397" s="217" t="s">
        <v>107</v>
      </c>
      <c r="L397" s="300" t="s">
        <v>2167</v>
      </c>
      <c r="M397" s="209" t="s">
        <v>108</v>
      </c>
      <c r="N397" s="215" t="s">
        <v>109</v>
      </c>
      <c r="O397" s="215" t="s">
        <v>110</v>
      </c>
      <c r="P397" s="218">
        <v>36</v>
      </c>
      <c r="Q397" s="218">
        <v>5</v>
      </c>
      <c r="R397" s="219">
        <v>7.4999999999999997E-3</v>
      </c>
      <c r="S397" s="215" t="s">
        <v>111</v>
      </c>
      <c r="T397" s="215" t="s">
        <v>112</v>
      </c>
      <c r="U397" s="215" t="s">
        <v>113</v>
      </c>
      <c r="V397" s="220">
        <f>792-732</f>
        <v>60</v>
      </c>
      <c r="W397" s="220">
        <f>792-732</f>
        <v>60</v>
      </c>
      <c r="X397" s="221"/>
      <c r="Y397" s="222">
        <f t="shared" si="134"/>
        <v>0</v>
      </c>
      <c r="Z397" s="223">
        <f t="shared" si="135"/>
        <v>0</v>
      </c>
      <c r="AA397" s="223"/>
      <c r="AB397" s="807"/>
      <c r="AC397" s="220"/>
      <c r="AD397" s="209"/>
      <c r="AE397" s="210"/>
      <c r="AF397" s="210"/>
      <c r="AG397" s="211">
        <f t="shared" si="136"/>
        <v>0.308</v>
      </c>
      <c r="AH397" s="157">
        <f>(Z397*AG397)/1000</f>
        <v>0</v>
      </c>
      <c r="AI397" s="152">
        <f t="shared" si="137"/>
        <v>2160</v>
      </c>
      <c r="AK397" s="156" t="s">
        <v>691</v>
      </c>
      <c r="AL397" s="574" t="s">
        <v>690</v>
      </c>
      <c r="AM397" s="198">
        <f>AG397*Z397</f>
        <v>0</v>
      </c>
      <c r="AN397" s="199">
        <f t="shared" si="131"/>
        <v>45360</v>
      </c>
      <c r="AO397" s="159" t="s">
        <v>692</v>
      </c>
      <c r="AP397" s="781"/>
      <c r="AQ397" s="782">
        <v>12063755</v>
      </c>
      <c r="AR397" s="782">
        <v>12061353</v>
      </c>
      <c r="AS397" s="782">
        <v>12061354</v>
      </c>
      <c r="AT397" s="782">
        <v>12068566</v>
      </c>
      <c r="AU397" s="781"/>
      <c r="AV397" s="782">
        <v>12068564</v>
      </c>
      <c r="AW397" s="782">
        <v>12062153</v>
      </c>
      <c r="AX397" s="782"/>
      <c r="AY397" s="782">
        <v>12068565</v>
      </c>
      <c r="AZ397" s="782"/>
      <c r="BA397" s="781"/>
    </row>
    <row r="398" spans="1:53" ht="25" hidden="1" customHeight="1">
      <c r="B398" s="213">
        <v>45360</v>
      </c>
      <c r="C398" s="578">
        <v>45369</v>
      </c>
      <c r="D398" s="185">
        <f t="shared" si="129"/>
        <v>2024</v>
      </c>
      <c r="E398" s="215" t="str">
        <f>VLOOKUP($B398,Week!$A$1:$C$1462,2,0)</f>
        <v>Week10</v>
      </c>
      <c r="F398" s="216" t="str">
        <f t="shared" si="130"/>
        <v>Mar</v>
      </c>
      <c r="G398" s="215" t="s">
        <v>949</v>
      </c>
      <c r="H398" s="215" t="s">
        <v>104</v>
      </c>
      <c r="I398" s="215" t="s">
        <v>2772</v>
      </c>
      <c r="J398" s="209" t="s">
        <v>105</v>
      </c>
      <c r="K398" s="217" t="s">
        <v>107</v>
      </c>
      <c r="L398" s="300" t="s">
        <v>2167</v>
      </c>
      <c r="M398" s="209" t="s">
        <v>108</v>
      </c>
      <c r="N398" s="215" t="s">
        <v>109</v>
      </c>
      <c r="O398" s="215" t="s">
        <v>110</v>
      </c>
      <c r="P398" s="218">
        <v>36</v>
      </c>
      <c r="Q398" s="218">
        <v>5</v>
      </c>
      <c r="R398" s="219">
        <v>7.4999999999999997E-3</v>
      </c>
      <c r="S398" s="215" t="s">
        <v>111</v>
      </c>
      <c r="T398" s="215" t="s">
        <v>112</v>
      </c>
      <c r="U398" s="215" t="s">
        <v>113</v>
      </c>
      <c r="V398" s="220">
        <v>792</v>
      </c>
      <c r="W398" s="220">
        <v>792</v>
      </c>
      <c r="X398" s="221"/>
      <c r="Y398" s="222">
        <f t="shared" si="134"/>
        <v>0</v>
      </c>
      <c r="Z398" s="223">
        <f t="shared" si="135"/>
        <v>0</v>
      </c>
      <c r="AA398" s="223"/>
      <c r="AB398" s="807"/>
      <c r="AC398" s="220"/>
      <c r="AD398" s="209"/>
      <c r="AE398" s="210"/>
      <c r="AF398" s="210"/>
      <c r="AG398" s="211">
        <f t="shared" si="136"/>
        <v>0.308</v>
      </c>
      <c r="AH398" s="157">
        <f>(Z398*AG398)/1000</f>
        <v>0</v>
      </c>
      <c r="AI398" s="152">
        <f t="shared" si="137"/>
        <v>28512</v>
      </c>
      <c r="AK398" s="156" t="s">
        <v>691</v>
      </c>
      <c r="AL398" s="574" t="s">
        <v>690</v>
      </c>
      <c r="AM398" s="198">
        <f>AG398*Z398</f>
        <v>0</v>
      </c>
      <c r="AN398" s="199">
        <f t="shared" si="131"/>
        <v>45360</v>
      </c>
      <c r="AO398" s="159" t="s">
        <v>692</v>
      </c>
      <c r="AP398" s="781"/>
      <c r="AQ398" s="782">
        <v>12063755</v>
      </c>
      <c r="AR398" s="782">
        <v>12061353</v>
      </c>
      <c r="AS398" s="782">
        <v>12061354</v>
      </c>
      <c r="AT398" s="782">
        <v>12068566</v>
      </c>
      <c r="AU398" s="781"/>
      <c r="AV398" s="782">
        <v>12068564</v>
      </c>
      <c r="AW398" s="782">
        <v>12062153</v>
      </c>
      <c r="AX398" s="782"/>
      <c r="AY398" s="782">
        <v>12068565</v>
      </c>
      <c r="AZ398" s="782"/>
      <c r="BA398" s="781"/>
    </row>
    <row r="399" spans="1:53" ht="25" hidden="1" customHeight="1">
      <c r="B399" s="213">
        <v>45360</v>
      </c>
      <c r="C399" s="578">
        <v>45369</v>
      </c>
      <c r="D399" s="185">
        <f t="shared" si="129"/>
        <v>2024</v>
      </c>
      <c r="E399" s="215" t="str">
        <f>VLOOKUP($B399,Week!$A$1:$C$1462,2,0)</f>
        <v>Week10</v>
      </c>
      <c r="F399" s="216" t="str">
        <f t="shared" si="130"/>
        <v>Mar</v>
      </c>
      <c r="G399" s="215" t="s">
        <v>950</v>
      </c>
      <c r="H399" s="215" t="s">
        <v>104</v>
      </c>
      <c r="I399" s="215" t="s">
        <v>2772</v>
      </c>
      <c r="J399" s="209" t="s">
        <v>105</v>
      </c>
      <c r="K399" s="217" t="s">
        <v>107</v>
      </c>
      <c r="L399" s="300" t="s">
        <v>2167</v>
      </c>
      <c r="M399" s="209" t="s">
        <v>108</v>
      </c>
      <c r="N399" s="215" t="s">
        <v>109</v>
      </c>
      <c r="O399" s="215" t="s">
        <v>110</v>
      </c>
      <c r="P399" s="218">
        <v>36</v>
      </c>
      <c r="Q399" s="218">
        <v>5</v>
      </c>
      <c r="R399" s="219">
        <v>7.4999999999999997E-3</v>
      </c>
      <c r="S399" s="215" t="s">
        <v>111</v>
      </c>
      <c r="T399" s="215" t="s">
        <v>112</v>
      </c>
      <c r="U399" s="215" t="s">
        <v>113</v>
      </c>
      <c r="V399" s="220">
        <v>792</v>
      </c>
      <c r="W399" s="220">
        <v>792</v>
      </c>
      <c r="X399" s="221"/>
      <c r="Y399" s="222">
        <f t="shared" si="134"/>
        <v>0</v>
      </c>
      <c r="Z399" s="223">
        <f t="shared" si="135"/>
        <v>0</v>
      </c>
      <c r="AA399" s="223"/>
      <c r="AB399" s="807"/>
      <c r="AC399" s="220"/>
      <c r="AD399" s="209"/>
      <c r="AE399" s="210"/>
      <c r="AF399" s="210"/>
      <c r="AG399" s="211">
        <f t="shared" si="136"/>
        <v>0.308</v>
      </c>
      <c r="AH399" s="157">
        <f>(Z399*AG399)/1000</f>
        <v>0</v>
      </c>
      <c r="AI399" s="152">
        <f t="shared" si="137"/>
        <v>28512</v>
      </c>
      <c r="AK399" s="156" t="s">
        <v>691</v>
      </c>
      <c r="AL399" s="574" t="s">
        <v>690</v>
      </c>
      <c r="AM399" s="198">
        <f>AG399*Z399</f>
        <v>0</v>
      </c>
      <c r="AN399" s="199">
        <f t="shared" si="131"/>
        <v>45360</v>
      </c>
      <c r="AO399" s="159" t="s">
        <v>692</v>
      </c>
      <c r="AP399" s="781"/>
      <c r="AQ399" s="782">
        <v>12063755</v>
      </c>
      <c r="AR399" s="782">
        <v>12061353</v>
      </c>
      <c r="AS399" s="782">
        <v>12061354</v>
      </c>
      <c r="AT399" s="782">
        <v>12068566</v>
      </c>
      <c r="AU399" s="781"/>
      <c r="AV399" s="782">
        <v>12068564</v>
      </c>
      <c r="AW399" s="782">
        <v>12062153</v>
      </c>
      <c r="AX399" s="782"/>
      <c r="AY399" s="782">
        <v>12068565</v>
      </c>
      <c r="AZ399" s="782"/>
      <c r="BA399" s="781"/>
    </row>
    <row r="400" spans="1:53" ht="25" hidden="1" customHeight="1">
      <c r="B400" s="213">
        <v>45360</v>
      </c>
      <c r="C400" s="578">
        <v>45369</v>
      </c>
      <c r="D400" s="185">
        <f t="shared" si="129"/>
        <v>2024</v>
      </c>
      <c r="E400" s="215" t="str">
        <f>VLOOKUP($B400,Week!$A$1:$C$1462,2,0)</f>
        <v>Week10</v>
      </c>
      <c r="F400" s="216" t="str">
        <f t="shared" si="130"/>
        <v>Mar</v>
      </c>
      <c r="G400" s="215" t="s">
        <v>951</v>
      </c>
      <c r="H400" s="215" t="s">
        <v>104</v>
      </c>
      <c r="I400" s="215" t="s">
        <v>2772</v>
      </c>
      <c r="J400" s="209" t="s">
        <v>105</v>
      </c>
      <c r="K400" s="217" t="s">
        <v>107</v>
      </c>
      <c r="L400" s="300" t="s">
        <v>2167</v>
      </c>
      <c r="M400" s="209" t="s">
        <v>108</v>
      </c>
      <c r="N400" s="215" t="s">
        <v>109</v>
      </c>
      <c r="O400" s="215" t="s">
        <v>110</v>
      </c>
      <c r="P400" s="218">
        <v>36</v>
      </c>
      <c r="Q400" s="218">
        <v>5</v>
      </c>
      <c r="R400" s="219">
        <v>7.4999999999999997E-3</v>
      </c>
      <c r="S400" s="215" t="s">
        <v>111</v>
      </c>
      <c r="T400" s="215" t="s">
        <v>112</v>
      </c>
      <c r="U400" s="215" t="s">
        <v>113</v>
      </c>
      <c r="V400" s="220">
        <v>792</v>
      </c>
      <c r="W400" s="220">
        <v>792</v>
      </c>
      <c r="X400" s="221"/>
      <c r="Y400" s="222">
        <f t="shared" si="134"/>
        <v>0</v>
      </c>
      <c r="Z400" s="223">
        <f t="shared" si="135"/>
        <v>0</v>
      </c>
      <c r="AA400" s="223"/>
      <c r="AB400" s="807"/>
      <c r="AC400" s="220"/>
      <c r="AD400" s="209"/>
      <c r="AE400" s="210"/>
      <c r="AF400" s="210"/>
      <c r="AG400" s="211">
        <f t="shared" si="136"/>
        <v>0.308</v>
      </c>
      <c r="AH400" s="157">
        <f t="shared" si="132"/>
        <v>0</v>
      </c>
      <c r="AI400" s="152">
        <f t="shared" si="137"/>
        <v>28512</v>
      </c>
      <c r="AK400" s="156" t="s">
        <v>691</v>
      </c>
      <c r="AL400" s="574" t="s">
        <v>690</v>
      </c>
      <c r="AM400" s="198">
        <f t="shared" si="133"/>
        <v>0</v>
      </c>
      <c r="AN400" s="199">
        <f t="shared" si="131"/>
        <v>45360</v>
      </c>
      <c r="AO400" s="159" t="s">
        <v>692</v>
      </c>
      <c r="AP400" s="781"/>
      <c r="AQ400" s="782">
        <v>12063755</v>
      </c>
      <c r="AR400" s="782">
        <v>12061353</v>
      </c>
      <c r="AS400" s="782">
        <v>12061354</v>
      </c>
      <c r="AT400" s="782">
        <v>12068566</v>
      </c>
      <c r="AU400" s="781"/>
      <c r="AV400" s="782">
        <v>12068564</v>
      </c>
      <c r="AW400" s="782">
        <v>12062153</v>
      </c>
      <c r="AX400" s="782"/>
      <c r="AY400" s="782">
        <v>12068565</v>
      </c>
      <c r="AZ400" s="782"/>
      <c r="BA400" s="781"/>
    </row>
    <row r="401" spans="1:53" ht="25" hidden="1" customHeight="1">
      <c r="B401" s="213">
        <v>45360</v>
      </c>
      <c r="C401" s="578">
        <v>45369</v>
      </c>
      <c r="D401" s="185">
        <f t="shared" si="129"/>
        <v>2024</v>
      </c>
      <c r="E401" s="215" t="str">
        <f>VLOOKUP($B401,Week!$A$1:$C$1462,2,0)</f>
        <v>Week10</v>
      </c>
      <c r="F401" s="216" t="str">
        <f t="shared" si="130"/>
        <v>Mar</v>
      </c>
      <c r="G401" s="215" t="s">
        <v>952</v>
      </c>
      <c r="H401" s="215" t="s">
        <v>104</v>
      </c>
      <c r="I401" s="215" t="s">
        <v>2772</v>
      </c>
      <c r="J401" s="209" t="s">
        <v>105</v>
      </c>
      <c r="K401" s="217" t="s">
        <v>107</v>
      </c>
      <c r="L401" s="300" t="s">
        <v>2167</v>
      </c>
      <c r="M401" s="209" t="s">
        <v>108</v>
      </c>
      <c r="N401" s="215" t="s">
        <v>109</v>
      </c>
      <c r="O401" s="215" t="s">
        <v>110</v>
      </c>
      <c r="P401" s="218">
        <v>36</v>
      </c>
      <c r="Q401" s="218">
        <v>5</v>
      </c>
      <c r="R401" s="219">
        <v>7.4999999999999997E-3</v>
      </c>
      <c r="S401" s="215" t="s">
        <v>111</v>
      </c>
      <c r="T401" s="215" t="s">
        <v>112</v>
      </c>
      <c r="U401" s="215" t="s">
        <v>113</v>
      </c>
      <c r="V401" s="220">
        <v>792</v>
      </c>
      <c r="W401" s="220">
        <v>792</v>
      </c>
      <c r="X401" s="221"/>
      <c r="Y401" s="222">
        <f t="shared" si="134"/>
        <v>0</v>
      </c>
      <c r="Z401" s="223">
        <f t="shared" si="135"/>
        <v>0</v>
      </c>
      <c r="AA401" s="223"/>
      <c r="AB401" s="807"/>
      <c r="AC401" s="220"/>
      <c r="AD401" s="209"/>
      <c r="AE401" s="210"/>
      <c r="AF401" s="210"/>
      <c r="AG401" s="211">
        <f t="shared" si="136"/>
        <v>0.308</v>
      </c>
      <c r="AH401" s="157">
        <f t="shared" si="132"/>
        <v>0</v>
      </c>
      <c r="AI401" s="152">
        <f t="shared" si="137"/>
        <v>28512</v>
      </c>
      <c r="AK401" s="156" t="s">
        <v>691</v>
      </c>
      <c r="AL401" s="574" t="s">
        <v>690</v>
      </c>
      <c r="AM401" s="198">
        <f t="shared" si="133"/>
        <v>0</v>
      </c>
      <c r="AN401" s="199">
        <f t="shared" si="131"/>
        <v>45360</v>
      </c>
      <c r="AO401" s="159" t="s">
        <v>692</v>
      </c>
      <c r="AP401" s="781"/>
      <c r="AQ401" s="782">
        <v>12063755</v>
      </c>
      <c r="AR401" s="782">
        <v>12061353</v>
      </c>
      <c r="AS401" s="782">
        <v>12061354</v>
      </c>
      <c r="AT401" s="782">
        <v>12068566</v>
      </c>
      <c r="AU401" s="781"/>
      <c r="AV401" s="782">
        <v>12068564</v>
      </c>
      <c r="AW401" s="782">
        <v>12062153</v>
      </c>
      <c r="AX401" s="782"/>
      <c r="AY401" s="782">
        <v>12068565</v>
      </c>
      <c r="AZ401" s="782"/>
      <c r="BA401" s="781"/>
    </row>
    <row r="402" spans="1:53" ht="25" hidden="1" customHeight="1">
      <c r="B402" s="213">
        <v>45360</v>
      </c>
      <c r="C402" s="578">
        <v>45369</v>
      </c>
      <c r="D402" s="185">
        <f t="shared" si="129"/>
        <v>2024</v>
      </c>
      <c r="E402" s="215" t="str">
        <f>VLOOKUP($B402,Week!$A$1:$C$1462,2,0)</f>
        <v>Week10</v>
      </c>
      <c r="F402" s="216" t="str">
        <f t="shared" si="130"/>
        <v>Mar</v>
      </c>
      <c r="G402" s="215" t="s">
        <v>953</v>
      </c>
      <c r="H402" s="215" t="s">
        <v>104</v>
      </c>
      <c r="I402" s="215" t="s">
        <v>2772</v>
      </c>
      <c r="J402" s="209" t="s">
        <v>105</v>
      </c>
      <c r="K402" s="217" t="s">
        <v>107</v>
      </c>
      <c r="L402" s="300" t="s">
        <v>2167</v>
      </c>
      <c r="M402" s="209" t="s">
        <v>108</v>
      </c>
      <c r="N402" s="215" t="s">
        <v>109</v>
      </c>
      <c r="O402" s="215" t="s">
        <v>110</v>
      </c>
      <c r="P402" s="218">
        <v>36</v>
      </c>
      <c r="Q402" s="218">
        <v>5</v>
      </c>
      <c r="R402" s="219">
        <v>7.4999999999999997E-3</v>
      </c>
      <c r="S402" s="215" t="s">
        <v>111</v>
      </c>
      <c r="T402" s="215" t="s">
        <v>112</v>
      </c>
      <c r="U402" s="215" t="s">
        <v>113</v>
      </c>
      <c r="V402" s="220">
        <f>3309-60-792-792-792-792</f>
        <v>81</v>
      </c>
      <c r="W402" s="220">
        <f>3309-60-792-792-792-792</f>
        <v>81</v>
      </c>
      <c r="X402" s="221"/>
      <c r="Y402" s="222">
        <f t="shared" si="134"/>
        <v>0</v>
      </c>
      <c r="Z402" s="223">
        <f t="shared" si="135"/>
        <v>0</v>
      </c>
      <c r="AA402" s="223"/>
      <c r="AB402" s="807"/>
      <c r="AC402" s="220"/>
      <c r="AD402" s="209"/>
      <c r="AE402" s="210"/>
      <c r="AF402" s="210"/>
      <c r="AG402" s="211">
        <f t="shared" si="136"/>
        <v>0.308</v>
      </c>
      <c r="AH402" s="157">
        <f t="shared" si="132"/>
        <v>0</v>
      </c>
      <c r="AI402" s="152">
        <f t="shared" si="137"/>
        <v>2916</v>
      </c>
      <c r="AK402" s="156" t="s">
        <v>691</v>
      </c>
      <c r="AL402" s="574" t="s">
        <v>690</v>
      </c>
      <c r="AM402" s="198">
        <f t="shared" si="133"/>
        <v>0</v>
      </c>
      <c r="AN402" s="199">
        <f t="shared" si="131"/>
        <v>45360</v>
      </c>
      <c r="AO402" s="159" t="s">
        <v>692</v>
      </c>
      <c r="AP402" s="781"/>
      <c r="AQ402" s="782">
        <v>12063755</v>
      </c>
      <c r="AR402" s="782">
        <v>12061353</v>
      </c>
      <c r="AS402" s="782">
        <v>12061354</v>
      </c>
      <c r="AT402" s="782">
        <v>12068566</v>
      </c>
      <c r="AU402" s="781"/>
      <c r="AV402" s="782">
        <v>12068564</v>
      </c>
      <c r="AW402" s="782">
        <v>12062153</v>
      </c>
      <c r="AX402" s="782"/>
      <c r="AY402" s="782">
        <v>12068565</v>
      </c>
      <c r="AZ402" s="782"/>
      <c r="BA402" s="781"/>
    </row>
    <row r="403" spans="1:53" ht="25" hidden="1" customHeight="1">
      <c r="A403" s="142" t="s">
        <v>120</v>
      </c>
      <c r="B403" s="383">
        <v>45360</v>
      </c>
      <c r="C403" s="224">
        <v>45377</v>
      </c>
      <c r="D403" s="185">
        <f t="shared" si="129"/>
        <v>2024</v>
      </c>
      <c r="E403" s="224" t="str">
        <f>VLOOKUP($B403,Week!$A$1:$C$1462,2,0)</f>
        <v>Week10</v>
      </c>
      <c r="F403" s="226" t="str">
        <f t="shared" si="130"/>
        <v>Mar</v>
      </c>
      <c r="G403" s="225" t="s">
        <v>1037</v>
      </c>
      <c r="H403" s="225" t="s">
        <v>1259</v>
      </c>
      <c r="I403" s="225" t="s">
        <v>2772</v>
      </c>
      <c r="J403" s="227" t="s">
        <v>512</v>
      </c>
      <c r="K403" s="228" t="s">
        <v>85</v>
      </c>
      <c r="L403" s="390" t="s">
        <v>2166</v>
      </c>
      <c r="M403" s="227" t="s">
        <v>165</v>
      </c>
      <c r="N403" s="225" t="s">
        <v>700</v>
      </c>
      <c r="O403" s="225" t="s">
        <v>287</v>
      </c>
      <c r="P403" s="229">
        <v>40</v>
      </c>
      <c r="Q403" s="229">
        <v>12</v>
      </c>
      <c r="R403" s="230">
        <v>8.1300000000000001E-3</v>
      </c>
      <c r="S403" s="225" t="s">
        <v>40</v>
      </c>
      <c r="T403" s="225" t="s">
        <v>112</v>
      </c>
      <c r="U403" s="225" t="s">
        <v>89</v>
      </c>
      <c r="V403" s="231">
        <v>428</v>
      </c>
      <c r="W403" s="231">
        <v>428</v>
      </c>
      <c r="X403" s="232"/>
      <c r="Y403" s="233">
        <f t="shared" si="134"/>
        <v>0</v>
      </c>
      <c r="Z403" s="234">
        <f t="shared" si="135"/>
        <v>0</v>
      </c>
      <c r="AA403" s="234">
        <f>Q403*Z403</f>
        <v>0</v>
      </c>
      <c r="AB403" s="822">
        <v>2</v>
      </c>
      <c r="AC403" s="231">
        <f>Z403*AB403</f>
        <v>0</v>
      </c>
      <c r="AD403" s="307" t="s">
        <v>729</v>
      </c>
      <c r="AE403" s="210"/>
      <c r="AF403" s="210"/>
      <c r="AG403" s="211">
        <f t="shared" si="136"/>
        <v>0.154</v>
      </c>
      <c r="AH403" s="157">
        <f t="shared" si="132"/>
        <v>0</v>
      </c>
      <c r="AI403" s="152">
        <f t="shared" si="137"/>
        <v>17120</v>
      </c>
      <c r="AK403" s="156" t="s">
        <v>691</v>
      </c>
      <c r="AL403" s="156" t="s">
        <v>689</v>
      </c>
      <c r="AM403" s="198">
        <f t="shared" si="133"/>
        <v>0</v>
      </c>
      <c r="AN403" s="199">
        <f t="shared" si="131"/>
        <v>45360</v>
      </c>
      <c r="AO403" s="159" t="s">
        <v>692</v>
      </c>
      <c r="AP403" s="781"/>
      <c r="AQ403" s="782">
        <v>12028328</v>
      </c>
      <c r="AR403" s="782">
        <v>12019692</v>
      </c>
      <c r="AS403" s="782"/>
      <c r="AT403" s="782">
        <v>12056457</v>
      </c>
      <c r="AU403" s="782"/>
      <c r="AV403" s="782">
        <v>12056565</v>
      </c>
      <c r="AW403" s="782">
        <v>12034747</v>
      </c>
      <c r="AX403" s="782" t="s">
        <v>398</v>
      </c>
      <c r="AY403" s="782" t="s">
        <v>513</v>
      </c>
      <c r="AZ403" s="782"/>
      <c r="BA403" s="781"/>
    </row>
    <row r="404" spans="1:53" ht="25" hidden="1" customHeight="1">
      <c r="B404" s="213">
        <v>45361</v>
      </c>
      <c r="C404" s="578">
        <v>45369</v>
      </c>
      <c r="D404" s="185">
        <f t="shared" si="129"/>
        <v>2024</v>
      </c>
      <c r="E404" s="215" t="str">
        <f>VLOOKUP($B404,Week!$A$1:$C$1462,2,0)</f>
        <v>Week10</v>
      </c>
      <c r="F404" s="216" t="str">
        <f t="shared" si="130"/>
        <v>Mar</v>
      </c>
      <c r="G404" s="215" t="s">
        <v>953</v>
      </c>
      <c r="H404" s="215" t="s">
        <v>104</v>
      </c>
      <c r="I404" s="215" t="s">
        <v>2772</v>
      </c>
      <c r="J404" s="209" t="s">
        <v>105</v>
      </c>
      <c r="K404" s="217" t="s">
        <v>107</v>
      </c>
      <c r="L404" s="300" t="s">
        <v>2167</v>
      </c>
      <c r="M404" s="209" t="s">
        <v>108</v>
      </c>
      <c r="N404" s="215" t="s">
        <v>109</v>
      </c>
      <c r="O404" s="215" t="s">
        <v>110</v>
      </c>
      <c r="P404" s="218">
        <v>36</v>
      </c>
      <c r="Q404" s="218">
        <v>5</v>
      </c>
      <c r="R404" s="219">
        <v>7.4999999999999997E-3</v>
      </c>
      <c r="S404" s="215" t="s">
        <v>111</v>
      </c>
      <c r="T404" s="215" t="s">
        <v>112</v>
      </c>
      <c r="U404" s="215" t="s">
        <v>113</v>
      </c>
      <c r="V404" s="220">
        <f>792-81</f>
        <v>711</v>
      </c>
      <c r="W404" s="220">
        <f>792-81</f>
        <v>711</v>
      </c>
      <c r="X404" s="221"/>
      <c r="Y404" s="222">
        <f t="shared" si="134"/>
        <v>0</v>
      </c>
      <c r="Z404" s="223">
        <f t="shared" si="135"/>
        <v>0</v>
      </c>
      <c r="AA404" s="223"/>
      <c r="AB404" s="807"/>
      <c r="AC404" s="220"/>
      <c r="AD404" s="209"/>
      <c r="AE404" s="210"/>
      <c r="AF404" s="210"/>
      <c r="AG404" s="211">
        <f t="shared" si="136"/>
        <v>0.308</v>
      </c>
      <c r="AH404" s="157">
        <f>(Z404*AG404)/1000</f>
        <v>0</v>
      </c>
      <c r="AI404" s="152">
        <f t="shared" si="137"/>
        <v>25596</v>
      </c>
      <c r="AK404" s="156" t="s">
        <v>691</v>
      </c>
      <c r="AL404" s="574" t="s">
        <v>690</v>
      </c>
      <c r="AM404" s="198">
        <f>AG404*Z404</f>
        <v>0</v>
      </c>
      <c r="AN404" s="199">
        <f t="shared" si="131"/>
        <v>45361</v>
      </c>
      <c r="AO404" s="159" t="s">
        <v>692</v>
      </c>
      <c r="AP404" s="781"/>
      <c r="AQ404" s="782">
        <v>12063755</v>
      </c>
      <c r="AR404" s="782">
        <v>12061353</v>
      </c>
      <c r="AS404" s="782">
        <v>12061354</v>
      </c>
      <c r="AT404" s="782">
        <v>12068566</v>
      </c>
      <c r="AU404" s="781"/>
      <c r="AV404" s="782">
        <v>12068564</v>
      </c>
      <c r="AW404" s="782">
        <v>12062153</v>
      </c>
      <c r="AX404" s="782"/>
      <c r="AY404" s="782">
        <v>12068565</v>
      </c>
      <c r="AZ404" s="782"/>
      <c r="BA404" s="781"/>
    </row>
    <row r="405" spans="1:53" ht="25" hidden="1" customHeight="1">
      <c r="B405" s="213">
        <v>45361</v>
      </c>
      <c r="C405" s="578">
        <v>45370</v>
      </c>
      <c r="D405" s="185">
        <f t="shared" si="129"/>
        <v>2024</v>
      </c>
      <c r="E405" s="215" t="str">
        <f>VLOOKUP($B405,Week!$A$1:$C$1462,2,0)</f>
        <v>Week10</v>
      </c>
      <c r="F405" s="216" t="str">
        <f t="shared" si="130"/>
        <v>Mar</v>
      </c>
      <c r="G405" s="215" t="s">
        <v>954</v>
      </c>
      <c r="H405" s="215" t="s">
        <v>104</v>
      </c>
      <c r="I405" s="215" t="s">
        <v>2772</v>
      </c>
      <c r="J405" s="209" t="s">
        <v>105</v>
      </c>
      <c r="K405" s="217" t="s">
        <v>107</v>
      </c>
      <c r="L405" s="300" t="s">
        <v>2167</v>
      </c>
      <c r="M405" s="209" t="s">
        <v>108</v>
      </c>
      <c r="N405" s="215" t="s">
        <v>109</v>
      </c>
      <c r="O405" s="215" t="s">
        <v>110</v>
      </c>
      <c r="P405" s="218">
        <v>36</v>
      </c>
      <c r="Q405" s="218">
        <v>5</v>
      </c>
      <c r="R405" s="219">
        <v>7.4999999999999997E-3</v>
      </c>
      <c r="S405" s="215" t="s">
        <v>111</v>
      </c>
      <c r="T405" s="215" t="s">
        <v>112</v>
      </c>
      <c r="U405" s="215" t="s">
        <v>113</v>
      </c>
      <c r="V405" s="220">
        <v>792</v>
      </c>
      <c r="W405" s="220">
        <v>792</v>
      </c>
      <c r="X405" s="221"/>
      <c r="Y405" s="222">
        <f t="shared" si="134"/>
        <v>0</v>
      </c>
      <c r="Z405" s="223">
        <f t="shared" si="135"/>
        <v>0</v>
      </c>
      <c r="AA405" s="223"/>
      <c r="AB405" s="807"/>
      <c r="AC405" s="220"/>
      <c r="AD405" s="209"/>
      <c r="AE405" s="210"/>
      <c r="AF405" s="210"/>
      <c r="AG405" s="211">
        <f t="shared" si="136"/>
        <v>0.308</v>
      </c>
      <c r="AH405" s="157">
        <f>(Z405*AG405)/1000</f>
        <v>0</v>
      </c>
      <c r="AI405" s="152">
        <f t="shared" si="137"/>
        <v>28512</v>
      </c>
      <c r="AK405" s="156" t="s">
        <v>691</v>
      </c>
      <c r="AL405" s="574" t="s">
        <v>690</v>
      </c>
      <c r="AM405" s="198">
        <f>AG405*Z405</f>
        <v>0</v>
      </c>
      <c r="AN405" s="199">
        <f t="shared" si="131"/>
        <v>45361</v>
      </c>
      <c r="AO405" s="159" t="s">
        <v>692</v>
      </c>
      <c r="AP405" s="781"/>
      <c r="AQ405" s="782">
        <v>12063755</v>
      </c>
      <c r="AR405" s="782">
        <v>12061353</v>
      </c>
      <c r="AS405" s="782">
        <v>12061354</v>
      </c>
      <c r="AT405" s="782">
        <v>12068566</v>
      </c>
      <c r="AU405" s="781"/>
      <c r="AV405" s="782">
        <v>12068564</v>
      </c>
      <c r="AW405" s="782">
        <v>12062153</v>
      </c>
      <c r="AX405" s="782"/>
      <c r="AY405" s="782">
        <v>12068565</v>
      </c>
      <c r="AZ405" s="782"/>
      <c r="BA405" s="781"/>
    </row>
    <row r="406" spans="1:53" ht="25" hidden="1" customHeight="1">
      <c r="B406" s="213">
        <v>45361</v>
      </c>
      <c r="C406" s="578">
        <v>45370</v>
      </c>
      <c r="D406" s="185">
        <f t="shared" si="129"/>
        <v>2024</v>
      </c>
      <c r="E406" s="215" t="str">
        <f>VLOOKUP($B406,Week!$A$1:$C$1462,2,0)</f>
        <v>Week10</v>
      </c>
      <c r="F406" s="216" t="str">
        <f t="shared" si="130"/>
        <v>Mar</v>
      </c>
      <c r="G406" s="215" t="s">
        <v>955</v>
      </c>
      <c r="H406" s="215" t="s">
        <v>104</v>
      </c>
      <c r="I406" s="215" t="s">
        <v>2772</v>
      </c>
      <c r="J406" s="209" t="s">
        <v>105</v>
      </c>
      <c r="K406" s="217" t="s">
        <v>107</v>
      </c>
      <c r="L406" s="300" t="s">
        <v>2167</v>
      </c>
      <c r="M406" s="209" t="s">
        <v>108</v>
      </c>
      <c r="N406" s="215" t="s">
        <v>109</v>
      </c>
      <c r="O406" s="215" t="s">
        <v>110</v>
      </c>
      <c r="P406" s="218">
        <v>36</v>
      </c>
      <c r="Q406" s="218">
        <v>5</v>
      </c>
      <c r="R406" s="219">
        <v>7.4999999999999997E-3</v>
      </c>
      <c r="S406" s="215" t="s">
        <v>111</v>
      </c>
      <c r="T406" s="215" t="s">
        <v>112</v>
      </c>
      <c r="U406" s="215" t="s">
        <v>113</v>
      </c>
      <c r="V406" s="220">
        <v>792</v>
      </c>
      <c r="W406" s="220">
        <v>792</v>
      </c>
      <c r="X406" s="221"/>
      <c r="Y406" s="222">
        <f t="shared" si="134"/>
        <v>0</v>
      </c>
      <c r="Z406" s="223">
        <f t="shared" si="135"/>
        <v>0</v>
      </c>
      <c r="AA406" s="223"/>
      <c r="AB406" s="807"/>
      <c r="AC406" s="220"/>
      <c r="AD406" s="209"/>
      <c r="AE406" s="210"/>
      <c r="AF406" s="210"/>
      <c r="AG406" s="211">
        <f t="shared" si="136"/>
        <v>0.308</v>
      </c>
      <c r="AH406" s="157">
        <f>(Z406*AG406)/1000</f>
        <v>0</v>
      </c>
      <c r="AI406" s="152">
        <f t="shared" si="137"/>
        <v>28512</v>
      </c>
      <c r="AK406" s="156" t="s">
        <v>691</v>
      </c>
      <c r="AL406" s="574" t="s">
        <v>690</v>
      </c>
      <c r="AM406" s="198">
        <f>AG406*Z406</f>
        <v>0</v>
      </c>
      <c r="AN406" s="199">
        <f t="shared" si="131"/>
        <v>45361</v>
      </c>
      <c r="AO406" s="159" t="s">
        <v>692</v>
      </c>
      <c r="AP406" s="781"/>
      <c r="AQ406" s="782">
        <v>12063755</v>
      </c>
      <c r="AR406" s="782">
        <v>12061353</v>
      </c>
      <c r="AS406" s="782">
        <v>12061354</v>
      </c>
      <c r="AT406" s="782">
        <v>12068566</v>
      </c>
      <c r="AU406" s="781"/>
      <c r="AV406" s="782">
        <v>12068564</v>
      </c>
      <c r="AW406" s="782">
        <v>12062153</v>
      </c>
      <c r="AX406" s="782"/>
      <c r="AY406" s="782">
        <v>12068565</v>
      </c>
      <c r="AZ406" s="782"/>
      <c r="BA406" s="781"/>
    </row>
    <row r="407" spans="1:53" ht="25" hidden="1" customHeight="1">
      <c r="B407" s="213">
        <v>45361</v>
      </c>
      <c r="C407" s="578">
        <v>45370</v>
      </c>
      <c r="D407" s="185">
        <f t="shared" si="129"/>
        <v>2024</v>
      </c>
      <c r="E407" s="215" t="str">
        <f>VLOOKUP($B407,Week!$A$1:$C$1462,2,0)</f>
        <v>Week10</v>
      </c>
      <c r="F407" s="216" t="str">
        <f t="shared" si="130"/>
        <v>Mar</v>
      </c>
      <c r="G407" s="215" t="s">
        <v>956</v>
      </c>
      <c r="H407" s="215" t="s">
        <v>104</v>
      </c>
      <c r="I407" s="215" t="s">
        <v>2772</v>
      </c>
      <c r="J407" s="209" t="s">
        <v>105</v>
      </c>
      <c r="K407" s="217" t="s">
        <v>107</v>
      </c>
      <c r="L407" s="300" t="s">
        <v>2167</v>
      </c>
      <c r="M407" s="209" t="s">
        <v>108</v>
      </c>
      <c r="N407" s="215" t="s">
        <v>109</v>
      </c>
      <c r="O407" s="215" t="s">
        <v>110</v>
      </c>
      <c r="P407" s="218">
        <v>36</v>
      </c>
      <c r="Q407" s="218">
        <v>5</v>
      </c>
      <c r="R407" s="219">
        <v>7.4999999999999997E-3</v>
      </c>
      <c r="S407" s="215" t="s">
        <v>111</v>
      </c>
      <c r="T407" s="215" t="s">
        <v>112</v>
      </c>
      <c r="U407" s="215" t="s">
        <v>113</v>
      </c>
      <c r="V407" s="220">
        <v>792</v>
      </c>
      <c r="W407" s="220">
        <v>792</v>
      </c>
      <c r="X407" s="221"/>
      <c r="Y407" s="222">
        <f t="shared" si="134"/>
        <v>0</v>
      </c>
      <c r="Z407" s="223">
        <f t="shared" si="135"/>
        <v>0</v>
      </c>
      <c r="AA407" s="223"/>
      <c r="AB407" s="807"/>
      <c r="AC407" s="220"/>
      <c r="AD407" s="209"/>
      <c r="AE407" s="210"/>
      <c r="AF407" s="210"/>
      <c r="AG407" s="211">
        <f t="shared" si="136"/>
        <v>0.308</v>
      </c>
      <c r="AH407" s="157">
        <f t="shared" si="132"/>
        <v>0</v>
      </c>
      <c r="AI407" s="152">
        <f t="shared" si="137"/>
        <v>28512</v>
      </c>
      <c r="AK407" s="156" t="s">
        <v>691</v>
      </c>
      <c r="AL407" s="574" t="s">
        <v>690</v>
      </c>
      <c r="AM407" s="198">
        <f t="shared" si="133"/>
        <v>0</v>
      </c>
      <c r="AN407" s="199">
        <f t="shared" si="131"/>
        <v>45361</v>
      </c>
      <c r="AO407" s="159" t="s">
        <v>692</v>
      </c>
      <c r="AP407" s="781"/>
      <c r="AQ407" s="782">
        <v>12063755</v>
      </c>
      <c r="AR407" s="782">
        <v>12061353</v>
      </c>
      <c r="AS407" s="782">
        <v>12061354</v>
      </c>
      <c r="AT407" s="782">
        <v>12068566</v>
      </c>
      <c r="AU407" s="781"/>
      <c r="AV407" s="782">
        <v>12068564</v>
      </c>
      <c r="AW407" s="782">
        <v>12062153</v>
      </c>
      <c r="AX407" s="782"/>
      <c r="AY407" s="782">
        <v>12068565</v>
      </c>
      <c r="AZ407" s="782"/>
      <c r="BA407" s="781"/>
    </row>
    <row r="408" spans="1:53" ht="25" hidden="1" customHeight="1">
      <c r="B408" s="213">
        <v>45361</v>
      </c>
      <c r="C408" s="578">
        <v>45370</v>
      </c>
      <c r="D408" s="185">
        <f t="shared" si="129"/>
        <v>2024</v>
      </c>
      <c r="E408" s="215" t="str">
        <f>VLOOKUP($B408,Week!$A$1:$C$1462,2,0)</f>
        <v>Week10</v>
      </c>
      <c r="F408" s="216" t="str">
        <f t="shared" si="130"/>
        <v>Mar</v>
      </c>
      <c r="G408" s="215" t="s">
        <v>957</v>
      </c>
      <c r="H408" s="215" t="s">
        <v>104</v>
      </c>
      <c r="I408" s="215" t="s">
        <v>2772</v>
      </c>
      <c r="J408" s="209" t="s">
        <v>105</v>
      </c>
      <c r="K408" s="217" t="s">
        <v>107</v>
      </c>
      <c r="L408" s="300" t="s">
        <v>2167</v>
      </c>
      <c r="M408" s="209" t="s">
        <v>108</v>
      </c>
      <c r="N408" s="215" t="s">
        <v>109</v>
      </c>
      <c r="O408" s="215" t="s">
        <v>110</v>
      </c>
      <c r="P408" s="218">
        <v>36</v>
      </c>
      <c r="Q408" s="218">
        <v>5</v>
      </c>
      <c r="R408" s="219">
        <v>7.4999999999999997E-3</v>
      </c>
      <c r="S408" s="215" t="s">
        <v>111</v>
      </c>
      <c r="T408" s="215" t="s">
        <v>112</v>
      </c>
      <c r="U408" s="215" t="s">
        <v>113</v>
      </c>
      <c r="V408" s="220">
        <v>792</v>
      </c>
      <c r="W408" s="220">
        <v>792</v>
      </c>
      <c r="X408" s="221"/>
      <c r="Y408" s="222">
        <f t="shared" si="134"/>
        <v>0</v>
      </c>
      <c r="Z408" s="223">
        <f t="shared" si="135"/>
        <v>0</v>
      </c>
      <c r="AA408" s="223"/>
      <c r="AB408" s="807"/>
      <c r="AC408" s="220"/>
      <c r="AD408" s="209"/>
      <c r="AE408" s="210"/>
      <c r="AF408" s="210"/>
      <c r="AG408" s="211">
        <f t="shared" si="136"/>
        <v>0.308</v>
      </c>
      <c r="AH408" s="157">
        <f t="shared" si="132"/>
        <v>0</v>
      </c>
      <c r="AI408" s="152">
        <f t="shared" si="137"/>
        <v>28512</v>
      </c>
      <c r="AK408" s="156" t="s">
        <v>691</v>
      </c>
      <c r="AL408" s="574" t="s">
        <v>690</v>
      </c>
      <c r="AM408" s="198">
        <f t="shared" si="133"/>
        <v>0</v>
      </c>
      <c r="AN408" s="199">
        <f t="shared" si="131"/>
        <v>45361</v>
      </c>
      <c r="AO408" s="159" t="s">
        <v>692</v>
      </c>
      <c r="AP408" s="781"/>
      <c r="AQ408" s="782">
        <v>12063755</v>
      </c>
      <c r="AR408" s="782">
        <v>12061353</v>
      </c>
      <c r="AS408" s="782">
        <v>12061354</v>
      </c>
      <c r="AT408" s="782">
        <v>12068566</v>
      </c>
      <c r="AU408" s="781"/>
      <c r="AV408" s="782">
        <v>12068564</v>
      </c>
      <c r="AW408" s="782">
        <v>12062153</v>
      </c>
      <c r="AX408" s="782"/>
      <c r="AY408" s="782">
        <v>12068565</v>
      </c>
      <c r="AZ408" s="782"/>
      <c r="BA408" s="781"/>
    </row>
    <row r="409" spans="1:53" ht="25" hidden="1" customHeight="1">
      <c r="B409" s="213">
        <v>45361</v>
      </c>
      <c r="C409" s="578">
        <v>45370</v>
      </c>
      <c r="D409" s="185">
        <f t="shared" si="129"/>
        <v>2024</v>
      </c>
      <c r="E409" s="215" t="str">
        <f>VLOOKUP($B409,Week!$A$1:$C$1462,2,0)</f>
        <v>Week10</v>
      </c>
      <c r="F409" s="216" t="str">
        <f t="shared" si="130"/>
        <v>Mar</v>
      </c>
      <c r="G409" s="215" t="s">
        <v>958</v>
      </c>
      <c r="H409" s="215" t="s">
        <v>104</v>
      </c>
      <c r="I409" s="215" t="s">
        <v>2772</v>
      </c>
      <c r="J409" s="209" t="s">
        <v>105</v>
      </c>
      <c r="K409" s="217" t="s">
        <v>107</v>
      </c>
      <c r="L409" s="300" t="s">
        <v>2167</v>
      </c>
      <c r="M409" s="209" t="s">
        <v>108</v>
      </c>
      <c r="N409" s="215" t="s">
        <v>109</v>
      </c>
      <c r="O409" s="215" t="s">
        <v>110</v>
      </c>
      <c r="P409" s="218">
        <v>36</v>
      </c>
      <c r="Q409" s="218">
        <v>5</v>
      </c>
      <c r="R409" s="219">
        <v>7.4999999999999997E-3</v>
      </c>
      <c r="S409" s="215" t="s">
        <v>111</v>
      </c>
      <c r="T409" s="215" t="s">
        <v>112</v>
      </c>
      <c r="U409" s="215" t="s">
        <v>113</v>
      </c>
      <c r="V409" s="220">
        <f>4234-711-792-792-792-792</f>
        <v>355</v>
      </c>
      <c r="W409" s="220">
        <f>4234-711-792-792-792-792</f>
        <v>355</v>
      </c>
      <c r="X409" s="221"/>
      <c r="Y409" s="222">
        <f t="shared" si="134"/>
        <v>0</v>
      </c>
      <c r="Z409" s="223">
        <f t="shared" si="135"/>
        <v>0</v>
      </c>
      <c r="AA409" s="223"/>
      <c r="AB409" s="807"/>
      <c r="AC409" s="220"/>
      <c r="AD409" s="209"/>
      <c r="AE409" s="210"/>
      <c r="AF409" s="210"/>
      <c r="AG409" s="211">
        <f t="shared" si="136"/>
        <v>0.308</v>
      </c>
      <c r="AH409" s="157">
        <f t="shared" si="132"/>
        <v>0</v>
      </c>
      <c r="AI409" s="152">
        <f t="shared" si="137"/>
        <v>12780</v>
      </c>
      <c r="AK409" s="156" t="s">
        <v>691</v>
      </c>
      <c r="AL409" s="574" t="s">
        <v>690</v>
      </c>
      <c r="AM409" s="198">
        <f t="shared" si="133"/>
        <v>0</v>
      </c>
      <c r="AN409" s="199">
        <f t="shared" si="131"/>
        <v>45361</v>
      </c>
      <c r="AO409" s="159" t="s">
        <v>692</v>
      </c>
      <c r="AP409" s="781"/>
      <c r="AQ409" s="782">
        <v>12063755</v>
      </c>
      <c r="AR409" s="782">
        <v>12061353</v>
      </c>
      <c r="AS409" s="782">
        <v>12061354</v>
      </c>
      <c r="AT409" s="782">
        <v>12068566</v>
      </c>
      <c r="AU409" s="781"/>
      <c r="AV409" s="782">
        <v>12068564</v>
      </c>
      <c r="AW409" s="782">
        <v>12062153</v>
      </c>
      <c r="AX409" s="782"/>
      <c r="AY409" s="782">
        <v>12068565</v>
      </c>
      <c r="AZ409" s="782"/>
      <c r="BA409" s="781"/>
    </row>
    <row r="410" spans="1:53" ht="24.75" hidden="1" customHeight="1">
      <c r="B410" s="295">
        <v>45362</v>
      </c>
      <c r="C410" s="296">
        <v>45369</v>
      </c>
      <c r="D410" s="185">
        <f t="shared" si="129"/>
        <v>2024</v>
      </c>
      <c r="E410" s="296" t="str">
        <f>VLOOKUP($B410,Week!$A$1:$C$1462,2,0)</f>
        <v>Week11</v>
      </c>
      <c r="F410" s="297" t="str">
        <f t="shared" si="130"/>
        <v>Mar</v>
      </c>
      <c r="G410" s="298" t="s">
        <v>47</v>
      </c>
      <c r="H410" s="298" t="s">
        <v>260</v>
      </c>
      <c r="I410" s="298" t="s">
        <v>2702</v>
      </c>
      <c r="J410" s="307" t="s">
        <v>904</v>
      </c>
      <c r="K410" s="300" t="s">
        <v>176</v>
      </c>
      <c r="L410" s="300" t="s">
        <v>2167</v>
      </c>
      <c r="M410" s="299" t="s">
        <v>262</v>
      </c>
      <c r="N410" s="298" t="s">
        <v>350</v>
      </c>
      <c r="O410" s="298" t="s">
        <v>351</v>
      </c>
      <c r="P410" s="301">
        <v>24</v>
      </c>
      <c r="Q410" s="301">
        <v>5</v>
      </c>
      <c r="R410" s="302">
        <v>6.1999999999999998E-3</v>
      </c>
      <c r="S410" s="298" t="s">
        <v>352</v>
      </c>
      <c r="T410" s="298" t="s">
        <v>56</v>
      </c>
      <c r="U410" s="298" t="s">
        <v>57</v>
      </c>
      <c r="V410" s="303">
        <v>5567</v>
      </c>
      <c r="W410" s="303">
        <v>5567</v>
      </c>
      <c r="X410" s="304"/>
      <c r="Y410" s="305">
        <f t="shared" si="134"/>
        <v>0</v>
      </c>
      <c r="Z410" s="306">
        <f t="shared" si="135"/>
        <v>0</v>
      </c>
      <c r="AA410" s="306"/>
      <c r="AB410" s="814"/>
      <c r="AC410" s="303"/>
      <c r="AD410" s="580" t="s">
        <v>672</v>
      </c>
      <c r="AE410" s="210"/>
      <c r="AF410" s="210"/>
      <c r="AG410" s="211">
        <f t="shared" si="136"/>
        <v>0.13</v>
      </c>
      <c r="AH410" s="157">
        <f t="shared" si="132"/>
        <v>0</v>
      </c>
      <c r="AI410" s="152">
        <f t="shared" si="137"/>
        <v>133608</v>
      </c>
      <c r="AK410" s="156" t="s">
        <v>691</v>
      </c>
      <c r="AL410" s="574" t="s">
        <v>690</v>
      </c>
      <c r="AM410" s="198">
        <f t="shared" si="133"/>
        <v>0</v>
      </c>
      <c r="AN410" s="199">
        <f t="shared" si="131"/>
        <v>45362</v>
      </c>
      <c r="AO410" s="159" t="s">
        <v>692</v>
      </c>
      <c r="AP410" s="783" t="s">
        <v>629</v>
      </c>
      <c r="AQ410" s="782">
        <v>12071839</v>
      </c>
      <c r="AR410" s="782">
        <v>12078867</v>
      </c>
      <c r="AS410" s="782">
        <v>12068233</v>
      </c>
      <c r="AT410" s="781"/>
      <c r="AU410" s="781"/>
      <c r="AV410" s="782">
        <v>12062075</v>
      </c>
      <c r="AW410" s="781"/>
      <c r="AX410" s="781"/>
      <c r="AY410" s="782">
        <v>12078868</v>
      </c>
      <c r="AZ410" s="781"/>
      <c r="BA410" s="781"/>
    </row>
    <row r="411" spans="1:53" ht="24.65" hidden="1" customHeight="1">
      <c r="A411" s="142" t="s">
        <v>120</v>
      </c>
      <c r="B411" s="383">
        <v>45362</v>
      </c>
      <c r="C411" s="224">
        <v>45377</v>
      </c>
      <c r="D411" s="185">
        <f t="shared" si="129"/>
        <v>2024</v>
      </c>
      <c r="E411" s="224" t="str">
        <f>VLOOKUP($B411,Week!$A$1:$C$1462,2,0)</f>
        <v>Week11</v>
      </c>
      <c r="F411" s="226" t="str">
        <f t="shared" si="130"/>
        <v>Mar</v>
      </c>
      <c r="G411" s="225" t="s">
        <v>1037</v>
      </c>
      <c r="H411" s="225" t="s">
        <v>1259</v>
      </c>
      <c r="I411" s="225" t="s">
        <v>2772</v>
      </c>
      <c r="J411" s="227" t="s">
        <v>512</v>
      </c>
      <c r="K411" s="228" t="s">
        <v>85</v>
      </c>
      <c r="L411" s="390" t="s">
        <v>2166</v>
      </c>
      <c r="M411" s="227" t="s">
        <v>165</v>
      </c>
      <c r="N411" s="225" t="s">
        <v>700</v>
      </c>
      <c r="O411" s="225" t="s">
        <v>287</v>
      </c>
      <c r="P411" s="229">
        <v>40</v>
      </c>
      <c r="Q411" s="229">
        <v>12</v>
      </c>
      <c r="R411" s="230">
        <v>8.1300000000000001E-3</v>
      </c>
      <c r="S411" s="225" t="s">
        <v>40</v>
      </c>
      <c r="T411" s="225" t="s">
        <v>112</v>
      </c>
      <c r="U411" s="225" t="s">
        <v>89</v>
      </c>
      <c r="V411" s="231">
        <v>474</v>
      </c>
      <c r="W411" s="231">
        <v>474</v>
      </c>
      <c r="X411" s="232"/>
      <c r="Y411" s="233">
        <f t="shared" si="134"/>
        <v>0</v>
      </c>
      <c r="Z411" s="234">
        <f t="shared" si="135"/>
        <v>0</v>
      </c>
      <c r="AA411" s="234">
        <f>Q411*Z411</f>
        <v>0</v>
      </c>
      <c r="AB411" s="822">
        <v>2</v>
      </c>
      <c r="AC411" s="231">
        <f>Z411*AB411</f>
        <v>0</v>
      </c>
      <c r="AD411" s="307" t="s">
        <v>729</v>
      </c>
      <c r="AE411" s="210"/>
      <c r="AF411" s="210"/>
      <c r="AG411" s="211">
        <f t="shared" si="136"/>
        <v>0.154</v>
      </c>
      <c r="AH411" s="157">
        <f t="shared" si="132"/>
        <v>0</v>
      </c>
      <c r="AI411" s="152">
        <f t="shared" si="137"/>
        <v>18960</v>
      </c>
      <c r="AK411" s="156" t="s">
        <v>691</v>
      </c>
      <c r="AL411" s="156" t="s">
        <v>689</v>
      </c>
      <c r="AM411" s="198">
        <f t="shared" si="133"/>
        <v>0</v>
      </c>
      <c r="AN411" s="199">
        <f t="shared" si="131"/>
        <v>45362</v>
      </c>
      <c r="AO411" s="159" t="s">
        <v>692</v>
      </c>
      <c r="AP411" s="781"/>
      <c r="AQ411" s="782">
        <v>12028328</v>
      </c>
      <c r="AR411" s="782">
        <v>12019692</v>
      </c>
      <c r="AS411" s="782"/>
      <c r="AT411" s="782">
        <v>12056457</v>
      </c>
      <c r="AU411" s="782"/>
      <c r="AV411" s="782">
        <v>12056565</v>
      </c>
      <c r="AW411" s="782">
        <v>12034747</v>
      </c>
      <c r="AX411" s="782" t="s">
        <v>398</v>
      </c>
      <c r="AY411" s="782" t="s">
        <v>513</v>
      </c>
      <c r="AZ411" s="782"/>
      <c r="BA411" s="781"/>
    </row>
    <row r="412" spans="1:53" ht="25" hidden="1" customHeight="1">
      <c r="B412" s="213">
        <v>45363</v>
      </c>
      <c r="C412" s="578">
        <v>45370</v>
      </c>
      <c r="D412" s="185">
        <f t="shared" si="129"/>
        <v>2024</v>
      </c>
      <c r="E412" s="215" t="str">
        <f>VLOOKUP($B412,Week!$A$1:$C$1462,2,0)</f>
        <v>Week11</v>
      </c>
      <c r="F412" s="216" t="str">
        <f t="shared" si="130"/>
        <v>Mar</v>
      </c>
      <c r="G412" s="215" t="s">
        <v>958</v>
      </c>
      <c r="H412" s="215" t="s">
        <v>104</v>
      </c>
      <c r="I412" s="215" t="s">
        <v>2772</v>
      </c>
      <c r="J412" s="209" t="s">
        <v>105</v>
      </c>
      <c r="K412" s="217" t="s">
        <v>107</v>
      </c>
      <c r="L412" s="300" t="s">
        <v>2167</v>
      </c>
      <c r="M412" s="209" t="s">
        <v>108</v>
      </c>
      <c r="N412" s="215" t="s">
        <v>109</v>
      </c>
      <c r="O412" s="215" t="s">
        <v>110</v>
      </c>
      <c r="P412" s="218">
        <v>36</v>
      </c>
      <c r="Q412" s="218">
        <v>5</v>
      </c>
      <c r="R412" s="219">
        <v>7.4999999999999997E-3</v>
      </c>
      <c r="S412" s="215" t="s">
        <v>111</v>
      </c>
      <c r="T412" s="215" t="s">
        <v>112</v>
      </c>
      <c r="U412" s="215" t="s">
        <v>113</v>
      </c>
      <c r="V412" s="220">
        <f>792-355</f>
        <v>437</v>
      </c>
      <c r="W412" s="220">
        <f>792-355</f>
        <v>437</v>
      </c>
      <c r="X412" s="221"/>
      <c r="Y412" s="222">
        <f t="shared" si="134"/>
        <v>0</v>
      </c>
      <c r="Z412" s="223">
        <f t="shared" si="135"/>
        <v>0</v>
      </c>
      <c r="AA412" s="223"/>
      <c r="AB412" s="807"/>
      <c r="AC412" s="220"/>
      <c r="AD412" s="209"/>
      <c r="AE412" s="210"/>
      <c r="AF412" s="210"/>
      <c r="AG412" s="211">
        <f t="shared" si="136"/>
        <v>0.308</v>
      </c>
      <c r="AH412" s="157">
        <f>(Z412*AG412)/1000</f>
        <v>0</v>
      </c>
      <c r="AI412" s="152">
        <f t="shared" si="137"/>
        <v>15732</v>
      </c>
      <c r="AK412" s="156" t="s">
        <v>691</v>
      </c>
      <c r="AL412" s="574" t="s">
        <v>690</v>
      </c>
      <c r="AM412" s="198">
        <f>AG412*Z412</f>
        <v>0</v>
      </c>
      <c r="AN412" s="199">
        <f t="shared" si="131"/>
        <v>45363</v>
      </c>
      <c r="AO412" s="159" t="s">
        <v>692</v>
      </c>
      <c r="AP412" s="781"/>
      <c r="AQ412" s="782">
        <v>12063755</v>
      </c>
      <c r="AR412" s="782">
        <v>12061353</v>
      </c>
      <c r="AS412" s="782">
        <v>12061354</v>
      </c>
      <c r="AT412" s="782">
        <v>12068566</v>
      </c>
      <c r="AU412" s="781"/>
      <c r="AV412" s="782">
        <v>12068564</v>
      </c>
      <c r="AW412" s="782">
        <v>12062153</v>
      </c>
      <c r="AX412" s="782"/>
      <c r="AY412" s="782">
        <v>12068565</v>
      </c>
      <c r="AZ412" s="782"/>
      <c r="BA412" s="781"/>
    </row>
    <row r="413" spans="1:53" ht="25" hidden="1" customHeight="1">
      <c r="B413" s="213">
        <v>45363</v>
      </c>
      <c r="C413" s="578">
        <v>45370</v>
      </c>
      <c r="D413" s="185">
        <f t="shared" si="129"/>
        <v>2024</v>
      </c>
      <c r="E413" s="215" t="str">
        <f>VLOOKUP($B413,Week!$A$1:$C$1462,2,0)</f>
        <v>Week11</v>
      </c>
      <c r="F413" s="216" t="str">
        <f t="shared" si="130"/>
        <v>Mar</v>
      </c>
      <c r="G413" s="215" t="s">
        <v>959</v>
      </c>
      <c r="H413" s="215" t="s">
        <v>104</v>
      </c>
      <c r="I413" s="215" t="s">
        <v>2772</v>
      </c>
      <c r="J413" s="209" t="s">
        <v>105</v>
      </c>
      <c r="K413" s="217" t="s">
        <v>107</v>
      </c>
      <c r="L413" s="300" t="s">
        <v>2167</v>
      </c>
      <c r="M413" s="209" t="s">
        <v>108</v>
      </c>
      <c r="N413" s="215" t="s">
        <v>109</v>
      </c>
      <c r="O413" s="215" t="s">
        <v>110</v>
      </c>
      <c r="P413" s="218">
        <v>36</v>
      </c>
      <c r="Q413" s="218">
        <v>5</v>
      </c>
      <c r="R413" s="219">
        <v>7.4999999999999997E-3</v>
      </c>
      <c r="S413" s="215" t="s">
        <v>111</v>
      </c>
      <c r="T413" s="215" t="s">
        <v>112</v>
      </c>
      <c r="U413" s="215" t="s">
        <v>113</v>
      </c>
      <c r="V413" s="220">
        <v>792</v>
      </c>
      <c r="W413" s="220">
        <v>792</v>
      </c>
      <c r="X413" s="221"/>
      <c r="Y413" s="222">
        <f t="shared" si="134"/>
        <v>0</v>
      </c>
      <c r="Z413" s="223">
        <f t="shared" si="135"/>
        <v>0</v>
      </c>
      <c r="AA413" s="223"/>
      <c r="AB413" s="807"/>
      <c r="AC413" s="220"/>
      <c r="AD413" s="209"/>
      <c r="AE413" s="210"/>
      <c r="AF413" s="210"/>
      <c r="AG413" s="211">
        <f t="shared" si="136"/>
        <v>0.308</v>
      </c>
      <c r="AH413" s="157">
        <f>(Z413*AG413)/1000</f>
        <v>0</v>
      </c>
      <c r="AI413" s="152">
        <f t="shared" si="137"/>
        <v>28512</v>
      </c>
      <c r="AK413" s="156" t="s">
        <v>691</v>
      </c>
      <c r="AL413" s="574" t="s">
        <v>690</v>
      </c>
      <c r="AM413" s="198">
        <f>AG413*Z413</f>
        <v>0</v>
      </c>
      <c r="AN413" s="199">
        <f t="shared" si="131"/>
        <v>45363</v>
      </c>
      <c r="AO413" s="159" t="s">
        <v>692</v>
      </c>
      <c r="AP413" s="781"/>
      <c r="AQ413" s="782">
        <v>12063755</v>
      </c>
      <c r="AR413" s="782">
        <v>12061353</v>
      </c>
      <c r="AS413" s="782">
        <v>12061354</v>
      </c>
      <c r="AT413" s="782">
        <v>12068566</v>
      </c>
      <c r="AU413" s="781"/>
      <c r="AV413" s="782">
        <v>12068564</v>
      </c>
      <c r="AW413" s="782">
        <v>12062153</v>
      </c>
      <c r="AX413" s="782"/>
      <c r="AY413" s="782">
        <v>12068565</v>
      </c>
      <c r="AZ413" s="782"/>
      <c r="BA413" s="781"/>
    </row>
    <row r="414" spans="1:53" ht="25" hidden="1" customHeight="1">
      <c r="B414" s="213">
        <v>45363</v>
      </c>
      <c r="C414" s="578">
        <v>45370</v>
      </c>
      <c r="D414" s="185">
        <f t="shared" si="129"/>
        <v>2024</v>
      </c>
      <c r="E414" s="215" t="str">
        <f>VLOOKUP($B414,Week!$A$1:$C$1462,2,0)</f>
        <v>Week11</v>
      </c>
      <c r="F414" s="216" t="str">
        <f t="shared" si="130"/>
        <v>Mar</v>
      </c>
      <c r="G414" s="215" t="s">
        <v>960</v>
      </c>
      <c r="H414" s="215" t="s">
        <v>104</v>
      </c>
      <c r="I414" s="215" t="s">
        <v>2772</v>
      </c>
      <c r="J414" s="209" t="s">
        <v>105</v>
      </c>
      <c r="K414" s="217" t="s">
        <v>107</v>
      </c>
      <c r="L414" s="300" t="s">
        <v>2167</v>
      </c>
      <c r="M414" s="209" t="s">
        <v>108</v>
      </c>
      <c r="N414" s="215" t="s">
        <v>109</v>
      </c>
      <c r="O414" s="215" t="s">
        <v>110</v>
      </c>
      <c r="P414" s="218">
        <v>36</v>
      </c>
      <c r="Q414" s="218">
        <v>5</v>
      </c>
      <c r="R414" s="219">
        <v>7.4999999999999997E-3</v>
      </c>
      <c r="S414" s="215" t="s">
        <v>111</v>
      </c>
      <c r="T414" s="215" t="s">
        <v>112</v>
      </c>
      <c r="U414" s="215" t="s">
        <v>113</v>
      </c>
      <c r="V414" s="220">
        <v>792</v>
      </c>
      <c r="W414" s="220">
        <v>792</v>
      </c>
      <c r="X414" s="221"/>
      <c r="Y414" s="222">
        <f t="shared" si="134"/>
        <v>0</v>
      </c>
      <c r="Z414" s="223">
        <f t="shared" si="135"/>
        <v>0</v>
      </c>
      <c r="AA414" s="223"/>
      <c r="AB414" s="807"/>
      <c r="AC414" s="220"/>
      <c r="AD414" s="209"/>
      <c r="AE414" s="210"/>
      <c r="AF414" s="210"/>
      <c r="AG414" s="211">
        <f t="shared" si="136"/>
        <v>0.308</v>
      </c>
      <c r="AH414" s="157">
        <f>(Z414*AG414)/1000</f>
        <v>0</v>
      </c>
      <c r="AI414" s="152">
        <f t="shared" si="137"/>
        <v>28512</v>
      </c>
      <c r="AK414" s="156" t="s">
        <v>691</v>
      </c>
      <c r="AL414" s="574" t="s">
        <v>690</v>
      </c>
      <c r="AM414" s="198">
        <f>AG414*Z414</f>
        <v>0</v>
      </c>
      <c r="AN414" s="199">
        <f t="shared" si="131"/>
        <v>45363</v>
      </c>
      <c r="AO414" s="159" t="s">
        <v>692</v>
      </c>
      <c r="AP414" s="781"/>
      <c r="AQ414" s="782">
        <v>12063755</v>
      </c>
      <c r="AR414" s="782">
        <v>12061353</v>
      </c>
      <c r="AS414" s="782">
        <v>12061354</v>
      </c>
      <c r="AT414" s="782">
        <v>12068566</v>
      </c>
      <c r="AU414" s="781"/>
      <c r="AV414" s="782">
        <v>12068564</v>
      </c>
      <c r="AW414" s="782">
        <v>12062153</v>
      </c>
      <c r="AX414" s="782"/>
      <c r="AY414" s="782">
        <v>12068565</v>
      </c>
      <c r="AZ414" s="782"/>
      <c r="BA414" s="781"/>
    </row>
    <row r="415" spans="1:53" ht="25" hidden="1" customHeight="1">
      <c r="B415" s="213">
        <v>45363</v>
      </c>
      <c r="C415" s="578">
        <v>45370</v>
      </c>
      <c r="D415" s="185">
        <f t="shared" si="129"/>
        <v>2024</v>
      </c>
      <c r="E415" s="215" t="str">
        <f>VLOOKUP($B415,Week!$A$1:$C$1462,2,0)</f>
        <v>Week11</v>
      </c>
      <c r="F415" s="216" t="str">
        <f t="shared" si="130"/>
        <v>Mar</v>
      </c>
      <c r="G415" s="215" t="s">
        <v>961</v>
      </c>
      <c r="H415" s="215" t="s">
        <v>104</v>
      </c>
      <c r="I415" s="215" t="s">
        <v>2772</v>
      </c>
      <c r="J415" s="209" t="s">
        <v>105</v>
      </c>
      <c r="K415" s="217" t="s">
        <v>107</v>
      </c>
      <c r="L415" s="300" t="s">
        <v>2167</v>
      </c>
      <c r="M415" s="209" t="s">
        <v>108</v>
      </c>
      <c r="N415" s="215" t="s">
        <v>109</v>
      </c>
      <c r="O415" s="215" t="s">
        <v>110</v>
      </c>
      <c r="P415" s="218">
        <v>36</v>
      </c>
      <c r="Q415" s="218">
        <v>5</v>
      </c>
      <c r="R415" s="219">
        <v>7.4999999999999997E-3</v>
      </c>
      <c r="S415" s="215" t="s">
        <v>111</v>
      </c>
      <c r="T415" s="215" t="s">
        <v>112</v>
      </c>
      <c r="U415" s="215" t="s">
        <v>113</v>
      </c>
      <c r="V415" s="220">
        <v>792</v>
      </c>
      <c r="W415" s="220">
        <v>792</v>
      </c>
      <c r="X415" s="221"/>
      <c r="Y415" s="222">
        <f t="shared" si="134"/>
        <v>0</v>
      </c>
      <c r="Z415" s="223">
        <f t="shared" si="135"/>
        <v>0</v>
      </c>
      <c r="AA415" s="223"/>
      <c r="AB415" s="807"/>
      <c r="AC415" s="220"/>
      <c r="AD415" s="209"/>
      <c r="AE415" s="210"/>
      <c r="AF415" s="210"/>
      <c r="AG415" s="211">
        <f t="shared" si="136"/>
        <v>0.308</v>
      </c>
      <c r="AH415" s="157">
        <f t="shared" si="132"/>
        <v>0</v>
      </c>
      <c r="AI415" s="152">
        <f t="shared" si="137"/>
        <v>28512</v>
      </c>
      <c r="AK415" s="156" t="s">
        <v>691</v>
      </c>
      <c r="AL415" s="574" t="s">
        <v>690</v>
      </c>
      <c r="AM415" s="198">
        <f t="shared" si="133"/>
        <v>0</v>
      </c>
      <c r="AN415" s="199">
        <f t="shared" si="131"/>
        <v>45363</v>
      </c>
      <c r="AO415" s="159" t="s">
        <v>692</v>
      </c>
      <c r="AP415" s="781"/>
      <c r="AQ415" s="782">
        <v>12063755</v>
      </c>
      <c r="AR415" s="782">
        <v>12061353</v>
      </c>
      <c r="AS415" s="782">
        <v>12061354</v>
      </c>
      <c r="AT415" s="782">
        <v>12068566</v>
      </c>
      <c r="AU415" s="781"/>
      <c r="AV415" s="782">
        <v>12068564</v>
      </c>
      <c r="AW415" s="782">
        <v>12062153</v>
      </c>
      <c r="AX415" s="782"/>
      <c r="AY415" s="782">
        <v>12068565</v>
      </c>
      <c r="AZ415" s="782"/>
      <c r="BA415" s="781"/>
    </row>
    <row r="416" spans="1:53" ht="25" hidden="1" customHeight="1">
      <c r="B416" s="213">
        <v>45363</v>
      </c>
      <c r="C416" s="578">
        <v>45370</v>
      </c>
      <c r="D416" s="185">
        <f t="shared" si="129"/>
        <v>2024</v>
      </c>
      <c r="E416" s="215" t="str">
        <f>VLOOKUP($B416,Week!$A$1:$C$1462,2,0)</f>
        <v>Week11</v>
      </c>
      <c r="F416" s="216" t="str">
        <f t="shared" si="130"/>
        <v>Mar</v>
      </c>
      <c r="G416" s="215" t="s">
        <v>962</v>
      </c>
      <c r="H416" s="215" t="s">
        <v>104</v>
      </c>
      <c r="I416" s="215" t="s">
        <v>2772</v>
      </c>
      <c r="J416" s="209" t="s">
        <v>105</v>
      </c>
      <c r="K416" s="217" t="s">
        <v>107</v>
      </c>
      <c r="L416" s="300" t="s">
        <v>2167</v>
      </c>
      <c r="M416" s="209" t="s">
        <v>108</v>
      </c>
      <c r="N416" s="215" t="s">
        <v>109</v>
      </c>
      <c r="O416" s="215" t="s">
        <v>110</v>
      </c>
      <c r="P416" s="218">
        <v>36</v>
      </c>
      <c r="Q416" s="218">
        <v>5</v>
      </c>
      <c r="R416" s="219">
        <v>7.4999999999999997E-3</v>
      </c>
      <c r="S416" s="215" t="s">
        <v>111</v>
      </c>
      <c r="T416" s="215" t="s">
        <v>112</v>
      </c>
      <c r="U416" s="215" t="s">
        <v>113</v>
      </c>
      <c r="V416" s="220">
        <v>792</v>
      </c>
      <c r="W416" s="220">
        <v>792</v>
      </c>
      <c r="X416" s="221"/>
      <c r="Y416" s="222">
        <f t="shared" si="134"/>
        <v>0</v>
      </c>
      <c r="Z416" s="223">
        <f t="shared" si="135"/>
        <v>0</v>
      </c>
      <c r="AA416" s="223"/>
      <c r="AB416" s="807"/>
      <c r="AC416" s="220"/>
      <c r="AD416" s="209"/>
      <c r="AE416" s="210"/>
      <c r="AF416" s="210"/>
      <c r="AG416" s="211">
        <f t="shared" si="136"/>
        <v>0.308</v>
      </c>
      <c r="AH416" s="157">
        <f t="shared" si="132"/>
        <v>0</v>
      </c>
      <c r="AI416" s="152">
        <f t="shared" si="137"/>
        <v>28512</v>
      </c>
      <c r="AK416" s="156" t="s">
        <v>691</v>
      </c>
      <c r="AL416" s="574" t="s">
        <v>690</v>
      </c>
      <c r="AM416" s="198">
        <f t="shared" si="133"/>
        <v>0</v>
      </c>
      <c r="AN416" s="199">
        <f t="shared" si="131"/>
        <v>45363</v>
      </c>
      <c r="AO416" s="159" t="s">
        <v>692</v>
      </c>
      <c r="AP416" s="781"/>
      <c r="AQ416" s="782">
        <v>12063755</v>
      </c>
      <c r="AR416" s="782">
        <v>12061353</v>
      </c>
      <c r="AS416" s="782">
        <v>12061354</v>
      </c>
      <c r="AT416" s="782">
        <v>12068566</v>
      </c>
      <c r="AU416" s="781"/>
      <c r="AV416" s="782">
        <v>12068564</v>
      </c>
      <c r="AW416" s="782">
        <v>12062153</v>
      </c>
      <c r="AX416" s="782"/>
      <c r="AY416" s="782">
        <v>12068565</v>
      </c>
      <c r="AZ416" s="782"/>
      <c r="BA416" s="781"/>
    </row>
    <row r="417" spans="1:53" ht="25" hidden="1" customHeight="1">
      <c r="B417" s="213">
        <v>45363</v>
      </c>
      <c r="C417" s="578">
        <v>45370</v>
      </c>
      <c r="D417" s="185">
        <f t="shared" si="129"/>
        <v>2024</v>
      </c>
      <c r="E417" s="215" t="str">
        <f>VLOOKUP($B417,Week!$A$1:$C$1462,2,0)</f>
        <v>Week11</v>
      </c>
      <c r="F417" s="216" t="str">
        <f t="shared" si="130"/>
        <v>Mar</v>
      </c>
      <c r="G417" s="215" t="s">
        <v>963</v>
      </c>
      <c r="H417" s="215" t="s">
        <v>104</v>
      </c>
      <c r="I417" s="215" t="s">
        <v>2772</v>
      </c>
      <c r="J417" s="209" t="s">
        <v>105</v>
      </c>
      <c r="K417" s="217" t="s">
        <v>107</v>
      </c>
      <c r="L417" s="300" t="s">
        <v>2167</v>
      </c>
      <c r="M417" s="209" t="s">
        <v>108</v>
      </c>
      <c r="N417" s="215" t="s">
        <v>109</v>
      </c>
      <c r="O417" s="215" t="s">
        <v>110</v>
      </c>
      <c r="P417" s="218">
        <v>36</v>
      </c>
      <c r="Q417" s="218">
        <v>5</v>
      </c>
      <c r="R417" s="219">
        <v>7.4999999999999997E-3</v>
      </c>
      <c r="S417" s="215" t="s">
        <v>111</v>
      </c>
      <c r="T417" s="215" t="s">
        <v>112</v>
      </c>
      <c r="U417" s="215" t="s">
        <v>113</v>
      </c>
      <c r="V417" s="220">
        <f>3948-437-792-792-792-792</f>
        <v>343</v>
      </c>
      <c r="W417" s="220">
        <f>3948-437-792-792-792-792</f>
        <v>343</v>
      </c>
      <c r="X417" s="221"/>
      <c r="Y417" s="222">
        <f t="shared" si="134"/>
        <v>0</v>
      </c>
      <c r="Z417" s="223">
        <f t="shared" si="135"/>
        <v>0</v>
      </c>
      <c r="AA417" s="223"/>
      <c r="AB417" s="807"/>
      <c r="AC417" s="220"/>
      <c r="AD417" s="209"/>
      <c r="AE417" s="210"/>
      <c r="AF417" s="210"/>
      <c r="AG417" s="211">
        <f t="shared" si="136"/>
        <v>0.308</v>
      </c>
      <c r="AH417" s="157">
        <f t="shared" si="132"/>
        <v>0</v>
      </c>
      <c r="AI417" s="152">
        <f t="shared" si="137"/>
        <v>12348</v>
      </c>
      <c r="AK417" s="156" t="s">
        <v>691</v>
      </c>
      <c r="AL417" s="574" t="s">
        <v>690</v>
      </c>
      <c r="AM417" s="198">
        <f t="shared" si="133"/>
        <v>0</v>
      </c>
      <c r="AN417" s="199">
        <f t="shared" si="131"/>
        <v>45363</v>
      </c>
      <c r="AO417" s="159" t="s">
        <v>692</v>
      </c>
      <c r="AP417" s="781"/>
      <c r="AQ417" s="782">
        <v>12063755</v>
      </c>
      <c r="AR417" s="782">
        <v>12061353</v>
      </c>
      <c r="AS417" s="782">
        <v>12061354</v>
      </c>
      <c r="AT417" s="782">
        <v>12068566</v>
      </c>
      <c r="AU417" s="781"/>
      <c r="AV417" s="782">
        <v>12068564</v>
      </c>
      <c r="AW417" s="782">
        <v>12062153</v>
      </c>
      <c r="AX417" s="782"/>
      <c r="AY417" s="782">
        <v>12068565</v>
      </c>
      <c r="AZ417" s="782"/>
      <c r="BA417" s="781"/>
    </row>
    <row r="418" spans="1:53" ht="24.65" hidden="1" customHeight="1">
      <c r="A418" s="142" t="s">
        <v>120</v>
      </c>
      <c r="B418" s="383">
        <v>45363</v>
      </c>
      <c r="C418" s="224">
        <v>45377</v>
      </c>
      <c r="D418" s="185">
        <f t="shared" si="129"/>
        <v>2024</v>
      </c>
      <c r="E418" s="224" t="str">
        <f>VLOOKUP($B418,Week!$A$1:$C$1462,2,0)</f>
        <v>Week11</v>
      </c>
      <c r="F418" s="226" t="str">
        <f t="shared" si="130"/>
        <v>Mar</v>
      </c>
      <c r="G418" s="225" t="s">
        <v>1037</v>
      </c>
      <c r="H418" s="225" t="s">
        <v>1259</v>
      </c>
      <c r="I418" s="225" t="s">
        <v>2772</v>
      </c>
      <c r="J418" s="227" t="s">
        <v>512</v>
      </c>
      <c r="K418" s="228" t="s">
        <v>85</v>
      </c>
      <c r="L418" s="390" t="s">
        <v>2166</v>
      </c>
      <c r="M418" s="227" t="s">
        <v>165</v>
      </c>
      <c r="N418" s="225" t="s">
        <v>700</v>
      </c>
      <c r="O418" s="225" t="s">
        <v>287</v>
      </c>
      <c r="P418" s="229">
        <v>40</v>
      </c>
      <c r="Q418" s="229">
        <v>12</v>
      </c>
      <c r="R418" s="230">
        <v>8.1300000000000001E-3</v>
      </c>
      <c r="S418" s="225" t="s">
        <v>40</v>
      </c>
      <c r="T418" s="225" t="s">
        <v>112</v>
      </c>
      <c r="U418" s="225" t="s">
        <v>89</v>
      </c>
      <c r="V418" s="231">
        <v>452</v>
      </c>
      <c r="W418" s="231">
        <v>452</v>
      </c>
      <c r="X418" s="232"/>
      <c r="Y418" s="233">
        <f t="shared" si="134"/>
        <v>0</v>
      </c>
      <c r="Z418" s="234">
        <f t="shared" si="135"/>
        <v>0</v>
      </c>
      <c r="AA418" s="234">
        <f>Q418*Z418</f>
        <v>0</v>
      </c>
      <c r="AB418" s="822">
        <v>2</v>
      </c>
      <c r="AC418" s="231">
        <f>Z418*AB418</f>
        <v>0</v>
      </c>
      <c r="AD418" s="307" t="s">
        <v>729</v>
      </c>
      <c r="AE418" s="210"/>
      <c r="AF418" s="210"/>
      <c r="AG418" s="211">
        <f t="shared" si="136"/>
        <v>0.154</v>
      </c>
      <c r="AH418" s="157">
        <f t="shared" si="132"/>
        <v>0</v>
      </c>
      <c r="AI418" s="152">
        <f t="shared" si="137"/>
        <v>18080</v>
      </c>
      <c r="AK418" s="156" t="s">
        <v>691</v>
      </c>
      <c r="AL418" s="156" t="s">
        <v>689</v>
      </c>
      <c r="AM418" s="198">
        <f t="shared" si="133"/>
        <v>0</v>
      </c>
      <c r="AN418" s="199">
        <f t="shared" si="131"/>
        <v>45363</v>
      </c>
      <c r="AO418" s="159" t="s">
        <v>692</v>
      </c>
      <c r="AP418" s="781"/>
      <c r="AQ418" s="782">
        <v>12028328</v>
      </c>
      <c r="AR418" s="782">
        <v>12019692</v>
      </c>
      <c r="AS418" s="782"/>
      <c r="AT418" s="782">
        <v>12056457</v>
      </c>
      <c r="AU418" s="782"/>
      <c r="AV418" s="782">
        <v>12056565</v>
      </c>
      <c r="AW418" s="782">
        <v>12034747</v>
      </c>
      <c r="AX418" s="782" t="s">
        <v>398</v>
      </c>
      <c r="AY418" s="782" t="s">
        <v>513</v>
      </c>
      <c r="AZ418" s="782"/>
      <c r="BA418" s="781"/>
    </row>
    <row r="419" spans="1:53" ht="25" hidden="1" customHeight="1">
      <c r="B419" s="600">
        <v>45364</v>
      </c>
      <c r="C419" s="546"/>
      <c r="D419" s="185">
        <f t="shared" si="129"/>
        <v>2024</v>
      </c>
      <c r="E419" s="547" t="str">
        <f>VLOOKUP($B419,Week!$A$1:$C$1462,2,0)</f>
        <v>Week11</v>
      </c>
      <c r="F419" s="548" t="str">
        <f t="shared" si="130"/>
        <v>Mar</v>
      </c>
      <c r="G419" s="549" t="s">
        <v>1169</v>
      </c>
      <c r="H419" s="549" t="s">
        <v>500</v>
      </c>
      <c r="I419" s="549" t="s">
        <v>2772</v>
      </c>
      <c r="J419" s="550" t="s">
        <v>285</v>
      </c>
      <c r="K419" s="551" t="s">
        <v>176</v>
      </c>
      <c r="L419" s="300" t="s">
        <v>2167</v>
      </c>
      <c r="M419" s="550" t="s">
        <v>336</v>
      </c>
      <c r="N419" s="549" t="s">
        <v>1168</v>
      </c>
      <c r="O419" s="549" t="s">
        <v>179</v>
      </c>
      <c r="P419" s="552">
        <v>36</v>
      </c>
      <c r="Q419" s="552">
        <v>5</v>
      </c>
      <c r="R419" s="553">
        <v>7.4999999999999997E-3</v>
      </c>
      <c r="S419" s="549" t="s">
        <v>111</v>
      </c>
      <c r="T419" s="549" t="s">
        <v>112</v>
      </c>
      <c r="U419" s="549" t="s">
        <v>113</v>
      </c>
      <c r="V419" s="554">
        <v>1288</v>
      </c>
      <c r="W419" s="554">
        <f>1257</f>
        <v>1257</v>
      </c>
      <c r="X419" s="555">
        <f>1116/36</f>
        <v>31</v>
      </c>
      <c r="Y419" s="556">
        <f t="shared" si="134"/>
        <v>0</v>
      </c>
      <c r="Z419" s="557">
        <f t="shared" si="135"/>
        <v>0</v>
      </c>
      <c r="AA419" s="557"/>
      <c r="AB419" s="833"/>
      <c r="AC419" s="554"/>
      <c r="AD419" s="307" t="s">
        <v>672</v>
      </c>
      <c r="AE419" s="210"/>
      <c r="AF419" s="210"/>
      <c r="AG419" s="211">
        <f t="shared" si="136"/>
        <v>0.14499999999999999</v>
      </c>
      <c r="AH419" s="157">
        <f t="shared" ref="AH419:AH464" si="138">(Z419*AG419)/1000</f>
        <v>0</v>
      </c>
      <c r="AI419" s="152">
        <f t="shared" si="137"/>
        <v>46368</v>
      </c>
      <c r="AK419" s="156" t="s">
        <v>691</v>
      </c>
      <c r="AL419" s="574" t="s">
        <v>690</v>
      </c>
      <c r="AM419" s="198">
        <f t="shared" ref="AM419:AM464" si="139">AG419*Z419</f>
        <v>0</v>
      </c>
      <c r="AN419" s="199">
        <f t="shared" si="131"/>
        <v>45364</v>
      </c>
      <c r="AO419" s="159" t="s">
        <v>692</v>
      </c>
      <c r="AP419" s="783" t="s">
        <v>639</v>
      </c>
      <c r="AQ419" s="782">
        <v>12071839</v>
      </c>
      <c r="AR419" s="782">
        <v>12047514</v>
      </c>
      <c r="AS419" s="782">
        <v>12047515</v>
      </c>
      <c r="AT419" s="782">
        <v>12054919</v>
      </c>
      <c r="AU419" s="781"/>
      <c r="AV419" s="782">
        <v>12054869</v>
      </c>
      <c r="AW419" s="782">
        <v>12024404</v>
      </c>
      <c r="AX419" s="781"/>
      <c r="AY419" s="782">
        <v>12054815</v>
      </c>
      <c r="AZ419" s="781"/>
      <c r="BA419" s="781"/>
    </row>
    <row r="420" spans="1:53" ht="24.75" hidden="1" customHeight="1">
      <c r="B420" s="295">
        <v>45364</v>
      </c>
      <c r="C420" s="296">
        <v>45383</v>
      </c>
      <c r="D420" s="185">
        <f t="shared" si="129"/>
        <v>2024</v>
      </c>
      <c r="E420" s="296" t="str">
        <f>VLOOKUP($B420,Week!$A$1:$C$1462,2,0)</f>
        <v>Week11</v>
      </c>
      <c r="F420" s="297" t="str">
        <f t="shared" si="130"/>
        <v>Mar</v>
      </c>
      <c r="G420" s="298" t="s">
        <v>47</v>
      </c>
      <c r="H420" s="298" t="s">
        <v>260</v>
      </c>
      <c r="I420" s="298" t="s">
        <v>2702</v>
      </c>
      <c r="J420" s="307" t="s">
        <v>904</v>
      </c>
      <c r="K420" s="300" t="s">
        <v>176</v>
      </c>
      <c r="L420" s="300" t="s">
        <v>2167</v>
      </c>
      <c r="M420" s="299" t="s">
        <v>262</v>
      </c>
      <c r="N420" s="298" t="s">
        <v>350</v>
      </c>
      <c r="O420" s="298" t="s">
        <v>351</v>
      </c>
      <c r="P420" s="301">
        <v>24</v>
      </c>
      <c r="Q420" s="301">
        <v>5</v>
      </c>
      <c r="R420" s="302">
        <v>6.1999999999999998E-3</v>
      </c>
      <c r="S420" s="298" t="s">
        <v>352</v>
      </c>
      <c r="T420" s="298" t="s">
        <v>56</v>
      </c>
      <c r="U420" s="298" t="s">
        <v>57</v>
      </c>
      <c r="V420" s="303">
        <v>1752</v>
      </c>
      <c r="W420" s="303">
        <v>1752</v>
      </c>
      <c r="X420" s="304"/>
      <c r="Y420" s="305">
        <f t="shared" si="134"/>
        <v>0</v>
      </c>
      <c r="Z420" s="306">
        <f t="shared" si="135"/>
        <v>0</v>
      </c>
      <c r="AA420" s="306"/>
      <c r="AB420" s="814"/>
      <c r="AC420" s="303"/>
      <c r="AD420" s="580" t="s">
        <v>672</v>
      </c>
      <c r="AE420" s="210"/>
      <c r="AF420" s="210"/>
      <c r="AG420" s="211">
        <f t="shared" si="136"/>
        <v>0.13</v>
      </c>
      <c r="AH420" s="157">
        <f t="shared" si="138"/>
        <v>0</v>
      </c>
      <c r="AI420" s="152">
        <f t="shared" si="137"/>
        <v>42048</v>
      </c>
      <c r="AK420" s="156" t="s">
        <v>691</v>
      </c>
      <c r="AL420" s="574" t="s">
        <v>690</v>
      </c>
      <c r="AM420" s="198">
        <f t="shared" si="139"/>
        <v>0</v>
      </c>
      <c r="AN420" s="199">
        <f t="shared" si="131"/>
        <v>45364</v>
      </c>
      <c r="AO420" s="159" t="s">
        <v>692</v>
      </c>
      <c r="AP420" s="783" t="s">
        <v>629</v>
      </c>
      <c r="AQ420" s="782">
        <v>12071839</v>
      </c>
      <c r="AR420" s="782">
        <v>12078867</v>
      </c>
      <c r="AS420" s="782">
        <v>12068233</v>
      </c>
      <c r="AT420" s="781"/>
      <c r="AU420" s="781"/>
      <c r="AV420" s="782">
        <v>12062075</v>
      </c>
      <c r="AW420" s="781"/>
      <c r="AX420" s="781"/>
      <c r="AY420" s="782">
        <v>12078868</v>
      </c>
      <c r="AZ420" s="781"/>
      <c r="BA420" s="781"/>
    </row>
    <row r="421" spans="1:53" ht="24.65" hidden="1" customHeight="1">
      <c r="B421" s="283">
        <v>45364</v>
      </c>
      <c r="C421" s="284">
        <v>45377</v>
      </c>
      <c r="D421" s="185">
        <f t="shared" si="129"/>
        <v>2024</v>
      </c>
      <c r="E421" s="284" t="str">
        <f>VLOOKUP($B421,Week!$A$1:$C$1462,2,0)</f>
        <v>Week11</v>
      </c>
      <c r="F421" s="285" t="str">
        <f t="shared" si="130"/>
        <v>Mar</v>
      </c>
      <c r="G421" s="626" t="s">
        <v>929</v>
      </c>
      <c r="H421" s="624" t="s">
        <v>104</v>
      </c>
      <c r="I421" s="624" t="s">
        <v>2772</v>
      </c>
      <c r="J421" s="625" t="s">
        <v>105</v>
      </c>
      <c r="K421" s="288" t="s">
        <v>51</v>
      </c>
      <c r="L421" s="300" t="s">
        <v>2167</v>
      </c>
      <c r="M421" s="287" t="s">
        <v>595</v>
      </c>
      <c r="N421" s="286" t="s">
        <v>597</v>
      </c>
      <c r="O421" s="286" t="s">
        <v>187</v>
      </c>
      <c r="P421" s="289">
        <v>8</v>
      </c>
      <c r="Q421" s="289">
        <v>5</v>
      </c>
      <c r="R421" s="290">
        <v>6.0000000000000001E-3</v>
      </c>
      <c r="S421" s="286" t="s">
        <v>55</v>
      </c>
      <c r="T421" s="286" t="s">
        <v>112</v>
      </c>
      <c r="U421" s="286" t="s">
        <v>57</v>
      </c>
      <c r="V421" s="291">
        <f>1400-1022</f>
        <v>378</v>
      </c>
      <c r="W421" s="291"/>
      <c r="X421" s="292">
        <v>378</v>
      </c>
      <c r="Y421" s="293">
        <f t="shared" si="134"/>
        <v>0</v>
      </c>
      <c r="Z421" s="294">
        <f t="shared" si="135"/>
        <v>0</v>
      </c>
      <c r="AA421" s="294"/>
      <c r="AB421" s="813"/>
      <c r="AC421" s="291"/>
      <c r="AD421" s="486"/>
      <c r="AE421" s="210"/>
      <c r="AF421" s="210"/>
      <c r="AG421" s="211">
        <v>0.14499999999999999</v>
      </c>
      <c r="AH421" s="157">
        <f t="shared" si="138"/>
        <v>0</v>
      </c>
      <c r="AI421" s="152">
        <v>19800</v>
      </c>
      <c r="AK421" s="156" t="s">
        <v>691</v>
      </c>
      <c r="AL421" s="212" t="s">
        <v>690</v>
      </c>
      <c r="AM421" s="198">
        <f t="shared" si="139"/>
        <v>0</v>
      </c>
      <c r="AN421" s="199">
        <f t="shared" si="131"/>
        <v>45364</v>
      </c>
      <c r="AO421" s="159" t="s">
        <v>692</v>
      </c>
      <c r="AP421" s="781"/>
      <c r="AQ421" s="782">
        <v>12071839</v>
      </c>
      <c r="AR421" s="782">
        <v>12047514</v>
      </c>
      <c r="AS421" s="782">
        <v>12047515</v>
      </c>
      <c r="AT421" s="782"/>
      <c r="AU421" s="781"/>
      <c r="AV421" s="782"/>
      <c r="AW421" s="782"/>
      <c r="AX421" s="782"/>
      <c r="AY421" s="782"/>
      <c r="AZ421" s="782"/>
      <c r="BA421" s="781"/>
    </row>
    <row r="422" spans="1:53" ht="24.65" hidden="1" customHeight="1">
      <c r="B422" s="283">
        <v>45364</v>
      </c>
      <c r="C422" s="284">
        <v>45384</v>
      </c>
      <c r="D422" s="185">
        <f t="shared" si="129"/>
        <v>2024</v>
      </c>
      <c r="E422" s="284" t="str">
        <f>VLOOKUP($B422,Week!$A$1:$C$1462,2,0)</f>
        <v>Week11</v>
      </c>
      <c r="F422" s="285" t="str">
        <f t="shared" si="130"/>
        <v>Mar</v>
      </c>
      <c r="G422" s="626" t="s">
        <v>1017</v>
      </c>
      <c r="H422" s="624" t="s">
        <v>104</v>
      </c>
      <c r="I422" s="624" t="s">
        <v>2772</v>
      </c>
      <c r="J422" s="625" t="s">
        <v>105</v>
      </c>
      <c r="K422" s="288" t="s">
        <v>51</v>
      </c>
      <c r="L422" s="300" t="s">
        <v>2167</v>
      </c>
      <c r="M422" s="287" t="s">
        <v>595</v>
      </c>
      <c r="N422" s="286" t="s">
        <v>597</v>
      </c>
      <c r="O422" s="286" t="s">
        <v>187</v>
      </c>
      <c r="P422" s="289">
        <v>8</v>
      </c>
      <c r="Q422" s="289">
        <v>5</v>
      </c>
      <c r="R422" s="290">
        <v>6.0000000000000001E-3</v>
      </c>
      <c r="S422" s="286" t="s">
        <v>55</v>
      </c>
      <c r="T422" s="286" t="s">
        <v>112</v>
      </c>
      <c r="U422" s="286" t="s">
        <v>57</v>
      </c>
      <c r="V422" s="291">
        <v>1400</v>
      </c>
      <c r="W422" s="291"/>
      <c r="X422" s="292">
        <v>1400</v>
      </c>
      <c r="Y422" s="293">
        <f t="shared" si="134"/>
        <v>0</v>
      </c>
      <c r="Z422" s="294">
        <f t="shared" si="135"/>
        <v>0</v>
      </c>
      <c r="AA422" s="294"/>
      <c r="AB422" s="813"/>
      <c r="AC422" s="291"/>
      <c r="AD422" s="486"/>
      <c r="AE422" s="210"/>
      <c r="AF422" s="210"/>
      <c r="AG422" s="211">
        <v>0.14499999999999999</v>
      </c>
      <c r="AH422" s="157">
        <f t="shared" si="138"/>
        <v>0</v>
      </c>
      <c r="AI422" s="152">
        <v>19800</v>
      </c>
      <c r="AK422" s="156" t="s">
        <v>691</v>
      </c>
      <c r="AL422" s="212" t="s">
        <v>690</v>
      </c>
      <c r="AM422" s="198">
        <f t="shared" si="139"/>
        <v>0</v>
      </c>
      <c r="AN422" s="199">
        <f t="shared" si="131"/>
        <v>45364</v>
      </c>
      <c r="AO422" s="159" t="s">
        <v>692</v>
      </c>
      <c r="AP422" s="781"/>
      <c r="AQ422" s="782">
        <v>12071839</v>
      </c>
      <c r="AR422" s="782">
        <v>12047514</v>
      </c>
      <c r="AS422" s="782">
        <v>12047515</v>
      </c>
      <c r="AT422" s="782"/>
      <c r="AU422" s="781"/>
      <c r="AV422" s="782"/>
      <c r="AW422" s="782"/>
      <c r="AX422" s="782"/>
      <c r="AY422" s="782"/>
      <c r="AZ422" s="782"/>
      <c r="BA422" s="781"/>
    </row>
    <row r="423" spans="1:53" ht="24.65" hidden="1" customHeight="1">
      <c r="B423" s="283">
        <v>45364</v>
      </c>
      <c r="C423" s="284">
        <v>45378</v>
      </c>
      <c r="D423" s="185">
        <f t="shared" si="129"/>
        <v>2024</v>
      </c>
      <c r="E423" s="284" t="str">
        <f>VLOOKUP($B423,Week!$A$1:$C$1462,2,0)</f>
        <v>Week11</v>
      </c>
      <c r="F423" s="285" t="str">
        <f t="shared" si="130"/>
        <v>Mar</v>
      </c>
      <c r="G423" s="624" t="s">
        <v>1045</v>
      </c>
      <c r="H423" s="624" t="s">
        <v>104</v>
      </c>
      <c r="I423" s="624" t="s">
        <v>2772</v>
      </c>
      <c r="J423" s="625" t="s">
        <v>105</v>
      </c>
      <c r="K423" s="288" t="s">
        <v>51</v>
      </c>
      <c r="L423" s="300" t="s">
        <v>2167</v>
      </c>
      <c r="M423" s="287" t="s">
        <v>595</v>
      </c>
      <c r="N423" s="286" t="s">
        <v>597</v>
      </c>
      <c r="O423" s="286" t="s">
        <v>187</v>
      </c>
      <c r="P423" s="289">
        <v>8</v>
      </c>
      <c r="Q423" s="289">
        <v>5</v>
      </c>
      <c r="R423" s="290">
        <v>6.0000000000000001E-3</v>
      </c>
      <c r="S423" s="286" t="s">
        <v>55</v>
      </c>
      <c r="T423" s="286" t="s">
        <v>112</v>
      </c>
      <c r="U423" s="286" t="s">
        <v>57</v>
      </c>
      <c r="V423" s="291">
        <f>600</f>
        <v>600</v>
      </c>
      <c r="W423" s="291"/>
      <c r="X423" s="292">
        <v>600</v>
      </c>
      <c r="Y423" s="293">
        <f t="shared" si="134"/>
        <v>0</v>
      </c>
      <c r="Z423" s="294">
        <f t="shared" si="135"/>
        <v>0</v>
      </c>
      <c r="AA423" s="294"/>
      <c r="AB423" s="813"/>
      <c r="AC423" s="291"/>
      <c r="AD423" s="486"/>
      <c r="AE423" s="210"/>
      <c r="AF423" s="210"/>
      <c r="AG423" s="211">
        <v>0.14499999999999999</v>
      </c>
      <c r="AH423" s="157">
        <f t="shared" si="138"/>
        <v>0</v>
      </c>
      <c r="AI423" s="152">
        <v>19800</v>
      </c>
      <c r="AK423" s="156" t="s">
        <v>691</v>
      </c>
      <c r="AL423" s="212" t="s">
        <v>690</v>
      </c>
      <c r="AM423" s="198">
        <f t="shared" si="139"/>
        <v>0</v>
      </c>
      <c r="AN423" s="199">
        <f t="shared" si="131"/>
        <v>45364</v>
      </c>
      <c r="AO423" s="159" t="s">
        <v>692</v>
      </c>
      <c r="AP423" s="781"/>
      <c r="AQ423" s="782">
        <v>12071839</v>
      </c>
      <c r="AR423" s="782">
        <v>12047514</v>
      </c>
      <c r="AS423" s="782">
        <v>12047515</v>
      </c>
      <c r="AT423" s="782"/>
      <c r="AU423" s="781"/>
      <c r="AV423" s="782"/>
      <c r="AW423" s="782"/>
      <c r="AX423" s="782"/>
      <c r="AY423" s="782"/>
      <c r="AZ423" s="782"/>
      <c r="BA423" s="781"/>
    </row>
    <row r="424" spans="1:53" ht="24.65" hidden="1" customHeight="1">
      <c r="B424" s="283">
        <v>45364</v>
      </c>
      <c r="C424" s="284">
        <v>45400</v>
      </c>
      <c r="D424" s="185">
        <f t="shared" si="129"/>
        <v>2024</v>
      </c>
      <c r="E424" s="284" t="str">
        <f>VLOOKUP($B424,Week!$A$1:$C$1462,2,0)</f>
        <v>Week11</v>
      </c>
      <c r="F424" s="285" t="str">
        <f t="shared" si="130"/>
        <v>Mar</v>
      </c>
      <c r="G424" s="624" t="s">
        <v>1046</v>
      </c>
      <c r="H424" s="624" t="s">
        <v>104</v>
      </c>
      <c r="I424" s="624" t="s">
        <v>2772</v>
      </c>
      <c r="J424" s="625" t="s">
        <v>105</v>
      </c>
      <c r="K424" s="288" t="s">
        <v>51</v>
      </c>
      <c r="L424" s="300" t="s">
        <v>2167</v>
      </c>
      <c r="M424" s="287" t="s">
        <v>595</v>
      </c>
      <c r="N424" s="286" t="s">
        <v>597</v>
      </c>
      <c r="O424" s="286" t="s">
        <v>187</v>
      </c>
      <c r="P424" s="289">
        <v>8</v>
      </c>
      <c r="Q424" s="289">
        <v>5</v>
      </c>
      <c r="R424" s="290">
        <v>6.0000000000000001E-3</v>
      </c>
      <c r="S424" s="286" t="s">
        <v>55</v>
      </c>
      <c r="T424" s="286" t="s">
        <v>112</v>
      </c>
      <c r="U424" s="286" t="s">
        <v>57</v>
      </c>
      <c r="V424" s="291">
        <v>350</v>
      </c>
      <c r="W424" s="291"/>
      <c r="X424" s="292">
        <v>350</v>
      </c>
      <c r="Y424" s="293">
        <f t="shared" si="134"/>
        <v>0</v>
      </c>
      <c r="Z424" s="294">
        <f t="shared" si="135"/>
        <v>0</v>
      </c>
      <c r="AA424" s="294"/>
      <c r="AB424" s="813"/>
      <c r="AC424" s="291"/>
      <c r="AD424" s="486"/>
      <c r="AE424" s="210"/>
      <c r="AF424" s="210"/>
      <c r="AG424" s="211">
        <v>0.14499999999999999</v>
      </c>
      <c r="AH424" s="157">
        <f t="shared" si="138"/>
        <v>0</v>
      </c>
      <c r="AI424" s="152">
        <v>19800</v>
      </c>
      <c r="AK424" s="156" t="s">
        <v>691</v>
      </c>
      <c r="AL424" s="212" t="s">
        <v>690</v>
      </c>
      <c r="AM424" s="198">
        <f t="shared" si="139"/>
        <v>0</v>
      </c>
      <c r="AN424" s="199">
        <f t="shared" si="131"/>
        <v>45364</v>
      </c>
      <c r="AO424" s="159" t="s">
        <v>692</v>
      </c>
      <c r="AP424" s="781"/>
      <c r="AQ424" s="782">
        <v>12071839</v>
      </c>
      <c r="AR424" s="782">
        <v>12047514</v>
      </c>
      <c r="AS424" s="782">
        <v>12047515</v>
      </c>
      <c r="AT424" s="782"/>
      <c r="AU424" s="781"/>
      <c r="AV424" s="782"/>
      <c r="AW424" s="782"/>
      <c r="AX424" s="782"/>
      <c r="AY424" s="782"/>
      <c r="AZ424" s="782"/>
      <c r="BA424" s="781"/>
    </row>
    <row r="425" spans="1:53" ht="25" hidden="1" customHeight="1">
      <c r="B425" s="581">
        <v>45364</v>
      </c>
      <c r="C425" s="332">
        <v>45370</v>
      </c>
      <c r="D425" s="185">
        <f t="shared" si="129"/>
        <v>2024</v>
      </c>
      <c r="E425" s="333" t="str">
        <f>VLOOKUP($B425,Week!$A$1:$C$1462,2,0)</f>
        <v>Week11</v>
      </c>
      <c r="F425" s="334" t="str">
        <f t="shared" si="130"/>
        <v>Mar</v>
      </c>
      <c r="G425" s="530" t="s">
        <v>1299</v>
      </c>
      <c r="H425" s="335" t="s">
        <v>82</v>
      </c>
      <c r="I425" s="335" t="s">
        <v>82</v>
      </c>
      <c r="J425" s="336" t="s">
        <v>235</v>
      </c>
      <c r="K425" s="337" t="s">
        <v>744</v>
      </c>
      <c r="L425" s="300" t="s">
        <v>2167</v>
      </c>
      <c r="M425" s="336" t="s">
        <v>336</v>
      </c>
      <c r="N425" s="530" t="s">
        <v>1018</v>
      </c>
      <c r="O425" s="335" t="s">
        <v>743</v>
      </c>
      <c r="P425" s="338">
        <v>36</v>
      </c>
      <c r="Q425" s="338">
        <v>5</v>
      </c>
      <c r="R425" s="339">
        <v>7.4999999999999997E-3</v>
      </c>
      <c r="S425" s="335" t="s">
        <v>40</v>
      </c>
      <c r="T425" s="335" t="s">
        <v>112</v>
      </c>
      <c r="U425" s="340" t="s">
        <v>721</v>
      </c>
      <c r="V425" s="341">
        <f>145</f>
        <v>145</v>
      </c>
      <c r="W425" s="341">
        <v>145</v>
      </c>
      <c r="X425" s="342"/>
      <c r="Y425" s="343">
        <f t="shared" si="134"/>
        <v>0</v>
      </c>
      <c r="Z425" s="344">
        <f t="shared" si="135"/>
        <v>0</v>
      </c>
      <c r="AA425" s="344"/>
      <c r="AB425" s="817"/>
      <c r="AC425" s="341"/>
      <c r="AD425" s="209"/>
      <c r="AE425" s="210"/>
      <c r="AF425" s="210"/>
      <c r="AG425" s="211">
        <f t="shared" ref="AG425:AG456" si="140">MID(O425,1,3)/1000</f>
        <v>0.14699999999999999</v>
      </c>
      <c r="AH425" s="157">
        <f t="shared" si="138"/>
        <v>0</v>
      </c>
      <c r="AI425" s="152">
        <f t="shared" ref="AI425:AI456" si="141">V425*P425</f>
        <v>5220</v>
      </c>
      <c r="AK425" s="156" t="s">
        <v>691</v>
      </c>
      <c r="AL425" s="574" t="s">
        <v>690</v>
      </c>
      <c r="AM425" s="198">
        <f t="shared" si="139"/>
        <v>0</v>
      </c>
      <c r="AN425" s="199">
        <f t="shared" si="131"/>
        <v>45364</v>
      </c>
      <c r="AO425" s="159" t="s">
        <v>692</v>
      </c>
      <c r="AP425" s="783" t="s">
        <v>639</v>
      </c>
      <c r="AQ425" s="782">
        <v>12071839</v>
      </c>
      <c r="AR425" s="782">
        <v>12047514</v>
      </c>
      <c r="AS425" s="782">
        <v>12047515</v>
      </c>
      <c r="AT425" s="782">
        <v>12090591</v>
      </c>
      <c r="AU425" s="781"/>
      <c r="AV425" s="782">
        <v>12090590</v>
      </c>
      <c r="AW425" s="782">
        <v>12024404</v>
      </c>
      <c r="AX425" s="781"/>
      <c r="AY425" s="782">
        <v>12090589</v>
      </c>
      <c r="AZ425" s="781"/>
      <c r="BA425" s="781"/>
    </row>
    <row r="426" spans="1:53" ht="25" hidden="1" customHeight="1">
      <c r="B426" s="581">
        <v>45364</v>
      </c>
      <c r="C426" s="332">
        <v>45372</v>
      </c>
      <c r="D426" s="185">
        <f t="shared" si="129"/>
        <v>2024</v>
      </c>
      <c r="E426" s="333" t="str">
        <f>VLOOKUP($B426,Week!$A$1:$C$1462,2,0)</f>
        <v>Week11</v>
      </c>
      <c r="F426" s="334" t="str">
        <f t="shared" si="130"/>
        <v>Mar</v>
      </c>
      <c r="G426" s="530" t="s">
        <v>1315</v>
      </c>
      <c r="H426" s="335" t="s">
        <v>82</v>
      </c>
      <c r="I426" s="335" t="s">
        <v>82</v>
      </c>
      <c r="J426" s="336" t="s">
        <v>235</v>
      </c>
      <c r="K426" s="337" t="s">
        <v>744</v>
      </c>
      <c r="L426" s="300" t="s">
        <v>2167</v>
      </c>
      <c r="M426" s="336" t="s">
        <v>336</v>
      </c>
      <c r="N426" s="530" t="s">
        <v>1018</v>
      </c>
      <c r="O426" s="335" t="s">
        <v>743</v>
      </c>
      <c r="P426" s="338">
        <v>36</v>
      </c>
      <c r="Q426" s="338">
        <v>5</v>
      </c>
      <c r="R426" s="339">
        <v>7.4999999999999997E-3</v>
      </c>
      <c r="S426" s="335" t="s">
        <v>40</v>
      </c>
      <c r="T426" s="335" t="s">
        <v>112</v>
      </c>
      <c r="U426" s="340" t="s">
        <v>721</v>
      </c>
      <c r="V426" s="341">
        <v>143</v>
      </c>
      <c r="W426" s="341">
        <v>143</v>
      </c>
      <c r="X426" s="342"/>
      <c r="Y426" s="343">
        <f t="shared" si="134"/>
        <v>0</v>
      </c>
      <c r="Z426" s="344">
        <f t="shared" si="135"/>
        <v>0</v>
      </c>
      <c r="AA426" s="344"/>
      <c r="AB426" s="817"/>
      <c r="AC426" s="341"/>
      <c r="AD426" s="209"/>
      <c r="AE426" s="210"/>
      <c r="AF426" s="210"/>
      <c r="AG426" s="211">
        <f t="shared" si="140"/>
        <v>0.14699999999999999</v>
      </c>
      <c r="AH426" s="157">
        <f t="shared" si="138"/>
        <v>0</v>
      </c>
      <c r="AI426" s="152">
        <f t="shared" si="141"/>
        <v>5148</v>
      </c>
      <c r="AK426" s="156" t="s">
        <v>691</v>
      </c>
      <c r="AL426" s="574" t="s">
        <v>690</v>
      </c>
      <c r="AM426" s="198">
        <f t="shared" si="139"/>
        <v>0</v>
      </c>
      <c r="AN426" s="199">
        <f t="shared" si="131"/>
        <v>45364</v>
      </c>
      <c r="AO426" s="159" t="s">
        <v>692</v>
      </c>
      <c r="AP426" s="783" t="s">
        <v>639</v>
      </c>
      <c r="AQ426" s="782">
        <v>12071839</v>
      </c>
      <c r="AR426" s="782">
        <v>12047514</v>
      </c>
      <c r="AS426" s="782">
        <v>12047515</v>
      </c>
      <c r="AT426" s="782">
        <v>12090591</v>
      </c>
      <c r="AU426" s="781"/>
      <c r="AV426" s="782">
        <v>12090590</v>
      </c>
      <c r="AW426" s="782">
        <v>12024404</v>
      </c>
      <c r="AX426" s="781"/>
      <c r="AY426" s="782">
        <v>12090589</v>
      </c>
      <c r="AZ426" s="781"/>
      <c r="BA426" s="781"/>
    </row>
    <row r="427" spans="1:53" ht="25" hidden="1" customHeight="1">
      <c r="B427" s="498">
        <v>45364</v>
      </c>
      <c r="C427" s="499">
        <v>45407</v>
      </c>
      <c r="D427" s="185">
        <f t="shared" si="129"/>
        <v>2024</v>
      </c>
      <c r="E427" s="499" t="str">
        <f>VLOOKUP($B427,Week!$A$1:$C$1462,2,0)</f>
        <v>Week11</v>
      </c>
      <c r="F427" s="500" t="str">
        <f t="shared" si="130"/>
        <v>Mar</v>
      </c>
      <c r="G427" s="501" t="s">
        <v>1035</v>
      </c>
      <c r="H427" s="501" t="s">
        <v>311</v>
      </c>
      <c r="I427" s="501" t="s">
        <v>2772</v>
      </c>
      <c r="J427" s="502" t="s">
        <v>738</v>
      </c>
      <c r="K427" s="503" t="s">
        <v>665</v>
      </c>
      <c r="L427" s="300" t="s">
        <v>2167</v>
      </c>
      <c r="M427" s="502" t="s">
        <v>654</v>
      </c>
      <c r="N427" s="501" t="s">
        <v>726</v>
      </c>
      <c r="O427" s="501" t="s">
        <v>655</v>
      </c>
      <c r="P427" s="504">
        <v>24</v>
      </c>
      <c r="Q427" s="504">
        <v>5</v>
      </c>
      <c r="R427" s="505">
        <v>7.4999999999999997E-3</v>
      </c>
      <c r="S427" s="501" t="s">
        <v>40</v>
      </c>
      <c r="T427" s="501" t="s">
        <v>112</v>
      </c>
      <c r="U427" s="506" t="s">
        <v>721</v>
      </c>
      <c r="V427" s="507">
        <v>924</v>
      </c>
      <c r="W427" s="507">
        <f>924</f>
        <v>924</v>
      </c>
      <c r="X427" s="508"/>
      <c r="Y427" s="509">
        <f t="shared" si="134"/>
        <v>0</v>
      </c>
      <c r="Z427" s="510">
        <f t="shared" si="135"/>
        <v>0</v>
      </c>
      <c r="AA427" s="510"/>
      <c r="AB427" s="830"/>
      <c r="AC427" s="507"/>
      <c r="AD427" s="209"/>
      <c r="AE427" s="210"/>
      <c r="AF427" s="210"/>
      <c r="AG427" s="211">
        <f t="shared" si="140"/>
        <v>0.307</v>
      </c>
      <c r="AH427" s="157">
        <f t="shared" si="138"/>
        <v>0</v>
      </c>
      <c r="AI427" s="152">
        <f t="shared" si="141"/>
        <v>22176</v>
      </c>
      <c r="AK427" s="156" t="s">
        <v>691</v>
      </c>
      <c r="AL427" s="212" t="s">
        <v>690</v>
      </c>
      <c r="AM427" s="198">
        <f t="shared" si="139"/>
        <v>0</v>
      </c>
      <c r="AN427" s="199">
        <f t="shared" si="131"/>
        <v>45364</v>
      </c>
      <c r="AO427" s="159" t="s">
        <v>692</v>
      </c>
      <c r="AP427" s="781" t="s">
        <v>642</v>
      </c>
      <c r="AQ427" s="782">
        <v>12063755</v>
      </c>
      <c r="AR427" s="782">
        <v>12061353</v>
      </c>
      <c r="AS427" s="782">
        <v>12061354</v>
      </c>
      <c r="AT427" s="782">
        <v>12084023</v>
      </c>
      <c r="AU427" s="781"/>
      <c r="AV427" s="782">
        <v>12084228</v>
      </c>
      <c r="AW427" s="782"/>
      <c r="AX427" s="782"/>
      <c r="AY427" s="782"/>
      <c r="AZ427" s="782"/>
      <c r="BA427" s="781"/>
    </row>
    <row r="428" spans="1:53" ht="24.65" hidden="1" customHeight="1">
      <c r="A428" s="142" t="s">
        <v>120</v>
      </c>
      <c r="B428" s="383">
        <v>45364</v>
      </c>
      <c r="C428" s="224">
        <v>45377</v>
      </c>
      <c r="D428" s="185">
        <f t="shared" si="129"/>
        <v>2024</v>
      </c>
      <c r="E428" s="224" t="str">
        <f>VLOOKUP($B428,Week!$A$1:$C$1462,2,0)</f>
        <v>Week11</v>
      </c>
      <c r="F428" s="226" t="str">
        <f t="shared" si="130"/>
        <v>Mar</v>
      </c>
      <c r="G428" s="225" t="s">
        <v>1037</v>
      </c>
      <c r="H428" s="225" t="s">
        <v>1259</v>
      </c>
      <c r="I428" s="225" t="s">
        <v>2772</v>
      </c>
      <c r="J428" s="227" t="s">
        <v>512</v>
      </c>
      <c r="K428" s="228" t="s">
        <v>85</v>
      </c>
      <c r="L428" s="390" t="s">
        <v>2166</v>
      </c>
      <c r="M428" s="227" t="s">
        <v>165</v>
      </c>
      <c r="N428" s="225" t="s">
        <v>700</v>
      </c>
      <c r="O428" s="225" t="s">
        <v>287</v>
      </c>
      <c r="P428" s="229">
        <v>40</v>
      </c>
      <c r="Q428" s="229">
        <v>12</v>
      </c>
      <c r="R428" s="230">
        <v>8.1300000000000001E-3</v>
      </c>
      <c r="S428" s="225" t="s">
        <v>40</v>
      </c>
      <c r="T428" s="225" t="s">
        <v>112</v>
      </c>
      <c r="U428" s="225" t="s">
        <v>89</v>
      </c>
      <c r="V428" s="231">
        <f>1624-138-428-474-452</f>
        <v>132</v>
      </c>
      <c r="W428" s="231">
        <f>132</f>
        <v>132</v>
      </c>
      <c r="X428" s="232"/>
      <c r="Y428" s="233">
        <f t="shared" ref="Y428:Y459" si="142">(W428+X428)-V428</f>
        <v>0</v>
      </c>
      <c r="Z428" s="234">
        <f t="shared" ref="Z428:Z459" si="143">IF(Y428&lt;0,((V428*P428)-((W428+X428)*P428)),0)</f>
        <v>0</v>
      </c>
      <c r="AA428" s="234">
        <f>Q428*Z428</f>
        <v>0</v>
      </c>
      <c r="AB428" s="822">
        <v>2</v>
      </c>
      <c r="AC428" s="231">
        <f>Z428*AB428</f>
        <v>0</v>
      </c>
      <c r="AD428" s="307" t="s">
        <v>729</v>
      </c>
      <c r="AE428" s="210"/>
      <c r="AF428" s="210"/>
      <c r="AG428" s="211">
        <f t="shared" si="140"/>
        <v>0.154</v>
      </c>
      <c r="AH428" s="157">
        <f t="shared" si="138"/>
        <v>0</v>
      </c>
      <c r="AI428" s="152">
        <f t="shared" si="141"/>
        <v>5280</v>
      </c>
      <c r="AK428" s="156" t="s">
        <v>691</v>
      </c>
      <c r="AL428" s="156" t="s">
        <v>689</v>
      </c>
      <c r="AM428" s="198">
        <f t="shared" si="139"/>
        <v>0</v>
      </c>
      <c r="AN428" s="199">
        <f t="shared" si="131"/>
        <v>45364</v>
      </c>
      <c r="AO428" s="159" t="s">
        <v>692</v>
      </c>
      <c r="AP428" s="781"/>
      <c r="AQ428" s="782">
        <v>12028328</v>
      </c>
      <c r="AR428" s="782">
        <v>12019692</v>
      </c>
      <c r="AS428" s="782"/>
      <c r="AT428" s="782">
        <v>12056457</v>
      </c>
      <c r="AU428" s="782"/>
      <c r="AV428" s="782">
        <v>12056565</v>
      </c>
      <c r="AW428" s="782">
        <v>12034747</v>
      </c>
      <c r="AX428" s="782" t="s">
        <v>398</v>
      </c>
      <c r="AY428" s="782" t="s">
        <v>513</v>
      </c>
      <c r="AZ428" s="782"/>
      <c r="BA428" s="781"/>
    </row>
    <row r="429" spans="1:53" ht="25" hidden="1" customHeight="1">
      <c r="A429" s="142" t="s">
        <v>120</v>
      </c>
      <c r="B429" s="385">
        <v>45364</v>
      </c>
      <c r="C429" s="386">
        <v>45384</v>
      </c>
      <c r="D429" s="185">
        <f t="shared" si="129"/>
        <v>2024</v>
      </c>
      <c r="E429" s="386" t="str">
        <f>VLOOKUP($B429,Week!$A$1:$C$1462,2,0)</f>
        <v>Week11</v>
      </c>
      <c r="F429" s="387" t="str">
        <f t="shared" si="130"/>
        <v>Mar</v>
      </c>
      <c r="G429" s="388" t="s">
        <v>1117</v>
      </c>
      <c r="H429" s="388" t="s">
        <v>500</v>
      </c>
      <c r="I429" s="388" t="s">
        <v>2772</v>
      </c>
      <c r="J429" s="389" t="s">
        <v>285</v>
      </c>
      <c r="K429" s="390" t="s">
        <v>153</v>
      </c>
      <c r="L429" s="390" t="s">
        <v>2166</v>
      </c>
      <c r="M429" s="389" t="s">
        <v>165</v>
      </c>
      <c r="N429" s="388" t="s">
        <v>286</v>
      </c>
      <c r="O429" s="388" t="s">
        <v>503</v>
      </c>
      <c r="P429" s="391">
        <v>40</v>
      </c>
      <c r="Q429" s="391">
        <v>12</v>
      </c>
      <c r="R429" s="392">
        <v>6.8100000000000001E-3</v>
      </c>
      <c r="S429" s="388" t="s">
        <v>76</v>
      </c>
      <c r="T429" s="388" t="s">
        <v>56</v>
      </c>
      <c r="U429" s="388" t="s">
        <v>89</v>
      </c>
      <c r="V429" s="393">
        <v>345</v>
      </c>
      <c r="W429" s="393">
        <f>288</f>
        <v>288</v>
      </c>
      <c r="X429" s="394">
        <f>2280/40</f>
        <v>57</v>
      </c>
      <c r="Y429" s="395">
        <f t="shared" si="142"/>
        <v>0</v>
      </c>
      <c r="Z429" s="396">
        <f t="shared" si="143"/>
        <v>0</v>
      </c>
      <c r="AA429" s="396">
        <f>Q429*Z429</f>
        <v>0</v>
      </c>
      <c r="AB429" s="823">
        <v>2</v>
      </c>
      <c r="AC429" s="393">
        <f>Z429*AB429</f>
        <v>0</v>
      </c>
      <c r="AD429" s="209"/>
      <c r="AE429" s="210"/>
      <c r="AF429" s="210"/>
      <c r="AG429" s="211">
        <f t="shared" si="140"/>
        <v>0.154</v>
      </c>
      <c r="AH429" s="157">
        <f t="shared" si="138"/>
        <v>0</v>
      </c>
      <c r="AI429" s="152">
        <f t="shared" si="141"/>
        <v>13800</v>
      </c>
      <c r="AK429" s="156" t="s">
        <v>691</v>
      </c>
      <c r="AL429" s="156" t="s">
        <v>689</v>
      </c>
      <c r="AM429" s="198">
        <f t="shared" si="139"/>
        <v>0</v>
      </c>
      <c r="AN429" s="199">
        <f t="shared" si="131"/>
        <v>45364</v>
      </c>
      <c r="AO429" s="159" t="s">
        <v>692</v>
      </c>
      <c r="AP429" s="783" t="s">
        <v>611</v>
      </c>
      <c r="AQ429" s="782">
        <v>12028328</v>
      </c>
      <c r="AR429" s="782">
        <v>12019692</v>
      </c>
      <c r="AS429" s="781"/>
      <c r="AT429" s="782">
        <v>12065371</v>
      </c>
      <c r="AU429" s="782"/>
      <c r="AV429" s="782">
        <v>12055895</v>
      </c>
      <c r="AW429" s="782">
        <v>12034747</v>
      </c>
      <c r="AX429" s="782" t="s">
        <v>398</v>
      </c>
      <c r="AY429" s="781" t="s">
        <v>290</v>
      </c>
      <c r="AZ429" s="781"/>
      <c r="BA429" s="781"/>
    </row>
    <row r="430" spans="1:53" ht="25" hidden="1" customHeight="1">
      <c r="B430" s="213">
        <v>45365</v>
      </c>
      <c r="C430" s="578">
        <v>45370</v>
      </c>
      <c r="D430" s="185">
        <f t="shared" si="129"/>
        <v>2024</v>
      </c>
      <c r="E430" s="215" t="str">
        <f>VLOOKUP($B430,Week!$A$1:$C$1462,2,0)</f>
        <v>Week11</v>
      </c>
      <c r="F430" s="216" t="str">
        <f t="shared" si="130"/>
        <v>Mar</v>
      </c>
      <c r="G430" s="215" t="s">
        <v>963</v>
      </c>
      <c r="H430" s="215" t="s">
        <v>104</v>
      </c>
      <c r="I430" s="215" t="s">
        <v>2772</v>
      </c>
      <c r="J430" s="209" t="s">
        <v>105</v>
      </c>
      <c r="K430" s="217" t="s">
        <v>107</v>
      </c>
      <c r="L430" s="300" t="s">
        <v>2167</v>
      </c>
      <c r="M430" s="209" t="s">
        <v>108</v>
      </c>
      <c r="N430" s="215" t="s">
        <v>109</v>
      </c>
      <c r="O430" s="215" t="s">
        <v>110</v>
      </c>
      <c r="P430" s="218">
        <v>36</v>
      </c>
      <c r="Q430" s="218">
        <v>5</v>
      </c>
      <c r="R430" s="219">
        <v>7.4999999999999997E-3</v>
      </c>
      <c r="S430" s="215" t="s">
        <v>111</v>
      </c>
      <c r="T430" s="215" t="s">
        <v>112</v>
      </c>
      <c r="U430" s="215" t="s">
        <v>113</v>
      </c>
      <c r="V430" s="220">
        <f>792-343</f>
        <v>449</v>
      </c>
      <c r="W430" s="220">
        <f>792-343</f>
        <v>449</v>
      </c>
      <c r="X430" s="221"/>
      <c r="Y430" s="222">
        <f t="shared" si="142"/>
        <v>0</v>
      </c>
      <c r="Z430" s="223">
        <f t="shared" si="143"/>
        <v>0</v>
      </c>
      <c r="AA430" s="223"/>
      <c r="AB430" s="807"/>
      <c r="AC430" s="220"/>
      <c r="AD430" s="209"/>
      <c r="AE430" s="210"/>
      <c r="AF430" s="210"/>
      <c r="AG430" s="211">
        <f t="shared" si="140"/>
        <v>0.308</v>
      </c>
      <c r="AH430" s="157">
        <f t="shared" si="138"/>
        <v>0</v>
      </c>
      <c r="AI430" s="152">
        <f t="shared" si="141"/>
        <v>16164</v>
      </c>
      <c r="AK430" s="156" t="s">
        <v>691</v>
      </c>
      <c r="AL430" s="574" t="s">
        <v>690</v>
      </c>
      <c r="AM430" s="198">
        <f t="shared" si="139"/>
        <v>0</v>
      </c>
      <c r="AN430" s="199">
        <f t="shared" si="131"/>
        <v>45365</v>
      </c>
      <c r="AO430" s="159" t="s">
        <v>692</v>
      </c>
      <c r="AP430" s="781"/>
      <c r="AQ430" s="782">
        <v>12063755</v>
      </c>
      <c r="AR430" s="782">
        <v>12061353</v>
      </c>
      <c r="AS430" s="782">
        <v>12061354</v>
      </c>
      <c r="AT430" s="782">
        <v>12068566</v>
      </c>
      <c r="AU430" s="781"/>
      <c r="AV430" s="782">
        <v>12068564</v>
      </c>
      <c r="AW430" s="782">
        <v>12062153</v>
      </c>
      <c r="AX430" s="782"/>
      <c r="AY430" s="782">
        <v>12068565</v>
      </c>
      <c r="AZ430" s="782"/>
      <c r="BA430" s="781"/>
    </row>
    <row r="431" spans="1:53" ht="25" hidden="1" customHeight="1">
      <c r="B431" s="213">
        <v>45365</v>
      </c>
      <c r="C431" s="578">
        <v>45370</v>
      </c>
      <c r="D431" s="185">
        <f t="shared" si="129"/>
        <v>2024</v>
      </c>
      <c r="E431" s="215" t="str">
        <f>VLOOKUP($B431,Week!$A$1:$C$1462,2,0)</f>
        <v>Week11</v>
      </c>
      <c r="F431" s="216" t="str">
        <f t="shared" si="130"/>
        <v>Mar</v>
      </c>
      <c r="G431" s="215" t="s">
        <v>964</v>
      </c>
      <c r="H431" s="215" t="s">
        <v>104</v>
      </c>
      <c r="I431" s="215" t="s">
        <v>2772</v>
      </c>
      <c r="J431" s="209" t="s">
        <v>105</v>
      </c>
      <c r="K431" s="217" t="s">
        <v>107</v>
      </c>
      <c r="L431" s="300" t="s">
        <v>2167</v>
      </c>
      <c r="M431" s="209" t="s">
        <v>108</v>
      </c>
      <c r="N431" s="215" t="s">
        <v>109</v>
      </c>
      <c r="O431" s="215" t="s">
        <v>110</v>
      </c>
      <c r="P431" s="218">
        <v>36</v>
      </c>
      <c r="Q431" s="218">
        <v>5</v>
      </c>
      <c r="R431" s="219">
        <v>7.4999999999999997E-3</v>
      </c>
      <c r="S431" s="215" t="s">
        <v>111</v>
      </c>
      <c r="T431" s="215" t="s">
        <v>112</v>
      </c>
      <c r="U431" s="215" t="s">
        <v>113</v>
      </c>
      <c r="V431" s="220">
        <v>792</v>
      </c>
      <c r="W431" s="220">
        <v>792</v>
      </c>
      <c r="X431" s="221"/>
      <c r="Y431" s="222">
        <f t="shared" si="142"/>
        <v>0</v>
      </c>
      <c r="Z431" s="223">
        <f t="shared" si="143"/>
        <v>0</v>
      </c>
      <c r="AA431" s="223"/>
      <c r="AB431" s="807"/>
      <c r="AC431" s="220"/>
      <c r="AD431" s="209"/>
      <c r="AE431" s="210"/>
      <c r="AF431" s="210"/>
      <c r="AG431" s="211">
        <f t="shared" si="140"/>
        <v>0.308</v>
      </c>
      <c r="AH431" s="157">
        <f t="shared" si="138"/>
        <v>0</v>
      </c>
      <c r="AI431" s="152">
        <f t="shared" si="141"/>
        <v>28512</v>
      </c>
      <c r="AK431" s="156" t="s">
        <v>691</v>
      </c>
      <c r="AL431" s="574" t="s">
        <v>690</v>
      </c>
      <c r="AM431" s="198">
        <f t="shared" si="139"/>
        <v>0</v>
      </c>
      <c r="AN431" s="199">
        <f t="shared" si="131"/>
        <v>45365</v>
      </c>
      <c r="AO431" s="159" t="s">
        <v>692</v>
      </c>
      <c r="AP431" s="781"/>
      <c r="AQ431" s="782">
        <v>12063755</v>
      </c>
      <c r="AR431" s="782">
        <v>12061353</v>
      </c>
      <c r="AS431" s="782">
        <v>12061354</v>
      </c>
      <c r="AT431" s="782">
        <v>12068566</v>
      </c>
      <c r="AU431" s="781"/>
      <c r="AV431" s="782">
        <v>12068564</v>
      </c>
      <c r="AW431" s="782">
        <v>12062153</v>
      </c>
      <c r="AX431" s="782"/>
      <c r="AY431" s="782">
        <v>12068565</v>
      </c>
      <c r="AZ431" s="782"/>
      <c r="BA431" s="781"/>
    </row>
    <row r="432" spans="1:53" ht="25" hidden="1" customHeight="1">
      <c r="B432" s="213">
        <v>45365</v>
      </c>
      <c r="C432" s="578">
        <v>45370</v>
      </c>
      <c r="D432" s="185">
        <f t="shared" si="129"/>
        <v>2024</v>
      </c>
      <c r="E432" s="215" t="str">
        <f>VLOOKUP($B432,Week!$A$1:$C$1462,2,0)</f>
        <v>Week11</v>
      </c>
      <c r="F432" s="216" t="str">
        <f t="shared" si="130"/>
        <v>Mar</v>
      </c>
      <c r="G432" s="215" t="s">
        <v>965</v>
      </c>
      <c r="H432" s="215" t="s">
        <v>104</v>
      </c>
      <c r="I432" s="215" t="s">
        <v>2772</v>
      </c>
      <c r="J432" s="209" t="s">
        <v>105</v>
      </c>
      <c r="K432" s="217" t="s">
        <v>107</v>
      </c>
      <c r="L432" s="300" t="s">
        <v>2167</v>
      </c>
      <c r="M432" s="209" t="s">
        <v>108</v>
      </c>
      <c r="N432" s="215" t="s">
        <v>109</v>
      </c>
      <c r="O432" s="215" t="s">
        <v>110</v>
      </c>
      <c r="P432" s="218">
        <v>36</v>
      </c>
      <c r="Q432" s="218">
        <v>5</v>
      </c>
      <c r="R432" s="219">
        <v>7.4999999999999997E-3</v>
      </c>
      <c r="S432" s="215" t="s">
        <v>111</v>
      </c>
      <c r="T432" s="215" t="s">
        <v>112</v>
      </c>
      <c r="U432" s="215" t="s">
        <v>113</v>
      </c>
      <c r="V432" s="220">
        <v>792</v>
      </c>
      <c r="W432" s="220">
        <v>792</v>
      </c>
      <c r="X432" s="221"/>
      <c r="Y432" s="222">
        <f t="shared" si="142"/>
        <v>0</v>
      </c>
      <c r="Z432" s="223">
        <f t="shared" si="143"/>
        <v>0</v>
      </c>
      <c r="AA432" s="223"/>
      <c r="AB432" s="807"/>
      <c r="AC432" s="220"/>
      <c r="AD432" s="209"/>
      <c r="AE432" s="210"/>
      <c r="AF432" s="210"/>
      <c r="AG432" s="211">
        <f t="shared" si="140"/>
        <v>0.308</v>
      </c>
      <c r="AH432" s="157">
        <f t="shared" si="138"/>
        <v>0</v>
      </c>
      <c r="AI432" s="152">
        <f t="shared" si="141"/>
        <v>28512</v>
      </c>
      <c r="AK432" s="156" t="s">
        <v>691</v>
      </c>
      <c r="AL432" s="574" t="s">
        <v>690</v>
      </c>
      <c r="AM432" s="198">
        <f t="shared" si="139"/>
        <v>0</v>
      </c>
      <c r="AN432" s="199">
        <f t="shared" si="131"/>
        <v>45365</v>
      </c>
      <c r="AO432" s="159" t="s">
        <v>692</v>
      </c>
      <c r="AP432" s="781"/>
      <c r="AQ432" s="782">
        <v>12063755</v>
      </c>
      <c r="AR432" s="782">
        <v>12061353</v>
      </c>
      <c r="AS432" s="782">
        <v>12061354</v>
      </c>
      <c r="AT432" s="782">
        <v>12068566</v>
      </c>
      <c r="AU432" s="781"/>
      <c r="AV432" s="782">
        <v>12068564</v>
      </c>
      <c r="AW432" s="782">
        <v>12062153</v>
      </c>
      <c r="AX432" s="782"/>
      <c r="AY432" s="782">
        <v>12068565</v>
      </c>
      <c r="AZ432" s="782"/>
      <c r="BA432" s="781"/>
    </row>
    <row r="433" spans="1:53" ht="25" hidden="1" customHeight="1">
      <c r="B433" s="213">
        <v>45365</v>
      </c>
      <c r="C433" s="578">
        <v>45373</v>
      </c>
      <c r="D433" s="185">
        <f t="shared" si="129"/>
        <v>2024</v>
      </c>
      <c r="E433" s="215" t="str">
        <f>VLOOKUP($B433,Week!$A$1:$C$1462,2,0)</f>
        <v>Week11</v>
      </c>
      <c r="F433" s="216" t="str">
        <f t="shared" si="130"/>
        <v>Mar</v>
      </c>
      <c r="G433" s="215" t="s">
        <v>966</v>
      </c>
      <c r="H433" s="215" t="s">
        <v>104</v>
      </c>
      <c r="I433" s="215" t="s">
        <v>2772</v>
      </c>
      <c r="J433" s="209" t="s">
        <v>105</v>
      </c>
      <c r="K433" s="217" t="s">
        <v>107</v>
      </c>
      <c r="L433" s="300" t="s">
        <v>2167</v>
      </c>
      <c r="M433" s="209" t="s">
        <v>108</v>
      </c>
      <c r="N433" s="215" t="s">
        <v>109</v>
      </c>
      <c r="O433" s="215" t="s">
        <v>110</v>
      </c>
      <c r="P433" s="218">
        <v>36</v>
      </c>
      <c r="Q433" s="218">
        <v>5</v>
      </c>
      <c r="R433" s="219">
        <v>7.4999999999999997E-3</v>
      </c>
      <c r="S433" s="215" t="s">
        <v>111</v>
      </c>
      <c r="T433" s="215" t="s">
        <v>112</v>
      </c>
      <c r="U433" s="215" t="s">
        <v>113</v>
      </c>
      <c r="V433" s="220">
        <v>792</v>
      </c>
      <c r="W433" s="220">
        <v>792</v>
      </c>
      <c r="X433" s="221"/>
      <c r="Y433" s="222">
        <f t="shared" si="142"/>
        <v>0</v>
      </c>
      <c r="Z433" s="223">
        <f t="shared" si="143"/>
        <v>0</v>
      </c>
      <c r="AA433" s="223"/>
      <c r="AB433" s="807"/>
      <c r="AC433" s="220"/>
      <c r="AD433" s="209"/>
      <c r="AE433" s="210"/>
      <c r="AF433" s="210"/>
      <c r="AG433" s="211">
        <f t="shared" si="140"/>
        <v>0.308</v>
      </c>
      <c r="AH433" s="157">
        <f t="shared" si="138"/>
        <v>0</v>
      </c>
      <c r="AI433" s="152">
        <f t="shared" si="141"/>
        <v>28512</v>
      </c>
      <c r="AK433" s="156" t="s">
        <v>691</v>
      </c>
      <c r="AL433" s="574" t="s">
        <v>690</v>
      </c>
      <c r="AM433" s="198">
        <f t="shared" si="139"/>
        <v>0</v>
      </c>
      <c r="AN433" s="199">
        <f t="shared" si="131"/>
        <v>45365</v>
      </c>
      <c r="AO433" s="159" t="s">
        <v>692</v>
      </c>
      <c r="AP433" s="781"/>
      <c r="AQ433" s="782">
        <v>12063755</v>
      </c>
      <c r="AR433" s="782">
        <v>12061353</v>
      </c>
      <c r="AS433" s="782">
        <v>12061354</v>
      </c>
      <c r="AT433" s="782">
        <v>12068566</v>
      </c>
      <c r="AU433" s="781"/>
      <c r="AV433" s="782">
        <v>12068564</v>
      </c>
      <c r="AW433" s="782">
        <v>12062153</v>
      </c>
      <c r="AX433" s="782"/>
      <c r="AY433" s="782">
        <v>12068565</v>
      </c>
      <c r="AZ433" s="782"/>
      <c r="BA433" s="781"/>
    </row>
    <row r="434" spans="1:53" ht="25" hidden="1" customHeight="1">
      <c r="B434" s="213">
        <v>45365</v>
      </c>
      <c r="C434" s="578">
        <v>45373</v>
      </c>
      <c r="D434" s="185">
        <f t="shared" si="129"/>
        <v>2024</v>
      </c>
      <c r="E434" s="215" t="str">
        <f>VLOOKUP($B434,Week!$A$1:$C$1462,2,0)</f>
        <v>Week11</v>
      </c>
      <c r="F434" s="216" t="str">
        <f t="shared" si="130"/>
        <v>Mar</v>
      </c>
      <c r="G434" s="215" t="s">
        <v>967</v>
      </c>
      <c r="H434" s="215" t="s">
        <v>104</v>
      </c>
      <c r="I434" s="215" t="s">
        <v>2772</v>
      </c>
      <c r="J434" s="209" t="s">
        <v>105</v>
      </c>
      <c r="K434" s="217" t="s">
        <v>107</v>
      </c>
      <c r="L434" s="300" t="s">
        <v>2167</v>
      </c>
      <c r="M434" s="209" t="s">
        <v>108</v>
      </c>
      <c r="N434" s="215" t="s">
        <v>109</v>
      </c>
      <c r="O434" s="215" t="s">
        <v>110</v>
      </c>
      <c r="P434" s="218">
        <v>36</v>
      </c>
      <c r="Q434" s="218">
        <v>5</v>
      </c>
      <c r="R434" s="219">
        <v>7.4999999999999997E-3</v>
      </c>
      <c r="S434" s="215" t="s">
        <v>111</v>
      </c>
      <c r="T434" s="215" t="s">
        <v>112</v>
      </c>
      <c r="U434" s="215" t="s">
        <v>113</v>
      </c>
      <c r="V434" s="220">
        <f>3487-449-792-792-792</f>
        <v>662</v>
      </c>
      <c r="W434" s="220">
        <f>3487-449-792-792-792</f>
        <v>662</v>
      </c>
      <c r="X434" s="221"/>
      <c r="Y434" s="222">
        <f t="shared" si="142"/>
        <v>0</v>
      </c>
      <c r="Z434" s="223">
        <f t="shared" si="143"/>
        <v>0</v>
      </c>
      <c r="AA434" s="223"/>
      <c r="AB434" s="807"/>
      <c r="AC434" s="220"/>
      <c r="AD434" s="209"/>
      <c r="AE434" s="210"/>
      <c r="AF434" s="210"/>
      <c r="AG434" s="211">
        <f t="shared" si="140"/>
        <v>0.308</v>
      </c>
      <c r="AH434" s="157">
        <f t="shared" si="138"/>
        <v>0</v>
      </c>
      <c r="AI434" s="152">
        <f t="shared" si="141"/>
        <v>23832</v>
      </c>
      <c r="AK434" s="156" t="s">
        <v>691</v>
      </c>
      <c r="AL434" s="574" t="s">
        <v>690</v>
      </c>
      <c r="AM434" s="198">
        <f t="shared" si="139"/>
        <v>0</v>
      </c>
      <c r="AN434" s="199">
        <f t="shared" si="131"/>
        <v>45365</v>
      </c>
      <c r="AO434" s="159" t="s">
        <v>692</v>
      </c>
      <c r="AP434" s="781"/>
      <c r="AQ434" s="782">
        <v>12063755</v>
      </c>
      <c r="AR434" s="782">
        <v>12061353</v>
      </c>
      <c r="AS434" s="782">
        <v>12061354</v>
      </c>
      <c r="AT434" s="782">
        <v>12068566</v>
      </c>
      <c r="AU434" s="781"/>
      <c r="AV434" s="782">
        <v>12068564</v>
      </c>
      <c r="AW434" s="782">
        <v>12062153</v>
      </c>
      <c r="AX434" s="782"/>
      <c r="AY434" s="782">
        <v>12068565</v>
      </c>
      <c r="AZ434" s="782"/>
      <c r="BA434" s="781"/>
    </row>
    <row r="435" spans="1:53" ht="24.65" hidden="1" customHeight="1">
      <c r="A435" s="142" t="s">
        <v>120</v>
      </c>
      <c r="B435" s="385">
        <v>45365</v>
      </c>
      <c r="C435" s="386">
        <v>45384</v>
      </c>
      <c r="D435" s="185">
        <f t="shared" si="129"/>
        <v>2024</v>
      </c>
      <c r="E435" s="386" t="str">
        <f>VLOOKUP($B435,Week!$A$1:$C$1462,2,0)</f>
        <v>Week11</v>
      </c>
      <c r="F435" s="387" t="str">
        <f t="shared" si="130"/>
        <v>Mar</v>
      </c>
      <c r="G435" s="388" t="s">
        <v>1117</v>
      </c>
      <c r="H435" s="388" t="s">
        <v>500</v>
      </c>
      <c r="I435" s="388" t="s">
        <v>2772</v>
      </c>
      <c r="J435" s="389" t="s">
        <v>285</v>
      </c>
      <c r="K435" s="390" t="s">
        <v>153</v>
      </c>
      <c r="L435" s="390" t="s">
        <v>2166</v>
      </c>
      <c r="M435" s="389" t="s">
        <v>165</v>
      </c>
      <c r="N435" s="388" t="s">
        <v>286</v>
      </c>
      <c r="O435" s="388" t="s">
        <v>503</v>
      </c>
      <c r="P435" s="391">
        <v>40</v>
      </c>
      <c r="Q435" s="391">
        <v>12</v>
      </c>
      <c r="R435" s="392">
        <v>6.8100000000000001E-3</v>
      </c>
      <c r="S435" s="388" t="s">
        <v>76</v>
      </c>
      <c r="T435" s="388" t="s">
        <v>56</v>
      </c>
      <c r="U435" s="388" t="s">
        <v>89</v>
      </c>
      <c r="V435" s="393">
        <v>536</v>
      </c>
      <c r="W435" s="393">
        <f>536</f>
        <v>536</v>
      </c>
      <c r="X435" s="394"/>
      <c r="Y435" s="395">
        <f t="shared" si="142"/>
        <v>0</v>
      </c>
      <c r="Z435" s="396">
        <f t="shared" si="143"/>
        <v>0</v>
      </c>
      <c r="AA435" s="396">
        <f>Q435*Z435</f>
        <v>0</v>
      </c>
      <c r="AB435" s="823">
        <v>2</v>
      </c>
      <c r="AC435" s="393">
        <f>Z435*AB435</f>
        <v>0</v>
      </c>
      <c r="AD435" s="209"/>
      <c r="AE435" s="210"/>
      <c r="AF435" s="210"/>
      <c r="AG435" s="211">
        <f t="shared" si="140"/>
        <v>0.154</v>
      </c>
      <c r="AH435" s="157">
        <f t="shared" si="138"/>
        <v>0</v>
      </c>
      <c r="AI435" s="152">
        <f t="shared" si="141"/>
        <v>21440</v>
      </c>
      <c r="AK435" s="156" t="s">
        <v>691</v>
      </c>
      <c r="AL435" s="156" t="s">
        <v>689</v>
      </c>
      <c r="AM435" s="198">
        <f t="shared" si="139"/>
        <v>0</v>
      </c>
      <c r="AN435" s="199">
        <f t="shared" si="131"/>
        <v>45365</v>
      </c>
      <c r="AO435" s="159" t="s">
        <v>692</v>
      </c>
      <c r="AP435" s="783" t="s">
        <v>611</v>
      </c>
      <c r="AQ435" s="782">
        <v>12028328</v>
      </c>
      <c r="AR435" s="782">
        <v>12019692</v>
      </c>
      <c r="AS435" s="781"/>
      <c r="AT435" s="782">
        <v>12065371</v>
      </c>
      <c r="AU435" s="782"/>
      <c r="AV435" s="782">
        <v>12055895</v>
      </c>
      <c r="AW435" s="782">
        <v>12034747</v>
      </c>
      <c r="AX435" s="782" t="s">
        <v>398</v>
      </c>
      <c r="AY435" s="781" t="s">
        <v>290</v>
      </c>
      <c r="AZ435" s="781"/>
      <c r="BA435" s="781"/>
    </row>
    <row r="436" spans="1:53" ht="25" hidden="1" customHeight="1">
      <c r="B436" s="213">
        <v>45366</v>
      </c>
      <c r="C436" s="578">
        <v>45373</v>
      </c>
      <c r="D436" s="185">
        <f t="shared" si="129"/>
        <v>2024</v>
      </c>
      <c r="E436" s="215" t="str">
        <f>VLOOKUP($B436,Week!$A$1:$C$1462,2,0)</f>
        <v>Week11</v>
      </c>
      <c r="F436" s="216" t="str">
        <f t="shared" si="130"/>
        <v>Mar</v>
      </c>
      <c r="G436" s="215" t="s">
        <v>967</v>
      </c>
      <c r="H436" s="215" t="s">
        <v>104</v>
      </c>
      <c r="I436" s="215" t="s">
        <v>2772</v>
      </c>
      <c r="J436" s="209" t="s">
        <v>105</v>
      </c>
      <c r="K436" s="217" t="s">
        <v>107</v>
      </c>
      <c r="L436" s="300" t="s">
        <v>2167</v>
      </c>
      <c r="M436" s="209" t="s">
        <v>108</v>
      </c>
      <c r="N436" s="215" t="s">
        <v>109</v>
      </c>
      <c r="O436" s="215" t="s">
        <v>110</v>
      </c>
      <c r="P436" s="218">
        <v>36</v>
      </c>
      <c r="Q436" s="218">
        <v>5</v>
      </c>
      <c r="R436" s="219">
        <v>7.4999999999999997E-3</v>
      </c>
      <c r="S436" s="215" t="s">
        <v>111</v>
      </c>
      <c r="T436" s="215" t="s">
        <v>112</v>
      </c>
      <c r="U436" s="215" t="s">
        <v>113</v>
      </c>
      <c r="V436" s="220">
        <f>792-662</f>
        <v>130</v>
      </c>
      <c r="W436" s="220">
        <f>792-662</f>
        <v>130</v>
      </c>
      <c r="X436" s="221"/>
      <c r="Y436" s="222">
        <f t="shared" si="142"/>
        <v>0</v>
      </c>
      <c r="Z436" s="223">
        <f t="shared" si="143"/>
        <v>0</v>
      </c>
      <c r="AA436" s="223"/>
      <c r="AB436" s="807"/>
      <c r="AC436" s="220"/>
      <c r="AD436" s="209"/>
      <c r="AE436" s="210"/>
      <c r="AF436" s="210"/>
      <c r="AG436" s="211">
        <f t="shared" si="140"/>
        <v>0.308</v>
      </c>
      <c r="AH436" s="157">
        <f t="shared" si="138"/>
        <v>0</v>
      </c>
      <c r="AI436" s="152">
        <f t="shared" si="141"/>
        <v>4680</v>
      </c>
      <c r="AK436" s="156" t="s">
        <v>691</v>
      </c>
      <c r="AL436" s="574" t="s">
        <v>690</v>
      </c>
      <c r="AM436" s="198">
        <f t="shared" si="139"/>
        <v>0</v>
      </c>
      <c r="AN436" s="199">
        <f t="shared" si="131"/>
        <v>45366</v>
      </c>
      <c r="AO436" s="159" t="s">
        <v>692</v>
      </c>
      <c r="AP436" s="781"/>
      <c r="AQ436" s="782">
        <v>12063755</v>
      </c>
      <c r="AR436" s="782">
        <v>12061353</v>
      </c>
      <c r="AS436" s="782">
        <v>12061354</v>
      </c>
      <c r="AT436" s="782">
        <v>12068566</v>
      </c>
      <c r="AU436" s="781"/>
      <c r="AV436" s="782">
        <v>12068564</v>
      </c>
      <c r="AW436" s="782">
        <v>12062153</v>
      </c>
      <c r="AX436" s="782"/>
      <c r="AY436" s="782">
        <v>12068565</v>
      </c>
      <c r="AZ436" s="782"/>
      <c r="BA436" s="781"/>
    </row>
    <row r="437" spans="1:53" ht="25" hidden="1" customHeight="1">
      <c r="B437" s="213">
        <v>45366</v>
      </c>
      <c r="C437" s="578">
        <v>45373</v>
      </c>
      <c r="D437" s="185">
        <f t="shared" si="129"/>
        <v>2024</v>
      </c>
      <c r="E437" s="215" t="str">
        <f>VLOOKUP($B437,Week!$A$1:$C$1462,2,0)</f>
        <v>Week11</v>
      </c>
      <c r="F437" s="216" t="str">
        <f t="shared" si="130"/>
        <v>Mar</v>
      </c>
      <c r="G437" s="215" t="s">
        <v>968</v>
      </c>
      <c r="H437" s="215" t="s">
        <v>104</v>
      </c>
      <c r="I437" s="215" t="s">
        <v>2772</v>
      </c>
      <c r="J437" s="209" t="s">
        <v>105</v>
      </c>
      <c r="K437" s="217" t="s">
        <v>107</v>
      </c>
      <c r="L437" s="300" t="s">
        <v>2167</v>
      </c>
      <c r="M437" s="209" t="s">
        <v>108</v>
      </c>
      <c r="N437" s="215" t="s">
        <v>109</v>
      </c>
      <c r="O437" s="215" t="s">
        <v>110</v>
      </c>
      <c r="P437" s="218">
        <v>36</v>
      </c>
      <c r="Q437" s="218">
        <v>5</v>
      </c>
      <c r="R437" s="219">
        <v>7.4999999999999997E-3</v>
      </c>
      <c r="S437" s="215" t="s">
        <v>111</v>
      </c>
      <c r="T437" s="215" t="s">
        <v>112</v>
      </c>
      <c r="U437" s="215" t="s">
        <v>113</v>
      </c>
      <c r="V437" s="220">
        <v>792</v>
      </c>
      <c r="W437" s="220">
        <v>792</v>
      </c>
      <c r="X437" s="221"/>
      <c r="Y437" s="222">
        <f t="shared" si="142"/>
        <v>0</v>
      </c>
      <c r="Z437" s="223">
        <f t="shared" si="143"/>
        <v>0</v>
      </c>
      <c r="AA437" s="223"/>
      <c r="AB437" s="807"/>
      <c r="AC437" s="220"/>
      <c r="AD437" s="209"/>
      <c r="AE437" s="210"/>
      <c r="AF437" s="210"/>
      <c r="AG437" s="211">
        <f t="shared" si="140"/>
        <v>0.308</v>
      </c>
      <c r="AH437" s="157">
        <f t="shared" si="138"/>
        <v>0</v>
      </c>
      <c r="AI437" s="152">
        <f t="shared" si="141"/>
        <v>28512</v>
      </c>
      <c r="AK437" s="156" t="s">
        <v>691</v>
      </c>
      <c r="AL437" s="574" t="s">
        <v>690</v>
      </c>
      <c r="AM437" s="198">
        <f t="shared" si="139"/>
        <v>0</v>
      </c>
      <c r="AN437" s="199">
        <f t="shared" si="131"/>
        <v>45366</v>
      </c>
      <c r="AO437" s="159" t="s">
        <v>692</v>
      </c>
      <c r="AP437" s="781"/>
      <c r="AQ437" s="782">
        <v>12063755</v>
      </c>
      <c r="AR437" s="782">
        <v>12061353</v>
      </c>
      <c r="AS437" s="782">
        <v>12061354</v>
      </c>
      <c r="AT437" s="782">
        <v>12068566</v>
      </c>
      <c r="AU437" s="781"/>
      <c r="AV437" s="782">
        <v>12068564</v>
      </c>
      <c r="AW437" s="782">
        <v>12062153</v>
      </c>
      <c r="AX437" s="782"/>
      <c r="AY437" s="782">
        <v>12068565</v>
      </c>
      <c r="AZ437" s="782"/>
      <c r="BA437" s="781"/>
    </row>
    <row r="438" spans="1:53" ht="25" hidden="1" customHeight="1">
      <c r="B438" s="213">
        <v>45366</v>
      </c>
      <c r="C438" s="578">
        <v>45373</v>
      </c>
      <c r="D438" s="185">
        <f t="shared" si="129"/>
        <v>2024</v>
      </c>
      <c r="E438" s="215" t="str">
        <f>VLOOKUP($B438,Week!$A$1:$C$1462,2,0)</f>
        <v>Week11</v>
      </c>
      <c r="F438" s="216" t="str">
        <f t="shared" si="130"/>
        <v>Mar</v>
      </c>
      <c r="G438" s="215" t="s">
        <v>969</v>
      </c>
      <c r="H438" s="215" t="s">
        <v>104</v>
      </c>
      <c r="I438" s="215" t="s">
        <v>2772</v>
      </c>
      <c r="J438" s="209" t="s">
        <v>105</v>
      </c>
      <c r="K438" s="217" t="s">
        <v>107</v>
      </c>
      <c r="L438" s="300" t="s">
        <v>2167</v>
      </c>
      <c r="M438" s="209" t="s">
        <v>108</v>
      </c>
      <c r="N438" s="215" t="s">
        <v>109</v>
      </c>
      <c r="O438" s="215" t="s">
        <v>110</v>
      </c>
      <c r="P438" s="218">
        <v>36</v>
      </c>
      <c r="Q438" s="218">
        <v>5</v>
      </c>
      <c r="R438" s="219">
        <v>7.4999999999999997E-3</v>
      </c>
      <c r="S438" s="215" t="s">
        <v>111</v>
      </c>
      <c r="T438" s="215" t="s">
        <v>112</v>
      </c>
      <c r="U438" s="215" t="s">
        <v>113</v>
      </c>
      <c r="V438" s="220">
        <v>792</v>
      </c>
      <c r="W438" s="220">
        <v>792</v>
      </c>
      <c r="X438" s="221"/>
      <c r="Y438" s="222">
        <f t="shared" si="142"/>
        <v>0</v>
      </c>
      <c r="Z438" s="223">
        <f t="shared" si="143"/>
        <v>0</v>
      </c>
      <c r="AA438" s="223"/>
      <c r="AB438" s="807"/>
      <c r="AC438" s="220"/>
      <c r="AD438" s="209"/>
      <c r="AE438" s="210"/>
      <c r="AF438" s="210"/>
      <c r="AG438" s="211">
        <f t="shared" si="140"/>
        <v>0.308</v>
      </c>
      <c r="AH438" s="157">
        <f t="shared" si="138"/>
        <v>0</v>
      </c>
      <c r="AI438" s="152">
        <f t="shared" si="141"/>
        <v>28512</v>
      </c>
      <c r="AK438" s="156" t="s">
        <v>691</v>
      </c>
      <c r="AL438" s="574" t="s">
        <v>690</v>
      </c>
      <c r="AM438" s="198">
        <f t="shared" si="139"/>
        <v>0</v>
      </c>
      <c r="AN438" s="199">
        <f t="shared" si="131"/>
        <v>45366</v>
      </c>
      <c r="AO438" s="159" t="s">
        <v>692</v>
      </c>
      <c r="AP438" s="781"/>
      <c r="AQ438" s="782">
        <v>12063755</v>
      </c>
      <c r="AR438" s="782">
        <v>12061353</v>
      </c>
      <c r="AS438" s="782">
        <v>12061354</v>
      </c>
      <c r="AT438" s="782">
        <v>12068566</v>
      </c>
      <c r="AU438" s="781"/>
      <c r="AV438" s="782">
        <v>12068564</v>
      </c>
      <c r="AW438" s="782">
        <v>12062153</v>
      </c>
      <c r="AX438" s="782"/>
      <c r="AY438" s="782">
        <v>12068565</v>
      </c>
      <c r="AZ438" s="782"/>
      <c r="BA438" s="781"/>
    </row>
    <row r="439" spans="1:53" ht="25" hidden="1" customHeight="1">
      <c r="B439" s="213">
        <v>45366</v>
      </c>
      <c r="C439" s="578">
        <v>45373</v>
      </c>
      <c r="D439" s="185">
        <f t="shared" si="129"/>
        <v>2024</v>
      </c>
      <c r="E439" s="215" t="str">
        <f>VLOOKUP($B439,Week!$A$1:$C$1462,2,0)</f>
        <v>Week11</v>
      </c>
      <c r="F439" s="216" t="str">
        <f t="shared" si="130"/>
        <v>Mar</v>
      </c>
      <c r="G439" s="215" t="s">
        <v>970</v>
      </c>
      <c r="H439" s="215" t="s">
        <v>104</v>
      </c>
      <c r="I439" s="215" t="s">
        <v>2772</v>
      </c>
      <c r="J439" s="209" t="s">
        <v>105</v>
      </c>
      <c r="K439" s="217" t="s">
        <v>107</v>
      </c>
      <c r="L439" s="300" t="s">
        <v>2167</v>
      </c>
      <c r="M439" s="209" t="s">
        <v>108</v>
      </c>
      <c r="N439" s="215" t="s">
        <v>109</v>
      </c>
      <c r="O439" s="215" t="s">
        <v>110</v>
      </c>
      <c r="P439" s="218">
        <v>36</v>
      </c>
      <c r="Q439" s="218">
        <v>5</v>
      </c>
      <c r="R439" s="219">
        <v>7.4999999999999997E-3</v>
      </c>
      <c r="S439" s="215" t="s">
        <v>111</v>
      </c>
      <c r="T439" s="215" t="s">
        <v>112</v>
      </c>
      <c r="U439" s="215" t="s">
        <v>113</v>
      </c>
      <c r="V439" s="220">
        <v>792</v>
      </c>
      <c r="W439" s="220">
        <v>792</v>
      </c>
      <c r="X439" s="221"/>
      <c r="Y439" s="222">
        <f t="shared" si="142"/>
        <v>0</v>
      </c>
      <c r="Z439" s="223">
        <f t="shared" si="143"/>
        <v>0</v>
      </c>
      <c r="AA439" s="223"/>
      <c r="AB439" s="807"/>
      <c r="AC439" s="220"/>
      <c r="AD439" s="209"/>
      <c r="AE439" s="210"/>
      <c r="AF439" s="210"/>
      <c r="AG439" s="211">
        <f t="shared" si="140"/>
        <v>0.308</v>
      </c>
      <c r="AH439" s="157">
        <f t="shared" si="138"/>
        <v>0</v>
      </c>
      <c r="AI439" s="152">
        <f t="shared" si="141"/>
        <v>28512</v>
      </c>
      <c r="AK439" s="156" t="s">
        <v>691</v>
      </c>
      <c r="AL439" s="574" t="s">
        <v>690</v>
      </c>
      <c r="AM439" s="198">
        <f t="shared" si="139"/>
        <v>0</v>
      </c>
      <c r="AN439" s="199">
        <f t="shared" si="131"/>
        <v>45366</v>
      </c>
      <c r="AO439" s="159" t="s">
        <v>692</v>
      </c>
      <c r="AP439" s="781"/>
      <c r="AQ439" s="782">
        <v>12063755</v>
      </c>
      <c r="AR439" s="782">
        <v>12061353</v>
      </c>
      <c r="AS439" s="782">
        <v>12061354</v>
      </c>
      <c r="AT439" s="782">
        <v>12068566</v>
      </c>
      <c r="AU439" s="781"/>
      <c r="AV439" s="782">
        <v>12068564</v>
      </c>
      <c r="AW439" s="782">
        <v>12062153</v>
      </c>
      <c r="AX439" s="782"/>
      <c r="AY439" s="782">
        <v>12068565</v>
      </c>
      <c r="AZ439" s="782"/>
      <c r="BA439" s="781"/>
    </row>
    <row r="440" spans="1:53" ht="25" hidden="1" customHeight="1">
      <c r="B440" s="213">
        <v>45366</v>
      </c>
      <c r="C440" s="578">
        <v>45376</v>
      </c>
      <c r="D440" s="185">
        <f t="shared" si="129"/>
        <v>2024</v>
      </c>
      <c r="E440" s="215" t="str">
        <f>VLOOKUP($B440,Week!$A$1:$C$1462,2,0)</f>
        <v>Week11</v>
      </c>
      <c r="F440" s="216" t="str">
        <f t="shared" si="130"/>
        <v>Mar</v>
      </c>
      <c r="G440" s="215" t="s">
        <v>971</v>
      </c>
      <c r="H440" s="215" t="s">
        <v>104</v>
      </c>
      <c r="I440" s="215" t="s">
        <v>2772</v>
      </c>
      <c r="J440" s="209" t="s">
        <v>105</v>
      </c>
      <c r="K440" s="217" t="s">
        <v>107</v>
      </c>
      <c r="L440" s="300" t="s">
        <v>2167</v>
      </c>
      <c r="M440" s="209" t="s">
        <v>108</v>
      </c>
      <c r="N440" s="215" t="s">
        <v>109</v>
      </c>
      <c r="O440" s="215" t="s">
        <v>110</v>
      </c>
      <c r="P440" s="218">
        <v>36</v>
      </c>
      <c r="Q440" s="218">
        <v>5</v>
      </c>
      <c r="R440" s="219">
        <v>7.4999999999999997E-3</v>
      </c>
      <c r="S440" s="215" t="s">
        <v>111</v>
      </c>
      <c r="T440" s="215" t="s">
        <v>112</v>
      </c>
      <c r="U440" s="215" t="s">
        <v>113</v>
      </c>
      <c r="V440" s="220">
        <v>792</v>
      </c>
      <c r="W440" s="220">
        <v>792</v>
      </c>
      <c r="X440" s="221"/>
      <c r="Y440" s="222">
        <f t="shared" si="142"/>
        <v>0</v>
      </c>
      <c r="Z440" s="223">
        <f t="shared" si="143"/>
        <v>0</v>
      </c>
      <c r="AA440" s="223"/>
      <c r="AB440" s="807"/>
      <c r="AC440" s="220"/>
      <c r="AD440" s="209"/>
      <c r="AE440" s="210"/>
      <c r="AF440" s="210"/>
      <c r="AG440" s="211">
        <f t="shared" si="140"/>
        <v>0.308</v>
      </c>
      <c r="AH440" s="157">
        <f t="shared" si="138"/>
        <v>0</v>
      </c>
      <c r="AI440" s="152">
        <f t="shared" si="141"/>
        <v>28512</v>
      </c>
      <c r="AK440" s="156" t="s">
        <v>691</v>
      </c>
      <c r="AL440" s="574" t="s">
        <v>690</v>
      </c>
      <c r="AM440" s="198">
        <f t="shared" si="139"/>
        <v>0</v>
      </c>
      <c r="AN440" s="199">
        <f t="shared" si="131"/>
        <v>45366</v>
      </c>
      <c r="AO440" s="159" t="s">
        <v>692</v>
      </c>
      <c r="AP440" s="781"/>
      <c r="AQ440" s="782">
        <v>12063755</v>
      </c>
      <c r="AR440" s="782">
        <v>12061353</v>
      </c>
      <c r="AS440" s="782">
        <v>12061354</v>
      </c>
      <c r="AT440" s="782">
        <v>12068566</v>
      </c>
      <c r="AU440" s="781"/>
      <c r="AV440" s="782">
        <v>12068564</v>
      </c>
      <c r="AW440" s="782">
        <v>12062153</v>
      </c>
      <c r="AX440" s="782"/>
      <c r="AY440" s="782">
        <v>12068565</v>
      </c>
      <c r="AZ440" s="782"/>
      <c r="BA440" s="781"/>
    </row>
    <row r="441" spans="1:53" ht="25" hidden="1" customHeight="1">
      <c r="B441" s="213">
        <v>45366</v>
      </c>
      <c r="C441" s="578">
        <v>45376</v>
      </c>
      <c r="D441" s="185">
        <f t="shared" si="129"/>
        <v>2024</v>
      </c>
      <c r="E441" s="215" t="str">
        <f>VLOOKUP($B441,Week!$A$1:$C$1462,2,0)</f>
        <v>Week11</v>
      </c>
      <c r="F441" s="216" t="str">
        <f t="shared" si="130"/>
        <v>Mar</v>
      </c>
      <c r="G441" s="215" t="s">
        <v>972</v>
      </c>
      <c r="H441" s="215" t="s">
        <v>104</v>
      </c>
      <c r="I441" s="215" t="s">
        <v>2772</v>
      </c>
      <c r="J441" s="209" t="s">
        <v>105</v>
      </c>
      <c r="K441" s="217" t="s">
        <v>107</v>
      </c>
      <c r="L441" s="300" t="s">
        <v>2167</v>
      </c>
      <c r="M441" s="209" t="s">
        <v>108</v>
      </c>
      <c r="N441" s="215" t="s">
        <v>109</v>
      </c>
      <c r="O441" s="215" t="s">
        <v>110</v>
      </c>
      <c r="P441" s="218">
        <v>36</v>
      </c>
      <c r="Q441" s="218">
        <v>5</v>
      </c>
      <c r="R441" s="219">
        <v>7.4999999999999997E-3</v>
      </c>
      <c r="S441" s="215" t="s">
        <v>111</v>
      </c>
      <c r="T441" s="215" t="s">
        <v>112</v>
      </c>
      <c r="U441" s="215" t="s">
        <v>113</v>
      </c>
      <c r="V441" s="220">
        <f>3894-130-792-792-792-792</f>
        <v>596</v>
      </c>
      <c r="W441" s="220">
        <f>3894-130-792-792-792-792</f>
        <v>596</v>
      </c>
      <c r="X441" s="221"/>
      <c r="Y441" s="222">
        <f t="shared" si="142"/>
        <v>0</v>
      </c>
      <c r="Z441" s="223">
        <f t="shared" si="143"/>
        <v>0</v>
      </c>
      <c r="AA441" s="223"/>
      <c r="AB441" s="807"/>
      <c r="AC441" s="220"/>
      <c r="AD441" s="209"/>
      <c r="AE441" s="210"/>
      <c r="AF441" s="210"/>
      <c r="AG441" s="211">
        <f t="shared" si="140"/>
        <v>0.308</v>
      </c>
      <c r="AH441" s="157">
        <f t="shared" si="138"/>
        <v>0</v>
      </c>
      <c r="AI441" s="152">
        <f t="shared" si="141"/>
        <v>21456</v>
      </c>
      <c r="AK441" s="156" t="s">
        <v>691</v>
      </c>
      <c r="AL441" s="574" t="s">
        <v>690</v>
      </c>
      <c r="AM441" s="198">
        <f t="shared" si="139"/>
        <v>0</v>
      </c>
      <c r="AN441" s="199">
        <f t="shared" si="131"/>
        <v>45366</v>
      </c>
      <c r="AO441" s="159" t="s">
        <v>692</v>
      </c>
      <c r="AP441" s="781"/>
      <c r="AQ441" s="782">
        <v>12063755</v>
      </c>
      <c r="AR441" s="782">
        <v>12061353</v>
      </c>
      <c r="AS441" s="782">
        <v>12061354</v>
      </c>
      <c r="AT441" s="782">
        <v>12068566</v>
      </c>
      <c r="AU441" s="781"/>
      <c r="AV441" s="782">
        <v>12068564</v>
      </c>
      <c r="AW441" s="782">
        <v>12062153</v>
      </c>
      <c r="AX441" s="782"/>
      <c r="AY441" s="782">
        <v>12068565</v>
      </c>
      <c r="AZ441" s="782"/>
      <c r="BA441" s="781"/>
    </row>
    <row r="442" spans="1:53" ht="25" hidden="1" customHeight="1">
      <c r="A442" s="142" t="s">
        <v>120</v>
      </c>
      <c r="B442" s="385">
        <v>45366</v>
      </c>
      <c r="C442" s="386">
        <v>45384</v>
      </c>
      <c r="D442" s="185">
        <f t="shared" si="129"/>
        <v>2024</v>
      </c>
      <c r="E442" s="386" t="str">
        <f>VLOOKUP($B442,Week!$A$1:$C$1462,2,0)</f>
        <v>Week11</v>
      </c>
      <c r="F442" s="387" t="str">
        <f t="shared" si="130"/>
        <v>Mar</v>
      </c>
      <c r="G442" s="388" t="s">
        <v>1117</v>
      </c>
      <c r="H442" s="388" t="s">
        <v>500</v>
      </c>
      <c r="I442" s="388" t="s">
        <v>2772</v>
      </c>
      <c r="J442" s="389" t="s">
        <v>285</v>
      </c>
      <c r="K442" s="390" t="s">
        <v>153</v>
      </c>
      <c r="L442" s="390" t="s">
        <v>2166</v>
      </c>
      <c r="M442" s="389" t="s">
        <v>165</v>
      </c>
      <c r="N442" s="388" t="s">
        <v>286</v>
      </c>
      <c r="O442" s="388" t="s">
        <v>503</v>
      </c>
      <c r="P442" s="391">
        <v>40</v>
      </c>
      <c r="Q442" s="391">
        <v>12</v>
      </c>
      <c r="R442" s="392">
        <v>6.8100000000000001E-3</v>
      </c>
      <c r="S442" s="388" t="s">
        <v>76</v>
      </c>
      <c r="T442" s="388" t="s">
        <v>56</v>
      </c>
      <c r="U442" s="388" t="s">
        <v>89</v>
      </c>
      <c r="V442" s="393">
        <v>453</v>
      </c>
      <c r="W442" s="393">
        <v>453</v>
      </c>
      <c r="X442" s="394"/>
      <c r="Y442" s="395">
        <f t="shared" si="142"/>
        <v>0</v>
      </c>
      <c r="Z442" s="396">
        <f t="shared" si="143"/>
        <v>0</v>
      </c>
      <c r="AA442" s="396">
        <f>Q442*Z442</f>
        <v>0</v>
      </c>
      <c r="AB442" s="823">
        <v>2</v>
      </c>
      <c r="AC442" s="393">
        <f>Z442*AB442</f>
        <v>0</v>
      </c>
      <c r="AD442" s="209"/>
      <c r="AE442" s="210"/>
      <c r="AF442" s="210"/>
      <c r="AG442" s="211">
        <f t="shared" si="140"/>
        <v>0.154</v>
      </c>
      <c r="AH442" s="157">
        <f t="shared" si="138"/>
        <v>0</v>
      </c>
      <c r="AI442" s="152">
        <f t="shared" si="141"/>
        <v>18120</v>
      </c>
      <c r="AK442" s="156" t="s">
        <v>691</v>
      </c>
      <c r="AL442" s="156" t="s">
        <v>689</v>
      </c>
      <c r="AM442" s="198">
        <f t="shared" si="139"/>
        <v>0</v>
      </c>
      <c r="AN442" s="199">
        <f t="shared" si="131"/>
        <v>45366</v>
      </c>
      <c r="AO442" s="159" t="s">
        <v>692</v>
      </c>
      <c r="AP442" s="783" t="s">
        <v>611</v>
      </c>
      <c r="AQ442" s="782">
        <v>12028328</v>
      </c>
      <c r="AR442" s="782">
        <v>12019692</v>
      </c>
      <c r="AS442" s="781"/>
      <c r="AT442" s="782">
        <v>12065371</v>
      </c>
      <c r="AU442" s="782"/>
      <c r="AV442" s="782">
        <v>12055895</v>
      </c>
      <c r="AW442" s="782">
        <v>12034747</v>
      </c>
      <c r="AX442" s="782" t="s">
        <v>398</v>
      </c>
      <c r="AY442" s="781" t="s">
        <v>290</v>
      </c>
      <c r="AZ442" s="781"/>
      <c r="BA442" s="781"/>
    </row>
    <row r="443" spans="1:53" ht="24.65" hidden="1" customHeight="1">
      <c r="B443" s="213">
        <v>45367</v>
      </c>
      <c r="C443" s="578">
        <v>45376</v>
      </c>
      <c r="D443" s="185">
        <f t="shared" si="129"/>
        <v>2024</v>
      </c>
      <c r="E443" s="215" t="str">
        <f>VLOOKUP($B443,Week!$A$1:$C$1462,2,0)</f>
        <v>Week11</v>
      </c>
      <c r="F443" s="216" t="str">
        <f t="shared" si="130"/>
        <v>Mar</v>
      </c>
      <c r="G443" s="215" t="s">
        <v>972</v>
      </c>
      <c r="H443" s="215" t="s">
        <v>104</v>
      </c>
      <c r="I443" s="215" t="s">
        <v>2772</v>
      </c>
      <c r="J443" s="209" t="s">
        <v>105</v>
      </c>
      <c r="K443" s="217" t="s">
        <v>107</v>
      </c>
      <c r="L443" s="300" t="s">
        <v>2167</v>
      </c>
      <c r="M443" s="209" t="s">
        <v>108</v>
      </c>
      <c r="N443" s="215" t="s">
        <v>109</v>
      </c>
      <c r="O443" s="215" t="s">
        <v>110</v>
      </c>
      <c r="P443" s="218">
        <v>36</v>
      </c>
      <c r="Q443" s="218">
        <v>5</v>
      </c>
      <c r="R443" s="219">
        <v>7.4999999999999997E-3</v>
      </c>
      <c r="S443" s="215" t="s">
        <v>111</v>
      </c>
      <c r="T443" s="215" t="s">
        <v>112</v>
      </c>
      <c r="U443" s="215" t="s">
        <v>113</v>
      </c>
      <c r="V443" s="220">
        <f>792-596</f>
        <v>196</v>
      </c>
      <c r="W443" s="220">
        <f>792-596</f>
        <v>196</v>
      </c>
      <c r="X443" s="221"/>
      <c r="Y443" s="222">
        <f t="shared" si="142"/>
        <v>0</v>
      </c>
      <c r="Z443" s="223">
        <f t="shared" si="143"/>
        <v>0</v>
      </c>
      <c r="AA443" s="223"/>
      <c r="AB443" s="807"/>
      <c r="AC443" s="220"/>
      <c r="AD443" s="209"/>
      <c r="AE443" s="210"/>
      <c r="AF443" s="210"/>
      <c r="AG443" s="211">
        <f t="shared" si="140"/>
        <v>0.308</v>
      </c>
      <c r="AH443" s="157">
        <f t="shared" si="138"/>
        <v>0</v>
      </c>
      <c r="AI443" s="152">
        <f t="shared" si="141"/>
        <v>7056</v>
      </c>
      <c r="AK443" s="156" t="s">
        <v>691</v>
      </c>
      <c r="AL443" s="574" t="s">
        <v>690</v>
      </c>
      <c r="AM443" s="198">
        <f t="shared" si="139"/>
        <v>0</v>
      </c>
      <c r="AN443" s="199">
        <f t="shared" si="131"/>
        <v>45367</v>
      </c>
      <c r="AO443" s="159" t="s">
        <v>692</v>
      </c>
      <c r="AP443" s="781"/>
      <c r="AQ443" s="782">
        <v>12063755</v>
      </c>
      <c r="AR443" s="782">
        <v>12061353</v>
      </c>
      <c r="AS443" s="782">
        <v>12061354</v>
      </c>
      <c r="AT443" s="782">
        <v>12068566</v>
      </c>
      <c r="AU443" s="781"/>
      <c r="AV443" s="782">
        <v>12068564</v>
      </c>
      <c r="AW443" s="782">
        <v>12062153</v>
      </c>
      <c r="AX443" s="782"/>
      <c r="AY443" s="782">
        <v>12068565</v>
      </c>
      <c r="AZ443" s="782"/>
      <c r="BA443" s="781"/>
    </row>
    <row r="444" spans="1:53" ht="25" hidden="1" customHeight="1">
      <c r="B444" s="213">
        <v>45367</v>
      </c>
      <c r="C444" s="578">
        <v>45376</v>
      </c>
      <c r="D444" s="185">
        <f t="shared" si="129"/>
        <v>2024</v>
      </c>
      <c r="E444" s="215" t="str">
        <f>VLOOKUP($B444,Week!$A$1:$C$1462,2,0)</f>
        <v>Week11</v>
      </c>
      <c r="F444" s="216" t="str">
        <f t="shared" si="130"/>
        <v>Mar</v>
      </c>
      <c r="G444" s="215" t="s">
        <v>973</v>
      </c>
      <c r="H444" s="215" t="s">
        <v>104</v>
      </c>
      <c r="I444" s="215" t="s">
        <v>2772</v>
      </c>
      <c r="J444" s="209" t="s">
        <v>105</v>
      </c>
      <c r="K444" s="217" t="s">
        <v>107</v>
      </c>
      <c r="L444" s="300" t="s">
        <v>2167</v>
      </c>
      <c r="M444" s="209" t="s">
        <v>108</v>
      </c>
      <c r="N444" s="215" t="s">
        <v>109</v>
      </c>
      <c r="O444" s="215" t="s">
        <v>110</v>
      </c>
      <c r="P444" s="218">
        <v>36</v>
      </c>
      <c r="Q444" s="218">
        <v>5</v>
      </c>
      <c r="R444" s="219">
        <v>7.4999999999999997E-3</v>
      </c>
      <c r="S444" s="215" t="s">
        <v>111</v>
      </c>
      <c r="T444" s="215" t="s">
        <v>112</v>
      </c>
      <c r="U444" s="215" t="s">
        <v>113</v>
      </c>
      <c r="V444" s="220">
        <v>792</v>
      </c>
      <c r="W444" s="220">
        <v>792</v>
      </c>
      <c r="X444" s="221"/>
      <c r="Y444" s="222">
        <f t="shared" si="142"/>
        <v>0</v>
      </c>
      <c r="Z444" s="223">
        <f t="shared" si="143"/>
        <v>0</v>
      </c>
      <c r="AA444" s="223"/>
      <c r="AB444" s="807"/>
      <c r="AC444" s="220"/>
      <c r="AD444" s="209"/>
      <c r="AE444" s="210"/>
      <c r="AF444" s="210"/>
      <c r="AG444" s="211">
        <f t="shared" si="140"/>
        <v>0.308</v>
      </c>
      <c r="AH444" s="157">
        <f t="shared" si="138"/>
        <v>0</v>
      </c>
      <c r="AI444" s="152">
        <f t="shared" si="141"/>
        <v>28512</v>
      </c>
      <c r="AK444" s="156" t="s">
        <v>691</v>
      </c>
      <c r="AL444" s="574" t="s">
        <v>690</v>
      </c>
      <c r="AM444" s="198">
        <f t="shared" si="139"/>
        <v>0</v>
      </c>
      <c r="AN444" s="199">
        <f t="shared" si="131"/>
        <v>45367</v>
      </c>
      <c r="AO444" s="159" t="s">
        <v>692</v>
      </c>
      <c r="AP444" s="781"/>
      <c r="AQ444" s="782">
        <v>12063755</v>
      </c>
      <c r="AR444" s="782">
        <v>12061353</v>
      </c>
      <c r="AS444" s="782">
        <v>12061354</v>
      </c>
      <c r="AT444" s="782">
        <v>12068566</v>
      </c>
      <c r="AU444" s="781"/>
      <c r="AV444" s="782">
        <v>12068564</v>
      </c>
      <c r="AW444" s="782">
        <v>12062153</v>
      </c>
      <c r="AX444" s="782"/>
      <c r="AY444" s="782">
        <v>12068565</v>
      </c>
      <c r="AZ444" s="782"/>
      <c r="BA444" s="781"/>
    </row>
    <row r="445" spans="1:53" ht="25" hidden="1" customHeight="1">
      <c r="B445" s="213">
        <v>45367</v>
      </c>
      <c r="C445" s="578">
        <v>45376</v>
      </c>
      <c r="D445" s="185">
        <f t="shared" si="129"/>
        <v>2024</v>
      </c>
      <c r="E445" s="215" t="str">
        <f>VLOOKUP($B445,Week!$A$1:$C$1462,2,0)</f>
        <v>Week11</v>
      </c>
      <c r="F445" s="216" t="str">
        <f t="shared" si="130"/>
        <v>Mar</v>
      </c>
      <c r="G445" s="215" t="s">
        <v>974</v>
      </c>
      <c r="H445" s="215" t="s">
        <v>104</v>
      </c>
      <c r="I445" s="215" t="s">
        <v>2772</v>
      </c>
      <c r="J445" s="209" t="s">
        <v>105</v>
      </c>
      <c r="K445" s="217" t="s">
        <v>107</v>
      </c>
      <c r="L445" s="300" t="s">
        <v>2167</v>
      </c>
      <c r="M445" s="209" t="s">
        <v>108</v>
      </c>
      <c r="N445" s="215" t="s">
        <v>109</v>
      </c>
      <c r="O445" s="215" t="s">
        <v>110</v>
      </c>
      <c r="P445" s="218">
        <v>36</v>
      </c>
      <c r="Q445" s="218">
        <v>5</v>
      </c>
      <c r="R445" s="219">
        <v>7.4999999999999997E-3</v>
      </c>
      <c r="S445" s="215" t="s">
        <v>111</v>
      </c>
      <c r="T445" s="215" t="s">
        <v>112</v>
      </c>
      <c r="U445" s="215" t="s">
        <v>113</v>
      </c>
      <c r="V445" s="220">
        <v>792</v>
      </c>
      <c r="W445" s="220">
        <v>792</v>
      </c>
      <c r="X445" s="221"/>
      <c r="Y445" s="222">
        <f t="shared" si="142"/>
        <v>0</v>
      </c>
      <c r="Z445" s="223">
        <f t="shared" si="143"/>
        <v>0</v>
      </c>
      <c r="AA445" s="223"/>
      <c r="AB445" s="807"/>
      <c r="AC445" s="220"/>
      <c r="AD445" s="209"/>
      <c r="AE445" s="210"/>
      <c r="AF445" s="210"/>
      <c r="AG445" s="211">
        <f t="shared" si="140"/>
        <v>0.308</v>
      </c>
      <c r="AH445" s="157">
        <f t="shared" si="138"/>
        <v>0</v>
      </c>
      <c r="AI445" s="152">
        <f t="shared" si="141"/>
        <v>28512</v>
      </c>
      <c r="AK445" s="156" t="s">
        <v>691</v>
      </c>
      <c r="AL445" s="574" t="s">
        <v>690</v>
      </c>
      <c r="AM445" s="198">
        <f t="shared" si="139"/>
        <v>0</v>
      </c>
      <c r="AN445" s="199">
        <f t="shared" si="131"/>
        <v>45367</v>
      </c>
      <c r="AO445" s="159" t="s">
        <v>692</v>
      </c>
      <c r="AP445" s="781"/>
      <c r="AQ445" s="782">
        <v>12063755</v>
      </c>
      <c r="AR445" s="782">
        <v>12061353</v>
      </c>
      <c r="AS445" s="782">
        <v>12061354</v>
      </c>
      <c r="AT445" s="782">
        <v>12068566</v>
      </c>
      <c r="AU445" s="781"/>
      <c r="AV445" s="782">
        <v>12068564</v>
      </c>
      <c r="AW445" s="782">
        <v>12062153</v>
      </c>
      <c r="AX445" s="782"/>
      <c r="AY445" s="782">
        <v>12068565</v>
      </c>
      <c r="AZ445" s="782"/>
      <c r="BA445" s="781"/>
    </row>
    <row r="446" spans="1:53" ht="25" hidden="1" customHeight="1">
      <c r="B446" s="213">
        <v>45367</v>
      </c>
      <c r="C446" s="578">
        <v>45376</v>
      </c>
      <c r="D446" s="185">
        <f t="shared" si="129"/>
        <v>2024</v>
      </c>
      <c r="E446" s="215" t="str">
        <f>VLOOKUP($B446,Week!$A$1:$C$1462,2,0)</f>
        <v>Week11</v>
      </c>
      <c r="F446" s="216" t="str">
        <f t="shared" si="130"/>
        <v>Mar</v>
      </c>
      <c r="G446" s="215" t="s">
        <v>975</v>
      </c>
      <c r="H446" s="215" t="s">
        <v>104</v>
      </c>
      <c r="I446" s="215" t="s">
        <v>2772</v>
      </c>
      <c r="J446" s="209" t="s">
        <v>105</v>
      </c>
      <c r="K446" s="217" t="s">
        <v>107</v>
      </c>
      <c r="L446" s="300" t="s">
        <v>2167</v>
      </c>
      <c r="M446" s="209" t="s">
        <v>108</v>
      </c>
      <c r="N446" s="215" t="s">
        <v>109</v>
      </c>
      <c r="O446" s="215" t="s">
        <v>110</v>
      </c>
      <c r="P446" s="218">
        <v>36</v>
      </c>
      <c r="Q446" s="218">
        <v>5</v>
      </c>
      <c r="R446" s="219">
        <v>7.4999999999999997E-3</v>
      </c>
      <c r="S446" s="215" t="s">
        <v>111</v>
      </c>
      <c r="T446" s="215" t="s">
        <v>112</v>
      </c>
      <c r="U446" s="215" t="s">
        <v>113</v>
      </c>
      <c r="V446" s="220">
        <v>792</v>
      </c>
      <c r="W446" s="220">
        <v>792</v>
      </c>
      <c r="X446" s="221"/>
      <c r="Y446" s="222">
        <f t="shared" si="142"/>
        <v>0</v>
      </c>
      <c r="Z446" s="223">
        <f t="shared" si="143"/>
        <v>0</v>
      </c>
      <c r="AA446" s="223"/>
      <c r="AB446" s="807"/>
      <c r="AC446" s="220"/>
      <c r="AD446" s="209"/>
      <c r="AE446" s="210"/>
      <c r="AF446" s="210"/>
      <c r="AG446" s="211">
        <f t="shared" si="140"/>
        <v>0.308</v>
      </c>
      <c r="AH446" s="157">
        <f t="shared" si="138"/>
        <v>0</v>
      </c>
      <c r="AI446" s="152">
        <f t="shared" si="141"/>
        <v>28512</v>
      </c>
      <c r="AK446" s="156" t="s">
        <v>691</v>
      </c>
      <c r="AL446" s="574" t="s">
        <v>690</v>
      </c>
      <c r="AM446" s="198">
        <f t="shared" si="139"/>
        <v>0</v>
      </c>
      <c r="AN446" s="199">
        <f t="shared" si="131"/>
        <v>45367</v>
      </c>
      <c r="AO446" s="159" t="s">
        <v>692</v>
      </c>
      <c r="AP446" s="781"/>
      <c r="AQ446" s="782">
        <v>12063755</v>
      </c>
      <c r="AR446" s="782">
        <v>12061353</v>
      </c>
      <c r="AS446" s="782">
        <v>12061354</v>
      </c>
      <c r="AT446" s="782">
        <v>12068566</v>
      </c>
      <c r="AU446" s="781"/>
      <c r="AV446" s="782">
        <v>12068564</v>
      </c>
      <c r="AW446" s="782">
        <v>12062153</v>
      </c>
      <c r="AX446" s="782"/>
      <c r="AY446" s="782">
        <v>12068565</v>
      </c>
      <c r="AZ446" s="782"/>
      <c r="BA446" s="781"/>
    </row>
    <row r="447" spans="1:53" ht="25" hidden="1" customHeight="1">
      <c r="B447" s="213">
        <v>45367</v>
      </c>
      <c r="C447" s="578">
        <v>45376</v>
      </c>
      <c r="D447" s="185">
        <f t="shared" si="129"/>
        <v>2024</v>
      </c>
      <c r="E447" s="215" t="str">
        <f>VLOOKUP($B447,Week!$A$1:$C$1462,2,0)</f>
        <v>Week11</v>
      </c>
      <c r="F447" s="216" t="str">
        <f t="shared" si="130"/>
        <v>Mar</v>
      </c>
      <c r="G447" s="215" t="s">
        <v>976</v>
      </c>
      <c r="H447" s="215" t="s">
        <v>104</v>
      </c>
      <c r="I447" s="215" t="s">
        <v>2772</v>
      </c>
      <c r="J447" s="209" t="s">
        <v>105</v>
      </c>
      <c r="K447" s="217" t="s">
        <v>107</v>
      </c>
      <c r="L447" s="300" t="s">
        <v>2167</v>
      </c>
      <c r="M447" s="209" t="s">
        <v>108</v>
      </c>
      <c r="N447" s="215" t="s">
        <v>109</v>
      </c>
      <c r="O447" s="215" t="s">
        <v>110</v>
      </c>
      <c r="P447" s="218">
        <v>36</v>
      </c>
      <c r="Q447" s="218">
        <v>5</v>
      </c>
      <c r="R447" s="219">
        <v>7.4999999999999997E-3</v>
      </c>
      <c r="S447" s="215" t="s">
        <v>111</v>
      </c>
      <c r="T447" s="215" t="s">
        <v>112</v>
      </c>
      <c r="U447" s="215" t="s">
        <v>113</v>
      </c>
      <c r="V447" s="220">
        <f>3080-196-792-792-792</f>
        <v>508</v>
      </c>
      <c r="W447" s="220">
        <f>3080-196-792-792-792</f>
        <v>508</v>
      </c>
      <c r="X447" s="221"/>
      <c r="Y447" s="222">
        <f t="shared" si="142"/>
        <v>0</v>
      </c>
      <c r="Z447" s="223">
        <f t="shared" si="143"/>
        <v>0</v>
      </c>
      <c r="AA447" s="223"/>
      <c r="AB447" s="807"/>
      <c r="AC447" s="220"/>
      <c r="AD447" s="209"/>
      <c r="AE447" s="210"/>
      <c r="AF447" s="210"/>
      <c r="AG447" s="211">
        <f t="shared" si="140"/>
        <v>0.308</v>
      </c>
      <c r="AH447" s="157">
        <f t="shared" si="138"/>
        <v>0</v>
      </c>
      <c r="AI447" s="152">
        <f t="shared" si="141"/>
        <v>18288</v>
      </c>
      <c r="AK447" s="156" t="s">
        <v>691</v>
      </c>
      <c r="AL447" s="574" t="s">
        <v>690</v>
      </c>
      <c r="AM447" s="198">
        <f t="shared" si="139"/>
        <v>0</v>
      </c>
      <c r="AN447" s="199">
        <f t="shared" si="131"/>
        <v>45367</v>
      </c>
      <c r="AO447" s="159" t="s">
        <v>692</v>
      </c>
      <c r="AP447" s="781"/>
      <c r="AQ447" s="782">
        <v>12063755</v>
      </c>
      <c r="AR447" s="782">
        <v>12061353</v>
      </c>
      <c r="AS447" s="782">
        <v>12061354</v>
      </c>
      <c r="AT447" s="782">
        <v>12068566</v>
      </c>
      <c r="AU447" s="781"/>
      <c r="AV447" s="782">
        <v>12068564</v>
      </c>
      <c r="AW447" s="782">
        <v>12062153</v>
      </c>
      <c r="AX447" s="782"/>
      <c r="AY447" s="782">
        <v>12068565</v>
      </c>
      <c r="AZ447" s="782"/>
      <c r="BA447" s="781"/>
    </row>
    <row r="448" spans="1:53" ht="25" hidden="1" customHeight="1">
      <c r="B448" s="332">
        <v>45367</v>
      </c>
      <c r="C448" s="333">
        <v>45377</v>
      </c>
      <c r="D448" s="185">
        <f t="shared" si="129"/>
        <v>2024</v>
      </c>
      <c r="E448" s="333" t="str">
        <f>VLOOKUP($B448,Week!$A$1:$C$1462,2,0)</f>
        <v>Week11</v>
      </c>
      <c r="F448" s="334" t="str">
        <f t="shared" si="130"/>
        <v>Mar</v>
      </c>
      <c r="G448" s="335" t="s">
        <v>1044</v>
      </c>
      <c r="H448" s="335" t="s">
        <v>600</v>
      </c>
      <c r="I448" s="335" t="s">
        <v>2772</v>
      </c>
      <c r="J448" s="336" t="s">
        <v>708</v>
      </c>
      <c r="K448" s="337" t="s">
        <v>665</v>
      </c>
      <c r="L448" s="300" t="s">
        <v>2167</v>
      </c>
      <c r="M448" s="336" t="s">
        <v>601</v>
      </c>
      <c r="N448" s="335" t="s">
        <v>604</v>
      </c>
      <c r="O448" s="335" t="s">
        <v>543</v>
      </c>
      <c r="P448" s="338">
        <v>8</v>
      </c>
      <c r="Q448" s="338">
        <v>3</v>
      </c>
      <c r="R448" s="339">
        <v>7.4999999999999997E-3</v>
      </c>
      <c r="S448" s="335" t="s">
        <v>40</v>
      </c>
      <c r="T448" s="335" t="s">
        <v>112</v>
      </c>
      <c r="U448" s="340" t="s">
        <v>722</v>
      </c>
      <c r="V448" s="341">
        <v>3500</v>
      </c>
      <c r="W448" s="341"/>
      <c r="X448" s="342">
        <f>(812+27902)/8</f>
        <v>3589.25</v>
      </c>
      <c r="Y448" s="343">
        <f t="shared" si="142"/>
        <v>89.25</v>
      </c>
      <c r="Z448" s="344">
        <f t="shared" si="143"/>
        <v>0</v>
      </c>
      <c r="AA448" s="344"/>
      <c r="AB448" s="817"/>
      <c r="AC448" s="341"/>
      <c r="AD448" s="307" t="s">
        <v>673</v>
      </c>
      <c r="AE448" s="210"/>
      <c r="AF448" s="210"/>
      <c r="AG448" s="211">
        <f t="shared" si="140"/>
        <v>0.309</v>
      </c>
      <c r="AH448" s="157">
        <f t="shared" si="138"/>
        <v>0</v>
      </c>
      <c r="AI448" s="152">
        <f t="shared" si="141"/>
        <v>28000</v>
      </c>
      <c r="AK448" s="156" t="s">
        <v>691</v>
      </c>
      <c r="AL448" s="574" t="s">
        <v>690</v>
      </c>
      <c r="AM448" s="198">
        <f t="shared" si="139"/>
        <v>0</v>
      </c>
      <c r="AN448" s="199">
        <f t="shared" si="131"/>
        <v>45367</v>
      </c>
      <c r="AO448" s="159" t="s">
        <v>692</v>
      </c>
      <c r="AP448" s="781" t="s">
        <v>642</v>
      </c>
      <c r="AQ448" s="782">
        <v>12063755</v>
      </c>
      <c r="AR448" s="782">
        <v>12061353</v>
      </c>
      <c r="AS448" s="782">
        <v>12061354</v>
      </c>
      <c r="AT448" s="782">
        <v>12084023</v>
      </c>
      <c r="AU448" s="781"/>
      <c r="AV448" s="782">
        <v>12084228</v>
      </c>
      <c r="AW448" s="782"/>
      <c r="AX448" s="782"/>
      <c r="AY448" s="782"/>
      <c r="AZ448" s="782"/>
      <c r="BA448" s="781"/>
    </row>
    <row r="449" spans="1:53" ht="25" hidden="1" customHeight="1">
      <c r="A449" s="142" t="s">
        <v>120</v>
      </c>
      <c r="B449" s="385">
        <v>45367</v>
      </c>
      <c r="C449" s="386">
        <v>45384</v>
      </c>
      <c r="D449" s="185">
        <f t="shared" si="129"/>
        <v>2024</v>
      </c>
      <c r="E449" s="386" t="str">
        <f>VLOOKUP($B449,Week!$A$1:$C$1462,2,0)</f>
        <v>Week11</v>
      </c>
      <c r="F449" s="387" t="str">
        <f t="shared" si="130"/>
        <v>Mar</v>
      </c>
      <c r="G449" s="388" t="s">
        <v>1117</v>
      </c>
      <c r="H449" s="388" t="s">
        <v>500</v>
      </c>
      <c r="I449" s="388" t="s">
        <v>2772</v>
      </c>
      <c r="J449" s="389" t="s">
        <v>285</v>
      </c>
      <c r="K449" s="390" t="s">
        <v>153</v>
      </c>
      <c r="L449" s="390" t="s">
        <v>2166</v>
      </c>
      <c r="M449" s="389" t="s">
        <v>165</v>
      </c>
      <c r="N449" s="388" t="s">
        <v>286</v>
      </c>
      <c r="O449" s="388" t="s">
        <v>503</v>
      </c>
      <c r="P449" s="391">
        <v>40</v>
      </c>
      <c r="Q449" s="391">
        <v>12</v>
      </c>
      <c r="R449" s="392">
        <v>6.8100000000000001E-3</v>
      </c>
      <c r="S449" s="388" t="s">
        <v>76</v>
      </c>
      <c r="T449" s="388" t="s">
        <v>56</v>
      </c>
      <c r="U449" s="388" t="s">
        <v>89</v>
      </c>
      <c r="V449" s="393">
        <f>1624-345-536-453</f>
        <v>290</v>
      </c>
      <c r="W449" s="393">
        <f>290</f>
        <v>290</v>
      </c>
      <c r="X449" s="394"/>
      <c r="Y449" s="395">
        <f t="shared" si="142"/>
        <v>0</v>
      </c>
      <c r="Z449" s="396">
        <f t="shared" si="143"/>
        <v>0</v>
      </c>
      <c r="AA449" s="396">
        <f>Q449*Z449</f>
        <v>0</v>
      </c>
      <c r="AB449" s="823">
        <v>2</v>
      </c>
      <c r="AC449" s="393">
        <f>Z449*AB449</f>
        <v>0</v>
      </c>
      <c r="AD449" s="209"/>
      <c r="AE449" s="210"/>
      <c r="AF449" s="210"/>
      <c r="AG449" s="211">
        <f t="shared" si="140"/>
        <v>0.154</v>
      </c>
      <c r="AH449" s="157">
        <f t="shared" si="138"/>
        <v>0</v>
      </c>
      <c r="AI449" s="152">
        <f t="shared" si="141"/>
        <v>11600</v>
      </c>
      <c r="AK449" s="156" t="s">
        <v>691</v>
      </c>
      <c r="AL449" s="156" t="s">
        <v>689</v>
      </c>
      <c r="AM449" s="198">
        <f t="shared" si="139"/>
        <v>0</v>
      </c>
      <c r="AN449" s="199">
        <f t="shared" si="131"/>
        <v>45367</v>
      </c>
      <c r="AO449" s="159" t="s">
        <v>692</v>
      </c>
      <c r="AP449" s="783" t="s">
        <v>611</v>
      </c>
      <c r="AQ449" s="782">
        <v>12028328</v>
      </c>
      <c r="AR449" s="782">
        <v>12019692</v>
      </c>
      <c r="AS449" s="781"/>
      <c r="AT449" s="782">
        <v>12065371</v>
      </c>
      <c r="AU449" s="782"/>
      <c r="AV449" s="782">
        <v>12055895</v>
      </c>
      <c r="AW449" s="782">
        <v>12034747</v>
      </c>
      <c r="AX449" s="782" t="s">
        <v>398</v>
      </c>
      <c r="AY449" s="781" t="s">
        <v>290</v>
      </c>
      <c r="AZ449" s="781"/>
      <c r="BA449" s="781"/>
    </row>
    <row r="450" spans="1:53" ht="25" hidden="1" customHeight="1">
      <c r="A450" s="142" t="s">
        <v>120</v>
      </c>
      <c r="B450" s="271">
        <v>45367</v>
      </c>
      <c r="C450" s="272">
        <v>45384</v>
      </c>
      <c r="D450" s="185">
        <f t="shared" si="129"/>
        <v>2024</v>
      </c>
      <c r="E450" s="272" t="str">
        <f>VLOOKUP($B450,Week!$A$1:$C$1462,2,0)</f>
        <v>Week11</v>
      </c>
      <c r="F450" s="273" t="str">
        <f t="shared" si="130"/>
        <v>Mar</v>
      </c>
      <c r="G450" s="274" t="s">
        <v>1118</v>
      </c>
      <c r="H450" s="274" t="s">
        <v>500</v>
      </c>
      <c r="I450" s="274" t="s">
        <v>2772</v>
      </c>
      <c r="J450" s="275" t="s">
        <v>285</v>
      </c>
      <c r="K450" s="276" t="s">
        <v>153</v>
      </c>
      <c r="L450" s="390" t="s">
        <v>2166</v>
      </c>
      <c r="M450" s="275" t="s">
        <v>86</v>
      </c>
      <c r="N450" s="274" t="s">
        <v>547</v>
      </c>
      <c r="O450" s="274" t="s">
        <v>548</v>
      </c>
      <c r="P450" s="277">
        <v>10</v>
      </c>
      <c r="Q450" s="277">
        <v>50</v>
      </c>
      <c r="R450" s="278">
        <v>6.8100000000000001E-3</v>
      </c>
      <c r="S450" s="274" t="s">
        <v>76</v>
      </c>
      <c r="T450" s="274" t="s">
        <v>56</v>
      </c>
      <c r="U450" s="274" t="s">
        <v>89</v>
      </c>
      <c r="V450" s="279">
        <f>256+32</f>
        <v>288</v>
      </c>
      <c r="W450" s="279">
        <f>256</f>
        <v>256</v>
      </c>
      <c r="X450" s="280">
        <f>(70+2540-2290)/10</f>
        <v>32</v>
      </c>
      <c r="Y450" s="281">
        <f t="shared" si="142"/>
        <v>0</v>
      </c>
      <c r="Z450" s="282">
        <f t="shared" si="143"/>
        <v>0</v>
      </c>
      <c r="AA450" s="282">
        <f>Q450*Z450</f>
        <v>0</v>
      </c>
      <c r="AB450" s="812">
        <v>6</v>
      </c>
      <c r="AC450" s="279">
        <f>Z450*AB450</f>
        <v>0</v>
      </c>
      <c r="AD450" s="209"/>
      <c r="AE450" s="210"/>
      <c r="AF450" s="210"/>
      <c r="AG450" s="211">
        <f t="shared" si="140"/>
        <v>0.63</v>
      </c>
      <c r="AH450" s="157">
        <f t="shared" si="138"/>
        <v>0</v>
      </c>
      <c r="AI450" s="152">
        <f t="shared" si="141"/>
        <v>2880</v>
      </c>
      <c r="AK450" s="156" t="s">
        <v>691</v>
      </c>
      <c r="AL450" s="156" t="s">
        <v>689</v>
      </c>
      <c r="AM450" s="198">
        <f t="shared" si="139"/>
        <v>0</v>
      </c>
      <c r="AN450" s="199">
        <f t="shared" si="131"/>
        <v>45367</v>
      </c>
      <c r="AO450" s="159" t="s">
        <v>692</v>
      </c>
      <c r="AP450" s="783" t="s">
        <v>620</v>
      </c>
      <c r="AQ450" s="782" t="s">
        <v>549</v>
      </c>
      <c r="AR450" s="782">
        <v>12055234</v>
      </c>
      <c r="AS450" s="781"/>
      <c r="AT450" s="782"/>
      <c r="AU450" s="782"/>
      <c r="AV450" s="782">
        <v>12062809</v>
      </c>
      <c r="AW450" s="782"/>
      <c r="AX450" s="782" t="s">
        <v>619</v>
      </c>
      <c r="AY450" s="781"/>
      <c r="AZ450" s="781"/>
      <c r="BA450" s="781"/>
    </row>
    <row r="451" spans="1:53" ht="24.65" hidden="1" customHeight="1">
      <c r="B451" s="369">
        <v>45368</v>
      </c>
      <c r="C451" s="370">
        <v>45378</v>
      </c>
      <c r="D451" s="185">
        <f t="shared" si="129"/>
        <v>2024</v>
      </c>
      <c r="E451" s="370" t="str">
        <f>VLOOKUP($B451,Week!$A$1:$C$1462,2,0)</f>
        <v>Week11</v>
      </c>
      <c r="F451" s="372" t="str">
        <f t="shared" si="130"/>
        <v>Mar</v>
      </c>
      <c r="G451" s="439" t="s">
        <v>1045</v>
      </c>
      <c r="H451" s="371" t="s">
        <v>104</v>
      </c>
      <c r="I451" s="371" t="s">
        <v>2772</v>
      </c>
      <c r="J451" s="373" t="s">
        <v>105</v>
      </c>
      <c r="K451" s="374" t="s">
        <v>593</v>
      </c>
      <c r="L451" s="300" t="s">
        <v>2167</v>
      </c>
      <c r="M451" s="373" t="s">
        <v>594</v>
      </c>
      <c r="N451" s="371" t="s">
        <v>687</v>
      </c>
      <c r="O451" s="371" t="s">
        <v>415</v>
      </c>
      <c r="P451" s="375">
        <v>24</v>
      </c>
      <c r="Q451" s="375">
        <v>5</v>
      </c>
      <c r="R451" s="376">
        <v>6.0000000000000001E-3</v>
      </c>
      <c r="S451" s="371" t="s">
        <v>55</v>
      </c>
      <c r="T451" s="371" t="s">
        <v>112</v>
      </c>
      <c r="U451" s="371" t="s">
        <v>57</v>
      </c>
      <c r="V451" s="377">
        <f>1000</f>
        <v>1000</v>
      </c>
      <c r="W451" s="377">
        <v>1000</v>
      </c>
      <c r="X451" s="378"/>
      <c r="Y451" s="379">
        <f t="shared" si="142"/>
        <v>0</v>
      </c>
      <c r="Z451" s="380">
        <f t="shared" si="143"/>
        <v>0</v>
      </c>
      <c r="AA451" s="380"/>
      <c r="AB451" s="820"/>
      <c r="AC451" s="377"/>
      <c r="AD451" s="486"/>
      <c r="AE451" s="210"/>
      <c r="AF451" s="210"/>
      <c r="AG451" s="211">
        <f t="shared" si="140"/>
        <v>0.25800000000000001</v>
      </c>
      <c r="AH451" s="157">
        <f t="shared" si="138"/>
        <v>0</v>
      </c>
      <c r="AI451" s="152">
        <f t="shared" si="141"/>
        <v>24000</v>
      </c>
      <c r="AK451" s="156" t="s">
        <v>691</v>
      </c>
      <c r="AL451" s="212" t="s">
        <v>690</v>
      </c>
      <c r="AM451" s="198">
        <f t="shared" si="139"/>
        <v>0</v>
      </c>
      <c r="AN451" s="199">
        <f t="shared" si="131"/>
        <v>45368</v>
      </c>
      <c r="AO451" s="159" t="s">
        <v>692</v>
      </c>
      <c r="AP451" s="783"/>
      <c r="AQ451" s="782"/>
      <c r="AR451" s="782"/>
      <c r="AS451" s="782"/>
      <c r="AT451" s="782"/>
      <c r="AU451" s="781"/>
      <c r="AV451" s="782"/>
      <c r="AW451" s="782"/>
      <c r="AX451" s="782"/>
      <c r="AY451" s="782"/>
      <c r="AZ451" s="782"/>
      <c r="BA451" s="781"/>
    </row>
    <row r="452" spans="1:53" ht="24.65" hidden="1" customHeight="1">
      <c r="B452" s="369">
        <v>45368</v>
      </c>
      <c r="C452" s="370">
        <v>45400</v>
      </c>
      <c r="D452" s="185">
        <f t="shared" si="129"/>
        <v>2024</v>
      </c>
      <c r="E452" s="370" t="str">
        <f>VLOOKUP($B452,Week!$A$1:$C$1462,2,0)</f>
        <v>Week11</v>
      </c>
      <c r="F452" s="372" t="str">
        <f t="shared" si="130"/>
        <v>Mar</v>
      </c>
      <c r="G452" s="439" t="s">
        <v>1046</v>
      </c>
      <c r="H452" s="371" t="s">
        <v>104</v>
      </c>
      <c r="I452" s="371" t="s">
        <v>2772</v>
      </c>
      <c r="J452" s="373" t="s">
        <v>105</v>
      </c>
      <c r="K452" s="374" t="s">
        <v>593</v>
      </c>
      <c r="L452" s="300" t="s">
        <v>2167</v>
      </c>
      <c r="M452" s="373" t="s">
        <v>594</v>
      </c>
      <c r="N452" s="371" t="s">
        <v>687</v>
      </c>
      <c r="O452" s="371" t="s">
        <v>415</v>
      </c>
      <c r="P452" s="375">
        <v>24</v>
      </c>
      <c r="Q452" s="375">
        <v>5</v>
      </c>
      <c r="R452" s="376">
        <v>6.0000000000000001E-3</v>
      </c>
      <c r="S452" s="371" t="s">
        <v>55</v>
      </c>
      <c r="T452" s="371" t="s">
        <v>112</v>
      </c>
      <c r="U452" s="371" t="s">
        <v>57</v>
      </c>
      <c r="V452" s="377">
        <v>800</v>
      </c>
      <c r="W452" s="377">
        <v>800</v>
      </c>
      <c r="X452" s="378"/>
      <c r="Y452" s="379">
        <f t="shared" si="142"/>
        <v>0</v>
      </c>
      <c r="Z452" s="380">
        <f t="shared" si="143"/>
        <v>0</v>
      </c>
      <c r="AA452" s="380"/>
      <c r="AB452" s="820"/>
      <c r="AC452" s="377"/>
      <c r="AD452" s="486"/>
      <c r="AE452" s="210"/>
      <c r="AF452" s="210"/>
      <c r="AG452" s="211">
        <f t="shared" si="140"/>
        <v>0.25800000000000001</v>
      </c>
      <c r="AH452" s="157">
        <f t="shared" si="138"/>
        <v>0</v>
      </c>
      <c r="AI452" s="152">
        <f t="shared" si="141"/>
        <v>19200</v>
      </c>
      <c r="AK452" s="156" t="s">
        <v>691</v>
      </c>
      <c r="AL452" s="212" t="s">
        <v>690</v>
      </c>
      <c r="AM452" s="198">
        <f t="shared" si="139"/>
        <v>0</v>
      </c>
      <c r="AN452" s="199">
        <f t="shared" si="131"/>
        <v>45368</v>
      </c>
      <c r="AO452" s="159" t="s">
        <v>692</v>
      </c>
      <c r="AP452" s="783"/>
      <c r="AQ452" s="782"/>
      <c r="AR452" s="782"/>
      <c r="AS452" s="782"/>
      <c r="AT452" s="782"/>
      <c r="AU452" s="781"/>
      <c r="AV452" s="782"/>
      <c r="AW452" s="782"/>
      <c r="AX452" s="782"/>
      <c r="AY452" s="782"/>
      <c r="AZ452" s="782"/>
      <c r="BA452" s="781"/>
    </row>
    <row r="453" spans="1:53" ht="25" hidden="1" customHeight="1">
      <c r="B453" s="213">
        <v>45368</v>
      </c>
      <c r="C453" s="578">
        <v>45376</v>
      </c>
      <c r="D453" s="185">
        <f t="shared" ref="D453:D516" si="144">IF(B453="","",YEAR(B453))</f>
        <v>2024</v>
      </c>
      <c r="E453" s="215" t="str">
        <f>VLOOKUP($B453,Week!$A$1:$C$1462,2,0)</f>
        <v>Week11</v>
      </c>
      <c r="F453" s="216" t="str">
        <f t="shared" ref="F453:F516" si="145">IF(B453="","",TEXT(B453,"[$-409]mmm"))</f>
        <v>Mar</v>
      </c>
      <c r="G453" s="215" t="s">
        <v>976</v>
      </c>
      <c r="H453" s="215" t="s">
        <v>104</v>
      </c>
      <c r="I453" s="215" t="s">
        <v>2772</v>
      </c>
      <c r="J453" s="209" t="s">
        <v>105</v>
      </c>
      <c r="K453" s="217" t="s">
        <v>107</v>
      </c>
      <c r="L453" s="300" t="s">
        <v>2167</v>
      </c>
      <c r="M453" s="209" t="s">
        <v>108</v>
      </c>
      <c r="N453" s="215" t="s">
        <v>109</v>
      </c>
      <c r="O453" s="215" t="s">
        <v>110</v>
      </c>
      <c r="P453" s="218">
        <v>36</v>
      </c>
      <c r="Q453" s="218">
        <v>5</v>
      </c>
      <c r="R453" s="219">
        <v>7.4999999999999997E-3</v>
      </c>
      <c r="S453" s="215" t="s">
        <v>111</v>
      </c>
      <c r="T453" s="215" t="s">
        <v>112</v>
      </c>
      <c r="U453" s="215" t="s">
        <v>113</v>
      </c>
      <c r="V453" s="220">
        <f>792-508</f>
        <v>284</v>
      </c>
      <c r="W453" s="220">
        <f>792-508</f>
        <v>284</v>
      </c>
      <c r="X453" s="221"/>
      <c r="Y453" s="222">
        <f t="shared" si="142"/>
        <v>0</v>
      </c>
      <c r="Z453" s="223">
        <f t="shared" si="143"/>
        <v>0</v>
      </c>
      <c r="AA453" s="223"/>
      <c r="AB453" s="807"/>
      <c r="AC453" s="220"/>
      <c r="AD453" s="209"/>
      <c r="AE453" s="210"/>
      <c r="AF453" s="210"/>
      <c r="AG453" s="211">
        <f t="shared" si="140"/>
        <v>0.308</v>
      </c>
      <c r="AH453" s="157">
        <f t="shared" si="138"/>
        <v>0</v>
      </c>
      <c r="AI453" s="152">
        <f t="shared" si="141"/>
        <v>10224</v>
      </c>
      <c r="AK453" s="156" t="s">
        <v>691</v>
      </c>
      <c r="AL453" s="574" t="s">
        <v>690</v>
      </c>
      <c r="AM453" s="198">
        <f t="shared" si="139"/>
        <v>0</v>
      </c>
      <c r="AN453" s="199">
        <f t="shared" ref="AN453:AN516" si="146">B453</f>
        <v>45368</v>
      </c>
      <c r="AO453" s="159" t="s">
        <v>692</v>
      </c>
      <c r="AP453" s="781"/>
      <c r="AQ453" s="782">
        <v>12063755</v>
      </c>
      <c r="AR453" s="782">
        <v>12061353</v>
      </c>
      <c r="AS453" s="782">
        <v>12061354</v>
      </c>
      <c r="AT453" s="782">
        <v>12068566</v>
      </c>
      <c r="AU453" s="781"/>
      <c r="AV453" s="782">
        <v>12068564</v>
      </c>
      <c r="AW453" s="782">
        <v>12062153</v>
      </c>
      <c r="AX453" s="782"/>
      <c r="AY453" s="782">
        <v>12068565</v>
      </c>
      <c r="AZ453" s="782"/>
      <c r="BA453" s="781"/>
    </row>
    <row r="454" spans="1:53" ht="25" hidden="1" customHeight="1">
      <c r="B454" s="213">
        <v>45368</v>
      </c>
      <c r="C454" s="578">
        <v>45377</v>
      </c>
      <c r="D454" s="185">
        <f t="shared" si="144"/>
        <v>2024</v>
      </c>
      <c r="E454" s="215" t="str">
        <f>VLOOKUP($B454,Week!$A$1:$C$1462,2,0)</f>
        <v>Week11</v>
      </c>
      <c r="F454" s="216" t="str">
        <f t="shared" si="145"/>
        <v>Mar</v>
      </c>
      <c r="G454" s="215" t="s">
        <v>977</v>
      </c>
      <c r="H454" s="215" t="s">
        <v>104</v>
      </c>
      <c r="I454" s="215" t="s">
        <v>2772</v>
      </c>
      <c r="J454" s="209" t="s">
        <v>105</v>
      </c>
      <c r="K454" s="217" t="s">
        <v>107</v>
      </c>
      <c r="L454" s="300" t="s">
        <v>2167</v>
      </c>
      <c r="M454" s="209" t="s">
        <v>108</v>
      </c>
      <c r="N454" s="215" t="s">
        <v>109</v>
      </c>
      <c r="O454" s="215" t="s">
        <v>110</v>
      </c>
      <c r="P454" s="218">
        <v>36</v>
      </c>
      <c r="Q454" s="218">
        <v>5</v>
      </c>
      <c r="R454" s="219">
        <v>7.4999999999999997E-3</v>
      </c>
      <c r="S454" s="215" t="s">
        <v>111</v>
      </c>
      <c r="T454" s="215" t="s">
        <v>112</v>
      </c>
      <c r="U454" s="215" t="s">
        <v>113</v>
      </c>
      <c r="V454" s="220">
        <v>792</v>
      </c>
      <c r="W454" s="220">
        <v>792</v>
      </c>
      <c r="X454" s="221"/>
      <c r="Y454" s="222">
        <f t="shared" si="142"/>
        <v>0</v>
      </c>
      <c r="Z454" s="223">
        <f t="shared" si="143"/>
        <v>0</v>
      </c>
      <c r="AA454" s="223"/>
      <c r="AB454" s="807"/>
      <c r="AC454" s="220"/>
      <c r="AD454" s="209"/>
      <c r="AE454" s="210"/>
      <c r="AF454" s="210"/>
      <c r="AG454" s="211">
        <f t="shared" si="140"/>
        <v>0.308</v>
      </c>
      <c r="AH454" s="157">
        <f t="shared" si="138"/>
        <v>0</v>
      </c>
      <c r="AI454" s="152">
        <f t="shared" si="141"/>
        <v>28512</v>
      </c>
      <c r="AK454" s="156" t="s">
        <v>691</v>
      </c>
      <c r="AL454" s="574" t="s">
        <v>690</v>
      </c>
      <c r="AM454" s="198">
        <f t="shared" si="139"/>
        <v>0</v>
      </c>
      <c r="AN454" s="199">
        <f t="shared" si="146"/>
        <v>45368</v>
      </c>
      <c r="AO454" s="159" t="s">
        <v>692</v>
      </c>
      <c r="AP454" s="781"/>
      <c r="AQ454" s="782">
        <v>12063755</v>
      </c>
      <c r="AR454" s="782">
        <v>12061353</v>
      </c>
      <c r="AS454" s="782">
        <v>12061354</v>
      </c>
      <c r="AT454" s="782">
        <v>12068566</v>
      </c>
      <c r="AU454" s="781"/>
      <c r="AV454" s="782">
        <v>12068564</v>
      </c>
      <c r="AW454" s="782">
        <v>12062153</v>
      </c>
      <c r="AX454" s="782"/>
      <c r="AY454" s="782">
        <v>12068565</v>
      </c>
      <c r="AZ454" s="782"/>
      <c r="BA454" s="781"/>
    </row>
    <row r="455" spans="1:53" ht="25" hidden="1" customHeight="1">
      <c r="B455" s="213">
        <v>45368</v>
      </c>
      <c r="C455" s="578">
        <v>45377</v>
      </c>
      <c r="D455" s="185">
        <f t="shared" si="144"/>
        <v>2024</v>
      </c>
      <c r="E455" s="215" t="str">
        <f>VLOOKUP($B455,Week!$A$1:$C$1462,2,0)</f>
        <v>Week11</v>
      </c>
      <c r="F455" s="216" t="str">
        <f t="shared" si="145"/>
        <v>Mar</v>
      </c>
      <c r="G455" s="215" t="s">
        <v>978</v>
      </c>
      <c r="H455" s="215" t="s">
        <v>104</v>
      </c>
      <c r="I455" s="215" t="s">
        <v>2772</v>
      </c>
      <c r="J455" s="209" t="s">
        <v>105</v>
      </c>
      <c r="K455" s="217" t="s">
        <v>107</v>
      </c>
      <c r="L455" s="300" t="s">
        <v>2167</v>
      </c>
      <c r="M455" s="209" t="s">
        <v>108</v>
      </c>
      <c r="N455" s="215" t="s">
        <v>109</v>
      </c>
      <c r="O455" s="215" t="s">
        <v>110</v>
      </c>
      <c r="P455" s="218">
        <v>36</v>
      </c>
      <c r="Q455" s="218">
        <v>5</v>
      </c>
      <c r="R455" s="219">
        <v>7.4999999999999997E-3</v>
      </c>
      <c r="S455" s="215" t="s">
        <v>111</v>
      </c>
      <c r="T455" s="215" t="s">
        <v>112</v>
      </c>
      <c r="U455" s="215" t="s">
        <v>113</v>
      </c>
      <c r="V455" s="220">
        <v>792</v>
      </c>
      <c r="W455" s="220">
        <v>792</v>
      </c>
      <c r="X455" s="221"/>
      <c r="Y455" s="222">
        <f t="shared" si="142"/>
        <v>0</v>
      </c>
      <c r="Z455" s="223">
        <f t="shared" si="143"/>
        <v>0</v>
      </c>
      <c r="AA455" s="223"/>
      <c r="AB455" s="807"/>
      <c r="AC455" s="220"/>
      <c r="AD455" s="209"/>
      <c r="AE455" s="210"/>
      <c r="AF455" s="210"/>
      <c r="AG455" s="211">
        <f t="shared" si="140"/>
        <v>0.308</v>
      </c>
      <c r="AH455" s="157">
        <f t="shared" si="138"/>
        <v>0</v>
      </c>
      <c r="AI455" s="152">
        <f t="shared" si="141"/>
        <v>28512</v>
      </c>
      <c r="AK455" s="156" t="s">
        <v>691</v>
      </c>
      <c r="AL455" s="574" t="s">
        <v>690</v>
      </c>
      <c r="AM455" s="198">
        <f t="shared" si="139"/>
        <v>0</v>
      </c>
      <c r="AN455" s="199">
        <f t="shared" si="146"/>
        <v>45368</v>
      </c>
      <c r="AO455" s="159" t="s">
        <v>692</v>
      </c>
      <c r="AP455" s="781"/>
      <c r="AQ455" s="782">
        <v>12063755</v>
      </c>
      <c r="AR455" s="782">
        <v>12061353</v>
      </c>
      <c r="AS455" s="782">
        <v>12061354</v>
      </c>
      <c r="AT455" s="782">
        <v>12068566</v>
      </c>
      <c r="AU455" s="781"/>
      <c r="AV455" s="782">
        <v>12068564</v>
      </c>
      <c r="AW455" s="782">
        <v>12062153</v>
      </c>
      <c r="AX455" s="782"/>
      <c r="AY455" s="782">
        <v>12068565</v>
      </c>
      <c r="AZ455" s="782"/>
      <c r="BA455" s="781"/>
    </row>
    <row r="456" spans="1:53" ht="25" hidden="1" customHeight="1">
      <c r="B456" s="213">
        <v>45368</v>
      </c>
      <c r="C456" s="578">
        <v>45377</v>
      </c>
      <c r="D456" s="185">
        <f t="shared" si="144"/>
        <v>2024</v>
      </c>
      <c r="E456" s="215" t="str">
        <f>VLOOKUP($B456,Week!$A$1:$C$1462,2,0)</f>
        <v>Week11</v>
      </c>
      <c r="F456" s="216" t="str">
        <f t="shared" si="145"/>
        <v>Mar</v>
      </c>
      <c r="G456" s="215" t="s">
        <v>979</v>
      </c>
      <c r="H456" s="215" t="s">
        <v>104</v>
      </c>
      <c r="I456" s="215" t="s">
        <v>2772</v>
      </c>
      <c r="J456" s="209" t="s">
        <v>105</v>
      </c>
      <c r="K456" s="217" t="s">
        <v>107</v>
      </c>
      <c r="L456" s="300" t="s">
        <v>2167</v>
      </c>
      <c r="M456" s="209" t="s">
        <v>108</v>
      </c>
      <c r="N456" s="215" t="s">
        <v>109</v>
      </c>
      <c r="O456" s="215" t="s">
        <v>110</v>
      </c>
      <c r="P456" s="218">
        <v>36</v>
      </c>
      <c r="Q456" s="218">
        <v>5</v>
      </c>
      <c r="R456" s="219">
        <v>7.4999999999999997E-3</v>
      </c>
      <c r="S456" s="215" t="s">
        <v>111</v>
      </c>
      <c r="T456" s="215" t="s">
        <v>112</v>
      </c>
      <c r="U456" s="215" t="s">
        <v>113</v>
      </c>
      <c r="V456" s="220">
        <f>2171-284-792-792</f>
        <v>303</v>
      </c>
      <c r="W456" s="220">
        <f>2171-284-792-792</f>
        <v>303</v>
      </c>
      <c r="X456" s="221"/>
      <c r="Y456" s="222">
        <f t="shared" si="142"/>
        <v>0</v>
      </c>
      <c r="Z456" s="223">
        <f t="shared" si="143"/>
        <v>0</v>
      </c>
      <c r="AA456" s="223"/>
      <c r="AB456" s="807"/>
      <c r="AC456" s="220"/>
      <c r="AD456" s="209"/>
      <c r="AE456" s="210"/>
      <c r="AF456" s="210"/>
      <c r="AG456" s="211">
        <f t="shared" si="140"/>
        <v>0.308</v>
      </c>
      <c r="AH456" s="157">
        <f t="shared" si="138"/>
        <v>0</v>
      </c>
      <c r="AI456" s="152">
        <f t="shared" si="141"/>
        <v>10908</v>
      </c>
      <c r="AK456" s="156" t="s">
        <v>691</v>
      </c>
      <c r="AL456" s="574" t="s">
        <v>690</v>
      </c>
      <c r="AM456" s="198">
        <f t="shared" si="139"/>
        <v>0</v>
      </c>
      <c r="AN456" s="199">
        <f t="shared" si="146"/>
        <v>45368</v>
      </c>
      <c r="AO456" s="159" t="s">
        <v>692</v>
      </c>
      <c r="AP456" s="781"/>
      <c r="AQ456" s="782">
        <v>12063755</v>
      </c>
      <c r="AR456" s="782">
        <v>12061353</v>
      </c>
      <c r="AS456" s="782">
        <v>12061354</v>
      </c>
      <c r="AT456" s="782">
        <v>12068566</v>
      </c>
      <c r="AU456" s="781"/>
      <c r="AV456" s="782">
        <v>12068564</v>
      </c>
      <c r="AW456" s="782">
        <v>12062153</v>
      </c>
      <c r="AX456" s="782"/>
      <c r="AY456" s="782">
        <v>12068565</v>
      </c>
      <c r="AZ456" s="782"/>
      <c r="BA456" s="781"/>
    </row>
    <row r="457" spans="1:53" ht="24.75" hidden="1" customHeight="1">
      <c r="B457" s="295">
        <v>45369</v>
      </c>
      <c r="C457" s="296">
        <v>45383</v>
      </c>
      <c r="D457" s="185">
        <f t="shared" si="144"/>
        <v>2024</v>
      </c>
      <c r="E457" s="296" t="str">
        <f>VLOOKUP($B457,Week!$A$1:$C$1462,2,0)</f>
        <v>Week12</v>
      </c>
      <c r="F457" s="297" t="str">
        <f t="shared" si="145"/>
        <v>Mar</v>
      </c>
      <c r="G457" s="298" t="s">
        <v>47</v>
      </c>
      <c r="H457" s="298" t="s">
        <v>260</v>
      </c>
      <c r="I457" s="298" t="s">
        <v>2702</v>
      </c>
      <c r="J457" s="307" t="s">
        <v>904</v>
      </c>
      <c r="K457" s="300" t="s">
        <v>176</v>
      </c>
      <c r="L457" s="300" t="s">
        <v>2167</v>
      </c>
      <c r="M457" s="299" t="s">
        <v>262</v>
      </c>
      <c r="N457" s="298" t="s">
        <v>350</v>
      </c>
      <c r="O457" s="298" t="s">
        <v>351</v>
      </c>
      <c r="P457" s="301">
        <v>24</v>
      </c>
      <c r="Q457" s="301">
        <v>5</v>
      </c>
      <c r="R457" s="302">
        <v>6.1999999999999998E-3</v>
      </c>
      <c r="S457" s="298" t="s">
        <v>352</v>
      </c>
      <c r="T457" s="298" t="s">
        <v>56</v>
      </c>
      <c r="U457" s="298" t="s">
        <v>57</v>
      </c>
      <c r="V457" s="303">
        <v>5061</v>
      </c>
      <c r="W457" s="303">
        <v>5061</v>
      </c>
      <c r="X457" s="304"/>
      <c r="Y457" s="305">
        <f t="shared" si="142"/>
        <v>0</v>
      </c>
      <c r="Z457" s="306">
        <f t="shared" si="143"/>
        <v>0</v>
      </c>
      <c r="AA457" s="306"/>
      <c r="AB457" s="814"/>
      <c r="AC457" s="303"/>
      <c r="AD457" s="580" t="s">
        <v>672</v>
      </c>
      <c r="AE457" s="210"/>
      <c r="AF457" s="210"/>
      <c r="AG457" s="211">
        <f t="shared" ref="AG457:AG473" si="147">MID(O457,1,3)/1000</f>
        <v>0.13</v>
      </c>
      <c r="AH457" s="157">
        <f t="shared" si="138"/>
        <v>0</v>
      </c>
      <c r="AI457" s="152">
        <f t="shared" ref="AI457:AI488" si="148">V457*P457</f>
        <v>121464</v>
      </c>
      <c r="AK457" s="156" t="s">
        <v>691</v>
      </c>
      <c r="AL457" s="574" t="s">
        <v>690</v>
      </c>
      <c r="AM457" s="198">
        <f t="shared" si="139"/>
        <v>0</v>
      </c>
      <c r="AN457" s="199">
        <f t="shared" si="146"/>
        <v>45369</v>
      </c>
      <c r="AO457" s="159" t="s">
        <v>692</v>
      </c>
      <c r="AP457" s="783" t="s">
        <v>629</v>
      </c>
      <c r="AQ457" s="782">
        <v>12071839</v>
      </c>
      <c r="AR457" s="782">
        <v>12078867</v>
      </c>
      <c r="AS457" s="782">
        <v>12068233</v>
      </c>
      <c r="AT457" s="781"/>
      <c r="AU457" s="781"/>
      <c r="AV457" s="782">
        <v>12062075</v>
      </c>
      <c r="AW457" s="781"/>
      <c r="AX457" s="781"/>
      <c r="AY457" s="782">
        <v>12078868</v>
      </c>
      <c r="AZ457" s="781"/>
      <c r="BA457" s="781"/>
    </row>
    <row r="458" spans="1:53" ht="25" hidden="1" customHeight="1">
      <c r="A458" s="142" t="s">
        <v>120</v>
      </c>
      <c r="B458" s="271">
        <v>45369</v>
      </c>
      <c r="C458" s="272">
        <v>45384</v>
      </c>
      <c r="D458" s="185">
        <f t="shared" si="144"/>
        <v>2024</v>
      </c>
      <c r="E458" s="272" t="str">
        <f>VLOOKUP($B458,Week!$A$1:$C$1462,2,0)</f>
        <v>Week12</v>
      </c>
      <c r="F458" s="273" t="str">
        <f t="shared" si="145"/>
        <v>Mar</v>
      </c>
      <c r="G458" s="274" t="s">
        <v>1118</v>
      </c>
      <c r="H458" s="274" t="s">
        <v>500</v>
      </c>
      <c r="I458" s="274" t="s">
        <v>2772</v>
      </c>
      <c r="J458" s="275" t="s">
        <v>285</v>
      </c>
      <c r="K458" s="276" t="s">
        <v>153</v>
      </c>
      <c r="L458" s="390" t="s">
        <v>2166</v>
      </c>
      <c r="M458" s="275" t="s">
        <v>86</v>
      </c>
      <c r="N458" s="274" t="s">
        <v>547</v>
      </c>
      <c r="O458" s="274" t="s">
        <v>548</v>
      </c>
      <c r="P458" s="277">
        <v>10</v>
      </c>
      <c r="Q458" s="277">
        <v>50</v>
      </c>
      <c r="R458" s="278">
        <v>6.8100000000000001E-3</v>
      </c>
      <c r="S458" s="274" t="s">
        <v>76</v>
      </c>
      <c r="T458" s="274" t="s">
        <v>56</v>
      </c>
      <c r="U458" s="274" t="s">
        <v>89</v>
      </c>
      <c r="V458" s="279">
        <v>510</v>
      </c>
      <c r="W458" s="279">
        <v>510</v>
      </c>
      <c r="X458" s="280"/>
      <c r="Y458" s="281">
        <f t="shared" si="142"/>
        <v>0</v>
      </c>
      <c r="Z458" s="282">
        <f t="shared" si="143"/>
        <v>0</v>
      </c>
      <c r="AA458" s="282">
        <f>Q458*Z458</f>
        <v>0</v>
      </c>
      <c r="AB458" s="812">
        <v>6</v>
      </c>
      <c r="AC458" s="279">
        <f>Z458*AB458</f>
        <v>0</v>
      </c>
      <c r="AD458" s="209"/>
      <c r="AE458" s="210"/>
      <c r="AF458" s="210"/>
      <c r="AG458" s="211">
        <f t="shared" si="147"/>
        <v>0.63</v>
      </c>
      <c r="AH458" s="157">
        <f t="shared" si="138"/>
        <v>0</v>
      </c>
      <c r="AI458" s="152">
        <f t="shared" si="148"/>
        <v>5100</v>
      </c>
      <c r="AK458" s="156" t="s">
        <v>691</v>
      </c>
      <c r="AL458" s="156" t="s">
        <v>689</v>
      </c>
      <c r="AM458" s="198">
        <f t="shared" si="139"/>
        <v>0</v>
      </c>
      <c r="AN458" s="199">
        <f t="shared" si="146"/>
        <v>45369</v>
      </c>
      <c r="AO458" s="159" t="s">
        <v>692</v>
      </c>
      <c r="AP458" s="783" t="s">
        <v>620</v>
      </c>
      <c r="AQ458" s="782" t="s">
        <v>549</v>
      </c>
      <c r="AR458" s="782">
        <v>12055234</v>
      </c>
      <c r="AS458" s="781"/>
      <c r="AT458" s="782"/>
      <c r="AU458" s="782"/>
      <c r="AV458" s="782">
        <v>12062809</v>
      </c>
      <c r="AW458" s="782"/>
      <c r="AX458" s="782" t="s">
        <v>619</v>
      </c>
      <c r="AY458" s="781"/>
      <c r="AZ458" s="781"/>
      <c r="BA458" s="781"/>
    </row>
    <row r="459" spans="1:53" ht="25" hidden="1" customHeight="1">
      <c r="B459" s="357">
        <v>45370</v>
      </c>
      <c r="C459" s="358">
        <v>45385</v>
      </c>
      <c r="D459" s="185">
        <f t="shared" si="144"/>
        <v>2024</v>
      </c>
      <c r="E459" s="358" t="str">
        <f>VLOOKUP($B459,Week!$A$1:$C$1462,2,0)</f>
        <v>Week12</v>
      </c>
      <c r="F459" s="360" t="str">
        <f t="shared" si="145"/>
        <v>Mar</v>
      </c>
      <c r="G459" s="436" t="s">
        <v>1026</v>
      </c>
      <c r="H459" s="359" t="s">
        <v>225</v>
      </c>
      <c r="I459" s="359" t="s">
        <v>2773</v>
      </c>
      <c r="J459" s="361" t="s">
        <v>650</v>
      </c>
      <c r="K459" s="362" t="s">
        <v>593</v>
      </c>
      <c r="L459" s="300" t="s">
        <v>2167</v>
      </c>
      <c r="M459" s="361" t="s">
        <v>717</v>
      </c>
      <c r="N459" s="359" t="s">
        <v>719</v>
      </c>
      <c r="O459" s="359" t="s">
        <v>230</v>
      </c>
      <c r="P459" s="363">
        <v>12</v>
      </c>
      <c r="Q459" s="363">
        <v>5</v>
      </c>
      <c r="R459" s="364">
        <v>6.0000000000000001E-3</v>
      </c>
      <c r="S459" s="359" t="s">
        <v>55</v>
      </c>
      <c r="T459" s="359" t="s">
        <v>112</v>
      </c>
      <c r="U459" s="359" t="s">
        <v>57</v>
      </c>
      <c r="V459" s="365">
        <v>2600</v>
      </c>
      <c r="W459" s="365"/>
      <c r="X459" s="366">
        <f>(1515+29685)/12</f>
        <v>2600</v>
      </c>
      <c r="Y459" s="367">
        <f t="shared" si="142"/>
        <v>0</v>
      </c>
      <c r="Z459" s="368">
        <f t="shared" si="143"/>
        <v>0</v>
      </c>
      <c r="AA459" s="368"/>
      <c r="AB459" s="819"/>
      <c r="AC459" s="365"/>
      <c r="AD459" s="307" t="s">
        <v>672</v>
      </c>
      <c r="AE459" s="210"/>
      <c r="AF459" s="210"/>
      <c r="AG459" s="211">
        <f t="shared" si="147"/>
        <v>0.25800000000000001</v>
      </c>
      <c r="AH459" s="157">
        <f t="shared" si="138"/>
        <v>0</v>
      </c>
      <c r="AI459" s="152">
        <f t="shared" si="148"/>
        <v>31200</v>
      </c>
      <c r="AK459" s="156" t="s">
        <v>691</v>
      </c>
      <c r="AL459" s="574" t="s">
        <v>690</v>
      </c>
      <c r="AM459" s="198">
        <f t="shared" si="139"/>
        <v>0</v>
      </c>
      <c r="AN459" s="199">
        <f t="shared" si="146"/>
        <v>45370</v>
      </c>
      <c r="AO459" s="159" t="s">
        <v>692</v>
      </c>
      <c r="AP459" s="783" t="s">
        <v>612</v>
      </c>
      <c r="AQ459" s="782">
        <v>12071839</v>
      </c>
      <c r="AR459" s="782">
        <v>12042650</v>
      </c>
      <c r="AS459" s="782">
        <v>12042649</v>
      </c>
      <c r="AT459" s="782">
        <v>12060840</v>
      </c>
      <c r="AU459" s="781"/>
      <c r="AV459" s="782">
        <v>12060849</v>
      </c>
      <c r="AW459" s="782"/>
      <c r="AX459" s="782"/>
      <c r="AY459" s="782"/>
      <c r="AZ459" s="782"/>
      <c r="BA459" s="781"/>
    </row>
    <row r="460" spans="1:53" ht="25" hidden="1" customHeight="1">
      <c r="B460" s="213">
        <v>45370</v>
      </c>
      <c r="C460" s="578">
        <v>45377</v>
      </c>
      <c r="D460" s="185">
        <f t="shared" si="144"/>
        <v>2024</v>
      </c>
      <c r="E460" s="215" t="str">
        <f>VLOOKUP($B460,Week!$A$1:$C$1462,2,0)</f>
        <v>Week12</v>
      </c>
      <c r="F460" s="216" t="str">
        <f t="shared" si="145"/>
        <v>Mar</v>
      </c>
      <c r="G460" s="215" t="s">
        <v>979</v>
      </c>
      <c r="H460" s="215" t="s">
        <v>104</v>
      </c>
      <c r="I460" s="215" t="s">
        <v>2772</v>
      </c>
      <c r="J460" s="209" t="s">
        <v>105</v>
      </c>
      <c r="K460" s="217" t="s">
        <v>107</v>
      </c>
      <c r="L460" s="300" t="s">
        <v>2167</v>
      </c>
      <c r="M460" s="209" t="s">
        <v>108</v>
      </c>
      <c r="N460" s="215" t="s">
        <v>109</v>
      </c>
      <c r="O460" s="215" t="s">
        <v>110</v>
      </c>
      <c r="P460" s="218">
        <v>36</v>
      </c>
      <c r="Q460" s="218">
        <v>5</v>
      </c>
      <c r="R460" s="219">
        <v>7.4999999999999997E-3</v>
      </c>
      <c r="S460" s="215" t="s">
        <v>111</v>
      </c>
      <c r="T460" s="215" t="s">
        <v>112</v>
      </c>
      <c r="U460" s="215" t="s">
        <v>113</v>
      </c>
      <c r="V460" s="220">
        <f>792-303</f>
        <v>489</v>
      </c>
      <c r="W460" s="220">
        <f>792-303</f>
        <v>489</v>
      </c>
      <c r="X460" s="221"/>
      <c r="Y460" s="222">
        <f t="shared" ref="Y460:Y491" si="149">(W460+X460)-V460</f>
        <v>0</v>
      </c>
      <c r="Z460" s="223">
        <f t="shared" ref="Z460:Z491" si="150">IF(Y460&lt;0,((V460*P460)-((W460+X460)*P460)),0)</f>
        <v>0</v>
      </c>
      <c r="AA460" s="223"/>
      <c r="AB460" s="807"/>
      <c r="AC460" s="220"/>
      <c r="AD460" s="209"/>
      <c r="AE460" s="210"/>
      <c r="AF460" s="210"/>
      <c r="AG460" s="211">
        <f t="shared" si="147"/>
        <v>0.308</v>
      </c>
      <c r="AH460" s="157">
        <f t="shared" si="138"/>
        <v>0</v>
      </c>
      <c r="AI460" s="152">
        <f t="shared" si="148"/>
        <v>17604</v>
      </c>
      <c r="AK460" s="156" t="s">
        <v>691</v>
      </c>
      <c r="AL460" s="574" t="s">
        <v>690</v>
      </c>
      <c r="AM460" s="198">
        <f t="shared" si="139"/>
        <v>0</v>
      </c>
      <c r="AN460" s="199">
        <f t="shared" si="146"/>
        <v>45370</v>
      </c>
      <c r="AO460" s="159" t="s">
        <v>692</v>
      </c>
      <c r="AP460" s="781"/>
      <c r="AQ460" s="782">
        <v>12063755</v>
      </c>
      <c r="AR460" s="782">
        <v>12061353</v>
      </c>
      <c r="AS460" s="782">
        <v>12061354</v>
      </c>
      <c r="AT460" s="782">
        <v>12068566</v>
      </c>
      <c r="AU460" s="781"/>
      <c r="AV460" s="782">
        <v>12068564</v>
      </c>
      <c r="AW460" s="782">
        <v>12062153</v>
      </c>
      <c r="AX460" s="782"/>
      <c r="AY460" s="782">
        <v>12068565</v>
      </c>
      <c r="AZ460" s="782"/>
      <c r="BA460" s="781"/>
    </row>
    <row r="461" spans="1:53" ht="25" hidden="1" customHeight="1">
      <c r="B461" s="213">
        <v>45370</v>
      </c>
      <c r="C461" s="578">
        <v>45377</v>
      </c>
      <c r="D461" s="185">
        <f t="shared" si="144"/>
        <v>2024</v>
      </c>
      <c r="E461" s="215" t="str">
        <f>VLOOKUP($B461,Week!$A$1:$C$1462,2,0)</f>
        <v>Week12</v>
      </c>
      <c r="F461" s="216" t="str">
        <f t="shared" si="145"/>
        <v>Mar</v>
      </c>
      <c r="G461" s="215" t="s">
        <v>980</v>
      </c>
      <c r="H461" s="215" t="s">
        <v>104</v>
      </c>
      <c r="I461" s="215" t="s">
        <v>2772</v>
      </c>
      <c r="J461" s="209" t="s">
        <v>105</v>
      </c>
      <c r="K461" s="217" t="s">
        <v>107</v>
      </c>
      <c r="L461" s="300" t="s">
        <v>2167</v>
      </c>
      <c r="M461" s="209" t="s">
        <v>108</v>
      </c>
      <c r="N461" s="215" t="s">
        <v>109</v>
      </c>
      <c r="O461" s="215" t="s">
        <v>110</v>
      </c>
      <c r="P461" s="218">
        <v>36</v>
      </c>
      <c r="Q461" s="218">
        <v>5</v>
      </c>
      <c r="R461" s="219">
        <v>7.4999999999999997E-3</v>
      </c>
      <c r="S461" s="215" t="s">
        <v>111</v>
      </c>
      <c r="T461" s="215" t="s">
        <v>112</v>
      </c>
      <c r="U461" s="215" t="s">
        <v>113</v>
      </c>
      <c r="V461" s="220">
        <v>792</v>
      </c>
      <c r="W461" s="220">
        <v>792</v>
      </c>
      <c r="X461" s="221"/>
      <c r="Y461" s="222">
        <f t="shared" si="149"/>
        <v>0</v>
      </c>
      <c r="Z461" s="223">
        <f t="shared" si="150"/>
        <v>0</v>
      </c>
      <c r="AA461" s="223"/>
      <c r="AB461" s="807"/>
      <c r="AC461" s="220"/>
      <c r="AD461" s="209"/>
      <c r="AE461" s="210"/>
      <c r="AF461" s="210"/>
      <c r="AG461" s="211">
        <f t="shared" si="147"/>
        <v>0.308</v>
      </c>
      <c r="AH461" s="157">
        <f t="shared" si="138"/>
        <v>0</v>
      </c>
      <c r="AI461" s="152">
        <f t="shared" si="148"/>
        <v>28512</v>
      </c>
      <c r="AK461" s="156" t="s">
        <v>691</v>
      </c>
      <c r="AL461" s="574" t="s">
        <v>690</v>
      </c>
      <c r="AM461" s="198">
        <f t="shared" si="139"/>
        <v>0</v>
      </c>
      <c r="AN461" s="199">
        <f t="shared" si="146"/>
        <v>45370</v>
      </c>
      <c r="AO461" s="159" t="s">
        <v>692</v>
      </c>
      <c r="AP461" s="781"/>
      <c r="AQ461" s="782">
        <v>12063755</v>
      </c>
      <c r="AR461" s="782">
        <v>12061353</v>
      </c>
      <c r="AS461" s="782">
        <v>12061354</v>
      </c>
      <c r="AT461" s="782">
        <v>12068566</v>
      </c>
      <c r="AU461" s="781"/>
      <c r="AV461" s="782">
        <v>12068564</v>
      </c>
      <c r="AW461" s="782">
        <v>12062153</v>
      </c>
      <c r="AX461" s="782"/>
      <c r="AY461" s="782">
        <v>12068565</v>
      </c>
      <c r="AZ461" s="782"/>
      <c r="BA461" s="781"/>
    </row>
    <row r="462" spans="1:53" ht="25" hidden="1" customHeight="1">
      <c r="B462" s="213">
        <v>45370</v>
      </c>
      <c r="C462" s="578">
        <v>45378</v>
      </c>
      <c r="D462" s="185">
        <f t="shared" si="144"/>
        <v>2024</v>
      </c>
      <c r="E462" s="215" t="str">
        <f>VLOOKUP($B462,Week!$A$1:$C$1462,2,0)</f>
        <v>Week12</v>
      </c>
      <c r="F462" s="216" t="str">
        <f t="shared" si="145"/>
        <v>Mar</v>
      </c>
      <c r="G462" s="215" t="s">
        <v>981</v>
      </c>
      <c r="H462" s="215" t="s">
        <v>104</v>
      </c>
      <c r="I462" s="215" t="s">
        <v>2772</v>
      </c>
      <c r="J462" s="209" t="s">
        <v>105</v>
      </c>
      <c r="K462" s="217" t="s">
        <v>107</v>
      </c>
      <c r="L462" s="300" t="s">
        <v>2167</v>
      </c>
      <c r="M462" s="209" t="s">
        <v>108</v>
      </c>
      <c r="N462" s="215" t="s">
        <v>109</v>
      </c>
      <c r="O462" s="215" t="s">
        <v>110</v>
      </c>
      <c r="P462" s="218">
        <v>36</v>
      </c>
      <c r="Q462" s="218">
        <v>5</v>
      </c>
      <c r="R462" s="219">
        <v>7.4999999999999997E-3</v>
      </c>
      <c r="S462" s="215" t="s">
        <v>111</v>
      </c>
      <c r="T462" s="215" t="s">
        <v>112</v>
      </c>
      <c r="U462" s="215" t="s">
        <v>113</v>
      </c>
      <c r="V462" s="220">
        <v>792</v>
      </c>
      <c r="W462" s="220">
        <v>792</v>
      </c>
      <c r="X462" s="221"/>
      <c r="Y462" s="222">
        <f t="shared" si="149"/>
        <v>0</v>
      </c>
      <c r="Z462" s="223">
        <f t="shared" si="150"/>
        <v>0</v>
      </c>
      <c r="AA462" s="223"/>
      <c r="AB462" s="807"/>
      <c r="AC462" s="220"/>
      <c r="AD462" s="209"/>
      <c r="AE462" s="210"/>
      <c r="AF462" s="210"/>
      <c r="AG462" s="211">
        <f t="shared" si="147"/>
        <v>0.308</v>
      </c>
      <c r="AH462" s="157">
        <f t="shared" si="138"/>
        <v>0</v>
      </c>
      <c r="AI462" s="152">
        <f t="shared" si="148"/>
        <v>28512</v>
      </c>
      <c r="AK462" s="156" t="s">
        <v>691</v>
      </c>
      <c r="AL462" s="574" t="s">
        <v>690</v>
      </c>
      <c r="AM462" s="198">
        <f t="shared" si="139"/>
        <v>0</v>
      </c>
      <c r="AN462" s="199">
        <f t="shared" si="146"/>
        <v>45370</v>
      </c>
      <c r="AO462" s="159" t="s">
        <v>692</v>
      </c>
      <c r="AP462" s="781"/>
      <c r="AQ462" s="782">
        <v>12063755</v>
      </c>
      <c r="AR462" s="782">
        <v>12061353</v>
      </c>
      <c r="AS462" s="782">
        <v>12061354</v>
      </c>
      <c r="AT462" s="782">
        <v>12068566</v>
      </c>
      <c r="AU462" s="781"/>
      <c r="AV462" s="782">
        <v>12068564</v>
      </c>
      <c r="AW462" s="782">
        <v>12062153</v>
      </c>
      <c r="AX462" s="782"/>
      <c r="AY462" s="782">
        <v>12068565</v>
      </c>
      <c r="AZ462" s="782"/>
      <c r="BA462" s="781"/>
    </row>
    <row r="463" spans="1:53" ht="25" hidden="1" customHeight="1">
      <c r="B463" s="213">
        <v>45370</v>
      </c>
      <c r="C463" s="578">
        <v>45378</v>
      </c>
      <c r="D463" s="185">
        <f t="shared" si="144"/>
        <v>2024</v>
      </c>
      <c r="E463" s="215" t="str">
        <f>VLOOKUP($B463,Week!$A$1:$C$1462,2,0)</f>
        <v>Week12</v>
      </c>
      <c r="F463" s="216" t="str">
        <f t="shared" si="145"/>
        <v>Mar</v>
      </c>
      <c r="G463" s="215" t="s">
        <v>982</v>
      </c>
      <c r="H463" s="215" t="s">
        <v>104</v>
      </c>
      <c r="I463" s="215" t="s">
        <v>2772</v>
      </c>
      <c r="J463" s="209" t="s">
        <v>105</v>
      </c>
      <c r="K463" s="217" t="s">
        <v>107</v>
      </c>
      <c r="L463" s="300" t="s">
        <v>2167</v>
      </c>
      <c r="M463" s="209" t="s">
        <v>108</v>
      </c>
      <c r="N463" s="215" t="s">
        <v>109</v>
      </c>
      <c r="O463" s="215" t="s">
        <v>110</v>
      </c>
      <c r="P463" s="218">
        <v>36</v>
      </c>
      <c r="Q463" s="218">
        <v>5</v>
      </c>
      <c r="R463" s="219">
        <v>7.4999999999999997E-3</v>
      </c>
      <c r="S463" s="215" t="s">
        <v>111</v>
      </c>
      <c r="T463" s="215" t="s">
        <v>112</v>
      </c>
      <c r="U463" s="215" t="s">
        <v>113</v>
      </c>
      <c r="V463" s="220">
        <f>2318-489-792-792</f>
        <v>245</v>
      </c>
      <c r="W463" s="220">
        <f>2318-489-792-792</f>
        <v>245</v>
      </c>
      <c r="X463" s="221"/>
      <c r="Y463" s="222">
        <f t="shared" si="149"/>
        <v>0</v>
      </c>
      <c r="Z463" s="223">
        <f t="shared" si="150"/>
        <v>0</v>
      </c>
      <c r="AA463" s="223"/>
      <c r="AB463" s="807"/>
      <c r="AC463" s="220"/>
      <c r="AD463" s="209"/>
      <c r="AE463" s="210"/>
      <c r="AF463" s="210"/>
      <c r="AG463" s="211">
        <f t="shared" si="147"/>
        <v>0.308</v>
      </c>
      <c r="AH463" s="157">
        <f>(Z463*AG463)/1000</f>
        <v>0</v>
      </c>
      <c r="AI463" s="152">
        <f t="shared" si="148"/>
        <v>8820</v>
      </c>
      <c r="AK463" s="156" t="s">
        <v>691</v>
      </c>
      <c r="AL463" s="574" t="s">
        <v>690</v>
      </c>
      <c r="AM463" s="198">
        <f>AG463*Z463</f>
        <v>0</v>
      </c>
      <c r="AN463" s="199">
        <f t="shared" si="146"/>
        <v>45370</v>
      </c>
      <c r="AO463" s="159" t="s">
        <v>692</v>
      </c>
      <c r="AP463" s="781"/>
      <c r="AQ463" s="782">
        <v>12063755</v>
      </c>
      <c r="AR463" s="782">
        <v>12061353</v>
      </c>
      <c r="AS463" s="782">
        <v>12061354</v>
      </c>
      <c r="AT463" s="782">
        <v>12068566</v>
      </c>
      <c r="AU463" s="781"/>
      <c r="AV463" s="782">
        <v>12068564</v>
      </c>
      <c r="AW463" s="782">
        <v>12062153</v>
      </c>
      <c r="AX463" s="782"/>
      <c r="AY463" s="782">
        <v>12068565</v>
      </c>
      <c r="AZ463" s="782"/>
      <c r="BA463" s="781"/>
    </row>
    <row r="464" spans="1:53" ht="24.65" hidden="1" customHeight="1">
      <c r="A464" s="142" t="s">
        <v>120</v>
      </c>
      <c r="B464" s="271">
        <v>45370</v>
      </c>
      <c r="C464" s="272">
        <v>45384</v>
      </c>
      <c r="D464" s="185">
        <f t="shared" si="144"/>
        <v>2024</v>
      </c>
      <c r="E464" s="272" t="str">
        <f>VLOOKUP($B464,Week!$A$1:$C$1462,2,0)</f>
        <v>Week12</v>
      </c>
      <c r="F464" s="273" t="str">
        <f t="shared" si="145"/>
        <v>Mar</v>
      </c>
      <c r="G464" s="274" t="s">
        <v>1118</v>
      </c>
      <c r="H464" s="274" t="s">
        <v>500</v>
      </c>
      <c r="I464" s="274" t="s">
        <v>2772</v>
      </c>
      <c r="J464" s="275" t="s">
        <v>285</v>
      </c>
      <c r="K464" s="276" t="s">
        <v>153</v>
      </c>
      <c r="L464" s="390" t="s">
        <v>2166</v>
      </c>
      <c r="M464" s="275" t="s">
        <v>86</v>
      </c>
      <c r="N464" s="274" t="s">
        <v>547</v>
      </c>
      <c r="O464" s="274" t="s">
        <v>548</v>
      </c>
      <c r="P464" s="277">
        <v>10</v>
      </c>
      <c r="Q464" s="277">
        <v>50</v>
      </c>
      <c r="R464" s="278">
        <v>6.8100000000000001E-3</v>
      </c>
      <c r="S464" s="274" t="s">
        <v>76</v>
      </c>
      <c r="T464" s="274" t="s">
        <v>56</v>
      </c>
      <c r="U464" s="274" t="s">
        <v>89</v>
      </c>
      <c r="V464" s="279">
        <v>508</v>
      </c>
      <c r="W464" s="279">
        <v>508</v>
      </c>
      <c r="X464" s="280"/>
      <c r="Y464" s="281">
        <f t="shared" si="149"/>
        <v>0</v>
      </c>
      <c r="Z464" s="282">
        <f t="shared" si="150"/>
        <v>0</v>
      </c>
      <c r="AA464" s="282">
        <f>Q464*Z464</f>
        <v>0</v>
      </c>
      <c r="AB464" s="812">
        <v>6</v>
      </c>
      <c r="AC464" s="279">
        <f>Z464*AB464</f>
        <v>0</v>
      </c>
      <c r="AD464" s="209"/>
      <c r="AE464" s="210"/>
      <c r="AF464" s="210"/>
      <c r="AG464" s="211">
        <f t="shared" si="147"/>
        <v>0.63</v>
      </c>
      <c r="AH464" s="157">
        <f t="shared" si="138"/>
        <v>0</v>
      </c>
      <c r="AI464" s="152">
        <f t="shared" si="148"/>
        <v>5080</v>
      </c>
      <c r="AK464" s="156" t="s">
        <v>691</v>
      </c>
      <c r="AL464" s="156" t="s">
        <v>689</v>
      </c>
      <c r="AM464" s="198">
        <f t="shared" si="139"/>
        <v>0</v>
      </c>
      <c r="AN464" s="199">
        <f t="shared" si="146"/>
        <v>45370</v>
      </c>
      <c r="AO464" s="159" t="s">
        <v>692</v>
      </c>
      <c r="AP464" s="783" t="s">
        <v>620</v>
      </c>
      <c r="AQ464" s="782" t="s">
        <v>549</v>
      </c>
      <c r="AR464" s="782">
        <v>12055234</v>
      </c>
      <c r="AS464" s="781"/>
      <c r="AT464" s="782"/>
      <c r="AU464" s="782"/>
      <c r="AV464" s="782">
        <v>12062809</v>
      </c>
      <c r="AW464" s="782"/>
      <c r="AX464" s="782" t="s">
        <v>619</v>
      </c>
      <c r="AY464" s="781"/>
      <c r="AZ464" s="781"/>
      <c r="BA464" s="781"/>
    </row>
    <row r="465" spans="1:53" ht="25" hidden="1" customHeight="1">
      <c r="A465" s="529" t="s">
        <v>755</v>
      </c>
      <c r="B465" s="357">
        <v>45371</v>
      </c>
      <c r="C465" s="358">
        <v>45383</v>
      </c>
      <c r="D465" s="185">
        <f t="shared" si="144"/>
        <v>2024</v>
      </c>
      <c r="E465" s="358" t="str">
        <f>VLOOKUP($B465,Week!$A$1:$C$1462,2,0)</f>
        <v>Week12</v>
      </c>
      <c r="F465" s="360" t="str">
        <f t="shared" si="145"/>
        <v>Mar</v>
      </c>
      <c r="G465" s="359" t="s">
        <v>47</v>
      </c>
      <c r="H465" s="359" t="s">
        <v>518</v>
      </c>
      <c r="I465" s="298" t="s">
        <v>2702</v>
      </c>
      <c r="J465" s="361" t="s">
        <v>70</v>
      </c>
      <c r="K465" s="362" t="s">
        <v>94</v>
      </c>
      <c r="L465" s="300" t="s">
        <v>2167</v>
      </c>
      <c r="M465" s="361" t="s">
        <v>519</v>
      </c>
      <c r="N465" s="436" t="s">
        <v>648</v>
      </c>
      <c r="O465" s="359" t="s">
        <v>97</v>
      </c>
      <c r="P465" s="363">
        <v>12</v>
      </c>
      <c r="Q465" s="363">
        <v>5</v>
      </c>
      <c r="R465" s="364">
        <v>8.0000000000000002E-3</v>
      </c>
      <c r="S465" s="359" t="s">
        <v>40</v>
      </c>
      <c r="T465" s="359" t="s">
        <v>56</v>
      </c>
      <c r="U465" s="359" t="s">
        <v>57</v>
      </c>
      <c r="V465" s="365">
        <v>12</v>
      </c>
      <c r="W465" s="365">
        <v>12</v>
      </c>
      <c r="X465" s="366"/>
      <c r="Y465" s="367">
        <f t="shared" si="149"/>
        <v>0</v>
      </c>
      <c r="Z465" s="368">
        <f t="shared" si="150"/>
        <v>0</v>
      </c>
      <c r="AA465" s="368"/>
      <c r="AB465" s="819"/>
      <c r="AC465" s="365"/>
      <c r="AD465" s="209"/>
      <c r="AE465" s="210"/>
      <c r="AF465" s="210"/>
      <c r="AG465" s="211">
        <f t="shared" si="147"/>
        <v>0.14499999999999999</v>
      </c>
      <c r="AH465" s="157">
        <f t="shared" ref="AH465:AH470" si="151">(Z465*AG465)/1000</f>
        <v>0</v>
      </c>
      <c r="AI465" s="152">
        <f t="shared" si="148"/>
        <v>144</v>
      </c>
      <c r="AK465" s="156" t="s">
        <v>691</v>
      </c>
      <c r="AL465" s="574" t="s">
        <v>690</v>
      </c>
      <c r="AM465" s="198">
        <f t="shared" ref="AM465:AM470" si="152">AG465*Z465</f>
        <v>0</v>
      </c>
      <c r="AN465" s="199">
        <f t="shared" si="146"/>
        <v>45371</v>
      </c>
      <c r="AO465" s="159" t="s">
        <v>692</v>
      </c>
      <c r="AP465" s="783" t="s">
        <v>628</v>
      </c>
      <c r="AQ465" s="782">
        <v>12071839</v>
      </c>
      <c r="AR465" s="782">
        <v>12047514</v>
      </c>
      <c r="AS465" s="782">
        <v>12047515</v>
      </c>
      <c r="AT465" s="782"/>
      <c r="AU465" s="781"/>
      <c r="AV465" s="782">
        <v>12080617</v>
      </c>
      <c r="AW465" s="782"/>
      <c r="AX465" s="782"/>
      <c r="AY465" s="782">
        <v>12080618</v>
      </c>
      <c r="AZ465" s="782">
        <v>12080619</v>
      </c>
      <c r="BA465" s="781"/>
    </row>
    <row r="466" spans="1:53" ht="25" hidden="1" customHeight="1">
      <c r="B466" s="357">
        <v>45371</v>
      </c>
      <c r="C466" s="358"/>
      <c r="D466" s="185">
        <f t="shared" si="144"/>
        <v>2024</v>
      </c>
      <c r="E466" s="358" t="str">
        <f>VLOOKUP($B466,Week!$A$1:$C$1462,2,0)</f>
        <v>Week12</v>
      </c>
      <c r="F466" s="360" t="str">
        <f t="shared" si="145"/>
        <v>Mar</v>
      </c>
      <c r="G466" s="359" t="s">
        <v>47</v>
      </c>
      <c r="H466" s="359" t="s">
        <v>518</v>
      </c>
      <c r="I466" s="298" t="s">
        <v>2702</v>
      </c>
      <c r="J466" s="361" t="s">
        <v>70</v>
      </c>
      <c r="K466" s="362" t="s">
        <v>94</v>
      </c>
      <c r="L466" s="300" t="s">
        <v>2167</v>
      </c>
      <c r="M466" s="361" t="s">
        <v>519</v>
      </c>
      <c r="N466" s="359" t="s">
        <v>589</v>
      </c>
      <c r="O466" s="359" t="s">
        <v>97</v>
      </c>
      <c r="P466" s="363">
        <v>12</v>
      </c>
      <c r="Q466" s="363">
        <v>5</v>
      </c>
      <c r="R466" s="364">
        <v>8.0000000000000002E-3</v>
      </c>
      <c r="S466" s="359" t="s">
        <v>40</v>
      </c>
      <c r="T466" s="359" t="s">
        <v>56</v>
      </c>
      <c r="U466" s="359" t="s">
        <v>57</v>
      </c>
      <c r="V466" s="365">
        <f>1668+285</f>
        <v>1953</v>
      </c>
      <c r="W466" s="365">
        <f>1005-477-417+1842</f>
        <v>1953</v>
      </c>
      <c r="X466" s="366"/>
      <c r="Y466" s="367">
        <f t="shared" si="149"/>
        <v>0</v>
      </c>
      <c r="Z466" s="368">
        <f t="shared" si="150"/>
        <v>0</v>
      </c>
      <c r="AA466" s="368"/>
      <c r="AB466" s="819"/>
      <c r="AC466" s="365"/>
      <c r="AD466" s="209"/>
      <c r="AE466" s="210"/>
      <c r="AF466" s="210"/>
      <c r="AG466" s="211">
        <f t="shared" si="147"/>
        <v>0.14499999999999999</v>
      </c>
      <c r="AH466" s="157">
        <f t="shared" si="151"/>
        <v>0</v>
      </c>
      <c r="AI466" s="152">
        <f t="shared" si="148"/>
        <v>23436</v>
      </c>
      <c r="AK466" s="156" t="s">
        <v>691</v>
      </c>
      <c r="AL466" s="574" t="s">
        <v>690</v>
      </c>
      <c r="AM466" s="198">
        <f t="shared" si="152"/>
        <v>0</v>
      </c>
      <c r="AN466" s="199">
        <f t="shared" si="146"/>
        <v>45371</v>
      </c>
      <c r="AO466" s="159" t="s">
        <v>692</v>
      </c>
      <c r="AP466" s="783" t="s">
        <v>628</v>
      </c>
      <c r="AQ466" s="782">
        <v>12071839</v>
      </c>
      <c r="AR466" s="782">
        <v>12047514</v>
      </c>
      <c r="AS466" s="782">
        <v>12047515</v>
      </c>
      <c r="AT466" s="782"/>
      <c r="AU466" s="781"/>
      <c r="AV466" s="782">
        <v>12080617</v>
      </c>
      <c r="AW466" s="782"/>
      <c r="AX466" s="782"/>
      <c r="AY466" s="782">
        <v>12080618</v>
      </c>
      <c r="AZ466" s="782">
        <v>12080619</v>
      </c>
      <c r="BA466" s="781"/>
    </row>
    <row r="467" spans="1:53" ht="25" hidden="1" customHeight="1">
      <c r="B467" s="398">
        <v>45371</v>
      </c>
      <c r="C467" s="399">
        <v>45383</v>
      </c>
      <c r="D467" s="185">
        <f t="shared" si="144"/>
        <v>2024</v>
      </c>
      <c r="E467" s="399" t="str">
        <f>VLOOKUP($B467,Week!$A$1:$C$1462,2,0)</f>
        <v>Week12</v>
      </c>
      <c r="F467" s="400" t="str">
        <f t="shared" si="145"/>
        <v>Mar</v>
      </c>
      <c r="G467" s="401" t="s">
        <v>47</v>
      </c>
      <c r="H467" s="401" t="s">
        <v>518</v>
      </c>
      <c r="I467" s="298" t="s">
        <v>2702</v>
      </c>
      <c r="J467" s="402" t="s">
        <v>70</v>
      </c>
      <c r="K467" s="403" t="s">
        <v>98</v>
      </c>
      <c r="L467" s="300" t="s">
        <v>2167</v>
      </c>
      <c r="M467" s="402" t="s">
        <v>553</v>
      </c>
      <c r="N467" s="404" t="s">
        <v>557</v>
      </c>
      <c r="O467" s="401" t="s">
        <v>101</v>
      </c>
      <c r="P467" s="405">
        <v>12</v>
      </c>
      <c r="Q467" s="405">
        <v>5</v>
      </c>
      <c r="R467" s="406">
        <v>8.0000000000000002E-3</v>
      </c>
      <c r="S467" s="401" t="s">
        <v>40</v>
      </c>
      <c r="T467" s="401" t="s">
        <v>56</v>
      </c>
      <c r="U467" s="401" t="s">
        <v>499</v>
      </c>
      <c r="V467" s="407">
        <v>403</v>
      </c>
      <c r="W467" s="407">
        <f>1+402</f>
        <v>403</v>
      </c>
      <c r="X467" s="408"/>
      <c r="Y467" s="409">
        <f t="shared" si="149"/>
        <v>0</v>
      </c>
      <c r="Z467" s="410">
        <f t="shared" si="150"/>
        <v>0</v>
      </c>
      <c r="AA467" s="410"/>
      <c r="AB467" s="824">
        <v>1</v>
      </c>
      <c r="AC467" s="407">
        <f>Z467*AB467</f>
        <v>0</v>
      </c>
      <c r="AD467" s="209"/>
      <c r="AE467" s="210"/>
      <c r="AF467" s="210"/>
      <c r="AG467" s="211">
        <f t="shared" si="147"/>
        <v>0.115</v>
      </c>
      <c r="AH467" s="157">
        <f t="shared" si="151"/>
        <v>0</v>
      </c>
      <c r="AI467" s="152">
        <f t="shared" si="148"/>
        <v>4836</v>
      </c>
      <c r="AK467" s="156" t="s">
        <v>691</v>
      </c>
      <c r="AL467" s="212" t="s">
        <v>690</v>
      </c>
      <c r="AM467" s="198">
        <f t="shared" si="152"/>
        <v>0</v>
      </c>
      <c r="AN467" s="199">
        <f t="shared" si="146"/>
        <v>45371</v>
      </c>
      <c r="AO467" s="159" t="s">
        <v>692</v>
      </c>
      <c r="AP467" s="783" t="s">
        <v>623</v>
      </c>
      <c r="AQ467" s="782">
        <v>12071839</v>
      </c>
      <c r="AR467" s="782">
        <v>12047514</v>
      </c>
      <c r="AS467" s="782">
        <v>12047515</v>
      </c>
      <c r="AT467" s="782"/>
      <c r="AU467" s="781"/>
      <c r="AV467" s="782">
        <v>12072447</v>
      </c>
      <c r="AW467" s="782"/>
      <c r="AX467" s="782"/>
      <c r="AY467" s="782">
        <v>12064574</v>
      </c>
      <c r="AZ467" s="782">
        <v>12064576</v>
      </c>
      <c r="BA467" s="781"/>
    </row>
    <row r="468" spans="1:53" ht="24.65" hidden="1" customHeight="1">
      <c r="A468" s="529" t="s">
        <v>1317</v>
      </c>
      <c r="B468" s="546">
        <v>45371</v>
      </c>
      <c r="C468" s="547">
        <v>45372</v>
      </c>
      <c r="D468" s="185">
        <f t="shared" si="144"/>
        <v>2024</v>
      </c>
      <c r="E468" s="547" t="str">
        <f>VLOOKUP($B468,Week!$A$1:$C$1462,2,0)</f>
        <v>Week12</v>
      </c>
      <c r="F468" s="548" t="str">
        <f t="shared" si="145"/>
        <v>Mar</v>
      </c>
      <c r="G468" s="549" t="s">
        <v>47</v>
      </c>
      <c r="H468" s="549" t="s">
        <v>518</v>
      </c>
      <c r="I468" s="298" t="s">
        <v>2702</v>
      </c>
      <c r="J468" s="550" t="s">
        <v>70</v>
      </c>
      <c r="K468" s="551" t="s">
        <v>1020</v>
      </c>
      <c r="L468" s="300" t="s">
        <v>2167</v>
      </c>
      <c r="M468" s="550" t="s">
        <v>1301</v>
      </c>
      <c r="N468" s="618" t="s">
        <v>1129</v>
      </c>
      <c r="O468" s="549" t="s">
        <v>1128</v>
      </c>
      <c r="P468" s="552">
        <v>18</v>
      </c>
      <c r="Q468" s="552">
        <v>5</v>
      </c>
      <c r="R468" s="549">
        <v>6.1999999999999998E-3</v>
      </c>
      <c r="S468" s="549" t="s">
        <v>352</v>
      </c>
      <c r="T468" s="549" t="s">
        <v>56</v>
      </c>
      <c r="U468" s="549" t="s">
        <v>739</v>
      </c>
      <c r="V468" s="554">
        <f>647</f>
        <v>647</v>
      </c>
      <c r="W468" s="554">
        <v>647</v>
      </c>
      <c r="X468" s="555"/>
      <c r="Y468" s="556">
        <f t="shared" si="149"/>
        <v>0</v>
      </c>
      <c r="Z468" s="557">
        <f t="shared" si="150"/>
        <v>0</v>
      </c>
      <c r="AA468" s="557"/>
      <c r="AB468" s="833"/>
      <c r="AC468" s="554"/>
      <c r="AD468" s="209"/>
      <c r="AE468" s="210"/>
      <c r="AF468" s="210"/>
      <c r="AG468" s="211">
        <f t="shared" si="147"/>
        <v>0.14299999999999999</v>
      </c>
      <c r="AH468" s="157">
        <f t="shared" si="151"/>
        <v>0</v>
      </c>
      <c r="AI468" s="152">
        <f t="shared" si="148"/>
        <v>11646</v>
      </c>
      <c r="AK468" s="156" t="s">
        <v>691</v>
      </c>
      <c r="AL468" s="212" t="s">
        <v>690</v>
      </c>
      <c r="AM468" s="198">
        <f t="shared" si="152"/>
        <v>0</v>
      </c>
      <c r="AN468" s="199">
        <f t="shared" si="146"/>
        <v>45371</v>
      </c>
      <c r="AO468" s="159" t="s">
        <v>692</v>
      </c>
      <c r="AP468" s="783" t="s">
        <v>609</v>
      </c>
      <c r="AQ468" s="782">
        <v>12071839</v>
      </c>
      <c r="AR468" s="782">
        <v>12047514</v>
      </c>
      <c r="AS468" s="782">
        <v>12047515</v>
      </c>
      <c r="AT468" s="781"/>
      <c r="AU468" s="781"/>
      <c r="AV468" s="782">
        <v>12080613</v>
      </c>
      <c r="AW468" s="781"/>
      <c r="AX468" s="781"/>
      <c r="AY468" s="782">
        <v>12080614</v>
      </c>
      <c r="AZ468" s="782">
        <v>12080616</v>
      </c>
      <c r="BA468" s="781"/>
    </row>
    <row r="469" spans="1:53" ht="24.65" hidden="1" customHeight="1">
      <c r="B469" s="246">
        <v>45371</v>
      </c>
      <c r="C469" s="247">
        <v>45378</v>
      </c>
      <c r="D469" s="185">
        <f t="shared" si="144"/>
        <v>2024</v>
      </c>
      <c r="E469" s="247" t="str">
        <f>VLOOKUP($B469,Week!$A$1:$C$1462,2,0)</f>
        <v>Week12</v>
      </c>
      <c r="F469" s="248" t="str">
        <f t="shared" si="145"/>
        <v>Mar</v>
      </c>
      <c r="G469" s="249" t="s">
        <v>47</v>
      </c>
      <c r="H469" s="249" t="s">
        <v>260</v>
      </c>
      <c r="I469" s="298" t="s">
        <v>2702</v>
      </c>
      <c r="J469" s="250" t="s">
        <v>70</v>
      </c>
      <c r="K469" s="251" t="s">
        <v>1020</v>
      </c>
      <c r="L469" s="300" t="s">
        <v>2167</v>
      </c>
      <c r="M469" s="250" t="s">
        <v>741</v>
      </c>
      <c r="N469" s="249" t="s">
        <v>740</v>
      </c>
      <c r="O469" s="249" t="s">
        <v>742</v>
      </c>
      <c r="P469" s="252">
        <v>24</v>
      </c>
      <c r="Q469" s="252">
        <v>5</v>
      </c>
      <c r="R469" s="249">
        <v>6.1999999999999998E-3</v>
      </c>
      <c r="S469" s="249" t="s">
        <v>352</v>
      </c>
      <c r="T469" s="249" t="s">
        <v>56</v>
      </c>
      <c r="U469" s="249" t="s">
        <v>739</v>
      </c>
      <c r="V469" s="254">
        <f>808</f>
        <v>808</v>
      </c>
      <c r="W469" s="254">
        <f>36+1+771</f>
        <v>808</v>
      </c>
      <c r="X469" s="255"/>
      <c r="Y469" s="256">
        <f t="shared" si="149"/>
        <v>0</v>
      </c>
      <c r="Z469" s="257">
        <f t="shared" si="150"/>
        <v>0</v>
      </c>
      <c r="AA469" s="257"/>
      <c r="AB469" s="810"/>
      <c r="AC469" s="254"/>
      <c r="AD469" s="209"/>
      <c r="AE469" s="210"/>
      <c r="AF469" s="210"/>
      <c r="AG469" s="211">
        <f t="shared" si="147"/>
        <v>0.14299999999999999</v>
      </c>
      <c r="AH469" s="157">
        <f t="shared" si="151"/>
        <v>0</v>
      </c>
      <c r="AI469" s="152">
        <f t="shared" si="148"/>
        <v>19392</v>
      </c>
      <c r="AK469" s="156" t="s">
        <v>691</v>
      </c>
      <c r="AL469" s="212" t="s">
        <v>690</v>
      </c>
      <c r="AM469" s="198">
        <f t="shared" si="152"/>
        <v>0</v>
      </c>
      <c r="AN469" s="199">
        <f t="shared" si="146"/>
        <v>45371</v>
      </c>
      <c r="AO469" s="159" t="s">
        <v>692</v>
      </c>
      <c r="AP469" s="783" t="s">
        <v>609</v>
      </c>
      <c r="AQ469" s="782">
        <v>12071839</v>
      </c>
      <c r="AR469" s="782">
        <v>12047514</v>
      </c>
      <c r="AS469" s="782">
        <v>12047515</v>
      </c>
      <c r="AT469" s="781"/>
      <c r="AU469" s="781"/>
      <c r="AV469" s="782">
        <v>12089668</v>
      </c>
      <c r="AW469" s="781"/>
      <c r="AX469" s="781"/>
      <c r="AY469" s="782">
        <v>12088311</v>
      </c>
      <c r="AZ469" s="782">
        <v>12088315</v>
      </c>
      <c r="BA469" s="781"/>
    </row>
    <row r="470" spans="1:53" ht="24.65" hidden="1" customHeight="1">
      <c r="B470" s="246">
        <v>45371</v>
      </c>
      <c r="C470" s="247"/>
      <c r="D470" s="185">
        <f t="shared" si="144"/>
        <v>2024</v>
      </c>
      <c r="E470" s="247" t="str">
        <f>VLOOKUP($B470,Week!$A$1:$C$1462,2,0)</f>
        <v>Week12</v>
      </c>
      <c r="F470" s="248" t="str">
        <f t="shared" si="145"/>
        <v>Mar</v>
      </c>
      <c r="G470" s="249" t="s">
        <v>47</v>
      </c>
      <c r="H470" s="249" t="s">
        <v>260</v>
      </c>
      <c r="I470" s="298" t="s">
        <v>2702</v>
      </c>
      <c r="J470" s="250" t="s">
        <v>70</v>
      </c>
      <c r="K470" s="251" t="s">
        <v>1020</v>
      </c>
      <c r="L470" s="300" t="s">
        <v>2167</v>
      </c>
      <c r="M470" s="250" t="s">
        <v>741</v>
      </c>
      <c r="N470" s="249" t="s">
        <v>740</v>
      </c>
      <c r="O470" s="249" t="s">
        <v>742</v>
      </c>
      <c r="P470" s="252">
        <v>24</v>
      </c>
      <c r="Q470" s="252">
        <v>5</v>
      </c>
      <c r="R470" s="249">
        <v>6.1999999999999998E-3</v>
      </c>
      <c r="S470" s="249" t="s">
        <v>352</v>
      </c>
      <c r="T470" s="249" t="s">
        <v>56</v>
      </c>
      <c r="U470" s="249" t="s">
        <v>739</v>
      </c>
      <c r="V470" s="254">
        <f>3621</f>
        <v>3621</v>
      </c>
      <c r="W470" s="254">
        <f>1860-771</f>
        <v>1089</v>
      </c>
      <c r="X470" s="255">
        <f>(52614+8154)/24</f>
        <v>2532</v>
      </c>
      <c r="Y470" s="256">
        <f t="shared" si="149"/>
        <v>0</v>
      </c>
      <c r="Z470" s="257">
        <f t="shared" si="150"/>
        <v>0</v>
      </c>
      <c r="AA470" s="257"/>
      <c r="AB470" s="810"/>
      <c r="AC470" s="254"/>
      <c r="AD470" s="209"/>
      <c r="AE470" s="210"/>
      <c r="AF470" s="210"/>
      <c r="AG470" s="211">
        <f t="shared" si="147"/>
        <v>0.14299999999999999</v>
      </c>
      <c r="AH470" s="157">
        <f t="shared" si="151"/>
        <v>0</v>
      </c>
      <c r="AI470" s="152">
        <f t="shared" si="148"/>
        <v>86904</v>
      </c>
      <c r="AK470" s="156" t="s">
        <v>691</v>
      </c>
      <c r="AL470" s="212" t="s">
        <v>690</v>
      </c>
      <c r="AM470" s="198">
        <f t="shared" si="152"/>
        <v>0</v>
      </c>
      <c r="AN470" s="199">
        <f t="shared" si="146"/>
        <v>45371</v>
      </c>
      <c r="AO470" s="159" t="s">
        <v>692</v>
      </c>
      <c r="AP470" s="783" t="s">
        <v>609</v>
      </c>
      <c r="AQ470" s="782">
        <v>12071839</v>
      </c>
      <c r="AR470" s="782">
        <v>12047514</v>
      </c>
      <c r="AS470" s="782">
        <v>12047515</v>
      </c>
      <c r="AT470" s="781"/>
      <c r="AU470" s="781"/>
      <c r="AV470" s="782">
        <v>12089668</v>
      </c>
      <c r="AW470" s="781"/>
      <c r="AX470" s="781"/>
      <c r="AY470" s="782">
        <v>12088311</v>
      </c>
      <c r="AZ470" s="782">
        <v>12088315</v>
      </c>
      <c r="BA470" s="781"/>
    </row>
    <row r="471" spans="1:53" ht="25" hidden="1" customHeight="1">
      <c r="A471" s="142" t="s">
        <v>120</v>
      </c>
      <c r="B471" s="271">
        <v>45371</v>
      </c>
      <c r="C471" s="272">
        <v>45384</v>
      </c>
      <c r="D471" s="185">
        <f t="shared" si="144"/>
        <v>2024</v>
      </c>
      <c r="E471" s="272" t="str">
        <f>VLOOKUP($B471,Week!$A$1:$C$1462,2,0)</f>
        <v>Week12</v>
      </c>
      <c r="F471" s="273" t="str">
        <f t="shared" si="145"/>
        <v>Mar</v>
      </c>
      <c r="G471" s="274" t="s">
        <v>1118</v>
      </c>
      <c r="H471" s="274" t="s">
        <v>500</v>
      </c>
      <c r="I471" s="274" t="s">
        <v>2772</v>
      </c>
      <c r="J471" s="275" t="s">
        <v>285</v>
      </c>
      <c r="K471" s="276" t="s">
        <v>153</v>
      </c>
      <c r="L471" s="390" t="s">
        <v>2166</v>
      </c>
      <c r="M471" s="275" t="s">
        <v>86</v>
      </c>
      <c r="N471" s="274" t="s">
        <v>547</v>
      </c>
      <c r="O471" s="274" t="s">
        <v>548</v>
      </c>
      <c r="P471" s="277">
        <v>10</v>
      </c>
      <c r="Q471" s="277">
        <v>50</v>
      </c>
      <c r="R471" s="278">
        <v>6.8100000000000001E-3</v>
      </c>
      <c r="S471" s="274" t="s">
        <v>76</v>
      </c>
      <c r="T471" s="274" t="s">
        <v>56</v>
      </c>
      <c r="U471" s="274" t="s">
        <v>89</v>
      </c>
      <c r="V471" s="279">
        <v>504</v>
      </c>
      <c r="W471" s="279">
        <v>504</v>
      </c>
      <c r="X471" s="280"/>
      <c r="Y471" s="281">
        <f t="shared" si="149"/>
        <v>0</v>
      </c>
      <c r="Z471" s="282">
        <f t="shared" si="150"/>
        <v>0</v>
      </c>
      <c r="AA471" s="282">
        <f>Q471*Z471</f>
        <v>0</v>
      </c>
      <c r="AB471" s="812">
        <v>6</v>
      </c>
      <c r="AC471" s="279">
        <f>Z471*AB471</f>
        <v>0</v>
      </c>
      <c r="AD471" s="209"/>
      <c r="AE471" s="210"/>
      <c r="AF471" s="210"/>
      <c r="AG471" s="211">
        <f t="shared" si="147"/>
        <v>0.63</v>
      </c>
      <c r="AH471" s="157">
        <f t="shared" ref="AH471:AH480" si="153">(Z471*AG471)/1000</f>
        <v>0</v>
      </c>
      <c r="AI471" s="152">
        <f t="shared" si="148"/>
        <v>5040</v>
      </c>
      <c r="AK471" s="156" t="s">
        <v>691</v>
      </c>
      <c r="AL471" s="156" t="s">
        <v>689</v>
      </c>
      <c r="AM471" s="198">
        <f t="shared" ref="AM471:AM499" si="154">AG471*Z471</f>
        <v>0</v>
      </c>
      <c r="AN471" s="199">
        <f t="shared" si="146"/>
        <v>45371</v>
      </c>
      <c r="AO471" s="159" t="s">
        <v>692</v>
      </c>
      <c r="AP471" s="783" t="s">
        <v>620</v>
      </c>
      <c r="AQ471" s="782" t="s">
        <v>549</v>
      </c>
      <c r="AR471" s="782">
        <v>12055234</v>
      </c>
      <c r="AS471" s="781"/>
      <c r="AT471" s="782"/>
      <c r="AU471" s="782"/>
      <c r="AV471" s="782">
        <v>12062809</v>
      </c>
      <c r="AW471" s="782"/>
      <c r="AX471" s="782" t="s">
        <v>619</v>
      </c>
      <c r="AY471" s="781"/>
      <c r="AZ471" s="781"/>
      <c r="BA471" s="781"/>
    </row>
    <row r="472" spans="1:53" ht="25" hidden="1" customHeight="1">
      <c r="B472" s="320">
        <v>45372</v>
      </c>
      <c r="C472" s="321"/>
      <c r="D472" s="185">
        <f t="shared" si="144"/>
        <v>2024</v>
      </c>
      <c r="E472" s="321" t="str">
        <f>VLOOKUP($B472,Week!$A$1:$C$1462,2,0)</f>
        <v>Week12</v>
      </c>
      <c r="F472" s="322" t="str">
        <f t="shared" si="145"/>
        <v>Mar</v>
      </c>
      <c r="G472" s="323" t="s">
        <v>47</v>
      </c>
      <c r="H472" s="323" t="s">
        <v>518</v>
      </c>
      <c r="I472" s="298" t="s">
        <v>2702</v>
      </c>
      <c r="J472" s="324" t="s">
        <v>70</v>
      </c>
      <c r="K472" s="325" t="s">
        <v>564</v>
      </c>
      <c r="L472" s="300" t="s">
        <v>2167</v>
      </c>
      <c r="M472" s="324" t="s">
        <v>558</v>
      </c>
      <c r="N472" s="323" t="s">
        <v>559</v>
      </c>
      <c r="O472" s="323" t="s">
        <v>560</v>
      </c>
      <c r="P472" s="326">
        <v>12</v>
      </c>
      <c r="Q472" s="326">
        <v>3</v>
      </c>
      <c r="R472" s="327">
        <v>8.0000000000000002E-3</v>
      </c>
      <c r="S472" s="323" t="s">
        <v>40</v>
      </c>
      <c r="T472" s="323" t="s">
        <v>56</v>
      </c>
      <c r="U472" s="323" t="s">
        <v>57</v>
      </c>
      <c r="V472" s="397">
        <f>774</f>
        <v>774</v>
      </c>
      <c r="W472" s="328"/>
      <c r="X472" s="329">
        <f>9288/12</f>
        <v>774</v>
      </c>
      <c r="Y472" s="330">
        <f t="shared" si="149"/>
        <v>0</v>
      </c>
      <c r="Z472" s="331">
        <f t="shared" si="150"/>
        <v>0</v>
      </c>
      <c r="AA472" s="331"/>
      <c r="AB472" s="816"/>
      <c r="AC472" s="328"/>
      <c r="AD472" s="209"/>
      <c r="AE472" s="210"/>
      <c r="AF472" s="210"/>
      <c r="AG472" s="211">
        <f t="shared" si="147"/>
        <v>0.22600000000000001</v>
      </c>
      <c r="AH472" s="157">
        <f t="shared" si="153"/>
        <v>0</v>
      </c>
      <c r="AI472" s="152">
        <f t="shared" si="148"/>
        <v>9288</v>
      </c>
      <c r="AK472" s="156" t="s">
        <v>691</v>
      </c>
      <c r="AL472" s="212" t="s">
        <v>690</v>
      </c>
      <c r="AM472" s="198">
        <f t="shared" si="154"/>
        <v>0</v>
      </c>
      <c r="AN472" s="199">
        <f t="shared" si="146"/>
        <v>45372</v>
      </c>
      <c r="AO472" s="159" t="s">
        <v>692</v>
      </c>
      <c r="AP472" s="783" t="s">
        <v>623</v>
      </c>
      <c r="AQ472" s="782"/>
      <c r="AR472" s="782">
        <v>12042650</v>
      </c>
      <c r="AS472" s="782">
        <v>12042649</v>
      </c>
      <c r="AT472" s="782"/>
      <c r="AU472" s="781"/>
      <c r="AV472" s="782">
        <v>12083156</v>
      </c>
      <c r="AW472" s="782"/>
      <c r="AX472" s="782"/>
      <c r="AY472" s="782">
        <v>12083147</v>
      </c>
      <c r="AZ472" s="782">
        <v>12083148</v>
      </c>
      <c r="BA472" s="781"/>
    </row>
    <row r="473" spans="1:53" ht="24.65" hidden="1" customHeight="1">
      <c r="B473" s="411">
        <v>45372</v>
      </c>
      <c r="C473" s="412">
        <v>45383</v>
      </c>
      <c r="D473" s="185">
        <f t="shared" si="144"/>
        <v>2024</v>
      </c>
      <c r="E473" s="412" t="str">
        <f>VLOOKUP($B473,Week!$A$1:$C$1462,2,0)</f>
        <v>Week12</v>
      </c>
      <c r="F473" s="413" t="str">
        <f t="shared" si="145"/>
        <v>Mar</v>
      </c>
      <c r="G473" s="414" t="s">
        <v>47</v>
      </c>
      <c r="H473" s="414" t="s">
        <v>260</v>
      </c>
      <c r="I473" s="298" t="s">
        <v>2702</v>
      </c>
      <c r="J473" s="415" t="s">
        <v>261</v>
      </c>
      <c r="K473" s="416" t="s">
        <v>94</v>
      </c>
      <c r="L473" s="300" t="s">
        <v>2167</v>
      </c>
      <c r="M473" s="415" t="s">
        <v>1303</v>
      </c>
      <c r="N473" s="414" t="s">
        <v>263</v>
      </c>
      <c r="O473" s="414" t="s">
        <v>195</v>
      </c>
      <c r="P473" s="417">
        <v>24</v>
      </c>
      <c r="Q473" s="417">
        <v>5</v>
      </c>
      <c r="R473" s="418">
        <v>8.0000000000000002E-3</v>
      </c>
      <c r="S473" s="414" t="s">
        <v>40</v>
      </c>
      <c r="T473" s="414" t="s">
        <v>56</v>
      </c>
      <c r="U473" s="414" t="s">
        <v>57</v>
      </c>
      <c r="V473" s="419">
        <v>4408</v>
      </c>
      <c r="W473" s="419">
        <f>3152</f>
        <v>3152</v>
      </c>
      <c r="X473" s="420">
        <f>30151/24</f>
        <v>1256.2916666666667</v>
      </c>
      <c r="Y473" s="421">
        <f t="shared" si="149"/>
        <v>0.29166666666696983</v>
      </c>
      <c r="Z473" s="422">
        <f t="shared" si="150"/>
        <v>0</v>
      </c>
      <c r="AA473" s="422"/>
      <c r="AB473" s="825"/>
      <c r="AC473" s="419"/>
      <c r="AD473" s="209"/>
      <c r="AE473" s="210"/>
      <c r="AF473" s="210"/>
      <c r="AG473" s="211">
        <f t="shared" si="147"/>
        <v>0.14499999999999999</v>
      </c>
      <c r="AH473" s="157">
        <f t="shared" si="153"/>
        <v>0</v>
      </c>
      <c r="AI473" s="152">
        <f t="shared" si="148"/>
        <v>105792</v>
      </c>
      <c r="AK473" s="156" t="s">
        <v>691</v>
      </c>
      <c r="AL473" s="212" t="s">
        <v>690</v>
      </c>
      <c r="AM473" s="198">
        <f t="shared" si="154"/>
        <v>0</v>
      </c>
      <c r="AN473" s="199">
        <f t="shared" si="146"/>
        <v>45372</v>
      </c>
      <c r="AO473" s="159" t="s">
        <v>692</v>
      </c>
      <c r="AP473" s="783" t="s">
        <v>609</v>
      </c>
      <c r="AQ473" s="782">
        <v>12071839</v>
      </c>
      <c r="AR473" s="782">
        <v>12047514</v>
      </c>
      <c r="AS473" s="782">
        <v>12047515</v>
      </c>
      <c r="AT473" s="781"/>
      <c r="AU473" s="781"/>
      <c r="AV473" s="782">
        <v>12080613</v>
      </c>
      <c r="AW473" s="781"/>
      <c r="AX473" s="781"/>
      <c r="AY473" s="782">
        <v>12080614</v>
      </c>
      <c r="AZ473" s="782">
        <v>12080616</v>
      </c>
      <c r="BA473" s="781"/>
    </row>
    <row r="474" spans="1:53" ht="25" hidden="1" customHeight="1">
      <c r="B474" s="424">
        <v>45372</v>
      </c>
      <c r="C474" s="425"/>
      <c r="D474" s="185">
        <f t="shared" si="144"/>
        <v>2024</v>
      </c>
      <c r="E474" s="425" t="str">
        <f>VLOOKUP($B474,Week!$A$1:$C$1462,2,0)</f>
        <v>Week12</v>
      </c>
      <c r="F474" s="426" t="str">
        <f t="shared" si="145"/>
        <v>Mar</v>
      </c>
      <c r="G474" s="427" t="s">
        <v>47</v>
      </c>
      <c r="H474" s="427" t="s">
        <v>518</v>
      </c>
      <c r="I474" s="298" t="s">
        <v>2702</v>
      </c>
      <c r="J474" s="428" t="s">
        <v>70</v>
      </c>
      <c r="K474" s="429" t="s">
        <v>94</v>
      </c>
      <c r="L474" s="300" t="s">
        <v>2167</v>
      </c>
      <c r="M474" s="428" t="s">
        <v>521</v>
      </c>
      <c r="N474" s="427" t="s">
        <v>587</v>
      </c>
      <c r="O474" s="427" t="s">
        <v>3198</v>
      </c>
      <c r="P474" s="430">
        <v>18</v>
      </c>
      <c r="Q474" s="430">
        <v>5</v>
      </c>
      <c r="R474" s="431">
        <v>8.0000000000000002E-3</v>
      </c>
      <c r="S474" s="427" t="s">
        <v>40</v>
      </c>
      <c r="T474" s="427" t="s">
        <v>56</v>
      </c>
      <c r="U474" s="427" t="s">
        <v>89</v>
      </c>
      <c r="V474" s="432">
        <f>1723</f>
        <v>1723</v>
      </c>
      <c r="W474" s="432">
        <f>1309+373</f>
        <v>1682</v>
      </c>
      <c r="X474" s="433">
        <f>(248)/6</f>
        <v>41.333333333333336</v>
      </c>
      <c r="Y474" s="434">
        <f t="shared" si="149"/>
        <v>0.33333333333325754</v>
      </c>
      <c r="Z474" s="435">
        <f t="shared" si="150"/>
        <v>0</v>
      </c>
      <c r="AA474" s="435"/>
      <c r="AB474" s="826">
        <v>1</v>
      </c>
      <c r="AC474" s="432">
        <f>Z474*AB474</f>
        <v>0</v>
      </c>
      <c r="AD474" s="209"/>
      <c r="AE474" s="210"/>
      <c r="AF474" s="210"/>
      <c r="AG474" s="211" t="e">
        <f>(MID(O474,1,3)/1000)/3</f>
        <v>#VALUE!</v>
      </c>
      <c r="AH474" s="157" t="e">
        <f t="shared" si="153"/>
        <v>#VALUE!</v>
      </c>
      <c r="AI474" s="152">
        <f t="shared" si="148"/>
        <v>31014</v>
      </c>
      <c r="AK474" s="156" t="s">
        <v>691</v>
      </c>
      <c r="AL474" s="212" t="s">
        <v>690</v>
      </c>
      <c r="AM474" s="198" t="e">
        <f t="shared" si="154"/>
        <v>#VALUE!</v>
      </c>
      <c r="AN474" s="199">
        <f t="shared" si="146"/>
        <v>45372</v>
      </c>
      <c r="AO474" s="159" t="s">
        <v>692</v>
      </c>
      <c r="AP474" s="783" t="s">
        <v>628</v>
      </c>
      <c r="AQ474" s="782"/>
      <c r="AR474" s="782"/>
      <c r="AS474" s="782"/>
      <c r="AT474" s="782"/>
      <c r="AU474" s="781"/>
      <c r="AV474" s="782">
        <v>12080791</v>
      </c>
      <c r="AW474" s="782" t="s">
        <v>641</v>
      </c>
      <c r="AX474" s="782" t="s">
        <v>533</v>
      </c>
      <c r="AY474" s="782"/>
      <c r="AZ474" s="782"/>
      <c r="BA474" s="781"/>
    </row>
    <row r="475" spans="1:53" ht="25" hidden="1" customHeight="1">
      <c r="A475" s="142" t="s">
        <v>120</v>
      </c>
      <c r="B475" s="271">
        <v>45372</v>
      </c>
      <c r="C475" s="272">
        <v>45384</v>
      </c>
      <c r="D475" s="185">
        <f t="shared" si="144"/>
        <v>2024</v>
      </c>
      <c r="E475" s="272" t="str">
        <f>VLOOKUP($B475,Week!$A$1:$C$1462,2,0)</f>
        <v>Week12</v>
      </c>
      <c r="F475" s="273" t="str">
        <f t="shared" si="145"/>
        <v>Mar</v>
      </c>
      <c r="G475" s="274" t="s">
        <v>1118</v>
      </c>
      <c r="H475" s="274" t="s">
        <v>500</v>
      </c>
      <c r="I475" s="274" t="s">
        <v>2772</v>
      </c>
      <c r="J475" s="275" t="s">
        <v>285</v>
      </c>
      <c r="K475" s="276" t="s">
        <v>153</v>
      </c>
      <c r="L475" s="390" t="s">
        <v>2166</v>
      </c>
      <c r="M475" s="275" t="s">
        <v>86</v>
      </c>
      <c r="N475" s="274" t="s">
        <v>547</v>
      </c>
      <c r="O475" s="274" t="s">
        <v>548</v>
      </c>
      <c r="P475" s="277">
        <v>10</v>
      </c>
      <c r="Q475" s="277">
        <v>50</v>
      </c>
      <c r="R475" s="278">
        <v>6.8100000000000001E-3</v>
      </c>
      <c r="S475" s="274" t="s">
        <v>76</v>
      </c>
      <c r="T475" s="274" t="s">
        <v>56</v>
      </c>
      <c r="U475" s="274" t="s">
        <v>89</v>
      </c>
      <c r="V475" s="279">
        <f>2056-288-510-508-504</f>
        <v>246</v>
      </c>
      <c r="W475" s="279">
        <v>246</v>
      </c>
      <c r="X475" s="280"/>
      <c r="Y475" s="281">
        <f t="shared" si="149"/>
        <v>0</v>
      </c>
      <c r="Z475" s="282">
        <f t="shared" si="150"/>
        <v>0</v>
      </c>
      <c r="AA475" s="282">
        <f>Q475*Z475</f>
        <v>0</v>
      </c>
      <c r="AB475" s="812">
        <v>6</v>
      </c>
      <c r="AC475" s="279">
        <f>Z475*AB475</f>
        <v>0</v>
      </c>
      <c r="AD475" s="209"/>
      <c r="AE475" s="210"/>
      <c r="AF475" s="210"/>
      <c r="AG475" s="211">
        <f t="shared" ref="AG475:AG516" si="155">MID(O475,1,3)/1000</f>
        <v>0.63</v>
      </c>
      <c r="AH475" s="157">
        <f t="shared" si="153"/>
        <v>0</v>
      </c>
      <c r="AI475" s="152">
        <f t="shared" si="148"/>
        <v>2460</v>
      </c>
      <c r="AK475" s="156" t="s">
        <v>691</v>
      </c>
      <c r="AL475" s="156" t="s">
        <v>689</v>
      </c>
      <c r="AM475" s="198">
        <f t="shared" si="154"/>
        <v>0</v>
      </c>
      <c r="AN475" s="199">
        <f t="shared" si="146"/>
        <v>45372</v>
      </c>
      <c r="AO475" s="159" t="s">
        <v>692</v>
      </c>
      <c r="AP475" s="783" t="s">
        <v>620</v>
      </c>
      <c r="AQ475" s="782" t="s">
        <v>549</v>
      </c>
      <c r="AR475" s="782">
        <v>12055234</v>
      </c>
      <c r="AS475" s="781"/>
      <c r="AT475" s="782"/>
      <c r="AU475" s="782"/>
      <c r="AV475" s="782">
        <v>12062809</v>
      </c>
      <c r="AW475" s="782"/>
      <c r="AX475" s="782" t="s">
        <v>619</v>
      </c>
      <c r="AY475" s="781"/>
      <c r="AZ475" s="781"/>
      <c r="BA475" s="781"/>
    </row>
    <row r="476" spans="1:53" ht="25" hidden="1" customHeight="1">
      <c r="A476" s="142" t="s">
        <v>120</v>
      </c>
      <c r="B476" s="546">
        <v>45372</v>
      </c>
      <c r="C476" s="547">
        <v>45391</v>
      </c>
      <c r="D476" s="185">
        <f t="shared" si="144"/>
        <v>2024</v>
      </c>
      <c r="E476" s="547" t="str">
        <f>VLOOKUP($B476,Week!$A$1:$C$1462,2,0)</f>
        <v>Week12</v>
      </c>
      <c r="F476" s="548" t="str">
        <f t="shared" si="145"/>
        <v>Mar</v>
      </c>
      <c r="G476" s="549" t="s">
        <v>1034</v>
      </c>
      <c r="H476" s="549" t="s">
        <v>431</v>
      </c>
      <c r="I476" s="549" t="s">
        <v>2772</v>
      </c>
      <c r="J476" s="550" t="s">
        <v>432</v>
      </c>
      <c r="K476" s="551" t="s">
        <v>85</v>
      </c>
      <c r="L476" s="390" t="s">
        <v>2166</v>
      </c>
      <c r="M476" s="550" t="s">
        <v>86</v>
      </c>
      <c r="N476" s="549" t="s">
        <v>550</v>
      </c>
      <c r="O476" s="549" t="s">
        <v>548</v>
      </c>
      <c r="P476" s="552">
        <v>10</v>
      </c>
      <c r="Q476" s="552">
        <v>50</v>
      </c>
      <c r="R476" s="553">
        <v>8.1300000000000001E-3</v>
      </c>
      <c r="S476" s="549" t="s">
        <v>40</v>
      </c>
      <c r="T476" s="549" t="s">
        <v>112</v>
      </c>
      <c r="U476" s="549" t="s">
        <v>89</v>
      </c>
      <c r="V476" s="554">
        <v>240</v>
      </c>
      <c r="W476" s="554">
        <f>230</f>
        <v>230</v>
      </c>
      <c r="X476" s="555">
        <f>100/10</f>
        <v>10</v>
      </c>
      <c r="Y476" s="556">
        <f t="shared" si="149"/>
        <v>0</v>
      </c>
      <c r="Z476" s="557">
        <f t="shared" si="150"/>
        <v>0</v>
      </c>
      <c r="AA476" s="557">
        <f>Q476*Z476</f>
        <v>0</v>
      </c>
      <c r="AB476" s="833">
        <v>6</v>
      </c>
      <c r="AC476" s="554">
        <f>Z476*AB476</f>
        <v>0</v>
      </c>
      <c r="AD476" s="209"/>
      <c r="AE476" s="210"/>
      <c r="AF476" s="210"/>
      <c r="AG476" s="211">
        <f t="shared" si="155"/>
        <v>0.63</v>
      </c>
      <c r="AH476" s="157">
        <f t="shared" si="153"/>
        <v>0</v>
      </c>
      <c r="AI476" s="152">
        <f t="shared" si="148"/>
        <v>2400</v>
      </c>
      <c r="AK476" s="156" t="s">
        <v>691</v>
      </c>
      <c r="AL476" s="156" t="s">
        <v>689</v>
      </c>
      <c r="AM476" s="198">
        <f t="shared" si="154"/>
        <v>0</v>
      </c>
      <c r="AN476" s="199">
        <f t="shared" si="146"/>
        <v>45372</v>
      </c>
      <c r="AO476" s="159" t="s">
        <v>692</v>
      </c>
      <c r="AP476" s="783" t="s">
        <v>618</v>
      </c>
      <c r="AQ476" s="782" t="s">
        <v>549</v>
      </c>
      <c r="AR476" s="796" t="s">
        <v>529</v>
      </c>
      <c r="AS476" s="782"/>
      <c r="AT476" s="796" t="s">
        <v>551</v>
      </c>
      <c r="AU476" s="781"/>
      <c r="AV476" s="796" t="s">
        <v>552</v>
      </c>
      <c r="AW476" s="782"/>
      <c r="AX476" s="782" t="s">
        <v>93</v>
      </c>
      <c r="AY476" s="782"/>
      <c r="AZ476" s="782"/>
      <c r="BA476" s="781"/>
    </row>
    <row r="477" spans="1:53" ht="25" hidden="1" customHeight="1">
      <c r="B477" s="213">
        <v>45373</v>
      </c>
      <c r="C477" s="578">
        <v>45378</v>
      </c>
      <c r="D477" s="185">
        <f t="shared" si="144"/>
        <v>2024</v>
      </c>
      <c r="E477" s="215" t="str">
        <f>VLOOKUP($B477,Week!$A$1:$C$1462,2,0)</f>
        <v>Week12</v>
      </c>
      <c r="F477" s="216" t="str">
        <f t="shared" si="145"/>
        <v>Mar</v>
      </c>
      <c r="G477" s="215" t="s">
        <v>982</v>
      </c>
      <c r="H477" s="215" t="s">
        <v>104</v>
      </c>
      <c r="I477" s="215" t="s">
        <v>2772</v>
      </c>
      <c r="J477" s="209" t="s">
        <v>105</v>
      </c>
      <c r="K477" s="217" t="s">
        <v>107</v>
      </c>
      <c r="L477" s="300" t="s">
        <v>2167</v>
      </c>
      <c r="M477" s="209" t="s">
        <v>108</v>
      </c>
      <c r="N477" s="215" t="s">
        <v>109</v>
      </c>
      <c r="O477" s="215" t="s">
        <v>110</v>
      </c>
      <c r="P477" s="218">
        <v>36</v>
      </c>
      <c r="Q477" s="218">
        <v>5</v>
      </c>
      <c r="R477" s="219">
        <v>7.4999999999999997E-3</v>
      </c>
      <c r="S477" s="215" t="s">
        <v>111</v>
      </c>
      <c r="T477" s="215" t="s">
        <v>112</v>
      </c>
      <c r="U477" s="215" t="s">
        <v>113</v>
      </c>
      <c r="V477" s="220">
        <f>792-245</f>
        <v>547</v>
      </c>
      <c r="W477" s="220">
        <f>792-245</f>
        <v>547</v>
      </c>
      <c r="X477" s="221"/>
      <c r="Y477" s="222">
        <f t="shared" si="149"/>
        <v>0</v>
      </c>
      <c r="Z477" s="223">
        <f t="shared" si="150"/>
        <v>0</v>
      </c>
      <c r="AA477" s="223"/>
      <c r="AB477" s="807"/>
      <c r="AC477" s="220"/>
      <c r="AD477" s="209"/>
      <c r="AE477" s="210"/>
      <c r="AF477" s="210"/>
      <c r="AG477" s="211">
        <f t="shared" si="155"/>
        <v>0.308</v>
      </c>
      <c r="AH477" s="157">
        <f t="shared" si="153"/>
        <v>0</v>
      </c>
      <c r="AI477" s="152">
        <f t="shared" si="148"/>
        <v>19692</v>
      </c>
      <c r="AK477" s="156" t="s">
        <v>691</v>
      </c>
      <c r="AL477" s="574" t="s">
        <v>690</v>
      </c>
      <c r="AM477" s="198">
        <f>AG477*Z477</f>
        <v>0</v>
      </c>
      <c r="AN477" s="199">
        <f t="shared" si="146"/>
        <v>45373</v>
      </c>
      <c r="AO477" s="159" t="s">
        <v>692</v>
      </c>
      <c r="AP477" s="781"/>
      <c r="AQ477" s="782">
        <v>12063755</v>
      </c>
      <c r="AR477" s="782">
        <v>12061353</v>
      </c>
      <c r="AS477" s="782">
        <v>12061354</v>
      </c>
      <c r="AT477" s="782">
        <v>12068566</v>
      </c>
      <c r="AU477" s="781"/>
      <c r="AV477" s="782">
        <v>12068564</v>
      </c>
      <c r="AW477" s="782">
        <v>12062153</v>
      </c>
      <c r="AX477" s="782"/>
      <c r="AY477" s="782">
        <v>12068565</v>
      </c>
      <c r="AZ477" s="782"/>
      <c r="BA477" s="781"/>
    </row>
    <row r="478" spans="1:53" ht="25" hidden="1" customHeight="1">
      <c r="B478" s="213">
        <v>45373</v>
      </c>
      <c r="C478" s="578">
        <v>45378</v>
      </c>
      <c r="D478" s="185">
        <f t="shared" si="144"/>
        <v>2024</v>
      </c>
      <c r="E478" s="215" t="str">
        <f>VLOOKUP($B478,Week!$A$1:$C$1462,2,0)</f>
        <v>Week12</v>
      </c>
      <c r="F478" s="216" t="str">
        <f t="shared" si="145"/>
        <v>Mar</v>
      </c>
      <c r="G478" s="215" t="s">
        <v>983</v>
      </c>
      <c r="H478" s="215" t="s">
        <v>104</v>
      </c>
      <c r="I478" s="215" t="s">
        <v>2772</v>
      </c>
      <c r="J478" s="209" t="s">
        <v>105</v>
      </c>
      <c r="K478" s="217" t="s">
        <v>107</v>
      </c>
      <c r="L478" s="300" t="s">
        <v>2167</v>
      </c>
      <c r="M478" s="209" t="s">
        <v>108</v>
      </c>
      <c r="N478" s="215" t="s">
        <v>109</v>
      </c>
      <c r="O478" s="215" t="s">
        <v>110</v>
      </c>
      <c r="P478" s="218">
        <v>36</v>
      </c>
      <c r="Q478" s="218">
        <v>5</v>
      </c>
      <c r="R478" s="219">
        <v>7.4999999999999997E-3</v>
      </c>
      <c r="S478" s="215" t="s">
        <v>111</v>
      </c>
      <c r="T478" s="215" t="s">
        <v>112</v>
      </c>
      <c r="U478" s="215" t="s">
        <v>113</v>
      </c>
      <c r="V478" s="220">
        <v>792</v>
      </c>
      <c r="W478" s="220">
        <v>792</v>
      </c>
      <c r="X478" s="221"/>
      <c r="Y478" s="222">
        <f t="shared" si="149"/>
        <v>0</v>
      </c>
      <c r="Z478" s="223">
        <f t="shared" si="150"/>
        <v>0</v>
      </c>
      <c r="AA478" s="223"/>
      <c r="AB478" s="807"/>
      <c r="AC478" s="220"/>
      <c r="AD478" s="209"/>
      <c r="AE478" s="210"/>
      <c r="AF478" s="210"/>
      <c r="AG478" s="211">
        <f t="shared" si="155"/>
        <v>0.308</v>
      </c>
      <c r="AH478" s="157">
        <f t="shared" si="153"/>
        <v>0</v>
      </c>
      <c r="AI478" s="152">
        <f t="shared" si="148"/>
        <v>28512</v>
      </c>
      <c r="AK478" s="156" t="s">
        <v>691</v>
      </c>
      <c r="AL478" s="574" t="s">
        <v>690</v>
      </c>
      <c r="AM478" s="198">
        <f>AG478*Z478</f>
        <v>0</v>
      </c>
      <c r="AN478" s="199">
        <f t="shared" si="146"/>
        <v>45373</v>
      </c>
      <c r="AO478" s="159" t="s">
        <v>692</v>
      </c>
      <c r="AP478" s="781"/>
      <c r="AQ478" s="782">
        <v>12063755</v>
      </c>
      <c r="AR478" s="782">
        <v>12061353</v>
      </c>
      <c r="AS478" s="782">
        <v>12061354</v>
      </c>
      <c r="AT478" s="782">
        <v>12068566</v>
      </c>
      <c r="AU478" s="781"/>
      <c r="AV478" s="782">
        <v>12068564</v>
      </c>
      <c r="AW478" s="782">
        <v>12062153</v>
      </c>
      <c r="AX478" s="782"/>
      <c r="AY478" s="782">
        <v>12068565</v>
      </c>
      <c r="AZ478" s="782"/>
      <c r="BA478" s="781"/>
    </row>
    <row r="479" spans="1:53" ht="25" hidden="1" customHeight="1">
      <c r="B479" s="213">
        <v>45373</v>
      </c>
      <c r="C479" s="578">
        <v>45378</v>
      </c>
      <c r="D479" s="185">
        <f t="shared" si="144"/>
        <v>2024</v>
      </c>
      <c r="E479" s="215" t="str">
        <f>VLOOKUP($B479,Week!$A$1:$C$1462,2,0)</f>
        <v>Week12</v>
      </c>
      <c r="F479" s="216" t="str">
        <f t="shared" si="145"/>
        <v>Mar</v>
      </c>
      <c r="G479" s="215" t="s">
        <v>984</v>
      </c>
      <c r="H479" s="215" t="s">
        <v>104</v>
      </c>
      <c r="I479" s="215" t="s">
        <v>2772</v>
      </c>
      <c r="J479" s="209" t="s">
        <v>105</v>
      </c>
      <c r="K479" s="217" t="s">
        <v>107</v>
      </c>
      <c r="L479" s="300" t="s">
        <v>2167</v>
      </c>
      <c r="M479" s="209" t="s">
        <v>108</v>
      </c>
      <c r="N479" s="215" t="s">
        <v>109</v>
      </c>
      <c r="O479" s="215" t="s">
        <v>110</v>
      </c>
      <c r="P479" s="218">
        <v>36</v>
      </c>
      <c r="Q479" s="218">
        <v>5</v>
      </c>
      <c r="R479" s="219">
        <v>7.4999999999999997E-3</v>
      </c>
      <c r="S479" s="215" t="s">
        <v>111</v>
      </c>
      <c r="T479" s="215" t="s">
        <v>112</v>
      </c>
      <c r="U479" s="215" t="s">
        <v>113</v>
      </c>
      <c r="V479" s="220">
        <v>792</v>
      </c>
      <c r="W479" s="220">
        <v>792</v>
      </c>
      <c r="X479" s="221"/>
      <c r="Y479" s="222">
        <f t="shared" si="149"/>
        <v>0</v>
      </c>
      <c r="Z479" s="223">
        <f t="shared" si="150"/>
        <v>0</v>
      </c>
      <c r="AA479" s="223"/>
      <c r="AB479" s="807"/>
      <c r="AC479" s="220"/>
      <c r="AD479" s="209"/>
      <c r="AE479" s="210"/>
      <c r="AF479" s="210"/>
      <c r="AG479" s="211">
        <f t="shared" si="155"/>
        <v>0.308</v>
      </c>
      <c r="AH479" s="157">
        <f t="shared" si="153"/>
        <v>0</v>
      </c>
      <c r="AI479" s="152">
        <f t="shared" si="148"/>
        <v>28512</v>
      </c>
      <c r="AK479" s="156" t="s">
        <v>691</v>
      </c>
      <c r="AL479" s="574" t="s">
        <v>690</v>
      </c>
      <c r="AM479" s="198">
        <f t="shared" si="154"/>
        <v>0</v>
      </c>
      <c r="AN479" s="199">
        <f t="shared" si="146"/>
        <v>45373</v>
      </c>
      <c r="AO479" s="159" t="s">
        <v>692</v>
      </c>
      <c r="AP479" s="781"/>
      <c r="AQ479" s="782">
        <v>12063755</v>
      </c>
      <c r="AR479" s="782">
        <v>12061353</v>
      </c>
      <c r="AS479" s="782">
        <v>12061354</v>
      </c>
      <c r="AT479" s="782">
        <v>12068566</v>
      </c>
      <c r="AU479" s="781"/>
      <c r="AV479" s="782">
        <v>12068564</v>
      </c>
      <c r="AW479" s="782">
        <v>12062153</v>
      </c>
      <c r="AX479" s="782"/>
      <c r="AY479" s="782">
        <v>12068565</v>
      </c>
      <c r="AZ479" s="782"/>
      <c r="BA479" s="781"/>
    </row>
    <row r="480" spans="1:53" ht="25" hidden="1" customHeight="1">
      <c r="B480" s="213">
        <v>45373</v>
      </c>
      <c r="C480" s="578">
        <v>45378</v>
      </c>
      <c r="D480" s="185">
        <f t="shared" si="144"/>
        <v>2024</v>
      </c>
      <c r="E480" s="215" t="str">
        <f>VLOOKUP($B480,Week!$A$1:$C$1462,2,0)</f>
        <v>Week12</v>
      </c>
      <c r="F480" s="216" t="str">
        <f t="shared" si="145"/>
        <v>Mar</v>
      </c>
      <c r="G480" s="215" t="s">
        <v>1308</v>
      </c>
      <c r="H480" s="215" t="s">
        <v>104</v>
      </c>
      <c r="I480" s="215" t="s">
        <v>2772</v>
      </c>
      <c r="J480" s="209" t="s">
        <v>105</v>
      </c>
      <c r="K480" s="217" t="s">
        <v>107</v>
      </c>
      <c r="L480" s="300" t="s">
        <v>2167</v>
      </c>
      <c r="M480" s="209" t="s">
        <v>108</v>
      </c>
      <c r="N480" s="215" t="s">
        <v>109</v>
      </c>
      <c r="O480" s="215" t="s">
        <v>110</v>
      </c>
      <c r="P480" s="218">
        <v>36</v>
      </c>
      <c r="Q480" s="218">
        <v>5</v>
      </c>
      <c r="R480" s="219">
        <v>7.4999999999999997E-3</v>
      </c>
      <c r="S480" s="215" t="s">
        <v>111</v>
      </c>
      <c r="T480" s="215" t="s">
        <v>112</v>
      </c>
      <c r="U480" s="215" t="s">
        <v>113</v>
      </c>
      <c r="V480" s="220">
        <f>2898-547-792-792</f>
        <v>767</v>
      </c>
      <c r="W480" s="220">
        <f>2898-547-792-792</f>
        <v>767</v>
      </c>
      <c r="X480" s="221"/>
      <c r="Y480" s="222">
        <f t="shared" si="149"/>
        <v>0</v>
      </c>
      <c r="Z480" s="223">
        <f t="shared" si="150"/>
        <v>0</v>
      </c>
      <c r="AA480" s="223"/>
      <c r="AB480" s="807"/>
      <c r="AC480" s="220"/>
      <c r="AD480" s="209"/>
      <c r="AE480" s="210"/>
      <c r="AF480" s="210"/>
      <c r="AG480" s="211">
        <f t="shared" si="155"/>
        <v>0.308</v>
      </c>
      <c r="AH480" s="157">
        <f t="shared" si="153"/>
        <v>0</v>
      </c>
      <c r="AI480" s="152">
        <f t="shared" si="148"/>
        <v>27612</v>
      </c>
      <c r="AK480" s="156" t="s">
        <v>691</v>
      </c>
      <c r="AL480" s="574" t="s">
        <v>690</v>
      </c>
      <c r="AM480" s="198">
        <f>AG480*Z480</f>
        <v>0</v>
      </c>
      <c r="AN480" s="199">
        <f t="shared" si="146"/>
        <v>45373</v>
      </c>
      <c r="AO480" s="159" t="s">
        <v>692</v>
      </c>
      <c r="AP480" s="781"/>
      <c r="AQ480" s="782">
        <v>12063755</v>
      </c>
      <c r="AR480" s="782">
        <v>12061353</v>
      </c>
      <c r="AS480" s="782">
        <v>12061354</v>
      </c>
      <c r="AT480" s="782">
        <v>12068566</v>
      </c>
      <c r="AU480" s="781"/>
      <c r="AV480" s="782">
        <v>12068564</v>
      </c>
      <c r="AW480" s="782">
        <v>12062153</v>
      </c>
      <c r="AX480" s="782"/>
      <c r="AY480" s="782">
        <v>12068565</v>
      </c>
      <c r="AZ480" s="782"/>
      <c r="BA480" s="781"/>
    </row>
    <row r="481" spans="1:53" ht="25" hidden="1" customHeight="1">
      <c r="A481" s="142" t="s">
        <v>120</v>
      </c>
      <c r="B481" s="546">
        <v>45373</v>
      </c>
      <c r="C481" s="547">
        <v>45391</v>
      </c>
      <c r="D481" s="185">
        <f t="shared" si="144"/>
        <v>2024</v>
      </c>
      <c r="E481" s="547" t="str">
        <f>VLOOKUP($B481,Week!$A$1:$C$1462,2,0)</f>
        <v>Week12</v>
      </c>
      <c r="F481" s="548" t="str">
        <f t="shared" si="145"/>
        <v>Mar</v>
      </c>
      <c r="G481" s="549" t="s">
        <v>1034</v>
      </c>
      <c r="H481" s="549" t="s">
        <v>431</v>
      </c>
      <c r="I481" s="549" t="s">
        <v>2772</v>
      </c>
      <c r="J481" s="550" t="s">
        <v>432</v>
      </c>
      <c r="K481" s="551" t="s">
        <v>85</v>
      </c>
      <c r="L481" s="390" t="s">
        <v>2166</v>
      </c>
      <c r="M481" s="550" t="s">
        <v>86</v>
      </c>
      <c r="N481" s="549" t="s">
        <v>550</v>
      </c>
      <c r="O481" s="549" t="s">
        <v>548</v>
      </c>
      <c r="P481" s="552">
        <v>10</v>
      </c>
      <c r="Q481" s="552">
        <v>50</v>
      </c>
      <c r="R481" s="553">
        <v>8.1300000000000001E-3</v>
      </c>
      <c r="S481" s="549" t="s">
        <v>40</v>
      </c>
      <c r="T481" s="549" t="s">
        <v>112</v>
      </c>
      <c r="U481" s="549" t="s">
        <v>89</v>
      </c>
      <c r="V481" s="554">
        <f>500-240</f>
        <v>260</v>
      </c>
      <c r="W481" s="554">
        <f>221</f>
        <v>221</v>
      </c>
      <c r="X481" s="555">
        <f>390/10</f>
        <v>39</v>
      </c>
      <c r="Y481" s="556">
        <f t="shared" si="149"/>
        <v>0</v>
      </c>
      <c r="Z481" s="557">
        <f t="shared" si="150"/>
        <v>0</v>
      </c>
      <c r="AA481" s="557">
        <f>Q481*Z481</f>
        <v>0</v>
      </c>
      <c r="AB481" s="833">
        <v>6</v>
      </c>
      <c r="AC481" s="554">
        <f>Z481*AB481</f>
        <v>0</v>
      </c>
      <c r="AD481" s="209"/>
      <c r="AE481" s="210"/>
      <c r="AF481" s="210"/>
      <c r="AG481" s="211">
        <f t="shared" si="155"/>
        <v>0.63</v>
      </c>
      <c r="AH481" s="157">
        <f t="shared" ref="AH481:AH489" si="156">(Z481*AG481)/1000</f>
        <v>0</v>
      </c>
      <c r="AI481" s="152">
        <f t="shared" si="148"/>
        <v>2600</v>
      </c>
      <c r="AK481" s="156" t="s">
        <v>691</v>
      </c>
      <c r="AL481" s="156" t="s">
        <v>689</v>
      </c>
      <c r="AM481" s="198">
        <f t="shared" si="154"/>
        <v>0</v>
      </c>
      <c r="AN481" s="199">
        <f t="shared" si="146"/>
        <v>45373</v>
      </c>
      <c r="AO481" s="159" t="s">
        <v>692</v>
      </c>
      <c r="AP481" s="783" t="s">
        <v>618</v>
      </c>
      <c r="AQ481" s="782" t="s">
        <v>549</v>
      </c>
      <c r="AR481" s="796" t="s">
        <v>529</v>
      </c>
      <c r="AS481" s="782"/>
      <c r="AT481" s="796" t="s">
        <v>551</v>
      </c>
      <c r="AU481" s="781"/>
      <c r="AV481" s="796" t="s">
        <v>552</v>
      </c>
      <c r="AW481" s="782"/>
      <c r="AX481" s="782" t="s">
        <v>93</v>
      </c>
      <c r="AY481" s="782"/>
      <c r="AZ481" s="782"/>
      <c r="BA481" s="781"/>
    </row>
    <row r="482" spans="1:53" ht="25" hidden="1" customHeight="1">
      <c r="A482" s="142" t="s">
        <v>120</v>
      </c>
      <c r="B482" s="466">
        <v>45373</v>
      </c>
      <c r="C482" s="467">
        <v>45387</v>
      </c>
      <c r="D482" s="185">
        <f t="shared" si="144"/>
        <v>2024</v>
      </c>
      <c r="E482" s="468" t="str">
        <f>VLOOKUP($B482,Week!$A$1:$C$1462,2,0)</f>
        <v>Week12</v>
      </c>
      <c r="F482" s="469" t="str">
        <f t="shared" si="145"/>
        <v>Mar</v>
      </c>
      <c r="G482" s="470" t="s">
        <v>1019</v>
      </c>
      <c r="H482" s="468" t="s">
        <v>82</v>
      </c>
      <c r="I482" s="468" t="s">
        <v>82</v>
      </c>
      <c r="J482" s="471" t="s">
        <v>720</v>
      </c>
      <c r="K482" s="472" t="s">
        <v>85</v>
      </c>
      <c r="L482" s="390" t="s">
        <v>2166</v>
      </c>
      <c r="M482" s="471" t="s">
        <v>579</v>
      </c>
      <c r="N482" s="468" t="s">
        <v>580</v>
      </c>
      <c r="O482" s="468" t="s">
        <v>581</v>
      </c>
      <c r="P482" s="473">
        <v>8</v>
      </c>
      <c r="Q482" s="473">
        <v>60</v>
      </c>
      <c r="R482" s="474">
        <v>6.8100000000000001E-3</v>
      </c>
      <c r="S482" s="468" t="s">
        <v>76</v>
      </c>
      <c r="T482" s="468" t="s">
        <v>56</v>
      </c>
      <c r="U482" s="468" t="s">
        <v>89</v>
      </c>
      <c r="V482" s="475">
        <v>286</v>
      </c>
      <c r="W482" s="475">
        <f>238</f>
        <v>238</v>
      </c>
      <c r="X482" s="476">
        <f>(384)/8</f>
        <v>48</v>
      </c>
      <c r="Y482" s="477">
        <f t="shared" si="149"/>
        <v>0</v>
      </c>
      <c r="Z482" s="478">
        <f t="shared" si="150"/>
        <v>0</v>
      </c>
      <c r="AA482" s="478">
        <f>Q482*Z482</f>
        <v>0</v>
      </c>
      <c r="AB482" s="828">
        <v>6</v>
      </c>
      <c r="AC482" s="475">
        <f>Z482*AB482</f>
        <v>0</v>
      </c>
      <c r="AD482" s="209"/>
      <c r="AE482" s="210"/>
      <c r="AF482" s="210"/>
      <c r="AG482" s="211">
        <f t="shared" si="155"/>
        <v>0.75</v>
      </c>
      <c r="AH482" s="157">
        <f t="shared" si="156"/>
        <v>0</v>
      </c>
      <c r="AI482" s="152">
        <f t="shared" si="148"/>
        <v>2288</v>
      </c>
      <c r="AK482" s="156" t="s">
        <v>691</v>
      </c>
      <c r="AL482" s="156" t="s">
        <v>689</v>
      </c>
      <c r="AM482" s="198">
        <f t="shared" si="154"/>
        <v>0</v>
      </c>
      <c r="AN482" s="199">
        <f t="shared" si="146"/>
        <v>45373</v>
      </c>
      <c r="AO482" s="159" t="s">
        <v>692</v>
      </c>
      <c r="AP482" s="783" t="s">
        <v>622</v>
      </c>
      <c r="AQ482" s="782">
        <v>12004862</v>
      </c>
      <c r="AR482" s="782">
        <v>12080753</v>
      </c>
      <c r="AS482" s="782"/>
      <c r="AT482" s="782">
        <v>12082897</v>
      </c>
      <c r="AU482" s="781"/>
      <c r="AV482" s="782">
        <v>12082898</v>
      </c>
      <c r="AW482" s="782">
        <v>12082899</v>
      </c>
      <c r="AX482" s="796" t="s">
        <v>621</v>
      </c>
      <c r="AY482" s="782"/>
      <c r="AZ482" s="782"/>
      <c r="BA482" s="781"/>
    </row>
    <row r="483" spans="1:53" ht="25" hidden="1" customHeight="1">
      <c r="B483" s="213">
        <v>45374</v>
      </c>
      <c r="C483" s="578">
        <v>45377</v>
      </c>
      <c r="D483" s="185">
        <f t="shared" si="144"/>
        <v>2024</v>
      </c>
      <c r="E483" s="215" t="str">
        <f>VLOOKUP($B483,Week!$A$1:$C$1462,2,0)</f>
        <v>Week12</v>
      </c>
      <c r="F483" s="216" t="str">
        <f t="shared" si="145"/>
        <v>Mar</v>
      </c>
      <c r="G483" s="215" t="s">
        <v>1308</v>
      </c>
      <c r="H483" s="215" t="s">
        <v>104</v>
      </c>
      <c r="I483" s="215" t="s">
        <v>2772</v>
      </c>
      <c r="J483" s="209" t="s">
        <v>105</v>
      </c>
      <c r="K483" s="217" t="s">
        <v>107</v>
      </c>
      <c r="L483" s="300" t="s">
        <v>2167</v>
      </c>
      <c r="M483" s="209" t="s">
        <v>108</v>
      </c>
      <c r="N483" s="215" t="s">
        <v>109</v>
      </c>
      <c r="O483" s="215" t="s">
        <v>110</v>
      </c>
      <c r="P483" s="218">
        <v>36</v>
      </c>
      <c r="Q483" s="218">
        <v>5</v>
      </c>
      <c r="R483" s="219">
        <v>7.4999999999999997E-3</v>
      </c>
      <c r="S483" s="215" t="s">
        <v>111</v>
      </c>
      <c r="T483" s="215" t="s">
        <v>112</v>
      </c>
      <c r="U483" s="215" t="s">
        <v>113</v>
      </c>
      <c r="V483" s="220">
        <f>792-767</f>
        <v>25</v>
      </c>
      <c r="W483" s="220">
        <f>792-767</f>
        <v>25</v>
      </c>
      <c r="X483" s="221"/>
      <c r="Y483" s="222">
        <f t="shared" si="149"/>
        <v>0</v>
      </c>
      <c r="Z483" s="223">
        <f t="shared" si="150"/>
        <v>0</v>
      </c>
      <c r="AA483" s="223"/>
      <c r="AB483" s="807"/>
      <c r="AC483" s="220"/>
      <c r="AD483" s="209"/>
      <c r="AE483" s="210"/>
      <c r="AF483" s="210"/>
      <c r="AG483" s="211">
        <f t="shared" si="155"/>
        <v>0.308</v>
      </c>
      <c r="AH483" s="157">
        <f>(Z483*AG483)/1000</f>
        <v>0</v>
      </c>
      <c r="AI483" s="152">
        <f t="shared" si="148"/>
        <v>900</v>
      </c>
      <c r="AK483" s="156" t="s">
        <v>691</v>
      </c>
      <c r="AL483" s="574" t="s">
        <v>690</v>
      </c>
      <c r="AM483" s="198">
        <f>AG483*Z483</f>
        <v>0</v>
      </c>
      <c r="AN483" s="199">
        <f t="shared" si="146"/>
        <v>45374</v>
      </c>
      <c r="AO483" s="159" t="s">
        <v>692</v>
      </c>
      <c r="AP483" s="781"/>
      <c r="AQ483" s="782">
        <v>12063755</v>
      </c>
      <c r="AR483" s="782">
        <v>12061353</v>
      </c>
      <c r="AS483" s="782">
        <v>12061354</v>
      </c>
      <c r="AT483" s="782">
        <v>12068566</v>
      </c>
      <c r="AU483" s="781"/>
      <c r="AV483" s="782">
        <v>12068564</v>
      </c>
      <c r="AW483" s="782">
        <v>12062153</v>
      </c>
      <c r="AX483" s="782"/>
      <c r="AY483" s="782">
        <v>12068565</v>
      </c>
      <c r="AZ483" s="782"/>
      <c r="BA483" s="781"/>
    </row>
    <row r="484" spans="1:53" ht="25" hidden="1" customHeight="1">
      <c r="B484" s="213">
        <v>45374</v>
      </c>
      <c r="C484" s="578">
        <v>45377</v>
      </c>
      <c r="D484" s="185">
        <f t="shared" si="144"/>
        <v>2024</v>
      </c>
      <c r="E484" s="215" t="str">
        <f>VLOOKUP($B484,Week!$A$1:$C$1462,2,0)</f>
        <v>Week12</v>
      </c>
      <c r="F484" s="216" t="str">
        <f t="shared" si="145"/>
        <v>Mar</v>
      </c>
      <c r="G484" s="215" t="s">
        <v>985</v>
      </c>
      <c r="H484" s="215" t="s">
        <v>104</v>
      </c>
      <c r="I484" s="215" t="s">
        <v>2772</v>
      </c>
      <c r="J484" s="209" t="s">
        <v>105</v>
      </c>
      <c r="K484" s="217" t="s">
        <v>107</v>
      </c>
      <c r="L484" s="300" t="s">
        <v>2167</v>
      </c>
      <c r="M484" s="209" t="s">
        <v>108</v>
      </c>
      <c r="N484" s="215" t="s">
        <v>109</v>
      </c>
      <c r="O484" s="215" t="s">
        <v>110</v>
      </c>
      <c r="P484" s="218">
        <v>36</v>
      </c>
      <c r="Q484" s="218">
        <v>5</v>
      </c>
      <c r="R484" s="219">
        <v>7.4999999999999997E-3</v>
      </c>
      <c r="S484" s="215" t="s">
        <v>111</v>
      </c>
      <c r="T484" s="215" t="s">
        <v>112</v>
      </c>
      <c r="U484" s="215" t="s">
        <v>113</v>
      </c>
      <c r="V484" s="220">
        <v>792</v>
      </c>
      <c r="W484" s="220">
        <v>792</v>
      </c>
      <c r="X484" s="221"/>
      <c r="Y484" s="222">
        <f t="shared" si="149"/>
        <v>0</v>
      </c>
      <c r="Z484" s="223">
        <f t="shared" si="150"/>
        <v>0</v>
      </c>
      <c r="AA484" s="223"/>
      <c r="AB484" s="807"/>
      <c r="AC484" s="220"/>
      <c r="AD484" s="209"/>
      <c r="AE484" s="210"/>
      <c r="AF484" s="210"/>
      <c r="AG484" s="211">
        <f t="shared" si="155"/>
        <v>0.308</v>
      </c>
      <c r="AH484" s="157">
        <f>(Z484*AG484)/1000</f>
        <v>0</v>
      </c>
      <c r="AI484" s="152">
        <f t="shared" si="148"/>
        <v>28512</v>
      </c>
      <c r="AK484" s="156" t="s">
        <v>691</v>
      </c>
      <c r="AL484" s="574" t="s">
        <v>690</v>
      </c>
      <c r="AM484" s="198">
        <f>AG484*Z484</f>
        <v>0</v>
      </c>
      <c r="AN484" s="199">
        <f t="shared" si="146"/>
        <v>45374</v>
      </c>
      <c r="AO484" s="159" t="s">
        <v>692</v>
      </c>
      <c r="AP484" s="781"/>
      <c r="AQ484" s="782">
        <v>12063755</v>
      </c>
      <c r="AR484" s="782">
        <v>12061353</v>
      </c>
      <c r="AS484" s="782">
        <v>12061354</v>
      </c>
      <c r="AT484" s="782">
        <v>12068566</v>
      </c>
      <c r="AU484" s="781"/>
      <c r="AV484" s="782">
        <v>12068564</v>
      </c>
      <c r="AW484" s="782">
        <v>12062153</v>
      </c>
      <c r="AX484" s="782"/>
      <c r="AY484" s="782">
        <v>12068565</v>
      </c>
      <c r="AZ484" s="782"/>
      <c r="BA484" s="781"/>
    </row>
    <row r="485" spans="1:53" ht="25" hidden="1" customHeight="1">
      <c r="B485" s="213">
        <v>45374</v>
      </c>
      <c r="C485" s="578">
        <v>45378</v>
      </c>
      <c r="D485" s="185">
        <f t="shared" si="144"/>
        <v>2024</v>
      </c>
      <c r="E485" s="215" t="str">
        <f>VLOOKUP($B485,Week!$A$1:$C$1462,2,0)</f>
        <v>Week12</v>
      </c>
      <c r="F485" s="216" t="str">
        <f t="shared" si="145"/>
        <v>Mar</v>
      </c>
      <c r="G485" s="215" t="s">
        <v>986</v>
      </c>
      <c r="H485" s="215" t="s">
        <v>104</v>
      </c>
      <c r="I485" s="215" t="s">
        <v>2772</v>
      </c>
      <c r="J485" s="209" t="s">
        <v>105</v>
      </c>
      <c r="K485" s="217" t="s">
        <v>107</v>
      </c>
      <c r="L485" s="300" t="s">
        <v>2167</v>
      </c>
      <c r="M485" s="209" t="s">
        <v>108</v>
      </c>
      <c r="N485" s="215" t="s">
        <v>109</v>
      </c>
      <c r="O485" s="215" t="s">
        <v>110</v>
      </c>
      <c r="P485" s="218">
        <v>36</v>
      </c>
      <c r="Q485" s="218">
        <v>5</v>
      </c>
      <c r="R485" s="219">
        <v>7.4999999999999997E-3</v>
      </c>
      <c r="S485" s="215" t="s">
        <v>111</v>
      </c>
      <c r="T485" s="215" t="s">
        <v>112</v>
      </c>
      <c r="U485" s="215" t="s">
        <v>113</v>
      </c>
      <c r="V485" s="220">
        <v>792</v>
      </c>
      <c r="W485" s="220">
        <v>792</v>
      </c>
      <c r="X485" s="221"/>
      <c r="Y485" s="222">
        <f t="shared" si="149"/>
        <v>0</v>
      </c>
      <c r="Z485" s="223">
        <f t="shared" si="150"/>
        <v>0</v>
      </c>
      <c r="AA485" s="223"/>
      <c r="AB485" s="807"/>
      <c r="AC485" s="220"/>
      <c r="AD485" s="209"/>
      <c r="AE485" s="210"/>
      <c r="AF485" s="210"/>
      <c r="AG485" s="211">
        <f t="shared" si="155"/>
        <v>0.308</v>
      </c>
      <c r="AH485" s="157">
        <f>(Z485*AG485)/1000</f>
        <v>0</v>
      </c>
      <c r="AI485" s="152">
        <f t="shared" si="148"/>
        <v>28512</v>
      </c>
      <c r="AK485" s="156" t="s">
        <v>691</v>
      </c>
      <c r="AL485" s="574" t="s">
        <v>690</v>
      </c>
      <c r="AM485" s="198">
        <f>AG485*Z485</f>
        <v>0</v>
      </c>
      <c r="AN485" s="199">
        <f t="shared" si="146"/>
        <v>45374</v>
      </c>
      <c r="AO485" s="159" t="s">
        <v>692</v>
      </c>
      <c r="AP485" s="781"/>
      <c r="AQ485" s="782">
        <v>12063755</v>
      </c>
      <c r="AR485" s="782">
        <v>12061353</v>
      </c>
      <c r="AS485" s="782">
        <v>12061354</v>
      </c>
      <c r="AT485" s="782">
        <v>12068566</v>
      </c>
      <c r="AU485" s="781"/>
      <c r="AV485" s="782">
        <v>12068564</v>
      </c>
      <c r="AW485" s="782">
        <v>12062153</v>
      </c>
      <c r="AX485" s="782"/>
      <c r="AY485" s="782">
        <v>12068565</v>
      </c>
      <c r="AZ485" s="782"/>
      <c r="BA485" s="781"/>
    </row>
    <row r="486" spans="1:53" ht="25" hidden="1" customHeight="1">
      <c r="B486" s="213">
        <v>45374</v>
      </c>
      <c r="C486" s="578">
        <v>45378</v>
      </c>
      <c r="D486" s="185">
        <f t="shared" si="144"/>
        <v>2024</v>
      </c>
      <c r="E486" s="215" t="str">
        <f>VLOOKUP($B486,Week!$A$1:$C$1462,2,0)</f>
        <v>Week12</v>
      </c>
      <c r="F486" s="216" t="str">
        <f t="shared" si="145"/>
        <v>Mar</v>
      </c>
      <c r="G486" s="215" t="s">
        <v>987</v>
      </c>
      <c r="H486" s="215" t="s">
        <v>104</v>
      </c>
      <c r="I486" s="215" t="s">
        <v>2772</v>
      </c>
      <c r="J486" s="209" t="s">
        <v>105</v>
      </c>
      <c r="K486" s="217" t="s">
        <v>107</v>
      </c>
      <c r="L486" s="300" t="s">
        <v>2167</v>
      </c>
      <c r="M486" s="209" t="s">
        <v>108</v>
      </c>
      <c r="N486" s="215" t="s">
        <v>109</v>
      </c>
      <c r="O486" s="215" t="s">
        <v>110</v>
      </c>
      <c r="P486" s="218">
        <v>36</v>
      </c>
      <c r="Q486" s="218">
        <v>5</v>
      </c>
      <c r="R486" s="219">
        <v>7.4999999999999997E-3</v>
      </c>
      <c r="S486" s="215" t="s">
        <v>111</v>
      </c>
      <c r="T486" s="215" t="s">
        <v>112</v>
      </c>
      <c r="U486" s="215" t="s">
        <v>113</v>
      </c>
      <c r="V486" s="220">
        <v>792</v>
      </c>
      <c r="W486" s="220">
        <v>792</v>
      </c>
      <c r="X486" s="221"/>
      <c r="Y486" s="222">
        <f t="shared" si="149"/>
        <v>0</v>
      </c>
      <c r="Z486" s="223">
        <f t="shared" si="150"/>
        <v>0</v>
      </c>
      <c r="AA486" s="223"/>
      <c r="AB486" s="807"/>
      <c r="AC486" s="220"/>
      <c r="AD486" s="209"/>
      <c r="AE486" s="210"/>
      <c r="AF486" s="210"/>
      <c r="AG486" s="211">
        <f t="shared" si="155"/>
        <v>0.308</v>
      </c>
      <c r="AH486" s="157">
        <f t="shared" si="156"/>
        <v>0</v>
      </c>
      <c r="AI486" s="152">
        <f t="shared" si="148"/>
        <v>28512</v>
      </c>
      <c r="AK486" s="156" t="s">
        <v>691</v>
      </c>
      <c r="AL486" s="574" t="s">
        <v>690</v>
      </c>
      <c r="AM486" s="198">
        <f t="shared" si="154"/>
        <v>0</v>
      </c>
      <c r="AN486" s="199">
        <f t="shared" si="146"/>
        <v>45374</v>
      </c>
      <c r="AO486" s="159" t="s">
        <v>692</v>
      </c>
      <c r="AP486" s="781"/>
      <c r="AQ486" s="782">
        <v>12063755</v>
      </c>
      <c r="AR486" s="782">
        <v>12061353</v>
      </c>
      <c r="AS486" s="782">
        <v>12061354</v>
      </c>
      <c r="AT486" s="782">
        <v>12068566</v>
      </c>
      <c r="AU486" s="781"/>
      <c r="AV486" s="782">
        <v>12068564</v>
      </c>
      <c r="AW486" s="782">
        <v>12062153</v>
      </c>
      <c r="AX486" s="782"/>
      <c r="AY486" s="782">
        <v>12068565</v>
      </c>
      <c r="AZ486" s="782"/>
      <c r="BA486" s="781"/>
    </row>
    <row r="487" spans="1:53" ht="25" hidden="1" customHeight="1">
      <c r="B487" s="213">
        <v>45374</v>
      </c>
      <c r="C487" s="578">
        <v>45378</v>
      </c>
      <c r="D487" s="185">
        <f t="shared" si="144"/>
        <v>2024</v>
      </c>
      <c r="E487" s="215" t="str">
        <f>VLOOKUP($B487,Week!$A$1:$C$1462,2,0)</f>
        <v>Week12</v>
      </c>
      <c r="F487" s="216" t="str">
        <f t="shared" si="145"/>
        <v>Mar</v>
      </c>
      <c r="G487" s="215" t="s">
        <v>988</v>
      </c>
      <c r="H487" s="215" t="s">
        <v>104</v>
      </c>
      <c r="I487" s="215" t="s">
        <v>2772</v>
      </c>
      <c r="J487" s="209" t="s">
        <v>105</v>
      </c>
      <c r="K487" s="217" t="s">
        <v>107</v>
      </c>
      <c r="L487" s="300" t="s">
        <v>2167</v>
      </c>
      <c r="M487" s="209" t="s">
        <v>108</v>
      </c>
      <c r="N487" s="215" t="s">
        <v>109</v>
      </c>
      <c r="O487" s="215" t="s">
        <v>110</v>
      </c>
      <c r="P487" s="218">
        <v>36</v>
      </c>
      <c r="Q487" s="218">
        <v>5</v>
      </c>
      <c r="R487" s="219">
        <v>7.4999999999999997E-3</v>
      </c>
      <c r="S487" s="215" t="s">
        <v>111</v>
      </c>
      <c r="T487" s="215" t="s">
        <v>112</v>
      </c>
      <c r="U487" s="215" t="s">
        <v>113</v>
      </c>
      <c r="V487" s="220">
        <v>792</v>
      </c>
      <c r="W487" s="220">
        <v>792</v>
      </c>
      <c r="X487" s="221"/>
      <c r="Y487" s="222">
        <f t="shared" si="149"/>
        <v>0</v>
      </c>
      <c r="Z487" s="223">
        <f t="shared" si="150"/>
        <v>0</v>
      </c>
      <c r="AA487" s="223"/>
      <c r="AB487" s="807"/>
      <c r="AC487" s="220"/>
      <c r="AD487" s="209"/>
      <c r="AE487" s="210"/>
      <c r="AF487" s="210"/>
      <c r="AG487" s="211">
        <f t="shared" si="155"/>
        <v>0.308</v>
      </c>
      <c r="AH487" s="157">
        <f t="shared" si="156"/>
        <v>0</v>
      </c>
      <c r="AI487" s="152">
        <f t="shared" si="148"/>
        <v>28512</v>
      </c>
      <c r="AK487" s="156" t="s">
        <v>691</v>
      </c>
      <c r="AL487" s="574" t="s">
        <v>690</v>
      </c>
      <c r="AM487" s="198">
        <f t="shared" si="154"/>
        <v>0</v>
      </c>
      <c r="AN487" s="199">
        <f t="shared" si="146"/>
        <v>45374</v>
      </c>
      <c r="AO487" s="159" t="s">
        <v>692</v>
      </c>
      <c r="AP487" s="781"/>
      <c r="AQ487" s="782">
        <v>12063755</v>
      </c>
      <c r="AR487" s="782">
        <v>12061353</v>
      </c>
      <c r="AS487" s="782">
        <v>12061354</v>
      </c>
      <c r="AT487" s="782">
        <v>12068566</v>
      </c>
      <c r="AU487" s="781"/>
      <c r="AV487" s="782">
        <v>12068564</v>
      </c>
      <c r="AW487" s="782">
        <v>12062153</v>
      </c>
      <c r="AX487" s="782"/>
      <c r="AY487" s="782">
        <v>12068565</v>
      </c>
      <c r="AZ487" s="782"/>
      <c r="BA487" s="781"/>
    </row>
    <row r="488" spans="1:53" ht="25" hidden="1" customHeight="1">
      <c r="B488" s="213">
        <v>45374</v>
      </c>
      <c r="C488" s="578">
        <v>45379</v>
      </c>
      <c r="D488" s="185">
        <f t="shared" si="144"/>
        <v>2024</v>
      </c>
      <c r="E488" s="215" t="str">
        <f>VLOOKUP($B488,Week!$A$1:$C$1462,2,0)</f>
        <v>Week12</v>
      </c>
      <c r="F488" s="216" t="str">
        <f t="shared" si="145"/>
        <v>Mar</v>
      </c>
      <c r="G488" s="215" t="s">
        <v>989</v>
      </c>
      <c r="H488" s="215" t="s">
        <v>104</v>
      </c>
      <c r="I488" s="215" t="s">
        <v>2772</v>
      </c>
      <c r="J488" s="209" t="s">
        <v>105</v>
      </c>
      <c r="K488" s="217" t="s">
        <v>107</v>
      </c>
      <c r="L488" s="300" t="s">
        <v>2167</v>
      </c>
      <c r="M488" s="209" t="s">
        <v>108</v>
      </c>
      <c r="N488" s="215" t="s">
        <v>109</v>
      </c>
      <c r="O488" s="215" t="s">
        <v>110</v>
      </c>
      <c r="P488" s="218">
        <v>36</v>
      </c>
      <c r="Q488" s="218">
        <v>5</v>
      </c>
      <c r="R488" s="219">
        <v>7.4999999999999997E-3</v>
      </c>
      <c r="S488" s="215" t="s">
        <v>111</v>
      </c>
      <c r="T488" s="215" t="s">
        <v>112</v>
      </c>
      <c r="U488" s="215" t="s">
        <v>113</v>
      </c>
      <c r="V488" s="220">
        <f>3848-25-792-792-792-792</f>
        <v>655</v>
      </c>
      <c r="W488" s="220">
        <f>3848-25-792-792-792-792</f>
        <v>655</v>
      </c>
      <c r="X488" s="221"/>
      <c r="Y488" s="222">
        <f t="shared" si="149"/>
        <v>0</v>
      </c>
      <c r="Z488" s="223">
        <f t="shared" si="150"/>
        <v>0</v>
      </c>
      <c r="AA488" s="223"/>
      <c r="AB488" s="807"/>
      <c r="AC488" s="220"/>
      <c r="AD488" s="209"/>
      <c r="AE488" s="210"/>
      <c r="AF488" s="210"/>
      <c r="AG488" s="211">
        <f t="shared" si="155"/>
        <v>0.308</v>
      </c>
      <c r="AH488" s="157">
        <f t="shared" si="156"/>
        <v>0</v>
      </c>
      <c r="AI488" s="152">
        <f t="shared" si="148"/>
        <v>23580</v>
      </c>
      <c r="AK488" s="156" t="s">
        <v>691</v>
      </c>
      <c r="AL488" s="574" t="s">
        <v>690</v>
      </c>
      <c r="AM488" s="198">
        <f t="shared" si="154"/>
        <v>0</v>
      </c>
      <c r="AN488" s="199">
        <f t="shared" si="146"/>
        <v>45374</v>
      </c>
      <c r="AO488" s="159" t="s">
        <v>692</v>
      </c>
      <c r="AP488" s="781"/>
      <c r="AQ488" s="782">
        <v>12063755</v>
      </c>
      <c r="AR488" s="782">
        <v>12061353</v>
      </c>
      <c r="AS488" s="782">
        <v>12061354</v>
      </c>
      <c r="AT488" s="782">
        <v>12068566</v>
      </c>
      <c r="AU488" s="781"/>
      <c r="AV488" s="782">
        <v>12068564</v>
      </c>
      <c r="AW488" s="782">
        <v>12062153</v>
      </c>
      <c r="AX488" s="782"/>
      <c r="AY488" s="782">
        <v>12068565</v>
      </c>
      <c r="AZ488" s="782"/>
      <c r="BA488" s="781"/>
    </row>
    <row r="489" spans="1:53" ht="25" hidden="1" customHeight="1">
      <c r="A489" s="142" t="s">
        <v>120</v>
      </c>
      <c r="B489" s="466">
        <v>45374</v>
      </c>
      <c r="C489" s="467">
        <v>45387</v>
      </c>
      <c r="D489" s="185">
        <f t="shared" si="144"/>
        <v>2024</v>
      </c>
      <c r="E489" s="468" t="str">
        <f>VLOOKUP($B489,Week!$A$1:$C$1462,2,0)</f>
        <v>Week12</v>
      </c>
      <c r="F489" s="469" t="str">
        <f t="shared" si="145"/>
        <v>Mar</v>
      </c>
      <c r="G489" s="470" t="s">
        <v>1019</v>
      </c>
      <c r="H489" s="468" t="s">
        <v>82</v>
      </c>
      <c r="I489" s="468" t="s">
        <v>82</v>
      </c>
      <c r="J489" s="471" t="s">
        <v>720</v>
      </c>
      <c r="K489" s="472" t="s">
        <v>85</v>
      </c>
      <c r="L489" s="390" t="s">
        <v>2166</v>
      </c>
      <c r="M489" s="471" t="s">
        <v>579</v>
      </c>
      <c r="N489" s="468" t="s">
        <v>580</v>
      </c>
      <c r="O489" s="468" t="s">
        <v>581</v>
      </c>
      <c r="P489" s="473">
        <v>8</v>
      </c>
      <c r="Q489" s="473">
        <v>60</v>
      </c>
      <c r="R489" s="474">
        <v>6.8100000000000001E-3</v>
      </c>
      <c r="S489" s="468" t="s">
        <v>76</v>
      </c>
      <c r="T489" s="468" t="s">
        <v>56</v>
      </c>
      <c r="U489" s="468" t="s">
        <v>89</v>
      </c>
      <c r="V489" s="475">
        <v>539</v>
      </c>
      <c r="W489" s="475">
        <v>539</v>
      </c>
      <c r="X489" s="476"/>
      <c r="Y489" s="477">
        <f t="shared" si="149"/>
        <v>0</v>
      </c>
      <c r="Z489" s="478">
        <f t="shared" si="150"/>
        <v>0</v>
      </c>
      <c r="AA489" s="478">
        <f>Q489*Z489</f>
        <v>0</v>
      </c>
      <c r="AB489" s="828">
        <v>6</v>
      </c>
      <c r="AC489" s="475">
        <f>Z489*AB489</f>
        <v>0</v>
      </c>
      <c r="AD489" s="209"/>
      <c r="AE489" s="210"/>
      <c r="AF489" s="210"/>
      <c r="AG489" s="211">
        <f t="shared" si="155"/>
        <v>0.75</v>
      </c>
      <c r="AH489" s="157">
        <f t="shared" si="156"/>
        <v>0</v>
      </c>
      <c r="AI489" s="152">
        <f t="shared" ref="AI489:AI520" si="157">V489*P489</f>
        <v>4312</v>
      </c>
      <c r="AK489" s="156" t="s">
        <v>691</v>
      </c>
      <c r="AL489" s="156" t="s">
        <v>689</v>
      </c>
      <c r="AM489" s="198">
        <f t="shared" si="154"/>
        <v>0</v>
      </c>
      <c r="AN489" s="199">
        <f t="shared" si="146"/>
        <v>45374</v>
      </c>
      <c r="AO489" s="159" t="s">
        <v>692</v>
      </c>
      <c r="AP489" s="783" t="s">
        <v>622</v>
      </c>
      <c r="AQ489" s="782">
        <v>12004862</v>
      </c>
      <c r="AR489" s="782">
        <v>12080753</v>
      </c>
      <c r="AS489" s="782"/>
      <c r="AT489" s="782">
        <v>12082897</v>
      </c>
      <c r="AU489" s="781"/>
      <c r="AV489" s="782">
        <v>12082898</v>
      </c>
      <c r="AW489" s="782">
        <v>12082899</v>
      </c>
      <c r="AX489" s="796" t="s">
        <v>621</v>
      </c>
      <c r="AY489" s="782"/>
      <c r="AZ489" s="782"/>
      <c r="BA489" s="781"/>
    </row>
    <row r="490" spans="1:53" ht="25" hidden="1" customHeight="1">
      <c r="B490" s="357">
        <v>45375</v>
      </c>
      <c r="C490" s="358">
        <v>45394</v>
      </c>
      <c r="D490" s="185">
        <f t="shared" si="144"/>
        <v>2024</v>
      </c>
      <c r="E490" s="358" t="str">
        <f>VLOOKUP($B490,Week!$A$1:$C$1462,2,0)</f>
        <v>Week12</v>
      </c>
      <c r="F490" s="360" t="str">
        <f t="shared" si="145"/>
        <v>Mar</v>
      </c>
      <c r="G490" s="436" t="s">
        <v>1110</v>
      </c>
      <c r="H490" s="359" t="s">
        <v>225</v>
      </c>
      <c r="I490" s="359" t="s">
        <v>2773</v>
      </c>
      <c r="J490" s="361" t="s">
        <v>650</v>
      </c>
      <c r="K490" s="362" t="s">
        <v>593</v>
      </c>
      <c r="L490" s="300" t="s">
        <v>2167</v>
      </c>
      <c r="M490" s="361" t="s">
        <v>717</v>
      </c>
      <c r="N490" s="359" t="s">
        <v>719</v>
      </c>
      <c r="O490" s="359" t="s">
        <v>230</v>
      </c>
      <c r="P490" s="363">
        <v>12</v>
      </c>
      <c r="Q490" s="363">
        <v>5</v>
      </c>
      <c r="R490" s="364">
        <v>6.0000000000000001E-3</v>
      </c>
      <c r="S490" s="359" t="s">
        <v>55</v>
      </c>
      <c r="T490" s="359" t="s">
        <v>112</v>
      </c>
      <c r="U490" s="359" t="s">
        <v>57</v>
      </c>
      <c r="V490" s="365">
        <v>1773</v>
      </c>
      <c r="W490" s="365"/>
      <c r="X490" s="366">
        <f>(1372+19907)/12</f>
        <v>1773.25</v>
      </c>
      <c r="Y490" s="367">
        <f t="shared" si="149"/>
        <v>0.25</v>
      </c>
      <c r="Z490" s="368">
        <f t="shared" si="150"/>
        <v>0</v>
      </c>
      <c r="AA490" s="368"/>
      <c r="AB490" s="819"/>
      <c r="AC490" s="365"/>
      <c r="AD490" s="307" t="s">
        <v>672</v>
      </c>
      <c r="AE490" s="210"/>
      <c r="AF490" s="210"/>
      <c r="AG490" s="211">
        <f t="shared" si="155"/>
        <v>0.25800000000000001</v>
      </c>
      <c r="AH490" s="157">
        <f t="shared" ref="AH490:AH496" si="158">(Z490*AG490)/1000</f>
        <v>0</v>
      </c>
      <c r="AI490" s="152">
        <f t="shared" si="157"/>
        <v>21276</v>
      </c>
      <c r="AK490" s="156" t="s">
        <v>691</v>
      </c>
      <c r="AL490" s="574" t="s">
        <v>690</v>
      </c>
      <c r="AM490" s="198">
        <f>AG490*Z490</f>
        <v>0</v>
      </c>
      <c r="AN490" s="199">
        <f t="shared" si="146"/>
        <v>45375</v>
      </c>
      <c r="AO490" s="159" t="s">
        <v>692</v>
      </c>
      <c r="AP490" s="783" t="s">
        <v>612</v>
      </c>
      <c r="AQ490" s="782">
        <v>12071839</v>
      </c>
      <c r="AR490" s="782">
        <v>12042650</v>
      </c>
      <c r="AS490" s="782">
        <v>12042649</v>
      </c>
      <c r="AT490" s="782">
        <v>12060840</v>
      </c>
      <c r="AU490" s="781"/>
      <c r="AV490" s="782">
        <v>12060849</v>
      </c>
      <c r="AW490" s="782"/>
      <c r="AX490" s="782"/>
      <c r="AY490" s="782"/>
      <c r="AZ490" s="782"/>
      <c r="BA490" s="781"/>
    </row>
    <row r="491" spans="1:53" ht="24.65" hidden="1" customHeight="1">
      <c r="B491" s="308">
        <v>45375</v>
      </c>
      <c r="C491" s="309">
        <v>45386</v>
      </c>
      <c r="D491" s="185">
        <f t="shared" si="144"/>
        <v>2024</v>
      </c>
      <c r="E491" s="309" t="str">
        <f>VLOOKUP($B491,Week!$A$1:$C$1462,2,0)</f>
        <v>Week12</v>
      </c>
      <c r="F491" s="310" t="str">
        <f t="shared" si="145"/>
        <v>Mar</v>
      </c>
      <c r="G491" s="311" t="s">
        <v>1023</v>
      </c>
      <c r="H491" s="311" t="s">
        <v>311</v>
      </c>
      <c r="I491" s="311" t="s">
        <v>2772</v>
      </c>
      <c r="J491" s="312" t="s">
        <v>738</v>
      </c>
      <c r="K491" s="313" t="s">
        <v>107</v>
      </c>
      <c r="L491" s="300" t="s">
        <v>2167</v>
      </c>
      <c r="M491" s="312" t="s">
        <v>313</v>
      </c>
      <c r="N491" s="311" t="s">
        <v>314</v>
      </c>
      <c r="O491" s="311" t="s">
        <v>110</v>
      </c>
      <c r="P491" s="314">
        <v>36</v>
      </c>
      <c r="Q491" s="314">
        <v>5</v>
      </c>
      <c r="R491" s="315">
        <v>7.4999999999999997E-3</v>
      </c>
      <c r="S491" s="311" t="s">
        <v>111</v>
      </c>
      <c r="T491" s="311" t="s">
        <v>112</v>
      </c>
      <c r="U491" s="311" t="s">
        <v>57</v>
      </c>
      <c r="V491" s="316">
        <v>792</v>
      </c>
      <c r="W491" s="316">
        <v>763</v>
      </c>
      <c r="X491" s="317">
        <v>29</v>
      </c>
      <c r="Y491" s="318">
        <f t="shared" si="149"/>
        <v>0</v>
      </c>
      <c r="Z491" s="319">
        <f t="shared" si="150"/>
        <v>0</v>
      </c>
      <c r="AA491" s="319"/>
      <c r="AB491" s="815"/>
      <c r="AC491" s="316"/>
      <c r="AD491" s="515"/>
      <c r="AE491" s="210"/>
      <c r="AF491" s="210"/>
      <c r="AG491" s="211">
        <f t="shared" si="155"/>
        <v>0.308</v>
      </c>
      <c r="AH491" s="157">
        <f t="shared" si="158"/>
        <v>0</v>
      </c>
      <c r="AI491" s="152">
        <f t="shared" si="157"/>
        <v>28512</v>
      </c>
      <c r="AK491" s="156" t="s">
        <v>691</v>
      </c>
      <c r="AL491" s="212" t="s">
        <v>690</v>
      </c>
      <c r="AM491" s="198">
        <f t="shared" si="154"/>
        <v>0</v>
      </c>
      <c r="AN491" s="199">
        <f t="shared" si="146"/>
        <v>45375</v>
      </c>
      <c r="AO491" s="159" t="s">
        <v>692</v>
      </c>
      <c r="AP491" s="783" t="s">
        <v>644</v>
      </c>
      <c r="AQ491" s="782">
        <v>12063755</v>
      </c>
      <c r="AR491" s="782">
        <v>12061353</v>
      </c>
      <c r="AS491" s="782">
        <v>12061354</v>
      </c>
      <c r="AT491" s="782">
        <v>12062266</v>
      </c>
      <c r="AU491" s="781"/>
      <c r="AV491" s="782">
        <v>12062261</v>
      </c>
      <c r="AW491" s="782">
        <v>12062153</v>
      </c>
      <c r="AX491" s="782"/>
      <c r="AY491" s="782">
        <v>12062262</v>
      </c>
      <c r="AZ491" s="782"/>
      <c r="BA491" s="781"/>
    </row>
    <row r="492" spans="1:53" ht="24.65" hidden="1" customHeight="1">
      <c r="B492" s="308">
        <v>45375</v>
      </c>
      <c r="C492" s="309">
        <v>45400</v>
      </c>
      <c r="D492" s="185">
        <f t="shared" si="144"/>
        <v>2024</v>
      </c>
      <c r="E492" s="309" t="str">
        <f>VLOOKUP($B492,Week!$A$1:$C$1462,2,0)</f>
        <v>Week12</v>
      </c>
      <c r="F492" s="310" t="str">
        <f t="shared" si="145"/>
        <v>Mar</v>
      </c>
      <c r="G492" s="311" t="s">
        <v>1021</v>
      </c>
      <c r="H492" s="311" t="s">
        <v>311</v>
      </c>
      <c r="I492" s="311" t="s">
        <v>2772</v>
      </c>
      <c r="J492" s="312" t="s">
        <v>738</v>
      </c>
      <c r="K492" s="313" t="s">
        <v>107</v>
      </c>
      <c r="L492" s="300" t="s">
        <v>2167</v>
      </c>
      <c r="M492" s="312" t="s">
        <v>313</v>
      </c>
      <c r="N492" s="311" t="s">
        <v>314</v>
      </c>
      <c r="O492" s="311" t="s">
        <v>110</v>
      </c>
      <c r="P492" s="314">
        <v>36</v>
      </c>
      <c r="Q492" s="314">
        <v>5</v>
      </c>
      <c r="R492" s="315">
        <v>7.4999999999999997E-3</v>
      </c>
      <c r="S492" s="311" t="s">
        <v>111</v>
      </c>
      <c r="T492" s="311" t="s">
        <v>112</v>
      </c>
      <c r="U492" s="311" t="s">
        <v>57</v>
      </c>
      <c r="V492" s="316">
        <v>792</v>
      </c>
      <c r="W492" s="316">
        <f>1555-763</f>
        <v>792</v>
      </c>
      <c r="X492" s="317"/>
      <c r="Y492" s="318">
        <f t="shared" ref="Y492:Y523" si="159">(W492+X492)-V492</f>
        <v>0</v>
      </c>
      <c r="Z492" s="319">
        <f t="shared" ref="Z492:Z523" si="160">IF(Y492&lt;0,((V492*P492)-((W492+X492)*P492)),0)</f>
        <v>0</v>
      </c>
      <c r="AA492" s="319"/>
      <c r="AB492" s="815"/>
      <c r="AC492" s="316"/>
      <c r="AD492" s="515"/>
      <c r="AE492" s="210"/>
      <c r="AF492" s="210"/>
      <c r="AG492" s="211">
        <f t="shared" si="155"/>
        <v>0.308</v>
      </c>
      <c r="AH492" s="157">
        <f>(Z492*AG492)/1000</f>
        <v>0</v>
      </c>
      <c r="AI492" s="152">
        <f t="shared" si="157"/>
        <v>28512</v>
      </c>
      <c r="AK492" s="156" t="s">
        <v>691</v>
      </c>
      <c r="AL492" s="212" t="s">
        <v>690</v>
      </c>
      <c r="AM492" s="198">
        <f>AG492*Z492</f>
        <v>0</v>
      </c>
      <c r="AN492" s="199">
        <f t="shared" si="146"/>
        <v>45375</v>
      </c>
      <c r="AO492" s="159" t="s">
        <v>692</v>
      </c>
      <c r="AP492" s="783" t="s">
        <v>644</v>
      </c>
      <c r="AQ492" s="782">
        <v>12063755</v>
      </c>
      <c r="AR492" s="782">
        <v>12061353</v>
      </c>
      <c r="AS492" s="782">
        <v>12061354</v>
      </c>
      <c r="AT492" s="782">
        <v>12062266</v>
      </c>
      <c r="AU492" s="781"/>
      <c r="AV492" s="782">
        <v>12062261</v>
      </c>
      <c r="AW492" s="782">
        <v>12062153</v>
      </c>
      <c r="AX492" s="782"/>
      <c r="AY492" s="782">
        <v>12062262</v>
      </c>
      <c r="AZ492" s="782"/>
      <c r="BA492" s="781"/>
    </row>
    <row r="493" spans="1:53" ht="24.75" hidden="1" customHeight="1">
      <c r="B493" s="320">
        <v>45375</v>
      </c>
      <c r="C493" s="321">
        <v>45387</v>
      </c>
      <c r="D493" s="185">
        <f t="shared" si="144"/>
        <v>2024</v>
      </c>
      <c r="E493" s="321" t="str">
        <f>VLOOKUP($B493,Week!$A$1:$C$1462,2,0)</f>
        <v>Week12</v>
      </c>
      <c r="F493" s="322" t="str">
        <f t="shared" si="145"/>
        <v>Mar</v>
      </c>
      <c r="G493" s="323" t="s">
        <v>1082</v>
      </c>
      <c r="H493" s="323" t="s">
        <v>675</v>
      </c>
      <c r="I493" s="323" t="s">
        <v>2772</v>
      </c>
      <c r="J493" s="324" t="s">
        <v>709</v>
      </c>
      <c r="K493" s="325" t="s">
        <v>107</v>
      </c>
      <c r="L493" s="300" t="s">
        <v>2167</v>
      </c>
      <c r="M493" s="324" t="s">
        <v>313</v>
      </c>
      <c r="N493" s="596" t="s">
        <v>710</v>
      </c>
      <c r="O493" s="323" t="s">
        <v>592</v>
      </c>
      <c r="P493" s="326">
        <v>8</v>
      </c>
      <c r="Q493" s="326">
        <v>4</v>
      </c>
      <c r="R493" s="327">
        <v>7.4999999999999997E-3</v>
      </c>
      <c r="S493" s="323" t="s">
        <v>111</v>
      </c>
      <c r="T493" s="323" t="s">
        <v>112</v>
      </c>
      <c r="U493" s="323" t="s">
        <v>57</v>
      </c>
      <c r="V493" s="328">
        <v>810</v>
      </c>
      <c r="W493" s="328"/>
      <c r="X493" s="329">
        <v>810</v>
      </c>
      <c r="Y493" s="330">
        <f t="shared" si="159"/>
        <v>0</v>
      </c>
      <c r="Z493" s="331">
        <f t="shared" si="160"/>
        <v>0</v>
      </c>
      <c r="AA493" s="331"/>
      <c r="AB493" s="816"/>
      <c r="AC493" s="328"/>
      <c r="AD493" s="307" t="s">
        <v>672</v>
      </c>
      <c r="AE493" s="210"/>
      <c r="AF493" s="210"/>
      <c r="AG493" s="211">
        <f t="shared" si="155"/>
        <v>0.30499999999999999</v>
      </c>
      <c r="AH493" s="157">
        <f t="shared" si="158"/>
        <v>0</v>
      </c>
      <c r="AI493" s="152">
        <f t="shared" si="157"/>
        <v>6480</v>
      </c>
      <c r="AK493" s="156" t="s">
        <v>691</v>
      </c>
      <c r="AL493" s="212" t="s">
        <v>690</v>
      </c>
      <c r="AM493" s="198">
        <f>AG493*Z493</f>
        <v>0</v>
      </c>
      <c r="AN493" s="199">
        <f t="shared" si="146"/>
        <v>45375</v>
      </c>
      <c r="AO493" s="159" t="s">
        <v>692</v>
      </c>
      <c r="AP493" s="783" t="s">
        <v>643</v>
      </c>
      <c r="AQ493" s="782">
        <v>12063755</v>
      </c>
      <c r="AR493" s="782">
        <v>12061353</v>
      </c>
      <c r="AS493" s="782">
        <v>12061354</v>
      </c>
      <c r="AT493" s="782">
        <v>12061547</v>
      </c>
      <c r="AU493" s="781"/>
      <c r="AV493" s="782">
        <v>12061557</v>
      </c>
      <c r="AW493" s="782"/>
      <c r="AX493" s="782"/>
      <c r="AY493" s="782"/>
      <c r="AZ493" s="782"/>
      <c r="BA493" s="781"/>
    </row>
    <row r="494" spans="1:53" ht="24.75" hidden="1" customHeight="1">
      <c r="B494" s="320">
        <v>45375</v>
      </c>
      <c r="C494" s="321">
        <v>45392</v>
      </c>
      <c r="D494" s="185">
        <f t="shared" si="144"/>
        <v>2024</v>
      </c>
      <c r="E494" s="321" t="str">
        <f>VLOOKUP($B494,Week!$A$1:$C$1462,2,0)</f>
        <v>Week12</v>
      </c>
      <c r="F494" s="322" t="str">
        <f t="shared" si="145"/>
        <v>Mar</v>
      </c>
      <c r="G494" s="323" t="s">
        <v>1186</v>
      </c>
      <c r="H494" s="323" t="s">
        <v>311</v>
      </c>
      <c r="I494" s="323" t="s">
        <v>2772</v>
      </c>
      <c r="J494" s="324" t="s">
        <v>738</v>
      </c>
      <c r="K494" s="325" t="s">
        <v>107</v>
      </c>
      <c r="L494" s="300" t="s">
        <v>2167</v>
      </c>
      <c r="M494" s="324" t="s">
        <v>313</v>
      </c>
      <c r="N494" s="323" t="s">
        <v>591</v>
      </c>
      <c r="O494" s="323" t="s">
        <v>592</v>
      </c>
      <c r="P494" s="326">
        <v>8</v>
      </c>
      <c r="Q494" s="326">
        <v>4</v>
      </c>
      <c r="R494" s="327">
        <v>7.4999999999999997E-3</v>
      </c>
      <c r="S494" s="323" t="s">
        <v>111</v>
      </c>
      <c r="T494" s="323" t="s">
        <v>112</v>
      </c>
      <c r="U494" s="323" t="s">
        <v>57</v>
      </c>
      <c r="V494" s="328">
        <f>1000</f>
        <v>1000</v>
      </c>
      <c r="W494" s="328"/>
      <c r="X494" s="329">
        <f>(8030)/8</f>
        <v>1003.75</v>
      </c>
      <c r="Y494" s="330">
        <f t="shared" si="159"/>
        <v>3.75</v>
      </c>
      <c r="Z494" s="331">
        <f t="shared" si="160"/>
        <v>0</v>
      </c>
      <c r="AA494" s="331"/>
      <c r="AB494" s="816"/>
      <c r="AC494" s="328"/>
      <c r="AD494" s="443"/>
      <c r="AE494" s="210"/>
      <c r="AF494" s="210"/>
      <c r="AG494" s="211">
        <f t="shared" si="155"/>
        <v>0.30499999999999999</v>
      </c>
      <c r="AH494" s="157">
        <f t="shared" si="158"/>
        <v>0</v>
      </c>
      <c r="AI494" s="152">
        <f t="shared" si="157"/>
        <v>8000</v>
      </c>
      <c r="AK494" s="156" t="s">
        <v>691</v>
      </c>
      <c r="AL494" s="212" t="s">
        <v>690</v>
      </c>
      <c r="AM494" s="198">
        <f>AG494*Z494</f>
        <v>0</v>
      </c>
      <c r="AN494" s="199">
        <f t="shared" si="146"/>
        <v>45375</v>
      </c>
      <c r="AO494" s="159" t="s">
        <v>692</v>
      </c>
      <c r="AP494" s="783" t="s">
        <v>643</v>
      </c>
      <c r="AQ494" s="782">
        <v>12063755</v>
      </c>
      <c r="AR494" s="782">
        <v>12061353</v>
      </c>
      <c r="AS494" s="782">
        <v>12061354</v>
      </c>
      <c r="AT494" s="782">
        <v>12061547</v>
      </c>
      <c r="AU494" s="781"/>
      <c r="AV494" s="782">
        <v>12061557</v>
      </c>
      <c r="AW494" s="782"/>
      <c r="AX494" s="782"/>
      <c r="AY494" s="782"/>
      <c r="AZ494" s="782"/>
      <c r="BA494" s="781"/>
    </row>
    <row r="495" spans="1:53" ht="25" hidden="1" customHeight="1">
      <c r="B495" s="308">
        <v>45375</v>
      </c>
      <c r="C495" s="309">
        <v>45391</v>
      </c>
      <c r="D495" s="185">
        <f t="shared" si="144"/>
        <v>2024</v>
      </c>
      <c r="E495" s="309" t="str">
        <f>VLOOKUP($B495,Week!$A$1:$C$1462,2,0)</f>
        <v>Week12</v>
      </c>
      <c r="F495" s="310" t="str">
        <f t="shared" si="145"/>
        <v>Mar</v>
      </c>
      <c r="G495" s="311" t="s">
        <v>1034</v>
      </c>
      <c r="H495" s="311" t="s">
        <v>431</v>
      </c>
      <c r="I495" s="311" t="s">
        <v>2772</v>
      </c>
      <c r="J495" s="312" t="s">
        <v>432</v>
      </c>
      <c r="K495" s="313" t="s">
        <v>107</v>
      </c>
      <c r="L495" s="300" t="s">
        <v>2167</v>
      </c>
      <c r="M495" s="312" t="s">
        <v>136</v>
      </c>
      <c r="N495" s="311" t="s">
        <v>542</v>
      </c>
      <c r="O495" s="311" t="s">
        <v>543</v>
      </c>
      <c r="P495" s="314">
        <v>8</v>
      </c>
      <c r="Q495" s="314">
        <v>3</v>
      </c>
      <c r="R495" s="315">
        <v>7.4999999999999997E-3</v>
      </c>
      <c r="S495" s="311" t="s">
        <v>111</v>
      </c>
      <c r="T495" s="311" t="s">
        <v>112</v>
      </c>
      <c r="U495" s="311" t="s">
        <v>57</v>
      </c>
      <c r="V495" s="316">
        <v>800</v>
      </c>
      <c r="W495" s="316"/>
      <c r="X495" s="317">
        <f>(1372+5158)/8</f>
        <v>816.25</v>
      </c>
      <c r="Y495" s="318">
        <f t="shared" si="159"/>
        <v>16.25</v>
      </c>
      <c r="Z495" s="319">
        <f t="shared" si="160"/>
        <v>0</v>
      </c>
      <c r="AA495" s="319"/>
      <c r="AB495" s="815"/>
      <c r="AC495" s="316"/>
      <c r="AD495" s="209"/>
      <c r="AE495" s="210"/>
      <c r="AF495" s="210"/>
      <c r="AG495" s="211">
        <f t="shared" si="155"/>
        <v>0.309</v>
      </c>
      <c r="AH495" s="157">
        <f t="shared" si="158"/>
        <v>0</v>
      </c>
      <c r="AI495" s="152">
        <f t="shared" si="157"/>
        <v>6400</v>
      </c>
      <c r="AK495" s="156" t="s">
        <v>691</v>
      </c>
      <c r="AL495" s="212" t="s">
        <v>690</v>
      </c>
      <c r="AM495" s="198">
        <f>AG495*Z495</f>
        <v>0</v>
      </c>
      <c r="AN495" s="199">
        <f t="shared" si="146"/>
        <v>45375</v>
      </c>
      <c r="AO495" s="159" t="s">
        <v>692</v>
      </c>
      <c r="AP495" s="781"/>
      <c r="AQ495" s="782">
        <v>12063755</v>
      </c>
      <c r="AR495" s="782">
        <v>12061353</v>
      </c>
      <c r="AS495" s="782">
        <v>12061354</v>
      </c>
      <c r="AT495" s="782">
        <v>12083615</v>
      </c>
      <c r="AU495" s="781"/>
      <c r="AV495" s="782">
        <v>12062186</v>
      </c>
      <c r="AW495" s="782"/>
      <c r="AX495" s="782"/>
      <c r="AY495" s="782"/>
      <c r="AZ495" s="782"/>
      <c r="BA495" s="781"/>
    </row>
    <row r="496" spans="1:53" ht="25" hidden="1" customHeight="1">
      <c r="B496" s="487">
        <v>45375</v>
      </c>
      <c r="C496" s="487">
        <v>45384</v>
      </c>
      <c r="D496" s="185">
        <f t="shared" si="144"/>
        <v>2024</v>
      </c>
      <c r="E496" s="488" t="str">
        <f>VLOOKUP($B496,Week!$A$1:$C$1462,2,0)</f>
        <v>Week12</v>
      </c>
      <c r="F496" s="489" t="str">
        <f t="shared" si="145"/>
        <v>Mar</v>
      </c>
      <c r="G496" s="444" t="s">
        <v>1038</v>
      </c>
      <c r="H496" s="444" t="s">
        <v>571</v>
      </c>
      <c r="I496" s="444" t="s">
        <v>2772</v>
      </c>
      <c r="J496" s="490" t="s">
        <v>663</v>
      </c>
      <c r="K496" s="491" t="s">
        <v>107</v>
      </c>
      <c r="L496" s="300" t="s">
        <v>2167</v>
      </c>
      <c r="M496" s="490" t="s">
        <v>136</v>
      </c>
      <c r="N496" s="444" t="s">
        <v>574</v>
      </c>
      <c r="O496" s="444" t="s">
        <v>270</v>
      </c>
      <c r="P496" s="492">
        <v>12</v>
      </c>
      <c r="Q496" s="492">
        <v>3</v>
      </c>
      <c r="R496" s="493">
        <v>7.4999999999999997E-3</v>
      </c>
      <c r="S496" s="444" t="s">
        <v>111</v>
      </c>
      <c r="T496" s="444" t="s">
        <v>112</v>
      </c>
      <c r="U496" s="444" t="s">
        <v>57</v>
      </c>
      <c r="V496" s="494">
        <v>2040</v>
      </c>
      <c r="W496" s="494"/>
      <c r="X496" s="495">
        <f>(24480)/12</f>
        <v>2040</v>
      </c>
      <c r="Y496" s="496">
        <f t="shared" si="159"/>
        <v>0</v>
      </c>
      <c r="Z496" s="497">
        <f t="shared" si="160"/>
        <v>0</v>
      </c>
      <c r="AA496" s="497"/>
      <c r="AB496" s="829"/>
      <c r="AC496" s="494"/>
      <c r="AD496" s="307" t="s">
        <v>1043</v>
      </c>
      <c r="AE496" s="210"/>
      <c r="AF496" s="210"/>
      <c r="AG496" s="211">
        <f t="shared" si="155"/>
        <v>0.309</v>
      </c>
      <c r="AH496" s="157">
        <f t="shared" si="158"/>
        <v>0</v>
      </c>
      <c r="AI496" s="152">
        <f t="shared" si="157"/>
        <v>24480</v>
      </c>
      <c r="AK496" s="156" t="s">
        <v>691</v>
      </c>
      <c r="AL496" s="212" t="s">
        <v>690</v>
      </c>
      <c r="AM496" s="198">
        <f t="shared" si="154"/>
        <v>0</v>
      </c>
      <c r="AN496" s="199">
        <f t="shared" si="146"/>
        <v>45375</v>
      </c>
      <c r="AO496" s="159" t="s">
        <v>692</v>
      </c>
      <c r="AP496" s="781"/>
      <c r="AQ496" s="782">
        <v>12063755</v>
      </c>
      <c r="AR496" s="782">
        <v>12061353</v>
      </c>
      <c r="AS496" s="782">
        <v>12061354</v>
      </c>
      <c r="AT496" s="782"/>
      <c r="AU496" s="781"/>
      <c r="AV496" s="782">
        <v>1283290</v>
      </c>
      <c r="AW496" s="782"/>
      <c r="AX496" s="782"/>
      <c r="AY496" s="782">
        <v>12082927</v>
      </c>
      <c r="AZ496" s="782">
        <v>12082928</v>
      </c>
      <c r="BA496" s="782">
        <v>12082929</v>
      </c>
    </row>
    <row r="497" spans="1:53" ht="25" hidden="1" customHeight="1">
      <c r="A497" s="440"/>
      <c r="B497" s="385">
        <v>45375</v>
      </c>
      <c r="C497" s="386">
        <v>45384</v>
      </c>
      <c r="D497" s="185">
        <f t="shared" si="144"/>
        <v>2024</v>
      </c>
      <c r="E497" s="386" t="str">
        <f>VLOOKUP($B497,Week!$A$1:$C$1462,2,0)</f>
        <v>Week12</v>
      </c>
      <c r="F497" s="387" t="str">
        <f t="shared" si="145"/>
        <v>Mar</v>
      </c>
      <c r="G497" s="388" t="s">
        <v>1041</v>
      </c>
      <c r="H497" s="388" t="s">
        <v>571</v>
      </c>
      <c r="I497" s="388" t="s">
        <v>2772</v>
      </c>
      <c r="J497" s="389" t="s">
        <v>663</v>
      </c>
      <c r="K497" s="390" t="s">
        <v>680</v>
      </c>
      <c r="L497" s="300" t="s">
        <v>2167</v>
      </c>
      <c r="M497" s="389" t="s">
        <v>682</v>
      </c>
      <c r="N497" s="388" t="s">
        <v>718</v>
      </c>
      <c r="O497" s="388" t="s">
        <v>659</v>
      </c>
      <c r="P497" s="391">
        <v>12</v>
      </c>
      <c r="Q497" s="391">
        <v>3</v>
      </c>
      <c r="R497" s="392">
        <v>6.0000000000000001E-3</v>
      </c>
      <c r="S497" s="388" t="s">
        <v>55</v>
      </c>
      <c r="T497" s="388" t="s">
        <v>112</v>
      </c>
      <c r="U497" s="601" t="s">
        <v>724</v>
      </c>
      <c r="V497" s="393">
        <v>2040</v>
      </c>
      <c r="W497" s="393"/>
      <c r="X497" s="394">
        <f>24480/12</f>
        <v>2040</v>
      </c>
      <c r="Y497" s="395">
        <f t="shared" si="159"/>
        <v>0</v>
      </c>
      <c r="Z497" s="396">
        <f t="shared" si="160"/>
        <v>0</v>
      </c>
      <c r="AA497" s="396"/>
      <c r="AB497" s="823"/>
      <c r="AC497" s="393"/>
      <c r="AD497" s="627" t="s">
        <v>1043</v>
      </c>
      <c r="AE497" s="210"/>
      <c r="AF497" s="210"/>
      <c r="AG497" s="211">
        <f t="shared" si="155"/>
        <v>0.30199999999999999</v>
      </c>
      <c r="AH497" s="157">
        <v>0.26621999999999996</v>
      </c>
      <c r="AI497" s="152">
        <f t="shared" si="157"/>
        <v>24480</v>
      </c>
      <c r="AK497" s="156" t="s">
        <v>691</v>
      </c>
      <c r="AL497" s="212" t="s">
        <v>690</v>
      </c>
      <c r="AM497" s="198">
        <f t="shared" si="154"/>
        <v>0</v>
      </c>
      <c r="AN497" s="199">
        <f t="shared" si="146"/>
        <v>45375</v>
      </c>
      <c r="AO497" s="159" t="s">
        <v>692</v>
      </c>
      <c r="AP497" s="781" t="s">
        <v>642</v>
      </c>
      <c r="AQ497" s="782"/>
      <c r="AR497" s="782"/>
      <c r="AS497" s="782"/>
      <c r="AT497" s="782"/>
      <c r="AU497" s="781"/>
      <c r="AV497" s="782"/>
      <c r="AW497" s="781"/>
      <c r="AX497" s="781"/>
      <c r="AY497" s="781"/>
      <c r="AZ497" s="782"/>
      <c r="BA497" s="781"/>
    </row>
    <row r="498" spans="1:53" ht="25" hidden="1" customHeight="1">
      <c r="A498" s="623"/>
      <c r="B498" s="332">
        <v>45375</v>
      </c>
      <c r="C498" s="333">
        <v>45387</v>
      </c>
      <c r="D498" s="185">
        <f t="shared" si="144"/>
        <v>2024</v>
      </c>
      <c r="E498" s="333" t="str">
        <f>VLOOKUP($B498,Week!$A$1:$C$1462,2,0)</f>
        <v>Week12</v>
      </c>
      <c r="F498" s="334" t="str">
        <f t="shared" si="145"/>
        <v>Mar</v>
      </c>
      <c r="G498" s="335" t="s">
        <v>1082</v>
      </c>
      <c r="H498" s="335" t="s">
        <v>675</v>
      </c>
      <c r="I498" s="335" t="s">
        <v>2772</v>
      </c>
      <c r="J498" s="336" t="s">
        <v>709</v>
      </c>
      <c r="K498" s="337" t="s">
        <v>680</v>
      </c>
      <c r="L498" s="300" t="s">
        <v>2167</v>
      </c>
      <c r="M498" s="336" t="s">
        <v>682</v>
      </c>
      <c r="N498" s="530" t="s">
        <v>712</v>
      </c>
      <c r="O498" s="335" t="s">
        <v>602</v>
      </c>
      <c r="P498" s="338">
        <v>8</v>
      </c>
      <c r="Q498" s="338">
        <v>3</v>
      </c>
      <c r="R498" s="339">
        <v>6.0000000000000001E-3</v>
      </c>
      <c r="S498" s="335" t="s">
        <v>55</v>
      </c>
      <c r="T498" s="335" t="s">
        <v>112</v>
      </c>
      <c r="U498" s="340" t="s">
        <v>724</v>
      </c>
      <c r="V498" s="341">
        <v>162</v>
      </c>
      <c r="W498" s="341"/>
      <c r="X498" s="342">
        <f>(146+204+1302)/8</f>
        <v>206.5</v>
      </c>
      <c r="Y498" s="343">
        <f t="shared" si="159"/>
        <v>44.5</v>
      </c>
      <c r="Z498" s="344">
        <f t="shared" si="160"/>
        <v>0</v>
      </c>
      <c r="AA498" s="344"/>
      <c r="AB498" s="817"/>
      <c r="AC498" s="341"/>
      <c r="AD498" s="307" t="s">
        <v>672</v>
      </c>
      <c r="AE498" s="210"/>
      <c r="AF498" s="210"/>
      <c r="AG498" s="211">
        <f t="shared" si="155"/>
        <v>0.30199999999999999</v>
      </c>
      <c r="AH498" s="157">
        <v>0.26621999999999996</v>
      </c>
      <c r="AI498" s="152">
        <f t="shared" si="157"/>
        <v>1296</v>
      </c>
      <c r="AK498" s="156" t="s">
        <v>691</v>
      </c>
      <c r="AL498" s="574" t="s">
        <v>690</v>
      </c>
      <c r="AM498" s="198">
        <f t="shared" si="154"/>
        <v>0</v>
      </c>
      <c r="AN498" s="199">
        <f t="shared" si="146"/>
        <v>45375</v>
      </c>
      <c r="AO498" s="159" t="s">
        <v>692</v>
      </c>
      <c r="AP498" s="781" t="s">
        <v>642</v>
      </c>
      <c r="AQ498" s="782"/>
      <c r="AR498" s="782"/>
      <c r="AS498" s="782"/>
      <c r="AT498" s="782"/>
      <c r="AU498" s="781"/>
      <c r="AV498" s="782"/>
      <c r="AW498" s="781"/>
      <c r="AX498" s="781"/>
      <c r="AY498" s="781"/>
      <c r="AZ498" s="782"/>
      <c r="BA498" s="781"/>
    </row>
    <row r="499" spans="1:53" ht="25" hidden="1" customHeight="1">
      <c r="A499" s="623"/>
      <c r="B499" s="332">
        <v>45375</v>
      </c>
      <c r="C499" s="333">
        <v>45439</v>
      </c>
      <c r="D499" s="185">
        <f t="shared" si="144"/>
        <v>2024</v>
      </c>
      <c r="E499" s="333" t="str">
        <f>VLOOKUP($B499,Week!$A$1:$C$1462,2,0)</f>
        <v>Week12</v>
      </c>
      <c r="F499" s="334" t="str">
        <f t="shared" si="145"/>
        <v>Mar</v>
      </c>
      <c r="G499" s="335" t="s">
        <v>1253</v>
      </c>
      <c r="H499" s="335" t="s">
        <v>831</v>
      </c>
      <c r="I499" s="335" t="s">
        <v>2772</v>
      </c>
      <c r="J499" s="336" t="s">
        <v>1130</v>
      </c>
      <c r="K499" s="337" t="s">
        <v>680</v>
      </c>
      <c r="L499" s="300" t="s">
        <v>2167</v>
      </c>
      <c r="M499" s="336" t="s">
        <v>682</v>
      </c>
      <c r="N499" s="530" t="s">
        <v>1131</v>
      </c>
      <c r="O499" s="335" t="s">
        <v>602</v>
      </c>
      <c r="P499" s="338">
        <v>8</v>
      </c>
      <c r="Q499" s="338">
        <v>3</v>
      </c>
      <c r="R499" s="339">
        <v>6.0000000000000001E-3</v>
      </c>
      <c r="S499" s="335" t="s">
        <v>55</v>
      </c>
      <c r="T499" s="335" t="s">
        <v>112</v>
      </c>
      <c r="U499" s="340" t="s">
        <v>724</v>
      </c>
      <c r="V499" s="341">
        <v>150</v>
      </c>
      <c r="W499" s="341">
        <f>120</f>
        <v>120</v>
      </c>
      <c r="X499" s="342">
        <f>(498)/8</f>
        <v>62.25</v>
      </c>
      <c r="Y499" s="343">
        <f t="shared" si="159"/>
        <v>32.25</v>
      </c>
      <c r="Z499" s="344">
        <f t="shared" si="160"/>
        <v>0</v>
      </c>
      <c r="AA499" s="344"/>
      <c r="AB499" s="817"/>
      <c r="AC499" s="341"/>
      <c r="AD499" s="307" t="s">
        <v>672</v>
      </c>
      <c r="AE499" s="210"/>
      <c r="AF499" s="210"/>
      <c r="AG499" s="211">
        <f t="shared" si="155"/>
        <v>0.30199999999999999</v>
      </c>
      <c r="AH499" s="157">
        <v>0.26621999999999996</v>
      </c>
      <c r="AI499" s="152">
        <f t="shared" si="157"/>
        <v>1200</v>
      </c>
      <c r="AK499" s="156" t="s">
        <v>691</v>
      </c>
      <c r="AL499" s="574" t="s">
        <v>690</v>
      </c>
      <c r="AM499" s="198">
        <f t="shared" si="154"/>
        <v>0</v>
      </c>
      <c r="AN499" s="199">
        <f t="shared" si="146"/>
        <v>45375</v>
      </c>
      <c r="AO499" s="159" t="s">
        <v>692</v>
      </c>
      <c r="AP499" s="781" t="s">
        <v>642</v>
      </c>
      <c r="AQ499" s="782"/>
      <c r="AR499" s="782"/>
      <c r="AS499" s="782"/>
      <c r="AT499" s="782"/>
      <c r="AU499" s="781"/>
      <c r="AV499" s="782"/>
      <c r="AW499" s="781"/>
      <c r="AX499" s="781"/>
      <c r="AY499" s="781"/>
      <c r="AZ499" s="782"/>
      <c r="BA499" s="781"/>
    </row>
    <row r="500" spans="1:53" ht="25" hidden="1" customHeight="1">
      <c r="B500" s="597">
        <v>45376</v>
      </c>
      <c r="C500" s="383">
        <v>45380</v>
      </c>
      <c r="D500" s="185">
        <f t="shared" si="144"/>
        <v>2024</v>
      </c>
      <c r="E500" s="224" t="str">
        <f>VLOOKUP($B500,Week!$A$1:$C$1462,2,0)</f>
        <v>Week13</v>
      </c>
      <c r="F500" s="226" t="str">
        <f t="shared" si="145"/>
        <v>Mar</v>
      </c>
      <c r="G500" s="225" t="s">
        <v>1105</v>
      </c>
      <c r="H500" s="225" t="s">
        <v>225</v>
      </c>
      <c r="I500" s="225" t="s">
        <v>2773</v>
      </c>
      <c r="J500" s="227" t="s">
        <v>335</v>
      </c>
      <c r="K500" s="228" t="s">
        <v>176</v>
      </c>
      <c r="L500" s="300" t="s">
        <v>2167</v>
      </c>
      <c r="M500" s="227" t="s">
        <v>336</v>
      </c>
      <c r="N500" s="225" t="s">
        <v>337</v>
      </c>
      <c r="O500" s="225" t="s">
        <v>179</v>
      </c>
      <c r="P500" s="229">
        <v>36</v>
      </c>
      <c r="Q500" s="229">
        <v>5</v>
      </c>
      <c r="R500" s="230">
        <v>7.4999999999999997E-3</v>
      </c>
      <c r="S500" s="225" t="s">
        <v>111</v>
      </c>
      <c r="T500" s="225" t="s">
        <v>112</v>
      </c>
      <c r="U500" s="225" t="s">
        <v>113</v>
      </c>
      <c r="V500" s="231">
        <v>1288</v>
      </c>
      <c r="W500" s="231">
        <f>1153</f>
        <v>1153</v>
      </c>
      <c r="X500" s="232">
        <f>135</f>
        <v>135</v>
      </c>
      <c r="Y500" s="233">
        <f t="shared" si="159"/>
        <v>0</v>
      </c>
      <c r="Z500" s="234">
        <f t="shared" si="160"/>
        <v>0</v>
      </c>
      <c r="AA500" s="234"/>
      <c r="AB500" s="822"/>
      <c r="AC500" s="231"/>
      <c r="AD500" s="307" t="s">
        <v>672</v>
      </c>
      <c r="AE500" s="210"/>
      <c r="AF500" s="210"/>
      <c r="AG500" s="211">
        <f t="shared" si="155"/>
        <v>0.14499999999999999</v>
      </c>
      <c r="AH500" s="157">
        <f t="shared" ref="AH500:AH512" si="161">(Z500*AG500)/1000</f>
        <v>0</v>
      </c>
      <c r="AI500" s="152">
        <f t="shared" si="157"/>
        <v>46368</v>
      </c>
      <c r="AK500" s="156" t="s">
        <v>691</v>
      </c>
      <c r="AL500" s="574" t="s">
        <v>690</v>
      </c>
      <c r="AM500" s="198">
        <f t="shared" ref="AM500:AM509" si="162">AG500*Z500</f>
        <v>0</v>
      </c>
      <c r="AN500" s="199">
        <f t="shared" si="146"/>
        <v>45376</v>
      </c>
      <c r="AO500" s="159" t="s">
        <v>692</v>
      </c>
      <c r="AP500" s="783" t="s">
        <v>639</v>
      </c>
      <c r="AQ500" s="782">
        <v>12071839</v>
      </c>
      <c r="AR500" s="782">
        <v>12047514</v>
      </c>
      <c r="AS500" s="782">
        <v>12047515</v>
      </c>
      <c r="AT500" s="782">
        <v>12054919</v>
      </c>
      <c r="AU500" s="781"/>
      <c r="AV500" s="782">
        <v>12054869</v>
      </c>
      <c r="AW500" s="782">
        <v>12024404</v>
      </c>
      <c r="AX500" s="781"/>
      <c r="AY500" s="782">
        <v>12054815</v>
      </c>
      <c r="AZ500" s="781"/>
      <c r="BA500" s="781"/>
    </row>
    <row r="501" spans="1:53" ht="25" hidden="1" customHeight="1">
      <c r="B501" s="597">
        <v>45376</v>
      </c>
      <c r="C501" s="383">
        <v>45380</v>
      </c>
      <c r="D501" s="185">
        <f t="shared" si="144"/>
        <v>2024</v>
      </c>
      <c r="E501" s="224" t="str">
        <f>VLOOKUP($B501,Week!$A$1:$C$1462,2,0)</f>
        <v>Week13</v>
      </c>
      <c r="F501" s="226" t="str">
        <f t="shared" si="145"/>
        <v>Mar</v>
      </c>
      <c r="G501" s="225" t="s">
        <v>1107</v>
      </c>
      <c r="H501" s="225" t="s">
        <v>225</v>
      </c>
      <c r="I501" s="225" t="s">
        <v>2773</v>
      </c>
      <c r="J501" s="227" t="s">
        <v>335</v>
      </c>
      <c r="K501" s="228" t="s">
        <v>176</v>
      </c>
      <c r="L501" s="300" t="s">
        <v>2167</v>
      </c>
      <c r="M501" s="227" t="s">
        <v>336</v>
      </c>
      <c r="N501" s="225" t="s">
        <v>337</v>
      </c>
      <c r="O501" s="225" t="s">
        <v>179</v>
      </c>
      <c r="P501" s="229">
        <v>36</v>
      </c>
      <c r="Q501" s="229">
        <v>5</v>
      </c>
      <c r="R501" s="230">
        <v>7.4999999999999997E-3</v>
      </c>
      <c r="S501" s="225" t="s">
        <v>111</v>
      </c>
      <c r="T501" s="225" t="s">
        <v>112</v>
      </c>
      <c r="U501" s="225" t="s">
        <v>113</v>
      </c>
      <c r="V501" s="231">
        <v>1288</v>
      </c>
      <c r="W501" s="231">
        <v>1288</v>
      </c>
      <c r="X501" s="232"/>
      <c r="Y501" s="233">
        <f t="shared" si="159"/>
        <v>0</v>
      </c>
      <c r="Z501" s="234">
        <f t="shared" si="160"/>
        <v>0</v>
      </c>
      <c r="AA501" s="234"/>
      <c r="AB501" s="822"/>
      <c r="AC501" s="231"/>
      <c r="AD501" s="307" t="s">
        <v>672</v>
      </c>
      <c r="AE501" s="210"/>
      <c r="AF501" s="210"/>
      <c r="AG501" s="211">
        <f t="shared" si="155"/>
        <v>0.14499999999999999</v>
      </c>
      <c r="AH501" s="157">
        <f t="shared" si="161"/>
        <v>0</v>
      </c>
      <c r="AI501" s="152">
        <f t="shared" si="157"/>
        <v>46368</v>
      </c>
      <c r="AK501" s="156" t="s">
        <v>691</v>
      </c>
      <c r="AL501" s="574" t="s">
        <v>690</v>
      </c>
      <c r="AM501" s="198">
        <f t="shared" si="162"/>
        <v>0</v>
      </c>
      <c r="AN501" s="199">
        <f t="shared" si="146"/>
        <v>45376</v>
      </c>
      <c r="AO501" s="159" t="s">
        <v>692</v>
      </c>
      <c r="AP501" s="783" t="s">
        <v>639</v>
      </c>
      <c r="AQ501" s="782">
        <v>12071839</v>
      </c>
      <c r="AR501" s="782">
        <v>12047514</v>
      </c>
      <c r="AS501" s="782">
        <v>12047515</v>
      </c>
      <c r="AT501" s="782">
        <v>12054919</v>
      </c>
      <c r="AU501" s="781"/>
      <c r="AV501" s="782">
        <v>12054869</v>
      </c>
      <c r="AW501" s="782">
        <v>12024404</v>
      </c>
      <c r="AX501" s="781"/>
      <c r="AY501" s="782">
        <v>12054815</v>
      </c>
      <c r="AZ501" s="781"/>
      <c r="BA501" s="781"/>
    </row>
    <row r="502" spans="1:53" ht="24.65" hidden="1" customHeight="1">
      <c r="B502" s="597">
        <v>45376</v>
      </c>
      <c r="C502" s="383">
        <v>45380</v>
      </c>
      <c r="D502" s="185">
        <f t="shared" si="144"/>
        <v>2024</v>
      </c>
      <c r="E502" s="224" t="str">
        <f>VLOOKUP($B502,Week!$A$1:$C$1462,2,0)</f>
        <v>Week13</v>
      </c>
      <c r="F502" s="226" t="str">
        <f t="shared" si="145"/>
        <v>Mar</v>
      </c>
      <c r="G502" s="225" t="s">
        <v>1106</v>
      </c>
      <c r="H502" s="225" t="s">
        <v>225</v>
      </c>
      <c r="I502" s="225" t="s">
        <v>2773</v>
      </c>
      <c r="J502" s="227" t="s">
        <v>335</v>
      </c>
      <c r="K502" s="228" t="s">
        <v>176</v>
      </c>
      <c r="L502" s="300" t="s">
        <v>2167</v>
      </c>
      <c r="M502" s="227" t="s">
        <v>336</v>
      </c>
      <c r="N502" s="225" t="s">
        <v>337</v>
      </c>
      <c r="O502" s="225" t="s">
        <v>179</v>
      </c>
      <c r="P502" s="229">
        <v>36</v>
      </c>
      <c r="Q502" s="229">
        <v>5</v>
      </c>
      <c r="R502" s="230">
        <v>7.4999999999999997E-3</v>
      </c>
      <c r="S502" s="225" t="s">
        <v>111</v>
      </c>
      <c r="T502" s="225" t="s">
        <v>112</v>
      </c>
      <c r="U502" s="225" t="s">
        <v>113</v>
      </c>
      <c r="V502" s="231">
        <f>3268-1288-1288</f>
        <v>692</v>
      </c>
      <c r="W502" s="231">
        <v>692</v>
      </c>
      <c r="X502" s="232"/>
      <c r="Y502" s="233">
        <f t="shared" si="159"/>
        <v>0</v>
      </c>
      <c r="Z502" s="234">
        <f t="shared" si="160"/>
        <v>0</v>
      </c>
      <c r="AA502" s="234"/>
      <c r="AB502" s="822"/>
      <c r="AC502" s="231"/>
      <c r="AD502" s="307" t="s">
        <v>672</v>
      </c>
      <c r="AE502" s="210"/>
      <c r="AF502" s="210"/>
      <c r="AG502" s="211">
        <f t="shared" si="155"/>
        <v>0.14499999999999999</v>
      </c>
      <c r="AH502" s="157">
        <f t="shared" si="161"/>
        <v>0</v>
      </c>
      <c r="AI502" s="152">
        <f t="shared" si="157"/>
        <v>24912</v>
      </c>
      <c r="AK502" s="156" t="s">
        <v>691</v>
      </c>
      <c r="AL502" s="574" t="s">
        <v>690</v>
      </c>
      <c r="AM502" s="198">
        <f t="shared" si="162"/>
        <v>0</v>
      </c>
      <c r="AN502" s="199">
        <f t="shared" si="146"/>
        <v>45376</v>
      </c>
      <c r="AO502" s="159" t="s">
        <v>692</v>
      </c>
      <c r="AP502" s="783" t="s">
        <v>639</v>
      </c>
      <c r="AQ502" s="782">
        <v>12071839</v>
      </c>
      <c r="AR502" s="782">
        <v>12047514</v>
      </c>
      <c r="AS502" s="782">
        <v>12047515</v>
      </c>
      <c r="AT502" s="782">
        <v>12054919</v>
      </c>
      <c r="AU502" s="781"/>
      <c r="AV502" s="782">
        <v>12054869</v>
      </c>
      <c r="AW502" s="782">
        <v>12024404</v>
      </c>
      <c r="AX502" s="781"/>
      <c r="AY502" s="782">
        <v>12054815</v>
      </c>
      <c r="AZ502" s="781"/>
      <c r="BA502" s="781"/>
    </row>
    <row r="503" spans="1:53" ht="25" hidden="1" customHeight="1">
      <c r="B503" s="358">
        <v>45376</v>
      </c>
      <c r="C503" s="358">
        <v>45391</v>
      </c>
      <c r="D503" s="185">
        <f t="shared" si="144"/>
        <v>2024</v>
      </c>
      <c r="E503" s="358" t="str">
        <f>VLOOKUP($B503,Week!$A$1:$C$1462,2,0)</f>
        <v>Week13</v>
      </c>
      <c r="F503" s="360" t="str">
        <f t="shared" si="145"/>
        <v>Mar</v>
      </c>
      <c r="G503" s="358" t="s">
        <v>1034</v>
      </c>
      <c r="H503" s="359" t="s">
        <v>431</v>
      </c>
      <c r="I503" s="359" t="s">
        <v>2772</v>
      </c>
      <c r="J503" s="361" t="s">
        <v>432</v>
      </c>
      <c r="K503" s="362" t="s">
        <v>365</v>
      </c>
      <c r="L503" s="300" t="s">
        <v>2167</v>
      </c>
      <c r="M503" s="361" t="s">
        <v>561</v>
      </c>
      <c r="N503" s="359" t="s">
        <v>562</v>
      </c>
      <c r="O503" s="359" t="s">
        <v>187</v>
      </c>
      <c r="P503" s="363">
        <v>8</v>
      </c>
      <c r="Q503" s="363">
        <v>4</v>
      </c>
      <c r="R503" s="364">
        <v>7.4999999999999997E-3</v>
      </c>
      <c r="S503" s="359" t="s">
        <v>111</v>
      </c>
      <c r="T503" s="359" t="s">
        <v>112</v>
      </c>
      <c r="U503" s="359" t="s">
        <v>57</v>
      </c>
      <c r="V503" s="365">
        <v>2000</v>
      </c>
      <c r="W503" s="365"/>
      <c r="X503" s="366">
        <f>(17688)/8</f>
        <v>2211</v>
      </c>
      <c r="Y503" s="367">
        <f t="shared" si="159"/>
        <v>211</v>
      </c>
      <c r="Z503" s="368">
        <f t="shared" si="160"/>
        <v>0</v>
      </c>
      <c r="AA503" s="368"/>
      <c r="AB503" s="819"/>
      <c r="AC503" s="365"/>
      <c r="AD503" s="209"/>
      <c r="AE503" s="210"/>
      <c r="AF503" s="210"/>
      <c r="AG503" s="211">
        <f t="shared" si="155"/>
        <v>0.14499999999999999</v>
      </c>
      <c r="AH503" s="157">
        <f t="shared" si="161"/>
        <v>0</v>
      </c>
      <c r="AI503" s="152">
        <f t="shared" si="157"/>
        <v>16000</v>
      </c>
      <c r="AK503" s="156" t="s">
        <v>691</v>
      </c>
      <c r="AL503" s="212" t="s">
        <v>690</v>
      </c>
      <c r="AM503" s="198">
        <f>AG503*Z503</f>
        <v>0</v>
      </c>
      <c r="AN503" s="199">
        <f t="shared" si="146"/>
        <v>45376</v>
      </c>
      <c r="AO503" s="159" t="s">
        <v>692</v>
      </c>
      <c r="AP503" s="783" t="s">
        <v>613</v>
      </c>
      <c r="AQ503" s="782">
        <v>12071839</v>
      </c>
      <c r="AR503" s="782">
        <v>12047514</v>
      </c>
      <c r="AS503" s="782">
        <v>12047515</v>
      </c>
      <c r="AT503" s="782">
        <v>12062626</v>
      </c>
      <c r="AU503" s="782" t="s">
        <v>563</v>
      </c>
      <c r="AV503" s="782">
        <v>12062625</v>
      </c>
      <c r="AW503" s="782"/>
      <c r="AX503" s="782"/>
      <c r="AY503" s="782"/>
      <c r="AZ503" s="782"/>
      <c r="BA503" s="781"/>
    </row>
    <row r="504" spans="1:53" ht="25" hidden="1" customHeight="1">
      <c r="A504" s="142" t="s">
        <v>120</v>
      </c>
      <c r="B504" s="466">
        <v>45376</v>
      </c>
      <c r="C504" s="467">
        <v>45387</v>
      </c>
      <c r="D504" s="185">
        <f t="shared" si="144"/>
        <v>2024</v>
      </c>
      <c r="E504" s="468" t="str">
        <f>VLOOKUP($B504,Week!$A$1:$C$1462,2,0)</f>
        <v>Week13</v>
      </c>
      <c r="F504" s="469" t="str">
        <f t="shared" si="145"/>
        <v>Mar</v>
      </c>
      <c r="G504" s="470" t="s">
        <v>1019</v>
      </c>
      <c r="H504" s="468" t="s">
        <v>82</v>
      </c>
      <c r="I504" s="468" t="s">
        <v>82</v>
      </c>
      <c r="J504" s="471" t="s">
        <v>720</v>
      </c>
      <c r="K504" s="472" t="s">
        <v>85</v>
      </c>
      <c r="L504" s="390" t="s">
        <v>2166</v>
      </c>
      <c r="M504" s="471" t="s">
        <v>579</v>
      </c>
      <c r="N504" s="468" t="s">
        <v>580</v>
      </c>
      <c r="O504" s="468" t="s">
        <v>581</v>
      </c>
      <c r="P504" s="473">
        <v>8</v>
      </c>
      <c r="Q504" s="473">
        <v>60</v>
      </c>
      <c r="R504" s="474">
        <v>6.8100000000000001E-3</v>
      </c>
      <c r="S504" s="468" t="s">
        <v>76</v>
      </c>
      <c r="T504" s="468" t="s">
        <v>56</v>
      </c>
      <c r="U504" s="468" t="s">
        <v>89</v>
      </c>
      <c r="V504" s="475">
        <v>538</v>
      </c>
      <c r="W504" s="475">
        <v>538</v>
      </c>
      <c r="X504" s="476"/>
      <c r="Y504" s="477">
        <f t="shared" si="159"/>
        <v>0</v>
      </c>
      <c r="Z504" s="478">
        <f t="shared" si="160"/>
        <v>0</v>
      </c>
      <c r="AA504" s="478">
        <f>Q504*Z504</f>
        <v>0</v>
      </c>
      <c r="AB504" s="828">
        <v>6</v>
      </c>
      <c r="AC504" s="475">
        <f>Z504*AB504</f>
        <v>0</v>
      </c>
      <c r="AD504" s="209"/>
      <c r="AE504" s="210"/>
      <c r="AF504" s="210"/>
      <c r="AG504" s="211">
        <f t="shared" si="155"/>
        <v>0.75</v>
      </c>
      <c r="AH504" s="157">
        <f t="shared" si="161"/>
        <v>0</v>
      </c>
      <c r="AI504" s="152">
        <f t="shared" si="157"/>
        <v>4304</v>
      </c>
      <c r="AK504" s="156" t="s">
        <v>691</v>
      </c>
      <c r="AL504" s="156" t="s">
        <v>689</v>
      </c>
      <c r="AM504" s="198">
        <f t="shared" si="162"/>
        <v>0</v>
      </c>
      <c r="AN504" s="199">
        <f t="shared" si="146"/>
        <v>45376</v>
      </c>
      <c r="AO504" s="159" t="s">
        <v>692</v>
      </c>
      <c r="AP504" s="783" t="s">
        <v>622</v>
      </c>
      <c r="AQ504" s="782">
        <v>12004862</v>
      </c>
      <c r="AR504" s="782">
        <v>12080753</v>
      </c>
      <c r="AS504" s="782"/>
      <c r="AT504" s="782">
        <v>12082897</v>
      </c>
      <c r="AU504" s="781"/>
      <c r="AV504" s="782">
        <v>12082898</v>
      </c>
      <c r="AW504" s="782">
        <v>12082899</v>
      </c>
      <c r="AX504" s="796" t="s">
        <v>621</v>
      </c>
      <c r="AY504" s="782"/>
      <c r="AZ504" s="782"/>
      <c r="BA504" s="781"/>
    </row>
    <row r="505" spans="1:53" ht="24.65" hidden="1" customHeight="1">
      <c r="B505" s="597">
        <v>45377</v>
      </c>
      <c r="C505" s="383">
        <v>45380</v>
      </c>
      <c r="D505" s="185">
        <f t="shared" si="144"/>
        <v>2024</v>
      </c>
      <c r="E505" s="224" t="str">
        <f>VLOOKUP($B505,Week!$A$1:$C$1462,2,0)</f>
        <v>Week13</v>
      </c>
      <c r="F505" s="226" t="str">
        <f t="shared" si="145"/>
        <v>Mar</v>
      </c>
      <c r="G505" s="225" t="s">
        <v>1106</v>
      </c>
      <c r="H505" s="225" t="s">
        <v>225</v>
      </c>
      <c r="I505" s="225" t="s">
        <v>2773</v>
      </c>
      <c r="J505" s="227" t="s">
        <v>335</v>
      </c>
      <c r="K505" s="228" t="s">
        <v>176</v>
      </c>
      <c r="L505" s="300" t="s">
        <v>2167</v>
      </c>
      <c r="M505" s="227" t="s">
        <v>336</v>
      </c>
      <c r="N505" s="225" t="s">
        <v>337</v>
      </c>
      <c r="O505" s="225" t="s">
        <v>179</v>
      </c>
      <c r="P505" s="229">
        <v>36</v>
      </c>
      <c r="Q505" s="229">
        <v>5</v>
      </c>
      <c r="R505" s="230">
        <v>7.4999999999999997E-3</v>
      </c>
      <c r="S505" s="225" t="s">
        <v>111</v>
      </c>
      <c r="T505" s="225" t="s">
        <v>112</v>
      </c>
      <c r="U505" s="225" t="s">
        <v>113</v>
      </c>
      <c r="V505" s="231">
        <f>1288-692</f>
        <v>596</v>
      </c>
      <c r="W505" s="231">
        <f>1288-692</f>
        <v>596</v>
      </c>
      <c r="X505" s="232"/>
      <c r="Y505" s="233">
        <f t="shared" si="159"/>
        <v>0</v>
      </c>
      <c r="Z505" s="234">
        <f t="shared" si="160"/>
        <v>0</v>
      </c>
      <c r="AA505" s="234"/>
      <c r="AB505" s="822"/>
      <c r="AC505" s="231"/>
      <c r="AD505" s="307" t="s">
        <v>672</v>
      </c>
      <c r="AE505" s="210"/>
      <c r="AF505" s="210"/>
      <c r="AG505" s="211">
        <f t="shared" si="155"/>
        <v>0.14499999999999999</v>
      </c>
      <c r="AH505" s="157">
        <f t="shared" si="161"/>
        <v>0</v>
      </c>
      <c r="AI505" s="152">
        <f t="shared" si="157"/>
        <v>21456</v>
      </c>
      <c r="AK505" s="156" t="s">
        <v>691</v>
      </c>
      <c r="AL505" s="574" t="s">
        <v>690</v>
      </c>
      <c r="AM505" s="198">
        <f t="shared" si="162"/>
        <v>0</v>
      </c>
      <c r="AN505" s="199">
        <f t="shared" si="146"/>
        <v>45377</v>
      </c>
      <c r="AO505" s="159" t="s">
        <v>692</v>
      </c>
      <c r="AP505" s="783" t="s">
        <v>639</v>
      </c>
      <c r="AQ505" s="782">
        <v>12071839</v>
      </c>
      <c r="AR505" s="782">
        <v>12047514</v>
      </c>
      <c r="AS505" s="782">
        <v>12047515</v>
      </c>
      <c r="AT505" s="782">
        <v>12054919</v>
      </c>
      <c r="AU505" s="781"/>
      <c r="AV505" s="782">
        <v>12054869</v>
      </c>
      <c r="AW505" s="782">
        <v>12024404</v>
      </c>
      <c r="AX505" s="781"/>
      <c r="AY505" s="782">
        <v>12054815</v>
      </c>
      <c r="AZ505" s="781"/>
      <c r="BA505" s="781"/>
    </row>
    <row r="506" spans="1:53" ht="25" hidden="1" customHeight="1">
      <c r="B506" s="597">
        <v>45377</v>
      </c>
      <c r="C506" s="383">
        <v>45392</v>
      </c>
      <c r="D506" s="185">
        <f t="shared" si="144"/>
        <v>2024</v>
      </c>
      <c r="E506" s="224" t="str">
        <f>VLOOKUP($B506,Week!$A$1:$C$1462,2,0)</f>
        <v>Week13</v>
      </c>
      <c r="F506" s="226" t="str">
        <f t="shared" si="145"/>
        <v>Mar</v>
      </c>
      <c r="G506" s="225" t="s">
        <v>1172</v>
      </c>
      <c r="H506" s="225" t="s">
        <v>225</v>
      </c>
      <c r="I506" s="225" t="s">
        <v>2773</v>
      </c>
      <c r="J506" s="227" t="s">
        <v>335</v>
      </c>
      <c r="K506" s="228" t="s">
        <v>176</v>
      </c>
      <c r="L506" s="300" t="s">
        <v>2167</v>
      </c>
      <c r="M506" s="227" t="s">
        <v>336</v>
      </c>
      <c r="N506" s="225" t="s">
        <v>337</v>
      </c>
      <c r="O506" s="225" t="s">
        <v>179</v>
      </c>
      <c r="P506" s="229">
        <v>36</v>
      </c>
      <c r="Q506" s="229">
        <v>5</v>
      </c>
      <c r="R506" s="230">
        <v>7.4999999999999997E-3</v>
      </c>
      <c r="S506" s="225" t="s">
        <v>111</v>
      </c>
      <c r="T506" s="225" t="s">
        <v>112</v>
      </c>
      <c r="U506" s="225" t="s">
        <v>113</v>
      </c>
      <c r="V506" s="231">
        <v>1288</v>
      </c>
      <c r="W506" s="231">
        <v>1288</v>
      </c>
      <c r="X506" s="232"/>
      <c r="Y506" s="233">
        <f t="shared" si="159"/>
        <v>0</v>
      </c>
      <c r="Z506" s="234">
        <f t="shared" si="160"/>
        <v>0</v>
      </c>
      <c r="AA506" s="234"/>
      <c r="AB506" s="822"/>
      <c r="AC506" s="231"/>
      <c r="AD506" s="307" t="s">
        <v>672</v>
      </c>
      <c r="AE506" s="210"/>
      <c r="AF506" s="210"/>
      <c r="AG506" s="211">
        <f t="shared" si="155"/>
        <v>0.14499999999999999</v>
      </c>
      <c r="AH506" s="157">
        <f t="shared" si="161"/>
        <v>0</v>
      </c>
      <c r="AI506" s="152">
        <f t="shared" si="157"/>
        <v>46368</v>
      </c>
      <c r="AK506" s="156" t="s">
        <v>691</v>
      </c>
      <c r="AL506" s="574" t="s">
        <v>690</v>
      </c>
      <c r="AM506" s="198">
        <f t="shared" si="162"/>
        <v>0</v>
      </c>
      <c r="AN506" s="199">
        <f t="shared" si="146"/>
        <v>45377</v>
      </c>
      <c r="AO506" s="159" t="s">
        <v>692</v>
      </c>
      <c r="AP506" s="783" t="s">
        <v>639</v>
      </c>
      <c r="AQ506" s="782">
        <v>12071839</v>
      </c>
      <c r="AR506" s="782">
        <v>12047514</v>
      </c>
      <c r="AS506" s="782">
        <v>12047515</v>
      </c>
      <c r="AT506" s="782">
        <v>12054919</v>
      </c>
      <c r="AU506" s="781"/>
      <c r="AV506" s="782">
        <v>12054869</v>
      </c>
      <c r="AW506" s="782">
        <v>12024404</v>
      </c>
      <c r="AX506" s="781"/>
      <c r="AY506" s="782">
        <v>12054815</v>
      </c>
      <c r="AZ506" s="781"/>
      <c r="BA506" s="781"/>
    </row>
    <row r="507" spans="1:53" ht="25" hidden="1" customHeight="1">
      <c r="B507" s="597">
        <v>45377</v>
      </c>
      <c r="C507" s="383">
        <v>45392</v>
      </c>
      <c r="D507" s="185">
        <f t="shared" si="144"/>
        <v>2024</v>
      </c>
      <c r="E507" s="224" t="str">
        <f>VLOOKUP($B507,Week!$A$1:$C$1462,2,0)</f>
        <v>Week13</v>
      </c>
      <c r="F507" s="226" t="str">
        <f t="shared" si="145"/>
        <v>Mar</v>
      </c>
      <c r="G507" s="225" t="s">
        <v>1263</v>
      </c>
      <c r="H507" s="225" t="s">
        <v>225</v>
      </c>
      <c r="I507" s="225" t="s">
        <v>2773</v>
      </c>
      <c r="J507" s="227" t="s">
        <v>335</v>
      </c>
      <c r="K507" s="228" t="s">
        <v>176</v>
      </c>
      <c r="L507" s="300" t="s">
        <v>2167</v>
      </c>
      <c r="M507" s="227" t="s">
        <v>336</v>
      </c>
      <c r="N507" s="225" t="s">
        <v>337</v>
      </c>
      <c r="O507" s="225" t="s">
        <v>179</v>
      </c>
      <c r="P507" s="229">
        <v>36</v>
      </c>
      <c r="Q507" s="229">
        <v>5</v>
      </c>
      <c r="R507" s="230">
        <v>7.4999999999999997E-3</v>
      </c>
      <c r="S507" s="225" t="s">
        <v>111</v>
      </c>
      <c r="T507" s="225" t="s">
        <v>112</v>
      </c>
      <c r="U507" s="225" t="s">
        <v>113</v>
      </c>
      <c r="V507" s="231">
        <v>1288</v>
      </c>
      <c r="W507" s="231">
        <v>1288</v>
      </c>
      <c r="X507" s="232"/>
      <c r="Y507" s="233">
        <f t="shared" si="159"/>
        <v>0</v>
      </c>
      <c r="Z507" s="234">
        <f t="shared" si="160"/>
        <v>0</v>
      </c>
      <c r="AA507" s="234"/>
      <c r="AB507" s="822"/>
      <c r="AC507" s="231"/>
      <c r="AD507" s="307" t="s">
        <v>672</v>
      </c>
      <c r="AE507" s="210"/>
      <c r="AF507" s="210"/>
      <c r="AG507" s="211">
        <f t="shared" si="155"/>
        <v>0.14499999999999999</v>
      </c>
      <c r="AH507" s="157">
        <f t="shared" si="161"/>
        <v>0</v>
      </c>
      <c r="AI507" s="152">
        <f t="shared" si="157"/>
        <v>46368</v>
      </c>
      <c r="AK507" s="156" t="s">
        <v>691</v>
      </c>
      <c r="AL507" s="574" t="s">
        <v>690</v>
      </c>
      <c r="AM507" s="198">
        <f t="shared" si="162"/>
        <v>0</v>
      </c>
      <c r="AN507" s="199">
        <f t="shared" si="146"/>
        <v>45377</v>
      </c>
      <c r="AO507" s="159" t="s">
        <v>692</v>
      </c>
      <c r="AP507" s="783" t="s">
        <v>639</v>
      </c>
      <c r="AQ507" s="782">
        <v>12071839</v>
      </c>
      <c r="AR507" s="782">
        <v>12047514</v>
      </c>
      <c r="AS507" s="782">
        <v>12047515</v>
      </c>
      <c r="AT507" s="782">
        <v>12054919</v>
      </c>
      <c r="AU507" s="781"/>
      <c r="AV507" s="782">
        <v>12054869</v>
      </c>
      <c r="AW507" s="782">
        <v>12024404</v>
      </c>
      <c r="AX507" s="781"/>
      <c r="AY507" s="782">
        <v>12054815</v>
      </c>
      <c r="AZ507" s="781"/>
      <c r="BA507" s="781"/>
    </row>
    <row r="508" spans="1:53" ht="25" hidden="1" customHeight="1">
      <c r="B508" s="597">
        <v>45377</v>
      </c>
      <c r="C508" s="383">
        <v>45392</v>
      </c>
      <c r="D508" s="185">
        <f t="shared" si="144"/>
        <v>2024</v>
      </c>
      <c r="E508" s="224" t="str">
        <f>VLOOKUP($B508,Week!$A$1:$C$1462,2,0)</f>
        <v>Week13</v>
      </c>
      <c r="F508" s="226" t="str">
        <f t="shared" si="145"/>
        <v>Mar</v>
      </c>
      <c r="G508" s="225" t="s">
        <v>1264</v>
      </c>
      <c r="H508" s="225" t="s">
        <v>225</v>
      </c>
      <c r="I508" s="225" t="s">
        <v>2773</v>
      </c>
      <c r="J508" s="227" t="s">
        <v>335</v>
      </c>
      <c r="K508" s="228" t="s">
        <v>176</v>
      </c>
      <c r="L508" s="300" t="s">
        <v>2167</v>
      </c>
      <c r="M508" s="227" t="s">
        <v>336</v>
      </c>
      <c r="N508" s="225" t="s">
        <v>337</v>
      </c>
      <c r="O508" s="225" t="s">
        <v>179</v>
      </c>
      <c r="P508" s="229">
        <v>36</v>
      </c>
      <c r="Q508" s="229">
        <v>5</v>
      </c>
      <c r="R508" s="230">
        <v>7.4999999999999997E-3</v>
      </c>
      <c r="S508" s="225" t="s">
        <v>111</v>
      </c>
      <c r="T508" s="225" t="s">
        <v>112</v>
      </c>
      <c r="U508" s="225" t="s">
        <v>113</v>
      </c>
      <c r="V508" s="231">
        <v>1288</v>
      </c>
      <c r="W508" s="231">
        <f>4110-596-1288-1288+85</f>
        <v>1023</v>
      </c>
      <c r="X508" s="232">
        <f>(7857+2242)/36</f>
        <v>280.52777777777777</v>
      </c>
      <c r="Y508" s="233">
        <f t="shared" si="159"/>
        <v>15.527777777777828</v>
      </c>
      <c r="Z508" s="234">
        <f t="shared" si="160"/>
        <v>0</v>
      </c>
      <c r="AA508" s="234"/>
      <c r="AB508" s="822"/>
      <c r="AC508" s="231"/>
      <c r="AD508" s="307" t="s">
        <v>672</v>
      </c>
      <c r="AE508" s="210"/>
      <c r="AF508" s="210"/>
      <c r="AG508" s="211">
        <f t="shared" si="155"/>
        <v>0.14499999999999999</v>
      </c>
      <c r="AH508" s="157">
        <f t="shared" si="161"/>
        <v>0</v>
      </c>
      <c r="AI508" s="152">
        <f t="shared" si="157"/>
        <v>46368</v>
      </c>
      <c r="AK508" s="156" t="s">
        <v>691</v>
      </c>
      <c r="AL508" s="574" t="s">
        <v>690</v>
      </c>
      <c r="AM508" s="198">
        <f t="shared" si="162"/>
        <v>0</v>
      </c>
      <c r="AN508" s="199">
        <f t="shared" si="146"/>
        <v>45377</v>
      </c>
      <c r="AO508" s="159" t="s">
        <v>692</v>
      </c>
      <c r="AP508" s="783" t="s">
        <v>639</v>
      </c>
      <c r="AQ508" s="782">
        <v>12071839</v>
      </c>
      <c r="AR508" s="782">
        <v>12047514</v>
      </c>
      <c r="AS508" s="782">
        <v>12047515</v>
      </c>
      <c r="AT508" s="782">
        <v>12054919</v>
      </c>
      <c r="AU508" s="781"/>
      <c r="AV508" s="782">
        <v>12054869</v>
      </c>
      <c r="AW508" s="782">
        <v>12024404</v>
      </c>
      <c r="AX508" s="781"/>
      <c r="AY508" s="782">
        <v>12054815</v>
      </c>
      <c r="AZ508" s="781"/>
      <c r="BA508" s="781"/>
    </row>
    <row r="509" spans="1:53" ht="25" hidden="1" customHeight="1">
      <c r="A509" s="142" t="s">
        <v>120</v>
      </c>
      <c r="B509" s="466">
        <v>45377</v>
      </c>
      <c r="C509" s="467">
        <v>45387</v>
      </c>
      <c r="D509" s="185">
        <f t="shared" si="144"/>
        <v>2024</v>
      </c>
      <c r="E509" s="468" t="str">
        <f>VLOOKUP($B509,Week!$A$1:$C$1462,2,0)</f>
        <v>Week13</v>
      </c>
      <c r="F509" s="469" t="str">
        <f t="shared" si="145"/>
        <v>Mar</v>
      </c>
      <c r="G509" s="470" t="s">
        <v>1019</v>
      </c>
      <c r="H509" s="468" t="s">
        <v>82</v>
      </c>
      <c r="I509" s="468" t="s">
        <v>82</v>
      </c>
      <c r="J509" s="471" t="s">
        <v>720</v>
      </c>
      <c r="K509" s="472" t="s">
        <v>85</v>
      </c>
      <c r="L509" s="390" t="s">
        <v>2166</v>
      </c>
      <c r="M509" s="471" t="s">
        <v>579</v>
      </c>
      <c r="N509" s="468" t="s">
        <v>580</v>
      </c>
      <c r="O509" s="468" t="s">
        <v>581</v>
      </c>
      <c r="P509" s="473">
        <v>8</v>
      </c>
      <c r="Q509" s="473">
        <v>60</v>
      </c>
      <c r="R509" s="474">
        <v>6.8100000000000001E-3</v>
      </c>
      <c r="S509" s="468" t="s">
        <v>76</v>
      </c>
      <c r="T509" s="468" t="s">
        <v>56</v>
      </c>
      <c r="U509" s="468" t="s">
        <v>89</v>
      </c>
      <c r="V509" s="475">
        <f>1408-286-539-538</f>
        <v>45</v>
      </c>
      <c r="W509" s="475">
        <v>45</v>
      </c>
      <c r="X509" s="476"/>
      <c r="Y509" s="477">
        <f t="shared" si="159"/>
        <v>0</v>
      </c>
      <c r="Z509" s="478">
        <f t="shared" si="160"/>
        <v>0</v>
      </c>
      <c r="AA509" s="478">
        <f>Q509*Z509</f>
        <v>0</v>
      </c>
      <c r="AB509" s="828">
        <v>6</v>
      </c>
      <c r="AC509" s="475">
        <f>Z509*AB509</f>
        <v>0</v>
      </c>
      <c r="AD509" s="209"/>
      <c r="AE509" s="210"/>
      <c r="AF509" s="210"/>
      <c r="AG509" s="211">
        <f t="shared" si="155"/>
        <v>0.75</v>
      </c>
      <c r="AH509" s="157">
        <f t="shared" si="161"/>
        <v>0</v>
      </c>
      <c r="AI509" s="152">
        <f t="shared" si="157"/>
        <v>360</v>
      </c>
      <c r="AK509" s="156" t="s">
        <v>691</v>
      </c>
      <c r="AL509" s="156" t="s">
        <v>689</v>
      </c>
      <c r="AM509" s="198">
        <f t="shared" si="162"/>
        <v>0</v>
      </c>
      <c r="AN509" s="199">
        <f t="shared" si="146"/>
        <v>45377</v>
      </c>
      <c r="AO509" s="159" t="s">
        <v>692</v>
      </c>
      <c r="AP509" s="783" t="s">
        <v>622</v>
      </c>
      <c r="AQ509" s="782">
        <v>12004862</v>
      </c>
      <c r="AR509" s="782">
        <v>12080753</v>
      </c>
      <c r="AS509" s="782"/>
      <c r="AT509" s="782">
        <v>12082897</v>
      </c>
      <c r="AU509" s="781"/>
      <c r="AV509" s="782">
        <v>12082898</v>
      </c>
      <c r="AW509" s="782">
        <v>12082899</v>
      </c>
      <c r="AX509" s="796" t="s">
        <v>621</v>
      </c>
      <c r="AY509" s="782"/>
      <c r="AZ509" s="782"/>
      <c r="BA509" s="781"/>
    </row>
    <row r="510" spans="1:53" ht="24.75" hidden="1" customHeight="1">
      <c r="A510" s="142" t="s">
        <v>120</v>
      </c>
      <c r="B510" s="308">
        <v>45377</v>
      </c>
      <c r="C510" s="309">
        <v>45383</v>
      </c>
      <c r="D510" s="185">
        <f t="shared" si="144"/>
        <v>2024</v>
      </c>
      <c r="E510" s="519" t="str">
        <f>VLOOKUP($B510,Week!$A$1:$C$1462,2,0)</f>
        <v>Week13</v>
      </c>
      <c r="F510" s="520" t="str">
        <f t="shared" si="145"/>
        <v>Mar</v>
      </c>
      <c r="G510" s="446" t="s">
        <v>47</v>
      </c>
      <c r="H510" s="311" t="s">
        <v>518</v>
      </c>
      <c r="I510" s="298" t="s">
        <v>2702</v>
      </c>
      <c r="J510" s="312" t="s">
        <v>70</v>
      </c>
      <c r="K510" s="313" t="s">
        <v>85</v>
      </c>
      <c r="L510" s="390" t="s">
        <v>2166</v>
      </c>
      <c r="M510" s="312" t="s">
        <v>515</v>
      </c>
      <c r="N510" s="311" t="s">
        <v>588</v>
      </c>
      <c r="O510" s="311" t="s">
        <v>546</v>
      </c>
      <c r="P510" s="314">
        <v>12</v>
      </c>
      <c r="Q510" s="314">
        <v>20</v>
      </c>
      <c r="R510" s="315">
        <v>6.1999999999999998E-3</v>
      </c>
      <c r="S510" s="311" t="s">
        <v>352</v>
      </c>
      <c r="T510" s="311" t="s">
        <v>56</v>
      </c>
      <c r="U510" s="311"/>
      <c r="V510" s="316">
        <f>153</f>
        <v>153</v>
      </c>
      <c r="W510" s="316">
        <v>153</v>
      </c>
      <c r="X510" s="317"/>
      <c r="Y510" s="318">
        <f t="shared" si="159"/>
        <v>0</v>
      </c>
      <c r="Z510" s="319">
        <f t="shared" si="160"/>
        <v>0</v>
      </c>
      <c r="AA510" s="319">
        <f>Q510*Z510</f>
        <v>0</v>
      </c>
      <c r="AB510" s="815"/>
      <c r="AC510" s="316">
        <f>Z510*AB510</f>
        <v>0</v>
      </c>
      <c r="AD510" s="209"/>
      <c r="AE510" s="210"/>
      <c r="AF510" s="210"/>
      <c r="AG510" s="211">
        <f t="shared" si="155"/>
        <v>0.22</v>
      </c>
      <c r="AH510" s="157">
        <f t="shared" si="161"/>
        <v>0</v>
      </c>
      <c r="AI510" s="152">
        <f t="shared" si="157"/>
        <v>1836</v>
      </c>
      <c r="AK510" s="156" t="s">
        <v>691</v>
      </c>
      <c r="AL510" s="156" t="s">
        <v>689</v>
      </c>
      <c r="AM510" s="198">
        <f t="shared" ref="AM510:AM516" si="163">AG510*Z510</f>
        <v>0</v>
      </c>
      <c r="AN510" s="199">
        <f t="shared" si="146"/>
        <v>45377</v>
      </c>
      <c r="AO510" s="159" t="s">
        <v>692</v>
      </c>
      <c r="AP510" s="783" t="s">
        <v>613</v>
      </c>
      <c r="AQ510" s="782"/>
      <c r="AR510" s="782" t="s">
        <v>614</v>
      </c>
      <c r="AS510" s="782"/>
      <c r="AT510" s="782">
        <v>12083140</v>
      </c>
      <c r="AU510" s="781"/>
      <c r="AV510" s="782">
        <v>12083143</v>
      </c>
      <c r="AW510" s="782"/>
      <c r="AX510" s="782"/>
      <c r="AY510" s="782"/>
      <c r="AZ510" s="782"/>
      <c r="BA510" s="781"/>
    </row>
    <row r="511" spans="1:53" ht="24.75" hidden="1" customHeight="1">
      <c r="A511" s="142" t="s">
        <v>120</v>
      </c>
      <c r="B511" s="308">
        <v>45377</v>
      </c>
      <c r="C511" s="309">
        <v>45383</v>
      </c>
      <c r="D511" s="185">
        <f t="shared" si="144"/>
        <v>2024</v>
      </c>
      <c r="E511" s="519" t="str">
        <f>VLOOKUP($B511,Week!$A$1:$C$1462,2,0)</f>
        <v>Week13</v>
      </c>
      <c r="F511" s="520" t="str">
        <f t="shared" si="145"/>
        <v>Mar</v>
      </c>
      <c r="G511" s="446" t="s">
        <v>47</v>
      </c>
      <c r="H511" s="311" t="s">
        <v>518</v>
      </c>
      <c r="I511" s="298" t="s">
        <v>2702</v>
      </c>
      <c r="J511" s="312" t="s">
        <v>70</v>
      </c>
      <c r="K511" s="313" t="s">
        <v>85</v>
      </c>
      <c r="L511" s="390" t="s">
        <v>2166</v>
      </c>
      <c r="M511" s="312" t="s">
        <v>515</v>
      </c>
      <c r="N511" s="311" t="s">
        <v>588</v>
      </c>
      <c r="O511" s="311" t="s">
        <v>546</v>
      </c>
      <c r="P511" s="314">
        <v>12</v>
      </c>
      <c r="Q511" s="314">
        <v>20</v>
      </c>
      <c r="R511" s="315">
        <v>6.1999999999999998E-3</v>
      </c>
      <c r="S511" s="311" t="s">
        <v>352</v>
      </c>
      <c r="T511" s="311" t="s">
        <v>56</v>
      </c>
      <c r="U511" s="311"/>
      <c r="V511" s="316">
        <v>37</v>
      </c>
      <c r="W511" s="316">
        <v>37</v>
      </c>
      <c r="X511" s="317"/>
      <c r="Y511" s="318">
        <f t="shared" si="159"/>
        <v>0</v>
      </c>
      <c r="Z511" s="319">
        <f t="shared" si="160"/>
        <v>0</v>
      </c>
      <c r="AA511" s="319">
        <f>Q511*Z511</f>
        <v>0</v>
      </c>
      <c r="AB511" s="815"/>
      <c r="AC511" s="316">
        <f>Z511*AB511</f>
        <v>0</v>
      </c>
      <c r="AD511" s="209"/>
      <c r="AE511" s="210"/>
      <c r="AF511" s="210"/>
      <c r="AG511" s="211">
        <f t="shared" si="155"/>
        <v>0.22</v>
      </c>
      <c r="AH511" s="157">
        <f>(Z511*AG511)/1000</f>
        <v>0</v>
      </c>
      <c r="AI511" s="152">
        <f t="shared" si="157"/>
        <v>444</v>
      </c>
      <c r="AK511" s="156" t="s">
        <v>691</v>
      </c>
      <c r="AL511" s="156" t="s">
        <v>689</v>
      </c>
      <c r="AM511" s="198">
        <f>AG511*Z511</f>
        <v>0</v>
      </c>
      <c r="AN511" s="199">
        <f t="shared" si="146"/>
        <v>45377</v>
      </c>
      <c r="AO511" s="159" t="s">
        <v>692</v>
      </c>
      <c r="AP511" s="783" t="s">
        <v>613</v>
      </c>
      <c r="AQ511" s="782"/>
      <c r="AR511" s="782" t="s">
        <v>614</v>
      </c>
      <c r="AS511" s="782"/>
      <c r="AT511" s="782">
        <v>12083140</v>
      </c>
      <c r="AU511" s="781"/>
      <c r="AV511" s="782">
        <v>12083143</v>
      </c>
      <c r="AW511" s="782"/>
      <c r="AX511" s="782"/>
      <c r="AY511" s="782"/>
      <c r="AZ511" s="782"/>
      <c r="BA511" s="781"/>
    </row>
    <row r="512" spans="1:53" ht="25" hidden="1" customHeight="1">
      <c r="A512" s="142" t="s">
        <v>120</v>
      </c>
      <c r="B512" s="283">
        <v>45377</v>
      </c>
      <c r="C512" s="284">
        <v>45392</v>
      </c>
      <c r="D512" s="185">
        <f t="shared" si="144"/>
        <v>2024</v>
      </c>
      <c r="E512" s="286" t="str">
        <f>VLOOKUP($B512,Week!$A$1:$C$1462,2,0)</f>
        <v>Week13</v>
      </c>
      <c r="F512" s="285" t="str">
        <f t="shared" si="145"/>
        <v>Mar</v>
      </c>
      <c r="G512" s="286" t="s">
        <v>1144</v>
      </c>
      <c r="H512" s="286" t="s">
        <v>134</v>
      </c>
      <c r="I512" s="286" t="s">
        <v>2772</v>
      </c>
      <c r="J512" s="287" t="s">
        <v>164</v>
      </c>
      <c r="K512" s="288" t="s">
        <v>153</v>
      </c>
      <c r="L512" s="390" t="s">
        <v>2166</v>
      </c>
      <c r="M512" s="287" t="s">
        <v>214</v>
      </c>
      <c r="N512" s="286" t="s">
        <v>215</v>
      </c>
      <c r="O512" s="286" t="s">
        <v>504</v>
      </c>
      <c r="P512" s="289">
        <v>20</v>
      </c>
      <c r="Q512" s="289">
        <v>8</v>
      </c>
      <c r="R512" s="290">
        <v>1.4999999999999999E-2</v>
      </c>
      <c r="S512" s="286" t="s">
        <v>217</v>
      </c>
      <c r="T512" s="286" t="s">
        <v>56</v>
      </c>
      <c r="U512" s="286" t="s">
        <v>89</v>
      </c>
      <c r="V512" s="291">
        <f>500</f>
        <v>500</v>
      </c>
      <c r="W512" s="291">
        <f>71+429</f>
        <v>500</v>
      </c>
      <c r="X512" s="292"/>
      <c r="Y512" s="293">
        <f t="shared" si="159"/>
        <v>0</v>
      </c>
      <c r="Z512" s="294">
        <f t="shared" si="160"/>
        <v>0</v>
      </c>
      <c r="AA512" s="291">
        <f>Q512*Z512</f>
        <v>0</v>
      </c>
      <c r="AB512" s="813">
        <v>2</v>
      </c>
      <c r="AC512" s="291">
        <f>Z512*AB512</f>
        <v>0</v>
      </c>
      <c r="AD512" s="209" t="s">
        <v>218</v>
      </c>
      <c r="AE512" s="210"/>
      <c r="AF512" s="210"/>
      <c r="AG512" s="211">
        <f t="shared" si="155"/>
        <v>0.19400000000000001</v>
      </c>
      <c r="AH512" s="157">
        <f t="shared" si="161"/>
        <v>0</v>
      </c>
      <c r="AI512" s="152">
        <f t="shared" si="157"/>
        <v>10000</v>
      </c>
      <c r="AK512" s="156" t="s">
        <v>691</v>
      </c>
      <c r="AL512" s="156" t="s">
        <v>689</v>
      </c>
      <c r="AM512" s="198">
        <f t="shared" si="163"/>
        <v>0</v>
      </c>
      <c r="AN512" s="199">
        <f t="shared" si="146"/>
        <v>45377</v>
      </c>
      <c r="AO512" s="159" t="s">
        <v>692</v>
      </c>
      <c r="AP512" s="783" t="s">
        <v>610</v>
      </c>
      <c r="AQ512" s="782"/>
      <c r="AR512" s="782">
        <v>12064528</v>
      </c>
      <c r="AS512" s="782"/>
      <c r="AT512" s="782">
        <v>12064478</v>
      </c>
      <c r="AU512" s="781"/>
      <c r="AV512" s="782">
        <v>12064493</v>
      </c>
      <c r="AW512" s="782"/>
      <c r="AX512" s="782" t="s">
        <v>545</v>
      </c>
      <c r="AY512" s="782"/>
      <c r="AZ512" s="782"/>
      <c r="BA512" s="781"/>
    </row>
    <row r="513" spans="1:53" ht="25" hidden="1" customHeight="1">
      <c r="A513" s="440"/>
      <c r="B513" s="332">
        <v>45378</v>
      </c>
      <c r="C513" s="333">
        <v>45387</v>
      </c>
      <c r="D513" s="185">
        <f t="shared" si="144"/>
        <v>2024</v>
      </c>
      <c r="E513" s="333" t="str">
        <f>VLOOKUP($B513,Week!$A$1:$C$1462,2,0)</f>
        <v>Week13</v>
      </c>
      <c r="F513" s="334" t="str">
        <f t="shared" si="145"/>
        <v>Mar</v>
      </c>
      <c r="G513" s="335" t="s">
        <v>1082</v>
      </c>
      <c r="H513" s="335" t="s">
        <v>675</v>
      </c>
      <c r="I513" s="335" t="s">
        <v>2772</v>
      </c>
      <c r="J513" s="336" t="s">
        <v>709</v>
      </c>
      <c r="K513" s="337" t="s">
        <v>681</v>
      </c>
      <c r="L513" s="300" t="s">
        <v>2167</v>
      </c>
      <c r="M513" s="336" t="s">
        <v>683</v>
      </c>
      <c r="N513" s="530" t="s">
        <v>713</v>
      </c>
      <c r="O513" s="335" t="s">
        <v>684</v>
      </c>
      <c r="P513" s="338">
        <v>8</v>
      </c>
      <c r="Q513" s="338">
        <v>3</v>
      </c>
      <c r="R513" s="339">
        <v>6.0000000000000001E-3</v>
      </c>
      <c r="S513" s="335" t="s">
        <v>55</v>
      </c>
      <c r="T513" s="335" t="s">
        <v>112</v>
      </c>
      <c r="U513" s="340" t="s">
        <v>716</v>
      </c>
      <c r="V513" s="341">
        <v>162</v>
      </c>
      <c r="W513" s="341"/>
      <c r="X513" s="342">
        <f>(325+1077)/8</f>
        <v>175.25</v>
      </c>
      <c r="Y513" s="343">
        <f t="shared" si="159"/>
        <v>13.25</v>
      </c>
      <c r="Z513" s="344">
        <f t="shared" si="160"/>
        <v>0</v>
      </c>
      <c r="AA513" s="344"/>
      <c r="AB513" s="817"/>
      <c r="AC513" s="341"/>
      <c r="AD513" s="307" t="s">
        <v>672</v>
      </c>
      <c r="AE513" s="210"/>
      <c r="AF513" s="210"/>
      <c r="AG513" s="211">
        <f t="shared" si="155"/>
        <v>0.219</v>
      </c>
      <c r="AH513" s="157">
        <v>0.26621999999999996</v>
      </c>
      <c r="AI513" s="152">
        <f t="shared" si="157"/>
        <v>1296</v>
      </c>
      <c r="AK513" s="156" t="s">
        <v>691</v>
      </c>
      <c r="AL513" s="574" t="s">
        <v>690</v>
      </c>
      <c r="AM513" s="198">
        <f t="shared" si="163"/>
        <v>0</v>
      </c>
      <c r="AN513" s="199">
        <f t="shared" si="146"/>
        <v>45378</v>
      </c>
      <c r="AO513" s="159" t="s">
        <v>692</v>
      </c>
      <c r="AP513" s="781" t="s">
        <v>642</v>
      </c>
      <c r="AQ513" s="782"/>
      <c r="AR513" s="782"/>
      <c r="AS513" s="782"/>
      <c r="AT513" s="782"/>
      <c r="AU513" s="781"/>
      <c r="AV513" s="782"/>
      <c r="AW513" s="781"/>
      <c r="AX513" s="781"/>
      <c r="AY513" s="781"/>
      <c r="AZ513" s="782"/>
      <c r="BA513" s="781"/>
    </row>
    <row r="514" spans="1:53" ht="25.15" hidden="1" customHeight="1">
      <c r="B514" s="345">
        <v>45378</v>
      </c>
      <c r="C514" s="346">
        <v>45392</v>
      </c>
      <c r="D514" s="185">
        <f t="shared" si="144"/>
        <v>2024</v>
      </c>
      <c r="E514" s="347" t="str">
        <f>VLOOKUP($B514,Week!$A$1:$C$1462,2,0)</f>
        <v>Week13</v>
      </c>
      <c r="F514" s="348" t="str">
        <f t="shared" si="145"/>
        <v>Mar</v>
      </c>
      <c r="G514" s="347" t="s">
        <v>1029</v>
      </c>
      <c r="H514" s="347" t="s">
        <v>697</v>
      </c>
      <c r="I514" s="347" t="s">
        <v>2772</v>
      </c>
      <c r="J514" s="438" t="s">
        <v>425</v>
      </c>
      <c r="K514" s="350" t="s">
        <v>176</v>
      </c>
      <c r="L514" s="300" t="s">
        <v>2167</v>
      </c>
      <c r="M514" s="349" t="s">
        <v>426</v>
      </c>
      <c r="N514" s="479" t="s">
        <v>727</v>
      </c>
      <c r="O514" s="347" t="s">
        <v>599</v>
      </c>
      <c r="P514" s="351">
        <v>36</v>
      </c>
      <c r="Q514" s="351">
        <v>5</v>
      </c>
      <c r="R514" s="352">
        <v>7.4999999999999997E-3</v>
      </c>
      <c r="S514" s="347" t="s">
        <v>111</v>
      </c>
      <c r="T514" s="347" t="s">
        <v>112</v>
      </c>
      <c r="U514" s="347" t="s">
        <v>57</v>
      </c>
      <c r="V514" s="353">
        <v>1288</v>
      </c>
      <c r="W514" s="353">
        <v>1288</v>
      </c>
      <c r="X514" s="354"/>
      <c r="Y514" s="355">
        <f t="shared" si="159"/>
        <v>0</v>
      </c>
      <c r="Z514" s="356">
        <f t="shared" si="160"/>
        <v>0</v>
      </c>
      <c r="AA514" s="353"/>
      <c r="AB514" s="818"/>
      <c r="AC514" s="353"/>
      <c r="AD514" s="307" t="s">
        <v>728</v>
      </c>
      <c r="AE514" s="210"/>
      <c r="AF514" s="210"/>
      <c r="AG514" s="211">
        <f t="shared" si="155"/>
        <v>0.14799999999999999</v>
      </c>
      <c r="AH514" s="157">
        <f t="shared" ref="AH514:AH552" si="164">(Z514*AG514)/1000</f>
        <v>0</v>
      </c>
      <c r="AI514" s="152">
        <f t="shared" si="157"/>
        <v>46368</v>
      </c>
      <c r="AK514" s="156" t="s">
        <v>691</v>
      </c>
      <c r="AL514" s="574" t="s">
        <v>690</v>
      </c>
      <c r="AM514" s="198">
        <f t="shared" si="163"/>
        <v>0</v>
      </c>
      <c r="AN514" s="199">
        <f t="shared" si="146"/>
        <v>45378</v>
      </c>
      <c r="AO514" s="159" t="s">
        <v>692</v>
      </c>
      <c r="AP514" s="783" t="s">
        <v>609</v>
      </c>
      <c r="AQ514" s="782">
        <v>12071839</v>
      </c>
      <c r="AR514" s="782">
        <v>12047514</v>
      </c>
      <c r="AS514" s="782">
        <v>12047515</v>
      </c>
      <c r="AT514" s="782">
        <v>12062098</v>
      </c>
      <c r="AU514" s="782"/>
      <c r="AV514" s="782">
        <v>12062100</v>
      </c>
      <c r="AW514" s="782">
        <v>12024404</v>
      </c>
      <c r="AX514" s="781"/>
      <c r="AY514" s="782">
        <v>12062116</v>
      </c>
      <c r="AZ514" s="782"/>
      <c r="BA514" s="781"/>
    </row>
    <row r="515" spans="1:53" ht="25.15" hidden="1" customHeight="1">
      <c r="B515" s="345">
        <v>45378</v>
      </c>
      <c r="C515" s="346">
        <v>45399</v>
      </c>
      <c r="D515" s="185">
        <f t="shared" si="144"/>
        <v>2024</v>
      </c>
      <c r="E515" s="347" t="str">
        <f>VLOOKUP($B515,Week!$A$1:$C$1462,2,0)</f>
        <v>Week13</v>
      </c>
      <c r="F515" s="348" t="str">
        <f t="shared" si="145"/>
        <v>Mar</v>
      </c>
      <c r="G515" s="347" t="s">
        <v>1030</v>
      </c>
      <c r="H515" s="347" t="s">
        <v>424</v>
      </c>
      <c r="I515" s="347" t="s">
        <v>2772</v>
      </c>
      <c r="J515" s="438" t="s">
        <v>425</v>
      </c>
      <c r="K515" s="350" t="s">
        <v>176</v>
      </c>
      <c r="L515" s="300" t="s">
        <v>2167</v>
      </c>
      <c r="M515" s="349" t="s">
        <v>426</v>
      </c>
      <c r="N515" s="347" t="s">
        <v>427</v>
      </c>
      <c r="O515" s="347" t="s">
        <v>599</v>
      </c>
      <c r="P515" s="351">
        <v>36</v>
      </c>
      <c r="Q515" s="351">
        <v>5</v>
      </c>
      <c r="R515" s="352">
        <v>7.4999999999999997E-3</v>
      </c>
      <c r="S515" s="347" t="s">
        <v>111</v>
      </c>
      <c r="T515" s="347" t="s">
        <v>112</v>
      </c>
      <c r="U515" s="347" t="s">
        <v>57</v>
      </c>
      <c r="V515" s="353">
        <v>1288</v>
      </c>
      <c r="W515" s="353">
        <f>26+1262</f>
        <v>1288</v>
      </c>
      <c r="X515" s="354"/>
      <c r="Y515" s="355">
        <f t="shared" si="159"/>
        <v>0</v>
      </c>
      <c r="Z515" s="356">
        <f t="shared" si="160"/>
        <v>0</v>
      </c>
      <c r="AA515" s="353"/>
      <c r="AB515" s="818"/>
      <c r="AC515" s="353"/>
      <c r="AD515" s="307" t="s">
        <v>728</v>
      </c>
      <c r="AE515" s="210"/>
      <c r="AF515" s="210"/>
      <c r="AG515" s="211">
        <f t="shared" si="155"/>
        <v>0.14799999999999999</v>
      </c>
      <c r="AH515" s="157">
        <f t="shared" si="164"/>
        <v>0</v>
      </c>
      <c r="AI515" s="152">
        <f t="shared" si="157"/>
        <v>46368</v>
      </c>
      <c r="AK515" s="156" t="s">
        <v>691</v>
      </c>
      <c r="AL515" s="574" t="s">
        <v>690</v>
      </c>
      <c r="AM515" s="198">
        <f t="shared" si="163"/>
        <v>0</v>
      </c>
      <c r="AN515" s="199">
        <f t="shared" si="146"/>
        <v>45378</v>
      </c>
      <c r="AO515" s="159" t="s">
        <v>692</v>
      </c>
      <c r="AP515" s="783" t="s">
        <v>609</v>
      </c>
      <c r="AQ515" s="782">
        <v>12071839</v>
      </c>
      <c r="AR515" s="782">
        <v>12047514</v>
      </c>
      <c r="AS515" s="782">
        <v>12047515</v>
      </c>
      <c r="AT515" s="782">
        <v>12062098</v>
      </c>
      <c r="AU515" s="782"/>
      <c r="AV515" s="782">
        <v>12062100</v>
      </c>
      <c r="AW515" s="782">
        <v>12024404</v>
      </c>
      <c r="AX515" s="781"/>
      <c r="AY515" s="782">
        <v>12062116</v>
      </c>
      <c r="AZ515" s="782"/>
      <c r="BA515" s="781"/>
    </row>
    <row r="516" spans="1:53" ht="24.75" hidden="1" customHeight="1">
      <c r="B516" s="333">
        <v>45378</v>
      </c>
      <c r="C516" s="333">
        <v>45400</v>
      </c>
      <c r="D516" s="185">
        <f t="shared" si="144"/>
        <v>2024</v>
      </c>
      <c r="E516" s="335" t="str">
        <f>VLOOKUP($B516,Week!$A$1:$C$1462,2,0)</f>
        <v>Week13</v>
      </c>
      <c r="F516" s="334" t="str">
        <f t="shared" si="145"/>
        <v>Mar</v>
      </c>
      <c r="G516" s="335" t="s">
        <v>1159</v>
      </c>
      <c r="H516" s="335" t="s">
        <v>363</v>
      </c>
      <c r="I516" s="335" t="s">
        <v>2772</v>
      </c>
      <c r="J516" s="336" t="s">
        <v>364</v>
      </c>
      <c r="K516" s="337" t="s">
        <v>176</v>
      </c>
      <c r="L516" s="300" t="s">
        <v>2167</v>
      </c>
      <c r="M516" s="382" t="s">
        <v>646</v>
      </c>
      <c r="N516" s="335" t="s">
        <v>647</v>
      </c>
      <c r="O516" s="335" t="s">
        <v>599</v>
      </c>
      <c r="P516" s="338">
        <v>36</v>
      </c>
      <c r="Q516" s="338">
        <v>5</v>
      </c>
      <c r="R516" s="339">
        <v>8.0000000000000002E-3</v>
      </c>
      <c r="S516" s="335" t="s">
        <v>40</v>
      </c>
      <c r="T516" s="335" t="s">
        <v>112</v>
      </c>
      <c r="U516" s="335" t="s">
        <v>57</v>
      </c>
      <c r="V516" s="341">
        <f>1288</f>
        <v>1288</v>
      </c>
      <c r="W516" s="341">
        <f>320</f>
        <v>320</v>
      </c>
      <c r="X516" s="342">
        <f>(4134+31846)/36</f>
        <v>999.44444444444446</v>
      </c>
      <c r="Y516" s="343">
        <f t="shared" si="159"/>
        <v>31.444444444444343</v>
      </c>
      <c r="Z516" s="344">
        <f t="shared" si="160"/>
        <v>0</v>
      </c>
      <c r="AA516" s="344"/>
      <c r="AB516" s="821"/>
      <c r="AC516" s="341"/>
      <c r="AD516" s="209"/>
      <c r="AE516" s="210"/>
      <c r="AF516" s="210"/>
      <c r="AG516" s="211">
        <f t="shared" si="155"/>
        <v>0.14799999999999999</v>
      </c>
      <c r="AH516" s="157">
        <f t="shared" si="164"/>
        <v>0</v>
      </c>
      <c r="AI516" s="152">
        <f t="shared" si="157"/>
        <v>46368</v>
      </c>
      <c r="AK516" s="156" t="s">
        <v>691</v>
      </c>
      <c r="AL516" s="574" t="s">
        <v>690</v>
      </c>
      <c r="AM516" s="198">
        <f t="shared" si="163"/>
        <v>0</v>
      </c>
      <c r="AN516" s="199">
        <f t="shared" si="146"/>
        <v>45378</v>
      </c>
      <c r="AO516" s="159" t="s">
        <v>692</v>
      </c>
      <c r="AP516" s="781"/>
      <c r="AQ516" s="782">
        <v>12071839</v>
      </c>
      <c r="AR516" s="782">
        <v>12047514</v>
      </c>
      <c r="AS516" s="782">
        <v>12047515</v>
      </c>
      <c r="AT516" s="782"/>
      <c r="AU516" s="781"/>
      <c r="AV516" s="782"/>
      <c r="AW516" s="782"/>
      <c r="AX516" s="782"/>
      <c r="AY516" s="782"/>
      <c r="AZ516" s="782"/>
      <c r="BA516" s="781"/>
    </row>
    <row r="517" spans="1:53" ht="25" hidden="1" customHeight="1">
      <c r="A517" s="142" t="s">
        <v>120</v>
      </c>
      <c r="B517" s="559">
        <v>45378</v>
      </c>
      <c r="C517" s="560">
        <v>45392</v>
      </c>
      <c r="D517" s="185">
        <f t="shared" ref="D517:D580" si="165">IF(B517="","",YEAR(B517))</f>
        <v>2024</v>
      </c>
      <c r="E517" s="561" t="str">
        <f>VLOOKUP($B517,Week!$A$1:$C$1462,2,0)</f>
        <v>Week13</v>
      </c>
      <c r="F517" s="562" t="str">
        <f t="shared" ref="F517:F580" si="166">IF(B517="","",TEXT(B517,"[$-409]mmm"))</f>
        <v>Mar</v>
      </c>
      <c r="G517" s="561" t="s">
        <v>1145</v>
      </c>
      <c r="H517" s="561" t="s">
        <v>134</v>
      </c>
      <c r="I517" s="561" t="s">
        <v>2772</v>
      </c>
      <c r="J517" s="563" t="s">
        <v>164</v>
      </c>
      <c r="K517" s="564" t="s">
        <v>355</v>
      </c>
      <c r="L517" s="390" t="s">
        <v>2166</v>
      </c>
      <c r="M517" s="563" t="s">
        <v>356</v>
      </c>
      <c r="N517" s="561" t="s">
        <v>652</v>
      </c>
      <c r="O517" s="561" t="s">
        <v>508</v>
      </c>
      <c r="P517" s="565">
        <v>18</v>
      </c>
      <c r="Q517" s="565">
        <v>8</v>
      </c>
      <c r="R517" s="566">
        <v>5.0000000000000001E-3</v>
      </c>
      <c r="S517" s="561" t="s">
        <v>55</v>
      </c>
      <c r="T517" s="561" t="s">
        <v>56</v>
      </c>
      <c r="U517" s="561" t="s">
        <v>89</v>
      </c>
      <c r="V517" s="567">
        <f>300</f>
        <v>300</v>
      </c>
      <c r="W517" s="567">
        <f>39+261</f>
        <v>300</v>
      </c>
      <c r="X517" s="568"/>
      <c r="Y517" s="569">
        <f t="shared" si="159"/>
        <v>0</v>
      </c>
      <c r="Z517" s="570">
        <f t="shared" si="160"/>
        <v>0</v>
      </c>
      <c r="AA517" s="570">
        <f>Q517*Z517</f>
        <v>0</v>
      </c>
      <c r="AB517" s="834">
        <v>2</v>
      </c>
      <c r="AC517" s="567">
        <f>Z517*AB517</f>
        <v>0</v>
      </c>
      <c r="AD517" s="209"/>
      <c r="AE517" s="210"/>
      <c r="AF517" s="210"/>
      <c r="AG517" s="211">
        <f>MID(O517,1,2)/1000</f>
        <v>0.09</v>
      </c>
      <c r="AH517" s="157">
        <f t="shared" si="164"/>
        <v>0</v>
      </c>
      <c r="AI517" s="152">
        <f t="shared" si="157"/>
        <v>5400</v>
      </c>
      <c r="AK517" s="156" t="s">
        <v>691</v>
      </c>
      <c r="AL517" s="156" t="s">
        <v>689</v>
      </c>
      <c r="AM517" s="198">
        <f t="shared" ref="AM517:AM527" si="167">AG517*Z517</f>
        <v>0</v>
      </c>
      <c r="AN517" s="199">
        <f t="shared" ref="AN517:AN580" si="168">B517</f>
        <v>45378</v>
      </c>
      <c r="AO517" s="159" t="s">
        <v>692</v>
      </c>
      <c r="AP517" s="783"/>
      <c r="AQ517" s="782"/>
      <c r="AR517" s="782"/>
      <c r="AS517" s="782"/>
      <c r="AT517" s="782"/>
      <c r="AU517" s="782"/>
      <c r="AV517" s="782"/>
      <c r="AW517" s="782"/>
      <c r="AX517" s="782"/>
      <c r="AY517" s="782"/>
      <c r="AZ517" s="782"/>
      <c r="BA517" s="781"/>
    </row>
    <row r="518" spans="1:53" ht="24.65" hidden="1" customHeight="1">
      <c r="A518" s="142" t="s">
        <v>120</v>
      </c>
      <c r="B518" s="357">
        <v>45378</v>
      </c>
      <c r="C518" s="358">
        <v>45414</v>
      </c>
      <c r="D518" s="185">
        <f t="shared" si="165"/>
        <v>2024</v>
      </c>
      <c r="E518" s="359" t="str">
        <f>VLOOKUP($B518,Week!$A$1:$C$1462,2,0)</f>
        <v>Week13</v>
      </c>
      <c r="F518" s="360" t="str">
        <f t="shared" si="166"/>
        <v>Mar</v>
      </c>
      <c r="G518" s="359" t="s">
        <v>1243</v>
      </c>
      <c r="H518" s="359" t="s">
        <v>344</v>
      </c>
      <c r="I518" s="359" t="s">
        <v>2772</v>
      </c>
      <c r="J518" s="361" t="s">
        <v>345</v>
      </c>
      <c r="K518" s="362" t="s">
        <v>355</v>
      </c>
      <c r="L518" s="390" t="s">
        <v>2166</v>
      </c>
      <c r="M518" s="361" t="s">
        <v>356</v>
      </c>
      <c r="N518" s="359" t="s">
        <v>357</v>
      </c>
      <c r="O518" s="359" t="s">
        <v>508</v>
      </c>
      <c r="P518" s="363">
        <v>18</v>
      </c>
      <c r="Q518" s="363">
        <v>8</v>
      </c>
      <c r="R518" s="364">
        <v>6.0000000000000001E-3</v>
      </c>
      <c r="S518" s="359" t="s">
        <v>55</v>
      </c>
      <c r="T518" s="359" t="s">
        <v>56</v>
      </c>
      <c r="U518" s="359" t="s">
        <v>89</v>
      </c>
      <c r="V518" s="365">
        <f>200</f>
        <v>200</v>
      </c>
      <c r="W518" s="365">
        <f>54+143+3</f>
        <v>200</v>
      </c>
      <c r="X518" s="366">
        <f>(558)/18</f>
        <v>31</v>
      </c>
      <c r="Y518" s="367">
        <f t="shared" si="159"/>
        <v>31</v>
      </c>
      <c r="Z518" s="368">
        <f t="shared" si="160"/>
        <v>0</v>
      </c>
      <c r="AA518" s="368">
        <f>Q518*Z518</f>
        <v>0</v>
      </c>
      <c r="AB518" s="819">
        <v>2</v>
      </c>
      <c r="AC518" s="365">
        <f>Z518*AB518</f>
        <v>0</v>
      </c>
      <c r="AD518" s="443"/>
      <c r="AE518" s="210"/>
      <c r="AF518" s="210"/>
      <c r="AG518" s="211">
        <f>MID(O518,1,2)/1000</f>
        <v>0.09</v>
      </c>
      <c r="AH518" s="157">
        <f t="shared" si="164"/>
        <v>0</v>
      </c>
      <c r="AI518" s="152">
        <f t="shared" si="157"/>
        <v>3600</v>
      </c>
      <c r="AK518" s="156" t="s">
        <v>691</v>
      </c>
      <c r="AL518" s="156" t="s">
        <v>689</v>
      </c>
      <c r="AM518" s="198">
        <f t="shared" si="167"/>
        <v>0</v>
      </c>
      <c r="AN518" s="199">
        <f t="shared" si="168"/>
        <v>45378</v>
      </c>
      <c r="AO518" s="159" t="s">
        <v>692</v>
      </c>
      <c r="AP518" s="781"/>
      <c r="AQ518" s="782"/>
      <c r="AR518" s="782" t="s">
        <v>531</v>
      </c>
      <c r="AS518" s="782"/>
      <c r="AT518" s="782"/>
      <c r="AU518" s="782">
        <v>12054219</v>
      </c>
      <c r="AV518" s="782">
        <v>12054239</v>
      </c>
      <c r="AW518" s="782"/>
      <c r="AX518" s="782" t="s">
        <v>532</v>
      </c>
      <c r="AY518" s="782"/>
      <c r="AZ518" s="782"/>
      <c r="BA518" s="781"/>
    </row>
    <row r="519" spans="1:53" ht="26.25" hidden="1" customHeight="1">
      <c r="A519" s="142" t="s">
        <v>120</v>
      </c>
      <c r="B519" s="235">
        <v>45378</v>
      </c>
      <c r="C519" s="235">
        <v>45406</v>
      </c>
      <c r="D519" s="185">
        <f t="shared" si="165"/>
        <v>2024</v>
      </c>
      <c r="E519" s="236" t="str">
        <f>VLOOKUP($B519,Week!$A$1:$C$1462,2,0)</f>
        <v>Week13</v>
      </c>
      <c r="F519" s="237" t="str">
        <f t="shared" si="166"/>
        <v>Mar</v>
      </c>
      <c r="G519" s="236" t="s">
        <v>1114</v>
      </c>
      <c r="H519" s="236" t="s">
        <v>392</v>
      </c>
      <c r="I519" s="236" t="s">
        <v>2772</v>
      </c>
      <c r="J519" s="238" t="s">
        <v>393</v>
      </c>
      <c r="K519" s="239" t="s">
        <v>153</v>
      </c>
      <c r="L519" s="390" t="s">
        <v>2166</v>
      </c>
      <c r="M519" s="238" t="s">
        <v>165</v>
      </c>
      <c r="N519" s="236" t="s">
        <v>685</v>
      </c>
      <c r="O519" s="236" t="s">
        <v>167</v>
      </c>
      <c r="P519" s="240">
        <v>20</v>
      </c>
      <c r="Q519" s="240">
        <v>12</v>
      </c>
      <c r="R519" s="241">
        <v>6.8100000000000001E-3</v>
      </c>
      <c r="S519" s="236" t="s">
        <v>76</v>
      </c>
      <c r="T519" s="236" t="s">
        <v>56</v>
      </c>
      <c r="U519" s="236" t="s">
        <v>89</v>
      </c>
      <c r="V519" s="242">
        <v>350</v>
      </c>
      <c r="W519" s="242"/>
      <c r="X519" s="243">
        <v>350</v>
      </c>
      <c r="Y519" s="244">
        <f t="shared" si="159"/>
        <v>0</v>
      </c>
      <c r="Z519" s="245">
        <f t="shared" si="160"/>
        <v>0</v>
      </c>
      <c r="AA519" s="245">
        <f>Q519*Z519</f>
        <v>0</v>
      </c>
      <c r="AB519" s="809">
        <v>2</v>
      </c>
      <c r="AC519" s="242">
        <f>Z519*AB519</f>
        <v>0</v>
      </c>
      <c r="AD519" s="307" t="s">
        <v>672</v>
      </c>
      <c r="AE519" s="210"/>
      <c r="AF519" s="210"/>
      <c r="AG519" s="211">
        <f t="shared" ref="AG519:AG543" si="169">MID(O519,1,3)/1000</f>
        <v>0.154</v>
      </c>
      <c r="AH519" s="157">
        <f t="shared" si="164"/>
        <v>0</v>
      </c>
      <c r="AI519" s="152">
        <f t="shared" si="157"/>
        <v>7000</v>
      </c>
      <c r="AK519" s="156" t="s">
        <v>691</v>
      </c>
      <c r="AL519" s="156" t="s">
        <v>689</v>
      </c>
      <c r="AM519" s="198">
        <f t="shared" si="167"/>
        <v>0</v>
      </c>
      <c r="AN519" s="199">
        <f t="shared" si="168"/>
        <v>45378</v>
      </c>
      <c r="AO519" s="159" t="s">
        <v>692</v>
      </c>
      <c r="AP519" s="783"/>
      <c r="AQ519" s="781" t="s">
        <v>158</v>
      </c>
      <c r="AR519" s="783" t="s">
        <v>523</v>
      </c>
      <c r="AS519" s="781"/>
      <c r="AT519" s="783" t="s">
        <v>607</v>
      </c>
      <c r="AU519" s="781"/>
      <c r="AV519" s="783" t="s">
        <v>606</v>
      </c>
      <c r="AW519" s="781"/>
      <c r="AX519" s="781" t="s">
        <v>398</v>
      </c>
      <c r="AY519" s="781"/>
      <c r="AZ519" s="781"/>
      <c r="BA519" s="781"/>
    </row>
    <row r="520" spans="1:53" ht="25" hidden="1" customHeight="1">
      <c r="A520" s="142" t="s">
        <v>120</v>
      </c>
      <c r="B520" s="258">
        <v>45378</v>
      </c>
      <c r="C520" s="259">
        <v>45392</v>
      </c>
      <c r="D520" s="185">
        <f t="shared" si="165"/>
        <v>2024</v>
      </c>
      <c r="E520" s="260" t="str">
        <f>VLOOKUP($B520,Week!$A$1:$C$1462,2,0)</f>
        <v>Week13</v>
      </c>
      <c r="F520" s="261" t="str">
        <f t="shared" si="166"/>
        <v>Mar</v>
      </c>
      <c r="G520" s="262" t="s">
        <v>1142</v>
      </c>
      <c r="H520" s="260" t="s">
        <v>134</v>
      </c>
      <c r="I520" s="260" t="s">
        <v>2772</v>
      </c>
      <c r="J520" s="263" t="s">
        <v>164</v>
      </c>
      <c r="K520" s="264" t="s">
        <v>153</v>
      </c>
      <c r="L520" s="390" t="s">
        <v>2166</v>
      </c>
      <c r="M520" s="263" t="s">
        <v>165</v>
      </c>
      <c r="N520" s="260" t="s">
        <v>166</v>
      </c>
      <c r="O520" s="260" t="s">
        <v>502</v>
      </c>
      <c r="P520" s="265">
        <v>20</v>
      </c>
      <c r="Q520" s="265">
        <v>12</v>
      </c>
      <c r="R520" s="266">
        <v>6.8100000000000001E-3</v>
      </c>
      <c r="S520" s="260" t="s">
        <v>76</v>
      </c>
      <c r="T520" s="260" t="s">
        <v>56</v>
      </c>
      <c r="U520" s="260" t="s">
        <v>89</v>
      </c>
      <c r="V520" s="267">
        <v>212</v>
      </c>
      <c r="W520" s="267">
        <v>212</v>
      </c>
      <c r="X520" s="268"/>
      <c r="Y520" s="269">
        <f t="shared" si="159"/>
        <v>0</v>
      </c>
      <c r="Z520" s="270">
        <f t="shared" si="160"/>
        <v>0</v>
      </c>
      <c r="AA520" s="270">
        <f>Q520*Z520</f>
        <v>0</v>
      </c>
      <c r="AB520" s="811">
        <v>2</v>
      </c>
      <c r="AC520" s="267">
        <f>Z520*AB520</f>
        <v>0</v>
      </c>
      <c r="AD520" s="209" t="s">
        <v>168</v>
      </c>
      <c r="AE520" s="210"/>
      <c r="AF520" s="210"/>
      <c r="AG520" s="211">
        <f t="shared" si="169"/>
        <v>0.154</v>
      </c>
      <c r="AH520" s="157">
        <f t="shared" si="164"/>
        <v>0</v>
      </c>
      <c r="AI520" s="152">
        <f t="shared" si="157"/>
        <v>4240</v>
      </c>
      <c r="AK520" s="156" t="s">
        <v>691</v>
      </c>
      <c r="AL520" s="156" t="s">
        <v>689</v>
      </c>
      <c r="AM520" s="198">
        <f t="shared" si="167"/>
        <v>0</v>
      </c>
      <c r="AN520" s="199">
        <f t="shared" si="168"/>
        <v>45378</v>
      </c>
      <c r="AO520" s="159" t="s">
        <v>692</v>
      </c>
      <c r="AP520" s="783" t="s">
        <v>610</v>
      </c>
      <c r="AQ520" s="781" t="s">
        <v>158</v>
      </c>
      <c r="AR520" s="783" t="s">
        <v>523</v>
      </c>
      <c r="AS520" s="781"/>
      <c r="AT520" s="782">
        <v>12055901</v>
      </c>
      <c r="AU520" s="781"/>
      <c r="AV520" s="783" t="s">
        <v>544</v>
      </c>
      <c r="AW520" s="781"/>
      <c r="AX520" s="782" t="s">
        <v>398</v>
      </c>
      <c r="AY520" s="781"/>
      <c r="AZ520" s="781"/>
      <c r="BA520" s="781"/>
    </row>
    <row r="521" spans="1:53" ht="25" hidden="1" customHeight="1">
      <c r="B521" s="213">
        <v>45379</v>
      </c>
      <c r="C521" s="578">
        <v>45381</v>
      </c>
      <c r="D521" s="185">
        <f t="shared" si="165"/>
        <v>2024</v>
      </c>
      <c r="E521" s="215" t="str">
        <f>VLOOKUP($B521,Week!$A$1:$C$1462,2,0)</f>
        <v>Week13</v>
      </c>
      <c r="F521" s="216" t="str">
        <f t="shared" si="166"/>
        <v>Mar</v>
      </c>
      <c r="G521" s="447" t="s">
        <v>651</v>
      </c>
      <c r="H521" s="215" t="s">
        <v>104</v>
      </c>
      <c r="I521" s="215" t="s">
        <v>2772</v>
      </c>
      <c r="J521" s="209" t="s">
        <v>105</v>
      </c>
      <c r="K521" s="217" t="s">
        <v>107</v>
      </c>
      <c r="L521" s="300" t="s">
        <v>2167</v>
      </c>
      <c r="M521" s="209" t="s">
        <v>108</v>
      </c>
      <c r="N521" s="215" t="s">
        <v>109</v>
      </c>
      <c r="O521" s="215" t="s">
        <v>110</v>
      </c>
      <c r="P521" s="218">
        <v>36</v>
      </c>
      <c r="Q521" s="218">
        <v>5</v>
      </c>
      <c r="R521" s="219">
        <v>7.4999999999999997E-3</v>
      </c>
      <c r="S521" s="215" t="s">
        <v>111</v>
      </c>
      <c r="T521" s="215" t="s">
        <v>112</v>
      </c>
      <c r="U521" s="215" t="s">
        <v>113</v>
      </c>
      <c r="V521" s="528">
        <f>493</f>
        <v>493</v>
      </c>
      <c r="W521" s="220">
        <f>493</f>
        <v>493</v>
      </c>
      <c r="X521" s="221"/>
      <c r="Y521" s="222">
        <f t="shared" si="159"/>
        <v>0</v>
      </c>
      <c r="Z521" s="223">
        <f t="shared" si="160"/>
        <v>0</v>
      </c>
      <c r="AA521" s="223"/>
      <c r="AB521" s="807"/>
      <c r="AC521" s="220"/>
      <c r="AD521" s="209"/>
      <c r="AE521" s="210"/>
      <c r="AF521" s="210"/>
      <c r="AG521" s="211">
        <f t="shared" si="169"/>
        <v>0.308</v>
      </c>
      <c r="AH521" s="157">
        <f t="shared" si="164"/>
        <v>0</v>
      </c>
      <c r="AI521" s="152">
        <f t="shared" ref="AI521:AI543" si="170">V521*P521</f>
        <v>17748</v>
      </c>
      <c r="AK521" s="156" t="s">
        <v>691</v>
      </c>
      <c r="AL521" s="574" t="s">
        <v>690</v>
      </c>
      <c r="AM521" s="198">
        <f>AG521*Z521</f>
        <v>0</v>
      </c>
      <c r="AN521" s="199">
        <f t="shared" si="168"/>
        <v>45379</v>
      </c>
      <c r="AO521" s="159" t="s">
        <v>692</v>
      </c>
      <c r="AP521" s="781"/>
      <c r="AQ521" s="782">
        <v>12063755</v>
      </c>
      <c r="AR521" s="782">
        <v>12061353</v>
      </c>
      <c r="AS521" s="782">
        <v>12061354</v>
      </c>
      <c r="AT521" s="782">
        <v>12068566</v>
      </c>
      <c r="AU521" s="781"/>
      <c r="AV521" s="782">
        <v>12068564</v>
      </c>
      <c r="AW521" s="782">
        <v>12062153</v>
      </c>
      <c r="AX521" s="782"/>
      <c r="AY521" s="782">
        <v>12068565</v>
      </c>
      <c r="AZ521" s="782"/>
      <c r="BA521" s="781"/>
    </row>
    <row r="522" spans="1:53" ht="25" hidden="1" customHeight="1">
      <c r="B522" s="213">
        <v>45379</v>
      </c>
      <c r="C522" s="578">
        <v>45381</v>
      </c>
      <c r="D522" s="185">
        <f t="shared" si="165"/>
        <v>2024</v>
      </c>
      <c r="E522" s="215" t="str">
        <f>VLOOKUP($B522,Week!$A$1:$C$1462,2,0)</f>
        <v>Week13</v>
      </c>
      <c r="F522" s="216" t="str">
        <f t="shared" si="166"/>
        <v>Mar</v>
      </c>
      <c r="G522" s="447" t="s">
        <v>651</v>
      </c>
      <c r="H522" s="215" t="s">
        <v>104</v>
      </c>
      <c r="I522" s="215" t="s">
        <v>2772</v>
      </c>
      <c r="J522" s="209" t="s">
        <v>105</v>
      </c>
      <c r="K522" s="217" t="s">
        <v>107</v>
      </c>
      <c r="L522" s="300" t="s">
        <v>2167</v>
      </c>
      <c r="M522" s="209" t="s">
        <v>108</v>
      </c>
      <c r="N522" s="215" t="s">
        <v>109</v>
      </c>
      <c r="O522" s="215" t="s">
        <v>110</v>
      </c>
      <c r="P522" s="218">
        <v>36</v>
      </c>
      <c r="Q522" s="218">
        <v>5</v>
      </c>
      <c r="R522" s="219">
        <v>7.4999999999999997E-3</v>
      </c>
      <c r="S522" s="215" t="s">
        <v>111</v>
      </c>
      <c r="T522" s="215" t="s">
        <v>112</v>
      </c>
      <c r="U522" s="215" t="s">
        <v>113</v>
      </c>
      <c r="V522" s="528">
        <v>792</v>
      </c>
      <c r="W522" s="220">
        <v>792</v>
      </c>
      <c r="X522" s="221"/>
      <c r="Y522" s="222">
        <f t="shared" si="159"/>
        <v>0</v>
      </c>
      <c r="Z522" s="223">
        <f t="shared" si="160"/>
        <v>0</v>
      </c>
      <c r="AA522" s="223"/>
      <c r="AB522" s="807"/>
      <c r="AC522" s="220"/>
      <c r="AD522" s="209"/>
      <c r="AE522" s="210"/>
      <c r="AF522" s="210"/>
      <c r="AG522" s="211">
        <f t="shared" si="169"/>
        <v>0.308</v>
      </c>
      <c r="AH522" s="157">
        <f t="shared" si="164"/>
        <v>0</v>
      </c>
      <c r="AI522" s="152">
        <f t="shared" si="170"/>
        <v>28512</v>
      </c>
      <c r="AK522" s="156" t="s">
        <v>691</v>
      </c>
      <c r="AL522" s="574" t="s">
        <v>690</v>
      </c>
      <c r="AM522" s="198">
        <f t="shared" si="167"/>
        <v>0</v>
      </c>
      <c r="AN522" s="199">
        <f t="shared" si="168"/>
        <v>45379</v>
      </c>
      <c r="AO522" s="159" t="s">
        <v>692</v>
      </c>
      <c r="AP522" s="781"/>
      <c r="AQ522" s="782">
        <v>12063755</v>
      </c>
      <c r="AR522" s="782">
        <v>12061353</v>
      </c>
      <c r="AS522" s="782">
        <v>12061354</v>
      </c>
      <c r="AT522" s="782">
        <v>12068566</v>
      </c>
      <c r="AU522" s="781"/>
      <c r="AV522" s="782">
        <v>12068564</v>
      </c>
      <c r="AW522" s="782">
        <v>12062153</v>
      </c>
      <c r="AX522" s="782"/>
      <c r="AY522" s="782">
        <v>12068565</v>
      </c>
      <c r="AZ522" s="782"/>
      <c r="BA522" s="781"/>
    </row>
    <row r="523" spans="1:53" ht="25" hidden="1" customHeight="1">
      <c r="B523" s="213">
        <v>45379</v>
      </c>
      <c r="C523" s="213">
        <v>45383</v>
      </c>
      <c r="D523" s="185">
        <f t="shared" si="165"/>
        <v>2024</v>
      </c>
      <c r="E523" s="215" t="str">
        <f>VLOOKUP($B523,Week!$A$1:$C$1462,2,0)</f>
        <v>Week13</v>
      </c>
      <c r="F523" s="216" t="str">
        <f t="shared" si="166"/>
        <v>Mar</v>
      </c>
      <c r="G523" s="447" t="s">
        <v>651</v>
      </c>
      <c r="H523" s="215" t="s">
        <v>104</v>
      </c>
      <c r="I523" s="215" t="s">
        <v>2772</v>
      </c>
      <c r="J523" s="209" t="s">
        <v>105</v>
      </c>
      <c r="K523" s="217" t="s">
        <v>107</v>
      </c>
      <c r="L523" s="300" t="s">
        <v>2167</v>
      </c>
      <c r="M523" s="209" t="s">
        <v>108</v>
      </c>
      <c r="N523" s="215" t="s">
        <v>109</v>
      </c>
      <c r="O523" s="215" t="s">
        <v>110</v>
      </c>
      <c r="P523" s="218">
        <v>36</v>
      </c>
      <c r="Q523" s="218">
        <v>5</v>
      </c>
      <c r="R523" s="219">
        <v>7.4999999999999997E-3</v>
      </c>
      <c r="S523" s="215" t="s">
        <v>111</v>
      </c>
      <c r="T523" s="215" t="s">
        <v>112</v>
      </c>
      <c r="U523" s="215" t="s">
        <v>113</v>
      </c>
      <c r="V523" s="528">
        <v>792</v>
      </c>
      <c r="W523" s="220">
        <v>792</v>
      </c>
      <c r="X523" s="221"/>
      <c r="Y523" s="222">
        <f t="shared" si="159"/>
        <v>0</v>
      </c>
      <c r="Z523" s="223">
        <f t="shared" si="160"/>
        <v>0</v>
      </c>
      <c r="AA523" s="223"/>
      <c r="AB523" s="807"/>
      <c r="AC523" s="220"/>
      <c r="AD523" s="209"/>
      <c r="AE523" s="210"/>
      <c r="AF523" s="210"/>
      <c r="AG523" s="211">
        <f t="shared" si="169"/>
        <v>0.308</v>
      </c>
      <c r="AH523" s="157">
        <f t="shared" si="164"/>
        <v>0</v>
      </c>
      <c r="AI523" s="152">
        <f t="shared" si="170"/>
        <v>28512</v>
      </c>
      <c r="AK523" s="156" t="s">
        <v>691</v>
      </c>
      <c r="AL523" s="574" t="s">
        <v>690</v>
      </c>
      <c r="AM523" s="198">
        <f>AG523*Z523</f>
        <v>0</v>
      </c>
      <c r="AN523" s="199">
        <f t="shared" si="168"/>
        <v>45379</v>
      </c>
      <c r="AO523" s="159" t="s">
        <v>692</v>
      </c>
      <c r="AP523" s="781"/>
      <c r="AQ523" s="782">
        <v>12063755</v>
      </c>
      <c r="AR523" s="782">
        <v>12061353</v>
      </c>
      <c r="AS523" s="782">
        <v>12061354</v>
      </c>
      <c r="AT523" s="782">
        <v>12068566</v>
      </c>
      <c r="AU523" s="781"/>
      <c r="AV523" s="782">
        <v>12068564</v>
      </c>
      <c r="AW523" s="782">
        <v>12062153</v>
      </c>
      <c r="AX523" s="782"/>
      <c r="AY523" s="782">
        <v>12068565</v>
      </c>
      <c r="AZ523" s="782"/>
      <c r="BA523" s="781"/>
    </row>
    <row r="524" spans="1:53" ht="25" hidden="1" customHeight="1">
      <c r="B524" s="213">
        <v>45379</v>
      </c>
      <c r="C524" s="213">
        <v>45383</v>
      </c>
      <c r="D524" s="185">
        <f t="shared" si="165"/>
        <v>2024</v>
      </c>
      <c r="E524" s="215" t="str">
        <f>VLOOKUP($B524,Week!$A$1:$C$1462,2,0)</f>
        <v>Week13</v>
      </c>
      <c r="F524" s="216" t="str">
        <f t="shared" si="166"/>
        <v>Mar</v>
      </c>
      <c r="G524" s="447" t="s">
        <v>651</v>
      </c>
      <c r="H524" s="215" t="s">
        <v>104</v>
      </c>
      <c r="I524" s="215" t="s">
        <v>2772</v>
      </c>
      <c r="J524" s="209" t="s">
        <v>105</v>
      </c>
      <c r="K524" s="217" t="s">
        <v>107</v>
      </c>
      <c r="L524" s="300" t="s">
        <v>2167</v>
      </c>
      <c r="M524" s="209" t="s">
        <v>108</v>
      </c>
      <c r="N524" s="215" t="s">
        <v>109</v>
      </c>
      <c r="O524" s="215" t="s">
        <v>110</v>
      </c>
      <c r="P524" s="218">
        <v>36</v>
      </c>
      <c r="Q524" s="218">
        <v>5</v>
      </c>
      <c r="R524" s="219">
        <v>7.4999999999999997E-3</v>
      </c>
      <c r="S524" s="215" t="s">
        <v>111</v>
      </c>
      <c r="T524" s="215" t="s">
        <v>112</v>
      </c>
      <c r="U524" s="215" t="s">
        <v>113</v>
      </c>
      <c r="V524" s="528">
        <v>792</v>
      </c>
      <c r="W524" s="220">
        <v>792</v>
      </c>
      <c r="X524" s="221"/>
      <c r="Y524" s="222">
        <f t="shared" ref="Y524:Y543" si="171">(W524+X524)-V524</f>
        <v>0</v>
      </c>
      <c r="Z524" s="223">
        <f t="shared" ref="Z524:Z543" si="172">IF(Y524&lt;0,((V524*P524)-((W524+X524)*P524)),0)</f>
        <v>0</v>
      </c>
      <c r="AA524" s="223"/>
      <c r="AB524" s="807"/>
      <c r="AC524" s="220"/>
      <c r="AD524" s="209"/>
      <c r="AE524" s="210"/>
      <c r="AF524" s="210"/>
      <c r="AG524" s="211">
        <f t="shared" si="169"/>
        <v>0.308</v>
      </c>
      <c r="AH524" s="157">
        <f t="shared" si="164"/>
        <v>0</v>
      </c>
      <c r="AI524" s="152">
        <f t="shared" si="170"/>
        <v>28512</v>
      </c>
      <c r="AK524" s="156" t="s">
        <v>691</v>
      </c>
      <c r="AL524" s="574" t="s">
        <v>690</v>
      </c>
      <c r="AM524" s="198">
        <f t="shared" si="167"/>
        <v>0</v>
      </c>
      <c r="AN524" s="199">
        <f t="shared" si="168"/>
        <v>45379</v>
      </c>
      <c r="AO524" s="159" t="s">
        <v>692</v>
      </c>
      <c r="AP524" s="781"/>
      <c r="AQ524" s="782">
        <v>12063755</v>
      </c>
      <c r="AR524" s="782">
        <v>12061353</v>
      </c>
      <c r="AS524" s="782">
        <v>12061354</v>
      </c>
      <c r="AT524" s="782">
        <v>12068566</v>
      </c>
      <c r="AU524" s="781"/>
      <c r="AV524" s="782">
        <v>12068564</v>
      </c>
      <c r="AW524" s="782">
        <v>12062153</v>
      </c>
      <c r="AX524" s="782"/>
      <c r="AY524" s="782">
        <v>12068565</v>
      </c>
      <c r="AZ524" s="782"/>
      <c r="BA524" s="781"/>
    </row>
    <row r="525" spans="1:53" ht="25" hidden="1" customHeight="1">
      <c r="B525" s="213">
        <v>45379</v>
      </c>
      <c r="C525" s="213">
        <v>45383</v>
      </c>
      <c r="D525" s="185">
        <f t="shared" si="165"/>
        <v>2024</v>
      </c>
      <c r="E525" s="215" t="str">
        <f>VLOOKUP($B525,Week!$A$1:$C$1462,2,0)</f>
        <v>Week13</v>
      </c>
      <c r="F525" s="216" t="str">
        <f t="shared" si="166"/>
        <v>Mar</v>
      </c>
      <c r="G525" s="447" t="s">
        <v>651</v>
      </c>
      <c r="H525" s="215" t="s">
        <v>104</v>
      </c>
      <c r="I525" s="215" t="s">
        <v>2772</v>
      </c>
      <c r="J525" s="209" t="s">
        <v>105</v>
      </c>
      <c r="K525" s="217" t="s">
        <v>107</v>
      </c>
      <c r="L525" s="300" t="s">
        <v>2167</v>
      </c>
      <c r="M525" s="209" t="s">
        <v>108</v>
      </c>
      <c r="N525" s="215" t="s">
        <v>109</v>
      </c>
      <c r="O525" s="215" t="s">
        <v>110</v>
      </c>
      <c r="P525" s="218">
        <v>36</v>
      </c>
      <c r="Q525" s="218">
        <v>5</v>
      </c>
      <c r="R525" s="219">
        <v>7.4999999999999997E-3</v>
      </c>
      <c r="S525" s="215" t="s">
        <v>111</v>
      </c>
      <c r="T525" s="215" t="s">
        <v>112</v>
      </c>
      <c r="U525" s="215" t="s">
        <v>113</v>
      </c>
      <c r="V525" s="528">
        <f>792</f>
        <v>792</v>
      </c>
      <c r="W525" s="220">
        <f>792</f>
        <v>792</v>
      </c>
      <c r="X525" s="221"/>
      <c r="Y525" s="222">
        <f t="shared" si="171"/>
        <v>0</v>
      </c>
      <c r="Z525" s="223">
        <f t="shared" si="172"/>
        <v>0</v>
      </c>
      <c r="AA525" s="223"/>
      <c r="AB525" s="807"/>
      <c r="AC525" s="220"/>
      <c r="AD525" s="209"/>
      <c r="AE525" s="210"/>
      <c r="AF525" s="210"/>
      <c r="AG525" s="211">
        <f t="shared" si="169"/>
        <v>0.308</v>
      </c>
      <c r="AH525" s="157">
        <f t="shared" si="164"/>
        <v>0</v>
      </c>
      <c r="AI525" s="152">
        <f t="shared" si="170"/>
        <v>28512</v>
      </c>
      <c r="AK525" s="156" t="s">
        <v>691</v>
      </c>
      <c r="AL525" s="574" t="s">
        <v>690</v>
      </c>
      <c r="AM525" s="198">
        <f>AG525*Z525</f>
        <v>0</v>
      </c>
      <c r="AN525" s="199">
        <f t="shared" si="168"/>
        <v>45379</v>
      </c>
      <c r="AO525" s="159" t="s">
        <v>692</v>
      </c>
      <c r="AP525" s="781"/>
      <c r="AQ525" s="782">
        <v>12063755</v>
      </c>
      <c r="AR525" s="782">
        <v>12061353</v>
      </c>
      <c r="AS525" s="782">
        <v>12061354</v>
      </c>
      <c r="AT525" s="782">
        <v>12068566</v>
      </c>
      <c r="AU525" s="781"/>
      <c r="AV525" s="782">
        <v>12068564</v>
      </c>
      <c r="AW525" s="782">
        <v>12062153</v>
      </c>
      <c r="AX525" s="782"/>
      <c r="AY525" s="782">
        <v>12068565</v>
      </c>
      <c r="AZ525" s="782"/>
      <c r="BA525" s="781"/>
    </row>
    <row r="526" spans="1:53" ht="25" hidden="1" customHeight="1">
      <c r="B526" s="213">
        <v>45379</v>
      </c>
      <c r="C526" s="213">
        <v>45383</v>
      </c>
      <c r="D526" s="185">
        <f t="shared" si="165"/>
        <v>2024</v>
      </c>
      <c r="E526" s="215" t="str">
        <f>VLOOKUP($B526,Week!$A$1:$C$1462,2,0)</f>
        <v>Week13</v>
      </c>
      <c r="F526" s="216" t="str">
        <f t="shared" si="166"/>
        <v>Mar</v>
      </c>
      <c r="G526" s="447" t="s">
        <v>651</v>
      </c>
      <c r="H526" s="215" t="s">
        <v>104</v>
      </c>
      <c r="I526" s="215" t="s">
        <v>2772</v>
      </c>
      <c r="J526" s="209" t="s">
        <v>105</v>
      </c>
      <c r="K526" s="217" t="s">
        <v>107</v>
      </c>
      <c r="L526" s="300" t="s">
        <v>2167</v>
      </c>
      <c r="M526" s="209" t="s">
        <v>108</v>
      </c>
      <c r="N526" s="215" t="s">
        <v>109</v>
      </c>
      <c r="O526" s="215" t="s">
        <v>110</v>
      </c>
      <c r="P526" s="218">
        <v>36</v>
      </c>
      <c r="Q526" s="218">
        <v>5</v>
      </c>
      <c r="R526" s="219">
        <v>7.4999999999999997E-3</v>
      </c>
      <c r="S526" s="215" t="s">
        <v>111</v>
      </c>
      <c r="T526" s="215" t="s">
        <v>112</v>
      </c>
      <c r="U526" s="215" t="s">
        <v>113</v>
      </c>
      <c r="V526" s="528">
        <f>4105-493-792-792-792-792</f>
        <v>444</v>
      </c>
      <c r="W526" s="220">
        <f>4105-493-792-792-792-792</f>
        <v>444</v>
      </c>
      <c r="X526" s="221"/>
      <c r="Y526" s="222">
        <f t="shared" si="171"/>
        <v>0</v>
      </c>
      <c r="Z526" s="223">
        <f t="shared" si="172"/>
        <v>0</v>
      </c>
      <c r="AA526" s="223"/>
      <c r="AB526" s="807"/>
      <c r="AC526" s="220"/>
      <c r="AD526" s="209"/>
      <c r="AE526" s="210"/>
      <c r="AF526" s="210"/>
      <c r="AG526" s="211">
        <f t="shared" si="169"/>
        <v>0.308</v>
      </c>
      <c r="AH526" s="157">
        <f t="shared" si="164"/>
        <v>0</v>
      </c>
      <c r="AI526" s="152">
        <f t="shared" si="170"/>
        <v>15984</v>
      </c>
      <c r="AK526" s="156" t="s">
        <v>691</v>
      </c>
      <c r="AL526" s="574" t="s">
        <v>690</v>
      </c>
      <c r="AM526" s="198">
        <f t="shared" si="167"/>
        <v>0</v>
      </c>
      <c r="AN526" s="199">
        <f t="shared" si="168"/>
        <v>45379</v>
      </c>
      <c r="AO526" s="159" t="s">
        <v>692</v>
      </c>
      <c r="AP526" s="781"/>
      <c r="AQ526" s="782">
        <v>12063755</v>
      </c>
      <c r="AR526" s="782">
        <v>12061353</v>
      </c>
      <c r="AS526" s="782">
        <v>12061354</v>
      </c>
      <c r="AT526" s="782">
        <v>12068566</v>
      </c>
      <c r="AU526" s="781"/>
      <c r="AV526" s="782">
        <v>12068564</v>
      </c>
      <c r="AW526" s="782">
        <v>12062153</v>
      </c>
      <c r="AX526" s="782"/>
      <c r="AY526" s="782">
        <v>12068565</v>
      </c>
      <c r="AZ526" s="782"/>
      <c r="BA526" s="781"/>
    </row>
    <row r="527" spans="1:53" ht="25" hidden="1" customHeight="1">
      <c r="A527" s="142" t="s">
        <v>120</v>
      </c>
      <c r="B527" s="258">
        <v>45379</v>
      </c>
      <c r="C527" s="259">
        <v>45392</v>
      </c>
      <c r="D527" s="185">
        <f t="shared" si="165"/>
        <v>2024</v>
      </c>
      <c r="E527" s="260" t="str">
        <f>VLOOKUP($B527,Week!$A$1:$C$1462,2,0)</f>
        <v>Week13</v>
      </c>
      <c r="F527" s="261" t="str">
        <f t="shared" si="166"/>
        <v>Mar</v>
      </c>
      <c r="G527" s="262" t="s">
        <v>1142</v>
      </c>
      <c r="H527" s="260" t="s">
        <v>134</v>
      </c>
      <c r="I527" s="260" t="s">
        <v>2772</v>
      </c>
      <c r="J527" s="263" t="s">
        <v>164</v>
      </c>
      <c r="K527" s="264" t="s">
        <v>153</v>
      </c>
      <c r="L527" s="390" t="s">
        <v>2166</v>
      </c>
      <c r="M527" s="263" t="s">
        <v>165</v>
      </c>
      <c r="N527" s="260" t="s">
        <v>166</v>
      </c>
      <c r="O527" s="260" t="s">
        <v>502</v>
      </c>
      <c r="P527" s="265">
        <v>20</v>
      </c>
      <c r="Q527" s="265">
        <v>12</v>
      </c>
      <c r="R527" s="266">
        <v>6.8100000000000001E-3</v>
      </c>
      <c r="S527" s="260" t="s">
        <v>76</v>
      </c>
      <c r="T527" s="260" t="s">
        <v>56</v>
      </c>
      <c r="U527" s="260" t="s">
        <v>89</v>
      </c>
      <c r="V527" s="267">
        <f>1200-212</f>
        <v>988</v>
      </c>
      <c r="W527" s="267">
        <v>988</v>
      </c>
      <c r="X527" s="268"/>
      <c r="Y527" s="269">
        <f t="shared" si="171"/>
        <v>0</v>
      </c>
      <c r="Z527" s="270">
        <f t="shared" si="172"/>
        <v>0</v>
      </c>
      <c r="AA527" s="270">
        <f>Q527*Z527</f>
        <v>0</v>
      </c>
      <c r="AB527" s="811">
        <v>2</v>
      </c>
      <c r="AC527" s="267">
        <f>Z527*AB527</f>
        <v>0</v>
      </c>
      <c r="AD527" s="209" t="s">
        <v>168</v>
      </c>
      <c r="AE527" s="210"/>
      <c r="AF527" s="210"/>
      <c r="AG527" s="211">
        <f t="shared" si="169"/>
        <v>0.154</v>
      </c>
      <c r="AH527" s="157">
        <f t="shared" si="164"/>
        <v>0</v>
      </c>
      <c r="AI527" s="152">
        <f t="shared" si="170"/>
        <v>19760</v>
      </c>
      <c r="AK527" s="156" t="s">
        <v>691</v>
      </c>
      <c r="AL527" s="156" t="s">
        <v>689</v>
      </c>
      <c r="AM527" s="198">
        <f t="shared" si="167"/>
        <v>0</v>
      </c>
      <c r="AN527" s="199">
        <f t="shared" si="168"/>
        <v>45379</v>
      </c>
      <c r="AO527" s="159" t="s">
        <v>692</v>
      </c>
      <c r="AP527" s="783" t="s">
        <v>610</v>
      </c>
      <c r="AQ527" s="781" t="s">
        <v>158</v>
      </c>
      <c r="AR527" s="783" t="s">
        <v>523</v>
      </c>
      <c r="AS527" s="781"/>
      <c r="AT527" s="782">
        <v>12055901</v>
      </c>
      <c r="AU527" s="781"/>
      <c r="AV527" s="783" t="s">
        <v>544</v>
      </c>
      <c r="AW527" s="781"/>
      <c r="AX527" s="782" t="s">
        <v>398</v>
      </c>
      <c r="AY527" s="781"/>
      <c r="AZ527" s="781"/>
      <c r="BA527" s="781"/>
    </row>
    <row r="528" spans="1:53" ht="25" hidden="1" customHeight="1">
      <c r="B528" s="213">
        <v>45380</v>
      </c>
      <c r="C528" s="213">
        <v>45383</v>
      </c>
      <c r="D528" s="185">
        <f t="shared" si="165"/>
        <v>2024</v>
      </c>
      <c r="E528" s="215" t="str">
        <f>VLOOKUP($B528,Week!$A$1:$C$1462,2,0)</f>
        <v>Week13</v>
      </c>
      <c r="F528" s="216" t="str">
        <f t="shared" si="166"/>
        <v>Mar</v>
      </c>
      <c r="G528" s="447" t="s">
        <v>651</v>
      </c>
      <c r="H528" s="215" t="s">
        <v>104</v>
      </c>
      <c r="I528" s="215" t="s">
        <v>2772</v>
      </c>
      <c r="J528" s="209" t="s">
        <v>105</v>
      </c>
      <c r="K528" s="217" t="s">
        <v>107</v>
      </c>
      <c r="L528" s="300" t="s">
        <v>2167</v>
      </c>
      <c r="M528" s="209" t="s">
        <v>108</v>
      </c>
      <c r="N528" s="215" t="s">
        <v>109</v>
      </c>
      <c r="O528" s="215" t="s">
        <v>110</v>
      </c>
      <c r="P528" s="218">
        <v>36</v>
      </c>
      <c r="Q528" s="218">
        <v>5</v>
      </c>
      <c r="R528" s="219">
        <v>7.4999999999999997E-3</v>
      </c>
      <c r="S528" s="215" t="s">
        <v>111</v>
      </c>
      <c r="T528" s="215" t="s">
        <v>112</v>
      </c>
      <c r="U528" s="215" t="s">
        <v>113</v>
      </c>
      <c r="V528" s="528">
        <f>792-444</f>
        <v>348</v>
      </c>
      <c r="W528" s="220">
        <f>792-444</f>
        <v>348</v>
      </c>
      <c r="X528" s="221"/>
      <c r="Y528" s="222">
        <f t="shared" si="171"/>
        <v>0</v>
      </c>
      <c r="Z528" s="223">
        <f t="shared" si="172"/>
        <v>0</v>
      </c>
      <c r="AA528" s="223"/>
      <c r="AB528" s="807"/>
      <c r="AC528" s="220"/>
      <c r="AD528" s="209"/>
      <c r="AE528" s="210"/>
      <c r="AF528" s="210"/>
      <c r="AG528" s="211">
        <f t="shared" si="169"/>
        <v>0.308</v>
      </c>
      <c r="AH528" s="157">
        <f t="shared" si="164"/>
        <v>0</v>
      </c>
      <c r="AI528" s="152">
        <f t="shared" si="170"/>
        <v>12528</v>
      </c>
      <c r="AK528" s="156" t="s">
        <v>691</v>
      </c>
      <c r="AL528" s="574" t="s">
        <v>690</v>
      </c>
      <c r="AM528" s="198">
        <f t="shared" ref="AM528:AM533" si="173">AG528*Z528</f>
        <v>0</v>
      </c>
      <c r="AN528" s="199">
        <f t="shared" si="168"/>
        <v>45380</v>
      </c>
      <c r="AO528" s="159" t="s">
        <v>692</v>
      </c>
      <c r="AP528" s="781"/>
      <c r="AQ528" s="782">
        <v>12063755</v>
      </c>
      <c r="AR528" s="782">
        <v>12061353</v>
      </c>
      <c r="AS528" s="782">
        <v>12061354</v>
      </c>
      <c r="AT528" s="782">
        <v>12068566</v>
      </c>
      <c r="AU528" s="781"/>
      <c r="AV528" s="782">
        <v>12068564</v>
      </c>
      <c r="AW528" s="782">
        <v>12062153</v>
      </c>
      <c r="AX528" s="782"/>
      <c r="AY528" s="782">
        <v>12068565</v>
      </c>
      <c r="AZ528" s="782"/>
      <c r="BA528" s="781"/>
    </row>
    <row r="529" spans="1:53" ht="25" hidden="1" customHeight="1">
      <c r="B529" s="213">
        <v>45380</v>
      </c>
      <c r="C529" s="213">
        <v>45383</v>
      </c>
      <c r="D529" s="185">
        <f t="shared" si="165"/>
        <v>2024</v>
      </c>
      <c r="E529" s="215" t="str">
        <f>VLOOKUP($B529,Week!$A$1:$C$1462,2,0)</f>
        <v>Week13</v>
      </c>
      <c r="F529" s="216" t="str">
        <f t="shared" si="166"/>
        <v>Mar</v>
      </c>
      <c r="G529" s="447" t="s">
        <v>651</v>
      </c>
      <c r="H529" s="215" t="s">
        <v>104</v>
      </c>
      <c r="I529" s="215" t="s">
        <v>2772</v>
      </c>
      <c r="J529" s="209" t="s">
        <v>105</v>
      </c>
      <c r="K529" s="217" t="s">
        <v>107</v>
      </c>
      <c r="L529" s="300" t="s">
        <v>2167</v>
      </c>
      <c r="M529" s="209" t="s">
        <v>108</v>
      </c>
      <c r="N529" s="215" t="s">
        <v>109</v>
      </c>
      <c r="O529" s="215" t="s">
        <v>110</v>
      </c>
      <c r="P529" s="218">
        <v>36</v>
      </c>
      <c r="Q529" s="218">
        <v>5</v>
      </c>
      <c r="R529" s="219">
        <v>7.4999999999999997E-3</v>
      </c>
      <c r="S529" s="215" t="s">
        <v>111</v>
      </c>
      <c r="T529" s="215" t="s">
        <v>112</v>
      </c>
      <c r="U529" s="215" t="s">
        <v>113</v>
      </c>
      <c r="V529" s="528">
        <f>656</f>
        <v>656</v>
      </c>
      <c r="W529" s="220">
        <f>656</f>
        <v>656</v>
      </c>
      <c r="X529" s="221"/>
      <c r="Y529" s="222">
        <f t="shared" si="171"/>
        <v>0</v>
      </c>
      <c r="Z529" s="223">
        <f t="shared" si="172"/>
        <v>0</v>
      </c>
      <c r="AA529" s="223"/>
      <c r="AB529" s="807"/>
      <c r="AC529" s="220"/>
      <c r="AD529" s="209"/>
      <c r="AE529" s="210"/>
      <c r="AF529" s="210"/>
      <c r="AG529" s="211">
        <f t="shared" si="169"/>
        <v>0.308</v>
      </c>
      <c r="AH529" s="157">
        <f t="shared" si="164"/>
        <v>0</v>
      </c>
      <c r="AI529" s="152">
        <f t="shared" si="170"/>
        <v>23616</v>
      </c>
      <c r="AK529" s="156" t="s">
        <v>691</v>
      </c>
      <c r="AL529" s="574" t="s">
        <v>690</v>
      </c>
      <c r="AM529" s="198">
        <f t="shared" si="173"/>
        <v>0</v>
      </c>
      <c r="AN529" s="199">
        <f t="shared" si="168"/>
        <v>45380</v>
      </c>
      <c r="AO529" s="159" t="s">
        <v>692</v>
      </c>
      <c r="AP529" s="781"/>
      <c r="AQ529" s="782">
        <v>12063755</v>
      </c>
      <c r="AR529" s="782">
        <v>12061353</v>
      </c>
      <c r="AS529" s="782">
        <v>12061354</v>
      </c>
      <c r="AT529" s="782">
        <v>12068566</v>
      </c>
      <c r="AU529" s="781"/>
      <c r="AV529" s="782">
        <v>12068564</v>
      </c>
      <c r="AW529" s="782">
        <v>12062153</v>
      </c>
      <c r="AX529" s="782"/>
      <c r="AY529" s="782">
        <v>12068565</v>
      </c>
      <c r="AZ529" s="782"/>
      <c r="BA529" s="781"/>
    </row>
    <row r="530" spans="1:53" ht="25" hidden="1" customHeight="1">
      <c r="B530" s="213">
        <v>45380</v>
      </c>
      <c r="C530" s="213">
        <v>45383</v>
      </c>
      <c r="D530" s="185">
        <f t="shared" si="165"/>
        <v>2024</v>
      </c>
      <c r="E530" s="215" t="str">
        <f>VLOOKUP($B530,Week!$A$1:$C$1462,2,0)</f>
        <v>Week13</v>
      </c>
      <c r="F530" s="216" t="str">
        <f t="shared" si="166"/>
        <v>Mar</v>
      </c>
      <c r="G530" s="215" t="s">
        <v>989</v>
      </c>
      <c r="H530" s="215" t="s">
        <v>104</v>
      </c>
      <c r="I530" s="215" t="s">
        <v>2772</v>
      </c>
      <c r="J530" s="209" t="s">
        <v>105</v>
      </c>
      <c r="K530" s="217" t="s">
        <v>107</v>
      </c>
      <c r="L530" s="300" t="s">
        <v>2167</v>
      </c>
      <c r="M530" s="209" t="s">
        <v>108</v>
      </c>
      <c r="N530" s="215" t="s">
        <v>109</v>
      </c>
      <c r="O530" s="215" t="s">
        <v>110</v>
      </c>
      <c r="P530" s="218">
        <v>36</v>
      </c>
      <c r="Q530" s="218">
        <v>5</v>
      </c>
      <c r="R530" s="219">
        <v>7.4999999999999997E-3</v>
      </c>
      <c r="S530" s="215" t="s">
        <v>111</v>
      </c>
      <c r="T530" s="215" t="s">
        <v>112</v>
      </c>
      <c r="U530" s="215" t="s">
        <v>113</v>
      </c>
      <c r="V530" s="220">
        <f>792-656</f>
        <v>136</v>
      </c>
      <c r="W530" s="220">
        <f>792-656</f>
        <v>136</v>
      </c>
      <c r="X530" s="221"/>
      <c r="Y530" s="222">
        <f t="shared" si="171"/>
        <v>0</v>
      </c>
      <c r="Z530" s="223">
        <f t="shared" si="172"/>
        <v>0</v>
      </c>
      <c r="AA530" s="223"/>
      <c r="AB530" s="807"/>
      <c r="AC530" s="220"/>
      <c r="AD530" s="209"/>
      <c r="AE530" s="210"/>
      <c r="AF530" s="210"/>
      <c r="AG530" s="211">
        <f t="shared" si="169"/>
        <v>0.308</v>
      </c>
      <c r="AH530" s="157">
        <f t="shared" si="164"/>
        <v>0</v>
      </c>
      <c r="AI530" s="152">
        <f t="shared" si="170"/>
        <v>4896</v>
      </c>
      <c r="AK530" s="156" t="s">
        <v>691</v>
      </c>
      <c r="AL530" s="574" t="s">
        <v>690</v>
      </c>
      <c r="AM530" s="198">
        <f t="shared" si="173"/>
        <v>0</v>
      </c>
      <c r="AN530" s="199">
        <f t="shared" si="168"/>
        <v>45380</v>
      </c>
      <c r="AO530" s="159" t="s">
        <v>692</v>
      </c>
      <c r="AP530" s="781"/>
      <c r="AQ530" s="782">
        <v>12063755</v>
      </c>
      <c r="AR530" s="782">
        <v>12061353</v>
      </c>
      <c r="AS530" s="782">
        <v>12061354</v>
      </c>
      <c r="AT530" s="782">
        <v>12068566</v>
      </c>
      <c r="AU530" s="781"/>
      <c r="AV530" s="782">
        <v>12068564</v>
      </c>
      <c r="AW530" s="782">
        <v>12062153</v>
      </c>
      <c r="AX530" s="782"/>
      <c r="AY530" s="782">
        <v>12068565</v>
      </c>
      <c r="AZ530" s="782"/>
      <c r="BA530" s="781"/>
    </row>
    <row r="531" spans="1:53" ht="25" hidden="1" customHeight="1">
      <c r="B531" s="213">
        <v>45380</v>
      </c>
      <c r="C531" s="213">
        <v>45386</v>
      </c>
      <c r="D531" s="185">
        <f t="shared" si="165"/>
        <v>2024</v>
      </c>
      <c r="E531" s="215" t="str">
        <f>VLOOKUP($B531,Week!$A$1:$C$1462,2,0)</f>
        <v>Week13</v>
      </c>
      <c r="F531" s="216" t="str">
        <f t="shared" si="166"/>
        <v>Mar</v>
      </c>
      <c r="G531" s="215" t="s">
        <v>990</v>
      </c>
      <c r="H531" s="215" t="s">
        <v>104</v>
      </c>
      <c r="I531" s="215" t="s">
        <v>2772</v>
      </c>
      <c r="J531" s="209" t="s">
        <v>105</v>
      </c>
      <c r="K531" s="217" t="s">
        <v>107</v>
      </c>
      <c r="L531" s="300" t="s">
        <v>2167</v>
      </c>
      <c r="M531" s="209" t="s">
        <v>108</v>
      </c>
      <c r="N531" s="215" t="s">
        <v>109</v>
      </c>
      <c r="O531" s="215" t="s">
        <v>110</v>
      </c>
      <c r="P531" s="218">
        <v>36</v>
      </c>
      <c r="Q531" s="218">
        <v>5</v>
      </c>
      <c r="R531" s="219">
        <v>7.4999999999999997E-3</v>
      </c>
      <c r="S531" s="215" t="s">
        <v>111</v>
      </c>
      <c r="T531" s="215" t="s">
        <v>112</v>
      </c>
      <c r="U531" s="215" t="s">
        <v>113</v>
      </c>
      <c r="V531" s="220">
        <v>792</v>
      </c>
      <c r="W531" s="220">
        <v>792</v>
      </c>
      <c r="X531" s="221"/>
      <c r="Y531" s="222">
        <f t="shared" si="171"/>
        <v>0</v>
      </c>
      <c r="Z531" s="223">
        <f t="shared" si="172"/>
        <v>0</v>
      </c>
      <c r="AA531" s="223"/>
      <c r="AB531" s="807"/>
      <c r="AC531" s="220"/>
      <c r="AD531" s="209"/>
      <c r="AE531" s="210"/>
      <c r="AF531" s="210"/>
      <c r="AG531" s="211">
        <f t="shared" si="169"/>
        <v>0.308</v>
      </c>
      <c r="AH531" s="157">
        <f t="shared" si="164"/>
        <v>0</v>
      </c>
      <c r="AI531" s="152">
        <f t="shared" si="170"/>
        <v>28512</v>
      </c>
      <c r="AK531" s="156" t="s">
        <v>691</v>
      </c>
      <c r="AL531" s="574" t="s">
        <v>690</v>
      </c>
      <c r="AM531" s="198">
        <f t="shared" si="173"/>
        <v>0</v>
      </c>
      <c r="AN531" s="199">
        <f t="shared" si="168"/>
        <v>45380</v>
      </c>
      <c r="AO531" s="159" t="s">
        <v>692</v>
      </c>
      <c r="AP531" s="781"/>
      <c r="AQ531" s="782">
        <v>12063755</v>
      </c>
      <c r="AR531" s="782">
        <v>12061353</v>
      </c>
      <c r="AS531" s="782">
        <v>12061354</v>
      </c>
      <c r="AT531" s="782">
        <v>12068566</v>
      </c>
      <c r="AU531" s="781"/>
      <c r="AV531" s="782">
        <v>12068564</v>
      </c>
      <c r="AW531" s="782">
        <v>12062153</v>
      </c>
      <c r="AX531" s="782"/>
      <c r="AY531" s="782">
        <v>12068565</v>
      </c>
      <c r="AZ531" s="782"/>
      <c r="BA531" s="781"/>
    </row>
    <row r="532" spans="1:53" ht="25" hidden="1" customHeight="1">
      <c r="B532" s="213">
        <v>45380</v>
      </c>
      <c r="C532" s="213">
        <v>45386</v>
      </c>
      <c r="D532" s="185">
        <f t="shared" si="165"/>
        <v>2024</v>
      </c>
      <c r="E532" s="215" t="str">
        <f>VLOOKUP($B532,Week!$A$1:$C$1462,2,0)</f>
        <v>Week13</v>
      </c>
      <c r="F532" s="216" t="str">
        <f t="shared" si="166"/>
        <v>Mar</v>
      </c>
      <c r="G532" s="215" t="s">
        <v>991</v>
      </c>
      <c r="H532" s="215" t="s">
        <v>104</v>
      </c>
      <c r="I532" s="215" t="s">
        <v>2772</v>
      </c>
      <c r="J532" s="209" t="s">
        <v>105</v>
      </c>
      <c r="K532" s="217" t="s">
        <v>107</v>
      </c>
      <c r="L532" s="300" t="s">
        <v>2167</v>
      </c>
      <c r="M532" s="209" t="s">
        <v>108</v>
      </c>
      <c r="N532" s="215" t="s">
        <v>109</v>
      </c>
      <c r="O532" s="215" t="s">
        <v>110</v>
      </c>
      <c r="P532" s="218">
        <v>36</v>
      </c>
      <c r="Q532" s="218">
        <v>5</v>
      </c>
      <c r="R532" s="219">
        <v>7.4999999999999997E-3</v>
      </c>
      <c r="S532" s="215" t="s">
        <v>111</v>
      </c>
      <c r="T532" s="215" t="s">
        <v>112</v>
      </c>
      <c r="U532" s="215" t="s">
        <v>113</v>
      </c>
      <c r="V532" s="220">
        <v>792</v>
      </c>
      <c r="W532" s="220">
        <v>792</v>
      </c>
      <c r="X532" s="221"/>
      <c r="Y532" s="222">
        <f t="shared" si="171"/>
        <v>0</v>
      </c>
      <c r="Z532" s="223">
        <f t="shared" si="172"/>
        <v>0</v>
      </c>
      <c r="AA532" s="223"/>
      <c r="AB532" s="807"/>
      <c r="AC532" s="220"/>
      <c r="AD532" s="209"/>
      <c r="AE532" s="210"/>
      <c r="AF532" s="210"/>
      <c r="AG532" s="211">
        <f t="shared" si="169"/>
        <v>0.308</v>
      </c>
      <c r="AH532" s="157">
        <f t="shared" si="164"/>
        <v>0</v>
      </c>
      <c r="AI532" s="152">
        <f t="shared" si="170"/>
        <v>28512</v>
      </c>
      <c r="AK532" s="156" t="s">
        <v>691</v>
      </c>
      <c r="AL532" s="574" t="s">
        <v>690</v>
      </c>
      <c r="AM532" s="198">
        <f t="shared" si="173"/>
        <v>0</v>
      </c>
      <c r="AN532" s="199">
        <f t="shared" si="168"/>
        <v>45380</v>
      </c>
      <c r="AO532" s="159" t="s">
        <v>692</v>
      </c>
      <c r="AP532" s="781"/>
      <c r="AQ532" s="782">
        <v>12063755</v>
      </c>
      <c r="AR532" s="782">
        <v>12061353</v>
      </c>
      <c r="AS532" s="782">
        <v>12061354</v>
      </c>
      <c r="AT532" s="782">
        <v>12068566</v>
      </c>
      <c r="AU532" s="781"/>
      <c r="AV532" s="782">
        <v>12068564</v>
      </c>
      <c r="AW532" s="782">
        <v>12062153</v>
      </c>
      <c r="AX532" s="782"/>
      <c r="AY532" s="782">
        <v>12068565</v>
      </c>
      <c r="AZ532" s="782"/>
      <c r="BA532" s="781"/>
    </row>
    <row r="533" spans="1:53" ht="25" hidden="1" customHeight="1">
      <c r="B533" s="213">
        <v>45380</v>
      </c>
      <c r="C533" s="213">
        <v>45386</v>
      </c>
      <c r="D533" s="185">
        <f t="shared" si="165"/>
        <v>2024</v>
      </c>
      <c r="E533" s="215" t="str">
        <f>VLOOKUP($B533,Week!$A$1:$C$1462,2,0)</f>
        <v>Week13</v>
      </c>
      <c r="F533" s="216" t="str">
        <f t="shared" si="166"/>
        <v>Mar</v>
      </c>
      <c r="G533" s="215" t="s">
        <v>992</v>
      </c>
      <c r="H533" s="215" t="s">
        <v>104</v>
      </c>
      <c r="I533" s="215" t="s">
        <v>2772</v>
      </c>
      <c r="J533" s="209" t="s">
        <v>105</v>
      </c>
      <c r="K533" s="217" t="s">
        <v>107</v>
      </c>
      <c r="L533" s="300" t="s">
        <v>2167</v>
      </c>
      <c r="M533" s="209" t="s">
        <v>108</v>
      </c>
      <c r="N533" s="215" t="s">
        <v>109</v>
      </c>
      <c r="O533" s="215" t="s">
        <v>110</v>
      </c>
      <c r="P533" s="218">
        <v>36</v>
      </c>
      <c r="Q533" s="218">
        <v>5</v>
      </c>
      <c r="R533" s="219">
        <v>7.4999999999999997E-3</v>
      </c>
      <c r="S533" s="215" t="s">
        <v>111</v>
      </c>
      <c r="T533" s="215" t="s">
        <v>112</v>
      </c>
      <c r="U533" s="215" t="s">
        <v>113</v>
      </c>
      <c r="V533" s="220">
        <v>792</v>
      </c>
      <c r="W533" s="220">
        <v>792</v>
      </c>
      <c r="X533" s="221"/>
      <c r="Y533" s="222">
        <f t="shared" si="171"/>
        <v>0</v>
      </c>
      <c r="Z533" s="223">
        <f t="shared" si="172"/>
        <v>0</v>
      </c>
      <c r="AA533" s="223"/>
      <c r="AB533" s="807"/>
      <c r="AC533" s="220"/>
      <c r="AD533" s="209"/>
      <c r="AE533" s="210"/>
      <c r="AF533" s="210"/>
      <c r="AG533" s="211">
        <f t="shared" si="169"/>
        <v>0.308</v>
      </c>
      <c r="AH533" s="157">
        <f t="shared" si="164"/>
        <v>0</v>
      </c>
      <c r="AI533" s="152">
        <f t="shared" si="170"/>
        <v>28512</v>
      </c>
      <c r="AK533" s="156" t="s">
        <v>691</v>
      </c>
      <c r="AL533" s="574" t="s">
        <v>690</v>
      </c>
      <c r="AM533" s="198">
        <f t="shared" si="173"/>
        <v>0</v>
      </c>
      <c r="AN533" s="199">
        <f t="shared" si="168"/>
        <v>45380</v>
      </c>
      <c r="AO533" s="159" t="s">
        <v>692</v>
      </c>
      <c r="AP533" s="781"/>
      <c r="AQ533" s="782">
        <v>12063755</v>
      </c>
      <c r="AR533" s="782">
        <v>12061353</v>
      </c>
      <c r="AS533" s="782">
        <v>12061354</v>
      </c>
      <c r="AT533" s="782">
        <v>12068566</v>
      </c>
      <c r="AU533" s="781"/>
      <c r="AV533" s="782">
        <v>12068564</v>
      </c>
      <c r="AW533" s="782">
        <v>12062153</v>
      </c>
      <c r="AX533" s="782"/>
      <c r="AY533" s="782">
        <v>12068565</v>
      </c>
      <c r="AZ533" s="782"/>
      <c r="BA533" s="781"/>
    </row>
    <row r="534" spans="1:53" ht="24.65" hidden="1" customHeight="1">
      <c r="A534" s="142">
        <v>13</v>
      </c>
      <c r="B534" s="213">
        <v>45380</v>
      </c>
      <c r="C534" s="213">
        <v>45386</v>
      </c>
      <c r="D534" s="185">
        <f t="shared" si="165"/>
        <v>2024</v>
      </c>
      <c r="E534" s="215" t="str">
        <f>VLOOKUP($B534,Week!$A$1:$C$1462,2,0)</f>
        <v>Week13</v>
      </c>
      <c r="F534" s="216" t="str">
        <f t="shared" si="166"/>
        <v>Mar</v>
      </c>
      <c r="G534" s="215" t="s">
        <v>993</v>
      </c>
      <c r="H534" s="215" t="s">
        <v>104</v>
      </c>
      <c r="I534" s="215" t="s">
        <v>2772</v>
      </c>
      <c r="J534" s="209" t="s">
        <v>105</v>
      </c>
      <c r="K534" s="217" t="s">
        <v>107</v>
      </c>
      <c r="L534" s="300" t="s">
        <v>2167</v>
      </c>
      <c r="M534" s="209" t="s">
        <v>108</v>
      </c>
      <c r="N534" s="215" t="s">
        <v>109</v>
      </c>
      <c r="O534" s="215" t="s">
        <v>110</v>
      </c>
      <c r="P534" s="218">
        <v>36</v>
      </c>
      <c r="Q534" s="218">
        <v>5</v>
      </c>
      <c r="R534" s="219">
        <v>7.4999999999999997E-3</v>
      </c>
      <c r="S534" s="215" t="s">
        <v>111</v>
      </c>
      <c r="T534" s="215" t="s">
        <v>112</v>
      </c>
      <c r="U534" s="215" t="s">
        <v>113</v>
      </c>
      <c r="V534" s="220">
        <f>3812-348-656-136-792-792-792</f>
        <v>296</v>
      </c>
      <c r="W534" s="220">
        <f>3812-348-656-136-792-792-792</f>
        <v>296</v>
      </c>
      <c r="X534" s="221"/>
      <c r="Y534" s="222">
        <f t="shared" si="171"/>
        <v>0</v>
      </c>
      <c r="Z534" s="223">
        <f t="shared" si="172"/>
        <v>0</v>
      </c>
      <c r="AA534" s="223"/>
      <c r="AB534" s="807"/>
      <c r="AC534" s="220"/>
      <c r="AD534" s="209"/>
      <c r="AE534" s="210"/>
      <c r="AF534" s="210"/>
      <c r="AG534" s="211">
        <f t="shared" si="169"/>
        <v>0.308</v>
      </c>
      <c r="AH534" s="157">
        <f t="shared" si="164"/>
        <v>0</v>
      </c>
      <c r="AI534" s="152">
        <f t="shared" si="170"/>
        <v>10656</v>
      </c>
      <c r="AK534" s="156" t="s">
        <v>691</v>
      </c>
      <c r="AL534" s="574" t="s">
        <v>690</v>
      </c>
      <c r="AM534" s="198">
        <f t="shared" ref="AM534:AM544" si="174">AG534*Z534</f>
        <v>0</v>
      </c>
      <c r="AN534" s="199">
        <f t="shared" si="168"/>
        <v>45380</v>
      </c>
      <c r="AO534" s="159" t="s">
        <v>692</v>
      </c>
      <c r="AP534" s="781"/>
      <c r="AQ534" s="782">
        <v>12063755</v>
      </c>
      <c r="AR534" s="782">
        <v>12061353</v>
      </c>
      <c r="AS534" s="782">
        <v>12061354</v>
      </c>
      <c r="AT534" s="782">
        <v>12068566</v>
      </c>
      <c r="AU534" s="781"/>
      <c r="AV534" s="782">
        <v>12068564</v>
      </c>
      <c r="AW534" s="782">
        <v>12062153</v>
      </c>
      <c r="AX534" s="782"/>
      <c r="AY534" s="782">
        <v>12068565</v>
      </c>
      <c r="AZ534" s="782"/>
      <c r="BA534" s="781"/>
    </row>
    <row r="535" spans="1:53" ht="25" hidden="1" customHeight="1">
      <c r="A535" s="142" t="s">
        <v>120</v>
      </c>
      <c r="B535" s="308">
        <v>45380</v>
      </c>
      <c r="C535" s="309">
        <v>45408</v>
      </c>
      <c r="D535" s="185">
        <f t="shared" si="165"/>
        <v>2024</v>
      </c>
      <c r="E535" s="309" t="str">
        <f>VLOOKUP($B535,Week!$A$1:$C$1462,2,0)</f>
        <v>Week13</v>
      </c>
      <c r="F535" s="310" t="str">
        <f t="shared" si="166"/>
        <v>Mar</v>
      </c>
      <c r="G535" s="579" t="s">
        <v>1252</v>
      </c>
      <c r="H535" s="311" t="s">
        <v>104</v>
      </c>
      <c r="I535" s="311" t="s">
        <v>2772</v>
      </c>
      <c r="J535" s="312" t="s">
        <v>105</v>
      </c>
      <c r="K535" s="313" t="s">
        <v>85</v>
      </c>
      <c r="L535" s="390" t="s">
        <v>2166</v>
      </c>
      <c r="M535" s="312" t="s">
        <v>86</v>
      </c>
      <c r="N535" s="311" t="s">
        <v>421</v>
      </c>
      <c r="O535" s="311" t="s">
        <v>506</v>
      </c>
      <c r="P535" s="314">
        <v>10</v>
      </c>
      <c r="Q535" s="314">
        <v>50</v>
      </c>
      <c r="R535" s="315">
        <v>6.8100000000000001E-3</v>
      </c>
      <c r="S535" s="311" t="s">
        <v>76</v>
      </c>
      <c r="T535" s="311" t="s">
        <v>112</v>
      </c>
      <c r="U535" s="311" t="s">
        <v>89</v>
      </c>
      <c r="V535" s="316">
        <f>400</f>
        <v>400</v>
      </c>
      <c r="W535" s="316">
        <f>387</f>
        <v>387</v>
      </c>
      <c r="X535" s="317">
        <f>(130)/10</f>
        <v>13</v>
      </c>
      <c r="Y535" s="318">
        <f t="shared" si="171"/>
        <v>0</v>
      </c>
      <c r="Z535" s="319">
        <f t="shared" si="172"/>
        <v>0</v>
      </c>
      <c r="AA535" s="319">
        <f>Q535*Z535</f>
        <v>0</v>
      </c>
      <c r="AB535" s="815">
        <v>6</v>
      </c>
      <c r="AC535" s="316">
        <f>Z535*AB535</f>
        <v>0</v>
      </c>
      <c r="AD535" s="381"/>
      <c r="AE535" s="210"/>
      <c r="AF535" s="210"/>
      <c r="AG535" s="211">
        <f t="shared" si="169"/>
        <v>0.57999999999999996</v>
      </c>
      <c r="AH535" s="157">
        <f t="shared" si="164"/>
        <v>0</v>
      </c>
      <c r="AI535" s="152">
        <f t="shared" si="170"/>
        <v>4000</v>
      </c>
      <c r="AJ535" s="156">
        <f>AI535*Q535</f>
        <v>200000</v>
      </c>
      <c r="AK535" s="156" t="s">
        <v>691</v>
      </c>
      <c r="AL535" s="156" t="s">
        <v>689</v>
      </c>
      <c r="AM535" s="198">
        <f t="shared" si="174"/>
        <v>0</v>
      </c>
      <c r="AN535" s="199">
        <f t="shared" si="168"/>
        <v>45380</v>
      </c>
      <c r="AO535" s="159" t="s">
        <v>692</v>
      </c>
      <c r="AP535" s="781" t="s">
        <v>423</v>
      </c>
      <c r="AQ535" s="781" t="s">
        <v>422</v>
      </c>
      <c r="AR535" s="782">
        <v>12055234</v>
      </c>
      <c r="AS535" s="781"/>
      <c r="AT535" s="782">
        <v>12069432</v>
      </c>
      <c r="AU535" s="781"/>
      <c r="AV535" s="782">
        <v>12069433</v>
      </c>
      <c r="AW535" s="781"/>
      <c r="AX535" s="781" t="s">
        <v>93</v>
      </c>
      <c r="AY535" s="781"/>
      <c r="AZ535" s="782"/>
      <c r="BA535" s="781"/>
    </row>
    <row r="536" spans="1:53" ht="24.75" hidden="1" customHeight="1">
      <c r="A536" s="142" t="s">
        <v>120</v>
      </c>
      <c r="B536" s="308">
        <v>45380</v>
      </c>
      <c r="C536" s="309">
        <v>45401</v>
      </c>
      <c r="D536" s="185">
        <f t="shared" si="165"/>
        <v>2024</v>
      </c>
      <c r="E536" s="519" t="str">
        <f>VLOOKUP($B536,Week!$A$1:$C$1462,2,0)</f>
        <v>Week13</v>
      </c>
      <c r="F536" s="520" t="str">
        <f t="shared" si="166"/>
        <v>Mar</v>
      </c>
      <c r="G536" s="446" t="s">
        <v>47</v>
      </c>
      <c r="H536" s="311" t="s">
        <v>518</v>
      </c>
      <c r="I536" s="298" t="s">
        <v>2702</v>
      </c>
      <c r="J536" s="312" t="s">
        <v>70</v>
      </c>
      <c r="K536" s="313" t="s">
        <v>85</v>
      </c>
      <c r="L536" s="390" t="s">
        <v>2166</v>
      </c>
      <c r="M536" s="312" t="s">
        <v>515</v>
      </c>
      <c r="N536" s="311" t="s">
        <v>588</v>
      </c>
      <c r="O536" s="311" t="s">
        <v>546</v>
      </c>
      <c r="P536" s="314">
        <v>12</v>
      </c>
      <c r="Q536" s="314">
        <v>20</v>
      </c>
      <c r="R536" s="315">
        <v>6.1999999999999998E-3</v>
      </c>
      <c r="S536" s="311" t="s">
        <v>352</v>
      </c>
      <c r="T536" s="311" t="s">
        <v>56</v>
      </c>
      <c r="U536" s="311"/>
      <c r="V536" s="316">
        <v>199</v>
      </c>
      <c r="W536" s="316">
        <f>110</f>
        <v>110</v>
      </c>
      <c r="X536" s="317">
        <f>(1068)/12</f>
        <v>89</v>
      </c>
      <c r="Y536" s="318">
        <f t="shared" si="171"/>
        <v>0</v>
      </c>
      <c r="Z536" s="319">
        <f t="shared" si="172"/>
        <v>0</v>
      </c>
      <c r="AA536" s="319">
        <f>Q536*Z536</f>
        <v>0</v>
      </c>
      <c r="AB536" s="815"/>
      <c r="AC536" s="316">
        <f>Z536*AB536</f>
        <v>0</v>
      </c>
      <c r="AD536" s="209"/>
      <c r="AE536" s="210"/>
      <c r="AF536" s="210"/>
      <c r="AG536" s="211">
        <f t="shared" si="169"/>
        <v>0.22</v>
      </c>
      <c r="AH536" s="157">
        <f t="shared" si="164"/>
        <v>0</v>
      </c>
      <c r="AI536" s="152">
        <f t="shared" si="170"/>
        <v>2388</v>
      </c>
      <c r="AK536" s="156" t="s">
        <v>691</v>
      </c>
      <c r="AL536" s="156" t="s">
        <v>689</v>
      </c>
      <c r="AM536" s="198">
        <f t="shared" si="174"/>
        <v>0</v>
      </c>
      <c r="AN536" s="199">
        <f t="shared" si="168"/>
        <v>45380</v>
      </c>
      <c r="AO536" s="159" t="s">
        <v>692</v>
      </c>
      <c r="AP536" s="783" t="s">
        <v>613</v>
      </c>
      <c r="AQ536" s="782"/>
      <c r="AR536" s="782" t="s">
        <v>614</v>
      </c>
      <c r="AS536" s="782"/>
      <c r="AT536" s="782">
        <v>12083140</v>
      </c>
      <c r="AU536" s="781"/>
      <c r="AV536" s="782">
        <v>12083143</v>
      </c>
      <c r="AW536" s="782"/>
      <c r="AX536" s="782"/>
      <c r="AY536" s="782"/>
      <c r="AZ536" s="782"/>
      <c r="BA536" s="781"/>
    </row>
    <row r="537" spans="1:53" ht="25" hidden="1" customHeight="1">
      <c r="A537" s="142">
        <v>13</v>
      </c>
      <c r="B537" s="213">
        <v>45381</v>
      </c>
      <c r="C537" s="213">
        <v>45386</v>
      </c>
      <c r="D537" s="185">
        <f t="shared" si="165"/>
        <v>2024</v>
      </c>
      <c r="E537" s="215" t="str">
        <f>VLOOKUP($B537,Week!$A$1:$C$1462,2,0)</f>
        <v>Week13</v>
      </c>
      <c r="F537" s="216" t="str">
        <f t="shared" si="166"/>
        <v>Mar</v>
      </c>
      <c r="G537" s="215" t="s">
        <v>993</v>
      </c>
      <c r="H537" s="215" t="s">
        <v>104</v>
      </c>
      <c r="I537" s="215" t="s">
        <v>2772</v>
      </c>
      <c r="J537" s="209" t="s">
        <v>105</v>
      </c>
      <c r="K537" s="217" t="s">
        <v>107</v>
      </c>
      <c r="L537" s="300" t="s">
        <v>2167</v>
      </c>
      <c r="M537" s="209" t="s">
        <v>108</v>
      </c>
      <c r="N537" s="215" t="s">
        <v>109</v>
      </c>
      <c r="O537" s="215" t="s">
        <v>110</v>
      </c>
      <c r="P537" s="218">
        <v>36</v>
      </c>
      <c r="Q537" s="218">
        <v>5</v>
      </c>
      <c r="R537" s="219">
        <v>7.4999999999999997E-3</v>
      </c>
      <c r="S537" s="215" t="s">
        <v>111</v>
      </c>
      <c r="T537" s="215" t="s">
        <v>112</v>
      </c>
      <c r="U537" s="215" t="s">
        <v>113</v>
      </c>
      <c r="V537" s="220">
        <f>792-296</f>
        <v>496</v>
      </c>
      <c r="W537" s="220">
        <f>792-296</f>
        <v>496</v>
      </c>
      <c r="X537" s="221"/>
      <c r="Y537" s="222">
        <f t="shared" si="171"/>
        <v>0</v>
      </c>
      <c r="Z537" s="223">
        <f t="shared" si="172"/>
        <v>0</v>
      </c>
      <c r="AA537" s="223"/>
      <c r="AB537" s="807"/>
      <c r="AC537" s="220"/>
      <c r="AD537" s="209"/>
      <c r="AE537" s="210"/>
      <c r="AF537" s="210"/>
      <c r="AG537" s="211">
        <f t="shared" si="169"/>
        <v>0.308</v>
      </c>
      <c r="AH537" s="157">
        <f>(Z537*AG537)/1000</f>
        <v>0</v>
      </c>
      <c r="AI537" s="152">
        <f t="shared" si="170"/>
        <v>17856</v>
      </c>
      <c r="AK537" s="156" t="s">
        <v>691</v>
      </c>
      <c r="AL537" s="574" t="s">
        <v>690</v>
      </c>
      <c r="AM537" s="198">
        <f>AG537*Z537</f>
        <v>0</v>
      </c>
      <c r="AN537" s="199">
        <f t="shared" si="168"/>
        <v>45381</v>
      </c>
      <c r="AO537" s="159" t="s">
        <v>692</v>
      </c>
      <c r="AP537" s="781"/>
      <c r="AQ537" s="782">
        <v>12063755</v>
      </c>
      <c r="AR537" s="782">
        <v>12061353</v>
      </c>
      <c r="AS537" s="782">
        <v>12061354</v>
      </c>
      <c r="AT537" s="782">
        <v>12068566</v>
      </c>
      <c r="AU537" s="781"/>
      <c r="AV537" s="782">
        <v>12068564</v>
      </c>
      <c r="AW537" s="782">
        <v>12062153</v>
      </c>
      <c r="AX537" s="782"/>
      <c r="AY537" s="782">
        <v>12068565</v>
      </c>
      <c r="AZ537" s="782"/>
      <c r="BA537" s="781"/>
    </row>
    <row r="538" spans="1:53" ht="25" hidden="1" customHeight="1">
      <c r="A538" s="142">
        <v>13</v>
      </c>
      <c r="B538" s="213">
        <v>45381</v>
      </c>
      <c r="C538" s="213">
        <v>45386</v>
      </c>
      <c r="D538" s="185">
        <f t="shared" si="165"/>
        <v>2024</v>
      </c>
      <c r="E538" s="215" t="str">
        <f>VLOOKUP($B538,Week!$A$1:$C$1462,2,0)</f>
        <v>Week13</v>
      </c>
      <c r="F538" s="216" t="str">
        <f t="shared" si="166"/>
        <v>Mar</v>
      </c>
      <c r="G538" s="215" t="s">
        <v>994</v>
      </c>
      <c r="H538" s="215" t="s">
        <v>104</v>
      </c>
      <c r="I538" s="215" t="s">
        <v>2772</v>
      </c>
      <c r="J538" s="209" t="s">
        <v>105</v>
      </c>
      <c r="K538" s="217" t="s">
        <v>107</v>
      </c>
      <c r="L538" s="300" t="s">
        <v>2167</v>
      </c>
      <c r="M538" s="209" t="s">
        <v>108</v>
      </c>
      <c r="N538" s="215" t="s">
        <v>109</v>
      </c>
      <c r="O538" s="215" t="s">
        <v>110</v>
      </c>
      <c r="P538" s="218">
        <v>36</v>
      </c>
      <c r="Q538" s="218">
        <v>5</v>
      </c>
      <c r="R538" s="219">
        <v>7.4999999999999997E-3</v>
      </c>
      <c r="S538" s="215" t="s">
        <v>111</v>
      </c>
      <c r="T538" s="215" t="s">
        <v>112</v>
      </c>
      <c r="U538" s="215" t="s">
        <v>113</v>
      </c>
      <c r="V538" s="220">
        <v>792</v>
      </c>
      <c r="W538" s="220">
        <v>792</v>
      </c>
      <c r="X538" s="221"/>
      <c r="Y538" s="222">
        <f t="shared" si="171"/>
        <v>0</v>
      </c>
      <c r="Z538" s="223">
        <f t="shared" si="172"/>
        <v>0</v>
      </c>
      <c r="AA538" s="223"/>
      <c r="AB538" s="807"/>
      <c r="AC538" s="220"/>
      <c r="AD538" s="209"/>
      <c r="AE538" s="210"/>
      <c r="AF538" s="210"/>
      <c r="AG538" s="211">
        <f t="shared" si="169"/>
        <v>0.308</v>
      </c>
      <c r="AH538" s="157">
        <f t="shared" si="164"/>
        <v>0</v>
      </c>
      <c r="AI538" s="152">
        <f t="shared" si="170"/>
        <v>28512</v>
      </c>
      <c r="AK538" s="156" t="s">
        <v>691</v>
      </c>
      <c r="AL538" s="574" t="s">
        <v>690</v>
      </c>
      <c r="AM538" s="198">
        <f t="shared" si="174"/>
        <v>0</v>
      </c>
      <c r="AN538" s="199">
        <f t="shared" si="168"/>
        <v>45381</v>
      </c>
      <c r="AO538" s="159" t="s">
        <v>692</v>
      </c>
      <c r="AP538" s="781"/>
      <c r="AQ538" s="782">
        <v>12063755</v>
      </c>
      <c r="AR538" s="782">
        <v>12061353</v>
      </c>
      <c r="AS538" s="782">
        <v>12061354</v>
      </c>
      <c r="AT538" s="782">
        <v>12068566</v>
      </c>
      <c r="AU538" s="781"/>
      <c r="AV538" s="782">
        <v>12068564</v>
      </c>
      <c r="AW538" s="782">
        <v>12062153</v>
      </c>
      <c r="AX538" s="782"/>
      <c r="AY538" s="782">
        <v>12068565</v>
      </c>
      <c r="AZ538" s="782"/>
      <c r="BA538" s="781"/>
    </row>
    <row r="539" spans="1:53" ht="25" hidden="1" customHeight="1">
      <c r="A539" s="142">
        <v>13</v>
      </c>
      <c r="B539" s="213">
        <v>45381</v>
      </c>
      <c r="C539" s="213">
        <v>45386</v>
      </c>
      <c r="D539" s="185">
        <f t="shared" si="165"/>
        <v>2024</v>
      </c>
      <c r="E539" s="215" t="str">
        <f>VLOOKUP($B539,Week!$A$1:$C$1462,2,0)</f>
        <v>Week13</v>
      </c>
      <c r="F539" s="216" t="str">
        <f t="shared" si="166"/>
        <v>Mar</v>
      </c>
      <c r="G539" s="215" t="s">
        <v>995</v>
      </c>
      <c r="H539" s="215" t="s">
        <v>104</v>
      </c>
      <c r="I539" s="215" t="s">
        <v>2772</v>
      </c>
      <c r="J539" s="209" t="s">
        <v>105</v>
      </c>
      <c r="K539" s="217" t="s">
        <v>107</v>
      </c>
      <c r="L539" s="300" t="s">
        <v>2167</v>
      </c>
      <c r="M539" s="209" t="s">
        <v>108</v>
      </c>
      <c r="N539" s="215" t="s">
        <v>109</v>
      </c>
      <c r="O539" s="215" t="s">
        <v>110</v>
      </c>
      <c r="P539" s="218">
        <v>36</v>
      </c>
      <c r="Q539" s="218">
        <v>5</v>
      </c>
      <c r="R539" s="219">
        <v>7.4999999999999997E-3</v>
      </c>
      <c r="S539" s="215" t="s">
        <v>111</v>
      </c>
      <c r="T539" s="215" t="s">
        <v>112</v>
      </c>
      <c r="U539" s="215" t="s">
        <v>113</v>
      </c>
      <c r="V539" s="220">
        <v>792</v>
      </c>
      <c r="W539" s="220">
        <v>792</v>
      </c>
      <c r="X539" s="221"/>
      <c r="Y539" s="222">
        <f t="shared" si="171"/>
        <v>0</v>
      </c>
      <c r="Z539" s="223">
        <f t="shared" si="172"/>
        <v>0</v>
      </c>
      <c r="AA539" s="223"/>
      <c r="AB539" s="807"/>
      <c r="AC539" s="220"/>
      <c r="AD539" s="209"/>
      <c r="AE539" s="210"/>
      <c r="AF539" s="210"/>
      <c r="AG539" s="211">
        <f t="shared" si="169"/>
        <v>0.308</v>
      </c>
      <c r="AH539" s="157">
        <f t="shared" si="164"/>
        <v>0</v>
      </c>
      <c r="AI539" s="152">
        <f t="shared" si="170"/>
        <v>28512</v>
      </c>
      <c r="AK539" s="156" t="s">
        <v>691</v>
      </c>
      <c r="AL539" s="574" t="s">
        <v>690</v>
      </c>
      <c r="AM539" s="198">
        <f t="shared" si="174"/>
        <v>0</v>
      </c>
      <c r="AN539" s="199">
        <f t="shared" si="168"/>
        <v>45381</v>
      </c>
      <c r="AO539" s="159" t="s">
        <v>692</v>
      </c>
      <c r="AP539" s="781"/>
      <c r="AQ539" s="782">
        <v>12063755</v>
      </c>
      <c r="AR539" s="782">
        <v>12061353</v>
      </c>
      <c r="AS539" s="782">
        <v>12061354</v>
      </c>
      <c r="AT539" s="782">
        <v>12068566</v>
      </c>
      <c r="AU539" s="781"/>
      <c r="AV539" s="782">
        <v>12068564</v>
      </c>
      <c r="AW539" s="782">
        <v>12062153</v>
      </c>
      <c r="AX539" s="782"/>
      <c r="AY539" s="782">
        <v>12068565</v>
      </c>
      <c r="AZ539" s="782"/>
      <c r="BA539" s="781"/>
    </row>
    <row r="540" spans="1:53" ht="25" hidden="1" customHeight="1">
      <c r="A540" s="142">
        <v>13</v>
      </c>
      <c r="B540" s="213">
        <v>45381</v>
      </c>
      <c r="C540" s="213">
        <v>45386</v>
      </c>
      <c r="D540" s="185">
        <f t="shared" si="165"/>
        <v>2024</v>
      </c>
      <c r="E540" s="215" t="str">
        <f>VLOOKUP($B540,Week!$A$1:$C$1462,2,0)</f>
        <v>Week13</v>
      </c>
      <c r="F540" s="216" t="str">
        <f t="shared" si="166"/>
        <v>Mar</v>
      </c>
      <c r="G540" s="215" t="s">
        <v>996</v>
      </c>
      <c r="H540" s="215" t="s">
        <v>104</v>
      </c>
      <c r="I540" s="215" t="s">
        <v>2772</v>
      </c>
      <c r="J540" s="209" t="s">
        <v>105</v>
      </c>
      <c r="K540" s="217" t="s">
        <v>107</v>
      </c>
      <c r="L540" s="300" t="s">
        <v>2167</v>
      </c>
      <c r="M540" s="209" t="s">
        <v>108</v>
      </c>
      <c r="N540" s="215" t="s">
        <v>109</v>
      </c>
      <c r="O540" s="215" t="s">
        <v>110</v>
      </c>
      <c r="P540" s="218">
        <v>36</v>
      </c>
      <c r="Q540" s="218">
        <v>5</v>
      </c>
      <c r="R540" s="219">
        <v>7.4999999999999997E-3</v>
      </c>
      <c r="S540" s="215" t="s">
        <v>111</v>
      </c>
      <c r="T540" s="215" t="s">
        <v>112</v>
      </c>
      <c r="U540" s="215" t="s">
        <v>113</v>
      </c>
      <c r="V540" s="220">
        <f>2472-496-792-792</f>
        <v>392</v>
      </c>
      <c r="W540" s="220">
        <f>2472-496-792-792</f>
        <v>392</v>
      </c>
      <c r="X540" s="221"/>
      <c r="Y540" s="222">
        <f t="shared" si="171"/>
        <v>0</v>
      </c>
      <c r="Z540" s="223">
        <f t="shared" si="172"/>
        <v>0</v>
      </c>
      <c r="AA540" s="223"/>
      <c r="AB540" s="807"/>
      <c r="AC540" s="220"/>
      <c r="AD540" s="209"/>
      <c r="AE540" s="210"/>
      <c r="AF540" s="210"/>
      <c r="AG540" s="211">
        <f t="shared" si="169"/>
        <v>0.308</v>
      </c>
      <c r="AH540" s="157">
        <f t="shared" si="164"/>
        <v>0</v>
      </c>
      <c r="AI540" s="152">
        <f t="shared" si="170"/>
        <v>14112</v>
      </c>
      <c r="AK540" s="156" t="s">
        <v>691</v>
      </c>
      <c r="AL540" s="574" t="s">
        <v>690</v>
      </c>
      <c r="AM540" s="198">
        <f t="shared" si="174"/>
        <v>0</v>
      </c>
      <c r="AN540" s="199">
        <f t="shared" si="168"/>
        <v>45381</v>
      </c>
      <c r="AO540" s="159" t="s">
        <v>692</v>
      </c>
      <c r="AP540" s="781"/>
      <c r="AQ540" s="782">
        <v>12063755</v>
      </c>
      <c r="AR540" s="782">
        <v>12061353</v>
      </c>
      <c r="AS540" s="782">
        <v>12061354</v>
      </c>
      <c r="AT540" s="782">
        <v>12068566</v>
      </c>
      <c r="AU540" s="781"/>
      <c r="AV540" s="782">
        <v>12068564</v>
      </c>
      <c r="AW540" s="782">
        <v>12062153</v>
      </c>
      <c r="AX540" s="782"/>
      <c r="AY540" s="782">
        <v>12068565</v>
      </c>
      <c r="AZ540" s="782"/>
      <c r="BA540" s="781"/>
    </row>
    <row r="541" spans="1:53" ht="25" hidden="1" customHeight="1">
      <c r="A541" s="142">
        <v>13</v>
      </c>
      <c r="B541" s="583">
        <v>45381</v>
      </c>
      <c r="C541" s="259">
        <v>45391</v>
      </c>
      <c r="D541" s="185">
        <f t="shared" si="165"/>
        <v>2024</v>
      </c>
      <c r="E541" s="259" t="str">
        <f>VLOOKUP($B541,Week!$A$1:$C$1462,2,0)</f>
        <v>Week13</v>
      </c>
      <c r="F541" s="261" t="str">
        <f t="shared" si="166"/>
        <v>Mar</v>
      </c>
      <c r="G541" s="260" t="s">
        <v>1176</v>
      </c>
      <c r="H541" s="260" t="s">
        <v>424</v>
      </c>
      <c r="I541" s="260" t="s">
        <v>2772</v>
      </c>
      <c r="J541" s="263" t="s">
        <v>653</v>
      </c>
      <c r="K541" s="264" t="s">
        <v>665</v>
      </c>
      <c r="L541" s="300" t="s">
        <v>2167</v>
      </c>
      <c r="M541" s="263" t="s">
        <v>654</v>
      </c>
      <c r="N541" s="260" t="s">
        <v>656</v>
      </c>
      <c r="O541" s="260" t="s">
        <v>655</v>
      </c>
      <c r="P541" s="265">
        <v>24</v>
      </c>
      <c r="Q541" s="265">
        <v>5</v>
      </c>
      <c r="R541" s="266">
        <v>7.4999999999999997E-3</v>
      </c>
      <c r="S541" s="260" t="s">
        <v>40</v>
      </c>
      <c r="T541" s="260" t="s">
        <v>112</v>
      </c>
      <c r="U541" s="621" t="s">
        <v>721</v>
      </c>
      <c r="V541" s="267">
        <v>924</v>
      </c>
      <c r="W541" s="267">
        <f>888</f>
        <v>888</v>
      </c>
      <c r="X541" s="268">
        <v>36</v>
      </c>
      <c r="Y541" s="269">
        <f t="shared" si="171"/>
        <v>0</v>
      </c>
      <c r="Z541" s="270">
        <f t="shared" si="172"/>
        <v>0</v>
      </c>
      <c r="AA541" s="270"/>
      <c r="AB541" s="811"/>
      <c r="AC541" s="267"/>
      <c r="AD541" s="587" t="s">
        <v>1352</v>
      </c>
      <c r="AE541" s="210"/>
      <c r="AF541" s="210"/>
      <c r="AG541" s="211">
        <f t="shared" si="169"/>
        <v>0.307</v>
      </c>
      <c r="AH541" s="157">
        <f t="shared" si="164"/>
        <v>0</v>
      </c>
      <c r="AI541" s="152">
        <f t="shared" si="170"/>
        <v>22176</v>
      </c>
      <c r="AK541" s="156" t="s">
        <v>691</v>
      </c>
      <c r="AL541" s="212" t="s">
        <v>690</v>
      </c>
      <c r="AM541" s="198">
        <f t="shared" si="174"/>
        <v>0</v>
      </c>
      <c r="AN541" s="199">
        <f t="shared" si="168"/>
        <v>45381</v>
      </c>
      <c r="AO541" s="159" t="s">
        <v>692</v>
      </c>
      <c r="AP541" s="781" t="s">
        <v>642</v>
      </c>
      <c r="AQ541" s="782">
        <v>12063755</v>
      </c>
      <c r="AR541" s="782">
        <v>12061353</v>
      </c>
      <c r="AS541" s="782">
        <v>12061354</v>
      </c>
      <c r="AT541" s="782">
        <v>12084023</v>
      </c>
      <c r="AU541" s="781"/>
      <c r="AV541" s="782">
        <v>12084228</v>
      </c>
      <c r="AW541" s="782"/>
      <c r="AX541" s="782"/>
      <c r="AY541" s="782"/>
      <c r="AZ541" s="782"/>
      <c r="BA541" s="781"/>
    </row>
    <row r="542" spans="1:53" ht="25" hidden="1" customHeight="1">
      <c r="A542" s="142">
        <v>13</v>
      </c>
      <c r="B542" s="583">
        <v>45381</v>
      </c>
      <c r="C542" s="259">
        <v>45391</v>
      </c>
      <c r="D542" s="185">
        <f t="shared" si="165"/>
        <v>2024</v>
      </c>
      <c r="E542" s="259" t="str">
        <f>VLOOKUP($B542,Week!$A$1:$C$1462,2,0)</f>
        <v>Week13</v>
      </c>
      <c r="F542" s="261" t="str">
        <f t="shared" si="166"/>
        <v>Mar</v>
      </c>
      <c r="G542" s="260" t="s">
        <v>1177</v>
      </c>
      <c r="H542" s="260" t="s">
        <v>424</v>
      </c>
      <c r="I542" s="260" t="s">
        <v>2772</v>
      </c>
      <c r="J542" s="263" t="s">
        <v>653</v>
      </c>
      <c r="K542" s="264" t="s">
        <v>665</v>
      </c>
      <c r="L542" s="300" t="s">
        <v>2167</v>
      </c>
      <c r="M542" s="263" t="s">
        <v>654</v>
      </c>
      <c r="N542" s="260" t="s">
        <v>656</v>
      </c>
      <c r="O542" s="260" t="s">
        <v>655</v>
      </c>
      <c r="P542" s="265">
        <v>24</v>
      </c>
      <c r="Q542" s="265">
        <v>5</v>
      </c>
      <c r="R542" s="266">
        <v>7.4999999999999997E-3</v>
      </c>
      <c r="S542" s="260" t="s">
        <v>40</v>
      </c>
      <c r="T542" s="260" t="s">
        <v>112</v>
      </c>
      <c r="U542" s="621" t="s">
        <v>721</v>
      </c>
      <c r="V542" s="267">
        <v>924</v>
      </c>
      <c r="W542" s="267">
        <f>924</f>
        <v>924</v>
      </c>
      <c r="X542" s="268"/>
      <c r="Y542" s="269">
        <f t="shared" si="171"/>
        <v>0</v>
      </c>
      <c r="Z542" s="270">
        <f t="shared" si="172"/>
        <v>0</v>
      </c>
      <c r="AA542" s="270"/>
      <c r="AB542" s="811"/>
      <c r="AC542" s="267"/>
      <c r="AD542" s="587" t="s">
        <v>1352</v>
      </c>
      <c r="AE542" s="210"/>
      <c r="AF542" s="210"/>
      <c r="AG542" s="211">
        <f t="shared" si="169"/>
        <v>0.307</v>
      </c>
      <c r="AH542" s="157">
        <f t="shared" si="164"/>
        <v>0</v>
      </c>
      <c r="AI542" s="152">
        <f t="shared" si="170"/>
        <v>22176</v>
      </c>
      <c r="AK542" s="156" t="s">
        <v>691</v>
      </c>
      <c r="AL542" s="212" t="s">
        <v>690</v>
      </c>
      <c r="AM542" s="198">
        <f t="shared" si="174"/>
        <v>0</v>
      </c>
      <c r="AN542" s="199">
        <f t="shared" si="168"/>
        <v>45381</v>
      </c>
      <c r="AO542" s="159" t="s">
        <v>692</v>
      </c>
      <c r="AP542" s="781" t="s">
        <v>642</v>
      </c>
      <c r="AQ542" s="782">
        <v>12063755</v>
      </c>
      <c r="AR542" s="782">
        <v>12061353</v>
      </c>
      <c r="AS542" s="782">
        <v>12061354</v>
      </c>
      <c r="AT542" s="782">
        <v>12084023</v>
      </c>
      <c r="AU542" s="781"/>
      <c r="AV542" s="782">
        <v>12084228</v>
      </c>
      <c r="AW542" s="782"/>
      <c r="AX542" s="782"/>
      <c r="AY542" s="782"/>
      <c r="AZ542" s="782"/>
      <c r="BA542" s="781"/>
    </row>
    <row r="543" spans="1:53" ht="25" hidden="1" customHeight="1">
      <c r="A543" s="142" t="s">
        <v>120</v>
      </c>
      <c r="B543" s="369">
        <v>45381</v>
      </c>
      <c r="C543" s="370">
        <v>45414</v>
      </c>
      <c r="D543" s="185">
        <f t="shared" si="165"/>
        <v>2024</v>
      </c>
      <c r="E543" s="371" t="str">
        <f>VLOOKUP($B543,Week!$A$1:$C$1462,2,0)</f>
        <v>Week13</v>
      </c>
      <c r="F543" s="372" t="str">
        <f t="shared" si="166"/>
        <v>Mar</v>
      </c>
      <c r="G543" s="371" t="s">
        <v>1243</v>
      </c>
      <c r="H543" s="371" t="s">
        <v>344</v>
      </c>
      <c r="I543" s="371" t="s">
        <v>2772</v>
      </c>
      <c r="J543" s="373" t="s">
        <v>345</v>
      </c>
      <c r="K543" s="374" t="s">
        <v>153</v>
      </c>
      <c r="L543" s="390" t="s">
        <v>2166</v>
      </c>
      <c r="M543" s="373" t="s">
        <v>214</v>
      </c>
      <c r="N543" s="371" t="s">
        <v>346</v>
      </c>
      <c r="O543" s="371" t="s">
        <v>509</v>
      </c>
      <c r="P543" s="375">
        <v>18</v>
      </c>
      <c r="Q543" s="375">
        <v>8</v>
      </c>
      <c r="R543" s="376">
        <v>6.8100000000000001E-3</v>
      </c>
      <c r="S543" s="371" t="s">
        <v>76</v>
      </c>
      <c r="T543" s="371" t="s">
        <v>56</v>
      </c>
      <c r="U543" s="371" t="s">
        <v>89</v>
      </c>
      <c r="V543" s="377">
        <f>1600</f>
        <v>1600</v>
      </c>
      <c r="W543" s="377">
        <f>1381</f>
        <v>1381</v>
      </c>
      <c r="X543" s="378">
        <f>(1404+2268+486)/18</f>
        <v>231</v>
      </c>
      <c r="Y543" s="379">
        <f t="shared" si="171"/>
        <v>12</v>
      </c>
      <c r="Z543" s="380">
        <f t="shared" si="172"/>
        <v>0</v>
      </c>
      <c r="AA543" s="380">
        <f>Q543*Z543</f>
        <v>0</v>
      </c>
      <c r="AB543" s="820">
        <v>1</v>
      </c>
      <c r="AC543" s="377">
        <f>Z543*AB543</f>
        <v>0</v>
      </c>
      <c r="AD543" s="443"/>
      <c r="AE543" s="210"/>
      <c r="AF543" s="210"/>
      <c r="AG543" s="211">
        <f t="shared" si="169"/>
        <v>0.10100000000000001</v>
      </c>
      <c r="AH543" s="157">
        <f>(Z543*AG543)/1000</f>
        <v>0</v>
      </c>
      <c r="AI543" s="152">
        <f t="shared" si="170"/>
        <v>28800</v>
      </c>
      <c r="AK543" s="156" t="s">
        <v>691</v>
      </c>
      <c r="AL543" s="156" t="s">
        <v>689</v>
      </c>
      <c r="AM543" s="198">
        <f>AG543*Z543</f>
        <v>0</v>
      </c>
      <c r="AN543" s="199">
        <f t="shared" si="168"/>
        <v>45381</v>
      </c>
      <c r="AO543" s="159" t="s">
        <v>692</v>
      </c>
      <c r="AP543" s="781"/>
      <c r="AQ543" s="781" t="s">
        <v>158</v>
      </c>
      <c r="AR543" s="782">
        <v>12038019</v>
      </c>
      <c r="AS543" s="781"/>
      <c r="AT543" s="800">
        <v>12055751</v>
      </c>
      <c r="AU543" s="781"/>
      <c r="AV543" s="800">
        <v>12049471</v>
      </c>
      <c r="AW543" s="781"/>
      <c r="AX543" s="781" t="s">
        <v>162</v>
      </c>
      <c r="AY543" s="781"/>
      <c r="AZ543" s="781"/>
      <c r="BA543" s="781"/>
    </row>
    <row r="544" spans="1:53" ht="25" hidden="1" customHeight="1">
      <c r="B544" s="183">
        <v>45382</v>
      </c>
      <c r="C544" s="184"/>
      <c r="D544" s="185">
        <f t="shared" si="165"/>
        <v>2024</v>
      </c>
      <c r="E544" s="185" t="str">
        <f>VLOOKUP($B544,Week!$A$1:$C$1462,2,0)</f>
        <v>Week13</v>
      </c>
      <c r="F544" s="186" t="str">
        <f t="shared" si="166"/>
        <v>Mar</v>
      </c>
      <c r="G544" s="185"/>
      <c r="H544" s="185"/>
      <c r="I544" s="185"/>
      <c r="J544" s="187"/>
      <c r="K544" s="188"/>
      <c r="L544" s="300"/>
      <c r="M544" s="187"/>
      <c r="N544" s="185"/>
      <c r="O544" s="185"/>
      <c r="P544" s="189"/>
      <c r="Q544" s="189"/>
      <c r="R544" s="190"/>
      <c r="S544" s="185"/>
      <c r="T544" s="185"/>
      <c r="U544" s="185"/>
      <c r="V544" s="191"/>
      <c r="W544" s="191"/>
      <c r="X544" s="192"/>
      <c r="Y544" s="193"/>
      <c r="Z544" s="194"/>
      <c r="AA544" s="194"/>
      <c r="AB544" s="805"/>
      <c r="AC544" s="191"/>
      <c r="AD544" s="187"/>
      <c r="AE544" s="195"/>
      <c r="AF544" s="195"/>
      <c r="AG544" s="196"/>
      <c r="AH544" s="197"/>
      <c r="AK544" s="156" t="s">
        <v>691</v>
      </c>
      <c r="AM544" s="198">
        <f t="shared" si="174"/>
        <v>0</v>
      </c>
      <c r="AN544" s="199">
        <f t="shared" si="168"/>
        <v>45382</v>
      </c>
      <c r="AO544" s="159" t="s">
        <v>692</v>
      </c>
      <c r="AP544" s="781"/>
      <c r="AQ544" s="782"/>
      <c r="AR544" s="782"/>
      <c r="AS544" s="782"/>
      <c r="AT544" s="782"/>
      <c r="AU544" s="781"/>
      <c r="AV544" s="782"/>
      <c r="AW544" s="782"/>
      <c r="AX544" s="782"/>
      <c r="AY544" s="782"/>
      <c r="AZ544" s="782"/>
      <c r="BA544" s="781"/>
    </row>
    <row r="545" spans="1:53" ht="25" hidden="1" customHeight="1">
      <c r="A545" s="142">
        <v>13</v>
      </c>
      <c r="B545" s="424">
        <v>45383</v>
      </c>
      <c r="C545" s="425">
        <v>45386</v>
      </c>
      <c r="D545" s="185">
        <f t="shared" si="165"/>
        <v>2024</v>
      </c>
      <c r="E545" s="425" t="str">
        <f>VLOOKUP($B545,Week!$A$1:$C$1462,2,0)</f>
        <v>Week14</v>
      </c>
      <c r="F545" s="426" t="str">
        <f t="shared" si="166"/>
        <v>Apr</v>
      </c>
      <c r="G545" s="427" t="s">
        <v>47</v>
      </c>
      <c r="H545" s="427" t="s">
        <v>260</v>
      </c>
      <c r="I545" s="298" t="s">
        <v>2702</v>
      </c>
      <c r="J545" s="428" t="s">
        <v>70</v>
      </c>
      <c r="K545" s="429" t="s">
        <v>665</v>
      </c>
      <c r="L545" s="300" t="s">
        <v>2167</v>
      </c>
      <c r="M545" s="428" t="s">
        <v>1116</v>
      </c>
      <c r="N545" s="427" t="s">
        <v>1302</v>
      </c>
      <c r="O545" s="427" t="s">
        <v>668</v>
      </c>
      <c r="P545" s="430">
        <v>12</v>
      </c>
      <c r="Q545" s="430">
        <v>3</v>
      </c>
      <c r="R545" s="431">
        <v>6.1999999999999998E-3</v>
      </c>
      <c r="S545" s="427" t="s">
        <v>352</v>
      </c>
      <c r="T545" s="427" t="s">
        <v>56</v>
      </c>
      <c r="U545" s="427" t="s">
        <v>669</v>
      </c>
      <c r="V545" s="628">
        <v>9952</v>
      </c>
      <c r="W545" s="432">
        <f>9952</f>
        <v>9952</v>
      </c>
      <c r="X545" s="433"/>
      <c r="Y545" s="434">
        <f t="shared" ref="Y545:Y568" si="175">(W545+X545)-V545</f>
        <v>0</v>
      </c>
      <c r="Z545" s="435">
        <f t="shared" ref="Z545:Z568" si="176">IF(Y545&lt;0,((V545*P545)-((W545+X545)*P545)),0)</f>
        <v>0</v>
      </c>
      <c r="AA545" s="435"/>
      <c r="AB545" s="826"/>
      <c r="AC545" s="432"/>
      <c r="AD545" s="209"/>
      <c r="AE545" s="210"/>
      <c r="AF545" s="210"/>
      <c r="AG545" s="211">
        <f t="shared" ref="AG545:AG553" si="177">MID(O545,1,3)/1000</f>
        <v>0.21099999999999999</v>
      </c>
      <c r="AH545" s="157">
        <f>(Z545*AG545)/1000</f>
        <v>0</v>
      </c>
      <c r="AI545" s="152">
        <f t="shared" ref="AI545:AI553" si="178">V545*P545</f>
        <v>119424</v>
      </c>
      <c r="AK545" s="156" t="s">
        <v>691</v>
      </c>
      <c r="AL545" s="212" t="s">
        <v>690</v>
      </c>
      <c r="AM545" s="198">
        <f t="shared" ref="AM545:AM551" si="179">AG545*Z545</f>
        <v>0</v>
      </c>
      <c r="AN545" s="199">
        <f t="shared" si="168"/>
        <v>45383</v>
      </c>
      <c r="AO545" s="159" t="s">
        <v>692</v>
      </c>
      <c r="AP545" s="783" t="s">
        <v>623</v>
      </c>
      <c r="AQ545" s="782"/>
      <c r="AR545" s="782">
        <v>12042650</v>
      </c>
      <c r="AS545" s="782">
        <v>12042649</v>
      </c>
      <c r="AT545" s="782"/>
      <c r="AU545" s="781"/>
      <c r="AV545" s="782">
        <v>12090991</v>
      </c>
      <c r="AW545" s="782"/>
      <c r="AX545" s="782"/>
      <c r="AY545" s="782">
        <v>12090992</v>
      </c>
      <c r="AZ545" s="782">
        <v>12090990</v>
      </c>
      <c r="BA545" s="781"/>
    </row>
    <row r="546" spans="1:53" ht="25" hidden="1" customHeight="1">
      <c r="A546" s="142">
        <v>13</v>
      </c>
      <c r="B546" s="213">
        <v>45384</v>
      </c>
      <c r="C546" s="213">
        <v>45386</v>
      </c>
      <c r="D546" s="185">
        <f t="shared" si="165"/>
        <v>2024</v>
      </c>
      <c r="E546" s="215" t="str">
        <f>VLOOKUP($B546,Week!$A$1:$C$1462,2,0)</f>
        <v>Week14</v>
      </c>
      <c r="F546" s="216" t="str">
        <f t="shared" si="166"/>
        <v>Apr</v>
      </c>
      <c r="G546" s="215" t="s">
        <v>996</v>
      </c>
      <c r="H546" s="215" t="s">
        <v>104</v>
      </c>
      <c r="I546" s="215" t="s">
        <v>2772</v>
      </c>
      <c r="J546" s="209" t="s">
        <v>105</v>
      </c>
      <c r="K546" s="217" t="s">
        <v>107</v>
      </c>
      <c r="L546" s="300" t="s">
        <v>2167</v>
      </c>
      <c r="M546" s="209" t="s">
        <v>108</v>
      </c>
      <c r="N546" s="215" t="s">
        <v>109</v>
      </c>
      <c r="O546" s="215" t="s">
        <v>110</v>
      </c>
      <c r="P546" s="218">
        <v>36</v>
      </c>
      <c r="Q546" s="218">
        <v>5</v>
      </c>
      <c r="R546" s="219">
        <v>7.4999999999999997E-3</v>
      </c>
      <c r="S546" s="215" t="s">
        <v>111</v>
      </c>
      <c r="T546" s="215" t="s">
        <v>112</v>
      </c>
      <c r="U546" s="215" t="s">
        <v>113</v>
      </c>
      <c r="V546" s="220">
        <f>792-392</f>
        <v>400</v>
      </c>
      <c r="W546" s="220">
        <f>792-392</f>
        <v>400</v>
      </c>
      <c r="X546" s="221"/>
      <c r="Y546" s="222">
        <f t="shared" si="175"/>
        <v>0</v>
      </c>
      <c r="Z546" s="223">
        <f t="shared" si="176"/>
        <v>0</v>
      </c>
      <c r="AA546" s="223"/>
      <c r="AB546" s="807"/>
      <c r="AC546" s="220"/>
      <c r="AD546" s="209"/>
      <c r="AE546" s="210"/>
      <c r="AF546" s="210"/>
      <c r="AG546" s="211">
        <f t="shared" si="177"/>
        <v>0.308</v>
      </c>
      <c r="AH546" s="157">
        <f>(Z546*AG546)/1000</f>
        <v>0</v>
      </c>
      <c r="AI546" s="152">
        <f t="shared" si="178"/>
        <v>14400</v>
      </c>
      <c r="AK546" s="156" t="s">
        <v>691</v>
      </c>
      <c r="AL546" s="574" t="s">
        <v>690</v>
      </c>
      <c r="AM546" s="198">
        <f t="shared" si="179"/>
        <v>0</v>
      </c>
      <c r="AN546" s="199">
        <f t="shared" si="168"/>
        <v>45384</v>
      </c>
      <c r="AO546" s="159" t="s">
        <v>692</v>
      </c>
      <c r="AP546" s="781"/>
      <c r="AQ546" s="782">
        <v>12063755</v>
      </c>
      <c r="AR546" s="782">
        <v>12061353</v>
      </c>
      <c r="AS546" s="782">
        <v>12061354</v>
      </c>
      <c r="AT546" s="782">
        <v>12068566</v>
      </c>
      <c r="AU546" s="781"/>
      <c r="AV546" s="782">
        <v>12068564</v>
      </c>
      <c r="AW546" s="782">
        <v>12062153</v>
      </c>
      <c r="AX546" s="782"/>
      <c r="AY546" s="782">
        <v>12068565</v>
      </c>
      <c r="AZ546" s="782"/>
      <c r="BA546" s="781"/>
    </row>
    <row r="547" spans="1:53" ht="25" hidden="1" customHeight="1">
      <c r="A547" s="142">
        <v>13</v>
      </c>
      <c r="B547" s="213">
        <v>45384</v>
      </c>
      <c r="C547" s="213">
        <v>45386</v>
      </c>
      <c r="D547" s="185">
        <f t="shared" si="165"/>
        <v>2024</v>
      </c>
      <c r="E547" s="215" t="str">
        <f>VLOOKUP($B547,Week!$A$1:$C$1462,2,0)</f>
        <v>Week14</v>
      </c>
      <c r="F547" s="216" t="str">
        <f t="shared" si="166"/>
        <v>Apr</v>
      </c>
      <c r="G547" s="215" t="s">
        <v>997</v>
      </c>
      <c r="H547" s="215" t="s">
        <v>104</v>
      </c>
      <c r="I547" s="215" t="s">
        <v>2772</v>
      </c>
      <c r="J547" s="209" t="s">
        <v>105</v>
      </c>
      <c r="K547" s="217" t="s">
        <v>107</v>
      </c>
      <c r="L547" s="300" t="s">
        <v>2167</v>
      </c>
      <c r="M547" s="209" t="s">
        <v>108</v>
      </c>
      <c r="N547" s="215" t="s">
        <v>109</v>
      </c>
      <c r="O547" s="215" t="s">
        <v>110</v>
      </c>
      <c r="P547" s="218">
        <v>36</v>
      </c>
      <c r="Q547" s="218">
        <v>5</v>
      </c>
      <c r="R547" s="219">
        <v>7.4999999999999997E-3</v>
      </c>
      <c r="S547" s="215" t="s">
        <v>111</v>
      </c>
      <c r="T547" s="215" t="s">
        <v>112</v>
      </c>
      <c r="U547" s="215" t="s">
        <v>113</v>
      </c>
      <c r="V547" s="220">
        <v>792</v>
      </c>
      <c r="W547" s="220">
        <v>792</v>
      </c>
      <c r="X547" s="221"/>
      <c r="Y547" s="222">
        <f t="shared" si="175"/>
        <v>0</v>
      </c>
      <c r="Z547" s="223">
        <f t="shared" si="176"/>
        <v>0</v>
      </c>
      <c r="AA547" s="223"/>
      <c r="AB547" s="807"/>
      <c r="AC547" s="220"/>
      <c r="AD547" s="209"/>
      <c r="AE547" s="210"/>
      <c r="AF547" s="210"/>
      <c r="AG547" s="211">
        <f t="shared" si="177"/>
        <v>0.308</v>
      </c>
      <c r="AH547" s="157">
        <f t="shared" si="164"/>
        <v>0</v>
      </c>
      <c r="AI547" s="152">
        <f t="shared" si="178"/>
        <v>28512</v>
      </c>
      <c r="AK547" s="156" t="s">
        <v>691</v>
      </c>
      <c r="AL547" s="574" t="s">
        <v>690</v>
      </c>
      <c r="AM547" s="198">
        <f t="shared" si="179"/>
        <v>0</v>
      </c>
      <c r="AN547" s="199">
        <f t="shared" si="168"/>
        <v>45384</v>
      </c>
      <c r="AO547" s="159" t="s">
        <v>692</v>
      </c>
      <c r="AP547" s="781"/>
      <c r="AQ547" s="782">
        <v>12063755</v>
      </c>
      <c r="AR547" s="782">
        <v>12061353</v>
      </c>
      <c r="AS547" s="782">
        <v>12061354</v>
      </c>
      <c r="AT547" s="782">
        <v>12068566</v>
      </c>
      <c r="AU547" s="781"/>
      <c r="AV547" s="782">
        <v>12068564</v>
      </c>
      <c r="AW547" s="782">
        <v>12062153</v>
      </c>
      <c r="AX547" s="782"/>
      <c r="AY547" s="782">
        <v>12068565</v>
      </c>
      <c r="AZ547" s="782"/>
      <c r="BA547" s="781"/>
    </row>
    <row r="548" spans="1:53" ht="25" hidden="1" customHeight="1">
      <c r="A548" s="142">
        <v>13</v>
      </c>
      <c r="B548" s="213">
        <v>45384</v>
      </c>
      <c r="C548" s="213">
        <v>45387</v>
      </c>
      <c r="D548" s="185">
        <f t="shared" si="165"/>
        <v>2024</v>
      </c>
      <c r="E548" s="215" t="str">
        <f>VLOOKUP($B548,Week!$A$1:$C$1462,2,0)</f>
        <v>Week14</v>
      </c>
      <c r="F548" s="216" t="str">
        <f t="shared" si="166"/>
        <v>Apr</v>
      </c>
      <c r="G548" s="215" t="s">
        <v>998</v>
      </c>
      <c r="H548" s="215" t="s">
        <v>104</v>
      </c>
      <c r="I548" s="215" t="s">
        <v>2772</v>
      </c>
      <c r="J548" s="209" t="s">
        <v>105</v>
      </c>
      <c r="K548" s="217" t="s">
        <v>107</v>
      </c>
      <c r="L548" s="300" t="s">
        <v>2167</v>
      </c>
      <c r="M548" s="209" t="s">
        <v>108</v>
      </c>
      <c r="N548" s="215" t="s">
        <v>109</v>
      </c>
      <c r="O548" s="215" t="s">
        <v>110</v>
      </c>
      <c r="P548" s="218">
        <v>36</v>
      </c>
      <c r="Q548" s="218">
        <v>5</v>
      </c>
      <c r="R548" s="219">
        <v>7.4999999999999997E-3</v>
      </c>
      <c r="S548" s="215" t="s">
        <v>111</v>
      </c>
      <c r="T548" s="215" t="s">
        <v>112</v>
      </c>
      <c r="U548" s="215" t="s">
        <v>113</v>
      </c>
      <c r="V548" s="220">
        <v>792</v>
      </c>
      <c r="W548" s="220">
        <v>792</v>
      </c>
      <c r="X548" s="221"/>
      <c r="Y548" s="222">
        <f t="shared" si="175"/>
        <v>0</v>
      </c>
      <c r="Z548" s="223">
        <f t="shared" si="176"/>
        <v>0</v>
      </c>
      <c r="AA548" s="223"/>
      <c r="AB548" s="807"/>
      <c r="AC548" s="220"/>
      <c r="AD548" s="209"/>
      <c r="AE548" s="210"/>
      <c r="AF548" s="210"/>
      <c r="AG548" s="211">
        <f t="shared" si="177"/>
        <v>0.308</v>
      </c>
      <c r="AH548" s="157">
        <f t="shared" si="164"/>
        <v>0</v>
      </c>
      <c r="AI548" s="152">
        <f t="shared" si="178"/>
        <v>28512</v>
      </c>
      <c r="AK548" s="156" t="s">
        <v>691</v>
      </c>
      <c r="AL548" s="574" t="s">
        <v>690</v>
      </c>
      <c r="AM548" s="198">
        <f t="shared" si="179"/>
        <v>0</v>
      </c>
      <c r="AN548" s="199">
        <f t="shared" si="168"/>
        <v>45384</v>
      </c>
      <c r="AO548" s="159" t="s">
        <v>692</v>
      </c>
      <c r="AP548" s="781"/>
      <c r="AQ548" s="782">
        <v>12063755</v>
      </c>
      <c r="AR548" s="782">
        <v>12061353</v>
      </c>
      <c r="AS548" s="782">
        <v>12061354</v>
      </c>
      <c r="AT548" s="782">
        <v>12068566</v>
      </c>
      <c r="AU548" s="781"/>
      <c r="AV548" s="782">
        <v>12068564</v>
      </c>
      <c r="AW548" s="782">
        <v>12062153</v>
      </c>
      <c r="AX548" s="782"/>
      <c r="AY548" s="782">
        <v>12068565</v>
      </c>
      <c r="AZ548" s="782"/>
      <c r="BA548" s="781"/>
    </row>
    <row r="549" spans="1:53" ht="25" hidden="1" customHeight="1">
      <c r="A549" s="142">
        <v>13</v>
      </c>
      <c r="B549" s="213">
        <v>45384</v>
      </c>
      <c r="C549" s="213">
        <v>45387</v>
      </c>
      <c r="D549" s="185">
        <f t="shared" si="165"/>
        <v>2024</v>
      </c>
      <c r="E549" s="215" t="str">
        <f>VLOOKUP($B549,Week!$A$1:$C$1462,2,0)</f>
        <v>Week14</v>
      </c>
      <c r="F549" s="216" t="str">
        <f t="shared" si="166"/>
        <v>Apr</v>
      </c>
      <c r="G549" s="215" t="s">
        <v>999</v>
      </c>
      <c r="H549" s="215" t="s">
        <v>104</v>
      </c>
      <c r="I549" s="215" t="s">
        <v>2772</v>
      </c>
      <c r="J549" s="209" t="s">
        <v>105</v>
      </c>
      <c r="K549" s="217" t="s">
        <v>107</v>
      </c>
      <c r="L549" s="300" t="s">
        <v>2167</v>
      </c>
      <c r="M549" s="209" t="s">
        <v>108</v>
      </c>
      <c r="N549" s="215" t="s">
        <v>109</v>
      </c>
      <c r="O549" s="215" t="s">
        <v>110</v>
      </c>
      <c r="P549" s="218">
        <v>36</v>
      </c>
      <c r="Q549" s="218">
        <v>5</v>
      </c>
      <c r="R549" s="219">
        <v>7.4999999999999997E-3</v>
      </c>
      <c r="S549" s="215" t="s">
        <v>111</v>
      </c>
      <c r="T549" s="215" t="s">
        <v>112</v>
      </c>
      <c r="U549" s="215" t="s">
        <v>113</v>
      </c>
      <c r="V549" s="220">
        <v>792</v>
      </c>
      <c r="W549" s="220">
        <v>792</v>
      </c>
      <c r="X549" s="221"/>
      <c r="Y549" s="222">
        <f t="shared" si="175"/>
        <v>0</v>
      </c>
      <c r="Z549" s="223">
        <f t="shared" si="176"/>
        <v>0</v>
      </c>
      <c r="AA549" s="223"/>
      <c r="AB549" s="807"/>
      <c r="AC549" s="220"/>
      <c r="AD549" s="209"/>
      <c r="AE549" s="210"/>
      <c r="AF549" s="210"/>
      <c r="AG549" s="211">
        <f t="shared" si="177"/>
        <v>0.308</v>
      </c>
      <c r="AH549" s="157">
        <f t="shared" si="164"/>
        <v>0</v>
      </c>
      <c r="AI549" s="152">
        <f t="shared" si="178"/>
        <v>28512</v>
      </c>
      <c r="AK549" s="156" t="s">
        <v>691</v>
      </c>
      <c r="AL549" s="574" t="s">
        <v>690</v>
      </c>
      <c r="AM549" s="198">
        <f t="shared" si="179"/>
        <v>0</v>
      </c>
      <c r="AN549" s="199">
        <f t="shared" si="168"/>
        <v>45384</v>
      </c>
      <c r="AO549" s="159" t="s">
        <v>692</v>
      </c>
      <c r="AP549" s="781"/>
      <c r="AQ549" s="782">
        <v>12063755</v>
      </c>
      <c r="AR549" s="782">
        <v>12061353</v>
      </c>
      <c r="AS549" s="782">
        <v>12061354</v>
      </c>
      <c r="AT549" s="782">
        <v>12068566</v>
      </c>
      <c r="AU549" s="781"/>
      <c r="AV549" s="782">
        <v>12068564</v>
      </c>
      <c r="AW549" s="782">
        <v>12062153</v>
      </c>
      <c r="AX549" s="782"/>
      <c r="AY549" s="782">
        <v>12068565</v>
      </c>
      <c r="AZ549" s="782"/>
      <c r="BA549" s="781"/>
    </row>
    <row r="550" spans="1:53" ht="25" hidden="1" customHeight="1">
      <c r="A550" s="142">
        <v>13</v>
      </c>
      <c r="B550" s="213">
        <v>45384</v>
      </c>
      <c r="C550" s="213">
        <v>45387</v>
      </c>
      <c r="D550" s="185">
        <f t="shared" si="165"/>
        <v>2024</v>
      </c>
      <c r="E550" s="215" t="str">
        <f>VLOOKUP($B550,Week!$A$1:$C$1462,2,0)</f>
        <v>Week14</v>
      </c>
      <c r="F550" s="216" t="str">
        <f t="shared" si="166"/>
        <v>Apr</v>
      </c>
      <c r="G550" s="215" t="s">
        <v>1000</v>
      </c>
      <c r="H550" s="215" t="s">
        <v>104</v>
      </c>
      <c r="I550" s="215" t="s">
        <v>2772</v>
      </c>
      <c r="J550" s="209" t="s">
        <v>105</v>
      </c>
      <c r="K550" s="217" t="s">
        <v>107</v>
      </c>
      <c r="L550" s="300" t="s">
        <v>2167</v>
      </c>
      <c r="M550" s="209" t="s">
        <v>108</v>
      </c>
      <c r="N550" s="215" t="s">
        <v>109</v>
      </c>
      <c r="O550" s="215" t="s">
        <v>110</v>
      </c>
      <c r="P550" s="218">
        <v>36</v>
      </c>
      <c r="Q550" s="218">
        <v>5</v>
      </c>
      <c r="R550" s="219">
        <v>7.4999999999999997E-3</v>
      </c>
      <c r="S550" s="215" t="s">
        <v>111</v>
      </c>
      <c r="T550" s="215" t="s">
        <v>112</v>
      </c>
      <c r="U550" s="215" t="s">
        <v>113</v>
      </c>
      <c r="V550" s="220">
        <v>792</v>
      </c>
      <c r="W550" s="220">
        <v>792</v>
      </c>
      <c r="X550" s="221"/>
      <c r="Y550" s="222">
        <f t="shared" si="175"/>
        <v>0</v>
      </c>
      <c r="Z550" s="223">
        <f t="shared" si="176"/>
        <v>0</v>
      </c>
      <c r="AA550" s="223"/>
      <c r="AB550" s="807"/>
      <c r="AC550" s="220"/>
      <c r="AD550" s="209"/>
      <c r="AE550" s="210"/>
      <c r="AF550" s="210"/>
      <c r="AG550" s="211">
        <f t="shared" si="177"/>
        <v>0.308</v>
      </c>
      <c r="AH550" s="157">
        <f t="shared" si="164"/>
        <v>0</v>
      </c>
      <c r="AI550" s="152">
        <f t="shared" si="178"/>
        <v>28512</v>
      </c>
      <c r="AK550" s="156" t="s">
        <v>691</v>
      </c>
      <c r="AL550" s="574" t="s">
        <v>690</v>
      </c>
      <c r="AM550" s="198">
        <f t="shared" si="179"/>
        <v>0</v>
      </c>
      <c r="AN550" s="199">
        <f t="shared" si="168"/>
        <v>45384</v>
      </c>
      <c r="AO550" s="159" t="s">
        <v>692</v>
      </c>
      <c r="AP550" s="781"/>
      <c r="AQ550" s="782">
        <v>12063755</v>
      </c>
      <c r="AR550" s="782">
        <v>12061353</v>
      </c>
      <c r="AS550" s="782">
        <v>12061354</v>
      </c>
      <c r="AT550" s="782">
        <v>12068566</v>
      </c>
      <c r="AU550" s="781"/>
      <c r="AV550" s="782">
        <v>12068564</v>
      </c>
      <c r="AW550" s="782">
        <v>12062153</v>
      </c>
      <c r="AX550" s="782"/>
      <c r="AY550" s="782">
        <v>12068565</v>
      </c>
      <c r="AZ550" s="782"/>
      <c r="BA550" s="781"/>
    </row>
    <row r="551" spans="1:53" ht="25" hidden="1" customHeight="1">
      <c r="A551" s="142">
        <v>13</v>
      </c>
      <c r="B551" s="213">
        <v>45384</v>
      </c>
      <c r="C551" s="213">
        <v>45388</v>
      </c>
      <c r="D551" s="185">
        <f t="shared" si="165"/>
        <v>2024</v>
      </c>
      <c r="E551" s="215" t="str">
        <f>VLOOKUP($B551,Week!$A$1:$C$1462,2,0)</f>
        <v>Week14</v>
      </c>
      <c r="F551" s="216" t="str">
        <f t="shared" si="166"/>
        <v>Apr</v>
      </c>
      <c r="G551" s="215" t="s">
        <v>1001</v>
      </c>
      <c r="H551" s="215" t="s">
        <v>104</v>
      </c>
      <c r="I551" s="215" t="s">
        <v>2772</v>
      </c>
      <c r="J551" s="209" t="s">
        <v>105</v>
      </c>
      <c r="K551" s="217" t="s">
        <v>107</v>
      </c>
      <c r="L551" s="300" t="s">
        <v>2167</v>
      </c>
      <c r="M551" s="209" t="s">
        <v>108</v>
      </c>
      <c r="N551" s="215" t="s">
        <v>109</v>
      </c>
      <c r="O551" s="215" t="s">
        <v>110</v>
      </c>
      <c r="P551" s="218">
        <v>36</v>
      </c>
      <c r="Q551" s="218">
        <v>5</v>
      </c>
      <c r="R551" s="219">
        <v>7.4999999999999997E-3</v>
      </c>
      <c r="S551" s="215" t="s">
        <v>111</v>
      </c>
      <c r="T551" s="215" t="s">
        <v>112</v>
      </c>
      <c r="U551" s="215" t="s">
        <v>113</v>
      </c>
      <c r="V551" s="220">
        <f>4143-400-792-792-792-792-11</f>
        <v>564</v>
      </c>
      <c r="W551" s="220">
        <f>4143-400-792-792-792-792-11</f>
        <v>564</v>
      </c>
      <c r="X551" s="221"/>
      <c r="Y551" s="222">
        <f t="shared" si="175"/>
        <v>0</v>
      </c>
      <c r="Z551" s="223">
        <f t="shared" si="176"/>
        <v>0</v>
      </c>
      <c r="AA551" s="223"/>
      <c r="AB551" s="807"/>
      <c r="AC551" s="220"/>
      <c r="AD551" s="209"/>
      <c r="AE551" s="210"/>
      <c r="AF551" s="210"/>
      <c r="AG551" s="211">
        <f t="shared" si="177"/>
        <v>0.308</v>
      </c>
      <c r="AH551" s="157">
        <f t="shared" si="164"/>
        <v>0</v>
      </c>
      <c r="AI551" s="152">
        <f t="shared" si="178"/>
        <v>20304</v>
      </c>
      <c r="AK551" s="156" t="s">
        <v>691</v>
      </c>
      <c r="AL551" s="574" t="s">
        <v>690</v>
      </c>
      <c r="AM551" s="198">
        <f t="shared" si="179"/>
        <v>0</v>
      </c>
      <c r="AN551" s="199">
        <f t="shared" si="168"/>
        <v>45384</v>
      </c>
      <c r="AO551" s="159" t="s">
        <v>692</v>
      </c>
      <c r="AP551" s="781"/>
      <c r="AQ551" s="782">
        <v>12063755</v>
      </c>
      <c r="AR551" s="782">
        <v>12061353</v>
      </c>
      <c r="AS551" s="782">
        <v>12061354</v>
      </c>
      <c r="AT551" s="782">
        <v>12068566</v>
      </c>
      <c r="AU551" s="781"/>
      <c r="AV551" s="782">
        <v>12068564</v>
      </c>
      <c r="AW551" s="782">
        <v>12062153</v>
      </c>
      <c r="AX551" s="782"/>
      <c r="AY551" s="782">
        <v>12068565</v>
      </c>
      <c r="AZ551" s="782"/>
      <c r="BA551" s="781"/>
    </row>
    <row r="552" spans="1:53" ht="25" hidden="1" customHeight="1">
      <c r="B552" s="357">
        <v>45385</v>
      </c>
      <c r="C552" s="358">
        <v>45394</v>
      </c>
      <c r="D552" s="185">
        <f t="shared" si="165"/>
        <v>2024</v>
      </c>
      <c r="E552" s="358" t="str">
        <f>VLOOKUP($B552,Week!$A$1:$C$1462,2,0)</f>
        <v>Week14</v>
      </c>
      <c r="F552" s="360" t="str">
        <f t="shared" si="166"/>
        <v>Apr</v>
      </c>
      <c r="G552" s="436" t="s">
        <v>1110</v>
      </c>
      <c r="H552" s="359" t="s">
        <v>225</v>
      </c>
      <c r="I552" s="359" t="s">
        <v>2773</v>
      </c>
      <c r="J552" s="361" t="s">
        <v>650</v>
      </c>
      <c r="K552" s="362" t="s">
        <v>593</v>
      </c>
      <c r="L552" s="300" t="s">
        <v>2167</v>
      </c>
      <c r="M552" s="361" t="s">
        <v>717</v>
      </c>
      <c r="N552" s="359" t="s">
        <v>719</v>
      </c>
      <c r="O552" s="359" t="s">
        <v>230</v>
      </c>
      <c r="P552" s="363">
        <v>12</v>
      </c>
      <c r="Q552" s="363">
        <v>5</v>
      </c>
      <c r="R552" s="364">
        <v>6.0000000000000001E-3</v>
      </c>
      <c r="S552" s="359" t="s">
        <v>55</v>
      </c>
      <c r="T552" s="359" t="s">
        <v>112</v>
      </c>
      <c r="U552" s="359" t="s">
        <v>57</v>
      </c>
      <c r="V552" s="365">
        <f>2600-1773</f>
        <v>827</v>
      </c>
      <c r="W552" s="365"/>
      <c r="X552" s="366">
        <f>9924/12</f>
        <v>827</v>
      </c>
      <c r="Y552" s="367">
        <f t="shared" si="175"/>
        <v>0</v>
      </c>
      <c r="Z552" s="368">
        <f t="shared" si="176"/>
        <v>0</v>
      </c>
      <c r="AA552" s="368"/>
      <c r="AB552" s="819"/>
      <c r="AC552" s="365"/>
      <c r="AD552" s="209"/>
      <c r="AE552" s="210"/>
      <c r="AF552" s="210"/>
      <c r="AG552" s="211">
        <f t="shared" si="177"/>
        <v>0.25800000000000001</v>
      </c>
      <c r="AH552" s="157">
        <f t="shared" si="164"/>
        <v>0</v>
      </c>
      <c r="AI552" s="152">
        <f t="shared" si="178"/>
        <v>9924</v>
      </c>
      <c r="AK552" s="156" t="s">
        <v>691</v>
      </c>
      <c r="AL552" s="574" t="s">
        <v>690</v>
      </c>
      <c r="AM552" s="198">
        <f>AG552*Z552</f>
        <v>0</v>
      </c>
      <c r="AN552" s="199">
        <f t="shared" si="168"/>
        <v>45385</v>
      </c>
      <c r="AO552" s="159" t="s">
        <v>692</v>
      </c>
      <c r="AP552" s="783" t="s">
        <v>612</v>
      </c>
      <c r="AQ552" s="782">
        <v>12071839</v>
      </c>
      <c r="AR552" s="782">
        <v>12042650</v>
      </c>
      <c r="AS552" s="782">
        <v>12042649</v>
      </c>
      <c r="AT552" s="782">
        <v>12060840</v>
      </c>
      <c r="AU552" s="781"/>
      <c r="AV552" s="782">
        <v>12060849</v>
      </c>
      <c r="AW552" s="782"/>
      <c r="AX552" s="782"/>
      <c r="AY552" s="782"/>
      <c r="AZ552" s="782"/>
      <c r="BA552" s="781"/>
    </row>
    <row r="553" spans="1:53" ht="24.65" hidden="1" customHeight="1">
      <c r="B553" s="357">
        <v>45385</v>
      </c>
      <c r="C553" s="358">
        <v>45406</v>
      </c>
      <c r="D553" s="185">
        <f t="shared" si="165"/>
        <v>2024</v>
      </c>
      <c r="E553" s="358" t="str">
        <f>VLOOKUP($B553,Week!$A$1:$C$1462,2,0)</f>
        <v>Week14</v>
      </c>
      <c r="F553" s="360" t="str">
        <f t="shared" si="166"/>
        <v>Apr</v>
      </c>
      <c r="G553" s="436" t="s">
        <v>1316</v>
      </c>
      <c r="H553" s="359" t="s">
        <v>225</v>
      </c>
      <c r="I553" s="359" t="s">
        <v>2773</v>
      </c>
      <c r="J553" s="361" t="s">
        <v>650</v>
      </c>
      <c r="K553" s="362" t="s">
        <v>593</v>
      </c>
      <c r="L553" s="300" t="s">
        <v>2167</v>
      </c>
      <c r="M553" s="361" t="s">
        <v>717</v>
      </c>
      <c r="N553" s="359" t="s">
        <v>719</v>
      </c>
      <c r="O553" s="359" t="s">
        <v>230</v>
      </c>
      <c r="P553" s="363">
        <v>12</v>
      </c>
      <c r="Q553" s="363">
        <v>5</v>
      </c>
      <c r="R553" s="364">
        <v>6.0000000000000001E-3</v>
      </c>
      <c r="S553" s="359" t="s">
        <v>55</v>
      </c>
      <c r="T553" s="359" t="s">
        <v>112</v>
      </c>
      <c r="U553" s="359" t="s">
        <v>57</v>
      </c>
      <c r="V553" s="365">
        <v>2600</v>
      </c>
      <c r="W553" s="365"/>
      <c r="X553" s="366">
        <f>2600</f>
        <v>2600</v>
      </c>
      <c r="Y553" s="367">
        <f t="shared" si="175"/>
        <v>0</v>
      </c>
      <c r="Z553" s="368">
        <f t="shared" si="176"/>
        <v>0</v>
      </c>
      <c r="AA553" s="368"/>
      <c r="AB553" s="819"/>
      <c r="AC553" s="365"/>
      <c r="AD553" s="209"/>
      <c r="AE553" s="210"/>
      <c r="AF553" s="210"/>
      <c r="AG553" s="211">
        <f t="shared" si="177"/>
        <v>0.25800000000000001</v>
      </c>
      <c r="AH553" s="157">
        <f t="shared" ref="AH553:AH566" si="180">(Z553*AG553)/1000</f>
        <v>0</v>
      </c>
      <c r="AI553" s="152">
        <f t="shared" si="178"/>
        <v>31200</v>
      </c>
      <c r="AK553" s="156" t="s">
        <v>691</v>
      </c>
      <c r="AL553" s="574" t="s">
        <v>690</v>
      </c>
      <c r="AM553" s="198">
        <f>AG553*Z553</f>
        <v>0</v>
      </c>
      <c r="AN553" s="199">
        <f t="shared" si="168"/>
        <v>45385</v>
      </c>
      <c r="AO553" s="159" t="s">
        <v>692</v>
      </c>
      <c r="AP553" s="783" t="s">
        <v>612</v>
      </c>
      <c r="AQ553" s="782">
        <v>12071839</v>
      </c>
      <c r="AR553" s="782">
        <v>12042650</v>
      </c>
      <c r="AS553" s="782">
        <v>12042649</v>
      </c>
      <c r="AT553" s="782">
        <v>12060840</v>
      </c>
      <c r="AU553" s="781"/>
      <c r="AV553" s="782">
        <v>12060849</v>
      </c>
      <c r="AW553" s="782"/>
      <c r="AX553" s="782"/>
      <c r="AY553" s="782"/>
      <c r="AZ553" s="782"/>
      <c r="BA553" s="781"/>
    </row>
    <row r="554" spans="1:53" ht="24.65" hidden="1" customHeight="1">
      <c r="B554" s="283">
        <v>45385</v>
      </c>
      <c r="C554" s="284">
        <v>45408</v>
      </c>
      <c r="D554" s="185">
        <f t="shared" si="165"/>
        <v>2024</v>
      </c>
      <c r="E554" s="284" t="str">
        <f>VLOOKUP($B554,Week!$A$1:$C$1462,2,0)</f>
        <v>Week14</v>
      </c>
      <c r="F554" s="285" t="str">
        <f t="shared" si="166"/>
        <v>Apr</v>
      </c>
      <c r="G554" s="626" t="s">
        <v>1252</v>
      </c>
      <c r="H554" s="624" t="s">
        <v>104</v>
      </c>
      <c r="I554" s="624" t="s">
        <v>2772</v>
      </c>
      <c r="J554" s="625" t="s">
        <v>105</v>
      </c>
      <c r="K554" s="288" t="s">
        <v>51</v>
      </c>
      <c r="L554" s="300" t="s">
        <v>2167</v>
      </c>
      <c r="M554" s="287" t="s">
        <v>595</v>
      </c>
      <c r="N554" s="286" t="s">
        <v>597</v>
      </c>
      <c r="O554" s="286" t="s">
        <v>187</v>
      </c>
      <c r="P554" s="289">
        <v>8</v>
      </c>
      <c r="Q554" s="289">
        <v>5</v>
      </c>
      <c r="R554" s="290">
        <v>6.0000000000000001E-3</v>
      </c>
      <c r="S554" s="286" t="s">
        <v>55</v>
      </c>
      <c r="T554" s="286" t="s">
        <v>112</v>
      </c>
      <c r="U554" s="286" t="s">
        <v>57</v>
      </c>
      <c r="V554" s="291">
        <v>1200</v>
      </c>
      <c r="W554" s="291"/>
      <c r="X554" s="292">
        <v>1200</v>
      </c>
      <c r="Y554" s="293">
        <f t="shared" si="175"/>
        <v>0</v>
      </c>
      <c r="Z554" s="294">
        <f t="shared" si="176"/>
        <v>0</v>
      </c>
      <c r="AA554" s="294"/>
      <c r="AB554" s="813"/>
      <c r="AC554" s="291"/>
      <c r="AD554" s="486"/>
      <c r="AE554" s="210"/>
      <c r="AF554" s="210"/>
      <c r="AG554" s="211">
        <v>0.14499999999999999</v>
      </c>
      <c r="AH554" s="157">
        <f t="shared" si="180"/>
        <v>0</v>
      </c>
      <c r="AI554" s="152">
        <v>19800</v>
      </c>
      <c r="AK554" s="156" t="s">
        <v>691</v>
      </c>
      <c r="AL554" s="212" t="s">
        <v>690</v>
      </c>
      <c r="AM554" s="198">
        <f>AG554*Z554</f>
        <v>0</v>
      </c>
      <c r="AN554" s="199">
        <f t="shared" si="168"/>
        <v>45385</v>
      </c>
      <c r="AO554" s="159" t="s">
        <v>692</v>
      </c>
      <c r="AP554" s="781"/>
      <c r="AQ554" s="782">
        <v>12071839</v>
      </c>
      <c r="AR554" s="782">
        <v>12047514</v>
      </c>
      <c r="AS554" s="782">
        <v>12047515</v>
      </c>
      <c r="AT554" s="782"/>
      <c r="AU554" s="781"/>
      <c r="AV554" s="782"/>
      <c r="AW554" s="782"/>
      <c r="AX554" s="782"/>
      <c r="AY554" s="782"/>
      <c r="AZ554" s="782"/>
      <c r="BA554" s="781"/>
    </row>
    <row r="555" spans="1:53" ht="25" hidden="1" customHeight="1">
      <c r="B555" s="213">
        <v>45385</v>
      </c>
      <c r="C555" s="214">
        <v>45392</v>
      </c>
      <c r="D555" s="185">
        <f t="shared" si="165"/>
        <v>2024</v>
      </c>
      <c r="E555" s="215" t="str">
        <f>VLOOKUP($B555,Week!$A$1:$C$1462,2,0)</f>
        <v>Week14</v>
      </c>
      <c r="F555" s="216" t="str">
        <f t="shared" si="166"/>
        <v>Apr</v>
      </c>
      <c r="G555" s="215" t="s">
        <v>1143</v>
      </c>
      <c r="H555" s="215" t="s">
        <v>134</v>
      </c>
      <c r="I555" s="215" t="s">
        <v>2772</v>
      </c>
      <c r="J555" s="209" t="s">
        <v>164</v>
      </c>
      <c r="K555" s="217" t="s">
        <v>176</v>
      </c>
      <c r="L555" s="300" t="s">
        <v>2167</v>
      </c>
      <c r="M555" s="209" t="s">
        <v>193</v>
      </c>
      <c r="N555" s="215" t="s">
        <v>194</v>
      </c>
      <c r="O555" s="215" t="s">
        <v>195</v>
      </c>
      <c r="P555" s="218">
        <v>24</v>
      </c>
      <c r="Q555" s="218">
        <v>5</v>
      </c>
      <c r="R555" s="219">
        <v>8.0000000000000002E-3</v>
      </c>
      <c r="S555" s="215" t="s">
        <v>40</v>
      </c>
      <c r="T555" s="215" t="s">
        <v>56</v>
      </c>
      <c r="U555" s="215" t="s">
        <v>57</v>
      </c>
      <c r="V555" s="220">
        <f>250</f>
        <v>250</v>
      </c>
      <c r="W555" s="220">
        <f>2+248</f>
        <v>250</v>
      </c>
      <c r="X555" s="221"/>
      <c r="Y555" s="222">
        <f t="shared" si="175"/>
        <v>0</v>
      </c>
      <c r="Z555" s="223">
        <f t="shared" si="176"/>
        <v>0</v>
      </c>
      <c r="AA555" s="220"/>
      <c r="AB555" s="807"/>
      <c r="AC555" s="220"/>
      <c r="AD555" s="381"/>
      <c r="AE555" s="220"/>
      <c r="AF555" s="220"/>
      <c r="AG555" s="211">
        <f t="shared" ref="AG555:AG568" si="181">MID(O555,1,3)/1000</f>
        <v>0.14499999999999999</v>
      </c>
      <c r="AH555" s="157">
        <f t="shared" si="180"/>
        <v>0</v>
      </c>
      <c r="AI555" s="152">
        <f t="shared" ref="AI555:AI568" si="182">V555*P555</f>
        <v>6000</v>
      </c>
      <c r="AK555" s="156" t="s">
        <v>691</v>
      </c>
      <c r="AL555" s="212" t="s">
        <v>690</v>
      </c>
      <c r="AM555" s="198">
        <f t="shared" ref="AM555:AM565" si="183">AG555*Z555</f>
        <v>0</v>
      </c>
      <c r="AN555" s="199">
        <f t="shared" si="168"/>
        <v>45385</v>
      </c>
      <c r="AO555" s="159" t="s">
        <v>692</v>
      </c>
      <c r="AP555" s="783" t="s">
        <v>610</v>
      </c>
      <c r="AQ555" s="782">
        <v>12071839</v>
      </c>
      <c r="AR555" s="782">
        <v>12047514</v>
      </c>
      <c r="AS555" s="782">
        <v>12047515</v>
      </c>
      <c r="AT555" s="782"/>
      <c r="AU555" s="782">
        <v>12026902</v>
      </c>
      <c r="AV555" s="782">
        <v>12054724</v>
      </c>
      <c r="AW555" s="782">
        <v>12026904</v>
      </c>
      <c r="AX555" s="782"/>
      <c r="AY555" s="782">
        <v>12054436</v>
      </c>
      <c r="AZ555" s="782">
        <v>12054433</v>
      </c>
      <c r="BA555" s="782">
        <v>12054434</v>
      </c>
    </row>
    <row r="556" spans="1:53" ht="24.65" hidden="1" customHeight="1">
      <c r="B556" s="224">
        <v>45385</v>
      </c>
      <c r="C556" s="224">
        <v>45406</v>
      </c>
      <c r="D556" s="185">
        <f t="shared" si="165"/>
        <v>2024</v>
      </c>
      <c r="E556" s="225" t="str">
        <f>VLOOKUP($B556,Week!$A$1:$C$1462,2,0)</f>
        <v>Week14</v>
      </c>
      <c r="F556" s="226" t="str">
        <f t="shared" si="166"/>
        <v>Apr</v>
      </c>
      <c r="G556" s="225" t="s">
        <v>1114</v>
      </c>
      <c r="H556" s="225" t="s">
        <v>392</v>
      </c>
      <c r="I556" s="225" t="s">
        <v>2772</v>
      </c>
      <c r="J556" s="227" t="s">
        <v>393</v>
      </c>
      <c r="K556" s="228" t="s">
        <v>176</v>
      </c>
      <c r="L556" s="300" t="s">
        <v>2167</v>
      </c>
      <c r="M556" s="228" t="s">
        <v>399</v>
      </c>
      <c r="N556" s="225" t="s">
        <v>400</v>
      </c>
      <c r="O556" s="225" t="s">
        <v>195</v>
      </c>
      <c r="P556" s="229">
        <v>24</v>
      </c>
      <c r="Q556" s="229">
        <v>5</v>
      </c>
      <c r="R556" s="230">
        <v>8.0000000000000002E-3</v>
      </c>
      <c r="S556" s="225" t="s">
        <v>40</v>
      </c>
      <c r="T556" s="225" t="s">
        <v>56</v>
      </c>
      <c r="U556" s="225" t="s">
        <v>57</v>
      </c>
      <c r="V556" s="231">
        <v>900</v>
      </c>
      <c r="W556" s="231">
        <f>7+893</f>
        <v>900</v>
      </c>
      <c r="X556" s="232">
        <f>87/24</f>
        <v>3.625</v>
      </c>
      <c r="Y556" s="233">
        <f t="shared" si="175"/>
        <v>3.625</v>
      </c>
      <c r="Z556" s="234">
        <f t="shared" si="176"/>
        <v>0</v>
      </c>
      <c r="AA556" s="234"/>
      <c r="AB556" s="808"/>
      <c r="AC556" s="231"/>
      <c r="AD556" s="381"/>
      <c r="AE556" s="210"/>
      <c r="AF556" s="210"/>
      <c r="AG556" s="211">
        <f t="shared" si="181"/>
        <v>0.14499999999999999</v>
      </c>
      <c r="AH556" s="157">
        <f>(Z556*AG556)/1000</f>
        <v>0</v>
      </c>
      <c r="AI556" s="152">
        <f t="shared" si="182"/>
        <v>21600</v>
      </c>
      <c r="AK556" s="156" t="s">
        <v>691</v>
      </c>
      <c r="AL556" s="574" t="s">
        <v>690</v>
      </c>
      <c r="AM556" s="198">
        <f t="shared" si="183"/>
        <v>0</v>
      </c>
      <c r="AN556" s="199">
        <f t="shared" si="168"/>
        <v>45385</v>
      </c>
      <c r="AO556" s="159" t="s">
        <v>692</v>
      </c>
      <c r="AP556" s="783" t="s">
        <v>638</v>
      </c>
      <c r="AQ556" s="783" t="s">
        <v>631</v>
      </c>
      <c r="AR556" s="783" t="s">
        <v>632</v>
      </c>
      <c r="AS556" s="783" t="s">
        <v>633</v>
      </c>
      <c r="AT556" s="781"/>
      <c r="AU556" s="783" t="s">
        <v>626</v>
      </c>
      <c r="AV556" s="783" t="s">
        <v>630</v>
      </c>
      <c r="AW556" s="783" t="s">
        <v>634</v>
      </c>
      <c r="AX556" s="781"/>
      <c r="AY556" s="783" t="s">
        <v>635</v>
      </c>
      <c r="AZ556" s="783" t="s">
        <v>636</v>
      </c>
      <c r="BA556" s="783" t="s">
        <v>637</v>
      </c>
    </row>
    <row r="557" spans="1:53" ht="25" hidden="1" customHeight="1">
      <c r="B557" s="558">
        <v>45385</v>
      </c>
      <c r="C557" s="308">
        <v>45391</v>
      </c>
      <c r="D557" s="185">
        <f t="shared" si="165"/>
        <v>2024</v>
      </c>
      <c r="E557" s="309" t="str">
        <f>VLOOKUP($B557,Week!$A$1:$C$1462,2,0)</f>
        <v>Week14</v>
      </c>
      <c r="F557" s="310" t="str">
        <f t="shared" si="166"/>
        <v>Apr</v>
      </c>
      <c r="G557" s="311" t="s">
        <v>1170</v>
      </c>
      <c r="H557" s="311" t="s">
        <v>500</v>
      </c>
      <c r="I557" s="311" t="s">
        <v>2772</v>
      </c>
      <c r="J557" s="312" t="s">
        <v>285</v>
      </c>
      <c r="K557" s="313" t="s">
        <v>1643</v>
      </c>
      <c r="L557" s="300" t="s">
        <v>2167</v>
      </c>
      <c r="M557" s="311" t="s">
        <v>1318</v>
      </c>
      <c r="N557" s="311" t="s">
        <v>1167</v>
      </c>
      <c r="O557" s="311" t="s">
        <v>743</v>
      </c>
      <c r="P557" s="314">
        <v>36</v>
      </c>
      <c r="Q557" s="314">
        <v>5</v>
      </c>
      <c r="R557" s="315">
        <v>7.4999999999999997E-3</v>
      </c>
      <c r="S557" s="311" t="s">
        <v>40</v>
      </c>
      <c r="T557" s="311" t="s">
        <v>112</v>
      </c>
      <c r="U557" s="629" t="s">
        <v>721</v>
      </c>
      <c r="V557" s="316">
        <v>1288</v>
      </c>
      <c r="W557" s="316">
        <f>1287+1</f>
        <v>1288</v>
      </c>
      <c r="X557" s="317"/>
      <c r="Y557" s="318">
        <f t="shared" si="175"/>
        <v>0</v>
      </c>
      <c r="Z557" s="319">
        <f t="shared" si="176"/>
        <v>0</v>
      </c>
      <c r="AA557" s="319"/>
      <c r="AB557" s="815"/>
      <c r="AC557" s="316"/>
      <c r="AD557" s="381"/>
      <c r="AE557" s="210"/>
      <c r="AF557" s="210"/>
      <c r="AG557" s="211">
        <f t="shared" si="181"/>
        <v>0.14699999999999999</v>
      </c>
      <c r="AH557" s="157">
        <f>(Z557*AG557)/1000</f>
        <v>0</v>
      </c>
      <c r="AI557" s="152">
        <f t="shared" si="182"/>
        <v>46368</v>
      </c>
      <c r="AK557" s="156" t="s">
        <v>691</v>
      </c>
      <c r="AL557" s="574" t="s">
        <v>690</v>
      </c>
      <c r="AM557" s="198">
        <f t="shared" si="183"/>
        <v>0</v>
      </c>
      <c r="AN557" s="199">
        <f t="shared" si="168"/>
        <v>45385</v>
      </c>
      <c r="AO557" s="159" t="s">
        <v>692</v>
      </c>
      <c r="AP557" s="783" t="s">
        <v>639</v>
      </c>
      <c r="AQ557" s="782">
        <v>12071839</v>
      </c>
      <c r="AR557" s="782">
        <v>12047514</v>
      </c>
      <c r="AS557" s="782">
        <v>12047515</v>
      </c>
      <c r="AT557" s="782">
        <v>12089764</v>
      </c>
      <c r="AU557" s="781"/>
      <c r="AV557" s="782">
        <v>12089763</v>
      </c>
      <c r="AW557" s="782">
        <v>12024404</v>
      </c>
      <c r="AX557" s="781"/>
      <c r="AY557" s="782">
        <v>12089765</v>
      </c>
      <c r="AZ557" s="781"/>
      <c r="BA557" s="781"/>
    </row>
    <row r="558" spans="1:53" ht="25" hidden="1" customHeight="1">
      <c r="B558" s="213">
        <v>45386</v>
      </c>
      <c r="C558" s="213">
        <v>45388</v>
      </c>
      <c r="D558" s="185">
        <f t="shared" si="165"/>
        <v>2024</v>
      </c>
      <c r="E558" s="215" t="str">
        <f>VLOOKUP($B558,Week!$A$1:$C$1462,2,0)</f>
        <v>Week14</v>
      </c>
      <c r="F558" s="216" t="str">
        <f t="shared" si="166"/>
        <v>Apr</v>
      </c>
      <c r="G558" s="215" t="s">
        <v>1001</v>
      </c>
      <c r="H558" s="215" t="s">
        <v>104</v>
      </c>
      <c r="I558" s="215" t="s">
        <v>2772</v>
      </c>
      <c r="J558" s="209" t="s">
        <v>105</v>
      </c>
      <c r="K558" s="217" t="s">
        <v>107</v>
      </c>
      <c r="L558" s="300" t="s">
        <v>2167</v>
      </c>
      <c r="M558" s="209" t="s">
        <v>108</v>
      </c>
      <c r="N558" s="215" t="s">
        <v>109</v>
      </c>
      <c r="O558" s="215" t="s">
        <v>110</v>
      </c>
      <c r="P558" s="218">
        <v>36</v>
      </c>
      <c r="Q558" s="218">
        <v>5</v>
      </c>
      <c r="R558" s="219">
        <v>7.4999999999999997E-3</v>
      </c>
      <c r="S558" s="215" t="s">
        <v>111</v>
      </c>
      <c r="T558" s="215" t="s">
        <v>112</v>
      </c>
      <c r="U558" s="215" t="s">
        <v>113</v>
      </c>
      <c r="V558" s="220">
        <v>228</v>
      </c>
      <c r="W558" s="220">
        <v>228</v>
      </c>
      <c r="X558" s="221"/>
      <c r="Y558" s="222">
        <f t="shared" si="175"/>
        <v>0</v>
      </c>
      <c r="Z558" s="223">
        <f t="shared" si="176"/>
        <v>0</v>
      </c>
      <c r="AA558" s="223"/>
      <c r="AB558" s="807"/>
      <c r="AC558" s="220"/>
      <c r="AD558" s="209"/>
      <c r="AE558" s="210"/>
      <c r="AF558" s="210"/>
      <c r="AG558" s="211">
        <f t="shared" si="181"/>
        <v>0.308</v>
      </c>
      <c r="AH558" s="157">
        <f t="shared" si="180"/>
        <v>0</v>
      </c>
      <c r="AI558" s="152">
        <f t="shared" si="182"/>
        <v>8208</v>
      </c>
      <c r="AK558" s="156" t="s">
        <v>691</v>
      </c>
      <c r="AL558" s="574" t="s">
        <v>690</v>
      </c>
      <c r="AM558" s="198">
        <f t="shared" si="183"/>
        <v>0</v>
      </c>
      <c r="AN558" s="199">
        <f t="shared" si="168"/>
        <v>45386</v>
      </c>
      <c r="AO558" s="159" t="s">
        <v>692</v>
      </c>
      <c r="AP558" s="781"/>
      <c r="AQ558" s="782">
        <v>12063755</v>
      </c>
      <c r="AR558" s="782">
        <v>12061353</v>
      </c>
      <c r="AS558" s="782">
        <v>12061354</v>
      </c>
      <c r="AT558" s="782">
        <v>12068566</v>
      </c>
      <c r="AU558" s="781"/>
      <c r="AV558" s="782">
        <v>12068564</v>
      </c>
      <c r="AW558" s="782">
        <v>12062153</v>
      </c>
      <c r="AX558" s="782"/>
      <c r="AY558" s="782">
        <v>12068565</v>
      </c>
      <c r="AZ558" s="782"/>
      <c r="BA558" s="781"/>
    </row>
    <row r="559" spans="1:53" ht="25" hidden="1" customHeight="1">
      <c r="B559" s="213">
        <v>45386</v>
      </c>
      <c r="C559" s="213">
        <v>45388</v>
      </c>
      <c r="D559" s="185">
        <f t="shared" si="165"/>
        <v>2024</v>
      </c>
      <c r="E559" s="215" t="str">
        <f>VLOOKUP($B559,Week!$A$1:$C$1462,2,0)</f>
        <v>Week14</v>
      </c>
      <c r="F559" s="216" t="str">
        <f t="shared" si="166"/>
        <v>Apr</v>
      </c>
      <c r="G559" s="215" t="s">
        <v>1002</v>
      </c>
      <c r="H559" s="215" t="s">
        <v>104</v>
      </c>
      <c r="I559" s="215" t="s">
        <v>2772</v>
      </c>
      <c r="J559" s="209" t="s">
        <v>105</v>
      </c>
      <c r="K559" s="217" t="s">
        <v>107</v>
      </c>
      <c r="L559" s="300" t="s">
        <v>2167</v>
      </c>
      <c r="M559" s="209" t="s">
        <v>108</v>
      </c>
      <c r="N559" s="215" t="s">
        <v>109</v>
      </c>
      <c r="O559" s="215" t="s">
        <v>110</v>
      </c>
      <c r="P559" s="218">
        <v>36</v>
      </c>
      <c r="Q559" s="218">
        <v>5</v>
      </c>
      <c r="R559" s="219">
        <v>7.4999999999999997E-3</v>
      </c>
      <c r="S559" s="215" t="s">
        <v>111</v>
      </c>
      <c r="T559" s="215" t="s">
        <v>112</v>
      </c>
      <c r="U559" s="215" t="s">
        <v>113</v>
      </c>
      <c r="V559" s="220">
        <v>792</v>
      </c>
      <c r="W559" s="220">
        <v>792</v>
      </c>
      <c r="X559" s="221"/>
      <c r="Y559" s="222">
        <f t="shared" si="175"/>
        <v>0</v>
      </c>
      <c r="Z559" s="223">
        <f t="shared" si="176"/>
        <v>0</v>
      </c>
      <c r="AA559" s="223"/>
      <c r="AB559" s="807"/>
      <c r="AC559" s="220"/>
      <c r="AD559" s="209"/>
      <c r="AE559" s="210"/>
      <c r="AF559" s="210"/>
      <c r="AG559" s="211">
        <f t="shared" si="181"/>
        <v>0.308</v>
      </c>
      <c r="AH559" s="157">
        <f t="shared" si="180"/>
        <v>0</v>
      </c>
      <c r="AI559" s="152">
        <f t="shared" si="182"/>
        <v>28512</v>
      </c>
      <c r="AK559" s="156" t="s">
        <v>691</v>
      </c>
      <c r="AL559" s="574" t="s">
        <v>690</v>
      </c>
      <c r="AM559" s="198">
        <f t="shared" si="183"/>
        <v>0</v>
      </c>
      <c r="AN559" s="199">
        <f t="shared" si="168"/>
        <v>45386</v>
      </c>
      <c r="AO559" s="159" t="s">
        <v>692</v>
      </c>
      <c r="AP559" s="781"/>
      <c r="AQ559" s="782">
        <v>12063755</v>
      </c>
      <c r="AR559" s="782">
        <v>12061353</v>
      </c>
      <c r="AS559" s="782">
        <v>12061354</v>
      </c>
      <c r="AT559" s="782">
        <v>12068566</v>
      </c>
      <c r="AU559" s="781"/>
      <c r="AV559" s="782">
        <v>12068564</v>
      </c>
      <c r="AW559" s="782">
        <v>12062153</v>
      </c>
      <c r="AX559" s="782"/>
      <c r="AY559" s="782">
        <v>12068565</v>
      </c>
      <c r="AZ559" s="782"/>
      <c r="BA559" s="781"/>
    </row>
    <row r="560" spans="1:53" ht="25" hidden="1" customHeight="1">
      <c r="B560" s="213">
        <v>45386</v>
      </c>
      <c r="C560" s="213">
        <v>45388</v>
      </c>
      <c r="D560" s="185">
        <f t="shared" si="165"/>
        <v>2024</v>
      </c>
      <c r="E560" s="215" t="str">
        <f>VLOOKUP($B560,Week!$A$1:$C$1462,2,0)</f>
        <v>Week14</v>
      </c>
      <c r="F560" s="216" t="str">
        <f t="shared" si="166"/>
        <v>Apr</v>
      </c>
      <c r="G560" s="215" t="s">
        <v>1003</v>
      </c>
      <c r="H560" s="215" t="s">
        <v>104</v>
      </c>
      <c r="I560" s="215" t="s">
        <v>2772</v>
      </c>
      <c r="J560" s="209" t="s">
        <v>105</v>
      </c>
      <c r="K560" s="217" t="s">
        <v>107</v>
      </c>
      <c r="L560" s="300" t="s">
        <v>2167</v>
      </c>
      <c r="M560" s="209" t="s">
        <v>108</v>
      </c>
      <c r="N560" s="215" t="s">
        <v>109</v>
      </c>
      <c r="O560" s="215" t="s">
        <v>110</v>
      </c>
      <c r="P560" s="218">
        <v>36</v>
      </c>
      <c r="Q560" s="218">
        <v>5</v>
      </c>
      <c r="R560" s="219">
        <v>7.4999999999999997E-3</v>
      </c>
      <c r="S560" s="215" t="s">
        <v>111</v>
      </c>
      <c r="T560" s="215" t="s">
        <v>112</v>
      </c>
      <c r="U560" s="215" t="s">
        <v>113</v>
      </c>
      <c r="V560" s="220">
        <v>792</v>
      </c>
      <c r="W560" s="220">
        <v>792</v>
      </c>
      <c r="X560" s="221"/>
      <c r="Y560" s="222">
        <f t="shared" si="175"/>
        <v>0</v>
      </c>
      <c r="Z560" s="223">
        <f t="shared" si="176"/>
        <v>0</v>
      </c>
      <c r="AA560" s="223"/>
      <c r="AB560" s="807"/>
      <c r="AC560" s="220"/>
      <c r="AD560" s="209"/>
      <c r="AE560" s="210"/>
      <c r="AF560" s="210"/>
      <c r="AG560" s="211">
        <f t="shared" si="181"/>
        <v>0.308</v>
      </c>
      <c r="AH560" s="157">
        <f t="shared" si="180"/>
        <v>0</v>
      </c>
      <c r="AI560" s="152">
        <f t="shared" si="182"/>
        <v>28512</v>
      </c>
      <c r="AK560" s="156" t="s">
        <v>691</v>
      </c>
      <c r="AL560" s="574" t="s">
        <v>690</v>
      </c>
      <c r="AM560" s="198">
        <f t="shared" si="183"/>
        <v>0</v>
      </c>
      <c r="AN560" s="199">
        <f t="shared" si="168"/>
        <v>45386</v>
      </c>
      <c r="AO560" s="159" t="s">
        <v>692</v>
      </c>
      <c r="AP560" s="781"/>
      <c r="AQ560" s="782">
        <v>12063755</v>
      </c>
      <c r="AR560" s="782">
        <v>12061353</v>
      </c>
      <c r="AS560" s="782">
        <v>12061354</v>
      </c>
      <c r="AT560" s="782">
        <v>12068566</v>
      </c>
      <c r="AU560" s="781"/>
      <c r="AV560" s="782">
        <v>12068564</v>
      </c>
      <c r="AW560" s="782">
        <v>12062153</v>
      </c>
      <c r="AX560" s="782"/>
      <c r="AY560" s="782">
        <v>12068565</v>
      </c>
      <c r="AZ560" s="782"/>
      <c r="BA560" s="781"/>
    </row>
    <row r="561" spans="1:53" ht="25" hidden="1" customHeight="1">
      <c r="A561" s="630"/>
      <c r="B561" s="213">
        <v>45386</v>
      </c>
      <c r="C561" s="213">
        <v>45392</v>
      </c>
      <c r="D561" s="185">
        <f t="shared" si="165"/>
        <v>2024</v>
      </c>
      <c r="E561" s="215" t="str">
        <f>VLOOKUP($B561,Week!$A$1:$C$1462,2,0)</f>
        <v>Week14</v>
      </c>
      <c r="F561" s="216" t="str">
        <f t="shared" si="166"/>
        <v>Apr</v>
      </c>
      <c r="G561" s="215" t="s">
        <v>1004</v>
      </c>
      <c r="H561" s="215" t="s">
        <v>104</v>
      </c>
      <c r="I561" s="215" t="s">
        <v>2772</v>
      </c>
      <c r="J561" s="209" t="s">
        <v>105</v>
      </c>
      <c r="K561" s="217" t="s">
        <v>107</v>
      </c>
      <c r="L561" s="300" t="s">
        <v>2167</v>
      </c>
      <c r="M561" s="209" t="s">
        <v>108</v>
      </c>
      <c r="N561" s="215" t="s">
        <v>109</v>
      </c>
      <c r="O561" s="215" t="s">
        <v>110</v>
      </c>
      <c r="P561" s="218">
        <v>36</v>
      </c>
      <c r="Q561" s="218">
        <v>5</v>
      </c>
      <c r="R561" s="219">
        <v>7.4999999999999997E-3</v>
      </c>
      <c r="S561" s="215" t="s">
        <v>111</v>
      </c>
      <c r="T561" s="215" t="s">
        <v>112</v>
      </c>
      <c r="U561" s="215" t="s">
        <v>113</v>
      </c>
      <c r="V561" s="220">
        <f>40</f>
        <v>40</v>
      </c>
      <c r="W561" s="220">
        <f>40</f>
        <v>40</v>
      </c>
      <c r="X561" s="221"/>
      <c r="Y561" s="222">
        <f t="shared" si="175"/>
        <v>0</v>
      </c>
      <c r="Z561" s="223">
        <f t="shared" si="176"/>
        <v>0</v>
      </c>
      <c r="AA561" s="223"/>
      <c r="AB561" s="807"/>
      <c r="AC561" s="220"/>
      <c r="AD561" s="209"/>
      <c r="AE561" s="210"/>
      <c r="AF561" s="210"/>
      <c r="AG561" s="211">
        <f t="shared" si="181"/>
        <v>0.308</v>
      </c>
      <c r="AH561" s="157">
        <f t="shared" si="180"/>
        <v>0</v>
      </c>
      <c r="AI561" s="152">
        <f t="shared" si="182"/>
        <v>1440</v>
      </c>
      <c r="AK561" s="156" t="s">
        <v>691</v>
      </c>
      <c r="AL561" s="574" t="s">
        <v>690</v>
      </c>
      <c r="AM561" s="198">
        <f t="shared" si="183"/>
        <v>0</v>
      </c>
      <c r="AN561" s="199">
        <f t="shared" si="168"/>
        <v>45386</v>
      </c>
      <c r="AO561" s="159" t="s">
        <v>692</v>
      </c>
      <c r="AP561" s="781"/>
      <c r="AQ561" s="782">
        <v>12063755</v>
      </c>
      <c r="AR561" s="782">
        <v>12061353</v>
      </c>
      <c r="AS561" s="782">
        <v>12061354</v>
      </c>
      <c r="AT561" s="782">
        <v>12068566</v>
      </c>
      <c r="AU561" s="781"/>
      <c r="AV561" s="782">
        <v>12068564</v>
      </c>
      <c r="AW561" s="782">
        <v>12062153</v>
      </c>
      <c r="AX561" s="782"/>
      <c r="AY561" s="782">
        <v>12068565</v>
      </c>
      <c r="AZ561" s="782"/>
      <c r="BA561" s="781"/>
    </row>
    <row r="562" spans="1:53" ht="24.75" hidden="1" customHeight="1">
      <c r="B562" s="295">
        <v>45386</v>
      </c>
      <c r="C562" s="296">
        <v>45399</v>
      </c>
      <c r="D562" s="185">
        <f t="shared" si="165"/>
        <v>2024</v>
      </c>
      <c r="E562" s="296" t="str">
        <f>VLOOKUP($B562,Week!$A$1:$C$1462,2,0)</f>
        <v>Week14</v>
      </c>
      <c r="F562" s="297" t="str">
        <f t="shared" si="166"/>
        <v>Apr</v>
      </c>
      <c r="G562" s="298" t="s">
        <v>47</v>
      </c>
      <c r="H562" s="298" t="s">
        <v>260</v>
      </c>
      <c r="I562" s="298" t="s">
        <v>2702</v>
      </c>
      <c r="J562" s="307" t="s">
        <v>904</v>
      </c>
      <c r="K562" s="300" t="s">
        <v>176</v>
      </c>
      <c r="L562" s="300" t="s">
        <v>2167</v>
      </c>
      <c r="M562" s="299" t="s">
        <v>262</v>
      </c>
      <c r="N562" s="298" t="s">
        <v>350</v>
      </c>
      <c r="O562" s="298" t="s">
        <v>351</v>
      </c>
      <c r="P562" s="301">
        <v>24</v>
      </c>
      <c r="Q562" s="301">
        <v>5</v>
      </c>
      <c r="R562" s="302">
        <v>6.1999999999999998E-3</v>
      </c>
      <c r="S562" s="298" t="s">
        <v>352</v>
      </c>
      <c r="T562" s="298" t="s">
        <v>56</v>
      </c>
      <c r="U562" s="298" t="s">
        <v>57</v>
      </c>
      <c r="V562" s="303">
        <v>3067</v>
      </c>
      <c r="W562" s="303">
        <f>2951+58+58</f>
        <v>3067</v>
      </c>
      <c r="X562" s="304"/>
      <c r="Y562" s="305">
        <f t="shared" si="175"/>
        <v>0</v>
      </c>
      <c r="Z562" s="306">
        <f t="shared" si="176"/>
        <v>0</v>
      </c>
      <c r="AA562" s="306"/>
      <c r="AB562" s="814"/>
      <c r="AC562" s="303"/>
      <c r="AD562" s="381"/>
      <c r="AE562" s="210"/>
      <c r="AF562" s="210"/>
      <c r="AG562" s="211">
        <f t="shared" si="181"/>
        <v>0.13</v>
      </c>
      <c r="AH562" s="157">
        <f>(Z562*AG562)/1000</f>
        <v>0</v>
      </c>
      <c r="AI562" s="152">
        <f t="shared" si="182"/>
        <v>73608</v>
      </c>
      <c r="AK562" s="156" t="s">
        <v>691</v>
      </c>
      <c r="AL562" s="574" t="s">
        <v>690</v>
      </c>
      <c r="AM562" s="198">
        <f t="shared" si="183"/>
        <v>0</v>
      </c>
      <c r="AN562" s="199">
        <f t="shared" si="168"/>
        <v>45386</v>
      </c>
      <c r="AO562" s="159" t="s">
        <v>692</v>
      </c>
      <c r="AP562" s="783" t="s">
        <v>629</v>
      </c>
      <c r="AQ562" s="782">
        <v>12071839</v>
      </c>
      <c r="AR562" s="782">
        <v>12078867</v>
      </c>
      <c r="AS562" s="782">
        <v>12068233</v>
      </c>
      <c r="AT562" s="781"/>
      <c r="AU562" s="781"/>
      <c r="AV562" s="782">
        <v>12062075</v>
      </c>
      <c r="AW562" s="781"/>
      <c r="AX562" s="781"/>
      <c r="AY562" s="782">
        <v>12078868</v>
      </c>
      <c r="AZ562" s="781"/>
      <c r="BA562" s="781"/>
    </row>
    <row r="563" spans="1:53" ht="25" hidden="1" customHeight="1">
      <c r="B563" s="246">
        <v>45387</v>
      </c>
      <c r="C563" s="247">
        <v>45405</v>
      </c>
      <c r="D563" s="185">
        <f t="shared" si="165"/>
        <v>2024</v>
      </c>
      <c r="E563" s="247" t="str">
        <f>VLOOKUP($B563,Week!$A$1:$C$1462,2,0)</f>
        <v>Week14</v>
      </c>
      <c r="F563" s="248" t="str">
        <f t="shared" si="166"/>
        <v>Apr</v>
      </c>
      <c r="G563" s="599" t="s">
        <v>1207</v>
      </c>
      <c r="H563" s="249" t="s">
        <v>104</v>
      </c>
      <c r="I563" s="249" t="s">
        <v>2772</v>
      </c>
      <c r="J563" s="250" t="s">
        <v>105</v>
      </c>
      <c r="K563" s="251" t="s">
        <v>593</v>
      </c>
      <c r="L563" s="300" t="s">
        <v>2167</v>
      </c>
      <c r="M563" s="250" t="s">
        <v>594</v>
      </c>
      <c r="N563" s="249" t="s">
        <v>596</v>
      </c>
      <c r="O563" s="249" t="s">
        <v>304</v>
      </c>
      <c r="P563" s="252">
        <v>8</v>
      </c>
      <c r="Q563" s="252">
        <v>5</v>
      </c>
      <c r="R563" s="253">
        <v>6.0000000000000001E-3</v>
      </c>
      <c r="S563" s="249" t="s">
        <v>55</v>
      </c>
      <c r="T563" s="249" t="s">
        <v>112</v>
      </c>
      <c r="U563" s="249" t="s">
        <v>57</v>
      </c>
      <c r="V563" s="254">
        <v>2400</v>
      </c>
      <c r="W563" s="254"/>
      <c r="X563" s="255">
        <f>(2082+17118)/8</f>
        <v>2400</v>
      </c>
      <c r="Y563" s="256">
        <f t="shared" si="175"/>
        <v>0</v>
      </c>
      <c r="Z563" s="257">
        <f t="shared" si="176"/>
        <v>0</v>
      </c>
      <c r="AA563" s="257"/>
      <c r="AB563" s="810"/>
      <c r="AC563" s="254"/>
      <c r="AD563" s="209"/>
      <c r="AE563" s="210"/>
      <c r="AF563" s="210"/>
      <c r="AG563" s="211">
        <f t="shared" si="181"/>
        <v>0.25800000000000001</v>
      </c>
      <c r="AH563" s="157">
        <v>0.26621999999999996</v>
      </c>
      <c r="AI563" s="152">
        <f t="shared" si="182"/>
        <v>19200</v>
      </c>
      <c r="AK563" s="156" t="s">
        <v>691</v>
      </c>
      <c r="AL563" s="574" t="s">
        <v>690</v>
      </c>
      <c r="AM563" s="198">
        <f t="shared" si="183"/>
        <v>0</v>
      </c>
      <c r="AN563" s="199">
        <f t="shared" si="168"/>
        <v>45387</v>
      </c>
      <c r="AO563" s="159" t="s">
        <v>692</v>
      </c>
      <c r="AP563" s="781"/>
      <c r="AQ563" s="782">
        <v>12071839</v>
      </c>
      <c r="AR563" s="782">
        <v>12042650</v>
      </c>
      <c r="AS563" s="782">
        <v>12042649</v>
      </c>
      <c r="AT563" s="782">
        <v>12084100</v>
      </c>
      <c r="AU563" s="781"/>
      <c r="AV563" s="782">
        <v>12084001</v>
      </c>
      <c r="AW563" s="781"/>
      <c r="AX563" s="781"/>
      <c r="AY563" s="781"/>
      <c r="AZ563" s="782"/>
      <c r="BA563" s="781"/>
    </row>
    <row r="564" spans="1:53" ht="25" hidden="1" customHeight="1">
      <c r="B564" s="246">
        <v>45387</v>
      </c>
      <c r="C564" s="247">
        <v>45408</v>
      </c>
      <c r="D564" s="185">
        <f t="shared" si="165"/>
        <v>2024</v>
      </c>
      <c r="E564" s="247" t="str">
        <f>VLOOKUP($B564,Week!$A$1:$C$1462,2,0)</f>
        <v>Week14</v>
      </c>
      <c r="F564" s="248" t="str">
        <f t="shared" si="166"/>
        <v>Apr</v>
      </c>
      <c r="G564" s="599" t="s">
        <v>1252</v>
      </c>
      <c r="H564" s="249" t="s">
        <v>104</v>
      </c>
      <c r="I564" s="249" t="s">
        <v>2772</v>
      </c>
      <c r="J564" s="250" t="s">
        <v>105</v>
      </c>
      <c r="K564" s="251" t="s">
        <v>593</v>
      </c>
      <c r="L564" s="300" t="s">
        <v>2167</v>
      </c>
      <c r="M564" s="250" t="s">
        <v>594</v>
      </c>
      <c r="N564" s="249" t="s">
        <v>596</v>
      </c>
      <c r="O564" s="249" t="s">
        <v>304</v>
      </c>
      <c r="P564" s="252">
        <v>8</v>
      </c>
      <c r="Q564" s="252">
        <v>5</v>
      </c>
      <c r="R564" s="253">
        <v>6.0000000000000001E-3</v>
      </c>
      <c r="S564" s="249" t="s">
        <v>55</v>
      </c>
      <c r="T564" s="249" t="s">
        <v>112</v>
      </c>
      <c r="U564" s="249" t="s">
        <v>57</v>
      </c>
      <c r="V564" s="254">
        <f>1200</f>
        <v>1200</v>
      </c>
      <c r="W564" s="254"/>
      <c r="X564" s="255">
        <f>(9200+279+121)/8</f>
        <v>1200</v>
      </c>
      <c r="Y564" s="256">
        <f t="shared" si="175"/>
        <v>0</v>
      </c>
      <c r="Z564" s="257">
        <f t="shared" si="176"/>
        <v>0</v>
      </c>
      <c r="AA564" s="257"/>
      <c r="AB564" s="810"/>
      <c r="AC564" s="254"/>
      <c r="AD564" s="209"/>
      <c r="AE564" s="210"/>
      <c r="AF564" s="210"/>
      <c r="AG564" s="211">
        <f t="shared" si="181"/>
        <v>0.25800000000000001</v>
      </c>
      <c r="AH564" s="157">
        <v>0.26621999999999996</v>
      </c>
      <c r="AI564" s="152">
        <f t="shared" si="182"/>
        <v>9600</v>
      </c>
      <c r="AK564" s="156" t="s">
        <v>691</v>
      </c>
      <c r="AL564" s="574" t="s">
        <v>690</v>
      </c>
      <c r="AM564" s="198">
        <f t="shared" si="183"/>
        <v>0</v>
      </c>
      <c r="AN564" s="199">
        <f t="shared" si="168"/>
        <v>45387</v>
      </c>
      <c r="AO564" s="159" t="s">
        <v>692</v>
      </c>
      <c r="AP564" s="781"/>
      <c r="AQ564" s="782">
        <v>12071839</v>
      </c>
      <c r="AR564" s="782">
        <v>12042650</v>
      </c>
      <c r="AS564" s="782">
        <v>12042649</v>
      </c>
      <c r="AT564" s="782">
        <v>12084100</v>
      </c>
      <c r="AU564" s="781"/>
      <c r="AV564" s="782">
        <v>12084001</v>
      </c>
      <c r="AW564" s="781"/>
      <c r="AX564" s="781"/>
      <c r="AY564" s="781"/>
      <c r="AZ564" s="782"/>
      <c r="BA564" s="781"/>
    </row>
    <row r="565" spans="1:53" ht="26.25" hidden="1" customHeight="1">
      <c r="B565" s="235">
        <v>45387</v>
      </c>
      <c r="C565" s="235">
        <v>45406</v>
      </c>
      <c r="D565" s="185">
        <f t="shared" si="165"/>
        <v>2024</v>
      </c>
      <c r="E565" s="236" t="str">
        <f>VLOOKUP($B565,Week!$A$1:$C$1462,2,0)</f>
        <v>Week14</v>
      </c>
      <c r="F565" s="237" t="str">
        <f t="shared" si="166"/>
        <v>Apr</v>
      </c>
      <c r="G565" s="236" t="s">
        <v>1114</v>
      </c>
      <c r="H565" s="236" t="s">
        <v>392</v>
      </c>
      <c r="I565" s="236" t="s">
        <v>2772</v>
      </c>
      <c r="J565" s="238" t="s">
        <v>393</v>
      </c>
      <c r="K565" s="239" t="s">
        <v>1644</v>
      </c>
      <c r="L565" s="300" t="s">
        <v>2167</v>
      </c>
      <c r="M565" s="238" t="s">
        <v>406</v>
      </c>
      <c r="N565" s="236" t="s">
        <v>407</v>
      </c>
      <c r="O565" s="236" t="s">
        <v>206</v>
      </c>
      <c r="P565" s="240">
        <v>24</v>
      </c>
      <c r="Q565" s="240">
        <v>5</v>
      </c>
      <c r="R565" s="241">
        <v>8.0000000000000002E-3</v>
      </c>
      <c r="S565" s="236" t="s">
        <v>40</v>
      </c>
      <c r="T565" s="236" t="s">
        <v>56</v>
      </c>
      <c r="U565" s="236" t="s">
        <v>499</v>
      </c>
      <c r="V565" s="242">
        <v>850</v>
      </c>
      <c r="W565" s="242">
        <f>7+843</f>
        <v>850</v>
      </c>
      <c r="X565" s="243">
        <f>(255)/24</f>
        <v>10.625</v>
      </c>
      <c r="Y565" s="244">
        <f t="shared" si="175"/>
        <v>10.625</v>
      </c>
      <c r="Z565" s="245">
        <f t="shared" si="176"/>
        <v>0</v>
      </c>
      <c r="AA565" s="245"/>
      <c r="AB565" s="809">
        <v>1</v>
      </c>
      <c r="AC565" s="242">
        <f>Z565*AB565</f>
        <v>0</v>
      </c>
      <c r="AD565" s="209"/>
      <c r="AE565" s="210"/>
      <c r="AF565" s="210"/>
      <c r="AG565" s="211">
        <f t="shared" si="181"/>
        <v>0.115</v>
      </c>
      <c r="AH565" s="157">
        <f>(Z565*AG565)/1000</f>
        <v>0</v>
      </c>
      <c r="AI565" s="152">
        <f t="shared" si="182"/>
        <v>20400</v>
      </c>
      <c r="AK565" s="156" t="s">
        <v>691</v>
      </c>
      <c r="AL565" s="574" t="s">
        <v>690</v>
      </c>
      <c r="AM565" s="198">
        <f t="shared" si="183"/>
        <v>0</v>
      </c>
      <c r="AN565" s="199">
        <f t="shared" si="168"/>
        <v>45387</v>
      </c>
      <c r="AO565" s="159" t="s">
        <v>692</v>
      </c>
      <c r="AP565" s="783" t="s">
        <v>608</v>
      </c>
      <c r="AQ565" s="782">
        <v>12071839</v>
      </c>
      <c r="AR565" s="782">
        <v>12047514</v>
      </c>
      <c r="AS565" s="782">
        <v>12047515</v>
      </c>
      <c r="AT565" s="781"/>
      <c r="AU565" s="782">
        <v>12026902</v>
      </c>
      <c r="AV565" s="782">
        <v>12081781</v>
      </c>
      <c r="AW565" s="782">
        <v>12026904</v>
      </c>
      <c r="AX565" s="781"/>
      <c r="AY565" s="783" t="s">
        <v>625</v>
      </c>
      <c r="AZ565" s="783" t="s">
        <v>624</v>
      </c>
      <c r="BA565" s="783" t="s">
        <v>624</v>
      </c>
    </row>
    <row r="566" spans="1:53" ht="24.75" hidden="1" customHeight="1">
      <c r="B566" s="295">
        <v>45387</v>
      </c>
      <c r="C566" s="296">
        <v>45399</v>
      </c>
      <c r="D566" s="185">
        <f t="shared" si="165"/>
        <v>2024</v>
      </c>
      <c r="E566" s="296" t="str">
        <f>VLOOKUP($B566,Week!$A$1:$C$1462,2,0)</f>
        <v>Week14</v>
      </c>
      <c r="F566" s="297" t="str">
        <f t="shared" si="166"/>
        <v>Apr</v>
      </c>
      <c r="G566" s="298" t="s">
        <v>47</v>
      </c>
      <c r="H566" s="298" t="s">
        <v>260</v>
      </c>
      <c r="I566" s="298" t="s">
        <v>2702</v>
      </c>
      <c r="J566" s="307" t="s">
        <v>904</v>
      </c>
      <c r="K566" s="300" t="s">
        <v>176</v>
      </c>
      <c r="L566" s="300" t="s">
        <v>2167</v>
      </c>
      <c r="M566" s="299" t="s">
        <v>262</v>
      </c>
      <c r="N566" s="298" t="s">
        <v>350</v>
      </c>
      <c r="O566" s="298" t="s">
        <v>351</v>
      </c>
      <c r="P566" s="301">
        <v>24</v>
      </c>
      <c r="Q566" s="301">
        <v>5</v>
      </c>
      <c r="R566" s="302">
        <v>6.1999999999999998E-3</v>
      </c>
      <c r="S566" s="298" t="s">
        <v>352</v>
      </c>
      <c r="T566" s="298" t="s">
        <v>56</v>
      </c>
      <c r="U566" s="298" t="s">
        <v>57</v>
      </c>
      <c r="V566" s="303">
        <v>4247</v>
      </c>
      <c r="W566" s="303">
        <f>4363-116</f>
        <v>4247</v>
      </c>
      <c r="X566" s="304"/>
      <c r="Y566" s="305">
        <f t="shared" si="175"/>
        <v>0</v>
      </c>
      <c r="Z566" s="306">
        <f t="shared" si="176"/>
        <v>0</v>
      </c>
      <c r="AA566" s="306"/>
      <c r="AB566" s="814"/>
      <c r="AC566" s="303"/>
      <c r="AD566" s="381"/>
      <c r="AE566" s="210"/>
      <c r="AF566" s="210"/>
      <c r="AG566" s="211">
        <f t="shared" si="181"/>
        <v>0.13</v>
      </c>
      <c r="AH566" s="157">
        <f t="shared" si="180"/>
        <v>0</v>
      </c>
      <c r="AI566" s="152">
        <f t="shared" si="182"/>
        <v>101928</v>
      </c>
      <c r="AK566" s="156" t="s">
        <v>691</v>
      </c>
      <c r="AL566" s="574" t="s">
        <v>690</v>
      </c>
      <c r="AM566" s="198">
        <f t="shared" ref="AM566:AM575" si="184">AG566*Z566</f>
        <v>0</v>
      </c>
      <c r="AN566" s="199">
        <f t="shared" si="168"/>
        <v>45387</v>
      </c>
      <c r="AO566" s="159" t="s">
        <v>692</v>
      </c>
      <c r="AP566" s="783" t="s">
        <v>629</v>
      </c>
      <c r="AQ566" s="782">
        <v>12071839</v>
      </c>
      <c r="AR566" s="782">
        <v>12078867</v>
      </c>
      <c r="AS566" s="782">
        <v>12068233</v>
      </c>
      <c r="AT566" s="781"/>
      <c r="AU566" s="781"/>
      <c r="AV566" s="782">
        <v>12062075</v>
      </c>
      <c r="AW566" s="781"/>
      <c r="AX566" s="781"/>
      <c r="AY566" s="782">
        <v>12078868</v>
      </c>
      <c r="AZ566" s="781"/>
      <c r="BA566" s="781"/>
    </row>
    <row r="567" spans="1:53" ht="24.75" hidden="1" customHeight="1">
      <c r="B567" s="333">
        <v>45388</v>
      </c>
      <c r="C567" s="333">
        <v>45407</v>
      </c>
      <c r="D567" s="185">
        <f t="shared" si="165"/>
        <v>2024</v>
      </c>
      <c r="E567" s="335" t="str">
        <f>VLOOKUP($B567,Week!$A$1:$C$1462,2,0)</f>
        <v>Week14</v>
      </c>
      <c r="F567" s="334" t="str">
        <f t="shared" si="166"/>
        <v>Apr</v>
      </c>
      <c r="G567" s="335" t="s">
        <v>1160</v>
      </c>
      <c r="H567" s="335" t="s">
        <v>363</v>
      </c>
      <c r="I567" s="335" t="s">
        <v>2772</v>
      </c>
      <c r="J567" s="336" t="s">
        <v>364</v>
      </c>
      <c r="K567" s="337" t="s">
        <v>176</v>
      </c>
      <c r="L567" s="300" t="s">
        <v>2167</v>
      </c>
      <c r="M567" s="382" t="s">
        <v>646</v>
      </c>
      <c r="N567" s="335" t="s">
        <v>647</v>
      </c>
      <c r="O567" s="335" t="s">
        <v>599</v>
      </c>
      <c r="P567" s="338">
        <v>36</v>
      </c>
      <c r="Q567" s="338">
        <v>5</v>
      </c>
      <c r="R567" s="339">
        <v>8.0000000000000002E-3</v>
      </c>
      <c r="S567" s="335" t="s">
        <v>40</v>
      </c>
      <c r="T567" s="335" t="s">
        <v>112</v>
      </c>
      <c r="U567" s="335" t="s">
        <v>57</v>
      </c>
      <c r="V567" s="341">
        <v>1288</v>
      </c>
      <c r="W567" s="341">
        <f>31+1237</f>
        <v>1268</v>
      </c>
      <c r="X567" s="342">
        <f>(720)/36</f>
        <v>20</v>
      </c>
      <c r="Y567" s="343">
        <f t="shared" si="175"/>
        <v>0</v>
      </c>
      <c r="Z567" s="344">
        <f t="shared" si="176"/>
        <v>0</v>
      </c>
      <c r="AA567" s="344"/>
      <c r="AB567" s="821"/>
      <c r="AC567" s="341"/>
      <c r="AD567" s="209"/>
      <c r="AE567" s="210"/>
      <c r="AF567" s="210"/>
      <c r="AG567" s="211">
        <f t="shared" si="181"/>
        <v>0.14799999999999999</v>
      </c>
      <c r="AH567" s="157">
        <f>(Z567*AG567)/1000</f>
        <v>0</v>
      </c>
      <c r="AI567" s="152">
        <f t="shared" si="182"/>
        <v>46368</v>
      </c>
      <c r="AK567" s="156" t="s">
        <v>691</v>
      </c>
      <c r="AL567" s="574" t="s">
        <v>690</v>
      </c>
      <c r="AM567" s="198">
        <f t="shared" si="184"/>
        <v>0</v>
      </c>
      <c r="AN567" s="199">
        <f t="shared" si="168"/>
        <v>45388</v>
      </c>
      <c r="AO567" s="159" t="s">
        <v>692</v>
      </c>
      <c r="AP567" s="781"/>
      <c r="AQ567" s="782">
        <v>12071839</v>
      </c>
      <c r="AR567" s="782">
        <v>12047514</v>
      </c>
      <c r="AS567" s="782">
        <v>12047515</v>
      </c>
      <c r="AT567" s="782"/>
      <c r="AU567" s="781"/>
      <c r="AV567" s="782"/>
      <c r="AW567" s="782"/>
      <c r="AX567" s="782"/>
      <c r="AY567" s="782"/>
      <c r="AZ567" s="782"/>
      <c r="BA567" s="781"/>
    </row>
    <row r="568" spans="1:53" ht="24.75" hidden="1" customHeight="1">
      <c r="B568" s="295">
        <v>45388</v>
      </c>
      <c r="C568" s="296">
        <v>45404</v>
      </c>
      <c r="D568" s="185">
        <f t="shared" si="165"/>
        <v>2024</v>
      </c>
      <c r="E568" s="296" t="str">
        <f>VLOOKUP($B568,Week!$A$1:$C$1462,2,0)</f>
        <v>Week14</v>
      </c>
      <c r="F568" s="297" t="str">
        <f t="shared" si="166"/>
        <v>Apr</v>
      </c>
      <c r="G568" s="298" t="s">
        <v>47</v>
      </c>
      <c r="H568" s="298" t="s">
        <v>260</v>
      </c>
      <c r="I568" s="298" t="s">
        <v>2702</v>
      </c>
      <c r="J568" s="307" t="s">
        <v>904</v>
      </c>
      <c r="K568" s="300" t="s">
        <v>176</v>
      </c>
      <c r="L568" s="300" t="s">
        <v>2167</v>
      </c>
      <c r="M568" s="299" t="s">
        <v>262</v>
      </c>
      <c r="N568" s="298" t="s">
        <v>350</v>
      </c>
      <c r="O568" s="298" t="s">
        <v>351</v>
      </c>
      <c r="P568" s="301">
        <v>24</v>
      </c>
      <c r="Q568" s="301">
        <v>5</v>
      </c>
      <c r="R568" s="302">
        <v>6.1999999999999998E-3</v>
      </c>
      <c r="S568" s="298" t="s">
        <v>352</v>
      </c>
      <c r="T568" s="298" t="s">
        <v>56</v>
      </c>
      <c r="U568" s="298" t="s">
        <v>57</v>
      </c>
      <c r="V568" s="303">
        <v>3430</v>
      </c>
      <c r="W568" s="303">
        <f>3430</f>
        <v>3430</v>
      </c>
      <c r="X568" s="304"/>
      <c r="Y568" s="305">
        <f t="shared" si="175"/>
        <v>0</v>
      </c>
      <c r="Z568" s="306">
        <f t="shared" si="176"/>
        <v>0</v>
      </c>
      <c r="AA568" s="306"/>
      <c r="AB568" s="814"/>
      <c r="AC568" s="303"/>
      <c r="AD568" s="580" t="s">
        <v>672</v>
      </c>
      <c r="AE568" s="210"/>
      <c r="AF568" s="210"/>
      <c r="AG568" s="211">
        <f t="shared" si="181"/>
        <v>0.13</v>
      </c>
      <c r="AH568" s="157">
        <f>(Z568*AG568)/1000</f>
        <v>0</v>
      </c>
      <c r="AI568" s="152">
        <f t="shared" si="182"/>
        <v>82320</v>
      </c>
      <c r="AK568" s="156" t="s">
        <v>691</v>
      </c>
      <c r="AL568" s="574" t="s">
        <v>690</v>
      </c>
      <c r="AM568" s="198">
        <f t="shared" si="184"/>
        <v>0</v>
      </c>
      <c r="AN568" s="199">
        <f t="shared" si="168"/>
        <v>45388</v>
      </c>
      <c r="AO568" s="159" t="s">
        <v>692</v>
      </c>
      <c r="AP568" s="783" t="s">
        <v>629</v>
      </c>
      <c r="AQ568" s="782">
        <v>12071839</v>
      </c>
      <c r="AR568" s="782">
        <v>12078867</v>
      </c>
      <c r="AS568" s="782">
        <v>12068233</v>
      </c>
      <c r="AT568" s="781"/>
      <c r="AU568" s="781"/>
      <c r="AV568" s="782">
        <v>12062075</v>
      </c>
      <c r="AW568" s="781"/>
      <c r="AX568" s="781"/>
      <c r="AY568" s="782">
        <v>12078868</v>
      </c>
      <c r="AZ568" s="781"/>
      <c r="BA568" s="781"/>
    </row>
    <row r="569" spans="1:53" ht="25" hidden="1" customHeight="1">
      <c r="B569" s="183">
        <v>45389</v>
      </c>
      <c r="C569" s="184"/>
      <c r="D569" s="185">
        <f t="shared" si="165"/>
        <v>2024</v>
      </c>
      <c r="E569" s="185" t="str">
        <f>VLOOKUP($B569,Week!$A$1:$C$1462,2,0)</f>
        <v>Week14</v>
      </c>
      <c r="F569" s="186" t="str">
        <f t="shared" si="166"/>
        <v>Apr</v>
      </c>
      <c r="G569" s="185"/>
      <c r="H569" s="185"/>
      <c r="I569" s="185"/>
      <c r="J569" s="187"/>
      <c r="K569" s="188"/>
      <c r="L569" s="300"/>
      <c r="M569" s="187"/>
      <c r="N569" s="185"/>
      <c r="O569" s="185"/>
      <c r="P569" s="189"/>
      <c r="Q569" s="189"/>
      <c r="R569" s="190"/>
      <c r="S569" s="185"/>
      <c r="T569" s="185"/>
      <c r="U569" s="185"/>
      <c r="V569" s="191"/>
      <c r="W569" s="191"/>
      <c r="X569" s="192"/>
      <c r="Y569" s="193"/>
      <c r="Z569" s="194"/>
      <c r="AA569" s="194"/>
      <c r="AB569" s="805"/>
      <c r="AC569" s="191"/>
      <c r="AD569" s="187"/>
      <c r="AE569" s="195"/>
      <c r="AF569" s="195"/>
      <c r="AG569" s="196"/>
      <c r="AH569" s="197"/>
      <c r="AK569" s="156" t="s">
        <v>691</v>
      </c>
      <c r="AM569" s="198">
        <f t="shared" si="184"/>
        <v>0</v>
      </c>
      <c r="AN569" s="199">
        <f t="shared" si="168"/>
        <v>45389</v>
      </c>
      <c r="AO569" s="159" t="s">
        <v>692</v>
      </c>
      <c r="AP569" s="781"/>
      <c r="AQ569" s="782"/>
      <c r="AR569" s="782"/>
      <c r="AS569" s="782"/>
      <c r="AT569" s="782"/>
      <c r="AU569" s="781"/>
      <c r="AV569" s="782"/>
      <c r="AW569" s="782"/>
      <c r="AX569" s="782"/>
      <c r="AY569" s="782"/>
      <c r="AZ569" s="782"/>
      <c r="BA569" s="781"/>
    </row>
    <row r="570" spans="1:53" ht="25" hidden="1" customHeight="1">
      <c r="A570" s="630"/>
      <c r="B570" s="213">
        <v>45390</v>
      </c>
      <c r="C570" s="213">
        <v>45392</v>
      </c>
      <c r="D570" s="185">
        <f t="shared" si="165"/>
        <v>2024</v>
      </c>
      <c r="E570" s="215" t="str">
        <f>VLOOKUP($B570,Week!$A$1:$C$1462,2,0)</f>
        <v>Week15</v>
      </c>
      <c r="F570" s="216" t="str">
        <f t="shared" si="166"/>
        <v>Apr</v>
      </c>
      <c r="G570" s="215" t="s">
        <v>1004</v>
      </c>
      <c r="H570" s="215" t="s">
        <v>104</v>
      </c>
      <c r="I570" s="215" t="s">
        <v>2772</v>
      </c>
      <c r="J570" s="209" t="s">
        <v>105</v>
      </c>
      <c r="K570" s="217" t="s">
        <v>107</v>
      </c>
      <c r="L570" s="300" t="s">
        <v>2167</v>
      </c>
      <c r="M570" s="209" t="s">
        <v>108</v>
      </c>
      <c r="N570" s="215" t="s">
        <v>109</v>
      </c>
      <c r="O570" s="215" t="s">
        <v>110</v>
      </c>
      <c r="P570" s="218">
        <v>36</v>
      </c>
      <c r="Q570" s="218">
        <v>5</v>
      </c>
      <c r="R570" s="219">
        <v>7.4999999999999997E-3</v>
      </c>
      <c r="S570" s="215" t="s">
        <v>111</v>
      </c>
      <c r="T570" s="215" t="s">
        <v>112</v>
      </c>
      <c r="U570" s="215" t="s">
        <v>113</v>
      </c>
      <c r="V570" s="220">
        <f>792-40</f>
        <v>752</v>
      </c>
      <c r="W570" s="220">
        <f>792-40</f>
        <v>752</v>
      </c>
      <c r="X570" s="221"/>
      <c r="Y570" s="222">
        <f t="shared" ref="Y570:Y596" si="185">(W570+X570)-V570</f>
        <v>0</v>
      </c>
      <c r="Z570" s="223">
        <f t="shared" ref="Z570:Z596" si="186">IF(Y570&lt;0,((V570*P570)-((W570+X570)*P570)),0)</f>
        <v>0</v>
      </c>
      <c r="AA570" s="223"/>
      <c r="AB570" s="807"/>
      <c r="AC570" s="220"/>
      <c r="AD570" s="209"/>
      <c r="AE570" s="210"/>
      <c r="AF570" s="210"/>
      <c r="AG570" s="211">
        <f t="shared" ref="AG570:AG581" si="187">MID(O570,1,3)/1000</f>
        <v>0.308</v>
      </c>
      <c r="AH570" s="157">
        <f t="shared" ref="AH570:AH575" si="188">(Z570*AG570)/1000</f>
        <v>0</v>
      </c>
      <c r="AI570" s="152">
        <f t="shared" ref="AI570:AI596" si="189">V570*P570</f>
        <v>27072</v>
      </c>
      <c r="AK570" s="156" t="s">
        <v>691</v>
      </c>
      <c r="AL570" s="574" t="s">
        <v>690</v>
      </c>
      <c r="AM570" s="198">
        <f t="shared" si="184"/>
        <v>0</v>
      </c>
      <c r="AN570" s="199">
        <f t="shared" si="168"/>
        <v>45390</v>
      </c>
      <c r="AO570" s="159" t="s">
        <v>692</v>
      </c>
      <c r="AP570" s="781"/>
      <c r="AQ570" s="782">
        <v>12063755</v>
      </c>
      <c r="AR570" s="782">
        <v>12061353</v>
      </c>
      <c r="AS570" s="782">
        <v>12061354</v>
      </c>
      <c r="AT570" s="782">
        <v>12068566</v>
      </c>
      <c r="AU570" s="781"/>
      <c r="AV570" s="782">
        <v>12068564</v>
      </c>
      <c r="AW570" s="782">
        <v>12062153</v>
      </c>
      <c r="AX570" s="782"/>
      <c r="AY570" s="782">
        <v>12068565</v>
      </c>
      <c r="AZ570" s="782"/>
      <c r="BA570" s="781"/>
    </row>
    <row r="571" spans="1:53" ht="25" hidden="1" customHeight="1">
      <c r="A571" s="630"/>
      <c r="B571" s="213">
        <v>45390</v>
      </c>
      <c r="C571" s="213">
        <v>45392</v>
      </c>
      <c r="D571" s="185">
        <f t="shared" si="165"/>
        <v>2024</v>
      </c>
      <c r="E571" s="215" t="str">
        <f>VLOOKUP($B571,Week!$A$1:$C$1462,2,0)</f>
        <v>Week15</v>
      </c>
      <c r="F571" s="216" t="str">
        <f t="shared" si="166"/>
        <v>Apr</v>
      </c>
      <c r="G571" s="215" t="s">
        <v>1005</v>
      </c>
      <c r="H571" s="215" t="s">
        <v>104</v>
      </c>
      <c r="I571" s="215" t="s">
        <v>2772</v>
      </c>
      <c r="J571" s="209" t="s">
        <v>105</v>
      </c>
      <c r="K571" s="217" t="s">
        <v>107</v>
      </c>
      <c r="L571" s="300" t="s">
        <v>2167</v>
      </c>
      <c r="M571" s="209" t="s">
        <v>108</v>
      </c>
      <c r="N571" s="215" t="s">
        <v>109</v>
      </c>
      <c r="O571" s="215" t="s">
        <v>110</v>
      </c>
      <c r="P571" s="218">
        <v>36</v>
      </c>
      <c r="Q571" s="218">
        <v>5</v>
      </c>
      <c r="R571" s="219">
        <v>7.4999999999999997E-3</v>
      </c>
      <c r="S571" s="215" t="s">
        <v>111</v>
      </c>
      <c r="T571" s="215" t="s">
        <v>112</v>
      </c>
      <c r="U571" s="215" t="s">
        <v>113</v>
      </c>
      <c r="V571" s="220">
        <v>792</v>
      </c>
      <c r="W571" s="220">
        <v>792</v>
      </c>
      <c r="X571" s="221"/>
      <c r="Y571" s="222">
        <f t="shared" si="185"/>
        <v>0</v>
      </c>
      <c r="Z571" s="223">
        <f t="shared" si="186"/>
        <v>0</v>
      </c>
      <c r="AA571" s="223"/>
      <c r="AB571" s="807"/>
      <c r="AC571" s="220"/>
      <c r="AD571" s="209"/>
      <c r="AE571" s="210"/>
      <c r="AF571" s="210"/>
      <c r="AG571" s="211">
        <f t="shared" si="187"/>
        <v>0.308</v>
      </c>
      <c r="AH571" s="157">
        <f t="shared" si="188"/>
        <v>0</v>
      </c>
      <c r="AI571" s="152">
        <f t="shared" si="189"/>
        <v>28512</v>
      </c>
      <c r="AK571" s="156" t="s">
        <v>691</v>
      </c>
      <c r="AL571" s="574" t="s">
        <v>690</v>
      </c>
      <c r="AM571" s="198">
        <f t="shared" si="184"/>
        <v>0</v>
      </c>
      <c r="AN571" s="199">
        <f t="shared" si="168"/>
        <v>45390</v>
      </c>
      <c r="AO571" s="159" t="s">
        <v>692</v>
      </c>
      <c r="AP571" s="781"/>
      <c r="AQ571" s="782">
        <v>12063755</v>
      </c>
      <c r="AR571" s="782">
        <v>12061353</v>
      </c>
      <c r="AS571" s="782">
        <v>12061354</v>
      </c>
      <c r="AT571" s="782">
        <v>12068566</v>
      </c>
      <c r="AU571" s="781"/>
      <c r="AV571" s="782">
        <v>12068564</v>
      </c>
      <c r="AW571" s="782">
        <v>12062153</v>
      </c>
      <c r="AX571" s="782"/>
      <c r="AY571" s="782">
        <v>12068565</v>
      </c>
      <c r="AZ571" s="782"/>
      <c r="BA571" s="781"/>
    </row>
    <row r="572" spans="1:53" ht="25" hidden="1" customHeight="1">
      <c r="A572" s="630"/>
      <c r="B572" s="213">
        <v>45390</v>
      </c>
      <c r="C572" s="213">
        <v>45394</v>
      </c>
      <c r="D572" s="185">
        <f t="shared" si="165"/>
        <v>2024</v>
      </c>
      <c r="E572" s="215" t="str">
        <f>VLOOKUP($B572,Week!$A$1:$C$1462,2,0)</f>
        <v>Week15</v>
      </c>
      <c r="F572" s="216" t="str">
        <f t="shared" si="166"/>
        <v>Apr</v>
      </c>
      <c r="G572" s="215" t="s">
        <v>1006</v>
      </c>
      <c r="H572" s="215" t="s">
        <v>104</v>
      </c>
      <c r="I572" s="215" t="s">
        <v>2772</v>
      </c>
      <c r="J572" s="209" t="s">
        <v>105</v>
      </c>
      <c r="K572" s="217" t="s">
        <v>107</v>
      </c>
      <c r="L572" s="300" t="s">
        <v>2167</v>
      </c>
      <c r="M572" s="209" t="s">
        <v>108</v>
      </c>
      <c r="N572" s="215" t="s">
        <v>109</v>
      </c>
      <c r="O572" s="215" t="s">
        <v>110</v>
      </c>
      <c r="P572" s="218">
        <v>36</v>
      </c>
      <c r="Q572" s="218">
        <v>5</v>
      </c>
      <c r="R572" s="219">
        <v>7.4999999999999997E-3</v>
      </c>
      <c r="S572" s="215" t="s">
        <v>111</v>
      </c>
      <c r="T572" s="215" t="s">
        <v>112</v>
      </c>
      <c r="U572" s="215" t="s">
        <v>113</v>
      </c>
      <c r="V572" s="220">
        <v>792</v>
      </c>
      <c r="W572" s="220">
        <v>792</v>
      </c>
      <c r="X572" s="221"/>
      <c r="Y572" s="222">
        <f t="shared" si="185"/>
        <v>0</v>
      </c>
      <c r="Z572" s="223">
        <f t="shared" si="186"/>
        <v>0</v>
      </c>
      <c r="AA572" s="223"/>
      <c r="AB572" s="807"/>
      <c r="AC572" s="220"/>
      <c r="AD572" s="209"/>
      <c r="AE572" s="210"/>
      <c r="AF572" s="210"/>
      <c r="AG572" s="211">
        <f t="shared" si="187"/>
        <v>0.308</v>
      </c>
      <c r="AH572" s="157">
        <f t="shared" si="188"/>
        <v>0</v>
      </c>
      <c r="AI572" s="152">
        <f t="shared" si="189"/>
        <v>28512</v>
      </c>
      <c r="AK572" s="156" t="s">
        <v>691</v>
      </c>
      <c r="AL572" s="574" t="s">
        <v>690</v>
      </c>
      <c r="AM572" s="198">
        <f t="shared" si="184"/>
        <v>0</v>
      </c>
      <c r="AN572" s="199">
        <f t="shared" si="168"/>
        <v>45390</v>
      </c>
      <c r="AO572" s="159" t="s">
        <v>692</v>
      </c>
      <c r="AP572" s="781"/>
      <c r="AQ572" s="782">
        <v>12063755</v>
      </c>
      <c r="AR572" s="782">
        <v>12061353</v>
      </c>
      <c r="AS572" s="782">
        <v>12061354</v>
      </c>
      <c r="AT572" s="782">
        <v>12068566</v>
      </c>
      <c r="AU572" s="781"/>
      <c r="AV572" s="782">
        <v>12068564</v>
      </c>
      <c r="AW572" s="782">
        <v>12062153</v>
      </c>
      <c r="AX572" s="782"/>
      <c r="AY572" s="782">
        <v>12068565</v>
      </c>
      <c r="AZ572" s="782"/>
      <c r="BA572" s="781"/>
    </row>
    <row r="573" spans="1:53" ht="25" hidden="1" customHeight="1">
      <c r="A573" s="630"/>
      <c r="B573" s="213">
        <v>45390</v>
      </c>
      <c r="C573" s="213">
        <v>45399</v>
      </c>
      <c r="D573" s="185">
        <f t="shared" si="165"/>
        <v>2024</v>
      </c>
      <c r="E573" s="215" t="str">
        <f>VLOOKUP($B573,Week!$A$1:$C$1462,2,0)</f>
        <v>Week15</v>
      </c>
      <c r="F573" s="216" t="str">
        <f t="shared" si="166"/>
        <v>Apr</v>
      </c>
      <c r="G573" s="215" t="s">
        <v>1050</v>
      </c>
      <c r="H573" s="215" t="s">
        <v>104</v>
      </c>
      <c r="I573" s="215" t="s">
        <v>2772</v>
      </c>
      <c r="J573" s="209" t="s">
        <v>105</v>
      </c>
      <c r="K573" s="217" t="s">
        <v>107</v>
      </c>
      <c r="L573" s="300" t="s">
        <v>2167</v>
      </c>
      <c r="M573" s="209" t="s">
        <v>108</v>
      </c>
      <c r="N573" s="215" t="s">
        <v>109</v>
      </c>
      <c r="O573" s="215" t="s">
        <v>110</v>
      </c>
      <c r="P573" s="218">
        <v>36</v>
      </c>
      <c r="Q573" s="218">
        <v>5</v>
      </c>
      <c r="R573" s="219">
        <v>7.4999999999999997E-3</v>
      </c>
      <c r="S573" s="215" t="s">
        <v>111</v>
      </c>
      <c r="T573" s="215" t="s">
        <v>112</v>
      </c>
      <c r="U573" s="215" t="s">
        <v>113</v>
      </c>
      <c r="V573" s="220">
        <v>792</v>
      </c>
      <c r="W573" s="220">
        <v>792</v>
      </c>
      <c r="X573" s="221"/>
      <c r="Y573" s="222">
        <f t="shared" si="185"/>
        <v>0</v>
      </c>
      <c r="Z573" s="223">
        <f t="shared" si="186"/>
        <v>0</v>
      </c>
      <c r="AA573" s="223"/>
      <c r="AB573" s="807"/>
      <c r="AC573" s="220"/>
      <c r="AD573" s="209"/>
      <c r="AE573" s="210"/>
      <c r="AF573" s="210"/>
      <c r="AG573" s="211">
        <f t="shared" si="187"/>
        <v>0.308</v>
      </c>
      <c r="AH573" s="157">
        <f t="shared" si="188"/>
        <v>0</v>
      </c>
      <c r="AI573" s="152">
        <f t="shared" si="189"/>
        <v>28512</v>
      </c>
      <c r="AK573" s="156" t="s">
        <v>691</v>
      </c>
      <c r="AL573" s="574" t="s">
        <v>690</v>
      </c>
      <c r="AM573" s="198">
        <f t="shared" si="184"/>
        <v>0</v>
      </c>
      <c r="AN573" s="199">
        <f t="shared" si="168"/>
        <v>45390</v>
      </c>
      <c r="AO573" s="159" t="s">
        <v>692</v>
      </c>
      <c r="AP573" s="781"/>
      <c r="AQ573" s="782">
        <v>12063755</v>
      </c>
      <c r="AR573" s="782">
        <v>12061353</v>
      </c>
      <c r="AS573" s="782">
        <v>12061354</v>
      </c>
      <c r="AT573" s="782">
        <v>12068566</v>
      </c>
      <c r="AU573" s="781"/>
      <c r="AV573" s="782">
        <v>12068564</v>
      </c>
      <c r="AW573" s="782">
        <v>12062153</v>
      </c>
      <c r="AX573" s="782"/>
      <c r="AY573" s="782">
        <v>12068565</v>
      </c>
      <c r="AZ573" s="782"/>
      <c r="BA573" s="781"/>
    </row>
    <row r="574" spans="1:53" ht="25" hidden="1" customHeight="1">
      <c r="A574" s="630"/>
      <c r="B574" s="213">
        <v>45390</v>
      </c>
      <c r="C574" s="213">
        <v>45399</v>
      </c>
      <c r="D574" s="185">
        <f t="shared" si="165"/>
        <v>2024</v>
      </c>
      <c r="E574" s="215" t="str">
        <f>VLOOKUP($B574,Week!$A$1:$C$1462,2,0)</f>
        <v>Week15</v>
      </c>
      <c r="F574" s="216" t="str">
        <f t="shared" si="166"/>
        <v>Apr</v>
      </c>
      <c r="G574" s="215" t="s">
        <v>1051</v>
      </c>
      <c r="H574" s="215" t="s">
        <v>104</v>
      </c>
      <c r="I574" s="215" t="s">
        <v>2772</v>
      </c>
      <c r="J574" s="209" t="s">
        <v>105</v>
      </c>
      <c r="K574" s="217" t="s">
        <v>107</v>
      </c>
      <c r="L574" s="300" t="s">
        <v>2167</v>
      </c>
      <c r="M574" s="209" t="s">
        <v>108</v>
      </c>
      <c r="N574" s="215" t="s">
        <v>109</v>
      </c>
      <c r="O574" s="215" t="s">
        <v>110</v>
      </c>
      <c r="P574" s="218">
        <v>36</v>
      </c>
      <c r="Q574" s="218">
        <v>5</v>
      </c>
      <c r="R574" s="219">
        <v>7.4999999999999997E-3</v>
      </c>
      <c r="S574" s="215" t="s">
        <v>111</v>
      </c>
      <c r="T574" s="215" t="s">
        <v>112</v>
      </c>
      <c r="U574" s="215" t="s">
        <v>113</v>
      </c>
      <c r="V574" s="220">
        <v>792</v>
      </c>
      <c r="W574" s="220">
        <v>792</v>
      </c>
      <c r="X574" s="221"/>
      <c r="Y574" s="222">
        <f t="shared" si="185"/>
        <v>0</v>
      </c>
      <c r="Z574" s="223">
        <f t="shared" si="186"/>
        <v>0</v>
      </c>
      <c r="AA574" s="223"/>
      <c r="AB574" s="807"/>
      <c r="AC574" s="220"/>
      <c r="AD574" s="209"/>
      <c r="AE574" s="210"/>
      <c r="AF574" s="210"/>
      <c r="AG574" s="211">
        <f t="shared" si="187"/>
        <v>0.308</v>
      </c>
      <c r="AH574" s="157">
        <f t="shared" si="188"/>
        <v>0</v>
      </c>
      <c r="AI574" s="152">
        <f t="shared" si="189"/>
        <v>28512</v>
      </c>
      <c r="AK574" s="156" t="s">
        <v>691</v>
      </c>
      <c r="AL574" s="574" t="s">
        <v>690</v>
      </c>
      <c r="AM574" s="198">
        <f t="shared" si="184"/>
        <v>0</v>
      </c>
      <c r="AN574" s="199">
        <f t="shared" si="168"/>
        <v>45390</v>
      </c>
      <c r="AO574" s="159" t="s">
        <v>692</v>
      </c>
      <c r="AP574" s="781"/>
      <c r="AQ574" s="782">
        <v>12063755</v>
      </c>
      <c r="AR574" s="782">
        <v>12061353</v>
      </c>
      <c r="AS574" s="782">
        <v>12061354</v>
      </c>
      <c r="AT574" s="782">
        <v>12068566</v>
      </c>
      <c r="AU574" s="781"/>
      <c r="AV574" s="782">
        <v>12068564</v>
      </c>
      <c r="AW574" s="782">
        <v>12062153</v>
      </c>
      <c r="AX574" s="782"/>
      <c r="AY574" s="782">
        <v>12068565</v>
      </c>
      <c r="AZ574" s="782"/>
      <c r="BA574" s="781"/>
    </row>
    <row r="575" spans="1:53" ht="25" hidden="1" customHeight="1">
      <c r="B575" s="213">
        <v>45390</v>
      </c>
      <c r="C575" s="213">
        <v>45399</v>
      </c>
      <c r="D575" s="185">
        <f t="shared" si="165"/>
        <v>2024</v>
      </c>
      <c r="E575" s="215" t="str">
        <f>VLOOKUP($B575,Week!$A$1:$C$1462,2,0)</f>
        <v>Week15</v>
      </c>
      <c r="F575" s="216" t="str">
        <f t="shared" si="166"/>
        <v>Apr</v>
      </c>
      <c r="G575" s="215" t="s">
        <v>1052</v>
      </c>
      <c r="H575" s="215" t="s">
        <v>104</v>
      </c>
      <c r="I575" s="215" t="s">
        <v>2772</v>
      </c>
      <c r="J575" s="209" t="s">
        <v>105</v>
      </c>
      <c r="K575" s="217" t="s">
        <v>107</v>
      </c>
      <c r="L575" s="300" t="s">
        <v>2167</v>
      </c>
      <c r="M575" s="209" t="s">
        <v>108</v>
      </c>
      <c r="N575" s="215" t="s">
        <v>109</v>
      </c>
      <c r="O575" s="215" t="s">
        <v>110</v>
      </c>
      <c r="P575" s="218">
        <v>36</v>
      </c>
      <c r="Q575" s="218">
        <v>5</v>
      </c>
      <c r="R575" s="219">
        <v>7.4999999999999997E-3</v>
      </c>
      <c r="S575" s="215" t="s">
        <v>111</v>
      </c>
      <c r="T575" s="215" t="s">
        <v>112</v>
      </c>
      <c r="U575" s="215" t="s">
        <v>113</v>
      </c>
      <c r="V575" s="220">
        <f>4258-752-792-792-792-792</f>
        <v>338</v>
      </c>
      <c r="W575" s="220">
        <f>4258-752-792-792-792-792</f>
        <v>338</v>
      </c>
      <c r="X575" s="221"/>
      <c r="Y575" s="222">
        <f t="shared" si="185"/>
        <v>0</v>
      </c>
      <c r="Z575" s="223">
        <f t="shared" si="186"/>
        <v>0</v>
      </c>
      <c r="AA575" s="223"/>
      <c r="AB575" s="807"/>
      <c r="AC575" s="220"/>
      <c r="AD575" s="209"/>
      <c r="AE575" s="210"/>
      <c r="AF575" s="210"/>
      <c r="AG575" s="211">
        <f t="shared" si="187"/>
        <v>0.308</v>
      </c>
      <c r="AH575" s="157">
        <f t="shared" si="188"/>
        <v>0</v>
      </c>
      <c r="AI575" s="152">
        <f t="shared" si="189"/>
        <v>12168</v>
      </c>
      <c r="AK575" s="156" t="s">
        <v>691</v>
      </c>
      <c r="AL575" s="574" t="s">
        <v>690</v>
      </c>
      <c r="AM575" s="198">
        <f t="shared" si="184"/>
        <v>0</v>
      </c>
      <c r="AN575" s="199">
        <f t="shared" si="168"/>
        <v>45390</v>
      </c>
      <c r="AO575" s="159" t="s">
        <v>692</v>
      </c>
      <c r="AP575" s="781"/>
      <c r="AQ575" s="782">
        <v>12063755</v>
      </c>
      <c r="AR575" s="782">
        <v>12061353</v>
      </c>
      <c r="AS575" s="782">
        <v>12061354</v>
      </c>
      <c r="AT575" s="782">
        <v>12068566</v>
      </c>
      <c r="AU575" s="781"/>
      <c r="AV575" s="782">
        <v>12068564</v>
      </c>
      <c r="AW575" s="782">
        <v>12062153</v>
      </c>
      <c r="AX575" s="782"/>
      <c r="AY575" s="782">
        <v>12068565</v>
      </c>
      <c r="AZ575" s="782"/>
      <c r="BA575" s="781"/>
    </row>
    <row r="576" spans="1:53" ht="25" hidden="1" customHeight="1">
      <c r="B576" s="357">
        <v>45391</v>
      </c>
      <c r="C576" s="358">
        <v>45399</v>
      </c>
      <c r="D576" s="185">
        <f t="shared" si="165"/>
        <v>2024</v>
      </c>
      <c r="E576" s="358" t="str">
        <f>VLOOKUP($B576,Week!$A$1:$C$1462,2,0)</f>
        <v>Week15</v>
      </c>
      <c r="F576" s="360" t="str">
        <f t="shared" si="166"/>
        <v>Apr</v>
      </c>
      <c r="G576" s="359" t="s">
        <v>47</v>
      </c>
      <c r="H576" s="359" t="s">
        <v>518</v>
      </c>
      <c r="I576" s="298" t="s">
        <v>2702</v>
      </c>
      <c r="J576" s="361" t="s">
        <v>70</v>
      </c>
      <c r="K576" s="362" t="s">
        <v>94</v>
      </c>
      <c r="L576" s="300" t="s">
        <v>2167</v>
      </c>
      <c r="M576" s="361" t="s">
        <v>519</v>
      </c>
      <c r="N576" s="359" t="s">
        <v>589</v>
      </c>
      <c r="O576" s="359" t="s">
        <v>97</v>
      </c>
      <c r="P576" s="363">
        <v>12</v>
      </c>
      <c r="Q576" s="363">
        <v>5</v>
      </c>
      <c r="R576" s="364">
        <v>8.0000000000000002E-3</v>
      </c>
      <c r="S576" s="359" t="s">
        <v>40</v>
      </c>
      <c r="T576" s="359" t="s">
        <v>56</v>
      </c>
      <c r="U576" s="359" t="s">
        <v>57</v>
      </c>
      <c r="V576" s="365">
        <v>2722</v>
      </c>
      <c r="W576" s="365">
        <f>11+2711</f>
        <v>2722</v>
      </c>
      <c r="X576" s="366"/>
      <c r="Y576" s="367">
        <f t="shared" si="185"/>
        <v>0</v>
      </c>
      <c r="Z576" s="368">
        <f t="shared" si="186"/>
        <v>0</v>
      </c>
      <c r="AA576" s="368"/>
      <c r="AB576" s="819"/>
      <c r="AC576" s="365"/>
      <c r="AD576" s="209"/>
      <c r="AE576" s="210"/>
      <c r="AF576" s="210"/>
      <c r="AG576" s="211">
        <f t="shared" si="187"/>
        <v>0.14499999999999999</v>
      </c>
      <c r="AH576" s="157">
        <f t="shared" ref="AH576:AH584" si="190">(Z576*AG576)/1000</f>
        <v>0</v>
      </c>
      <c r="AI576" s="152">
        <f t="shared" si="189"/>
        <v>32664</v>
      </c>
      <c r="AK576" s="156" t="s">
        <v>691</v>
      </c>
      <c r="AL576" s="574" t="s">
        <v>690</v>
      </c>
      <c r="AM576" s="198">
        <f t="shared" ref="AM576:AM584" si="191">AG576*Z576</f>
        <v>0</v>
      </c>
      <c r="AN576" s="199">
        <f t="shared" si="168"/>
        <v>45391</v>
      </c>
      <c r="AO576" s="159" t="s">
        <v>692</v>
      </c>
      <c r="AP576" s="783" t="s">
        <v>628</v>
      </c>
      <c r="AQ576" s="782">
        <v>12071839</v>
      </c>
      <c r="AR576" s="782">
        <v>12047514</v>
      </c>
      <c r="AS576" s="782">
        <v>12047515</v>
      </c>
      <c r="AT576" s="782"/>
      <c r="AU576" s="781"/>
      <c r="AV576" s="782">
        <v>12080617</v>
      </c>
      <c r="AW576" s="782"/>
      <c r="AX576" s="782"/>
      <c r="AY576" s="782">
        <v>12080618</v>
      </c>
      <c r="AZ576" s="782">
        <v>12080619</v>
      </c>
      <c r="BA576" s="781"/>
    </row>
    <row r="577" spans="2:53" ht="24.65" hidden="1" customHeight="1">
      <c r="B577" s="546">
        <v>45391</v>
      </c>
      <c r="C577" s="547">
        <v>45393</v>
      </c>
      <c r="D577" s="185">
        <f t="shared" si="165"/>
        <v>2024</v>
      </c>
      <c r="E577" s="547" t="str">
        <f>VLOOKUP($B577,Week!$A$1:$C$1462,2,0)</f>
        <v>Week15</v>
      </c>
      <c r="F577" s="548" t="str">
        <f t="shared" si="166"/>
        <v>Apr</v>
      </c>
      <c r="G577" s="549" t="s">
        <v>47</v>
      </c>
      <c r="H577" s="549" t="s">
        <v>518</v>
      </c>
      <c r="I577" s="298" t="s">
        <v>2702</v>
      </c>
      <c r="J577" s="550" t="s">
        <v>70</v>
      </c>
      <c r="K577" s="551" t="s">
        <v>1020</v>
      </c>
      <c r="L577" s="300" t="s">
        <v>2167</v>
      </c>
      <c r="M577" s="550" t="s">
        <v>746</v>
      </c>
      <c r="N577" s="618" t="s">
        <v>1129</v>
      </c>
      <c r="O577" s="549" t="s">
        <v>1128</v>
      </c>
      <c r="P577" s="552">
        <v>18</v>
      </c>
      <c r="Q577" s="552">
        <v>5</v>
      </c>
      <c r="R577" s="549">
        <v>6.1999999999999998E-3</v>
      </c>
      <c r="S577" s="549" t="s">
        <v>352</v>
      </c>
      <c r="T577" s="549" t="s">
        <v>56</v>
      </c>
      <c r="U577" s="549" t="s">
        <v>739</v>
      </c>
      <c r="V577" s="554">
        <f>1959</f>
        <v>1959</v>
      </c>
      <c r="W577" s="554">
        <f>1547+401+11</f>
        <v>1959</v>
      </c>
      <c r="X577" s="555"/>
      <c r="Y577" s="556">
        <f t="shared" si="185"/>
        <v>0</v>
      </c>
      <c r="Z577" s="557">
        <f t="shared" si="186"/>
        <v>0</v>
      </c>
      <c r="AA577" s="557"/>
      <c r="AB577" s="833"/>
      <c r="AC577" s="554"/>
      <c r="AD577" s="209"/>
      <c r="AE577" s="210"/>
      <c r="AF577" s="210"/>
      <c r="AG577" s="211">
        <f t="shared" si="187"/>
        <v>0.14299999999999999</v>
      </c>
      <c r="AH577" s="157">
        <f t="shared" si="190"/>
        <v>0</v>
      </c>
      <c r="AI577" s="152">
        <f t="shared" si="189"/>
        <v>35262</v>
      </c>
      <c r="AK577" s="156" t="s">
        <v>691</v>
      </c>
      <c r="AL577" s="212" t="s">
        <v>690</v>
      </c>
      <c r="AM577" s="198">
        <f t="shared" si="191"/>
        <v>0</v>
      </c>
      <c r="AN577" s="199">
        <f t="shared" si="168"/>
        <v>45391</v>
      </c>
      <c r="AO577" s="159" t="s">
        <v>692</v>
      </c>
      <c r="AP577" s="783" t="s">
        <v>609</v>
      </c>
      <c r="AQ577" s="782">
        <v>12071839</v>
      </c>
      <c r="AR577" s="782">
        <v>12047514</v>
      </c>
      <c r="AS577" s="782">
        <v>12047515</v>
      </c>
      <c r="AT577" s="781"/>
      <c r="AU577" s="781"/>
      <c r="AV577" s="782">
        <v>12080613</v>
      </c>
      <c r="AW577" s="781"/>
      <c r="AX577" s="781"/>
      <c r="AY577" s="782">
        <v>12080614</v>
      </c>
      <c r="AZ577" s="782">
        <v>12080616</v>
      </c>
      <c r="BA577" s="781"/>
    </row>
    <row r="578" spans="2:53" ht="24.65" hidden="1" customHeight="1">
      <c r="B578" s="546">
        <v>45391</v>
      </c>
      <c r="C578" s="547">
        <v>45418</v>
      </c>
      <c r="D578" s="185">
        <f t="shared" si="165"/>
        <v>2024</v>
      </c>
      <c r="E578" s="547" t="str">
        <f>VLOOKUP($B578,Week!$A$1:$C$1462,2,0)</f>
        <v>Week15</v>
      </c>
      <c r="F578" s="548" t="str">
        <f t="shared" si="166"/>
        <v>Apr</v>
      </c>
      <c r="G578" s="549" t="s">
        <v>47</v>
      </c>
      <c r="H578" s="549" t="s">
        <v>518</v>
      </c>
      <c r="I578" s="298" t="s">
        <v>2702</v>
      </c>
      <c r="J578" s="550" t="s">
        <v>70</v>
      </c>
      <c r="K578" s="551" t="s">
        <v>1020</v>
      </c>
      <c r="L578" s="300" t="s">
        <v>2167</v>
      </c>
      <c r="M578" s="550" t="s">
        <v>746</v>
      </c>
      <c r="N578" s="618" t="s">
        <v>751</v>
      </c>
      <c r="O578" s="549" t="s">
        <v>747</v>
      </c>
      <c r="P578" s="552">
        <v>12</v>
      </c>
      <c r="Q578" s="552">
        <v>5</v>
      </c>
      <c r="R578" s="549">
        <v>6.1999999999999998E-3</v>
      </c>
      <c r="S578" s="549" t="s">
        <v>352</v>
      </c>
      <c r="T578" s="549" t="s">
        <v>56</v>
      </c>
      <c r="U578" s="549" t="s">
        <v>739</v>
      </c>
      <c r="V578" s="554">
        <v>437</v>
      </c>
      <c r="W578" s="554">
        <f>437</f>
        <v>437</v>
      </c>
      <c r="X578" s="555"/>
      <c r="Y578" s="556">
        <f t="shared" si="185"/>
        <v>0</v>
      </c>
      <c r="Z578" s="557">
        <f t="shared" si="186"/>
        <v>0</v>
      </c>
      <c r="AA578" s="557"/>
      <c r="AB578" s="833"/>
      <c r="AC578" s="554"/>
      <c r="AD578" s="209"/>
      <c r="AE578" s="210"/>
      <c r="AF578" s="210"/>
      <c r="AG578" s="211">
        <f t="shared" si="187"/>
        <v>0.14299999999999999</v>
      </c>
      <c r="AH578" s="157">
        <f t="shared" si="190"/>
        <v>0</v>
      </c>
      <c r="AI578" s="152">
        <f t="shared" si="189"/>
        <v>5244</v>
      </c>
      <c r="AK578" s="156" t="s">
        <v>691</v>
      </c>
      <c r="AL578" s="212" t="s">
        <v>690</v>
      </c>
      <c r="AM578" s="198">
        <f t="shared" si="191"/>
        <v>0</v>
      </c>
      <c r="AN578" s="199">
        <f t="shared" si="168"/>
        <v>45391</v>
      </c>
      <c r="AO578" s="159" t="s">
        <v>692</v>
      </c>
      <c r="AP578" s="783" t="s">
        <v>609</v>
      </c>
      <c r="AQ578" s="782">
        <v>12071839</v>
      </c>
      <c r="AR578" s="782">
        <v>12047514</v>
      </c>
      <c r="AS578" s="782">
        <v>12047515</v>
      </c>
      <c r="AT578" s="781"/>
      <c r="AU578" s="781"/>
      <c r="AV578" s="782">
        <v>12080616</v>
      </c>
      <c r="AW578" s="781"/>
      <c r="AX578" s="781"/>
      <c r="AY578" s="782">
        <v>12080614</v>
      </c>
      <c r="AZ578" s="782">
        <v>12080616</v>
      </c>
      <c r="BA578" s="781"/>
    </row>
    <row r="579" spans="2:53" ht="24.65" hidden="1" customHeight="1">
      <c r="B579" s="246">
        <v>45391</v>
      </c>
      <c r="C579" s="247">
        <v>45394</v>
      </c>
      <c r="D579" s="185">
        <f t="shared" si="165"/>
        <v>2024</v>
      </c>
      <c r="E579" s="247" t="str">
        <f>VLOOKUP($B579,Week!$A$1:$C$1462,2,0)</f>
        <v>Week15</v>
      </c>
      <c r="F579" s="248" t="str">
        <f t="shared" si="166"/>
        <v>Apr</v>
      </c>
      <c r="G579" s="249" t="s">
        <v>47</v>
      </c>
      <c r="H579" s="249" t="s">
        <v>260</v>
      </c>
      <c r="I579" s="298" t="s">
        <v>2702</v>
      </c>
      <c r="J579" s="250" t="s">
        <v>70</v>
      </c>
      <c r="K579" s="251" t="s">
        <v>1020</v>
      </c>
      <c r="L579" s="300" t="s">
        <v>2167</v>
      </c>
      <c r="M579" s="250" t="s">
        <v>741</v>
      </c>
      <c r="N579" s="249" t="s">
        <v>740</v>
      </c>
      <c r="O579" s="249" t="s">
        <v>742</v>
      </c>
      <c r="P579" s="252">
        <v>24</v>
      </c>
      <c r="Q579" s="252">
        <v>5</v>
      </c>
      <c r="R579" s="249">
        <v>6.1999999999999998E-3</v>
      </c>
      <c r="S579" s="249" t="s">
        <v>352</v>
      </c>
      <c r="T579" s="249" t="s">
        <v>56</v>
      </c>
      <c r="U579" s="249" t="s">
        <v>739</v>
      </c>
      <c r="V579" s="254">
        <v>3098</v>
      </c>
      <c r="W579" s="254">
        <f>3098</f>
        <v>3098</v>
      </c>
      <c r="X579" s="255"/>
      <c r="Y579" s="256">
        <f t="shared" si="185"/>
        <v>0</v>
      </c>
      <c r="Z579" s="257">
        <f t="shared" si="186"/>
        <v>0</v>
      </c>
      <c r="AA579" s="257"/>
      <c r="AB579" s="810"/>
      <c r="AC579" s="254"/>
      <c r="AD579" s="209"/>
      <c r="AE579" s="210"/>
      <c r="AF579" s="210"/>
      <c r="AG579" s="211">
        <f t="shared" si="187"/>
        <v>0.14299999999999999</v>
      </c>
      <c r="AH579" s="157">
        <f t="shared" si="190"/>
        <v>0</v>
      </c>
      <c r="AI579" s="152">
        <f t="shared" si="189"/>
        <v>74352</v>
      </c>
      <c r="AK579" s="156" t="s">
        <v>691</v>
      </c>
      <c r="AL579" s="212" t="s">
        <v>690</v>
      </c>
      <c r="AM579" s="198">
        <f t="shared" si="191"/>
        <v>0</v>
      </c>
      <c r="AN579" s="199">
        <f t="shared" si="168"/>
        <v>45391</v>
      </c>
      <c r="AO579" s="159" t="s">
        <v>692</v>
      </c>
      <c r="AP579" s="783" t="s">
        <v>609</v>
      </c>
      <c r="AQ579" s="782">
        <v>12071839</v>
      </c>
      <c r="AR579" s="782">
        <v>12047514</v>
      </c>
      <c r="AS579" s="782">
        <v>12047515</v>
      </c>
      <c r="AT579" s="781"/>
      <c r="AU579" s="781"/>
      <c r="AV579" s="782">
        <v>12089668</v>
      </c>
      <c r="AW579" s="781"/>
      <c r="AX579" s="781"/>
      <c r="AY579" s="782">
        <v>12088311</v>
      </c>
      <c r="AZ579" s="782">
        <v>12088315</v>
      </c>
      <c r="BA579" s="781"/>
    </row>
    <row r="580" spans="2:53" ht="25" hidden="1" customHeight="1">
      <c r="B580" s="320">
        <v>45392</v>
      </c>
      <c r="C580" s="321">
        <v>45399</v>
      </c>
      <c r="D580" s="185">
        <f t="shared" si="165"/>
        <v>2024</v>
      </c>
      <c r="E580" s="321" t="str">
        <f>VLOOKUP($B580,Week!$A$1:$C$1462,2,0)</f>
        <v>Week15</v>
      </c>
      <c r="F580" s="322" t="str">
        <f t="shared" si="166"/>
        <v>Apr</v>
      </c>
      <c r="G580" s="323" t="s">
        <v>47</v>
      </c>
      <c r="H580" s="323" t="s">
        <v>518</v>
      </c>
      <c r="I580" s="298" t="s">
        <v>2702</v>
      </c>
      <c r="J580" s="324" t="s">
        <v>70</v>
      </c>
      <c r="K580" s="325" t="s">
        <v>564</v>
      </c>
      <c r="L580" s="300" t="s">
        <v>2167</v>
      </c>
      <c r="M580" s="324" t="s">
        <v>558</v>
      </c>
      <c r="N580" s="323" t="s">
        <v>559</v>
      </c>
      <c r="O580" s="323" t="s">
        <v>560</v>
      </c>
      <c r="P580" s="326">
        <v>12</v>
      </c>
      <c r="Q580" s="326">
        <v>3</v>
      </c>
      <c r="R580" s="327">
        <v>8.0000000000000002E-3</v>
      </c>
      <c r="S580" s="323" t="s">
        <v>40</v>
      </c>
      <c r="T580" s="323" t="s">
        <v>56</v>
      </c>
      <c r="U580" s="323" t="s">
        <v>57</v>
      </c>
      <c r="V580" s="397">
        <v>385</v>
      </c>
      <c r="W580" s="328">
        <f>14+8+363</f>
        <v>385</v>
      </c>
      <c r="X580" s="329"/>
      <c r="Y580" s="330">
        <f t="shared" si="185"/>
        <v>0</v>
      </c>
      <c r="Z580" s="331">
        <f t="shared" si="186"/>
        <v>0</v>
      </c>
      <c r="AA580" s="331"/>
      <c r="AB580" s="816"/>
      <c r="AC580" s="328"/>
      <c r="AD580" s="209"/>
      <c r="AE580" s="210"/>
      <c r="AF580" s="210"/>
      <c r="AG580" s="211">
        <f t="shared" si="187"/>
        <v>0.22600000000000001</v>
      </c>
      <c r="AH580" s="157">
        <f t="shared" si="190"/>
        <v>0</v>
      </c>
      <c r="AI580" s="152">
        <f t="shared" si="189"/>
        <v>4620</v>
      </c>
      <c r="AK580" s="156" t="s">
        <v>691</v>
      </c>
      <c r="AL580" s="212" t="s">
        <v>690</v>
      </c>
      <c r="AM580" s="198">
        <f t="shared" si="191"/>
        <v>0</v>
      </c>
      <c r="AN580" s="199">
        <f t="shared" si="168"/>
        <v>45392</v>
      </c>
      <c r="AO580" s="159" t="s">
        <v>692</v>
      </c>
      <c r="AP580" s="783" t="s">
        <v>623</v>
      </c>
      <c r="AQ580" s="782"/>
      <c r="AR580" s="782">
        <v>12042650</v>
      </c>
      <c r="AS580" s="782">
        <v>12042649</v>
      </c>
      <c r="AT580" s="782"/>
      <c r="AU580" s="781"/>
      <c r="AV580" s="782">
        <v>12083156</v>
      </c>
      <c r="AW580" s="782"/>
      <c r="AX580" s="782"/>
      <c r="AY580" s="782">
        <v>12083147</v>
      </c>
      <c r="AZ580" s="782">
        <v>12083148</v>
      </c>
      <c r="BA580" s="781"/>
    </row>
    <row r="581" spans="2:53" ht="25" hidden="1" customHeight="1">
      <c r="B581" s="357">
        <v>45392</v>
      </c>
      <c r="C581" s="358">
        <v>45399</v>
      </c>
      <c r="D581" s="185">
        <f t="shared" ref="D581:D644" si="192">IF(B581="","",YEAR(B581))</f>
        <v>2024</v>
      </c>
      <c r="E581" s="358" t="str">
        <f>VLOOKUP($B581,Week!$A$1:$C$1462,2,0)</f>
        <v>Week15</v>
      </c>
      <c r="F581" s="360" t="str">
        <f t="shared" ref="F581:F644" si="193">IF(B581="","",TEXT(B581,"[$-409]mmm"))</f>
        <v>Apr</v>
      </c>
      <c r="G581" s="359" t="s">
        <v>47</v>
      </c>
      <c r="H581" s="359" t="s">
        <v>518</v>
      </c>
      <c r="I581" s="298" t="s">
        <v>2702</v>
      </c>
      <c r="J581" s="361" t="s">
        <v>70</v>
      </c>
      <c r="K581" s="362" t="s">
        <v>94</v>
      </c>
      <c r="L581" s="300" t="s">
        <v>2167</v>
      </c>
      <c r="M581" s="361" t="s">
        <v>519</v>
      </c>
      <c r="N581" s="359" t="s">
        <v>589</v>
      </c>
      <c r="O581" s="359" t="s">
        <v>97</v>
      </c>
      <c r="P581" s="363">
        <v>12</v>
      </c>
      <c r="Q581" s="363">
        <v>5</v>
      </c>
      <c r="R581" s="364">
        <v>8.0000000000000002E-3</v>
      </c>
      <c r="S581" s="359" t="s">
        <v>40</v>
      </c>
      <c r="T581" s="359" t="s">
        <v>56</v>
      </c>
      <c r="U581" s="359" t="s">
        <v>57</v>
      </c>
      <c r="V581" s="365">
        <f>4636-2722</f>
        <v>1914</v>
      </c>
      <c r="W581" s="365">
        <f>2815-2711+1810</f>
        <v>1914</v>
      </c>
      <c r="X581" s="366"/>
      <c r="Y581" s="367">
        <f t="shared" si="185"/>
        <v>0</v>
      </c>
      <c r="Z581" s="368">
        <f t="shared" si="186"/>
        <v>0</v>
      </c>
      <c r="AA581" s="368"/>
      <c r="AB581" s="819"/>
      <c r="AC581" s="365"/>
      <c r="AD581" s="209"/>
      <c r="AE581" s="210"/>
      <c r="AF581" s="210"/>
      <c r="AG581" s="211">
        <f t="shared" si="187"/>
        <v>0.14499999999999999</v>
      </c>
      <c r="AH581" s="157">
        <f t="shared" si="190"/>
        <v>0</v>
      </c>
      <c r="AI581" s="152">
        <f t="shared" si="189"/>
        <v>22968</v>
      </c>
      <c r="AK581" s="156" t="s">
        <v>691</v>
      </c>
      <c r="AL581" s="574" t="s">
        <v>690</v>
      </c>
      <c r="AM581" s="198">
        <f t="shared" si="191"/>
        <v>0</v>
      </c>
      <c r="AN581" s="199">
        <f t="shared" ref="AN581:AN644" si="194">B581</f>
        <v>45392</v>
      </c>
      <c r="AO581" s="159" t="s">
        <v>692</v>
      </c>
      <c r="AP581" s="783" t="s">
        <v>628</v>
      </c>
      <c r="AQ581" s="782">
        <v>12071839</v>
      </c>
      <c r="AR581" s="782">
        <v>12047514</v>
      </c>
      <c r="AS581" s="782">
        <v>12047515</v>
      </c>
      <c r="AT581" s="782"/>
      <c r="AU581" s="781"/>
      <c r="AV581" s="782">
        <v>12080617</v>
      </c>
      <c r="AW581" s="782"/>
      <c r="AX581" s="782"/>
      <c r="AY581" s="782">
        <v>12080618</v>
      </c>
      <c r="AZ581" s="782">
        <v>12080619</v>
      </c>
      <c r="BA581" s="781"/>
    </row>
    <row r="582" spans="2:53" ht="25" hidden="1" customHeight="1">
      <c r="B582" s="424">
        <v>45392</v>
      </c>
      <c r="C582" s="425">
        <v>45399</v>
      </c>
      <c r="D582" s="185">
        <f t="shared" si="192"/>
        <v>2024</v>
      </c>
      <c r="E582" s="425" t="str">
        <f>VLOOKUP($B582,Week!$A$1:$C$1462,2,0)</f>
        <v>Week15</v>
      </c>
      <c r="F582" s="426" t="str">
        <f t="shared" si="193"/>
        <v>Apr</v>
      </c>
      <c r="G582" s="427" t="s">
        <v>47</v>
      </c>
      <c r="H582" s="427" t="s">
        <v>518</v>
      </c>
      <c r="I582" s="298" t="s">
        <v>2702</v>
      </c>
      <c r="J582" s="428" t="s">
        <v>70</v>
      </c>
      <c r="K582" s="429" t="s">
        <v>94</v>
      </c>
      <c r="L582" s="300" t="s">
        <v>2167</v>
      </c>
      <c r="M582" s="428" t="s">
        <v>521</v>
      </c>
      <c r="N582" s="427" t="s">
        <v>587</v>
      </c>
      <c r="O582" s="427" t="s">
        <v>3198</v>
      </c>
      <c r="P582" s="430">
        <v>18</v>
      </c>
      <c r="Q582" s="430">
        <v>5</v>
      </c>
      <c r="R582" s="431">
        <v>8.0000000000000002E-3</v>
      </c>
      <c r="S582" s="427" t="s">
        <v>40</v>
      </c>
      <c r="T582" s="427" t="s">
        <v>56</v>
      </c>
      <c r="U582" s="427" t="s">
        <v>89</v>
      </c>
      <c r="V582" s="432">
        <f>789</f>
        <v>789</v>
      </c>
      <c r="W582" s="432">
        <f>218+563+8</f>
        <v>789</v>
      </c>
      <c r="X582" s="433"/>
      <c r="Y582" s="434">
        <f t="shared" si="185"/>
        <v>0</v>
      </c>
      <c r="Z582" s="435">
        <f t="shared" si="186"/>
        <v>0</v>
      </c>
      <c r="AA582" s="435"/>
      <c r="AB582" s="826">
        <v>1</v>
      </c>
      <c r="AC582" s="432">
        <f>Z582*AB582</f>
        <v>0</v>
      </c>
      <c r="AD582" s="209"/>
      <c r="AE582" s="210"/>
      <c r="AF582" s="210"/>
      <c r="AG582" s="211" t="e">
        <f>(MID(O582,1,3)/1000)/3</f>
        <v>#VALUE!</v>
      </c>
      <c r="AH582" s="157" t="e">
        <f t="shared" si="190"/>
        <v>#VALUE!</v>
      </c>
      <c r="AI582" s="152">
        <f t="shared" si="189"/>
        <v>14202</v>
      </c>
      <c r="AK582" s="156" t="s">
        <v>691</v>
      </c>
      <c r="AL582" s="212" t="s">
        <v>690</v>
      </c>
      <c r="AM582" s="198" t="e">
        <f t="shared" si="191"/>
        <v>#VALUE!</v>
      </c>
      <c r="AN582" s="199">
        <f t="shared" si="194"/>
        <v>45392</v>
      </c>
      <c r="AO582" s="159" t="s">
        <v>692</v>
      </c>
      <c r="AP582" s="783" t="s">
        <v>628</v>
      </c>
      <c r="AQ582" s="782"/>
      <c r="AR582" s="782"/>
      <c r="AS582" s="782"/>
      <c r="AT582" s="782"/>
      <c r="AU582" s="781"/>
      <c r="AV582" s="782">
        <v>12080791</v>
      </c>
      <c r="AW582" s="782" t="s">
        <v>641</v>
      </c>
      <c r="AX582" s="782" t="s">
        <v>533</v>
      </c>
      <c r="AY582" s="782"/>
      <c r="AZ582" s="782"/>
      <c r="BA582" s="781"/>
    </row>
    <row r="583" spans="2:53" ht="24.65" hidden="1" customHeight="1">
      <c r="B583" s="411">
        <v>45392</v>
      </c>
      <c r="C583" s="412">
        <v>45399</v>
      </c>
      <c r="D583" s="185">
        <f t="shared" si="192"/>
        <v>2024</v>
      </c>
      <c r="E583" s="412" t="str">
        <f>VLOOKUP($B583,Week!$A$1:$C$1462,2,0)</f>
        <v>Week15</v>
      </c>
      <c r="F583" s="413" t="str">
        <f t="shared" si="193"/>
        <v>Apr</v>
      </c>
      <c r="G583" s="414" t="s">
        <v>47</v>
      </c>
      <c r="H583" s="414" t="s">
        <v>260</v>
      </c>
      <c r="I583" s="298" t="s">
        <v>2702</v>
      </c>
      <c r="J583" s="415" t="s">
        <v>261</v>
      </c>
      <c r="K583" s="416" t="s">
        <v>94</v>
      </c>
      <c r="L583" s="300" t="s">
        <v>2167</v>
      </c>
      <c r="M583" s="415" t="s">
        <v>1303</v>
      </c>
      <c r="N583" s="414" t="s">
        <v>263</v>
      </c>
      <c r="O583" s="414" t="s">
        <v>195</v>
      </c>
      <c r="P583" s="417">
        <v>24</v>
      </c>
      <c r="Q583" s="417">
        <v>5</v>
      </c>
      <c r="R583" s="418">
        <v>8.0000000000000002E-3</v>
      </c>
      <c r="S583" s="414" t="s">
        <v>40</v>
      </c>
      <c r="T583" s="414" t="s">
        <v>56</v>
      </c>
      <c r="U583" s="414" t="s">
        <v>57</v>
      </c>
      <c r="V583" s="419">
        <v>4355</v>
      </c>
      <c r="W583" s="419">
        <v>4355</v>
      </c>
      <c r="X583" s="420"/>
      <c r="Y583" s="421">
        <f t="shared" si="185"/>
        <v>0</v>
      </c>
      <c r="Z583" s="422">
        <f t="shared" si="186"/>
        <v>0</v>
      </c>
      <c r="AA583" s="422"/>
      <c r="AB583" s="825"/>
      <c r="AC583" s="419"/>
      <c r="AD583" s="209"/>
      <c r="AE583" s="210"/>
      <c r="AF583" s="210"/>
      <c r="AG583" s="211">
        <f t="shared" ref="AG583:AG596" si="195">MID(O583,1,3)/1000</f>
        <v>0.14499999999999999</v>
      </c>
      <c r="AH583" s="157">
        <f t="shared" si="190"/>
        <v>0</v>
      </c>
      <c r="AI583" s="152">
        <f t="shared" si="189"/>
        <v>104520</v>
      </c>
      <c r="AK583" s="156" t="s">
        <v>691</v>
      </c>
      <c r="AL583" s="212" t="s">
        <v>690</v>
      </c>
      <c r="AM583" s="198">
        <f t="shared" si="191"/>
        <v>0</v>
      </c>
      <c r="AN583" s="199">
        <f t="shared" si="194"/>
        <v>45392</v>
      </c>
      <c r="AO583" s="159" t="s">
        <v>692</v>
      </c>
      <c r="AP583" s="783" t="s">
        <v>609</v>
      </c>
      <c r="AQ583" s="782">
        <v>12071839</v>
      </c>
      <c r="AR583" s="782">
        <v>12047514</v>
      </c>
      <c r="AS583" s="782">
        <v>12047515</v>
      </c>
      <c r="AT583" s="781"/>
      <c r="AU583" s="781"/>
      <c r="AV583" s="782">
        <v>12080613</v>
      </c>
      <c r="AW583" s="781"/>
      <c r="AX583" s="781"/>
      <c r="AY583" s="782">
        <v>12080614</v>
      </c>
      <c r="AZ583" s="782">
        <v>12080616</v>
      </c>
      <c r="BA583" s="781"/>
    </row>
    <row r="584" spans="2:53" ht="25" hidden="1" customHeight="1">
      <c r="B584" s="398">
        <v>45392</v>
      </c>
      <c r="C584" s="399">
        <v>45399</v>
      </c>
      <c r="D584" s="185">
        <f t="shared" si="192"/>
        <v>2024</v>
      </c>
      <c r="E584" s="399" t="str">
        <f>VLOOKUP($B584,Week!$A$1:$C$1462,2,0)</f>
        <v>Week15</v>
      </c>
      <c r="F584" s="400" t="str">
        <f t="shared" si="193"/>
        <v>Apr</v>
      </c>
      <c r="G584" s="401" t="s">
        <v>47</v>
      </c>
      <c r="H584" s="401" t="s">
        <v>518</v>
      </c>
      <c r="I584" s="298" t="s">
        <v>2702</v>
      </c>
      <c r="J584" s="402" t="s">
        <v>70</v>
      </c>
      <c r="K584" s="403" t="s">
        <v>1645</v>
      </c>
      <c r="L584" s="300" t="s">
        <v>2167</v>
      </c>
      <c r="M584" s="402" t="s">
        <v>553</v>
      </c>
      <c r="N584" s="404" t="s">
        <v>557</v>
      </c>
      <c r="O584" s="401" t="s">
        <v>101</v>
      </c>
      <c r="P584" s="405">
        <v>12</v>
      </c>
      <c r="Q584" s="405">
        <v>5</v>
      </c>
      <c r="R584" s="406">
        <v>8.0000000000000002E-3</v>
      </c>
      <c r="S584" s="401" t="s">
        <v>40</v>
      </c>
      <c r="T584" s="401" t="s">
        <v>56</v>
      </c>
      <c r="U584" s="401" t="s">
        <v>499</v>
      </c>
      <c r="V584" s="407">
        <f>759</f>
        <v>759</v>
      </c>
      <c r="W584" s="407">
        <f>55+756-52</f>
        <v>759</v>
      </c>
      <c r="X584" s="408"/>
      <c r="Y584" s="409">
        <f t="shared" si="185"/>
        <v>0</v>
      </c>
      <c r="Z584" s="410">
        <f t="shared" si="186"/>
        <v>0</v>
      </c>
      <c r="AA584" s="410"/>
      <c r="AB584" s="824">
        <v>1</v>
      </c>
      <c r="AC584" s="407">
        <f>Z584*AB584</f>
        <v>0</v>
      </c>
      <c r="AD584" s="209"/>
      <c r="AE584" s="210"/>
      <c r="AF584" s="210"/>
      <c r="AG584" s="211">
        <f t="shared" si="195"/>
        <v>0.115</v>
      </c>
      <c r="AH584" s="157">
        <f t="shared" si="190"/>
        <v>0</v>
      </c>
      <c r="AI584" s="152">
        <f t="shared" si="189"/>
        <v>9108</v>
      </c>
      <c r="AK584" s="156" t="s">
        <v>691</v>
      </c>
      <c r="AL584" s="212" t="s">
        <v>690</v>
      </c>
      <c r="AM584" s="198">
        <f t="shared" si="191"/>
        <v>0</v>
      </c>
      <c r="AN584" s="199">
        <f t="shared" si="194"/>
        <v>45392</v>
      </c>
      <c r="AO584" s="159" t="s">
        <v>692</v>
      </c>
      <c r="AP584" s="783" t="s">
        <v>623</v>
      </c>
      <c r="AQ584" s="782">
        <v>12071839</v>
      </c>
      <c r="AR584" s="782">
        <v>12047514</v>
      </c>
      <c r="AS584" s="782">
        <v>12047515</v>
      </c>
      <c r="AT584" s="782"/>
      <c r="AU584" s="781"/>
      <c r="AV584" s="782">
        <v>12072447</v>
      </c>
      <c r="AW584" s="782"/>
      <c r="AX584" s="782"/>
      <c r="AY584" s="782">
        <v>12064574</v>
      </c>
      <c r="AZ584" s="782">
        <v>12064576</v>
      </c>
      <c r="BA584" s="781"/>
    </row>
    <row r="585" spans="2:53" ht="24.65" hidden="1" customHeight="1">
      <c r="B585" s="224">
        <v>45393</v>
      </c>
      <c r="C585" s="224">
        <v>45399</v>
      </c>
      <c r="D585" s="185">
        <f t="shared" si="192"/>
        <v>2024</v>
      </c>
      <c r="E585" s="224" t="str">
        <f>VLOOKUP($B585,Week!$A$1:$C$1462,2,0)</f>
        <v>Week15</v>
      </c>
      <c r="F585" s="226" t="str">
        <f t="shared" si="193"/>
        <v>Apr</v>
      </c>
      <c r="G585" s="384" t="s">
        <v>1046</v>
      </c>
      <c r="H585" s="225" t="s">
        <v>104</v>
      </c>
      <c r="I585" s="225" t="s">
        <v>2772</v>
      </c>
      <c r="J585" s="227" t="s">
        <v>105</v>
      </c>
      <c r="K585" s="228" t="s">
        <v>676</v>
      </c>
      <c r="L585" s="300" t="s">
        <v>2167</v>
      </c>
      <c r="M585" s="227" t="s">
        <v>108</v>
      </c>
      <c r="N585" s="225" t="s">
        <v>688</v>
      </c>
      <c r="O585" s="225" t="s">
        <v>428</v>
      </c>
      <c r="P585" s="229">
        <v>24</v>
      </c>
      <c r="Q585" s="229">
        <v>5</v>
      </c>
      <c r="R585" s="230">
        <v>6.0000000000000001E-3</v>
      </c>
      <c r="S585" s="225" t="s">
        <v>55</v>
      </c>
      <c r="T585" s="225" t="s">
        <v>112</v>
      </c>
      <c r="U585" s="225" t="s">
        <v>113</v>
      </c>
      <c r="V585" s="231">
        <v>200</v>
      </c>
      <c r="W585" s="231">
        <f>187</f>
        <v>187</v>
      </c>
      <c r="X585" s="232">
        <v>13</v>
      </c>
      <c r="Y585" s="233">
        <f t="shared" si="185"/>
        <v>0</v>
      </c>
      <c r="Z585" s="234">
        <f t="shared" si="186"/>
        <v>0</v>
      </c>
      <c r="AA585" s="234"/>
      <c r="AB585" s="822"/>
      <c r="AC585" s="231"/>
      <c r="AD585" s="307" t="s">
        <v>1363</v>
      </c>
      <c r="AE585" s="210"/>
      <c r="AF585" s="210"/>
      <c r="AG585" s="211">
        <f t="shared" si="195"/>
        <v>0.308</v>
      </c>
      <c r="AH585" s="157">
        <f>(Z585*AG585)/1000</f>
        <v>0</v>
      </c>
      <c r="AI585" s="152">
        <f t="shared" si="189"/>
        <v>4800</v>
      </c>
      <c r="AK585" s="156" t="s">
        <v>691</v>
      </c>
      <c r="AL585" s="212" t="s">
        <v>690</v>
      </c>
      <c r="AM585" s="198">
        <f t="shared" ref="AM585:AM604" si="196">AG585*Z585</f>
        <v>0</v>
      </c>
      <c r="AN585" s="199">
        <f t="shared" si="194"/>
        <v>45393</v>
      </c>
      <c r="AO585" s="159" t="s">
        <v>692</v>
      </c>
      <c r="AP585" s="783" t="s">
        <v>629</v>
      </c>
      <c r="AQ585" s="782">
        <v>12063755</v>
      </c>
      <c r="AR585" s="782">
        <v>12061353</v>
      </c>
      <c r="AS585" s="782">
        <v>12061354</v>
      </c>
      <c r="AT585" s="782">
        <v>12069471</v>
      </c>
      <c r="AU585" s="781"/>
      <c r="AV585" s="782">
        <v>12069473</v>
      </c>
      <c r="AW585" s="782">
        <v>12068154</v>
      </c>
      <c r="AX585" s="782"/>
      <c r="AY585" s="782">
        <v>12069472</v>
      </c>
      <c r="AZ585" s="782"/>
      <c r="BA585" s="781"/>
    </row>
    <row r="586" spans="2:53" ht="25" hidden="1" customHeight="1">
      <c r="B586" s="213">
        <v>45393</v>
      </c>
      <c r="C586" s="213">
        <v>45399</v>
      </c>
      <c r="D586" s="185">
        <f t="shared" si="192"/>
        <v>2024</v>
      </c>
      <c r="E586" s="215" t="str">
        <f>VLOOKUP($B586,Week!$A$1:$C$1462,2,0)</f>
        <v>Week15</v>
      </c>
      <c r="F586" s="216" t="str">
        <f t="shared" si="193"/>
        <v>Apr</v>
      </c>
      <c r="G586" s="215" t="s">
        <v>1052</v>
      </c>
      <c r="H586" s="215" t="s">
        <v>104</v>
      </c>
      <c r="I586" s="215" t="s">
        <v>2772</v>
      </c>
      <c r="J586" s="209" t="s">
        <v>105</v>
      </c>
      <c r="K586" s="217" t="s">
        <v>107</v>
      </c>
      <c r="L586" s="300" t="s">
        <v>2167</v>
      </c>
      <c r="M586" s="209" t="s">
        <v>108</v>
      </c>
      <c r="N586" s="215" t="s">
        <v>109</v>
      </c>
      <c r="O586" s="215" t="s">
        <v>110</v>
      </c>
      <c r="P586" s="218">
        <v>36</v>
      </c>
      <c r="Q586" s="218">
        <v>5</v>
      </c>
      <c r="R586" s="219">
        <v>7.4999999999999997E-3</v>
      </c>
      <c r="S586" s="215" t="s">
        <v>111</v>
      </c>
      <c r="T586" s="215" t="s">
        <v>112</v>
      </c>
      <c r="U586" s="215" t="s">
        <v>113</v>
      </c>
      <c r="V586" s="220">
        <f>792-338</f>
        <v>454</v>
      </c>
      <c r="W586" s="220">
        <v>454</v>
      </c>
      <c r="X586" s="221"/>
      <c r="Y586" s="222">
        <f t="shared" si="185"/>
        <v>0</v>
      </c>
      <c r="Z586" s="223">
        <f t="shared" si="186"/>
        <v>0</v>
      </c>
      <c r="AA586" s="223"/>
      <c r="AB586" s="807"/>
      <c r="AC586" s="220"/>
      <c r="AD586" s="209"/>
      <c r="AE586" s="210"/>
      <c r="AF586" s="210"/>
      <c r="AG586" s="211">
        <f t="shared" si="195"/>
        <v>0.308</v>
      </c>
      <c r="AH586" s="157">
        <f>(Z586*AG586)/1000</f>
        <v>0</v>
      </c>
      <c r="AI586" s="152">
        <f t="shared" si="189"/>
        <v>16344</v>
      </c>
      <c r="AK586" s="156" t="s">
        <v>691</v>
      </c>
      <c r="AL586" s="574" t="s">
        <v>690</v>
      </c>
      <c r="AM586" s="198">
        <f t="shared" si="196"/>
        <v>0</v>
      </c>
      <c r="AN586" s="199">
        <f t="shared" si="194"/>
        <v>45393</v>
      </c>
      <c r="AO586" s="159" t="s">
        <v>692</v>
      </c>
      <c r="AP586" s="781"/>
      <c r="AQ586" s="782">
        <v>12063755</v>
      </c>
      <c r="AR586" s="782">
        <v>12061353</v>
      </c>
      <c r="AS586" s="782">
        <v>12061354</v>
      </c>
      <c r="AT586" s="782">
        <v>12068566</v>
      </c>
      <c r="AU586" s="781"/>
      <c r="AV586" s="782">
        <v>12068564</v>
      </c>
      <c r="AW586" s="782">
        <v>12062153</v>
      </c>
      <c r="AX586" s="782"/>
      <c r="AY586" s="782">
        <v>12068565</v>
      </c>
      <c r="AZ586" s="782"/>
      <c r="BA586" s="781"/>
    </row>
    <row r="587" spans="2:53" ht="25" hidden="1" customHeight="1">
      <c r="B587" s="213">
        <v>45393</v>
      </c>
      <c r="C587" s="213">
        <v>45399</v>
      </c>
      <c r="D587" s="185">
        <f t="shared" si="192"/>
        <v>2024</v>
      </c>
      <c r="E587" s="215" t="str">
        <f>VLOOKUP($B587,Week!$A$1:$C$1462,2,0)</f>
        <v>Week15</v>
      </c>
      <c r="F587" s="216" t="str">
        <f t="shared" si="193"/>
        <v>Apr</v>
      </c>
      <c r="G587" s="215" t="s">
        <v>1053</v>
      </c>
      <c r="H587" s="215" t="s">
        <v>104</v>
      </c>
      <c r="I587" s="215" t="s">
        <v>2772</v>
      </c>
      <c r="J587" s="209" t="s">
        <v>105</v>
      </c>
      <c r="K587" s="217" t="s">
        <v>107</v>
      </c>
      <c r="L587" s="300" t="s">
        <v>2167</v>
      </c>
      <c r="M587" s="209" t="s">
        <v>108</v>
      </c>
      <c r="N587" s="215" t="s">
        <v>109</v>
      </c>
      <c r="O587" s="215" t="s">
        <v>110</v>
      </c>
      <c r="P587" s="218">
        <v>36</v>
      </c>
      <c r="Q587" s="218">
        <v>5</v>
      </c>
      <c r="R587" s="219">
        <v>7.4999999999999997E-3</v>
      </c>
      <c r="S587" s="215" t="s">
        <v>111</v>
      </c>
      <c r="T587" s="215" t="s">
        <v>112</v>
      </c>
      <c r="U587" s="215" t="s">
        <v>113</v>
      </c>
      <c r="V587" s="220">
        <v>678</v>
      </c>
      <c r="W587" s="220">
        <f>501+177</f>
        <v>678</v>
      </c>
      <c r="X587" s="221"/>
      <c r="Y587" s="222">
        <f t="shared" si="185"/>
        <v>0</v>
      </c>
      <c r="Z587" s="223">
        <f t="shared" si="186"/>
        <v>0</v>
      </c>
      <c r="AA587" s="223"/>
      <c r="AB587" s="807"/>
      <c r="AC587" s="220"/>
      <c r="AD587" s="209"/>
      <c r="AE587" s="210"/>
      <c r="AF587" s="210"/>
      <c r="AG587" s="211">
        <f t="shared" si="195"/>
        <v>0.308</v>
      </c>
      <c r="AH587" s="157">
        <f>(Z587*AG587)/1000</f>
        <v>0</v>
      </c>
      <c r="AI587" s="152">
        <f t="shared" si="189"/>
        <v>24408</v>
      </c>
      <c r="AK587" s="156" t="s">
        <v>691</v>
      </c>
      <c r="AL587" s="574" t="s">
        <v>690</v>
      </c>
      <c r="AM587" s="198">
        <f t="shared" si="196"/>
        <v>0</v>
      </c>
      <c r="AN587" s="199">
        <f t="shared" si="194"/>
        <v>45393</v>
      </c>
      <c r="AO587" s="159" t="s">
        <v>692</v>
      </c>
      <c r="AP587" s="781"/>
      <c r="AQ587" s="782">
        <v>12063755</v>
      </c>
      <c r="AR587" s="782">
        <v>12061353</v>
      </c>
      <c r="AS587" s="782">
        <v>12061354</v>
      </c>
      <c r="AT587" s="782">
        <v>12068566</v>
      </c>
      <c r="AU587" s="781"/>
      <c r="AV587" s="782">
        <v>12068564</v>
      </c>
      <c r="AW587" s="782">
        <v>12062153</v>
      </c>
      <c r="AX587" s="782"/>
      <c r="AY587" s="782">
        <v>12068565</v>
      </c>
      <c r="AZ587" s="782"/>
      <c r="BA587" s="781"/>
    </row>
    <row r="588" spans="2:53" ht="24.65" hidden="1" customHeight="1">
      <c r="B588" s="308">
        <v>45393</v>
      </c>
      <c r="C588" s="309">
        <v>45407</v>
      </c>
      <c r="D588" s="185">
        <f t="shared" si="192"/>
        <v>2024</v>
      </c>
      <c r="E588" s="309" t="str">
        <f>VLOOKUP($B588,Week!$A$1:$C$1462,2,0)</f>
        <v>Week15</v>
      </c>
      <c r="F588" s="310" t="str">
        <f t="shared" si="193"/>
        <v>Apr</v>
      </c>
      <c r="G588" s="311" t="s">
        <v>1244</v>
      </c>
      <c r="H588" s="311" t="s">
        <v>311</v>
      </c>
      <c r="I588" s="311" t="s">
        <v>2772</v>
      </c>
      <c r="J588" s="312" t="s">
        <v>738</v>
      </c>
      <c r="K588" s="313" t="s">
        <v>107</v>
      </c>
      <c r="L588" s="300" t="s">
        <v>2167</v>
      </c>
      <c r="M588" s="312" t="s">
        <v>313</v>
      </c>
      <c r="N588" s="311" t="s">
        <v>314</v>
      </c>
      <c r="O588" s="311" t="s">
        <v>110</v>
      </c>
      <c r="P588" s="314">
        <v>36</v>
      </c>
      <c r="Q588" s="314">
        <v>5</v>
      </c>
      <c r="R588" s="315">
        <v>7.4999999999999997E-3</v>
      </c>
      <c r="S588" s="311" t="s">
        <v>111</v>
      </c>
      <c r="T588" s="311" t="s">
        <v>112</v>
      </c>
      <c r="U588" s="311" t="s">
        <v>57</v>
      </c>
      <c r="V588" s="316">
        <v>792</v>
      </c>
      <c r="W588" s="316">
        <f>779</f>
        <v>779</v>
      </c>
      <c r="X588" s="317">
        <v>13</v>
      </c>
      <c r="Y588" s="318">
        <f t="shared" si="185"/>
        <v>0</v>
      </c>
      <c r="Z588" s="319">
        <f t="shared" si="186"/>
        <v>0</v>
      </c>
      <c r="AA588" s="319"/>
      <c r="AB588" s="815"/>
      <c r="AC588" s="316"/>
      <c r="AD588" s="515"/>
      <c r="AE588" s="210"/>
      <c r="AF588" s="210"/>
      <c r="AG588" s="211">
        <f t="shared" si="195"/>
        <v>0.308</v>
      </c>
      <c r="AH588" s="157">
        <f t="shared" ref="AH588:AH595" si="197">(Z588*AG588)/1000</f>
        <v>0</v>
      </c>
      <c r="AI588" s="152">
        <f t="shared" si="189"/>
        <v>28512</v>
      </c>
      <c r="AK588" s="156" t="s">
        <v>691</v>
      </c>
      <c r="AL588" s="212" t="s">
        <v>690</v>
      </c>
      <c r="AM588" s="198">
        <f t="shared" si="196"/>
        <v>0</v>
      </c>
      <c r="AN588" s="199">
        <f t="shared" si="194"/>
        <v>45393</v>
      </c>
      <c r="AO588" s="159" t="s">
        <v>692</v>
      </c>
      <c r="AP588" s="783" t="s">
        <v>644</v>
      </c>
      <c r="AQ588" s="782">
        <v>12063755</v>
      </c>
      <c r="AR588" s="782">
        <v>12061353</v>
      </c>
      <c r="AS588" s="782">
        <v>12061354</v>
      </c>
      <c r="AT588" s="782">
        <v>12062266</v>
      </c>
      <c r="AU588" s="781"/>
      <c r="AV588" s="782">
        <v>12062261</v>
      </c>
      <c r="AW588" s="782">
        <v>12062153</v>
      </c>
      <c r="AX588" s="782"/>
      <c r="AY588" s="782">
        <v>12062262</v>
      </c>
      <c r="AZ588" s="782"/>
      <c r="BA588" s="781"/>
    </row>
    <row r="589" spans="2:53" ht="25" hidden="1" customHeight="1">
      <c r="B589" s="424">
        <v>45393</v>
      </c>
      <c r="C589" s="425">
        <v>45399</v>
      </c>
      <c r="D589" s="185">
        <f t="shared" si="192"/>
        <v>2024</v>
      </c>
      <c r="E589" s="425" t="str">
        <f>VLOOKUP($B589,Week!$A$1:$C$1462,2,0)</f>
        <v>Week15</v>
      </c>
      <c r="F589" s="426" t="str">
        <f t="shared" si="193"/>
        <v>Apr</v>
      </c>
      <c r="G589" s="427" t="s">
        <v>47</v>
      </c>
      <c r="H589" s="427" t="s">
        <v>260</v>
      </c>
      <c r="I589" s="298" t="s">
        <v>2702</v>
      </c>
      <c r="J589" s="428" t="s">
        <v>70</v>
      </c>
      <c r="K589" s="429" t="s">
        <v>1646</v>
      </c>
      <c r="L589" s="300" t="s">
        <v>2167</v>
      </c>
      <c r="M589" s="428" t="s">
        <v>1116</v>
      </c>
      <c r="N589" s="427" t="s">
        <v>1302</v>
      </c>
      <c r="O589" s="427" t="s">
        <v>668</v>
      </c>
      <c r="P589" s="430">
        <v>12</v>
      </c>
      <c r="Q589" s="430">
        <v>3</v>
      </c>
      <c r="R589" s="431">
        <v>6.1999999999999998E-3</v>
      </c>
      <c r="S589" s="427" t="s">
        <v>352</v>
      </c>
      <c r="T589" s="427" t="s">
        <v>56</v>
      </c>
      <c r="U589" s="427" t="s">
        <v>669</v>
      </c>
      <c r="V589" s="628">
        <v>48</v>
      </c>
      <c r="W589" s="432">
        <v>48</v>
      </c>
      <c r="X589" s="433"/>
      <c r="Y589" s="434">
        <f t="shared" si="185"/>
        <v>0</v>
      </c>
      <c r="Z589" s="435">
        <f t="shared" si="186"/>
        <v>0</v>
      </c>
      <c r="AA589" s="435"/>
      <c r="AB589" s="826"/>
      <c r="AC589" s="432"/>
      <c r="AD589" s="209"/>
      <c r="AE589" s="210"/>
      <c r="AF589" s="210"/>
      <c r="AG589" s="211">
        <f t="shared" si="195"/>
        <v>0.21099999999999999</v>
      </c>
      <c r="AH589" s="157">
        <f t="shared" si="197"/>
        <v>0</v>
      </c>
      <c r="AI589" s="152">
        <f t="shared" si="189"/>
        <v>576</v>
      </c>
      <c r="AK589" s="156" t="s">
        <v>691</v>
      </c>
      <c r="AL589" s="212" t="s">
        <v>690</v>
      </c>
      <c r="AM589" s="198">
        <f t="shared" si="196"/>
        <v>0</v>
      </c>
      <c r="AN589" s="199">
        <f t="shared" si="194"/>
        <v>45393</v>
      </c>
      <c r="AO589" s="159" t="s">
        <v>692</v>
      </c>
      <c r="AP589" s="783" t="s">
        <v>623</v>
      </c>
      <c r="AQ589" s="782"/>
      <c r="AR589" s="782">
        <v>12042650</v>
      </c>
      <c r="AS589" s="782">
        <v>12042649</v>
      </c>
      <c r="AT589" s="782"/>
      <c r="AU589" s="781"/>
      <c r="AV589" s="782">
        <v>12090991</v>
      </c>
      <c r="AW589" s="782"/>
      <c r="AX589" s="782"/>
      <c r="AY589" s="782">
        <v>12090992</v>
      </c>
      <c r="AZ589" s="782">
        <v>12090990</v>
      </c>
      <c r="BA589" s="781"/>
    </row>
    <row r="590" spans="2:53" ht="25" hidden="1" customHeight="1">
      <c r="B590" s="424">
        <v>45393</v>
      </c>
      <c r="C590" s="425">
        <v>45399</v>
      </c>
      <c r="D590" s="185">
        <f t="shared" si="192"/>
        <v>2024</v>
      </c>
      <c r="E590" s="425" t="str">
        <f>VLOOKUP($B590,Week!$A$1:$C$1462,2,0)</f>
        <v>Week15</v>
      </c>
      <c r="F590" s="426" t="str">
        <f t="shared" si="193"/>
        <v>Apr</v>
      </c>
      <c r="G590" s="427" t="s">
        <v>47</v>
      </c>
      <c r="H590" s="427" t="s">
        <v>260</v>
      </c>
      <c r="I590" s="298" t="s">
        <v>2702</v>
      </c>
      <c r="J590" s="428" t="s">
        <v>70</v>
      </c>
      <c r="K590" s="429" t="s">
        <v>1646</v>
      </c>
      <c r="L590" s="300" t="s">
        <v>2167</v>
      </c>
      <c r="M590" s="428" t="s">
        <v>1116</v>
      </c>
      <c r="N590" s="427" t="s">
        <v>1302</v>
      </c>
      <c r="O590" s="427" t="s">
        <v>668</v>
      </c>
      <c r="P590" s="430">
        <v>12</v>
      </c>
      <c r="Q590" s="430">
        <v>3</v>
      </c>
      <c r="R590" s="431">
        <v>6.1999999999999998E-3</v>
      </c>
      <c r="S590" s="427" t="s">
        <v>352</v>
      </c>
      <c r="T590" s="427" t="s">
        <v>56</v>
      </c>
      <c r="U590" s="427" t="s">
        <v>669</v>
      </c>
      <c r="V590" s="628">
        <f>16000-10000</f>
        <v>6000</v>
      </c>
      <c r="W590" s="432">
        <f>6012-48</f>
        <v>5964</v>
      </c>
      <c r="X590" s="433">
        <v>36</v>
      </c>
      <c r="Y590" s="434">
        <f t="shared" si="185"/>
        <v>0</v>
      </c>
      <c r="Z590" s="435">
        <f t="shared" si="186"/>
        <v>0</v>
      </c>
      <c r="AA590" s="435"/>
      <c r="AB590" s="826"/>
      <c r="AC590" s="432"/>
      <c r="AD590" s="209"/>
      <c r="AE590" s="210"/>
      <c r="AF590" s="210"/>
      <c r="AG590" s="211">
        <f t="shared" si="195"/>
        <v>0.21099999999999999</v>
      </c>
      <c r="AH590" s="157">
        <f t="shared" si="197"/>
        <v>0</v>
      </c>
      <c r="AI590" s="152">
        <f t="shared" si="189"/>
        <v>72000</v>
      </c>
      <c r="AK590" s="156" t="s">
        <v>691</v>
      </c>
      <c r="AL590" s="212" t="s">
        <v>690</v>
      </c>
      <c r="AM590" s="198">
        <f t="shared" si="196"/>
        <v>0</v>
      </c>
      <c r="AN590" s="199">
        <f t="shared" si="194"/>
        <v>45393</v>
      </c>
      <c r="AO590" s="159" t="s">
        <v>692</v>
      </c>
      <c r="AP590" s="783" t="s">
        <v>623</v>
      </c>
      <c r="AQ590" s="782"/>
      <c r="AR590" s="782">
        <v>12042650</v>
      </c>
      <c r="AS590" s="782">
        <v>12042649</v>
      </c>
      <c r="AT590" s="782"/>
      <c r="AU590" s="781"/>
      <c r="AV590" s="782">
        <v>12090991</v>
      </c>
      <c r="AW590" s="782"/>
      <c r="AX590" s="782"/>
      <c r="AY590" s="782">
        <v>12090992</v>
      </c>
      <c r="AZ590" s="782">
        <v>12090990</v>
      </c>
      <c r="BA590" s="781"/>
    </row>
    <row r="591" spans="2:53" ht="25" hidden="1" customHeight="1">
      <c r="B591" s="213">
        <v>45394</v>
      </c>
      <c r="C591" s="213">
        <v>45399</v>
      </c>
      <c r="D591" s="185">
        <f t="shared" si="192"/>
        <v>2024</v>
      </c>
      <c r="E591" s="215" t="str">
        <f>VLOOKUP($B591,Week!$A$1:$C$1462,2,0)</f>
        <v>Week15</v>
      </c>
      <c r="F591" s="216" t="str">
        <f t="shared" si="193"/>
        <v>Apr</v>
      </c>
      <c r="G591" s="215" t="s">
        <v>1053</v>
      </c>
      <c r="H591" s="215" t="s">
        <v>104</v>
      </c>
      <c r="I591" s="215" t="s">
        <v>2772</v>
      </c>
      <c r="J591" s="209" t="s">
        <v>105</v>
      </c>
      <c r="K591" s="217" t="s">
        <v>107</v>
      </c>
      <c r="L591" s="300" t="s">
        <v>2167</v>
      </c>
      <c r="M591" s="209" t="s">
        <v>108</v>
      </c>
      <c r="N591" s="215" t="s">
        <v>109</v>
      </c>
      <c r="O591" s="215" t="s">
        <v>110</v>
      </c>
      <c r="P591" s="218">
        <v>36</v>
      </c>
      <c r="Q591" s="218">
        <v>5</v>
      </c>
      <c r="R591" s="219">
        <v>7.4999999999999997E-3</v>
      </c>
      <c r="S591" s="215" t="s">
        <v>111</v>
      </c>
      <c r="T591" s="215" t="s">
        <v>112</v>
      </c>
      <c r="U591" s="215" t="s">
        <v>113</v>
      </c>
      <c r="V591" s="220">
        <f>792-678</f>
        <v>114</v>
      </c>
      <c r="W591" s="220">
        <f>792-678</f>
        <v>114</v>
      </c>
      <c r="X591" s="221"/>
      <c r="Y591" s="222">
        <f t="shared" si="185"/>
        <v>0</v>
      </c>
      <c r="Z591" s="223">
        <f t="shared" si="186"/>
        <v>0</v>
      </c>
      <c r="AA591" s="223"/>
      <c r="AB591" s="807"/>
      <c r="AC591" s="220"/>
      <c r="AD591" s="209"/>
      <c r="AE591" s="210"/>
      <c r="AF591" s="210"/>
      <c r="AG591" s="211">
        <f t="shared" si="195"/>
        <v>0.308</v>
      </c>
      <c r="AH591" s="157">
        <f>(Z591*AG591)/1000</f>
        <v>0</v>
      </c>
      <c r="AI591" s="152">
        <f t="shared" si="189"/>
        <v>4104</v>
      </c>
      <c r="AK591" s="156" t="s">
        <v>691</v>
      </c>
      <c r="AL591" s="574" t="s">
        <v>690</v>
      </c>
      <c r="AM591" s="198">
        <f t="shared" si="196"/>
        <v>0</v>
      </c>
      <c r="AN591" s="199">
        <f t="shared" si="194"/>
        <v>45394</v>
      </c>
      <c r="AO591" s="159" t="s">
        <v>692</v>
      </c>
      <c r="AP591" s="781"/>
      <c r="AQ591" s="782">
        <v>12063755</v>
      </c>
      <c r="AR591" s="782">
        <v>12061353</v>
      </c>
      <c r="AS591" s="782">
        <v>12061354</v>
      </c>
      <c r="AT591" s="782">
        <v>12068566</v>
      </c>
      <c r="AU591" s="781"/>
      <c r="AV591" s="782">
        <v>12068564</v>
      </c>
      <c r="AW591" s="782">
        <v>12062153</v>
      </c>
      <c r="AX591" s="782"/>
      <c r="AY591" s="782">
        <v>12068565</v>
      </c>
      <c r="AZ591" s="782"/>
      <c r="BA591" s="781"/>
    </row>
    <row r="592" spans="2:53" ht="25" hidden="1" customHeight="1">
      <c r="B592" s="213">
        <v>45394</v>
      </c>
      <c r="C592" s="213">
        <v>45399</v>
      </c>
      <c r="D592" s="185">
        <f t="shared" si="192"/>
        <v>2024</v>
      </c>
      <c r="E592" s="215" t="str">
        <f>VLOOKUP($B592,Week!$A$1:$C$1462,2,0)</f>
        <v>Week15</v>
      </c>
      <c r="F592" s="216" t="str">
        <f t="shared" si="193"/>
        <v>Apr</v>
      </c>
      <c r="G592" s="215" t="s">
        <v>1054</v>
      </c>
      <c r="H592" s="215" t="s">
        <v>104</v>
      </c>
      <c r="I592" s="215" t="s">
        <v>2772</v>
      </c>
      <c r="J592" s="209" t="s">
        <v>105</v>
      </c>
      <c r="K592" s="217" t="s">
        <v>107</v>
      </c>
      <c r="L592" s="300" t="s">
        <v>2167</v>
      </c>
      <c r="M592" s="209" t="s">
        <v>108</v>
      </c>
      <c r="N592" s="215" t="s">
        <v>109</v>
      </c>
      <c r="O592" s="215" t="s">
        <v>110</v>
      </c>
      <c r="P592" s="218">
        <v>36</v>
      </c>
      <c r="Q592" s="218">
        <v>5</v>
      </c>
      <c r="R592" s="219">
        <v>7.4999999999999997E-3</v>
      </c>
      <c r="S592" s="215" t="s">
        <v>111</v>
      </c>
      <c r="T592" s="215" t="s">
        <v>112</v>
      </c>
      <c r="U592" s="215" t="s">
        <v>113</v>
      </c>
      <c r="V592" s="220">
        <v>792</v>
      </c>
      <c r="W592" s="220">
        <v>792</v>
      </c>
      <c r="X592" s="221"/>
      <c r="Y592" s="222">
        <f t="shared" si="185"/>
        <v>0</v>
      </c>
      <c r="Z592" s="223">
        <f t="shared" si="186"/>
        <v>0</v>
      </c>
      <c r="AA592" s="223"/>
      <c r="AB592" s="807"/>
      <c r="AC592" s="220"/>
      <c r="AD592" s="209"/>
      <c r="AE592" s="210"/>
      <c r="AF592" s="210"/>
      <c r="AG592" s="211">
        <f t="shared" si="195"/>
        <v>0.308</v>
      </c>
      <c r="AH592" s="157">
        <f t="shared" si="197"/>
        <v>0</v>
      </c>
      <c r="AI592" s="152">
        <f t="shared" si="189"/>
        <v>28512</v>
      </c>
      <c r="AK592" s="156" t="s">
        <v>691</v>
      </c>
      <c r="AL592" s="574" t="s">
        <v>690</v>
      </c>
      <c r="AM592" s="198">
        <f t="shared" si="196"/>
        <v>0</v>
      </c>
      <c r="AN592" s="199">
        <f t="shared" si="194"/>
        <v>45394</v>
      </c>
      <c r="AO592" s="159" t="s">
        <v>692</v>
      </c>
      <c r="AP592" s="781"/>
      <c r="AQ592" s="782">
        <v>12063755</v>
      </c>
      <c r="AR592" s="782">
        <v>12061353</v>
      </c>
      <c r="AS592" s="782">
        <v>12061354</v>
      </c>
      <c r="AT592" s="782">
        <v>12068566</v>
      </c>
      <c r="AU592" s="781"/>
      <c r="AV592" s="782">
        <v>12068564</v>
      </c>
      <c r="AW592" s="782">
        <v>12062153</v>
      </c>
      <c r="AX592" s="782"/>
      <c r="AY592" s="782">
        <v>12068565</v>
      </c>
      <c r="AZ592" s="782"/>
      <c r="BA592" s="781"/>
    </row>
    <row r="593" spans="2:53" ht="25" hidden="1" customHeight="1">
      <c r="B593" s="213">
        <v>45394</v>
      </c>
      <c r="C593" s="213">
        <v>45400</v>
      </c>
      <c r="D593" s="185">
        <f t="shared" si="192"/>
        <v>2024</v>
      </c>
      <c r="E593" s="215" t="str">
        <f>VLOOKUP($B593,Week!$A$1:$C$1462,2,0)</f>
        <v>Week15</v>
      </c>
      <c r="F593" s="216" t="str">
        <f t="shared" si="193"/>
        <v>Apr</v>
      </c>
      <c r="G593" s="215" t="s">
        <v>1055</v>
      </c>
      <c r="H593" s="215" t="s">
        <v>104</v>
      </c>
      <c r="I593" s="215" t="s">
        <v>2772</v>
      </c>
      <c r="J593" s="209" t="s">
        <v>105</v>
      </c>
      <c r="K593" s="217" t="s">
        <v>107</v>
      </c>
      <c r="L593" s="300" t="s">
        <v>2167</v>
      </c>
      <c r="M593" s="209" t="s">
        <v>108</v>
      </c>
      <c r="N593" s="215" t="s">
        <v>109</v>
      </c>
      <c r="O593" s="215" t="s">
        <v>110</v>
      </c>
      <c r="P593" s="218">
        <v>36</v>
      </c>
      <c r="Q593" s="218">
        <v>5</v>
      </c>
      <c r="R593" s="219">
        <v>7.4999999999999997E-3</v>
      </c>
      <c r="S593" s="215" t="s">
        <v>111</v>
      </c>
      <c r="T593" s="215" t="s">
        <v>112</v>
      </c>
      <c r="U593" s="215" t="s">
        <v>113</v>
      </c>
      <c r="V593" s="220">
        <v>792</v>
      </c>
      <c r="W593" s="220">
        <v>792</v>
      </c>
      <c r="X593" s="221"/>
      <c r="Y593" s="222">
        <f t="shared" si="185"/>
        <v>0</v>
      </c>
      <c r="Z593" s="223">
        <f t="shared" si="186"/>
        <v>0</v>
      </c>
      <c r="AA593" s="223"/>
      <c r="AB593" s="807"/>
      <c r="AC593" s="220"/>
      <c r="AD593" s="209"/>
      <c r="AE593" s="210"/>
      <c r="AF593" s="210"/>
      <c r="AG593" s="211">
        <f t="shared" si="195"/>
        <v>0.308</v>
      </c>
      <c r="AH593" s="157">
        <f t="shared" si="197"/>
        <v>0</v>
      </c>
      <c r="AI593" s="152">
        <f t="shared" si="189"/>
        <v>28512</v>
      </c>
      <c r="AK593" s="156" t="s">
        <v>691</v>
      </c>
      <c r="AL593" s="574" t="s">
        <v>690</v>
      </c>
      <c r="AM593" s="198">
        <f t="shared" si="196"/>
        <v>0</v>
      </c>
      <c r="AN593" s="199">
        <f t="shared" si="194"/>
        <v>45394</v>
      </c>
      <c r="AO593" s="159" t="s">
        <v>692</v>
      </c>
      <c r="AP593" s="781"/>
      <c r="AQ593" s="782">
        <v>12063755</v>
      </c>
      <c r="AR593" s="782">
        <v>12061353</v>
      </c>
      <c r="AS593" s="782">
        <v>12061354</v>
      </c>
      <c r="AT593" s="782">
        <v>12068566</v>
      </c>
      <c r="AU593" s="781"/>
      <c r="AV593" s="782">
        <v>12068564</v>
      </c>
      <c r="AW593" s="782">
        <v>12062153</v>
      </c>
      <c r="AX593" s="782"/>
      <c r="AY593" s="782">
        <v>12068565</v>
      </c>
      <c r="AZ593" s="782"/>
      <c r="BA593" s="781"/>
    </row>
    <row r="594" spans="2:53" ht="25" hidden="1" customHeight="1">
      <c r="B594" s="213">
        <v>45394</v>
      </c>
      <c r="C594" s="213">
        <v>45400</v>
      </c>
      <c r="D594" s="185">
        <f t="shared" si="192"/>
        <v>2024</v>
      </c>
      <c r="E594" s="215" t="str">
        <f>VLOOKUP($B594,Week!$A$1:$C$1462,2,0)</f>
        <v>Week15</v>
      </c>
      <c r="F594" s="216" t="str">
        <f t="shared" si="193"/>
        <v>Apr</v>
      </c>
      <c r="G594" s="215" t="s">
        <v>1056</v>
      </c>
      <c r="H594" s="215" t="s">
        <v>104</v>
      </c>
      <c r="I594" s="215" t="s">
        <v>2772</v>
      </c>
      <c r="J594" s="209" t="s">
        <v>105</v>
      </c>
      <c r="K594" s="217" t="s">
        <v>107</v>
      </c>
      <c r="L594" s="300" t="s">
        <v>2167</v>
      </c>
      <c r="M594" s="209" t="s">
        <v>108</v>
      </c>
      <c r="N594" s="215" t="s">
        <v>109</v>
      </c>
      <c r="O594" s="215" t="s">
        <v>110</v>
      </c>
      <c r="P594" s="218">
        <v>36</v>
      </c>
      <c r="Q594" s="218">
        <v>5</v>
      </c>
      <c r="R594" s="219">
        <v>7.4999999999999997E-3</v>
      </c>
      <c r="S594" s="215" t="s">
        <v>111</v>
      </c>
      <c r="T594" s="215" t="s">
        <v>112</v>
      </c>
      <c r="U594" s="215" t="s">
        <v>113</v>
      </c>
      <c r="V594" s="220">
        <v>792</v>
      </c>
      <c r="W594" s="220">
        <v>792</v>
      </c>
      <c r="X594" s="221"/>
      <c r="Y594" s="222">
        <f t="shared" si="185"/>
        <v>0</v>
      </c>
      <c r="Z594" s="223">
        <f t="shared" si="186"/>
        <v>0</v>
      </c>
      <c r="AA594" s="223"/>
      <c r="AB594" s="807"/>
      <c r="AC594" s="220"/>
      <c r="AD594" s="209"/>
      <c r="AE594" s="210"/>
      <c r="AF594" s="210"/>
      <c r="AG594" s="211">
        <f t="shared" si="195"/>
        <v>0.308</v>
      </c>
      <c r="AH594" s="157">
        <f t="shared" si="197"/>
        <v>0</v>
      </c>
      <c r="AI594" s="152">
        <f t="shared" si="189"/>
        <v>28512</v>
      </c>
      <c r="AK594" s="156" t="s">
        <v>691</v>
      </c>
      <c r="AL594" s="574" t="s">
        <v>690</v>
      </c>
      <c r="AM594" s="198">
        <f t="shared" si="196"/>
        <v>0</v>
      </c>
      <c r="AN594" s="199">
        <f t="shared" si="194"/>
        <v>45394</v>
      </c>
      <c r="AO594" s="159" t="s">
        <v>692</v>
      </c>
      <c r="AP594" s="781"/>
      <c r="AQ594" s="782">
        <v>12063755</v>
      </c>
      <c r="AR594" s="782">
        <v>12061353</v>
      </c>
      <c r="AS594" s="782">
        <v>12061354</v>
      </c>
      <c r="AT594" s="782">
        <v>12068566</v>
      </c>
      <c r="AU594" s="781"/>
      <c r="AV594" s="782">
        <v>12068564</v>
      </c>
      <c r="AW594" s="782">
        <v>12062153</v>
      </c>
      <c r="AX594" s="782"/>
      <c r="AY594" s="782">
        <v>12068565</v>
      </c>
      <c r="AZ594" s="782"/>
      <c r="BA594" s="781"/>
    </row>
    <row r="595" spans="2:53" ht="25" hidden="1" customHeight="1">
      <c r="B595" s="213">
        <v>45394</v>
      </c>
      <c r="C595" s="213">
        <v>45400</v>
      </c>
      <c r="D595" s="185">
        <f t="shared" si="192"/>
        <v>2024</v>
      </c>
      <c r="E595" s="215" t="str">
        <f>VLOOKUP($B595,Week!$A$1:$C$1462,2,0)</f>
        <v>Week15</v>
      </c>
      <c r="F595" s="216" t="str">
        <f t="shared" si="193"/>
        <v>Apr</v>
      </c>
      <c r="G595" s="215" t="s">
        <v>1057</v>
      </c>
      <c r="H595" s="215" t="s">
        <v>104</v>
      </c>
      <c r="I595" s="215" t="s">
        <v>2772</v>
      </c>
      <c r="J595" s="209" t="s">
        <v>105</v>
      </c>
      <c r="K595" s="217" t="s">
        <v>107</v>
      </c>
      <c r="L595" s="300" t="s">
        <v>2167</v>
      </c>
      <c r="M595" s="209" t="s">
        <v>108</v>
      </c>
      <c r="N595" s="215" t="s">
        <v>109</v>
      </c>
      <c r="O595" s="215" t="s">
        <v>110</v>
      </c>
      <c r="P595" s="218">
        <v>36</v>
      </c>
      <c r="Q595" s="218">
        <v>5</v>
      </c>
      <c r="R595" s="219">
        <v>7.4999999999999997E-3</v>
      </c>
      <c r="S595" s="215" t="s">
        <v>111</v>
      </c>
      <c r="T595" s="215" t="s">
        <v>112</v>
      </c>
      <c r="U595" s="215" t="s">
        <v>113</v>
      </c>
      <c r="V595" s="220">
        <v>792</v>
      </c>
      <c r="W595" s="220">
        <v>792</v>
      </c>
      <c r="X595" s="221"/>
      <c r="Y595" s="222">
        <f t="shared" si="185"/>
        <v>0</v>
      </c>
      <c r="Z595" s="223">
        <f t="shared" si="186"/>
        <v>0</v>
      </c>
      <c r="AA595" s="223"/>
      <c r="AB595" s="807"/>
      <c r="AC595" s="220"/>
      <c r="AD595" s="209"/>
      <c r="AE595" s="210"/>
      <c r="AF595" s="210"/>
      <c r="AG595" s="211">
        <f t="shared" si="195"/>
        <v>0.308</v>
      </c>
      <c r="AH595" s="157">
        <f t="shared" si="197"/>
        <v>0</v>
      </c>
      <c r="AI595" s="152">
        <f t="shared" si="189"/>
        <v>28512</v>
      </c>
      <c r="AK595" s="156" t="s">
        <v>691</v>
      </c>
      <c r="AL595" s="574" t="s">
        <v>690</v>
      </c>
      <c r="AM595" s="198">
        <f t="shared" si="196"/>
        <v>0</v>
      </c>
      <c r="AN595" s="199">
        <f t="shared" si="194"/>
        <v>45394</v>
      </c>
      <c r="AO595" s="159" t="s">
        <v>692</v>
      </c>
      <c r="AP595" s="781"/>
      <c r="AQ595" s="782">
        <v>12063755</v>
      </c>
      <c r="AR595" s="782">
        <v>12061353</v>
      </c>
      <c r="AS595" s="782">
        <v>12061354</v>
      </c>
      <c r="AT595" s="782">
        <v>12068566</v>
      </c>
      <c r="AU595" s="781"/>
      <c r="AV595" s="782">
        <v>12068564</v>
      </c>
      <c r="AW595" s="782">
        <v>12062153</v>
      </c>
      <c r="AX595" s="782"/>
      <c r="AY595" s="782">
        <v>12068565</v>
      </c>
      <c r="AZ595" s="782"/>
      <c r="BA595" s="781"/>
    </row>
    <row r="596" spans="2:53" ht="25" hidden="1" customHeight="1">
      <c r="B596" s="213">
        <v>45394</v>
      </c>
      <c r="C596" s="213">
        <v>45404</v>
      </c>
      <c r="D596" s="185">
        <f t="shared" si="192"/>
        <v>2024</v>
      </c>
      <c r="E596" s="215" t="str">
        <f>VLOOKUP($B596,Week!$A$1:$C$1462,2,0)</f>
        <v>Week15</v>
      </c>
      <c r="F596" s="216" t="str">
        <f t="shared" si="193"/>
        <v>Apr</v>
      </c>
      <c r="G596" s="215" t="s">
        <v>1058</v>
      </c>
      <c r="H596" s="215" t="s">
        <v>104</v>
      </c>
      <c r="I596" s="215" t="s">
        <v>2772</v>
      </c>
      <c r="J596" s="209" t="s">
        <v>105</v>
      </c>
      <c r="K596" s="217" t="s">
        <v>107</v>
      </c>
      <c r="L596" s="300" t="s">
        <v>2167</v>
      </c>
      <c r="M596" s="209" t="s">
        <v>108</v>
      </c>
      <c r="N596" s="215" t="s">
        <v>109</v>
      </c>
      <c r="O596" s="215" t="s">
        <v>110</v>
      </c>
      <c r="P596" s="218">
        <v>36</v>
      </c>
      <c r="Q596" s="218">
        <v>5</v>
      </c>
      <c r="R596" s="219">
        <v>7.4999999999999997E-3</v>
      </c>
      <c r="S596" s="215" t="s">
        <v>111</v>
      </c>
      <c r="T596" s="215" t="s">
        <v>112</v>
      </c>
      <c r="U596" s="215" t="s">
        <v>113</v>
      </c>
      <c r="V596" s="220">
        <v>696</v>
      </c>
      <c r="W596" s="220">
        <f>3978-114-792-792-792-792</f>
        <v>696</v>
      </c>
      <c r="X596" s="221"/>
      <c r="Y596" s="222">
        <f t="shared" si="185"/>
        <v>0</v>
      </c>
      <c r="Z596" s="223">
        <f t="shared" si="186"/>
        <v>0</v>
      </c>
      <c r="AA596" s="223"/>
      <c r="AB596" s="807"/>
      <c r="AC596" s="220"/>
      <c r="AD596" s="209"/>
      <c r="AE596" s="210"/>
      <c r="AF596" s="210"/>
      <c r="AG596" s="211">
        <f t="shared" si="195"/>
        <v>0.308</v>
      </c>
      <c r="AH596" s="157">
        <f>(Z596*AG596)/1000</f>
        <v>0</v>
      </c>
      <c r="AI596" s="152">
        <f t="shared" si="189"/>
        <v>25056</v>
      </c>
      <c r="AK596" s="156" t="s">
        <v>691</v>
      </c>
      <c r="AL596" s="574" t="s">
        <v>690</v>
      </c>
      <c r="AM596" s="198">
        <f t="shared" si="196"/>
        <v>0</v>
      </c>
      <c r="AN596" s="199">
        <f t="shared" si="194"/>
        <v>45394</v>
      </c>
      <c r="AO596" s="159" t="s">
        <v>692</v>
      </c>
      <c r="AP596" s="781"/>
      <c r="AQ596" s="782">
        <v>12063755</v>
      </c>
      <c r="AR596" s="782">
        <v>12061353</v>
      </c>
      <c r="AS596" s="782">
        <v>12061354</v>
      </c>
      <c r="AT596" s="782">
        <v>12068566</v>
      </c>
      <c r="AU596" s="781"/>
      <c r="AV596" s="782">
        <v>12068564</v>
      </c>
      <c r="AW596" s="782">
        <v>12062153</v>
      </c>
      <c r="AX596" s="782"/>
      <c r="AY596" s="782">
        <v>12068565</v>
      </c>
      <c r="AZ596" s="782"/>
      <c r="BA596" s="781"/>
    </row>
    <row r="597" spans="2:53" ht="24.65" hidden="1" customHeight="1">
      <c r="B597" s="183">
        <v>45395</v>
      </c>
      <c r="C597" s="184"/>
      <c r="D597" s="185">
        <f t="shared" si="192"/>
        <v>2024</v>
      </c>
      <c r="E597" s="185" t="str">
        <f>VLOOKUP($B597,Week!$A$1:$C$1462,2,0)</f>
        <v>Week15</v>
      </c>
      <c r="F597" s="186" t="str">
        <f t="shared" si="193"/>
        <v>Apr</v>
      </c>
      <c r="G597" s="185"/>
      <c r="H597" s="185"/>
      <c r="I597" s="185"/>
      <c r="J597" s="187"/>
      <c r="K597" s="188"/>
      <c r="L597" s="300"/>
      <c r="M597" s="187"/>
      <c r="N597" s="185"/>
      <c r="O597" s="185"/>
      <c r="P597" s="189"/>
      <c r="Q597" s="189"/>
      <c r="R597" s="190"/>
      <c r="S597" s="185"/>
      <c r="T597" s="185"/>
      <c r="U597" s="185"/>
      <c r="V597" s="191"/>
      <c r="W597" s="191"/>
      <c r="X597" s="192"/>
      <c r="Y597" s="193"/>
      <c r="Z597" s="194"/>
      <c r="AA597" s="194"/>
      <c r="AB597" s="805"/>
      <c r="AC597" s="191"/>
      <c r="AD597" s="187"/>
      <c r="AE597" s="195"/>
      <c r="AF597" s="195"/>
      <c r="AG597" s="196"/>
      <c r="AH597" s="197"/>
      <c r="AK597" s="156" t="s">
        <v>691</v>
      </c>
      <c r="AM597" s="198">
        <f t="shared" si="196"/>
        <v>0</v>
      </c>
      <c r="AN597" s="199">
        <f t="shared" si="194"/>
        <v>45395</v>
      </c>
      <c r="AO597" s="159" t="s">
        <v>692</v>
      </c>
      <c r="AP597" s="781"/>
      <c r="AQ597" s="782"/>
      <c r="AR597" s="782"/>
      <c r="AS597" s="782"/>
      <c r="AT597" s="782"/>
      <c r="AU597" s="781"/>
      <c r="AV597" s="782"/>
      <c r="AW597" s="782"/>
      <c r="AX597" s="782"/>
      <c r="AY597" s="782"/>
      <c r="AZ597" s="782"/>
      <c r="BA597" s="781"/>
    </row>
    <row r="598" spans="2:53" ht="25" hidden="1" customHeight="1">
      <c r="B598" s="183">
        <v>45396</v>
      </c>
      <c r="C598" s="184"/>
      <c r="D598" s="185">
        <f t="shared" si="192"/>
        <v>2024</v>
      </c>
      <c r="E598" s="185" t="str">
        <f>VLOOKUP($B598,Week!$A$1:$C$1462,2,0)</f>
        <v>Week15</v>
      </c>
      <c r="F598" s="186" t="str">
        <f t="shared" si="193"/>
        <v>Apr</v>
      </c>
      <c r="G598" s="185"/>
      <c r="H598" s="185"/>
      <c r="I598" s="185"/>
      <c r="J598" s="187"/>
      <c r="K598" s="188"/>
      <c r="L598" s="300"/>
      <c r="M598" s="187"/>
      <c r="N598" s="185"/>
      <c r="O598" s="185"/>
      <c r="P598" s="189"/>
      <c r="Q598" s="189"/>
      <c r="R598" s="190"/>
      <c r="S598" s="185"/>
      <c r="T598" s="185"/>
      <c r="U598" s="185"/>
      <c r="V598" s="191"/>
      <c r="W598" s="191"/>
      <c r="X598" s="192"/>
      <c r="Y598" s="193"/>
      <c r="Z598" s="194"/>
      <c r="AA598" s="194"/>
      <c r="AB598" s="805"/>
      <c r="AC598" s="191"/>
      <c r="AD598" s="187"/>
      <c r="AE598" s="195"/>
      <c r="AF598" s="195"/>
      <c r="AG598" s="196"/>
      <c r="AH598" s="197"/>
      <c r="AK598" s="156" t="s">
        <v>691</v>
      </c>
      <c r="AM598" s="198">
        <f t="shared" si="196"/>
        <v>0</v>
      </c>
      <c r="AN598" s="199">
        <f t="shared" si="194"/>
        <v>45396</v>
      </c>
      <c r="AO598" s="159" t="s">
        <v>692</v>
      </c>
      <c r="AP598" s="781"/>
      <c r="AQ598" s="782"/>
      <c r="AR598" s="782"/>
      <c r="AS598" s="782"/>
      <c r="AT598" s="782"/>
      <c r="AU598" s="781"/>
      <c r="AV598" s="782"/>
      <c r="AW598" s="782"/>
      <c r="AX598" s="782"/>
      <c r="AY598" s="782"/>
      <c r="AZ598" s="782"/>
      <c r="BA598" s="781"/>
    </row>
    <row r="599" spans="2:53" ht="25" hidden="1" customHeight="1">
      <c r="B599" s="183">
        <v>45397</v>
      </c>
      <c r="C599" s="184"/>
      <c r="D599" s="185">
        <f t="shared" si="192"/>
        <v>2024</v>
      </c>
      <c r="E599" s="185" t="str">
        <f>VLOOKUP($B599,Week!$A$1:$C$1462,2,0)</f>
        <v>Week16</v>
      </c>
      <c r="F599" s="186" t="str">
        <f t="shared" si="193"/>
        <v>Apr</v>
      </c>
      <c r="G599" s="185"/>
      <c r="H599" s="185"/>
      <c r="I599" s="185"/>
      <c r="J599" s="187"/>
      <c r="K599" s="188"/>
      <c r="L599" s="300"/>
      <c r="M599" s="187"/>
      <c r="N599" s="185"/>
      <c r="O599" s="185"/>
      <c r="P599" s="189"/>
      <c r="Q599" s="189"/>
      <c r="R599" s="190"/>
      <c r="S599" s="185"/>
      <c r="T599" s="185"/>
      <c r="U599" s="185"/>
      <c r="V599" s="191"/>
      <c r="W599" s="191"/>
      <c r="X599" s="192"/>
      <c r="Y599" s="193"/>
      <c r="Z599" s="194"/>
      <c r="AA599" s="194"/>
      <c r="AB599" s="805"/>
      <c r="AC599" s="191"/>
      <c r="AD599" s="187"/>
      <c r="AE599" s="195"/>
      <c r="AF599" s="195"/>
      <c r="AG599" s="196"/>
      <c r="AH599" s="197"/>
      <c r="AK599" s="156" t="s">
        <v>691</v>
      </c>
      <c r="AM599" s="198">
        <f t="shared" si="196"/>
        <v>0</v>
      </c>
      <c r="AN599" s="199">
        <f t="shared" si="194"/>
        <v>45397</v>
      </c>
      <c r="AO599" s="159" t="s">
        <v>692</v>
      </c>
      <c r="AP599" s="781"/>
      <c r="AQ599" s="782"/>
      <c r="AR599" s="782"/>
      <c r="AS599" s="782"/>
      <c r="AT599" s="782"/>
      <c r="AU599" s="781"/>
      <c r="AV599" s="782"/>
      <c r="AW599" s="782"/>
      <c r="AX599" s="782"/>
      <c r="AY599" s="782"/>
      <c r="AZ599" s="782"/>
      <c r="BA599" s="781"/>
    </row>
    <row r="600" spans="2:53" ht="25" hidden="1" customHeight="1">
      <c r="B600" s="183">
        <v>45398</v>
      </c>
      <c r="C600" s="184"/>
      <c r="D600" s="185">
        <f t="shared" si="192"/>
        <v>2024</v>
      </c>
      <c r="E600" s="185" t="str">
        <f>VLOOKUP($B600,Week!$A$1:$C$1462,2,0)</f>
        <v>Week16</v>
      </c>
      <c r="F600" s="186" t="str">
        <f t="shared" si="193"/>
        <v>Apr</v>
      </c>
      <c r="G600" s="185"/>
      <c r="H600" s="185"/>
      <c r="I600" s="185"/>
      <c r="J600" s="187"/>
      <c r="K600" s="188"/>
      <c r="L600" s="300"/>
      <c r="M600" s="187"/>
      <c r="N600" s="185"/>
      <c r="O600" s="185"/>
      <c r="P600" s="189"/>
      <c r="Q600" s="189"/>
      <c r="R600" s="190"/>
      <c r="S600" s="185"/>
      <c r="T600" s="185"/>
      <c r="U600" s="185"/>
      <c r="V600" s="191"/>
      <c r="W600" s="191"/>
      <c r="X600" s="192"/>
      <c r="Y600" s="193"/>
      <c r="Z600" s="194"/>
      <c r="AA600" s="194"/>
      <c r="AB600" s="805"/>
      <c r="AC600" s="191"/>
      <c r="AD600" s="187"/>
      <c r="AE600" s="195"/>
      <c r="AF600" s="195"/>
      <c r="AG600" s="196"/>
      <c r="AH600" s="197"/>
      <c r="AK600" s="156" t="s">
        <v>691</v>
      </c>
      <c r="AM600" s="198">
        <f t="shared" si="196"/>
        <v>0</v>
      </c>
      <c r="AN600" s="199">
        <f t="shared" si="194"/>
        <v>45398</v>
      </c>
      <c r="AO600" s="159" t="s">
        <v>692</v>
      </c>
      <c r="AP600" s="781"/>
      <c r="AQ600" s="782"/>
      <c r="AR600" s="782"/>
      <c r="AS600" s="782"/>
      <c r="AT600" s="782"/>
      <c r="AU600" s="781"/>
      <c r="AV600" s="782"/>
      <c r="AW600" s="782"/>
      <c r="AX600" s="782"/>
      <c r="AY600" s="782"/>
      <c r="AZ600" s="782"/>
      <c r="BA600" s="781"/>
    </row>
    <row r="601" spans="2:53" ht="25" hidden="1" customHeight="1">
      <c r="B601" s="213">
        <v>45399</v>
      </c>
      <c r="C601" s="213">
        <v>45404</v>
      </c>
      <c r="D601" s="185">
        <f t="shared" si="192"/>
        <v>2024</v>
      </c>
      <c r="E601" s="215" t="str">
        <f>VLOOKUP($B601,Week!$A$1:$C$1462,2,0)</f>
        <v>Week16</v>
      </c>
      <c r="F601" s="216" t="str">
        <f t="shared" si="193"/>
        <v>Apr</v>
      </c>
      <c r="G601" s="215" t="s">
        <v>1058</v>
      </c>
      <c r="H601" s="215" t="s">
        <v>104</v>
      </c>
      <c r="I601" s="215" t="s">
        <v>2772</v>
      </c>
      <c r="J601" s="209" t="s">
        <v>105</v>
      </c>
      <c r="K601" s="217" t="s">
        <v>107</v>
      </c>
      <c r="L601" s="300" t="s">
        <v>2167</v>
      </c>
      <c r="M601" s="209" t="s">
        <v>108</v>
      </c>
      <c r="N601" s="215" t="s">
        <v>109</v>
      </c>
      <c r="O601" s="215" t="s">
        <v>110</v>
      </c>
      <c r="P601" s="218">
        <v>36</v>
      </c>
      <c r="Q601" s="218">
        <v>5</v>
      </c>
      <c r="R601" s="219">
        <v>7.4999999999999997E-3</v>
      </c>
      <c r="S601" s="215" t="s">
        <v>111</v>
      </c>
      <c r="T601" s="215" t="s">
        <v>112</v>
      </c>
      <c r="U601" s="215" t="s">
        <v>113</v>
      </c>
      <c r="V601" s="220">
        <f>792-696</f>
        <v>96</v>
      </c>
      <c r="W601" s="220">
        <f>792-696</f>
        <v>96</v>
      </c>
      <c r="X601" s="221"/>
      <c r="Y601" s="222">
        <f t="shared" ref="Y601:Y619" si="198">(W601+X601)-V601</f>
        <v>0</v>
      </c>
      <c r="Z601" s="223">
        <f t="shared" ref="Z601:Z619" si="199">IF(Y601&lt;0,((V601*P601)-((W601+X601)*P601)),0)</f>
        <v>0</v>
      </c>
      <c r="AA601" s="223"/>
      <c r="AB601" s="807"/>
      <c r="AC601" s="220"/>
      <c r="AD601" s="209"/>
      <c r="AE601" s="210"/>
      <c r="AF601" s="210"/>
      <c r="AG601" s="211">
        <f t="shared" ref="AG601:AG618" si="200">MID(O601,1,3)/1000</f>
        <v>0.308</v>
      </c>
      <c r="AH601" s="157">
        <f>(Z601*AG601)/1000</f>
        <v>0</v>
      </c>
      <c r="AI601" s="152">
        <f t="shared" ref="AI601:AI619" si="201">V601*P601</f>
        <v>3456</v>
      </c>
      <c r="AK601" s="156" t="s">
        <v>691</v>
      </c>
      <c r="AL601" s="574" t="s">
        <v>690</v>
      </c>
      <c r="AM601" s="198">
        <f t="shared" si="196"/>
        <v>0</v>
      </c>
      <c r="AN601" s="199">
        <f t="shared" si="194"/>
        <v>45399</v>
      </c>
      <c r="AO601" s="159" t="s">
        <v>692</v>
      </c>
      <c r="AP601" s="781"/>
      <c r="AQ601" s="782">
        <v>12063755</v>
      </c>
      <c r="AR601" s="782">
        <v>12061353</v>
      </c>
      <c r="AS601" s="782">
        <v>12061354</v>
      </c>
      <c r="AT601" s="782">
        <v>12068566</v>
      </c>
      <c r="AU601" s="781"/>
      <c r="AV601" s="782">
        <v>12068564</v>
      </c>
      <c r="AW601" s="782">
        <v>12062153</v>
      </c>
      <c r="AX601" s="782"/>
      <c r="AY601" s="782">
        <v>12068565</v>
      </c>
      <c r="AZ601" s="782"/>
      <c r="BA601" s="781"/>
    </row>
    <row r="602" spans="2:53" ht="25" hidden="1" customHeight="1">
      <c r="B602" s="213">
        <v>45399</v>
      </c>
      <c r="C602" s="213">
        <v>45404</v>
      </c>
      <c r="D602" s="185">
        <f t="shared" si="192"/>
        <v>2024</v>
      </c>
      <c r="E602" s="215" t="str">
        <f>VLOOKUP($B602,Week!$A$1:$C$1462,2,0)</f>
        <v>Week16</v>
      </c>
      <c r="F602" s="216" t="str">
        <f t="shared" si="193"/>
        <v>Apr</v>
      </c>
      <c r="G602" s="215" t="s">
        <v>1059</v>
      </c>
      <c r="H602" s="215" t="s">
        <v>104</v>
      </c>
      <c r="I602" s="215" t="s">
        <v>2772</v>
      </c>
      <c r="J602" s="209" t="s">
        <v>105</v>
      </c>
      <c r="K602" s="217" t="s">
        <v>107</v>
      </c>
      <c r="L602" s="300" t="s">
        <v>2167</v>
      </c>
      <c r="M602" s="209" t="s">
        <v>108</v>
      </c>
      <c r="N602" s="215" t="s">
        <v>109</v>
      </c>
      <c r="O602" s="215" t="s">
        <v>110</v>
      </c>
      <c r="P602" s="218">
        <v>36</v>
      </c>
      <c r="Q602" s="218">
        <v>5</v>
      </c>
      <c r="R602" s="219">
        <v>7.4999999999999997E-3</v>
      </c>
      <c r="S602" s="215" t="s">
        <v>111</v>
      </c>
      <c r="T602" s="215" t="s">
        <v>112</v>
      </c>
      <c r="U602" s="215" t="s">
        <v>113</v>
      </c>
      <c r="V602" s="220">
        <v>792</v>
      </c>
      <c r="W602" s="220">
        <v>792</v>
      </c>
      <c r="X602" s="221"/>
      <c r="Y602" s="222">
        <f t="shared" si="198"/>
        <v>0</v>
      </c>
      <c r="Z602" s="223">
        <f t="shared" si="199"/>
        <v>0</v>
      </c>
      <c r="AA602" s="223"/>
      <c r="AB602" s="807"/>
      <c r="AC602" s="220"/>
      <c r="AD602" s="209"/>
      <c r="AE602" s="210"/>
      <c r="AF602" s="210"/>
      <c r="AG602" s="211">
        <f t="shared" si="200"/>
        <v>0.308</v>
      </c>
      <c r="AH602" s="157">
        <f>(Z602*AG602)/1000</f>
        <v>0</v>
      </c>
      <c r="AI602" s="152">
        <f t="shared" si="201"/>
        <v>28512</v>
      </c>
      <c r="AK602" s="156" t="s">
        <v>691</v>
      </c>
      <c r="AL602" s="574" t="s">
        <v>690</v>
      </c>
      <c r="AM602" s="198">
        <f t="shared" si="196"/>
        <v>0</v>
      </c>
      <c r="AN602" s="199">
        <f t="shared" si="194"/>
        <v>45399</v>
      </c>
      <c r="AO602" s="159" t="s">
        <v>692</v>
      </c>
      <c r="AP602" s="781"/>
      <c r="AQ602" s="782">
        <v>12063755</v>
      </c>
      <c r="AR602" s="782">
        <v>12061353</v>
      </c>
      <c r="AS602" s="782">
        <v>12061354</v>
      </c>
      <c r="AT602" s="782">
        <v>12068566</v>
      </c>
      <c r="AU602" s="781"/>
      <c r="AV602" s="782">
        <v>12068564</v>
      </c>
      <c r="AW602" s="782">
        <v>12062153</v>
      </c>
      <c r="AX602" s="782"/>
      <c r="AY602" s="782">
        <v>12068565</v>
      </c>
      <c r="AZ602" s="782"/>
      <c r="BA602" s="781"/>
    </row>
    <row r="603" spans="2:53" ht="25" hidden="1" customHeight="1">
      <c r="B603" s="213">
        <v>45399</v>
      </c>
      <c r="C603" s="213">
        <v>45404</v>
      </c>
      <c r="D603" s="185">
        <f t="shared" si="192"/>
        <v>2024</v>
      </c>
      <c r="E603" s="215" t="str">
        <f>VLOOKUP($B603,Week!$A$1:$C$1462,2,0)</f>
        <v>Week16</v>
      </c>
      <c r="F603" s="216" t="str">
        <f t="shared" si="193"/>
        <v>Apr</v>
      </c>
      <c r="G603" s="215" t="s">
        <v>1060</v>
      </c>
      <c r="H603" s="215" t="s">
        <v>104</v>
      </c>
      <c r="I603" s="215" t="s">
        <v>2772</v>
      </c>
      <c r="J603" s="209" t="s">
        <v>105</v>
      </c>
      <c r="K603" s="217" t="s">
        <v>107</v>
      </c>
      <c r="L603" s="300" t="s">
        <v>2167</v>
      </c>
      <c r="M603" s="209" t="s">
        <v>108</v>
      </c>
      <c r="N603" s="215" t="s">
        <v>109</v>
      </c>
      <c r="O603" s="215" t="s">
        <v>110</v>
      </c>
      <c r="P603" s="218">
        <v>36</v>
      </c>
      <c r="Q603" s="218">
        <v>5</v>
      </c>
      <c r="R603" s="219">
        <v>7.4999999999999997E-3</v>
      </c>
      <c r="S603" s="215" t="s">
        <v>111</v>
      </c>
      <c r="T603" s="215" t="s">
        <v>112</v>
      </c>
      <c r="U603" s="215" t="s">
        <v>113</v>
      </c>
      <c r="V603" s="220">
        <v>792</v>
      </c>
      <c r="W603" s="220">
        <v>792</v>
      </c>
      <c r="X603" s="221"/>
      <c r="Y603" s="222">
        <f t="shared" si="198"/>
        <v>0</v>
      </c>
      <c r="Z603" s="223">
        <f t="shared" si="199"/>
        <v>0</v>
      </c>
      <c r="AA603" s="223"/>
      <c r="AB603" s="807"/>
      <c r="AC603" s="220"/>
      <c r="AD603" s="209"/>
      <c r="AE603" s="210"/>
      <c r="AF603" s="210"/>
      <c r="AG603" s="211">
        <f t="shared" si="200"/>
        <v>0.308</v>
      </c>
      <c r="AH603" s="157">
        <f>(Z603*AG603)/1000</f>
        <v>0</v>
      </c>
      <c r="AI603" s="152">
        <f t="shared" si="201"/>
        <v>28512</v>
      </c>
      <c r="AK603" s="156" t="s">
        <v>691</v>
      </c>
      <c r="AL603" s="574" t="s">
        <v>690</v>
      </c>
      <c r="AM603" s="198">
        <f t="shared" si="196"/>
        <v>0</v>
      </c>
      <c r="AN603" s="199">
        <f t="shared" si="194"/>
        <v>45399</v>
      </c>
      <c r="AO603" s="159" t="s">
        <v>692</v>
      </c>
      <c r="AP603" s="781"/>
      <c r="AQ603" s="782">
        <v>12063755</v>
      </c>
      <c r="AR603" s="782">
        <v>12061353</v>
      </c>
      <c r="AS603" s="782">
        <v>12061354</v>
      </c>
      <c r="AT603" s="782">
        <v>12068566</v>
      </c>
      <c r="AU603" s="781"/>
      <c r="AV603" s="782">
        <v>12068564</v>
      </c>
      <c r="AW603" s="782">
        <v>12062153</v>
      </c>
      <c r="AX603" s="782"/>
      <c r="AY603" s="782">
        <v>12068565</v>
      </c>
      <c r="AZ603" s="782"/>
      <c r="BA603" s="781"/>
    </row>
    <row r="604" spans="2:53" ht="25" hidden="1" customHeight="1">
      <c r="B604" s="213">
        <v>45399</v>
      </c>
      <c r="C604" s="213">
        <v>45404</v>
      </c>
      <c r="D604" s="185">
        <f t="shared" si="192"/>
        <v>2024</v>
      </c>
      <c r="E604" s="215" t="str">
        <f>VLOOKUP($B604,Week!$A$1:$C$1462,2,0)</f>
        <v>Week16</v>
      </c>
      <c r="F604" s="216" t="str">
        <f t="shared" si="193"/>
        <v>Apr</v>
      </c>
      <c r="G604" s="215" t="s">
        <v>1061</v>
      </c>
      <c r="H604" s="215" t="s">
        <v>104</v>
      </c>
      <c r="I604" s="215" t="s">
        <v>2772</v>
      </c>
      <c r="J604" s="209" t="s">
        <v>105</v>
      </c>
      <c r="K604" s="217" t="s">
        <v>107</v>
      </c>
      <c r="L604" s="300" t="s">
        <v>2167</v>
      </c>
      <c r="M604" s="209" t="s">
        <v>108</v>
      </c>
      <c r="N604" s="215" t="s">
        <v>109</v>
      </c>
      <c r="O604" s="215" t="s">
        <v>110</v>
      </c>
      <c r="P604" s="218">
        <v>36</v>
      </c>
      <c r="Q604" s="218">
        <v>5</v>
      </c>
      <c r="R604" s="219">
        <v>7.4999999999999997E-3</v>
      </c>
      <c r="S604" s="215" t="s">
        <v>111</v>
      </c>
      <c r="T604" s="215" t="s">
        <v>112</v>
      </c>
      <c r="U604" s="215" t="s">
        <v>113</v>
      </c>
      <c r="V604" s="220">
        <v>792</v>
      </c>
      <c r="W604" s="220">
        <v>792</v>
      </c>
      <c r="X604" s="221"/>
      <c r="Y604" s="222">
        <f t="shared" si="198"/>
        <v>0</v>
      </c>
      <c r="Z604" s="223">
        <f t="shared" si="199"/>
        <v>0</v>
      </c>
      <c r="AA604" s="223"/>
      <c r="AB604" s="807"/>
      <c r="AC604" s="220"/>
      <c r="AD604" s="209"/>
      <c r="AE604" s="210"/>
      <c r="AF604" s="210"/>
      <c r="AG604" s="211">
        <f t="shared" si="200"/>
        <v>0.308</v>
      </c>
      <c r="AH604" s="157">
        <f>(Z604*AG604)/1000</f>
        <v>0</v>
      </c>
      <c r="AI604" s="152">
        <f t="shared" si="201"/>
        <v>28512</v>
      </c>
      <c r="AK604" s="156" t="s">
        <v>691</v>
      </c>
      <c r="AL604" s="574" t="s">
        <v>690</v>
      </c>
      <c r="AM604" s="198">
        <f t="shared" si="196"/>
        <v>0</v>
      </c>
      <c r="AN604" s="199">
        <f t="shared" si="194"/>
        <v>45399</v>
      </c>
      <c r="AO604" s="159" t="s">
        <v>692</v>
      </c>
      <c r="AP604" s="781"/>
      <c r="AQ604" s="782">
        <v>12063755</v>
      </c>
      <c r="AR604" s="782">
        <v>12061353</v>
      </c>
      <c r="AS604" s="782">
        <v>12061354</v>
      </c>
      <c r="AT604" s="782">
        <v>12068566</v>
      </c>
      <c r="AU604" s="781"/>
      <c r="AV604" s="782">
        <v>12068564</v>
      </c>
      <c r="AW604" s="782">
        <v>12062153</v>
      </c>
      <c r="AX604" s="782"/>
      <c r="AY604" s="782">
        <v>12068565</v>
      </c>
      <c r="AZ604" s="782"/>
      <c r="BA604" s="781"/>
    </row>
    <row r="605" spans="2:53" ht="25" hidden="1" customHeight="1">
      <c r="B605" s="213">
        <v>45399</v>
      </c>
      <c r="C605" s="213">
        <v>45404</v>
      </c>
      <c r="D605" s="185">
        <f t="shared" si="192"/>
        <v>2024</v>
      </c>
      <c r="E605" s="215" t="str">
        <f>VLOOKUP($B605,Week!$A$1:$C$1462,2,0)</f>
        <v>Week16</v>
      </c>
      <c r="F605" s="216" t="str">
        <f t="shared" si="193"/>
        <v>Apr</v>
      </c>
      <c r="G605" s="215" t="s">
        <v>1353</v>
      </c>
      <c r="H605" s="215" t="s">
        <v>104</v>
      </c>
      <c r="I605" s="215" t="s">
        <v>2772</v>
      </c>
      <c r="J605" s="209" t="s">
        <v>105</v>
      </c>
      <c r="K605" s="217" t="s">
        <v>107</v>
      </c>
      <c r="L605" s="300" t="s">
        <v>2167</v>
      </c>
      <c r="M605" s="209" t="s">
        <v>108</v>
      </c>
      <c r="N605" s="215" t="s">
        <v>109</v>
      </c>
      <c r="O605" s="215" t="s">
        <v>110</v>
      </c>
      <c r="P605" s="218">
        <v>36</v>
      </c>
      <c r="Q605" s="218">
        <v>5</v>
      </c>
      <c r="R605" s="219">
        <v>7.4999999999999997E-3</v>
      </c>
      <c r="S605" s="215" t="s">
        <v>111</v>
      </c>
      <c r="T605" s="215" t="s">
        <v>112</v>
      </c>
      <c r="U605" s="215" t="s">
        <v>113</v>
      </c>
      <c r="V605" s="220">
        <v>792</v>
      </c>
      <c r="W605" s="220">
        <v>792</v>
      </c>
      <c r="X605" s="221"/>
      <c r="Y605" s="222">
        <f t="shared" si="198"/>
        <v>0</v>
      </c>
      <c r="Z605" s="223">
        <f t="shared" si="199"/>
        <v>0</v>
      </c>
      <c r="AA605" s="223"/>
      <c r="AB605" s="807"/>
      <c r="AC605" s="220"/>
      <c r="AD605" s="209"/>
      <c r="AE605" s="210"/>
      <c r="AF605" s="210"/>
      <c r="AG605" s="211">
        <f t="shared" si="200"/>
        <v>0.308</v>
      </c>
      <c r="AH605" s="157">
        <f t="shared" ref="AH605:AH619" si="202">(Z605*AG605)/1000</f>
        <v>0</v>
      </c>
      <c r="AI605" s="152">
        <f t="shared" si="201"/>
        <v>28512</v>
      </c>
      <c r="AK605" s="156" t="s">
        <v>691</v>
      </c>
      <c r="AL605" s="574" t="s">
        <v>690</v>
      </c>
      <c r="AM605" s="198">
        <f t="shared" ref="AM605:AM619" si="203">AG605*Z605</f>
        <v>0</v>
      </c>
      <c r="AN605" s="199">
        <f t="shared" si="194"/>
        <v>45399</v>
      </c>
      <c r="AO605" s="159" t="s">
        <v>692</v>
      </c>
      <c r="AP605" s="781"/>
      <c r="AQ605" s="782">
        <v>12063755</v>
      </c>
      <c r="AR605" s="782">
        <v>12061353</v>
      </c>
      <c r="AS605" s="782">
        <v>12061354</v>
      </c>
      <c r="AT605" s="782">
        <v>12068566</v>
      </c>
      <c r="AU605" s="781"/>
      <c r="AV605" s="782">
        <v>12068564</v>
      </c>
      <c r="AW605" s="782">
        <v>12062153</v>
      </c>
      <c r="AX605" s="782"/>
      <c r="AY605" s="782">
        <v>12068565</v>
      </c>
      <c r="AZ605" s="782"/>
      <c r="BA605" s="781"/>
    </row>
    <row r="606" spans="2:53" ht="25" hidden="1" customHeight="1">
      <c r="B606" s="213">
        <v>45399</v>
      </c>
      <c r="C606" s="213">
        <v>45404</v>
      </c>
      <c r="D606" s="185">
        <f t="shared" si="192"/>
        <v>2024</v>
      </c>
      <c r="E606" s="215" t="str">
        <f>VLOOKUP($B606,Week!$A$1:$C$1462,2,0)</f>
        <v>Week16</v>
      </c>
      <c r="F606" s="216" t="str">
        <f t="shared" si="193"/>
        <v>Apr</v>
      </c>
      <c r="G606" s="215" t="s">
        <v>1062</v>
      </c>
      <c r="H606" s="215" t="s">
        <v>104</v>
      </c>
      <c r="I606" s="215" t="s">
        <v>2772</v>
      </c>
      <c r="J606" s="209" t="s">
        <v>105</v>
      </c>
      <c r="K606" s="217" t="s">
        <v>107</v>
      </c>
      <c r="L606" s="300" t="s">
        <v>2167</v>
      </c>
      <c r="M606" s="209" t="s">
        <v>108</v>
      </c>
      <c r="N606" s="215" t="s">
        <v>109</v>
      </c>
      <c r="O606" s="215" t="s">
        <v>110</v>
      </c>
      <c r="P606" s="218">
        <v>36</v>
      </c>
      <c r="Q606" s="218">
        <v>5</v>
      </c>
      <c r="R606" s="219">
        <v>7.4999999999999997E-3</v>
      </c>
      <c r="S606" s="215" t="s">
        <v>111</v>
      </c>
      <c r="T606" s="215" t="s">
        <v>112</v>
      </c>
      <c r="U606" s="215" t="s">
        <v>113</v>
      </c>
      <c r="V606" s="220">
        <f>365</f>
        <v>365</v>
      </c>
      <c r="W606" s="220">
        <f>3629-96-792-792-792-792</f>
        <v>365</v>
      </c>
      <c r="X606" s="221"/>
      <c r="Y606" s="222">
        <f t="shared" si="198"/>
        <v>0</v>
      </c>
      <c r="Z606" s="223">
        <f t="shared" si="199"/>
        <v>0</v>
      </c>
      <c r="AA606" s="223"/>
      <c r="AB606" s="807"/>
      <c r="AC606" s="220"/>
      <c r="AD606" s="209"/>
      <c r="AE606" s="210"/>
      <c r="AF606" s="210"/>
      <c r="AG606" s="211">
        <f t="shared" si="200"/>
        <v>0.308</v>
      </c>
      <c r="AH606" s="157">
        <f t="shared" si="202"/>
        <v>0</v>
      </c>
      <c r="AI606" s="152">
        <f t="shared" si="201"/>
        <v>13140</v>
      </c>
      <c r="AK606" s="156" t="s">
        <v>691</v>
      </c>
      <c r="AL606" s="574" t="s">
        <v>690</v>
      </c>
      <c r="AM606" s="198">
        <f t="shared" si="203"/>
        <v>0</v>
      </c>
      <c r="AN606" s="199">
        <f t="shared" si="194"/>
        <v>45399</v>
      </c>
      <c r="AO606" s="159" t="s">
        <v>692</v>
      </c>
      <c r="AP606" s="781"/>
      <c r="AQ606" s="782">
        <v>12063755</v>
      </c>
      <c r="AR606" s="782">
        <v>12061353</v>
      </c>
      <c r="AS606" s="782">
        <v>12061354</v>
      </c>
      <c r="AT606" s="782">
        <v>12068566</v>
      </c>
      <c r="AU606" s="781"/>
      <c r="AV606" s="782">
        <v>12068564</v>
      </c>
      <c r="AW606" s="782">
        <v>12062153</v>
      </c>
      <c r="AX606" s="782"/>
      <c r="AY606" s="782">
        <v>12068565</v>
      </c>
      <c r="AZ606" s="782"/>
      <c r="BA606" s="781"/>
    </row>
    <row r="607" spans="2:53" ht="25" hidden="1" customHeight="1">
      <c r="B607" s="213">
        <v>45400</v>
      </c>
      <c r="C607" s="213">
        <v>45404</v>
      </c>
      <c r="D607" s="185">
        <f t="shared" si="192"/>
        <v>2024</v>
      </c>
      <c r="E607" s="215" t="str">
        <f>VLOOKUP($B607,Week!$A$1:$C$1462,2,0)</f>
        <v>Week16</v>
      </c>
      <c r="F607" s="216" t="str">
        <f t="shared" si="193"/>
        <v>Apr</v>
      </c>
      <c r="G607" s="215" t="s">
        <v>1062</v>
      </c>
      <c r="H607" s="215" t="s">
        <v>104</v>
      </c>
      <c r="I607" s="215" t="s">
        <v>2772</v>
      </c>
      <c r="J607" s="209" t="s">
        <v>105</v>
      </c>
      <c r="K607" s="217" t="s">
        <v>107</v>
      </c>
      <c r="L607" s="300" t="s">
        <v>2167</v>
      </c>
      <c r="M607" s="209" t="s">
        <v>108</v>
      </c>
      <c r="N607" s="215" t="s">
        <v>109</v>
      </c>
      <c r="O607" s="215" t="s">
        <v>110</v>
      </c>
      <c r="P607" s="218">
        <v>36</v>
      </c>
      <c r="Q607" s="218">
        <v>5</v>
      </c>
      <c r="R607" s="219">
        <v>7.4999999999999997E-3</v>
      </c>
      <c r="S607" s="215" t="s">
        <v>111</v>
      </c>
      <c r="T607" s="215" t="s">
        <v>112</v>
      </c>
      <c r="U607" s="215" t="s">
        <v>113</v>
      </c>
      <c r="V607" s="220">
        <f>792-365</f>
        <v>427</v>
      </c>
      <c r="W607" s="220">
        <f>792-365</f>
        <v>427</v>
      </c>
      <c r="X607" s="221"/>
      <c r="Y607" s="222">
        <f t="shared" si="198"/>
        <v>0</v>
      </c>
      <c r="Z607" s="223">
        <f t="shared" si="199"/>
        <v>0</v>
      </c>
      <c r="AA607" s="223"/>
      <c r="AB607" s="807"/>
      <c r="AC607" s="220"/>
      <c r="AD607" s="209"/>
      <c r="AE607" s="210"/>
      <c r="AF607" s="210"/>
      <c r="AG607" s="211">
        <f t="shared" si="200"/>
        <v>0.308</v>
      </c>
      <c r="AH607" s="157">
        <f t="shared" ref="AH607:AH612" si="204">(Z607*AG607)/1000</f>
        <v>0</v>
      </c>
      <c r="AI607" s="152">
        <f t="shared" si="201"/>
        <v>15372</v>
      </c>
      <c r="AK607" s="156" t="s">
        <v>691</v>
      </c>
      <c r="AL607" s="574" t="s">
        <v>690</v>
      </c>
      <c r="AM607" s="198">
        <f t="shared" ref="AM607:AM612" si="205">AG607*Z607</f>
        <v>0</v>
      </c>
      <c r="AN607" s="199">
        <f t="shared" si="194"/>
        <v>45400</v>
      </c>
      <c r="AO607" s="159" t="s">
        <v>692</v>
      </c>
      <c r="AP607" s="781"/>
      <c r="AQ607" s="782">
        <v>12063755</v>
      </c>
      <c r="AR607" s="782">
        <v>12061353</v>
      </c>
      <c r="AS607" s="782">
        <v>12061354</v>
      </c>
      <c r="AT607" s="782">
        <v>12068566</v>
      </c>
      <c r="AU607" s="781"/>
      <c r="AV607" s="782">
        <v>12068564</v>
      </c>
      <c r="AW607" s="782">
        <v>12062153</v>
      </c>
      <c r="AX607" s="782"/>
      <c r="AY607" s="782">
        <v>12068565</v>
      </c>
      <c r="AZ607" s="782"/>
      <c r="BA607" s="781"/>
    </row>
    <row r="608" spans="2:53" ht="25" hidden="1" customHeight="1">
      <c r="B608" s="213">
        <v>45400</v>
      </c>
      <c r="C608" s="213">
        <v>45404</v>
      </c>
      <c r="D608" s="185">
        <f t="shared" si="192"/>
        <v>2024</v>
      </c>
      <c r="E608" s="215" t="str">
        <f>VLOOKUP($B608,Week!$A$1:$C$1462,2,0)</f>
        <v>Week16</v>
      </c>
      <c r="F608" s="216" t="str">
        <f t="shared" si="193"/>
        <v>Apr</v>
      </c>
      <c r="G608" s="215" t="s">
        <v>1063</v>
      </c>
      <c r="H608" s="215" t="s">
        <v>104</v>
      </c>
      <c r="I608" s="215" t="s">
        <v>2772</v>
      </c>
      <c r="J608" s="209" t="s">
        <v>105</v>
      </c>
      <c r="K608" s="217" t="s">
        <v>107</v>
      </c>
      <c r="L608" s="300" t="s">
        <v>2167</v>
      </c>
      <c r="M608" s="209" t="s">
        <v>108</v>
      </c>
      <c r="N608" s="215" t="s">
        <v>109</v>
      </c>
      <c r="O608" s="215" t="s">
        <v>110</v>
      </c>
      <c r="P608" s="218">
        <v>36</v>
      </c>
      <c r="Q608" s="218">
        <v>5</v>
      </c>
      <c r="R608" s="219">
        <v>7.4999999999999997E-3</v>
      </c>
      <c r="S608" s="215" t="s">
        <v>111</v>
      </c>
      <c r="T608" s="215" t="s">
        <v>112</v>
      </c>
      <c r="U608" s="215" t="s">
        <v>113</v>
      </c>
      <c r="V608" s="220">
        <v>792</v>
      </c>
      <c r="W608" s="220">
        <v>792</v>
      </c>
      <c r="X608" s="221"/>
      <c r="Y608" s="222">
        <f t="shared" si="198"/>
        <v>0</v>
      </c>
      <c r="Z608" s="223">
        <f t="shared" si="199"/>
        <v>0</v>
      </c>
      <c r="AA608" s="223"/>
      <c r="AB608" s="807"/>
      <c r="AC608" s="220"/>
      <c r="AD608" s="209"/>
      <c r="AE608" s="210"/>
      <c r="AF608" s="210"/>
      <c r="AG608" s="211">
        <f t="shared" si="200"/>
        <v>0.308</v>
      </c>
      <c r="AH608" s="157">
        <f t="shared" si="204"/>
        <v>0</v>
      </c>
      <c r="AI608" s="152">
        <f t="shared" si="201"/>
        <v>28512</v>
      </c>
      <c r="AK608" s="156" t="s">
        <v>691</v>
      </c>
      <c r="AL608" s="574" t="s">
        <v>690</v>
      </c>
      <c r="AM608" s="198">
        <f t="shared" si="205"/>
        <v>0</v>
      </c>
      <c r="AN608" s="199">
        <f t="shared" si="194"/>
        <v>45400</v>
      </c>
      <c r="AO608" s="159" t="s">
        <v>692</v>
      </c>
      <c r="AP608" s="781"/>
      <c r="AQ608" s="782">
        <v>12063755</v>
      </c>
      <c r="AR608" s="782">
        <v>12061353</v>
      </c>
      <c r="AS608" s="782">
        <v>12061354</v>
      </c>
      <c r="AT608" s="782">
        <v>12068566</v>
      </c>
      <c r="AU608" s="781"/>
      <c r="AV608" s="782">
        <v>12068564</v>
      </c>
      <c r="AW608" s="782">
        <v>12062153</v>
      </c>
      <c r="AX608" s="782"/>
      <c r="AY608" s="782">
        <v>12068565</v>
      </c>
      <c r="AZ608" s="782"/>
      <c r="BA608" s="781"/>
    </row>
    <row r="609" spans="1:53" ht="25" hidden="1" customHeight="1">
      <c r="B609" s="213">
        <v>45400</v>
      </c>
      <c r="C609" s="213">
        <v>45404</v>
      </c>
      <c r="D609" s="185">
        <f t="shared" si="192"/>
        <v>2024</v>
      </c>
      <c r="E609" s="215" t="str">
        <f>VLOOKUP($B609,Week!$A$1:$C$1462,2,0)</f>
        <v>Week16</v>
      </c>
      <c r="F609" s="216" t="str">
        <f t="shared" si="193"/>
        <v>Apr</v>
      </c>
      <c r="G609" s="215" t="s">
        <v>1064</v>
      </c>
      <c r="H609" s="215" t="s">
        <v>104</v>
      </c>
      <c r="I609" s="215" t="s">
        <v>2772</v>
      </c>
      <c r="J609" s="209" t="s">
        <v>105</v>
      </c>
      <c r="K609" s="217" t="s">
        <v>107</v>
      </c>
      <c r="L609" s="300" t="s">
        <v>2167</v>
      </c>
      <c r="M609" s="209" t="s">
        <v>108</v>
      </c>
      <c r="N609" s="215" t="s">
        <v>109</v>
      </c>
      <c r="O609" s="215" t="s">
        <v>110</v>
      </c>
      <c r="P609" s="218">
        <v>36</v>
      </c>
      <c r="Q609" s="218">
        <v>5</v>
      </c>
      <c r="R609" s="219">
        <v>7.4999999999999997E-3</v>
      </c>
      <c r="S609" s="215" t="s">
        <v>111</v>
      </c>
      <c r="T609" s="215" t="s">
        <v>112</v>
      </c>
      <c r="U609" s="215" t="s">
        <v>113</v>
      </c>
      <c r="V609" s="220">
        <v>792</v>
      </c>
      <c r="W609" s="220">
        <v>792</v>
      </c>
      <c r="X609" s="221"/>
      <c r="Y609" s="222">
        <f t="shared" si="198"/>
        <v>0</v>
      </c>
      <c r="Z609" s="223">
        <f t="shared" si="199"/>
        <v>0</v>
      </c>
      <c r="AA609" s="223"/>
      <c r="AB609" s="807"/>
      <c r="AC609" s="220"/>
      <c r="AD609" s="209"/>
      <c r="AE609" s="210"/>
      <c r="AF609" s="210"/>
      <c r="AG609" s="211">
        <f t="shared" si="200"/>
        <v>0.308</v>
      </c>
      <c r="AH609" s="157">
        <f t="shared" si="204"/>
        <v>0</v>
      </c>
      <c r="AI609" s="152">
        <f t="shared" si="201"/>
        <v>28512</v>
      </c>
      <c r="AK609" s="156" t="s">
        <v>691</v>
      </c>
      <c r="AL609" s="574" t="s">
        <v>690</v>
      </c>
      <c r="AM609" s="198">
        <f t="shared" si="205"/>
        <v>0</v>
      </c>
      <c r="AN609" s="199">
        <f t="shared" si="194"/>
        <v>45400</v>
      </c>
      <c r="AO609" s="159" t="s">
        <v>692</v>
      </c>
      <c r="AP609" s="781"/>
      <c r="AQ609" s="782">
        <v>12063755</v>
      </c>
      <c r="AR609" s="782">
        <v>12061353</v>
      </c>
      <c r="AS609" s="782">
        <v>12061354</v>
      </c>
      <c r="AT609" s="782">
        <v>12068566</v>
      </c>
      <c r="AU609" s="781"/>
      <c r="AV609" s="782">
        <v>12068564</v>
      </c>
      <c r="AW609" s="782">
        <v>12062153</v>
      </c>
      <c r="AX609" s="782"/>
      <c r="AY609" s="782">
        <v>12068565</v>
      </c>
      <c r="AZ609" s="782"/>
      <c r="BA609" s="781"/>
    </row>
    <row r="610" spans="1:53" ht="25" hidden="1" customHeight="1">
      <c r="B610" s="213">
        <v>45400</v>
      </c>
      <c r="C610" s="213">
        <v>45404</v>
      </c>
      <c r="D610" s="185">
        <f t="shared" si="192"/>
        <v>2024</v>
      </c>
      <c r="E610" s="215" t="str">
        <f>VLOOKUP($B610,Week!$A$1:$C$1462,2,0)</f>
        <v>Week16</v>
      </c>
      <c r="F610" s="216" t="str">
        <f t="shared" si="193"/>
        <v>Apr</v>
      </c>
      <c r="G610" s="215" t="s">
        <v>1065</v>
      </c>
      <c r="H610" s="215" t="s">
        <v>104</v>
      </c>
      <c r="I610" s="215" t="s">
        <v>2772</v>
      </c>
      <c r="J610" s="209" t="s">
        <v>105</v>
      </c>
      <c r="K610" s="217" t="s">
        <v>107</v>
      </c>
      <c r="L610" s="300" t="s">
        <v>2167</v>
      </c>
      <c r="M610" s="209" t="s">
        <v>108</v>
      </c>
      <c r="N610" s="215" t="s">
        <v>109</v>
      </c>
      <c r="O610" s="215" t="s">
        <v>110</v>
      </c>
      <c r="P610" s="218">
        <v>36</v>
      </c>
      <c r="Q610" s="218">
        <v>5</v>
      </c>
      <c r="R610" s="219">
        <v>7.4999999999999997E-3</v>
      </c>
      <c r="S610" s="215" t="s">
        <v>111</v>
      </c>
      <c r="T610" s="215" t="s">
        <v>112</v>
      </c>
      <c r="U610" s="215" t="s">
        <v>113</v>
      </c>
      <c r="V610" s="220">
        <f>2173-427-792-792</f>
        <v>162</v>
      </c>
      <c r="W610" s="220">
        <f>2173-427-792-792</f>
        <v>162</v>
      </c>
      <c r="X610" s="221"/>
      <c r="Y610" s="222">
        <f t="shared" si="198"/>
        <v>0</v>
      </c>
      <c r="Z610" s="223">
        <f t="shared" si="199"/>
        <v>0</v>
      </c>
      <c r="AA610" s="223"/>
      <c r="AB610" s="807"/>
      <c r="AC610" s="220"/>
      <c r="AD610" s="209"/>
      <c r="AE610" s="210"/>
      <c r="AF610" s="210"/>
      <c r="AG610" s="211">
        <f t="shared" si="200"/>
        <v>0.308</v>
      </c>
      <c r="AH610" s="157">
        <f t="shared" si="204"/>
        <v>0</v>
      </c>
      <c r="AI610" s="152">
        <f t="shared" si="201"/>
        <v>5832</v>
      </c>
      <c r="AK610" s="156" t="s">
        <v>691</v>
      </c>
      <c r="AL610" s="574" t="s">
        <v>690</v>
      </c>
      <c r="AM610" s="198">
        <f t="shared" si="205"/>
        <v>0</v>
      </c>
      <c r="AN610" s="199">
        <f t="shared" si="194"/>
        <v>45400</v>
      </c>
      <c r="AO610" s="159" t="s">
        <v>692</v>
      </c>
      <c r="AP610" s="781"/>
      <c r="AQ610" s="782">
        <v>12063755</v>
      </c>
      <c r="AR610" s="782">
        <v>12061353</v>
      </c>
      <c r="AS610" s="782">
        <v>12061354</v>
      </c>
      <c r="AT610" s="782">
        <v>12068566</v>
      </c>
      <c r="AU610" s="781"/>
      <c r="AV610" s="782">
        <v>12068564</v>
      </c>
      <c r="AW610" s="782">
        <v>12062153</v>
      </c>
      <c r="AX610" s="782"/>
      <c r="AY610" s="782">
        <v>12068565</v>
      </c>
      <c r="AZ610" s="782"/>
      <c r="BA610" s="781"/>
    </row>
    <row r="611" spans="1:53" ht="25" hidden="1" customHeight="1">
      <c r="B611" s="213">
        <v>45400</v>
      </c>
      <c r="C611" s="213">
        <v>45404</v>
      </c>
      <c r="D611" s="185">
        <f t="shared" si="192"/>
        <v>2024</v>
      </c>
      <c r="E611" s="215" t="str">
        <f>VLOOKUP($B611,Week!$A$1:$C$1462,2,0)</f>
        <v>Week16</v>
      </c>
      <c r="F611" s="216" t="str">
        <f t="shared" si="193"/>
        <v>Apr</v>
      </c>
      <c r="G611" s="215" t="s">
        <v>1065</v>
      </c>
      <c r="H611" s="215" t="s">
        <v>104</v>
      </c>
      <c r="I611" s="215" t="s">
        <v>2772</v>
      </c>
      <c r="J611" s="209" t="s">
        <v>105</v>
      </c>
      <c r="K611" s="217" t="s">
        <v>107</v>
      </c>
      <c r="L611" s="300" t="s">
        <v>2167</v>
      </c>
      <c r="M611" s="209" t="s">
        <v>108</v>
      </c>
      <c r="N611" s="215" t="s">
        <v>109</v>
      </c>
      <c r="O611" s="215" t="s">
        <v>110</v>
      </c>
      <c r="P611" s="218">
        <v>36</v>
      </c>
      <c r="Q611" s="218">
        <v>5</v>
      </c>
      <c r="R611" s="219">
        <v>7.4999999999999997E-3</v>
      </c>
      <c r="S611" s="215" t="s">
        <v>111</v>
      </c>
      <c r="T611" s="215" t="s">
        <v>112</v>
      </c>
      <c r="U611" s="215" t="s">
        <v>113</v>
      </c>
      <c r="V611" s="220">
        <f>792-162</f>
        <v>630</v>
      </c>
      <c r="W611" s="220">
        <f>792-162</f>
        <v>630</v>
      </c>
      <c r="X611" s="221"/>
      <c r="Y611" s="222">
        <f t="shared" si="198"/>
        <v>0</v>
      </c>
      <c r="Z611" s="223">
        <f t="shared" si="199"/>
        <v>0</v>
      </c>
      <c r="AA611" s="223"/>
      <c r="AB611" s="807"/>
      <c r="AC611" s="220"/>
      <c r="AD611" s="209"/>
      <c r="AE611" s="210"/>
      <c r="AF611" s="210"/>
      <c r="AG611" s="211">
        <f t="shared" si="200"/>
        <v>0.308</v>
      </c>
      <c r="AH611" s="157">
        <f t="shared" si="204"/>
        <v>0</v>
      </c>
      <c r="AI611" s="152">
        <f t="shared" si="201"/>
        <v>22680</v>
      </c>
      <c r="AK611" s="156" t="s">
        <v>691</v>
      </c>
      <c r="AL611" s="574" t="s">
        <v>690</v>
      </c>
      <c r="AM611" s="198">
        <f t="shared" si="205"/>
        <v>0</v>
      </c>
      <c r="AN611" s="199">
        <f t="shared" si="194"/>
        <v>45400</v>
      </c>
      <c r="AO611" s="159" t="s">
        <v>692</v>
      </c>
      <c r="AP611" s="781"/>
      <c r="AQ611" s="782">
        <v>12063755</v>
      </c>
      <c r="AR611" s="782">
        <v>12061353</v>
      </c>
      <c r="AS611" s="782">
        <v>12061354</v>
      </c>
      <c r="AT611" s="782">
        <v>12068566</v>
      </c>
      <c r="AU611" s="781"/>
      <c r="AV611" s="782">
        <v>12068564</v>
      </c>
      <c r="AW611" s="782">
        <v>12062153</v>
      </c>
      <c r="AX611" s="782"/>
      <c r="AY611" s="782">
        <v>12068565</v>
      </c>
      <c r="AZ611" s="782"/>
      <c r="BA611" s="781"/>
    </row>
    <row r="612" spans="1:53" ht="25" hidden="1" customHeight="1">
      <c r="B612" s="213">
        <v>45401</v>
      </c>
      <c r="C612" s="213">
        <v>45406</v>
      </c>
      <c r="D612" s="185">
        <f t="shared" si="192"/>
        <v>2024</v>
      </c>
      <c r="E612" s="215" t="str">
        <f>VLOOKUP($B612,Week!$A$1:$C$1462,2,0)</f>
        <v>Week16</v>
      </c>
      <c r="F612" s="216" t="str">
        <f t="shared" si="193"/>
        <v>Apr</v>
      </c>
      <c r="G612" s="215" t="s">
        <v>1066</v>
      </c>
      <c r="H612" s="215" t="s">
        <v>104</v>
      </c>
      <c r="I612" s="215" t="s">
        <v>2772</v>
      </c>
      <c r="J612" s="209" t="s">
        <v>105</v>
      </c>
      <c r="K612" s="217" t="s">
        <v>107</v>
      </c>
      <c r="L612" s="300" t="s">
        <v>2167</v>
      </c>
      <c r="M612" s="209" t="s">
        <v>108</v>
      </c>
      <c r="N612" s="215" t="s">
        <v>109</v>
      </c>
      <c r="O612" s="215" t="s">
        <v>110</v>
      </c>
      <c r="P612" s="218">
        <v>36</v>
      </c>
      <c r="Q612" s="218">
        <v>5</v>
      </c>
      <c r="R612" s="219">
        <v>7.4999999999999997E-3</v>
      </c>
      <c r="S612" s="215" t="s">
        <v>111</v>
      </c>
      <c r="T612" s="215" t="s">
        <v>112</v>
      </c>
      <c r="U612" s="215" t="s">
        <v>113</v>
      </c>
      <c r="V612" s="220">
        <f>1268-630</f>
        <v>638</v>
      </c>
      <c r="W612" s="220">
        <f>1268-630</f>
        <v>638</v>
      </c>
      <c r="X612" s="221"/>
      <c r="Y612" s="222">
        <f t="shared" si="198"/>
        <v>0</v>
      </c>
      <c r="Z612" s="223">
        <f t="shared" si="199"/>
        <v>0</v>
      </c>
      <c r="AA612" s="223"/>
      <c r="AB612" s="807"/>
      <c r="AC612" s="220"/>
      <c r="AD612" s="209"/>
      <c r="AE612" s="210"/>
      <c r="AF612" s="210"/>
      <c r="AG612" s="211">
        <f t="shared" si="200"/>
        <v>0.308</v>
      </c>
      <c r="AH612" s="157">
        <f t="shared" si="204"/>
        <v>0</v>
      </c>
      <c r="AI612" s="152">
        <f t="shared" si="201"/>
        <v>22968</v>
      </c>
      <c r="AK612" s="156" t="s">
        <v>691</v>
      </c>
      <c r="AL612" s="574" t="s">
        <v>690</v>
      </c>
      <c r="AM612" s="198">
        <f t="shared" si="205"/>
        <v>0</v>
      </c>
      <c r="AN612" s="199">
        <f t="shared" si="194"/>
        <v>45401</v>
      </c>
      <c r="AO612" s="159" t="s">
        <v>692</v>
      </c>
      <c r="AP612" s="781"/>
      <c r="AQ612" s="782">
        <v>12063755</v>
      </c>
      <c r="AR612" s="782">
        <v>12061353</v>
      </c>
      <c r="AS612" s="782">
        <v>12061354</v>
      </c>
      <c r="AT612" s="782">
        <v>12068566</v>
      </c>
      <c r="AU612" s="781"/>
      <c r="AV612" s="782">
        <v>12068564</v>
      </c>
      <c r="AW612" s="782">
        <v>12062153</v>
      </c>
      <c r="AX612" s="782"/>
      <c r="AY612" s="782">
        <v>12068565</v>
      </c>
      <c r="AZ612" s="782"/>
      <c r="BA612" s="781"/>
    </row>
    <row r="613" spans="1:53" ht="25" hidden="1" customHeight="1">
      <c r="B613" s="398">
        <v>45401</v>
      </c>
      <c r="C613" s="399">
        <v>45413</v>
      </c>
      <c r="D613" s="185">
        <f t="shared" si="192"/>
        <v>2024</v>
      </c>
      <c r="E613" s="399" t="str">
        <f>VLOOKUP($B613,Week!$A$1:$C$1462,2,0)</f>
        <v>Week16</v>
      </c>
      <c r="F613" s="400" t="str">
        <f t="shared" si="193"/>
        <v>Apr</v>
      </c>
      <c r="G613" s="401" t="s">
        <v>47</v>
      </c>
      <c r="H613" s="401" t="s">
        <v>518</v>
      </c>
      <c r="I613" s="298" t="s">
        <v>2702</v>
      </c>
      <c r="J613" s="402" t="s">
        <v>70</v>
      </c>
      <c r="K613" s="403" t="s">
        <v>1647</v>
      </c>
      <c r="L613" s="300" t="s">
        <v>2167</v>
      </c>
      <c r="M613" s="402" t="s">
        <v>553</v>
      </c>
      <c r="N613" s="404" t="s">
        <v>557</v>
      </c>
      <c r="O613" s="401" t="s">
        <v>101</v>
      </c>
      <c r="P613" s="405">
        <v>12</v>
      </c>
      <c r="Q613" s="405">
        <v>5</v>
      </c>
      <c r="R613" s="406">
        <v>8.0000000000000002E-3</v>
      </c>
      <c r="S613" s="401" t="s">
        <v>40</v>
      </c>
      <c r="T613" s="401" t="s">
        <v>56</v>
      </c>
      <c r="U613" s="401" t="s">
        <v>499</v>
      </c>
      <c r="V613" s="407">
        <f>931-66</f>
        <v>865</v>
      </c>
      <c r="W613" s="407">
        <f>52+813</f>
        <v>865</v>
      </c>
      <c r="X613" s="408"/>
      <c r="Y613" s="409">
        <f t="shared" si="198"/>
        <v>0</v>
      </c>
      <c r="Z613" s="410">
        <f t="shared" si="199"/>
        <v>0</v>
      </c>
      <c r="AA613" s="410"/>
      <c r="AB613" s="824">
        <v>1</v>
      </c>
      <c r="AC613" s="407">
        <f>Z613*AB613</f>
        <v>0</v>
      </c>
      <c r="AD613" s="209"/>
      <c r="AE613" s="210"/>
      <c r="AF613" s="210"/>
      <c r="AG613" s="211">
        <f t="shared" si="200"/>
        <v>0.115</v>
      </c>
      <c r="AH613" s="157">
        <f t="shared" si="202"/>
        <v>0</v>
      </c>
      <c r="AI613" s="152">
        <f t="shared" si="201"/>
        <v>10380</v>
      </c>
      <c r="AK613" s="156" t="s">
        <v>691</v>
      </c>
      <c r="AL613" s="212" t="s">
        <v>690</v>
      </c>
      <c r="AM613" s="198">
        <f t="shared" si="203"/>
        <v>0</v>
      </c>
      <c r="AN613" s="199">
        <f t="shared" si="194"/>
        <v>45401</v>
      </c>
      <c r="AO613" s="159" t="s">
        <v>692</v>
      </c>
      <c r="AP613" s="783" t="s">
        <v>623</v>
      </c>
      <c r="AQ613" s="782">
        <v>12071839</v>
      </c>
      <c r="AR613" s="782">
        <v>12047514</v>
      </c>
      <c r="AS613" s="782">
        <v>12047515</v>
      </c>
      <c r="AT613" s="782"/>
      <c r="AU613" s="781"/>
      <c r="AV613" s="782">
        <v>12072447</v>
      </c>
      <c r="AW613" s="782"/>
      <c r="AX613" s="782"/>
      <c r="AY613" s="782">
        <v>12064574</v>
      </c>
      <c r="AZ613" s="782">
        <v>12064576</v>
      </c>
      <c r="BA613" s="781"/>
    </row>
    <row r="614" spans="1:53" ht="25" hidden="1" customHeight="1">
      <c r="A614" s="529" t="s">
        <v>755</v>
      </c>
      <c r="B614" s="357">
        <v>45401</v>
      </c>
      <c r="C614" s="358">
        <v>45413</v>
      </c>
      <c r="D614" s="185">
        <f t="shared" si="192"/>
        <v>2024</v>
      </c>
      <c r="E614" s="358" t="str">
        <f>VLOOKUP($B614,Week!$A$1:$C$1462,2,0)</f>
        <v>Week16</v>
      </c>
      <c r="F614" s="360" t="str">
        <f t="shared" si="193"/>
        <v>Apr</v>
      </c>
      <c r="G614" s="359" t="s">
        <v>47</v>
      </c>
      <c r="H614" s="359" t="s">
        <v>518</v>
      </c>
      <c r="I614" s="298" t="s">
        <v>2702</v>
      </c>
      <c r="J614" s="361" t="s">
        <v>70</v>
      </c>
      <c r="K614" s="362" t="s">
        <v>94</v>
      </c>
      <c r="L614" s="300" t="s">
        <v>2167</v>
      </c>
      <c r="M614" s="361" t="s">
        <v>519</v>
      </c>
      <c r="N614" s="436" t="s">
        <v>648</v>
      </c>
      <c r="O614" s="359" t="s">
        <v>97</v>
      </c>
      <c r="P614" s="363">
        <v>12</v>
      </c>
      <c r="Q614" s="363">
        <v>5</v>
      </c>
      <c r="R614" s="364">
        <v>8.0000000000000002E-3</v>
      </c>
      <c r="S614" s="359" t="s">
        <v>40</v>
      </c>
      <c r="T614" s="359" t="s">
        <v>56</v>
      </c>
      <c r="U614" s="359" t="s">
        <v>57</v>
      </c>
      <c r="V614" s="365">
        <v>12</v>
      </c>
      <c r="W614" s="365">
        <f>144/12</f>
        <v>12</v>
      </c>
      <c r="X614" s="366"/>
      <c r="Y614" s="367">
        <f t="shared" si="198"/>
        <v>0</v>
      </c>
      <c r="Z614" s="368">
        <f t="shared" si="199"/>
        <v>0</v>
      </c>
      <c r="AA614" s="368"/>
      <c r="AB614" s="819"/>
      <c r="AC614" s="365"/>
      <c r="AD614" s="209"/>
      <c r="AE614" s="210"/>
      <c r="AF614" s="210"/>
      <c r="AG614" s="211">
        <f t="shared" si="200"/>
        <v>0.14499999999999999</v>
      </c>
      <c r="AH614" s="157">
        <f t="shared" si="202"/>
        <v>0</v>
      </c>
      <c r="AI614" s="152">
        <f t="shared" si="201"/>
        <v>144</v>
      </c>
      <c r="AK614" s="156" t="s">
        <v>691</v>
      </c>
      <c r="AL614" s="574" t="s">
        <v>690</v>
      </c>
      <c r="AM614" s="198">
        <f t="shared" si="203"/>
        <v>0</v>
      </c>
      <c r="AN614" s="199">
        <f t="shared" si="194"/>
        <v>45401</v>
      </c>
      <c r="AO614" s="159" t="s">
        <v>692</v>
      </c>
      <c r="AP614" s="783" t="s">
        <v>628</v>
      </c>
      <c r="AQ614" s="782">
        <v>12071839</v>
      </c>
      <c r="AR614" s="782">
        <v>12047514</v>
      </c>
      <c r="AS614" s="782">
        <v>12047515</v>
      </c>
      <c r="AT614" s="782"/>
      <c r="AU614" s="781"/>
      <c r="AV614" s="782">
        <v>12080617</v>
      </c>
      <c r="AW614" s="782"/>
      <c r="AX614" s="782"/>
      <c r="AY614" s="782">
        <v>12080618</v>
      </c>
      <c r="AZ614" s="782">
        <v>12080619</v>
      </c>
      <c r="BA614" s="781"/>
    </row>
    <row r="615" spans="1:53" ht="25" hidden="1" customHeight="1">
      <c r="B615" s="357">
        <v>45401</v>
      </c>
      <c r="C615" s="358">
        <v>45413</v>
      </c>
      <c r="D615" s="185">
        <f t="shared" si="192"/>
        <v>2024</v>
      </c>
      <c r="E615" s="358" t="str">
        <f>VLOOKUP($B615,Week!$A$1:$C$1462,2,0)</f>
        <v>Week16</v>
      </c>
      <c r="F615" s="360" t="str">
        <f t="shared" si="193"/>
        <v>Apr</v>
      </c>
      <c r="G615" s="359" t="s">
        <v>47</v>
      </c>
      <c r="H615" s="359" t="s">
        <v>518</v>
      </c>
      <c r="I615" s="298" t="s">
        <v>2702</v>
      </c>
      <c r="J615" s="361" t="s">
        <v>70</v>
      </c>
      <c r="K615" s="362" t="s">
        <v>94</v>
      </c>
      <c r="L615" s="300" t="s">
        <v>2167</v>
      </c>
      <c r="M615" s="361" t="s">
        <v>519</v>
      </c>
      <c r="N615" s="359" t="s">
        <v>589</v>
      </c>
      <c r="O615" s="359" t="s">
        <v>97</v>
      </c>
      <c r="P615" s="363">
        <v>12</v>
      </c>
      <c r="Q615" s="363">
        <v>5</v>
      </c>
      <c r="R615" s="364">
        <v>8.0000000000000002E-3</v>
      </c>
      <c r="S615" s="359" t="s">
        <v>40</v>
      </c>
      <c r="T615" s="359" t="s">
        <v>56</v>
      </c>
      <c r="U615" s="359" t="s">
        <v>57</v>
      </c>
      <c r="V615" s="365">
        <v>2122</v>
      </c>
      <c r="W615" s="365">
        <f>528+1594</f>
        <v>2122</v>
      </c>
      <c r="X615" s="366"/>
      <c r="Y615" s="367">
        <f t="shared" si="198"/>
        <v>0</v>
      </c>
      <c r="Z615" s="368">
        <f t="shared" si="199"/>
        <v>0</v>
      </c>
      <c r="AA615" s="368"/>
      <c r="AB615" s="819"/>
      <c r="AC615" s="365"/>
      <c r="AD615" s="209"/>
      <c r="AE615" s="210"/>
      <c r="AF615" s="210"/>
      <c r="AG615" s="211">
        <f t="shared" si="200"/>
        <v>0.14499999999999999</v>
      </c>
      <c r="AH615" s="157">
        <f t="shared" si="202"/>
        <v>0</v>
      </c>
      <c r="AI615" s="152">
        <f t="shared" si="201"/>
        <v>25464</v>
      </c>
      <c r="AK615" s="156" t="s">
        <v>691</v>
      </c>
      <c r="AL615" s="574" t="s">
        <v>690</v>
      </c>
      <c r="AM615" s="198">
        <f t="shared" si="203"/>
        <v>0</v>
      </c>
      <c r="AN615" s="199">
        <f t="shared" si="194"/>
        <v>45401</v>
      </c>
      <c r="AO615" s="159" t="s">
        <v>692</v>
      </c>
      <c r="AP615" s="783" t="s">
        <v>628</v>
      </c>
      <c r="AQ615" s="782">
        <v>12071839</v>
      </c>
      <c r="AR615" s="782">
        <v>12047514</v>
      </c>
      <c r="AS615" s="782">
        <v>12047515</v>
      </c>
      <c r="AT615" s="782"/>
      <c r="AU615" s="781"/>
      <c r="AV615" s="782">
        <v>12080617</v>
      </c>
      <c r="AW615" s="782"/>
      <c r="AX615" s="782"/>
      <c r="AY615" s="782">
        <v>12080618</v>
      </c>
      <c r="AZ615" s="782">
        <v>12080619</v>
      </c>
      <c r="BA615" s="781"/>
    </row>
    <row r="616" spans="1:53" ht="24.65" hidden="1" customHeight="1">
      <c r="B616" s="411">
        <v>45401</v>
      </c>
      <c r="C616" s="412">
        <v>45413</v>
      </c>
      <c r="D616" s="185">
        <f t="shared" si="192"/>
        <v>2024</v>
      </c>
      <c r="E616" s="412" t="str">
        <f>VLOOKUP($B616,Week!$A$1:$C$1462,2,0)</f>
        <v>Week16</v>
      </c>
      <c r="F616" s="413" t="str">
        <f t="shared" si="193"/>
        <v>Apr</v>
      </c>
      <c r="G616" s="414" t="s">
        <v>47</v>
      </c>
      <c r="H616" s="414" t="s">
        <v>260</v>
      </c>
      <c r="I616" s="298" t="s">
        <v>2702</v>
      </c>
      <c r="J616" s="415" t="s">
        <v>261</v>
      </c>
      <c r="K616" s="416" t="s">
        <v>94</v>
      </c>
      <c r="L616" s="300" t="s">
        <v>2167</v>
      </c>
      <c r="M616" s="415" t="s">
        <v>1303</v>
      </c>
      <c r="N616" s="414" t="s">
        <v>263</v>
      </c>
      <c r="O616" s="414" t="s">
        <v>195</v>
      </c>
      <c r="P616" s="417">
        <v>24</v>
      </c>
      <c r="Q616" s="417">
        <v>5</v>
      </c>
      <c r="R616" s="418">
        <v>8.0000000000000002E-3</v>
      </c>
      <c r="S616" s="414" t="s">
        <v>40</v>
      </c>
      <c r="T616" s="414" t="s">
        <v>56</v>
      </c>
      <c r="U616" s="414" t="s">
        <v>57</v>
      </c>
      <c r="V616" s="419">
        <v>2413</v>
      </c>
      <c r="W616" s="419">
        <v>2413</v>
      </c>
      <c r="X616" s="420"/>
      <c r="Y616" s="421">
        <f t="shared" si="198"/>
        <v>0</v>
      </c>
      <c r="Z616" s="422">
        <f t="shared" si="199"/>
        <v>0</v>
      </c>
      <c r="AA616" s="422"/>
      <c r="AB616" s="825"/>
      <c r="AC616" s="419"/>
      <c r="AD616" s="209"/>
      <c r="AE616" s="210"/>
      <c r="AF616" s="210"/>
      <c r="AG616" s="211">
        <f t="shared" si="200"/>
        <v>0.14499999999999999</v>
      </c>
      <c r="AH616" s="157">
        <f t="shared" si="202"/>
        <v>0</v>
      </c>
      <c r="AI616" s="152">
        <f t="shared" si="201"/>
        <v>57912</v>
      </c>
      <c r="AK616" s="156" t="s">
        <v>691</v>
      </c>
      <c r="AL616" s="212" t="s">
        <v>690</v>
      </c>
      <c r="AM616" s="198">
        <f t="shared" si="203"/>
        <v>0</v>
      </c>
      <c r="AN616" s="199">
        <f t="shared" si="194"/>
        <v>45401</v>
      </c>
      <c r="AO616" s="159" t="s">
        <v>692</v>
      </c>
      <c r="AP616" s="783" t="s">
        <v>609</v>
      </c>
      <c r="AQ616" s="782">
        <v>12071839</v>
      </c>
      <c r="AR616" s="782">
        <v>12047514</v>
      </c>
      <c r="AS616" s="782">
        <v>12047515</v>
      </c>
      <c r="AT616" s="781"/>
      <c r="AU616" s="781"/>
      <c r="AV616" s="782">
        <v>12080613</v>
      </c>
      <c r="AW616" s="781"/>
      <c r="AX616" s="781"/>
      <c r="AY616" s="782">
        <v>12080614</v>
      </c>
      <c r="AZ616" s="782">
        <v>12080616</v>
      </c>
      <c r="BA616" s="781"/>
    </row>
    <row r="617" spans="1:53" ht="25" hidden="1" customHeight="1">
      <c r="B617" s="320">
        <v>45401</v>
      </c>
      <c r="C617" s="321">
        <v>45413</v>
      </c>
      <c r="D617" s="185">
        <f t="shared" si="192"/>
        <v>2024</v>
      </c>
      <c r="E617" s="321" t="str">
        <f>VLOOKUP($B617,Week!$A$1:$C$1462,2,0)</f>
        <v>Week16</v>
      </c>
      <c r="F617" s="322" t="str">
        <f t="shared" si="193"/>
        <v>Apr</v>
      </c>
      <c r="G617" s="323" t="s">
        <v>47</v>
      </c>
      <c r="H617" s="323" t="s">
        <v>518</v>
      </c>
      <c r="I617" s="298" t="s">
        <v>2702</v>
      </c>
      <c r="J617" s="324" t="s">
        <v>70</v>
      </c>
      <c r="K617" s="325" t="s">
        <v>564</v>
      </c>
      <c r="L617" s="300" t="s">
        <v>2167</v>
      </c>
      <c r="M617" s="324" t="s">
        <v>558</v>
      </c>
      <c r="N617" s="323" t="s">
        <v>559</v>
      </c>
      <c r="O617" s="323" t="s">
        <v>560</v>
      </c>
      <c r="P617" s="326">
        <v>12</v>
      </c>
      <c r="Q617" s="326">
        <v>3</v>
      </c>
      <c r="R617" s="327">
        <v>8.0000000000000002E-3</v>
      </c>
      <c r="S617" s="323" t="s">
        <v>40</v>
      </c>
      <c r="T617" s="323" t="s">
        <v>56</v>
      </c>
      <c r="U617" s="323" t="s">
        <v>57</v>
      </c>
      <c r="V617" s="397">
        <f>634</f>
        <v>634</v>
      </c>
      <c r="W617" s="328">
        <f>2+632</f>
        <v>634</v>
      </c>
      <c r="X617" s="329"/>
      <c r="Y617" s="330">
        <f t="shared" si="198"/>
        <v>0</v>
      </c>
      <c r="Z617" s="331">
        <f t="shared" si="199"/>
        <v>0</v>
      </c>
      <c r="AA617" s="331"/>
      <c r="AB617" s="816"/>
      <c r="AC617" s="328"/>
      <c r="AD617" s="209"/>
      <c r="AE617" s="210"/>
      <c r="AF617" s="210"/>
      <c r="AG617" s="211">
        <f t="shared" si="200"/>
        <v>0.22600000000000001</v>
      </c>
      <c r="AH617" s="157">
        <f>(Z617*AG617)/1000</f>
        <v>0</v>
      </c>
      <c r="AI617" s="152">
        <f t="shared" si="201"/>
        <v>7608</v>
      </c>
      <c r="AK617" s="156" t="s">
        <v>691</v>
      </c>
      <c r="AL617" s="212" t="s">
        <v>690</v>
      </c>
      <c r="AM617" s="198">
        <f>AG617*Z617</f>
        <v>0</v>
      </c>
      <c r="AN617" s="199">
        <f t="shared" si="194"/>
        <v>45401</v>
      </c>
      <c r="AO617" s="159" t="s">
        <v>692</v>
      </c>
      <c r="AP617" s="783" t="s">
        <v>623</v>
      </c>
      <c r="AQ617" s="782"/>
      <c r="AR617" s="782">
        <v>12042650</v>
      </c>
      <c r="AS617" s="782">
        <v>12042649</v>
      </c>
      <c r="AT617" s="782"/>
      <c r="AU617" s="781"/>
      <c r="AV617" s="782">
        <v>12083156</v>
      </c>
      <c r="AW617" s="782"/>
      <c r="AX617" s="782"/>
      <c r="AY617" s="782">
        <v>12083147</v>
      </c>
      <c r="AZ617" s="782">
        <v>12083148</v>
      </c>
      <c r="BA617" s="781"/>
    </row>
    <row r="618" spans="1:53" ht="24.65" hidden="1" customHeight="1">
      <c r="B618" s="411">
        <v>45402</v>
      </c>
      <c r="C618" s="412">
        <v>45413</v>
      </c>
      <c r="D618" s="185">
        <f t="shared" si="192"/>
        <v>2024</v>
      </c>
      <c r="E618" s="412" t="str">
        <f>VLOOKUP($B618,Week!$A$1:$C$1462,2,0)</f>
        <v>Week16</v>
      </c>
      <c r="F618" s="413" t="str">
        <f t="shared" si="193"/>
        <v>Apr</v>
      </c>
      <c r="G618" s="414" t="s">
        <v>47</v>
      </c>
      <c r="H618" s="414" t="s">
        <v>260</v>
      </c>
      <c r="I618" s="298" t="s">
        <v>2702</v>
      </c>
      <c r="J618" s="415" t="s">
        <v>261</v>
      </c>
      <c r="K618" s="416" t="s">
        <v>94</v>
      </c>
      <c r="L618" s="300" t="s">
        <v>2167</v>
      </c>
      <c r="M618" s="415" t="s">
        <v>1303</v>
      </c>
      <c r="N618" s="414" t="s">
        <v>263</v>
      </c>
      <c r="O618" s="414" t="s">
        <v>195</v>
      </c>
      <c r="P618" s="417">
        <v>24</v>
      </c>
      <c r="Q618" s="417">
        <v>5</v>
      </c>
      <c r="R618" s="418">
        <v>8.0000000000000002E-3</v>
      </c>
      <c r="S618" s="414" t="s">
        <v>40</v>
      </c>
      <c r="T618" s="414" t="s">
        <v>56</v>
      </c>
      <c r="U618" s="414" t="s">
        <v>57</v>
      </c>
      <c r="V618" s="419">
        <f>5610</f>
        <v>5610</v>
      </c>
      <c r="W618" s="419">
        <f>5512</f>
        <v>5512</v>
      </c>
      <c r="X618" s="420">
        <f>(2358)/24</f>
        <v>98.25</v>
      </c>
      <c r="Y618" s="421">
        <f t="shared" si="198"/>
        <v>0.25</v>
      </c>
      <c r="Z618" s="422">
        <f t="shared" si="199"/>
        <v>0</v>
      </c>
      <c r="AA618" s="422"/>
      <c r="AB618" s="825"/>
      <c r="AC618" s="419"/>
      <c r="AD618" s="209"/>
      <c r="AE618" s="210"/>
      <c r="AF618" s="210"/>
      <c r="AG618" s="211">
        <f t="shared" si="200"/>
        <v>0.14499999999999999</v>
      </c>
      <c r="AH618" s="157">
        <f t="shared" si="202"/>
        <v>0</v>
      </c>
      <c r="AI618" s="152">
        <f t="shared" si="201"/>
        <v>134640</v>
      </c>
      <c r="AK618" s="156" t="s">
        <v>691</v>
      </c>
      <c r="AL618" s="212" t="s">
        <v>690</v>
      </c>
      <c r="AM618" s="198">
        <f t="shared" si="203"/>
        <v>0</v>
      </c>
      <c r="AN618" s="199">
        <f t="shared" si="194"/>
        <v>45402</v>
      </c>
      <c r="AO618" s="159" t="s">
        <v>692</v>
      </c>
      <c r="AP618" s="783" t="s">
        <v>609</v>
      </c>
      <c r="AQ618" s="782">
        <v>12071839</v>
      </c>
      <c r="AR618" s="782">
        <v>12047514</v>
      </c>
      <c r="AS618" s="782">
        <v>12047515</v>
      </c>
      <c r="AT618" s="781"/>
      <c r="AU618" s="781"/>
      <c r="AV618" s="782">
        <v>12080613</v>
      </c>
      <c r="AW618" s="781"/>
      <c r="AX618" s="781"/>
      <c r="AY618" s="782">
        <v>12080614</v>
      </c>
      <c r="AZ618" s="782">
        <v>12080616</v>
      </c>
      <c r="BA618" s="781"/>
    </row>
    <row r="619" spans="1:53" ht="25" hidden="1" customHeight="1">
      <c r="B619" s="424">
        <v>45402</v>
      </c>
      <c r="C619" s="425">
        <v>45413</v>
      </c>
      <c r="D619" s="185">
        <f t="shared" si="192"/>
        <v>2024</v>
      </c>
      <c r="E619" s="425" t="str">
        <f>VLOOKUP($B619,Week!$A$1:$C$1462,2,0)</f>
        <v>Week16</v>
      </c>
      <c r="F619" s="426" t="str">
        <f t="shared" si="193"/>
        <v>Apr</v>
      </c>
      <c r="G619" s="427" t="s">
        <v>47</v>
      </c>
      <c r="H619" s="427" t="s">
        <v>518</v>
      </c>
      <c r="I619" s="298" t="s">
        <v>2702</v>
      </c>
      <c r="J619" s="428" t="s">
        <v>70</v>
      </c>
      <c r="K619" s="429" t="s">
        <v>94</v>
      </c>
      <c r="L619" s="300" t="s">
        <v>2167</v>
      </c>
      <c r="M619" s="428" t="s">
        <v>521</v>
      </c>
      <c r="N619" s="427" t="s">
        <v>587</v>
      </c>
      <c r="O619" s="427" t="s">
        <v>3198</v>
      </c>
      <c r="P619" s="430">
        <v>18</v>
      </c>
      <c r="Q619" s="430">
        <v>5</v>
      </c>
      <c r="R619" s="431">
        <v>8.0000000000000002E-3</v>
      </c>
      <c r="S619" s="427" t="s">
        <v>40</v>
      </c>
      <c r="T619" s="427" t="s">
        <v>56</v>
      </c>
      <c r="U619" s="427" t="s">
        <v>89</v>
      </c>
      <c r="V619" s="432">
        <v>923</v>
      </c>
      <c r="W619" s="432">
        <f>64+859</f>
        <v>923</v>
      </c>
      <c r="X619" s="433"/>
      <c r="Y619" s="434">
        <f t="shared" si="198"/>
        <v>0</v>
      </c>
      <c r="Z619" s="435">
        <f t="shared" si="199"/>
        <v>0</v>
      </c>
      <c r="AA619" s="435"/>
      <c r="AB619" s="826">
        <v>1</v>
      </c>
      <c r="AC619" s="432">
        <f>Z619*AB619</f>
        <v>0</v>
      </c>
      <c r="AD619" s="209"/>
      <c r="AE619" s="210"/>
      <c r="AF619" s="210"/>
      <c r="AG619" s="211" t="e">
        <f>(MID(O619,1,3)/1000)/3</f>
        <v>#VALUE!</v>
      </c>
      <c r="AH619" s="157" t="e">
        <f t="shared" si="202"/>
        <v>#VALUE!</v>
      </c>
      <c r="AI619" s="152">
        <f t="shared" si="201"/>
        <v>16614</v>
      </c>
      <c r="AK619" s="156" t="s">
        <v>691</v>
      </c>
      <c r="AL619" s="212" t="s">
        <v>690</v>
      </c>
      <c r="AM619" s="198" t="e">
        <f t="shared" si="203"/>
        <v>#VALUE!</v>
      </c>
      <c r="AN619" s="199">
        <f t="shared" si="194"/>
        <v>45402</v>
      </c>
      <c r="AO619" s="159" t="s">
        <v>692</v>
      </c>
      <c r="AP619" s="783" t="s">
        <v>628</v>
      </c>
      <c r="AQ619" s="782"/>
      <c r="AR619" s="782"/>
      <c r="AS619" s="782"/>
      <c r="AT619" s="782"/>
      <c r="AU619" s="781"/>
      <c r="AV619" s="782">
        <v>12080791</v>
      </c>
      <c r="AW619" s="782" t="s">
        <v>641</v>
      </c>
      <c r="AX619" s="782" t="s">
        <v>533</v>
      </c>
      <c r="AY619" s="782"/>
      <c r="AZ619" s="782"/>
      <c r="BA619" s="781"/>
    </row>
    <row r="620" spans="1:53" ht="25" hidden="1" customHeight="1">
      <c r="B620" s="183">
        <v>45403</v>
      </c>
      <c r="C620" s="184"/>
      <c r="D620" s="185">
        <f t="shared" si="192"/>
        <v>2024</v>
      </c>
      <c r="E620" s="185" t="str">
        <f>VLOOKUP($B620,Week!$A$1:$C$1462,2,0)</f>
        <v>Week16</v>
      </c>
      <c r="F620" s="186" t="str">
        <f t="shared" si="193"/>
        <v>Apr</v>
      </c>
      <c r="G620" s="185"/>
      <c r="H620" s="185"/>
      <c r="I620" s="185"/>
      <c r="J620" s="187"/>
      <c r="K620" s="188"/>
      <c r="L620" s="300"/>
      <c r="M620" s="187"/>
      <c r="N620" s="185"/>
      <c r="O620" s="185"/>
      <c r="P620" s="189"/>
      <c r="Q620" s="189"/>
      <c r="R620" s="190"/>
      <c r="S620" s="185"/>
      <c r="T620" s="185"/>
      <c r="U620" s="185"/>
      <c r="V620" s="191"/>
      <c r="W620" s="191"/>
      <c r="X620" s="192"/>
      <c r="Y620" s="193"/>
      <c r="Z620" s="194"/>
      <c r="AA620" s="194"/>
      <c r="AB620" s="805"/>
      <c r="AC620" s="191"/>
      <c r="AD620" s="187"/>
      <c r="AE620" s="195"/>
      <c r="AF620" s="195"/>
      <c r="AG620" s="196"/>
      <c r="AH620" s="197"/>
      <c r="AK620" s="156" t="s">
        <v>691</v>
      </c>
      <c r="AM620" s="198">
        <f>AG620*Z620</f>
        <v>0</v>
      </c>
      <c r="AN620" s="199">
        <f t="shared" si="194"/>
        <v>45403</v>
      </c>
      <c r="AO620" s="159" t="s">
        <v>692</v>
      </c>
      <c r="AP620" s="781"/>
      <c r="AQ620" s="782"/>
      <c r="AR620" s="782"/>
      <c r="AS620" s="782"/>
      <c r="AT620" s="782"/>
      <c r="AU620" s="781"/>
      <c r="AV620" s="782"/>
      <c r="AW620" s="782"/>
      <c r="AX620" s="782"/>
      <c r="AY620" s="782"/>
      <c r="AZ620" s="782"/>
      <c r="BA620" s="781"/>
    </row>
    <row r="621" spans="1:53" ht="25" hidden="1" customHeight="1">
      <c r="B621" s="213">
        <v>45404</v>
      </c>
      <c r="C621" s="213">
        <v>45406</v>
      </c>
      <c r="D621" s="185">
        <f t="shared" si="192"/>
        <v>2024</v>
      </c>
      <c r="E621" s="215" t="str">
        <f>VLOOKUP($B621,Week!$A$1:$C$1462,2,0)</f>
        <v>Week17</v>
      </c>
      <c r="F621" s="216" t="str">
        <f t="shared" si="193"/>
        <v>Apr</v>
      </c>
      <c r="G621" s="215" t="s">
        <v>1066</v>
      </c>
      <c r="H621" s="215" t="s">
        <v>104</v>
      </c>
      <c r="I621" s="215" t="s">
        <v>2772</v>
      </c>
      <c r="J621" s="209" t="s">
        <v>105</v>
      </c>
      <c r="K621" s="217" t="s">
        <v>107</v>
      </c>
      <c r="L621" s="300" t="s">
        <v>2167</v>
      </c>
      <c r="M621" s="209" t="s">
        <v>108</v>
      </c>
      <c r="N621" s="215" t="s">
        <v>109</v>
      </c>
      <c r="O621" s="215" t="s">
        <v>110</v>
      </c>
      <c r="P621" s="218">
        <v>36</v>
      </c>
      <c r="Q621" s="218">
        <v>5</v>
      </c>
      <c r="R621" s="219">
        <v>7.4999999999999997E-3</v>
      </c>
      <c r="S621" s="215" t="s">
        <v>111</v>
      </c>
      <c r="T621" s="215" t="s">
        <v>112</v>
      </c>
      <c r="U621" s="215" t="s">
        <v>113</v>
      </c>
      <c r="V621" s="220">
        <f>792-638</f>
        <v>154</v>
      </c>
      <c r="W621" s="220">
        <f>792-638</f>
        <v>154</v>
      </c>
      <c r="X621" s="221"/>
      <c r="Y621" s="222">
        <f t="shared" ref="Y621:Y664" si="206">(W621+X621)-V621</f>
        <v>0</v>
      </c>
      <c r="Z621" s="223">
        <f t="shared" ref="Z621:Z664" si="207">IF(Y621&lt;0,((V621*P621)-((W621+X621)*P621)),0)</f>
        <v>0</v>
      </c>
      <c r="AA621" s="223"/>
      <c r="AB621" s="807"/>
      <c r="AC621" s="220"/>
      <c r="AD621" s="209"/>
      <c r="AE621" s="210"/>
      <c r="AF621" s="210"/>
      <c r="AG621" s="211">
        <f t="shared" ref="AG621:AG654" si="208">MID(O621,1,3)/1000</f>
        <v>0.308</v>
      </c>
      <c r="AH621" s="157">
        <f>(Z621*AG621)/1000</f>
        <v>0</v>
      </c>
      <c r="AI621" s="152">
        <f t="shared" ref="AI621:AI664" si="209">V621*P621</f>
        <v>5544</v>
      </c>
      <c r="AK621" s="156" t="s">
        <v>691</v>
      </c>
      <c r="AL621" s="574" t="s">
        <v>690</v>
      </c>
      <c r="AM621" s="198">
        <f>AG621*Z621</f>
        <v>0</v>
      </c>
      <c r="AN621" s="199">
        <f t="shared" si="194"/>
        <v>45404</v>
      </c>
      <c r="AO621" s="159" t="s">
        <v>692</v>
      </c>
      <c r="AP621" s="781"/>
      <c r="AQ621" s="782">
        <v>12063755</v>
      </c>
      <c r="AR621" s="782">
        <v>12061353</v>
      </c>
      <c r="AS621" s="782">
        <v>12061354</v>
      </c>
      <c r="AT621" s="782">
        <v>12068566</v>
      </c>
      <c r="AU621" s="781"/>
      <c r="AV621" s="782">
        <v>12068564</v>
      </c>
      <c r="AW621" s="782">
        <v>12062153</v>
      </c>
      <c r="AX621" s="782"/>
      <c r="AY621" s="782">
        <v>12068565</v>
      </c>
      <c r="AZ621" s="782"/>
      <c r="BA621" s="781"/>
    </row>
    <row r="622" spans="1:53" ht="25" hidden="1" customHeight="1">
      <c r="B622" s="213">
        <v>45404</v>
      </c>
      <c r="C622" s="213">
        <v>45406</v>
      </c>
      <c r="D622" s="185">
        <f t="shared" si="192"/>
        <v>2024</v>
      </c>
      <c r="E622" s="215" t="str">
        <f>VLOOKUP($B622,Week!$A$1:$C$1462,2,0)</f>
        <v>Week17</v>
      </c>
      <c r="F622" s="216" t="str">
        <f t="shared" si="193"/>
        <v>Apr</v>
      </c>
      <c r="G622" s="215" t="s">
        <v>1067</v>
      </c>
      <c r="H622" s="215" t="s">
        <v>104</v>
      </c>
      <c r="I622" s="215" t="s">
        <v>2772</v>
      </c>
      <c r="J622" s="209" t="s">
        <v>105</v>
      </c>
      <c r="K622" s="217" t="s">
        <v>107</v>
      </c>
      <c r="L622" s="300" t="s">
        <v>2167</v>
      </c>
      <c r="M622" s="209" t="s">
        <v>108</v>
      </c>
      <c r="N622" s="215" t="s">
        <v>109</v>
      </c>
      <c r="O622" s="215" t="s">
        <v>110</v>
      </c>
      <c r="P622" s="218">
        <v>36</v>
      </c>
      <c r="Q622" s="218">
        <v>5</v>
      </c>
      <c r="R622" s="219">
        <v>7.4999999999999997E-3</v>
      </c>
      <c r="S622" s="215" t="s">
        <v>111</v>
      </c>
      <c r="T622" s="215" t="s">
        <v>112</v>
      </c>
      <c r="U622" s="215" t="s">
        <v>113</v>
      </c>
      <c r="V622" s="220">
        <v>792</v>
      </c>
      <c r="W622" s="220">
        <v>792</v>
      </c>
      <c r="X622" s="221"/>
      <c r="Y622" s="222">
        <f t="shared" si="206"/>
        <v>0</v>
      </c>
      <c r="Z622" s="223">
        <f t="shared" si="207"/>
        <v>0</v>
      </c>
      <c r="AA622" s="223"/>
      <c r="AB622" s="807"/>
      <c r="AC622" s="220"/>
      <c r="AD622" s="209"/>
      <c r="AE622" s="210"/>
      <c r="AF622" s="210"/>
      <c r="AG622" s="211">
        <f t="shared" si="208"/>
        <v>0.308</v>
      </c>
      <c r="AH622" s="157">
        <f t="shared" ref="AH622:AH627" si="210">(Z622*AG622)/1000</f>
        <v>0</v>
      </c>
      <c r="AI622" s="152">
        <f t="shared" si="209"/>
        <v>28512</v>
      </c>
      <c r="AK622" s="156" t="s">
        <v>691</v>
      </c>
      <c r="AL622" s="574" t="s">
        <v>690</v>
      </c>
      <c r="AM622" s="198">
        <f t="shared" ref="AM622:AM627" si="211">AG622*Z622</f>
        <v>0</v>
      </c>
      <c r="AN622" s="199">
        <f t="shared" si="194"/>
        <v>45404</v>
      </c>
      <c r="AO622" s="159" t="s">
        <v>692</v>
      </c>
      <c r="AP622" s="781"/>
      <c r="AQ622" s="782">
        <v>12063755</v>
      </c>
      <c r="AR622" s="782">
        <v>12061353</v>
      </c>
      <c r="AS622" s="782">
        <v>12061354</v>
      </c>
      <c r="AT622" s="782">
        <v>12068566</v>
      </c>
      <c r="AU622" s="781"/>
      <c r="AV622" s="782">
        <v>12068564</v>
      </c>
      <c r="AW622" s="782">
        <v>12062153</v>
      </c>
      <c r="AX622" s="782"/>
      <c r="AY622" s="782">
        <v>12068565</v>
      </c>
      <c r="AZ622" s="782"/>
      <c r="BA622" s="781"/>
    </row>
    <row r="623" spans="1:53" ht="24.65" hidden="1" customHeight="1">
      <c r="B623" s="213">
        <v>45404</v>
      </c>
      <c r="C623" s="213">
        <v>45406</v>
      </c>
      <c r="D623" s="185">
        <f t="shared" si="192"/>
        <v>2024</v>
      </c>
      <c r="E623" s="215" t="str">
        <f>VLOOKUP($B623,Week!$A$1:$C$1462,2,0)</f>
        <v>Week17</v>
      </c>
      <c r="F623" s="216" t="str">
        <f t="shared" si="193"/>
        <v>Apr</v>
      </c>
      <c r="G623" s="215" t="s">
        <v>1068</v>
      </c>
      <c r="H623" s="215" t="s">
        <v>104</v>
      </c>
      <c r="I623" s="215" t="s">
        <v>2772</v>
      </c>
      <c r="J623" s="209" t="s">
        <v>105</v>
      </c>
      <c r="K623" s="217" t="s">
        <v>107</v>
      </c>
      <c r="L623" s="300" t="s">
        <v>2167</v>
      </c>
      <c r="M623" s="209" t="s">
        <v>108</v>
      </c>
      <c r="N623" s="215" t="s">
        <v>109</v>
      </c>
      <c r="O623" s="215" t="s">
        <v>110</v>
      </c>
      <c r="P623" s="218">
        <v>36</v>
      </c>
      <c r="Q623" s="218">
        <v>5</v>
      </c>
      <c r="R623" s="219">
        <v>7.4999999999999997E-3</v>
      </c>
      <c r="S623" s="215" t="s">
        <v>111</v>
      </c>
      <c r="T623" s="215" t="s">
        <v>112</v>
      </c>
      <c r="U623" s="215" t="s">
        <v>113</v>
      </c>
      <c r="V623" s="220">
        <v>792</v>
      </c>
      <c r="W623" s="220">
        <v>792</v>
      </c>
      <c r="X623" s="221"/>
      <c r="Y623" s="222">
        <f t="shared" si="206"/>
        <v>0</v>
      </c>
      <c r="Z623" s="223">
        <f t="shared" si="207"/>
        <v>0</v>
      </c>
      <c r="AA623" s="223"/>
      <c r="AB623" s="807"/>
      <c r="AC623" s="220"/>
      <c r="AD623" s="209"/>
      <c r="AE623" s="210"/>
      <c r="AF623" s="210"/>
      <c r="AG623" s="211">
        <f t="shared" si="208"/>
        <v>0.308</v>
      </c>
      <c r="AH623" s="157">
        <f t="shared" si="210"/>
        <v>0</v>
      </c>
      <c r="AI623" s="152">
        <f t="shared" si="209"/>
        <v>28512</v>
      </c>
      <c r="AK623" s="156" t="s">
        <v>691</v>
      </c>
      <c r="AL623" s="574" t="s">
        <v>690</v>
      </c>
      <c r="AM623" s="198">
        <f t="shared" si="211"/>
        <v>0</v>
      </c>
      <c r="AN623" s="199">
        <f t="shared" si="194"/>
        <v>45404</v>
      </c>
      <c r="AO623" s="159" t="s">
        <v>692</v>
      </c>
      <c r="AP623" s="781"/>
      <c r="AQ623" s="782">
        <v>12063755</v>
      </c>
      <c r="AR623" s="782">
        <v>12061353</v>
      </c>
      <c r="AS623" s="782">
        <v>12061354</v>
      </c>
      <c r="AT623" s="782">
        <v>12068566</v>
      </c>
      <c r="AU623" s="781"/>
      <c r="AV623" s="782">
        <v>12068564</v>
      </c>
      <c r="AW623" s="782">
        <v>12062153</v>
      </c>
      <c r="AX623" s="782"/>
      <c r="AY623" s="782">
        <v>12068565</v>
      </c>
      <c r="AZ623" s="782"/>
      <c r="BA623" s="781"/>
    </row>
    <row r="624" spans="1:53" ht="25" hidden="1" customHeight="1">
      <c r="B624" s="213">
        <v>45404</v>
      </c>
      <c r="C624" s="213">
        <v>45406</v>
      </c>
      <c r="D624" s="185">
        <f t="shared" si="192"/>
        <v>2024</v>
      </c>
      <c r="E624" s="215" t="str">
        <f>VLOOKUP($B624,Week!$A$1:$C$1462,2,0)</f>
        <v>Week17</v>
      </c>
      <c r="F624" s="216" t="str">
        <f t="shared" si="193"/>
        <v>Apr</v>
      </c>
      <c r="G624" s="215" t="s">
        <v>1069</v>
      </c>
      <c r="H624" s="215" t="s">
        <v>104</v>
      </c>
      <c r="I624" s="215" t="s">
        <v>2772</v>
      </c>
      <c r="J624" s="209" t="s">
        <v>105</v>
      </c>
      <c r="K624" s="217" t="s">
        <v>107</v>
      </c>
      <c r="L624" s="300" t="s">
        <v>2167</v>
      </c>
      <c r="M624" s="209" t="s">
        <v>108</v>
      </c>
      <c r="N624" s="215" t="s">
        <v>109</v>
      </c>
      <c r="O624" s="215" t="s">
        <v>110</v>
      </c>
      <c r="P624" s="218">
        <v>36</v>
      </c>
      <c r="Q624" s="218">
        <v>5</v>
      </c>
      <c r="R624" s="219">
        <v>7.4999999999999997E-3</v>
      </c>
      <c r="S624" s="215" t="s">
        <v>111</v>
      </c>
      <c r="T624" s="215" t="s">
        <v>112</v>
      </c>
      <c r="U624" s="215" t="s">
        <v>113</v>
      </c>
      <c r="V624" s="220">
        <v>792</v>
      </c>
      <c r="W624" s="220">
        <v>792</v>
      </c>
      <c r="X624" s="221"/>
      <c r="Y624" s="222">
        <f t="shared" si="206"/>
        <v>0</v>
      </c>
      <c r="Z624" s="223">
        <f t="shared" si="207"/>
        <v>0</v>
      </c>
      <c r="AA624" s="223"/>
      <c r="AB624" s="807"/>
      <c r="AC624" s="220"/>
      <c r="AD624" s="209"/>
      <c r="AE624" s="210"/>
      <c r="AF624" s="210"/>
      <c r="AG624" s="211">
        <f t="shared" si="208"/>
        <v>0.308</v>
      </c>
      <c r="AH624" s="157">
        <f t="shared" si="210"/>
        <v>0</v>
      </c>
      <c r="AI624" s="152">
        <f t="shared" si="209"/>
        <v>28512</v>
      </c>
      <c r="AK624" s="156" t="s">
        <v>691</v>
      </c>
      <c r="AL624" s="574" t="s">
        <v>690</v>
      </c>
      <c r="AM624" s="198">
        <f t="shared" si="211"/>
        <v>0</v>
      </c>
      <c r="AN624" s="199">
        <f t="shared" si="194"/>
        <v>45404</v>
      </c>
      <c r="AO624" s="159" t="s">
        <v>692</v>
      </c>
      <c r="AP624" s="781"/>
      <c r="AQ624" s="782">
        <v>12063755</v>
      </c>
      <c r="AR624" s="782">
        <v>12061353</v>
      </c>
      <c r="AS624" s="782">
        <v>12061354</v>
      </c>
      <c r="AT624" s="782">
        <v>12068566</v>
      </c>
      <c r="AU624" s="781"/>
      <c r="AV624" s="782">
        <v>12068564</v>
      </c>
      <c r="AW624" s="782">
        <v>12062153</v>
      </c>
      <c r="AX624" s="782"/>
      <c r="AY624" s="782">
        <v>12068565</v>
      </c>
      <c r="AZ624" s="782"/>
      <c r="BA624" s="781"/>
    </row>
    <row r="625" spans="1:53" ht="25" hidden="1" customHeight="1">
      <c r="B625" s="213">
        <v>45404</v>
      </c>
      <c r="C625" s="213">
        <v>45407</v>
      </c>
      <c r="D625" s="185">
        <f t="shared" si="192"/>
        <v>2024</v>
      </c>
      <c r="E625" s="215" t="str">
        <f>VLOOKUP($B625,Week!$A$1:$C$1462,2,0)</f>
        <v>Week17</v>
      </c>
      <c r="F625" s="216" t="str">
        <f t="shared" si="193"/>
        <v>Apr</v>
      </c>
      <c r="G625" s="215" t="s">
        <v>1070</v>
      </c>
      <c r="H625" s="215" t="s">
        <v>104</v>
      </c>
      <c r="I625" s="215" t="s">
        <v>2772</v>
      </c>
      <c r="J625" s="209" t="s">
        <v>105</v>
      </c>
      <c r="K625" s="217" t="s">
        <v>107</v>
      </c>
      <c r="L625" s="300" t="s">
        <v>2167</v>
      </c>
      <c r="M625" s="209" t="s">
        <v>108</v>
      </c>
      <c r="N625" s="215" t="s">
        <v>109</v>
      </c>
      <c r="O625" s="215" t="s">
        <v>110</v>
      </c>
      <c r="P625" s="218">
        <v>36</v>
      </c>
      <c r="Q625" s="218">
        <v>5</v>
      </c>
      <c r="R625" s="219">
        <v>7.4999999999999997E-3</v>
      </c>
      <c r="S625" s="215" t="s">
        <v>111</v>
      </c>
      <c r="T625" s="215" t="s">
        <v>112</v>
      </c>
      <c r="U625" s="215" t="s">
        <v>113</v>
      </c>
      <c r="V625" s="220">
        <v>792</v>
      </c>
      <c r="W625" s="220">
        <v>792</v>
      </c>
      <c r="X625" s="221"/>
      <c r="Y625" s="222">
        <f t="shared" si="206"/>
        <v>0</v>
      </c>
      <c r="Z625" s="223">
        <f t="shared" si="207"/>
        <v>0</v>
      </c>
      <c r="AA625" s="223"/>
      <c r="AB625" s="807"/>
      <c r="AC625" s="220"/>
      <c r="AD625" s="209"/>
      <c r="AE625" s="210"/>
      <c r="AF625" s="210"/>
      <c r="AG625" s="211">
        <f t="shared" si="208"/>
        <v>0.308</v>
      </c>
      <c r="AH625" s="157">
        <f t="shared" si="210"/>
        <v>0</v>
      </c>
      <c r="AI625" s="152">
        <f t="shared" si="209"/>
        <v>28512</v>
      </c>
      <c r="AK625" s="156" t="s">
        <v>691</v>
      </c>
      <c r="AL625" s="574" t="s">
        <v>690</v>
      </c>
      <c r="AM625" s="198">
        <f t="shared" si="211"/>
        <v>0</v>
      </c>
      <c r="AN625" s="199">
        <f t="shared" si="194"/>
        <v>45404</v>
      </c>
      <c r="AO625" s="159" t="s">
        <v>692</v>
      </c>
      <c r="AP625" s="781"/>
      <c r="AQ625" s="782">
        <v>12063755</v>
      </c>
      <c r="AR625" s="782">
        <v>12061353</v>
      </c>
      <c r="AS625" s="782">
        <v>12061354</v>
      </c>
      <c r="AT625" s="782">
        <v>12068566</v>
      </c>
      <c r="AU625" s="781"/>
      <c r="AV625" s="782">
        <v>12068564</v>
      </c>
      <c r="AW625" s="782">
        <v>12062153</v>
      </c>
      <c r="AX625" s="782"/>
      <c r="AY625" s="782">
        <v>12068565</v>
      </c>
      <c r="AZ625" s="782"/>
      <c r="BA625" s="781"/>
    </row>
    <row r="626" spans="1:53" ht="25" hidden="1" customHeight="1">
      <c r="B626" s="213">
        <v>45404</v>
      </c>
      <c r="C626" s="213">
        <v>45407</v>
      </c>
      <c r="D626" s="185">
        <f t="shared" si="192"/>
        <v>2024</v>
      </c>
      <c r="E626" s="215" t="str">
        <f>VLOOKUP($B626,Week!$A$1:$C$1462,2,0)</f>
        <v>Week17</v>
      </c>
      <c r="F626" s="216" t="str">
        <f t="shared" si="193"/>
        <v>Apr</v>
      </c>
      <c r="G626" s="215" t="s">
        <v>1071</v>
      </c>
      <c r="H626" s="215" t="s">
        <v>104</v>
      </c>
      <c r="I626" s="215" t="s">
        <v>2772</v>
      </c>
      <c r="J626" s="209" t="s">
        <v>105</v>
      </c>
      <c r="K626" s="217" t="s">
        <v>107</v>
      </c>
      <c r="L626" s="300" t="s">
        <v>2167</v>
      </c>
      <c r="M626" s="209" t="s">
        <v>108</v>
      </c>
      <c r="N626" s="215" t="s">
        <v>109</v>
      </c>
      <c r="O626" s="215" t="s">
        <v>110</v>
      </c>
      <c r="P626" s="218">
        <v>36</v>
      </c>
      <c r="Q626" s="218">
        <v>5</v>
      </c>
      <c r="R626" s="219">
        <v>7.4999999999999997E-3</v>
      </c>
      <c r="S626" s="215" t="s">
        <v>111</v>
      </c>
      <c r="T626" s="215" t="s">
        <v>112</v>
      </c>
      <c r="U626" s="215" t="s">
        <v>113</v>
      </c>
      <c r="V626" s="220">
        <v>792</v>
      </c>
      <c r="W626" s="220">
        <v>792</v>
      </c>
      <c r="X626" s="221"/>
      <c r="Y626" s="222">
        <f t="shared" si="206"/>
        <v>0</v>
      </c>
      <c r="Z626" s="223">
        <f t="shared" si="207"/>
        <v>0</v>
      </c>
      <c r="AA626" s="223"/>
      <c r="AB626" s="807"/>
      <c r="AC626" s="220"/>
      <c r="AD626" s="209"/>
      <c r="AE626" s="210"/>
      <c r="AF626" s="210"/>
      <c r="AG626" s="211">
        <f t="shared" si="208"/>
        <v>0.308</v>
      </c>
      <c r="AH626" s="157">
        <f t="shared" si="210"/>
        <v>0</v>
      </c>
      <c r="AI626" s="152">
        <f t="shared" si="209"/>
        <v>28512</v>
      </c>
      <c r="AK626" s="156" t="s">
        <v>691</v>
      </c>
      <c r="AL626" s="574" t="s">
        <v>690</v>
      </c>
      <c r="AM626" s="198">
        <f t="shared" si="211"/>
        <v>0</v>
      </c>
      <c r="AN626" s="199">
        <f t="shared" si="194"/>
        <v>45404</v>
      </c>
      <c r="AO626" s="159" t="s">
        <v>692</v>
      </c>
      <c r="AP626" s="781"/>
      <c r="AQ626" s="782">
        <v>12063755</v>
      </c>
      <c r="AR626" s="782">
        <v>12061353</v>
      </c>
      <c r="AS626" s="782">
        <v>12061354</v>
      </c>
      <c r="AT626" s="782">
        <v>12068566</v>
      </c>
      <c r="AU626" s="781"/>
      <c r="AV626" s="782">
        <v>12068564</v>
      </c>
      <c r="AW626" s="782">
        <v>12062153</v>
      </c>
      <c r="AX626" s="782"/>
      <c r="AY626" s="782">
        <v>12068565</v>
      </c>
      <c r="AZ626" s="782"/>
      <c r="BA626" s="781"/>
    </row>
    <row r="627" spans="1:53" ht="25" hidden="1" customHeight="1">
      <c r="B627" s="213">
        <v>45404</v>
      </c>
      <c r="C627" s="213">
        <v>45411</v>
      </c>
      <c r="D627" s="185">
        <f t="shared" si="192"/>
        <v>2024</v>
      </c>
      <c r="E627" s="215" t="str">
        <f>VLOOKUP($B627,Week!$A$1:$C$1462,2,0)</f>
        <v>Week17</v>
      </c>
      <c r="F627" s="216" t="str">
        <f t="shared" si="193"/>
        <v>Apr</v>
      </c>
      <c r="G627" s="215" t="s">
        <v>1072</v>
      </c>
      <c r="H627" s="215" t="s">
        <v>104</v>
      </c>
      <c r="I627" s="215" t="s">
        <v>2772</v>
      </c>
      <c r="J627" s="209" t="s">
        <v>105</v>
      </c>
      <c r="K627" s="217" t="s">
        <v>107</v>
      </c>
      <c r="L627" s="300" t="s">
        <v>2167</v>
      </c>
      <c r="M627" s="209" t="s">
        <v>108</v>
      </c>
      <c r="N627" s="215" t="s">
        <v>109</v>
      </c>
      <c r="O627" s="215" t="s">
        <v>110</v>
      </c>
      <c r="P627" s="218">
        <v>36</v>
      </c>
      <c r="Q627" s="218">
        <v>5</v>
      </c>
      <c r="R627" s="219">
        <v>7.4999999999999997E-3</v>
      </c>
      <c r="S627" s="215" t="s">
        <v>111</v>
      </c>
      <c r="T627" s="215" t="s">
        <v>112</v>
      </c>
      <c r="U627" s="215" t="s">
        <v>113</v>
      </c>
      <c r="V627" s="220">
        <v>26</v>
      </c>
      <c r="W627" s="220">
        <f>4140-154-792-792-792-792-792</f>
        <v>26</v>
      </c>
      <c r="X627" s="221"/>
      <c r="Y627" s="222">
        <f t="shared" si="206"/>
        <v>0</v>
      </c>
      <c r="Z627" s="223">
        <f t="shared" si="207"/>
        <v>0</v>
      </c>
      <c r="AA627" s="223"/>
      <c r="AB627" s="807"/>
      <c r="AC627" s="220"/>
      <c r="AD627" s="209"/>
      <c r="AE627" s="210"/>
      <c r="AF627" s="210"/>
      <c r="AG627" s="211">
        <f t="shared" si="208"/>
        <v>0.308</v>
      </c>
      <c r="AH627" s="157">
        <f t="shared" si="210"/>
        <v>0</v>
      </c>
      <c r="AI627" s="152">
        <f t="shared" si="209"/>
        <v>936</v>
      </c>
      <c r="AK627" s="156" t="s">
        <v>691</v>
      </c>
      <c r="AL627" s="574" t="s">
        <v>690</v>
      </c>
      <c r="AM627" s="198">
        <f t="shared" si="211"/>
        <v>0</v>
      </c>
      <c r="AN627" s="199">
        <f t="shared" si="194"/>
        <v>45404</v>
      </c>
      <c r="AO627" s="159" t="s">
        <v>692</v>
      </c>
      <c r="AP627" s="781"/>
      <c r="AQ627" s="782">
        <v>12063755</v>
      </c>
      <c r="AR627" s="782">
        <v>12061353</v>
      </c>
      <c r="AS627" s="782">
        <v>12061354</v>
      </c>
      <c r="AT627" s="782">
        <v>12068566</v>
      </c>
      <c r="AU627" s="781"/>
      <c r="AV627" s="782">
        <v>12068564</v>
      </c>
      <c r="AW627" s="782">
        <v>12062153</v>
      </c>
      <c r="AX627" s="782"/>
      <c r="AY627" s="782">
        <v>12068565</v>
      </c>
      <c r="AZ627" s="782"/>
      <c r="BA627" s="781"/>
    </row>
    <row r="628" spans="1:53" ht="24.75" hidden="1" customHeight="1">
      <c r="A628" s="142" t="s">
        <v>120</v>
      </c>
      <c r="B628" s="308">
        <v>45404</v>
      </c>
      <c r="C628" s="309">
        <v>45411</v>
      </c>
      <c r="D628" s="185">
        <f t="shared" si="192"/>
        <v>2024</v>
      </c>
      <c r="E628" s="519" t="str">
        <f>VLOOKUP($B628,Week!$A$1:$C$1462,2,0)</f>
        <v>Week17</v>
      </c>
      <c r="F628" s="520" t="str">
        <f t="shared" si="193"/>
        <v>Apr</v>
      </c>
      <c r="G628" s="446" t="s">
        <v>47</v>
      </c>
      <c r="H628" s="311" t="s">
        <v>518</v>
      </c>
      <c r="I628" s="298" t="s">
        <v>2702</v>
      </c>
      <c r="J628" s="312" t="s">
        <v>70</v>
      </c>
      <c r="K628" s="313" t="s">
        <v>85</v>
      </c>
      <c r="L628" s="390" t="s">
        <v>2166</v>
      </c>
      <c r="M628" s="312" t="s">
        <v>515</v>
      </c>
      <c r="N628" s="311" t="s">
        <v>588</v>
      </c>
      <c r="O628" s="311" t="s">
        <v>546</v>
      </c>
      <c r="P628" s="314">
        <v>12</v>
      </c>
      <c r="Q628" s="314">
        <v>20</v>
      </c>
      <c r="R628" s="315">
        <v>6.1999999999999998E-3</v>
      </c>
      <c r="S628" s="311" t="s">
        <v>352</v>
      </c>
      <c r="T628" s="311" t="s">
        <v>56</v>
      </c>
      <c r="U628" s="311"/>
      <c r="V628" s="316">
        <f>275</f>
        <v>275</v>
      </c>
      <c r="W628" s="316">
        <f>6+269</f>
        <v>275</v>
      </c>
      <c r="X628" s="317"/>
      <c r="Y628" s="318">
        <f t="shared" si="206"/>
        <v>0</v>
      </c>
      <c r="Z628" s="319">
        <f t="shared" si="207"/>
        <v>0</v>
      </c>
      <c r="AA628" s="319">
        <f>Q628*Z628</f>
        <v>0</v>
      </c>
      <c r="AB628" s="815"/>
      <c r="AC628" s="316">
        <f>Z628*AB628</f>
        <v>0</v>
      </c>
      <c r="AD628" s="209"/>
      <c r="AE628" s="210"/>
      <c r="AF628" s="210"/>
      <c r="AG628" s="211">
        <f t="shared" si="208"/>
        <v>0.22</v>
      </c>
      <c r="AH628" s="157">
        <f t="shared" ref="AH628:AH634" si="212">(Z628*AG628)/1000</f>
        <v>0</v>
      </c>
      <c r="AI628" s="152">
        <f t="shared" si="209"/>
        <v>3300</v>
      </c>
      <c r="AK628" s="156" t="s">
        <v>691</v>
      </c>
      <c r="AL628" s="156" t="s">
        <v>689</v>
      </c>
      <c r="AM628" s="198">
        <f t="shared" ref="AM628:AM634" si="213">AG628*Z628</f>
        <v>0</v>
      </c>
      <c r="AN628" s="199">
        <f t="shared" si="194"/>
        <v>45404</v>
      </c>
      <c r="AO628" s="159" t="s">
        <v>692</v>
      </c>
      <c r="AP628" s="783" t="s">
        <v>613</v>
      </c>
      <c r="AQ628" s="782"/>
      <c r="AR628" s="782" t="s">
        <v>614</v>
      </c>
      <c r="AS628" s="782"/>
      <c r="AT628" s="782">
        <v>12083140</v>
      </c>
      <c r="AU628" s="781"/>
      <c r="AV628" s="782">
        <v>12083143</v>
      </c>
      <c r="AW628" s="782"/>
      <c r="AX628" s="782"/>
      <c r="AY628" s="782"/>
      <c r="AZ628" s="782"/>
      <c r="BA628" s="781"/>
    </row>
    <row r="629" spans="1:53" ht="24.75" hidden="1" customHeight="1">
      <c r="A629" s="142" t="s">
        <v>120</v>
      </c>
      <c r="B629" s="308">
        <v>45404</v>
      </c>
      <c r="C629" s="309">
        <v>45413</v>
      </c>
      <c r="D629" s="185">
        <f t="shared" si="192"/>
        <v>2024</v>
      </c>
      <c r="E629" s="519" t="str">
        <f>VLOOKUP($B629,Week!$A$1:$C$1462,2,0)</f>
        <v>Week17</v>
      </c>
      <c r="F629" s="520" t="str">
        <f t="shared" si="193"/>
        <v>Apr</v>
      </c>
      <c r="G629" s="446" t="s">
        <v>47</v>
      </c>
      <c r="H629" s="311" t="s">
        <v>518</v>
      </c>
      <c r="I629" s="298" t="s">
        <v>2702</v>
      </c>
      <c r="J629" s="312" t="s">
        <v>70</v>
      </c>
      <c r="K629" s="313" t="s">
        <v>85</v>
      </c>
      <c r="L629" s="390" t="s">
        <v>2166</v>
      </c>
      <c r="M629" s="312" t="s">
        <v>515</v>
      </c>
      <c r="N629" s="311" t="s">
        <v>588</v>
      </c>
      <c r="O629" s="311" t="s">
        <v>546</v>
      </c>
      <c r="P629" s="314">
        <v>12</v>
      </c>
      <c r="Q629" s="314">
        <v>20</v>
      </c>
      <c r="R629" s="315">
        <v>6.1999999999999998E-3</v>
      </c>
      <c r="S629" s="311" t="s">
        <v>352</v>
      </c>
      <c r="T629" s="311" t="s">
        <v>56</v>
      </c>
      <c r="U629" s="311"/>
      <c r="V629" s="316">
        <f>82</f>
        <v>82</v>
      </c>
      <c r="W629" s="316">
        <v>82</v>
      </c>
      <c r="X629" s="317"/>
      <c r="Y629" s="318">
        <f t="shared" si="206"/>
        <v>0</v>
      </c>
      <c r="Z629" s="319">
        <f t="shared" si="207"/>
        <v>0</v>
      </c>
      <c r="AA629" s="319">
        <f>Q629*Z629</f>
        <v>0</v>
      </c>
      <c r="AB629" s="815"/>
      <c r="AC629" s="316">
        <f>Z629*AB629</f>
        <v>0</v>
      </c>
      <c r="AD629" s="209"/>
      <c r="AE629" s="210"/>
      <c r="AF629" s="210"/>
      <c r="AG629" s="211">
        <f t="shared" si="208"/>
        <v>0.22</v>
      </c>
      <c r="AH629" s="157">
        <f t="shared" si="212"/>
        <v>0</v>
      </c>
      <c r="AI629" s="152">
        <f t="shared" si="209"/>
        <v>984</v>
      </c>
      <c r="AK629" s="156" t="s">
        <v>691</v>
      </c>
      <c r="AL629" s="156" t="s">
        <v>689</v>
      </c>
      <c r="AM629" s="198">
        <f t="shared" si="213"/>
        <v>0</v>
      </c>
      <c r="AN629" s="199">
        <f t="shared" si="194"/>
        <v>45404</v>
      </c>
      <c r="AO629" s="159" t="s">
        <v>692</v>
      </c>
      <c r="AP629" s="783" t="s">
        <v>613</v>
      </c>
      <c r="AQ629" s="782"/>
      <c r="AR629" s="782" t="s">
        <v>614</v>
      </c>
      <c r="AS629" s="782"/>
      <c r="AT629" s="782">
        <v>12083140</v>
      </c>
      <c r="AU629" s="781"/>
      <c r="AV629" s="782">
        <v>12083143</v>
      </c>
      <c r="AW629" s="782"/>
      <c r="AX629" s="782"/>
      <c r="AY629" s="782"/>
      <c r="AZ629" s="782"/>
      <c r="BA629" s="781"/>
    </row>
    <row r="630" spans="1:53" ht="24.65" hidden="1" customHeight="1">
      <c r="A630" s="142" t="s">
        <v>120</v>
      </c>
      <c r="B630" s="271">
        <v>45404</v>
      </c>
      <c r="C630" s="272">
        <v>45414</v>
      </c>
      <c r="D630" s="185">
        <f t="shared" si="192"/>
        <v>2024</v>
      </c>
      <c r="E630" s="272" t="str">
        <f>VLOOKUP($B630,Week!$A$1:$C$1462,2,0)</f>
        <v>Week17</v>
      </c>
      <c r="F630" s="273" t="str">
        <f t="shared" si="193"/>
        <v>Apr</v>
      </c>
      <c r="G630" s="274" t="s">
        <v>1120</v>
      </c>
      <c r="H630" s="274" t="s">
        <v>500</v>
      </c>
      <c r="I630" s="274" t="s">
        <v>2772</v>
      </c>
      <c r="J630" s="275" t="s">
        <v>285</v>
      </c>
      <c r="K630" s="276" t="s">
        <v>153</v>
      </c>
      <c r="L630" s="390" t="s">
        <v>2166</v>
      </c>
      <c r="M630" s="275" t="s">
        <v>86</v>
      </c>
      <c r="N630" s="274" t="s">
        <v>547</v>
      </c>
      <c r="O630" s="274" t="s">
        <v>548</v>
      </c>
      <c r="P630" s="277">
        <v>10</v>
      </c>
      <c r="Q630" s="277">
        <v>50</v>
      </c>
      <c r="R630" s="278">
        <v>6.8100000000000001E-3</v>
      </c>
      <c r="S630" s="274" t="s">
        <v>76</v>
      </c>
      <c r="T630" s="274" t="s">
        <v>56</v>
      </c>
      <c r="U630" s="274" t="s">
        <v>89</v>
      </c>
      <c r="V630" s="279">
        <f>17+351</f>
        <v>368</v>
      </c>
      <c r="W630" s="279">
        <v>351</v>
      </c>
      <c r="X630" s="280">
        <v>17</v>
      </c>
      <c r="Y630" s="281">
        <f t="shared" si="206"/>
        <v>0</v>
      </c>
      <c r="Z630" s="282">
        <f t="shared" si="207"/>
        <v>0</v>
      </c>
      <c r="AA630" s="282">
        <f>Q630*Z630</f>
        <v>0</v>
      </c>
      <c r="AB630" s="812">
        <v>6</v>
      </c>
      <c r="AC630" s="279">
        <f>Z630*AB630</f>
        <v>0</v>
      </c>
      <c r="AD630" s="209"/>
      <c r="AE630" s="210"/>
      <c r="AF630" s="210"/>
      <c r="AG630" s="211">
        <f t="shared" si="208"/>
        <v>0.63</v>
      </c>
      <c r="AH630" s="157">
        <f t="shared" si="212"/>
        <v>0</v>
      </c>
      <c r="AI630" s="152">
        <f t="shared" si="209"/>
        <v>3680</v>
      </c>
      <c r="AK630" s="156" t="s">
        <v>691</v>
      </c>
      <c r="AL630" s="156" t="s">
        <v>689</v>
      </c>
      <c r="AM630" s="198">
        <f t="shared" si="213"/>
        <v>0</v>
      </c>
      <c r="AN630" s="199">
        <f t="shared" si="194"/>
        <v>45404</v>
      </c>
      <c r="AO630" s="159" t="s">
        <v>692</v>
      </c>
      <c r="AP630" s="783" t="s">
        <v>620</v>
      </c>
      <c r="AQ630" s="782" t="s">
        <v>549</v>
      </c>
      <c r="AR630" s="782">
        <v>12055234</v>
      </c>
      <c r="AS630" s="781"/>
      <c r="AT630" s="782"/>
      <c r="AU630" s="782"/>
      <c r="AV630" s="782">
        <v>12062809</v>
      </c>
      <c r="AW630" s="782"/>
      <c r="AX630" s="782" t="s">
        <v>619</v>
      </c>
      <c r="AY630" s="781"/>
      <c r="AZ630" s="781"/>
      <c r="BA630" s="781"/>
    </row>
    <row r="631" spans="1:53" ht="25" hidden="1" customHeight="1">
      <c r="B631" s="357">
        <v>45405</v>
      </c>
      <c r="C631" s="358">
        <v>45411</v>
      </c>
      <c r="D631" s="185">
        <f t="shared" si="192"/>
        <v>2024</v>
      </c>
      <c r="E631" s="358" t="str">
        <f>VLOOKUP($B631,Week!$A$1:$C$1462,2,0)</f>
        <v>Week17</v>
      </c>
      <c r="F631" s="360" t="str">
        <f t="shared" si="193"/>
        <v>Apr</v>
      </c>
      <c r="G631" s="436" t="s">
        <v>1027</v>
      </c>
      <c r="H631" s="359" t="s">
        <v>225</v>
      </c>
      <c r="I631" s="359" t="s">
        <v>2773</v>
      </c>
      <c r="J631" s="361" t="s">
        <v>650</v>
      </c>
      <c r="K631" s="362" t="s">
        <v>593</v>
      </c>
      <c r="L631" s="300" t="s">
        <v>2167</v>
      </c>
      <c r="M631" s="361" t="s">
        <v>717</v>
      </c>
      <c r="N631" s="359" t="s">
        <v>719</v>
      </c>
      <c r="O631" s="359" t="s">
        <v>230</v>
      </c>
      <c r="P631" s="363">
        <v>12</v>
      </c>
      <c r="Q631" s="363">
        <v>5</v>
      </c>
      <c r="R631" s="364">
        <v>6.0000000000000001E-3</v>
      </c>
      <c r="S631" s="359" t="s">
        <v>55</v>
      </c>
      <c r="T631" s="359" t="s">
        <v>112</v>
      </c>
      <c r="U631" s="359" t="s">
        <v>57</v>
      </c>
      <c r="V631" s="365">
        <v>2600</v>
      </c>
      <c r="W631" s="365"/>
      <c r="X631" s="366">
        <f>(693+30507)/12</f>
        <v>2600</v>
      </c>
      <c r="Y631" s="367">
        <f t="shared" si="206"/>
        <v>0</v>
      </c>
      <c r="Z631" s="368">
        <f t="shared" si="207"/>
        <v>0</v>
      </c>
      <c r="AA631" s="368"/>
      <c r="AB631" s="819"/>
      <c r="AC631" s="365"/>
      <c r="AD631" s="209"/>
      <c r="AE631" s="210"/>
      <c r="AF631" s="210"/>
      <c r="AG631" s="211">
        <f t="shared" si="208"/>
        <v>0.25800000000000001</v>
      </c>
      <c r="AH631" s="157">
        <f t="shared" si="212"/>
        <v>0</v>
      </c>
      <c r="AI631" s="152">
        <f t="shared" si="209"/>
        <v>31200</v>
      </c>
      <c r="AK631" s="156" t="s">
        <v>691</v>
      </c>
      <c r="AL631" s="574" t="s">
        <v>690</v>
      </c>
      <c r="AM631" s="198">
        <f t="shared" si="213"/>
        <v>0</v>
      </c>
      <c r="AN631" s="199">
        <f t="shared" si="194"/>
        <v>45405</v>
      </c>
      <c r="AO631" s="159" t="s">
        <v>692</v>
      </c>
      <c r="AP631" s="783" t="s">
        <v>612</v>
      </c>
      <c r="AQ631" s="782">
        <v>12071839</v>
      </c>
      <c r="AR631" s="782">
        <v>12042650</v>
      </c>
      <c r="AS631" s="782">
        <v>12042649</v>
      </c>
      <c r="AT631" s="782">
        <v>12060840</v>
      </c>
      <c r="AU631" s="781"/>
      <c r="AV631" s="782">
        <v>12060849</v>
      </c>
      <c r="AW631" s="782"/>
      <c r="AX631" s="782"/>
      <c r="AY631" s="782"/>
      <c r="AZ631" s="782"/>
      <c r="BA631" s="781"/>
    </row>
    <row r="632" spans="1:53" ht="25" hidden="1" customHeight="1">
      <c r="B632" s="546">
        <v>45405</v>
      </c>
      <c r="C632" s="547">
        <v>45439</v>
      </c>
      <c r="D632" s="185">
        <f t="shared" si="192"/>
        <v>2024</v>
      </c>
      <c r="E632" s="549" t="str">
        <f>VLOOKUP($B632,Week!$A$1:$C$1462,2,0)</f>
        <v>Week17</v>
      </c>
      <c r="F632" s="548" t="str">
        <f t="shared" si="193"/>
        <v>Apr</v>
      </c>
      <c r="G632" s="549" t="s">
        <v>1253</v>
      </c>
      <c r="H632" s="549" t="s">
        <v>831</v>
      </c>
      <c r="I632" s="549" t="s">
        <v>2772</v>
      </c>
      <c r="J632" s="550" t="s">
        <v>1130</v>
      </c>
      <c r="K632" s="551" t="s">
        <v>176</v>
      </c>
      <c r="L632" s="300" t="s">
        <v>2167</v>
      </c>
      <c r="M632" s="550" t="s">
        <v>193</v>
      </c>
      <c r="N632" s="549" t="s">
        <v>833</v>
      </c>
      <c r="O632" s="549" t="s">
        <v>195</v>
      </c>
      <c r="P632" s="552">
        <v>24</v>
      </c>
      <c r="Q632" s="552">
        <v>5</v>
      </c>
      <c r="R632" s="553">
        <v>8.0000000000000002E-3</v>
      </c>
      <c r="S632" s="549" t="s">
        <v>40</v>
      </c>
      <c r="T632" s="549" t="s">
        <v>56</v>
      </c>
      <c r="U632" s="549" t="s">
        <v>57</v>
      </c>
      <c r="V632" s="554">
        <v>150</v>
      </c>
      <c r="W632" s="554">
        <f>6+144</f>
        <v>150</v>
      </c>
      <c r="X632" s="555"/>
      <c r="Y632" s="556">
        <f t="shared" si="206"/>
        <v>0</v>
      </c>
      <c r="Z632" s="557">
        <f t="shared" si="207"/>
        <v>0</v>
      </c>
      <c r="AA632" s="554"/>
      <c r="AB632" s="833"/>
      <c r="AC632" s="554"/>
      <c r="AD632" s="381"/>
      <c r="AE632" s="220"/>
      <c r="AF632" s="220"/>
      <c r="AG632" s="211">
        <f t="shared" si="208"/>
        <v>0.14499999999999999</v>
      </c>
      <c r="AH632" s="157">
        <f t="shared" si="212"/>
        <v>0</v>
      </c>
      <c r="AI632" s="152">
        <f t="shared" si="209"/>
        <v>3600</v>
      </c>
      <c r="AK632" s="156" t="s">
        <v>691</v>
      </c>
      <c r="AL632" s="212" t="s">
        <v>690</v>
      </c>
      <c r="AM632" s="198">
        <f t="shared" si="213"/>
        <v>0</v>
      </c>
      <c r="AN632" s="199">
        <f t="shared" si="194"/>
        <v>45405</v>
      </c>
      <c r="AO632" s="159" t="s">
        <v>692</v>
      </c>
      <c r="AP632" s="783" t="s">
        <v>610</v>
      </c>
      <c r="AQ632" s="782">
        <v>12071839</v>
      </c>
      <c r="AR632" s="782">
        <v>12047514</v>
      </c>
      <c r="AS632" s="782">
        <v>12047515</v>
      </c>
      <c r="AT632" s="782"/>
      <c r="AU632" s="782">
        <v>12026902</v>
      </c>
      <c r="AV632" s="782">
        <v>12054724</v>
      </c>
      <c r="AW632" s="782">
        <v>12026904</v>
      </c>
      <c r="AX632" s="782"/>
      <c r="AY632" s="782">
        <v>12054436</v>
      </c>
      <c r="AZ632" s="782">
        <v>12054433</v>
      </c>
      <c r="BA632" s="782">
        <v>12054434</v>
      </c>
    </row>
    <row r="633" spans="1:53" ht="24.75" hidden="1" customHeight="1">
      <c r="B633" s="295">
        <v>45405</v>
      </c>
      <c r="C633" s="296">
        <v>45414</v>
      </c>
      <c r="D633" s="185">
        <f t="shared" si="192"/>
        <v>2024</v>
      </c>
      <c r="E633" s="296" t="str">
        <f>VLOOKUP($B633,Week!$A$1:$C$1462,2,0)</f>
        <v>Week17</v>
      </c>
      <c r="F633" s="297" t="str">
        <f t="shared" si="193"/>
        <v>Apr</v>
      </c>
      <c r="G633" s="298" t="s">
        <v>47</v>
      </c>
      <c r="H633" s="298" t="s">
        <v>260</v>
      </c>
      <c r="I633" s="298" t="s">
        <v>2702</v>
      </c>
      <c r="J633" s="307" t="s">
        <v>904</v>
      </c>
      <c r="K633" s="300" t="s">
        <v>176</v>
      </c>
      <c r="L633" s="300" t="s">
        <v>2167</v>
      </c>
      <c r="M633" s="299" t="s">
        <v>262</v>
      </c>
      <c r="N633" s="298" t="s">
        <v>350</v>
      </c>
      <c r="O633" s="298" t="s">
        <v>351</v>
      </c>
      <c r="P633" s="301">
        <v>24</v>
      </c>
      <c r="Q633" s="301">
        <v>5</v>
      </c>
      <c r="R633" s="302">
        <v>6.1999999999999998E-3</v>
      </c>
      <c r="S633" s="298" t="s">
        <v>352</v>
      </c>
      <c r="T633" s="298" t="s">
        <v>56</v>
      </c>
      <c r="U633" s="298" t="s">
        <v>57</v>
      </c>
      <c r="V633" s="303">
        <v>2031</v>
      </c>
      <c r="W633" s="303">
        <f>2031</f>
        <v>2031</v>
      </c>
      <c r="X633" s="304"/>
      <c r="Y633" s="305">
        <f t="shared" si="206"/>
        <v>0</v>
      </c>
      <c r="Z633" s="306">
        <f t="shared" si="207"/>
        <v>0</v>
      </c>
      <c r="AA633" s="306"/>
      <c r="AB633" s="814"/>
      <c r="AC633" s="303"/>
      <c r="AD633" s="580" t="s">
        <v>672</v>
      </c>
      <c r="AE633" s="210"/>
      <c r="AF633" s="210"/>
      <c r="AG633" s="211">
        <f t="shared" si="208"/>
        <v>0.13</v>
      </c>
      <c r="AH633" s="157">
        <f t="shared" si="212"/>
        <v>0</v>
      </c>
      <c r="AI633" s="152">
        <f t="shared" si="209"/>
        <v>48744</v>
      </c>
      <c r="AK633" s="156" t="s">
        <v>691</v>
      </c>
      <c r="AL633" s="574" t="s">
        <v>690</v>
      </c>
      <c r="AM633" s="198">
        <f t="shared" si="213"/>
        <v>0</v>
      </c>
      <c r="AN633" s="199">
        <f t="shared" si="194"/>
        <v>45405</v>
      </c>
      <c r="AO633" s="159" t="s">
        <v>692</v>
      </c>
      <c r="AP633" s="783" t="s">
        <v>629</v>
      </c>
      <c r="AQ633" s="782">
        <v>12071839</v>
      </c>
      <c r="AR633" s="782">
        <v>12078867</v>
      </c>
      <c r="AS633" s="782">
        <v>12068233</v>
      </c>
      <c r="AT633" s="781"/>
      <c r="AU633" s="781"/>
      <c r="AV633" s="782">
        <v>12062075</v>
      </c>
      <c r="AW633" s="781"/>
      <c r="AX633" s="781"/>
      <c r="AY633" s="782">
        <v>12078868</v>
      </c>
      <c r="AZ633" s="781"/>
      <c r="BA633" s="781"/>
    </row>
    <row r="634" spans="1:53" ht="25" hidden="1" customHeight="1">
      <c r="B634" s="581">
        <v>45405</v>
      </c>
      <c r="C634" s="332">
        <v>45409</v>
      </c>
      <c r="D634" s="185">
        <f t="shared" si="192"/>
        <v>2024</v>
      </c>
      <c r="E634" s="333" t="str">
        <f>VLOOKUP($B634,Week!$A$1:$C$1462,2,0)</f>
        <v>Week17</v>
      </c>
      <c r="F634" s="334" t="str">
        <f t="shared" si="193"/>
        <v>Apr</v>
      </c>
      <c r="G634" s="530" t="s">
        <v>1407</v>
      </c>
      <c r="H634" s="335" t="s">
        <v>82</v>
      </c>
      <c r="I634" s="335" t="s">
        <v>82</v>
      </c>
      <c r="J634" s="336" t="s">
        <v>235</v>
      </c>
      <c r="K634" s="337" t="s">
        <v>1643</v>
      </c>
      <c r="L634" s="300" t="s">
        <v>2167</v>
      </c>
      <c r="M634" s="336" t="s">
        <v>336</v>
      </c>
      <c r="N634" s="530" t="s">
        <v>1018</v>
      </c>
      <c r="O634" s="335" t="s">
        <v>743</v>
      </c>
      <c r="P634" s="338">
        <v>36</v>
      </c>
      <c r="Q634" s="338">
        <v>5</v>
      </c>
      <c r="R634" s="339">
        <v>7.4999999999999997E-3</v>
      </c>
      <c r="S634" s="335" t="s">
        <v>40</v>
      </c>
      <c r="T634" s="335" t="s">
        <v>112</v>
      </c>
      <c r="U634" s="340" t="s">
        <v>721</v>
      </c>
      <c r="V634" s="341">
        <v>145</v>
      </c>
      <c r="W634" s="341">
        <f>145</f>
        <v>145</v>
      </c>
      <c r="X634" s="342"/>
      <c r="Y634" s="343">
        <f t="shared" si="206"/>
        <v>0</v>
      </c>
      <c r="Z634" s="344">
        <f t="shared" si="207"/>
        <v>0</v>
      </c>
      <c r="AA634" s="344"/>
      <c r="AB634" s="817"/>
      <c r="AC634" s="341"/>
      <c r="AD634" s="307" t="s">
        <v>1403</v>
      </c>
      <c r="AE634" s="210"/>
      <c r="AF634" s="210"/>
      <c r="AG634" s="211">
        <f t="shared" si="208"/>
        <v>0.14699999999999999</v>
      </c>
      <c r="AH634" s="157">
        <f t="shared" si="212"/>
        <v>0</v>
      </c>
      <c r="AI634" s="152">
        <f t="shared" si="209"/>
        <v>5220</v>
      </c>
      <c r="AK634" s="156" t="s">
        <v>691</v>
      </c>
      <c r="AL634" s="574" t="s">
        <v>690</v>
      </c>
      <c r="AM634" s="198">
        <f t="shared" si="213"/>
        <v>0</v>
      </c>
      <c r="AN634" s="199">
        <f t="shared" si="194"/>
        <v>45405</v>
      </c>
      <c r="AO634" s="159" t="s">
        <v>692</v>
      </c>
      <c r="AP634" s="783" t="s">
        <v>639</v>
      </c>
      <c r="AQ634" s="782">
        <v>12071839</v>
      </c>
      <c r="AR634" s="782">
        <v>12047514</v>
      </c>
      <c r="AS634" s="782">
        <v>12047515</v>
      </c>
      <c r="AT634" s="782">
        <v>12090591</v>
      </c>
      <c r="AU634" s="781"/>
      <c r="AV634" s="782">
        <v>12090590</v>
      </c>
      <c r="AW634" s="782">
        <v>12024404</v>
      </c>
      <c r="AX634" s="781"/>
      <c r="AY634" s="782">
        <v>12090589</v>
      </c>
      <c r="AZ634" s="781"/>
      <c r="BA634" s="781"/>
    </row>
    <row r="635" spans="1:53" ht="25" hidden="1" customHeight="1">
      <c r="B635" s="581">
        <v>45405</v>
      </c>
      <c r="C635" s="332">
        <v>45409</v>
      </c>
      <c r="D635" s="185">
        <f t="shared" si="192"/>
        <v>2024</v>
      </c>
      <c r="E635" s="333" t="str">
        <f>VLOOKUP($B635,Week!$A$1:$C$1462,2,0)</f>
        <v>Week17</v>
      </c>
      <c r="F635" s="334" t="str">
        <f t="shared" si="193"/>
        <v>Apr</v>
      </c>
      <c r="G635" s="530" t="s">
        <v>1408</v>
      </c>
      <c r="H635" s="335" t="s">
        <v>82</v>
      </c>
      <c r="I635" s="335" t="s">
        <v>82</v>
      </c>
      <c r="J635" s="336" t="s">
        <v>235</v>
      </c>
      <c r="K635" s="337" t="s">
        <v>1643</v>
      </c>
      <c r="L635" s="300" t="s">
        <v>2167</v>
      </c>
      <c r="M635" s="336" t="s">
        <v>336</v>
      </c>
      <c r="N635" s="530" t="s">
        <v>1018</v>
      </c>
      <c r="O635" s="335" t="s">
        <v>743</v>
      </c>
      <c r="P635" s="338">
        <v>36</v>
      </c>
      <c r="Q635" s="338">
        <v>5</v>
      </c>
      <c r="R635" s="339">
        <v>7.4999999999999997E-3</v>
      </c>
      <c r="S635" s="335" t="s">
        <v>40</v>
      </c>
      <c r="T635" s="335" t="s">
        <v>112</v>
      </c>
      <c r="U635" s="340" t="s">
        <v>721</v>
      </c>
      <c r="V635" s="341">
        <v>390</v>
      </c>
      <c r="W635" s="341">
        <f>525-145+10</f>
        <v>390</v>
      </c>
      <c r="X635" s="342"/>
      <c r="Y635" s="343">
        <f t="shared" si="206"/>
        <v>0</v>
      </c>
      <c r="Z635" s="344">
        <f t="shared" si="207"/>
        <v>0</v>
      </c>
      <c r="AA635" s="344"/>
      <c r="AB635" s="817"/>
      <c r="AC635" s="341"/>
      <c r="AD635" s="209"/>
      <c r="AE635" s="210"/>
      <c r="AF635" s="210"/>
      <c r="AG635" s="211">
        <f t="shared" si="208"/>
        <v>0.14699999999999999</v>
      </c>
      <c r="AH635" s="157">
        <f t="shared" ref="AH635:AH642" si="214">(Z635*AG635)/1000</f>
        <v>0</v>
      </c>
      <c r="AI635" s="152">
        <f t="shared" si="209"/>
        <v>14040</v>
      </c>
      <c r="AK635" s="156" t="s">
        <v>691</v>
      </c>
      <c r="AL635" s="574" t="s">
        <v>690</v>
      </c>
      <c r="AM635" s="198">
        <f t="shared" ref="AM635:AM642" si="215">AG635*Z635</f>
        <v>0</v>
      </c>
      <c r="AN635" s="199">
        <f t="shared" si="194"/>
        <v>45405</v>
      </c>
      <c r="AO635" s="159" t="s">
        <v>692</v>
      </c>
      <c r="AP635" s="783" t="s">
        <v>639</v>
      </c>
      <c r="AQ635" s="782">
        <v>12071839</v>
      </c>
      <c r="AR635" s="782">
        <v>12047514</v>
      </c>
      <c r="AS635" s="782">
        <v>12047515</v>
      </c>
      <c r="AT635" s="782">
        <v>12090591</v>
      </c>
      <c r="AU635" s="781"/>
      <c r="AV635" s="782">
        <v>12090590</v>
      </c>
      <c r="AW635" s="782">
        <v>12024404</v>
      </c>
      <c r="AX635" s="781"/>
      <c r="AY635" s="782">
        <v>12090589</v>
      </c>
      <c r="AZ635" s="781"/>
      <c r="BA635" s="781"/>
    </row>
    <row r="636" spans="1:53" ht="24.65" hidden="1" customHeight="1">
      <c r="A636" s="142" t="s">
        <v>120</v>
      </c>
      <c r="B636" s="271">
        <v>45405</v>
      </c>
      <c r="C636" s="272">
        <v>45414</v>
      </c>
      <c r="D636" s="185">
        <f t="shared" si="192"/>
        <v>2024</v>
      </c>
      <c r="E636" s="272" t="str">
        <f>VLOOKUP($B636,Week!$A$1:$C$1462,2,0)</f>
        <v>Week17</v>
      </c>
      <c r="F636" s="273" t="str">
        <f t="shared" si="193"/>
        <v>Apr</v>
      </c>
      <c r="G636" s="274" t="s">
        <v>1120</v>
      </c>
      <c r="H636" s="274" t="s">
        <v>500</v>
      </c>
      <c r="I636" s="274" t="s">
        <v>2772</v>
      </c>
      <c r="J636" s="275" t="s">
        <v>285</v>
      </c>
      <c r="K636" s="276" t="s">
        <v>153</v>
      </c>
      <c r="L636" s="390" t="s">
        <v>2166</v>
      </c>
      <c r="M636" s="275" t="s">
        <v>86</v>
      </c>
      <c r="N636" s="274" t="s">
        <v>547</v>
      </c>
      <c r="O636" s="274" t="s">
        <v>548</v>
      </c>
      <c r="P636" s="277">
        <v>10</v>
      </c>
      <c r="Q636" s="277">
        <v>50</v>
      </c>
      <c r="R636" s="278">
        <v>6.8100000000000001E-3</v>
      </c>
      <c r="S636" s="274" t="s">
        <v>76</v>
      </c>
      <c r="T636" s="274" t="s">
        <v>56</v>
      </c>
      <c r="U636" s="274" t="s">
        <v>89</v>
      </c>
      <c r="V636" s="279">
        <v>510</v>
      </c>
      <c r="W636" s="279">
        <f>510</f>
        <v>510</v>
      </c>
      <c r="X636" s="280"/>
      <c r="Y636" s="281">
        <f t="shared" si="206"/>
        <v>0</v>
      </c>
      <c r="Z636" s="282">
        <f t="shared" si="207"/>
        <v>0</v>
      </c>
      <c r="AA636" s="282">
        <f>Q636*Z636</f>
        <v>0</v>
      </c>
      <c r="AB636" s="812">
        <v>6</v>
      </c>
      <c r="AC636" s="279">
        <f>Z636*AB636</f>
        <v>0</v>
      </c>
      <c r="AD636" s="209"/>
      <c r="AE636" s="210"/>
      <c r="AF636" s="210"/>
      <c r="AG636" s="211">
        <f t="shared" si="208"/>
        <v>0.63</v>
      </c>
      <c r="AH636" s="157">
        <f t="shared" si="214"/>
        <v>0</v>
      </c>
      <c r="AI636" s="152">
        <f t="shared" si="209"/>
        <v>5100</v>
      </c>
      <c r="AK636" s="156" t="s">
        <v>691</v>
      </c>
      <c r="AL636" s="156" t="s">
        <v>689</v>
      </c>
      <c r="AM636" s="198">
        <f t="shared" si="215"/>
        <v>0</v>
      </c>
      <c r="AN636" s="199">
        <f t="shared" si="194"/>
        <v>45405</v>
      </c>
      <c r="AO636" s="159" t="s">
        <v>692</v>
      </c>
      <c r="AP636" s="783" t="s">
        <v>620</v>
      </c>
      <c r="AQ636" s="782" t="s">
        <v>549</v>
      </c>
      <c r="AR636" s="782">
        <v>12055234</v>
      </c>
      <c r="AS636" s="781"/>
      <c r="AT636" s="782"/>
      <c r="AU636" s="782"/>
      <c r="AV636" s="782">
        <v>12062809</v>
      </c>
      <c r="AW636" s="782"/>
      <c r="AX636" s="782" t="s">
        <v>619</v>
      </c>
      <c r="AY636" s="781"/>
      <c r="AZ636" s="781"/>
      <c r="BA636" s="781"/>
    </row>
    <row r="637" spans="1:53" ht="25.15" hidden="1" customHeight="1">
      <c r="B637" s="345">
        <v>45406</v>
      </c>
      <c r="C637" s="346">
        <v>45420</v>
      </c>
      <c r="D637" s="185">
        <f t="shared" si="192"/>
        <v>2024</v>
      </c>
      <c r="E637" s="347" t="str">
        <f>VLOOKUP($B637,Week!$A$1:$C$1462,2,0)</f>
        <v>Week17</v>
      </c>
      <c r="F637" s="348" t="str">
        <f t="shared" si="193"/>
        <v>Apr</v>
      </c>
      <c r="G637" s="347" t="s">
        <v>1031</v>
      </c>
      <c r="H637" s="347" t="s">
        <v>424</v>
      </c>
      <c r="I637" s="347" t="s">
        <v>2772</v>
      </c>
      <c r="J637" s="438" t="s">
        <v>425</v>
      </c>
      <c r="K637" s="350" t="s">
        <v>176</v>
      </c>
      <c r="L637" s="300" t="s">
        <v>2167</v>
      </c>
      <c r="M637" s="349" t="s">
        <v>426</v>
      </c>
      <c r="N637" s="347" t="s">
        <v>427</v>
      </c>
      <c r="O637" s="347" t="s">
        <v>599</v>
      </c>
      <c r="P637" s="351">
        <v>36</v>
      </c>
      <c r="Q637" s="351">
        <v>5</v>
      </c>
      <c r="R637" s="352">
        <v>7.4999999999999997E-3</v>
      </c>
      <c r="S637" s="347" t="s">
        <v>111</v>
      </c>
      <c r="T637" s="347" t="s">
        <v>112</v>
      </c>
      <c r="U637" s="347" t="s">
        <v>57</v>
      </c>
      <c r="V637" s="353">
        <v>1288</v>
      </c>
      <c r="W637" s="353">
        <f>27+1261</f>
        <v>1288</v>
      </c>
      <c r="X637" s="354"/>
      <c r="Y637" s="355">
        <f t="shared" si="206"/>
        <v>0</v>
      </c>
      <c r="Z637" s="356">
        <f t="shared" si="207"/>
        <v>0</v>
      </c>
      <c r="AA637" s="353"/>
      <c r="AB637" s="818"/>
      <c r="AC637" s="353"/>
      <c r="AD637" s="307" t="s">
        <v>728</v>
      </c>
      <c r="AE637" s="210"/>
      <c r="AF637" s="210"/>
      <c r="AG637" s="211">
        <f t="shared" si="208"/>
        <v>0.14799999999999999</v>
      </c>
      <c r="AH637" s="157">
        <f>(Z637*AG637)/1000</f>
        <v>0</v>
      </c>
      <c r="AI637" s="152">
        <f t="shared" si="209"/>
        <v>46368</v>
      </c>
      <c r="AK637" s="156" t="s">
        <v>691</v>
      </c>
      <c r="AL637" s="574" t="s">
        <v>690</v>
      </c>
      <c r="AM637" s="198">
        <f>AG637*Z637</f>
        <v>0</v>
      </c>
      <c r="AN637" s="199">
        <f t="shared" si="194"/>
        <v>45406</v>
      </c>
      <c r="AO637" s="159" t="s">
        <v>692</v>
      </c>
      <c r="AP637" s="783" t="s">
        <v>609</v>
      </c>
      <c r="AQ637" s="782">
        <v>12071839</v>
      </c>
      <c r="AR637" s="782">
        <v>12047514</v>
      </c>
      <c r="AS637" s="782">
        <v>12047515</v>
      </c>
      <c r="AT637" s="782">
        <v>12062098</v>
      </c>
      <c r="AU637" s="782"/>
      <c r="AV637" s="782">
        <v>12062100</v>
      </c>
      <c r="AW637" s="782">
        <v>12024404</v>
      </c>
      <c r="AX637" s="781"/>
      <c r="AY637" s="782">
        <v>12062116</v>
      </c>
      <c r="AZ637" s="782"/>
      <c r="BA637" s="781"/>
    </row>
    <row r="638" spans="1:53" ht="25.15" hidden="1" customHeight="1">
      <c r="B638" s="345">
        <v>45406</v>
      </c>
      <c r="C638" s="346">
        <v>45420</v>
      </c>
      <c r="D638" s="185">
        <f t="shared" si="192"/>
        <v>2024</v>
      </c>
      <c r="E638" s="347" t="str">
        <f>VLOOKUP($B638,Week!$A$1:$C$1462,2,0)</f>
        <v>Week17</v>
      </c>
      <c r="F638" s="348" t="str">
        <f t="shared" si="193"/>
        <v>Apr</v>
      </c>
      <c r="G638" s="347" t="s">
        <v>1032</v>
      </c>
      <c r="H638" s="347" t="s">
        <v>424</v>
      </c>
      <c r="I638" s="347" t="s">
        <v>2772</v>
      </c>
      <c r="J638" s="438" t="s">
        <v>425</v>
      </c>
      <c r="K638" s="350" t="s">
        <v>176</v>
      </c>
      <c r="L638" s="300" t="s">
        <v>2167</v>
      </c>
      <c r="M638" s="349" t="s">
        <v>426</v>
      </c>
      <c r="N638" s="347" t="s">
        <v>427</v>
      </c>
      <c r="O638" s="347" t="s">
        <v>599</v>
      </c>
      <c r="P638" s="351">
        <v>36</v>
      </c>
      <c r="Q638" s="351">
        <v>5</v>
      </c>
      <c r="R638" s="352">
        <v>7.4999999999999997E-3</v>
      </c>
      <c r="S638" s="347" t="s">
        <v>111</v>
      </c>
      <c r="T638" s="347" t="s">
        <v>112</v>
      </c>
      <c r="U638" s="347" t="s">
        <v>57</v>
      </c>
      <c r="V638" s="353">
        <v>1288</v>
      </c>
      <c r="W638" s="353">
        <f>2549-1261</f>
        <v>1288</v>
      </c>
      <c r="X638" s="354"/>
      <c r="Y638" s="355">
        <f t="shared" si="206"/>
        <v>0</v>
      </c>
      <c r="Z638" s="356">
        <f t="shared" si="207"/>
        <v>0</v>
      </c>
      <c r="AA638" s="353"/>
      <c r="AB638" s="818"/>
      <c r="AC638" s="353"/>
      <c r="AD638" s="307" t="s">
        <v>728</v>
      </c>
      <c r="AE638" s="210"/>
      <c r="AF638" s="210"/>
      <c r="AG638" s="211">
        <f t="shared" si="208"/>
        <v>0.14799999999999999</v>
      </c>
      <c r="AH638" s="157">
        <f>(Z638*AG638)/1000</f>
        <v>0</v>
      </c>
      <c r="AI638" s="152">
        <f t="shared" si="209"/>
        <v>46368</v>
      </c>
      <c r="AK638" s="156" t="s">
        <v>691</v>
      </c>
      <c r="AL638" s="574" t="s">
        <v>690</v>
      </c>
      <c r="AM638" s="198">
        <f>AG638*Z638</f>
        <v>0</v>
      </c>
      <c r="AN638" s="199">
        <f t="shared" si="194"/>
        <v>45406</v>
      </c>
      <c r="AO638" s="159" t="s">
        <v>692</v>
      </c>
      <c r="AP638" s="783" t="s">
        <v>609</v>
      </c>
      <c r="AQ638" s="782">
        <v>12071839</v>
      </c>
      <c r="AR638" s="782">
        <v>12047514</v>
      </c>
      <c r="AS638" s="782">
        <v>12047515</v>
      </c>
      <c r="AT638" s="782">
        <v>12062098</v>
      </c>
      <c r="AU638" s="782"/>
      <c r="AV638" s="782">
        <v>12062100</v>
      </c>
      <c r="AW638" s="782">
        <v>12024404</v>
      </c>
      <c r="AX638" s="781"/>
      <c r="AY638" s="782">
        <v>12062116</v>
      </c>
      <c r="AZ638" s="782"/>
      <c r="BA638" s="781"/>
    </row>
    <row r="639" spans="1:53" ht="24" hidden="1" customHeight="1">
      <c r="B639" s="597">
        <v>45406</v>
      </c>
      <c r="C639" s="383">
        <v>45414</v>
      </c>
      <c r="D639" s="185">
        <f t="shared" si="192"/>
        <v>2024</v>
      </c>
      <c r="E639" s="224" t="str">
        <f>VLOOKUP($B639,Week!$A$1:$C$1462,2,0)</f>
        <v>Week17</v>
      </c>
      <c r="F639" s="226" t="str">
        <f t="shared" si="193"/>
        <v>Apr</v>
      </c>
      <c r="G639" s="225" t="s">
        <v>1108</v>
      </c>
      <c r="H639" s="225" t="s">
        <v>225</v>
      </c>
      <c r="I639" s="225" t="s">
        <v>2773</v>
      </c>
      <c r="J639" s="227" t="s">
        <v>335</v>
      </c>
      <c r="K639" s="228" t="s">
        <v>176</v>
      </c>
      <c r="L639" s="300" t="s">
        <v>2167</v>
      </c>
      <c r="M639" s="227" t="s">
        <v>336</v>
      </c>
      <c r="N639" s="225" t="s">
        <v>337</v>
      </c>
      <c r="O639" s="225" t="s">
        <v>179</v>
      </c>
      <c r="P639" s="229">
        <v>36</v>
      </c>
      <c r="Q639" s="229">
        <v>5</v>
      </c>
      <c r="R639" s="230">
        <v>7.4999999999999997E-3</v>
      </c>
      <c r="S639" s="225" t="s">
        <v>111</v>
      </c>
      <c r="T639" s="225" t="s">
        <v>112</v>
      </c>
      <c r="U639" s="225" t="s">
        <v>113</v>
      </c>
      <c r="V639" s="231">
        <v>1288</v>
      </c>
      <c r="W639" s="231">
        <f>131+18+1139</f>
        <v>1288</v>
      </c>
      <c r="X639" s="232"/>
      <c r="Y639" s="233">
        <f t="shared" si="206"/>
        <v>0</v>
      </c>
      <c r="Z639" s="234">
        <f t="shared" si="207"/>
        <v>0</v>
      </c>
      <c r="AA639" s="234"/>
      <c r="AB639" s="822"/>
      <c r="AC639" s="231"/>
      <c r="AD639" s="307" t="s">
        <v>672</v>
      </c>
      <c r="AE639" s="210"/>
      <c r="AF639" s="210"/>
      <c r="AG639" s="211">
        <f t="shared" si="208"/>
        <v>0.14499999999999999</v>
      </c>
      <c r="AH639" s="157">
        <f t="shared" si="214"/>
        <v>0</v>
      </c>
      <c r="AI639" s="152">
        <f t="shared" si="209"/>
        <v>46368</v>
      </c>
      <c r="AK639" s="156" t="s">
        <v>691</v>
      </c>
      <c r="AL639" s="574" t="s">
        <v>690</v>
      </c>
      <c r="AM639" s="198">
        <f t="shared" si="215"/>
        <v>0</v>
      </c>
      <c r="AN639" s="199">
        <f t="shared" si="194"/>
        <v>45406</v>
      </c>
      <c r="AO639" s="159" t="s">
        <v>692</v>
      </c>
      <c r="AP639" s="783" t="s">
        <v>639</v>
      </c>
      <c r="AQ639" s="782">
        <v>12071839</v>
      </c>
      <c r="AR639" s="782">
        <v>12047514</v>
      </c>
      <c r="AS639" s="782">
        <v>12047515</v>
      </c>
      <c r="AT639" s="782">
        <v>12054919</v>
      </c>
      <c r="AU639" s="781"/>
      <c r="AV639" s="782">
        <v>12054869</v>
      </c>
      <c r="AW639" s="782">
        <v>12024404</v>
      </c>
      <c r="AX639" s="781"/>
      <c r="AY639" s="782">
        <v>12054815</v>
      </c>
      <c r="AZ639" s="781"/>
      <c r="BA639" s="781"/>
    </row>
    <row r="640" spans="1:53" ht="25" hidden="1" customHeight="1">
      <c r="B640" s="597">
        <v>45406</v>
      </c>
      <c r="C640" s="383">
        <v>45420</v>
      </c>
      <c r="D640" s="185">
        <f t="shared" si="192"/>
        <v>2024</v>
      </c>
      <c r="E640" s="224" t="str">
        <f>VLOOKUP($B640,Week!$A$1:$C$1462,2,0)</f>
        <v>Week17</v>
      </c>
      <c r="F640" s="226" t="str">
        <f t="shared" si="193"/>
        <v>Apr</v>
      </c>
      <c r="G640" s="225" t="s">
        <v>1171</v>
      </c>
      <c r="H640" s="225" t="s">
        <v>225</v>
      </c>
      <c r="I640" s="225" t="s">
        <v>2773</v>
      </c>
      <c r="J640" s="227" t="s">
        <v>335</v>
      </c>
      <c r="K640" s="228" t="s">
        <v>176</v>
      </c>
      <c r="L640" s="300" t="s">
        <v>2167</v>
      </c>
      <c r="M640" s="227" t="s">
        <v>336</v>
      </c>
      <c r="N640" s="225" t="s">
        <v>337</v>
      </c>
      <c r="O640" s="225" t="s">
        <v>179</v>
      </c>
      <c r="P640" s="229">
        <v>36</v>
      </c>
      <c r="Q640" s="229">
        <v>5</v>
      </c>
      <c r="R640" s="230">
        <v>7.4999999999999997E-3</v>
      </c>
      <c r="S640" s="225" t="s">
        <v>111</v>
      </c>
      <c r="T640" s="225" t="s">
        <v>112</v>
      </c>
      <c r="U640" s="225" t="s">
        <v>113</v>
      </c>
      <c r="V640" s="231">
        <v>222</v>
      </c>
      <c r="W640" s="231">
        <f>1361-1139</f>
        <v>222</v>
      </c>
      <c r="X640" s="232"/>
      <c r="Y640" s="233">
        <f t="shared" si="206"/>
        <v>0</v>
      </c>
      <c r="Z640" s="234">
        <f t="shared" si="207"/>
        <v>0</v>
      </c>
      <c r="AA640" s="234"/>
      <c r="AB640" s="822"/>
      <c r="AC640" s="231"/>
      <c r="AD640" s="307" t="s">
        <v>672</v>
      </c>
      <c r="AE640" s="210"/>
      <c r="AF640" s="210"/>
      <c r="AG640" s="211">
        <f t="shared" si="208"/>
        <v>0.14499999999999999</v>
      </c>
      <c r="AH640" s="157">
        <f t="shared" si="214"/>
        <v>0</v>
      </c>
      <c r="AI640" s="152">
        <f t="shared" si="209"/>
        <v>7992</v>
      </c>
      <c r="AK640" s="156" t="s">
        <v>691</v>
      </c>
      <c r="AL640" s="574" t="s">
        <v>690</v>
      </c>
      <c r="AM640" s="198">
        <f>AG640*Z640</f>
        <v>0</v>
      </c>
      <c r="AN640" s="199">
        <f t="shared" si="194"/>
        <v>45406</v>
      </c>
      <c r="AO640" s="159" t="s">
        <v>692</v>
      </c>
      <c r="AP640" s="783" t="s">
        <v>639</v>
      </c>
      <c r="AQ640" s="782">
        <v>12071839</v>
      </c>
      <c r="AR640" s="782">
        <v>12047514</v>
      </c>
      <c r="AS640" s="782">
        <v>12047515</v>
      </c>
      <c r="AT640" s="782">
        <v>12054919</v>
      </c>
      <c r="AU640" s="781"/>
      <c r="AV640" s="782">
        <v>12054869</v>
      </c>
      <c r="AW640" s="782">
        <v>12024404</v>
      </c>
      <c r="AX640" s="781"/>
      <c r="AY640" s="782">
        <v>12054815</v>
      </c>
      <c r="AZ640" s="781"/>
      <c r="BA640" s="781"/>
    </row>
    <row r="641" spans="1:53" ht="25" hidden="1" customHeight="1">
      <c r="B641" s="213">
        <v>45406</v>
      </c>
      <c r="C641" s="214">
        <v>45420</v>
      </c>
      <c r="D641" s="185">
        <f t="shared" si="192"/>
        <v>2024</v>
      </c>
      <c r="E641" s="215" t="str">
        <f>VLOOKUP($B641,Week!$A$1:$C$1462,2,0)</f>
        <v>Week17</v>
      </c>
      <c r="F641" s="216" t="str">
        <f t="shared" si="193"/>
        <v>Apr</v>
      </c>
      <c r="G641" s="215" t="s">
        <v>1147</v>
      </c>
      <c r="H641" s="215" t="s">
        <v>134</v>
      </c>
      <c r="I641" s="215" t="s">
        <v>2772</v>
      </c>
      <c r="J641" s="209" t="s">
        <v>164</v>
      </c>
      <c r="K641" s="217" t="s">
        <v>176</v>
      </c>
      <c r="L641" s="300" t="s">
        <v>2167</v>
      </c>
      <c r="M641" s="209" t="s">
        <v>193</v>
      </c>
      <c r="N641" s="215" t="s">
        <v>194</v>
      </c>
      <c r="O641" s="215" t="s">
        <v>195</v>
      </c>
      <c r="P641" s="218">
        <v>24</v>
      </c>
      <c r="Q641" s="218">
        <v>5</v>
      </c>
      <c r="R641" s="219">
        <v>8.0000000000000002E-3</v>
      </c>
      <c r="S641" s="215" t="s">
        <v>40</v>
      </c>
      <c r="T641" s="215" t="s">
        <v>56</v>
      </c>
      <c r="U641" s="215" t="s">
        <v>57</v>
      </c>
      <c r="V641" s="220">
        <f>250</f>
        <v>250</v>
      </c>
      <c r="W641" s="220">
        <f>246+4</f>
        <v>250</v>
      </c>
      <c r="X641" s="221"/>
      <c r="Y641" s="222">
        <f t="shared" si="206"/>
        <v>0</v>
      </c>
      <c r="Z641" s="223">
        <f t="shared" si="207"/>
        <v>0</v>
      </c>
      <c r="AA641" s="220"/>
      <c r="AB641" s="807"/>
      <c r="AC641" s="220"/>
      <c r="AD641" s="381"/>
      <c r="AE641" s="220"/>
      <c r="AF641" s="220"/>
      <c r="AG641" s="211">
        <f t="shared" si="208"/>
        <v>0.14499999999999999</v>
      </c>
      <c r="AH641" s="157">
        <f t="shared" si="214"/>
        <v>0</v>
      </c>
      <c r="AI641" s="152">
        <f t="shared" si="209"/>
        <v>6000</v>
      </c>
      <c r="AK641" s="156" t="s">
        <v>691</v>
      </c>
      <c r="AL641" s="212" t="s">
        <v>690</v>
      </c>
      <c r="AM641" s="198">
        <f t="shared" si="215"/>
        <v>0</v>
      </c>
      <c r="AN641" s="199">
        <f t="shared" si="194"/>
        <v>45406</v>
      </c>
      <c r="AO641" s="159" t="s">
        <v>692</v>
      </c>
      <c r="AP641" s="783" t="s">
        <v>610</v>
      </c>
      <c r="AQ641" s="782">
        <v>12071839</v>
      </c>
      <c r="AR641" s="782">
        <v>12047514</v>
      </c>
      <c r="AS641" s="782">
        <v>12047515</v>
      </c>
      <c r="AT641" s="782"/>
      <c r="AU641" s="782">
        <v>12026902</v>
      </c>
      <c r="AV641" s="782">
        <v>12054724</v>
      </c>
      <c r="AW641" s="782">
        <v>12026904</v>
      </c>
      <c r="AX641" s="782"/>
      <c r="AY641" s="782">
        <v>12054436</v>
      </c>
      <c r="AZ641" s="782">
        <v>12054433</v>
      </c>
      <c r="BA641" s="782">
        <v>12054434</v>
      </c>
    </row>
    <row r="642" spans="1:53" ht="24.65" hidden="1" customHeight="1">
      <c r="A642" s="142" t="s">
        <v>120</v>
      </c>
      <c r="B642" s="271">
        <v>45406</v>
      </c>
      <c r="C642" s="272">
        <v>45414</v>
      </c>
      <c r="D642" s="185">
        <f t="shared" si="192"/>
        <v>2024</v>
      </c>
      <c r="E642" s="272" t="str">
        <f>VLOOKUP($B642,Week!$A$1:$C$1462,2,0)</f>
        <v>Week17</v>
      </c>
      <c r="F642" s="273" t="str">
        <f t="shared" si="193"/>
        <v>Apr</v>
      </c>
      <c r="G642" s="274" t="s">
        <v>1120</v>
      </c>
      <c r="H642" s="274" t="s">
        <v>500</v>
      </c>
      <c r="I642" s="274" t="s">
        <v>2772</v>
      </c>
      <c r="J642" s="275" t="s">
        <v>285</v>
      </c>
      <c r="K642" s="276" t="s">
        <v>153</v>
      </c>
      <c r="L642" s="390" t="s">
        <v>2166</v>
      </c>
      <c r="M642" s="275" t="s">
        <v>86</v>
      </c>
      <c r="N642" s="274" t="s">
        <v>547</v>
      </c>
      <c r="O642" s="274" t="s">
        <v>548</v>
      </c>
      <c r="P642" s="277">
        <v>10</v>
      </c>
      <c r="Q642" s="277">
        <v>50</v>
      </c>
      <c r="R642" s="278">
        <v>6.8100000000000001E-3</v>
      </c>
      <c r="S642" s="274" t="s">
        <v>76</v>
      </c>
      <c r="T642" s="274" t="s">
        <v>56</v>
      </c>
      <c r="U642" s="274" t="s">
        <v>89</v>
      </c>
      <c r="V642" s="279">
        <v>513</v>
      </c>
      <c r="W642" s="279">
        <v>513</v>
      </c>
      <c r="X642" s="280"/>
      <c r="Y642" s="281">
        <f t="shared" si="206"/>
        <v>0</v>
      </c>
      <c r="Z642" s="282">
        <f t="shared" si="207"/>
        <v>0</v>
      </c>
      <c r="AA642" s="282">
        <f>Q642*Z642</f>
        <v>0</v>
      </c>
      <c r="AB642" s="812">
        <v>6</v>
      </c>
      <c r="AC642" s="279">
        <f>Z642*AB642</f>
        <v>0</v>
      </c>
      <c r="AD642" s="209"/>
      <c r="AE642" s="210"/>
      <c r="AF642" s="210"/>
      <c r="AG642" s="211">
        <f t="shared" si="208"/>
        <v>0.63</v>
      </c>
      <c r="AH642" s="157">
        <f t="shared" si="214"/>
        <v>0</v>
      </c>
      <c r="AI642" s="152">
        <f t="shared" si="209"/>
        <v>5130</v>
      </c>
      <c r="AK642" s="156" t="s">
        <v>691</v>
      </c>
      <c r="AL642" s="156" t="s">
        <v>689</v>
      </c>
      <c r="AM642" s="198">
        <f t="shared" si="215"/>
        <v>0</v>
      </c>
      <c r="AN642" s="199">
        <f t="shared" si="194"/>
        <v>45406</v>
      </c>
      <c r="AO642" s="159" t="s">
        <v>692</v>
      </c>
      <c r="AP642" s="783" t="s">
        <v>620</v>
      </c>
      <c r="AQ642" s="782" t="s">
        <v>549</v>
      </c>
      <c r="AR642" s="782">
        <v>12055234</v>
      </c>
      <c r="AS642" s="781"/>
      <c r="AT642" s="782"/>
      <c r="AU642" s="782"/>
      <c r="AV642" s="782">
        <v>12062809</v>
      </c>
      <c r="AW642" s="782"/>
      <c r="AX642" s="782" t="s">
        <v>619</v>
      </c>
      <c r="AY642" s="781"/>
      <c r="AZ642" s="781"/>
      <c r="BA642" s="781"/>
    </row>
    <row r="643" spans="1:53" ht="24.65" hidden="1" customHeight="1">
      <c r="B643" s="411">
        <v>45407</v>
      </c>
      <c r="C643" s="412">
        <v>45439</v>
      </c>
      <c r="D643" s="185">
        <f t="shared" si="192"/>
        <v>2024</v>
      </c>
      <c r="E643" s="412" t="str">
        <f>VLOOKUP($B643,Week!$A$1:$C$1462,2,0)</f>
        <v>Week17</v>
      </c>
      <c r="F643" s="413" t="str">
        <f t="shared" si="193"/>
        <v>Apr</v>
      </c>
      <c r="G643" s="414" t="s">
        <v>47</v>
      </c>
      <c r="H643" s="414" t="s">
        <v>260</v>
      </c>
      <c r="I643" s="298" t="s">
        <v>2702</v>
      </c>
      <c r="J643" s="415" t="s">
        <v>261</v>
      </c>
      <c r="K643" s="416" t="s">
        <v>94</v>
      </c>
      <c r="L643" s="300" t="s">
        <v>2167</v>
      </c>
      <c r="M643" s="415" t="s">
        <v>1303</v>
      </c>
      <c r="N643" s="414" t="s">
        <v>263</v>
      </c>
      <c r="O643" s="414" t="s">
        <v>195</v>
      </c>
      <c r="P643" s="417">
        <v>24</v>
      </c>
      <c r="Q643" s="417">
        <v>5</v>
      </c>
      <c r="R643" s="418">
        <v>8.0000000000000002E-3</v>
      </c>
      <c r="S643" s="414" t="s">
        <v>40</v>
      </c>
      <c r="T643" s="414" t="s">
        <v>56</v>
      </c>
      <c r="U643" s="414" t="s">
        <v>57</v>
      </c>
      <c r="V643" s="419">
        <v>2236</v>
      </c>
      <c r="W643" s="419">
        <f>2236</f>
        <v>2236</v>
      </c>
      <c r="X643" s="420"/>
      <c r="Y643" s="421">
        <f t="shared" si="206"/>
        <v>0</v>
      </c>
      <c r="Z643" s="422">
        <f t="shared" si="207"/>
        <v>0</v>
      </c>
      <c r="AA643" s="422"/>
      <c r="AB643" s="825"/>
      <c r="AC643" s="419"/>
      <c r="AD643" s="209"/>
      <c r="AE643" s="210"/>
      <c r="AF643" s="210"/>
      <c r="AG643" s="211">
        <f t="shared" si="208"/>
        <v>0.14499999999999999</v>
      </c>
      <c r="AH643" s="157">
        <f t="shared" ref="AH643:AH650" si="216">(Z643*AG643)/1000</f>
        <v>0</v>
      </c>
      <c r="AI643" s="152">
        <f t="shared" si="209"/>
        <v>53664</v>
      </c>
      <c r="AK643" s="156" t="s">
        <v>691</v>
      </c>
      <c r="AL643" s="212" t="s">
        <v>690</v>
      </c>
      <c r="AM643" s="198">
        <f t="shared" ref="AM643:AM650" si="217">AG643*Z643</f>
        <v>0</v>
      </c>
      <c r="AN643" s="199">
        <f t="shared" si="194"/>
        <v>45407</v>
      </c>
      <c r="AO643" s="159" t="s">
        <v>692</v>
      </c>
      <c r="AP643" s="783" t="s">
        <v>609</v>
      </c>
      <c r="AQ643" s="782">
        <v>12071839</v>
      </c>
      <c r="AR643" s="782">
        <v>12047514</v>
      </c>
      <c r="AS643" s="782">
        <v>12047515</v>
      </c>
      <c r="AT643" s="781"/>
      <c r="AU643" s="781"/>
      <c r="AV643" s="782">
        <v>12080613</v>
      </c>
      <c r="AW643" s="781"/>
      <c r="AX643" s="781"/>
      <c r="AY643" s="782">
        <v>12080614</v>
      </c>
      <c r="AZ643" s="782">
        <v>12080616</v>
      </c>
      <c r="BA643" s="781"/>
    </row>
    <row r="644" spans="1:53" ht="24.65" hidden="1" customHeight="1">
      <c r="A644" s="529" t="s">
        <v>1357</v>
      </c>
      <c r="B644" s="246">
        <v>45407</v>
      </c>
      <c r="C644" s="247">
        <v>45411</v>
      </c>
      <c r="D644" s="185">
        <f t="shared" si="192"/>
        <v>2024</v>
      </c>
      <c r="E644" s="247" t="str">
        <f>VLOOKUP($B644,Week!$A$1:$C$1462,2,0)</f>
        <v>Week17</v>
      </c>
      <c r="F644" s="248" t="str">
        <f t="shared" si="193"/>
        <v>Apr</v>
      </c>
      <c r="G644" s="249" t="s">
        <v>47</v>
      </c>
      <c r="H644" s="249" t="s">
        <v>260</v>
      </c>
      <c r="I644" s="298" t="s">
        <v>2702</v>
      </c>
      <c r="J644" s="250" t="s">
        <v>70</v>
      </c>
      <c r="K644" s="251" t="s">
        <v>1020</v>
      </c>
      <c r="L644" s="300" t="s">
        <v>2167</v>
      </c>
      <c r="M644" s="250" t="s">
        <v>741</v>
      </c>
      <c r="N644" s="249" t="s">
        <v>740</v>
      </c>
      <c r="O644" s="249" t="s">
        <v>742</v>
      </c>
      <c r="P644" s="252">
        <v>24</v>
      </c>
      <c r="Q644" s="252">
        <v>5</v>
      </c>
      <c r="R644" s="249">
        <v>6.1999999999999998E-3</v>
      </c>
      <c r="S644" s="249" t="s">
        <v>352</v>
      </c>
      <c r="T644" s="249" t="s">
        <v>56</v>
      </c>
      <c r="U644" s="249" t="s">
        <v>739</v>
      </c>
      <c r="V644" s="254">
        <f>289</f>
        <v>289</v>
      </c>
      <c r="W644" s="254">
        <f>289</f>
        <v>289</v>
      </c>
      <c r="X644" s="255"/>
      <c r="Y644" s="256">
        <f t="shared" si="206"/>
        <v>0</v>
      </c>
      <c r="Z644" s="257">
        <f t="shared" si="207"/>
        <v>0</v>
      </c>
      <c r="AA644" s="257"/>
      <c r="AB644" s="810"/>
      <c r="AC644" s="254"/>
      <c r="AD644" s="209"/>
      <c r="AE644" s="210"/>
      <c r="AF644" s="210"/>
      <c r="AG644" s="211">
        <f t="shared" si="208"/>
        <v>0.14299999999999999</v>
      </c>
      <c r="AH644" s="157">
        <f t="shared" si="216"/>
        <v>0</v>
      </c>
      <c r="AI644" s="152">
        <f t="shared" si="209"/>
        <v>6936</v>
      </c>
      <c r="AK644" s="156" t="s">
        <v>691</v>
      </c>
      <c r="AL644" s="212" t="s">
        <v>690</v>
      </c>
      <c r="AM644" s="198">
        <f t="shared" si="217"/>
        <v>0</v>
      </c>
      <c r="AN644" s="199">
        <f t="shared" si="194"/>
        <v>45407</v>
      </c>
      <c r="AO644" s="159" t="s">
        <v>692</v>
      </c>
      <c r="AP644" s="783" t="s">
        <v>609</v>
      </c>
      <c r="AQ644" s="782">
        <v>12071839</v>
      </c>
      <c r="AR644" s="782">
        <v>12047514</v>
      </c>
      <c r="AS644" s="782">
        <v>12047515</v>
      </c>
      <c r="AT644" s="781"/>
      <c r="AU644" s="781"/>
      <c r="AV644" s="782">
        <v>12089668</v>
      </c>
      <c r="AW644" s="781"/>
      <c r="AX644" s="781"/>
      <c r="AY644" s="782">
        <v>12088311</v>
      </c>
      <c r="AZ644" s="782">
        <v>12088315</v>
      </c>
      <c r="BA644" s="781"/>
    </row>
    <row r="645" spans="1:53" ht="24.65" hidden="1" customHeight="1">
      <c r="A645" s="529" t="s">
        <v>1357</v>
      </c>
      <c r="B645" s="246">
        <v>45407</v>
      </c>
      <c r="C645" s="247">
        <v>45413</v>
      </c>
      <c r="D645" s="185">
        <f t="shared" ref="D645:D708" si="218">IF(B645="","",YEAR(B645))</f>
        <v>2024</v>
      </c>
      <c r="E645" s="247" t="str">
        <f>VLOOKUP($B645,Week!$A$1:$C$1462,2,0)</f>
        <v>Week17</v>
      </c>
      <c r="F645" s="248" t="str">
        <f t="shared" ref="F645:F708" si="219">IF(B645="","",TEXT(B645,"[$-409]mmm"))</f>
        <v>Apr</v>
      </c>
      <c r="G645" s="249" t="s">
        <v>47</v>
      </c>
      <c r="H645" s="249" t="s">
        <v>260</v>
      </c>
      <c r="I645" s="298" t="s">
        <v>2702</v>
      </c>
      <c r="J645" s="250" t="s">
        <v>70</v>
      </c>
      <c r="K645" s="251" t="s">
        <v>1020</v>
      </c>
      <c r="L645" s="300" t="s">
        <v>2167</v>
      </c>
      <c r="M645" s="250" t="s">
        <v>741</v>
      </c>
      <c r="N645" s="249" t="s">
        <v>740</v>
      </c>
      <c r="O645" s="249" t="s">
        <v>742</v>
      </c>
      <c r="P645" s="252">
        <v>24</v>
      </c>
      <c r="Q645" s="252">
        <v>5</v>
      </c>
      <c r="R645" s="249">
        <v>6.1999999999999998E-3</v>
      </c>
      <c r="S645" s="249" t="s">
        <v>352</v>
      </c>
      <c r="T645" s="249" t="s">
        <v>56</v>
      </c>
      <c r="U645" s="249" t="s">
        <v>739</v>
      </c>
      <c r="V645" s="254">
        <v>2979</v>
      </c>
      <c r="W645" s="254">
        <f>3268-289</f>
        <v>2979</v>
      </c>
      <c r="X645" s="255"/>
      <c r="Y645" s="256">
        <f t="shared" si="206"/>
        <v>0</v>
      </c>
      <c r="Z645" s="257">
        <f t="shared" si="207"/>
        <v>0</v>
      </c>
      <c r="AA645" s="257"/>
      <c r="AB645" s="810"/>
      <c r="AC645" s="254"/>
      <c r="AD645" s="209"/>
      <c r="AE645" s="210"/>
      <c r="AF645" s="210"/>
      <c r="AG645" s="211">
        <f t="shared" si="208"/>
        <v>0.14299999999999999</v>
      </c>
      <c r="AH645" s="157">
        <f t="shared" si="216"/>
        <v>0</v>
      </c>
      <c r="AI645" s="152">
        <f t="shared" si="209"/>
        <v>71496</v>
      </c>
      <c r="AK645" s="156" t="s">
        <v>691</v>
      </c>
      <c r="AL645" s="212" t="s">
        <v>690</v>
      </c>
      <c r="AM645" s="198">
        <f t="shared" si="217"/>
        <v>0</v>
      </c>
      <c r="AN645" s="199">
        <f t="shared" ref="AN645:AN708" si="220">B645</f>
        <v>45407</v>
      </c>
      <c r="AO645" s="159" t="s">
        <v>692</v>
      </c>
      <c r="AP645" s="783" t="s">
        <v>609</v>
      </c>
      <c r="AQ645" s="782">
        <v>12071839</v>
      </c>
      <c r="AR645" s="782">
        <v>12047514</v>
      </c>
      <c r="AS645" s="782">
        <v>12047515</v>
      </c>
      <c r="AT645" s="781"/>
      <c r="AU645" s="781"/>
      <c r="AV645" s="782">
        <v>12089668</v>
      </c>
      <c r="AW645" s="781"/>
      <c r="AX645" s="781"/>
      <c r="AY645" s="782">
        <v>12088311</v>
      </c>
      <c r="AZ645" s="782">
        <v>12088315</v>
      </c>
      <c r="BA645" s="781"/>
    </row>
    <row r="646" spans="1:53" ht="24.65" hidden="1" customHeight="1">
      <c r="B646" s="546">
        <v>45407</v>
      </c>
      <c r="C646" s="547">
        <v>45411</v>
      </c>
      <c r="D646" s="185">
        <f t="shared" si="218"/>
        <v>2024</v>
      </c>
      <c r="E646" s="547" t="str">
        <f>VLOOKUP($B646,Week!$A$1:$C$1462,2,0)</f>
        <v>Week17</v>
      </c>
      <c r="F646" s="548" t="str">
        <f t="shared" si="219"/>
        <v>Apr</v>
      </c>
      <c r="G646" s="549" t="s">
        <v>47</v>
      </c>
      <c r="H646" s="549" t="s">
        <v>518</v>
      </c>
      <c r="I646" s="298" t="s">
        <v>2702</v>
      </c>
      <c r="J646" s="550" t="s">
        <v>70</v>
      </c>
      <c r="K646" s="551" t="s">
        <v>1020</v>
      </c>
      <c r="L646" s="300" t="s">
        <v>2167</v>
      </c>
      <c r="M646" s="550" t="s">
        <v>746</v>
      </c>
      <c r="N646" s="618" t="s">
        <v>751</v>
      </c>
      <c r="O646" s="549" t="s">
        <v>747</v>
      </c>
      <c r="P646" s="552">
        <v>12</v>
      </c>
      <c r="Q646" s="552">
        <v>5</v>
      </c>
      <c r="R646" s="549">
        <v>6.1999999999999998E-3</v>
      </c>
      <c r="S646" s="549" t="s">
        <v>352</v>
      </c>
      <c r="T646" s="549" t="s">
        <v>56</v>
      </c>
      <c r="U646" s="549" t="s">
        <v>739</v>
      </c>
      <c r="V646" s="554">
        <f>228</f>
        <v>228</v>
      </c>
      <c r="W646" s="554">
        <v>228</v>
      </c>
      <c r="X646" s="555"/>
      <c r="Y646" s="556">
        <f t="shared" si="206"/>
        <v>0</v>
      </c>
      <c r="Z646" s="557">
        <f t="shared" si="207"/>
        <v>0</v>
      </c>
      <c r="AA646" s="557"/>
      <c r="AB646" s="833"/>
      <c r="AC646" s="554"/>
      <c r="AD646" s="209"/>
      <c r="AE646" s="210"/>
      <c r="AF646" s="210"/>
      <c r="AG646" s="211">
        <f t="shared" si="208"/>
        <v>0.14299999999999999</v>
      </c>
      <c r="AH646" s="157">
        <f t="shared" si="216"/>
        <v>0</v>
      </c>
      <c r="AI646" s="152">
        <f t="shared" si="209"/>
        <v>2736</v>
      </c>
      <c r="AK646" s="156" t="s">
        <v>691</v>
      </c>
      <c r="AL646" s="212" t="s">
        <v>690</v>
      </c>
      <c r="AM646" s="198">
        <f t="shared" si="217"/>
        <v>0</v>
      </c>
      <c r="AN646" s="199">
        <f t="shared" si="220"/>
        <v>45407</v>
      </c>
      <c r="AO646" s="159" t="s">
        <v>692</v>
      </c>
      <c r="AP646" s="783" t="s">
        <v>609</v>
      </c>
      <c r="AQ646" s="782">
        <v>12071839</v>
      </c>
      <c r="AR646" s="782">
        <v>12047514</v>
      </c>
      <c r="AS646" s="782">
        <v>12047515</v>
      </c>
      <c r="AT646" s="781"/>
      <c r="AU646" s="781"/>
      <c r="AV646" s="782">
        <v>12080616</v>
      </c>
      <c r="AW646" s="781"/>
      <c r="AX646" s="781"/>
      <c r="AY646" s="782">
        <v>12080614</v>
      </c>
      <c r="AZ646" s="782">
        <v>12080616</v>
      </c>
      <c r="BA646" s="781"/>
    </row>
    <row r="647" spans="1:53" ht="24.65" hidden="1" customHeight="1">
      <c r="A647" s="142" t="s">
        <v>120</v>
      </c>
      <c r="B647" s="271">
        <v>45407</v>
      </c>
      <c r="C647" s="272">
        <v>45414</v>
      </c>
      <c r="D647" s="185">
        <f t="shared" si="218"/>
        <v>2024</v>
      </c>
      <c r="E647" s="272" t="str">
        <f>VLOOKUP($B647,Week!$A$1:$C$1462,2,0)</f>
        <v>Week17</v>
      </c>
      <c r="F647" s="273" t="str">
        <f t="shared" si="219"/>
        <v>Apr</v>
      </c>
      <c r="G647" s="274" t="s">
        <v>1120</v>
      </c>
      <c r="H647" s="274" t="s">
        <v>500</v>
      </c>
      <c r="I647" s="274" t="s">
        <v>2772</v>
      </c>
      <c r="J647" s="275" t="s">
        <v>285</v>
      </c>
      <c r="K647" s="276" t="s">
        <v>153</v>
      </c>
      <c r="L647" s="390" t="s">
        <v>2166</v>
      </c>
      <c r="M647" s="275" t="s">
        <v>86</v>
      </c>
      <c r="N647" s="274" t="s">
        <v>547</v>
      </c>
      <c r="O647" s="274" t="s">
        <v>548</v>
      </c>
      <c r="P647" s="277">
        <v>10</v>
      </c>
      <c r="Q647" s="277">
        <v>50</v>
      </c>
      <c r="R647" s="278">
        <v>6.8100000000000001E-3</v>
      </c>
      <c r="S647" s="274" t="s">
        <v>76</v>
      </c>
      <c r="T647" s="274" t="s">
        <v>56</v>
      </c>
      <c r="U647" s="274" t="s">
        <v>89</v>
      </c>
      <c r="V647" s="279">
        <v>466</v>
      </c>
      <c r="W647" s="279">
        <v>466</v>
      </c>
      <c r="X647" s="280"/>
      <c r="Y647" s="281">
        <f t="shared" si="206"/>
        <v>0</v>
      </c>
      <c r="Z647" s="282">
        <f t="shared" si="207"/>
        <v>0</v>
      </c>
      <c r="AA647" s="282">
        <f>Q647*Z647</f>
        <v>0</v>
      </c>
      <c r="AB647" s="812">
        <v>6</v>
      </c>
      <c r="AC647" s="279">
        <f>Z647*AB647</f>
        <v>0</v>
      </c>
      <c r="AD647" s="209"/>
      <c r="AE647" s="210"/>
      <c r="AF647" s="210"/>
      <c r="AG647" s="211">
        <f t="shared" si="208"/>
        <v>0.63</v>
      </c>
      <c r="AH647" s="157">
        <f t="shared" si="216"/>
        <v>0</v>
      </c>
      <c r="AI647" s="152">
        <f t="shared" si="209"/>
        <v>4660</v>
      </c>
      <c r="AK647" s="156" t="s">
        <v>691</v>
      </c>
      <c r="AL647" s="156" t="s">
        <v>689</v>
      </c>
      <c r="AM647" s="198">
        <f t="shared" si="217"/>
        <v>0</v>
      </c>
      <c r="AN647" s="199">
        <f t="shared" si="220"/>
        <v>45407</v>
      </c>
      <c r="AO647" s="159" t="s">
        <v>692</v>
      </c>
      <c r="AP647" s="783" t="s">
        <v>620</v>
      </c>
      <c r="AQ647" s="782" t="s">
        <v>549</v>
      </c>
      <c r="AR647" s="782">
        <v>12055234</v>
      </c>
      <c r="AS647" s="781"/>
      <c r="AT647" s="782"/>
      <c r="AU647" s="782"/>
      <c r="AV647" s="782">
        <v>12062809</v>
      </c>
      <c r="AW647" s="782"/>
      <c r="AX647" s="782" t="s">
        <v>619</v>
      </c>
      <c r="AY647" s="781"/>
      <c r="AZ647" s="781"/>
      <c r="BA647" s="781"/>
    </row>
    <row r="648" spans="1:53" ht="25" hidden="1" customHeight="1">
      <c r="B648" s="213">
        <v>45408</v>
      </c>
      <c r="C648" s="213">
        <v>45411</v>
      </c>
      <c r="D648" s="185">
        <f t="shared" si="218"/>
        <v>2024</v>
      </c>
      <c r="E648" s="215" t="str">
        <f>VLOOKUP($B648,Week!$A$1:$C$1462,2,0)</f>
        <v>Week17</v>
      </c>
      <c r="F648" s="216" t="str">
        <f t="shared" si="219"/>
        <v>Apr</v>
      </c>
      <c r="G648" s="215" t="s">
        <v>1072</v>
      </c>
      <c r="H648" s="215" t="s">
        <v>104</v>
      </c>
      <c r="I648" s="215" t="s">
        <v>2772</v>
      </c>
      <c r="J648" s="209" t="s">
        <v>105</v>
      </c>
      <c r="K648" s="217" t="s">
        <v>107</v>
      </c>
      <c r="L648" s="300" t="s">
        <v>2167</v>
      </c>
      <c r="M648" s="209" t="s">
        <v>108</v>
      </c>
      <c r="N648" s="215" t="s">
        <v>109</v>
      </c>
      <c r="O648" s="215" t="s">
        <v>110</v>
      </c>
      <c r="P648" s="218">
        <v>36</v>
      </c>
      <c r="Q648" s="218">
        <v>5</v>
      </c>
      <c r="R648" s="219">
        <v>7.4999999999999997E-3</v>
      </c>
      <c r="S648" s="215" t="s">
        <v>111</v>
      </c>
      <c r="T648" s="215" t="s">
        <v>112</v>
      </c>
      <c r="U648" s="215" t="s">
        <v>113</v>
      </c>
      <c r="V648" s="220">
        <f>792-26</f>
        <v>766</v>
      </c>
      <c r="W648" s="220">
        <f>792-26</f>
        <v>766</v>
      </c>
      <c r="X648" s="221"/>
      <c r="Y648" s="222">
        <f t="shared" si="206"/>
        <v>0</v>
      </c>
      <c r="Z648" s="223">
        <f t="shared" si="207"/>
        <v>0</v>
      </c>
      <c r="AA648" s="223"/>
      <c r="AB648" s="807"/>
      <c r="AC648" s="220"/>
      <c r="AD648" s="209"/>
      <c r="AE648" s="210"/>
      <c r="AF648" s="210"/>
      <c r="AG648" s="211">
        <f t="shared" si="208"/>
        <v>0.308</v>
      </c>
      <c r="AH648" s="157">
        <f t="shared" si="216"/>
        <v>0</v>
      </c>
      <c r="AI648" s="152">
        <f t="shared" si="209"/>
        <v>27576</v>
      </c>
      <c r="AK648" s="156" t="s">
        <v>691</v>
      </c>
      <c r="AL648" s="574" t="s">
        <v>690</v>
      </c>
      <c r="AM648" s="198">
        <f t="shared" si="217"/>
        <v>0</v>
      </c>
      <c r="AN648" s="199">
        <f t="shared" si="220"/>
        <v>45408</v>
      </c>
      <c r="AO648" s="159" t="s">
        <v>692</v>
      </c>
      <c r="AP648" s="781"/>
      <c r="AQ648" s="782">
        <v>12063755</v>
      </c>
      <c r="AR648" s="782">
        <v>12061353</v>
      </c>
      <c r="AS648" s="782">
        <v>12061354</v>
      </c>
      <c r="AT648" s="782">
        <v>12068566</v>
      </c>
      <c r="AU648" s="781"/>
      <c r="AV648" s="782">
        <v>12068564</v>
      </c>
      <c r="AW648" s="782">
        <v>12062153</v>
      </c>
      <c r="AX648" s="782"/>
      <c r="AY648" s="782">
        <v>12068565</v>
      </c>
      <c r="AZ648" s="782"/>
      <c r="BA648" s="781"/>
    </row>
    <row r="649" spans="1:53" ht="25" hidden="1" customHeight="1">
      <c r="B649" s="213">
        <v>45408</v>
      </c>
      <c r="C649" s="213">
        <v>45411</v>
      </c>
      <c r="D649" s="185">
        <f t="shared" si="218"/>
        <v>2024</v>
      </c>
      <c r="E649" s="215" t="str">
        <f>VLOOKUP($B649,Week!$A$1:$C$1462,2,0)</f>
        <v>Week17</v>
      </c>
      <c r="F649" s="216" t="str">
        <f t="shared" si="219"/>
        <v>Apr</v>
      </c>
      <c r="G649" s="215" t="s">
        <v>1073</v>
      </c>
      <c r="H649" s="215" t="s">
        <v>104</v>
      </c>
      <c r="I649" s="215" t="s">
        <v>2772</v>
      </c>
      <c r="J649" s="209" t="s">
        <v>105</v>
      </c>
      <c r="K649" s="217" t="s">
        <v>107</v>
      </c>
      <c r="L649" s="300" t="s">
        <v>2167</v>
      </c>
      <c r="M649" s="209" t="s">
        <v>108</v>
      </c>
      <c r="N649" s="215" t="s">
        <v>109</v>
      </c>
      <c r="O649" s="215" t="s">
        <v>110</v>
      </c>
      <c r="P649" s="218">
        <v>36</v>
      </c>
      <c r="Q649" s="218">
        <v>5</v>
      </c>
      <c r="R649" s="219">
        <v>7.4999999999999997E-3</v>
      </c>
      <c r="S649" s="215" t="s">
        <v>111</v>
      </c>
      <c r="T649" s="215" t="s">
        <v>112</v>
      </c>
      <c r="U649" s="215" t="s">
        <v>113</v>
      </c>
      <c r="V649" s="220">
        <v>792</v>
      </c>
      <c r="W649" s="220">
        <v>792</v>
      </c>
      <c r="X649" s="221"/>
      <c r="Y649" s="222">
        <f t="shared" si="206"/>
        <v>0</v>
      </c>
      <c r="Z649" s="223">
        <f t="shared" si="207"/>
        <v>0</v>
      </c>
      <c r="AA649" s="223"/>
      <c r="AB649" s="807"/>
      <c r="AC649" s="220"/>
      <c r="AD649" s="209"/>
      <c r="AE649" s="210"/>
      <c r="AF649" s="210"/>
      <c r="AG649" s="211">
        <f t="shared" si="208"/>
        <v>0.308</v>
      </c>
      <c r="AH649" s="157">
        <f t="shared" si="216"/>
        <v>0</v>
      </c>
      <c r="AI649" s="152">
        <f t="shared" si="209"/>
        <v>28512</v>
      </c>
      <c r="AK649" s="156" t="s">
        <v>691</v>
      </c>
      <c r="AL649" s="574" t="s">
        <v>690</v>
      </c>
      <c r="AM649" s="198">
        <f t="shared" si="217"/>
        <v>0</v>
      </c>
      <c r="AN649" s="199">
        <f t="shared" si="220"/>
        <v>45408</v>
      </c>
      <c r="AO649" s="159" t="s">
        <v>692</v>
      </c>
      <c r="AP649" s="781"/>
      <c r="AQ649" s="782">
        <v>12063755</v>
      </c>
      <c r="AR649" s="782">
        <v>12061353</v>
      </c>
      <c r="AS649" s="782">
        <v>12061354</v>
      </c>
      <c r="AT649" s="782">
        <v>12068566</v>
      </c>
      <c r="AU649" s="781"/>
      <c r="AV649" s="782">
        <v>12068564</v>
      </c>
      <c r="AW649" s="782">
        <v>12062153</v>
      </c>
      <c r="AX649" s="782"/>
      <c r="AY649" s="782">
        <v>12068565</v>
      </c>
      <c r="AZ649" s="782"/>
      <c r="BA649" s="781"/>
    </row>
    <row r="650" spans="1:53" ht="25" hidden="1" customHeight="1">
      <c r="B650" s="213">
        <v>45408</v>
      </c>
      <c r="C650" s="213">
        <v>45411</v>
      </c>
      <c r="D650" s="185">
        <f t="shared" si="218"/>
        <v>2024</v>
      </c>
      <c r="E650" s="215" t="str">
        <f>VLOOKUP($B650,Week!$A$1:$C$1462,2,0)</f>
        <v>Week17</v>
      </c>
      <c r="F650" s="216" t="str">
        <f t="shared" si="219"/>
        <v>Apr</v>
      </c>
      <c r="G650" s="215" t="s">
        <v>1074</v>
      </c>
      <c r="H650" s="215" t="s">
        <v>104</v>
      </c>
      <c r="I650" s="215" t="s">
        <v>2772</v>
      </c>
      <c r="J650" s="209" t="s">
        <v>105</v>
      </c>
      <c r="K650" s="217" t="s">
        <v>107</v>
      </c>
      <c r="L650" s="300" t="s">
        <v>2167</v>
      </c>
      <c r="M650" s="209" t="s">
        <v>108</v>
      </c>
      <c r="N650" s="215" t="s">
        <v>109</v>
      </c>
      <c r="O650" s="215" t="s">
        <v>110</v>
      </c>
      <c r="P650" s="218">
        <v>36</v>
      </c>
      <c r="Q650" s="218">
        <v>5</v>
      </c>
      <c r="R650" s="219">
        <v>7.4999999999999997E-3</v>
      </c>
      <c r="S650" s="215" t="s">
        <v>111</v>
      </c>
      <c r="T650" s="215" t="s">
        <v>112</v>
      </c>
      <c r="U650" s="215" t="s">
        <v>113</v>
      </c>
      <c r="V650" s="220">
        <v>792</v>
      </c>
      <c r="W650" s="220">
        <v>792</v>
      </c>
      <c r="X650" s="221"/>
      <c r="Y650" s="222">
        <f t="shared" si="206"/>
        <v>0</v>
      </c>
      <c r="Z650" s="223">
        <f t="shared" si="207"/>
        <v>0</v>
      </c>
      <c r="AA650" s="223"/>
      <c r="AB650" s="807"/>
      <c r="AC650" s="220"/>
      <c r="AD650" s="209"/>
      <c r="AE650" s="210"/>
      <c r="AF650" s="210"/>
      <c r="AG650" s="211">
        <f t="shared" si="208"/>
        <v>0.308</v>
      </c>
      <c r="AH650" s="157">
        <f t="shared" si="216"/>
        <v>0</v>
      </c>
      <c r="AI650" s="152">
        <f t="shared" si="209"/>
        <v>28512</v>
      </c>
      <c r="AK650" s="156" t="s">
        <v>691</v>
      </c>
      <c r="AL650" s="574" t="s">
        <v>690</v>
      </c>
      <c r="AM650" s="198">
        <f t="shared" si="217"/>
        <v>0</v>
      </c>
      <c r="AN650" s="199">
        <f t="shared" si="220"/>
        <v>45408</v>
      </c>
      <c r="AO650" s="159" t="s">
        <v>692</v>
      </c>
      <c r="AP650" s="781"/>
      <c r="AQ650" s="782">
        <v>12063755</v>
      </c>
      <c r="AR650" s="782">
        <v>12061353</v>
      </c>
      <c r="AS650" s="782">
        <v>12061354</v>
      </c>
      <c r="AT650" s="782">
        <v>12068566</v>
      </c>
      <c r="AU650" s="781"/>
      <c r="AV650" s="782">
        <v>12068564</v>
      </c>
      <c r="AW650" s="782">
        <v>12062153</v>
      </c>
      <c r="AX650" s="782"/>
      <c r="AY650" s="782">
        <v>12068565</v>
      </c>
      <c r="AZ650" s="782"/>
      <c r="BA650" s="781"/>
    </row>
    <row r="651" spans="1:53" ht="25" hidden="1" customHeight="1">
      <c r="B651" s="213">
        <v>45408</v>
      </c>
      <c r="C651" s="213">
        <v>45411</v>
      </c>
      <c r="D651" s="185">
        <f t="shared" si="218"/>
        <v>2024</v>
      </c>
      <c r="E651" s="215" t="str">
        <f>VLOOKUP($B651,Week!$A$1:$C$1462,2,0)</f>
        <v>Week17</v>
      </c>
      <c r="F651" s="216" t="str">
        <f t="shared" si="219"/>
        <v>Apr</v>
      </c>
      <c r="G651" s="215" t="s">
        <v>1075</v>
      </c>
      <c r="H651" s="215" t="s">
        <v>104</v>
      </c>
      <c r="I651" s="215" t="s">
        <v>2772</v>
      </c>
      <c r="J651" s="209" t="s">
        <v>105</v>
      </c>
      <c r="K651" s="217" t="s">
        <v>107</v>
      </c>
      <c r="L651" s="300" t="s">
        <v>2167</v>
      </c>
      <c r="M651" s="209" t="s">
        <v>108</v>
      </c>
      <c r="N651" s="215" t="s">
        <v>109</v>
      </c>
      <c r="O651" s="215" t="s">
        <v>110</v>
      </c>
      <c r="P651" s="218">
        <v>36</v>
      </c>
      <c r="Q651" s="218">
        <v>5</v>
      </c>
      <c r="R651" s="219">
        <v>7.4999999999999997E-3</v>
      </c>
      <c r="S651" s="215" t="s">
        <v>111</v>
      </c>
      <c r="T651" s="215" t="s">
        <v>112</v>
      </c>
      <c r="U651" s="215" t="s">
        <v>113</v>
      </c>
      <c r="V651" s="220">
        <v>792</v>
      </c>
      <c r="W651" s="220">
        <v>792</v>
      </c>
      <c r="X651" s="221"/>
      <c r="Y651" s="222">
        <f t="shared" si="206"/>
        <v>0</v>
      </c>
      <c r="Z651" s="223">
        <f t="shared" si="207"/>
        <v>0</v>
      </c>
      <c r="AA651" s="223"/>
      <c r="AB651" s="807"/>
      <c r="AC651" s="220"/>
      <c r="AD651" s="209"/>
      <c r="AE651" s="210"/>
      <c r="AF651" s="210"/>
      <c r="AG651" s="211">
        <f t="shared" si="208"/>
        <v>0.308</v>
      </c>
      <c r="AH651" s="157">
        <f t="shared" ref="AH651:AH656" si="221">(Z651*AG651)/1000</f>
        <v>0</v>
      </c>
      <c r="AI651" s="152">
        <f t="shared" si="209"/>
        <v>28512</v>
      </c>
      <c r="AK651" s="156" t="s">
        <v>691</v>
      </c>
      <c r="AL651" s="574" t="s">
        <v>690</v>
      </c>
      <c r="AM651" s="198">
        <f t="shared" ref="AM651:AM656" si="222">AG651*Z651</f>
        <v>0</v>
      </c>
      <c r="AN651" s="199">
        <f t="shared" si="220"/>
        <v>45408</v>
      </c>
      <c r="AO651" s="159" t="s">
        <v>692</v>
      </c>
      <c r="AP651" s="781"/>
      <c r="AQ651" s="782">
        <v>12063755</v>
      </c>
      <c r="AR651" s="782">
        <v>12061353</v>
      </c>
      <c r="AS651" s="782">
        <v>12061354</v>
      </c>
      <c r="AT651" s="782">
        <v>12068566</v>
      </c>
      <c r="AU651" s="781"/>
      <c r="AV651" s="782">
        <v>12068564</v>
      </c>
      <c r="AW651" s="782">
        <v>12062153</v>
      </c>
      <c r="AX651" s="782"/>
      <c r="AY651" s="782">
        <v>12068565</v>
      </c>
      <c r="AZ651" s="782"/>
      <c r="BA651" s="781"/>
    </row>
    <row r="652" spans="1:53" ht="25" hidden="1" customHeight="1">
      <c r="B652" s="213">
        <v>45408</v>
      </c>
      <c r="C652" s="213">
        <v>45411</v>
      </c>
      <c r="D652" s="185">
        <f t="shared" si="218"/>
        <v>2024</v>
      </c>
      <c r="E652" s="215" t="str">
        <f>VLOOKUP($B652,Week!$A$1:$C$1462,2,0)</f>
        <v>Week17</v>
      </c>
      <c r="F652" s="216" t="str">
        <f t="shared" si="219"/>
        <v>Apr</v>
      </c>
      <c r="G652" s="215" t="s">
        <v>1076</v>
      </c>
      <c r="H652" s="215" t="s">
        <v>104</v>
      </c>
      <c r="I652" s="215" t="s">
        <v>2772</v>
      </c>
      <c r="J652" s="209" t="s">
        <v>105</v>
      </c>
      <c r="K652" s="217" t="s">
        <v>107</v>
      </c>
      <c r="L652" s="300" t="s">
        <v>2167</v>
      </c>
      <c r="M652" s="209" t="s">
        <v>108</v>
      </c>
      <c r="N652" s="215" t="s">
        <v>109</v>
      </c>
      <c r="O652" s="215" t="s">
        <v>110</v>
      </c>
      <c r="P652" s="218">
        <v>36</v>
      </c>
      <c r="Q652" s="218">
        <v>5</v>
      </c>
      <c r="R652" s="219">
        <v>7.4999999999999997E-3</v>
      </c>
      <c r="S652" s="215" t="s">
        <v>111</v>
      </c>
      <c r="T652" s="215" t="s">
        <v>112</v>
      </c>
      <c r="U652" s="215" t="s">
        <v>113</v>
      </c>
      <c r="V652" s="220">
        <f>3805-766-792-792-792</f>
        <v>663</v>
      </c>
      <c r="W652" s="220">
        <f>3805-766-792-792-792</f>
        <v>663</v>
      </c>
      <c r="X652" s="221"/>
      <c r="Y652" s="222">
        <f t="shared" si="206"/>
        <v>0</v>
      </c>
      <c r="Z652" s="223">
        <f t="shared" si="207"/>
        <v>0</v>
      </c>
      <c r="AA652" s="223"/>
      <c r="AB652" s="807"/>
      <c r="AC652" s="220"/>
      <c r="AD652" s="209"/>
      <c r="AE652" s="210"/>
      <c r="AF652" s="210"/>
      <c r="AG652" s="211">
        <f t="shared" si="208"/>
        <v>0.308</v>
      </c>
      <c r="AH652" s="157">
        <f t="shared" si="221"/>
        <v>0</v>
      </c>
      <c r="AI652" s="152">
        <f t="shared" si="209"/>
        <v>23868</v>
      </c>
      <c r="AK652" s="156" t="s">
        <v>691</v>
      </c>
      <c r="AL652" s="574" t="s">
        <v>690</v>
      </c>
      <c r="AM652" s="198">
        <f t="shared" si="222"/>
        <v>0</v>
      </c>
      <c r="AN652" s="199">
        <f t="shared" si="220"/>
        <v>45408</v>
      </c>
      <c r="AO652" s="159" t="s">
        <v>692</v>
      </c>
      <c r="AP652" s="781"/>
      <c r="AQ652" s="782">
        <v>12063755</v>
      </c>
      <c r="AR652" s="782">
        <v>12061353</v>
      </c>
      <c r="AS652" s="782">
        <v>12061354</v>
      </c>
      <c r="AT652" s="782">
        <v>12068566</v>
      </c>
      <c r="AU652" s="781"/>
      <c r="AV652" s="782">
        <v>12068564</v>
      </c>
      <c r="AW652" s="782">
        <v>12062153</v>
      </c>
      <c r="AX652" s="782"/>
      <c r="AY652" s="782">
        <v>12068565</v>
      </c>
      <c r="AZ652" s="782"/>
      <c r="BA652" s="781"/>
    </row>
    <row r="653" spans="1:53" ht="24.65" hidden="1" customHeight="1">
      <c r="A653" s="142" t="s">
        <v>120</v>
      </c>
      <c r="B653" s="271">
        <v>45408</v>
      </c>
      <c r="C653" s="272">
        <v>45414</v>
      </c>
      <c r="D653" s="185">
        <f t="shared" si="218"/>
        <v>2024</v>
      </c>
      <c r="E653" s="272" t="str">
        <f>VLOOKUP($B653,Week!$A$1:$C$1462,2,0)</f>
        <v>Week17</v>
      </c>
      <c r="F653" s="273" t="str">
        <f t="shared" si="219"/>
        <v>Apr</v>
      </c>
      <c r="G653" s="274" t="s">
        <v>1120</v>
      </c>
      <c r="H653" s="274" t="s">
        <v>500</v>
      </c>
      <c r="I653" s="274" t="s">
        <v>2772</v>
      </c>
      <c r="J653" s="275" t="s">
        <v>285</v>
      </c>
      <c r="K653" s="276" t="s">
        <v>153</v>
      </c>
      <c r="L653" s="390" t="s">
        <v>2166</v>
      </c>
      <c r="M653" s="275" t="s">
        <v>86</v>
      </c>
      <c r="N653" s="274" t="s">
        <v>547</v>
      </c>
      <c r="O653" s="274" t="s">
        <v>548</v>
      </c>
      <c r="P653" s="277">
        <v>10</v>
      </c>
      <c r="Q653" s="277">
        <v>50</v>
      </c>
      <c r="R653" s="278">
        <v>6.8100000000000001E-3</v>
      </c>
      <c r="S653" s="274" t="s">
        <v>76</v>
      </c>
      <c r="T653" s="274" t="s">
        <v>56</v>
      </c>
      <c r="U653" s="274" t="s">
        <v>89</v>
      </c>
      <c r="V653" s="279">
        <f>2056-368-510-513-466</f>
        <v>199</v>
      </c>
      <c r="W653" s="279">
        <f>199</f>
        <v>199</v>
      </c>
      <c r="X653" s="280"/>
      <c r="Y653" s="281">
        <f t="shared" si="206"/>
        <v>0</v>
      </c>
      <c r="Z653" s="282">
        <f t="shared" si="207"/>
        <v>0</v>
      </c>
      <c r="AA653" s="282">
        <f>Q653*Z653</f>
        <v>0</v>
      </c>
      <c r="AB653" s="812">
        <v>6</v>
      </c>
      <c r="AC653" s="279">
        <f>Z653*AB653</f>
        <v>0</v>
      </c>
      <c r="AD653" s="209"/>
      <c r="AE653" s="210"/>
      <c r="AF653" s="210"/>
      <c r="AG653" s="211">
        <f t="shared" si="208"/>
        <v>0.63</v>
      </c>
      <c r="AH653" s="157">
        <f t="shared" si="221"/>
        <v>0</v>
      </c>
      <c r="AI653" s="152">
        <f t="shared" si="209"/>
        <v>1990</v>
      </c>
      <c r="AK653" s="156" t="s">
        <v>691</v>
      </c>
      <c r="AL653" s="156" t="s">
        <v>689</v>
      </c>
      <c r="AM653" s="198">
        <f t="shared" si="222"/>
        <v>0</v>
      </c>
      <c r="AN653" s="199">
        <f t="shared" si="220"/>
        <v>45408</v>
      </c>
      <c r="AO653" s="159" t="s">
        <v>692</v>
      </c>
      <c r="AP653" s="783" t="s">
        <v>620</v>
      </c>
      <c r="AQ653" s="782" t="s">
        <v>549</v>
      </c>
      <c r="AR653" s="782">
        <v>12055234</v>
      </c>
      <c r="AS653" s="781"/>
      <c r="AT653" s="782"/>
      <c r="AU653" s="782"/>
      <c r="AV653" s="782">
        <v>12062809</v>
      </c>
      <c r="AW653" s="782"/>
      <c r="AX653" s="782" t="s">
        <v>619</v>
      </c>
      <c r="AY653" s="781"/>
      <c r="AZ653" s="781"/>
      <c r="BA653" s="781"/>
    </row>
    <row r="654" spans="1:53" ht="24.65" hidden="1" customHeight="1">
      <c r="A654" s="142" t="s">
        <v>120</v>
      </c>
      <c r="B654" s="258">
        <v>45408</v>
      </c>
      <c r="C654" s="259">
        <v>45414</v>
      </c>
      <c r="D654" s="185">
        <f t="shared" si="218"/>
        <v>2024</v>
      </c>
      <c r="E654" s="260" t="str">
        <f>VLOOKUP($B654,Week!$A$1:$C$1462,2,0)</f>
        <v>Week17</v>
      </c>
      <c r="F654" s="261" t="str">
        <f t="shared" si="219"/>
        <v>Apr</v>
      </c>
      <c r="G654" s="262" t="s">
        <v>1146</v>
      </c>
      <c r="H654" s="260" t="s">
        <v>134</v>
      </c>
      <c r="I654" s="260" t="s">
        <v>2772</v>
      </c>
      <c r="J654" s="263" t="s">
        <v>164</v>
      </c>
      <c r="K654" s="264" t="s">
        <v>153</v>
      </c>
      <c r="L654" s="390" t="s">
        <v>2166</v>
      </c>
      <c r="M654" s="263" t="s">
        <v>165</v>
      </c>
      <c r="N654" s="260" t="s">
        <v>166</v>
      </c>
      <c r="O654" s="260" t="s">
        <v>502</v>
      </c>
      <c r="P654" s="265">
        <v>20</v>
      </c>
      <c r="Q654" s="265">
        <v>12</v>
      </c>
      <c r="R654" s="266">
        <v>6.8100000000000001E-3</v>
      </c>
      <c r="S654" s="260" t="s">
        <v>76</v>
      </c>
      <c r="T654" s="260" t="s">
        <v>56</v>
      </c>
      <c r="U654" s="260" t="s">
        <v>89</v>
      </c>
      <c r="V654" s="267">
        <v>330</v>
      </c>
      <c r="W654" s="267">
        <f>5+325</f>
        <v>330</v>
      </c>
      <c r="X654" s="268"/>
      <c r="Y654" s="269">
        <f t="shared" si="206"/>
        <v>0</v>
      </c>
      <c r="Z654" s="270">
        <f t="shared" si="207"/>
        <v>0</v>
      </c>
      <c r="AA654" s="270">
        <f>Q654*Z654</f>
        <v>0</v>
      </c>
      <c r="AB654" s="811">
        <v>2</v>
      </c>
      <c r="AC654" s="267">
        <f>Z654*AB654</f>
        <v>0</v>
      </c>
      <c r="AD654" s="209" t="s">
        <v>168</v>
      </c>
      <c r="AE654" s="210"/>
      <c r="AF654" s="210"/>
      <c r="AG654" s="211">
        <f t="shared" si="208"/>
        <v>0.154</v>
      </c>
      <c r="AH654" s="157">
        <f t="shared" si="221"/>
        <v>0</v>
      </c>
      <c r="AI654" s="152">
        <f t="shared" si="209"/>
        <v>6600</v>
      </c>
      <c r="AK654" s="156" t="s">
        <v>691</v>
      </c>
      <c r="AL654" s="156" t="s">
        <v>689</v>
      </c>
      <c r="AM654" s="198">
        <f t="shared" si="222"/>
        <v>0</v>
      </c>
      <c r="AN654" s="199">
        <f t="shared" si="220"/>
        <v>45408</v>
      </c>
      <c r="AO654" s="159" t="s">
        <v>692</v>
      </c>
      <c r="AP654" s="783" t="s">
        <v>610</v>
      </c>
      <c r="AQ654" s="781" t="s">
        <v>158</v>
      </c>
      <c r="AR654" s="783" t="s">
        <v>523</v>
      </c>
      <c r="AS654" s="781"/>
      <c r="AT654" s="782">
        <v>12055901</v>
      </c>
      <c r="AU654" s="781"/>
      <c r="AV654" s="783" t="s">
        <v>544</v>
      </c>
      <c r="AW654" s="781"/>
      <c r="AX654" s="782" t="s">
        <v>398</v>
      </c>
      <c r="AY654" s="781"/>
      <c r="AZ654" s="781"/>
      <c r="BA654" s="781"/>
    </row>
    <row r="655" spans="1:53" ht="25" hidden="1" customHeight="1">
      <c r="A655" s="142" t="s">
        <v>120</v>
      </c>
      <c r="B655" s="559">
        <v>45408</v>
      </c>
      <c r="C655" s="560">
        <v>45420</v>
      </c>
      <c r="D655" s="185">
        <f t="shared" si="218"/>
        <v>2024</v>
      </c>
      <c r="E655" s="561" t="str">
        <f>VLOOKUP($B655,Week!$A$1:$C$1462,2,0)</f>
        <v>Week17</v>
      </c>
      <c r="F655" s="562" t="str">
        <f t="shared" si="219"/>
        <v>Apr</v>
      </c>
      <c r="G655" s="561" t="s">
        <v>1151</v>
      </c>
      <c r="H655" s="561" t="s">
        <v>134</v>
      </c>
      <c r="I655" s="561" t="s">
        <v>2772</v>
      </c>
      <c r="J655" s="563" t="s">
        <v>164</v>
      </c>
      <c r="K655" s="564" t="s">
        <v>355</v>
      </c>
      <c r="L655" s="390" t="s">
        <v>2166</v>
      </c>
      <c r="M655" s="563" t="s">
        <v>356</v>
      </c>
      <c r="N655" s="561" t="s">
        <v>652</v>
      </c>
      <c r="O655" s="561" t="s">
        <v>508</v>
      </c>
      <c r="P655" s="565">
        <v>18</v>
      </c>
      <c r="Q655" s="565">
        <v>8</v>
      </c>
      <c r="R655" s="566">
        <v>5.0000000000000001E-3</v>
      </c>
      <c r="S655" s="561" t="s">
        <v>55</v>
      </c>
      <c r="T655" s="561" t="s">
        <v>56</v>
      </c>
      <c r="U655" s="561" t="s">
        <v>89</v>
      </c>
      <c r="V655" s="567">
        <f>300</f>
        <v>300</v>
      </c>
      <c r="W655" s="567">
        <f>78+222</f>
        <v>300</v>
      </c>
      <c r="X655" s="568"/>
      <c r="Y655" s="569">
        <f t="shared" si="206"/>
        <v>0</v>
      </c>
      <c r="Z655" s="570">
        <f t="shared" si="207"/>
        <v>0</v>
      </c>
      <c r="AA655" s="570">
        <f>Q655*Z655</f>
        <v>0</v>
      </c>
      <c r="AB655" s="834">
        <v>2</v>
      </c>
      <c r="AC655" s="567">
        <f>Z655*AB655</f>
        <v>0</v>
      </c>
      <c r="AD655" s="209"/>
      <c r="AE655" s="210"/>
      <c r="AF655" s="210"/>
      <c r="AG655" s="211">
        <f>MID(O655,1,2)/1000</f>
        <v>0.09</v>
      </c>
      <c r="AH655" s="157">
        <f t="shared" si="221"/>
        <v>0</v>
      </c>
      <c r="AI655" s="152">
        <f t="shared" si="209"/>
        <v>5400</v>
      </c>
      <c r="AK655" s="156" t="s">
        <v>691</v>
      </c>
      <c r="AL655" s="156" t="s">
        <v>689</v>
      </c>
      <c r="AM655" s="198">
        <f t="shared" si="222"/>
        <v>0</v>
      </c>
      <c r="AN655" s="199">
        <f t="shared" si="220"/>
        <v>45408</v>
      </c>
      <c r="AO655" s="159" t="s">
        <v>692</v>
      </c>
      <c r="AP655" s="783"/>
      <c r="AQ655" s="782"/>
      <c r="AR655" s="782"/>
      <c r="AS655" s="782"/>
      <c r="AT655" s="782"/>
      <c r="AU655" s="782"/>
      <c r="AV655" s="782"/>
      <c r="AW655" s="782"/>
      <c r="AX655" s="782"/>
      <c r="AY655" s="782"/>
      <c r="AZ655" s="782"/>
      <c r="BA655" s="781"/>
    </row>
    <row r="656" spans="1:53" ht="25" hidden="1" customHeight="1">
      <c r="B656" s="213">
        <v>45409</v>
      </c>
      <c r="C656" s="213">
        <v>45411</v>
      </c>
      <c r="D656" s="185">
        <f t="shared" si="218"/>
        <v>2024</v>
      </c>
      <c r="E656" s="215" t="str">
        <f>VLOOKUP($B656,Week!$A$1:$C$1462,2,0)</f>
        <v>Week17</v>
      </c>
      <c r="F656" s="216" t="str">
        <f t="shared" si="219"/>
        <v>Apr</v>
      </c>
      <c r="G656" s="215" t="s">
        <v>1076</v>
      </c>
      <c r="H656" s="215" t="s">
        <v>104</v>
      </c>
      <c r="I656" s="215" t="s">
        <v>2772</v>
      </c>
      <c r="J656" s="209" t="s">
        <v>105</v>
      </c>
      <c r="K656" s="217" t="s">
        <v>107</v>
      </c>
      <c r="L656" s="300" t="s">
        <v>2167</v>
      </c>
      <c r="M656" s="209" t="s">
        <v>108</v>
      </c>
      <c r="N656" s="215" t="s">
        <v>109</v>
      </c>
      <c r="O656" s="215" t="s">
        <v>110</v>
      </c>
      <c r="P656" s="218">
        <v>36</v>
      </c>
      <c r="Q656" s="218">
        <v>5</v>
      </c>
      <c r="R656" s="219">
        <v>7.4999999999999997E-3</v>
      </c>
      <c r="S656" s="215" t="s">
        <v>111</v>
      </c>
      <c r="T656" s="215" t="s">
        <v>112</v>
      </c>
      <c r="U656" s="215" t="s">
        <v>113</v>
      </c>
      <c r="V656" s="220">
        <f>792-663</f>
        <v>129</v>
      </c>
      <c r="W656" s="220">
        <f>792-663</f>
        <v>129</v>
      </c>
      <c r="X656" s="221"/>
      <c r="Y656" s="222">
        <f t="shared" si="206"/>
        <v>0</v>
      </c>
      <c r="Z656" s="223">
        <f t="shared" si="207"/>
        <v>0</v>
      </c>
      <c r="AA656" s="223"/>
      <c r="AB656" s="807"/>
      <c r="AC656" s="220"/>
      <c r="AD656" s="209"/>
      <c r="AE656" s="210"/>
      <c r="AF656" s="210"/>
      <c r="AG656" s="211">
        <f t="shared" ref="AG656:AG664" si="223">MID(O656,1,3)/1000</f>
        <v>0.308</v>
      </c>
      <c r="AH656" s="157">
        <f t="shared" si="221"/>
        <v>0</v>
      </c>
      <c r="AI656" s="152">
        <f t="shared" si="209"/>
        <v>4644</v>
      </c>
      <c r="AK656" s="156" t="s">
        <v>691</v>
      </c>
      <c r="AL656" s="574" t="s">
        <v>690</v>
      </c>
      <c r="AM656" s="198">
        <f t="shared" si="222"/>
        <v>0</v>
      </c>
      <c r="AN656" s="199">
        <f t="shared" si="220"/>
        <v>45409</v>
      </c>
      <c r="AO656" s="159" t="s">
        <v>692</v>
      </c>
      <c r="AP656" s="781"/>
      <c r="AQ656" s="782">
        <v>12063755</v>
      </c>
      <c r="AR656" s="782">
        <v>12061353</v>
      </c>
      <c r="AS656" s="782">
        <v>12061354</v>
      </c>
      <c r="AT656" s="782">
        <v>12068566</v>
      </c>
      <c r="AU656" s="781"/>
      <c r="AV656" s="782">
        <v>12068564</v>
      </c>
      <c r="AW656" s="782">
        <v>12062153</v>
      </c>
      <c r="AX656" s="782"/>
      <c r="AY656" s="782">
        <v>12068565</v>
      </c>
      <c r="AZ656" s="782"/>
      <c r="BA656" s="781"/>
    </row>
    <row r="657" spans="1:53" ht="25" hidden="1" customHeight="1">
      <c r="B657" s="213">
        <v>45409</v>
      </c>
      <c r="C657" s="213">
        <v>45411</v>
      </c>
      <c r="D657" s="185">
        <f t="shared" si="218"/>
        <v>2024</v>
      </c>
      <c r="E657" s="215" t="str">
        <f>VLOOKUP($B657,Week!$A$1:$C$1462,2,0)</f>
        <v>Week17</v>
      </c>
      <c r="F657" s="216" t="str">
        <f t="shared" si="219"/>
        <v>Apr</v>
      </c>
      <c r="G657" s="215" t="s">
        <v>1077</v>
      </c>
      <c r="H657" s="215" t="s">
        <v>104</v>
      </c>
      <c r="I657" s="215" t="s">
        <v>2772</v>
      </c>
      <c r="J657" s="209" t="s">
        <v>105</v>
      </c>
      <c r="K657" s="217" t="s">
        <v>107</v>
      </c>
      <c r="L657" s="300" t="s">
        <v>2167</v>
      </c>
      <c r="M657" s="209" t="s">
        <v>108</v>
      </c>
      <c r="N657" s="215" t="s">
        <v>109</v>
      </c>
      <c r="O657" s="215" t="s">
        <v>110</v>
      </c>
      <c r="P657" s="218">
        <v>36</v>
      </c>
      <c r="Q657" s="218">
        <v>5</v>
      </c>
      <c r="R657" s="219">
        <v>7.4999999999999997E-3</v>
      </c>
      <c r="S657" s="215" t="s">
        <v>111</v>
      </c>
      <c r="T657" s="215" t="s">
        <v>112</v>
      </c>
      <c r="U657" s="215" t="s">
        <v>113</v>
      </c>
      <c r="V657" s="220">
        <v>792</v>
      </c>
      <c r="W657" s="220">
        <v>792</v>
      </c>
      <c r="X657" s="221"/>
      <c r="Y657" s="222">
        <f t="shared" si="206"/>
        <v>0</v>
      </c>
      <c r="Z657" s="223">
        <f t="shared" si="207"/>
        <v>0</v>
      </c>
      <c r="AA657" s="223"/>
      <c r="AB657" s="807"/>
      <c r="AC657" s="220"/>
      <c r="AD657" s="209"/>
      <c r="AE657" s="210"/>
      <c r="AF657" s="210"/>
      <c r="AG657" s="211">
        <f t="shared" si="223"/>
        <v>0.308</v>
      </c>
      <c r="AH657" s="157">
        <f>(Z657*AG657)/1000</f>
        <v>0</v>
      </c>
      <c r="AI657" s="152">
        <f t="shared" si="209"/>
        <v>28512</v>
      </c>
      <c r="AK657" s="156" t="s">
        <v>691</v>
      </c>
      <c r="AL657" s="574" t="s">
        <v>690</v>
      </c>
      <c r="AM657" s="198">
        <f t="shared" ref="AM657:AM669" si="224">AG657*Z657</f>
        <v>0</v>
      </c>
      <c r="AN657" s="199">
        <f t="shared" si="220"/>
        <v>45409</v>
      </c>
      <c r="AO657" s="159" t="s">
        <v>692</v>
      </c>
      <c r="AP657" s="781"/>
      <c r="AQ657" s="782">
        <v>12063755</v>
      </c>
      <c r="AR657" s="782">
        <v>12061353</v>
      </c>
      <c r="AS657" s="782">
        <v>12061354</v>
      </c>
      <c r="AT657" s="782">
        <v>12068566</v>
      </c>
      <c r="AU657" s="781"/>
      <c r="AV657" s="782">
        <v>12068564</v>
      </c>
      <c r="AW657" s="782">
        <v>12062153</v>
      </c>
      <c r="AX657" s="782"/>
      <c r="AY657" s="782">
        <v>12068565</v>
      </c>
      <c r="AZ657" s="782"/>
      <c r="BA657" s="781"/>
    </row>
    <row r="658" spans="1:53" ht="25" hidden="1" customHeight="1">
      <c r="B658" s="213">
        <v>45409</v>
      </c>
      <c r="C658" s="213">
        <v>45415</v>
      </c>
      <c r="D658" s="185">
        <f t="shared" si="218"/>
        <v>2024</v>
      </c>
      <c r="E658" s="215" t="str">
        <f>VLOOKUP($B658,Week!$A$1:$C$1462,2,0)</f>
        <v>Week17</v>
      </c>
      <c r="F658" s="216" t="str">
        <f t="shared" si="219"/>
        <v>Apr</v>
      </c>
      <c r="G658" s="215" t="s">
        <v>1078</v>
      </c>
      <c r="H658" s="215" t="s">
        <v>104</v>
      </c>
      <c r="I658" s="215" t="s">
        <v>2772</v>
      </c>
      <c r="J658" s="209" t="s">
        <v>105</v>
      </c>
      <c r="K658" s="217" t="s">
        <v>107</v>
      </c>
      <c r="L658" s="300" t="s">
        <v>2167</v>
      </c>
      <c r="M658" s="209" t="s">
        <v>108</v>
      </c>
      <c r="N658" s="215" t="s">
        <v>109</v>
      </c>
      <c r="O658" s="215" t="s">
        <v>110</v>
      </c>
      <c r="P658" s="218">
        <v>36</v>
      </c>
      <c r="Q658" s="218">
        <v>5</v>
      </c>
      <c r="R658" s="219">
        <v>7.4999999999999997E-3</v>
      </c>
      <c r="S658" s="215" t="s">
        <v>111</v>
      </c>
      <c r="T658" s="215" t="s">
        <v>112</v>
      </c>
      <c r="U658" s="215" t="s">
        <v>113</v>
      </c>
      <c r="V658" s="220">
        <v>792</v>
      </c>
      <c r="W658" s="220">
        <v>792</v>
      </c>
      <c r="X658" s="221"/>
      <c r="Y658" s="222">
        <f t="shared" si="206"/>
        <v>0</v>
      </c>
      <c r="Z658" s="223">
        <f t="shared" si="207"/>
        <v>0</v>
      </c>
      <c r="AA658" s="223"/>
      <c r="AB658" s="807"/>
      <c r="AC658" s="220"/>
      <c r="AD658" s="209"/>
      <c r="AE658" s="210"/>
      <c r="AF658" s="210"/>
      <c r="AG658" s="211">
        <f t="shared" si="223"/>
        <v>0.308</v>
      </c>
      <c r="AH658" s="157">
        <f t="shared" ref="AH658:AH663" si="225">(Z658*AG658)/1000</f>
        <v>0</v>
      </c>
      <c r="AI658" s="152">
        <f t="shared" si="209"/>
        <v>28512</v>
      </c>
      <c r="AK658" s="156" t="s">
        <v>691</v>
      </c>
      <c r="AL658" s="574" t="s">
        <v>690</v>
      </c>
      <c r="AM658" s="198">
        <f t="shared" si="224"/>
        <v>0</v>
      </c>
      <c r="AN658" s="199">
        <f t="shared" si="220"/>
        <v>45409</v>
      </c>
      <c r="AO658" s="159" t="s">
        <v>692</v>
      </c>
      <c r="AP658" s="781"/>
      <c r="AQ658" s="782">
        <v>12063755</v>
      </c>
      <c r="AR658" s="782">
        <v>12061353</v>
      </c>
      <c r="AS658" s="782">
        <v>12061354</v>
      </c>
      <c r="AT658" s="782">
        <v>12068566</v>
      </c>
      <c r="AU658" s="781"/>
      <c r="AV658" s="782">
        <v>12068564</v>
      </c>
      <c r="AW658" s="782">
        <v>12062153</v>
      </c>
      <c r="AX658" s="782"/>
      <c r="AY658" s="782">
        <v>12068565</v>
      </c>
      <c r="AZ658" s="782"/>
      <c r="BA658" s="781"/>
    </row>
    <row r="659" spans="1:53" ht="25" hidden="1" customHeight="1">
      <c r="B659" s="213">
        <v>45409</v>
      </c>
      <c r="C659" s="213">
        <v>45415</v>
      </c>
      <c r="D659" s="185">
        <f t="shared" si="218"/>
        <v>2024</v>
      </c>
      <c r="E659" s="215" t="str">
        <f>VLOOKUP($B659,Week!$A$1:$C$1462,2,0)</f>
        <v>Week17</v>
      </c>
      <c r="F659" s="216" t="str">
        <f t="shared" si="219"/>
        <v>Apr</v>
      </c>
      <c r="G659" s="215" t="s">
        <v>1079</v>
      </c>
      <c r="H659" s="215" t="s">
        <v>104</v>
      </c>
      <c r="I659" s="215" t="s">
        <v>2772</v>
      </c>
      <c r="J659" s="209" t="s">
        <v>105</v>
      </c>
      <c r="K659" s="217" t="s">
        <v>107</v>
      </c>
      <c r="L659" s="300" t="s">
        <v>2167</v>
      </c>
      <c r="M659" s="209" t="s">
        <v>108</v>
      </c>
      <c r="N659" s="215" t="s">
        <v>109</v>
      </c>
      <c r="O659" s="215" t="s">
        <v>110</v>
      </c>
      <c r="P659" s="218">
        <v>36</v>
      </c>
      <c r="Q659" s="218">
        <v>5</v>
      </c>
      <c r="R659" s="219">
        <v>7.4999999999999997E-3</v>
      </c>
      <c r="S659" s="215" t="s">
        <v>111</v>
      </c>
      <c r="T659" s="215" t="s">
        <v>112</v>
      </c>
      <c r="U659" s="215" t="s">
        <v>113</v>
      </c>
      <c r="V659" s="220">
        <v>792</v>
      </c>
      <c r="W659" s="220">
        <v>792</v>
      </c>
      <c r="X659" s="221"/>
      <c r="Y659" s="222">
        <f t="shared" si="206"/>
        <v>0</v>
      </c>
      <c r="Z659" s="223">
        <f t="shared" si="207"/>
        <v>0</v>
      </c>
      <c r="AA659" s="223"/>
      <c r="AB659" s="807"/>
      <c r="AC659" s="220"/>
      <c r="AD659" s="209"/>
      <c r="AE659" s="210"/>
      <c r="AF659" s="210"/>
      <c r="AG659" s="211">
        <f t="shared" si="223"/>
        <v>0.308</v>
      </c>
      <c r="AH659" s="157">
        <f t="shared" si="225"/>
        <v>0</v>
      </c>
      <c r="AI659" s="152">
        <f t="shared" si="209"/>
        <v>28512</v>
      </c>
      <c r="AK659" s="156" t="s">
        <v>691</v>
      </c>
      <c r="AL659" s="574" t="s">
        <v>690</v>
      </c>
      <c r="AM659" s="198">
        <f t="shared" si="224"/>
        <v>0</v>
      </c>
      <c r="AN659" s="199">
        <f t="shared" si="220"/>
        <v>45409</v>
      </c>
      <c r="AO659" s="159" t="s">
        <v>692</v>
      </c>
      <c r="AP659" s="781"/>
      <c r="AQ659" s="782">
        <v>12063755</v>
      </c>
      <c r="AR659" s="782">
        <v>12061353</v>
      </c>
      <c r="AS659" s="782">
        <v>12061354</v>
      </c>
      <c r="AT659" s="782">
        <v>12068566</v>
      </c>
      <c r="AU659" s="781"/>
      <c r="AV659" s="782">
        <v>12068564</v>
      </c>
      <c r="AW659" s="782">
        <v>12062153</v>
      </c>
      <c r="AX659" s="782"/>
      <c r="AY659" s="782">
        <v>12068565</v>
      </c>
      <c r="AZ659" s="782"/>
      <c r="BA659" s="781"/>
    </row>
    <row r="660" spans="1:53" ht="24.65" hidden="1" customHeight="1">
      <c r="B660" s="213">
        <v>45409</v>
      </c>
      <c r="C660" s="213">
        <v>45415</v>
      </c>
      <c r="D660" s="185">
        <f t="shared" si="218"/>
        <v>2024</v>
      </c>
      <c r="E660" s="215" t="str">
        <f>VLOOKUP($B660,Week!$A$1:$C$1462,2,0)</f>
        <v>Week17</v>
      </c>
      <c r="F660" s="216" t="str">
        <f t="shared" si="219"/>
        <v>Apr</v>
      </c>
      <c r="G660" s="215" t="s">
        <v>1080</v>
      </c>
      <c r="H660" s="215" t="s">
        <v>104</v>
      </c>
      <c r="I660" s="215" t="s">
        <v>2772</v>
      </c>
      <c r="J660" s="209" t="s">
        <v>105</v>
      </c>
      <c r="K660" s="217" t="s">
        <v>107</v>
      </c>
      <c r="L660" s="300" t="s">
        <v>2167</v>
      </c>
      <c r="M660" s="209" t="s">
        <v>108</v>
      </c>
      <c r="N660" s="215" t="s">
        <v>109</v>
      </c>
      <c r="O660" s="215" t="s">
        <v>110</v>
      </c>
      <c r="P660" s="218">
        <v>36</v>
      </c>
      <c r="Q660" s="218">
        <v>5</v>
      </c>
      <c r="R660" s="219">
        <v>7.4999999999999997E-3</v>
      </c>
      <c r="S660" s="215" t="s">
        <v>111</v>
      </c>
      <c r="T660" s="215" t="s">
        <v>112</v>
      </c>
      <c r="U660" s="215" t="s">
        <v>113</v>
      </c>
      <c r="V660" s="220">
        <f>2522-129-792-792-792</f>
        <v>17</v>
      </c>
      <c r="W660" s="220">
        <f>2522-129-792-792-792</f>
        <v>17</v>
      </c>
      <c r="X660" s="221"/>
      <c r="Y660" s="222">
        <f t="shared" si="206"/>
        <v>0</v>
      </c>
      <c r="Z660" s="223">
        <f t="shared" si="207"/>
        <v>0</v>
      </c>
      <c r="AA660" s="223"/>
      <c r="AB660" s="807"/>
      <c r="AC660" s="220"/>
      <c r="AD660" s="209"/>
      <c r="AE660" s="210"/>
      <c r="AF660" s="210"/>
      <c r="AG660" s="211">
        <f t="shared" si="223"/>
        <v>0.308</v>
      </c>
      <c r="AH660" s="157">
        <f t="shared" si="225"/>
        <v>0</v>
      </c>
      <c r="AI660" s="152">
        <f t="shared" si="209"/>
        <v>612</v>
      </c>
      <c r="AK660" s="156" t="s">
        <v>691</v>
      </c>
      <c r="AL660" s="574" t="s">
        <v>690</v>
      </c>
      <c r="AM660" s="198">
        <f t="shared" si="224"/>
        <v>0</v>
      </c>
      <c r="AN660" s="199">
        <f t="shared" si="220"/>
        <v>45409</v>
      </c>
      <c r="AO660" s="159" t="s">
        <v>692</v>
      </c>
      <c r="AP660" s="781"/>
      <c r="AQ660" s="782">
        <v>12063755</v>
      </c>
      <c r="AR660" s="782">
        <v>12061353</v>
      </c>
      <c r="AS660" s="782">
        <v>12061354</v>
      </c>
      <c r="AT660" s="782">
        <v>12068566</v>
      </c>
      <c r="AU660" s="781"/>
      <c r="AV660" s="782">
        <v>12068564</v>
      </c>
      <c r="AW660" s="782">
        <v>12062153</v>
      </c>
      <c r="AX660" s="782"/>
      <c r="AY660" s="782">
        <v>12068565</v>
      </c>
      <c r="AZ660" s="782"/>
      <c r="BA660" s="781"/>
    </row>
    <row r="661" spans="1:53" ht="25" hidden="1" customHeight="1">
      <c r="B661" s="258">
        <v>45409</v>
      </c>
      <c r="C661" s="259">
        <v>45419</v>
      </c>
      <c r="D661" s="185">
        <f t="shared" si="218"/>
        <v>2024</v>
      </c>
      <c r="E661" s="259" t="str">
        <f>VLOOKUP($B661,Week!$A$1:$C$1462,2,0)</f>
        <v>Week17</v>
      </c>
      <c r="F661" s="261" t="str">
        <f t="shared" si="219"/>
        <v>Apr</v>
      </c>
      <c r="G661" s="260" t="s">
        <v>1178</v>
      </c>
      <c r="H661" s="260" t="s">
        <v>424</v>
      </c>
      <c r="I661" s="260" t="s">
        <v>2772</v>
      </c>
      <c r="J661" s="263" t="s">
        <v>653</v>
      </c>
      <c r="K661" s="264" t="s">
        <v>1646</v>
      </c>
      <c r="L661" s="300" t="s">
        <v>2167</v>
      </c>
      <c r="M661" s="263" t="s">
        <v>654</v>
      </c>
      <c r="N661" s="260" t="s">
        <v>656</v>
      </c>
      <c r="O661" s="260" t="s">
        <v>655</v>
      </c>
      <c r="P661" s="265">
        <v>24</v>
      </c>
      <c r="Q661" s="265">
        <v>5</v>
      </c>
      <c r="R661" s="266">
        <v>7.4999999999999997E-3</v>
      </c>
      <c r="S661" s="260" t="s">
        <v>40</v>
      </c>
      <c r="T661" s="260" t="s">
        <v>112</v>
      </c>
      <c r="U661" s="621" t="s">
        <v>721</v>
      </c>
      <c r="V661" s="267">
        <v>924</v>
      </c>
      <c r="W661" s="267">
        <f>2+922</f>
        <v>924</v>
      </c>
      <c r="X661" s="268"/>
      <c r="Y661" s="269">
        <f t="shared" si="206"/>
        <v>0</v>
      </c>
      <c r="Z661" s="270">
        <f t="shared" si="207"/>
        <v>0</v>
      </c>
      <c r="AA661" s="270"/>
      <c r="AB661" s="811"/>
      <c r="AC661" s="267"/>
      <c r="AD661" s="209"/>
      <c r="AE661" s="210"/>
      <c r="AF661" s="210"/>
      <c r="AG661" s="211">
        <f t="shared" si="223"/>
        <v>0.307</v>
      </c>
      <c r="AH661" s="157">
        <f t="shared" si="225"/>
        <v>0</v>
      </c>
      <c r="AI661" s="152">
        <f t="shared" si="209"/>
        <v>22176</v>
      </c>
      <c r="AK661" s="156" t="s">
        <v>691</v>
      </c>
      <c r="AL661" s="212" t="s">
        <v>690</v>
      </c>
      <c r="AM661" s="198">
        <f t="shared" si="224"/>
        <v>0</v>
      </c>
      <c r="AN661" s="199">
        <f t="shared" si="220"/>
        <v>45409</v>
      </c>
      <c r="AO661" s="159" t="s">
        <v>692</v>
      </c>
      <c r="AP661" s="781" t="s">
        <v>642</v>
      </c>
      <c r="AQ661" s="782">
        <v>12063755</v>
      </c>
      <c r="AR661" s="782">
        <v>12061353</v>
      </c>
      <c r="AS661" s="782">
        <v>12061354</v>
      </c>
      <c r="AT661" s="782">
        <v>12084023</v>
      </c>
      <c r="AU661" s="781"/>
      <c r="AV661" s="782">
        <v>12084228</v>
      </c>
      <c r="AW661" s="782"/>
      <c r="AX661" s="782"/>
      <c r="AY661" s="782"/>
      <c r="AZ661" s="782"/>
      <c r="BA661" s="781"/>
    </row>
    <row r="662" spans="1:53" ht="25" hidden="1" customHeight="1">
      <c r="B662" s="258">
        <v>45409</v>
      </c>
      <c r="C662" s="259">
        <v>45419</v>
      </c>
      <c r="D662" s="185">
        <f t="shared" si="218"/>
        <v>2024</v>
      </c>
      <c r="E662" s="259" t="str">
        <f>VLOOKUP($B662,Week!$A$1:$C$1462,2,0)</f>
        <v>Week17</v>
      </c>
      <c r="F662" s="261" t="str">
        <f t="shared" si="219"/>
        <v>Apr</v>
      </c>
      <c r="G662" s="260" t="s">
        <v>1179</v>
      </c>
      <c r="H662" s="260" t="s">
        <v>424</v>
      </c>
      <c r="I662" s="260" t="s">
        <v>2772</v>
      </c>
      <c r="J662" s="263" t="s">
        <v>653</v>
      </c>
      <c r="K662" s="264" t="s">
        <v>1646</v>
      </c>
      <c r="L662" s="300" t="s">
        <v>2167</v>
      </c>
      <c r="M662" s="263" t="s">
        <v>654</v>
      </c>
      <c r="N662" s="260" t="s">
        <v>656</v>
      </c>
      <c r="O662" s="260" t="s">
        <v>655</v>
      </c>
      <c r="P662" s="265">
        <v>24</v>
      </c>
      <c r="Q662" s="265">
        <v>5</v>
      </c>
      <c r="R662" s="266">
        <v>7.4999999999999997E-3</v>
      </c>
      <c r="S662" s="260" t="s">
        <v>40</v>
      </c>
      <c r="T662" s="260" t="s">
        <v>112</v>
      </c>
      <c r="U662" s="621" t="s">
        <v>721</v>
      </c>
      <c r="V662" s="267">
        <v>924</v>
      </c>
      <c r="W662" s="267">
        <v>924</v>
      </c>
      <c r="X662" s="268"/>
      <c r="Y662" s="269">
        <f t="shared" si="206"/>
        <v>0</v>
      </c>
      <c r="Z662" s="270">
        <f t="shared" si="207"/>
        <v>0</v>
      </c>
      <c r="AA662" s="270"/>
      <c r="AB662" s="811"/>
      <c r="AC662" s="267"/>
      <c r="AD662" s="209"/>
      <c r="AE662" s="210"/>
      <c r="AF662" s="210"/>
      <c r="AG662" s="211">
        <f t="shared" si="223"/>
        <v>0.307</v>
      </c>
      <c r="AH662" s="157">
        <f t="shared" si="225"/>
        <v>0</v>
      </c>
      <c r="AI662" s="152">
        <f t="shared" si="209"/>
        <v>22176</v>
      </c>
      <c r="AK662" s="156" t="s">
        <v>691</v>
      </c>
      <c r="AL662" s="212" t="s">
        <v>690</v>
      </c>
      <c r="AM662" s="198">
        <f t="shared" si="224"/>
        <v>0</v>
      </c>
      <c r="AN662" s="199">
        <f t="shared" si="220"/>
        <v>45409</v>
      </c>
      <c r="AO662" s="159" t="s">
        <v>692</v>
      </c>
      <c r="AP662" s="781" t="s">
        <v>642</v>
      </c>
      <c r="AQ662" s="782">
        <v>12063755</v>
      </c>
      <c r="AR662" s="782">
        <v>12061353</v>
      </c>
      <c r="AS662" s="782">
        <v>12061354</v>
      </c>
      <c r="AT662" s="782">
        <v>12084023</v>
      </c>
      <c r="AU662" s="781"/>
      <c r="AV662" s="782">
        <v>12084228</v>
      </c>
      <c r="AW662" s="782"/>
      <c r="AX662" s="782"/>
      <c r="AY662" s="782"/>
      <c r="AZ662" s="782"/>
      <c r="BA662" s="781"/>
    </row>
    <row r="663" spans="1:53" ht="25" hidden="1" customHeight="1">
      <c r="B663" s="258">
        <v>45409</v>
      </c>
      <c r="C663" s="259">
        <v>45419</v>
      </c>
      <c r="D663" s="185">
        <f t="shared" si="218"/>
        <v>2024</v>
      </c>
      <c r="E663" s="259" t="str">
        <f>VLOOKUP($B663,Week!$A$1:$C$1462,2,0)</f>
        <v>Week17</v>
      </c>
      <c r="F663" s="261" t="str">
        <f t="shared" si="219"/>
        <v>Apr</v>
      </c>
      <c r="G663" s="260" t="s">
        <v>1180</v>
      </c>
      <c r="H663" s="260" t="s">
        <v>424</v>
      </c>
      <c r="I663" s="260" t="s">
        <v>2772</v>
      </c>
      <c r="J663" s="263" t="s">
        <v>653</v>
      </c>
      <c r="K663" s="264" t="s">
        <v>1646</v>
      </c>
      <c r="L663" s="300" t="s">
        <v>2167</v>
      </c>
      <c r="M663" s="263" t="s">
        <v>654</v>
      </c>
      <c r="N663" s="260" t="s">
        <v>656</v>
      </c>
      <c r="O663" s="260" t="s">
        <v>655</v>
      </c>
      <c r="P663" s="265">
        <v>24</v>
      </c>
      <c r="Q663" s="265">
        <v>5</v>
      </c>
      <c r="R663" s="266">
        <v>7.4999999999999997E-3</v>
      </c>
      <c r="S663" s="260" t="s">
        <v>40</v>
      </c>
      <c r="T663" s="260" t="s">
        <v>112</v>
      </c>
      <c r="U663" s="621" t="s">
        <v>721</v>
      </c>
      <c r="V663" s="267">
        <v>924</v>
      </c>
      <c r="W663" s="267">
        <f>2770-922-924</f>
        <v>924</v>
      </c>
      <c r="X663" s="268"/>
      <c r="Y663" s="269">
        <f t="shared" si="206"/>
        <v>0</v>
      </c>
      <c r="Z663" s="270">
        <f t="shared" si="207"/>
        <v>0</v>
      </c>
      <c r="AA663" s="270"/>
      <c r="AB663" s="811"/>
      <c r="AC663" s="267"/>
      <c r="AD663" s="209"/>
      <c r="AE663" s="210"/>
      <c r="AF663" s="210"/>
      <c r="AG663" s="211">
        <f t="shared" si="223"/>
        <v>0.307</v>
      </c>
      <c r="AH663" s="157">
        <f t="shared" si="225"/>
        <v>0</v>
      </c>
      <c r="AI663" s="152">
        <f t="shared" si="209"/>
        <v>22176</v>
      </c>
      <c r="AK663" s="156" t="s">
        <v>691</v>
      </c>
      <c r="AL663" s="212" t="s">
        <v>690</v>
      </c>
      <c r="AM663" s="198">
        <f t="shared" si="224"/>
        <v>0</v>
      </c>
      <c r="AN663" s="199">
        <f t="shared" si="220"/>
        <v>45409</v>
      </c>
      <c r="AO663" s="159" t="s">
        <v>692</v>
      </c>
      <c r="AP663" s="781" t="s">
        <v>642</v>
      </c>
      <c r="AQ663" s="782">
        <v>12063755</v>
      </c>
      <c r="AR663" s="782">
        <v>12061353</v>
      </c>
      <c r="AS663" s="782">
        <v>12061354</v>
      </c>
      <c r="AT663" s="782">
        <v>12084023</v>
      </c>
      <c r="AU663" s="781"/>
      <c r="AV663" s="782">
        <v>12084228</v>
      </c>
      <c r="AW663" s="782"/>
      <c r="AX663" s="782"/>
      <c r="AY663" s="782"/>
      <c r="AZ663" s="782"/>
      <c r="BA663" s="781"/>
    </row>
    <row r="664" spans="1:53" ht="24.65" hidden="1" customHeight="1">
      <c r="A664" s="142" t="s">
        <v>120</v>
      </c>
      <c r="B664" s="258">
        <v>45409</v>
      </c>
      <c r="C664" s="259">
        <v>45414</v>
      </c>
      <c r="D664" s="185">
        <f t="shared" si="218"/>
        <v>2024</v>
      </c>
      <c r="E664" s="260" t="str">
        <f>VLOOKUP($B664,Week!$A$1:$C$1462,2,0)</f>
        <v>Week17</v>
      </c>
      <c r="F664" s="261" t="str">
        <f t="shared" si="219"/>
        <v>Apr</v>
      </c>
      <c r="G664" s="262" t="s">
        <v>1146</v>
      </c>
      <c r="H664" s="260" t="s">
        <v>134</v>
      </c>
      <c r="I664" s="260" t="s">
        <v>2772</v>
      </c>
      <c r="J664" s="263" t="s">
        <v>164</v>
      </c>
      <c r="K664" s="264" t="s">
        <v>153</v>
      </c>
      <c r="L664" s="390" t="s">
        <v>2166</v>
      </c>
      <c r="M664" s="263" t="s">
        <v>165</v>
      </c>
      <c r="N664" s="260" t="s">
        <v>166</v>
      </c>
      <c r="O664" s="260" t="s">
        <v>502</v>
      </c>
      <c r="P664" s="265">
        <v>20</v>
      </c>
      <c r="Q664" s="265">
        <v>12</v>
      </c>
      <c r="R664" s="266">
        <v>6.8100000000000001E-3</v>
      </c>
      <c r="S664" s="260" t="s">
        <v>76</v>
      </c>
      <c r="T664" s="260" t="s">
        <v>56</v>
      </c>
      <c r="U664" s="260" t="s">
        <v>89</v>
      </c>
      <c r="V664" s="267">
        <f>1200-330</f>
        <v>870</v>
      </c>
      <c r="W664" s="267">
        <f>870</f>
        <v>870</v>
      </c>
      <c r="X664" s="268"/>
      <c r="Y664" s="269">
        <f t="shared" si="206"/>
        <v>0</v>
      </c>
      <c r="Z664" s="270">
        <f t="shared" si="207"/>
        <v>0</v>
      </c>
      <c r="AA664" s="270">
        <f>Q664*Z664</f>
        <v>0</v>
      </c>
      <c r="AB664" s="811">
        <v>2</v>
      </c>
      <c r="AC664" s="267">
        <f>Z664*AB664</f>
        <v>0</v>
      </c>
      <c r="AD664" s="209" t="s">
        <v>168</v>
      </c>
      <c r="AE664" s="210"/>
      <c r="AF664" s="210"/>
      <c r="AG664" s="211">
        <f t="shared" si="223"/>
        <v>0.154</v>
      </c>
      <c r="AH664" s="157">
        <f>(Z664*AG664)/1000</f>
        <v>0</v>
      </c>
      <c r="AI664" s="152">
        <f t="shared" si="209"/>
        <v>17400</v>
      </c>
      <c r="AK664" s="156" t="s">
        <v>691</v>
      </c>
      <c r="AL664" s="156" t="s">
        <v>689</v>
      </c>
      <c r="AM664" s="198">
        <f t="shared" si="224"/>
        <v>0</v>
      </c>
      <c r="AN664" s="199">
        <f t="shared" si="220"/>
        <v>45409</v>
      </c>
      <c r="AO664" s="159" t="s">
        <v>692</v>
      </c>
      <c r="AP664" s="783" t="s">
        <v>610</v>
      </c>
      <c r="AQ664" s="781" t="s">
        <v>158</v>
      </c>
      <c r="AR664" s="783" t="s">
        <v>523</v>
      </c>
      <c r="AS664" s="781"/>
      <c r="AT664" s="782">
        <v>12055901</v>
      </c>
      <c r="AU664" s="781"/>
      <c r="AV664" s="783" t="s">
        <v>544</v>
      </c>
      <c r="AW664" s="781"/>
      <c r="AX664" s="782" t="s">
        <v>398</v>
      </c>
      <c r="AY664" s="781"/>
      <c r="AZ664" s="781"/>
      <c r="BA664" s="781"/>
    </row>
    <row r="665" spans="1:53" ht="25" hidden="1" customHeight="1">
      <c r="B665" s="183">
        <v>45410</v>
      </c>
      <c r="C665" s="184"/>
      <c r="D665" s="185">
        <f t="shared" si="218"/>
        <v>2024</v>
      </c>
      <c r="E665" s="185" t="str">
        <f>VLOOKUP($B665,Week!$A$1:$C$1462,2,0)</f>
        <v>Week17</v>
      </c>
      <c r="F665" s="186" t="str">
        <f t="shared" si="219"/>
        <v>Apr</v>
      </c>
      <c r="G665" s="185"/>
      <c r="H665" s="185"/>
      <c r="I665" s="185"/>
      <c r="J665" s="187"/>
      <c r="K665" s="188"/>
      <c r="L665" s="300"/>
      <c r="M665" s="187"/>
      <c r="N665" s="185"/>
      <c r="O665" s="185"/>
      <c r="P665" s="189"/>
      <c r="Q665" s="189"/>
      <c r="R665" s="190"/>
      <c r="S665" s="185"/>
      <c r="T665" s="185"/>
      <c r="U665" s="185"/>
      <c r="V665" s="191"/>
      <c r="W665" s="191"/>
      <c r="X665" s="192"/>
      <c r="Y665" s="193"/>
      <c r="Z665" s="194"/>
      <c r="AA665" s="194"/>
      <c r="AB665" s="805"/>
      <c r="AC665" s="191"/>
      <c r="AD665" s="187"/>
      <c r="AE665" s="195"/>
      <c r="AF665" s="195"/>
      <c r="AG665" s="196"/>
      <c r="AH665" s="197"/>
      <c r="AK665" s="156" t="s">
        <v>691</v>
      </c>
      <c r="AM665" s="198">
        <f t="shared" si="224"/>
        <v>0</v>
      </c>
      <c r="AN665" s="199">
        <f t="shared" si="220"/>
        <v>45410</v>
      </c>
      <c r="AO665" s="159" t="s">
        <v>692</v>
      </c>
      <c r="AP665" s="781"/>
      <c r="AQ665" s="782"/>
      <c r="AR665" s="782"/>
      <c r="AS665" s="782"/>
      <c r="AT665" s="782"/>
      <c r="AU665" s="781"/>
      <c r="AV665" s="782"/>
      <c r="AW665" s="782"/>
      <c r="AX665" s="782"/>
      <c r="AY665" s="782"/>
      <c r="AZ665" s="782"/>
      <c r="BA665" s="781"/>
    </row>
    <row r="666" spans="1:53" ht="24.65" hidden="1" customHeight="1">
      <c r="B666" s="213">
        <v>45411</v>
      </c>
      <c r="C666" s="213">
        <v>45415</v>
      </c>
      <c r="D666" s="185">
        <f t="shared" si="218"/>
        <v>2024</v>
      </c>
      <c r="E666" s="215" t="str">
        <f>VLOOKUP($B666,Week!$A$1:$C$1462,2,0)</f>
        <v>Week18</v>
      </c>
      <c r="F666" s="216" t="str">
        <f t="shared" si="219"/>
        <v>Apr</v>
      </c>
      <c r="G666" s="215" t="s">
        <v>1080</v>
      </c>
      <c r="H666" s="215" t="s">
        <v>104</v>
      </c>
      <c r="I666" s="215" t="s">
        <v>2772</v>
      </c>
      <c r="J666" s="209" t="s">
        <v>105</v>
      </c>
      <c r="K666" s="217" t="s">
        <v>107</v>
      </c>
      <c r="L666" s="300" t="s">
        <v>2167</v>
      </c>
      <c r="M666" s="209" t="s">
        <v>108</v>
      </c>
      <c r="N666" s="215" t="s">
        <v>109</v>
      </c>
      <c r="O666" s="215" t="s">
        <v>110</v>
      </c>
      <c r="P666" s="218">
        <v>36</v>
      </c>
      <c r="Q666" s="218">
        <v>5</v>
      </c>
      <c r="R666" s="219">
        <v>7.4999999999999997E-3</v>
      </c>
      <c r="S666" s="215" t="s">
        <v>111</v>
      </c>
      <c r="T666" s="215" t="s">
        <v>112</v>
      </c>
      <c r="U666" s="215" t="s">
        <v>113</v>
      </c>
      <c r="V666" s="220">
        <f>792-17</f>
        <v>775</v>
      </c>
      <c r="W666" s="220">
        <v>775</v>
      </c>
      <c r="X666" s="221"/>
      <c r="Y666" s="222">
        <f t="shared" ref="Y666:Y677" si="226">(W666+X666)-V666</f>
        <v>0</v>
      </c>
      <c r="Z666" s="223">
        <f t="shared" ref="Z666:Z677" si="227">IF(Y666&lt;0,((V666*P666)-((W666+X666)*P666)),0)</f>
        <v>0</v>
      </c>
      <c r="AA666" s="223"/>
      <c r="AB666" s="807"/>
      <c r="AC666" s="220"/>
      <c r="AD666" s="209"/>
      <c r="AE666" s="210"/>
      <c r="AF666" s="210"/>
      <c r="AG666" s="211">
        <f t="shared" ref="AG666:AG677" si="228">MID(O666,1,3)/1000</f>
        <v>0.308</v>
      </c>
      <c r="AH666" s="157">
        <f>(Z666*AG666)/1000</f>
        <v>0</v>
      </c>
      <c r="AI666" s="152">
        <f t="shared" ref="AI666:AI677" si="229">V666*P666</f>
        <v>27900</v>
      </c>
      <c r="AK666" s="156" t="s">
        <v>691</v>
      </c>
      <c r="AL666" s="574" t="s">
        <v>690</v>
      </c>
      <c r="AM666" s="198">
        <f t="shared" si="224"/>
        <v>0</v>
      </c>
      <c r="AN666" s="199">
        <f t="shared" si="220"/>
        <v>45411</v>
      </c>
      <c r="AO666" s="159" t="s">
        <v>692</v>
      </c>
      <c r="AP666" s="781"/>
      <c r="AQ666" s="782">
        <v>12063755</v>
      </c>
      <c r="AR666" s="782">
        <v>12061353</v>
      </c>
      <c r="AS666" s="782">
        <v>12061354</v>
      </c>
      <c r="AT666" s="782">
        <v>12068566</v>
      </c>
      <c r="AU666" s="781"/>
      <c r="AV666" s="782">
        <v>12068564</v>
      </c>
      <c r="AW666" s="782">
        <v>12062153</v>
      </c>
      <c r="AX666" s="782"/>
      <c r="AY666" s="782">
        <v>12068565</v>
      </c>
      <c r="AZ666" s="782"/>
      <c r="BA666" s="781"/>
    </row>
    <row r="667" spans="1:53" ht="25" hidden="1" customHeight="1">
      <c r="B667" s="213">
        <v>45411</v>
      </c>
      <c r="C667" s="213">
        <v>45415</v>
      </c>
      <c r="D667" s="185">
        <f t="shared" si="218"/>
        <v>2024</v>
      </c>
      <c r="E667" s="215" t="str">
        <f>VLOOKUP($B667,Week!$A$1:$C$1462,2,0)</f>
        <v>Week18</v>
      </c>
      <c r="F667" s="216" t="str">
        <f t="shared" si="219"/>
        <v>Apr</v>
      </c>
      <c r="G667" s="215" t="s">
        <v>1081</v>
      </c>
      <c r="H667" s="215" t="s">
        <v>104</v>
      </c>
      <c r="I667" s="215" t="s">
        <v>2772</v>
      </c>
      <c r="J667" s="209" t="s">
        <v>105</v>
      </c>
      <c r="K667" s="217" t="s">
        <v>107</v>
      </c>
      <c r="L667" s="300" t="s">
        <v>2167</v>
      </c>
      <c r="M667" s="209" t="s">
        <v>108</v>
      </c>
      <c r="N667" s="215" t="s">
        <v>109</v>
      </c>
      <c r="O667" s="215" t="s">
        <v>110</v>
      </c>
      <c r="P667" s="218">
        <v>36</v>
      </c>
      <c r="Q667" s="218">
        <v>5</v>
      </c>
      <c r="R667" s="219">
        <v>7.4999999999999997E-3</v>
      </c>
      <c r="S667" s="215" t="s">
        <v>111</v>
      </c>
      <c r="T667" s="215" t="s">
        <v>112</v>
      </c>
      <c r="U667" s="215" t="s">
        <v>113</v>
      </c>
      <c r="V667" s="220">
        <v>792</v>
      </c>
      <c r="W667" s="220">
        <v>792</v>
      </c>
      <c r="X667" s="221"/>
      <c r="Y667" s="222">
        <f t="shared" si="226"/>
        <v>0</v>
      </c>
      <c r="Z667" s="223">
        <f t="shared" si="227"/>
        <v>0</v>
      </c>
      <c r="AA667" s="223"/>
      <c r="AB667" s="807"/>
      <c r="AC667" s="220"/>
      <c r="AD667" s="209"/>
      <c r="AE667" s="210"/>
      <c r="AF667" s="210"/>
      <c r="AG667" s="211">
        <f t="shared" si="228"/>
        <v>0.308</v>
      </c>
      <c r="AH667" s="157">
        <f>(Z667*AG667)/1000</f>
        <v>0</v>
      </c>
      <c r="AI667" s="152">
        <f t="shared" si="229"/>
        <v>28512</v>
      </c>
      <c r="AK667" s="156" t="s">
        <v>691</v>
      </c>
      <c r="AL667" s="574" t="s">
        <v>690</v>
      </c>
      <c r="AM667" s="198">
        <f t="shared" si="224"/>
        <v>0</v>
      </c>
      <c r="AN667" s="199">
        <f t="shared" si="220"/>
        <v>45411</v>
      </c>
      <c r="AO667" s="159" t="s">
        <v>692</v>
      </c>
      <c r="AP667" s="781"/>
      <c r="AQ667" s="782">
        <v>12063755</v>
      </c>
      <c r="AR667" s="782">
        <v>12061353</v>
      </c>
      <c r="AS667" s="782">
        <v>12061354</v>
      </c>
      <c r="AT667" s="782">
        <v>12068566</v>
      </c>
      <c r="AU667" s="781"/>
      <c r="AV667" s="782">
        <v>12068564</v>
      </c>
      <c r="AW667" s="782">
        <v>12062153</v>
      </c>
      <c r="AX667" s="782"/>
      <c r="AY667" s="782">
        <v>12068565</v>
      </c>
      <c r="AZ667" s="782"/>
      <c r="BA667" s="781"/>
    </row>
    <row r="668" spans="1:53" ht="25" hidden="1" customHeight="1">
      <c r="B668" s="213">
        <v>45411</v>
      </c>
      <c r="C668" s="213">
        <v>45415</v>
      </c>
      <c r="D668" s="185">
        <f t="shared" si="218"/>
        <v>2024</v>
      </c>
      <c r="E668" s="215" t="str">
        <f>VLOOKUP($B668,Week!$A$1:$C$1462,2,0)</f>
        <v>Week18</v>
      </c>
      <c r="F668" s="216" t="str">
        <f t="shared" si="219"/>
        <v>Apr</v>
      </c>
      <c r="G668" s="215" t="s">
        <v>1084</v>
      </c>
      <c r="H668" s="215" t="s">
        <v>104</v>
      </c>
      <c r="I668" s="215" t="s">
        <v>2772</v>
      </c>
      <c r="J668" s="209" t="s">
        <v>105</v>
      </c>
      <c r="K668" s="217" t="s">
        <v>107</v>
      </c>
      <c r="L668" s="300" t="s">
        <v>2167</v>
      </c>
      <c r="M668" s="209" t="s">
        <v>108</v>
      </c>
      <c r="N668" s="215" t="s">
        <v>109</v>
      </c>
      <c r="O668" s="215" t="s">
        <v>110</v>
      </c>
      <c r="P668" s="218">
        <v>36</v>
      </c>
      <c r="Q668" s="218">
        <v>5</v>
      </c>
      <c r="R668" s="219">
        <v>7.4999999999999997E-3</v>
      </c>
      <c r="S668" s="215" t="s">
        <v>111</v>
      </c>
      <c r="T668" s="215" t="s">
        <v>112</v>
      </c>
      <c r="U668" s="215" t="s">
        <v>113</v>
      </c>
      <c r="V668" s="220">
        <v>792</v>
      </c>
      <c r="W668" s="220">
        <v>792</v>
      </c>
      <c r="X668" s="221"/>
      <c r="Y668" s="222">
        <f t="shared" si="226"/>
        <v>0</v>
      </c>
      <c r="Z668" s="223">
        <f t="shared" si="227"/>
        <v>0</v>
      </c>
      <c r="AA668" s="223"/>
      <c r="AB668" s="807"/>
      <c r="AC668" s="220"/>
      <c r="AD668" s="209"/>
      <c r="AE668" s="210"/>
      <c r="AF668" s="210"/>
      <c r="AG668" s="211">
        <f t="shared" si="228"/>
        <v>0.308</v>
      </c>
      <c r="AH668" s="157">
        <f>(Z668*AG668)/1000</f>
        <v>0</v>
      </c>
      <c r="AI668" s="152">
        <f t="shared" si="229"/>
        <v>28512</v>
      </c>
      <c r="AK668" s="156" t="s">
        <v>691</v>
      </c>
      <c r="AL668" s="574" t="s">
        <v>690</v>
      </c>
      <c r="AM668" s="198">
        <f t="shared" si="224"/>
        <v>0</v>
      </c>
      <c r="AN668" s="199">
        <f t="shared" si="220"/>
        <v>45411</v>
      </c>
      <c r="AO668" s="159" t="s">
        <v>692</v>
      </c>
      <c r="AP668" s="781"/>
      <c r="AQ668" s="782">
        <v>12063755</v>
      </c>
      <c r="AR668" s="782">
        <v>12061353</v>
      </c>
      <c r="AS668" s="782">
        <v>12061354</v>
      </c>
      <c r="AT668" s="782">
        <v>12068566</v>
      </c>
      <c r="AU668" s="781"/>
      <c r="AV668" s="782">
        <v>12068564</v>
      </c>
      <c r="AW668" s="782">
        <v>12062153</v>
      </c>
      <c r="AX668" s="782"/>
      <c r="AY668" s="782">
        <v>12068565</v>
      </c>
      <c r="AZ668" s="782"/>
      <c r="BA668" s="781"/>
    </row>
    <row r="669" spans="1:53" ht="25" hidden="1" customHeight="1">
      <c r="B669" s="213">
        <v>45411</v>
      </c>
      <c r="C669" s="213">
        <v>45418</v>
      </c>
      <c r="D669" s="185">
        <f t="shared" si="218"/>
        <v>2024</v>
      </c>
      <c r="E669" s="215" t="str">
        <f>VLOOKUP($B669,Week!$A$1:$C$1462,2,0)</f>
        <v>Week18</v>
      </c>
      <c r="F669" s="216" t="str">
        <f t="shared" si="219"/>
        <v>Apr</v>
      </c>
      <c r="G669" s="215" t="s">
        <v>1085</v>
      </c>
      <c r="H669" s="215" t="s">
        <v>104</v>
      </c>
      <c r="I669" s="215" t="s">
        <v>2772</v>
      </c>
      <c r="J669" s="209" t="s">
        <v>105</v>
      </c>
      <c r="K669" s="217" t="s">
        <v>107</v>
      </c>
      <c r="L669" s="300" t="s">
        <v>2167</v>
      </c>
      <c r="M669" s="209" t="s">
        <v>108</v>
      </c>
      <c r="N669" s="215" t="s">
        <v>109</v>
      </c>
      <c r="O669" s="215" t="s">
        <v>110</v>
      </c>
      <c r="P669" s="218">
        <v>36</v>
      </c>
      <c r="Q669" s="218">
        <v>5</v>
      </c>
      <c r="R669" s="219">
        <v>7.4999999999999997E-3</v>
      </c>
      <c r="S669" s="215" t="s">
        <v>111</v>
      </c>
      <c r="T669" s="215" t="s">
        <v>112</v>
      </c>
      <c r="U669" s="215" t="s">
        <v>113</v>
      </c>
      <c r="V669" s="220">
        <v>792</v>
      </c>
      <c r="W669" s="220">
        <v>792</v>
      </c>
      <c r="X669" s="221"/>
      <c r="Y669" s="222">
        <f t="shared" si="226"/>
        <v>0</v>
      </c>
      <c r="Z669" s="223">
        <f t="shared" si="227"/>
        <v>0</v>
      </c>
      <c r="AA669" s="223"/>
      <c r="AB669" s="807"/>
      <c r="AC669" s="220"/>
      <c r="AD669" s="209"/>
      <c r="AE669" s="210"/>
      <c r="AF669" s="210"/>
      <c r="AG669" s="211">
        <f t="shared" si="228"/>
        <v>0.308</v>
      </c>
      <c r="AH669" s="157">
        <f t="shared" ref="AH669:AH676" si="230">(Z669*AG669)/1000</f>
        <v>0</v>
      </c>
      <c r="AI669" s="152">
        <f t="shared" si="229"/>
        <v>28512</v>
      </c>
      <c r="AK669" s="156" t="s">
        <v>691</v>
      </c>
      <c r="AL669" s="574" t="s">
        <v>690</v>
      </c>
      <c r="AM669" s="198">
        <f t="shared" si="224"/>
        <v>0</v>
      </c>
      <c r="AN669" s="199">
        <f t="shared" si="220"/>
        <v>45411</v>
      </c>
      <c r="AO669" s="159" t="s">
        <v>692</v>
      </c>
      <c r="AP669" s="781"/>
      <c r="AQ669" s="782">
        <v>12063755</v>
      </c>
      <c r="AR669" s="782">
        <v>12061353</v>
      </c>
      <c r="AS669" s="782">
        <v>12061354</v>
      </c>
      <c r="AT669" s="782">
        <v>12068566</v>
      </c>
      <c r="AU669" s="781"/>
      <c r="AV669" s="782">
        <v>12068564</v>
      </c>
      <c r="AW669" s="782">
        <v>12062153</v>
      </c>
      <c r="AX669" s="782"/>
      <c r="AY669" s="782">
        <v>12068565</v>
      </c>
      <c r="AZ669" s="782"/>
      <c r="BA669" s="781"/>
    </row>
    <row r="670" spans="1:53" ht="25" hidden="1" customHeight="1">
      <c r="B670" s="213">
        <v>45411</v>
      </c>
      <c r="C670" s="213">
        <v>45418</v>
      </c>
      <c r="D670" s="185">
        <f t="shared" si="218"/>
        <v>2024</v>
      </c>
      <c r="E670" s="215" t="str">
        <f>VLOOKUP($B670,Week!$A$1:$C$1462,2,0)</f>
        <v>Week18</v>
      </c>
      <c r="F670" s="216" t="str">
        <f t="shared" si="219"/>
        <v>Apr</v>
      </c>
      <c r="G670" s="215" t="s">
        <v>1086</v>
      </c>
      <c r="H670" s="215" t="s">
        <v>104</v>
      </c>
      <c r="I670" s="215" t="s">
        <v>2772</v>
      </c>
      <c r="J670" s="209" t="s">
        <v>105</v>
      </c>
      <c r="K670" s="217" t="s">
        <v>107</v>
      </c>
      <c r="L670" s="300" t="s">
        <v>2167</v>
      </c>
      <c r="M670" s="209" t="s">
        <v>108</v>
      </c>
      <c r="N670" s="215" t="s">
        <v>109</v>
      </c>
      <c r="O670" s="215" t="s">
        <v>110</v>
      </c>
      <c r="P670" s="218">
        <v>36</v>
      </c>
      <c r="Q670" s="218">
        <v>5</v>
      </c>
      <c r="R670" s="219">
        <v>7.4999999999999997E-3</v>
      </c>
      <c r="S670" s="215" t="s">
        <v>111</v>
      </c>
      <c r="T670" s="215" t="s">
        <v>112</v>
      </c>
      <c r="U670" s="215" t="s">
        <v>113</v>
      </c>
      <c r="V670" s="220">
        <v>423</v>
      </c>
      <c r="W670" s="220">
        <f>3349-775-792-792-792</f>
        <v>198</v>
      </c>
      <c r="X670" s="221">
        <v>225</v>
      </c>
      <c r="Y670" s="222">
        <f t="shared" si="226"/>
        <v>0</v>
      </c>
      <c r="Z670" s="223">
        <f t="shared" si="227"/>
        <v>0</v>
      </c>
      <c r="AA670" s="223"/>
      <c r="AB670" s="807"/>
      <c r="AC670" s="220"/>
      <c r="AD670" s="209"/>
      <c r="AE670" s="210"/>
      <c r="AF670" s="210"/>
      <c r="AG670" s="211">
        <f t="shared" si="228"/>
        <v>0.308</v>
      </c>
      <c r="AH670" s="157">
        <f t="shared" si="230"/>
        <v>0</v>
      </c>
      <c r="AI670" s="152">
        <f t="shared" si="229"/>
        <v>15228</v>
      </c>
      <c r="AK670" s="156" t="s">
        <v>691</v>
      </c>
      <c r="AL670" s="574" t="s">
        <v>690</v>
      </c>
      <c r="AM670" s="198">
        <f t="shared" ref="AM670:AM676" si="231">AG670*Z670</f>
        <v>0</v>
      </c>
      <c r="AN670" s="199">
        <f t="shared" si="220"/>
        <v>45411</v>
      </c>
      <c r="AO670" s="159" t="s">
        <v>692</v>
      </c>
      <c r="AP670" s="781"/>
      <c r="AQ670" s="782">
        <v>12063755</v>
      </c>
      <c r="AR670" s="782">
        <v>12061353</v>
      </c>
      <c r="AS670" s="782">
        <v>12061354</v>
      </c>
      <c r="AT670" s="782">
        <v>12068566</v>
      </c>
      <c r="AU670" s="781"/>
      <c r="AV670" s="782">
        <v>12068564</v>
      </c>
      <c r="AW670" s="782">
        <v>12062153</v>
      </c>
      <c r="AX670" s="782"/>
      <c r="AY670" s="782">
        <v>12068565</v>
      </c>
      <c r="AZ670" s="782"/>
      <c r="BA670" s="781"/>
    </row>
    <row r="671" spans="1:53" ht="25" hidden="1" customHeight="1">
      <c r="A671" s="142" t="s">
        <v>120</v>
      </c>
      <c r="B671" s="271">
        <v>45411</v>
      </c>
      <c r="C671" s="272">
        <v>45447</v>
      </c>
      <c r="D671" s="185">
        <f t="shared" si="218"/>
        <v>2024</v>
      </c>
      <c r="E671" s="272" t="str">
        <f>VLOOKUP($B671,Week!$A$1:$C$1462,2,0)</f>
        <v>Week18</v>
      </c>
      <c r="F671" s="273" t="str">
        <f t="shared" si="219"/>
        <v>Apr</v>
      </c>
      <c r="G671" s="274" t="s">
        <v>1122</v>
      </c>
      <c r="H671" s="274" t="s">
        <v>500</v>
      </c>
      <c r="I671" s="274" t="s">
        <v>2772</v>
      </c>
      <c r="J671" s="275" t="s">
        <v>285</v>
      </c>
      <c r="K671" s="276" t="s">
        <v>153</v>
      </c>
      <c r="L671" s="390" t="s">
        <v>2166</v>
      </c>
      <c r="M671" s="275" t="s">
        <v>86</v>
      </c>
      <c r="N671" s="274" t="s">
        <v>547</v>
      </c>
      <c r="O671" s="274" t="s">
        <v>548</v>
      </c>
      <c r="P671" s="277">
        <v>10</v>
      </c>
      <c r="Q671" s="277">
        <v>50</v>
      </c>
      <c r="R671" s="278">
        <v>6.8100000000000001E-3</v>
      </c>
      <c r="S671" s="274" t="s">
        <v>76</v>
      </c>
      <c r="T671" s="274" t="s">
        <v>56</v>
      </c>
      <c r="U671" s="274" t="s">
        <v>89</v>
      </c>
      <c r="V671" s="279">
        <f>558</f>
        <v>558</v>
      </c>
      <c r="W671" s="279">
        <v>558</v>
      </c>
      <c r="X671" s="280"/>
      <c r="Y671" s="281">
        <f t="shared" si="226"/>
        <v>0</v>
      </c>
      <c r="Z671" s="282">
        <f t="shared" si="227"/>
        <v>0</v>
      </c>
      <c r="AA671" s="282">
        <f>Q671*Z671</f>
        <v>0</v>
      </c>
      <c r="AB671" s="812">
        <v>6</v>
      </c>
      <c r="AC671" s="279">
        <f>Z671*AB671</f>
        <v>0</v>
      </c>
      <c r="AD671" s="209"/>
      <c r="AE671" s="210"/>
      <c r="AF671" s="210"/>
      <c r="AG671" s="211">
        <f t="shared" si="228"/>
        <v>0.63</v>
      </c>
      <c r="AH671" s="157">
        <f>(Z671*AG671)/1000</f>
        <v>0</v>
      </c>
      <c r="AI671" s="152">
        <f t="shared" si="229"/>
        <v>5580</v>
      </c>
      <c r="AK671" s="156" t="s">
        <v>691</v>
      </c>
      <c r="AL671" s="156" t="s">
        <v>689</v>
      </c>
      <c r="AM671" s="198">
        <f>AG671*Z671</f>
        <v>0</v>
      </c>
      <c r="AN671" s="199">
        <f t="shared" si="220"/>
        <v>45411</v>
      </c>
      <c r="AO671" s="159" t="s">
        <v>692</v>
      </c>
      <c r="AP671" s="783" t="s">
        <v>620</v>
      </c>
      <c r="AQ671" s="782" t="s">
        <v>549</v>
      </c>
      <c r="AR671" s="782">
        <v>12055234</v>
      </c>
      <c r="AS671" s="781"/>
      <c r="AT671" s="782"/>
      <c r="AU671" s="782"/>
      <c r="AV671" s="782">
        <v>12062809</v>
      </c>
      <c r="AW671" s="782"/>
      <c r="AX671" s="782" t="s">
        <v>619</v>
      </c>
      <c r="AY671" s="781"/>
      <c r="AZ671" s="781"/>
      <c r="BA671" s="781"/>
    </row>
    <row r="672" spans="1:53" ht="25.15" hidden="1" customHeight="1">
      <c r="B672" s="345">
        <v>45412</v>
      </c>
      <c r="C672" s="346">
        <v>45434</v>
      </c>
      <c r="D672" s="185">
        <f t="shared" si="218"/>
        <v>2024</v>
      </c>
      <c r="E672" s="347" t="str">
        <f>VLOOKUP($B672,Week!$A$1:$C$1462,2,0)</f>
        <v>Week18</v>
      </c>
      <c r="F672" s="348" t="str">
        <f t="shared" si="219"/>
        <v>Apr</v>
      </c>
      <c r="G672" s="347" t="s">
        <v>1033</v>
      </c>
      <c r="H672" s="347" t="s">
        <v>424</v>
      </c>
      <c r="I672" s="347" t="s">
        <v>2772</v>
      </c>
      <c r="J672" s="438" t="s">
        <v>425</v>
      </c>
      <c r="K672" s="350" t="s">
        <v>176</v>
      </c>
      <c r="L672" s="300" t="s">
        <v>2167</v>
      </c>
      <c r="M672" s="349" t="s">
        <v>426</v>
      </c>
      <c r="N672" s="347" t="s">
        <v>427</v>
      </c>
      <c r="O672" s="347" t="s">
        <v>599</v>
      </c>
      <c r="P672" s="351">
        <v>36</v>
      </c>
      <c r="Q672" s="351">
        <v>5</v>
      </c>
      <c r="R672" s="352">
        <v>7.4999999999999997E-3</v>
      </c>
      <c r="S672" s="347" t="s">
        <v>111</v>
      </c>
      <c r="T672" s="347" t="s">
        <v>112</v>
      </c>
      <c r="U672" s="347" t="s">
        <v>57</v>
      </c>
      <c r="V672" s="353">
        <v>1288</v>
      </c>
      <c r="W672" s="353">
        <f>41+963</f>
        <v>1004</v>
      </c>
      <c r="X672" s="354">
        <f>(10224)/36</f>
        <v>284</v>
      </c>
      <c r="Y672" s="355">
        <f t="shared" si="226"/>
        <v>0</v>
      </c>
      <c r="Z672" s="356">
        <f t="shared" si="227"/>
        <v>0</v>
      </c>
      <c r="AA672" s="353"/>
      <c r="AB672" s="818"/>
      <c r="AC672" s="353"/>
      <c r="AD672" s="307" t="s">
        <v>728</v>
      </c>
      <c r="AE672" s="210"/>
      <c r="AF672" s="210"/>
      <c r="AG672" s="211">
        <f t="shared" si="228"/>
        <v>0.14799999999999999</v>
      </c>
      <c r="AH672" s="157">
        <f>(Z672*AG672)/1000</f>
        <v>0</v>
      </c>
      <c r="AI672" s="152">
        <f t="shared" si="229"/>
        <v>46368</v>
      </c>
      <c r="AK672" s="156" t="s">
        <v>691</v>
      </c>
      <c r="AL672" s="574" t="s">
        <v>690</v>
      </c>
      <c r="AM672" s="198">
        <f>AG672*Z672</f>
        <v>0</v>
      </c>
      <c r="AN672" s="199">
        <f t="shared" si="220"/>
        <v>45412</v>
      </c>
      <c r="AO672" s="159" t="s">
        <v>692</v>
      </c>
      <c r="AP672" s="783" t="s">
        <v>609</v>
      </c>
      <c r="AQ672" s="782">
        <v>12071839</v>
      </c>
      <c r="AR672" s="782">
        <v>12047514</v>
      </c>
      <c r="AS672" s="782">
        <v>12047515</v>
      </c>
      <c r="AT672" s="782">
        <v>12062098</v>
      </c>
      <c r="AU672" s="782"/>
      <c r="AV672" s="782">
        <v>12062100</v>
      </c>
      <c r="AW672" s="782">
        <v>12024404</v>
      </c>
      <c r="AX672" s="781"/>
      <c r="AY672" s="782">
        <v>12062116</v>
      </c>
      <c r="AZ672" s="782"/>
      <c r="BA672" s="781"/>
    </row>
    <row r="673" spans="1:53" ht="24.65" hidden="1" customHeight="1">
      <c r="B673" s="308">
        <v>45412</v>
      </c>
      <c r="C673" s="309">
        <v>45425</v>
      </c>
      <c r="D673" s="185">
        <f t="shared" si="218"/>
        <v>2024</v>
      </c>
      <c r="E673" s="309" t="str">
        <f>VLOOKUP($B673,Week!$A$1:$C$1462,2,0)</f>
        <v>Week18</v>
      </c>
      <c r="F673" s="310" t="str">
        <f t="shared" si="219"/>
        <v>Apr</v>
      </c>
      <c r="G673" s="311" t="s">
        <v>1245</v>
      </c>
      <c r="H673" s="311" t="s">
        <v>311</v>
      </c>
      <c r="I673" s="311" t="s">
        <v>2772</v>
      </c>
      <c r="J673" s="312" t="s">
        <v>738</v>
      </c>
      <c r="K673" s="313" t="s">
        <v>107</v>
      </c>
      <c r="L673" s="300" t="s">
        <v>2167</v>
      </c>
      <c r="M673" s="312" t="s">
        <v>313</v>
      </c>
      <c r="N673" s="311" t="s">
        <v>314</v>
      </c>
      <c r="O673" s="311" t="s">
        <v>110</v>
      </c>
      <c r="P673" s="314">
        <v>36</v>
      </c>
      <c r="Q673" s="314">
        <v>5</v>
      </c>
      <c r="R673" s="315">
        <v>7.4999999999999997E-3</v>
      </c>
      <c r="S673" s="311" t="s">
        <v>111</v>
      </c>
      <c r="T673" s="311" t="s">
        <v>112</v>
      </c>
      <c r="U673" s="311" t="s">
        <v>57</v>
      </c>
      <c r="V673" s="316">
        <v>792</v>
      </c>
      <c r="W673" s="316">
        <f>10+782</f>
        <v>792</v>
      </c>
      <c r="X673" s="317"/>
      <c r="Y673" s="318">
        <f t="shared" si="226"/>
        <v>0</v>
      </c>
      <c r="Z673" s="319">
        <f t="shared" si="227"/>
        <v>0</v>
      </c>
      <c r="AA673" s="319"/>
      <c r="AB673" s="815"/>
      <c r="AC673" s="316"/>
      <c r="AD673" s="307"/>
      <c r="AE673" s="210"/>
      <c r="AF673" s="210"/>
      <c r="AG673" s="211">
        <f t="shared" si="228"/>
        <v>0.308</v>
      </c>
      <c r="AH673" s="157">
        <f>(Z673*AG673)/1000</f>
        <v>0</v>
      </c>
      <c r="AI673" s="152">
        <f t="shared" si="229"/>
        <v>28512</v>
      </c>
      <c r="AK673" s="156" t="s">
        <v>691</v>
      </c>
      <c r="AL673" s="212" t="s">
        <v>690</v>
      </c>
      <c r="AM673" s="198">
        <f>AG673*Z673</f>
        <v>0</v>
      </c>
      <c r="AN673" s="199">
        <f t="shared" si="220"/>
        <v>45412</v>
      </c>
      <c r="AO673" s="159" t="s">
        <v>692</v>
      </c>
      <c r="AP673" s="783" t="s">
        <v>644</v>
      </c>
      <c r="AQ673" s="782">
        <v>12063755</v>
      </c>
      <c r="AR673" s="782">
        <v>12061353</v>
      </c>
      <c r="AS673" s="782">
        <v>12061354</v>
      </c>
      <c r="AT673" s="782">
        <v>12062266</v>
      </c>
      <c r="AU673" s="781"/>
      <c r="AV673" s="782">
        <v>12062261</v>
      </c>
      <c r="AW673" s="782">
        <v>12062153</v>
      </c>
      <c r="AX673" s="782"/>
      <c r="AY673" s="782">
        <v>12062262</v>
      </c>
      <c r="AZ673" s="782"/>
      <c r="BA673" s="781"/>
    </row>
    <row r="674" spans="1:53" ht="25" hidden="1" customHeight="1">
      <c r="B674" s="213">
        <v>45412</v>
      </c>
      <c r="C674" s="213">
        <v>45418</v>
      </c>
      <c r="D674" s="185">
        <f t="shared" si="218"/>
        <v>2024</v>
      </c>
      <c r="E674" s="215" t="str">
        <f>VLOOKUP($B674,Week!$A$1:$C$1462,2,0)</f>
        <v>Week18</v>
      </c>
      <c r="F674" s="216" t="str">
        <f t="shared" si="219"/>
        <v>Apr</v>
      </c>
      <c r="G674" s="215" t="s">
        <v>1086</v>
      </c>
      <c r="H674" s="215" t="s">
        <v>104</v>
      </c>
      <c r="I674" s="215" t="s">
        <v>2772</v>
      </c>
      <c r="J674" s="209" t="s">
        <v>105</v>
      </c>
      <c r="K674" s="217" t="s">
        <v>107</v>
      </c>
      <c r="L674" s="300" t="s">
        <v>2167</v>
      </c>
      <c r="M674" s="209" t="s">
        <v>108</v>
      </c>
      <c r="N674" s="215" t="s">
        <v>109</v>
      </c>
      <c r="O674" s="215" t="s">
        <v>110</v>
      </c>
      <c r="P674" s="218">
        <v>36</v>
      </c>
      <c r="Q674" s="218">
        <v>5</v>
      </c>
      <c r="R674" s="219">
        <v>7.4999999999999997E-3</v>
      </c>
      <c r="S674" s="215" t="s">
        <v>111</v>
      </c>
      <c r="T674" s="215" t="s">
        <v>112</v>
      </c>
      <c r="U674" s="215" t="s">
        <v>113</v>
      </c>
      <c r="V674" s="220">
        <f>792-423</f>
        <v>369</v>
      </c>
      <c r="W674" s="220">
        <v>369</v>
      </c>
      <c r="X674" s="221"/>
      <c r="Y674" s="222">
        <f t="shared" si="226"/>
        <v>0</v>
      </c>
      <c r="Z674" s="223">
        <f t="shared" si="227"/>
        <v>0</v>
      </c>
      <c r="AA674" s="223"/>
      <c r="AB674" s="807"/>
      <c r="AC674" s="220"/>
      <c r="AD674" s="209"/>
      <c r="AE674" s="210"/>
      <c r="AF674" s="210"/>
      <c r="AG674" s="211">
        <f t="shared" si="228"/>
        <v>0.308</v>
      </c>
      <c r="AH674" s="157">
        <f>(Z674*AG674)/1000</f>
        <v>0</v>
      </c>
      <c r="AI674" s="152">
        <f t="shared" si="229"/>
        <v>13284</v>
      </c>
      <c r="AK674" s="156" t="s">
        <v>691</v>
      </c>
      <c r="AL674" s="574" t="s">
        <v>690</v>
      </c>
      <c r="AM674" s="198">
        <f>AG674*Z674</f>
        <v>0</v>
      </c>
      <c r="AN674" s="199">
        <f t="shared" si="220"/>
        <v>45412</v>
      </c>
      <c r="AO674" s="159" t="s">
        <v>692</v>
      </c>
      <c r="AP674" s="781"/>
      <c r="AQ674" s="782">
        <v>12063755</v>
      </c>
      <c r="AR674" s="782">
        <v>12061353</v>
      </c>
      <c r="AS674" s="782">
        <v>12061354</v>
      </c>
      <c r="AT674" s="782">
        <v>12068566</v>
      </c>
      <c r="AU674" s="781"/>
      <c r="AV674" s="782">
        <v>12068564</v>
      </c>
      <c r="AW674" s="782">
        <v>12062153</v>
      </c>
      <c r="AX674" s="782"/>
      <c r="AY674" s="782">
        <v>12068565</v>
      </c>
      <c r="AZ674" s="782"/>
      <c r="BA674" s="781"/>
    </row>
    <row r="675" spans="1:53" ht="25" hidden="1" customHeight="1">
      <c r="B675" s="213">
        <v>45412</v>
      </c>
      <c r="C675" s="213">
        <v>45418</v>
      </c>
      <c r="D675" s="185">
        <f t="shared" si="218"/>
        <v>2024</v>
      </c>
      <c r="E675" s="215" t="str">
        <f>VLOOKUP($B675,Week!$A$1:$C$1462,2,0)</f>
        <v>Week18</v>
      </c>
      <c r="F675" s="216" t="str">
        <f t="shared" si="219"/>
        <v>Apr</v>
      </c>
      <c r="G675" s="215" t="s">
        <v>1087</v>
      </c>
      <c r="H675" s="215" t="s">
        <v>104</v>
      </c>
      <c r="I675" s="215" t="s">
        <v>2772</v>
      </c>
      <c r="J675" s="209" t="s">
        <v>105</v>
      </c>
      <c r="K675" s="217" t="s">
        <v>107</v>
      </c>
      <c r="L675" s="300" t="s">
        <v>2167</v>
      </c>
      <c r="M675" s="209" t="s">
        <v>108</v>
      </c>
      <c r="N675" s="215" t="s">
        <v>109</v>
      </c>
      <c r="O675" s="215" t="s">
        <v>110</v>
      </c>
      <c r="P675" s="218">
        <v>36</v>
      </c>
      <c r="Q675" s="218">
        <v>5</v>
      </c>
      <c r="R675" s="219">
        <v>7.4999999999999997E-3</v>
      </c>
      <c r="S675" s="215" t="s">
        <v>111</v>
      </c>
      <c r="T675" s="215" t="s">
        <v>112</v>
      </c>
      <c r="U675" s="215" t="s">
        <v>113</v>
      </c>
      <c r="V675" s="220">
        <f>792</f>
        <v>792</v>
      </c>
      <c r="W675" s="220">
        <v>792</v>
      </c>
      <c r="X675" s="221"/>
      <c r="Y675" s="222">
        <f t="shared" si="226"/>
        <v>0</v>
      </c>
      <c r="Z675" s="223">
        <f t="shared" si="227"/>
        <v>0</v>
      </c>
      <c r="AA675" s="223"/>
      <c r="AB675" s="807"/>
      <c r="AC675" s="220"/>
      <c r="AD675" s="209"/>
      <c r="AE675" s="210"/>
      <c r="AF675" s="210"/>
      <c r="AG675" s="211">
        <f t="shared" si="228"/>
        <v>0.308</v>
      </c>
      <c r="AH675" s="157">
        <f t="shared" si="230"/>
        <v>0</v>
      </c>
      <c r="AI675" s="152">
        <f t="shared" si="229"/>
        <v>28512</v>
      </c>
      <c r="AK675" s="156" t="s">
        <v>691</v>
      </c>
      <c r="AL675" s="574" t="s">
        <v>690</v>
      </c>
      <c r="AM675" s="198">
        <f t="shared" si="231"/>
        <v>0</v>
      </c>
      <c r="AN675" s="199">
        <f t="shared" si="220"/>
        <v>45412</v>
      </c>
      <c r="AO675" s="159" t="s">
        <v>692</v>
      </c>
      <c r="AP675" s="781"/>
      <c r="AQ675" s="782">
        <v>12063755</v>
      </c>
      <c r="AR675" s="782">
        <v>12061353</v>
      </c>
      <c r="AS675" s="782">
        <v>12061354</v>
      </c>
      <c r="AT675" s="782">
        <v>12068566</v>
      </c>
      <c r="AU675" s="781"/>
      <c r="AV675" s="782">
        <v>12068564</v>
      </c>
      <c r="AW675" s="782">
        <v>12062153</v>
      </c>
      <c r="AX675" s="782"/>
      <c r="AY675" s="782">
        <v>12068565</v>
      </c>
      <c r="AZ675" s="782"/>
      <c r="BA675" s="781"/>
    </row>
    <row r="676" spans="1:53" ht="25" hidden="1" customHeight="1">
      <c r="B676" s="213">
        <v>45412</v>
      </c>
      <c r="C676" s="213">
        <v>45418</v>
      </c>
      <c r="D676" s="185">
        <f t="shared" si="218"/>
        <v>2024</v>
      </c>
      <c r="E676" s="215" t="str">
        <f>VLOOKUP($B676,Week!$A$1:$C$1462,2,0)</f>
        <v>Week18</v>
      </c>
      <c r="F676" s="216" t="str">
        <f t="shared" si="219"/>
        <v>Apr</v>
      </c>
      <c r="G676" s="215" t="s">
        <v>1088</v>
      </c>
      <c r="H676" s="215" t="s">
        <v>104</v>
      </c>
      <c r="I676" s="215" t="s">
        <v>2772</v>
      </c>
      <c r="J676" s="209" t="s">
        <v>105</v>
      </c>
      <c r="K676" s="217" t="s">
        <v>107</v>
      </c>
      <c r="L676" s="300" t="s">
        <v>2167</v>
      </c>
      <c r="M676" s="209" t="s">
        <v>108</v>
      </c>
      <c r="N676" s="215" t="s">
        <v>109</v>
      </c>
      <c r="O676" s="215" t="s">
        <v>110</v>
      </c>
      <c r="P676" s="218">
        <v>36</v>
      </c>
      <c r="Q676" s="218">
        <v>5</v>
      </c>
      <c r="R676" s="219">
        <v>7.4999999999999997E-3</v>
      </c>
      <c r="S676" s="215" t="s">
        <v>111</v>
      </c>
      <c r="T676" s="215" t="s">
        <v>112</v>
      </c>
      <c r="U676" s="215" t="s">
        <v>113</v>
      </c>
      <c r="V676" s="220">
        <f>1672-369-792</f>
        <v>511</v>
      </c>
      <c r="W676" s="220">
        <f>1672-369-792</f>
        <v>511</v>
      </c>
      <c r="X676" s="221"/>
      <c r="Y676" s="222">
        <f t="shared" si="226"/>
        <v>0</v>
      </c>
      <c r="Z676" s="223">
        <f t="shared" si="227"/>
        <v>0</v>
      </c>
      <c r="AA676" s="223"/>
      <c r="AB676" s="807"/>
      <c r="AC676" s="220"/>
      <c r="AD676" s="209"/>
      <c r="AE676" s="210"/>
      <c r="AF676" s="210"/>
      <c r="AG676" s="211">
        <f t="shared" si="228"/>
        <v>0.308</v>
      </c>
      <c r="AH676" s="157">
        <f t="shared" si="230"/>
        <v>0</v>
      </c>
      <c r="AI676" s="152">
        <f t="shared" si="229"/>
        <v>18396</v>
      </c>
      <c r="AK676" s="156" t="s">
        <v>691</v>
      </c>
      <c r="AL676" s="574" t="s">
        <v>690</v>
      </c>
      <c r="AM676" s="198">
        <f t="shared" si="231"/>
        <v>0</v>
      </c>
      <c r="AN676" s="199">
        <f t="shared" si="220"/>
        <v>45412</v>
      </c>
      <c r="AO676" s="159" t="s">
        <v>692</v>
      </c>
      <c r="AP676" s="781"/>
      <c r="AQ676" s="782">
        <v>12063755</v>
      </c>
      <c r="AR676" s="782">
        <v>12061353</v>
      </c>
      <c r="AS676" s="782">
        <v>12061354</v>
      </c>
      <c r="AT676" s="782">
        <v>12068566</v>
      </c>
      <c r="AU676" s="781"/>
      <c r="AV676" s="782">
        <v>12068564</v>
      </c>
      <c r="AW676" s="782">
        <v>12062153</v>
      </c>
      <c r="AX676" s="782"/>
      <c r="AY676" s="782">
        <v>12068565</v>
      </c>
      <c r="AZ676" s="782"/>
      <c r="BA676" s="781"/>
    </row>
    <row r="677" spans="1:53" ht="25" hidden="1" customHeight="1">
      <c r="A677" s="142" t="s">
        <v>120</v>
      </c>
      <c r="B677" s="271">
        <v>45412</v>
      </c>
      <c r="C677" s="272">
        <v>45447</v>
      </c>
      <c r="D677" s="185">
        <f t="shared" si="218"/>
        <v>2024</v>
      </c>
      <c r="E677" s="272" t="str">
        <f>VLOOKUP($B677,Week!$A$1:$C$1462,2,0)</f>
        <v>Week18</v>
      </c>
      <c r="F677" s="273" t="str">
        <f t="shared" si="219"/>
        <v>Apr</v>
      </c>
      <c r="G677" s="274" t="s">
        <v>1122</v>
      </c>
      <c r="H677" s="274" t="s">
        <v>500</v>
      </c>
      <c r="I677" s="274" t="s">
        <v>2772</v>
      </c>
      <c r="J677" s="275" t="s">
        <v>285</v>
      </c>
      <c r="K677" s="276" t="s">
        <v>153</v>
      </c>
      <c r="L677" s="390" t="s">
        <v>2166</v>
      </c>
      <c r="M677" s="275" t="s">
        <v>86</v>
      </c>
      <c r="N677" s="274" t="s">
        <v>547</v>
      </c>
      <c r="O677" s="274" t="s">
        <v>548</v>
      </c>
      <c r="P677" s="277">
        <v>10</v>
      </c>
      <c r="Q677" s="277">
        <v>50</v>
      </c>
      <c r="R677" s="278">
        <v>6.8100000000000001E-3</v>
      </c>
      <c r="S677" s="274" t="s">
        <v>76</v>
      </c>
      <c r="T677" s="274" t="s">
        <v>56</v>
      </c>
      <c r="U677" s="274" t="s">
        <v>89</v>
      </c>
      <c r="V677" s="279">
        <v>580</v>
      </c>
      <c r="W677" s="279">
        <v>580</v>
      </c>
      <c r="X677" s="280"/>
      <c r="Y677" s="281">
        <f t="shared" si="226"/>
        <v>0</v>
      </c>
      <c r="Z677" s="282">
        <f t="shared" si="227"/>
        <v>0</v>
      </c>
      <c r="AA677" s="282">
        <f>Q677*Z677</f>
        <v>0</v>
      </c>
      <c r="AB677" s="812">
        <v>6</v>
      </c>
      <c r="AC677" s="279">
        <f>Z677*AB677</f>
        <v>0</v>
      </c>
      <c r="AD677" s="209"/>
      <c r="AE677" s="210"/>
      <c r="AF677" s="210"/>
      <c r="AG677" s="211">
        <f t="shared" si="228"/>
        <v>0.63</v>
      </c>
      <c r="AH677" s="157">
        <f>(Z677*AG677)/1000</f>
        <v>0</v>
      </c>
      <c r="AI677" s="152">
        <f t="shared" si="229"/>
        <v>5800</v>
      </c>
      <c r="AK677" s="156" t="s">
        <v>691</v>
      </c>
      <c r="AL677" s="156" t="s">
        <v>689</v>
      </c>
      <c r="AM677" s="198">
        <f>AG677*Z677</f>
        <v>0</v>
      </c>
      <c r="AN677" s="199">
        <f t="shared" si="220"/>
        <v>45412</v>
      </c>
      <c r="AO677" s="159" t="s">
        <v>692</v>
      </c>
      <c r="AP677" s="783" t="s">
        <v>620</v>
      </c>
      <c r="AQ677" s="782" t="s">
        <v>549</v>
      </c>
      <c r="AR677" s="782">
        <v>12055234</v>
      </c>
      <c r="AS677" s="781"/>
      <c r="AT677" s="782"/>
      <c r="AU677" s="782"/>
      <c r="AV677" s="782">
        <v>12062809</v>
      </c>
      <c r="AW677" s="782"/>
      <c r="AX677" s="782" t="s">
        <v>619</v>
      </c>
      <c r="AY677" s="781"/>
      <c r="AZ677" s="781"/>
      <c r="BA677" s="781"/>
    </row>
    <row r="678" spans="1:53" ht="24.65" hidden="1" customHeight="1">
      <c r="B678" s="183">
        <v>45413</v>
      </c>
      <c r="C678" s="184"/>
      <c r="D678" s="185">
        <f t="shared" si="218"/>
        <v>2024</v>
      </c>
      <c r="E678" s="185" t="str">
        <f>VLOOKUP($B678,Week!$A$1:$C$1462,2,0)</f>
        <v>Week18</v>
      </c>
      <c r="F678" s="186" t="str">
        <f t="shared" si="219"/>
        <v>May</v>
      </c>
      <c r="G678" s="185"/>
      <c r="H678" s="185"/>
      <c r="I678" s="185"/>
      <c r="J678" s="187"/>
      <c r="K678" s="188"/>
      <c r="L678" s="300"/>
      <c r="M678" s="187"/>
      <c r="N678" s="185"/>
      <c r="O678" s="185"/>
      <c r="P678" s="189"/>
      <c r="Q678" s="189"/>
      <c r="R678" s="190"/>
      <c r="S678" s="185"/>
      <c r="T678" s="185"/>
      <c r="U678" s="185"/>
      <c r="V678" s="191"/>
      <c r="W678" s="191"/>
      <c r="X678" s="192"/>
      <c r="Y678" s="193"/>
      <c r="Z678" s="194"/>
      <c r="AA678" s="194"/>
      <c r="AB678" s="805"/>
      <c r="AC678" s="191"/>
      <c r="AD678" s="187"/>
      <c r="AE678" s="195"/>
      <c r="AF678" s="195"/>
      <c r="AG678" s="196"/>
      <c r="AH678" s="197"/>
      <c r="AK678" s="156" t="s">
        <v>691</v>
      </c>
      <c r="AM678" s="198">
        <f>AG678*Z678</f>
        <v>0</v>
      </c>
      <c r="AN678" s="199">
        <f t="shared" si="220"/>
        <v>45413</v>
      </c>
      <c r="AO678" s="159" t="s">
        <v>692</v>
      </c>
      <c r="AP678" s="781"/>
      <c r="AQ678" s="782"/>
      <c r="AR678" s="782"/>
      <c r="AS678" s="782"/>
      <c r="AT678" s="782"/>
      <c r="AU678" s="781"/>
      <c r="AV678" s="782"/>
      <c r="AW678" s="782"/>
      <c r="AX678" s="782"/>
      <c r="AY678" s="782"/>
      <c r="AZ678" s="782"/>
      <c r="BA678" s="781"/>
    </row>
    <row r="679" spans="1:53" ht="24.65" hidden="1" customHeight="1">
      <c r="B679" s="283">
        <v>45414</v>
      </c>
      <c r="C679" s="284">
        <v>45432</v>
      </c>
      <c r="D679" s="185">
        <f t="shared" si="218"/>
        <v>2024</v>
      </c>
      <c r="E679" s="284" t="str">
        <f>VLOOKUP($B679,Week!$A$1:$C$1462,2,0)</f>
        <v>Week18</v>
      </c>
      <c r="F679" s="285" t="str">
        <f t="shared" si="219"/>
        <v>May</v>
      </c>
      <c r="G679" s="626" t="s">
        <v>1208</v>
      </c>
      <c r="H679" s="624" t="s">
        <v>104</v>
      </c>
      <c r="I679" s="624" t="s">
        <v>2772</v>
      </c>
      <c r="J679" s="625" t="s">
        <v>105</v>
      </c>
      <c r="K679" s="288" t="s">
        <v>51</v>
      </c>
      <c r="L679" s="300" t="s">
        <v>2167</v>
      </c>
      <c r="M679" s="287" t="s">
        <v>595</v>
      </c>
      <c r="N679" s="286" t="s">
        <v>597</v>
      </c>
      <c r="O679" s="286" t="s">
        <v>187</v>
      </c>
      <c r="P679" s="289">
        <v>8</v>
      </c>
      <c r="Q679" s="289">
        <v>5</v>
      </c>
      <c r="R679" s="290">
        <v>6.0000000000000001E-3</v>
      </c>
      <c r="S679" s="286" t="s">
        <v>55</v>
      </c>
      <c r="T679" s="286" t="s">
        <v>112</v>
      </c>
      <c r="U679" s="286" t="s">
        <v>57</v>
      </c>
      <c r="V679" s="291">
        <f>1400</f>
        <v>1400</v>
      </c>
      <c r="W679" s="291"/>
      <c r="X679" s="292">
        <f>(770+10430)/8</f>
        <v>1400</v>
      </c>
      <c r="Y679" s="293">
        <f t="shared" ref="Y679:Y701" si="232">(W679+X679)-V679</f>
        <v>0</v>
      </c>
      <c r="Z679" s="294">
        <f t="shared" ref="Z679:Z701" si="233">IF(Y679&lt;0,((V679*P679)-((W679+X679)*P679)),0)</f>
        <v>0</v>
      </c>
      <c r="AA679" s="294"/>
      <c r="AB679" s="813"/>
      <c r="AC679" s="291"/>
      <c r="AD679" s="486"/>
      <c r="AE679" s="210"/>
      <c r="AF679" s="210"/>
      <c r="AG679" s="211">
        <v>0.14499999999999999</v>
      </c>
      <c r="AH679" s="157">
        <f t="shared" ref="AH679:AH686" si="234">(Z679*AG679)/1000</f>
        <v>0</v>
      </c>
      <c r="AI679" s="152">
        <v>19800</v>
      </c>
      <c r="AK679" s="156" t="s">
        <v>691</v>
      </c>
      <c r="AL679" s="212" t="s">
        <v>690</v>
      </c>
      <c r="AM679" s="198">
        <f>AG679*Z679</f>
        <v>0</v>
      </c>
      <c r="AN679" s="199">
        <f t="shared" si="220"/>
        <v>45414</v>
      </c>
      <c r="AO679" s="159" t="s">
        <v>692</v>
      </c>
      <c r="AP679" s="781"/>
      <c r="AQ679" s="782">
        <v>12071839</v>
      </c>
      <c r="AR679" s="782">
        <v>12047514</v>
      </c>
      <c r="AS679" s="782">
        <v>12047515</v>
      </c>
      <c r="AT679" s="782">
        <v>12083107</v>
      </c>
      <c r="AU679" s="781"/>
      <c r="AV679" s="782">
        <v>12084002</v>
      </c>
      <c r="AW679" s="782"/>
      <c r="AX679" s="782"/>
      <c r="AY679" s="782"/>
      <c r="AZ679" s="782"/>
      <c r="BA679" s="781"/>
    </row>
    <row r="680" spans="1:53" ht="24.75" hidden="1" customHeight="1">
      <c r="B680" s="295">
        <v>45414</v>
      </c>
      <c r="C680" s="296">
        <v>45418</v>
      </c>
      <c r="D680" s="185">
        <f t="shared" si="218"/>
        <v>2024</v>
      </c>
      <c r="E680" s="296" t="str">
        <f>VLOOKUP($B680,Week!$A$1:$C$1462,2,0)</f>
        <v>Week18</v>
      </c>
      <c r="F680" s="297" t="str">
        <f t="shared" si="219"/>
        <v>May</v>
      </c>
      <c r="G680" s="298" t="s">
        <v>47</v>
      </c>
      <c r="H680" s="298" t="s">
        <v>260</v>
      </c>
      <c r="I680" s="298" t="s">
        <v>2702</v>
      </c>
      <c r="J680" s="307" t="s">
        <v>904</v>
      </c>
      <c r="K680" s="300" t="s">
        <v>176</v>
      </c>
      <c r="L680" s="300" t="s">
        <v>2167</v>
      </c>
      <c r="M680" s="299" t="s">
        <v>262</v>
      </c>
      <c r="N680" s="298" t="s">
        <v>350</v>
      </c>
      <c r="O680" s="298" t="s">
        <v>351</v>
      </c>
      <c r="P680" s="301">
        <v>24</v>
      </c>
      <c r="Q680" s="301">
        <v>5</v>
      </c>
      <c r="R680" s="302">
        <v>6.1999999999999998E-3</v>
      </c>
      <c r="S680" s="298" t="s">
        <v>352</v>
      </c>
      <c r="T680" s="298" t="s">
        <v>56</v>
      </c>
      <c r="U680" s="298" t="s">
        <v>57</v>
      </c>
      <c r="V680" s="303">
        <v>2214</v>
      </c>
      <c r="W680" s="303">
        <v>2214</v>
      </c>
      <c r="X680" s="304"/>
      <c r="Y680" s="305">
        <f t="shared" si="232"/>
        <v>0</v>
      </c>
      <c r="Z680" s="306">
        <f t="shared" si="233"/>
        <v>0</v>
      </c>
      <c r="AA680" s="306"/>
      <c r="AB680" s="814"/>
      <c r="AC680" s="303"/>
      <c r="AD680" s="580" t="s">
        <v>672</v>
      </c>
      <c r="AE680" s="210"/>
      <c r="AF680" s="210"/>
      <c r="AG680" s="211">
        <f t="shared" ref="AG680:AG701" si="235">MID(O680,1,3)/1000</f>
        <v>0.13</v>
      </c>
      <c r="AH680" s="157">
        <f t="shared" si="234"/>
        <v>0</v>
      </c>
      <c r="AI680" s="152">
        <f t="shared" ref="AI680:AI701" si="236">V680*P680</f>
        <v>53136</v>
      </c>
      <c r="AK680" s="156" t="s">
        <v>691</v>
      </c>
      <c r="AL680" s="574" t="s">
        <v>690</v>
      </c>
      <c r="AM680" s="198">
        <f t="shared" ref="AM680:AM689" si="237">AG680*Z680</f>
        <v>0</v>
      </c>
      <c r="AN680" s="199">
        <f t="shared" si="220"/>
        <v>45414</v>
      </c>
      <c r="AO680" s="159" t="s">
        <v>692</v>
      </c>
      <c r="AP680" s="783" t="s">
        <v>629</v>
      </c>
      <c r="AQ680" s="782">
        <v>12071839</v>
      </c>
      <c r="AR680" s="782">
        <v>12078867</v>
      </c>
      <c r="AS680" s="782">
        <v>12068233</v>
      </c>
      <c r="AT680" s="781"/>
      <c r="AU680" s="781"/>
      <c r="AV680" s="782">
        <v>12062075</v>
      </c>
      <c r="AW680" s="781"/>
      <c r="AX680" s="781"/>
      <c r="AY680" s="782">
        <v>12078867</v>
      </c>
      <c r="AZ680" s="781"/>
      <c r="BA680" s="781"/>
    </row>
    <row r="681" spans="1:53" ht="25" hidden="1" customHeight="1">
      <c r="B681" s="597">
        <v>45414</v>
      </c>
      <c r="C681" s="383">
        <v>45420</v>
      </c>
      <c r="D681" s="185">
        <f t="shared" si="218"/>
        <v>2024</v>
      </c>
      <c r="E681" s="224" t="str">
        <f>VLOOKUP($B681,Week!$A$1:$C$1462,2,0)</f>
        <v>Week18</v>
      </c>
      <c r="F681" s="226" t="str">
        <f t="shared" si="219"/>
        <v>May</v>
      </c>
      <c r="G681" s="225" t="s">
        <v>1171</v>
      </c>
      <c r="H681" s="225" t="s">
        <v>225</v>
      </c>
      <c r="I681" s="225" t="s">
        <v>2773</v>
      </c>
      <c r="J681" s="227" t="s">
        <v>335</v>
      </c>
      <c r="K681" s="228" t="s">
        <v>176</v>
      </c>
      <c r="L681" s="300" t="s">
        <v>2167</v>
      </c>
      <c r="M681" s="227" t="s">
        <v>336</v>
      </c>
      <c r="N681" s="225" t="s">
        <v>337</v>
      </c>
      <c r="O681" s="225" t="s">
        <v>179</v>
      </c>
      <c r="P681" s="229">
        <v>36</v>
      </c>
      <c r="Q681" s="229">
        <v>5</v>
      </c>
      <c r="R681" s="230">
        <v>7.4999999999999997E-3</v>
      </c>
      <c r="S681" s="225" t="s">
        <v>111</v>
      </c>
      <c r="T681" s="225" t="s">
        <v>112</v>
      </c>
      <c r="U681" s="225" t="s">
        <v>113</v>
      </c>
      <c r="V681" s="231">
        <f>1288-222</f>
        <v>1066</v>
      </c>
      <c r="W681" s="231">
        <f>1066</f>
        <v>1066</v>
      </c>
      <c r="X681" s="232"/>
      <c r="Y681" s="233">
        <f t="shared" si="232"/>
        <v>0</v>
      </c>
      <c r="Z681" s="234">
        <f t="shared" si="233"/>
        <v>0</v>
      </c>
      <c r="AA681" s="234"/>
      <c r="AB681" s="822"/>
      <c r="AC681" s="231"/>
      <c r="AD681" s="307" t="s">
        <v>672</v>
      </c>
      <c r="AE681" s="210"/>
      <c r="AF681" s="210"/>
      <c r="AG681" s="211">
        <f t="shared" si="235"/>
        <v>0.14499999999999999</v>
      </c>
      <c r="AH681" s="157">
        <f t="shared" si="234"/>
        <v>0</v>
      </c>
      <c r="AI681" s="152">
        <f t="shared" si="236"/>
        <v>38376</v>
      </c>
      <c r="AK681" s="156" t="s">
        <v>691</v>
      </c>
      <c r="AL681" s="574" t="s">
        <v>690</v>
      </c>
      <c r="AM681" s="198">
        <f t="shared" si="237"/>
        <v>0</v>
      </c>
      <c r="AN681" s="199">
        <f t="shared" si="220"/>
        <v>45414</v>
      </c>
      <c r="AO681" s="159" t="s">
        <v>692</v>
      </c>
      <c r="AP681" s="783" t="s">
        <v>639</v>
      </c>
      <c r="AQ681" s="782">
        <v>12071839</v>
      </c>
      <c r="AR681" s="782">
        <v>12047514</v>
      </c>
      <c r="AS681" s="782">
        <v>12047515</v>
      </c>
      <c r="AT681" s="782">
        <v>12054919</v>
      </c>
      <c r="AU681" s="781"/>
      <c r="AV681" s="782">
        <v>12054869</v>
      </c>
      <c r="AW681" s="782">
        <v>12024404</v>
      </c>
      <c r="AX681" s="781"/>
      <c r="AY681" s="782">
        <v>12054815</v>
      </c>
      <c r="AZ681" s="781"/>
      <c r="BA681" s="781"/>
    </row>
    <row r="682" spans="1:53" ht="25" hidden="1" customHeight="1">
      <c r="B682" s="213">
        <v>45414</v>
      </c>
      <c r="C682" s="213">
        <v>45418</v>
      </c>
      <c r="D682" s="185">
        <f t="shared" si="218"/>
        <v>2024</v>
      </c>
      <c r="E682" s="215" t="str">
        <f>VLOOKUP($B682,Week!$A$1:$C$1462,2,0)</f>
        <v>Week18</v>
      </c>
      <c r="F682" s="216" t="str">
        <f t="shared" si="219"/>
        <v>May</v>
      </c>
      <c r="G682" s="215" t="s">
        <v>1088</v>
      </c>
      <c r="H682" s="215" t="s">
        <v>104</v>
      </c>
      <c r="I682" s="215" t="s">
        <v>2772</v>
      </c>
      <c r="J682" s="209" t="s">
        <v>105</v>
      </c>
      <c r="K682" s="217" t="s">
        <v>107</v>
      </c>
      <c r="L682" s="300" t="s">
        <v>2167</v>
      </c>
      <c r="M682" s="209" t="s">
        <v>108</v>
      </c>
      <c r="N682" s="215" t="s">
        <v>109</v>
      </c>
      <c r="O682" s="215" t="s">
        <v>110</v>
      </c>
      <c r="P682" s="218">
        <v>36</v>
      </c>
      <c r="Q682" s="218">
        <v>5</v>
      </c>
      <c r="R682" s="219">
        <v>7.4999999999999997E-3</v>
      </c>
      <c r="S682" s="215" t="s">
        <v>111</v>
      </c>
      <c r="T682" s="215" t="s">
        <v>112</v>
      </c>
      <c r="U682" s="215" t="s">
        <v>113</v>
      </c>
      <c r="V682" s="220">
        <f>792-511</f>
        <v>281</v>
      </c>
      <c r="W682" s="220">
        <v>281</v>
      </c>
      <c r="X682" s="221"/>
      <c r="Y682" s="222">
        <f t="shared" si="232"/>
        <v>0</v>
      </c>
      <c r="Z682" s="223">
        <f t="shared" si="233"/>
        <v>0</v>
      </c>
      <c r="AA682" s="223"/>
      <c r="AB682" s="807"/>
      <c r="AC682" s="220"/>
      <c r="AD682" s="209"/>
      <c r="AE682" s="210"/>
      <c r="AF682" s="210"/>
      <c r="AG682" s="211">
        <f t="shared" si="235"/>
        <v>0.308</v>
      </c>
      <c r="AH682" s="157">
        <f t="shared" si="234"/>
        <v>0</v>
      </c>
      <c r="AI682" s="152">
        <f t="shared" si="236"/>
        <v>10116</v>
      </c>
      <c r="AK682" s="156" t="s">
        <v>691</v>
      </c>
      <c r="AL682" s="574" t="s">
        <v>690</v>
      </c>
      <c r="AM682" s="198">
        <f t="shared" si="237"/>
        <v>0</v>
      </c>
      <c r="AN682" s="199">
        <f t="shared" si="220"/>
        <v>45414</v>
      </c>
      <c r="AO682" s="159" t="s">
        <v>692</v>
      </c>
      <c r="AP682" s="781"/>
      <c r="AQ682" s="782">
        <v>12063755</v>
      </c>
      <c r="AR682" s="782">
        <v>12061353</v>
      </c>
      <c r="AS682" s="782">
        <v>12061354</v>
      </c>
      <c r="AT682" s="782">
        <v>12068566</v>
      </c>
      <c r="AU682" s="781"/>
      <c r="AV682" s="782">
        <v>12088206</v>
      </c>
      <c r="AW682" s="782">
        <v>12088207</v>
      </c>
      <c r="AX682" s="782"/>
      <c r="AY682" s="782">
        <v>12068565</v>
      </c>
      <c r="AZ682" s="782"/>
      <c r="BA682" s="781"/>
    </row>
    <row r="683" spans="1:53" ht="24.65" hidden="1" customHeight="1">
      <c r="B683" s="213">
        <v>45414</v>
      </c>
      <c r="C683" s="213">
        <v>45419</v>
      </c>
      <c r="D683" s="185">
        <f t="shared" si="218"/>
        <v>2024</v>
      </c>
      <c r="E683" s="215" t="str">
        <f>VLOOKUP($B683,Week!$A$1:$C$1462,2,0)</f>
        <v>Week18</v>
      </c>
      <c r="F683" s="216" t="str">
        <f t="shared" si="219"/>
        <v>May</v>
      </c>
      <c r="G683" s="215" t="s">
        <v>1089</v>
      </c>
      <c r="H683" s="215" t="s">
        <v>104</v>
      </c>
      <c r="I683" s="215" t="s">
        <v>2772</v>
      </c>
      <c r="J683" s="209" t="s">
        <v>105</v>
      </c>
      <c r="K683" s="217" t="s">
        <v>107</v>
      </c>
      <c r="L683" s="300" t="s">
        <v>2167</v>
      </c>
      <c r="M683" s="209" t="s">
        <v>108</v>
      </c>
      <c r="N683" s="215" t="s">
        <v>109</v>
      </c>
      <c r="O683" s="215" t="s">
        <v>110</v>
      </c>
      <c r="P683" s="218">
        <v>36</v>
      </c>
      <c r="Q683" s="218">
        <v>5</v>
      </c>
      <c r="R683" s="219">
        <v>7.4999999999999997E-3</v>
      </c>
      <c r="S683" s="215" t="s">
        <v>111</v>
      </c>
      <c r="T683" s="215" t="s">
        <v>112</v>
      </c>
      <c r="U683" s="215" t="s">
        <v>113</v>
      </c>
      <c r="V683" s="220">
        <v>792</v>
      </c>
      <c r="W683" s="220">
        <v>792</v>
      </c>
      <c r="X683" s="221"/>
      <c r="Y683" s="222">
        <f t="shared" si="232"/>
        <v>0</v>
      </c>
      <c r="Z683" s="223">
        <f t="shared" si="233"/>
        <v>0</v>
      </c>
      <c r="AA683" s="223"/>
      <c r="AB683" s="807"/>
      <c r="AC683" s="220"/>
      <c r="AD683" s="209"/>
      <c r="AE683" s="210"/>
      <c r="AF683" s="210"/>
      <c r="AG683" s="211">
        <f t="shared" si="235"/>
        <v>0.308</v>
      </c>
      <c r="AH683" s="157">
        <f t="shared" si="234"/>
        <v>0</v>
      </c>
      <c r="AI683" s="152">
        <f t="shared" si="236"/>
        <v>28512</v>
      </c>
      <c r="AK683" s="156" t="s">
        <v>691</v>
      </c>
      <c r="AL683" s="574" t="s">
        <v>690</v>
      </c>
      <c r="AM683" s="198">
        <f>AG683*Z683</f>
        <v>0</v>
      </c>
      <c r="AN683" s="199">
        <f t="shared" si="220"/>
        <v>45414</v>
      </c>
      <c r="AO683" s="159" t="s">
        <v>692</v>
      </c>
      <c r="AP683" s="781"/>
      <c r="AQ683" s="782">
        <v>12063755</v>
      </c>
      <c r="AR683" s="782">
        <v>12061353</v>
      </c>
      <c r="AS683" s="782">
        <v>12061354</v>
      </c>
      <c r="AT683" s="782">
        <v>12068566</v>
      </c>
      <c r="AU683" s="781"/>
      <c r="AV683" s="782">
        <v>12088206</v>
      </c>
      <c r="AW683" s="782">
        <v>12088207</v>
      </c>
      <c r="AX683" s="782"/>
      <c r="AY683" s="782">
        <v>12068565</v>
      </c>
      <c r="AZ683" s="782"/>
      <c r="BA683" s="781"/>
    </row>
    <row r="684" spans="1:53" ht="25" hidden="1" customHeight="1">
      <c r="B684" s="213">
        <v>45414</v>
      </c>
      <c r="C684" s="213">
        <v>45423</v>
      </c>
      <c r="D684" s="185">
        <f t="shared" si="218"/>
        <v>2024</v>
      </c>
      <c r="E684" s="215" t="str">
        <f>VLOOKUP($B684,Week!$A$1:$C$1462,2,0)</f>
        <v>Week18</v>
      </c>
      <c r="F684" s="216" t="str">
        <f t="shared" si="219"/>
        <v>May</v>
      </c>
      <c r="G684" s="215" t="s">
        <v>1090</v>
      </c>
      <c r="H684" s="215" t="s">
        <v>104</v>
      </c>
      <c r="I684" s="215" t="s">
        <v>2772</v>
      </c>
      <c r="J684" s="209" t="s">
        <v>105</v>
      </c>
      <c r="K684" s="217" t="s">
        <v>107</v>
      </c>
      <c r="L684" s="300" t="s">
        <v>2167</v>
      </c>
      <c r="M684" s="209" t="s">
        <v>108</v>
      </c>
      <c r="N684" s="215" t="s">
        <v>109</v>
      </c>
      <c r="O684" s="215" t="s">
        <v>110</v>
      </c>
      <c r="P684" s="218">
        <v>36</v>
      </c>
      <c r="Q684" s="218">
        <v>5</v>
      </c>
      <c r="R684" s="219">
        <v>7.4999999999999997E-3</v>
      </c>
      <c r="S684" s="215" t="s">
        <v>111</v>
      </c>
      <c r="T684" s="215" t="s">
        <v>112</v>
      </c>
      <c r="U684" s="215" t="s">
        <v>113</v>
      </c>
      <c r="V684" s="220">
        <f>1228-281-792</f>
        <v>155</v>
      </c>
      <c r="W684" s="220">
        <f>1228-281-792</f>
        <v>155</v>
      </c>
      <c r="X684" s="221"/>
      <c r="Y684" s="222">
        <f t="shared" si="232"/>
        <v>0</v>
      </c>
      <c r="Z684" s="223">
        <f t="shared" si="233"/>
        <v>0</v>
      </c>
      <c r="AA684" s="223"/>
      <c r="AB684" s="807"/>
      <c r="AC684" s="220"/>
      <c r="AD684" s="209"/>
      <c r="AE684" s="210"/>
      <c r="AF684" s="210"/>
      <c r="AG684" s="211">
        <f t="shared" si="235"/>
        <v>0.308</v>
      </c>
      <c r="AH684" s="157">
        <f t="shared" si="234"/>
        <v>0</v>
      </c>
      <c r="AI684" s="152">
        <f t="shared" si="236"/>
        <v>5580</v>
      </c>
      <c r="AK684" s="156" t="s">
        <v>691</v>
      </c>
      <c r="AL684" s="574" t="s">
        <v>690</v>
      </c>
      <c r="AM684" s="198">
        <f>AG684*Z684</f>
        <v>0</v>
      </c>
      <c r="AN684" s="199">
        <f t="shared" si="220"/>
        <v>45414</v>
      </c>
      <c r="AO684" s="159" t="s">
        <v>692</v>
      </c>
      <c r="AP684" s="781"/>
      <c r="AQ684" s="782">
        <v>12063755</v>
      </c>
      <c r="AR684" s="782">
        <v>12061353</v>
      </c>
      <c r="AS684" s="782">
        <v>12061354</v>
      </c>
      <c r="AT684" s="782">
        <v>12068566</v>
      </c>
      <c r="AU684" s="781"/>
      <c r="AV684" s="782">
        <v>12088206</v>
      </c>
      <c r="AW684" s="782">
        <v>12088207</v>
      </c>
      <c r="AX684" s="782"/>
      <c r="AY684" s="782">
        <v>12068565</v>
      </c>
      <c r="AZ684" s="782"/>
      <c r="BA684" s="781"/>
    </row>
    <row r="685" spans="1:53" ht="25" hidden="1" customHeight="1">
      <c r="A685" s="142" t="s">
        <v>120</v>
      </c>
      <c r="B685" s="271">
        <v>45414</v>
      </c>
      <c r="C685" s="272">
        <v>45447</v>
      </c>
      <c r="D685" s="185">
        <f t="shared" si="218"/>
        <v>2024</v>
      </c>
      <c r="E685" s="272" t="str">
        <f>VLOOKUP($B685,Week!$A$1:$C$1462,2,0)</f>
        <v>Week18</v>
      </c>
      <c r="F685" s="273" t="str">
        <f t="shared" si="219"/>
        <v>May</v>
      </c>
      <c r="G685" s="274" t="s">
        <v>1122</v>
      </c>
      <c r="H685" s="274" t="s">
        <v>500</v>
      </c>
      <c r="I685" s="274" t="s">
        <v>2772</v>
      </c>
      <c r="J685" s="275" t="s">
        <v>285</v>
      </c>
      <c r="K685" s="276" t="s">
        <v>153</v>
      </c>
      <c r="L685" s="390" t="s">
        <v>2166</v>
      </c>
      <c r="M685" s="275" t="s">
        <v>86</v>
      </c>
      <c r="N685" s="274" t="s">
        <v>547</v>
      </c>
      <c r="O685" s="274" t="s">
        <v>548</v>
      </c>
      <c r="P685" s="277">
        <v>10</v>
      </c>
      <c r="Q685" s="277">
        <v>50</v>
      </c>
      <c r="R685" s="278">
        <v>6.8100000000000001E-3</v>
      </c>
      <c r="S685" s="274" t="s">
        <v>76</v>
      </c>
      <c r="T685" s="274" t="s">
        <v>56</v>
      </c>
      <c r="U685" s="274" t="s">
        <v>89</v>
      </c>
      <c r="V685" s="279">
        <v>540</v>
      </c>
      <c r="W685" s="279">
        <v>540</v>
      </c>
      <c r="X685" s="280"/>
      <c r="Y685" s="281">
        <f t="shared" si="232"/>
        <v>0</v>
      </c>
      <c r="Z685" s="282">
        <f t="shared" si="233"/>
        <v>0</v>
      </c>
      <c r="AA685" s="282">
        <f>Q685*Z685</f>
        <v>0</v>
      </c>
      <c r="AB685" s="812">
        <v>6</v>
      </c>
      <c r="AC685" s="279">
        <f>Z685*AB685</f>
        <v>0</v>
      </c>
      <c r="AD685" s="209"/>
      <c r="AE685" s="210"/>
      <c r="AF685" s="210"/>
      <c r="AG685" s="211">
        <f t="shared" si="235"/>
        <v>0.63</v>
      </c>
      <c r="AH685" s="157">
        <f t="shared" si="234"/>
        <v>0</v>
      </c>
      <c r="AI685" s="152">
        <f t="shared" si="236"/>
        <v>5400</v>
      </c>
      <c r="AK685" s="156" t="s">
        <v>691</v>
      </c>
      <c r="AL685" s="156" t="s">
        <v>689</v>
      </c>
      <c r="AM685" s="198">
        <f t="shared" si="237"/>
        <v>0</v>
      </c>
      <c r="AN685" s="199">
        <f t="shared" si="220"/>
        <v>45414</v>
      </c>
      <c r="AO685" s="159" t="s">
        <v>692</v>
      </c>
      <c r="AP685" s="783" t="s">
        <v>620</v>
      </c>
      <c r="AQ685" s="782" t="s">
        <v>549</v>
      </c>
      <c r="AR685" s="782">
        <v>12055234</v>
      </c>
      <c r="AS685" s="781"/>
      <c r="AT685" s="782"/>
      <c r="AU685" s="782"/>
      <c r="AV685" s="782">
        <v>12062809</v>
      </c>
      <c r="AW685" s="782"/>
      <c r="AX685" s="782" t="s">
        <v>619</v>
      </c>
      <c r="AY685" s="781"/>
      <c r="AZ685" s="781"/>
      <c r="BA685" s="781"/>
    </row>
    <row r="686" spans="1:53" ht="25" hidden="1" customHeight="1">
      <c r="A686" s="598"/>
      <c r="B686" s="357">
        <v>45415</v>
      </c>
      <c r="C686" s="358">
        <v>45428</v>
      </c>
      <c r="D686" s="185">
        <f t="shared" si="218"/>
        <v>2024</v>
      </c>
      <c r="E686" s="358" t="str">
        <f>VLOOKUP($B686,Week!$A$1:$C$1462,2,0)</f>
        <v>Week18</v>
      </c>
      <c r="F686" s="360" t="str">
        <f t="shared" si="219"/>
        <v>May</v>
      </c>
      <c r="G686" s="436" t="s">
        <v>1260</v>
      </c>
      <c r="H686" s="359" t="s">
        <v>225</v>
      </c>
      <c r="I686" s="359" t="s">
        <v>2773</v>
      </c>
      <c r="J686" s="361" t="s">
        <v>650</v>
      </c>
      <c r="K686" s="362" t="s">
        <v>593</v>
      </c>
      <c r="L686" s="300" t="s">
        <v>2167</v>
      </c>
      <c r="M686" s="361" t="s">
        <v>717</v>
      </c>
      <c r="N686" s="359" t="s">
        <v>719</v>
      </c>
      <c r="O686" s="359" t="s">
        <v>230</v>
      </c>
      <c r="P686" s="363">
        <v>12</v>
      </c>
      <c r="Q686" s="363">
        <v>5</v>
      </c>
      <c r="R686" s="364">
        <v>6.0000000000000001E-3</v>
      </c>
      <c r="S686" s="359" t="s">
        <v>55</v>
      </c>
      <c r="T686" s="359" t="s">
        <v>112</v>
      </c>
      <c r="U686" s="359" t="s">
        <v>57</v>
      </c>
      <c r="V686" s="365">
        <v>2600</v>
      </c>
      <c r="W686" s="365"/>
      <c r="X686" s="366">
        <f>(1256+29944)/12</f>
        <v>2600</v>
      </c>
      <c r="Y686" s="367">
        <f t="shared" si="232"/>
        <v>0</v>
      </c>
      <c r="Z686" s="368">
        <f t="shared" si="233"/>
        <v>0</v>
      </c>
      <c r="AA686" s="368"/>
      <c r="AB686" s="819"/>
      <c r="AC686" s="365"/>
      <c r="AD686" s="307" t="s">
        <v>672</v>
      </c>
      <c r="AE686" s="210"/>
      <c r="AF686" s="210"/>
      <c r="AG686" s="211">
        <f t="shared" si="235"/>
        <v>0.25800000000000001</v>
      </c>
      <c r="AH686" s="157">
        <f t="shared" si="234"/>
        <v>0</v>
      </c>
      <c r="AI686" s="152">
        <f t="shared" si="236"/>
        <v>31200</v>
      </c>
      <c r="AK686" s="156" t="s">
        <v>691</v>
      </c>
      <c r="AL686" s="574" t="s">
        <v>690</v>
      </c>
      <c r="AM686" s="198">
        <f t="shared" si="237"/>
        <v>0</v>
      </c>
      <c r="AN686" s="199">
        <f t="shared" si="220"/>
        <v>45415</v>
      </c>
      <c r="AO686" s="159" t="s">
        <v>692</v>
      </c>
      <c r="AP686" s="783" t="s">
        <v>612</v>
      </c>
      <c r="AQ686" s="782">
        <v>12071839</v>
      </c>
      <c r="AR686" s="782">
        <v>12042650</v>
      </c>
      <c r="AS686" s="782">
        <v>12042649</v>
      </c>
      <c r="AT686" s="782">
        <v>12088423</v>
      </c>
      <c r="AU686" s="781"/>
      <c r="AV686" s="782">
        <v>12088422</v>
      </c>
      <c r="AW686" s="782"/>
      <c r="AX686" s="782"/>
      <c r="AY686" s="782"/>
      <c r="AZ686" s="782"/>
      <c r="BA686" s="781"/>
    </row>
    <row r="687" spans="1:53" ht="25" hidden="1" customHeight="1">
      <c r="B687" s="246">
        <v>45415</v>
      </c>
      <c r="C687" s="247">
        <v>45425</v>
      </c>
      <c r="D687" s="185">
        <f t="shared" si="218"/>
        <v>2024</v>
      </c>
      <c r="E687" s="247" t="str">
        <f>VLOOKUP($B687,Week!$A$1:$C$1462,2,0)</f>
        <v>Week18</v>
      </c>
      <c r="F687" s="248" t="str">
        <f t="shared" si="219"/>
        <v>May</v>
      </c>
      <c r="G687" s="599" t="s">
        <v>1249</v>
      </c>
      <c r="H687" s="249" t="s">
        <v>104</v>
      </c>
      <c r="I687" s="249" t="s">
        <v>2772</v>
      </c>
      <c r="J687" s="250" t="s">
        <v>105</v>
      </c>
      <c r="K687" s="251" t="s">
        <v>593</v>
      </c>
      <c r="L687" s="300" t="s">
        <v>2167</v>
      </c>
      <c r="M687" s="250" t="s">
        <v>594</v>
      </c>
      <c r="N687" s="249" t="s">
        <v>596</v>
      </c>
      <c r="O687" s="249" t="s">
        <v>304</v>
      </c>
      <c r="P687" s="252">
        <v>8</v>
      </c>
      <c r="Q687" s="252">
        <v>5</v>
      </c>
      <c r="R687" s="253">
        <v>6.0000000000000001E-3</v>
      </c>
      <c r="S687" s="249" t="s">
        <v>55</v>
      </c>
      <c r="T687" s="249" t="s">
        <v>112</v>
      </c>
      <c r="U687" s="249" t="s">
        <v>57</v>
      </c>
      <c r="V687" s="254">
        <f>2400</f>
        <v>2400</v>
      </c>
      <c r="W687" s="254"/>
      <c r="X687" s="255">
        <f>2400</f>
        <v>2400</v>
      </c>
      <c r="Y687" s="256">
        <f t="shared" si="232"/>
        <v>0</v>
      </c>
      <c r="Z687" s="257">
        <f t="shared" si="233"/>
        <v>0</v>
      </c>
      <c r="AA687" s="257"/>
      <c r="AB687" s="810"/>
      <c r="AC687" s="254"/>
      <c r="AD687" s="209"/>
      <c r="AE687" s="210"/>
      <c r="AF687" s="210"/>
      <c r="AG687" s="211">
        <f t="shared" si="235"/>
        <v>0.25800000000000001</v>
      </c>
      <c r="AH687" s="157">
        <v>0.26621999999999996</v>
      </c>
      <c r="AI687" s="152">
        <f t="shared" si="236"/>
        <v>19200</v>
      </c>
      <c r="AK687" s="156" t="s">
        <v>691</v>
      </c>
      <c r="AL687" s="574" t="s">
        <v>690</v>
      </c>
      <c r="AM687" s="198">
        <f t="shared" si="237"/>
        <v>0</v>
      </c>
      <c r="AN687" s="199">
        <f t="shared" si="220"/>
        <v>45415</v>
      </c>
      <c r="AO687" s="159" t="s">
        <v>692</v>
      </c>
      <c r="AP687" s="781"/>
      <c r="AQ687" s="782">
        <v>12071839</v>
      </c>
      <c r="AR687" s="782">
        <v>12042650</v>
      </c>
      <c r="AS687" s="782">
        <v>12042649</v>
      </c>
      <c r="AT687" s="782">
        <v>12084100</v>
      </c>
      <c r="AU687" s="781"/>
      <c r="AV687" s="782">
        <v>12084001</v>
      </c>
      <c r="AW687" s="781"/>
      <c r="AX687" s="781"/>
      <c r="AY687" s="781"/>
      <c r="AZ687" s="782"/>
      <c r="BA687" s="781"/>
    </row>
    <row r="688" spans="1:53" ht="24.75" hidden="1" customHeight="1">
      <c r="B688" s="295">
        <v>45415</v>
      </c>
      <c r="C688" s="296">
        <v>45418</v>
      </c>
      <c r="D688" s="185">
        <f t="shared" si="218"/>
        <v>2024</v>
      </c>
      <c r="E688" s="296" t="str">
        <f>VLOOKUP($B688,Week!$A$1:$C$1462,2,0)</f>
        <v>Week18</v>
      </c>
      <c r="F688" s="297" t="str">
        <f t="shared" si="219"/>
        <v>May</v>
      </c>
      <c r="G688" s="298" t="s">
        <v>47</v>
      </c>
      <c r="H688" s="298" t="s">
        <v>260</v>
      </c>
      <c r="I688" s="298" t="s">
        <v>2702</v>
      </c>
      <c r="J688" s="307" t="s">
        <v>904</v>
      </c>
      <c r="K688" s="300" t="s">
        <v>176</v>
      </c>
      <c r="L688" s="300" t="s">
        <v>2167</v>
      </c>
      <c r="M688" s="299" t="s">
        <v>262</v>
      </c>
      <c r="N688" s="298" t="s">
        <v>350</v>
      </c>
      <c r="O688" s="298" t="s">
        <v>351</v>
      </c>
      <c r="P688" s="301">
        <v>24</v>
      </c>
      <c r="Q688" s="301">
        <v>5</v>
      </c>
      <c r="R688" s="302">
        <v>6.1999999999999998E-3</v>
      </c>
      <c r="S688" s="298" t="s">
        <v>352</v>
      </c>
      <c r="T688" s="298" t="s">
        <v>56</v>
      </c>
      <c r="U688" s="298" t="s">
        <v>57</v>
      </c>
      <c r="V688" s="303">
        <v>1103</v>
      </c>
      <c r="W688" s="303">
        <v>1103</v>
      </c>
      <c r="X688" s="304"/>
      <c r="Y688" s="305">
        <f t="shared" si="232"/>
        <v>0</v>
      </c>
      <c r="Z688" s="306">
        <f t="shared" si="233"/>
        <v>0</v>
      </c>
      <c r="AA688" s="306"/>
      <c r="AB688" s="814"/>
      <c r="AC688" s="303"/>
      <c r="AD688" s="580" t="s">
        <v>672</v>
      </c>
      <c r="AE688" s="210"/>
      <c r="AF688" s="210"/>
      <c r="AG688" s="211">
        <f t="shared" si="235"/>
        <v>0.13</v>
      </c>
      <c r="AH688" s="157">
        <f t="shared" ref="AH688:AH693" si="238">(Z688*AG688)/1000</f>
        <v>0</v>
      </c>
      <c r="AI688" s="152">
        <f t="shared" si="236"/>
        <v>26472</v>
      </c>
      <c r="AK688" s="156" t="s">
        <v>691</v>
      </c>
      <c r="AL688" s="574" t="s">
        <v>690</v>
      </c>
      <c r="AM688" s="198">
        <f t="shared" si="237"/>
        <v>0</v>
      </c>
      <c r="AN688" s="199">
        <f t="shared" si="220"/>
        <v>45415</v>
      </c>
      <c r="AO688" s="159" t="s">
        <v>692</v>
      </c>
      <c r="AP688" s="783" t="s">
        <v>629</v>
      </c>
      <c r="AQ688" s="782">
        <v>12071839</v>
      </c>
      <c r="AR688" s="782">
        <v>12078867</v>
      </c>
      <c r="AS688" s="782">
        <v>12068233</v>
      </c>
      <c r="AT688" s="781"/>
      <c r="AU688" s="781"/>
      <c r="AV688" s="782">
        <v>12062075</v>
      </c>
      <c r="AW688" s="781"/>
      <c r="AX688" s="781"/>
      <c r="AY688" s="782">
        <v>12078867</v>
      </c>
      <c r="AZ688" s="781"/>
      <c r="BA688" s="781"/>
    </row>
    <row r="689" spans="1:53" ht="25" hidden="1" customHeight="1">
      <c r="B689" s="213">
        <v>45415</v>
      </c>
      <c r="C689" s="214">
        <v>45420</v>
      </c>
      <c r="D689" s="185">
        <f t="shared" si="218"/>
        <v>2024</v>
      </c>
      <c r="E689" s="215" t="str">
        <f>VLOOKUP($B689,Week!$A$1:$C$1462,2,0)</f>
        <v>Week18</v>
      </c>
      <c r="F689" s="216" t="str">
        <f t="shared" si="219"/>
        <v>May</v>
      </c>
      <c r="G689" s="215" t="s">
        <v>1148</v>
      </c>
      <c r="H689" s="215" t="s">
        <v>134</v>
      </c>
      <c r="I689" s="215" t="s">
        <v>2772</v>
      </c>
      <c r="J689" s="209" t="s">
        <v>164</v>
      </c>
      <c r="K689" s="217" t="s">
        <v>1648</v>
      </c>
      <c r="L689" s="300" t="s">
        <v>2167</v>
      </c>
      <c r="M689" s="209" t="s">
        <v>193</v>
      </c>
      <c r="N689" s="215" t="s">
        <v>205</v>
      </c>
      <c r="O689" s="215" t="s">
        <v>206</v>
      </c>
      <c r="P689" s="218">
        <v>24</v>
      </c>
      <c r="Q689" s="218">
        <v>5</v>
      </c>
      <c r="R689" s="219">
        <v>8.0000000000000002E-3</v>
      </c>
      <c r="S689" s="215" t="s">
        <v>40</v>
      </c>
      <c r="T689" s="215" t="s">
        <v>56</v>
      </c>
      <c r="U689" s="480" t="s">
        <v>499</v>
      </c>
      <c r="V689" s="220">
        <f>500</f>
        <v>500</v>
      </c>
      <c r="W689" s="220">
        <f>6+494</f>
        <v>500</v>
      </c>
      <c r="X689" s="221"/>
      <c r="Y689" s="222">
        <f t="shared" si="232"/>
        <v>0</v>
      </c>
      <c r="Z689" s="223">
        <f t="shared" si="233"/>
        <v>0</v>
      </c>
      <c r="AA689" s="220"/>
      <c r="AB689" s="807">
        <v>1</v>
      </c>
      <c r="AC689" s="220">
        <f>Z689*AB689</f>
        <v>0</v>
      </c>
      <c r="AD689" s="381"/>
      <c r="AE689" s="220"/>
      <c r="AF689" s="220"/>
      <c r="AG689" s="211">
        <f t="shared" si="235"/>
        <v>0.115</v>
      </c>
      <c r="AH689" s="157">
        <f t="shared" si="238"/>
        <v>0</v>
      </c>
      <c r="AI689" s="152">
        <f t="shared" si="236"/>
        <v>12000</v>
      </c>
      <c r="AK689" s="156" t="s">
        <v>691</v>
      </c>
      <c r="AL689" s="212" t="s">
        <v>690</v>
      </c>
      <c r="AM689" s="198">
        <f t="shared" si="237"/>
        <v>0</v>
      </c>
      <c r="AN689" s="199">
        <f t="shared" si="220"/>
        <v>45415</v>
      </c>
      <c r="AO689" s="159" t="s">
        <v>692</v>
      </c>
      <c r="AP689" s="783" t="s">
        <v>610</v>
      </c>
      <c r="AQ689" s="782">
        <v>12071839</v>
      </c>
      <c r="AR689" s="782">
        <v>12047514</v>
      </c>
      <c r="AS689" s="782">
        <v>12047515</v>
      </c>
      <c r="AT689" s="782"/>
      <c r="AU689" s="782">
        <v>12026902</v>
      </c>
      <c r="AV689" s="782">
        <v>12054722</v>
      </c>
      <c r="AW689" s="782">
        <v>12026904</v>
      </c>
      <c r="AX689" s="782"/>
      <c r="AY689" s="782">
        <v>12061939</v>
      </c>
      <c r="AZ689" s="782">
        <v>12061940</v>
      </c>
      <c r="BA689" s="782">
        <v>12061938</v>
      </c>
    </row>
    <row r="690" spans="1:53" ht="24.65" hidden="1" customHeight="1">
      <c r="B690" s="411">
        <v>45415</v>
      </c>
      <c r="C690" s="412">
        <v>45432</v>
      </c>
      <c r="D690" s="185">
        <f t="shared" si="218"/>
        <v>2024</v>
      </c>
      <c r="E690" s="412" t="str">
        <f>VLOOKUP($B690,Week!$A$1:$C$1462,2,0)</f>
        <v>Week18</v>
      </c>
      <c r="F690" s="413" t="str">
        <f t="shared" si="219"/>
        <v>May</v>
      </c>
      <c r="G690" s="414" t="s">
        <v>47</v>
      </c>
      <c r="H690" s="414" t="s">
        <v>260</v>
      </c>
      <c r="I690" s="298" t="s">
        <v>2702</v>
      </c>
      <c r="J690" s="415" t="s">
        <v>261</v>
      </c>
      <c r="K690" s="416" t="s">
        <v>94</v>
      </c>
      <c r="L690" s="300" t="s">
        <v>2167</v>
      </c>
      <c r="M690" s="415" t="s">
        <v>1303</v>
      </c>
      <c r="N690" s="414" t="s">
        <v>263</v>
      </c>
      <c r="O690" s="414" t="s">
        <v>195</v>
      </c>
      <c r="P690" s="417">
        <v>24</v>
      </c>
      <c r="Q690" s="417">
        <v>5</v>
      </c>
      <c r="R690" s="418">
        <v>8.0000000000000002E-3</v>
      </c>
      <c r="S690" s="414" t="s">
        <v>40</v>
      </c>
      <c r="T690" s="414" t="s">
        <v>56</v>
      </c>
      <c r="U690" s="414" t="s">
        <v>57</v>
      </c>
      <c r="V690" s="419">
        <v>2068</v>
      </c>
      <c r="W690" s="419">
        <f>2068</f>
        <v>2068</v>
      </c>
      <c r="X690" s="420"/>
      <c r="Y690" s="421">
        <f t="shared" si="232"/>
        <v>0</v>
      </c>
      <c r="Z690" s="422">
        <f t="shared" si="233"/>
        <v>0</v>
      </c>
      <c r="AA690" s="422"/>
      <c r="AB690" s="825"/>
      <c r="AC690" s="419"/>
      <c r="AD690" s="209"/>
      <c r="AE690" s="210"/>
      <c r="AF690" s="210"/>
      <c r="AG690" s="211">
        <f t="shared" si="235"/>
        <v>0.14499999999999999</v>
      </c>
      <c r="AH690" s="157">
        <f t="shared" si="238"/>
        <v>0</v>
      </c>
      <c r="AI690" s="152">
        <f t="shared" si="236"/>
        <v>49632</v>
      </c>
      <c r="AK690" s="156" t="s">
        <v>691</v>
      </c>
      <c r="AL690" s="212" t="s">
        <v>690</v>
      </c>
      <c r="AM690" s="198">
        <f>AG690*Z690</f>
        <v>0</v>
      </c>
      <c r="AN690" s="199">
        <f t="shared" si="220"/>
        <v>45415</v>
      </c>
      <c r="AO690" s="159" t="s">
        <v>692</v>
      </c>
      <c r="AP690" s="783" t="s">
        <v>609</v>
      </c>
      <c r="AQ690" s="782">
        <v>12071839</v>
      </c>
      <c r="AR690" s="782">
        <v>12047514</v>
      </c>
      <c r="AS690" s="782">
        <v>12047515</v>
      </c>
      <c r="AT690" s="781"/>
      <c r="AU690" s="781"/>
      <c r="AV690" s="782">
        <v>12080613</v>
      </c>
      <c r="AW690" s="781"/>
      <c r="AX690" s="781"/>
      <c r="AY690" s="782">
        <v>12080614</v>
      </c>
      <c r="AZ690" s="782">
        <v>12080616</v>
      </c>
      <c r="BA690" s="781"/>
    </row>
    <row r="691" spans="1:53" ht="25" hidden="1" customHeight="1">
      <c r="B691" s="271">
        <v>45415</v>
      </c>
      <c r="C691" s="272">
        <v>45425</v>
      </c>
      <c r="D691" s="185">
        <f t="shared" si="218"/>
        <v>2024</v>
      </c>
      <c r="E691" s="272" t="str">
        <f>VLOOKUP($B691,Week!$A$1:$C$1462,2,0)</f>
        <v>Week18</v>
      </c>
      <c r="F691" s="273" t="str">
        <f t="shared" si="219"/>
        <v>May</v>
      </c>
      <c r="G691" s="274" t="s">
        <v>47</v>
      </c>
      <c r="H691" s="274" t="s">
        <v>518</v>
      </c>
      <c r="I691" s="298" t="s">
        <v>2702</v>
      </c>
      <c r="J691" s="275" t="s">
        <v>70</v>
      </c>
      <c r="K691" s="276" t="s">
        <v>556</v>
      </c>
      <c r="L691" s="300" t="s">
        <v>2167</v>
      </c>
      <c r="M691" s="275" t="s">
        <v>520</v>
      </c>
      <c r="N691" s="423" t="s">
        <v>586</v>
      </c>
      <c r="O691" s="274" t="s">
        <v>585</v>
      </c>
      <c r="P691" s="277">
        <v>12</v>
      </c>
      <c r="Q691" s="277">
        <v>5</v>
      </c>
      <c r="R691" s="278">
        <v>6.0000000000000001E-3</v>
      </c>
      <c r="S691" s="274" t="s">
        <v>55</v>
      </c>
      <c r="T691" s="274" t="s">
        <v>56</v>
      </c>
      <c r="U691" s="274" t="s">
        <v>57</v>
      </c>
      <c r="V691" s="279">
        <v>929</v>
      </c>
      <c r="W691" s="279">
        <f>929</f>
        <v>929</v>
      </c>
      <c r="X691" s="280"/>
      <c r="Y691" s="281">
        <f t="shared" si="232"/>
        <v>0</v>
      </c>
      <c r="Z691" s="282">
        <f t="shared" si="233"/>
        <v>0</v>
      </c>
      <c r="AA691" s="282"/>
      <c r="AB691" s="812"/>
      <c r="AC691" s="279"/>
      <c r="AD691" s="209"/>
      <c r="AE691" s="210"/>
      <c r="AF691" s="210"/>
      <c r="AG691" s="211">
        <f t="shared" si="235"/>
        <v>0.13500000000000001</v>
      </c>
      <c r="AH691" s="157">
        <f t="shared" si="238"/>
        <v>0</v>
      </c>
      <c r="AI691" s="152">
        <f t="shared" si="236"/>
        <v>11148</v>
      </c>
      <c r="AK691" s="156" t="s">
        <v>691</v>
      </c>
      <c r="AL691" s="212" t="s">
        <v>690</v>
      </c>
      <c r="AM691" s="198">
        <f>AG691*Z691</f>
        <v>0</v>
      </c>
      <c r="AN691" s="199">
        <f t="shared" si="220"/>
        <v>45415</v>
      </c>
      <c r="AO691" s="159" t="s">
        <v>692</v>
      </c>
      <c r="AP691" s="781"/>
      <c r="AQ691" s="782">
        <v>12071839</v>
      </c>
      <c r="AR691" s="782">
        <v>12047514</v>
      </c>
      <c r="AS691" s="782">
        <v>12047515</v>
      </c>
      <c r="AT691" s="782"/>
      <c r="AU691" s="781"/>
      <c r="AV691" s="782">
        <v>12083307</v>
      </c>
      <c r="AW691" s="782"/>
      <c r="AX691" s="782"/>
      <c r="AY691" s="782">
        <v>12083305</v>
      </c>
      <c r="AZ691" s="782">
        <v>12083306</v>
      </c>
      <c r="BA691" s="781"/>
    </row>
    <row r="692" spans="1:53" ht="25" hidden="1" customHeight="1">
      <c r="A692" s="142" t="s">
        <v>120</v>
      </c>
      <c r="B692" s="271">
        <v>45415</v>
      </c>
      <c r="C692" s="272">
        <v>45447</v>
      </c>
      <c r="D692" s="185">
        <f t="shared" si="218"/>
        <v>2024</v>
      </c>
      <c r="E692" s="272" t="str">
        <f>VLOOKUP($B692,Week!$A$1:$C$1462,2,0)</f>
        <v>Week18</v>
      </c>
      <c r="F692" s="273" t="str">
        <f t="shared" si="219"/>
        <v>May</v>
      </c>
      <c r="G692" s="274" t="s">
        <v>1122</v>
      </c>
      <c r="H692" s="274" t="s">
        <v>500</v>
      </c>
      <c r="I692" s="274" t="s">
        <v>2772</v>
      </c>
      <c r="J692" s="275" t="s">
        <v>285</v>
      </c>
      <c r="K692" s="276" t="s">
        <v>153</v>
      </c>
      <c r="L692" s="390" t="s">
        <v>2166</v>
      </c>
      <c r="M692" s="275" t="s">
        <v>86</v>
      </c>
      <c r="N692" s="274" t="s">
        <v>547</v>
      </c>
      <c r="O692" s="274" t="s">
        <v>548</v>
      </c>
      <c r="P692" s="277">
        <v>10</v>
      </c>
      <c r="Q692" s="277">
        <v>50</v>
      </c>
      <c r="R692" s="278">
        <v>6.8100000000000001E-3</v>
      </c>
      <c r="S692" s="274" t="s">
        <v>76</v>
      </c>
      <c r="T692" s="274" t="s">
        <v>56</v>
      </c>
      <c r="U692" s="274" t="s">
        <v>89</v>
      </c>
      <c r="V692" s="279">
        <f>2056-558-580-540</f>
        <v>378</v>
      </c>
      <c r="W692" s="279">
        <v>378</v>
      </c>
      <c r="X692" s="280">
        <f>(120)/10</f>
        <v>12</v>
      </c>
      <c r="Y692" s="281">
        <f t="shared" si="232"/>
        <v>12</v>
      </c>
      <c r="Z692" s="282">
        <f t="shared" si="233"/>
        <v>0</v>
      </c>
      <c r="AA692" s="282">
        <f>Q692*Z692</f>
        <v>0</v>
      </c>
      <c r="AB692" s="812">
        <v>6</v>
      </c>
      <c r="AC692" s="279">
        <f>Z692*AB692</f>
        <v>0</v>
      </c>
      <c r="AD692" s="209"/>
      <c r="AE692" s="210"/>
      <c r="AF692" s="210"/>
      <c r="AG692" s="211">
        <f t="shared" si="235"/>
        <v>0.63</v>
      </c>
      <c r="AH692" s="157">
        <f t="shared" si="238"/>
        <v>0</v>
      </c>
      <c r="AI692" s="152">
        <f t="shared" si="236"/>
        <v>3780</v>
      </c>
      <c r="AK692" s="156" t="s">
        <v>691</v>
      </c>
      <c r="AL692" s="156" t="s">
        <v>689</v>
      </c>
      <c r="AM692" s="198">
        <f>AG692*Z692</f>
        <v>0</v>
      </c>
      <c r="AN692" s="199">
        <f t="shared" si="220"/>
        <v>45415</v>
      </c>
      <c r="AO692" s="159" t="s">
        <v>692</v>
      </c>
      <c r="AP692" s="783" t="s">
        <v>620</v>
      </c>
      <c r="AQ692" s="782" t="s">
        <v>549</v>
      </c>
      <c r="AR692" s="782">
        <v>12055234</v>
      </c>
      <c r="AS692" s="781"/>
      <c r="AT692" s="782"/>
      <c r="AU692" s="782"/>
      <c r="AV692" s="782">
        <v>12062809</v>
      </c>
      <c r="AW692" s="782"/>
      <c r="AX692" s="782" t="s">
        <v>619</v>
      </c>
      <c r="AY692" s="781"/>
      <c r="AZ692" s="781"/>
      <c r="BA692" s="781"/>
    </row>
    <row r="693" spans="1:53" ht="25" hidden="1" customHeight="1">
      <c r="B693" s="345">
        <v>45416</v>
      </c>
      <c r="C693" s="464">
        <v>45420</v>
      </c>
      <c r="D693" s="185">
        <f t="shared" si="218"/>
        <v>2024</v>
      </c>
      <c r="E693" s="464" t="str">
        <f>VLOOKUP($B693,Week!$A$1:$C$1462,2,0)</f>
        <v>Week18</v>
      </c>
      <c r="F693" s="465" t="str">
        <f t="shared" si="219"/>
        <v>May</v>
      </c>
      <c r="G693" s="347" t="s">
        <v>1149</v>
      </c>
      <c r="H693" s="347" t="s">
        <v>134</v>
      </c>
      <c r="I693" s="347" t="s">
        <v>2772</v>
      </c>
      <c r="J693" s="349" t="s">
        <v>135</v>
      </c>
      <c r="K693" s="350" t="s">
        <v>107</v>
      </c>
      <c r="L693" s="300" t="s">
        <v>2167</v>
      </c>
      <c r="M693" s="349" t="s">
        <v>136</v>
      </c>
      <c r="N693" s="347" t="s">
        <v>137</v>
      </c>
      <c r="O693" s="347" t="s">
        <v>138</v>
      </c>
      <c r="P693" s="351">
        <v>24</v>
      </c>
      <c r="Q693" s="351">
        <v>3</v>
      </c>
      <c r="R693" s="352">
        <v>7.4999999999999997E-3</v>
      </c>
      <c r="S693" s="347" t="s">
        <v>111</v>
      </c>
      <c r="T693" s="347" t="s">
        <v>56</v>
      </c>
      <c r="U693" s="347" t="s">
        <v>572</v>
      </c>
      <c r="V693" s="353">
        <f>500</f>
        <v>500</v>
      </c>
      <c r="W693" s="353">
        <f>2+498</f>
        <v>500</v>
      </c>
      <c r="X693" s="354"/>
      <c r="Y693" s="355">
        <f t="shared" si="232"/>
        <v>0</v>
      </c>
      <c r="Z693" s="356">
        <f t="shared" si="233"/>
        <v>0</v>
      </c>
      <c r="AA693" s="356"/>
      <c r="AB693" s="818"/>
      <c r="AC693" s="353"/>
      <c r="AD693" s="443"/>
      <c r="AE693" s="210"/>
      <c r="AF693" s="210"/>
      <c r="AG693" s="211">
        <f t="shared" si="235"/>
        <v>0.219</v>
      </c>
      <c r="AH693" s="157">
        <f t="shared" si="238"/>
        <v>0</v>
      </c>
      <c r="AI693" s="152">
        <f t="shared" si="236"/>
        <v>12000</v>
      </c>
      <c r="AK693" s="156" t="s">
        <v>691</v>
      </c>
      <c r="AL693" s="212" t="s">
        <v>690</v>
      </c>
      <c r="AM693" s="198">
        <f>AG693*Z693</f>
        <v>0</v>
      </c>
      <c r="AN693" s="199">
        <f t="shared" si="220"/>
        <v>45416</v>
      </c>
      <c r="AO693" s="159" t="s">
        <v>692</v>
      </c>
      <c r="AP693" s="783" t="s">
        <v>610</v>
      </c>
      <c r="AQ693" s="796" t="s">
        <v>1500</v>
      </c>
      <c r="AR693" s="782" t="s">
        <v>140</v>
      </c>
      <c r="AS693" s="782" t="s">
        <v>141</v>
      </c>
      <c r="AT693" s="782"/>
      <c r="AU693" s="783" t="s">
        <v>568</v>
      </c>
      <c r="AV693" s="796" t="s">
        <v>569</v>
      </c>
      <c r="AW693" s="796" t="s">
        <v>570</v>
      </c>
      <c r="AX693" s="782"/>
      <c r="AY693" s="782">
        <v>12061259</v>
      </c>
      <c r="AZ693" s="782">
        <v>12064123</v>
      </c>
      <c r="BA693" s="782">
        <v>12064127</v>
      </c>
    </row>
    <row r="694" spans="1:53" ht="24.65" hidden="1" customHeight="1">
      <c r="B694" s="308">
        <v>45416</v>
      </c>
      <c r="C694" s="309">
        <v>45428</v>
      </c>
      <c r="D694" s="185">
        <f t="shared" si="218"/>
        <v>2024</v>
      </c>
      <c r="E694" s="309" t="str">
        <f>VLOOKUP($B694,Week!$A$1:$C$1462,2,0)</f>
        <v>Week18</v>
      </c>
      <c r="F694" s="310" t="str">
        <f t="shared" si="219"/>
        <v>May</v>
      </c>
      <c r="G694" s="311" t="s">
        <v>1246</v>
      </c>
      <c r="H694" s="311" t="s">
        <v>311</v>
      </c>
      <c r="I694" s="311" t="s">
        <v>2772</v>
      </c>
      <c r="J694" s="312" t="s">
        <v>738</v>
      </c>
      <c r="K694" s="313" t="s">
        <v>107</v>
      </c>
      <c r="L694" s="300" t="s">
        <v>2167</v>
      </c>
      <c r="M694" s="312" t="s">
        <v>313</v>
      </c>
      <c r="N694" s="311" t="s">
        <v>314</v>
      </c>
      <c r="O694" s="311" t="s">
        <v>110</v>
      </c>
      <c r="P694" s="314">
        <v>36</v>
      </c>
      <c r="Q694" s="314">
        <v>5</v>
      </c>
      <c r="R694" s="315">
        <v>7.4999999999999997E-3</v>
      </c>
      <c r="S694" s="311" t="s">
        <v>111</v>
      </c>
      <c r="T694" s="311" t="s">
        <v>112</v>
      </c>
      <c r="U694" s="311" t="s">
        <v>57</v>
      </c>
      <c r="V694" s="316">
        <v>792</v>
      </c>
      <c r="W694" s="316">
        <f>20+772</f>
        <v>792</v>
      </c>
      <c r="X694" s="317"/>
      <c r="Y694" s="318">
        <f t="shared" si="232"/>
        <v>0</v>
      </c>
      <c r="Z694" s="319">
        <f t="shared" si="233"/>
        <v>0</v>
      </c>
      <c r="AA694" s="319"/>
      <c r="AB694" s="815"/>
      <c r="AC694" s="316"/>
      <c r="AD694" s="515"/>
      <c r="AE694" s="210"/>
      <c r="AF694" s="210"/>
      <c r="AG694" s="211">
        <f t="shared" si="235"/>
        <v>0.308</v>
      </c>
      <c r="AH694" s="157">
        <f t="shared" ref="AH694:AH699" si="239">(Z694*AG694)/1000</f>
        <v>0</v>
      </c>
      <c r="AI694" s="152">
        <f t="shared" si="236"/>
        <v>28512</v>
      </c>
      <c r="AK694" s="156" t="s">
        <v>691</v>
      </c>
      <c r="AL694" s="212" t="s">
        <v>690</v>
      </c>
      <c r="AM694" s="198">
        <f t="shared" ref="AM694:AM702" si="240">AG694*Z694</f>
        <v>0</v>
      </c>
      <c r="AN694" s="199">
        <f t="shared" si="220"/>
        <v>45416</v>
      </c>
      <c r="AO694" s="159" t="s">
        <v>692</v>
      </c>
      <c r="AP694" s="783" t="s">
        <v>644</v>
      </c>
      <c r="AQ694" s="782">
        <v>12063755</v>
      </c>
      <c r="AR694" s="782">
        <v>12061353</v>
      </c>
      <c r="AS694" s="782">
        <v>12061354</v>
      </c>
      <c r="AT694" s="782">
        <v>12062266</v>
      </c>
      <c r="AU694" s="781"/>
      <c r="AV694" s="782">
        <v>12088159</v>
      </c>
      <c r="AW694" s="782">
        <v>12088207</v>
      </c>
      <c r="AX694" s="782"/>
      <c r="AY694" s="782">
        <v>12062262</v>
      </c>
      <c r="AZ694" s="782"/>
      <c r="BA694" s="781"/>
    </row>
    <row r="695" spans="1:53" ht="25" hidden="1" customHeight="1">
      <c r="B695" s="258">
        <v>45416</v>
      </c>
      <c r="C695" s="259">
        <v>45426</v>
      </c>
      <c r="D695" s="185">
        <f t="shared" si="218"/>
        <v>2024</v>
      </c>
      <c r="E695" s="259" t="str">
        <f>VLOOKUP($B695,Week!$A$1:$C$1462,2,0)</f>
        <v>Week18</v>
      </c>
      <c r="F695" s="261" t="str">
        <f t="shared" si="219"/>
        <v>May</v>
      </c>
      <c r="G695" s="260" t="s">
        <v>1181</v>
      </c>
      <c r="H695" s="260" t="s">
        <v>424</v>
      </c>
      <c r="I695" s="260" t="s">
        <v>2772</v>
      </c>
      <c r="J695" s="263" t="s">
        <v>653</v>
      </c>
      <c r="K695" s="264" t="s">
        <v>1646</v>
      </c>
      <c r="L695" s="300" t="s">
        <v>2167</v>
      </c>
      <c r="M695" s="263" t="s">
        <v>654</v>
      </c>
      <c r="N695" s="260" t="s">
        <v>656</v>
      </c>
      <c r="O695" s="260" t="s">
        <v>655</v>
      </c>
      <c r="P695" s="265">
        <v>24</v>
      </c>
      <c r="Q695" s="265">
        <v>5</v>
      </c>
      <c r="R695" s="266">
        <v>7.4999999999999997E-3</v>
      </c>
      <c r="S695" s="260" t="s">
        <v>40</v>
      </c>
      <c r="T695" s="260" t="s">
        <v>112</v>
      </c>
      <c r="U695" s="621" t="s">
        <v>721</v>
      </c>
      <c r="V695" s="267">
        <v>924</v>
      </c>
      <c r="W695" s="267">
        <f>115+809</f>
        <v>924</v>
      </c>
      <c r="X695" s="268"/>
      <c r="Y695" s="269">
        <f t="shared" si="232"/>
        <v>0</v>
      </c>
      <c r="Z695" s="270">
        <f t="shared" si="233"/>
        <v>0</v>
      </c>
      <c r="AA695" s="270"/>
      <c r="AB695" s="811"/>
      <c r="AC695" s="267"/>
      <c r="AD695" s="209"/>
      <c r="AE695" s="210"/>
      <c r="AF695" s="210"/>
      <c r="AG695" s="211">
        <f t="shared" si="235"/>
        <v>0.307</v>
      </c>
      <c r="AH695" s="157">
        <f t="shared" si="239"/>
        <v>0</v>
      </c>
      <c r="AI695" s="152">
        <f t="shared" si="236"/>
        <v>22176</v>
      </c>
      <c r="AK695" s="156" t="s">
        <v>691</v>
      </c>
      <c r="AL695" s="212" t="s">
        <v>690</v>
      </c>
      <c r="AM695" s="198">
        <f t="shared" si="240"/>
        <v>0</v>
      </c>
      <c r="AN695" s="199">
        <f t="shared" si="220"/>
        <v>45416</v>
      </c>
      <c r="AO695" s="159" t="s">
        <v>692</v>
      </c>
      <c r="AP695" s="781" t="s">
        <v>642</v>
      </c>
      <c r="AQ695" s="782">
        <v>12063755</v>
      </c>
      <c r="AR695" s="782">
        <v>12061353</v>
      </c>
      <c r="AS695" s="782">
        <v>12061354</v>
      </c>
      <c r="AT695" s="782">
        <v>12084023</v>
      </c>
      <c r="AU695" s="781"/>
      <c r="AV695" s="782">
        <v>12084228</v>
      </c>
      <c r="AW695" s="782"/>
      <c r="AX695" s="782"/>
      <c r="AY695" s="782"/>
      <c r="AZ695" s="782"/>
      <c r="BA695" s="781"/>
    </row>
    <row r="696" spans="1:53" ht="25" hidden="1" customHeight="1">
      <c r="B696" s="258">
        <v>45416</v>
      </c>
      <c r="C696" s="259">
        <v>45426</v>
      </c>
      <c r="D696" s="185">
        <f t="shared" si="218"/>
        <v>2024</v>
      </c>
      <c r="E696" s="259" t="str">
        <f>VLOOKUP($B696,Week!$A$1:$C$1462,2,0)</f>
        <v>Week18</v>
      </c>
      <c r="F696" s="261" t="str">
        <f t="shared" si="219"/>
        <v>May</v>
      </c>
      <c r="G696" s="260" t="s">
        <v>1182</v>
      </c>
      <c r="H696" s="260" t="s">
        <v>424</v>
      </c>
      <c r="I696" s="260" t="s">
        <v>2772</v>
      </c>
      <c r="J696" s="263" t="s">
        <v>653</v>
      </c>
      <c r="K696" s="264" t="s">
        <v>1646</v>
      </c>
      <c r="L696" s="300" t="s">
        <v>2167</v>
      </c>
      <c r="M696" s="263" t="s">
        <v>654</v>
      </c>
      <c r="N696" s="260" t="s">
        <v>656</v>
      </c>
      <c r="O696" s="260" t="s">
        <v>655</v>
      </c>
      <c r="P696" s="265">
        <v>24</v>
      </c>
      <c r="Q696" s="265">
        <v>5</v>
      </c>
      <c r="R696" s="266">
        <v>7.4999999999999997E-3</v>
      </c>
      <c r="S696" s="260" t="s">
        <v>40</v>
      </c>
      <c r="T696" s="260" t="s">
        <v>112</v>
      </c>
      <c r="U696" s="621" t="s">
        <v>721</v>
      </c>
      <c r="V696" s="267">
        <v>924</v>
      </c>
      <c r="W696" s="267">
        <v>924</v>
      </c>
      <c r="X696" s="268"/>
      <c r="Y696" s="269">
        <f t="shared" si="232"/>
        <v>0</v>
      </c>
      <c r="Z696" s="270">
        <f t="shared" si="233"/>
        <v>0</v>
      </c>
      <c r="AA696" s="270"/>
      <c r="AB696" s="811"/>
      <c r="AC696" s="267"/>
      <c r="AD696" s="307" t="s">
        <v>672</v>
      </c>
      <c r="AE696" s="210"/>
      <c r="AF696" s="210"/>
      <c r="AG696" s="211">
        <f t="shared" si="235"/>
        <v>0.307</v>
      </c>
      <c r="AH696" s="157">
        <f t="shared" si="239"/>
        <v>0</v>
      </c>
      <c r="AI696" s="152">
        <f t="shared" si="236"/>
        <v>22176</v>
      </c>
      <c r="AK696" s="156" t="s">
        <v>691</v>
      </c>
      <c r="AL696" s="212" t="s">
        <v>690</v>
      </c>
      <c r="AM696" s="198">
        <f t="shared" si="240"/>
        <v>0</v>
      </c>
      <c r="AN696" s="199">
        <f t="shared" si="220"/>
        <v>45416</v>
      </c>
      <c r="AO696" s="159" t="s">
        <v>692</v>
      </c>
      <c r="AP696" s="781" t="s">
        <v>642</v>
      </c>
      <c r="AQ696" s="782">
        <v>12063755</v>
      </c>
      <c r="AR696" s="782">
        <v>12061353</v>
      </c>
      <c r="AS696" s="782">
        <v>12061354</v>
      </c>
      <c r="AT696" s="782">
        <v>12084607</v>
      </c>
      <c r="AU696" s="781"/>
      <c r="AV696" s="782">
        <v>12084608</v>
      </c>
      <c r="AW696" s="782">
        <v>12068154</v>
      </c>
      <c r="AX696" s="782"/>
      <c r="AY696" s="782">
        <v>12084606</v>
      </c>
      <c r="AZ696" s="782"/>
      <c r="BA696" s="781"/>
    </row>
    <row r="697" spans="1:53" ht="25" hidden="1" customHeight="1">
      <c r="B697" s="258">
        <v>45416</v>
      </c>
      <c r="C697" s="259">
        <v>45426</v>
      </c>
      <c r="D697" s="185">
        <f t="shared" si="218"/>
        <v>2024</v>
      </c>
      <c r="E697" s="259" t="str">
        <f>VLOOKUP($B697,Week!$A$1:$C$1462,2,0)</f>
        <v>Week18</v>
      </c>
      <c r="F697" s="261" t="str">
        <f t="shared" si="219"/>
        <v>May</v>
      </c>
      <c r="G697" s="260" t="s">
        <v>1183</v>
      </c>
      <c r="H697" s="260" t="s">
        <v>424</v>
      </c>
      <c r="I697" s="260" t="s">
        <v>2772</v>
      </c>
      <c r="J697" s="263" t="s">
        <v>653</v>
      </c>
      <c r="K697" s="264" t="s">
        <v>1646</v>
      </c>
      <c r="L697" s="300" t="s">
        <v>2167</v>
      </c>
      <c r="M697" s="263" t="s">
        <v>654</v>
      </c>
      <c r="N697" s="260" t="s">
        <v>656</v>
      </c>
      <c r="O697" s="260" t="s">
        <v>655</v>
      </c>
      <c r="P697" s="265">
        <v>24</v>
      </c>
      <c r="Q697" s="265">
        <v>5</v>
      </c>
      <c r="R697" s="266">
        <v>7.4999999999999997E-3</v>
      </c>
      <c r="S697" s="260" t="s">
        <v>40</v>
      </c>
      <c r="T697" s="260" t="s">
        <v>112</v>
      </c>
      <c r="U697" s="621" t="s">
        <v>721</v>
      </c>
      <c r="V697" s="267">
        <v>924</v>
      </c>
      <c r="W697" s="267">
        <v>924</v>
      </c>
      <c r="X697" s="268"/>
      <c r="Y697" s="269">
        <f t="shared" si="232"/>
        <v>0</v>
      </c>
      <c r="Z697" s="270">
        <f t="shared" si="233"/>
        <v>0</v>
      </c>
      <c r="AA697" s="270"/>
      <c r="AB697" s="811"/>
      <c r="AC697" s="267"/>
      <c r="AD697" s="307" t="s">
        <v>672</v>
      </c>
      <c r="AE697" s="210"/>
      <c r="AF697" s="210"/>
      <c r="AG697" s="211">
        <f t="shared" si="235"/>
        <v>0.307</v>
      </c>
      <c r="AH697" s="157">
        <f t="shared" si="239"/>
        <v>0</v>
      </c>
      <c r="AI697" s="152">
        <f t="shared" si="236"/>
        <v>22176</v>
      </c>
      <c r="AK697" s="156" t="s">
        <v>691</v>
      </c>
      <c r="AL697" s="212" t="s">
        <v>690</v>
      </c>
      <c r="AM697" s="198">
        <f t="shared" si="240"/>
        <v>0</v>
      </c>
      <c r="AN697" s="199">
        <f t="shared" si="220"/>
        <v>45416</v>
      </c>
      <c r="AO697" s="159" t="s">
        <v>692</v>
      </c>
      <c r="AP697" s="781" t="s">
        <v>642</v>
      </c>
      <c r="AQ697" s="782">
        <v>12063755</v>
      </c>
      <c r="AR697" s="782">
        <v>12061353</v>
      </c>
      <c r="AS697" s="782">
        <v>12061354</v>
      </c>
      <c r="AT697" s="782">
        <v>12084607</v>
      </c>
      <c r="AU697" s="781"/>
      <c r="AV697" s="782">
        <v>12084608</v>
      </c>
      <c r="AW697" s="782">
        <v>12068154</v>
      </c>
      <c r="AX697" s="782"/>
      <c r="AY697" s="782">
        <v>12084606</v>
      </c>
      <c r="AZ697" s="782"/>
      <c r="BA697" s="781"/>
    </row>
    <row r="698" spans="1:53" ht="25" hidden="1" customHeight="1">
      <c r="B698" s="258">
        <v>45416</v>
      </c>
      <c r="C698" s="259">
        <v>45426</v>
      </c>
      <c r="D698" s="185">
        <f t="shared" si="218"/>
        <v>2024</v>
      </c>
      <c r="E698" s="259" t="str">
        <f>VLOOKUP($B698,Week!$A$1:$C$1462,2,0)</f>
        <v>Week18</v>
      </c>
      <c r="F698" s="261" t="str">
        <f t="shared" si="219"/>
        <v>May</v>
      </c>
      <c r="G698" s="260" t="s">
        <v>1184</v>
      </c>
      <c r="H698" s="260" t="s">
        <v>424</v>
      </c>
      <c r="I698" s="260" t="s">
        <v>2772</v>
      </c>
      <c r="J698" s="263" t="s">
        <v>653</v>
      </c>
      <c r="K698" s="264" t="s">
        <v>1646</v>
      </c>
      <c r="L698" s="300" t="s">
        <v>2167</v>
      </c>
      <c r="M698" s="263" t="s">
        <v>654</v>
      </c>
      <c r="N698" s="260" t="s">
        <v>656</v>
      </c>
      <c r="O698" s="260" t="s">
        <v>655</v>
      </c>
      <c r="P698" s="265">
        <v>24</v>
      </c>
      <c r="Q698" s="265">
        <v>5</v>
      </c>
      <c r="R698" s="266">
        <v>7.4999999999999997E-3</v>
      </c>
      <c r="S698" s="260" t="s">
        <v>40</v>
      </c>
      <c r="T698" s="260" t="s">
        <v>112</v>
      </c>
      <c r="U698" s="621" t="s">
        <v>721</v>
      </c>
      <c r="V698" s="267">
        <v>924</v>
      </c>
      <c r="W698" s="267">
        <v>924</v>
      </c>
      <c r="X698" s="268"/>
      <c r="Y698" s="269">
        <f t="shared" si="232"/>
        <v>0</v>
      </c>
      <c r="Z698" s="270">
        <f t="shared" si="233"/>
        <v>0</v>
      </c>
      <c r="AA698" s="270"/>
      <c r="AB698" s="811"/>
      <c r="AC698" s="267"/>
      <c r="AD698" s="307" t="s">
        <v>672</v>
      </c>
      <c r="AE698" s="210"/>
      <c r="AF698" s="210"/>
      <c r="AG698" s="211">
        <f t="shared" si="235"/>
        <v>0.307</v>
      </c>
      <c r="AH698" s="157">
        <f t="shared" si="239"/>
        <v>0</v>
      </c>
      <c r="AI698" s="152">
        <f t="shared" si="236"/>
        <v>22176</v>
      </c>
      <c r="AK698" s="156" t="s">
        <v>691</v>
      </c>
      <c r="AL698" s="212" t="s">
        <v>690</v>
      </c>
      <c r="AM698" s="198">
        <f t="shared" si="240"/>
        <v>0</v>
      </c>
      <c r="AN698" s="199">
        <f t="shared" si="220"/>
        <v>45416</v>
      </c>
      <c r="AO698" s="159" t="s">
        <v>692</v>
      </c>
      <c r="AP698" s="781" t="s">
        <v>642</v>
      </c>
      <c r="AQ698" s="782">
        <v>12063755</v>
      </c>
      <c r="AR698" s="782">
        <v>12061353</v>
      </c>
      <c r="AS698" s="782">
        <v>12061354</v>
      </c>
      <c r="AT698" s="782">
        <v>12084607</v>
      </c>
      <c r="AU698" s="781"/>
      <c r="AV698" s="782">
        <v>12084608</v>
      </c>
      <c r="AW698" s="782">
        <v>12068154</v>
      </c>
      <c r="AX698" s="782"/>
      <c r="AY698" s="782">
        <v>12084606</v>
      </c>
      <c r="AZ698" s="782"/>
      <c r="BA698" s="781"/>
    </row>
    <row r="699" spans="1:53" ht="25" hidden="1" customHeight="1">
      <c r="B699" s="258">
        <v>45416</v>
      </c>
      <c r="C699" s="259">
        <v>45434</v>
      </c>
      <c r="D699" s="185">
        <f t="shared" si="218"/>
        <v>2024</v>
      </c>
      <c r="E699" s="259" t="str">
        <f>VLOOKUP($B699,Week!$A$1:$C$1462,2,0)</f>
        <v>Week18</v>
      </c>
      <c r="F699" s="261" t="str">
        <f t="shared" si="219"/>
        <v>May</v>
      </c>
      <c r="G699" s="260" t="s">
        <v>1185</v>
      </c>
      <c r="H699" s="260" t="s">
        <v>697</v>
      </c>
      <c r="I699" s="260" t="s">
        <v>2772</v>
      </c>
      <c r="J699" s="263" t="s">
        <v>653</v>
      </c>
      <c r="K699" s="264" t="s">
        <v>1646</v>
      </c>
      <c r="L699" s="300" t="s">
        <v>2167</v>
      </c>
      <c r="M699" s="263" t="s">
        <v>654</v>
      </c>
      <c r="N699" s="260" t="s">
        <v>656</v>
      </c>
      <c r="O699" s="260" t="s">
        <v>655</v>
      </c>
      <c r="P699" s="265">
        <v>24</v>
      </c>
      <c r="Q699" s="265">
        <v>5</v>
      </c>
      <c r="R699" s="266">
        <v>7.4999999999999997E-3</v>
      </c>
      <c r="S699" s="260" t="s">
        <v>40</v>
      </c>
      <c r="T699" s="260" t="s">
        <v>112</v>
      </c>
      <c r="U699" s="621" t="s">
        <v>721</v>
      </c>
      <c r="V699" s="267">
        <v>409</v>
      </c>
      <c r="W699" s="267">
        <f>3990-809-924-924-924</f>
        <v>409</v>
      </c>
      <c r="X699" s="268"/>
      <c r="Y699" s="269">
        <f t="shared" si="232"/>
        <v>0</v>
      </c>
      <c r="Z699" s="270">
        <f t="shared" si="233"/>
        <v>0</v>
      </c>
      <c r="AA699" s="270"/>
      <c r="AB699" s="811"/>
      <c r="AC699" s="267"/>
      <c r="AD699" s="307" t="s">
        <v>672</v>
      </c>
      <c r="AE699" s="210"/>
      <c r="AF699" s="210"/>
      <c r="AG699" s="211">
        <f t="shared" si="235"/>
        <v>0.307</v>
      </c>
      <c r="AH699" s="157">
        <f t="shared" si="239"/>
        <v>0</v>
      </c>
      <c r="AI699" s="152">
        <f t="shared" si="236"/>
        <v>9816</v>
      </c>
      <c r="AK699" s="156" t="s">
        <v>691</v>
      </c>
      <c r="AL699" s="212" t="s">
        <v>690</v>
      </c>
      <c r="AM699" s="198">
        <f t="shared" si="240"/>
        <v>0</v>
      </c>
      <c r="AN699" s="199">
        <f t="shared" si="220"/>
        <v>45416</v>
      </c>
      <c r="AO699" s="159" t="s">
        <v>692</v>
      </c>
      <c r="AP699" s="781" t="s">
        <v>642</v>
      </c>
      <c r="AQ699" s="782">
        <v>12063755</v>
      </c>
      <c r="AR699" s="782">
        <v>12061353</v>
      </c>
      <c r="AS699" s="782">
        <v>12061354</v>
      </c>
      <c r="AT699" s="782">
        <v>12084607</v>
      </c>
      <c r="AU699" s="781"/>
      <c r="AV699" s="782">
        <v>12084608</v>
      </c>
      <c r="AW699" s="782">
        <v>12068454</v>
      </c>
      <c r="AX699" s="782"/>
      <c r="AY699" s="782">
        <v>12084606</v>
      </c>
      <c r="AZ699" s="782"/>
      <c r="BA699" s="781"/>
    </row>
    <row r="700" spans="1:53" ht="25" hidden="1" customHeight="1">
      <c r="A700" s="142" t="s">
        <v>120</v>
      </c>
      <c r="B700" s="283">
        <v>45416</v>
      </c>
      <c r="C700" s="284">
        <v>45420</v>
      </c>
      <c r="D700" s="185">
        <f t="shared" si="218"/>
        <v>2024</v>
      </c>
      <c r="E700" s="286" t="str">
        <f>VLOOKUP($B700,Week!$A$1:$C$1462,2,0)</f>
        <v>Week18</v>
      </c>
      <c r="F700" s="285" t="str">
        <f t="shared" si="219"/>
        <v>May</v>
      </c>
      <c r="G700" s="286" t="s">
        <v>1150</v>
      </c>
      <c r="H700" s="286" t="s">
        <v>134</v>
      </c>
      <c r="I700" s="286" t="s">
        <v>2772</v>
      </c>
      <c r="J700" s="287" t="s">
        <v>164</v>
      </c>
      <c r="K700" s="288" t="s">
        <v>153</v>
      </c>
      <c r="L700" s="390" t="s">
        <v>2166</v>
      </c>
      <c r="M700" s="287" t="s">
        <v>214</v>
      </c>
      <c r="N700" s="286" t="s">
        <v>215</v>
      </c>
      <c r="O700" s="286" t="s">
        <v>504</v>
      </c>
      <c r="P700" s="289">
        <v>20</v>
      </c>
      <c r="Q700" s="289">
        <v>8</v>
      </c>
      <c r="R700" s="290">
        <v>1.4999999999999999E-2</v>
      </c>
      <c r="S700" s="286" t="s">
        <v>217</v>
      </c>
      <c r="T700" s="286" t="s">
        <v>56</v>
      </c>
      <c r="U700" s="286" t="s">
        <v>89</v>
      </c>
      <c r="V700" s="291">
        <f>500</f>
        <v>500</v>
      </c>
      <c r="W700" s="291">
        <f>73+427</f>
        <v>500</v>
      </c>
      <c r="X700" s="292"/>
      <c r="Y700" s="293">
        <f t="shared" si="232"/>
        <v>0</v>
      </c>
      <c r="Z700" s="294">
        <f t="shared" si="233"/>
        <v>0</v>
      </c>
      <c r="AA700" s="291">
        <f>Q700*Z700</f>
        <v>0</v>
      </c>
      <c r="AB700" s="813">
        <v>2</v>
      </c>
      <c r="AC700" s="291">
        <f>Z700*AB700</f>
        <v>0</v>
      </c>
      <c r="AD700" s="209" t="s">
        <v>218</v>
      </c>
      <c r="AE700" s="210"/>
      <c r="AF700" s="210"/>
      <c r="AG700" s="211">
        <f t="shared" si="235"/>
        <v>0.19400000000000001</v>
      </c>
      <c r="AH700" s="157">
        <f>(Z700*AG700)/1000</f>
        <v>0</v>
      </c>
      <c r="AI700" s="152">
        <f t="shared" si="236"/>
        <v>10000</v>
      </c>
      <c r="AK700" s="156" t="s">
        <v>691</v>
      </c>
      <c r="AL700" s="156" t="s">
        <v>689</v>
      </c>
      <c r="AM700" s="198">
        <f>AG700*Z700</f>
        <v>0</v>
      </c>
      <c r="AN700" s="199">
        <f t="shared" si="220"/>
        <v>45416</v>
      </c>
      <c r="AO700" s="159" t="s">
        <v>692</v>
      </c>
      <c r="AP700" s="783" t="s">
        <v>610</v>
      </c>
      <c r="AQ700" s="782"/>
      <c r="AR700" s="782">
        <v>12064528</v>
      </c>
      <c r="AS700" s="782"/>
      <c r="AT700" s="782">
        <v>12064478</v>
      </c>
      <c r="AU700" s="781"/>
      <c r="AV700" s="782">
        <v>12064493</v>
      </c>
      <c r="AW700" s="782"/>
      <c r="AX700" s="782" t="s">
        <v>545</v>
      </c>
      <c r="AY700" s="782"/>
      <c r="AZ700" s="782"/>
      <c r="BA700" s="781"/>
    </row>
    <row r="701" spans="1:53" ht="24.75" hidden="1" customHeight="1">
      <c r="A701" s="142" t="s">
        <v>120</v>
      </c>
      <c r="B701" s="308">
        <v>45416</v>
      </c>
      <c r="C701" s="309">
        <v>45420</v>
      </c>
      <c r="D701" s="185">
        <f t="shared" si="218"/>
        <v>2024</v>
      </c>
      <c r="E701" s="519" t="str">
        <f>VLOOKUP($B701,Week!$A$1:$C$1462,2,0)</f>
        <v>Week18</v>
      </c>
      <c r="F701" s="520" t="str">
        <f t="shared" si="219"/>
        <v>May</v>
      </c>
      <c r="G701" s="446" t="s">
        <v>47</v>
      </c>
      <c r="H701" s="311" t="s">
        <v>518</v>
      </c>
      <c r="I701" s="298" t="s">
        <v>2702</v>
      </c>
      <c r="J701" s="312" t="s">
        <v>70</v>
      </c>
      <c r="K701" s="313" t="s">
        <v>85</v>
      </c>
      <c r="L701" s="390" t="s">
        <v>2166</v>
      </c>
      <c r="M701" s="312" t="s">
        <v>515</v>
      </c>
      <c r="N701" s="311" t="s">
        <v>588</v>
      </c>
      <c r="O701" s="311" t="s">
        <v>546</v>
      </c>
      <c r="P701" s="314">
        <v>12</v>
      </c>
      <c r="Q701" s="314">
        <v>20</v>
      </c>
      <c r="R701" s="315">
        <v>6.1999999999999998E-3</v>
      </c>
      <c r="S701" s="311" t="s">
        <v>352</v>
      </c>
      <c r="T701" s="311" t="s">
        <v>56</v>
      </c>
      <c r="U701" s="311"/>
      <c r="V701" s="316">
        <f>625-82</f>
        <v>543</v>
      </c>
      <c r="W701" s="316">
        <f>543</f>
        <v>543</v>
      </c>
      <c r="X701" s="317"/>
      <c r="Y701" s="318">
        <f t="shared" si="232"/>
        <v>0</v>
      </c>
      <c r="Z701" s="319">
        <f t="shared" si="233"/>
        <v>0</v>
      </c>
      <c r="AA701" s="319">
        <f>Q701*Z701</f>
        <v>0</v>
      </c>
      <c r="AB701" s="815"/>
      <c r="AC701" s="316">
        <f>Z701*AB701</f>
        <v>0</v>
      </c>
      <c r="AD701" s="209"/>
      <c r="AE701" s="210"/>
      <c r="AF701" s="210"/>
      <c r="AG701" s="211">
        <f t="shared" si="235"/>
        <v>0.22</v>
      </c>
      <c r="AH701" s="157">
        <f>(Z701*AG701)/1000</f>
        <v>0</v>
      </c>
      <c r="AI701" s="152">
        <f t="shared" si="236"/>
        <v>6516</v>
      </c>
      <c r="AK701" s="156" t="s">
        <v>691</v>
      </c>
      <c r="AL701" s="156" t="s">
        <v>689</v>
      </c>
      <c r="AM701" s="198">
        <f>AG701*Z701</f>
        <v>0</v>
      </c>
      <c r="AN701" s="199">
        <f t="shared" si="220"/>
        <v>45416</v>
      </c>
      <c r="AO701" s="159" t="s">
        <v>692</v>
      </c>
      <c r="AP701" s="783" t="s">
        <v>613</v>
      </c>
      <c r="AQ701" s="782"/>
      <c r="AR701" s="782" t="s">
        <v>614</v>
      </c>
      <c r="AS701" s="782"/>
      <c r="AT701" s="782">
        <v>12083140</v>
      </c>
      <c r="AU701" s="781"/>
      <c r="AV701" s="782">
        <v>12083143</v>
      </c>
      <c r="AW701" s="782"/>
      <c r="AX701" s="782"/>
      <c r="AY701" s="782"/>
      <c r="AZ701" s="782"/>
      <c r="BA701" s="781"/>
    </row>
    <row r="702" spans="1:53" ht="24.65" hidden="1" customHeight="1">
      <c r="B702" s="183">
        <v>45417</v>
      </c>
      <c r="C702" s="184"/>
      <c r="D702" s="185">
        <f t="shared" si="218"/>
        <v>2024</v>
      </c>
      <c r="E702" s="185" t="str">
        <f>VLOOKUP($B702,Week!$A$1:$C$1462,2,0)</f>
        <v>Week18</v>
      </c>
      <c r="F702" s="186" t="str">
        <f t="shared" si="219"/>
        <v>May</v>
      </c>
      <c r="G702" s="185"/>
      <c r="H702" s="185"/>
      <c r="I702" s="185"/>
      <c r="J702" s="187"/>
      <c r="K702" s="188"/>
      <c r="L702" s="300"/>
      <c r="M702" s="187"/>
      <c r="N702" s="185"/>
      <c r="O702" s="185"/>
      <c r="P702" s="189"/>
      <c r="Q702" s="189"/>
      <c r="R702" s="190"/>
      <c r="S702" s="185"/>
      <c r="T702" s="185"/>
      <c r="U702" s="185"/>
      <c r="V702" s="191"/>
      <c r="W702" s="191"/>
      <c r="X702" s="192"/>
      <c r="Y702" s="193"/>
      <c r="Z702" s="194"/>
      <c r="AA702" s="194"/>
      <c r="AB702" s="805"/>
      <c r="AC702" s="191"/>
      <c r="AD702" s="187"/>
      <c r="AE702" s="195"/>
      <c r="AF702" s="195"/>
      <c r="AG702" s="196"/>
      <c r="AH702" s="197"/>
      <c r="AK702" s="156" t="s">
        <v>691</v>
      </c>
      <c r="AM702" s="198">
        <f t="shared" si="240"/>
        <v>0</v>
      </c>
      <c r="AN702" s="199">
        <f t="shared" si="220"/>
        <v>45417</v>
      </c>
      <c r="AO702" s="159" t="s">
        <v>692</v>
      </c>
      <c r="AP702" s="781"/>
      <c r="AQ702" s="782"/>
      <c r="AR702" s="782"/>
      <c r="AS702" s="782"/>
      <c r="AT702" s="782"/>
      <c r="AU702" s="781"/>
      <c r="AV702" s="782"/>
      <c r="AW702" s="782"/>
      <c r="AX702" s="782"/>
      <c r="AY702" s="782"/>
      <c r="AZ702" s="782"/>
      <c r="BA702" s="781"/>
    </row>
    <row r="703" spans="1:53" ht="25" hidden="1" customHeight="1">
      <c r="B703" s="213">
        <v>45418</v>
      </c>
      <c r="C703" s="213">
        <v>45423</v>
      </c>
      <c r="D703" s="185">
        <f t="shared" si="218"/>
        <v>2024</v>
      </c>
      <c r="E703" s="215" t="str">
        <f>VLOOKUP($B703,Week!$A$1:$C$1462,2,0)</f>
        <v>Week19</v>
      </c>
      <c r="F703" s="216" t="str">
        <f t="shared" si="219"/>
        <v>May</v>
      </c>
      <c r="G703" s="215" t="s">
        <v>1090</v>
      </c>
      <c r="H703" s="215" t="s">
        <v>104</v>
      </c>
      <c r="I703" s="215" t="s">
        <v>2772</v>
      </c>
      <c r="J703" s="209" t="s">
        <v>105</v>
      </c>
      <c r="K703" s="217" t="s">
        <v>107</v>
      </c>
      <c r="L703" s="300" t="s">
        <v>2167</v>
      </c>
      <c r="M703" s="209" t="s">
        <v>108</v>
      </c>
      <c r="N703" s="215" t="s">
        <v>109</v>
      </c>
      <c r="O703" s="215" t="s">
        <v>110</v>
      </c>
      <c r="P703" s="218">
        <v>36</v>
      </c>
      <c r="Q703" s="218">
        <v>5</v>
      </c>
      <c r="R703" s="219">
        <v>7.4999999999999997E-3</v>
      </c>
      <c r="S703" s="215" t="s">
        <v>111</v>
      </c>
      <c r="T703" s="215" t="s">
        <v>112</v>
      </c>
      <c r="U703" s="215" t="s">
        <v>113</v>
      </c>
      <c r="V703" s="220">
        <f>792-155</f>
        <v>637</v>
      </c>
      <c r="W703" s="220">
        <f>792-155</f>
        <v>637</v>
      </c>
      <c r="X703" s="221"/>
      <c r="Y703" s="222">
        <f t="shared" ref="Y703:Y735" si="241">(W703+X703)-V703</f>
        <v>0</v>
      </c>
      <c r="Z703" s="223">
        <f t="shared" ref="Z703:Z735" si="242">IF(Y703&lt;0,((V703*P703)-((W703+X703)*P703)),0)</f>
        <v>0</v>
      </c>
      <c r="AA703" s="223"/>
      <c r="AB703" s="807"/>
      <c r="AC703" s="220"/>
      <c r="AD703" s="209"/>
      <c r="AE703" s="210"/>
      <c r="AF703" s="210"/>
      <c r="AG703" s="211">
        <f t="shared" ref="AG703:AG724" si="243">MID(O703,1,3)/1000</f>
        <v>0.308</v>
      </c>
      <c r="AH703" s="157">
        <f t="shared" ref="AH703:AH710" si="244">(Z703*AG703)/1000</f>
        <v>0</v>
      </c>
      <c r="AI703" s="152">
        <f t="shared" ref="AI703:AI724" si="245">V703*P703</f>
        <v>22932</v>
      </c>
      <c r="AK703" s="156" t="s">
        <v>691</v>
      </c>
      <c r="AL703" s="574" t="s">
        <v>690</v>
      </c>
      <c r="AM703" s="198">
        <f t="shared" ref="AM703:AM710" si="246">AG703*Z703</f>
        <v>0</v>
      </c>
      <c r="AN703" s="199">
        <f t="shared" si="220"/>
        <v>45418</v>
      </c>
      <c r="AO703" s="159" t="s">
        <v>692</v>
      </c>
      <c r="AP703" s="781"/>
      <c r="AQ703" s="782">
        <v>12063755</v>
      </c>
      <c r="AR703" s="782">
        <v>12061353</v>
      </c>
      <c r="AS703" s="782">
        <v>12061354</v>
      </c>
      <c r="AT703" s="782">
        <v>12068566</v>
      </c>
      <c r="AU703" s="781"/>
      <c r="AV703" s="782">
        <v>12088206</v>
      </c>
      <c r="AW703" s="782">
        <v>12088207</v>
      </c>
      <c r="AX703" s="782"/>
      <c r="AY703" s="782">
        <v>12068565</v>
      </c>
      <c r="AZ703" s="782"/>
      <c r="BA703" s="781"/>
    </row>
    <row r="704" spans="1:53" ht="25" hidden="1" customHeight="1">
      <c r="B704" s="213">
        <v>45418</v>
      </c>
      <c r="C704" s="213">
        <v>45423</v>
      </c>
      <c r="D704" s="185">
        <f t="shared" si="218"/>
        <v>2024</v>
      </c>
      <c r="E704" s="215" t="str">
        <f>VLOOKUP($B704,Week!$A$1:$C$1462,2,0)</f>
        <v>Week19</v>
      </c>
      <c r="F704" s="216" t="str">
        <f t="shared" si="219"/>
        <v>May</v>
      </c>
      <c r="G704" s="215" t="s">
        <v>1091</v>
      </c>
      <c r="H704" s="215" t="s">
        <v>104</v>
      </c>
      <c r="I704" s="215" t="s">
        <v>2772</v>
      </c>
      <c r="J704" s="209" t="s">
        <v>105</v>
      </c>
      <c r="K704" s="217" t="s">
        <v>107</v>
      </c>
      <c r="L704" s="300" t="s">
        <v>2167</v>
      </c>
      <c r="M704" s="209" t="s">
        <v>108</v>
      </c>
      <c r="N704" s="215" t="s">
        <v>109</v>
      </c>
      <c r="O704" s="215" t="s">
        <v>110</v>
      </c>
      <c r="P704" s="218">
        <v>36</v>
      </c>
      <c r="Q704" s="218">
        <v>5</v>
      </c>
      <c r="R704" s="219">
        <v>7.4999999999999997E-3</v>
      </c>
      <c r="S704" s="215" t="s">
        <v>111</v>
      </c>
      <c r="T704" s="215" t="s">
        <v>112</v>
      </c>
      <c r="U704" s="215" t="s">
        <v>113</v>
      </c>
      <c r="V704" s="220">
        <v>792</v>
      </c>
      <c r="W704" s="220">
        <v>792</v>
      </c>
      <c r="X704" s="221"/>
      <c r="Y704" s="222">
        <f t="shared" si="241"/>
        <v>0</v>
      </c>
      <c r="Z704" s="223">
        <f t="shared" si="242"/>
        <v>0</v>
      </c>
      <c r="AA704" s="223"/>
      <c r="AB704" s="807"/>
      <c r="AC704" s="220"/>
      <c r="AD704" s="209"/>
      <c r="AE704" s="210"/>
      <c r="AF704" s="210"/>
      <c r="AG704" s="211">
        <f t="shared" si="243"/>
        <v>0.308</v>
      </c>
      <c r="AH704" s="157">
        <f t="shared" si="244"/>
        <v>0</v>
      </c>
      <c r="AI704" s="152">
        <f t="shared" si="245"/>
        <v>28512</v>
      </c>
      <c r="AK704" s="156" t="s">
        <v>691</v>
      </c>
      <c r="AL704" s="574" t="s">
        <v>690</v>
      </c>
      <c r="AM704" s="198">
        <f t="shared" si="246"/>
        <v>0</v>
      </c>
      <c r="AN704" s="199">
        <f t="shared" si="220"/>
        <v>45418</v>
      </c>
      <c r="AO704" s="159" t="s">
        <v>692</v>
      </c>
      <c r="AP704" s="781"/>
      <c r="AQ704" s="782">
        <v>12063755</v>
      </c>
      <c r="AR704" s="782">
        <v>12061353</v>
      </c>
      <c r="AS704" s="782">
        <v>12061354</v>
      </c>
      <c r="AT704" s="782">
        <v>12068566</v>
      </c>
      <c r="AU704" s="781"/>
      <c r="AV704" s="782">
        <v>12088206</v>
      </c>
      <c r="AW704" s="782">
        <v>12088207</v>
      </c>
      <c r="AX704" s="782"/>
      <c r="AY704" s="782">
        <v>12068565</v>
      </c>
      <c r="AZ704" s="782"/>
      <c r="BA704" s="781"/>
    </row>
    <row r="705" spans="2:53" ht="25" hidden="1" customHeight="1">
      <c r="B705" s="213">
        <v>45418</v>
      </c>
      <c r="C705" s="213">
        <v>45423</v>
      </c>
      <c r="D705" s="185">
        <f t="shared" si="218"/>
        <v>2024</v>
      </c>
      <c r="E705" s="215" t="str">
        <f>VLOOKUP($B705,Week!$A$1:$C$1462,2,0)</f>
        <v>Week19</v>
      </c>
      <c r="F705" s="216" t="str">
        <f t="shared" si="219"/>
        <v>May</v>
      </c>
      <c r="G705" s="215" t="s">
        <v>1092</v>
      </c>
      <c r="H705" s="215" t="s">
        <v>104</v>
      </c>
      <c r="I705" s="215" t="s">
        <v>2772</v>
      </c>
      <c r="J705" s="209" t="s">
        <v>105</v>
      </c>
      <c r="K705" s="217" t="s">
        <v>107</v>
      </c>
      <c r="L705" s="300" t="s">
        <v>2167</v>
      </c>
      <c r="M705" s="209" t="s">
        <v>108</v>
      </c>
      <c r="N705" s="215" t="s">
        <v>109</v>
      </c>
      <c r="O705" s="215" t="s">
        <v>110</v>
      </c>
      <c r="P705" s="218">
        <v>36</v>
      </c>
      <c r="Q705" s="218">
        <v>5</v>
      </c>
      <c r="R705" s="219">
        <v>7.4999999999999997E-3</v>
      </c>
      <c r="S705" s="215" t="s">
        <v>111</v>
      </c>
      <c r="T705" s="215" t="s">
        <v>112</v>
      </c>
      <c r="U705" s="215" t="s">
        <v>113</v>
      </c>
      <c r="V705" s="220">
        <v>792</v>
      </c>
      <c r="W705" s="220">
        <v>792</v>
      </c>
      <c r="X705" s="221"/>
      <c r="Y705" s="222">
        <f t="shared" si="241"/>
        <v>0</v>
      </c>
      <c r="Z705" s="223">
        <f t="shared" si="242"/>
        <v>0</v>
      </c>
      <c r="AA705" s="223"/>
      <c r="AB705" s="807"/>
      <c r="AC705" s="220"/>
      <c r="AD705" s="209"/>
      <c r="AE705" s="210"/>
      <c r="AF705" s="210"/>
      <c r="AG705" s="211">
        <f t="shared" si="243"/>
        <v>0.308</v>
      </c>
      <c r="AH705" s="157">
        <f t="shared" si="244"/>
        <v>0</v>
      </c>
      <c r="AI705" s="152">
        <f t="shared" si="245"/>
        <v>28512</v>
      </c>
      <c r="AK705" s="156" t="s">
        <v>691</v>
      </c>
      <c r="AL705" s="574" t="s">
        <v>690</v>
      </c>
      <c r="AM705" s="198">
        <f t="shared" si="246"/>
        <v>0</v>
      </c>
      <c r="AN705" s="199">
        <f t="shared" si="220"/>
        <v>45418</v>
      </c>
      <c r="AO705" s="159" t="s">
        <v>692</v>
      </c>
      <c r="AP705" s="781"/>
      <c r="AQ705" s="782">
        <v>12063755</v>
      </c>
      <c r="AR705" s="782">
        <v>12061353</v>
      </c>
      <c r="AS705" s="782">
        <v>12061354</v>
      </c>
      <c r="AT705" s="782">
        <v>12068566</v>
      </c>
      <c r="AU705" s="781"/>
      <c r="AV705" s="782">
        <v>12088206</v>
      </c>
      <c r="AW705" s="782">
        <v>12088207</v>
      </c>
      <c r="AX705" s="782"/>
      <c r="AY705" s="782">
        <v>12068565</v>
      </c>
      <c r="AZ705" s="782"/>
      <c r="BA705" s="781"/>
    </row>
    <row r="706" spans="2:53" ht="25" hidden="1" customHeight="1">
      <c r="B706" s="213">
        <v>45418</v>
      </c>
      <c r="C706" s="213">
        <v>45423</v>
      </c>
      <c r="D706" s="185">
        <f t="shared" si="218"/>
        <v>2024</v>
      </c>
      <c r="E706" s="215" t="str">
        <f>VLOOKUP($B706,Week!$A$1:$C$1462,2,0)</f>
        <v>Week19</v>
      </c>
      <c r="F706" s="216" t="str">
        <f t="shared" si="219"/>
        <v>May</v>
      </c>
      <c r="G706" s="215" t="s">
        <v>1093</v>
      </c>
      <c r="H706" s="215" t="s">
        <v>104</v>
      </c>
      <c r="I706" s="215" t="s">
        <v>2772</v>
      </c>
      <c r="J706" s="209" t="s">
        <v>105</v>
      </c>
      <c r="K706" s="217" t="s">
        <v>107</v>
      </c>
      <c r="L706" s="300" t="s">
        <v>2167</v>
      </c>
      <c r="M706" s="209" t="s">
        <v>108</v>
      </c>
      <c r="N706" s="215" t="s">
        <v>109</v>
      </c>
      <c r="O706" s="215" t="s">
        <v>110</v>
      </c>
      <c r="P706" s="218">
        <v>36</v>
      </c>
      <c r="Q706" s="218">
        <v>5</v>
      </c>
      <c r="R706" s="219">
        <v>7.4999999999999997E-3</v>
      </c>
      <c r="S706" s="215" t="s">
        <v>111</v>
      </c>
      <c r="T706" s="215" t="s">
        <v>112</v>
      </c>
      <c r="U706" s="215" t="s">
        <v>113</v>
      </c>
      <c r="V706" s="220">
        <v>792</v>
      </c>
      <c r="W706" s="220">
        <v>792</v>
      </c>
      <c r="X706" s="221"/>
      <c r="Y706" s="222">
        <f t="shared" si="241"/>
        <v>0</v>
      </c>
      <c r="Z706" s="223">
        <f t="shared" si="242"/>
        <v>0</v>
      </c>
      <c r="AA706" s="223"/>
      <c r="AB706" s="807"/>
      <c r="AC706" s="220"/>
      <c r="AD706" s="209"/>
      <c r="AE706" s="210"/>
      <c r="AF706" s="210"/>
      <c r="AG706" s="211">
        <f t="shared" si="243"/>
        <v>0.308</v>
      </c>
      <c r="AH706" s="157">
        <f t="shared" si="244"/>
        <v>0</v>
      </c>
      <c r="AI706" s="152">
        <f t="shared" si="245"/>
        <v>28512</v>
      </c>
      <c r="AK706" s="156" t="s">
        <v>691</v>
      </c>
      <c r="AL706" s="574" t="s">
        <v>690</v>
      </c>
      <c r="AM706" s="198">
        <f t="shared" si="246"/>
        <v>0</v>
      </c>
      <c r="AN706" s="199">
        <f t="shared" si="220"/>
        <v>45418</v>
      </c>
      <c r="AO706" s="159" t="s">
        <v>692</v>
      </c>
      <c r="AP706" s="781"/>
      <c r="AQ706" s="782">
        <v>12063755</v>
      </c>
      <c r="AR706" s="782">
        <v>12061353</v>
      </c>
      <c r="AS706" s="782">
        <v>12061354</v>
      </c>
      <c r="AT706" s="782">
        <v>12068566</v>
      </c>
      <c r="AU706" s="781"/>
      <c r="AV706" s="782">
        <v>12088206</v>
      </c>
      <c r="AW706" s="782">
        <v>12088207</v>
      </c>
      <c r="AX706" s="782"/>
      <c r="AY706" s="782">
        <v>12068565</v>
      </c>
      <c r="AZ706" s="782"/>
      <c r="BA706" s="781"/>
    </row>
    <row r="707" spans="2:53" ht="25" hidden="1" customHeight="1">
      <c r="B707" s="213">
        <v>45418</v>
      </c>
      <c r="C707" s="213">
        <v>45423</v>
      </c>
      <c r="D707" s="185">
        <f t="shared" si="218"/>
        <v>2024</v>
      </c>
      <c r="E707" s="215" t="str">
        <f>VLOOKUP($B707,Week!$A$1:$C$1462,2,0)</f>
        <v>Week19</v>
      </c>
      <c r="F707" s="216" t="str">
        <f t="shared" si="219"/>
        <v>May</v>
      </c>
      <c r="G707" s="215" t="s">
        <v>1094</v>
      </c>
      <c r="H707" s="215" t="s">
        <v>104</v>
      </c>
      <c r="I707" s="215" t="s">
        <v>2772</v>
      </c>
      <c r="J707" s="209" t="s">
        <v>105</v>
      </c>
      <c r="K707" s="217" t="s">
        <v>107</v>
      </c>
      <c r="L707" s="300" t="s">
        <v>2167</v>
      </c>
      <c r="M707" s="209" t="s">
        <v>108</v>
      </c>
      <c r="N707" s="215" t="s">
        <v>109</v>
      </c>
      <c r="O707" s="215" t="s">
        <v>110</v>
      </c>
      <c r="P707" s="218">
        <v>36</v>
      </c>
      <c r="Q707" s="218">
        <v>5</v>
      </c>
      <c r="R707" s="219">
        <v>7.4999999999999997E-3</v>
      </c>
      <c r="S707" s="215" t="s">
        <v>111</v>
      </c>
      <c r="T707" s="215" t="s">
        <v>112</v>
      </c>
      <c r="U707" s="215" t="s">
        <v>113</v>
      </c>
      <c r="V707" s="220">
        <v>792</v>
      </c>
      <c r="W707" s="220">
        <v>792</v>
      </c>
      <c r="X707" s="221"/>
      <c r="Y707" s="222">
        <f t="shared" si="241"/>
        <v>0</v>
      </c>
      <c r="Z707" s="223">
        <f t="shared" si="242"/>
        <v>0</v>
      </c>
      <c r="AA707" s="223"/>
      <c r="AB707" s="807"/>
      <c r="AC707" s="220"/>
      <c r="AD707" s="209"/>
      <c r="AE707" s="210"/>
      <c r="AF707" s="210"/>
      <c r="AG707" s="211">
        <f t="shared" si="243"/>
        <v>0.308</v>
      </c>
      <c r="AH707" s="157">
        <f t="shared" si="244"/>
        <v>0</v>
      </c>
      <c r="AI707" s="152">
        <f t="shared" si="245"/>
        <v>28512</v>
      </c>
      <c r="AK707" s="156" t="s">
        <v>691</v>
      </c>
      <c r="AL707" s="574" t="s">
        <v>690</v>
      </c>
      <c r="AM707" s="198">
        <f t="shared" si="246"/>
        <v>0</v>
      </c>
      <c r="AN707" s="199">
        <f t="shared" si="220"/>
        <v>45418</v>
      </c>
      <c r="AO707" s="159" t="s">
        <v>692</v>
      </c>
      <c r="AP707" s="781"/>
      <c r="AQ707" s="782">
        <v>12063755</v>
      </c>
      <c r="AR707" s="782">
        <v>12061353</v>
      </c>
      <c r="AS707" s="782">
        <v>12061354</v>
      </c>
      <c r="AT707" s="782">
        <v>12068566</v>
      </c>
      <c r="AU707" s="781"/>
      <c r="AV707" s="782">
        <v>12088206</v>
      </c>
      <c r="AW707" s="782">
        <v>12088207</v>
      </c>
      <c r="AX707" s="782"/>
      <c r="AY707" s="782">
        <v>12068565</v>
      </c>
      <c r="AZ707" s="782"/>
      <c r="BA707" s="781"/>
    </row>
    <row r="708" spans="2:53" ht="25" hidden="1" customHeight="1">
      <c r="B708" s="213">
        <v>45418</v>
      </c>
      <c r="C708" s="213">
        <v>45423</v>
      </c>
      <c r="D708" s="185">
        <f t="shared" si="218"/>
        <v>2024</v>
      </c>
      <c r="E708" s="215" t="str">
        <f>VLOOKUP($B708,Week!$A$1:$C$1462,2,0)</f>
        <v>Week19</v>
      </c>
      <c r="F708" s="216" t="str">
        <f t="shared" si="219"/>
        <v>May</v>
      </c>
      <c r="G708" s="215" t="s">
        <v>1095</v>
      </c>
      <c r="H708" s="215" t="s">
        <v>104</v>
      </c>
      <c r="I708" s="215" t="s">
        <v>2772</v>
      </c>
      <c r="J708" s="209" t="s">
        <v>105</v>
      </c>
      <c r="K708" s="217" t="s">
        <v>107</v>
      </c>
      <c r="L708" s="300" t="s">
        <v>2167</v>
      </c>
      <c r="M708" s="209" t="s">
        <v>108</v>
      </c>
      <c r="N708" s="215" t="s">
        <v>109</v>
      </c>
      <c r="O708" s="215" t="s">
        <v>110</v>
      </c>
      <c r="P708" s="218">
        <v>36</v>
      </c>
      <c r="Q708" s="218">
        <v>5</v>
      </c>
      <c r="R708" s="219">
        <v>7.4999999999999997E-3</v>
      </c>
      <c r="S708" s="215" t="s">
        <v>111</v>
      </c>
      <c r="T708" s="215" t="s">
        <v>112</v>
      </c>
      <c r="U708" s="215" t="s">
        <v>113</v>
      </c>
      <c r="V708" s="220">
        <f>4244-637-792-792-792-792</f>
        <v>439</v>
      </c>
      <c r="W708" s="220">
        <f>4244-637-792-792-792-792</f>
        <v>439</v>
      </c>
      <c r="X708" s="221"/>
      <c r="Y708" s="222">
        <f t="shared" si="241"/>
        <v>0</v>
      </c>
      <c r="Z708" s="223">
        <f t="shared" si="242"/>
        <v>0</v>
      </c>
      <c r="AA708" s="223"/>
      <c r="AB708" s="807"/>
      <c r="AC708" s="220"/>
      <c r="AD708" s="209"/>
      <c r="AE708" s="210"/>
      <c r="AF708" s="210"/>
      <c r="AG708" s="211">
        <f t="shared" si="243"/>
        <v>0.308</v>
      </c>
      <c r="AH708" s="157">
        <f t="shared" si="244"/>
        <v>0</v>
      </c>
      <c r="AI708" s="152">
        <f t="shared" si="245"/>
        <v>15804</v>
      </c>
      <c r="AK708" s="156" t="s">
        <v>691</v>
      </c>
      <c r="AL708" s="574" t="s">
        <v>690</v>
      </c>
      <c r="AM708" s="198">
        <f t="shared" si="246"/>
        <v>0</v>
      </c>
      <c r="AN708" s="199">
        <f t="shared" si="220"/>
        <v>45418</v>
      </c>
      <c r="AO708" s="159" t="s">
        <v>692</v>
      </c>
      <c r="AP708" s="781"/>
      <c r="AQ708" s="782">
        <v>12063755</v>
      </c>
      <c r="AR708" s="782">
        <v>12061353</v>
      </c>
      <c r="AS708" s="782">
        <v>12061354</v>
      </c>
      <c r="AT708" s="782">
        <v>12068566</v>
      </c>
      <c r="AU708" s="781"/>
      <c r="AV708" s="782">
        <v>12088206</v>
      </c>
      <c r="AW708" s="782">
        <v>12088207</v>
      </c>
      <c r="AX708" s="782"/>
      <c r="AY708" s="782">
        <v>12068565</v>
      </c>
      <c r="AZ708" s="782"/>
      <c r="BA708" s="781"/>
    </row>
    <row r="709" spans="2:53" ht="25" hidden="1" customHeight="1">
      <c r="B709" s="213">
        <v>45419</v>
      </c>
      <c r="C709" s="213">
        <v>45423</v>
      </c>
      <c r="D709" s="185">
        <f t="shared" ref="D709:D772" si="247">IF(B709="","",YEAR(B709))</f>
        <v>2024</v>
      </c>
      <c r="E709" s="215" t="str">
        <f>VLOOKUP($B709,Week!$A$1:$C$1462,2,0)</f>
        <v>Week19</v>
      </c>
      <c r="F709" s="216" t="str">
        <f t="shared" ref="F709:F772" si="248">IF(B709="","",TEXT(B709,"[$-409]mmm"))</f>
        <v>May</v>
      </c>
      <c r="G709" s="215" t="s">
        <v>1095</v>
      </c>
      <c r="H709" s="215" t="s">
        <v>104</v>
      </c>
      <c r="I709" s="215" t="s">
        <v>2772</v>
      </c>
      <c r="J709" s="209" t="s">
        <v>105</v>
      </c>
      <c r="K709" s="217" t="s">
        <v>107</v>
      </c>
      <c r="L709" s="300" t="s">
        <v>2167</v>
      </c>
      <c r="M709" s="209" t="s">
        <v>108</v>
      </c>
      <c r="N709" s="215" t="s">
        <v>109</v>
      </c>
      <c r="O709" s="215" t="s">
        <v>110</v>
      </c>
      <c r="P709" s="218">
        <v>36</v>
      </c>
      <c r="Q709" s="218">
        <v>5</v>
      </c>
      <c r="R709" s="219">
        <v>7.4999999999999997E-3</v>
      </c>
      <c r="S709" s="215" t="s">
        <v>111</v>
      </c>
      <c r="T709" s="215" t="s">
        <v>112</v>
      </c>
      <c r="U709" s="215" t="s">
        <v>113</v>
      </c>
      <c r="V709" s="220">
        <f>792-439</f>
        <v>353</v>
      </c>
      <c r="W709" s="220">
        <v>353</v>
      </c>
      <c r="X709" s="221"/>
      <c r="Y709" s="222">
        <f t="shared" si="241"/>
        <v>0</v>
      </c>
      <c r="Z709" s="223">
        <f t="shared" si="242"/>
        <v>0</v>
      </c>
      <c r="AA709" s="223"/>
      <c r="AB709" s="807"/>
      <c r="AC709" s="220"/>
      <c r="AD709" s="209"/>
      <c r="AE709" s="210"/>
      <c r="AF709" s="210"/>
      <c r="AG709" s="211">
        <f t="shared" si="243"/>
        <v>0.308</v>
      </c>
      <c r="AH709" s="157">
        <f t="shared" si="244"/>
        <v>0</v>
      </c>
      <c r="AI709" s="152">
        <f t="shared" si="245"/>
        <v>12708</v>
      </c>
      <c r="AK709" s="156" t="s">
        <v>691</v>
      </c>
      <c r="AL709" s="574" t="s">
        <v>690</v>
      </c>
      <c r="AM709" s="198">
        <f t="shared" si="246"/>
        <v>0</v>
      </c>
      <c r="AN709" s="199">
        <f t="shared" ref="AN709:AN772" si="249">B709</f>
        <v>45419</v>
      </c>
      <c r="AO709" s="159" t="s">
        <v>692</v>
      </c>
      <c r="AP709" s="781"/>
      <c r="AQ709" s="782">
        <v>12063755</v>
      </c>
      <c r="AR709" s="782">
        <v>12061353</v>
      </c>
      <c r="AS709" s="782">
        <v>12061354</v>
      </c>
      <c r="AT709" s="782">
        <v>12068566</v>
      </c>
      <c r="AU709" s="781"/>
      <c r="AV709" s="782">
        <v>12088206</v>
      </c>
      <c r="AW709" s="782">
        <v>12088207</v>
      </c>
      <c r="AX709" s="782"/>
      <c r="AY709" s="782">
        <v>12068565</v>
      </c>
      <c r="AZ709" s="782"/>
      <c r="BA709" s="781"/>
    </row>
    <row r="710" spans="2:53" ht="25" hidden="1" customHeight="1">
      <c r="B710" s="213">
        <v>45419</v>
      </c>
      <c r="C710" s="213">
        <v>45425</v>
      </c>
      <c r="D710" s="185">
        <f t="shared" si="247"/>
        <v>2024</v>
      </c>
      <c r="E710" s="215" t="str">
        <f>VLOOKUP($B710,Week!$A$1:$C$1462,2,0)</f>
        <v>Week19</v>
      </c>
      <c r="F710" s="216" t="str">
        <f t="shared" si="248"/>
        <v>May</v>
      </c>
      <c r="G710" s="215" t="s">
        <v>1096</v>
      </c>
      <c r="H710" s="215" t="s">
        <v>104</v>
      </c>
      <c r="I710" s="215" t="s">
        <v>2772</v>
      </c>
      <c r="J710" s="209" t="s">
        <v>105</v>
      </c>
      <c r="K710" s="217" t="s">
        <v>107</v>
      </c>
      <c r="L710" s="300" t="s">
        <v>2167</v>
      </c>
      <c r="M710" s="209" t="s">
        <v>108</v>
      </c>
      <c r="N710" s="215" t="s">
        <v>109</v>
      </c>
      <c r="O710" s="215" t="s">
        <v>110</v>
      </c>
      <c r="P710" s="218">
        <v>36</v>
      </c>
      <c r="Q710" s="218">
        <v>5</v>
      </c>
      <c r="R710" s="219">
        <v>7.4999999999999997E-3</v>
      </c>
      <c r="S710" s="215" t="s">
        <v>111</v>
      </c>
      <c r="T710" s="215" t="s">
        <v>112</v>
      </c>
      <c r="U710" s="215" t="s">
        <v>113</v>
      </c>
      <c r="V710" s="220">
        <v>792</v>
      </c>
      <c r="W710" s="220">
        <v>792</v>
      </c>
      <c r="X710" s="221"/>
      <c r="Y710" s="222">
        <f t="shared" si="241"/>
        <v>0</v>
      </c>
      <c r="Z710" s="223">
        <f t="shared" si="242"/>
        <v>0</v>
      </c>
      <c r="AA710" s="223"/>
      <c r="AB710" s="807"/>
      <c r="AC710" s="220"/>
      <c r="AD710" s="209"/>
      <c r="AE710" s="210"/>
      <c r="AF710" s="210"/>
      <c r="AG710" s="211">
        <f t="shared" si="243"/>
        <v>0.308</v>
      </c>
      <c r="AH710" s="157">
        <f t="shared" si="244"/>
        <v>0</v>
      </c>
      <c r="AI710" s="152">
        <f t="shared" si="245"/>
        <v>28512</v>
      </c>
      <c r="AK710" s="156" t="s">
        <v>691</v>
      </c>
      <c r="AL710" s="574" t="s">
        <v>690</v>
      </c>
      <c r="AM710" s="198">
        <f t="shared" si="246"/>
        <v>0</v>
      </c>
      <c r="AN710" s="199">
        <f t="shared" si="249"/>
        <v>45419</v>
      </c>
      <c r="AO710" s="159" t="s">
        <v>692</v>
      </c>
      <c r="AP710" s="781"/>
      <c r="AQ710" s="782">
        <v>12063755</v>
      </c>
      <c r="AR710" s="782">
        <v>12061353</v>
      </c>
      <c r="AS710" s="782">
        <v>12061354</v>
      </c>
      <c r="AT710" s="782">
        <v>12068566</v>
      </c>
      <c r="AU710" s="781"/>
      <c r="AV710" s="782">
        <v>12088206</v>
      </c>
      <c r="AW710" s="782">
        <v>12088207</v>
      </c>
      <c r="AX710" s="782"/>
      <c r="AY710" s="782">
        <v>12068565</v>
      </c>
      <c r="AZ710" s="782"/>
      <c r="BA710" s="781"/>
    </row>
    <row r="711" spans="2:53" ht="25" hidden="1" customHeight="1">
      <c r="B711" s="213">
        <v>45419</v>
      </c>
      <c r="C711" s="213">
        <v>45425</v>
      </c>
      <c r="D711" s="185">
        <f t="shared" si="247"/>
        <v>2024</v>
      </c>
      <c r="E711" s="215" t="str">
        <f>VLOOKUP($B711,Week!$A$1:$C$1462,2,0)</f>
        <v>Week19</v>
      </c>
      <c r="F711" s="216" t="str">
        <f t="shared" si="248"/>
        <v>May</v>
      </c>
      <c r="G711" s="215" t="s">
        <v>1097</v>
      </c>
      <c r="H711" s="215" t="s">
        <v>104</v>
      </c>
      <c r="I711" s="215" t="s">
        <v>2772</v>
      </c>
      <c r="J711" s="209" t="s">
        <v>105</v>
      </c>
      <c r="K711" s="217" t="s">
        <v>107</v>
      </c>
      <c r="L711" s="300" t="s">
        <v>2167</v>
      </c>
      <c r="M711" s="209" t="s">
        <v>108</v>
      </c>
      <c r="N711" s="215" t="s">
        <v>109</v>
      </c>
      <c r="O711" s="215" t="s">
        <v>110</v>
      </c>
      <c r="P711" s="218">
        <v>36</v>
      </c>
      <c r="Q711" s="218">
        <v>5</v>
      </c>
      <c r="R711" s="219">
        <v>7.4999999999999997E-3</v>
      </c>
      <c r="S711" s="215" t="s">
        <v>111</v>
      </c>
      <c r="T711" s="215" t="s">
        <v>112</v>
      </c>
      <c r="U711" s="215" t="s">
        <v>113</v>
      </c>
      <c r="V711" s="220">
        <v>792</v>
      </c>
      <c r="W711" s="220">
        <v>792</v>
      </c>
      <c r="X711" s="221"/>
      <c r="Y711" s="222">
        <f t="shared" si="241"/>
        <v>0</v>
      </c>
      <c r="Z711" s="223">
        <f t="shared" si="242"/>
        <v>0</v>
      </c>
      <c r="AA711" s="223"/>
      <c r="AB711" s="807"/>
      <c r="AC711" s="220"/>
      <c r="AD711" s="209"/>
      <c r="AE711" s="210"/>
      <c r="AF711" s="210"/>
      <c r="AG711" s="211">
        <f t="shared" si="243"/>
        <v>0.308</v>
      </c>
      <c r="AH711" s="157">
        <f t="shared" ref="AH711:AH719" si="250">(Z711*AG711)/1000</f>
        <v>0</v>
      </c>
      <c r="AI711" s="152">
        <f t="shared" si="245"/>
        <v>28512</v>
      </c>
      <c r="AK711" s="156" t="s">
        <v>691</v>
      </c>
      <c r="AL711" s="574" t="s">
        <v>690</v>
      </c>
      <c r="AM711" s="198">
        <f t="shared" ref="AM711:AM716" si="251">AG711*Z711</f>
        <v>0</v>
      </c>
      <c r="AN711" s="199">
        <f t="shared" si="249"/>
        <v>45419</v>
      </c>
      <c r="AO711" s="159" t="s">
        <v>692</v>
      </c>
      <c r="AP711" s="781"/>
      <c r="AQ711" s="782">
        <v>12063755</v>
      </c>
      <c r="AR711" s="782">
        <v>12061353</v>
      </c>
      <c r="AS711" s="782">
        <v>12061354</v>
      </c>
      <c r="AT711" s="782">
        <v>12068566</v>
      </c>
      <c r="AU711" s="781"/>
      <c r="AV711" s="782">
        <v>12088206</v>
      </c>
      <c r="AW711" s="782">
        <v>12088207</v>
      </c>
      <c r="AX711" s="782"/>
      <c r="AY711" s="782">
        <v>12068565</v>
      </c>
      <c r="AZ711" s="782"/>
      <c r="BA711" s="781"/>
    </row>
    <row r="712" spans="2:53" ht="25" hidden="1" customHeight="1">
      <c r="B712" s="213">
        <v>45419</v>
      </c>
      <c r="C712" s="213">
        <v>45425</v>
      </c>
      <c r="D712" s="185">
        <f t="shared" si="247"/>
        <v>2024</v>
      </c>
      <c r="E712" s="215" t="str">
        <f>VLOOKUP($B712,Week!$A$1:$C$1462,2,0)</f>
        <v>Week19</v>
      </c>
      <c r="F712" s="216" t="str">
        <f t="shared" si="248"/>
        <v>May</v>
      </c>
      <c r="G712" s="215" t="s">
        <v>1098</v>
      </c>
      <c r="H712" s="215" t="s">
        <v>104</v>
      </c>
      <c r="I712" s="215" t="s">
        <v>2772</v>
      </c>
      <c r="J712" s="209" t="s">
        <v>105</v>
      </c>
      <c r="K712" s="217" t="s">
        <v>107</v>
      </c>
      <c r="L712" s="300" t="s">
        <v>2167</v>
      </c>
      <c r="M712" s="209" t="s">
        <v>108</v>
      </c>
      <c r="N712" s="215" t="s">
        <v>109</v>
      </c>
      <c r="O712" s="215" t="s">
        <v>110</v>
      </c>
      <c r="P712" s="218">
        <v>36</v>
      </c>
      <c r="Q712" s="218">
        <v>5</v>
      </c>
      <c r="R712" s="219">
        <v>7.4999999999999997E-3</v>
      </c>
      <c r="S712" s="215" t="s">
        <v>111</v>
      </c>
      <c r="T712" s="215" t="s">
        <v>112</v>
      </c>
      <c r="U712" s="215" t="s">
        <v>113</v>
      </c>
      <c r="V712" s="220">
        <f>2051-353-792-792</f>
        <v>114</v>
      </c>
      <c r="W712" s="220">
        <f>2051-353-792-792</f>
        <v>114</v>
      </c>
      <c r="X712" s="221"/>
      <c r="Y712" s="222">
        <f t="shared" si="241"/>
        <v>0</v>
      </c>
      <c r="Z712" s="223">
        <f t="shared" si="242"/>
        <v>0</v>
      </c>
      <c r="AA712" s="223"/>
      <c r="AB712" s="807"/>
      <c r="AC712" s="220"/>
      <c r="AD712" s="209"/>
      <c r="AE712" s="210"/>
      <c r="AF712" s="210"/>
      <c r="AG712" s="211">
        <f t="shared" si="243"/>
        <v>0.308</v>
      </c>
      <c r="AH712" s="157">
        <f>(Z712*AG712)/1000</f>
        <v>0</v>
      </c>
      <c r="AI712" s="152">
        <f t="shared" si="245"/>
        <v>4104</v>
      </c>
      <c r="AK712" s="156" t="s">
        <v>691</v>
      </c>
      <c r="AL712" s="574" t="s">
        <v>690</v>
      </c>
      <c r="AM712" s="198">
        <f>AG712*Z712</f>
        <v>0</v>
      </c>
      <c r="AN712" s="199">
        <f t="shared" si="249"/>
        <v>45419</v>
      </c>
      <c r="AO712" s="159" t="s">
        <v>692</v>
      </c>
      <c r="AP712" s="781"/>
      <c r="AQ712" s="782">
        <v>12063755</v>
      </c>
      <c r="AR712" s="782">
        <v>12061353</v>
      </c>
      <c r="AS712" s="782">
        <v>12061354</v>
      </c>
      <c r="AT712" s="782">
        <v>12068566</v>
      </c>
      <c r="AU712" s="781"/>
      <c r="AV712" s="782">
        <v>12088206</v>
      </c>
      <c r="AW712" s="782">
        <v>12088207</v>
      </c>
      <c r="AX712" s="782"/>
      <c r="AY712" s="782">
        <v>12068565</v>
      </c>
      <c r="AZ712" s="782"/>
      <c r="BA712" s="781"/>
    </row>
    <row r="713" spans="2:53" ht="24.65" hidden="1" customHeight="1">
      <c r="B713" s="424">
        <v>45419</v>
      </c>
      <c r="C713" s="425">
        <v>45422</v>
      </c>
      <c r="D713" s="185">
        <f t="shared" si="247"/>
        <v>2024</v>
      </c>
      <c r="E713" s="425" t="str">
        <f>VLOOKUP($B713,Week!$A$1:$C$1462,2,0)</f>
        <v>Week19</v>
      </c>
      <c r="F713" s="426" t="str">
        <f t="shared" si="248"/>
        <v>May</v>
      </c>
      <c r="G713" s="427" t="s">
        <v>47</v>
      </c>
      <c r="H713" s="427" t="s">
        <v>260</v>
      </c>
      <c r="I713" s="298" t="s">
        <v>2702</v>
      </c>
      <c r="J713" s="428" t="s">
        <v>70</v>
      </c>
      <c r="K713" s="429" t="s">
        <v>1646</v>
      </c>
      <c r="L713" s="300" t="s">
        <v>2167</v>
      </c>
      <c r="M713" s="428" t="s">
        <v>1116</v>
      </c>
      <c r="N713" s="427" t="s">
        <v>1302</v>
      </c>
      <c r="O713" s="427" t="s">
        <v>668</v>
      </c>
      <c r="P713" s="430">
        <v>12</v>
      </c>
      <c r="Q713" s="430">
        <v>3</v>
      </c>
      <c r="R713" s="431">
        <v>6.1999999999999998E-3</v>
      </c>
      <c r="S713" s="427" t="s">
        <v>352</v>
      </c>
      <c r="T713" s="427" t="s">
        <v>56</v>
      </c>
      <c r="U713" s="427" t="s">
        <v>669</v>
      </c>
      <c r="V713" s="628">
        <v>6000</v>
      </c>
      <c r="W713" s="432">
        <v>6000</v>
      </c>
      <c r="X713" s="433"/>
      <c r="Y713" s="434">
        <f t="shared" si="241"/>
        <v>0</v>
      </c>
      <c r="Z713" s="435">
        <f t="shared" si="242"/>
        <v>0</v>
      </c>
      <c r="AA713" s="435"/>
      <c r="AB713" s="826"/>
      <c r="AC713" s="432"/>
      <c r="AD713" s="209"/>
      <c r="AE713" s="210"/>
      <c r="AF713" s="210"/>
      <c r="AG713" s="211">
        <f t="shared" si="243"/>
        <v>0.21099999999999999</v>
      </c>
      <c r="AH713" s="157">
        <f>(Z713*AG713)/1000</f>
        <v>0</v>
      </c>
      <c r="AI713" s="152">
        <f t="shared" si="245"/>
        <v>72000</v>
      </c>
      <c r="AK713" s="156" t="s">
        <v>691</v>
      </c>
      <c r="AL713" s="212" t="s">
        <v>690</v>
      </c>
      <c r="AM713" s="198">
        <f t="shared" si="251"/>
        <v>0</v>
      </c>
      <c r="AN713" s="199">
        <f t="shared" si="249"/>
        <v>45419</v>
      </c>
      <c r="AO713" s="159" t="s">
        <v>692</v>
      </c>
      <c r="AP713" s="783" t="s">
        <v>623</v>
      </c>
      <c r="AQ713" s="782">
        <v>12071839</v>
      </c>
      <c r="AR713" s="782">
        <v>12042650</v>
      </c>
      <c r="AS713" s="782">
        <v>12042649</v>
      </c>
      <c r="AT713" s="782"/>
      <c r="AU713" s="781"/>
      <c r="AV713" s="782">
        <v>12090991</v>
      </c>
      <c r="AW713" s="782"/>
      <c r="AX713" s="782"/>
      <c r="AY713" s="782">
        <v>12090992</v>
      </c>
      <c r="AZ713" s="782">
        <v>12090990</v>
      </c>
      <c r="BA713" s="781"/>
    </row>
    <row r="714" spans="2:53" ht="25" hidden="1" customHeight="1">
      <c r="B714" s="213">
        <v>45420</v>
      </c>
      <c r="C714" s="213">
        <v>45425</v>
      </c>
      <c r="D714" s="185">
        <f t="shared" si="247"/>
        <v>2024</v>
      </c>
      <c r="E714" s="215" t="str">
        <f>VLOOKUP($B714,Week!$A$1:$C$1462,2,0)</f>
        <v>Week19</v>
      </c>
      <c r="F714" s="216" t="str">
        <f t="shared" si="248"/>
        <v>May</v>
      </c>
      <c r="G714" s="215" t="s">
        <v>1098</v>
      </c>
      <c r="H714" s="215" t="s">
        <v>104</v>
      </c>
      <c r="I714" s="215" t="s">
        <v>2772</v>
      </c>
      <c r="J714" s="209" t="s">
        <v>105</v>
      </c>
      <c r="K714" s="217" t="s">
        <v>107</v>
      </c>
      <c r="L714" s="300" t="s">
        <v>2167</v>
      </c>
      <c r="M714" s="209" t="s">
        <v>108</v>
      </c>
      <c r="N714" s="215" t="s">
        <v>109</v>
      </c>
      <c r="O714" s="215" t="s">
        <v>110</v>
      </c>
      <c r="P714" s="218">
        <v>36</v>
      </c>
      <c r="Q714" s="218">
        <v>5</v>
      </c>
      <c r="R714" s="219">
        <v>7.4999999999999997E-3</v>
      </c>
      <c r="S714" s="215" t="s">
        <v>111</v>
      </c>
      <c r="T714" s="215" t="s">
        <v>112</v>
      </c>
      <c r="U714" s="215" t="s">
        <v>113</v>
      </c>
      <c r="V714" s="220">
        <f>792-114</f>
        <v>678</v>
      </c>
      <c r="W714" s="220">
        <f>792-114</f>
        <v>678</v>
      </c>
      <c r="X714" s="221"/>
      <c r="Y714" s="222">
        <f t="shared" si="241"/>
        <v>0</v>
      </c>
      <c r="Z714" s="223">
        <f t="shared" si="242"/>
        <v>0</v>
      </c>
      <c r="AA714" s="223"/>
      <c r="AB714" s="807"/>
      <c r="AC714" s="220"/>
      <c r="AD714" s="209"/>
      <c r="AE714" s="210"/>
      <c r="AF714" s="210"/>
      <c r="AG714" s="211">
        <f t="shared" si="243"/>
        <v>0.308</v>
      </c>
      <c r="AH714" s="157">
        <f>(Z714*AG714)/1000</f>
        <v>0</v>
      </c>
      <c r="AI714" s="152">
        <f t="shared" si="245"/>
        <v>24408</v>
      </c>
      <c r="AK714" s="156" t="s">
        <v>691</v>
      </c>
      <c r="AL714" s="574" t="s">
        <v>690</v>
      </c>
      <c r="AM714" s="198">
        <f t="shared" si="251"/>
        <v>0</v>
      </c>
      <c r="AN714" s="199">
        <f t="shared" si="249"/>
        <v>45420</v>
      </c>
      <c r="AO714" s="159" t="s">
        <v>692</v>
      </c>
      <c r="AP714" s="781"/>
      <c r="AQ714" s="782">
        <v>12063755</v>
      </c>
      <c r="AR714" s="782">
        <v>12061353</v>
      </c>
      <c r="AS714" s="782">
        <v>12061354</v>
      </c>
      <c r="AT714" s="782">
        <v>12068566</v>
      </c>
      <c r="AU714" s="781"/>
      <c r="AV714" s="782">
        <v>12088206</v>
      </c>
      <c r="AW714" s="782">
        <v>12088207</v>
      </c>
      <c r="AX714" s="782"/>
      <c r="AY714" s="782">
        <v>12068565</v>
      </c>
      <c r="AZ714" s="782"/>
      <c r="BA714" s="781"/>
    </row>
    <row r="715" spans="2:53" ht="25" hidden="1" customHeight="1">
      <c r="B715" s="213">
        <v>45420</v>
      </c>
      <c r="C715" s="213">
        <v>45425</v>
      </c>
      <c r="D715" s="185">
        <f t="shared" si="247"/>
        <v>2024</v>
      </c>
      <c r="E715" s="215" t="str">
        <f>VLOOKUP($B715,Week!$A$1:$C$1462,2,0)</f>
        <v>Week19</v>
      </c>
      <c r="F715" s="216" t="str">
        <f t="shared" si="248"/>
        <v>May</v>
      </c>
      <c r="G715" s="215" t="s">
        <v>1099</v>
      </c>
      <c r="H715" s="215" t="s">
        <v>104</v>
      </c>
      <c r="I715" s="215" t="s">
        <v>2772</v>
      </c>
      <c r="J715" s="209" t="s">
        <v>105</v>
      </c>
      <c r="K715" s="217" t="s">
        <v>107</v>
      </c>
      <c r="L715" s="300" t="s">
        <v>2167</v>
      </c>
      <c r="M715" s="209" t="s">
        <v>108</v>
      </c>
      <c r="N715" s="215" t="s">
        <v>109</v>
      </c>
      <c r="O715" s="215" t="s">
        <v>110</v>
      </c>
      <c r="P715" s="218">
        <v>36</v>
      </c>
      <c r="Q715" s="218">
        <v>5</v>
      </c>
      <c r="R715" s="219">
        <v>7.4999999999999997E-3</v>
      </c>
      <c r="S715" s="215" t="s">
        <v>111</v>
      </c>
      <c r="T715" s="215" t="s">
        <v>112</v>
      </c>
      <c r="U715" s="215" t="s">
        <v>113</v>
      </c>
      <c r="V715" s="220">
        <v>792</v>
      </c>
      <c r="W715" s="220">
        <v>792</v>
      </c>
      <c r="X715" s="221"/>
      <c r="Y715" s="222">
        <f t="shared" si="241"/>
        <v>0</v>
      </c>
      <c r="Z715" s="223">
        <f t="shared" si="242"/>
        <v>0</v>
      </c>
      <c r="AA715" s="223"/>
      <c r="AB715" s="807"/>
      <c r="AC715" s="220"/>
      <c r="AD715" s="209"/>
      <c r="AE715" s="210"/>
      <c r="AF715" s="210"/>
      <c r="AG715" s="211">
        <f t="shared" si="243"/>
        <v>0.308</v>
      </c>
      <c r="AH715" s="157">
        <f t="shared" si="250"/>
        <v>0</v>
      </c>
      <c r="AI715" s="152">
        <f t="shared" si="245"/>
        <v>28512</v>
      </c>
      <c r="AK715" s="156" t="s">
        <v>691</v>
      </c>
      <c r="AL715" s="574" t="s">
        <v>690</v>
      </c>
      <c r="AM715" s="198">
        <f t="shared" si="251"/>
        <v>0</v>
      </c>
      <c r="AN715" s="199">
        <f t="shared" si="249"/>
        <v>45420</v>
      </c>
      <c r="AO715" s="159" t="s">
        <v>692</v>
      </c>
      <c r="AP715" s="781"/>
      <c r="AQ715" s="782">
        <v>12063755</v>
      </c>
      <c r="AR715" s="782">
        <v>12061353</v>
      </c>
      <c r="AS715" s="782">
        <v>12061354</v>
      </c>
      <c r="AT715" s="782">
        <v>12068566</v>
      </c>
      <c r="AU715" s="781"/>
      <c r="AV715" s="782">
        <v>12088206</v>
      </c>
      <c r="AW715" s="782">
        <v>12088207</v>
      </c>
      <c r="AX715" s="782"/>
      <c r="AY715" s="782">
        <v>12068565</v>
      </c>
      <c r="AZ715" s="782"/>
      <c r="BA715" s="781"/>
    </row>
    <row r="716" spans="2:53" ht="25" hidden="1" customHeight="1">
      <c r="B716" s="213">
        <v>45420</v>
      </c>
      <c r="C716" s="213">
        <v>45432</v>
      </c>
      <c r="D716" s="185">
        <f t="shared" si="247"/>
        <v>2024</v>
      </c>
      <c r="E716" s="215" t="str">
        <f>VLOOKUP($B716,Week!$A$1:$C$1462,2,0)</f>
        <v>Week19</v>
      </c>
      <c r="F716" s="216" t="str">
        <f t="shared" si="248"/>
        <v>May</v>
      </c>
      <c r="G716" s="215" t="s">
        <v>1100</v>
      </c>
      <c r="H716" s="215" t="s">
        <v>104</v>
      </c>
      <c r="I716" s="215" t="s">
        <v>2772</v>
      </c>
      <c r="J716" s="209" t="s">
        <v>105</v>
      </c>
      <c r="K716" s="217" t="s">
        <v>107</v>
      </c>
      <c r="L716" s="300" t="s">
        <v>2167</v>
      </c>
      <c r="M716" s="209" t="s">
        <v>108</v>
      </c>
      <c r="N716" s="215" t="s">
        <v>109</v>
      </c>
      <c r="O716" s="215" t="s">
        <v>110</v>
      </c>
      <c r="P716" s="218">
        <v>36</v>
      </c>
      <c r="Q716" s="218">
        <v>5</v>
      </c>
      <c r="R716" s="219">
        <v>7.4999999999999997E-3</v>
      </c>
      <c r="S716" s="215" t="s">
        <v>111</v>
      </c>
      <c r="T716" s="215" t="s">
        <v>112</v>
      </c>
      <c r="U716" s="215" t="s">
        <v>113</v>
      </c>
      <c r="V716" s="220">
        <v>792</v>
      </c>
      <c r="W716" s="220">
        <v>792</v>
      </c>
      <c r="X716" s="221"/>
      <c r="Y716" s="222">
        <f t="shared" si="241"/>
        <v>0</v>
      </c>
      <c r="Z716" s="223">
        <f t="shared" si="242"/>
        <v>0</v>
      </c>
      <c r="AA716" s="223"/>
      <c r="AB716" s="807"/>
      <c r="AC716" s="220"/>
      <c r="AD716" s="209"/>
      <c r="AE716" s="210"/>
      <c r="AF716" s="210"/>
      <c r="AG716" s="211">
        <f t="shared" si="243"/>
        <v>0.308</v>
      </c>
      <c r="AH716" s="157">
        <f t="shared" si="250"/>
        <v>0</v>
      </c>
      <c r="AI716" s="152">
        <f t="shared" si="245"/>
        <v>28512</v>
      </c>
      <c r="AK716" s="156" t="s">
        <v>691</v>
      </c>
      <c r="AL716" s="574" t="s">
        <v>690</v>
      </c>
      <c r="AM716" s="198">
        <f t="shared" si="251"/>
        <v>0</v>
      </c>
      <c r="AN716" s="199">
        <f t="shared" si="249"/>
        <v>45420</v>
      </c>
      <c r="AO716" s="159" t="s">
        <v>692</v>
      </c>
      <c r="AP716" s="781"/>
      <c r="AQ716" s="782">
        <v>12063755</v>
      </c>
      <c r="AR716" s="782">
        <v>12061353</v>
      </c>
      <c r="AS716" s="782">
        <v>12061354</v>
      </c>
      <c r="AT716" s="782">
        <v>12068566</v>
      </c>
      <c r="AU716" s="781"/>
      <c r="AV716" s="782">
        <v>12088206</v>
      </c>
      <c r="AW716" s="782">
        <v>12088207</v>
      </c>
      <c r="AX716" s="782"/>
      <c r="AY716" s="782">
        <v>12068565</v>
      </c>
      <c r="AZ716" s="782"/>
      <c r="BA716" s="781"/>
    </row>
    <row r="717" spans="2:53" ht="25" hidden="1" customHeight="1">
      <c r="B717" s="213">
        <v>45420</v>
      </c>
      <c r="C717" s="213">
        <v>45432</v>
      </c>
      <c r="D717" s="185">
        <f t="shared" si="247"/>
        <v>2024</v>
      </c>
      <c r="E717" s="215" t="str">
        <f>VLOOKUP($B717,Week!$A$1:$C$1462,2,0)</f>
        <v>Week19</v>
      </c>
      <c r="F717" s="216" t="str">
        <f t="shared" si="248"/>
        <v>May</v>
      </c>
      <c r="G717" s="215" t="s">
        <v>1101</v>
      </c>
      <c r="H717" s="215" t="s">
        <v>104</v>
      </c>
      <c r="I717" s="215" t="s">
        <v>2772</v>
      </c>
      <c r="J717" s="209" t="s">
        <v>105</v>
      </c>
      <c r="K717" s="217" t="s">
        <v>107</v>
      </c>
      <c r="L717" s="300" t="s">
        <v>2167</v>
      </c>
      <c r="M717" s="209" t="s">
        <v>108</v>
      </c>
      <c r="N717" s="215" t="s">
        <v>109</v>
      </c>
      <c r="O717" s="215" t="s">
        <v>110</v>
      </c>
      <c r="P717" s="218">
        <v>36</v>
      </c>
      <c r="Q717" s="218">
        <v>5</v>
      </c>
      <c r="R717" s="219">
        <v>7.4999999999999997E-3</v>
      </c>
      <c r="S717" s="215" t="s">
        <v>111</v>
      </c>
      <c r="T717" s="215" t="s">
        <v>112</v>
      </c>
      <c r="U717" s="215" t="s">
        <v>113</v>
      </c>
      <c r="V717" s="220">
        <v>792</v>
      </c>
      <c r="W717" s="220">
        <v>792</v>
      </c>
      <c r="X717" s="221"/>
      <c r="Y717" s="222">
        <f t="shared" si="241"/>
        <v>0</v>
      </c>
      <c r="Z717" s="223">
        <f t="shared" si="242"/>
        <v>0</v>
      </c>
      <c r="AA717" s="223"/>
      <c r="AB717" s="807"/>
      <c r="AC717" s="220"/>
      <c r="AD717" s="209"/>
      <c r="AE717" s="210"/>
      <c r="AF717" s="210"/>
      <c r="AG717" s="211">
        <f t="shared" si="243"/>
        <v>0.308</v>
      </c>
      <c r="AH717" s="157">
        <f t="shared" si="250"/>
        <v>0</v>
      </c>
      <c r="AI717" s="152">
        <f t="shared" si="245"/>
        <v>28512</v>
      </c>
      <c r="AK717" s="156" t="s">
        <v>691</v>
      </c>
      <c r="AL717" s="574" t="s">
        <v>690</v>
      </c>
      <c r="AM717" s="198">
        <f>AG717*Z717</f>
        <v>0</v>
      </c>
      <c r="AN717" s="199">
        <f t="shared" si="249"/>
        <v>45420</v>
      </c>
      <c r="AO717" s="159" t="s">
        <v>692</v>
      </c>
      <c r="AP717" s="781"/>
      <c r="AQ717" s="782">
        <v>12063755</v>
      </c>
      <c r="AR717" s="782">
        <v>12061353</v>
      </c>
      <c r="AS717" s="782">
        <v>12061354</v>
      </c>
      <c r="AT717" s="782">
        <v>12068566</v>
      </c>
      <c r="AU717" s="781"/>
      <c r="AV717" s="782">
        <v>12088206</v>
      </c>
      <c r="AW717" s="782">
        <v>12088207</v>
      </c>
      <c r="AX717" s="782"/>
      <c r="AY717" s="782">
        <v>12068565</v>
      </c>
      <c r="AZ717" s="782"/>
      <c r="BA717" s="781"/>
    </row>
    <row r="718" spans="2:53" ht="25" hidden="1" customHeight="1">
      <c r="B718" s="213">
        <v>45420</v>
      </c>
      <c r="C718" s="213">
        <v>45432</v>
      </c>
      <c r="D718" s="185">
        <f t="shared" si="247"/>
        <v>2024</v>
      </c>
      <c r="E718" s="215" t="str">
        <f>VLOOKUP($B718,Week!$A$1:$C$1462,2,0)</f>
        <v>Week19</v>
      </c>
      <c r="F718" s="216" t="str">
        <f t="shared" si="248"/>
        <v>May</v>
      </c>
      <c r="G718" s="215" t="s">
        <v>1102</v>
      </c>
      <c r="H718" s="215" t="s">
        <v>104</v>
      </c>
      <c r="I718" s="215" t="s">
        <v>2772</v>
      </c>
      <c r="J718" s="209" t="s">
        <v>105</v>
      </c>
      <c r="K718" s="217" t="s">
        <v>107</v>
      </c>
      <c r="L718" s="300" t="s">
        <v>2167</v>
      </c>
      <c r="M718" s="209" t="s">
        <v>108</v>
      </c>
      <c r="N718" s="215" t="s">
        <v>109</v>
      </c>
      <c r="O718" s="215" t="s">
        <v>110</v>
      </c>
      <c r="P718" s="218">
        <v>36</v>
      </c>
      <c r="Q718" s="218">
        <v>5</v>
      </c>
      <c r="R718" s="219">
        <v>7.4999999999999997E-3</v>
      </c>
      <c r="S718" s="215" t="s">
        <v>111</v>
      </c>
      <c r="T718" s="215" t="s">
        <v>112</v>
      </c>
      <c r="U718" s="215" t="s">
        <v>113</v>
      </c>
      <c r="V718" s="220">
        <v>792</v>
      </c>
      <c r="W718" s="220">
        <v>792</v>
      </c>
      <c r="X718" s="221"/>
      <c r="Y718" s="222">
        <f t="shared" si="241"/>
        <v>0</v>
      </c>
      <c r="Z718" s="223">
        <f t="shared" si="242"/>
        <v>0</v>
      </c>
      <c r="AA718" s="223"/>
      <c r="AB718" s="807"/>
      <c r="AC718" s="220"/>
      <c r="AD718" s="209"/>
      <c r="AE718" s="210"/>
      <c r="AF718" s="210"/>
      <c r="AG718" s="211">
        <f t="shared" si="243"/>
        <v>0.308</v>
      </c>
      <c r="AH718" s="157">
        <f t="shared" si="250"/>
        <v>0</v>
      </c>
      <c r="AI718" s="152">
        <f t="shared" si="245"/>
        <v>28512</v>
      </c>
      <c r="AK718" s="156" t="s">
        <v>691</v>
      </c>
      <c r="AL718" s="574" t="s">
        <v>690</v>
      </c>
      <c r="AM718" s="198">
        <f>AG718*Z718</f>
        <v>0</v>
      </c>
      <c r="AN718" s="199">
        <f t="shared" si="249"/>
        <v>45420</v>
      </c>
      <c r="AO718" s="159" t="s">
        <v>692</v>
      </c>
      <c r="AP718" s="781"/>
      <c r="AQ718" s="782">
        <v>12063755</v>
      </c>
      <c r="AR718" s="782">
        <v>12061353</v>
      </c>
      <c r="AS718" s="782">
        <v>12061354</v>
      </c>
      <c r="AT718" s="782">
        <v>12068566</v>
      </c>
      <c r="AU718" s="781"/>
      <c r="AV718" s="782">
        <v>12088206</v>
      </c>
      <c r="AW718" s="782">
        <v>12088207</v>
      </c>
      <c r="AX718" s="782"/>
      <c r="AY718" s="782">
        <v>12068565</v>
      </c>
      <c r="AZ718" s="782"/>
      <c r="BA718" s="781"/>
    </row>
    <row r="719" spans="2:53" ht="25" hidden="1" customHeight="1">
      <c r="B719" s="213">
        <v>45420</v>
      </c>
      <c r="C719" s="213">
        <v>45432</v>
      </c>
      <c r="D719" s="185">
        <f t="shared" si="247"/>
        <v>2024</v>
      </c>
      <c r="E719" s="215" t="str">
        <f>VLOOKUP($B719,Week!$A$1:$C$1462,2,0)</f>
        <v>Week19</v>
      </c>
      <c r="F719" s="216" t="str">
        <f t="shared" si="248"/>
        <v>May</v>
      </c>
      <c r="G719" s="215" t="s">
        <v>1103</v>
      </c>
      <c r="H719" s="215" t="s">
        <v>104</v>
      </c>
      <c r="I719" s="215" t="s">
        <v>2772</v>
      </c>
      <c r="J719" s="209" t="s">
        <v>105</v>
      </c>
      <c r="K719" s="217" t="s">
        <v>107</v>
      </c>
      <c r="L719" s="300" t="s">
        <v>2167</v>
      </c>
      <c r="M719" s="209" t="s">
        <v>108</v>
      </c>
      <c r="N719" s="215" t="s">
        <v>109</v>
      </c>
      <c r="O719" s="215" t="s">
        <v>110</v>
      </c>
      <c r="P719" s="218">
        <v>36</v>
      </c>
      <c r="Q719" s="218">
        <v>5</v>
      </c>
      <c r="R719" s="219">
        <v>7.4999999999999997E-3</v>
      </c>
      <c r="S719" s="215" t="s">
        <v>111</v>
      </c>
      <c r="T719" s="215" t="s">
        <v>112</v>
      </c>
      <c r="U719" s="215" t="s">
        <v>113</v>
      </c>
      <c r="V719" s="220">
        <f>3923-678-792-792-792-792</f>
        <v>77</v>
      </c>
      <c r="W719" s="220">
        <f>3923-678-792-792-792-792</f>
        <v>77</v>
      </c>
      <c r="X719" s="221"/>
      <c r="Y719" s="222">
        <f t="shared" si="241"/>
        <v>0</v>
      </c>
      <c r="Z719" s="223">
        <f t="shared" si="242"/>
        <v>0</v>
      </c>
      <c r="AA719" s="223"/>
      <c r="AB719" s="807"/>
      <c r="AC719" s="220"/>
      <c r="AD719" s="209"/>
      <c r="AE719" s="210"/>
      <c r="AF719" s="210"/>
      <c r="AG719" s="211">
        <f t="shared" si="243"/>
        <v>0.308</v>
      </c>
      <c r="AH719" s="157">
        <f t="shared" si="250"/>
        <v>0</v>
      </c>
      <c r="AI719" s="152">
        <f t="shared" si="245"/>
        <v>2772</v>
      </c>
      <c r="AK719" s="156" t="s">
        <v>691</v>
      </c>
      <c r="AL719" s="574" t="s">
        <v>690</v>
      </c>
      <c r="AM719" s="198">
        <f>AG719*Z719</f>
        <v>0</v>
      </c>
      <c r="AN719" s="199">
        <f t="shared" si="249"/>
        <v>45420</v>
      </c>
      <c r="AO719" s="159" t="s">
        <v>692</v>
      </c>
      <c r="AP719" s="781"/>
      <c r="AQ719" s="782">
        <v>12063755</v>
      </c>
      <c r="AR719" s="782">
        <v>12061353</v>
      </c>
      <c r="AS719" s="782">
        <v>12061354</v>
      </c>
      <c r="AT719" s="782">
        <v>12068566</v>
      </c>
      <c r="AU719" s="781"/>
      <c r="AV719" s="782">
        <v>12088206</v>
      </c>
      <c r="AW719" s="782">
        <v>12088207</v>
      </c>
      <c r="AX719" s="782"/>
      <c r="AY719" s="782">
        <v>12068565</v>
      </c>
      <c r="AZ719" s="782"/>
      <c r="BA719" s="781"/>
    </row>
    <row r="720" spans="2:53" ht="25" hidden="1" customHeight="1">
      <c r="B720" s="213">
        <v>45421</v>
      </c>
      <c r="C720" s="213">
        <v>45432</v>
      </c>
      <c r="D720" s="185">
        <f t="shared" si="247"/>
        <v>2024</v>
      </c>
      <c r="E720" s="215" t="str">
        <f>VLOOKUP($B720,Week!$A$1:$C$1462,2,0)</f>
        <v>Week19</v>
      </c>
      <c r="F720" s="216" t="str">
        <f t="shared" si="248"/>
        <v>May</v>
      </c>
      <c r="G720" s="215" t="s">
        <v>1103</v>
      </c>
      <c r="H720" s="215" t="s">
        <v>104</v>
      </c>
      <c r="I720" s="215" t="s">
        <v>2772</v>
      </c>
      <c r="J720" s="209" t="s">
        <v>105</v>
      </c>
      <c r="K720" s="217" t="s">
        <v>107</v>
      </c>
      <c r="L720" s="300" t="s">
        <v>2167</v>
      </c>
      <c r="M720" s="209" t="s">
        <v>108</v>
      </c>
      <c r="N720" s="215" t="s">
        <v>109</v>
      </c>
      <c r="O720" s="215" t="s">
        <v>110</v>
      </c>
      <c r="P720" s="218">
        <v>36</v>
      </c>
      <c r="Q720" s="218">
        <v>5</v>
      </c>
      <c r="R720" s="219">
        <v>7.4999999999999997E-3</v>
      </c>
      <c r="S720" s="215" t="s">
        <v>111</v>
      </c>
      <c r="T720" s="215" t="s">
        <v>112</v>
      </c>
      <c r="U720" s="215" t="s">
        <v>113</v>
      </c>
      <c r="V720" s="220">
        <f>792-77</f>
        <v>715</v>
      </c>
      <c r="W720" s="220">
        <f>792-77</f>
        <v>715</v>
      </c>
      <c r="X720" s="221"/>
      <c r="Y720" s="222">
        <f t="shared" si="241"/>
        <v>0</v>
      </c>
      <c r="Z720" s="223">
        <f t="shared" si="242"/>
        <v>0</v>
      </c>
      <c r="AA720" s="223"/>
      <c r="AB720" s="807"/>
      <c r="AC720" s="220"/>
      <c r="AD720" s="209"/>
      <c r="AE720" s="210"/>
      <c r="AF720" s="210"/>
      <c r="AG720" s="211">
        <f t="shared" si="243"/>
        <v>0.308</v>
      </c>
      <c r="AH720" s="157">
        <f t="shared" ref="AH720:AH735" si="252">(Z720*AG720)/1000</f>
        <v>0</v>
      </c>
      <c r="AI720" s="152">
        <f t="shared" si="245"/>
        <v>25740</v>
      </c>
      <c r="AK720" s="156" t="s">
        <v>691</v>
      </c>
      <c r="AL720" s="574" t="s">
        <v>690</v>
      </c>
      <c r="AM720" s="198">
        <f>AG720*Z720</f>
        <v>0</v>
      </c>
      <c r="AN720" s="199">
        <f t="shared" si="249"/>
        <v>45421</v>
      </c>
      <c r="AO720" s="159" t="s">
        <v>692</v>
      </c>
      <c r="AP720" s="781"/>
      <c r="AQ720" s="782">
        <v>12063755</v>
      </c>
      <c r="AR720" s="782">
        <v>12061353</v>
      </c>
      <c r="AS720" s="782">
        <v>12061354</v>
      </c>
      <c r="AT720" s="782">
        <v>12068566</v>
      </c>
      <c r="AU720" s="781"/>
      <c r="AV720" s="782">
        <v>12088206</v>
      </c>
      <c r="AW720" s="782">
        <v>12088207</v>
      </c>
      <c r="AX720" s="782"/>
      <c r="AY720" s="782">
        <v>12068565</v>
      </c>
      <c r="AZ720" s="782"/>
      <c r="BA720" s="781"/>
    </row>
    <row r="721" spans="2:53" ht="25" hidden="1" customHeight="1">
      <c r="B721" s="213">
        <v>45421</v>
      </c>
      <c r="C721" s="213">
        <v>45432</v>
      </c>
      <c r="D721" s="185">
        <f t="shared" si="247"/>
        <v>2024</v>
      </c>
      <c r="E721" s="215" t="str">
        <f>VLOOKUP($B721,Week!$A$1:$C$1462,2,0)</f>
        <v>Week19</v>
      </c>
      <c r="F721" s="216" t="str">
        <f t="shared" si="248"/>
        <v>May</v>
      </c>
      <c r="G721" s="215" t="s">
        <v>1104</v>
      </c>
      <c r="H721" s="215" t="s">
        <v>104</v>
      </c>
      <c r="I721" s="215" t="s">
        <v>2772</v>
      </c>
      <c r="J721" s="209" t="s">
        <v>105</v>
      </c>
      <c r="K721" s="217" t="s">
        <v>107</v>
      </c>
      <c r="L721" s="300" t="s">
        <v>2167</v>
      </c>
      <c r="M721" s="209" t="s">
        <v>108</v>
      </c>
      <c r="N721" s="215" t="s">
        <v>109</v>
      </c>
      <c r="O721" s="215" t="s">
        <v>110</v>
      </c>
      <c r="P721" s="218">
        <v>36</v>
      </c>
      <c r="Q721" s="218">
        <v>5</v>
      </c>
      <c r="R721" s="219">
        <v>7.4999999999999997E-3</v>
      </c>
      <c r="S721" s="215" t="s">
        <v>111</v>
      </c>
      <c r="T721" s="215" t="s">
        <v>112</v>
      </c>
      <c r="U721" s="215" t="s">
        <v>113</v>
      </c>
      <c r="V721" s="220">
        <v>792</v>
      </c>
      <c r="W721" s="220">
        <v>792</v>
      </c>
      <c r="X721" s="221"/>
      <c r="Y721" s="222">
        <f t="shared" si="241"/>
        <v>0</v>
      </c>
      <c r="Z721" s="223">
        <f t="shared" si="242"/>
        <v>0</v>
      </c>
      <c r="AA721" s="223"/>
      <c r="AB721" s="807"/>
      <c r="AC721" s="220"/>
      <c r="AD721" s="209"/>
      <c r="AE721" s="210"/>
      <c r="AF721" s="210"/>
      <c r="AG721" s="211">
        <f t="shared" si="243"/>
        <v>0.308</v>
      </c>
      <c r="AH721" s="157">
        <f t="shared" si="252"/>
        <v>0</v>
      </c>
      <c r="AI721" s="152">
        <f t="shared" si="245"/>
        <v>28512</v>
      </c>
      <c r="AK721" s="156" t="s">
        <v>691</v>
      </c>
      <c r="AL721" s="574" t="s">
        <v>690</v>
      </c>
      <c r="AM721" s="198">
        <f>AG721*Z721</f>
        <v>0</v>
      </c>
      <c r="AN721" s="199">
        <f t="shared" si="249"/>
        <v>45421</v>
      </c>
      <c r="AO721" s="159" t="s">
        <v>692</v>
      </c>
      <c r="AP721" s="781"/>
      <c r="AQ721" s="782">
        <v>12063755</v>
      </c>
      <c r="AR721" s="782">
        <v>12061353</v>
      </c>
      <c r="AS721" s="782">
        <v>12061354</v>
      </c>
      <c r="AT721" s="782">
        <v>12068566</v>
      </c>
      <c r="AU721" s="781"/>
      <c r="AV721" s="782">
        <v>12088206</v>
      </c>
      <c r="AW721" s="782">
        <v>12088207</v>
      </c>
      <c r="AX721" s="782"/>
      <c r="AY721" s="782">
        <v>12068565</v>
      </c>
      <c r="AZ721" s="782"/>
      <c r="BA721" s="781"/>
    </row>
    <row r="722" spans="2:53" ht="25" hidden="1" customHeight="1">
      <c r="B722" s="213">
        <v>45421</v>
      </c>
      <c r="C722" s="213">
        <v>45433</v>
      </c>
      <c r="D722" s="185">
        <f t="shared" si="247"/>
        <v>2024</v>
      </c>
      <c r="E722" s="215" t="str">
        <f>VLOOKUP($B722,Week!$A$1:$C$1462,2,0)</f>
        <v>Week19</v>
      </c>
      <c r="F722" s="216" t="str">
        <f t="shared" si="248"/>
        <v>May</v>
      </c>
      <c r="G722" s="215" t="s">
        <v>1187</v>
      </c>
      <c r="H722" s="215" t="s">
        <v>104</v>
      </c>
      <c r="I722" s="215" t="s">
        <v>2772</v>
      </c>
      <c r="J722" s="209" t="s">
        <v>105</v>
      </c>
      <c r="K722" s="217" t="s">
        <v>107</v>
      </c>
      <c r="L722" s="300" t="s">
        <v>2167</v>
      </c>
      <c r="M722" s="209" t="s">
        <v>108</v>
      </c>
      <c r="N722" s="215" t="s">
        <v>109</v>
      </c>
      <c r="O722" s="215" t="s">
        <v>110</v>
      </c>
      <c r="P722" s="218">
        <v>36</v>
      </c>
      <c r="Q722" s="218">
        <v>5</v>
      </c>
      <c r="R722" s="219">
        <v>7.4999999999999997E-3</v>
      </c>
      <c r="S722" s="215" t="s">
        <v>111</v>
      </c>
      <c r="T722" s="215" t="s">
        <v>112</v>
      </c>
      <c r="U722" s="215" t="s">
        <v>113</v>
      </c>
      <c r="V722" s="220">
        <v>792</v>
      </c>
      <c r="W722" s="220">
        <v>792</v>
      </c>
      <c r="X722" s="221"/>
      <c r="Y722" s="222">
        <f t="shared" si="241"/>
        <v>0</v>
      </c>
      <c r="Z722" s="223">
        <f t="shared" si="242"/>
        <v>0</v>
      </c>
      <c r="AA722" s="223"/>
      <c r="AB722" s="807"/>
      <c r="AC722" s="220"/>
      <c r="AD722" s="209"/>
      <c r="AE722" s="210"/>
      <c r="AF722" s="210"/>
      <c r="AG722" s="211">
        <f t="shared" si="243"/>
        <v>0.308</v>
      </c>
      <c r="AH722" s="157">
        <f t="shared" si="252"/>
        <v>0</v>
      </c>
      <c r="AI722" s="152">
        <f t="shared" si="245"/>
        <v>28512</v>
      </c>
      <c r="AK722" s="156" t="s">
        <v>691</v>
      </c>
      <c r="AL722" s="574" t="s">
        <v>690</v>
      </c>
      <c r="AM722" s="198">
        <f t="shared" ref="AM722:AM740" si="253">AG722*Z722</f>
        <v>0</v>
      </c>
      <c r="AN722" s="199">
        <f t="shared" si="249"/>
        <v>45421</v>
      </c>
      <c r="AO722" s="159" t="s">
        <v>692</v>
      </c>
      <c r="AP722" s="781"/>
      <c r="AQ722" s="782">
        <v>12063755</v>
      </c>
      <c r="AR722" s="782">
        <v>12061353</v>
      </c>
      <c r="AS722" s="782">
        <v>12061354</v>
      </c>
      <c r="AT722" s="782">
        <v>12068566</v>
      </c>
      <c r="AU722" s="781"/>
      <c r="AV722" s="782">
        <v>12088206</v>
      </c>
      <c r="AW722" s="782">
        <v>12088207</v>
      </c>
      <c r="AX722" s="782"/>
      <c r="AY722" s="782">
        <v>12068565</v>
      </c>
      <c r="AZ722" s="782"/>
      <c r="BA722" s="781"/>
    </row>
    <row r="723" spans="2:53" ht="25" hidden="1" customHeight="1">
      <c r="B723" s="213">
        <v>45421</v>
      </c>
      <c r="C723" s="213">
        <v>45433</v>
      </c>
      <c r="D723" s="185">
        <f t="shared" si="247"/>
        <v>2024</v>
      </c>
      <c r="E723" s="215" t="str">
        <f>VLOOKUP($B723,Week!$A$1:$C$1462,2,0)</f>
        <v>Week19</v>
      </c>
      <c r="F723" s="216" t="str">
        <f t="shared" si="248"/>
        <v>May</v>
      </c>
      <c r="G723" s="215" t="s">
        <v>1188</v>
      </c>
      <c r="H723" s="215" t="s">
        <v>104</v>
      </c>
      <c r="I723" s="215" t="s">
        <v>2772</v>
      </c>
      <c r="J723" s="209" t="s">
        <v>105</v>
      </c>
      <c r="K723" s="217" t="s">
        <v>107</v>
      </c>
      <c r="L723" s="300" t="s">
        <v>2167</v>
      </c>
      <c r="M723" s="209" t="s">
        <v>108</v>
      </c>
      <c r="N723" s="215" t="s">
        <v>109</v>
      </c>
      <c r="O723" s="215" t="s">
        <v>110</v>
      </c>
      <c r="P723" s="218">
        <v>36</v>
      </c>
      <c r="Q723" s="218">
        <v>5</v>
      </c>
      <c r="R723" s="219">
        <v>7.4999999999999997E-3</v>
      </c>
      <c r="S723" s="215" t="s">
        <v>111</v>
      </c>
      <c r="T723" s="215" t="s">
        <v>112</v>
      </c>
      <c r="U723" s="215" t="s">
        <v>113</v>
      </c>
      <c r="V723" s="220">
        <v>792</v>
      </c>
      <c r="W723" s="220">
        <v>792</v>
      </c>
      <c r="X723" s="221"/>
      <c r="Y723" s="222">
        <f t="shared" si="241"/>
        <v>0</v>
      </c>
      <c r="Z723" s="223">
        <f t="shared" si="242"/>
        <v>0</v>
      </c>
      <c r="AA723" s="223"/>
      <c r="AB723" s="807"/>
      <c r="AC723" s="220"/>
      <c r="AD723" s="209"/>
      <c r="AE723" s="210"/>
      <c r="AF723" s="210"/>
      <c r="AG723" s="211">
        <f t="shared" si="243"/>
        <v>0.308</v>
      </c>
      <c r="AH723" s="157">
        <f t="shared" si="252"/>
        <v>0</v>
      </c>
      <c r="AI723" s="152">
        <f t="shared" si="245"/>
        <v>28512</v>
      </c>
      <c r="AK723" s="156" t="s">
        <v>691</v>
      </c>
      <c r="AL723" s="574" t="s">
        <v>690</v>
      </c>
      <c r="AM723" s="198">
        <f>AG723*Z723</f>
        <v>0</v>
      </c>
      <c r="AN723" s="199">
        <f t="shared" si="249"/>
        <v>45421</v>
      </c>
      <c r="AO723" s="159" t="s">
        <v>692</v>
      </c>
      <c r="AP723" s="781"/>
      <c r="AQ723" s="782">
        <v>12063755</v>
      </c>
      <c r="AR723" s="782">
        <v>12061353</v>
      </c>
      <c r="AS723" s="782">
        <v>12061354</v>
      </c>
      <c r="AT723" s="782">
        <v>12068566</v>
      </c>
      <c r="AU723" s="781"/>
      <c r="AV723" s="782">
        <v>12088206</v>
      </c>
      <c r="AW723" s="782">
        <v>12088207</v>
      </c>
      <c r="AX723" s="782"/>
      <c r="AY723" s="782">
        <v>12068565</v>
      </c>
      <c r="AZ723" s="782"/>
      <c r="BA723" s="781"/>
    </row>
    <row r="724" spans="2:53" ht="25" hidden="1" customHeight="1">
      <c r="B724" s="213">
        <v>45421</v>
      </c>
      <c r="C724" s="213">
        <v>45433</v>
      </c>
      <c r="D724" s="185">
        <f t="shared" si="247"/>
        <v>2024</v>
      </c>
      <c r="E724" s="215" t="str">
        <f>VLOOKUP($B724,Week!$A$1:$C$1462,2,0)</f>
        <v>Week19</v>
      </c>
      <c r="F724" s="216" t="str">
        <f t="shared" si="248"/>
        <v>May</v>
      </c>
      <c r="G724" s="215" t="s">
        <v>1189</v>
      </c>
      <c r="H724" s="215" t="s">
        <v>104</v>
      </c>
      <c r="I724" s="215" t="s">
        <v>2772</v>
      </c>
      <c r="J724" s="209" t="s">
        <v>105</v>
      </c>
      <c r="K724" s="217" t="s">
        <v>107</v>
      </c>
      <c r="L724" s="300" t="s">
        <v>2167</v>
      </c>
      <c r="M724" s="209" t="s">
        <v>108</v>
      </c>
      <c r="N724" s="215" t="s">
        <v>109</v>
      </c>
      <c r="O724" s="215" t="s">
        <v>110</v>
      </c>
      <c r="P724" s="218">
        <v>36</v>
      </c>
      <c r="Q724" s="218">
        <v>5</v>
      </c>
      <c r="R724" s="219">
        <v>7.4999999999999997E-3</v>
      </c>
      <c r="S724" s="215" t="s">
        <v>111</v>
      </c>
      <c r="T724" s="215" t="s">
        <v>112</v>
      </c>
      <c r="U724" s="215" t="s">
        <v>113</v>
      </c>
      <c r="V724" s="220">
        <f>3851-715-792-792-792</f>
        <v>760</v>
      </c>
      <c r="W724" s="220">
        <f>3851-715-792-792-792</f>
        <v>760</v>
      </c>
      <c r="X724" s="221"/>
      <c r="Y724" s="222">
        <f t="shared" si="241"/>
        <v>0</v>
      </c>
      <c r="Z724" s="223">
        <f t="shared" si="242"/>
        <v>0</v>
      </c>
      <c r="AA724" s="223"/>
      <c r="AB724" s="807"/>
      <c r="AC724" s="220"/>
      <c r="AD724" s="209"/>
      <c r="AE724" s="210"/>
      <c r="AF724" s="210"/>
      <c r="AG724" s="211">
        <f t="shared" si="243"/>
        <v>0.308</v>
      </c>
      <c r="AH724" s="157">
        <f t="shared" si="252"/>
        <v>0</v>
      </c>
      <c r="AI724" s="152">
        <f t="shared" si="245"/>
        <v>27360</v>
      </c>
      <c r="AK724" s="156" t="s">
        <v>691</v>
      </c>
      <c r="AL724" s="574" t="s">
        <v>690</v>
      </c>
      <c r="AM724" s="198">
        <f t="shared" si="253"/>
        <v>0</v>
      </c>
      <c r="AN724" s="199">
        <f t="shared" si="249"/>
        <v>45421</v>
      </c>
      <c r="AO724" s="159" t="s">
        <v>692</v>
      </c>
      <c r="AP724" s="781"/>
      <c r="AQ724" s="782">
        <v>12063755</v>
      </c>
      <c r="AR724" s="782">
        <v>12061353</v>
      </c>
      <c r="AS724" s="782">
        <v>12061354</v>
      </c>
      <c r="AT724" s="782">
        <v>12068566</v>
      </c>
      <c r="AU724" s="781"/>
      <c r="AV724" s="782">
        <v>12088206</v>
      </c>
      <c r="AW724" s="782">
        <v>12088207</v>
      </c>
      <c r="AX724" s="782"/>
      <c r="AY724" s="782">
        <v>12068565</v>
      </c>
      <c r="AZ724" s="782"/>
      <c r="BA724" s="781"/>
    </row>
    <row r="725" spans="2:53" ht="24.65" hidden="1" customHeight="1">
      <c r="B725" s="283">
        <v>45422</v>
      </c>
      <c r="C725" s="284">
        <v>45437</v>
      </c>
      <c r="D725" s="185">
        <f t="shared" si="247"/>
        <v>2024</v>
      </c>
      <c r="E725" s="284" t="str">
        <f>VLOOKUP($B725,Week!$A$1:$C$1462,2,0)</f>
        <v>Week19</v>
      </c>
      <c r="F725" s="285" t="str">
        <f t="shared" si="248"/>
        <v>May</v>
      </c>
      <c r="G725" s="631" t="s">
        <v>1298</v>
      </c>
      <c r="H725" s="624" t="s">
        <v>104</v>
      </c>
      <c r="I725" s="624" t="s">
        <v>2772</v>
      </c>
      <c r="J725" s="625" t="s">
        <v>105</v>
      </c>
      <c r="K725" s="288" t="s">
        <v>51</v>
      </c>
      <c r="L725" s="300" t="s">
        <v>2167</v>
      </c>
      <c r="M725" s="287" t="s">
        <v>595</v>
      </c>
      <c r="N725" s="286" t="s">
        <v>597</v>
      </c>
      <c r="O725" s="286" t="s">
        <v>187</v>
      </c>
      <c r="P725" s="289">
        <v>8</v>
      </c>
      <c r="Q725" s="289">
        <v>5</v>
      </c>
      <c r="R725" s="290">
        <v>6.0000000000000001E-3</v>
      </c>
      <c r="S725" s="286" t="s">
        <v>55</v>
      </c>
      <c r="T725" s="286" t="s">
        <v>112</v>
      </c>
      <c r="U725" s="286" t="s">
        <v>57</v>
      </c>
      <c r="V725" s="291">
        <f>1400</f>
        <v>1400</v>
      </c>
      <c r="W725" s="291"/>
      <c r="X725" s="292">
        <f>(1366+9834)/8</f>
        <v>1400</v>
      </c>
      <c r="Y725" s="293">
        <f t="shared" si="241"/>
        <v>0</v>
      </c>
      <c r="Z725" s="294">
        <f t="shared" si="242"/>
        <v>0</v>
      </c>
      <c r="AA725" s="294"/>
      <c r="AB725" s="813"/>
      <c r="AC725" s="291"/>
      <c r="AD725" s="486"/>
      <c r="AE725" s="210"/>
      <c r="AF725" s="210"/>
      <c r="AG725" s="211">
        <v>0.14499999999999999</v>
      </c>
      <c r="AH725" s="157">
        <f t="shared" si="252"/>
        <v>0</v>
      </c>
      <c r="AI725" s="152">
        <v>19800</v>
      </c>
      <c r="AK725" s="156" t="s">
        <v>691</v>
      </c>
      <c r="AL725" s="212" t="s">
        <v>690</v>
      </c>
      <c r="AM725" s="198">
        <f t="shared" ref="AM725:AM731" si="254">AG725*Z725</f>
        <v>0</v>
      </c>
      <c r="AN725" s="199">
        <f t="shared" si="249"/>
        <v>45422</v>
      </c>
      <c r="AO725" s="159" t="s">
        <v>692</v>
      </c>
      <c r="AP725" s="781"/>
      <c r="AQ725" s="782">
        <v>12071839</v>
      </c>
      <c r="AR725" s="782">
        <v>12047514</v>
      </c>
      <c r="AS725" s="782">
        <v>12047515</v>
      </c>
      <c r="AT725" s="782">
        <v>12083107</v>
      </c>
      <c r="AU725" s="781"/>
      <c r="AV725" s="782">
        <v>12084002</v>
      </c>
      <c r="AW725" s="782"/>
      <c r="AX725" s="782"/>
      <c r="AY725" s="782"/>
      <c r="AZ725" s="782"/>
      <c r="BA725" s="781"/>
    </row>
    <row r="726" spans="2:53" ht="24.65" hidden="1" customHeight="1">
      <c r="B726" s="283">
        <v>45422</v>
      </c>
      <c r="C726" s="284">
        <v>45437</v>
      </c>
      <c r="D726" s="185">
        <f t="shared" si="247"/>
        <v>2024</v>
      </c>
      <c r="E726" s="284" t="str">
        <f>VLOOKUP($B726,Week!$A$1:$C$1462,2,0)</f>
        <v>Week19</v>
      </c>
      <c r="F726" s="285" t="str">
        <f t="shared" si="248"/>
        <v>May</v>
      </c>
      <c r="G726" s="631" t="s">
        <v>1300</v>
      </c>
      <c r="H726" s="624" t="s">
        <v>104</v>
      </c>
      <c r="I726" s="624" t="s">
        <v>2772</v>
      </c>
      <c r="J726" s="625" t="s">
        <v>105</v>
      </c>
      <c r="K726" s="288" t="s">
        <v>51</v>
      </c>
      <c r="L726" s="300" t="s">
        <v>2167</v>
      </c>
      <c r="M726" s="287" t="s">
        <v>595</v>
      </c>
      <c r="N726" s="286" t="s">
        <v>597</v>
      </c>
      <c r="O726" s="286" t="s">
        <v>187</v>
      </c>
      <c r="P726" s="289">
        <v>8</v>
      </c>
      <c r="Q726" s="289">
        <v>5</v>
      </c>
      <c r="R726" s="290">
        <v>6.0000000000000001E-3</v>
      </c>
      <c r="S726" s="286" t="s">
        <v>55</v>
      </c>
      <c r="T726" s="286" t="s">
        <v>112</v>
      </c>
      <c r="U726" s="286" t="s">
        <v>57</v>
      </c>
      <c r="V726" s="291">
        <f>1400</f>
        <v>1400</v>
      </c>
      <c r="W726" s="291"/>
      <c r="X726" s="292">
        <v>1400</v>
      </c>
      <c r="Y726" s="293">
        <f t="shared" si="241"/>
        <v>0</v>
      </c>
      <c r="Z726" s="294">
        <f t="shared" si="242"/>
        <v>0</v>
      </c>
      <c r="AA726" s="294"/>
      <c r="AB726" s="813"/>
      <c r="AC726" s="291"/>
      <c r="AD726" s="486"/>
      <c r="AE726" s="210"/>
      <c r="AF726" s="210"/>
      <c r="AG726" s="211">
        <v>0.14499999999999999</v>
      </c>
      <c r="AH726" s="157">
        <f t="shared" si="252"/>
        <v>0</v>
      </c>
      <c r="AI726" s="152">
        <v>19800</v>
      </c>
      <c r="AK726" s="156" t="s">
        <v>691</v>
      </c>
      <c r="AL726" s="212" t="s">
        <v>690</v>
      </c>
      <c r="AM726" s="198">
        <f t="shared" si="254"/>
        <v>0</v>
      </c>
      <c r="AN726" s="199">
        <f t="shared" si="249"/>
        <v>45422</v>
      </c>
      <c r="AO726" s="159" t="s">
        <v>692</v>
      </c>
      <c r="AP726" s="781"/>
      <c r="AQ726" s="782">
        <v>12071839</v>
      </c>
      <c r="AR726" s="782">
        <v>12047514</v>
      </c>
      <c r="AS726" s="782">
        <v>12047515</v>
      </c>
      <c r="AT726" s="782">
        <v>12083107</v>
      </c>
      <c r="AU726" s="781"/>
      <c r="AV726" s="782">
        <v>12084002</v>
      </c>
      <c r="AW726" s="782"/>
      <c r="AX726" s="782"/>
      <c r="AY726" s="782"/>
      <c r="AZ726" s="782"/>
      <c r="BA726" s="781"/>
    </row>
    <row r="727" spans="2:53" ht="24.75" hidden="1" customHeight="1">
      <c r="B727" s="295">
        <v>45422</v>
      </c>
      <c r="C727" s="296">
        <v>45425</v>
      </c>
      <c r="D727" s="185">
        <f t="shared" si="247"/>
        <v>2024</v>
      </c>
      <c r="E727" s="296" t="str">
        <f>VLOOKUP($B727,Week!$A$1:$C$1462,2,0)</f>
        <v>Week19</v>
      </c>
      <c r="F727" s="297" t="str">
        <f t="shared" si="248"/>
        <v>May</v>
      </c>
      <c r="G727" s="298" t="s">
        <v>47</v>
      </c>
      <c r="H727" s="298" t="s">
        <v>260</v>
      </c>
      <c r="I727" s="298" t="s">
        <v>2702</v>
      </c>
      <c r="J727" s="307" t="s">
        <v>904</v>
      </c>
      <c r="K727" s="300" t="s">
        <v>176</v>
      </c>
      <c r="L727" s="300" t="s">
        <v>2167</v>
      </c>
      <c r="M727" s="299" t="s">
        <v>262</v>
      </c>
      <c r="N727" s="298" t="s">
        <v>350</v>
      </c>
      <c r="O727" s="298" t="s">
        <v>351</v>
      </c>
      <c r="P727" s="301">
        <v>24</v>
      </c>
      <c r="Q727" s="301">
        <v>5</v>
      </c>
      <c r="R727" s="302">
        <v>6.1999999999999998E-3</v>
      </c>
      <c r="S727" s="298" t="s">
        <v>352</v>
      </c>
      <c r="T727" s="298" t="s">
        <v>56</v>
      </c>
      <c r="U727" s="298" t="s">
        <v>57</v>
      </c>
      <c r="V727" s="303">
        <v>5129</v>
      </c>
      <c r="W727" s="303">
        <v>5129</v>
      </c>
      <c r="X727" s="304"/>
      <c r="Y727" s="305">
        <f t="shared" si="241"/>
        <v>0</v>
      </c>
      <c r="Z727" s="306">
        <f t="shared" si="242"/>
        <v>0</v>
      </c>
      <c r="AA727" s="306"/>
      <c r="AB727" s="814"/>
      <c r="AC727" s="303"/>
      <c r="AD727" s="580" t="s">
        <v>672</v>
      </c>
      <c r="AE727" s="210"/>
      <c r="AF727" s="210"/>
      <c r="AG727" s="211">
        <f t="shared" ref="AG727:AG735" si="255">MID(O727,1,3)/1000</f>
        <v>0.13</v>
      </c>
      <c r="AH727" s="157">
        <f t="shared" si="252"/>
        <v>0</v>
      </c>
      <c r="AI727" s="152">
        <f t="shared" ref="AI727:AI735" si="256">V727*P727</f>
        <v>123096</v>
      </c>
      <c r="AK727" s="156" t="s">
        <v>691</v>
      </c>
      <c r="AL727" s="574" t="s">
        <v>690</v>
      </c>
      <c r="AM727" s="198">
        <f t="shared" si="254"/>
        <v>0</v>
      </c>
      <c r="AN727" s="199">
        <f t="shared" si="249"/>
        <v>45422</v>
      </c>
      <c r="AO727" s="159" t="s">
        <v>692</v>
      </c>
      <c r="AP727" s="783" t="s">
        <v>629</v>
      </c>
      <c r="AQ727" s="782">
        <v>12071839</v>
      </c>
      <c r="AR727" s="782">
        <v>12078867</v>
      </c>
      <c r="AS727" s="782">
        <v>12068233</v>
      </c>
      <c r="AT727" s="781"/>
      <c r="AU727" s="781"/>
      <c r="AV727" s="782">
        <v>12062075</v>
      </c>
      <c r="AW727" s="781"/>
      <c r="AX727" s="781"/>
      <c r="AY727" s="782">
        <v>12078867</v>
      </c>
      <c r="AZ727" s="781"/>
      <c r="BA727" s="781"/>
    </row>
    <row r="728" spans="2:53" ht="25" hidden="1" customHeight="1">
      <c r="B728" s="213">
        <v>45423</v>
      </c>
      <c r="C728" s="213">
        <v>45433</v>
      </c>
      <c r="D728" s="185">
        <f t="shared" si="247"/>
        <v>2024</v>
      </c>
      <c r="E728" s="215" t="str">
        <f>VLOOKUP($B728,Week!$A$1:$C$1462,2,0)</f>
        <v>Week19</v>
      </c>
      <c r="F728" s="216" t="str">
        <f t="shared" si="248"/>
        <v>May</v>
      </c>
      <c r="G728" s="215" t="s">
        <v>1189</v>
      </c>
      <c r="H728" s="215" t="s">
        <v>104</v>
      </c>
      <c r="I728" s="215" t="s">
        <v>2772</v>
      </c>
      <c r="J728" s="209" t="s">
        <v>105</v>
      </c>
      <c r="K728" s="217" t="s">
        <v>107</v>
      </c>
      <c r="L728" s="300" t="s">
        <v>2167</v>
      </c>
      <c r="M728" s="209" t="s">
        <v>108</v>
      </c>
      <c r="N728" s="215" t="s">
        <v>109</v>
      </c>
      <c r="O728" s="215" t="s">
        <v>110</v>
      </c>
      <c r="P728" s="218">
        <v>36</v>
      </c>
      <c r="Q728" s="218">
        <v>5</v>
      </c>
      <c r="R728" s="219">
        <v>7.4999999999999997E-3</v>
      </c>
      <c r="S728" s="215" t="s">
        <v>111</v>
      </c>
      <c r="T728" s="215" t="s">
        <v>112</v>
      </c>
      <c r="U728" s="215" t="s">
        <v>113</v>
      </c>
      <c r="V728" s="220">
        <f>792-760</f>
        <v>32</v>
      </c>
      <c r="W728" s="220">
        <v>32</v>
      </c>
      <c r="X728" s="221"/>
      <c r="Y728" s="222">
        <f t="shared" si="241"/>
        <v>0</v>
      </c>
      <c r="Z728" s="223">
        <f t="shared" si="242"/>
        <v>0</v>
      </c>
      <c r="AA728" s="223"/>
      <c r="AB728" s="807"/>
      <c r="AC728" s="220"/>
      <c r="AD728" s="209"/>
      <c r="AE728" s="210"/>
      <c r="AF728" s="210"/>
      <c r="AG728" s="211">
        <f t="shared" si="255"/>
        <v>0.308</v>
      </c>
      <c r="AH728" s="157">
        <f t="shared" si="252"/>
        <v>0</v>
      </c>
      <c r="AI728" s="152">
        <f t="shared" si="256"/>
        <v>1152</v>
      </c>
      <c r="AK728" s="156" t="s">
        <v>691</v>
      </c>
      <c r="AL728" s="574" t="s">
        <v>690</v>
      </c>
      <c r="AM728" s="198">
        <f t="shared" si="254"/>
        <v>0</v>
      </c>
      <c r="AN728" s="199">
        <f t="shared" si="249"/>
        <v>45423</v>
      </c>
      <c r="AO728" s="159" t="s">
        <v>692</v>
      </c>
      <c r="AP728" s="781"/>
      <c r="AQ728" s="782">
        <v>12063755</v>
      </c>
      <c r="AR728" s="782">
        <v>12061353</v>
      </c>
      <c r="AS728" s="782">
        <v>12061354</v>
      </c>
      <c r="AT728" s="782">
        <v>12068566</v>
      </c>
      <c r="AU728" s="781"/>
      <c r="AV728" s="782">
        <v>12088206</v>
      </c>
      <c r="AW728" s="782">
        <v>12088207</v>
      </c>
      <c r="AX728" s="782"/>
      <c r="AY728" s="782">
        <v>12068565</v>
      </c>
      <c r="AZ728" s="782"/>
      <c r="BA728" s="781"/>
    </row>
    <row r="729" spans="2:53" ht="25" hidden="1" customHeight="1">
      <c r="B729" s="213">
        <v>45423</v>
      </c>
      <c r="C729" s="213">
        <v>45433</v>
      </c>
      <c r="D729" s="185">
        <f t="shared" si="247"/>
        <v>2024</v>
      </c>
      <c r="E729" s="215" t="str">
        <f>VLOOKUP($B729,Week!$A$1:$C$1462,2,0)</f>
        <v>Week19</v>
      </c>
      <c r="F729" s="216" t="str">
        <f t="shared" si="248"/>
        <v>May</v>
      </c>
      <c r="G729" s="215" t="s">
        <v>1190</v>
      </c>
      <c r="H729" s="215" t="s">
        <v>104</v>
      </c>
      <c r="I729" s="215" t="s">
        <v>2772</v>
      </c>
      <c r="J729" s="209" t="s">
        <v>105</v>
      </c>
      <c r="K729" s="217" t="s">
        <v>107</v>
      </c>
      <c r="L729" s="300" t="s">
        <v>2167</v>
      </c>
      <c r="M729" s="209" t="s">
        <v>108</v>
      </c>
      <c r="N729" s="215" t="s">
        <v>109</v>
      </c>
      <c r="O729" s="215" t="s">
        <v>110</v>
      </c>
      <c r="P729" s="218">
        <v>36</v>
      </c>
      <c r="Q729" s="218">
        <v>5</v>
      </c>
      <c r="R729" s="219">
        <v>7.4999999999999997E-3</v>
      </c>
      <c r="S729" s="215" t="s">
        <v>111</v>
      </c>
      <c r="T729" s="215" t="s">
        <v>112</v>
      </c>
      <c r="U729" s="215" t="s">
        <v>113</v>
      </c>
      <c r="V729" s="220">
        <v>792</v>
      </c>
      <c r="W729" s="220">
        <v>792</v>
      </c>
      <c r="X729" s="221"/>
      <c r="Y729" s="222">
        <f t="shared" si="241"/>
        <v>0</v>
      </c>
      <c r="Z729" s="223">
        <f t="shared" si="242"/>
        <v>0</v>
      </c>
      <c r="AA729" s="223"/>
      <c r="AB729" s="807"/>
      <c r="AC729" s="220"/>
      <c r="AD729" s="209"/>
      <c r="AE729" s="210"/>
      <c r="AF729" s="210"/>
      <c r="AG729" s="211">
        <f t="shared" si="255"/>
        <v>0.308</v>
      </c>
      <c r="AH729" s="157">
        <f t="shared" si="252"/>
        <v>0</v>
      </c>
      <c r="AI729" s="152">
        <f t="shared" si="256"/>
        <v>28512</v>
      </c>
      <c r="AK729" s="156" t="s">
        <v>691</v>
      </c>
      <c r="AL729" s="574" t="s">
        <v>690</v>
      </c>
      <c r="AM729" s="198">
        <f t="shared" si="254"/>
        <v>0</v>
      </c>
      <c r="AN729" s="199">
        <f t="shared" si="249"/>
        <v>45423</v>
      </c>
      <c r="AO729" s="159" t="s">
        <v>692</v>
      </c>
      <c r="AP729" s="781"/>
      <c r="AQ729" s="782">
        <v>12063755</v>
      </c>
      <c r="AR729" s="782">
        <v>12061353</v>
      </c>
      <c r="AS729" s="782">
        <v>12061354</v>
      </c>
      <c r="AT729" s="782">
        <v>12068566</v>
      </c>
      <c r="AU729" s="781"/>
      <c r="AV729" s="782">
        <v>12088206</v>
      </c>
      <c r="AW729" s="782">
        <v>12088207</v>
      </c>
      <c r="AX729" s="782"/>
      <c r="AY729" s="782">
        <v>12068565</v>
      </c>
      <c r="AZ729" s="782"/>
      <c r="BA729" s="781"/>
    </row>
    <row r="730" spans="2:53" ht="25" hidden="1" customHeight="1">
      <c r="B730" s="213">
        <v>45423</v>
      </c>
      <c r="C730" s="578">
        <v>45436</v>
      </c>
      <c r="D730" s="185">
        <f t="shared" si="247"/>
        <v>2024</v>
      </c>
      <c r="E730" s="215" t="str">
        <f>VLOOKUP($B730,Week!$A$1:$C$1462,2,0)</f>
        <v>Week19</v>
      </c>
      <c r="F730" s="216" t="str">
        <f t="shared" si="248"/>
        <v>May</v>
      </c>
      <c r="G730" s="215" t="s">
        <v>1191</v>
      </c>
      <c r="H730" s="215" t="s">
        <v>104</v>
      </c>
      <c r="I730" s="215" t="s">
        <v>2772</v>
      </c>
      <c r="J730" s="209" t="s">
        <v>105</v>
      </c>
      <c r="K730" s="217" t="s">
        <v>107</v>
      </c>
      <c r="L730" s="300" t="s">
        <v>2167</v>
      </c>
      <c r="M730" s="209" t="s">
        <v>108</v>
      </c>
      <c r="N730" s="215" t="s">
        <v>109</v>
      </c>
      <c r="O730" s="215" t="s">
        <v>110</v>
      </c>
      <c r="P730" s="218">
        <v>36</v>
      </c>
      <c r="Q730" s="218">
        <v>5</v>
      </c>
      <c r="R730" s="219">
        <v>7.4999999999999997E-3</v>
      </c>
      <c r="S730" s="215" t="s">
        <v>111</v>
      </c>
      <c r="T730" s="215" t="s">
        <v>112</v>
      </c>
      <c r="U730" s="215" t="s">
        <v>113</v>
      </c>
      <c r="V730" s="220">
        <f>1169-32-792</f>
        <v>345</v>
      </c>
      <c r="W730" s="220">
        <f>1169-32-792</f>
        <v>345</v>
      </c>
      <c r="X730" s="221"/>
      <c r="Y730" s="222">
        <f t="shared" si="241"/>
        <v>0</v>
      </c>
      <c r="Z730" s="223">
        <f t="shared" si="242"/>
        <v>0</v>
      </c>
      <c r="AA730" s="223"/>
      <c r="AB730" s="807"/>
      <c r="AC730" s="220"/>
      <c r="AD730" s="209"/>
      <c r="AE730" s="210"/>
      <c r="AF730" s="210"/>
      <c r="AG730" s="211">
        <f t="shared" si="255"/>
        <v>0.308</v>
      </c>
      <c r="AH730" s="157">
        <f t="shared" si="252"/>
        <v>0</v>
      </c>
      <c r="AI730" s="152">
        <f t="shared" si="256"/>
        <v>12420</v>
      </c>
      <c r="AK730" s="156" t="s">
        <v>691</v>
      </c>
      <c r="AL730" s="574" t="s">
        <v>690</v>
      </c>
      <c r="AM730" s="198">
        <f t="shared" si="254"/>
        <v>0</v>
      </c>
      <c r="AN730" s="199">
        <f t="shared" si="249"/>
        <v>45423</v>
      </c>
      <c r="AO730" s="159" t="s">
        <v>692</v>
      </c>
      <c r="AP730" s="781"/>
      <c r="AQ730" s="782">
        <v>12063755</v>
      </c>
      <c r="AR730" s="782">
        <v>12061353</v>
      </c>
      <c r="AS730" s="782">
        <v>12061354</v>
      </c>
      <c r="AT730" s="782">
        <v>12068566</v>
      </c>
      <c r="AU730" s="781"/>
      <c r="AV730" s="782">
        <v>12088206</v>
      </c>
      <c r="AW730" s="782">
        <v>12088207</v>
      </c>
      <c r="AX730" s="782"/>
      <c r="AY730" s="782">
        <v>12068565</v>
      </c>
      <c r="AZ730" s="782"/>
      <c r="BA730" s="781"/>
    </row>
    <row r="731" spans="2:53" ht="24.65" hidden="1" customHeight="1">
      <c r="B731" s="466">
        <v>45423</v>
      </c>
      <c r="C731" s="467">
        <v>45432</v>
      </c>
      <c r="D731" s="185">
        <f t="shared" si="247"/>
        <v>2024</v>
      </c>
      <c r="E731" s="467" t="str">
        <f>VLOOKUP($B731,Week!$A$1:$C$1462,2,0)</f>
        <v>Week19</v>
      </c>
      <c r="F731" s="469" t="str">
        <f t="shared" si="248"/>
        <v>May</v>
      </c>
      <c r="G731" s="468" t="s">
        <v>1008</v>
      </c>
      <c r="H731" s="468" t="s">
        <v>675</v>
      </c>
      <c r="I731" s="468" t="s">
        <v>2772</v>
      </c>
      <c r="J731" s="471" t="s">
        <v>709</v>
      </c>
      <c r="K731" s="472" t="s">
        <v>107</v>
      </c>
      <c r="L731" s="300" t="s">
        <v>2167</v>
      </c>
      <c r="M731" s="471" t="s">
        <v>313</v>
      </c>
      <c r="N731" s="617" t="s">
        <v>696</v>
      </c>
      <c r="O731" s="468" t="s">
        <v>110</v>
      </c>
      <c r="P731" s="473">
        <v>36</v>
      </c>
      <c r="Q731" s="473">
        <v>5</v>
      </c>
      <c r="R731" s="474">
        <v>7.4999999999999997E-3</v>
      </c>
      <c r="S731" s="468" t="s">
        <v>111</v>
      </c>
      <c r="T731" s="468" t="s">
        <v>112</v>
      </c>
      <c r="U731" s="468" t="s">
        <v>57</v>
      </c>
      <c r="V731" s="475">
        <v>792</v>
      </c>
      <c r="W731" s="475">
        <f>792</f>
        <v>792</v>
      </c>
      <c r="X731" s="476"/>
      <c r="Y731" s="477">
        <f t="shared" si="241"/>
        <v>0</v>
      </c>
      <c r="Z731" s="478">
        <f t="shared" si="242"/>
        <v>0</v>
      </c>
      <c r="AA731" s="478"/>
      <c r="AB731" s="828"/>
      <c r="AC731" s="475"/>
      <c r="AD731" s="515"/>
      <c r="AE731" s="210"/>
      <c r="AF731" s="210"/>
      <c r="AG731" s="211">
        <f t="shared" si="255"/>
        <v>0.308</v>
      </c>
      <c r="AH731" s="157">
        <f t="shared" si="252"/>
        <v>0</v>
      </c>
      <c r="AI731" s="152">
        <f t="shared" si="256"/>
        <v>28512</v>
      </c>
      <c r="AK731" s="156" t="s">
        <v>691</v>
      </c>
      <c r="AL731" s="212" t="s">
        <v>690</v>
      </c>
      <c r="AM731" s="198">
        <f t="shared" si="254"/>
        <v>0</v>
      </c>
      <c r="AN731" s="199">
        <f t="shared" si="249"/>
        <v>45423</v>
      </c>
      <c r="AO731" s="159" t="s">
        <v>692</v>
      </c>
      <c r="AP731" s="783" t="s">
        <v>644</v>
      </c>
      <c r="AQ731" s="782">
        <v>12063755</v>
      </c>
      <c r="AR731" s="782">
        <v>12061353</v>
      </c>
      <c r="AS731" s="782">
        <v>12061354</v>
      </c>
      <c r="AT731" s="782">
        <v>12089990</v>
      </c>
      <c r="AU731" s="781"/>
      <c r="AV731" s="782">
        <v>12089997</v>
      </c>
      <c r="AW731" s="782">
        <v>12088207</v>
      </c>
      <c r="AX731" s="782"/>
      <c r="AY731" s="782">
        <v>12089998</v>
      </c>
      <c r="AZ731" s="782"/>
      <c r="BA731" s="781"/>
    </row>
    <row r="732" spans="2:53" ht="24.65" hidden="1" customHeight="1">
      <c r="B732" s="308">
        <v>45423</v>
      </c>
      <c r="C732" s="309">
        <v>45435</v>
      </c>
      <c r="D732" s="185">
        <f t="shared" si="247"/>
        <v>2024</v>
      </c>
      <c r="E732" s="309" t="str">
        <f>VLOOKUP($B732,Week!$A$1:$C$1462,2,0)</f>
        <v>Week19</v>
      </c>
      <c r="F732" s="310" t="str">
        <f t="shared" si="248"/>
        <v>May</v>
      </c>
      <c r="G732" s="311" t="s">
        <v>1247</v>
      </c>
      <c r="H732" s="311" t="s">
        <v>311</v>
      </c>
      <c r="I732" s="311" t="s">
        <v>2772</v>
      </c>
      <c r="J732" s="312" t="s">
        <v>738</v>
      </c>
      <c r="K732" s="313" t="s">
        <v>107</v>
      </c>
      <c r="L732" s="300" t="s">
        <v>2167</v>
      </c>
      <c r="M732" s="312" t="s">
        <v>313</v>
      </c>
      <c r="N732" s="311" t="s">
        <v>314</v>
      </c>
      <c r="O732" s="311" t="s">
        <v>110</v>
      </c>
      <c r="P732" s="314">
        <v>36</v>
      </c>
      <c r="Q732" s="314">
        <v>5</v>
      </c>
      <c r="R732" s="315">
        <v>7.4999999999999997E-3</v>
      </c>
      <c r="S732" s="311" t="s">
        <v>111</v>
      </c>
      <c r="T732" s="311" t="s">
        <v>112</v>
      </c>
      <c r="U732" s="311" t="s">
        <v>57</v>
      </c>
      <c r="V732" s="316">
        <v>792</v>
      </c>
      <c r="W732" s="316">
        <f>13+779</f>
        <v>792</v>
      </c>
      <c r="X732" s="317"/>
      <c r="Y732" s="318">
        <f t="shared" si="241"/>
        <v>0</v>
      </c>
      <c r="Z732" s="319">
        <f t="shared" si="242"/>
        <v>0</v>
      </c>
      <c r="AA732" s="319"/>
      <c r="AB732" s="815"/>
      <c r="AC732" s="316"/>
      <c r="AD732" s="515"/>
      <c r="AE732" s="210"/>
      <c r="AF732" s="210"/>
      <c r="AG732" s="211">
        <f t="shared" si="255"/>
        <v>0.308</v>
      </c>
      <c r="AH732" s="157">
        <f t="shared" si="252"/>
        <v>0</v>
      </c>
      <c r="AI732" s="152">
        <f t="shared" si="256"/>
        <v>28512</v>
      </c>
      <c r="AK732" s="156" t="s">
        <v>691</v>
      </c>
      <c r="AL732" s="212" t="s">
        <v>690</v>
      </c>
      <c r="AM732" s="198">
        <f t="shared" si="253"/>
        <v>0</v>
      </c>
      <c r="AN732" s="199">
        <f t="shared" si="249"/>
        <v>45423</v>
      </c>
      <c r="AO732" s="159" t="s">
        <v>692</v>
      </c>
      <c r="AP732" s="783" t="s">
        <v>644</v>
      </c>
      <c r="AQ732" s="782">
        <v>12063755</v>
      </c>
      <c r="AR732" s="782">
        <v>12061353</v>
      </c>
      <c r="AS732" s="782">
        <v>12061354</v>
      </c>
      <c r="AT732" s="782">
        <v>12062266</v>
      </c>
      <c r="AU732" s="781"/>
      <c r="AV732" s="782">
        <v>12088159</v>
      </c>
      <c r="AW732" s="782">
        <v>12088207</v>
      </c>
      <c r="AX732" s="782"/>
      <c r="AY732" s="782">
        <v>12062262</v>
      </c>
      <c r="AZ732" s="782"/>
      <c r="BA732" s="781"/>
    </row>
    <row r="733" spans="2:53" ht="25" hidden="1" customHeight="1">
      <c r="B733" s="258">
        <v>45423</v>
      </c>
      <c r="C733" s="259">
        <v>45434</v>
      </c>
      <c r="D733" s="185">
        <f t="shared" si="247"/>
        <v>2024</v>
      </c>
      <c r="E733" s="259" t="str">
        <f>VLOOKUP($B733,Week!$A$1:$C$1462,2,0)</f>
        <v>Week19</v>
      </c>
      <c r="F733" s="261" t="str">
        <f t="shared" si="248"/>
        <v>May</v>
      </c>
      <c r="G733" s="260" t="s">
        <v>1185</v>
      </c>
      <c r="H733" s="260" t="s">
        <v>424</v>
      </c>
      <c r="I733" s="260" t="s">
        <v>2772</v>
      </c>
      <c r="J733" s="263" t="s">
        <v>653</v>
      </c>
      <c r="K733" s="264" t="s">
        <v>1646</v>
      </c>
      <c r="L733" s="300" t="s">
        <v>2167</v>
      </c>
      <c r="M733" s="263" t="s">
        <v>654</v>
      </c>
      <c r="N733" s="260" t="s">
        <v>656</v>
      </c>
      <c r="O733" s="260" t="s">
        <v>655</v>
      </c>
      <c r="P733" s="265">
        <v>24</v>
      </c>
      <c r="Q733" s="265">
        <v>5</v>
      </c>
      <c r="R733" s="266">
        <v>7.4999999999999997E-3</v>
      </c>
      <c r="S733" s="260" t="s">
        <v>40</v>
      </c>
      <c r="T733" s="260" t="s">
        <v>112</v>
      </c>
      <c r="U733" s="621" t="s">
        <v>721</v>
      </c>
      <c r="V733" s="267">
        <f>515</f>
        <v>515</v>
      </c>
      <c r="W733" s="267">
        <f>515</f>
        <v>515</v>
      </c>
      <c r="X733" s="268"/>
      <c r="Y733" s="269">
        <f t="shared" si="241"/>
        <v>0</v>
      </c>
      <c r="Z733" s="270">
        <f t="shared" si="242"/>
        <v>0</v>
      </c>
      <c r="AA733" s="270"/>
      <c r="AB733" s="811"/>
      <c r="AC733" s="267"/>
      <c r="AD733" s="307" t="s">
        <v>672</v>
      </c>
      <c r="AE733" s="210"/>
      <c r="AF733" s="210"/>
      <c r="AG733" s="211">
        <f t="shared" si="255"/>
        <v>0.307</v>
      </c>
      <c r="AH733" s="157">
        <f t="shared" si="252"/>
        <v>0</v>
      </c>
      <c r="AI733" s="152">
        <f t="shared" si="256"/>
        <v>12360</v>
      </c>
      <c r="AK733" s="156" t="s">
        <v>691</v>
      </c>
      <c r="AL733" s="212" t="s">
        <v>690</v>
      </c>
      <c r="AM733" s="198">
        <f>AG733*Z733</f>
        <v>0</v>
      </c>
      <c r="AN733" s="199">
        <f t="shared" si="249"/>
        <v>45423</v>
      </c>
      <c r="AO733" s="159" t="s">
        <v>692</v>
      </c>
      <c r="AP733" s="781" t="s">
        <v>642</v>
      </c>
      <c r="AQ733" s="782">
        <v>12063755</v>
      </c>
      <c r="AR733" s="782">
        <v>12061353</v>
      </c>
      <c r="AS733" s="782">
        <v>12061354</v>
      </c>
      <c r="AT733" s="782">
        <v>12084607</v>
      </c>
      <c r="AU733" s="781"/>
      <c r="AV733" s="782">
        <v>12084608</v>
      </c>
      <c r="AW733" s="782">
        <v>12068154</v>
      </c>
      <c r="AX733" s="782"/>
      <c r="AY733" s="782">
        <v>12084606</v>
      </c>
      <c r="AZ733" s="782"/>
      <c r="BA733" s="781"/>
    </row>
    <row r="734" spans="2:53" ht="25" hidden="1" customHeight="1">
      <c r="B734" s="498">
        <v>45423</v>
      </c>
      <c r="C734" s="499">
        <v>45435</v>
      </c>
      <c r="D734" s="185">
        <f t="shared" si="247"/>
        <v>2024</v>
      </c>
      <c r="E734" s="499" t="str">
        <f>VLOOKUP($B734,Week!$A$1:$C$1462,2,0)</f>
        <v>Week19</v>
      </c>
      <c r="F734" s="500" t="str">
        <f t="shared" si="248"/>
        <v>May</v>
      </c>
      <c r="G734" s="501" t="s">
        <v>1036</v>
      </c>
      <c r="H734" s="501" t="s">
        <v>311</v>
      </c>
      <c r="I734" s="501" t="s">
        <v>2772</v>
      </c>
      <c r="J734" s="502" t="s">
        <v>738</v>
      </c>
      <c r="K734" s="503" t="s">
        <v>1646</v>
      </c>
      <c r="L734" s="300" t="s">
        <v>2167</v>
      </c>
      <c r="M734" s="502" t="s">
        <v>654</v>
      </c>
      <c r="N734" s="501" t="s">
        <v>726</v>
      </c>
      <c r="O734" s="501" t="s">
        <v>655</v>
      </c>
      <c r="P734" s="504">
        <v>24</v>
      </c>
      <c r="Q734" s="504">
        <v>5</v>
      </c>
      <c r="R734" s="505">
        <v>7.4999999999999997E-3</v>
      </c>
      <c r="S734" s="501" t="s">
        <v>40</v>
      </c>
      <c r="T734" s="501" t="s">
        <v>112</v>
      </c>
      <c r="U734" s="506" t="s">
        <v>721</v>
      </c>
      <c r="V734" s="507">
        <v>924</v>
      </c>
      <c r="W734" s="507">
        <f>880+44</f>
        <v>924</v>
      </c>
      <c r="X734" s="508"/>
      <c r="Y734" s="509">
        <f t="shared" si="241"/>
        <v>0</v>
      </c>
      <c r="Z734" s="510">
        <f t="shared" si="242"/>
        <v>0</v>
      </c>
      <c r="AA734" s="510"/>
      <c r="AB734" s="830"/>
      <c r="AC734" s="507"/>
      <c r="AD734" s="209"/>
      <c r="AE734" s="210"/>
      <c r="AF734" s="210"/>
      <c r="AG734" s="211">
        <f t="shared" si="255"/>
        <v>0.307</v>
      </c>
      <c r="AH734" s="157">
        <f t="shared" si="252"/>
        <v>0</v>
      </c>
      <c r="AI734" s="152">
        <f t="shared" si="256"/>
        <v>22176</v>
      </c>
      <c r="AK734" s="156" t="s">
        <v>691</v>
      </c>
      <c r="AL734" s="212" t="s">
        <v>690</v>
      </c>
      <c r="AM734" s="198">
        <f t="shared" si="253"/>
        <v>0</v>
      </c>
      <c r="AN734" s="199">
        <f t="shared" si="249"/>
        <v>45423</v>
      </c>
      <c r="AO734" s="159" t="s">
        <v>692</v>
      </c>
      <c r="AP734" s="781" t="s">
        <v>642</v>
      </c>
      <c r="AQ734" s="782">
        <v>12063755</v>
      </c>
      <c r="AR734" s="782">
        <v>12061353</v>
      </c>
      <c r="AS734" s="782">
        <v>12061354</v>
      </c>
      <c r="AT734" s="782">
        <v>12089274</v>
      </c>
      <c r="AU734" s="781"/>
      <c r="AV734" s="782">
        <v>12089275</v>
      </c>
      <c r="AW734" s="782">
        <v>12068154</v>
      </c>
      <c r="AX734" s="782"/>
      <c r="AY734" s="782">
        <v>12089276</v>
      </c>
      <c r="AZ734" s="782"/>
      <c r="BA734" s="781"/>
    </row>
    <row r="735" spans="2:53" ht="25" hidden="1" customHeight="1">
      <c r="B735" s="399">
        <v>45423</v>
      </c>
      <c r="C735" s="399">
        <v>45444</v>
      </c>
      <c r="D735" s="185">
        <f t="shared" si="247"/>
        <v>2024</v>
      </c>
      <c r="E735" s="399" t="str">
        <f>VLOOKUP($B735,Week!$A$1:$C$1462,2,0)</f>
        <v>Week19</v>
      </c>
      <c r="F735" s="400" t="str">
        <f t="shared" si="248"/>
        <v>May</v>
      </c>
      <c r="G735" s="401" t="s">
        <v>1007</v>
      </c>
      <c r="H735" s="401" t="s">
        <v>675</v>
      </c>
      <c r="I735" s="401" t="s">
        <v>2772</v>
      </c>
      <c r="J735" s="402" t="s">
        <v>709</v>
      </c>
      <c r="K735" s="403" t="s">
        <v>1646</v>
      </c>
      <c r="L735" s="300" t="s">
        <v>2167</v>
      </c>
      <c r="M735" s="402" t="s">
        <v>654</v>
      </c>
      <c r="N735" s="401" t="s">
        <v>750</v>
      </c>
      <c r="O735" s="401" t="s">
        <v>655</v>
      </c>
      <c r="P735" s="405">
        <v>24</v>
      </c>
      <c r="Q735" s="405">
        <v>5</v>
      </c>
      <c r="R735" s="406">
        <v>7.4999999999999997E-3</v>
      </c>
      <c r="S735" s="401" t="s">
        <v>40</v>
      </c>
      <c r="T735" s="401" t="s">
        <v>112</v>
      </c>
      <c r="U735" s="622" t="s">
        <v>721</v>
      </c>
      <c r="V735" s="407">
        <v>390</v>
      </c>
      <c r="W735" s="407">
        <f>390</f>
        <v>390</v>
      </c>
      <c r="X735" s="408"/>
      <c r="Y735" s="409">
        <f t="shared" si="241"/>
        <v>0</v>
      </c>
      <c r="Z735" s="410">
        <f t="shared" si="242"/>
        <v>0</v>
      </c>
      <c r="AA735" s="410"/>
      <c r="AB735" s="824"/>
      <c r="AC735" s="407"/>
      <c r="AD735" s="209"/>
      <c r="AE735" s="210"/>
      <c r="AF735" s="210"/>
      <c r="AG735" s="211">
        <f t="shared" si="255"/>
        <v>0.307</v>
      </c>
      <c r="AH735" s="157">
        <f t="shared" si="252"/>
        <v>0</v>
      </c>
      <c r="AI735" s="152">
        <f t="shared" si="256"/>
        <v>9360</v>
      </c>
      <c r="AK735" s="156" t="s">
        <v>691</v>
      </c>
      <c r="AL735" s="212" t="s">
        <v>690</v>
      </c>
      <c r="AM735" s="198">
        <f t="shared" si="253"/>
        <v>0</v>
      </c>
      <c r="AN735" s="199">
        <f t="shared" si="249"/>
        <v>45423</v>
      </c>
      <c r="AO735" s="159" t="s">
        <v>692</v>
      </c>
      <c r="AP735" s="781" t="s">
        <v>642</v>
      </c>
      <c r="AQ735" s="782">
        <v>12063755</v>
      </c>
      <c r="AR735" s="782">
        <v>12061353</v>
      </c>
      <c r="AS735" s="782">
        <v>12061354</v>
      </c>
      <c r="AT735" s="782">
        <v>12090189</v>
      </c>
      <c r="AU735" s="781"/>
      <c r="AV735" s="782">
        <v>12090188</v>
      </c>
      <c r="AW735" s="782">
        <v>12068154</v>
      </c>
      <c r="AX735" s="782"/>
      <c r="AY735" s="782">
        <v>12090190</v>
      </c>
      <c r="AZ735" s="782"/>
      <c r="BA735" s="781"/>
    </row>
    <row r="736" spans="2:53" ht="24.65" hidden="1" customHeight="1">
      <c r="B736" s="183">
        <v>45424</v>
      </c>
      <c r="C736" s="184"/>
      <c r="D736" s="185">
        <f t="shared" si="247"/>
        <v>2024</v>
      </c>
      <c r="E736" s="185" t="str">
        <f>VLOOKUP($B736,Week!$A$1:$C$1462,2,0)</f>
        <v>Week19</v>
      </c>
      <c r="F736" s="186" t="str">
        <f t="shared" si="248"/>
        <v>May</v>
      </c>
      <c r="G736" s="185"/>
      <c r="H736" s="185"/>
      <c r="I736" s="185"/>
      <c r="J736" s="187"/>
      <c r="K736" s="188"/>
      <c r="L736" s="300"/>
      <c r="M736" s="187"/>
      <c r="N736" s="185"/>
      <c r="O736" s="185"/>
      <c r="P736" s="189"/>
      <c r="Q736" s="189"/>
      <c r="R736" s="190"/>
      <c r="S736" s="185"/>
      <c r="T736" s="185"/>
      <c r="U736" s="185"/>
      <c r="V736" s="191"/>
      <c r="W736" s="191"/>
      <c r="X736" s="192"/>
      <c r="Y736" s="193"/>
      <c r="Z736" s="194"/>
      <c r="AA736" s="194"/>
      <c r="AB736" s="805"/>
      <c r="AC736" s="191"/>
      <c r="AD736" s="187"/>
      <c r="AE736" s="195"/>
      <c r="AF736" s="195"/>
      <c r="AG736" s="196"/>
      <c r="AH736" s="197"/>
      <c r="AK736" s="156" t="s">
        <v>691</v>
      </c>
      <c r="AM736" s="198">
        <f t="shared" si="253"/>
        <v>0</v>
      </c>
      <c r="AN736" s="199">
        <f t="shared" si="249"/>
        <v>45424</v>
      </c>
      <c r="AO736" s="159" t="s">
        <v>692</v>
      </c>
      <c r="AP736" s="781"/>
      <c r="AQ736" s="782"/>
      <c r="AR736" s="782"/>
      <c r="AS736" s="782"/>
      <c r="AT736" s="782"/>
      <c r="AU736" s="781"/>
      <c r="AV736" s="782"/>
      <c r="AW736" s="782"/>
      <c r="AX736" s="782"/>
      <c r="AY736" s="782"/>
      <c r="AZ736" s="782"/>
      <c r="BA736" s="781"/>
    </row>
    <row r="737" spans="1:53" ht="25" hidden="1" customHeight="1">
      <c r="B737" s="246">
        <v>45425</v>
      </c>
      <c r="C737" s="247">
        <v>45432</v>
      </c>
      <c r="D737" s="185">
        <f t="shared" si="247"/>
        <v>2024</v>
      </c>
      <c r="E737" s="247" t="str">
        <f>VLOOKUP($B737,Week!$A$1:$C$1462,2,0)</f>
        <v>Week20</v>
      </c>
      <c r="F737" s="248" t="str">
        <f t="shared" si="248"/>
        <v>May</v>
      </c>
      <c r="G737" s="599" t="s">
        <v>1208</v>
      </c>
      <c r="H737" s="249" t="s">
        <v>104</v>
      </c>
      <c r="I737" s="249" t="s">
        <v>2772</v>
      </c>
      <c r="J737" s="250" t="s">
        <v>105</v>
      </c>
      <c r="K737" s="251" t="s">
        <v>593</v>
      </c>
      <c r="L737" s="300" t="s">
        <v>2167</v>
      </c>
      <c r="M737" s="250" t="s">
        <v>594</v>
      </c>
      <c r="N737" s="249" t="s">
        <v>596</v>
      </c>
      <c r="O737" s="249" t="s">
        <v>304</v>
      </c>
      <c r="P737" s="252">
        <v>8</v>
      </c>
      <c r="Q737" s="252">
        <v>5</v>
      </c>
      <c r="R737" s="253">
        <v>6.0000000000000001E-3</v>
      </c>
      <c r="S737" s="249" t="s">
        <v>55</v>
      </c>
      <c r="T737" s="249" t="s">
        <v>112</v>
      </c>
      <c r="U737" s="249" t="s">
        <v>57</v>
      </c>
      <c r="V737" s="254">
        <f>1900</f>
        <v>1900</v>
      </c>
      <c r="W737" s="254"/>
      <c r="X737" s="255">
        <f>(1969+13231)/8</f>
        <v>1900</v>
      </c>
      <c r="Y737" s="256">
        <f t="shared" ref="Y737:Y774" si="257">(W737+X737)-V737</f>
        <v>0</v>
      </c>
      <c r="Z737" s="257">
        <f t="shared" ref="Z737:Z774" si="258">IF(Y737&lt;0,((V737*P737)-((W737+X737)*P737)),0)</f>
        <v>0</v>
      </c>
      <c r="AA737" s="257"/>
      <c r="AB737" s="810"/>
      <c r="AC737" s="254"/>
      <c r="AD737" s="209"/>
      <c r="AE737" s="210"/>
      <c r="AF737" s="210"/>
      <c r="AG737" s="211">
        <f t="shared" ref="AG737:AG745" si="259">MID(O737,1,3)/1000</f>
        <v>0.25800000000000001</v>
      </c>
      <c r="AH737" s="157">
        <v>0.26621999999999996</v>
      </c>
      <c r="AI737" s="152">
        <f t="shared" ref="AI737:AI745" si="260">V737*P737</f>
        <v>15200</v>
      </c>
      <c r="AK737" s="156" t="s">
        <v>691</v>
      </c>
      <c r="AL737" s="574" t="s">
        <v>690</v>
      </c>
      <c r="AM737" s="198">
        <f t="shared" si="253"/>
        <v>0</v>
      </c>
      <c r="AN737" s="199">
        <f t="shared" si="249"/>
        <v>45425</v>
      </c>
      <c r="AO737" s="159" t="s">
        <v>692</v>
      </c>
      <c r="AP737" s="781"/>
      <c r="AQ737" s="782">
        <v>12071839</v>
      </c>
      <c r="AR737" s="782">
        <v>12042650</v>
      </c>
      <c r="AS737" s="782">
        <v>12042649</v>
      </c>
      <c r="AT737" s="782">
        <v>12084100</v>
      </c>
      <c r="AU737" s="781"/>
      <c r="AV737" s="782">
        <v>12084001</v>
      </c>
      <c r="AW737" s="781"/>
      <c r="AX737" s="781"/>
      <c r="AY737" s="781"/>
      <c r="AZ737" s="782"/>
      <c r="BA737" s="781"/>
    </row>
    <row r="738" spans="1:53" ht="25" hidden="1" customHeight="1">
      <c r="B738" s="246">
        <v>45425</v>
      </c>
      <c r="C738" s="247">
        <v>45437</v>
      </c>
      <c r="D738" s="185">
        <f t="shared" si="247"/>
        <v>2024</v>
      </c>
      <c r="E738" s="247" t="str">
        <f>VLOOKUP($B738,Week!$A$1:$C$1462,2,0)</f>
        <v>Week20</v>
      </c>
      <c r="F738" s="248" t="str">
        <f t="shared" si="248"/>
        <v>May</v>
      </c>
      <c r="G738" s="599" t="s">
        <v>1298</v>
      </c>
      <c r="H738" s="249" t="s">
        <v>104</v>
      </c>
      <c r="I738" s="249" t="s">
        <v>2772</v>
      </c>
      <c r="J738" s="250" t="s">
        <v>105</v>
      </c>
      <c r="K738" s="251" t="s">
        <v>593</v>
      </c>
      <c r="L738" s="300" t="s">
        <v>2167</v>
      </c>
      <c r="M738" s="250" t="s">
        <v>594</v>
      </c>
      <c r="N738" s="249" t="s">
        <v>596</v>
      </c>
      <c r="O738" s="249" t="s">
        <v>304</v>
      </c>
      <c r="P738" s="252">
        <v>8</v>
      </c>
      <c r="Q738" s="252">
        <v>5</v>
      </c>
      <c r="R738" s="253">
        <v>6.0000000000000001E-3</v>
      </c>
      <c r="S738" s="249" t="s">
        <v>55</v>
      </c>
      <c r="T738" s="249" t="s">
        <v>112</v>
      </c>
      <c r="U738" s="249" t="s">
        <v>57</v>
      </c>
      <c r="V738" s="254">
        <f>1900</f>
        <v>1900</v>
      </c>
      <c r="W738" s="254"/>
      <c r="X738" s="255">
        <f>15200/8</f>
        <v>1900</v>
      </c>
      <c r="Y738" s="256">
        <f t="shared" si="257"/>
        <v>0</v>
      </c>
      <c r="Z738" s="257">
        <f t="shared" si="258"/>
        <v>0</v>
      </c>
      <c r="AA738" s="257"/>
      <c r="AB738" s="810"/>
      <c r="AC738" s="254"/>
      <c r="AD738" s="209"/>
      <c r="AE738" s="210"/>
      <c r="AF738" s="210"/>
      <c r="AG738" s="211">
        <f t="shared" si="259"/>
        <v>0.25800000000000001</v>
      </c>
      <c r="AH738" s="157">
        <v>0.26621999999999996</v>
      </c>
      <c r="AI738" s="152">
        <f t="shared" si="260"/>
        <v>15200</v>
      </c>
      <c r="AK738" s="156" t="s">
        <v>691</v>
      </c>
      <c r="AL738" s="574" t="s">
        <v>690</v>
      </c>
      <c r="AM738" s="198">
        <f t="shared" si="253"/>
        <v>0</v>
      </c>
      <c r="AN738" s="199">
        <f t="shared" si="249"/>
        <v>45425</v>
      </c>
      <c r="AO738" s="159" t="s">
        <v>692</v>
      </c>
      <c r="AP738" s="781"/>
      <c r="AQ738" s="782">
        <v>12071839</v>
      </c>
      <c r="AR738" s="782">
        <v>12042650</v>
      </c>
      <c r="AS738" s="782">
        <v>12042649</v>
      </c>
      <c r="AT738" s="782">
        <v>12084100</v>
      </c>
      <c r="AU738" s="781"/>
      <c r="AV738" s="782">
        <v>12084001</v>
      </c>
      <c r="AW738" s="781"/>
      <c r="AX738" s="781"/>
      <c r="AY738" s="781"/>
      <c r="AZ738" s="782"/>
      <c r="BA738" s="781"/>
    </row>
    <row r="739" spans="1:53" ht="25" hidden="1" customHeight="1">
      <c r="B739" s="246">
        <v>45425</v>
      </c>
      <c r="C739" s="247">
        <v>45437</v>
      </c>
      <c r="D739" s="185">
        <f t="shared" si="247"/>
        <v>2024</v>
      </c>
      <c r="E739" s="247" t="str">
        <f>VLOOKUP($B739,Week!$A$1:$C$1462,2,0)</f>
        <v>Week20</v>
      </c>
      <c r="F739" s="248" t="str">
        <f t="shared" si="248"/>
        <v>May</v>
      </c>
      <c r="G739" s="599" t="s">
        <v>1300</v>
      </c>
      <c r="H739" s="249" t="s">
        <v>104</v>
      </c>
      <c r="I739" s="249" t="s">
        <v>2772</v>
      </c>
      <c r="J739" s="250" t="s">
        <v>105</v>
      </c>
      <c r="K739" s="251" t="s">
        <v>593</v>
      </c>
      <c r="L739" s="300" t="s">
        <v>2167</v>
      </c>
      <c r="M739" s="250" t="s">
        <v>594</v>
      </c>
      <c r="N739" s="249" t="s">
        <v>596</v>
      </c>
      <c r="O739" s="249" t="s">
        <v>304</v>
      </c>
      <c r="P739" s="252">
        <v>8</v>
      </c>
      <c r="Q739" s="252">
        <v>5</v>
      </c>
      <c r="R739" s="253">
        <v>6.0000000000000001E-3</v>
      </c>
      <c r="S739" s="249" t="s">
        <v>55</v>
      </c>
      <c r="T739" s="249" t="s">
        <v>112</v>
      </c>
      <c r="U739" s="249" t="s">
        <v>57</v>
      </c>
      <c r="V739" s="254">
        <f>1900</f>
        <v>1900</v>
      </c>
      <c r="W739" s="254"/>
      <c r="X739" s="255">
        <f>15200/8</f>
        <v>1900</v>
      </c>
      <c r="Y739" s="256">
        <f t="shared" si="257"/>
        <v>0</v>
      </c>
      <c r="Z739" s="257">
        <f t="shared" si="258"/>
        <v>0</v>
      </c>
      <c r="AA739" s="257"/>
      <c r="AB739" s="810"/>
      <c r="AC739" s="254"/>
      <c r="AD739" s="209"/>
      <c r="AE739" s="210"/>
      <c r="AF739" s="210"/>
      <c r="AG739" s="211">
        <f t="shared" si="259"/>
        <v>0.25800000000000001</v>
      </c>
      <c r="AH739" s="157">
        <v>0.26621999999999996</v>
      </c>
      <c r="AI739" s="152">
        <f t="shared" si="260"/>
        <v>15200</v>
      </c>
      <c r="AK739" s="156" t="s">
        <v>691</v>
      </c>
      <c r="AL739" s="574" t="s">
        <v>690</v>
      </c>
      <c r="AM739" s="198">
        <f t="shared" si="253"/>
        <v>0</v>
      </c>
      <c r="AN739" s="199">
        <f t="shared" si="249"/>
        <v>45425</v>
      </c>
      <c r="AO739" s="159" t="s">
        <v>692</v>
      </c>
      <c r="AP739" s="781"/>
      <c r="AQ739" s="782">
        <v>12071839</v>
      </c>
      <c r="AR739" s="782">
        <v>12042650</v>
      </c>
      <c r="AS739" s="782">
        <v>12042649</v>
      </c>
      <c r="AT739" s="782">
        <v>12084100</v>
      </c>
      <c r="AU739" s="781"/>
      <c r="AV739" s="782">
        <v>12084001</v>
      </c>
      <c r="AW739" s="781"/>
      <c r="AX739" s="781"/>
      <c r="AY739" s="781"/>
      <c r="AZ739" s="782"/>
      <c r="BA739" s="781"/>
    </row>
    <row r="740" spans="1:53" ht="24.65" hidden="1" customHeight="1">
      <c r="B740" s="295">
        <v>45425</v>
      </c>
      <c r="C740" s="296">
        <v>45432</v>
      </c>
      <c r="D740" s="185">
        <f t="shared" si="247"/>
        <v>2024</v>
      </c>
      <c r="E740" s="296" t="str">
        <f>VLOOKUP($B740,Week!$A$1:$C$1462,2,0)</f>
        <v>Week20</v>
      </c>
      <c r="F740" s="297" t="str">
        <f t="shared" si="248"/>
        <v>May</v>
      </c>
      <c r="G740" s="298" t="s">
        <v>47</v>
      </c>
      <c r="H740" s="298" t="s">
        <v>260</v>
      </c>
      <c r="I740" s="298" t="s">
        <v>2702</v>
      </c>
      <c r="J740" s="307" t="s">
        <v>904</v>
      </c>
      <c r="K740" s="300" t="s">
        <v>176</v>
      </c>
      <c r="L740" s="300" t="s">
        <v>2167</v>
      </c>
      <c r="M740" s="299" t="s">
        <v>262</v>
      </c>
      <c r="N740" s="298" t="s">
        <v>350</v>
      </c>
      <c r="O740" s="298" t="s">
        <v>351</v>
      </c>
      <c r="P740" s="301">
        <v>24</v>
      </c>
      <c r="Q740" s="301">
        <v>5</v>
      </c>
      <c r="R740" s="302">
        <v>6.1999999999999998E-3</v>
      </c>
      <c r="S740" s="298" t="s">
        <v>352</v>
      </c>
      <c r="T740" s="298" t="s">
        <v>56</v>
      </c>
      <c r="U740" s="298" t="s">
        <v>57</v>
      </c>
      <c r="V740" s="303">
        <v>3534</v>
      </c>
      <c r="W740" s="303">
        <f>3534</f>
        <v>3534</v>
      </c>
      <c r="X740" s="304"/>
      <c r="Y740" s="305">
        <f t="shared" si="257"/>
        <v>0</v>
      </c>
      <c r="Z740" s="306">
        <f t="shared" si="258"/>
        <v>0</v>
      </c>
      <c r="AA740" s="306"/>
      <c r="AB740" s="814"/>
      <c r="AC740" s="303"/>
      <c r="AD740" s="580" t="s">
        <v>672</v>
      </c>
      <c r="AE740" s="210"/>
      <c r="AF740" s="210"/>
      <c r="AG740" s="211">
        <f t="shared" si="259"/>
        <v>0.13</v>
      </c>
      <c r="AH740" s="157">
        <f>(Z740*AG740)/1000</f>
        <v>0</v>
      </c>
      <c r="AI740" s="152">
        <f t="shared" si="260"/>
        <v>84816</v>
      </c>
      <c r="AK740" s="156" t="s">
        <v>691</v>
      </c>
      <c r="AL740" s="574" t="s">
        <v>690</v>
      </c>
      <c r="AM740" s="198">
        <f t="shared" si="253"/>
        <v>0</v>
      </c>
      <c r="AN740" s="199">
        <f t="shared" si="249"/>
        <v>45425</v>
      </c>
      <c r="AO740" s="159" t="s">
        <v>692</v>
      </c>
      <c r="AP740" s="783" t="s">
        <v>629</v>
      </c>
      <c r="AQ740" s="782">
        <v>12071839</v>
      </c>
      <c r="AR740" s="782">
        <v>12078867</v>
      </c>
      <c r="AS740" s="782">
        <v>12068233</v>
      </c>
      <c r="AT740" s="781"/>
      <c r="AU740" s="781"/>
      <c r="AV740" s="782">
        <v>12062075</v>
      </c>
      <c r="AW740" s="781"/>
      <c r="AX740" s="781"/>
      <c r="AY740" s="782">
        <v>12078867</v>
      </c>
      <c r="AZ740" s="781"/>
      <c r="BA740" s="781"/>
    </row>
    <row r="741" spans="1:53" ht="24.65" hidden="1" customHeight="1">
      <c r="B741" s="295">
        <v>45426</v>
      </c>
      <c r="C741" s="296">
        <v>45432</v>
      </c>
      <c r="D741" s="185">
        <f t="shared" si="247"/>
        <v>2024</v>
      </c>
      <c r="E741" s="296" t="str">
        <f>VLOOKUP($B741,Week!$A$1:$C$1462,2,0)</f>
        <v>Week20</v>
      </c>
      <c r="F741" s="297" t="str">
        <f t="shared" si="248"/>
        <v>May</v>
      </c>
      <c r="G741" s="298" t="s">
        <v>47</v>
      </c>
      <c r="H741" s="298" t="s">
        <v>260</v>
      </c>
      <c r="I741" s="298" t="s">
        <v>2702</v>
      </c>
      <c r="J741" s="307" t="s">
        <v>904</v>
      </c>
      <c r="K741" s="300" t="s">
        <v>176</v>
      </c>
      <c r="L741" s="300" t="s">
        <v>2167</v>
      </c>
      <c r="M741" s="299" t="s">
        <v>262</v>
      </c>
      <c r="N741" s="298" t="s">
        <v>350</v>
      </c>
      <c r="O741" s="298" t="s">
        <v>351</v>
      </c>
      <c r="P741" s="301">
        <v>24</v>
      </c>
      <c r="Q741" s="301">
        <v>5</v>
      </c>
      <c r="R741" s="302">
        <v>6.1999999999999998E-3</v>
      </c>
      <c r="S741" s="298" t="s">
        <v>352</v>
      </c>
      <c r="T741" s="298" t="s">
        <v>56</v>
      </c>
      <c r="U741" s="298" t="s">
        <v>57</v>
      </c>
      <c r="V741" s="303">
        <v>206</v>
      </c>
      <c r="W741" s="303">
        <v>206</v>
      </c>
      <c r="X741" s="304"/>
      <c r="Y741" s="305">
        <f t="shared" si="257"/>
        <v>0</v>
      </c>
      <c r="Z741" s="306">
        <f t="shared" si="258"/>
        <v>0</v>
      </c>
      <c r="AA741" s="306"/>
      <c r="AB741" s="814"/>
      <c r="AC741" s="303"/>
      <c r="AD741" s="580" t="s">
        <v>672</v>
      </c>
      <c r="AE741" s="210"/>
      <c r="AF741" s="210"/>
      <c r="AG741" s="211">
        <f t="shared" si="259"/>
        <v>0.13</v>
      </c>
      <c r="AH741" s="157">
        <f>(Z741*AG741)/1000</f>
        <v>0</v>
      </c>
      <c r="AI741" s="152">
        <f t="shared" si="260"/>
        <v>4944</v>
      </c>
      <c r="AK741" s="156" t="s">
        <v>691</v>
      </c>
      <c r="AL741" s="574" t="s">
        <v>690</v>
      </c>
      <c r="AM741" s="198">
        <f t="shared" ref="AM741:AM753" si="261">AG741*Z741</f>
        <v>0</v>
      </c>
      <c r="AN741" s="199">
        <f t="shared" si="249"/>
        <v>45426</v>
      </c>
      <c r="AO741" s="159" t="s">
        <v>692</v>
      </c>
      <c r="AP741" s="783" t="s">
        <v>629</v>
      </c>
      <c r="AQ741" s="782">
        <v>12071839</v>
      </c>
      <c r="AR741" s="782">
        <v>12078867</v>
      </c>
      <c r="AS741" s="782">
        <v>12068233</v>
      </c>
      <c r="AT741" s="781"/>
      <c r="AU741" s="781"/>
      <c r="AV741" s="782">
        <v>12062075</v>
      </c>
      <c r="AW741" s="781"/>
      <c r="AX741" s="781"/>
      <c r="AY741" s="782">
        <v>12078867</v>
      </c>
      <c r="AZ741" s="781"/>
      <c r="BA741" s="781"/>
    </row>
    <row r="742" spans="1:53" ht="25" hidden="1" customHeight="1">
      <c r="B742" s="357">
        <v>45426</v>
      </c>
      <c r="C742" s="358">
        <v>45441</v>
      </c>
      <c r="D742" s="185">
        <f t="shared" si="247"/>
        <v>2024</v>
      </c>
      <c r="E742" s="358" t="str">
        <f>VLOOKUP($B742,Week!$A$1:$C$1462,2,0)</f>
        <v>Week20</v>
      </c>
      <c r="F742" s="360" t="str">
        <f t="shared" si="248"/>
        <v>May</v>
      </c>
      <c r="G742" s="436" t="s">
        <v>1111</v>
      </c>
      <c r="H742" s="359" t="s">
        <v>225</v>
      </c>
      <c r="I742" s="359" t="s">
        <v>2773</v>
      </c>
      <c r="J742" s="361" t="s">
        <v>650</v>
      </c>
      <c r="K742" s="362" t="s">
        <v>593</v>
      </c>
      <c r="L742" s="300" t="s">
        <v>2167</v>
      </c>
      <c r="M742" s="361" t="s">
        <v>717</v>
      </c>
      <c r="N742" s="359" t="s">
        <v>719</v>
      </c>
      <c r="O742" s="359" t="s">
        <v>230</v>
      </c>
      <c r="P742" s="363">
        <v>12</v>
      </c>
      <c r="Q742" s="363">
        <v>5</v>
      </c>
      <c r="R742" s="364">
        <v>6.0000000000000001E-3</v>
      </c>
      <c r="S742" s="359" t="s">
        <v>55</v>
      </c>
      <c r="T742" s="359" t="s">
        <v>112</v>
      </c>
      <c r="U742" s="359" t="s">
        <v>57</v>
      </c>
      <c r="V742" s="365">
        <v>2600</v>
      </c>
      <c r="W742" s="365">
        <f>24</f>
        <v>24</v>
      </c>
      <c r="X742" s="366">
        <f>(30536+376)/12</f>
        <v>2576</v>
      </c>
      <c r="Y742" s="367">
        <f t="shared" si="257"/>
        <v>0</v>
      </c>
      <c r="Z742" s="368">
        <f t="shared" si="258"/>
        <v>0</v>
      </c>
      <c r="AA742" s="368"/>
      <c r="AB742" s="819"/>
      <c r="AC742" s="365"/>
      <c r="AD742" s="307" t="s">
        <v>672</v>
      </c>
      <c r="AE742" s="210"/>
      <c r="AF742" s="210"/>
      <c r="AG742" s="211">
        <f t="shared" si="259"/>
        <v>0.25800000000000001</v>
      </c>
      <c r="AH742" s="157">
        <f>(Z742*AG742)/1000</f>
        <v>0</v>
      </c>
      <c r="AI742" s="152">
        <f t="shared" si="260"/>
        <v>31200</v>
      </c>
      <c r="AK742" s="156" t="s">
        <v>691</v>
      </c>
      <c r="AL742" s="574" t="s">
        <v>690</v>
      </c>
      <c r="AM742" s="198">
        <f t="shared" si="261"/>
        <v>0</v>
      </c>
      <c r="AN742" s="199">
        <f t="shared" si="249"/>
        <v>45426</v>
      </c>
      <c r="AO742" s="159" t="s">
        <v>692</v>
      </c>
      <c r="AP742" s="783" t="s">
        <v>612</v>
      </c>
      <c r="AQ742" s="782">
        <v>12071839</v>
      </c>
      <c r="AR742" s="782">
        <v>12042650</v>
      </c>
      <c r="AS742" s="782">
        <v>12042649</v>
      </c>
      <c r="AT742" s="782">
        <v>12088423</v>
      </c>
      <c r="AU742" s="781"/>
      <c r="AV742" s="782">
        <v>12088422</v>
      </c>
      <c r="AW742" s="782"/>
      <c r="AX742" s="782"/>
      <c r="AY742" s="782"/>
      <c r="AZ742" s="782"/>
      <c r="BA742" s="781"/>
    </row>
    <row r="743" spans="1:53" ht="25" hidden="1" customHeight="1">
      <c r="B743" s="246">
        <v>45426</v>
      </c>
      <c r="C743" s="247">
        <v>45456</v>
      </c>
      <c r="D743" s="185">
        <f t="shared" si="247"/>
        <v>2024</v>
      </c>
      <c r="E743" s="247" t="str">
        <f>VLOOKUP($B743,Week!$A$1:$C$1462,2,0)</f>
        <v>Week20</v>
      </c>
      <c r="F743" s="248" t="str">
        <f t="shared" si="248"/>
        <v>May</v>
      </c>
      <c r="G743" s="599" t="s">
        <v>1297</v>
      </c>
      <c r="H743" s="249" t="s">
        <v>104</v>
      </c>
      <c r="I743" s="249" t="s">
        <v>2772</v>
      </c>
      <c r="J743" s="250" t="s">
        <v>105</v>
      </c>
      <c r="K743" s="251" t="s">
        <v>593</v>
      </c>
      <c r="L743" s="300" t="s">
        <v>2167</v>
      </c>
      <c r="M743" s="250" t="s">
        <v>594</v>
      </c>
      <c r="N743" s="249" t="s">
        <v>596</v>
      </c>
      <c r="O743" s="249" t="s">
        <v>304</v>
      </c>
      <c r="P743" s="252">
        <v>8</v>
      </c>
      <c r="Q743" s="252">
        <v>5</v>
      </c>
      <c r="R743" s="253">
        <v>6.0000000000000001E-3</v>
      </c>
      <c r="S743" s="249" t="s">
        <v>55</v>
      </c>
      <c r="T743" s="249" t="s">
        <v>112</v>
      </c>
      <c r="U743" s="249" t="s">
        <v>57</v>
      </c>
      <c r="V743" s="254">
        <v>1200</v>
      </c>
      <c r="W743" s="254"/>
      <c r="X743" s="255">
        <f>(467+9133)/8</f>
        <v>1200</v>
      </c>
      <c r="Y743" s="256">
        <f t="shared" si="257"/>
        <v>0</v>
      </c>
      <c r="Z743" s="257">
        <f t="shared" si="258"/>
        <v>0</v>
      </c>
      <c r="AA743" s="257"/>
      <c r="AB743" s="810"/>
      <c r="AC743" s="254"/>
      <c r="AD743" s="209"/>
      <c r="AE743" s="210"/>
      <c r="AF743" s="210"/>
      <c r="AG743" s="211">
        <f t="shared" si="259"/>
        <v>0.25800000000000001</v>
      </c>
      <c r="AH743" s="157">
        <v>0.26621999999999996</v>
      </c>
      <c r="AI743" s="152">
        <f t="shared" si="260"/>
        <v>9600</v>
      </c>
      <c r="AK743" s="156" t="s">
        <v>691</v>
      </c>
      <c r="AL743" s="574" t="s">
        <v>690</v>
      </c>
      <c r="AM743" s="198">
        <f t="shared" si="261"/>
        <v>0</v>
      </c>
      <c r="AN743" s="199">
        <f t="shared" si="249"/>
        <v>45426</v>
      </c>
      <c r="AO743" s="159" t="s">
        <v>692</v>
      </c>
      <c r="AP743" s="781"/>
      <c r="AQ743" s="782">
        <v>12071839</v>
      </c>
      <c r="AR743" s="782">
        <v>12042650</v>
      </c>
      <c r="AS743" s="782">
        <v>12042649</v>
      </c>
      <c r="AT743" s="782">
        <v>12084100</v>
      </c>
      <c r="AU743" s="781"/>
      <c r="AV743" s="782">
        <v>12084001</v>
      </c>
      <c r="AW743" s="781"/>
      <c r="AX743" s="781"/>
      <c r="AY743" s="781"/>
      <c r="AZ743" s="782"/>
      <c r="BA743" s="781"/>
    </row>
    <row r="744" spans="1:53" ht="25" hidden="1" customHeight="1">
      <c r="A744" s="598"/>
      <c r="B744" s="246">
        <v>45426</v>
      </c>
      <c r="C744" s="247">
        <v>45460</v>
      </c>
      <c r="D744" s="185">
        <f t="shared" si="247"/>
        <v>2024</v>
      </c>
      <c r="E744" s="247" t="str">
        <f>VLOOKUP($B744,Week!$A$1:$C$1462,2,0)</f>
        <v>Week20</v>
      </c>
      <c r="F744" s="248" t="str">
        <f t="shared" si="248"/>
        <v>May</v>
      </c>
      <c r="G744" s="599" t="s">
        <v>1250</v>
      </c>
      <c r="H744" s="249" t="s">
        <v>104</v>
      </c>
      <c r="I744" s="249" t="s">
        <v>2772</v>
      </c>
      <c r="J744" s="250" t="s">
        <v>105</v>
      </c>
      <c r="K744" s="251" t="s">
        <v>593</v>
      </c>
      <c r="L744" s="300" t="s">
        <v>2167</v>
      </c>
      <c r="M744" s="250" t="s">
        <v>594</v>
      </c>
      <c r="N744" s="249" t="s">
        <v>596</v>
      </c>
      <c r="O744" s="249" t="s">
        <v>304</v>
      </c>
      <c r="P744" s="252">
        <v>8</v>
      </c>
      <c r="Q744" s="252">
        <v>5</v>
      </c>
      <c r="R744" s="253">
        <v>6.0000000000000001E-3</v>
      </c>
      <c r="S744" s="249" t="s">
        <v>55</v>
      </c>
      <c r="T744" s="249" t="s">
        <v>112</v>
      </c>
      <c r="U744" s="249" t="s">
        <v>57</v>
      </c>
      <c r="V744" s="254">
        <f>(13230-9133+2557)/8</f>
        <v>831.75</v>
      </c>
      <c r="W744" s="254"/>
      <c r="X744" s="255">
        <f>(13230-9133+2557)/8</f>
        <v>831.75</v>
      </c>
      <c r="Y744" s="256">
        <f t="shared" si="257"/>
        <v>0</v>
      </c>
      <c r="Z744" s="257">
        <f t="shared" si="258"/>
        <v>0</v>
      </c>
      <c r="AA744" s="257"/>
      <c r="AB744" s="810"/>
      <c r="AC744" s="254"/>
      <c r="AD744" s="209"/>
      <c r="AE744" s="210"/>
      <c r="AF744" s="210"/>
      <c r="AG744" s="211">
        <f t="shared" si="259"/>
        <v>0.25800000000000001</v>
      </c>
      <c r="AH744" s="157">
        <v>0.26621999999999996</v>
      </c>
      <c r="AI744" s="152">
        <f t="shared" si="260"/>
        <v>6654</v>
      </c>
      <c r="AK744" s="156" t="s">
        <v>691</v>
      </c>
      <c r="AL744" s="574" t="s">
        <v>690</v>
      </c>
      <c r="AM744" s="198">
        <f t="shared" si="261"/>
        <v>0</v>
      </c>
      <c r="AN744" s="199">
        <f t="shared" si="249"/>
        <v>45426</v>
      </c>
      <c r="AO744" s="159" t="s">
        <v>692</v>
      </c>
      <c r="AP744" s="781"/>
      <c r="AQ744" s="782">
        <v>12071839</v>
      </c>
      <c r="AR744" s="782">
        <v>12042650</v>
      </c>
      <c r="AS744" s="782">
        <v>12042649</v>
      </c>
      <c r="AT744" s="782">
        <v>12084100</v>
      </c>
      <c r="AU744" s="781"/>
      <c r="AV744" s="782">
        <v>12084001</v>
      </c>
      <c r="AW744" s="781"/>
      <c r="AX744" s="781"/>
      <c r="AY744" s="781"/>
      <c r="AZ744" s="782"/>
      <c r="BA744" s="781"/>
    </row>
    <row r="745" spans="1:53" ht="25" hidden="1" customHeight="1">
      <c r="B745" s="200">
        <v>45426</v>
      </c>
      <c r="C745" s="201">
        <v>45441</v>
      </c>
      <c r="D745" s="185">
        <f t="shared" si="247"/>
        <v>2024</v>
      </c>
      <c r="E745" s="201" t="str">
        <f>VLOOKUP($B745,Week!$A$1:$C$1462,2,0)</f>
        <v>Week20</v>
      </c>
      <c r="F745" s="202" t="str">
        <f t="shared" si="248"/>
        <v>May</v>
      </c>
      <c r="G745" s="512" t="s">
        <v>1321</v>
      </c>
      <c r="H745" s="512" t="s">
        <v>424</v>
      </c>
      <c r="I745" s="512" t="s">
        <v>2772</v>
      </c>
      <c r="J745" s="513" t="s">
        <v>535</v>
      </c>
      <c r="K745" s="514" t="s">
        <v>227</v>
      </c>
      <c r="L745" s="300" t="s">
        <v>2167</v>
      </c>
      <c r="M745" s="513" t="s">
        <v>539</v>
      </c>
      <c r="N745" s="512" t="s">
        <v>540</v>
      </c>
      <c r="O745" s="512" t="s">
        <v>304</v>
      </c>
      <c r="P745" s="203">
        <v>8</v>
      </c>
      <c r="Q745" s="203">
        <v>5</v>
      </c>
      <c r="R745" s="204">
        <v>7.4999999999999997E-3</v>
      </c>
      <c r="S745" s="512" t="s">
        <v>111</v>
      </c>
      <c r="T745" s="512" t="s">
        <v>112</v>
      </c>
      <c r="U745" s="512" t="s">
        <v>57</v>
      </c>
      <c r="V745" s="205">
        <f>1900</f>
        <v>1900</v>
      </c>
      <c r="W745" s="205"/>
      <c r="X745" s="206">
        <f>(16397)/8</f>
        <v>2049.625</v>
      </c>
      <c r="Y745" s="207">
        <f t="shared" si="257"/>
        <v>149.625</v>
      </c>
      <c r="Z745" s="208">
        <f t="shared" si="258"/>
        <v>0</v>
      </c>
      <c r="AA745" s="208"/>
      <c r="AB745" s="806"/>
      <c r="AC745" s="205"/>
      <c r="AD745" s="209"/>
      <c r="AE745" s="210"/>
      <c r="AF745" s="210"/>
      <c r="AG745" s="211">
        <f t="shared" si="259"/>
        <v>0.25800000000000001</v>
      </c>
      <c r="AH745" s="157">
        <f t="shared" ref="AH745:AH758" si="262">(Z745*AG745)/1000</f>
        <v>0</v>
      </c>
      <c r="AI745" s="152">
        <f t="shared" si="260"/>
        <v>15200</v>
      </c>
      <c r="AK745" s="156" t="s">
        <v>691</v>
      </c>
      <c r="AL745" s="212" t="s">
        <v>690</v>
      </c>
      <c r="AM745" s="198">
        <f t="shared" si="261"/>
        <v>0</v>
      </c>
      <c r="AN745" s="199">
        <f t="shared" si="249"/>
        <v>45426</v>
      </c>
      <c r="AO745" s="159" t="s">
        <v>692</v>
      </c>
      <c r="AP745" s="781"/>
      <c r="AQ745" s="782">
        <v>12071839</v>
      </c>
      <c r="AR745" s="782">
        <v>12042650</v>
      </c>
      <c r="AS745" s="782">
        <v>12042649</v>
      </c>
      <c r="AT745" s="782">
        <v>12063676</v>
      </c>
      <c r="AU745" s="782"/>
      <c r="AV745" s="782">
        <v>12063748</v>
      </c>
      <c r="AW745" s="781"/>
      <c r="AX745" s="781"/>
      <c r="AY745" s="781" t="s">
        <v>541</v>
      </c>
      <c r="AZ745" s="781"/>
      <c r="BA745" s="781"/>
    </row>
    <row r="746" spans="1:53" ht="25" hidden="1" customHeight="1">
      <c r="B746" s="546">
        <v>45426</v>
      </c>
      <c r="C746" s="547">
        <v>45441</v>
      </c>
      <c r="D746" s="185">
        <f t="shared" si="247"/>
        <v>2024</v>
      </c>
      <c r="E746" s="547" t="str">
        <f>VLOOKUP($B746,Week!$A$1:$C$1462,2,0)</f>
        <v>Week20</v>
      </c>
      <c r="F746" s="548" t="str">
        <f t="shared" si="248"/>
        <v>May</v>
      </c>
      <c r="G746" s="575" t="s">
        <v>1321</v>
      </c>
      <c r="H746" s="575" t="s">
        <v>424</v>
      </c>
      <c r="I746" s="575" t="s">
        <v>2772</v>
      </c>
      <c r="J746" s="576" t="s">
        <v>535</v>
      </c>
      <c r="K746" s="577" t="s">
        <v>176</v>
      </c>
      <c r="L746" s="300" t="s">
        <v>2167</v>
      </c>
      <c r="M746" s="576" t="s">
        <v>536</v>
      </c>
      <c r="N746" s="575" t="s">
        <v>537</v>
      </c>
      <c r="O746" s="575" t="s">
        <v>187</v>
      </c>
      <c r="P746" s="552">
        <v>8</v>
      </c>
      <c r="Q746" s="552">
        <v>5</v>
      </c>
      <c r="R746" s="553">
        <v>7.4999999999999997E-3</v>
      </c>
      <c r="S746" s="575" t="s">
        <v>111</v>
      </c>
      <c r="T746" s="575" t="s">
        <v>112</v>
      </c>
      <c r="U746" s="575" t="s">
        <v>57</v>
      </c>
      <c r="V746" s="554">
        <f>1400</f>
        <v>1400</v>
      </c>
      <c r="W746" s="554"/>
      <c r="X746" s="555">
        <f>(12743)/8</f>
        <v>1592.875</v>
      </c>
      <c r="Y746" s="556">
        <f t="shared" si="257"/>
        <v>192.875</v>
      </c>
      <c r="Z746" s="557">
        <f t="shared" si="258"/>
        <v>0</v>
      </c>
      <c r="AA746" s="557"/>
      <c r="AB746" s="833"/>
      <c r="AC746" s="554"/>
      <c r="AD746" s="209"/>
      <c r="AE746" s="210"/>
      <c r="AF746" s="210"/>
      <c r="AG746" s="211">
        <v>0.14499999999999999</v>
      </c>
      <c r="AH746" s="157">
        <f t="shared" si="262"/>
        <v>0</v>
      </c>
      <c r="AI746" s="152">
        <v>19800</v>
      </c>
      <c r="AK746" s="156" t="s">
        <v>691</v>
      </c>
      <c r="AL746" s="212" t="s">
        <v>690</v>
      </c>
      <c r="AM746" s="198">
        <f t="shared" si="261"/>
        <v>0</v>
      </c>
      <c r="AN746" s="199">
        <f t="shared" si="249"/>
        <v>45426</v>
      </c>
      <c r="AO746" s="159" t="s">
        <v>692</v>
      </c>
      <c r="AP746" s="781"/>
      <c r="AQ746" s="782">
        <v>12071839</v>
      </c>
      <c r="AR746" s="782">
        <v>12047514</v>
      </c>
      <c r="AS746" s="782">
        <v>12047515</v>
      </c>
      <c r="AT746" s="782">
        <v>12063674</v>
      </c>
      <c r="AU746" s="782">
        <v>12035353</v>
      </c>
      <c r="AV746" s="782" t="s">
        <v>538</v>
      </c>
      <c r="AW746" s="781"/>
      <c r="AX746" s="781"/>
      <c r="AY746" s="782">
        <v>12054938</v>
      </c>
      <c r="AZ746" s="781"/>
      <c r="BA746" s="781"/>
    </row>
    <row r="747" spans="1:53" ht="24.75" hidden="1" customHeight="1">
      <c r="B747" s="333">
        <v>45426</v>
      </c>
      <c r="C747" s="333">
        <v>45449</v>
      </c>
      <c r="D747" s="185">
        <f t="shared" si="247"/>
        <v>2024</v>
      </c>
      <c r="E747" s="335" t="str">
        <f>VLOOKUP($B747,Week!$A$1:$C$1462,2,0)</f>
        <v>Week20</v>
      </c>
      <c r="F747" s="334" t="str">
        <f t="shared" si="248"/>
        <v>May</v>
      </c>
      <c r="G747" s="335" t="s">
        <v>1314</v>
      </c>
      <c r="H747" s="335" t="s">
        <v>363</v>
      </c>
      <c r="I747" s="335" t="s">
        <v>2772</v>
      </c>
      <c r="J747" s="336" t="s">
        <v>364</v>
      </c>
      <c r="K747" s="337" t="s">
        <v>176</v>
      </c>
      <c r="L747" s="300" t="s">
        <v>2167</v>
      </c>
      <c r="M747" s="382" t="s">
        <v>646</v>
      </c>
      <c r="N747" s="335" t="s">
        <v>647</v>
      </c>
      <c r="O747" s="335" t="s">
        <v>599</v>
      </c>
      <c r="P747" s="338">
        <v>36</v>
      </c>
      <c r="Q747" s="338">
        <v>5</v>
      </c>
      <c r="R747" s="339">
        <v>8.0000000000000002E-3</v>
      </c>
      <c r="S747" s="335" t="s">
        <v>40</v>
      </c>
      <c r="T747" s="335" t="s">
        <v>112</v>
      </c>
      <c r="U747" s="335" t="s">
        <v>57</v>
      </c>
      <c r="V747" s="341">
        <v>1288</v>
      </c>
      <c r="W747" s="341">
        <f>1147</f>
        <v>1147</v>
      </c>
      <c r="X747" s="342">
        <f>(5007+69)/36</f>
        <v>141</v>
      </c>
      <c r="Y747" s="343">
        <f t="shared" si="257"/>
        <v>0</v>
      </c>
      <c r="Z747" s="344">
        <f t="shared" si="258"/>
        <v>0</v>
      </c>
      <c r="AA747" s="344"/>
      <c r="AB747" s="821"/>
      <c r="AC747" s="341"/>
      <c r="AD747" s="209"/>
      <c r="AE747" s="210"/>
      <c r="AF747" s="210"/>
      <c r="AG747" s="211">
        <f t="shared" ref="AG747:AG774" si="263">MID(O747,1,3)/1000</f>
        <v>0.14799999999999999</v>
      </c>
      <c r="AH747" s="157">
        <f t="shared" si="262"/>
        <v>0</v>
      </c>
      <c r="AI747" s="152">
        <f t="shared" ref="AI747:AI774" si="264">V747*P747</f>
        <v>46368</v>
      </c>
      <c r="AK747" s="156" t="s">
        <v>691</v>
      </c>
      <c r="AL747" s="574" t="s">
        <v>690</v>
      </c>
      <c r="AM747" s="198">
        <f t="shared" si="261"/>
        <v>0</v>
      </c>
      <c r="AN747" s="199">
        <f t="shared" si="249"/>
        <v>45426</v>
      </c>
      <c r="AO747" s="159" t="s">
        <v>692</v>
      </c>
      <c r="AP747" s="781"/>
      <c r="AQ747" s="782">
        <v>12071839</v>
      </c>
      <c r="AR747" s="782">
        <v>12047514</v>
      </c>
      <c r="AS747" s="782">
        <v>12047515</v>
      </c>
      <c r="AT747" s="782">
        <v>12084374</v>
      </c>
      <c r="AU747" s="781"/>
      <c r="AV747" s="782">
        <v>12084372</v>
      </c>
      <c r="AW747" s="782">
        <v>12024404</v>
      </c>
      <c r="AX747" s="782"/>
      <c r="AY747" s="782">
        <v>12084373</v>
      </c>
      <c r="AZ747" s="782"/>
      <c r="BA747" s="781"/>
    </row>
    <row r="748" spans="1:53" ht="25" hidden="1" customHeight="1">
      <c r="B748" s="213">
        <v>45426</v>
      </c>
      <c r="C748" s="214">
        <v>45448</v>
      </c>
      <c r="D748" s="185">
        <f t="shared" si="247"/>
        <v>2024</v>
      </c>
      <c r="E748" s="215" t="str">
        <f>VLOOKUP($B748,Week!$A$1:$C$1462,2,0)</f>
        <v>Week20</v>
      </c>
      <c r="F748" s="216" t="str">
        <f t="shared" si="248"/>
        <v>May</v>
      </c>
      <c r="G748" s="215" t="s">
        <v>1153</v>
      </c>
      <c r="H748" s="215" t="s">
        <v>134</v>
      </c>
      <c r="I748" s="215" t="s">
        <v>2772</v>
      </c>
      <c r="J748" s="209" t="s">
        <v>164</v>
      </c>
      <c r="K748" s="217" t="s">
        <v>176</v>
      </c>
      <c r="L748" s="300" t="s">
        <v>2167</v>
      </c>
      <c r="M748" s="209" t="s">
        <v>193</v>
      </c>
      <c r="N748" s="215" t="s">
        <v>194</v>
      </c>
      <c r="O748" s="215" t="s">
        <v>195</v>
      </c>
      <c r="P748" s="218">
        <v>24</v>
      </c>
      <c r="Q748" s="218">
        <v>5</v>
      </c>
      <c r="R748" s="219">
        <v>8.0000000000000002E-3</v>
      </c>
      <c r="S748" s="215" t="s">
        <v>40</v>
      </c>
      <c r="T748" s="215" t="s">
        <v>56</v>
      </c>
      <c r="U748" s="215" t="s">
        <v>57</v>
      </c>
      <c r="V748" s="220">
        <f>500</f>
        <v>500</v>
      </c>
      <c r="W748" s="220">
        <f>500</f>
        <v>500</v>
      </c>
      <c r="X748" s="221"/>
      <c r="Y748" s="222">
        <f t="shared" si="257"/>
        <v>0</v>
      </c>
      <c r="Z748" s="223">
        <f t="shared" si="258"/>
        <v>0</v>
      </c>
      <c r="AA748" s="220"/>
      <c r="AB748" s="807"/>
      <c r="AC748" s="220"/>
      <c r="AD748" s="381"/>
      <c r="AE748" s="220"/>
      <c r="AF748" s="220"/>
      <c r="AG748" s="211">
        <f t="shared" si="263"/>
        <v>0.14499999999999999</v>
      </c>
      <c r="AH748" s="157">
        <f t="shared" si="262"/>
        <v>0</v>
      </c>
      <c r="AI748" s="152">
        <f t="shared" si="264"/>
        <v>12000</v>
      </c>
      <c r="AK748" s="156" t="s">
        <v>691</v>
      </c>
      <c r="AL748" s="212" t="s">
        <v>690</v>
      </c>
      <c r="AM748" s="198">
        <f t="shared" si="261"/>
        <v>0</v>
      </c>
      <c r="AN748" s="199">
        <f t="shared" si="249"/>
        <v>45426</v>
      </c>
      <c r="AO748" s="159" t="s">
        <v>692</v>
      </c>
      <c r="AP748" s="783" t="s">
        <v>610</v>
      </c>
      <c r="AQ748" s="782">
        <v>12071839</v>
      </c>
      <c r="AR748" s="782">
        <v>12047514</v>
      </c>
      <c r="AS748" s="782">
        <v>12047515</v>
      </c>
      <c r="AT748" s="782"/>
      <c r="AU748" s="782">
        <v>12026902</v>
      </c>
      <c r="AV748" s="782">
        <v>12054724</v>
      </c>
      <c r="AW748" s="782">
        <v>12026904</v>
      </c>
      <c r="AX748" s="782"/>
      <c r="AY748" s="782">
        <v>12054436</v>
      </c>
      <c r="AZ748" s="782">
        <v>12054433</v>
      </c>
      <c r="BA748" s="782">
        <v>12054434</v>
      </c>
    </row>
    <row r="749" spans="1:53" ht="25" hidden="1" customHeight="1">
      <c r="B749" s="213">
        <v>45426</v>
      </c>
      <c r="C749" s="214">
        <v>45448</v>
      </c>
      <c r="D749" s="185">
        <f t="shared" si="247"/>
        <v>2024</v>
      </c>
      <c r="E749" s="215" t="str">
        <f>VLOOKUP($B749,Week!$A$1:$C$1462,2,0)</f>
        <v>Week20</v>
      </c>
      <c r="F749" s="216" t="str">
        <f t="shared" si="248"/>
        <v>May</v>
      </c>
      <c r="G749" s="215" t="s">
        <v>1355</v>
      </c>
      <c r="H749" s="215" t="s">
        <v>134</v>
      </c>
      <c r="I749" s="215" t="s">
        <v>2772</v>
      </c>
      <c r="J749" s="209" t="s">
        <v>164</v>
      </c>
      <c r="K749" s="217" t="s">
        <v>176</v>
      </c>
      <c r="L749" s="300" t="s">
        <v>2167</v>
      </c>
      <c r="M749" s="209" t="s">
        <v>193</v>
      </c>
      <c r="N749" s="215" t="s">
        <v>194</v>
      </c>
      <c r="O749" s="215" t="s">
        <v>195</v>
      </c>
      <c r="P749" s="218">
        <v>24</v>
      </c>
      <c r="Q749" s="218">
        <v>5</v>
      </c>
      <c r="R749" s="219">
        <v>8.0000000000000002E-3</v>
      </c>
      <c r="S749" s="215" t="s">
        <v>40</v>
      </c>
      <c r="T749" s="215" t="s">
        <v>56</v>
      </c>
      <c r="U749" s="215" t="s">
        <v>57</v>
      </c>
      <c r="V749" s="220">
        <f>200</f>
        <v>200</v>
      </c>
      <c r="W749" s="220">
        <f>199+1</f>
        <v>200</v>
      </c>
      <c r="X749" s="221"/>
      <c r="Y749" s="222">
        <f t="shared" si="257"/>
        <v>0</v>
      </c>
      <c r="Z749" s="223">
        <f t="shared" si="258"/>
        <v>0</v>
      </c>
      <c r="AA749" s="220"/>
      <c r="AB749" s="807"/>
      <c r="AC749" s="220"/>
      <c r="AD749" s="381"/>
      <c r="AE749" s="220"/>
      <c r="AF749" s="220"/>
      <c r="AG749" s="211">
        <f t="shared" si="263"/>
        <v>0.14499999999999999</v>
      </c>
      <c r="AH749" s="157">
        <f t="shared" si="262"/>
        <v>0</v>
      </c>
      <c r="AI749" s="152">
        <f t="shared" si="264"/>
        <v>4800</v>
      </c>
      <c r="AK749" s="156" t="s">
        <v>691</v>
      </c>
      <c r="AL749" s="212" t="s">
        <v>690</v>
      </c>
      <c r="AM749" s="198">
        <f t="shared" si="261"/>
        <v>0</v>
      </c>
      <c r="AN749" s="199">
        <f t="shared" si="249"/>
        <v>45426</v>
      </c>
      <c r="AO749" s="159" t="s">
        <v>692</v>
      </c>
      <c r="AP749" s="783" t="s">
        <v>610</v>
      </c>
      <c r="AQ749" s="782">
        <v>12071839</v>
      </c>
      <c r="AR749" s="782">
        <v>12047514</v>
      </c>
      <c r="AS749" s="782">
        <v>12047515</v>
      </c>
      <c r="AT749" s="782"/>
      <c r="AU749" s="782">
        <v>12026902</v>
      </c>
      <c r="AV749" s="782">
        <v>12054724</v>
      </c>
      <c r="AW749" s="782">
        <v>12026904</v>
      </c>
      <c r="AX749" s="782"/>
      <c r="AY749" s="782">
        <v>12054436</v>
      </c>
      <c r="AZ749" s="782">
        <v>12054433</v>
      </c>
      <c r="BA749" s="782">
        <v>12054434</v>
      </c>
    </row>
    <row r="750" spans="1:53" ht="25" hidden="1" customHeight="1">
      <c r="B750" s="213">
        <v>45426</v>
      </c>
      <c r="C750" s="214">
        <v>45448</v>
      </c>
      <c r="D750" s="185">
        <f t="shared" si="247"/>
        <v>2024</v>
      </c>
      <c r="E750" s="215" t="str">
        <f>VLOOKUP($B750,Week!$A$1:$C$1462,2,0)</f>
        <v>Week20</v>
      </c>
      <c r="F750" s="216" t="str">
        <f t="shared" si="248"/>
        <v>May</v>
      </c>
      <c r="G750" s="215" t="s">
        <v>1154</v>
      </c>
      <c r="H750" s="215" t="s">
        <v>134</v>
      </c>
      <c r="I750" s="215" t="s">
        <v>2772</v>
      </c>
      <c r="J750" s="209" t="s">
        <v>164</v>
      </c>
      <c r="K750" s="217" t="s">
        <v>1648</v>
      </c>
      <c r="L750" s="300" t="s">
        <v>2167</v>
      </c>
      <c r="M750" s="209" t="s">
        <v>193</v>
      </c>
      <c r="N750" s="215" t="s">
        <v>205</v>
      </c>
      <c r="O750" s="215" t="s">
        <v>206</v>
      </c>
      <c r="P750" s="218">
        <v>24</v>
      </c>
      <c r="Q750" s="218">
        <v>5</v>
      </c>
      <c r="R750" s="219">
        <v>8.0000000000000002E-3</v>
      </c>
      <c r="S750" s="215" t="s">
        <v>40</v>
      </c>
      <c r="T750" s="215" t="s">
        <v>56</v>
      </c>
      <c r="U750" s="480" t="s">
        <v>499</v>
      </c>
      <c r="V750" s="220">
        <f>250</f>
        <v>250</v>
      </c>
      <c r="W750" s="220">
        <f>9+241</f>
        <v>250</v>
      </c>
      <c r="X750" s="221"/>
      <c r="Y750" s="222">
        <f t="shared" si="257"/>
        <v>0</v>
      </c>
      <c r="Z750" s="223">
        <f t="shared" si="258"/>
        <v>0</v>
      </c>
      <c r="AA750" s="220"/>
      <c r="AB750" s="807">
        <v>1</v>
      </c>
      <c r="AC750" s="220">
        <f>Z750*AB750</f>
        <v>0</v>
      </c>
      <c r="AD750" s="381"/>
      <c r="AE750" s="220"/>
      <c r="AF750" s="220"/>
      <c r="AG750" s="211">
        <f t="shared" si="263"/>
        <v>0.115</v>
      </c>
      <c r="AH750" s="157">
        <f t="shared" si="262"/>
        <v>0</v>
      </c>
      <c r="AI750" s="152">
        <f t="shared" si="264"/>
        <v>6000</v>
      </c>
      <c r="AK750" s="156" t="s">
        <v>691</v>
      </c>
      <c r="AL750" s="212" t="s">
        <v>690</v>
      </c>
      <c r="AM750" s="198">
        <f t="shared" si="261"/>
        <v>0</v>
      </c>
      <c r="AN750" s="199">
        <f t="shared" si="249"/>
        <v>45426</v>
      </c>
      <c r="AO750" s="159" t="s">
        <v>692</v>
      </c>
      <c r="AP750" s="783" t="s">
        <v>610</v>
      </c>
      <c r="AQ750" s="782">
        <v>12071839</v>
      </c>
      <c r="AR750" s="782">
        <v>12047514</v>
      </c>
      <c r="AS750" s="782">
        <v>12047515</v>
      </c>
      <c r="AT750" s="782"/>
      <c r="AU750" s="782">
        <v>12026902</v>
      </c>
      <c r="AV750" s="782">
        <v>12054722</v>
      </c>
      <c r="AW750" s="782">
        <v>12026904</v>
      </c>
      <c r="AX750" s="782"/>
      <c r="AY750" s="782">
        <v>12061939</v>
      </c>
      <c r="AZ750" s="782">
        <v>12061940</v>
      </c>
      <c r="BA750" s="782">
        <v>12061938</v>
      </c>
    </row>
    <row r="751" spans="1:53" ht="25" hidden="1" customHeight="1">
      <c r="B751" s="213">
        <v>45426</v>
      </c>
      <c r="C751" s="214">
        <v>45448</v>
      </c>
      <c r="D751" s="185">
        <f t="shared" si="247"/>
        <v>2024</v>
      </c>
      <c r="E751" s="215" t="str">
        <f>VLOOKUP($B751,Week!$A$1:$C$1462,2,0)</f>
        <v>Week20</v>
      </c>
      <c r="F751" s="216" t="str">
        <f t="shared" si="248"/>
        <v>May</v>
      </c>
      <c r="G751" s="215" t="s">
        <v>1354</v>
      </c>
      <c r="H751" s="215" t="s">
        <v>134</v>
      </c>
      <c r="I751" s="215" t="s">
        <v>2772</v>
      </c>
      <c r="J751" s="209" t="s">
        <v>164</v>
      </c>
      <c r="K751" s="217" t="s">
        <v>1648</v>
      </c>
      <c r="L751" s="300" t="s">
        <v>2167</v>
      </c>
      <c r="M751" s="209" t="s">
        <v>193</v>
      </c>
      <c r="N751" s="215" t="s">
        <v>205</v>
      </c>
      <c r="O751" s="215" t="s">
        <v>206</v>
      </c>
      <c r="P751" s="218">
        <v>24</v>
      </c>
      <c r="Q751" s="218">
        <v>5</v>
      </c>
      <c r="R751" s="219">
        <v>8.0000000000000002E-3</v>
      </c>
      <c r="S751" s="215" t="s">
        <v>40</v>
      </c>
      <c r="T751" s="215" t="s">
        <v>56</v>
      </c>
      <c r="U751" s="480" t="s">
        <v>499</v>
      </c>
      <c r="V751" s="220">
        <v>200</v>
      </c>
      <c r="W751" s="220">
        <f>441-241</f>
        <v>200</v>
      </c>
      <c r="X751" s="221"/>
      <c r="Y751" s="222">
        <f t="shared" si="257"/>
        <v>0</v>
      </c>
      <c r="Z751" s="223">
        <f t="shared" si="258"/>
        <v>0</v>
      </c>
      <c r="AA751" s="220"/>
      <c r="AB751" s="807">
        <v>1</v>
      </c>
      <c r="AC751" s="220">
        <f>Z751*AB751</f>
        <v>0</v>
      </c>
      <c r="AD751" s="381"/>
      <c r="AE751" s="220"/>
      <c r="AF751" s="220"/>
      <c r="AG751" s="211">
        <f t="shared" si="263"/>
        <v>0.115</v>
      </c>
      <c r="AH751" s="157">
        <f t="shared" si="262"/>
        <v>0</v>
      </c>
      <c r="AI751" s="152">
        <f t="shared" si="264"/>
        <v>4800</v>
      </c>
      <c r="AK751" s="156" t="s">
        <v>691</v>
      </c>
      <c r="AL751" s="212" t="s">
        <v>690</v>
      </c>
      <c r="AM751" s="198">
        <f t="shared" si="261"/>
        <v>0</v>
      </c>
      <c r="AN751" s="199">
        <f t="shared" si="249"/>
        <v>45426</v>
      </c>
      <c r="AO751" s="159" t="s">
        <v>692</v>
      </c>
      <c r="AP751" s="783" t="s">
        <v>610</v>
      </c>
      <c r="AQ751" s="782">
        <v>12071839</v>
      </c>
      <c r="AR751" s="782">
        <v>12047514</v>
      </c>
      <c r="AS751" s="782">
        <v>12047515</v>
      </c>
      <c r="AT751" s="782"/>
      <c r="AU751" s="782">
        <v>12026902</v>
      </c>
      <c r="AV751" s="782">
        <v>12054722</v>
      </c>
      <c r="AW751" s="782">
        <v>12026904</v>
      </c>
      <c r="AX751" s="782"/>
      <c r="AY751" s="782">
        <v>12061939</v>
      </c>
      <c r="AZ751" s="782">
        <v>12061940</v>
      </c>
      <c r="BA751" s="782">
        <v>12061938</v>
      </c>
    </row>
    <row r="752" spans="1:53" ht="25" hidden="1" customHeight="1">
      <c r="B752" s="213">
        <v>45427</v>
      </c>
      <c r="C752" s="578">
        <v>45436</v>
      </c>
      <c r="D752" s="185">
        <f t="shared" si="247"/>
        <v>2024</v>
      </c>
      <c r="E752" s="215" t="str">
        <f>VLOOKUP($B752,Week!$A$1:$C$1462,2,0)</f>
        <v>Week20</v>
      </c>
      <c r="F752" s="216" t="str">
        <f t="shared" si="248"/>
        <v>May</v>
      </c>
      <c r="G752" s="215" t="s">
        <v>1191</v>
      </c>
      <c r="H752" s="215" t="s">
        <v>104</v>
      </c>
      <c r="I752" s="215" t="s">
        <v>2772</v>
      </c>
      <c r="J752" s="209" t="s">
        <v>105</v>
      </c>
      <c r="K752" s="217" t="s">
        <v>107</v>
      </c>
      <c r="L752" s="300" t="s">
        <v>2167</v>
      </c>
      <c r="M752" s="209" t="s">
        <v>108</v>
      </c>
      <c r="N752" s="215" t="s">
        <v>109</v>
      </c>
      <c r="O752" s="215" t="s">
        <v>110</v>
      </c>
      <c r="P752" s="218">
        <v>36</v>
      </c>
      <c r="Q752" s="218">
        <v>5</v>
      </c>
      <c r="R752" s="219">
        <v>7.4999999999999997E-3</v>
      </c>
      <c r="S752" s="215" t="s">
        <v>111</v>
      </c>
      <c r="T752" s="215" t="s">
        <v>112</v>
      </c>
      <c r="U752" s="215" t="s">
        <v>113</v>
      </c>
      <c r="V752" s="220">
        <f>792-345</f>
        <v>447</v>
      </c>
      <c r="W752" s="220">
        <v>447</v>
      </c>
      <c r="X752" s="221"/>
      <c r="Y752" s="222">
        <f t="shared" si="257"/>
        <v>0</v>
      </c>
      <c r="Z752" s="223">
        <f t="shared" si="258"/>
        <v>0</v>
      </c>
      <c r="AA752" s="223"/>
      <c r="AB752" s="807"/>
      <c r="AC752" s="220"/>
      <c r="AD752" s="209"/>
      <c r="AE752" s="210"/>
      <c r="AF752" s="210"/>
      <c r="AG752" s="211">
        <f t="shared" si="263"/>
        <v>0.308</v>
      </c>
      <c r="AH752" s="157">
        <f t="shared" si="262"/>
        <v>0</v>
      </c>
      <c r="AI752" s="152">
        <f t="shared" si="264"/>
        <v>16092</v>
      </c>
      <c r="AK752" s="156" t="s">
        <v>691</v>
      </c>
      <c r="AL752" s="574" t="s">
        <v>690</v>
      </c>
      <c r="AM752" s="198">
        <f t="shared" si="261"/>
        <v>0</v>
      </c>
      <c r="AN752" s="199">
        <f t="shared" si="249"/>
        <v>45427</v>
      </c>
      <c r="AO752" s="159" t="s">
        <v>692</v>
      </c>
      <c r="AP752" s="781"/>
      <c r="AQ752" s="782">
        <v>12063755</v>
      </c>
      <c r="AR752" s="782">
        <v>12061353</v>
      </c>
      <c r="AS752" s="782">
        <v>12061354</v>
      </c>
      <c r="AT752" s="782">
        <v>12068566</v>
      </c>
      <c r="AU752" s="781"/>
      <c r="AV752" s="782">
        <v>12088206</v>
      </c>
      <c r="AW752" s="782">
        <v>12088207</v>
      </c>
      <c r="AX752" s="782"/>
      <c r="AY752" s="782">
        <v>12068565</v>
      </c>
      <c r="AZ752" s="782"/>
      <c r="BA752" s="781"/>
    </row>
    <row r="753" spans="1:53" ht="25" hidden="1" customHeight="1">
      <c r="B753" s="213">
        <v>45427</v>
      </c>
      <c r="C753" s="578">
        <v>45436</v>
      </c>
      <c r="D753" s="185">
        <f t="shared" si="247"/>
        <v>2024</v>
      </c>
      <c r="E753" s="215" t="str">
        <f>VLOOKUP($B753,Week!$A$1:$C$1462,2,0)</f>
        <v>Week20</v>
      </c>
      <c r="F753" s="216" t="str">
        <f t="shared" si="248"/>
        <v>May</v>
      </c>
      <c r="G753" s="215" t="s">
        <v>1192</v>
      </c>
      <c r="H753" s="215" t="s">
        <v>104</v>
      </c>
      <c r="I753" s="215" t="s">
        <v>2772</v>
      </c>
      <c r="J753" s="209" t="s">
        <v>105</v>
      </c>
      <c r="K753" s="217" t="s">
        <v>107</v>
      </c>
      <c r="L753" s="300" t="s">
        <v>2167</v>
      </c>
      <c r="M753" s="209" t="s">
        <v>108</v>
      </c>
      <c r="N753" s="215" t="s">
        <v>109</v>
      </c>
      <c r="O753" s="215" t="s">
        <v>110</v>
      </c>
      <c r="P753" s="218">
        <v>36</v>
      </c>
      <c r="Q753" s="218">
        <v>5</v>
      </c>
      <c r="R753" s="219">
        <v>7.4999999999999997E-3</v>
      </c>
      <c r="S753" s="215" t="s">
        <v>111</v>
      </c>
      <c r="T753" s="215" t="s">
        <v>112</v>
      </c>
      <c r="U753" s="215" t="s">
        <v>113</v>
      </c>
      <c r="V753" s="220">
        <v>792</v>
      </c>
      <c r="W753" s="220">
        <v>792</v>
      </c>
      <c r="X753" s="221"/>
      <c r="Y753" s="222">
        <f t="shared" si="257"/>
        <v>0</v>
      </c>
      <c r="Z753" s="223">
        <f t="shared" si="258"/>
        <v>0</v>
      </c>
      <c r="AA753" s="223"/>
      <c r="AB753" s="807"/>
      <c r="AC753" s="220"/>
      <c r="AD753" s="209"/>
      <c r="AE753" s="210"/>
      <c r="AF753" s="210"/>
      <c r="AG753" s="211">
        <f t="shared" si="263"/>
        <v>0.308</v>
      </c>
      <c r="AH753" s="157">
        <f t="shared" si="262"/>
        <v>0</v>
      </c>
      <c r="AI753" s="152">
        <f t="shared" si="264"/>
        <v>28512</v>
      </c>
      <c r="AK753" s="156" t="s">
        <v>691</v>
      </c>
      <c r="AL753" s="574" t="s">
        <v>690</v>
      </c>
      <c r="AM753" s="198">
        <f t="shared" si="261"/>
        <v>0</v>
      </c>
      <c r="AN753" s="199">
        <f t="shared" si="249"/>
        <v>45427</v>
      </c>
      <c r="AO753" s="159" t="s">
        <v>692</v>
      </c>
      <c r="AP753" s="781"/>
      <c r="AQ753" s="782">
        <v>12063755</v>
      </c>
      <c r="AR753" s="782">
        <v>12061353</v>
      </c>
      <c r="AS753" s="782">
        <v>12061354</v>
      </c>
      <c r="AT753" s="782">
        <v>12068566</v>
      </c>
      <c r="AU753" s="781"/>
      <c r="AV753" s="782">
        <v>12088206</v>
      </c>
      <c r="AW753" s="782">
        <v>12088207</v>
      </c>
      <c r="AX753" s="782"/>
      <c r="AY753" s="782">
        <v>12068565</v>
      </c>
      <c r="AZ753" s="782"/>
      <c r="BA753" s="781"/>
    </row>
    <row r="754" spans="1:53" ht="25" hidden="1" customHeight="1">
      <c r="B754" s="213">
        <v>45427</v>
      </c>
      <c r="C754" s="578">
        <v>45436</v>
      </c>
      <c r="D754" s="185">
        <f t="shared" si="247"/>
        <v>2024</v>
      </c>
      <c r="E754" s="215" t="str">
        <f>VLOOKUP($B754,Week!$A$1:$C$1462,2,0)</f>
        <v>Week20</v>
      </c>
      <c r="F754" s="216" t="str">
        <f t="shared" si="248"/>
        <v>May</v>
      </c>
      <c r="G754" s="215" t="s">
        <v>1193</v>
      </c>
      <c r="H754" s="215" t="s">
        <v>104</v>
      </c>
      <c r="I754" s="215" t="s">
        <v>2772</v>
      </c>
      <c r="J754" s="209" t="s">
        <v>105</v>
      </c>
      <c r="K754" s="217" t="s">
        <v>107</v>
      </c>
      <c r="L754" s="300" t="s">
        <v>2167</v>
      </c>
      <c r="M754" s="209" t="s">
        <v>108</v>
      </c>
      <c r="N754" s="215" t="s">
        <v>109</v>
      </c>
      <c r="O754" s="215" t="s">
        <v>110</v>
      </c>
      <c r="P754" s="218">
        <v>36</v>
      </c>
      <c r="Q754" s="218">
        <v>5</v>
      </c>
      <c r="R754" s="219">
        <v>7.4999999999999997E-3</v>
      </c>
      <c r="S754" s="215" t="s">
        <v>111</v>
      </c>
      <c r="T754" s="215" t="s">
        <v>112</v>
      </c>
      <c r="U754" s="215" t="s">
        <v>113</v>
      </c>
      <c r="V754" s="220">
        <v>792</v>
      </c>
      <c r="W754" s="220">
        <v>792</v>
      </c>
      <c r="X754" s="221"/>
      <c r="Y754" s="222">
        <f t="shared" si="257"/>
        <v>0</v>
      </c>
      <c r="Z754" s="223">
        <f t="shared" si="258"/>
        <v>0</v>
      </c>
      <c r="AA754" s="223"/>
      <c r="AB754" s="807"/>
      <c r="AC754" s="220"/>
      <c r="AD754" s="209"/>
      <c r="AE754" s="210"/>
      <c r="AF754" s="210"/>
      <c r="AG754" s="211">
        <f t="shared" si="263"/>
        <v>0.308</v>
      </c>
      <c r="AH754" s="157">
        <f t="shared" si="262"/>
        <v>0</v>
      </c>
      <c r="AI754" s="152">
        <f t="shared" si="264"/>
        <v>28512</v>
      </c>
      <c r="AK754" s="156" t="s">
        <v>691</v>
      </c>
      <c r="AL754" s="574" t="s">
        <v>690</v>
      </c>
      <c r="AM754" s="198">
        <f t="shared" ref="AM754:AM762" si="265">AG754*Z754</f>
        <v>0</v>
      </c>
      <c r="AN754" s="199">
        <f t="shared" si="249"/>
        <v>45427</v>
      </c>
      <c r="AO754" s="159" t="s">
        <v>692</v>
      </c>
      <c r="AP754" s="781"/>
      <c r="AQ754" s="782">
        <v>12063755</v>
      </c>
      <c r="AR754" s="782">
        <v>12061353</v>
      </c>
      <c r="AS754" s="782">
        <v>12061354</v>
      </c>
      <c r="AT754" s="782">
        <v>12068566</v>
      </c>
      <c r="AU754" s="781"/>
      <c r="AV754" s="782">
        <v>12088206</v>
      </c>
      <c r="AW754" s="782">
        <v>12088207</v>
      </c>
      <c r="AX754" s="782"/>
      <c r="AY754" s="782">
        <v>12068565</v>
      </c>
      <c r="AZ754" s="782"/>
      <c r="BA754" s="781"/>
    </row>
    <row r="755" spans="1:53" ht="25" hidden="1" customHeight="1">
      <c r="B755" s="213">
        <v>45427</v>
      </c>
      <c r="C755" s="578">
        <v>45436</v>
      </c>
      <c r="D755" s="185">
        <f t="shared" si="247"/>
        <v>2024</v>
      </c>
      <c r="E755" s="215" t="str">
        <f>VLOOKUP($B755,Week!$A$1:$C$1462,2,0)</f>
        <v>Week20</v>
      </c>
      <c r="F755" s="216" t="str">
        <f t="shared" si="248"/>
        <v>May</v>
      </c>
      <c r="G755" s="215" t="s">
        <v>1194</v>
      </c>
      <c r="H755" s="215" t="s">
        <v>104</v>
      </c>
      <c r="I755" s="215" t="s">
        <v>2772</v>
      </c>
      <c r="J755" s="209" t="s">
        <v>105</v>
      </c>
      <c r="K755" s="217" t="s">
        <v>107</v>
      </c>
      <c r="L755" s="300" t="s">
        <v>2167</v>
      </c>
      <c r="M755" s="209" t="s">
        <v>108</v>
      </c>
      <c r="N755" s="215" t="s">
        <v>109</v>
      </c>
      <c r="O755" s="215" t="s">
        <v>110</v>
      </c>
      <c r="P755" s="218">
        <v>36</v>
      </c>
      <c r="Q755" s="218">
        <v>5</v>
      </c>
      <c r="R755" s="219">
        <v>7.4999999999999997E-3</v>
      </c>
      <c r="S755" s="215" t="s">
        <v>111</v>
      </c>
      <c r="T755" s="215" t="s">
        <v>112</v>
      </c>
      <c r="U755" s="215" t="s">
        <v>113</v>
      </c>
      <c r="V755" s="220">
        <v>792</v>
      </c>
      <c r="W755" s="220">
        <v>792</v>
      </c>
      <c r="X755" s="221"/>
      <c r="Y755" s="222">
        <f t="shared" si="257"/>
        <v>0</v>
      </c>
      <c r="Z755" s="223">
        <f t="shared" si="258"/>
        <v>0</v>
      </c>
      <c r="AA755" s="223"/>
      <c r="AB755" s="807"/>
      <c r="AC755" s="220"/>
      <c r="AD755" s="209"/>
      <c r="AE755" s="210"/>
      <c r="AF755" s="210"/>
      <c r="AG755" s="211">
        <f t="shared" si="263"/>
        <v>0.308</v>
      </c>
      <c r="AH755" s="157">
        <f t="shared" si="262"/>
        <v>0</v>
      </c>
      <c r="AI755" s="152">
        <f t="shared" si="264"/>
        <v>28512</v>
      </c>
      <c r="AK755" s="156" t="s">
        <v>691</v>
      </c>
      <c r="AL755" s="574" t="s">
        <v>690</v>
      </c>
      <c r="AM755" s="198">
        <f t="shared" si="265"/>
        <v>0</v>
      </c>
      <c r="AN755" s="199">
        <f t="shared" si="249"/>
        <v>45427</v>
      </c>
      <c r="AO755" s="159" t="s">
        <v>692</v>
      </c>
      <c r="AP755" s="781"/>
      <c r="AQ755" s="782">
        <v>12063755</v>
      </c>
      <c r="AR755" s="782">
        <v>12061353</v>
      </c>
      <c r="AS755" s="782">
        <v>12061354</v>
      </c>
      <c r="AT755" s="782">
        <v>12068566</v>
      </c>
      <c r="AU755" s="781"/>
      <c r="AV755" s="782">
        <v>12088206</v>
      </c>
      <c r="AW755" s="782">
        <v>12088207</v>
      </c>
      <c r="AX755" s="782"/>
      <c r="AY755" s="782">
        <v>12068565</v>
      </c>
      <c r="AZ755" s="782"/>
      <c r="BA755" s="781"/>
    </row>
    <row r="756" spans="1:53" ht="25" hidden="1" customHeight="1">
      <c r="B756" s="213">
        <v>45427</v>
      </c>
      <c r="C756" s="578">
        <v>45436</v>
      </c>
      <c r="D756" s="185">
        <f t="shared" si="247"/>
        <v>2024</v>
      </c>
      <c r="E756" s="215" t="str">
        <f>VLOOKUP($B756,Week!$A$1:$C$1462,2,0)</f>
        <v>Week20</v>
      </c>
      <c r="F756" s="216" t="str">
        <f t="shared" si="248"/>
        <v>May</v>
      </c>
      <c r="G756" s="215" t="s">
        <v>1195</v>
      </c>
      <c r="H756" s="215" t="s">
        <v>104</v>
      </c>
      <c r="I756" s="215" t="s">
        <v>2772</v>
      </c>
      <c r="J756" s="209" t="s">
        <v>105</v>
      </c>
      <c r="K756" s="217" t="s">
        <v>107</v>
      </c>
      <c r="L756" s="300" t="s">
        <v>2167</v>
      </c>
      <c r="M756" s="209" t="s">
        <v>108</v>
      </c>
      <c r="N756" s="215" t="s">
        <v>109</v>
      </c>
      <c r="O756" s="215" t="s">
        <v>110</v>
      </c>
      <c r="P756" s="218">
        <v>36</v>
      </c>
      <c r="Q756" s="218">
        <v>5</v>
      </c>
      <c r="R756" s="219">
        <v>7.4999999999999997E-3</v>
      </c>
      <c r="S756" s="215" t="s">
        <v>111</v>
      </c>
      <c r="T756" s="215" t="s">
        <v>112</v>
      </c>
      <c r="U756" s="215" t="s">
        <v>113</v>
      </c>
      <c r="V756" s="220">
        <v>792</v>
      </c>
      <c r="W756" s="220">
        <v>792</v>
      </c>
      <c r="X756" s="221"/>
      <c r="Y756" s="222">
        <f t="shared" si="257"/>
        <v>0</v>
      </c>
      <c r="Z756" s="223">
        <f t="shared" si="258"/>
        <v>0</v>
      </c>
      <c r="AA756" s="223"/>
      <c r="AB756" s="807"/>
      <c r="AC756" s="220"/>
      <c r="AD756" s="209"/>
      <c r="AE756" s="210"/>
      <c r="AF756" s="210"/>
      <c r="AG756" s="211">
        <f t="shared" si="263"/>
        <v>0.308</v>
      </c>
      <c r="AH756" s="157">
        <f t="shared" si="262"/>
        <v>0</v>
      </c>
      <c r="AI756" s="152">
        <f t="shared" si="264"/>
        <v>28512</v>
      </c>
      <c r="AK756" s="156" t="s">
        <v>691</v>
      </c>
      <c r="AL756" s="574" t="s">
        <v>690</v>
      </c>
      <c r="AM756" s="198">
        <f t="shared" si="265"/>
        <v>0</v>
      </c>
      <c r="AN756" s="199">
        <f t="shared" si="249"/>
        <v>45427</v>
      </c>
      <c r="AO756" s="159" t="s">
        <v>692</v>
      </c>
      <c r="AP756" s="781"/>
      <c r="AQ756" s="782">
        <v>12063755</v>
      </c>
      <c r="AR756" s="782">
        <v>12061353</v>
      </c>
      <c r="AS756" s="782">
        <v>12061354</v>
      </c>
      <c r="AT756" s="782">
        <v>12068566</v>
      </c>
      <c r="AU756" s="781"/>
      <c r="AV756" s="782">
        <v>12088206</v>
      </c>
      <c r="AW756" s="782">
        <v>12088207</v>
      </c>
      <c r="AX756" s="782"/>
      <c r="AY756" s="782">
        <v>12068565</v>
      </c>
      <c r="AZ756" s="782"/>
      <c r="BA756" s="781"/>
    </row>
    <row r="757" spans="1:53" ht="25" hidden="1" customHeight="1">
      <c r="B757" s="213">
        <v>45427</v>
      </c>
      <c r="C757" s="578">
        <v>45436</v>
      </c>
      <c r="D757" s="185">
        <f t="shared" si="247"/>
        <v>2024</v>
      </c>
      <c r="E757" s="215" t="str">
        <f>VLOOKUP($B757,Week!$A$1:$C$1462,2,0)</f>
        <v>Week20</v>
      </c>
      <c r="F757" s="216" t="str">
        <f t="shared" si="248"/>
        <v>May</v>
      </c>
      <c r="G757" s="215" t="s">
        <v>1196</v>
      </c>
      <c r="H757" s="215" t="s">
        <v>104</v>
      </c>
      <c r="I757" s="215" t="s">
        <v>2772</v>
      </c>
      <c r="J757" s="209" t="s">
        <v>105</v>
      </c>
      <c r="K757" s="217" t="s">
        <v>107</v>
      </c>
      <c r="L757" s="300" t="s">
        <v>2167</v>
      </c>
      <c r="M757" s="209" t="s">
        <v>108</v>
      </c>
      <c r="N757" s="215" t="s">
        <v>109</v>
      </c>
      <c r="O757" s="215" t="s">
        <v>110</v>
      </c>
      <c r="P757" s="218">
        <v>36</v>
      </c>
      <c r="Q757" s="218">
        <v>5</v>
      </c>
      <c r="R757" s="219">
        <v>7.4999999999999997E-3</v>
      </c>
      <c r="S757" s="215" t="s">
        <v>111</v>
      </c>
      <c r="T757" s="215" t="s">
        <v>112</v>
      </c>
      <c r="U757" s="215" t="s">
        <v>113</v>
      </c>
      <c r="V757" s="220">
        <f>4180-447-792-792-792-792</f>
        <v>565</v>
      </c>
      <c r="W757" s="220">
        <f>4180-447-792-792-792-792</f>
        <v>565</v>
      </c>
      <c r="X757" s="221"/>
      <c r="Y757" s="222">
        <f t="shared" si="257"/>
        <v>0</v>
      </c>
      <c r="Z757" s="223">
        <f t="shared" si="258"/>
        <v>0</v>
      </c>
      <c r="AA757" s="223"/>
      <c r="AB757" s="807"/>
      <c r="AC757" s="220"/>
      <c r="AD757" s="209"/>
      <c r="AE757" s="210"/>
      <c r="AF757" s="210"/>
      <c r="AG757" s="211">
        <f t="shared" si="263"/>
        <v>0.308</v>
      </c>
      <c r="AH757" s="157">
        <f t="shared" si="262"/>
        <v>0</v>
      </c>
      <c r="AI757" s="152">
        <f t="shared" si="264"/>
        <v>20340</v>
      </c>
      <c r="AK757" s="156" t="s">
        <v>691</v>
      </c>
      <c r="AL757" s="574" t="s">
        <v>690</v>
      </c>
      <c r="AM757" s="198">
        <f>AG757*Z757</f>
        <v>0</v>
      </c>
      <c r="AN757" s="199">
        <f t="shared" si="249"/>
        <v>45427</v>
      </c>
      <c r="AO757" s="159" t="s">
        <v>692</v>
      </c>
      <c r="AP757" s="781"/>
      <c r="AQ757" s="782">
        <v>12063755</v>
      </c>
      <c r="AR757" s="782">
        <v>12061353</v>
      </c>
      <c r="AS757" s="782">
        <v>12061354</v>
      </c>
      <c r="AT757" s="782">
        <v>12068566</v>
      </c>
      <c r="AU757" s="781"/>
      <c r="AV757" s="782">
        <v>12088206</v>
      </c>
      <c r="AW757" s="782">
        <v>12088207</v>
      </c>
      <c r="AX757" s="782"/>
      <c r="AY757" s="782">
        <v>12068565</v>
      </c>
      <c r="AZ757" s="782"/>
      <c r="BA757" s="781"/>
    </row>
    <row r="758" spans="1:53" ht="24.65" hidden="1" customHeight="1">
      <c r="B758" s="357">
        <v>45428</v>
      </c>
      <c r="C758" s="358">
        <v>45456</v>
      </c>
      <c r="D758" s="185">
        <f t="shared" si="247"/>
        <v>2024</v>
      </c>
      <c r="E758" s="358" t="str">
        <f>VLOOKUP($B758,Week!$A$1:$C$1462,2,0)</f>
        <v>Week20</v>
      </c>
      <c r="F758" s="360" t="str">
        <f t="shared" si="248"/>
        <v>May</v>
      </c>
      <c r="G758" s="436" t="s">
        <v>1261</v>
      </c>
      <c r="H758" s="359" t="s">
        <v>225</v>
      </c>
      <c r="I758" s="359" t="s">
        <v>2773</v>
      </c>
      <c r="J758" s="361" t="s">
        <v>650</v>
      </c>
      <c r="K758" s="362" t="s">
        <v>593</v>
      </c>
      <c r="L758" s="300" t="s">
        <v>2167</v>
      </c>
      <c r="M758" s="361" t="s">
        <v>717</v>
      </c>
      <c r="N758" s="359" t="s">
        <v>719</v>
      </c>
      <c r="O758" s="359" t="s">
        <v>230</v>
      </c>
      <c r="P758" s="363">
        <v>12</v>
      </c>
      <c r="Q758" s="363">
        <v>5</v>
      </c>
      <c r="R758" s="364">
        <v>6.0000000000000001E-3</v>
      </c>
      <c r="S758" s="359" t="s">
        <v>55</v>
      </c>
      <c r="T758" s="359" t="s">
        <v>112</v>
      </c>
      <c r="U758" s="359" t="s">
        <v>57</v>
      </c>
      <c r="V758" s="365">
        <v>2600</v>
      </c>
      <c r="W758" s="365"/>
      <c r="X758" s="366">
        <f>(1448+29752)/12</f>
        <v>2600</v>
      </c>
      <c r="Y758" s="367">
        <f t="shared" si="257"/>
        <v>0</v>
      </c>
      <c r="Z758" s="368">
        <f t="shared" si="258"/>
        <v>0</v>
      </c>
      <c r="AA758" s="368"/>
      <c r="AB758" s="819"/>
      <c r="AC758" s="365"/>
      <c r="AD758" s="307" t="s">
        <v>672</v>
      </c>
      <c r="AE758" s="210"/>
      <c r="AF758" s="210"/>
      <c r="AG758" s="211">
        <f t="shared" si="263"/>
        <v>0.25800000000000001</v>
      </c>
      <c r="AH758" s="157">
        <f t="shared" si="262"/>
        <v>0</v>
      </c>
      <c r="AI758" s="152">
        <f t="shared" si="264"/>
        <v>31200</v>
      </c>
      <c r="AK758" s="156" t="s">
        <v>691</v>
      </c>
      <c r="AL758" s="574" t="s">
        <v>690</v>
      </c>
      <c r="AM758" s="198">
        <f t="shared" si="265"/>
        <v>0</v>
      </c>
      <c r="AN758" s="199">
        <f t="shared" si="249"/>
        <v>45428</v>
      </c>
      <c r="AO758" s="159" t="s">
        <v>692</v>
      </c>
      <c r="AP758" s="783" t="s">
        <v>612</v>
      </c>
      <c r="AQ758" s="782">
        <v>12071839</v>
      </c>
      <c r="AR758" s="782">
        <v>12042650</v>
      </c>
      <c r="AS758" s="782">
        <v>12042649</v>
      </c>
      <c r="AT758" s="782">
        <v>12088423</v>
      </c>
      <c r="AU758" s="781"/>
      <c r="AV758" s="782">
        <v>12088422</v>
      </c>
      <c r="AW758" s="782"/>
      <c r="AX758" s="782"/>
      <c r="AY758" s="782"/>
      <c r="AZ758" s="782"/>
      <c r="BA758" s="781"/>
    </row>
    <row r="759" spans="1:53" ht="25" hidden="1" customHeight="1">
      <c r="A759" s="598"/>
      <c r="B759" s="246">
        <v>45428</v>
      </c>
      <c r="C759" s="247">
        <v>45460</v>
      </c>
      <c r="D759" s="185">
        <f t="shared" si="247"/>
        <v>2024</v>
      </c>
      <c r="E759" s="247" t="str">
        <f>VLOOKUP($B759,Week!$A$1:$C$1462,2,0)</f>
        <v>Week20</v>
      </c>
      <c r="F759" s="248" t="str">
        <f t="shared" si="248"/>
        <v>May</v>
      </c>
      <c r="G759" s="599" t="s">
        <v>1250</v>
      </c>
      <c r="H759" s="249" t="s">
        <v>104</v>
      </c>
      <c r="I759" s="249" t="s">
        <v>2772</v>
      </c>
      <c r="J759" s="250" t="s">
        <v>105</v>
      </c>
      <c r="K759" s="251" t="s">
        <v>593</v>
      </c>
      <c r="L759" s="300" t="s">
        <v>2167</v>
      </c>
      <c r="M759" s="250" t="s">
        <v>594</v>
      </c>
      <c r="N759" s="249" t="s">
        <v>596</v>
      </c>
      <c r="O759" s="249" t="s">
        <v>304</v>
      </c>
      <c r="P759" s="252">
        <v>8</v>
      </c>
      <c r="Q759" s="252">
        <v>5</v>
      </c>
      <c r="R759" s="253">
        <v>6.0000000000000001E-3</v>
      </c>
      <c r="S759" s="249" t="s">
        <v>55</v>
      </c>
      <c r="T759" s="249" t="s">
        <v>112</v>
      </c>
      <c r="U759" s="249" t="s">
        <v>57</v>
      </c>
      <c r="V759" s="254">
        <f>8546/8</f>
        <v>1068.25</v>
      </c>
      <c r="W759" s="254"/>
      <c r="X759" s="255">
        <f>8546/8</f>
        <v>1068.25</v>
      </c>
      <c r="Y759" s="256">
        <f t="shared" si="257"/>
        <v>0</v>
      </c>
      <c r="Z759" s="257">
        <f t="shared" si="258"/>
        <v>0</v>
      </c>
      <c r="AA759" s="257"/>
      <c r="AB759" s="810"/>
      <c r="AC759" s="254"/>
      <c r="AD759" s="209"/>
      <c r="AE759" s="210"/>
      <c r="AF759" s="210"/>
      <c r="AG759" s="211">
        <f t="shared" si="263"/>
        <v>0.25800000000000001</v>
      </c>
      <c r="AH759" s="157">
        <v>0.26621999999999996</v>
      </c>
      <c r="AI759" s="152">
        <f t="shared" si="264"/>
        <v>8546</v>
      </c>
      <c r="AK759" s="156" t="s">
        <v>691</v>
      </c>
      <c r="AL759" s="574" t="s">
        <v>690</v>
      </c>
      <c r="AM759" s="198">
        <f>AG759*Z759</f>
        <v>0</v>
      </c>
      <c r="AN759" s="199">
        <f t="shared" si="249"/>
        <v>45428</v>
      </c>
      <c r="AO759" s="159" t="s">
        <v>692</v>
      </c>
      <c r="AP759" s="781"/>
      <c r="AQ759" s="782">
        <v>12071839</v>
      </c>
      <c r="AR759" s="782">
        <v>12042650</v>
      </c>
      <c r="AS759" s="782">
        <v>12042649</v>
      </c>
      <c r="AT759" s="782">
        <v>12084100</v>
      </c>
      <c r="AU759" s="781"/>
      <c r="AV759" s="782">
        <v>12084001</v>
      </c>
      <c r="AW759" s="781"/>
      <c r="AX759" s="781"/>
      <c r="AY759" s="781"/>
      <c r="AZ759" s="782"/>
      <c r="BA759" s="781"/>
    </row>
    <row r="760" spans="1:53" ht="25" hidden="1" customHeight="1">
      <c r="A760" s="598"/>
      <c r="B760" s="246">
        <v>45428</v>
      </c>
      <c r="C760" s="247">
        <v>45460</v>
      </c>
      <c r="D760" s="185">
        <f t="shared" si="247"/>
        <v>2024</v>
      </c>
      <c r="E760" s="247" t="str">
        <f>VLOOKUP($B760,Week!$A$1:$C$1462,2,0)</f>
        <v>Week20</v>
      </c>
      <c r="F760" s="248" t="str">
        <f t="shared" si="248"/>
        <v>May</v>
      </c>
      <c r="G760" s="599" t="s">
        <v>1251</v>
      </c>
      <c r="H760" s="249" t="s">
        <v>104</v>
      </c>
      <c r="I760" s="249" t="s">
        <v>2772</v>
      </c>
      <c r="J760" s="250" t="s">
        <v>105</v>
      </c>
      <c r="K760" s="251" t="s">
        <v>593</v>
      </c>
      <c r="L760" s="300" t="s">
        <v>2167</v>
      </c>
      <c r="M760" s="250" t="s">
        <v>594</v>
      </c>
      <c r="N760" s="249" t="s">
        <v>596</v>
      </c>
      <c r="O760" s="249" t="s">
        <v>304</v>
      </c>
      <c r="P760" s="252">
        <v>8</v>
      </c>
      <c r="Q760" s="252">
        <v>5</v>
      </c>
      <c r="R760" s="253">
        <v>6.0000000000000001E-3</v>
      </c>
      <c r="S760" s="249" t="s">
        <v>55</v>
      </c>
      <c r="T760" s="249" t="s">
        <v>112</v>
      </c>
      <c r="U760" s="249" t="s">
        <v>57</v>
      </c>
      <c r="V760" s="254">
        <f>6532/8</f>
        <v>816.5</v>
      </c>
      <c r="W760" s="254"/>
      <c r="X760" s="255">
        <f>6532/8</f>
        <v>816.5</v>
      </c>
      <c r="Y760" s="256">
        <f t="shared" si="257"/>
        <v>0</v>
      </c>
      <c r="Z760" s="257">
        <f t="shared" si="258"/>
        <v>0</v>
      </c>
      <c r="AA760" s="257"/>
      <c r="AB760" s="810"/>
      <c r="AC760" s="254"/>
      <c r="AD760" s="209"/>
      <c r="AE760" s="210"/>
      <c r="AF760" s="210"/>
      <c r="AG760" s="211">
        <f t="shared" si="263"/>
        <v>0.25800000000000001</v>
      </c>
      <c r="AH760" s="157">
        <v>0.26621999999999996</v>
      </c>
      <c r="AI760" s="152">
        <f t="shared" si="264"/>
        <v>6532</v>
      </c>
      <c r="AK760" s="156" t="s">
        <v>691</v>
      </c>
      <c r="AL760" s="574" t="s">
        <v>690</v>
      </c>
      <c r="AM760" s="198">
        <f>AG760*Z760</f>
        <v>0</v>
      </c>
      <c r="AN760" s="199">
        <f t="shared" si="249"/>
        <v>45428</v>
      </c>
      <c r="AO760" s="159" t="s">
        <v>692</v>
      </c>
      <c r="AP760" s="781"/>
      <c r="AQ760" s="782">
        <v>12071839</v>
      </c>
      <c r="AR760" s="782">
        <v>12042650</v>
      </c>
      <c r="AS760" s="782">
        <v>12042649</v>
      </c>
      <c r="AT760" s="782">
        <v>12084100</v>
      </c>
      <c r="AU760" s="781"/>
      <c r="AV760" s="782">
        <v>12084001</v>
      </c>
      <c r="AW760" s="781"/>
      <c r="AX760" s="781"/>
      <c r="AY760" s="781"/>
      <c r="AZ760" s="782"/>
      <c r="BA760" s="781"/>
    </row>
    <row r="761" spans="1:53" ht="25" hidden="1" customHeight="1">
      <c r="B761" s="487">
        <v>45428</v>
      </c>
      <c r="C761" s="487">
        <v>45447</v>
      </c>
      <c r="D761" s="185">
        <f t="shared" si="247"/>
        <v>2024</v>
      </c>
      <c r="E761" s="488" t="str">
        <f>VLOOKUP($B761,Week!$A$1:$C$1462,2,0)</f>
        <v>Week20</v>
      </c>
      <c r="F761" s="489" t="str">
        <f t="shared" si="248"/>
        <v>May</v>
      </c>
      <c r="G761" s="444" t="s">
        <v>1039</v>
      </c>
      <c r="H761" s="444" t="s">
        <v>571</v>
      </c>
      <c r="I761" s="444" t="s">
        <v>2772</v>
      </c>
      <c r="J761" s="490" t="s">
        <v>663</v>
      </c>
      <c r="K761" s="491" t="s">
        <v>107</v>
      </c>
      <c r="L761" s="300" t="s">
        <v>2167</v>
      </c>
      <c r="M761" s="490" t="s">
        <v>136</v>
      </c>
      <c r="N761" s="444" t="s">
        <v>574</v>
      </c>
      <c r="O761" s="444" t="s">
        <v>270</v>
      </c>
      <c r="P761" s="492">
        <v>12</v>
      </c>
      <c r="Q761" s="492">
        <v>3</v>
      </c>
      <c r="R761" s="493">
        <v>7.4999999999999997E-3</v>
      </c>
      <c r="S761" s="444" t="s">
        <v>111</v>
      </c>
      <c r="T761" s="444" t="s">
        <v>112</v>
      </c>
      <c r="U761" s="444" t="s">
        <v>57</v>
      </c>
      <c r="V761" s="494">
        <v>2040</v>
      </c>
      <c r="W761" s="494"/>
      <c r="X761" s="495">
        <f>(346+24134)/12</f>
        <v>2040</v>
      </c>
      <c r="Y761" s="496">
        <f t="shared" si="257"/>
        <v>0</v>
      </c>
      <c r="Z761" s="497">
        <f t="shared" si="258"/>
        <v>0</v>
      </c>
      <c r="AA761" s="497"/>
      <c r="AB761" s="829"/>
      <c r="AC761" s="494"/>
      <c r="AD761" s="307" t="s">
        <v>1043</v>
      </c>
      <c r="AE761" s="210"/>
      <c r="AF761" s="210"/>
      <c r="AG761" s="211">
        <f t="shared" si="263"/>
        <v>0.309</v>
      </c>
      <c r="AH761" s="157">
        <f t="shared" ref="AH761:AH766" si="266">(Z761*AG761)/1000</f>
        <v>0</v>
      </c>
      <c r="AI761" s="152">
        <f t="shared" si="264"/>
        <v>24480</v>
      </c>
      <c r="AK761" s="156" t="s">
        <v>691</v>
      </c>
      <c r="AL761" s="212" t="s">
        <v>690</v>
      </c>
      <c r="AM761" s="198">
        <f t="shared" si="265"/>
        <v>0</v>
      </c>
      <c r="AN761" s="199">
        <f t="shared" si="249"/>
        <v>45428</v>
      </c>
      <c r="AO761" s="159" t="s">
        <v>692</v>
      </c>
      <c r="AP761" s="781"/>
      <c r="AQ761" s="782">
        <v>12063755</v>
      </c>
      <c r="AR761" s="782">
        <v>12061353</v>
      </c>
      <c r="AS761" s="782">
        <v>12061354</v>
      </c>
      <c r="AT761" s="782">
        <v>12090252</v>
      </c>
      <c r="AU761" s="781"/>
      <c r="AV761" s="782">
        <v>12090250</v>
      </c>
      <c r="AW761" s="782"/>
      <c r="AX761" s="782"/>
      <c r="AY761" s="782">
        <v>12082927</v>
      </c>
      <c r="AZ761" s="782">
        <v>12082928</v>
      </c>
      <c r="BA761" s="782">
        <v>12082929</v>
      </c>
    </row>
    <row r="762" spans="1:53" ht="24.65" hidden="1" customHeight="1">
      <c r="B762" s="424">
        <v>45428</v>
      </c>
      <c r="C762" s="425">
        <v>45436</v>
      </c>
      <c r="D762" s="185">
        <f t="shared" si="247"/>
        <v>2024</v>
      </c>
      <c r="E762" s="425" t="str">
        <f>VLOOKUP($B762,Week!$A$1:$C$1462,2,0)</f>
        <v>Week20</v>
      </c>
      <c r="F762" s="426" t="str">
        <f t="shared" si="248"/>
        <v>May</v>
      </c>
      <c r="G762" s="427" t="s">
        <v>47</v>
      </c>
      <c r="H762" s="427" t="s">
        <v>260</v>
      </c>
      <c r="I762" s="298" t="s">
        <v>2702</v>
      </c>
      <c r="J762" s="428" t="s">
        <v>70</v>
      </c>
      <c r="K762" s="429" t="s">
        <v>1646</v>
      </c>
      <c r="L762" s="300" t="s">
        <v>2167</v>
      </c>
      <c r="M762" s="428" t="s">
        <v>1116</v>
      </c>
      <c r="N762" s="427" t="s">
        <v>1302</v>
      </c>
      <c r="O762" s="427" t="s">
        <v>668</v>
      </c>
      <c r="P762" s="430">
        <v>12</v>
      </c>
      <c r="Q762" s="430">
        <v>3</v>
      </c>
      <c r="R762" s="431">
        <v>6.1999999999999998E-3</v>
      </c>
      <c r="S762" s="427" t="s">
        <v>352</v>
      </c>
      <c r="T762" s="427" t="s">
        <v>56</v>
      </c>
      <c r="U762" s="427" t="s">
        <v>669</v>
      </c>
      <c r="V762" s="628">
        <v>2572</v>
      </c>
      <c r="W762" s="432">
        <f>23+32+2517</f>
        <v>2572</v>
      </c>
      <c r="X762" s="433"/>
      <c r="Y762" s="434">
        <f t="shared" si="257"/>
        <v>0</v>
      </c>
      <c r="Z762" s="435">
        <f t="shared" si="258"/>
        <v>0</v>
      </c>
      <c r="AA762" s="435"/>
      <c r="AB762" s="826"/>
      <c r="AC762" s="432"/>
      <c r="AD762" s="209"/>
      <c r="AE762" s="210"/>
      <c r="AF762" s="210"/>
      <c r="AG762" s="211">
        <f t="shared" si="263"/>
        <v>0.21099999999999999</v>
      </c>
      <c r="AH762" s="157">
        <f t="shared" si="266"/>
        <v>0</v>
      </c>
      <c r="AI762" s="152">
        <f t="shared" si="264"/>
        <v>30864</v>
      </c>
      <c r="AK762" s="156" t="s">
        <v>691</v>
      </c>
      <c r="AL762" s="212" t="s">
        <v>690</v>
      </c>
      <c r="AM762" s="198">
        <f t="shared" si="265"/>
        <v>0</v>
      </c>
      <c r="AN762" s="199">
        <f t="shared" si="249"/>
        <v>45428</v>
      </c>
      <c r="AO762" s="159" t="s">
        <v>692</v>
      </c>
      <c r="AP762" s="783" t="s">
        <v>623</v>
      </c>
      <c r="AQ762" s="782">
        <v>12071839</v>
      </c>
      <c r="AR762" s="782">
        <v>12042650</v>
      </c>
      <c r="AS762" s="782">
        <v>12042649</v>
      </c>
      <c r="AT762" s="782"/>
      <c r="AU762" s="781"/>
      <c r="AV762" s="782">
        <v>12090991</v>
      </c>
      <c r="AW762" s="782"/>
      <c r="AX762" s="782"/>
      <c r="AY762" s="782">
        <v>12090992</v>
      </c>
      <c r="AZ762" s="782">
        <v>12090990</v>
      </c>
      <c r="BA762" s="781"/>
    </row>
    <row r="763" spans="1:53" ht="24.65" hidden="1" customHeight="1">
      <c r="B763" s="424">
        <v>45429</v>
      </c>
      <c r="C763" s="425">
        <v>45436</v>
      </c>
      <c r="D763" s="185">
        <f t="shared" si="247"/>
        <v>2024</v>
      </c>
      <c r="E763" s="425" t="str">
        <f>VLOOKUP($B763,Week!$A$1:$C$1462,2,0)</f>
        <v>Week20</v>
      </c>
      <c r="F763" s="426" t="str">
        <f t="shared" si="248"/>
        <v>May</v>
      </c>
      <c r="G763" s="427" t="s">
        <v>47</v>
      </c>
      <c r="H763" s="427" t="s">
        <v>260</v>
      </c>
      <c r="I763" s="298" t="s">
        <v>2702</v>
      </c>
      <c r="J763" s="428" t="s">
        <v>70</v>
      </c>
      <c r="K763" s="429" t="s">
        <v>1646</v>
      </c>
      <c r="L763" s="300" t="s">
        <v>2167</v>
      </c>
      <c r="M763" s="428" t="s">
        <v>1116</v>
      </c>
      <c r="N763" s="427" t="s">
        <v>1302</v>
      </c>
      <c r="O763" s="427" t="s">
        <v>668</v>
      </c>
      <c r="P763" s="430">
        <v>12</v>
      </c>
      <c r="Q763" s="430">
        <v>3</v>
      </c>
      <c r="R763" s="431">
        <v>6.1999999999999998E-3</v>
      </c>
      <c r="S763" s="427" t="s">
        <v>352</v>
      </c>
      <c r="T763" s="427" t="s">
        <v>56</v>
      </c>
      <c r="U763" s="427" t="s">
        <v>669</v>
      </c>
      <c r="V763" s="628">
        <v>3366</v>
      </c>
      <c r="W763" s="432">
        <f>3366</f>
        <v>3366</v>
      </c>
      <c r="X763" s="433"/>
      <c r="Y763" s="434">
        <f t="shared" si="257"/>
        <v>0</v>
      </c>
      <c r="Z763" s="435">
        <f t="shared" si="258"/>
        <v>0</v>
      </c>
      <c r="AA763" s="435"/>
      <c r="AB763" s="826"/>
      <c r="AC763" s="432"/>
      <c r="AD763" s="209"/>
      <c r="AE763" s="210"/>
      <c r="AF763" s="210"/>
      <c r="AG763" s="211">
        <f t="shared" si="263"/>
        <v>0.21099999999999999</v>
      </c>
      <c r="AH763" s="157">
        <f t="shared" si="266"/>
        <v>0</v>
      </c>
      <c r="AI763" s="152">
        <f t="shared" si="264"/>
        <v>40392</v>
      </c>
      <c r="AK763" s="156" t="s">
        <v>691</v>
      </c>
      <c r="AL763" s="212" t="s">
        <v>690</v>
      </c>
      <c r="AM763" s="198">
        <f t="shared" ref="AM763:AM794" si="267">AG763*Z763</f>
        <v>0</v>
      </c>
      <c r="AN763" s="199">
        <f t="shared" si="249"/>
        <v>45429</v>
      </c>
      <c r="AO763" s="159" t="s">
        <v>692</v>
      </c>
      <c r="AP763" s="783" t="s">
        <v>623</v>
      </c>
      <c r="AQ763" s="782">
        <v>12071839</v>
      </c>
      <c r="AR763" s="782">
        <v>12042650</v>
      </c>
      <c r="AS763" s="782">
        <v>12042649</v>
      </c>
      <c r="AT763" s="782"/>
      <c r="AU763" s="781"/>
      <c r="AV763" s="782">
        <v>12090991</v>
      </c>
      <c r="AW763" s="782"/>
      <c r="AX763" s="782"/>
      <c r="AY763" s="782">
        <v>12090992</v>
      </c>
      <c r="AZ763" s="782">
        <v>12090990</v>
      </c>
      <c r="BA763" s="781"/>
    </row>
    <row r="764" spans="1:53" ht="25" hidden="1" customHeight="1">
      <c r="B764" s="213">
        <v>45429</v>
      </c>
      <c r="C764" s="578">
        <v>45436</v>
      </c>
      <c r="D764" s="185">
        <f t="shared" si="247"/>
        <v>2024</v>
      </c>
      <c r="E764" s="215" t="str">
        <f>VLOOKUP($B764,Week!$A$1:$C$1462,2,0)</f>
        <v>Week20</v>
      </c>
      <c r="F764" s="216" t="str">
        <f t="shared" si="248"/>
        <v>May</v>
      </c>
      <c r="G764" s="215" t="s">
        <v>1196</v>
      </c>
      <c r="H764" s="215" t="s">
        <v>104</v>
      </c>
      <c r="I764" s="215" t="s">
        <v>2772</v>
      </c>
      <c r="J764" s="209" t="s">
        <v>105</v>
      </c>
      <c r="K764" s="217" t="s">
        <v>107</v>
      </c>
      <c r="L764" s="300" t="s">
        <v>2167</v>
      </c>
      <c r="M764" s="209" t="s">
        <v>108</v>
      </c>
      <c r="N764" s="215" t="s">
        <v>109</v>
      </c>
      <c r="O764" s="215" t="s">
        <v>110</v>
      </c>
      <c r="P764" s="218">
        <v>36</v>
      </c>
      <c r="Q764" s="218">
        <v>5</v>
      </c>
      <c r="R764" s="219">
        <v>7.4999999999999997E-3</v>
      </c>
      <c r="S764" s="215" t="s">
        <v>111</v>
      </c>
      <c r="T764" s="215" t="s">
        <v>112</v>
      </c>
      <c r="U764" s="215" t="s">
        <v>113</v>
      </c>
      <c r="V764" s="220">
        <f>792-565</f>
        <v>227</v>
      </c>
      <c r="W764" s="220">
        <f>792-565</f>
        <v>227</v>
      </c>
      <c r="X764" s="221"/>
      <c r="Y764" s="222">
        <f t="shared" si="257"/>
        <v>0</v>
      </c>
      <c r="Z764" s="223">
        <f t="shared" si="258"/>
        <v>0</v>
      </c>
      <c r="AA764" s="223"/>
      <c r="AB764" s="807"/>
      <c r="AC764" s="220"/>
      <c r="AD764" s="209"/>
      <c r="AE764" s="210"/>
      <c r="AF764" s="210"/>
      <c r="AG764" s="211">
        <f t="shared" si="263"/>
        <v>0.308</v>
      </c>
      <c r="AH764" s="157">
        <f t="shared" si="266"/>
        <v>0</v>
      </c>
      <c r="AI764" s="152">
        <f t="shared" si="264"/>
        <v>8172</v>
      </c>
      <c r="AK764" s="156" t="s">
        <v>691</v>
      </c>
      <c r="AL764" s="574" t="s">
        <v>690</v>
      </c>
      <c r="AM764" s="198">
        <f t="shared" si="267"/>
        <v>0</v>
      </c>
      <c r="AN764" s="199">
        <f t="shared" si="249"/>
        <v>45429</v>
      </c>
      <c r="AO764" s="159" t="s">
        <v>692</v>
      </c>
      <c r="AP764" s="781"/>
      <c r="AQ764" s="782">
        <v>12063755</v>
      </c>
      <c r="AR764" s="782">
        <v>12061353</v>
      </c>
      <c r="AS764" s="782">
        <v>12061354</v>
      </c>
      <c r="AT764" s="782">
        <v>12068566</v>
      </c>
      <c r="AU764" s="781"/>
      <c r="AV764" s="782">
        <v>12088206</v>
      </c>
      <c r="AW764" s="782">
        <v>12088207</v>
      </c>
      <c r="AX764" s="782"/>
      <c r="AY764" s="782">
        <v>12068565</v>
      </c>
      <c r="AZ764" s="782"/>
      <c r="BA764" s="781"/>
    </row>
    <row r="765" spans="1:53" ht="25" hidden="1" customHeight="1">
      <c r="B765" s="213">
        <v>45429</v>
      </c>
      <c r="C765" s="578">
        <v>45437</v>
      </c>
      <c r="D765" s="185">
        <f t="shared" si="247"/>
        <v>2024</v>
      </c>
      <c r="E765" s="215" t="str">
        <f>VLOOKUP($B765,Week!$A$1:$C$1462,2,0)</f>
        <v>Week20</v>
      </c>
      <c r="F765" s="216" t="str">
        <f t="shared" si="248"/>
        <v>May</v>
      </c>
      <c r="G765" s="215" t="s">
        <v>1197</v>
      </c>
      <c r="H765" s="215" t="s">
        <v>104</v>
      </c>
      <c r="I765" s="215" t="s">
        <v>2772</v>
      </c>
      <c r="J765" s="209" t="s">
        <v>105</v>
      </c>
      <c r="K765" s="217" t="s">
        <v>107</v>
      </c>
      <c r="L765" s="300" t="s">
        <v>2167</v>
      </c>
      <c r="M765" s="209" t="s">
        <v>108</v>
      </c>
      <c r="N765" s="215" t="s">
        <v>109</v>
      </c>
      <c r="O765" s="215" t="s">
        <v>110</v>
      </c>
      <c r="P765" s="218">
        <v>36</v>
      </c>
      <c r="Q765" s="218">
        <v>5</v>
      </c>
      <c r="R765" s="219">
        <v>7.4999999999999997E-3</v>
      </c>
      <c r="S765" s="215" t="s">
        <v>111</v>
      </c>
      <c r="T765" s="215" t="s">
        <v>112</v>
      </c>
      <c r="U765" s="215" t="s">
        <v>113</v>
      </c>
      <c r="V765" s="220">
        <v>792</v>
      </c>
      <c r="W765" s="220">
        <v>792</v>
      </c>
      <c r="X765" s="221"/>
      <c r="Y765" s="222">
        <f t="shared" si="257"/>
        <v>0</v>
      </c>
      <c r="Z765" s="223">
        <f t="shared" si="258"/>
        <v>0</v>
      </c>
      <c r="AA765" s="223"/>
      <c r="AB765" s="807"/>
      <c r="AC765" s="220"/>
      <c r="AD765" s="209"/>
      <c r="AE765" s="210"/>
      <c r="AF765" s="210"/>
      <c r="AG765" s="211">
        <f t="shared" si="263"/>
        <v>0.308</v>
      </c>
      <c r="AH765" s="157">
        <f t="shared" si="266"/>
        <v>0</v>
      </c>
      <c r="AI765" s="152">
        <f t="shared" si="264"/>
        <v>28512</v>
      </c>
      <c r="AK765" s="156" t="s">
        <v>691</v>
      </c>
      <c r="AL765" s="574" t="s">
        <v>690</v>
      </c>
      <c r="AM765" s="198">
        <f t="shared" si="267"/>
        <v>0</v>
      </c>
      <c r="AN765" s="199">
        <f t="shared" si="249"/>
        <v>45429</v>
      </c>
      <c r="AO765" s="159" t="s">
        <v>692</v>
      </c>
      <c r="AP765" s="781"/>
      <c r="AQ765" s="782">
        <v>12063755</v>
      </c>
      <c r="AR765" s="782">
        <v>12061353</v>
      </c>
      <c r="AS765" s="782">
        <v>12061354</v>
      </c>
      <c r="AT765" s="782">
        <v>12068566</v>
      </c>
      <c r="AU765" s="781"/>
      <c r="AV765" s="782">
        <v>12088206</v>
      </c>
      <c r="AW765" s="782">
        <v>12088207</v>
      </c>
      <c r="AX765" s="782"/>
      <c r="AY765" s="782">
        <v>12068565</v>
      </c>
      <c r="AZ765" s="782"/>
      <c r="BA765" s="781"/>
    </row>
    <row r="766" spans="1:53" ht="24.65" hidden="1" customHeight="1">
      <c r="B766" s="213">
        <v>45429</v>
      </c>
      <c r="C766" s="578">
        <v>45437</v>
      </c>
      <c r="D766" s="185">
        <f t="shared" si="247"/>
        <v>2024</v>
      </c>
      <c r="E766" s="215" t="str">
        <f>VLOOKUP($B766,Week!$A$1:$C$1462,2,0)</f>
        <v>Week20</v>
      </c>
      <c r="F766" s="216" t="str">
        <f t="shared" si="248"/>
        <v>May</v>
      </c>
      <c r="G766" s="215" t="s">
        <v>1198</v>
      </c>
      <c r="H766" s="215" t="s">
        <v>104</v>
      </c>
      <c r="I766" s="215" t="s">
        <v>2772</v>
      </c>
      <c r="J766" s="209" t="s">
        <v>105</v>
      </c>
      <c r="K766" s="217" t="s">
        <v>107</v>
      </c>
      <c r="L766" s="300" t="s">
        <v>2167</v>
      </c>
      <c r="M766" s="209" t="s">
        <v>108</v>
      </c>
      <c r="N766" s="215" t="s">
        <v>109</v>
      </c>
      <c r="O766" s="215" t="s">
        <v>110</v>
      </c>
      <c r="P766" s="218">
        <v>36</v>
      </c>
      <c r="Q766" s="218">
        <v>5</v>
      </c>
      <c r="R766" s="219">
        <v>7.4999999999999997E-3</v>
      </c>
      <c r="S766" s="215" t="s">
        <v>111</v>
      </c>
      <c r="T766" s="215" t="s">
        <v>112</v>
      </c>
      <c r="U766" s="215" t="s">
        <v>113</v>
      </c>
      <c r="V766" s="220">
        <v>792</v>
      </c>
      <c r="W766" s="220">
        <v>792</v>
      </c>
      <c r="X766" s="221"/>
      <c r="Y766" s="222">
        <f t="shared" si="257"/>
        <v>0</v>
      </c>
      <c r="Z766" s="223">
        <f t="shared" si="258"/>
        <v>0</v>
      </c>
      <c r="AA766" s="223"/>
      <c r="AB766" s="807"/>
      <c r="AC766" s="220"/>
      <c r="AD766" s="209"/>
      <c r="AE766" s="210"/>
      <c r="AF766" s="210"/>
      <c r="AG766" s="211">
        <f t="shared" si="263"/>
        <v>0.308</v>
      </c>
      <c r="AH766" s="157">
        <f t="shared" si="266"/>
        <v>0</v>
      </c>
      <c r="AI766" s="152">
        <f t="shared" si="264"/>
        <v>28512</v>
      </c>
      <c r="AK766" s="156" t="s">
        <v>691</v>
      </c>
      <c r="AL766" s="574" t="s">
        <v>690</v>
      </c>
      <c r="AM766" s="198">
        <f t="shared" si="267"/>
        <v>0</v>
      </c>
      <c r="AN766" s="199">
        <f t="shared" si="249"/>
        <v>45429</v>
      </c>
      <c r="AO766" s="159" t="s">
        <v>692</v>
      </c>
      <c r="AP766" s="781"/>
      <c r="AQ766" s="782">
        <v>12063755</v>
      </c>
      <c r="AR766" s="782">
        <v>12061353</v>
      </c>
      <c r="AS766" s="782">
        <v>12061354</v>
      </c>
      <c r="AT766" s="782">
        <v>12068566</v>
      </c>
      <c r="AU766" s="781"/>
      <c r="AV766" s="782">
        <v>12088206</v>
      </c>
      <c r="AW766" s="782">
        <v>12088207</v>
      </c>
      <c r="AX766" s="782"/>
      <c r="AY766" s="782">
        <v>12068565</v>
      </c>
      <c r="AZ766" s="782"/>
      <c r="BA766" s="781"/>
    </row>
    <row r="767" spans="1:53" ht="25" hidden="1" customHeight="1">
      <c r="B767" s="213">
        <v>45429</v>
      </c>
      <c r="C767" s="578">
        <v>45439</v>
      </c>
      <c r="D767" s="185">
        <f t="shared" si="247"/>
        <v>2024</v>
      </c>
      <c r="E767" s="215" t="str">
        <f>VLOOKUP($B767,Week!$A$1:$C$1462,2,0)</f>
        <v>Week20</v>
      </c>
      <c r="F767" s="216" t="str">
        <f t="shared" si="248"/>
        <v>May</v>
      </c>
      <c r="G767" s="215" t="s">
        <v>1199</v>
      </c>
      <c r="H767" s="215" t="s">
        <v>104</v>
      </c>
      <c r="I767" s="215" t="s">
        <v>2772</v>
      </c>
      <c r="J767" s="209" t="s">
        <v>105</v>
      </c>
      <c r="K767" s="217" t="s">
        <v>107</v>
      </c>
      <c r="L767" s="300" t="s">
        <v>2167</v>
      </c>
      <c r="M767" s="209" t="s">
        <v>108</v>
      </c>
      <c r="N767" s="215" t="s">
        <v>109</v>
      </c>
      <c r="O767" s="215" t="s">
        <v>110</v>
      </c>
      <c r="P767" s="218">
        <v>36</v>
      </c>
      <c r="Q767" s="218">
        <v>5</v>
      </c>
      <c r="R767" s="219">
        <v>7.4999999999999997E-3</v>
      </c>
      <c r="S767" s="215" t="s">
        <v>111</v>
      </c>
      <c r="T767" s="215" t="s">
        <v>112</v>
      </c>
      <c r="U767" s="215" t="s">
        <v>113</v>
      </c>
      <c r="V767" s="220">
        <v>792</v>
      </c>
      <c r="W767" s="220">
        <v>792</v>
      </c>
      <c r="X767" s="221"/>
      <c r="Y767" s="222">
        <f t="shared" si="257"/>
        <v>0</v>
      </c>
      <c r="Z767" s="223">
        <f t="shared" si="258"/>
        <v>0</v>
      </c>
      <c r="AA767" s="223"/>
      <c r="AB767" s="807"/>
      <c r="AC767" s="220"/>
      <c r="AD767" s="209"/>
      <c r="AE767" s="210"/>
      <c r="AF767" s="210"/>
      <c r="AG767" s="211">
        <f t="shared" si="263"/>
        <v>0.308</v>
      </c>
      <c r="AH767" s="157">
        <f t="shared" ref="AH767:AH774" si="268">(Z767*AG767)/1000</f>
        <v>0</v>
      </c>
      <c r="AI767" s="152">
        <f t="shared" si="264"/>
        <v>28512</v>
      </c>
      <c r="AK767" s="156" t="s">
        <v>691</v>
      </c>
      <c r="AL767" s="574" t="s">
        <v>690</v>
      </c>
      <c r="AM767" s="198">
        <f t="shared" si="267"/>
        <v>0</v>
      </c>
      <c r="AN767" s="199">
        <f t="shared" si="249"/>
        <v>45429</v>
      </c>
      <c r="AO767" s="159" t="s">
        <v>692</v>
      </c>
      <c r="AP767" s="781"/>
      <c r="AQ767" s="782">
        <v>12063755</v>
      </c>
      <c r="AR767" s="782">
        <v>12061353</v>
      </c>
      <c r="AS767" s="782">
        <v>12061354</v>
      </c>
      <c r="AT767" s="782">
        <v>12068566</v>
      </c>
      <c r="AU767" s="781"/>
      <c r="AV767" s="782">
        <v>12088206</v>
      </c>
      <c r="AW767" s="782">
        <v>12088207</v>
      </c>
      <c r="AX767" s="782"/>
      <c r="AY767" s="782">
        <v>12068565</v>
      </c>
      <c r="AZ767" s="782"/>
      <c r="BA767" s="781"/>
    </row>
    <row r="768" spans="1:53" ht="25" hidden="1" customHeight="1">
      <c r="B768" s="213">
        <v>45429</v>
      </c>
      <c r="C768" s="578">
        <v>45439</v>
      </c>
      <c r="D768" s="185">
        <f t="shared" si="247"/>
        <v>2024</v>
      </c>
      <c r="E768" s="215" t="str">
        <f>VLOOKUP($B768,Week!$A$1:$C$1462,2,0)</f>
        <v>Week20</v>
      </c>
      <c r="F768" s="216" t="str">
        <f t="shared" si="248"/>
        <v>May</v>
      </c>
      <c r="G768" s="215" t="s">
        <v>1200</v>
      </c>
      <c r="H768" s="215" t="s">
        <v>104</v>
      </c>
      <c r="I768" s="215" t="s">
        <v>2772</v>
      </c>
      <c r="J768" s="209" t="s">
        <v>105</v>
      </c>
      <c r="K768" s="217" t="s">
        <v>107</v>
      </c>
      <c r="L768" s="300" t="s">
        <v>2167</v>
      </c>
      <c r="M768" s="209" t="s">
        <v>108</v>
      </c>
      <c r="N768" s="215" t="s">
        <v>109</v>
      </c>
      <c r="O768" s="215" t="s">
        <v>110</v>
      </c>
      <c r="P768" s="218">
        <v>36</v>
      </c>
      <c r="Q768" s="218">
        <v>5</v>
      </c>
      <c r="R768" s="219">
        <v>7.4999999999999997E-3</v>
      </c>
      <c r="S768" s="215" t="s">
        <v>111</v>
      </c>
      <c r="T768" s="215" t="s">
        <v>112</v>
      </c>
      <c r="U768" s="215" t="s">
        <v>113</v>
      </c>
      <c r="V768" s="220">
        <f>2998-227-792-792-792</f>
        <v>395</v>
      </c>
      <c r="W768" s="220">
        <f>2998-227-792-792-792</f>
        <v>395</v>
      </c>
      <c r="X768" s="221"/>
      <c r="Y768" s="222">
        <f t="shared" si="257"/>
        <v>0</v>
      </c>
      <c r="Z768" s="223">
        <f t="shared" si="258"/>
        <v>0</v>
      </c>
      <c r="AA768" s="223"/>
      <c r="AB768" s="807"/>
      <c r="AC768" s="220"/>
      <c r="AD768" s="209"/>
      <c r="AE768" s="210"/>
      <c r="AF768" s="210"/>
      <c r="AG768" s="211">
        <f t="shared" si="263"/>
        <v>0.308</v>
      </c>
      <c r="AH768" s="157">
        <f t="shared" si="268"/>
        <v>0</v>
      </c>
      <c r="AI768" s="152">
        <f t="shared" si="264"/>
        <v>14220</v>
      </c>
      <c r="AK768" s="156" t="s">
        <v>691</v>
      </c>
      <c r="AL768" s="574" t="s">
        <v>690</v>
      </c>
      <c r="AM768" s="198">
        <f t="shared" si="267"/>
        <v>0</v>
      </c>
      <c r="AN768" s="199">
        <f t="shared" si="249"/>
        <v>45429</v>
      </c>
      <c r="AO768" s="159" t="s">
        <v>692</v>
      </c>
      <c r="AP768" s="781"/>
      <c r="AQ768" s="782">
        <v>12063755</v>
      </c>
      <c r="AR768" s="782">
        <v>12061353</v>
      </c>
      <c r="AS768" s="782">
        <v>12061354</v>
      </c>
      <c r="AT768" s="782">
        <v>12068566</v>
      </c>
      <c r="AU768" s="781"/>
      <c r="AV768" s="782">
        <v>12088206</v>
      </c>
      <c r="AW768" s="782">
        <v>12088207</v>
      </c>
      <c r="AX768" s="782"/>
      <c r="AY768" s="782">
        <v>12068565</v>
      </c>
      <c r="AZ768" s="782"/>
      <c r="BA768" s="781"/>
    </row>
    <row r="769" spans="1:53" ht="25" hidden="1" customHeight="1">
      <c r="B769" s="213">
        <v>45430</v>
      </c>
      <c r="C769" s="578">
        <v>45439</v>
      </c>
      <c r="D769" s="185">
        <f t="shared" si="247"/>
        <v>2024</v>
      </c>
      <c r="E769" s="215" t="str">
        <f>VLOOKUP($B769,Week!$A$1:$C$1462,2,0)</f>
        <v>Week20</v>
      </c>
      <c r="F769" s="216" t="str">
        <f t="shared" si="248"/>
        <v>May</v>
      </c>
      <c r="G769" s="215" t="s">
        <v>1200</v>
      </c>
      <c r="H769" s="215" t="s">
        <v>104</v>
      </c>
      <c r="I769" s="215" t="s">
        <v>2772</v>
      </c>
      <c r="J769" s="209" t="s">
        <v>105</v>
      </c>
      <c r="K769" s="217" t="s">
        <v>107</v>
      </c>
      <c r="L769" s="300" t="s">
        <v>2167</v>
      </c>
      <c r="M769" s="209" t="s">
        <v>108</v>
      </c>
      <c r="N769" s="215" t="s">
        <v>109</v>
      </c>
      <c r="O769" s="215" t="s">
        <v>110</v>
      </c>
      <c r="P769" s="218">
        <v>36</v>
      </c>
      <c r="Q769" s="218">
        <v>5</v>
      </c>
      <c r="R769" s="219">
        <v>7.4999999999999997E-3</v>
      </c>
      <c r="S769" s="215" t="s">
        <v>111</v>
      </c>
      <c r="T769" s="215" t="s">
        <v>112</v>
      </c>
      <c r="U769" s="215" t="s">
        <v>113</v>
      </c>
      <c r="V769" s="220">
        <f>792-395</f>
        <v>397</v>
      </c>
      <c r="W769" s="220">
        <f>792-395</f>
        <v>397</v>
      </c>
      <c r="X769" s="221"/>
      <c r="Y769" s="222">
        <f t="shared" si="257"/>
        <v>0</v>
      </c>
      <c r="Z769" s="223">
        <f t="shared" si="258"/>
        <v>0</v>
      </c>
      <c r="AA769" s="223"/>
      <c r="AB769" s="807"/>
      <c r="AC769" s="220"/>
      <c r="AD769" s="209"/>
      <c r="AE769" s="210"/>
      <c r="AF769" s="210"/>
      <c r="AG769" s="211">
        <f t="shared" si="263"/>
        <v>0.308</v>
      </c>
      <c r="AH769" s="157">
        <f t="shared" si="268"/>
        <v>0</v>
      </c>
      <c r="AI769" s="152">
        <f t="shared" si="264"/>
        <v>14292</v>
      </c>
      <c r="AK769" s="156" t="s">
        <v>691</v>
      </c>
      <c r="AL769" s="574" t="s">
        <v>690</v>
      </c>
      <c r="AM769" s="198">
        <f t="shared" si="267"/>
        <v>0</v>
      </c>
      <c r="AN769" s="199">
        <f t="shared" si="249"/>
        <v>45430</v>
      </c>
      <c r="AO769" s="159" t="s">
        <v>692</v>
      </c>
      <c r="AP769" s="781"/>
      <c r="AQ769" s="782">
        <v>12063755</v>
      </c>
      <c r="AR769" s="782">
        <v>12061353</v>
      </c>
      <c r="AS769" s="782">
        <v>12061354</v>
      </c>
      <c r="AT769" s="782">
        <v>12068566</v>
      </c>
      <c r="AU769" s="781"/>
      <c r="AV769" s="782">
        <v>12088206</v>
      </c>
      <c r="AW769" s="782">
        <v>12088207</v>
      </c>
      <c r="AX769" s="782"/>
      <c r="AY769" s="782">
        <v>12068565</v>
      </c>
      <c r="AZ769" s="782"/>
      <c r="BA769" s="781"/>
    </row>
    <row r="770" spans="1:53" ht="25" hidden="1" customHeight="1">
      <c r="B770" s="213">
        <v>45430</v>
      </c>
      <c r="C770" s="578">
        <v>45439</v>
      </c>
      <c r="D770" s="185">
        <f t="shared" si="247"/>
        <v>2024</v>
      </c>
      <c r="E770" s="215" t="str">
        <f>VLOOKUP($B770,Week!$A$1:$C$1462,2,0)</f>
        <v>Week20</v>
      </c>
      <c r="F770" s="216" t="str">
        <f t="shared" si="248"/>
        <v>May</v>
      </c>
      <c r="G770" s="215" t="s">
        <v>1201</v>
      </c>
      <c r="H770" s="215" t="s">
        <v>104</v>
      </c>
      <c r="I770" s="215" t="s">
        <v>2772</v>
      </c>
      <c r="J770" s="209" t="s">
        <v>105</v>
      </c>
      <c r="K770" s="217" t="s">
        <v>107</v>
      </c>
      <c r="L770" s="300" t="s">
        <v>2167</v>
      </c>
      <c r="M770" s="209" t="s">
        <v>108</v>
      </c>
      <c r="N770" s="215" t="s">
        <v>109</v>
      </c>
      <c r="O770" s="215" t="s">
        <v>110</v>
      </c>
      <c r="P770" s="218">
        <v>36</v>
      </c>
      <c r="Q770" s="218">
        <v>5</v>
      </c>
      <c r="R770" s="219">
        <v>7.4999999999999997E-3</v>
      </c>
      <c r="S770" s="215" t="s">
        <v>111</v>
      </c>
      <c r="T770" s="215" t="s">
        <v>112</v>
      </c>
      <c r="U770" s="215" t="s">
        <v>113</v>
      </c>
      <c r="V770" s="220">
        <v>792</v>
      </c>
      <c r="W770" s="220">
        <v>792</v>
      </c>
      <c r="X770" s="221"/>
      <c r="Y770" s="222">
        <f t="shared" si="257"/>
        <v>0</v>
      </c>
      <c r="Z770" s="223">
        <f t="shared" si="258"/>
        <v>0</v>
      </c>
      <c r="AA770" s="223"/>
      <c r="AB770" s="807"/>
      <c r="AC770" s="220"/>
      <c r="AD770" s="209"/>
      <c r="AE770" s="210"/>
      <c r="AF770" s="210"/>
      <c r="AG770" s="211">
        <f t="shared" si="263"/>
        <v>0.308</v>
      </c>
      <c r="AH770" s="157">
        <f t="shared" si="268"/>
        <v>0</v>
      </c>
      <c r="AI770" s="152">
        <f t="shared" si="264"/>
        <v>28512</v>
      </c>
      <c r="AK770" s="156" t="s">
        <v>691</v>
      </c>
      <c r="AL770" s="574" t="s">
        <v>690</v>
      </c>
      <c r="AM770" s="198">
        <f t="shared" si="267"/>
        <v>0</v>
      </c>
      <c r="AN770" s="199">
        <f t="shared" si="249"/>
        <v>45430</v>
      </c>
      <c r="AO770" s="159" t="s">
        <v>692</v>
      </c>
      <c r="AP770" s="781"/>
      <c r="AQ770" s="782">
        <v>12063755</v>
      </c>
      <c r="AR770" s="782">
        <v>12061353</v>
      </c>
      <c r="AS770" s="782">
        <v>12061354</v>
      </c>
      <c r="AT770" s="782">
        <v>12068566</v>
      </c>
      <c r="AU770" s="781"/>
      <c r="AV770" s="782">
        <v>12088206</v>
      </c>
      <c r="AW770" s="782">
        <v>12088207</v>
      </c>
      <c r="AX770" s="782"/>
      <c r="AY770" s="782">
        <v>12068565</v>
      </c>
      <c r="AZ770" s="782"/>
      <c r="BA770" s="781"/>
    </row>
    <row r="771" spans="1:53" ht="24.65" hidden="1" customHeight="1">
      <c r="B771" s="213">
        <v>45430</v>
      </c>
      <c r="C771" s="578">
        <v>45439</v>
      </c>
      <c r="D771" s="185">
        <f t="shared" si="247"/>
        <v>2024</v>
      </c>
      <c r="E771" s="215" t="str">
        <f>VLOOKUP($B771,Week!$A$1:$C$1462,2,0)</f>
        <v>Week20</v>
      </c>
      <c r="F771" s="216" t="str">
        <f t="shared" si="248"/>
        <v>May</v>
      </c>
      <c r="G771" s="215" t="s">
        <v>1202</v>
      </c>
      <c r="H771" s="215" t="s">
        <v>104</v>
      </c>
      <c r="I771" s="215" t="s">
        <v>2772</v>
      </c>
      <c r="J771" s="209" t="s">
        <v>105</v>
      </c>
      <c r="K771" s="217" t="s">
        <v>107</v>
      </c>
      <c r="L771" s="300" t="s">
        <v>2167</v>
      </c>
      <c r="M771" s="209" t="s">
        <v>108</v>
      </c>
      <c r="N771" s="215" t="s">
        <v>109</v>
      </c>
      <c r="O771" s="215" t="s">
        <v>110</v>
      </c>
      <c r="P771" s="218">
        <v>36</v>
      </c>
      <c r="Q771" s="218">
        <v>5</v>
      </c>
      <c r="R771" s="219">
        <v>7.4999999999999997E-3</v>
      </c>
      <c r="S771" s="215" t="s">
        <v>111</v>
      </c>
      <c r="T771" s="215" t="s">
        <v>112</v>
      </c>
      <c r="U771" s="215" t="s">
        <v>113</v>
      </c>
      <c r="V771" s="220">
        <v>792</v>
      </c>
      <c r="W771" s="220">
        <v>792</v>
      </c>
      <c r="X771" s="221"/>
      <c r="Y771" s="222">
        <f t="shared" si="257"/>
        <v>0</v>
      </c>
      <c r="Z771" s="223">
        <f t="shared" si="258"/>
        <v>0</v>
      </c>
      <c r="AA771" s="223"/>
      <c r="AB771" s="807"/>
      <c r="AC771" s="220"/>
      <c r="AD771" s="209"/>
      <c r="AE771" s="210"/>
      <c r="AF771" s="210"/>
      <c r="AG771" s="211">
        <f t="shared" si="263"/>
        <v>0.308</v>
      </c>
      <c r="AH771" s="157">
        <f t="shared" si="268"/>
        <v>0</v>
      </c>
      <c r="AI771" s="152">
        <f t="shared" si="264"/>
        <v>28512</v>
      </c>
      <c r="AK771" s="156" t="s">
        <v>691</v>
      </c>
      <c r="AL771" s="574" t="s">
        <v>690</v>
      </c>
      <c r="AM771" s="198">
        <f t="shared" si="267"/>
        <v>0</v>
      </c>
      <c r="AN771" s="199">
        <f t="shared" si="249"/>
        <v>45430</v>
      </c>
      <c r="AO771" s="159" t="s">
        <v>692</v>
      </c>
      <c r="AP771" s="781"/>
      <c r="AQ771" s="782">
        <v>12063755</v>
      </c>
      <c r="AR771" s="782">
        <v>12061353</v>
      </c>
      <c r="AS771" s="782">
        <v>12061354</v>
      </c>
      <c r="AT771" s="782">
        <v>12068566</v>
      </c>
      <c r="AU771" s="781"/>
      <c r="AV771" s="782">
        <v>12088206</v>
      </c>
      <c r="AW771" s="782">
        <v>12088207</v>
      </c>
      <c r="AX771" s="782"/>
      <c r="AY771" s="782">
        <v>12068565</v>
      </c>
      <c r="AZ771" s="782"/>
      <c r="BA771" s="781"/>
    </row>
    <row r="772" spans="1:53" ht="24.65" hidden="1" customHeight="1">
      <c r="B772" s="213">
        <v>45430</v>
      </c>
      <c r="C772" s="578">
        <v>45439</v>
      </c>
      <c r="D772" s="185">
        <f t="shared" si="247"/>
        <v>2024</v>
      </c>
      <c r="E772" s="215" t="str">
        <f>VLOOKUP($B772,Week!$A$1:$C$1462,2,0)</f>
        <v>Week20</v>
      </c>
      <c r="F772" s="216" t="str">
        <f t="shared" si="248"/>
        <v>May</v>
      </c>
      <c r="G772" s="215" t="s">
        <v>1203</v>
      </c>
      <c r="H772" s="215" t="s">
        <v>104</v>
      </c>
      <c r="I772" s="215" t="s">
        <v>2772</v>
      </c>
      <c r="J772" s="209" t="s">
        <v>105</v>
      </c>
      <c r="K772" s="217" t="s">
        <v>107</v>
      </c>
      <c r="L772" s="300" t="s">
        <v>2167</v>
      </c>
      <c r="M772" s="209" t="s">
        <v>108</v>
      </c>
      <c r="N772" s="215" t="s">
        <v>109</v>
      </c>
      <c r="O772" s="215" t="s">
        <v>110</v>
      </c>
      <c r="P772" s="218">
        <v>36</v>
      </c>
      <c r="Q772" s="218">
        <v>5</v>
      </c>
      <c r="R772" s="219">
        <v>7.4999999999999997E-3</v>
      </c>
      <c r="S772" s="215" t="s">
        <v>111</v>
      </c>
      <c r="T772" s="215" t="s">
        <v>112</v>
      </c>
      <c r="U772" s="215" t="s">
        <v>113</v>
      </c>
      <c r="V772" s="220">
        <v>792</v>
      </c>
      <c r="W772" s="220">
        <v>792</v>
      </c>
      <c r="X772" s="221"/>
      <c r="Y772" s="222">
        <f t="shared" si="257"/>
        <v>0</v>
      </c>
      <c r="Z772" s="223">
        <f t="shared" si="258"/>
        <v>0</v>
      </c>
      <c r="AA772" s="223"/>
      <c r="AB772" s="807"/>
      <c r="AC772" s="220"/>
      <c r="AD772" s="209"/>
      <c r="AE772" s="210"/>
      <c r="AF772" s="210"/>
      <c r="AG772" s="211">
        <f t="shared" si="263"/>
        <v>0.308</v>
      </c>
      <c r="AH772" s="157">
        <f t="shared" si="268"/>
        <v>0</v>
      </c>
      <c r="AI772" s="152">
        <f t="shared" si="264"/>
        <v>28512</v>
      </c>
      <c r="AK772" s="156" t="s">
        <v>691</v>
      </c>
      <c r="AL772" s="574" t="s">
        <v>690</v>
      </c>
      <c r="AM772" s="198">
        <f t="shared" si="267"/>
        <v>0</v>
      </c>
      <c r="AN772" s="199">
        <f t="shared" si="249"/>
        <v>45430</v>
      </c>
      <c r="AO772" s="159" t="s">
        <v>692</v>
      </c>
      <c r="AP772" s="781"/>
      <c r="AQ772" s="782">
        <v>12063755</v>
      </c>
      <c r="AR772" s="782">
        <v>12061353</v>
      </c>
      <c r="AS772" s="782">
        <v>12061354</v>
      </c>
      <c r="AT772" s="782">
        <v>12068566</v>
      </c>
      <c r="AU772" s="781"/>
      <c r="AV772" s="782">
        <v>12088206</v>
      </c>
      <c r="AW772" s="782">
        <v>12088207</v>
      </c>
      <c r="AX772" s="782"/>
      <c r="AY772" s="782">
        <v>12068565</v>
      </c>
      <c r="AZ772" s="782"/>
      <c r="BA772" s="781"/>
    </row>
    <row r="773" spans="1:53" ht="25" hidden="1" customHeight="1">
      <c r="B773" s="213">
        <v>45430</v>
      </c>
      <c r="C773" s="578">
        <v>45440</v>
      </c>
      <c r="D773" s="185">
        <f t="shared" ref="D773:D836" si="269">IF(B773="","",YEAR(B773))</f>
        <v>2024</v>
      </c>
      <c r="E773" s="215" t="str">
        <f>VLOOKUP($B773,Week!$A$1:$C$1462,2,0)</f>
        <v>Week20</v>
      </c>
      <c r="F773" s="216" t="str">
        <f t="shared" ref="F773:F836" si="270">IF(B773="","",TEXT(B773,"[$-409]mmm"))</f>
        <v>May</v>
      </c>
      <c r="G773" s="215" t="s">
        <v>1204</v>
      </c>
      <c r="H773" s="215" t="s">
        <v>104</v>
      </c>
      <c r="I773" s="215" t="s">
        <v>2772</v>
      </c>
      <c r="J773" s="209" t="s">
        <v>105</v>
      </c>
      <c r="K773" s="217" t="s">
        <v>107</v>
      </c>
      <c r="L773" s="300" t="s">
        <v>2167</v>
      </c>
      <c r="M773" s="209" t="s">
        <v>108</v>
      </c>
      <c r="N773" s="215" t="s">
        <v>109</v>
      </c>
      <c r="O773" s="215" t="s">
        <v>110</v>
      </c>
      <c r="P773" s="218">
        <v>36</v>
      </c>
      <c r="Q773" s="218">
        <v>5</v>
      </c>
      <c r="R773" s="219">
        <v>7.4999999999999997E-3</v>
      </c>
      <c r="S773" s="215" t="s">
        <v>111</v>
      </c>
      <c r="T773" s="215" t="s">
        <v>112</v>
      </c>
      <c r="U773" s="215" t="s">
        <v>113</v>
      </c>
      <c r="V773" s="220">
        <v>792</v>
      </c>
      <c r="W773" s="220">
        <v>792</v>
      </c>
      <c r="X773" s="221"/>
      <c r="Y773" s="222">
        <f t="shared" si="257"/>
        <v>0</v>
      </c>
      <c r="Z773" s="223">
        <f t="shared" si="258"/>
        <v>0</v>
      </c>
      <c r="AA773" s="223"/>
      <c r="AB773" s="807"/>
      <c r="AC773" s="220"/>
      <c r="AD773" s="209"/>
      <c r="AE773" s="210"/>
      <c r="AF773" s="210"/>
      <c r="AG773" s="211">
        <f t="shared" si="263"/>
        <v>0.308</v>
      </c>
      <c r="AH773" s="157">
        <f t="shared" si="268"/>
        <v>0</v>
      </c>
      <c r="AI773" s="152">
        <f t="shared" si="264"/>
        <v>28512</v>
      </c>
      <c r="AK773" s="156" t="s">
        <v>691</v>
      </c>
      <c r="AL773" s="574" t="s">
        <v>690</v>
      </c>
      <c r="AM773" s="198">
        <f t="shared" si="267"/>
        <v>0</v>
      </c>
      <c r="AN773" s="199">
        <f t="shared" ref="AN773:AN836" si="271">B773</f>
        <v>45430</v>
      </c>
      <c r="AO773" s="159" t="s">
        <v>692</v>
      </c>
      <c r="AP773" s="781"/>
      <c r="AQ773" s="782">
        <v>12063755</v>
      </c>
      <c r="AR773" s="782">
        <v>12061353</v>
      </c>
      <c r="AS773" s="782">
        <v>12061354</v>
      </c>
      <c r="AT773" s="782">
        <v>12068566</v>
      </c>
      <c r="AU773" s="781"/>
      <c r="AV773" s="782">
        <v>12088206</v>
      </c>
      <c r="AW773" s="782">
        <v>12088207</v>
      </c>
      <c r="AX773" s="782"/>
      <c r="AY773" s="782">
        <v>12068565</v>
      </c>
      <c r="AZ773" s="782"/>
      <c r="BA773" s="781"/>
    </row>
    <row r="774" spans="1:53" ht="25" hidden="1" customHeight="1">
      <c r="B774" s="213">
        <v>45430</v>
      </c>
      <c r="C774" s="578">
        <v>45440</v>
      </c>
      <c r="D774" s="185">
        <f t="shared" si="269"/>
        <v>2024</v>
      </c>
      <c r="E774" s="215" t="str">
        <f>VLOOKUP($B774,Week!$A$1:$C$1462,2,0)</f>
        <v>Week20</v>
      </c>
      <c r="F774" s="216" t="str">
        <f t="shared" si="270"/>
        <v>May</v>
      </c>
      <c r="G774" s="215" t="s">
        <v>1205</v>
      </c>
      <c r="H774" s="215" t="s">
        <v>104</v>
      </c>
      <c r="I774" s="215" t="s">
        <v>2772</v>
      </c>
      <c r="J774" s="209" t="s">
        <v>105</v>
      </c>
      <c r="K774" s="217" t="s">
        <v>107</v>
      </c>
      <c r="L774" s="300" t="s">
        <v>2167</v>
      </c>
      <c r="M774" s="209" t="s">
        <v>108</v>
      </c>
      <c r="N774" s="215" t="s">
        <v>109</v>
      </c>
      <c r="O774" s="215" t="s">
        <v>110</v>
      </c>
      <c r="P774" s="218">
        <v>36</v>
      </c>
      <c r="Q774" s="218">
        <v>5</v>
      </c>
      <c r="R774" s="219">
        <v>7.4999999999999997E-3</v>
      </c>
      <c r="S774" s="215" t="s">
        <v>111</v>
      </c>
      <c r="T774" s="215" t="s">
        <v>112</v>
      </c>
      <c r="U774" s="215" t="s">
        <v>113</v>
      </c>
      <c r="V774" s="220">
        <f>4159-397-792-792-792-792</f>
        <v>594</v>
      </c>
      <c r="W774" s="220">
        <f>4159-397-792-792-792-792</f>
        <v>594</v>
      </c>
      <c r="X774" s="221"/>
      <c r="Y774" s="222">
        <f t="shared" si="257"/>
        <v>0</v>
      </c>
      <c r="Z774" s="223">
        <f t="shared" si="258"/>
        <v>0</v>
      </c>
      <c r="AA774" s="223"/>
      <c r="AB774" s="807"/>
      <c r="AC774" s="220"/>
      <c r="AD774" s="209"/>
      <c r="AE774" s="210"/>
      <c r="AF774" s="210"/>
      <c r="AG774" s="211">
        <f t="shared" si="263"/>
        <v>0.308</v>
      </c>
      <c r="AH774" s="157">
        <f t="shared" si="268"/>
        <v>0</v>
      </c>
      <c r="AI774" s="152">
        <f t="shared" si="264"/>
        <v>21384</v>
      </c>
      <c r="AK774" s="156" t="s">
        <v>691</v>
      </c>
      <c r="AL774" s="574" t="s">
        <v>690</v>
      </c>
      <c r="AM774" s="198">
        <f t="shared" si="267"/>
        <v>0</v>
      </c>
      <c r="AN774" s="199">
        <f t="shared" si="271"/>
        <v>45430</v>
      </c>
      <c r="AO774" s="159" t="s">
        <v>692</v>
      </c>
      <c r="AP774" s="781"/>
      <c r="AQ774" s="782">
        <v>12063755</v>
      </c>
      <c r="AR774" s="782">
        <v>12061353</v>
      </c>
      <c r="AS774" s="782">
        <v>12061354</v>
      </c>
      <c r="AT774" s="782">
        <v>12068566</v>
      </c>
      <c r="AU774" s="781"/>
      <c r="AV774" s="782">
        <v>12088206</v>
      </c>
      <c r="AW774" s="782">
        <v>12088207</v>
      </c>
      <c r="AX774" s="782"/>
      <c r="AY774" s="782">
        <v>12068565</v>
      </c>
      <c r="AZ774" s="782"/>
      <c r="BA774" s="781"/>
    </row>
    <row r="775" spans="1:53" ht="24.65" hidden="1" customHeight="1">
      <c r="B775" s="183">
        <v>45431</v>
      </c>
      <c r="C775" s="184"/>
      <c r="D775" s="185">
        <f t="shared" si="269"/>
        <v>2024</v>
      </c>
      <c r="E775" s="185" t="str">
        <f>VLOOKUP($B775,Week!$A$1:$C$1462,2,0)</f>
        <v>Week20</v>
      </c>
      <c r="F775" s="186" t="str">
        <f t="shared" si="270"/>
        <v>May</v>
      </c>
      <c r="G775" s="185"/>
      <c r="H775" s="185"/>
      <c r="I775" s="185"/>
      <c r="J775" s="187"/>
      <c r="K775" s="188"/>
      <c r="L775" s="300"/>
      <c r="M775" s="187"/>
      <c r="N775" s="185"/>
      <c r="O775" s="185"/>
      <c r="P775" s="189"/>
      <c r="Q775" s="189"/>
      <c r="R775" s="190"/>
      <c r="S775" s="185"/>
      <c r="T775" s="185"/>
      <c r="U775" s="185"/>
      <c r="V775" s="191"/>
      <c r="W775" s="191"/>
      <c r="X775" s="192"/>
      <c r="Y775" s="193"/>
      <c r="Z775" s="194"/>
      <c r="AA775" s="194"/>
      <c r="AB775" s="805"/>
      <c r="AC775" s="191"/>
      <c r="AD775" s="187"/>
      <c r="AE775" s="195"/>
      <c r="AF775" s="195"/>
      <c r="AG775" s="196"/>
      <c r="AH775" s="197"/>
      <c r="AK775" s="156" t="s">
        <v>691</v>
      </c>
      <c r="AM775" s="198">
        <f t="shared" si="267"/>
        <v>0</v>
      </c>
      <c r="AN775" s="199">
        <f t="shared" si="271"/>
        <v>45431</v>
      </c>
      <c r="AO775" s="159" t="s">
        <v>692</v>
      </c>
      <c r="AP775" s="781"/>
      <c r="AQ775" s="782"/>
      <c r="AR775" s="782"/>
      <c r="AS775" s="782"/>
      <c r="AT775" s="782"/>
      <c r="AU775" s="781"/>
      <c r="AV775" s="782"/>
      <c r="AW775" s="782"/>
      <c r="AX775" s="782"/>
      <c r="AY775" s="782"/>
      <c r="AZ775" s="782"/>
      <c r="BA775" s="781"/>
    </row>
    <row r="776" spans="1:53" ht="25.15" hidden="1" customHeight="1">
      <c r="B776" s="345">
        <v>45432</v>
      </c>
      <c r="C776" s="346">
        <v>45448</v>
      </c>
      <c r="D776" s="185">
        <f t="shared" si="269"/>
        <v>2024</v>
      </c>
      <c r="E776" s="347" t="str">
        <f>VLOOKUP($B776,Week!$A$1:$C$1462,2,0)</f>
        <v>Week21</v>
      </c>
      <c r="F776" s="348" t="str">
        <f t="shared" si="270"/>
        <v>May</v>
      </c>
      <c r="G776" s="347" t="s">
        <v>1123</v>
      </c>
      <c r="H776" s="347" t="s">
        <v>424</v>
      </c>
      <c r="I776" s="347" t="s">
        <v>2772</v>
      </c>
      <c r="J776" s="438" t="s">
        <v>425</v>
      </c>
      <c r="K776" s="350" t="s">
        <v>176</v>
      </c>
      <c r="L776" s="300" t="s">
        <v>2167</v>
      </c>
      <c r="M776" s="349" t="s">
        <v>426</v>
      </c>
      <c r="N776" s="347" t="s">
        <v>427</v>
      </c>
      <c r="O776" s="347" t="s">
        <v>599</v>
      </c>
      <c r="P776" s="351">
        <v>36</v>
      </c>
      <c r="Q776" s="351">
        <v>5</v>
      </c>
      <c r="R776" s="352">
        <v>7.4999999999999997E-3</v>
      </c>
      <c r="S776" s="347" t="s">
        <v>111</v>
      </c>
      <c r="T776" s="347" t="s">
        <v>112</v>
      </c>
      <c r="U776" s="347" t="s">
        <v>57</v>
      </c>
      <c r="V776" s="353">
        <v>1288</v>
      </c>
      <c r="W776" s="353">
        <f>16+1272</f>
        <v>1288</v>
      </c>
      <c r="X776" s="354"/>
      <c r="Y776" s="355">
        <f t="shared" ref="Y776:Y814" si="272">(W776+X776)-V776</f>
        <v>0</v>
      </c>
      <c r="Z776" s="356">
        <f t="shared" ref="Z776:Z814" si="273">IF(Y776&lt;0,((V776*P776)-((W776+X776)*P776)),0)</f>
        <v>0</v>
      </c>
      <c r="AA776" s="353"/>
      <c r="AB776" s="818"/>
      <c r="AC776" s="353"/>
      <c r="AD776" s="307" t="s">
        <v>728</v>
      </c>
      <c r="AE776" s="210"/>
      <c r="AF776" s="210"/>
      <c r="AG776" s="211">
        <f>MID(O776,1,3)/1000</f>
        <v>0.14799999999999999</v>
      </c>
      <c r="AH776" s="157">
        <f t="shared" ref="AH776:AH787" si="274">(Z776*AG776)/1000</f>
        <v>0</v>
      </c>
      <c r="AI776" s="152">
        <f>V776*P776</f>
        <v>46368</v>
      </c>
      <c r="AK776" s="156" t="s">
        <v>691</v>
      </c>
      <c r="AL776" s="574" t="s">
        <v>690</v>
      </c>
      <c r="AM776" s="198">
        <f t="shared" si="267"/>
        <v>0</v>
      </c>
      <c r="AN776" s="199">
        <f t="shared" si="271"/>
        <v>45432</v>
      </c>
      <c r="AO776" s="159" t="s">
        <v>692</v>
      </c>
      <c r="AP776" s="783" t="s">
        <v>609</v>
      </c>
      <c r="AQ776" s="782">
        <v>12071839</v>
      </c>
      <c r="AR776" s="782">
        <v>12047514</v>
      </c>
      <c r="AS776" s="782">
        <v>12047515</v>
      </c>
      <c r="AT776" s="782">
        <v>12062098</v>
      </c>
      <c r="AU776" s="782"/>
      <c r="AV776" s="782">
        <v>12062100</v>
      </c>
      <c r="AW776" s="782">
        <v>12024404</v>
      </c>
      <c r="AX776" s="781"/>
      <c r="AY776" s="782">
        <v>12062116</v>
      </c>
      <c r="AZ776" s="782"/>
      <c r="BA776" s="781"/>
    </row>
    <row r="777" spans="1:53" ht="24.65" hidden="1" customHeight="1">
      <c r="A777" s="529" t="s">
        <v>598</v>
      </c>
      <c r="B777" s="283">
        <v>45432</v>
      </c>
      <c r="C777" s="284">
        <v>45437</v>
      </c>
      <c r="D777" s="185">
        <f t="shared" si="269"/>
        <v>2024</v>
      </c>
      <c r="E777" s="284" t="str">
        <f>VLOOKUP($B777,Week!$A$1:$C$1462,2,0)</f>
        <v>Week21</v>
      </c>
      <c r="F777" s="285" t="str">
        <f t="shared" si="270"/>
        <v>May</v>
      </c>
      <c r="G777" s="631" t="s">
        <v>1300</v>
      </c>
      <c r="H777" s="624" t="s">
        <v>104</v>
      </c>
      <c r="I777" s="624" t="s">
        <v>2772</v>
      </c>
      <c r="J777" s="625" t="s">
        <v>105</v>
      </c>
      <c r="K777" s="288" t="s">
        <v>51</v>
      </c>
      <c r="L777" s="300" t="s">
        <v>2167</v>
      </c>
      <c r="M777" s="287" t="s">
        <v>595</v>
      </c>
      <c r="N777" s="286" t="s">
        <v>597</v>
      </c>
      <c r="O777" s="286" t="s">
        <v>187</v>
      </c>
      <c r="P777" s="289">
        <v>8</v>
      </c>
      <c r="Q777" s="289">
        <v>5</v>
      </c>
      <c r="R777" s="290">
        <v>6.0000000000000001E-3</v>
      </c>
      <c r="S777" s="286" t="s">
        <v>55</v>
      </c>
      <c r="T777" s="286" t="s">
        <v>112</v>
      </c>
      <c r="U777" s="286" t="s">
        <v>57</v>
      </c>
      <c r="V777" s="291">
        <v>15</v>
      </c>
      <c r="W777" s="291"/>
      <c r="X777" s="292">
        <v>15</v>
      </c>
      <c r="Y777" s="293">
        <f t="shared" si="272"/>
        <v>0</v>
      </c>
      <c r="Z777" s="294">
        <f t="shared" si="273"/>
        <v>0</v>
      </c>
      <c r="AA777" s="294"/>
      <c r="AB777" s="813"/>
      <c r="AC777" s="291"/>
      <c r="AD777" s="486"/>
      <c r="AE777" s="210"/>
      <c r="AF777" s="210"/>
      <c r="AG777" s="211">
        <v>0.14499999999999999</v>
      </c>
      <c r="AH777" s="157">
        <f t="shared" si="274"/>
        <v>0</v>
      </c>
      <c r="AI777" s="152">
        <v>19800</v>
      </c>
      <c r="AK777" s="156" t="s">
        <v>691</v>
      </c>
      <c r="AL777" s="212" t="s">
        <v>690</v>
      </c>
      <c r="AM777" s="198">
        <f t="shared" si="267"/>
        <v>0</v>
      </c>
      <c r="AN777" s="199">
        <f t="shared" si="271"/>
        <v>45432</v>
      </c>
      <c r="AO777" s="159" t="s">
        <v>692</v>
      </c>
      <c r="AP777" s="781"/>
      <c r="AQ777" s="782">
        <v>12071839</v>
      </c>
      <c r="AR777" s="782">
        <v>12047514</v>
      </c>
      <c r="AS777" s="782">
        <v>12047515</v>
      </c>
      <c r="AT777" s="782">
        <v>12083107</v>
      </c>
      <c r="AU777" s="781"/>
      <c r="AV777" s="782">
        <v>12084002</v>
      </c>
      <c r="AW777" s="782"/>
      <c r="AX777" s="782"/>
      <c r="AY777" s="782"/>
      <c r="AZ777" s="782"/>
      <c r="BA777" s="781"/>
    </row>
    <row r="778" spans="1:53" ht="24.65" hidden="1" customHeight="1">
      <c r="B778" s="283">
        <v>45432</v>
      </c>
      <c r="C778" s="284">
        <v>45456</v>
      </c>
      <c r="D778" s="185">
        <f t="shared" si="269"/>
        <v>2024</v>
      </c>
      <c r="E778" s="284" t="str">
        <f>VLOOKUP($B778,Week!$A$1:$C$1462,2,0)</f>
        <v>Week21</v>
      </c>
      <c r="F778" s="285" t="str">
        <f t="shared" si="270"/>
        <v>May</v>
      </c>
      <c r="G778" s="631" t="s">
        <v>1297</v>
      </c>
      <c r="H778" s="624" t="s">
        <v>104</v>
      </c>
      <c r="I778" s="624" t="s">
        <v>2772</v>
      </c>
      <c r="J778" s="625" t="s">
        <v>105</v>
      </c>
      <c r="K778" s="288" t="s">
        <v>51</v>
      </c>
      <c r="L778" s="300" t="s">
        <v>2167</v>
      </c>
      <c r="M778" s="287" t="s">
        <v>595</v>
      </c>
      <c r="N778" s="286" t="s">
        <v>597</v>
      </c>
      <c r="O778" s="286" t="s">
        <v>187</v>
      </c>
      <c r="P778" s="289">
        <v>8</v>
      </c>
      <c r="Q778" s="289">
        <v>5</v>
      </c>
      <c r="R778" s="290">
        <v>6.0000000000000001E-3</v>
      </c>
      <c r="S778" s="286" t="s">
        <v>55</v>
      </c>
      <c r="T778" s="286" t="s">
        <v>112</v>
      </c>
      <c r="U778" s="286" t="s">
        <v>57</v>
      </c>
      <c r="V778" s="291">
        <v>1200</v>
      </c>
      <c r="W778" s="291"/>
      <c r="X778" s="292">
        <f>1200</f>
        <v>1200</v>
      </c>
      <c r="Y778" s="293">
        <f t="shared" si="272"/>
        <v>0</v>
      </c>
      <c r="Z778" s="294">
        <f t="shared" si="273"/>
        <v>0</v>
      </c>
      <c r="AA778" s="294"/>
      <c r="AB778" s="813"/>
      <c r="AC778" s="291"/>
      <c r="AD778" s="486"/>
      <c r="AE778" s="210"/>
      <c r="AF778" s="210"/>
      <c r="AG778" s="211">
        <v>0.14499999999999999</v>
      </c>
      <c r="AH778" s="157">
        <f t="shared" si="274"/>
        <v>0</v>
      </c>
      <c r="AI778" s="152">
        <v>19800</v>
      </c>
      <c r="AK778" s="156" t="s">
        <v>691</v>
      </c>
      <c r="AL778" s="212" t="s">
        <v>690</v>
      </c>
      <c r="AM778" s="198">
        <f t="shared" si="267"/>
        <v>0</v>
      </c>
      <c r="AN778" s="199">
        <f t="shared" si="271"/>
        <v>45432</v>
      </c>
      <c r="AO778" s="159" t="s">
        <v>692</v>
      </c>
      <c r="AP778" s="781"/>
      <c r="AQ778" s="782">
        <v>12071839</v>
      </c>
      <c r="AR778" s="782">
        <v>12047514</v>
      </c>
      <c r="AS778" s="782">
        <v>12047515</v>
      </c>
      <c r="AT778" s="782">
        <v>12083107</v>
      </c>
      <c r="AU778" s="781"/>
      <c r="AV778" s="782">
        <v>12084002</v>
      </c>
      <c r="AW778" s="782"/>
      <c r="AX778" s="782"/>
      <c r="AY778" s="782"/>
      <c r="AZ778" s="782"/>
      <c r="BA778" s="781"/>
    </row>
    <row r="779" spans="1:53" ht="24.65" hidden="1" customHeight="1">
      <c r="A779" s="598"/>
      <c r="B779" s="283">
        <v>45432</v>
      </c>
      <c r="C779" s="284">
        <v>45460</v>
      </c>
      <c r="D779" s="185">
        <f t="shared" si="269"/>
        <v>2024</v>
      </c>
      <c r="E779" s="284" t="str">
        <f>VLOOKUP($B779,Week!$A$1:$C$1462,2,0)</f>
        <v>Week21</v>
      </c>
      <c r="F779" s="285" t="str">
        <f t="shared" si="270"/>
        <v>May</v>
      </c>
      <c r="G779" s="626" t="s">
        <v>1250</v>
      </c>
      <c r="H779" s="624" t="s">
        <v>104</v>
      </c>
      <c r="I779" s="624" t="s">
        <v>2772</v>
      </c>
      <c r="J779" s="625" t="s">
        <v>105</v>
      </c>
      <c r="K779" s="288" t="s">
        <v>51</v>
      </c>
      <c r="L779" s="300" t="s">
        <v>2167</v>
      </c>
      <c r="M779" s="287" t="s">
        <v>595</v>
      </c>
      <c r="N779" s="286" t="s">
        <v>597</v>
      </c>
      <c r="O779" s="286" t="s">
        <v>187</v>
      </c>
      <c r="P779" s="289">
        <v>8</v>
      </c>
      <c r="Q779" s="289">
        <v>5</v>
      </c>
      <c r="R779" s="290">
        <v>6.0000000000000001E-3</v>
      </c>
      <c r="S779" s="286" t="s">
        <v>55</v>
      </c>
      <c r="T779" s="286" t="s">
        <v>112</v>
      </c>
      <c r="U779" s="286" t="s">
        <v>57</v>
      </c>
      <c r="V779" s="291">
        <f>1400</f>
        <v>1400</v>
      </c>
      <c r="W779" s="291"/>
      <c r="X779" s="292">
        <f>1400</f>
        <v>1400</v>
      </c>
      <c r="Y779" s="293">
        <f t="shared" si="272"/>
        <v>0</v>
      </c>
      <c r="Z779" s="294">
        <f t="shared" si="273"/>
        <v>0</v>
      </c>
      <c r="AA779" s="294"/>
      <c r="AB779" s="813"/>
      <c r="AC779" s="291"/>
      <c r="AD779" s="486"/>
      <c r="AE779" s="210"/>
      <c r="AF779" s="210"/>
      <c r="AG779" s="211">
        <v>0.14499999999999999</v>
      </c>
      <c r="AH779" s="157">
        <f t="shared" si="274"/>
        <v>0</v>
      </c>
      <c r="AI779" s="152">
        <v>19800</v>
      </c>
      <c r="AK779" s="156" t="s">
        <v>691</v>
      </c>
      <c r="AL779" s="212" t="s">
        <v>690</v>
      </c>
      <c r="AM779" s="198">
        <f t="shared" si="267"/>
        <v>0</v>
      </c>
      <c r="AN779" s="199">
        <f t="shared" si="271"/>
        <v>45432</v>
      </c>
      <c r="AO779" s="159" t="s">
        <v>692</v>
      </c>
      <c r="AP779" s="781"/>
      <c r="AQ779" s="782">
        <v>12071839</v>
      </c>
      <c r="AR779" s="782">
        <v>12047514</v>
      </c>
      <c r="AS779" s="782">
        <v>12047515</v>
      </c>
      <c r="AT779" s="782">
        <v>12083107</v>
      </c>
      <c r="AU779" s="781"/>
      <c r="AV779" s="782">
        <v>12084002</v>
      </c>
      <c r="AW779" s="782"/>
      <c r="AX779" s="782"/>
      <c r="AY779" s="782"/>
      <c r="AZ779" s="782"/>
      <c r="BA779" s="781"/>
    </row>
    <row r="780" spans="1:53" ht="24.75" hidden="1" customHeight="1">
      <c r="B780" s="295">
        <v>45432</v>
      </c>
      <c r="C780" s="296">
        <v>45439</v>
      </c>
      <c r="D780" s="185">
        <f t="shared" si="269"/>
        <v>2024</v>
      </c>
      <c r="E780" s="296" t="str">
        <f>VLOOKUP($B780,Week!$A$1:$C$1462,2,0)</f>
        <v>Week21</v>
      </c>
      <c r="F780" s="297" t="str">
        <f t="shared" si="270"/>
        <v>May</v>
      </c>
      <c r="G780" s="298" t="s">
        <v>47</v>
      </c>
      <c r="H780" s="298" t="s">
        <v>260</v>
      </c>
      <c r="I780" s="298" t="s">
        <v>2702</v>
      </c>
      <c r="J780" s="307" t="s">
        <v>904</v>
      </c>
      <c r="K780" s="300" t="s">
        <v>176</v>
      </c>
      <c r="L780" s="300" t="s">
        <v>2167</v>
      </c>
      <c r="M780" s="299" t="s">
        <v>262</v>
      </c>
      <c r="N780" s="298" t="s">
        <v>350</v>
      </c>
      <c r="O780" s="298" t="s">
        <v>351</v>
      </c>
      <c r="P780" s="301">
        <v>24</v>
      </c>
      <c r="Q780" s="301">
        <v>5</v>
      </c>
      <c r="R780" s="302">
        <v>6.1999999999999998E-3</v>
      </c>
      <c r="S780" s="298" t="s">
        <v>352</v>
      </c>
      <c r="T780" s="298" t="s">
        <v>56</v>
      </c>
      <c r="U780" s="298" t="s">
        <v>57</v>
      </c>
      <c r="V780" s="303">
        <v>3228</v>
      </c>
      <c r="W780" s="303">
        <f>3228</f>
        <v>3228</v>
      </c>
      <c r="X780" s="304"/>
      <c r="Y780" s="305">
        <f t="shared" si="272"/>
        <v>0</v>
      </c>
      <c r="Z780" s="306">
        <f t="shared" si="273"/>
        <v>0</v>
      </c>
      <c r="AA780" s="306"/>
      <c r="AB780" s="814"/>
      <c r="AC780" s="303"/>
      <c r="AD780" s="580" t="s">
        <v>672</v>
      </c>
      <c r="AE780" s="210"/>
      <c r="AF780" s="210"/>
      <c r="AG780" s="211">
        <f t="shared" ref="AG780:AG791" si="275">MID(O780,1,3)/1000</f>
        <v>0.13</v>
      </c>
      <c r="AH780" s="157">
        <f t="shared" si="274"/>
        <v>0</v>
      </c>
      <c r="AI780" s="152">
        <f t="shared" ref="AI780:AI796" si="276">V780*P780</f>
        <v>77472</v>
      </c>
      <c r="AK780" s="156" t="s">
        <v>691</v>
      </c>
      <c r="AL780" s="574" t="s">
        <v>690</v>
      </c>
      <c r="AM780" s="198">
        <f t="shared" si="267"/>
        <v>0</v>
      </c>
      <c r="AN780" s="199">
        <f t="shared" si="271"/>
        <v>45432</v>
      </c>
      <c r="AO780" s="159" t="s">
        <v>692</v>
      </c>
      <c r="AP780" s="783" t="s">
        <v>629</v>
      </c>
      <c r="AQ780" s="782">
        <v>12071839</v>
      </c>
      <c r="AR780" s="782">
        <v>12078867</v>
      </c>
      <c r="AS780" s="782">
        <v>12068233</v>
      </c>
      <c r="AT780" s="781"/>
      <c r="AU780" s="781"/>
      <c r="AV780" s="782">
        <v>12062075</v>
      </c>
      <c r="AW780" s="781"/>
      <c r="AX780" s="781"/>
      <c r="AY780" s="782">
        <v>12078867</v>
      </c>
      <c r="AZ780" s="781"/>
      <c r="BA780" s="781"/>
    </row>
    <row r="781" spans="1:53" ht="25" hidden="1" customHeight="1">
      <c r="A781" s="142" t="s">
        <v>120</v>
      </c>
      <c r="B781" s="466">
        <v>45432</v>
      </c>
      <c r="C781" s="467">
        <v>45444</v>
      </c>
      <c r="D781" s="185">
        <f t="shared" si="269"/>
        <v>2024</v>
      </c>
      <c r="E781" s="468" t="str">
        <f>VLOOKUP($B781,Week!$A$1:$C$1462,2,0)</f>
        <v>Week21</v>
      </c>
      <c r="F781" s="469" t="str">
        <f t="shared" si="270"/>
        <v>May</v>
      </c>
      <c r="G781" s="470" t="s">
        <v>1309</v>
      </c>
      <c r="H781" s="468" t="s">
        <v>82</v>
      </c>
      <c r="I781" s="468" t="s">
        <v>82</v>
      </c>
      <c r="J781" s="471" t="s">
        <v>720</v>
      </c>
      <c r="K781" s="472" t="s">
        <v>85</v>
      </c>
      <c r="L781" s="390" t="s">
        <v>2166</v>
      </c>
      <c r="M781" s="471" t="s">
        <v>579</v>
      </c>
      <c r="N781" s="468" t="s">
        <v>580</v>
      </c>
      <c r="O781" s="468" t="s">
        <v>581</v>
      </c>
      <c r="P781" s="473">
        <v>8</v>
      </c>
      <c r="Q781" s="473">
        <v>60</v>
      </c>
      <c r="R781" s="474">
        <v>6.8100000000000001E-3</v>
      </c>
      <c r="S781" s="468" t="s">
        <v>76</v>
      </c>
      <c r="T781" s="468" t="s">
        <v>56</v>
      </c>
      <c r="U781" s="468" t="s">
        <v>89</v>
      </c>
      <c r="V781" s="475">
        <v>529</v>
      </c>
      <c r="W781" s="475">
        <f>529</f>
        <v>529</v>
      </c>
      <c r="X781" s="476"/>
      <c r="Y781" s="477">
        <f t="shared" si="272"/>
        <v>0</v>
      </c>
      <c r="Z781" s="478">
        <f t="shared" si="273"/>
        <v>0</v>
      </c>
      <c r="AA781" s="478">
        <f>Q781*Z781</f>
        <v>0</v>
      </c>
      <c r="AB781" s="828">
        <v>6</v>
      </c>
      <c r="AC781" s="475">
        <f>Z781*AB781</f>
        <v>0</v>
      </c>
      <c r="AD781" s="209"/>
      <c r="AE781" s="210"/>
      <c r="AF781" s="210"/>
      <c r="AG781" s="211">
        <f t="shared" si="275"/>
        <v>0.75</v>
      </c>
      <c r="AH781" s="157">
        <f t="shared" si="274"/>
        <v>0</v>
      </c>
      <c r="AI781" s="152">
        <f t="shared" si="276"/>
        <v>4232</v>
      </c>
      <c r="AK781" s="156" t="s">
        <v>691</v>
      </c>
      <c r="AL781" s="156" t="s">
        <v>689</v>
      </c>
      <c r="AM781" s="198">
        <f t="shared" si="267"/>
        <v>0</v>
      </c>
      <c r="AN781" s="199">
        <f t="shared" si="271"/>
        <v>45432</v>
      </c>
      <c r="AO781" s="159" t="s">
        <v>692</v>
      </c>
      <c r="AP781" s="783" t="s">
        <v>622</v>
      </c>
      <c r="AQ781" s="782">
        <v>12004862</v>
      </c>
      <c r="AR781" s="782">
        <v>12080753</v>
      </c>
      <c r="AS781" s="782"/>
      <c r="AT781" s="782">
        <v>12082897</v>
      </c>
      <c r="AU781" s="781"/>
      <c r="AV781" s="782">
        <v>12082898</v>
      </c>
      <c r="AW781" s="782">
        <v>12082899</v>
      </c>
      <c r="AX781" s="796" t="s">
        <v>621</v>
      </c>
      <c r="AY781" s="782"/>
      <c r="AZ781" s="782"/>
      <c r="BA781" s="781"/>
    </row>
    <row r="782" spans="1:53" ht="25" hidden="1" customHeight="1">
      <c r="B782" s="597">
        <v>45433</v>
      </c>
      <c r="C782" s="383">
        <v>45449</v>
      </c>
      <c r="D782" s="185">
        <f t="shared" si="269"/>
        <v>2024</v>
      </c>
      <c r="E782" s="224" t="str">
        <f>VLOOKUP($B782,Week!$A$1:$C$1462,2,0)</f>
        <v>Week21</v>
      </c>
      <c r="F782" s="226" t="str">
        <f t="shared" si="270"/>
        <v>May</v>
      </c>
      <c r="G782" s="225" t="s">
        <v>1265</v>
      </c>
      <c r="H782" s="225" t="s">
        <v>225</v>
      </c>
      <c r="I782" s="225" t="s">
        <v>2773</v>
      </c>
      <c r="J782" s="227" t="s">
        <v>335</v>
      </c>
      <c r="K782" s="228" t="s">
        <v>176</v>
      </c>
      <c r="L782" s="300" t="s">
        <v>2167</v>
      </c>
      <c r="M782" s="227" t="s">
        <v>336</v>
      </c>
      <c r="N782" s="225" t="s">
        <v>337</v>
      </c>
      <c r="O782" s="225" t="s">
        <v>179</v>
      </c>
      <c r="P782" s="229">
        <v>36</v>
      </c>
      <c r="Q782" s="229">
        <v>5</v>
      </c>
      <c r="R782" s="230">
        <v>7.4999999999999997E-3</v>
      </c>
      <c r="S782" s="225" t="s">
        <v>111</v>
      </c>
      <c r="T782" s="225" t="s">
        <v>112</v>
      </c>
      <c r="U782" s="225" t="s">
        <v>113</v>
      </c>
      <c r="V782" s="231">
        <v>1288</v>
      </c>
      <c r="W782" s="231">
        <f>1092-1066+1262</f>
        <v>1288</v>
      </c>
      <c r="X782" s="232"/>
      <c r="Y782" s="233">
        <f t="shared" si="272"/>
        <v>0</v>
      </c>
      <c r="Z782" s="234">
        <f t="shared" si="273"/>
        <v>0</v>
      </c>
      <c r="AA782" s="234"/>
      <c r="AB782" s="822"/>
      <c r="AC782" s="231"/>
      <c r="AD782" s="307" t="s">
        <v>672</v>
      </c>
      <c r="AE782" s="210"/>
      <c r="AF782" s="210"/>
      <c r="AG782" s="211">
        <f t="shared" si="275"/>
        <v>0.14499999999999999</v>
      </c>
      <c r="AH782" s="157">
        <f t="shared" si="274"/>
        <v>0</v>
      </c>
      <c r="AI782" s="152">
        <f t="shared" si="276"/>
        <v>46368</v>
      </c>
      <c r="AK782" s="156" t="s">
        <v>691</v>
      </c>
      <c r="AL782" s="574" t="s">
        <v>690</v>
      </c>
      <c r="AM782" s="198">
        <f t="shared" si="267"/>
        <v>0</v>
      </c>
      <c r="AN782" s="199">
        <f t="shared" si="271"/>
        <v>45433</v>
      </c>
      <c r="AO782" s="159" t="s">
        <v>692</v>
      </c>
      <c r="AP782" s="783" t="s">
        <v>639</v>
      </c>
      <c r="AQ782" s="782">
        <v>12071839</v>
      </c>
      <c r="AR782" s="782">
        <v>12047514</v>
      </c>
      <c r="AS782" s="782">
        <v>12047515</v>
      </c>
      <c r="AT782" s="782">
        <v>12054919</v>
      </c>
      <c r="AU782" s="781"/>
      <c r="AV782" s="782">
        <v>12054869</v>
      </c>
      <c r="AW782" s="782">
        <v>12024404</v>
      </c>
      <c r="AX782" s="781"/>
      <c r="AY782" s="782">
        <v>12054815</v>
      </c>
      <c r="AZ782" s="781"/>
      <c r="BA782" s="781"/>
    </row>
    <row r="783" spans="1:53" ht="25" hidden="1" customHeight="1">
      <c r="B783" s="597">
        <v>45433</v>
      </c>
      <c r="C783" s="383">
        <v>45449</v>
      </c>
      <c r="D783" s="185">
        <f t="shared" si="269"/>
        <v>2024</v>
      </c>
      <c r="E783" s="224" t="str">
        <f>VLOOKUP($B783,Week!$A$1:$C$1462,2,0)</f>
        <v>Week21</v>
      </c>
      <c r="F783" s="226" t="str">
        <f t="shared" si="270"/>
        <v>May</v>
      </c>
      <c r="G783" s="225" t="s">
        <v>1266</v>
      </c>
      <c r="H783" s="225" t="s">
        <v>225</v>
      </c>
      <c r="I783" s="225" t="s">
        <v>2773</v>
      </c>
      <c r="J783" s="227" t="s">
        <v>335</v>
      </c>
      <c r="K783" s="228" t="s">
        <v>176</v>
      </c>
      <c r="L783" s="300" t="s">
        <v>2167</v>
      </c>
      <c r="M783" s="227" t="s">
        <v>336</v>
      </c>
      <c r="N783" s="225" t="s">
        <v>337</v>
      </c>
      <c r="O783" s="225" t="s">
        <v>179</v>
      </c>
      <c r="P783" s="229">
        <v>36</v>
      </c>
      <c r="Q783" s="229">
        <v>5</v>
      </c>
      <c r="R783" s="230">
        <v>7.4999999999999997E-3</v>
      </c>
      <c r="S783" s="225" t="s">
        <v>111</v>
      </c>
      <c r="T783" s="225" t="s">
        <v>112</v>
      </c>
      <c r="U783" s="225" t="s">
        <v>113</v>
      </c>
      <c r="V783" s="231">
        <v>1288</v>
      </c>
      <c r="W783" s="231">
        <v>1288</v>
      </c>
      <c r="X783" s="232"/>
      <c r="Y783" s="233">
        <f t="shared" si="272"/>
        <v>0</v>
      </c>
      <c r="Z783" s="234">
        <f t="shared" si="273"/>
        <v>0</v>
      </c>
      <c r="AA783" s="234"/>
      <c r="AB783" s="822"/>
      <c r="AC783" s="231"/>
      <c r="AD783" s="307" t="s">
        <v>672</v>
      </c>
      <c r="AE783" s="210"/>
      <c r="AF783" s="210"/>
      <c r="AG783" s="211">
        <f t="shared" si="275"/>
        <v>0.14499999999999999</v>
      </c>
      <c r="AH783" s="157">
        <f t="shared" si="274"/>
        <v>0</v>
      </c>
      <c r="AI783" s="152">
        <f t="shared" si="276"/>
        <v>46368</v>
      </c>
      <c r="AK783" s="156" t="s">
        <v>691</v>
      </c>
      <c r="AL783" s="574" t="s">
        <v>690</v>
      </c>
      <c r="AM783" s="198">
        <f t="shared" si="267"/>
        <v>0</v>
      </c>
      <c r="AN783" s="199">
        <f t="shared" si="271"/>
        <v>45433</v>
      </c>
      <c r="AO783" s="159" t="s">
        <v>692</v>
      </c>
      <c r="AP783" s="783" t="s">
        <v>639</v>
      </c>
      <c r="AQ783" s="782">
        <v>12071839</v>
      </c>
      <c r="AR783" s="782">
        <v>12047514</v>
      </c>
      <c r="AS783" s="782">
        <v>12047515</v>
      </c>
      <c r="AT783" s="782">
        <v>12054919</v>
      </c>
      <c r="AU783" s="781"/>
      <c r="AV783" s="782">
        <v>12054869</v>
      </c>
      <c r="AW783" s="782">
        <v>12024404</v>
      </c>
      <c r="AX783" s="781"/>
      <c r="AY783" s="782">
        <v>12054815</v>
      </c>
      <c r="AZ783" s="781"/>
      <c r="BA783" s="781"/>
    </row>
    <row r="784" spans="1:53" ht="25" hidden="1" customHeight="1">
      <c r="B784" s="597">
        <v>45433</v>
      </c>
      <c r="C784" s="383">
        <v>45456</v>
      </c>
      <c r="D784" s="185">
        <f t="shared" si="269"/>
        <v>2024</v>
      </c>
      <c r="E784" s="224" t="str">
        <f>VLOOKUP($B784,Week!$A$1:$C$1462,2,0)</f>
        <v>Week21</v>
      </c>
      <c r="F784" s="226" t="str">
        <f t="shared" si="270"/>
        <v>May</v>
      </c>
      <c r="G784" s="225" t="s">
        <v>1268</v>
      </c>
      <c r="H784" s="225" t="s">
        <v>225</v>
      </c>
      <c r="I784" s="225" t="s">
        <v>2773</v>
      </c>
      <c r="J784" s="227" t="s">
        <v>335</v>
      </c>
      <c r="K784" s="228" t="s">
        <v>176</v>
      </c>
      <c r="L784" s="300" t="s">
        <v>2167</v>
      </c>
      <c r="M784" s="227" t="s">
        <v>336</v>
      </c>
      <c r="N784" s="225" t="s">
        <v>337</v>
      </c>
      <c r="O784" s="225" t="s">
        <v>179</v>
      </c>
      <c r="P784" s="229">
        <v>36</v>
      </c>
      <c r="Q784" s="229">
        <v>5</v>
      </c>
      <c r="R784" s="230">
        <v>7.4999999999999997E-3</v>
      </c>
      <c r="S784" s="225" t="s">
        <v>111</v>
      </c>
      <c r="T784" s="225" t="s">
        <v>112</v>
      </c>
      <c r="U784" s="225" t="s">
        <v>113</v>
      </c>
      <c r="V784" s="231">
        <v>1234</v>
      </c>
      <c r="W784" s="231">
        <f>3784-1262-1288</f>
        <v>1234</v>
      </c>
      <c r="X784" s="232"/>
      <c r="Y784" s="233">
        <f t="shared" si="272"/>
        <v>0</v>
      </c>
      <c r="Z784" s="234">
        <f t="shared" si="273"/>
        <v>0</v>
      </c>
      <c r="AA784" s="234"/>
      <c r="AB784" s="822"/>
      <c r="AC784" s="231"/>
      <c r="AD784" s="307" t="s">
        <v>672</v>
      </c>
      <c r="AE784" s="210"/>
      <c r="AF784" s="210"/>
      <c r="AG784" s="211">
        <f t="shared" si="275"/>
        <v>0.14499999999999999</v>
      </c>
      <c r="AH784" s="157">
        <f t="shared" si="274"/>
        <v>0</v>
      </c>
      <c r="AI784" s="152">
        <f t="shared" si="276"/>
        <v>44424</v>
      </c>
      <c r="AK784" s="156" t="s">
        <v>691</v>
      </c>
      <c r="AL784" s="574" t="s">
        <v>690</v>
      </c>
      <c r="AM784" s="198">
        <f t="shared" si="267"/>
        <v>0</v>
      </c>
      <c r="AN784" s="199">
        <f t="shared" si="271"/>
        <v>45433</v>
      </c>
      <c r="AO784" s="159" t="s">
        <v>692</v>
      </c>
      <c r="AP784" s="783" t="s">
        <v>639</v>
      </c>
      <c r="AQ784" s="782">
        <v>12071839</v>
      </c>
      <c r="AR784" s="782">
        <v>12047514</v>
      </c>
      <c r="AS784" s="782">
        <v>12047515</v>
      </c>
      <c r="AT784" s="782">
        <v>12054919</v>
      </c>
      <c r="AU784" s="781"/>
      <c r="AV784" s="782">
        <v>12054869</v>
      </c>
      <c r="AW784" s="782">
        <v>12024404</v>
      </c>
      <c r="AX784" s="781"/>
      <c r="AY784" s="782">
        <v>12054815</v>
      </c>
      <c r="AZ784" s="781"/>
      <c r="BA784" s="781"/>
    </row>
    <row r="785" spans="1:53" ht="25" hidden="1" customHeight="1">
      <c r="A785" s="142" t="s">
        <v>120</v>
      </c>
      <c r="B785" s="466">
        <v>45433</v>
      </c>
      <c r="C785" s="467">
        <v>45444</v>
      </c>
      <c r="D785" s="185">
        <f t="shared" si="269"/>
        <v>2024</v>
      </c>
      <c r="E785" s="468" t="str">
        <f>VLOOKUP($B785,Week!$A$1:$C$1462,2,0)</f>
        <v>Week21</v>
      </c>
      <c r="F785" s="469" t="str">
        <f t="shared" si="270"/>
        <v>May</v>
      </c>
      <c r="G785" s="470" t="s">
        <v>1309</v>
      </c>
      <c r="H785" s="468" t="s">
        <v>82</v>
      </c>
      <c r="I785" s="468" t="s">
        <v>82</v>
      </c>
      <c r="J785" s="471" t="s">
        <v>720</v>
      </c>
      <c r="K785" s="472" t="s">
        <v>85</v>
      </c>
      <c r="L785" s="390" t="s">
        <v>2166</v>
      </c>
      <c r="M785" s="471" t="s">
        <v>579</v>
      </c>
      <c r="N785" s="468" t="s">
        <v>580</v>
      </c>
      <c r="O785" s="468" t="s">
        <v>581</v>
      </c>
      <c r="P785" s="473">
        <v>8</v>
      </c>
      <c r="Q785" s="473">
        <v>60</v>
      </c>
      <c r="R785" s="474">
        <v>6.8100000000000001E-3</v>
      </c>
      <c r="S785" s="468" t="s">
        <v>76</v>
      </c>
      <c r="T785" s="468" t="s">
        <v>56</v>
      </c>
      <c r="U785" s="468" t="s">
        <v>89</v>
      </c>
      <c r="V785" s="475">
        <v>536</v>
      </c>
      <c r="W785" s="475">
        <v>536</v>
      </c>
      <c r="X785" s="476"/>
      <c r="Y785" s="477">
        <f t="shared" si="272"/>
        <v>0</v>
      </c>
      <c r="Z785" s="478">
        <f t="shared" si="273"/>
        <v>0</v>
      </c>
      <c r="AA785" s="478">
        <f>Q785*Z785</f>
        <v>0</v>
      </c>
      <c r="AB785" s="828">
        <v>6</v>
      </c>
      <c r="AC785" s="475">
        <f>Z785*AB785</f>
        <v>0</v>
      </c>
      <c r="AD785" s="209"/>
      <c r="AE785" s="210"/>
      <c r="AF785" s="210"/>
      <c r="AG785" s="211">
        <f t="shared" si="275"/>
        <v>0.75</v>
      </c>
      <c r="AH785" s="157">
        <f t="shared" si="274"/>
        <v>0</v>
      </c>
      <c r="AI785" s="152">
        <f t="shared" si="276"/>
        <v>4288</v>
      </c>
      <c r="AK785" s="156" t="s">
        <v>691</v>
      </c>
      <c r="AL785" s="156" t="s">
        <v>689</v>
      </c>
      <c r="AM785" s="198">
        <f t="shared" si="267"/>
        <v>0</v>
      </c>
      <c r="AN785" s="199">
        <f t="shared" si="271"/>
        <v>45433</v>
      </c>
      <c r="AO785" s="159" t="s">
        <v>692</v>
      </c>
      <c r="AP785" s="783" t="s">
        <v>622</v>
      </c>
      <c r="AQ785" s="782">
        <v>12004862</v>
      </c>
      <c r="AR785" s="782">
        <v>12080753</v>
      </c>
      <c r="AS785" s="782"/>
      <c r="AT785" s="782">
        <v>12082897</v>
      </c>
      <c r="AU785" s="781"/>
      <c r="AV785" s="782">
        <v>12082898</v>
      </c>
      <c r="AW785" s="782">
        <v>12082899</v>
      </c>
      <c r="AX785" s="796" t="s">
        <v>621</v>
      </c>
      <c r="AY785" s="782"/>
      <c r="AZ785" s="782"/>
      <c r="BA785" s="781"/>
    </row>
    <row r="786" spans="1:53" ht="25" hidden="1" customHeight="1">
      <c r="B786" s="213">
        <v>45434</v>
      </c>
      <c r="C786" s="578">
        <v>45447</v>
      </c>
      <c r="D786" s="185">
        <f t="shared" si="269"/>
        <v>2024</v>
      </c>
      <c r="E786" s="215" t="str">
        <f>VLOOKUP($B786,Week!$A$1:$C$1462,2,0)</f>
        <v>Week21</v>
      </c>
      <c r="F786" s="216" t="str">
        <f t="shared" si="270"/>
        <v>May</v>
      </c>
      <c r="G786" s="215" t="s">
        <v>1205</v>
      </c>
      <c r="H786" s="215" t="s">
        <v>104</v>
      </c>
      <c r="I786" s="215" t="s">
        <v>2772</v>
      </c>
      <c r="J786" s="209" t="s">
        <v>105</v>
      </c>
      <c r="K786" s="217" t="s">
        <v>107</v>
      </c>
      <c r="L786" s="300" t="s">
        <v>2167</v>
      </c>
      <c r="M786" s="209" t="s">
        <v>108</v>
      </c>
      <c r="N786" s="215" t="s">
        <v>109</v>
      </c>
      <c r="O786" s="215" t="s">
        <v>110</v>
      </c>
      <c r="P786" s="218">
        <v>36</v>
      </c>
      <c r="Q786" s="218">
        <v>5</v>
      </c>
      <c r="R786" s="219">
        <v>7.4999999999999997E-3</v>
      </c>
      <c r="S786" s="215" t="s">
        <v>111</v>
      </c>
      <c r="T786" s="215" t="s">
        <v>112</v>
      </c>
      <c r="U786" s="215" t="s">
        <v>113</v>
      </c>
      <c r="V786" s="220">
        <f>792-594</f>
        <v>198</v>
      </c>
      <c r="W786" s="220">
        <v>198</v>
      </c>
      <c r="X786" s="221"/>
      <c r="Y786" s="222">
        <f t="shared" si="272"/>
        <v>0</v>
      </c>
      <c r="Z786" s="223">
        <f t="shared" si="273"/>
        <v>0</v>
      </c>
      <c r="AA786" s="223"/>
      <c r="AB786" s="807"/>
      <c r="AC786" s="220"/>
      <c r="AD786" s="209"/>
      <c r="AE786" s="210"/>
      <c r="AF786" s="210"/>
      <c r="AG786" s="211">
        <f t="shared" si="275"/>
        <v>0.308</v>
      </c>
      <c r="AH786" s="157">
        <f t="shared" si="274"/>
        <v>0</v>
      </c>
      <c r="AI786" s="152">
        <f t="shared" si="276"/>
        <v>7128</v>
      </c>
      <c r="AK786" s="156" t="s">
        <v>691</v>
      </c>
      <c r="AL786" s="574" t="s">
        <v>690</v>
      </c>
      <c r="AM786" s="198">
        <f t="shared" si="267"/>
        <v>0</v>
      </c>
      <c r="AN786" s="199">
        <f t="shared" si="271"/>
        <v>45434</v>
      </c>
      <c r="AO786" s="159" t="s">
        <v>692</v>
      </c>
      <c r="AP786" s="781"/>
      <c r="AQ786" s="782">
        <v>12063755</v>
      </c>
      <c r="AR786" s="782">
        <v>12061353</v>
      </c>
      <c r="AS786" s="782">
        <v>12061354</v>
      </c>
      <c r="AT786" s="782">
        <v>12068566</v>
      </c>
      <c r="AU786" s="781"/>
      <c r="AV786" s="782">
        <v>12088206</v>
      </c>
      <c r="AW786" s="782">
        <v>12088207</v>
      </c>
      <c r="AX786" s="782"/>
      <c r="AY786" s="782">
        <v>12068565</v>
      </c>
      <c r="AZ786" s="782"/>
      <c r="BA786" s="781"/>
    </row>
    <row r="787" spans="1:53" ht="25" hidden="1" customHeight="1">
      <c r="B787" s="213">
        <v>45434</v>
      </c>
      <c r="C787" s="578">
        <v>45447</v>
      </c>
      <c r="D787" s="185">
        <f t="shared" si="269"/>
        <v>2024</v>
      </c>
      <c r="E787" s="215" t="str">
        <f>VLOOKUP($B787,Week!$A$1:$C$1462,2,0)</f>
        <v>Week21</v>
      </c>
      <c r="F787" s="216" t="str">
        <f t="shared" si="270"/>
        <v>May</v>
      </c>
      <c r="G787" s="215" t="s">
        <v>1206</v>
      </c>
      <c r="H787" s="215" t="s">
        <v>104</v>
      </c>
      <c r="I787" s="215" t="s">
        <v>2772</v>
      </c>
      <c r="J787" s="209" t="s">
        <v>105</v>
      </c>
      <c r="K787" s="217" t="s">
        <v>107</v>
      </c>
      <c r="L787" s="300" t="s">
        <v>2167</v>
      </c>
      <c r="M787" s="209" t="s">
        <v>108</v>
      </c>
      <c r="N787" s="215" t="s">
        <v>109</v>
      </c>
      <c r="O787" s="215" t="s">
        <v>110</v>
      </c>
      <c r="P787" s="218">
        <v>36</v>
      </c>
      <c r="Q787" s="218">
        <v>5</v>
      </c>
      <c r="R787" s="219">
        <v>7.4999999999999997E-3</v>
      </c>
      <c r="S787" s="215" t="s">
        <v>111</v>
      </c>
      <c r="T787" s="215" t="s">
        <v>112</v>
      </c>
      <c r="U787" s="215" t="s">
        <v>113</v>
      </c>
      <c r="V787" s="220">
        <f>842-198</f>
        <v>644</v>
      </c>
      <c r="W787" s="220">
        <f>842-198</f>
        <v>644</v>
      </c>
      <c r="X787" s="221"/>
      <c r="Y787" s="222">
        <f t="shared" si="272"/>
        <v>0</v>
      </c>
      <c r="Z787" s="223">
        <f t="shared" si="273"/>
        <v>0</v>
      </c>
      <c r="AA787" s="223"/>
      <c r="AB787" s="807"/>
      <c r="AC787" s="220"/>
      <c r="AD787" s="209"/>
      <c r="AE787" s="210"/>
      <c r="AF787" s="210"/>
      <c r="AG787" s="211">
        <f t="shared" si="275"/>
        <v>0.308</v>
      </c>
      <c r="AH787" s="157">
        <f t="shared" si="274"/>
        <v>0</v>
      </c>
      <c r="AI787" s="152">
        <f t="shared" si="276"/>
        <v>23184</v>
      </c>
      <c r="AK787" s="156" t="s">
        <v>691</v>
      </c>
      <c r="AL787" s="574" t="s">
        <v>690</v>
      </c>
      <c r="AM787" s="198">
        <f t="shared" si="267"/>
        <v>0</v>
      </c>
      <c r="AN787" s="199">
        <f t="shared" si="271"/>
        <v>45434</v>
      </c>
      <c r="AO787" s="159" t="s">
        <v>692</v>
      </c>
      <c r="AP787" s="781"/>
      <c r="AQ787" s="782">
        <v>12063755</v>
      </c>
      <c r="AR787" s="782">
        <v>12061353</v>
      </c>
      <c r="AS787" s="782">
        <v>12061354</v>
      </c>
      <c r="AT787" s="782">
        <v>12068566</v>
      </c>
      <c r="AU787" s="781"/>
      <c r="AV787" s="782">
        <v>12088206</v>
      </c>
      <c r="AW787" s="782">
        <v>12088207</v>
      </c>
      <c r="AX787" s="782"/>
      <c r="AY787" s="782">
        <v>12068565</v>
      </c>
      <c r="AZ787" s="782"/>
      <c r="BA787" s="781"/>
    </row>
    <row r="788" spans="1:53" ht="24.65" hidden="1" customHeight="1">
      <c r="B788" s="308">
        <v>45434</v>
      </c>
      <c r="C788" s="309">
        <v>45448</v>
      </c>
      <c r="D788" s="185">
        <f t="shared" si="269"/>
        <v>2024</v>
      </c>
      <c r="E788" s="309" t="str">
        <f>VLOOKUP($B788,Week!$A$1:$C$1462,2,0)</f>
        <v>Week21</v>
      </c>
      <c r="F788" s="310" t="str">
        <f t="shared" si="270"/>
        <v>May</v>
      </c>
      <c r="G788" s="311" t="s">
        <v>1304</v>
      </c>
      <c r="H788" s="311" t="s">
        <v>311</v>
      </c>
      <c r="I788" s="311" t="s">
        <v>2772</v>
      </c>
      <c r="J788" s="312" t="s">
        <v>738</v>
      </c>
      <c r="K788" s="313" t="s">
        <v>107</v>
      </c>
      <c r="L788" s="300" t="s">
        <v>2167</v>
      </c>
      <c r="M788" s="312" t="s">
        <v>313</v>
      </c>
      <c r="N788" s="311" t="s">
        <v>314</v>
      </c>
      <c r="O788" s="311" t="s">
        <v>110</v>
      </c>
      <c r="P788" s="314">
        <v>36</v>
      </c>
      <c r="Q788" s="314">
        <v>5</v>
      </c>
      <c r="R788" s="315">
        <v>7.4999999999999997E-3</v>
      </c>
      <c r="S788" s="311" t="s">
        <v>111</v>
      </c>
      <c r="T788" s="311" t="s">
        <v>112</v>
      </c>
      <c r="U788" s="311" t="s">
        <v>57</v>
      </c>
      <c r="V788" s="316">
        <v>792</v>
      </c>
      <c r="W788" s="316">
        <f>120+605</f>
        <v>725</v>
      </c>
      <c r="X788" s="317">
        <v>67</v>
      </c>
      <c r="Y788" s="318">
        <f t="shared" si="272"/>
        <v>0</v>
      </c>
      <c r="Z788" s="319">
        <f t="shared" si="273"/>
        <v>0</v>
      </c>
      <c r="AA788" s="319"/>
      <c r="AB788" s="815"/>
      <c r="AC788" s="316"/>
      <c r="AD788" s="515" t="s">
        <v>1479</v>
      </c>
      <c r="AE788" s="210"/>
      <c r="AF788" s="210"/>
      <c r="AG788" s="211">
        <f t="shared" si="275"/>
        <v>0.308</v>
      </c>
      <c r="AH788" s="157">
        <f t="shared" ref="AH788:AH793" si="277">(Z788*AG788)/1000</f>
        <v>0</v>
      </c>
      <c r="AI788" s="152">
        <f t="shared" si="276"/>
        <v>28512</v>
      </c>
      <c r="AK788" s="156" t="s">
        <v>691</v>
      </c>
      <c r="AL788" s="212" t="s">
        <v>690</v>
      </c>
      <c r="AM788" s="198">
        <f t="shared" si="267"/>
        <v>0</v>
      </c>
      <c r="AN788" s="199">
        <f t="shared" si="271"/>
        <v>45434</v>
      </c>
      <c r="AO788" s="159" t="s">
        <v>692</v>
      </c>
      <c r="AP788" s="783" t="s">
        <v>644</v>
      </c>
      <c r="AQ788" s="782">
        <v>12063755</v>
      </c>
      <c r="AR788" s="782">
        <v>12061353</v>
      </c>
      <c r="AS788" s="782">
        <v>12061354</v>
      </c>
      <c r="AT788" s="782">
        <v>12062266</v>
      </c>
      <c r="AU788" s="781"/>
      <c r="AV788" s="782">
        <v>12088159</v>
      </c>
      <c r="AW788" s="782">
        <v>12088207</v>
      </c>
      <c r="AX788" s="782"/>
      <c r="AY788" s="782">
        <v>12062262</v>
      </c>
      <c r="AZ788" s="782"/>
      <c r="BA788" s="781"/>
    </row>
    <row r="789" spans="1:53" ht="24.65" hidden="1" customHeight="1">
      <c r="B789" s="308">
        <v>45434</v>
      </c>
      <c r="C789" s="309">
        <v>45448</v>
      </c>
      <c r="D789" s="185">
        <f t="shared" si="269"/>
        <v>2024</v>
      </c>
      <c r="E789" s="309" t="str">
        <f>VLOOKUP($B789,Week!$A$1:$C$1462,2,0)</f>
        <v>Week21</v>
      </c>
      <c r="F789" s="310" t="str">
        <f t="shared" si="270"/>
        <v>May</v>
      </c>
      <c r="G789" s="311" t="s">
        <v>1305</v>
      </c>
      <c r="H789" s="311" t="s">
        <v>311</v>
      </c>
      <c r="I789" s="311" t="s">
        <v>2772</v>
      </c>
      <c r="J789" s="312" t="s">
        <v>738</v>
      </c>
      <c r="K789" s="313" t="s">
        <v>107</v>
      </c>
      <c r="L789" s="300" t="s">
        <v>2167</v>
      </c>
      <c r="M789" s="312" t="s">
        <v>313</v>
      </c>
      <c r="N789" s="311" t="s">
        <v>314</v>
      </c>
      <c r="O789" s="311" t="s">
        <v>110</v>
      </c>
      <c r="P789" s="314">
        <v>36</v>
      </c>
      <c r="Q789" s="314">
        <v>5</v>
      </c>
      <c r="R789" s="315">
        <v>7.4999999999999997E-3</v>
      </c>
      <c r="S789" s="311" t="s">
        <v>111</v>
      </c>
      <c r="T789" s="311" t="s">
        <v>112</v>
      </c>
      <c r="U789" s="311" t="s">
        <v>57</v>
      </c>
      <c r="V789" s="316">
        <v>792</v>
      </c>
      <c r="W789" s="316">
        <f>164+628</f>
        <v>792</v>
      </c>
      <c r="X789" s="317"/>
      <c r="Y789" s="318">
        <f t="shared" si="272"/>
        <v>0</v>
      </c>
      <c r="Z789" s="319">
        <f t="shared" si="273"/>
        <v>0</v>
      </c>
      <c r="AA789" s="319"/>
      <c r="AB789" s="815"/>
      <c r="AC789" s="316"/>
      <c r="AD789" s="515"/>
      <c r="AE789" s="210"/>
      <c r="AF789" s="210"/>
      <c r="AG789" s="211">
        <f t="shared" si="275"/>
        <v>0.308</v>
      </c>
      <c r="AH789" s="157">
        <f t="shared" si="277"/>
        <v>0</v>
      </c>
      <c r="AI789" s="152">
        <f t="shared" si="276"/>
        <v>28512</v>
      </c>
      <c r="AK789" s="156" t="s">
        <v>691</v>
      </c>
      <c r="AL789" s="212" t="s">
        <v>690</v>
      </c>
      <c r="AM789" s="198">
        <f t="shared" si="267"/>
        <v>0</v>
      </c>
      <c r="AN789" s="199">
        <f t="shared" si="271"/>
        <v>45434</v>
      </c>
      <c r="AO789" s="159" t="s">
        <v>692</v>
      </c>
      <c r="AP789" s="783" t="s">
        <v>644</v>
      </c>
      <c r="AQ789" s="782">
        <v>12063755</v>
      </c>
      <c r="AR789" s="782">
        <v>12061353</v>
      </c>
      <c r="AS789" s="782">
        <v>12061354</v>
      </c>
      <c r="AT789" s="782">
        <v>12062266</v>
      </c>
      <c r="AU789" s="781"/>
      <c r="AV789" s="782">
        <v>12088159</v>
      </c>
      <c r="AW789" s="782">
        <v>12088207</v>
      </c>
      <c r="AX789" s="782"/>
      <c r="AY789" s="782">
        <v>12062262</v>
      </c>
      <c r="AZ789" s="782"/>
      <c r="BA789" s="781"/>
    </row>
    <row r="790" spans="1:53" ht="24.65" hidden="1" customHeight="1">
      <c r="B790" s="308">
        <v>45434</v>
      </c>
      <c r="C790" s="309">
        <v>45448</v>
      </c>
      <c r="D790" s="185">
        <f t="shared" si="269"/>
        <v>2024</v>
      </c>
      <c r="E790" s="309" t="str">
        <f>VLOOKUP($B790,Week!$A$1:$C$1462,2,0)</f>
        <v>Week21</v>
      </c>
      <c r="F790" s="310" t="str">
        <f t="shared" si="270"/>
        <v>May</v>
      </c>
      <c r="G790" s="311" t="s">
        <v>1319</v>
      </c>
      <c r="H790" s="311" t="s">
        <v>311</v>
      </c>
      <c r="I790" s="311" t="s">
        <v>2772</v>
      </c>
      <c r="J790" s="312" t="s">
        <v>738</v>
      </c>
      <c r="K790" s="313" t="s">
        <v>107</v>
      </c>
      <c r="L790" s="300" t="s">
        <v>2167</v>
      </c>
      <c r="M790" s="312" t="s">
        <v>313</v>
      </c>
      <c r="N790" s="311" t="s">
        <v>314</v>
      </c>
      <c r="O790" s="311" t="s">
        <v>110</v>
      </c>
      <c r="P790" s="314">
        <v>36</v>
      </c>
      <c r="Q790" s="314">
        <v>5</v>
      </c>
      <c r="R790" s="315">
        <v>7.4999999999999997E-3</v>
      </c>
      <c r="S790" s="311" t="s">
        <v>111</v>
      </c>
      <c r="T790" s="311" t="s">
        <v>112</v>
      </c>
      <c r="U790" s="311" t="s">
        <v>57</v>
      </c>
      <c r="V790" s="316">
        <f>720+10</f>
        <v>730</v>
      </c>
      <c r="W790" s="316">
        <f>165+555+10</f>
        <v>730</v>
      </c>
      <c r="X790" s="317"/>
      <c r="Y790" s="318">
        <f t="shared" si="272"/>
        <v>0</v>
      </c>
      <c r="Z790" s="319">
        <f t="shared" si="273"/>
        <v>0</v>
      </c>
      <c r="AA790" s="319"/>
      <c r="AB790" s="815"/>
      <c r="AC790" s="316"/>
      <c r="AD790" s="515"/>
      <c r="AE790" s="210"/>
      <c r="AF790" s="210"/>
      <c r="AG790" s="211">
        <f t="shared" si="275"/>
        <v>0.308</v>
      </c>
      <c r="AH790" s="157">
        <f t="shared" si="277"/>
        <v>0</v>
      </c>
      <c r="AI790" s="152">
        <f t="shared" si="276"/>
        <v>26280</v>
      </c>
      <c r="AK790" s="156" t="s">
        <v>691</v>
      </c>
      <c r="AL790" s="212" t="s">
        <v>690</v>
      </c>
      <c r="AM790" s="198">
        <f t="shared" si="267"/>
        <v>0</v>
      </c>
      <c r="AN790" s="199">
        <f t="shared" si="271"/>
        <v>45434</v>
      </c>
      <c r="AO790" s="159" t="s">
        <v>692</v>
      </c>
      <c r="AP790" s="783" t="s">
        <v>644</v>
      </c>
      <c r="AQ790" s="782">
        <v>12063755</v>
      </c>
      <c r="AR790" s="782">
        <v>12061353</v>
      </c>
      <c r="AS790" s="782">
        <v>12061354</v>
      </c>
      <c r="AT790" s="782">
        <v>12062266</v>
      </c>
      <c r="AU790" s="781"/>
      <c r="AV790" s="782">
        <v>12088159</v>
      </c>
      <c r="AW790" s="782">
        <v>12088207</v>
      </c>
      <c r="AX790" s="782"/>
      <c r="AY790" s="782">
        <v>12062262</v>
      </c>
      <c r="AZ790" s="782"/>
      <c r="BA790" s="781"/>
    </row>
    <row r="791" spans="1:53" ht="25" hidden="1" customHeight="1">
      <c r="A791" s="142" t="s">
        <v>120</v>
      </c>
      <c r="B791" s="466">
        <v>45434</v>
      </c>
      <c r="C791" s="467">
        <v>45444</v>
      </c>
      <c r="D791" s="185">
        <f t="shared" si="269"/>
        <v>2024</v>
      </c>
      <c r="E791" s="468" t="str">
        <f>VLOOKUP($B791,Week!$A$1:$C$1462,2,0)</f>
        <v>Week21</v>
      </c>
      <c r="F791" s="469" t="str">
        <f t="shared" si="270"/>
        <v>May</v>
      </c>
      <c r="G791" s="470" t="s">
        <v>1309</v>
      </c>
      <c r="H791" s="468" t="s">
        <v>82</v>
      </c>
      <c r="I791" s="468" t="s">
        <v>82</v>
      </c>
      <c r="J791" s="471" t="s">
        <v>720</v>
      </c>
      <c r="K791" s="472" t="s">
        <v>85</v>
      </c>
      <c r="L791" s="390" t="s">
        <v>2166</v>
      </c>
      <c r="M791" s="471" t="s">
        <v>579</v>
      </c>
      <c r="N791" s="468" t="s">
        <v>580</v>
      </c>
      <c r="O791" s="468" t="s">
        <v>581</v>
      </c>
      <c r="P791" s="473">
        <v>8</v>
      </c>
      <c r="Q791" s="473">
        <v>60</v>
      </c>
      <c r="R791" s="474">
        <v>6.8100000000000001E-3</v>
      </c>
      <c r="S791" s="468" t="s">
        <v>76</v>
      </c>
      <c r="T791" s="468" t="s">
        <v>56</v>
      </c>
      <c r="U791" s="468" t="s">
        <v>89</v>
      </c>
      <c r="V791" s="475">
        <f>1408-529-536</f>
        <v>343</v>
      </c>
      <c r="W791" s="475">
        <v>343</v>
      </c>
      <c r="X791" s="476"/>
      <c r="Y791" s="477">
        <f t="shared" si="272"/>
        <v>0</v>
      </c>
      <c r="Z791" s="478">
        <f t="shared" si="273"/>
        <v>0</v>
      </c>
      <c r="AA791" s="478">
        <f>Q791*Z791</f>
        <v>0</v>
      </c>
      <c r="AB791" s="828">
        <v>6</v>
      </c>
      <c r="AC791" s="475">
        <f t="shared" ref="AC791:AC796" si="278">Z791*AB791</f>
        <v>0</v>
      </c>
      <c r="AD791" s="209"/>
      <c r="AE791" s="210"/>
      <c r="AF791" s="210"/>
      <c r="AG791" s="211">
        <f t="shared" si="275"/>
        <v>0.75</v>
      </c>
      <c r="AH791" s="157">
        <f t="shared" si="277"/>
        <v>0</v>
      </c>
      <c r="AI791" s="152">
        <f t="shared" si="276"/>
        <v>2744</v>
      </c>
      <c r="AK791" s="156" t="s">
        <v>691</v>
      </c>
      <c r="AL791" s="156" t="s">
        <v>689</v>
      </c>
      <c r="AM791" s="198">
        <f t="shared" si="267"/>
        <v>0</v>
      </c>
      <c r="AN791" s="199">
        <f t="shared" si="271"/>
        <v>45434</v>
      </c>
      <c r="AO791" s="159" t="s">
        <v>692</v>
      </c>
      <c r="AP791" s="783" t="s">
        <v>622</v>
      </c>
      <c r="AQ791" s="782">
        <v>12004862</v>
      </c>
      <c r="AR791" s="782">
        <v>12080753</v>
      </c>
      <c r="AS791" s="782"/>
      <c r="AT791" s="782">
        <v>12082897</v>
      </c>
      <c r="AU791" s="781"/>
      <c r="AV791" s="782">
        <v>12082898</v>
      </c>
      <c r="AW791" s="782">
        <v>12082899</v>
      </c>
      <c r="AX791" s="796" t="s">
        <v>621</v>
      </c>
      <c r="AY791" s="782"/>
      <c r="AZ791" s="782"/>
      <c r="BA791" s="781"/>
    </row>
    <row r="792" spans="1:53" ht="25" hidden="1" customHeight="1">
      <c r="A792" s="142" t="s">
        <v>120</v>
      </c>
      <c r="B792" s="559">
        <v>45434</v>
      </c>
      <c r="C792" s="560">
        <v>45448</v>
      </c>
      <c r="D792" s="185">
        <f t="shared" si="269"/>
        <v>2024</v>
      </c>
      <c r="E792" s="561" t="str">
        <f>VLOOKUP($B792,Week!$A$1:$C$1462,2,0)</f>
        <v>Week21</v>
      </c>
      <c r="F792" s="562" t="str">
        <f t="shared" si="270"/>
        <v>May</v>
      </c>
      <c r="G792" s="561" t="s">
        <v>1158</v>
      </c>
      <c r="H792" s="561" t="s">
        <v>134</v>
      </c>
      <c r="I792" s="561" t="s">
        <v>2772</v>
      </c>
      <c r="J792" s="563" t="s">
        <v>164</v>
      </c>
      <c r="K792" s="564" t="s">
        <v>355</v>
      </c>
      <c r="L792" s="390" t="s">
        <v>2166</v>
      </c>
      <c r="M792" s="563" t="s">
        <v>356</v>
      </c>
      <c r="N792" s="561" t="s">
        <v>652</v>
      </c>
      <c r="O792" s="561" t="s">
        <v>508</v>
      </c>
      <c r="P792" s="565">
        <v>18</v>
      </c>
      <c r="Q792" s="565">
        <v>8</v>
      </c>
      <c r="R792" s="566">
        <v>5.0000000000000001E-3</v>
      </c>
      <c r="S792" s="561" t="s">
        <v>55</v>
      </c>
      <c r="T792" s="561" t="s">
        <v>56</v>
      </c>
      <c r="U792" s="561" t="s">
        <v>89</v>
      </c>
      <c r="V792" s="567">
        <f>300</f>
        <v>300</v>
      </c>
      <c r="W792" s="567">
        <f>20+278</f>
        <v>298</v>
      </c>
      <c r="X792" s="568">
        <v>2</v>
      </c>
      <c r="Y792" s="569">
        <f t="shared" si="272"/>
        <v>0</v>
      </c>
      <c r="Z792" s="570">
        <f t="shared" si="273"/>
        <v>0</v>
      </c>
      <c r="AA792" s="570">
        <f>Q792*Z792</f>
        <v>0</v>
      </c>
      <c r="AB792" s="834">
        <v>2</v>
      </c>
      <c r="AC792" s="567">
        <f t="shared" si="278"/>
        <v>0</v>
      </c>
      <c r="AD792" s="209"/>
      <c r="AE792" s="210"/>
      <c r="AF792" s="210"/>
      <c r="AG792" s="211">
        <f>MID(O792,1,2)/1000</f>
        <v>0.09</v>
      </c>
      <c r="AH792" s="157">
        <f t="shared" si="277"/>
        <v>0</v>
      </c>
      <c r="AI792" s="152">
        <f t="shared" si="276"/>
        <v>5400</v>
      </c>
      <c r="AK792" s="156" t="s">
        <v>691</v>
      </c>
      <c r="AL792" s="156" t="s">
        <v>689</v>
      </c>
      <c r="AM792" s="198">
        <f t="shared" si="267"/>
        <v>0</v>
      </c>
      <c r="AN792" s="199">
        <f t="shared" si="271"/>
        <v>45434</v>
      </c>
      <c r="AO792" s="159" t="s">
        <v>692</v>
      </c>
      <c r="AP792" s="783"/>
      <c r="AQ792" s="782"/>
      <c r="AR792" s="782"/>
      <c r="AS792" s="782"/>
      <c r="AT792" s="782"/>
      <c r="AU792" s="782"/>
      <c r="AV792" s="782"/>
      <c r="AW792" s="782"/>
      <c r="AX792" s="782"/>
      <c r="AY792" s="782"/>
      <c r="AZ792" s="782"/>
      <c r="BA792" s="781"/>
    </row>
    <row r="793" spans="1:53" ht="25" hidden="1" customHeight="1">
      <c r="A793" s="142" t="s">
        <v>120</v>
      </c>
      <c r="B793" s="258">
        <v>45434</v>
      </c>
      <c r="C793" s="259">
        <v>45448</v>
      </c>
      <c r="D793" s="185">
        <f t="shared" si="269"/>
        <v>2024</v>
      </c>
      <c r="E793" s="260" t="str">
        <f>VLOOKUP($B793,Week!$A$1:$C$1462,2,0)</f>
        <v>Week21</v>
      </c>
      <c r="F793" s="261" t="str">
        <f t="shared" si="270"/>
        <v>May</v>
      </c>
      <c r="G793" s="262" t="s">
        <v>1152</v>
      </c>
      <c r="H793" s="260" t="s">
        <v>134</v>
      </c>
      <c r="I793" s="260" t="s">
        <v>2772</v>
      </c>
      <c r="J793" s="263" t="s">
        <v>164</v>
      </c>
      <c r="K793" s="264" t="s">
        <v>153</v>
      </c>
      <c r="L793" s="390" t="s">
        <v>2166</v>
      </c>
      <c r="M793" s="263" t="s">
        <v>165</v>
      </c>
      <c r="N793" s="260" t="s">
        <v>166</v>
      </c>
      <c r="O793" s="260" t="s">
        <v>502</v>
      </c>
      <c r="P793" s="265">
        <v>20</v>
      </c>
      <c r="Q793" s="265">
        <v>12</v>
      </c>
      <c r="R793" s="266">
        <v>6.8100000000000001E-3</v>
      </c>
      <c r="S793" s="260" t="s">
        <v>76</v>
      </c>
      <c r="T793" s="260" t="s">
        <v>56</v>
      </c>
      <c r="U793" s="260" t="s">
        <v>89</v>
      </c>
      <c r="V793" s="267">
        <f>293</f>
        <v>293</v>
      </c>
      <c r="W793" s="267">
        <v>207</v>
      </c>
      <c r="X793" s="268">
        <f>(1720)/20</f>
        <v>86</v>
      </c>
      <c r="Y793" s="269">
        <f t="shared" si="272"/>
        <v>0</v>
      </c>
      <c r="Z793" s="270">
        <f t="shared" si="273"/>
        <v>0</v>
      </c>
      <c r="AA793" s="270">
        <f>Q793*Z793</f>
        <v>0</v>
      </c>
      <c r="AB793" s="811">
        <v>2</v>
      </c>
      <c r="AC793" s="267">
        <f t="shared" si="278"/>
        <v>0</v>
      </c>
      <c r="AD793" s="209" t="s">
        <v>168</v>
      </c>
      <c r="AE793" s="210"/>
      <c r="AF793" s="210"/>
      <c r="AG793" s="211">
        <f>MID(O793,1,3)/1000</f>
        <v>0.154</v>
      </c>
      <c r="AH793" s="157">
        <f t="shared" si="277"/>
        <v>0</v>
      </c>
      <c r="AI793" s="152">
        <f t="shared" si="276"/>
        <v>5860</v>
      </c>
      <c r="AK793" s="156" t="s">
        <v>691</v>
      </c>
      <c r="AL793" s="156" t="s">
        <v>689</v>
      </c>
      <c r="AM793" s="198">
        <f t="shared" si="267"/>
        <v>0</v>
      </c>
      <c r="AN793" s="199">
        <f t="shared" si="271"/>
        <v>45434</v>
      </c>
      <c r="AO793" s="159" t="s">
        <v>692</v>
      </c>
      <c r="AP793" s="783" t="s">
        <v>610</v>
      </c>
      <c r="AQ793" s="783" t="s">
        <v>631</v>
      </c>
      <c r="AR793" s="783" t="s">
        <v>523</v>
      </c>
      <c r="AS793" s="781"/>
      <c r="AT793" s="782">
        <v>12055919</v>
      </c>
      <c r="AU793" s="781"/>
      <c r="AV793" s="783" t="s">
        <v>544</v>
      </c>
      <c r="AW793" s="781"/>
      <c r="AX793" s="782" t="s">
        <v>398</v>
      </c>
      <c r="AY793" s="781"/>
      <c r="AZ793" s="781"/>
      <c r="BA793" s="781"/>
    </row>
    <row r="794" spans="1:53" ht="25" hidden="1" customHeight="1">
      <c r="B794" s="424">
        <v>45435</v>
      </c>
      <c r="C794" s="425"/>
      <c r="D794" s="185">
        <f t="shared" si="269"/>
        <v>2024</v>
      </c>
      <c r="E794" s="425" t="str">
        <f>VLOOKUP($B794,Week!$A$1:$C$1462,2,0)</f>
        <v>Week21</v>
      </c>
      <c r="F794" s="426" t="str">
        <f t="shared" si="270"/>
        <v>May</v>
      </c>
      <c r="G794" s="427" t="s">
        <v>47</v>
      </c>
      <c r="H794" s="427" t="s">
        <v>518</v>
      </c>
      <c r="I794" s="298" t="s">
        <v>2702</v>
      </c>
      <c r="J794" s="428" t="s">
        <v>70</v>
      </c>
      <c r="K794" s="429" t="s">
        <v>94</v>
      </c>
      <c r="L794" s="300" t="s">
        <v>2167</v>
      </c>
      <c r="M794" s="428" t="s">
        <v>521</v>
      </c>
      <c r="N794" s="427" t="s">
        <v>587</v>
      </c>
      <c r="O794" s="427" t="s">
        <v>3198</v>
      </c>
      <c r="P794" s="430">
        <v>18</v>
      </c>
      <c r="Q794" s="430">
        <v>5</v>
      </c>
      <c r="R794" s="431">
        <v>8.0000000000000002E-3</v>
      </c>
      <c r="S794" s="427" t="s">
        <v>40</v>
      </c>
      <c r="T794" s="427" t="s">
        <v>56</v>
      </c>
      <c r="U794" s="427" t="s">
        <v>89</v>
      </c>
      <c r="V794" s="432">
        <f>435</f>
        <v>435</v>
      </c>
      <c r="W794" s="432">
        <f>247+85</f>
        <v>332</v>
      </c>
      <c r="X794" s="433">
        <f>(618)/6</f>
        <v>103</v>
      </c>
      <c r="Y794" s="434">
        <f t="shared" si="272"/>
        <v>0</v>
      </c>
      <c r="Z794" s="435">
        <f t="shared" si="273"/>
        <v>0</v>
      </c>
      <c r="AA794" s="435"/>
      <c r="AB794" s="826">
        <v>1</v>
      </c>
      <c r="AC794" s="432">
        <f t="shared" si="278"/>
        <v>0</v>
      </c>
      <c r="AD794" s="209"/>
      <c r="AE794" s="210"/>
      <c r="AF794" s="210"/>
      <c r="AG794" s="211" t="e">
        <f>(MID(O794,1,3)/1000)/3</f>
        <v>#VALUE!</v>
      </c>
      <c r="AH794" s="157" t="e">
        <f>(Z794*AG794)/1000</f>
        <v>#VALUE!</v>
      </c>
      <c r="AI794" s="152">
        <f t="shared" si="276"/>
        <v>7830</v>
      </c>
      <c r="AK794" s="156" t="s">
        <v>691</v>
      </c>
      <c r="AL794" s="212" t="s">
        <v>690</v>
      </c>
      <c r="AM794" s="198" t="e">
        <f t="shared" si="267"/>
        <v>#VALUE!</v>
      </c>
      <c r="AN794" s="199">
        <f t="shared" si="271"/>
        <v>45435</v>
      </c>
      <c r="AO794" s="159" t="s">
        <v>692</v>
      </c>
      <c r="AP794" s="783" t="s">
        <v>628</v>
      </c>
      <c r="AQ794" s="782"/>
      <c r="AR794" s="782"/>
      <c r="AS794" s="782"/>
      <c r="AT794" s="782"/>
      <c r="AU794" s="781"/>
      <c r="AV794" s="782">
        <v>12080791</v>
      </c>
      <c r="AW794" s="782" t="s">
        <v>641</v>
      </c>
      <c r="AX794" s="782" t="s">
        <v>533</v>
      </c>
      <c r="AY794" s="782"/>
      <c r="AZ794" s="782"/>
      <c r="BA794" s="781"/>
    </row>
    <row r="795" spans="1:53" ht="25" hidden="1" customHeight="1">
      <c r="B795" s="424">
        <v>45435</v>
      </c>
      <c r="C795" s="425"/>
      <c r="D795" s="185">
        <f t="shared" si="269"/>
        <v>2024</v>
      </c>
      <c r="E795" s="425" t="str">
        <f>VLOOKUP($B795,Week!$A$1:$C$1462,2,0)</f>
        <v>Week21</v>
      </c>
      <c r="F795" s="426" t="str">
        <f t="shared" si="270"/>
        <v>May</v>
      </c>
      <c r="G795" s="427" t="s">
        <v>47</v>
      </c>
      <c r="H795" s="427" t="s">
        <v>518</v>
      </c>
      <c r="I795" s="298" t="s">
        <v>2702</v>
      </c>
      <c r="J795" s="428" t="s">
        <v>70</v>
      </c>
      <c r="K795" s="429" t="s">
        <v>94</v>
      </c>
      <c r="L795" s="300" t="s">
        <v>2167</v>
      </c>
      <c r="M795" s="428" t="s">
        <v>521</v>
      </c>
      <c r="N795" s="427" t="s">
        <v>587</v>
      </c>
      <c r="O795" s="427" t="s">
        <v>3198</v>
      </c>
      <c r="P795" s="430">
        <v>18</v>
      </c>
      <c r="Q795" s="430">
        <v>5</v>
      </c>
      <c r="R795" s="431">
        <v>8.0000000000000002E-3</v>
      </c>
      <c r="S795" s="427" t="s">
        <v>40</v>
      </c>
      <c r="T795" s="427" t="s">
        <v>56</v>
      </c>
      <c r="U795" s="427" t="s">
        <v>89</v>
      </c>
      <c r="V795" s="432">
        <v>900</v>
      </c>
      <c r="W795" s="432">
        <f>397-85</f>
        <v>312</v>
      </c>
      <c r="X795" s="433">
        <f>(3060+468)/6</f>
        <v>588</v>
      </c>
      <c r="Y795" s="434">
        <f t="shared" si="272"/>
        <v>0</v>
      </c>
      <c r="Z795" s="435">
        <f t="shared" si="273"/>
        <v>0</v>
      </c>
      <c r="AA795" s="435"/>
      <c r="AB795" s="826">
        <v>1</v>
      </c>
      <c r="AC795" s="432">
        <f t="shared" si="278"/>
        <v>0</v>
      </c>
      <c r="AD795" s="209"/>
      <c r="AE795" s="210"/>
      <c r="AF795" s="210"/>
      <c r="AG795" s="211" t="e">
        <f>(MID(O795,1,3)/1000)/3</f>
        <v>#VALUE!</v>
      </c>
      <c r="AH795" s="157" t="e">
        <f>(Z795*AG795)/1000</f>
        <v>#VALUE!</v>
      </c>
      <c r="AI795" s="152">
        <f t="shared" si="276"/>
        <v>16200</v>
      </c>
      <c r="AK795" s="156" t="s">
        <v>691</v>
      </c>
      <c r="AL795" s="212" t="s">
        <v>690</v>
      </c>
      <c r="AM795" s="198" t="e">
        <f t="shared" ref="AM795:AM826" si="279">AG795*Z795</f>
        <v>#VALUE!</v>
      </c>
      <c r="AN795" s="199">
        <f t="shared" si="271"/>
        <v>45435</v>
      </c>
      <c r="AO795" s="159" t="s">
        <v>692</v>
      </c>
      <c r="AP795" s="783" t="s">
        <v>628</v>
      </c>
      <c r="AQ795" s="782"/>
      <c r="AR795" s="782"/>
      <c r="AS795" s="782"/>
      <c r="AT795" s="782"/>
      <c r="AU795" s="781"/>
      <c r="AV795" s="782">
        <v>12080791</v>
      </c>
      <c r="AW795" s="782" t="s">
        <v>641</v>
      </c>
      <c r="AX795" s="782" t="s">
        <v>533</v>
      </c>
      <c r="AY795" s="782"/>
      <c r="AZ795" s="782"/>
      <c r="BA795" s="781"/>
    </row>
    <row r="796" spans="1:53" ht="25" hidden="1" customHeight="1">
      <c r="B796" s="424">
        <v>45435</v>
      </c>
      <c r="C796" s="425">
        <v>45470</v>
      </c>
      <c r="D796" s="185">
        <f t="shared" si="269"/>
        <v>2024</v>
      </c>
      <c r="E796" s="425" t="str">
        <f>VLOOKUP($B796,Week!$A$1:$C$1462,2,0)</f>
        <v>Week21</v>
      </c>
      <c r="F796" s="426" t="str">
        <f t="shared" si="270"/>
        <v>May</v>
      </c>
      <c r="G796" s="427" t="s">
        <v>47</v>
      </c>
      <c r="H796" s="427" t="s">
        <v>518</v>
      </c>
      <c r="I796" s="298" t="s">
        <v>2702</v>
      </c>
      <c r="J796" s="428" t="s">
        <v>70</v>
      </c>
      <c r="K796" s="429" t="s">
        <v>94</v>
      </c>
      <c r="L796" s="300" t="s">
        <v>2167</v>
      </c>
      <c r="M796" s="428" t="s">
        <v>521</v>
      </c>
      <c r="N796" s="427" t="s">
        <v>587</v>
      </c>
      <c r="O796" s="427" t="s">
        <v>3198</v>
      </c>
      <c r="P796" s="430">
        <v>18</v>
      </c>
      <c r="Q796" s="430">
        <v>5</v>
      </c>
      <c r="R796" s="431">
        <v>8.0000000000000002E-3</v>
      </c>
      <c r="S796" s="427" t="s">
        <v>40</v>
      </c>
      <c r="T796" s="427" t="s">
        <v>56</v>
      </c>
      <c r="U796" s="427" t="s">
        <v>89</v>
      </c>
      <c r="V796" s="432">
        <v>321</v>
      </c>
      <c r="W796" s="432"/>
      <c r="X796" s="433">
        <f>1926/6</f>
        <v>321</v>
      </c>
      <c r="Y796" s="434">
        <f t="shared" si="272"/>
        <v>0</v>
      </c>
      <c r="Z796" s="435">
        <f t="shared" si="273"/>
        <v>0</v>
      </c>
      <c r="AA796" s="435"/>
      <c r="AB796" s="826">
        <v>1</v>
      </c>
      <c r="AC796" s="432">
        <f t="shared" si="278"/>
        <v>0</v>
      </c>
      <c r="AD796" s="209"/>
      <c r="AE796" s="210"/>
      <c r="AF796" s="210"/>
      <c r="AG796" s="211" t="e">
        <f>(MID(O796,1,3)/1000)/3</f>
        <v>#VALUE!</v>
      </c>
      <c r="AH796" s="157" t="e">
        <f>(Z796*AG796)/1000</f>
        <v>#VALUE!</v>
      </c>
      <c r="AI796" s="152">
        <f t="shared" si="276"/>
        <v>5778</v>
      </c>
      <c r="AK796" s="156" t="s">
        <v>691</v>
      </c>
      <c r="AL796" s="212" t="s">
        <v>690</v>
      </c>
      <c r="AM796" s="198" t="e">
        <f t="shared" si="279"/>
        <v>#VALUE!</v>
      </c>
      <c r="AN796" s="199">
        <f t="shared" si="271"/>
        <v>45435</v>
      </c>
      <c r="AO796" s="159" t="s">
        <v>692</v>
      </c>
      <c r="AP796" s="783" t="s">
        <v>628</v>
      </c>
      <c r="AQ796" s="782"/>
      <c r="AR796" s="782"/>
      <c r="AS796" s="782"/>
      <c r="AT796" s="782"/>
      <c r="AU796" s="781"/>
      <c r="AV796" s="782">
        <v>12080791</v>
      </c>
      <c r="AW796" s="782" t="s">
        <v>641</v>
      </c>
      <c r="AX796" s="782" t="s">
        <v>533</v>
      </c>
      <c r="AY796" s="782"/>
      <c r="AZ796" s="782"/>
      <c r="BA796" s="781"/>
    </row>
    <row r="797" spans="1:53" ht="25" hidden="1" customHeight="1">
      <c r="B797" s="258">
        <v>45435</v>
      </c>
      <c r="C797" s="259">
        <v>45444</v>
      </c>
      <c r="D797" s="185">
        <f t="shared" si="269"/>
        <v>2024</v>
      </c>
      <c r="E797" s="260" t="str">
        <f>VLOOKUP($B797,Week!$A$1:$C$1462,2,0)</f>
        <v>Week21</v>
      </c>
      <c r="F797" s="261" t="str">
        <f t="shared" si="270"/>
        <v>May</v>
      </c>
      <c r="G797" s="260" t="s">
        <v>47</v>
      </c>
      <c r="H797" s="260" t="s">
        <v>554</v>
      </c>
      <c r="I797" s="260" t="s">
        <v>554</v>
      </c>
      <c r="J797" s="263" t="s">
        <v>555</v>
      </c>
      <c r="K797" s="264" t="s">
        <v>72</v>
      </c>
      <c r="L797" s="300" t="s">
        <v>2167</v>
      </c>
      <c r="M797" s="263" t="s">
        <v>73</v>
      </c>
      <c r="N797" s="260" t="s">
        <v>74</v>
      </c>
      <c r="O797" s="260" t="s">
        <v>75</v>
      </c>
      <c r="P797" s="265">
        <v>64</v>
      </c>
      <c r="Q797" s="265">
        <v>5</v>
      </c>
      <c r="R797" s="266">
        <v>7.0000000000000001E-3</v>
      </c>
      <c r="S797" s="260" t="s">
        <v>76</v>
      </c>
      <c r="T797" s="260" t="s">
        <v>56</v>
      </c>
      <c r="U797" s="260"/>
      <c r="V797" s="267">
        <f>100</f>
        <v>100</v>
      </c>
      <c r="W797" s="267">
        <f>100</f>
        <v>100</v>
      </c>
      <c r="X797" s="268"/>
      <c r="Y797" s="269">
        <f t="shared" si="272"/>
        <v>0</v>
      </c>
      <c r="Z797" s="270">
        <f t="shared" si="273"/>
        <v>0</v>
      </c>
      <c r="AA797" s="270"/>
      <c r="AB797" s="811"/>
      <c r="AC797" s="267"/>
      <c r="AD797" s="263"/>
      <c r="AE797" s="461"/>
      <c r="AF797" s="461"/>
      <c r="AG797" s="211">
        <f t="shared" ref="AG797:AG814" si="280">MID(O797,1,3)/1000</f>
        <v>0.02</v>
      </c>
      <c r="AK797" s="156" t="s">
        <v>691</v>
      </c>
      <c r="AM797" s="198">
        <f t="shared" si="279"/>
        <v>0</v>
      </c>
      <c r="AN797" s="199">
        <f t="shared" si="271"/>
        <v>45435</v>
      </c>
      <c r="AO797" s="159" t="s">
        <v>692</v>
      </c>
      <c r="AP797" s="781"/>
      <c r="AQ797" s="782"/>
      <c r="AR797" s="782"/>
      <c r="AS797" s="782"/>
      <c r="AT797" s="782"/>
      <c r="AU797" s="781"/>
      <c r="AV797" s="782">
        <v>12054050</v>
      </c>
      <c r="AW797" s="782"/>
      <c r="AX797" s="782" t="s">
        <v>79</v>
      </c>
      <c r="AY797" s="782">
        <v>12054140</v>
      </c>
      <c r="AZ797" s="782"/>
      <c r="BA797" s="781"/>
    </row>
    <row r="798" spans="1:53" ht="24.65" hidden="1" customHeight="1">
      <c r="B798" s="546">
        <v>45435</v>
      </c>
      <c r="C798" s="547">
        <v>45439</v>
      </c>
      <c r="D798" s="185">
        <f t="shared" si="269"/>
        <v>2024</v>
      </c>
      <c r="E798" s="547" t="str">
        <f>VLOOKUP($B798,Week!$A$1:$C$1462,2,0)</f>
        <v>Week21</v>
      </c>
      <c r="F798" s="548" t="str">
        <f t="shared" si="270"/>
        <v>May</v>
      </c>
      <c r="G798" s="549" t="s">
        <v>47</v>
      </c>
      <c r="H798" s="549" t="s">
        <v>518</v>
      </c>
      <c r="I798" s="298" t="s">
        <v>2702</v>
      </c>
      <c r="J798" s="550" t="s">
        <v>70</v>
      </c>
      <c r="K798" s="551" t="s">
        <v>1020</v>
      </c>
      <c r="L798" s="300" t="s">
        <v>2167</v>
      </c>
      <c r="M798" s="550" t="s">
        <v>746</v>
      </c>
      <c r="N798" s="618" t="s">
        <v>751</v>
      </c>
      <c r="O798" s="549" t="s">
        <v>747</v>
      </c>
      <c r="P798" s="552">
        <v>12</v>
      </c>
      <c r="Q798" s="552">
        <v>5</v>
      </c>
      <c r="R798" s="549">
        <v>6.1999999999999998E-3</v>
      </c>
      <c r="S798" s="549" t="s">
        <v>352</v>
      </c>
      <c r="T798" s="549" t="s">
        <v>56</v>
      </c>
      <c r="U798" s="549" t="s">
        <v>739</v>
      </c>
      <c r="V798" s="554">
        <f>1826</f>
        <v>1826</v>
      </c>
      <c r="W798" s="554">
        <f>24+1802</f>
        <v>1826</v>
      </c>
      <c r="X798" s="555"/>
      <c r="Y798" s="556">
        <f t="shared" si="272"/>
        <v>0</v>
      </c>
      <c r="Z798" s="557">
        <f t="shared" si="273"/>
        <v>0</v>
      </c>
      <c r="AA798" s="557"/>
      <c r="AB798" s="833"/>
      <c r="AC798" s="554"/>
      <c r="AD798" s="209"/>
      <c r="AE798" s="210"/>
      <c r="AF798" s="210"/>
      <c r="AG798" s="211">
        <f t="shared" si="280"/>
        <v>0.14299999999999999</v>
      </c>
      <c r="AH798" s="157">
        <f t="shared" ref="AH798:AH808" si="281">(Z798*AG798)/1000</f>
        <v>0</v>
      </c>
      <c r="AI798" s="152">
        <f t="shared" ref="AI798:AI814" si="282">V798*P798</f>
        <v>21912</v>
      </c>
      <c r="AK798" s="156" t="s">
        <v>691</v>
      </c>
      <c r="AL798" s="212" t="s">
        <v>690</v>
      </c>
      <c r="AM798" s="198">
        <f t="shared" si="279"/>
        <v>0</v>
      </c>
      <c r="AN798" s="199">
        <f t="shared" si="271"/>
        <v>45435</v>
      </c>
      <c r="AO798" s="159" t="s">
        <v>692</v>
      </c>
      <c r="AP798" s="783" t="s">
        <v>609</v>
      </c>
      <c r="AQ798" s="782">
        <v>12071839</v>
      </c>
      <c r="AR798" s="782">
        <v>12047514</v>
      </c>
      <c r="AS798" s="782">
        <v>12047515</v>
      </c>
      <c r="AT798" s="781"/>
      <c r="AU798" s="781"/>
      <c r="AV798" s="782">
        <v>12080616</v>
      </c>
      <c r="AW798" s="781"/>
      <c r="AX798" s="781"/>
      <c r="AY798" s="782">
        <v>12089871</v>
      </c>
      <c r="AZ798" s="782">
        <v>12089872</v>
      </c>
      <c r="BA798" s="781"/>
    </row>
    <row r="799" spans="1:53" ht="24.65" hidden="1" customHeight="1">
      <c r="B799" s="246">
        <v>45435</v>
      </c>
      <c r="C799" s="247"/>
      <c r="D799" s="185">
        <f t="shared" si="269"/>
        <v>2024</v>
      </c>
      <c r="E799" s="247" t="str">
        <f>VLOOKUP($B799,Week!$A$1:$C$1462,2,0)</f>
        <v>Week21</v>
      </c>
      <c r="F799" s="248" t="str">
        <f t="shared" si="270"/>
        <v>May</v>
      </c>
      <c r="G799" s="249" t="s">
        <v>47</v>
      </c>
      <c r="H799" s="249" t="s">
        <v>260</v>
      </c>
      <c r="I799" s="298" t="s">
        <v>2702</v>
      </c>
      <c r="J799" s="250" t="s">
        <v>70</v>
      </c>
      <c r="K799" s="251" t="s">
        <v>1020</v>
      </c>
      <c r="L799" s="300" t="s">
        <v>2167</v>
      </c>
      <c r="M799" s="250" t="s">
        <v>741</v>
      </c>
      <c r="N799" s="249" t="s">
        <v>740</v>
      </c>
      <c r="O799" s="249" t="s">
        <v>742</v>
      </c>
      <c r="P799" s="252">
        <v>24</v>
      </c>
      <c r="Q799" s="252">
        <v>5</v>
      </c>
      <c r="R799" s="249">
        <v>6.1999999999999998E-3</v>
      </c>
      <c r="S799" s="249" t="s">
        <v>352</v>
      </c>
      <c r="T799" s="249" t="s">
        <v>56</v>
      </c>
      <c r="U799" s="249" t="s">
        <v>739</v>
      </c>
      <c r="V799" s="254">
        <f>3750</f>
        <v>3750</v>
      </c>
      <c r="W799" s="254">
        <f>529-263+3484</f>
        <v>3750</v>
      </c>
      <c r="X799" s="255"/>
      <c r="Y799" s="256">
        <f t="shared" si="272"/>
        <v>0</v>
      </c>
      <c r="Z799" s="257">
        <f t="shared" si="273"/>
        <v>0</v>
      </c>
      <c r="AA799" s="257"/>
      <c r="AB799" s="810"/>
      <c r="AC799" s="254"/>
      <c r="AD799" s="209"/>
      <c r="AE799" s="210"/>
      <c r="AF799" s="210"/>
      <c r="AG799" s="211">
        <f t="shared" si="280"/>
        <v>0.14299999999999999</v>
      </c>
      <c r="AH799" s="157">
        <f t="shared" si="281"/>
        <v>0</v>
      </c>
      <c r="AI799" s="152">
        <f t="shared" si="282"/>
        <v>90000</v>
      </c>
      <c r="AK799" s="156" t="s">
        <v>691</v>
      </c>
      <c r="AL799" s="212" t="s">
        <v>690</v>
      </c>
      <c r="AM799" s="198">
        <f t="shared" si="279"/>
        <v>0</v>
      </c>
      <c r="AN799" s="199">
        <f t="shared" si="271"/>
        <v>45435</v>
      </c>
      <c r="AO799" s="159" t="s">
        <v>692</v>
      </c>
      <c r="AP799" s="783" t="s">
        <v>609</v>
      </c>
      <c r="AQ799" s="782">
        <v>12071839</v>
      </c>
      <c r="AR799" s="782">
        <v>12047514</v>
      </c>
      <c r="AS799" s="782">
        <v>12047515</v>
      </c>
      <c r="AT799" s="781"/>
      <c r="AU799" s="781"/>
      <c r="AV799" s="782">
        <v>12089668</v>
      </c>
      <c r="AW799" s="781"/>
      <c r="AX799" s="781"/>
      <c r="AY799" s="782">
        <v>12088311</v>
      </c>
      <c r="AZ799" s="782">
        <v>12088315</v>
      </c>
      <c r="BA799" s="781"/>
    </row>
    <row r="800" spans="1:53" ht="25" hidden="1" customHeight="1">
      <c r="A800" s="142" t="s">
        <v>120</v>
      </c>
      <c r="B800" s="295">
        <v>45435</v>
      </c>
      <c r="C800" s="296">
        <v>45448</v>
      </c>
      <c r="D800" s="185">
        <f t="shared" si="269"/>
        <v>2024</v>
      </c>
      <c r="E800" s="298" t="str">
        <f>VLOOKUP($B800,Week!$A$1:$C$1462,2,0)</f>
        <v>Week21</v>
      </c>
      <c r="F800" s="297" t="str">
        <f t="shared" si="270"/>
        <v>May</v>
      </c>
      <c r="G800" s="298" t="s">
        <v>1157</v>
      </c>
      <c r="H800" s="298" t="s">
        <v>134</v>
      </c>
      <c r="I800" s="298" t="s">
        <v>2772</v>
      </c>
      <c r="J800" s="299" t="s">
        <v>164</v>
      </c>
      <c r="K800" s="300" t="s">
        <v>584</v>
      </c>
      <c r="L800" s="390" t="s">
        <v>2166</v>
      </c>
      <c r="M800" s="299" t="s">
        <v>575</v>
      </c>
      <c r="N800" s="298" t="s">
        <v>577</v>
      </c>
      <c r="O800" s="298" t="s">
        <v>576</v>
      </c>
      <c r="P800" s="301">
        <v>10</v>
      </c>
      <c r="Q800" s="301">
        <v>50</v>
      </c>
      <c r="R800" s="302">
        <v>6.8100000000000001E-3</v>
      </c>
      <c r="S800" s="298" t="s">
        <v>76</v>
      </c>
      <c r="T800" s="298" t="s">
        <v>56</v>
      </c>
      <c r="U800" s="298"/>
      <c r="V800" s="303">
        <f>200</f>
        <v>200</v>
      </c>
      <c r="W800" s="303">
        <f>13+187</f>
        <v>200</v>
      </c>
      <c r="X800" s="304"/>
      <c r="Y800" s="305">
        <f t="shared" si="272"/>
        <v>0</v>
      </c>
      <c r="Z800" s="306">
        <f t="shared" si="273"/>
        <v>0</v>
      </c>
      <c r="AA800" s="306">
        <f>Q800*Z800</f>
        <v>0</v>
      </c>
      <c r="AB800" s="814"/>
      <c r="AC800" s="303">
        <f>Z800*AB800</f>
        <v>0</v>
      </c>
      <c r="AD800" s="209"/>
      <c r="AE800" s="210"/>
      <c r="AF800" s="210"/>
      <c r="AG800" s="211">
        <f t="shared" si="280"/>
        <v>0.6</v>
      </c>
      <c r="AH800" s="157">
        <f t="shared" si="281"/>
        <v>0</v>
      </c>
      <c r="AI800" s="152">
        <f t="shared" si="282"/>
        <v>2000</v>
      </c>
      <c r="AK800" s="156" t="s">
        <v>691</v>
      </c>
      <c r="AL800" s="156" t="s">
        <v>689</v>
      </c>
      <c r="AM800" s="198">
        <f t="shared" si="279"/>
        <v>0</v>
      </c>
      <c r="AN800" s="199">
        <f t="shared" si="271"/>
        <v>45435</v>
      </c>
      <c r="AO800" s="159" t="s">
        <v>692</v>
      </c>
      <c r="AP800" s="781"/>
      <c r="AQ800" s="781"/>
      <c r="AR800" s="796" t="s">
        <v>529</v>
      </c>
      <c r="AS800" s="781"/>
      <c r="AT800" s="800"/>
      <c r="AU800" s="781"/>
      <c r="AV800" s="800">
        <v>12083562</v>
      </c>
      <c r="AW800" s="781"/>
      <c r="AX800" s="783" t="s">
        <v>617</v>
      </c>
      <c r="AY800" s="781" t="s">
        <v>615</v>
      </c>
      <c r="AZ800" s="781" t="s">
        <v>616</v>
      </c>
      <c r="BA800" s="781"/>
    </row>
    <row r="801" spans="1:53" ht="25" hidden="1" customHeight="1">
      <c r="A801" s="142" t="s">
        <v>120</v>
      </c>
      <c r="B801" s="258">
        <v>45435</v>
      </c>
      <c r="C801" s="259">
        <v>45448</v>
      </c>
      <c r="D801" s="185">
        <f t="shared" si="269"/>
        <v>2024</v>
      </c>
      <c r="E801" s="260" t="str">
        <f>VLOOKUP($B801,Week!$A$1:$C$1462,2,0)</f>
        <v>Week21</v>
      </c>
      <c r="F801" s="261" t="str">
        <f t="shared" si="270"/>
        <v>May</v>
      </c>
      <c r="G801" s="262" t="s">
        <v>1152</v>
      </c>
      <c r="H801" s="260" t="s">
        <v>134</v>
      </c>
      <c r="I801" s="260" t="s">
        <v>2772</v>
      </c>
      <c r="J801" s="263" t="s">
        <v>164</v>
      </c>
      <c r="K801" s="264" t="s">
        <v>153</v>
      </c>
      <c r="L801" s="390" t="s">
        <v>2166</v>
      </c>
      <c r="M801" s="263" t="s">
        <v>165</v>
      </c>
      <c r="N801" s="260" t="s">
        <v>166</v>
      </c>
      <c r="O801" s="260" t="s">
        <v>502</v>
      </c>
      <c r="P801" s="265">
        <v>20</v>
      </c>
      <c r="Q801" s="265">
        <v>12</v>
      </c>
      <c r="R801" s="266">
        <v>6.8100000000000001E-3</v>
      </c>
      <c r="S801" s="260" t="s">
        <v>76</v>
      </c>
      <c r="T801" s="260" t="s">
        <v>56</v>
      </c>
      <c r="U801" s="260" t="s">
        <v>89</v>
      </c>
      <c r="V801" s="267">
        <f>680</f>
        <v>680</v>
      </c>
      <c r="W801" s="267">
        <v>680</v>
      </c>
      <c r="X801" s="268"/>
      <c r="Y801" s="269">
        <f t="shared" si="272"/>
        <v>0</v>
      </c>
      <c r="Z801" s="270">
        <f t="shared" si="273"/>
        <v>0</v>
      </c>
      <c r="AA801" s="270">
        <f>Q801*Z801</f>
        <v>0</v>
      </c>
      <c r="AB801" s="811">
        <v>2</v>
      </c>
      <c r="AC801" s="267">
        <f>Z801*AB801</f>
        <v>0</v>
      </c>
      <c r="AD801" s="209" t="s">
        <v>168</v>
      </c>
      <c r="AE801" s="210"/>
      <c r="AF801" s="210"/>
      <c r="AG801" s="211">
        <f t="shared" si="280"/>
        <v>0.154</v>
      </c>
      <c r="AH801" s="157">
        <f t="shared" si="281"/>
        <v>0</v>
      </c>
      <c r="AI801" s="152">
        <f t="shared" si="282"/>
        <v>13600</v>
      </c>
      <c r="AK801" s="156" t="s">
        <v>691</v>
      </c>
      <c r="AL801" s="156" t="s">
        <v>689</v>
      </c>
      <c r="AM801" s="198">
        <f t="shared" si="279"/>
        <v>0</v>
      </c>
      <c r="AN801" s="199">
        <f t="shared" si="271"/>
        <v>45435</v>
      </c>
      <c r="AO801" s="159" t="s">
        <v>692</v>
      </c>
      <c r="AP801" s="783" t="s">
        <v>610</v>
      </c>
      <c r="AQ801" s="783" t="s">
        <v>631</v>
      </c>
      <c r="AR801" s="783" t="s">
        <v>523</v>
      </c>
      <c r="AS801" s="781"/>
      <c r="AT801" s="782">
        <v>12055919</v>
      </c>
      <c r="AU801" s="781"/>
      <c r="AV801" s="783" t="s">
        <v>544</v>
      </c>
      <c r="AW801" s="781"/>
      <c r="AX801" s="782" t="s">
        <v>398</v>
      </c>
      <c r="AY801" s="781"/>
      <c r="AZ801" s="781"/>
      <c r="BA801" s="781"/>
    </row>
    <row r="802" spans="1:53" ht="25" hidden="1" customHeight="1">
      <c r="B802" s="320">
        <v>45436</v>
      </c>
      <c r="C802" s="321"/>
      <c r="D802" s="185">
        <f t="shared" si="269"/>
        <v>2024</v>
      </c>
      <c r="E802" s="321" t="str">
        <f>VLOOKUP($B802,Week!$A$1:$C$1462,2,0)</f>
        <v>Week21</v>
      </c>
      <c r="F802" s="322" t="str">
        <f t="shared" si="270"/>
        <v>May</v>
      </c>
      <c r="G802" s="323" t="s">
        <v>47</v>
      </c>
      <c r="H802" s="323" t="s">
        <v>518</v>
      </c>
      <c r="I802" s="298" t="s">
        <v>2702</v>
      </c>
      <c r="J802" s="324" t="s">
        <v>70</v>
      </c>
      <c r="K802" s="325" t="s">
        <v>564</v>
      </c>
      <c r="L802" s="300" t="s">
        <v>2167</v>
      </c>
      <c r="M802" s="324" t="s">
        <v>558</v>
      </c>
      <c r="N802" s="323" t="s">
        <v>559</v>
      </c>
      <c r="O802" s="323" t="s">
        <v>560</v>
      </c>
      <c r="P802" s="326">
        <v>12</v>
      </c>
      <c r="Q802" s="326">
        <v>3</v>
      </c>
      <c r="R802" s="327">
        <v>8.0000000000000002E-3</v>
      </c>
      <c r="S802" s="323" t="s">
        <v>40</v>
      </c>
      <c r="T802" s="323" t="s">
        <v>56</v>
      </c>
      <c r="U802" s="323" t="s">
        <v>57</v>
      </c>
      <c r="V802" s="397">
        <v>142</v>
      </c>
      <c r="W802" s="328">
        <f>16+1+125</f>
        <v>142</v>
      </c>
      <c r="X802" s="329"/>
      <c r="Y802" s="330">
        <f t="shared" si="272"/>
        <v>0</v>
      </c>
      <c r="Z802" s="331">
        <f t="shared" si="273"/>
        <v>0</v>
      </c>
      <c r="AA802" s="331"/>
      <c r="AB802" s="816"/>
      <c r="AC802" s="328"/>
      <c r="AD802" s="209"/>
      <c r="AE802" s="210"/>
      <c r="AF802" s="210"/>
      <c r="AG802" s="211">
        <f t="shared" si="280"/>
        <v>0.22600000000000001</v>
      </c>
      <c r="AH802" s="157">
        <f t="shared" si="281"/>
        <v>0</v>
      </c>
      <c r="AI802" s="152">
        <f t="shared" si="282"/>
        <v>1704</v>
      </c>
      <c r="AK802" s="156" t="s">
        <v>691</v>
      </c>
      <c r="AL802" s="212" t="s">
        <v>690</v>
      </c>
      <c r="AM802" s="198">
        <f t="shared" si="279"/>
        <v>0</v>
      </c>
      <c r="AN802" s="199">
        <f t="shared" si="271"/>
        <v>45436</v>
      </c>
      <c r="AO802" s="159" t="s">
        <v>692</v>
      </c>
      <c r="AP802" s="783" t="s">
        <v>623</v>
      </c>
      <c r="AQ802" s="782">
        <v>12071839</v>
      </c>
      <c r="AR802" s="782">
        <v>12042650</v>
      </c>
      <c r="AS802" s="782">
        <v>12042649</v>
      </c>
      <c r="AT802" s="782"/>
      <c r="AU802" s="781"/>
      <c r="AV802" s="782">
        <v>12083156</v>
      </c>
      <c r="AW802" s="782"/>
      <c r="AX802" s="782"/>
      <c r="AY802" s="782">
        <v>12083147</v>
      </c>
      <c r="AZ802" s="782">
        <v>12083148</v>
      </c>
      <c r="BA802" s="781"/>
    </row>
    <row r="803" spans="1:53" ht="25" hidden="1" customHeight="1">
      <c r="A803" s="529" t="s">
        <v>755</v>
      </c>
      <c r="B803" s="357">
        <v>45436</v>
      </c>
      <c r="C803" s="358"/>
      <c r="D803" s="185">
        <f t="shared" si="269"/>
        <v>2024</v>
      </c>
      <c r="E803" s="358" t="str">
        <f>VLOOKUP($B803,Week!$A$1:$C$1462,2,0)</f>
        <v>Week21</v>
      </c>
      <c r="F803" s="360" t="str">
        <f t="shared" si="270"/>
        <v>May</v>
      </c>
      <c r="G803" s="359" t="s">
        <v>47</v>
      </c>
      <c r="H803" s="359" t="s">
        <v>518</v>
      </c>
      <c r="I803" s="298" t="s">
        <v>2702</v>
      </c>
      <c r="J803" s="361" t="s">
        <v>70</v>
      </c>
      <c r="K803" s="362" t="s">
        <v>94</v>
      </c>
      <c r="L803" s="300" t="s">
        <v>2167</v>
      </c>
      <c r="M803" s="361" t="s">
        <v>519</v>
      </c>
      <c r="N803" s="436" t="s">
        <v>648</v>
      </c>
      <c r="O803" s="359" t="s">
        <v>97</v>
      </c>
      <c r="P803" s="363">
        <v>12</v>
      </c>
      <c r="Q803" s="363">
        <v>5</v>
      </c>
      <c r="R803" s="364">
        <v>8.0000000000000002E-3</v>
      </c>
      <c r="S803" s="359" t="s">
        <v>40</v>
      </c>
      <c r="T803" s="359" t="s">
        <v>56</v>
      </c>
      <c r="U803" s="359" t="s">
        <v>57</v>
      </c>
      <c r="V803" s="365">
        <v>12</v>
      </c>
      <c r="W803" s="365">
        <v>12</v>
      </c>
      <c r="X803" s="366"/>
      <c r="Y803" s="367">
        <f t="shared" si="272"/>
        <v>0</v>
      </c>
      <c r="Z803" s="368">
        <f t="shared" si="273"/>
        <v>0</v>
      </c>
      <c r="AA803" s="368"/>
      <c r="AB803" s="819"/>
      <c r="AC803" s="365"/>
      <c r="AD803" s="209"/>
      <c r="AE803" s="210"/>
      <c r="AF803" s="210"/>
      <c r="AG803" s="211">
        <f t="shared" si="280"/>
        <v>0.14499999999999999</v>
      </c>
      <c r="AH803" s="157">
        <f t="shared" si="281"/>
        <v>0</v>
      </c>
      <c r="AI803" s="152">
        <f t="shared" si="282"/>
        <v>144</v>
      </c>
      <c r="AK803" s="156" t="s">
        <v>691</v>
      </c>
      <c r="AL803" s="574" t="s">
        <v>690</v>
      </c>
      <c r="AM803" s="198">
        <f t="shared" si="279"/>
        <v>0</v>
      </c>
      <c r="AN803" s="199">
        <f t="shared" si="271"/>
        <v>45436</v>
      </c>
      <c r="AO803" s="159" t="s">
        <v>692</v>
      </c>
      <c r="AP803" s="783" t="s">
        <v>628</v>
      </c>
      <c r="AQ803" s="782">
        <v>12071839</v>
      </c>
      <c r="AR803" s="782">
        <v>12047514</v>
      </c>
      <c r="AS803" s="782">
        <v>12047515</v>
      </c>
      <c r="AT803" s="782"/>
      <c r="AU803" s="781"/>
      <c r="AV803" s="782">
        <v>12080617</v>
      </c>
      <c r="AW803" s="782"/>
      <c r="AX803" s="782"/>
      <c r="AY803" s="782">
        <v>12080618</v>
      </c>
      <c r="AZ803" s="782">
        <v>12080619</v>
      </c>
      <c r="BA803" s="781"/>
    </row>
    <row r="804" spans="1:53" ht="25" hidden="1" customHeight="1">
      <c r="B804" s="357">
        <v>45436</v>
      </c>
      <c r="C804" s="358"/>
      <c r="D804" s="185">
        <f t="shared" si="269"/>
        <v>2024</v>
      </c>
      <c r="E804" s="358" t="str">
        <f>VLOOKUP($B804,Week!$A$1:$C$1462,2,0)</f>
        <v>Week21</v>
      </c>
      <c r="F804" s="360" t="str">
        <f t="shared" si="270"/>
        <v>May</v>
      </c>
      <c r="G804" s="359" t="s">
        <v>47</v>
      </c>
      <c r="H804" s="359" t="s">
        <v>518</v>
      </c>
      <c r="I804" s="298" t="s">
        <v>2702</v>
      </c>
      <c r="J804" s="361" t="s">
        <v>70</v>
      </c>
      <c r="K804" s="362" t="s">
        <v>94</v>
      </c>
      <c r="L804" s="300" t="s">
        <v>2167</v>
      </c>
      <c r="M804" s="361" t="s">
        <v>519</v>
      </c>
      <c r="N804" s="359" t="s">
        <v>589</v>
      </c>
      <c r="O804" s="359" t="s">
        <v>97</v>
      </c>
      <c r="P804" s="363">
        <v>12</v>
      </c>
      <c r="Q804" s="363">
        <v>5</v>
      </c>
      <c r="R804" s="364">
        <v>8.0000000000000002E-3</v>
      </c>
      <c r="S804" s="359" t="s">
        <v>40</v>
      </c>
      <c r="T804" s="359" t="s">
        <v>56</v>
      </c>
      <c r="U804" s="359" t="s">
        <v>57</v>
      </c>
      <c r="V804" s="365">
        <f>834</f>
        <v>834</v>
      </c>
      <c r="W804" s="365">
        <f>1998-1594+430</f>
        <v>834</v>
      </c>
      <c r="X804" s="366"/>
      <c r="Y804" s="367">
        <f t="shared" si="272"/>
        <v>0</v>
      </c>
      <c r="Z804" s="368">
        <f t="shared" si="273"/>
        <v>0</v>
      </c>
      <c r="AA804" s="368"/>
      <c r="AB804" s="819"/>
      <c r="AC804" s="365"/>
      <c r="AD804" s="209"/>
      <c r="AE804" s="210"/>
      <c r="AF804" s="210"/>
      <c r="AG804" s="211">
        <f t="shared" si="280"/>
        <v>0.14499999999999999</v>
      </c>
      <c r="AH804" s="157">
        <f t="shared" si="281"/>
        <v>0</v>
      </c>
      <c r="AI804" s="152">
        <f t="shared" si="282"/>
        <v>10008</v>
      </c>
      <c r="AK804" s="156" t="s">
        <v>691</v>
      </c>
      <c r="AL804" s="574" t="s">
        <v>690</v>
      </c>
      <c r="AM804" s="198">
        <f t="shared" si="279"/>
        <v>0</v>
      </c>
      <c r="AN804" s="199">
        <f t="shared" si="271"/>
        <v>45436</v>
      </c>
      <c r="AO804" s="159" t="s">
        <v>692</v>
      </c>
      <c r="AP804" s="783" t="s">
        <v>628</v>
      </c>
      <c r="AQ804" s="782">
        <v>12071839</v>
      </c>
      <c r="AR804" s="782">
        <v>12047514</v>
      </c>
      <c r="AS804" s="782">
        <v>12047515</v>
      </c>
      <c r="AT804" s="782"/>
      <c r="AU804" s="781"/>
      <c r="AV804" s="782">
        <v>12080617</v>
      </c>
      <c r="AW804" s="782"/>
      <c r="AX804" s="782"/>
      <c r="AY804" s="782">
        <v>12080618</v>
      </c>
      <c r="AZ804" s="782">
        <v>12080619</v>
      </c>
      <c r="BA804" s="781"/>
    </row>
    <row r="805" spans="1:53" ht="24.65" hidden="1" customHeight="1">
      <c r="B805" s="411">
        <v>45436</v>
      </c>
      <c r="C805" s="412"/>
      <c r="D805" s="185">
        <f t="shared" si="269"/>
        <v>2024</v>
      </c>
      <c r="E805" s="412" t="str">
        <f>VLOOKUP($B805,Week!$A$1:$C$1462,2,0)</f>
        <v>Week21</v>
      </c>
      <c r="F805" s="413" t="str">
        <f t="shared" si="270"/>
        <v>May</v>
      </c>
      <c r="G805" s="414" t="s">
        <v>47</v>
      </c>
      <c r="H805" s="414" t="s">
        <v>260</v>
      </c>
      <c r="I805" s="298" t="s">
        <v>2702</v>
      </c>
      <c r="J805" s="415" t="s">
        <v>261</v>
      </c>
      <c r="K805" s="416" t="s">
        <v>94</v>
      </c>
      <c r="L805" s="300" t="s">
        <v>2167</v>
      </c>
      <c r="M805" s="415" t="s">
        <v>1303</v>
      </c>
      <c r="N805" s="414" t="s">
        <v>263</v>
      </c>
      <c r="O805" s="414" t="s">
        <v>195</v>
      </c>
      <c r="P805" s="417">
        <v>24</v>
      </c>
      <c r="Q805" s="417">
        <v>5</v>
      </c>
      <c r="R805" s="418">
        <v>8.0000000000000002E-3</v>
      </c>
      <c r="S805" s="414" t="s">
        <v>40</v>
      </c>
      <c r="T805" s="414" t="s">
        <v>56</v>
      </c>
      <c r="U805" s="414" t="s">
        <v>57</v>
      </c>
      <c r="V805" s="419">
        <v>5914</v>
      </c>
      <c r="W805" s="419">
        <f>5914</f>
        <v>5914</v>
      </c>
      <c r="X805" s="420"/>
      <c r="Y805" s="421">
        <f t="shared" si="272"/>
        <v>0</v>
      </c>
      <c r="Z805" s="422">
        <f t="shared" si="273"/>
        <v>0</v>
      </c>
      <c r="AA805" s="422"/>
      <c r="AB805" s="825"/>
      <c r="AC805" s="419"/>
      <c r="AD805" s="209"/>
      <c r="AE805" s="210"/>
      <c r="AF805" s="210"/>
      <c r="AG805" s="211">
        <f t="shared" si="280"/>
        <v>0.14499999999999999</v>
      </c>
      <c r="AH805" s="157">
        <f t="shared" si="281"/>
        <v>0</v>
      </c>
      <c r="AI805" s="152">
        <f t="shared" si="282"/>
        <v>141936</v>
      </c>
      <c r="AK805" s="156" t="s">
        <v>691</v>
      </c>
      <c r="AL805" s="212" t="s">
        <v>690</v>
      </c>
      <c r="AM805" s="198">
        <f t="shared" si="279"/>
        <v>0</v>
      </c>
      <c r="AN805" s="199">
        <f t="shared" si="271"/>
        <v>45436</v>
      </c>
      <c r="AO805" s="159" t="s">
        <v>692</v>
      </c>
      <c r="AP805" s="783" t="s">
        <v>609</v>
      </c>
      <c r="AQ805" s="782">
        <v>12071839</v>
      </c>
      <c r="AR805" s="782">
        <v>12047514</v>
      </c>
      <c r="AS805" s="782">
        <v>12047515</v>
      </c>
      <c r="AT805" s="781"/>
      <c r="AU805" s="781"/>
      <c r="AV805" s="782">
        <v>12080613</v>
      </c>
      <c r="AW805" s="781"/>
      <c r="AX805" s="781"/>
      <c r="AY805" s="782">
        <v>12080614</v>
      </c>
      <c r="AZ805" s="782">
        <v>12080616</v>
      </c>
      <c r="BA805" s="781"/>
    </row>
    <row r="806" spans="1:53" ht="25" hidden="1" customHeight="1">
      <c r="A806" s="142" t="s">
        <v>120</v>
      </c>
      <c r="B806" s="258">
        <v>45436</v>
      </c>
      <c r="C806" s="259">
        <v>45448</v>
      </c>
      <c r="D806" s="185">
        <f t="shared" si="269"/>
        <v>2024</v>
      </c>
      <c r="E806" s="260" t="str">
        <f>VLOOKUP($B806,Week!$A$1:$C$1462,2,0)</f>
        <v>Week21</v>
      </c>
      <c r="F806" s="261" t="str">
        <f t="shared" si="270"/>
        <v>May</v>
      </c>
      <c r="G806" s="262" t="s">
        <v>1152</v>
      </c>
      <c r="H806" s="260" t="s">
        <v>134</v>
      </c>
      <c r="I806" s="260" t="s">
        <v>2772</v>
      </c>
      <c r="J806" s="263" t="s">
        <v>164</v>
      </c>
      <c r="K806" s="264" t="s">
        <v>153</v>
      </c>
      <c r="L806" s="390" t="s">
        <v>2166</v>
      </c>
      <c r="M806" s="263" t="s">
        <v>165</v>
      </c>
      <c r="N806" s="260" t="s">
        <v>166</v>
      </c>
      <c r="O806" s="260" t="s">
        <v>502</v>
      </c>
      <c r="P806" s="265">
        <v>20</v>
      </c>
      <c r="Q806" s="265">
        <v>12</v>
      </c>
      <c r="R806" s="266">
        <v>6.8100000000000001E-3</v>
      </c>
      <c r="S806" s="260" t="s">
        <v>76</v>
      </c>
      <c r="T806" s="260" t="s">
        <v>56</v>
      </c>
      <c r="U806" s="260" t="s">
        <v>89</v>
      </c>
      <c r="V806" s="267">
        <f>1200-293-680</f>
        <v>227</v>
      </c>
      <c r="W806" s="267">
        <f>1200-293-680</f>
        <v>227</v>
      </c>
      <c r="X806" s="268"/>
      <c r="Y806" s="269">
        <f t="shared" si="272"/>
        <v>0</v>
      </c>
      <c r="Z806" s="270">
        <f t="shared" si="273"/>
        <v>0</v>
      </c>
      <c r="AA806" s="270">
        <f>Q806*Z806</f>
        <v>0</v>
      </c>
      <c r="AB806" s="811">
        <v>2</v>
      </c>
      <c r="AC806" s="267">
        <f>Z806*AB806</f>
        <v>0</v>
      </c>
      <c r="AD806" s="209" t="s">
        <v>168</v>
      </c>
      <c r="AE806" s="210"/>
      <c r="AF806" s="210"/>
      <c r="AG806" s="211">
        <f t="shared" si="280"/>
        <v>0.154</v>
      </c>
      <c r="AH806" s="157">
        <f t="shared" si="281"/>
        <v>0</v>
      </c>
      <c r="AI806" s="152">
        <f t="shared" si="282"/>
        <v>4540</v>
      </c>
      <c r="AK806" s="156" t="s">
        <v>691</v>
      </c>
      <c r="AL806" s="156" t="s">
        <v>689</v>
      </c>
      <c r="AM806" s="198">
        <f t="shared" si="279"/>
        <v>0</v>
      </c>
      <c r="AN806" s="199">
        <f t="shared" si="271"/>
        <v>45436</v>
      </c>
      <c r="AO806" s="159" t="s">
        <v>692</v>
      </c>
      <c r="AP806" s="783" t="s">
        <v>610</v>
      </c>
      <c r="AQ806" s="783" t="s">
        <v>631</v>
      </c>
      <c r="AR806" s="783" t="s">
        <v>523</v>
      </c>
      <c r="AS806" s="781"/>
      <c r="AT806" s="782">
        <v>12055919</v>
      </c>
      <c r="AU806" s="781"/>
      <c r="AV806" s="783" t="s">
        <v>544</v>
      </c>
      <c r="AW806" s="781"/>
      <c r="AX806" s="782" t="s">
        <v>398</v>
      </c>
      <c r="AY806" s="781"/>
      <c r="AZ806" s="781"/>
      <c r="BA806" s="781"/>
    </row>
    <row r="807" spans="1:53" ht="25" hidden="1" customHeight="1">
      <c r="A807" s="142" t="s">
        <v>120</v>
      </c>
      <c r="B807" s="258">
        <v>45436</v>
      </c>
      <c r="C807" s="259">
        <v>45448</v>
      </c>
      <c r="D807" s="185">
        <f t="shared" si="269"/>
        <v>2024</v>
      </c>
      <c r="E807" s="260" t="str">
        <f>VLOOKUP($B807,Week!$A$1:$C$1462,2,0)</f>
        <v>Week21</v>
      </c>
      <c r="F807" s="261" t="str">
        <f t="shared" si="270"/>
        <v>May</v>
      </c>
      <c r="G807" s="262" t="s">
        <v>1415</v>
      </c>
      <c r="H807" s="260" t="s">
        <v>134</v>
      </c>
      <c r="I807" s="260" t="s">
        <v>2772</v>
      </c>
      <c r="J807" s="263" t="s">
        <v>164</v>
      </c>
      <c r="K807" s="264" t="s">
        <v>153</v>
      </c>
      <c r="L807" s="390" t="s">
        <v>2166</v>
      </c>
      <c r="M807" s="263" t="s">
        <v>165</v>
      </c>
      <c r="N807" s="260" t="s">
        <v>166</v>
      </c>
      <c r="O807" s="260" t="s">
        <v>502</v>
      </c>
      <c r="P807" s="265">
        <v>20</v>
      </c>
      <c r="Q807" s="265">
        <v>12</v>
      </c>
      <c r="R807" s="266">
        <v>6.8100000000000001E-3</v>
      </c>
      <c r="S807" s="260" t="s">
        <v>76</v>
      </c>
      <c r="T807" s="260" t="s">
        <v>56</v>
      </c>
      <c r="U807" s="260" t="s">
        <v>89</v>
      </c>
      <c r="V807" s="267">
        <f>1078-227</f>
        <v>851</v>
      </c>
      <c r="W807" s="267">
        <f>1078-227</f>
        <v>851</v>
      </c>
      <c r="X807" s="268"/>
      <c r="Y807" s="269">
        <f t="shared" si="272"/>
        <v>0</v>
      </c>
      <c r="Z807" s="270">
        <f t="shared" si="273"/>
        <v>0</v>
      </c>
      <c r="AA807" s="270">
        <f>Q807*Z807</f>
        <v>0</v>
      </c>
      <c r="AB807" s="811">
        <v>2</v>
      </c>
      <c r="AC807" s="267">
        <f>Z807*AB807</f>
        <v>0</v>
      </c>
      <c r="AD807" s="209" t="s">
        <v>168</v>
      </c>
      <c r="AE807" s="210"/>
      <c r="AF807" s="210"/>
      <c r="AG807" s="211">
        <f t="shared" si="280"/>
        <v>0.154</v>
      </c>
      <c r="AH807" s="157">
        <f t="shared" si="281"/>
        <v>0</v>
      </c>
      <c r="AI807" s="152">
        <f t="shared" si="282"/>
        <v>17020</v>
      </c>
      <c r="AK807" s="156" t="s">
        <v>691</v>
      </c>
      <c r="AL807" s="156" t="s">
        <v>689</v>
      </c>
      <c r="AM807" s="198">
        <f t="shared" si="279"/>
        <v>0</v>
      </c>
      <c r="AN807" s="199">
        <f t="shared" si="271"/>
        <v>45436</v>
      </c>
      <c r="AO807" s="159" t="s">
        <v>692</v>
      </c>
      <c r="AP807" s="783" t="s">
        <v>610</v>
      </c>
      <c r="AQ807" s="783" t="s">
        <v>631</v>
      </c>
      <c r="AR807" s="783" t="s">
        <v>523</v>
      </c>
      <c r="AS807" s="781"/>
      <c r="AT807" s="782">
        <v>12055919</v>
      </c>
      <c r="AU807" s="781"/>
      <c r="AV807" s="783" t="s">
        <v>544</v>
      </c>
      <c r="AW807" s="781"/>
      <c r="AX807" s="782" t="s">
        <v>398</v>
      </c>
      <c r="AY807" s="781"/>
      <c r="AZ807" s="781"/>
      <c r="BA807" s="781"/>
    </row>
    <row r="808" spans="1:53" ht="24.75" hidden="1" customHeight="1">
      <c r="B808" s="295">
        <v>45437</v>
      </c>
      <c r="C808" s="296">
        <v>45453</v>
      </c>
      <c r="D808" s="185">
        <f t="shared" si="269"/>
        <v>2024</v>
      </c>
      <c r="E808" s="296" t="str">
        <f>VLOOKUP($B808,Week!$A$1:$C$1462,2,0)</f>
        <v>Week21</v>
      </c>
      <c r="F808" s="297" t="str">
        <f t="shared" si="270"/>
        <v>May</v>
      </c>
      <c r="G808" s="298" t="s">
        <v>47</v>
      </c>
      <c r="H808" s="298" t="s">
        <v>260</v>
      </c>
      <c r="I808" s="298" t="s">
        <v>2702</v>
      </c>
      <c r="J808" s="307" t="s">
        <v>904</v>
      </c>
      <c r="K808" s="300" t="s">
        <v>176</v>
      </c>
      <c r="L808" s="300" t="s">
        <v>2167</v>
      </c>
      <c r="M808" s="299" t="s">
        <v>262</v>
      </c>
      <c r="N808" s="298" t="s">
        <v>350</v>
      </c>
      <c r="O808" s="298" t="s">
        <v>351</v>
      </c>
      <c r="P808" s="301">
        <v>24</v>
      </c>
      <c r="Q808" s="301">
        <v>5</v>
      </c>
      <c r="R808" s="302">
        <v>6.1999999999999998E-3</v>
      </c>
      <c r="S808" s="298" t="s">
        <v>352</v>
      </c>
      <c r="T808" s="298" t="s">
        <v>56</v>
      </c>
      <c r="U808" s="298" t="s">
        <v>57</v>
      </c>
      <c r="V808" s="303">
        <v>3019</v>
      </c>
      <c r="W808" s="303">
        <f>3019</f>
        <v>3019</v>
      </c>
      <c r="X808" s="304"/>
      <c r="Y808" s="305">
        <f t="shared" si="272"/>
        <v>0</v>
      </c>
      <c r="Z808" s="306">
        <f t="shared" si="273"/>
        <v>0</v>
      </c>
      <c r="AA808" s="306"/>
      <c r="AB808" s="814"/>
      <c r="AC808" s="303"/>
      <c r="AD808" s="580" t="s">
        <v>672</v>
      </c>
      <c r="AE808" s="210"/>
      <c r="AF808" s="210"/>
      <c r="AG808" s="211">
        <f t="shared" si="280"/>
        <v>0.13</v>
      </c>
      <c r="AH808" s="157">
        <f t="shared" si="281"/>
        <v>0</v>
      </c>
      <c r="AI808" s="152">
        <f t="shared" si="282"/>
        <v>72456</v>
      </c>
      <c r="AK808" s="156" t="s">
        <v>691</v>
      </c>
      <c r="AL808" s="574" t="s">
        <v>690</v>
      </c>
      <c r="AM808" s="198">
        <f t="shared" si="279"/>
        <v>0</v>
      </c>
      <c r="AN808" s="199">
        <f t="shared" si="271"/>
        <v>45437</v>
      </c>
      <c r="AO808" s="159" t="s">
        <v>692</v>
      </c>
      <c r="AP808" s="783" t="s">
        <v>629</v>
      </c>
      <c r="AQ808" s="782">
        <v>12071839</v>
      </c>
      <c r="AR808" s="782">
        <v>12078867</v>
      </c>
      <c r="AS808" s="782">
        <v>12068233</v>
      </c>
      <c r="AT808" s="781"/>
      <c r="AU808" s="781"/>
      <c r="AV808" s="782">
        <v>12062075</v>
      </c>
      <c r="AW808" s="781"/>
      <c r="AX808" s="781"/>
      <c r="AY808" s="782">
        <v>12078867</v>
      </c>
      <c r="AZ808" s="781"/>
      <c r="BA808" s="781"/>
    </row>
    <row r="809" spans="1:53" ht="25" hidden="1" customHeight="1">
      <c r="B809" s="332">
        <v>45437</v>
      </c>
      <c r="C809" s="333">
        <v>45469</v>
      </c>
      <c r="D809" s="185">
        <f t="shared" si="269"/>
        <v>2024</v>
      </c>
      <c r="E809" s="333" t="str">
        <f>VLOOKUP($B809,Week!$A$1:$C$1462,2,0)</f>
        <v>Week21</v>
      </c>
      <c r="F809" s="334" t="str">
        <f t="shared" si="270"/>
        <v>May</v>
      </c>
      <c r="G809" s="335" t="s">
        <v>1348</v>
      </c>
      <c r="H809" s="335" t="s">
        <v>311</v>
      </c>
      <c r="I809" s="335" t="s">
        <v>2772</v>
      </c>
      <c r="J809" s="336" t="s">
        <v>738</v>
      </c>
      <c r="K809" s="337" t="s">
        <v>1649</v>
      </c>
      <c r="L809" s="300" t="s">
        <v>2167</v>
      </c>
      <c r="M809" s="336" t="s">
        <v>603</v>
      </c>
      <c r="N809" s="335" t="s">
        <v>605</v>
      </c>
      <c r="O809" s="335" t="s">
        <v>602</v>
      </c>
      <c r="P809" s="338">
        <v>8</v>
      </c>
      <c r="Q809" s="338">
        <v>3</v>
      </c>
      <c r="R809" s="339">
        <v>8.0000000000000002E-3</v>
      </c>
      <c r="S809" s="335" t="s">
        <v>55</v>
      </c>
      <c r="T809" s="335" t="s">
        <v>112</v>
      </c>
      <c r="U809" s="340" t="s">
        <v>721</v>
      </c>
      <c r="V809" s="341">
        <f>500</f>
        <v>500</v>
      </c>
      <c r="W809" s="341"/>
      <c r="X809" s="342">
        <f>(4061)/8</f>
        <v>507.625</v>
      </c>
      <c r="Y809" s="343">
        <f t="shared" si="272"/>
        <v>7.625</v>
      </c>
      <c r="Z809" s="344">
        <f t="shared" si="273"/>
        <v>0</v>
      </c>
      <c r="AA809" s="344"/>
      <c r="AB809" s="817"/>
      <c r="AC809" s="341"/>
      <c r="AD809" s="307" t="s">
        <v>736</v>
      </c>
      <c r="AE809" s="210"/>
      <c r="AF809" s="210"/>
      <c r="AG809" s="211">
        <f t="shared" si="280"/>
        <v>0.30199999999999999</v>
      </c>
      <c r="AH809" s="157">
        <v>0.26621999999999996</v>
      </c>
      <c r="AI809" s="152">
        <f t="shared" si="282"/>
        <v>4000</v>
      </c>
      <c r="AK809" s="156" t="s">
        <v>691</v>
      </c>
      <c r="AL809" s="156" t="s">
        <v>690</v>
      </c>
      <c r="AM809" s="198">
        <f t="shared" si="279"/>
        <v>0</v>
      </c>
      <c r="AN809" s="199">
        <f t="shared" si="271"/>
        <v>45437</v>
      </c>
      <c r="AO809" s="159" t="s">
        <v>692</v>
      </c>
      <c r="AP809" s="781" t="s">
        <v>642</v>
      </c>
      <c r="AQ809" s="782">
        <v>12063755</v>
      </c>
      <c r="AR809" s="782">
        <v>12061353</v>
      </c>
      <c r="AS809" s="782">
        <v>12061354</v>
      </c>
      <c r="AT809" s="782">
        <v>12084733</v>
      </c>
      <c r="AU809" s="781"/>
      <c r="AV809" s="782">
        <v>12084732</v>
      </c>
      <c r="AW809" s="781"/>
      <c r="AX809" s="781"/>
      <c r="AY809" s="781"/>
      <c r="AZ809" s="782"/>
      <c r="BA809" s="781"/>
    </row>
    <row r="810" spans="1:53" ht="25" hidden="1" customHeight="1">
      <c r="B810" s="425">
        <v>45437</v>
      </c>
      <c r="C810" s="425">
        <v>45448</v>
      </c>
      <c r="D810" s="185">
        <f t="shared" si="269"/>
        <v>2024</v>
      </c>
      <c r="E810" s="425" t="str">
        <f>VLOOKUP($B810,Week!$A$1:$C$1462,2,0)</f>
        <v>Week21</v>
      </c>
      <c r="F810" s="426" t="str">
        <f t="shared" si="270"/>
        <v>May</v>
      </c>
      <c r="G810" s="427" t="s">
        <v>1257</v>
      </c>
      <c r="H810" s="427" t="s">
        <v>600</v>
      </c>
      <c r="I810" s="427" t="s">
        <v>2772</v>
      </c>
      <c r="J810" s="428" t="s">
        <v>663</v>
      </c>
      <c r="K810" s="429" t="s">
        <v>1650</v>
      </c>
      <c r="L810" s="300" t="s">
        <v>2167</v>
      </c>
      <c r="M810" s="428" t="s">
        <v>603</v>
      </c>
      <c r="N810" s="427" t="s">
        <v>1256</v>
      </c>
      <c r="O810" s="427" t="s">
        <v>659</v>
      </c>
      <c r="P810" s="430">
        <v>12</v>
      </c>
      <c r="Q810" s="430">
        <v>3</v>
      </c>
      <c r="R810" s="431">
        <v>6.0000000000000001E-3</v>
      </c>
      <c r="S810" s="427" t="s">
        <v>55</v>
      </c>
      <c r="T810" s="427" t="s">
        <v>112</v>
      </c>
      <c r="U810" s="632" t="s">
        <v>721</v>
      </c>
      <c r="V810" s="432">
        <v>2520</v>
      </c>
      <c r="W810" s="432">
        <v>2520</v>
      </c>
      <c r="X810" s="433"/>
      <c r="Y810" s="434">
        <f t="shared" si="272"/>
        <v>0</v>
      </c>
      <c r="Z810" s="435">
        <f t="shared" si="273"/>
        <v>0</v>
      </c>
      <c r="AA810" s="435"/>
      <c r="AB810" s="826"/>
      <c r="AC810" s="432"/>
      <c r="AD810" s="307" t="s">
        <v>1509</v>
      </c>
      <c r="AE810" s="210"/>
      <c r="AF810" s="210"/>
      <c r="AG810" s="211">
        <f t="shared" si="280"/>
        <v>0.30199999999999999</v>
      </c>
      <c r="AH810" s="157">
        <v>0.26621999999999996</v>
      </c>
      <c r="AI810" s="152">
        <f t="shared" si="282"/>
        <v>30240</v>
      </c>
      <c r="AK810" s="156" t="s">
        <v>691</v>
      </c>
      <c r="AL810" s="212" t="s">
        <v>690</v>
      </c>
      <c r="AM810" s="198">
        <f t="shared" si="279"/>
        <v>0</v>
      </c>
      <c r="AN810" s="199">
        <f t="shared" si="271"/>
        <v>45437</v>
      </c>
      <c r="AO810" s="159" t="s">
        <v>692</v>
      </c>
      <c r="AP810" s="781" t="s">
        <v>642</v>
      </c>
      <c r="AQ810" s="782">
        <v>12063755</v>
      </c>
      <c r="AR810" s="782">
        <v>12061353</v>
      </c>
      <c r="AS810" s="782">
        <v>12061354</v>
      </c>
      <c r="AT810" s="782"/>
      <c r="AU810" s="781"/>
      <c r="AV810" s="782">
        <v>12089687</v>
      </c>
      <c r="AW810" s="781"/>
      <c r="AX810" s="782"/>
      <c r="AY810" s="782">
        <v>12089688</v>
      </c>
      <c r="AZ810" s="782">
        <v>12089686</v>
      </c>
      <c r="BA810" s="781">
        <v>12089685</v>
      </c>
    </row>
    <row r="811" spans="1:53" ht="25" hidden="1" customHeight="1">
      <c r="B811" s="425">
        <v>45437</v>
      </c>
      <c r="C811" s="425">
        <v>45448</v>
      </c>
      <c r="D811" s="185">
        <f t="shared" si="269"/>
        <v>2024</v>
      </c>
      <c r="E811" s="425" t="str">
        <f>VLOOKUP($B811,Week!$A$1:$C$1462,2,0)</f>
        <v>Week21</v>
      </c>
      <c r="F811" s="426" t="str">
        <f t="shared" si="270"/>
        <v>May</v>
      </c>
      <c r="G811" s="427" t="s">
        <v>1258</v>
      </c>
      <c r="H811" s="427" t="s">
        <v>600</v>
      </c>
      <c r="I811" s="427" t="s">
        <v>2772</v>
      </c>
      <c r="J811" s="428" t="s">
        <v>663</v>
      </c>
      <c r="K811" s="429" t="s">
        <v>1650</v>
      </c>
      <c r="L811" s="300" t="s">
        <v>2167</v>
      </c>
      <c r="M811" s="428" t="s">
        <v>603</v>
      </c>
      <c r="N811" s="427" t="s">
        <v>1256</v>
      </c>
      <c r="O811" s="427" t="s">
        <v>659</v>
      </c>
      <c r="P811" s="430">
        <v>12</v>
      </c>
      <c r="Q811" s="430">
        <v>3</v>
      </c>
      <c r="R811" s="431">
        <v>6.0000000000000001E-3</v>
      </c>
      <c r="S811" s="427" t="s">
        <v>55</v>
      </c>
      <c r="T811" s="427" t="s">
        <v>112</v>
      </c>
      <c r="U811" s="632" t="s">
        <v>721</v>
      </c>
      <c r="V811" s="432">
        <v>2520</v>
      </c>
      <c r="W811" s="432">
        <f>3185-2520</f>
        <v>665</v>
      </c>
      <c r="X811" s="433">
        <f>(22452)/12</f>
        <v>1871</v>
      </c>
      <c r="Y811" s="434">
        <f t="shared" si="272"/>
        <v>16</v>
      </c>
      <c r="Z811" s="435">
        <f t="shared" si="273"/>
        <v>0</v>
      </c>
      <c r="AA811" s="435"/>
      <c r="AB811" s="826"/>
      <c r="AC811" s="432"/>
      <c r="AD811" s="307" t="s">
        <v>1509</v>
      </c>
      <c r="AE811" s="210"/>
      <c r="AF811" s="210"/>
      <c r="AG811" s="211">
        <f t="shared" si="280"/>
        <v>0.30199999999999999</v>
      </c>
      <c r="AH811" s="157">
        <v>0.26621999999999996</v>
      </c>
      <c r="AI811" s="152">
        <f t="shared" si="282"/>
        <v>30240</v>
      </c>
      <c r="AK811" s="156" t="s">
        <v>691</v>
      </c>
      <c r="AL811" s="212" t="s">
        <v>690</v>
      </c>
      <c r="AM811" s="198">
        <f t="shared" si="279"/>
        <v>0</v>
      </c>
      <c r="AN811" s="199">
        <f t="shared" si="271"/>
        <v>45437</v>
      </c>
      <c r="AO811" s="159" t="s">
        <v>692</v>
      </c>
      <c r="AP811" s="781" t="s">
        <v>642</v>
      </c>
      <c r="AQ811" s="782">
        <v>12063755</v>
      </c>
      <c r="AR811" s="782">
        <v>12061353</v>
      </c>
      <c r="AS811" s="782">
        <v>12061354</v>
      </c>
      <c r="AT811" s="782"/>
      <c r="AU811" s="781"/>
      <c r="AV811" s="782">
        <v>12089687</v>
      </c>
      <c r="AW811" s="781"/>
      <c r="AX811" s="782"/>
      <c r="AY811" s="782">
        <v>12089688</v>
      </c>
      <c r="AZ811" s="782">
        <v>12089686</v>
      </c>
      <c r="BA811" s="781">
        <v>12089685</v>
      </c>
    </row>
    <row r="812" spans="1:53" ht="25" hidden="1" customHeight="1">
      <c r="B812" s="332">
        <v>45437</v>
      </c>
      <c r="C812" s="333">
        <v>45463</v>
      </c>
      <c r="D812" s="185">
        <f t="shared" si="269"/>
        <v>2024</v>
      </c>
      <c r="E812" s="333" t="str">
        <f>VLOOKUP($B812,Week!$A$1:$C$1462,2,0)</f>
        <v>Week21</v>
      </c>
      <c r="F812" s="334" t="str">
        <f t="shared" si="270"/>
        <v>May</v>
      </c>
      <c r="G812" s="335" t="s">
        <v>1345</v>
      </c>
      <c r="H812" s="335" t="s">
        <v>600</v>
      </c>
      <c r="I812" s="335" t="s">
        <v>2772</v>
      </c>
      <c r="J812" s="336" t="s">
        <v>708</v>
      </c>
      <c r="K812" s="337" t="s">
        <v>1646</v>
      </c>
      <c r="L812" s="300" t="s">
        <v>2167</v>
      </c>
      <c r="M812" s="336" t="s">
        <v>601</v>
      </c>
      <c r="N812" s="335" t="s">
        <v>604</v>
      </c>
      <c r="O812" s="335" t="s">
        <v>543</v>
      </c>
      <c r="P812" s="338">
        <v>8</v>
      </c>
      <c r="Q812" s="338">
        <v>3</v>
      </c>
      <c r="R812" s="339">
        <v>7.4999999999999997E-3</v>
      </c>
      <c r="S812" s="335" t="s">
        <v>40</v>
      </c>
      <c r="T812" s="335" t="s">
        <v>112</v>
      </c>
      <c r="U812" s="340" t="s">
        <v>722</v>
      </c>
      <c r="V812" s="341">
        <v>3500</v>
      </c>
      <c r="W812" s="341"/>
      <c r="X812" s="342">
        <f>29785/8</f>
        <v>3723.125</v>
      </c>
      <c r="Y812" s="343">
        <f t="shared" si="272"/>
        <v>223.125</v>
      </c>
      <c r="Z812" s="344">
        <f t="shared" si="273"/>
        <v>0</v>
      </c>
      <c r="AA812" s="344"/>
      <c r="AB812" s="817"/>
      <c r="AC812" s="341"/>
      <c r="AD812" s="307" t="s">
        <v>673</v>
      </c>
      <c r="AE812" s="210"/>
      <c r="AF812" s="210"/>
      <c r="AG812" s="211">
        <f t="shared" si="280"/>
        <v>0.309</v>
      </c>
      <c r="AH812" s="157">
        <f>(Z812*AG812)/1000</f>
        <v>0</v>
      </c>
      <c r="AI812" s="152">
        <f t="shared" si="282"/>
        <v>28000</v>
      </c>
      <c r="AK812" s="156" t="s">
        <v>691</v>
      </c>
      <c r="AL812" s="574" t="s">
        <v>690</v>
      </c>
      <c r="AM812" s="198">
        <f t="shared" si="279"/>
        <v>0</v>
      </c>
      <c r="AN812" s="199">
        <f t="shared" si="271"/>
        <v>45437</v>
      </c>
      <c r="AO812" s="159" t="s">
        <v>692</v>
      </c>
      <c r="AP812" s="781"/>
      <c r="AQ812" s="782">
        <v>12063755</v>
      </c>
      <c r="AR812" s="782">
        <v>12061353</v>
      </c>
      <c r="AS812" s="782">
        <v>12061354</v>
      </c>
      <c r="AT812" s="782">
        <v>12084023</v>
      </c>
      <c r="AU812" s="781"/>
      <c r="AV812" s="782">
        <v>12084228</v>
      </c>
      <c r="AW812" s="782"/>
      <c r="AX812" s="782"/>
      <c r="AY812" s="782"/>
      <c r="AZ812" s="782"/>
      <c r="BA812" s="781"/>
    </row>
    <row r="813" spans="1:53" ht="25" hidden="1" customHeight="1">
      <c r="A813" s="142" t="s">
        <v>120</v>
      </c>
      <c r="B813" s="258">
        <v>45437</v>
      </c>
      <c r="C813" s="259">
        <v>45448</v>
      </c>
      <c r="D813" s="185">
        <f t="shared" si="269"/>
        <v>2024</v>
      </c>
      <c r="E813" s="260" t="str">
        <f>VLOOKUP($B813,Week!$A$1:$C$1462,2,0)</f>
        <v>Week21</v>
      </c>
      <c r="F813" s="261" t="str">
        <f t="shared" si="270"/>
        <v>May</v>
      </c>
      <c r="G813" s="262" t="s">
        <v>1415</v>
      </c>
      <c r="H813" s="260" t="s">
        <v>134</v>
      </c>
      <c r="I813" s="260" t="s">
        <v>2772</v>
      </c>
      <c r="J813" s="263" t="s">
        <v>164</v>
      </c>
      <c r="K813" s="264" t="s">
        <v>153</v>
      </c>
      <c r="L813" s="390" t="s">
        <v>2166</v>
      </c>
      <c r="M813" s="263" t="s">
        <v>165</v>
      </c>
      <c r="N813" s="260" t="s">
        <v>166</v>
      </c>
      <c r="O813" s="260" t="s">
        <v>502</v>
      </c>
      <c r="P813" s="265">
        <v>20</v>
      </c>
      <c r="Q813" s="265">
        <v>12</v>
      </c>
      <c r="R813" s="266">
        <v>6.8100000000000001E-3</v>
      </c>
      <c r="S813" s="260" t="s">
        <v>76</v>
      </c>
      <c r="T813" s="260" t="s">
        <v>56</v>
      </c>
      <c r="U813" s="260" t="s">
        <v>89</v>
      </c>
      <c r="V813" s="267">
        <f>1200-851</f>
        <v>349</v>
      </c>
      <c r="W813" s="267">
        <f>349</f>
        <v>349</v>
      </c>
      <c r="X813" s="268"/>
      <c r="Y813" s="269">
        <f t="shared" si="272"/>
        <v>0</v>
      </c>
      <c r="Z813" s="270">
        <f t="shared" si="273"/>
        <v>0</v>
      </c>
      <c r="AA813" s="270">
        <f>Q813*Z813</f>
        <v>0</v>
      </c>
      <c r="AB813" s="811">
        <v>2</v>
      </c>
      <c r="AC813" s="267">
        <f>Z813*AB813</f>
        <v>0</v>
      </c>
      <c r="AD813" s="209" t="s">
        <v>168</v>
      </c>
      <c r="AE813" s="210"/>
      <c r="AF813" s="210"/>
      <c r="AG813" s="211">
        <f t="shared" si="280"/>
        <v>0.154</v>
      </c>
      <c r="AH813" s="157">
        <f>(Z813*AG813)/1000</f>
        <v>0</v>
      </c>
      <c r="AI813" s="152">
        <f t="shared" si="282"/>
        <v>6980</v>
      </c>
      <c r="AK813" s="156" t="s">
        <v>691</v>
      </c>
      <c r="AL813" s="156" t="s">
        <v>689</v>
      </c>
      <c r="AM813" s="198">
        <f t="shared" si="279"/>
        <v>0</v>
      </c>
      <c r="AN813" s="199">
        <f t="shared" si="271"/>
        <v>45437</v>
      </c>
      <c r="AO813" s="159" t="s">
        <v>692</v>
      </c>
      <c r="AP813" s="783" t="s">
        <v>610</v>
      </c>
      <c r="AQ813" s="783" t="s">
        <v>631</v>
      </c>
      <c r="AR813" s="783" t="s">
        <v>523</v>
      </c>
      <c r="AS813" s="781"/>
      <c r="AT813" s="782">
        <v>12055919</v>
      </c>
      <c r="AU813" s="781"/>
      <c r="AV813" s="783" t="s">
        <v>544</v>
      </c>
      <c r="AW813" s="781"/>
      <c r="AX813" s="782" t="s">
        <v>398</v>
      </c>
      <c r="AY813" s="781"/>
      <c r="AZ813" s="781"/>
      <c r="BA813" s="781"/>
    </row>
    <row r="814" spans="1:53" ht="25" hidden="1" customHeight="1">
      <c r="A814" s="142" t="s">
        <v>120</v>
      </c>
      <c r="B814" s="283">
        <v>45437</v>
      </c>
      <c r="C814" s="284">
        <v>45448</v>
      </c>
      <c r="D814" s="185">
        <f t="shared" si="269"/>
        <v>2024</v>
      </c>
      <c r="E814" s="286" t="str">
        <f>VLOOKUP($B814,Week!$A$1:$C$1462,2,0)</f>
        <v>Week21</v>
      </c>
      <c r="F814" s="285" t="str">
        <f t="shared" si="270"/>
        <v>May</v>
      </c>
      <c r="G814" s="286" t="s">
        <v>1156</v>
      </c>
      <c r="H814" s="286" t="s">
        <v>134</v>
      </c>
      <c r="I814" s="286" t="s">
        <v>2772</v>
      </c>
      <c r="J814" s="287" t="s">
        <v>164</v>
      </c>
      <c r="K814" s="288" t="s">
        <v>153</v>
      </c>
      <c r="L814" s="390" t="s">
        <v>2166</v>
      </c>
      <c r="M814" s="287" t="s">
        <v>214</v>
      </c>
      <c r="N814" s="286" t="s">
        <v>215</v>
      </c>
      <c r="O814" s="286" t="s">
        <v>504</v>
      </c>
      <c r="P814" s="289">
        <v>20</v>
      </c>
      <c r="Q814" s="289">
        <v>8</v>
      </c>
      <c r="R814" s="290">
        <v>1.4999999999999999E-2</v>
      </c>
      <c r="S814" s="286" t="s">
        <v>217</v>
      </c>
      <c r="T814" s="286" t="s">
        <v>56</v>
      </c>
      <c r="U814" s="286" t="s">
        <v>89</v>
      </c>
      <c r="V814" s="291">
        <v>460</v>
      </c>
      <c r="W814" s="291">
        <f>34+426</f>
        <v>460</v>
      </c>
      <c r="X814" s="292"/>
      <c r="Y814" s="293">
        <f t="shared" si="272"/>
        <v>0</v>
      </c>
      <c r="Z814" s="294">
        <f t="shared" si="273"/>
        <v>0</v>
      </c>
      <c r="AA814" s="291">
        <f>Q814*Z814</f>
        <v>0</v>
      </c>
      <c r="AB814" s="813">
        <v>2</v>
      </c>
      <c r="AC814" s="291">
        <f>Z814*AB814</f>
        <v>0</v>
      </c>
      <c r="AD814" s="209" t="s">
        <v>218</v>
      </c>
      <c r="AE814" s="210"/>
      <c r="AF814" s="210"/>
      <c r="AG814" s="211">
        <f t="shared" si="280"/>
        <v>0.19400000000000001</v>
      </c>
      <c r="AH814" s="157">
        <f>(Z814*AG814)/1000</f>
        <v>0</v>
      </c>
      <c r="AI814" s="152">
        <f t="shared" si="282"/>
        <v>9200</v>
      </c>
      <c r="AK814" s="156" t="s">
        <v>691</v>
      </c>
      <c r="AL814" s="156" t="s">
        <v>689</v>
      </c>
      <c r="AM814" s="198">
        <f t="shared" si="279"/>
        <v>0</v>
      </c>
      <c r="AN814" s="199">
        <f t="shared" si="271"/>
        <v>45437</v>
      </c>
      <c r="AO814" s="159" t="s">
        <v>692</v>
      </c>
      <c r="AP814" s="783" t="s">
        <v>610</v>
      </c>
      <c r="AQ814" s="782"/>
      <c r="AR814" s="782">
        <v>12064528</v>
      </c>
      <c r="AS814" s="782"/>
      <c r="AT814" s="782">
        <v>12064478</v>
      </c>
      <c r="AU814" s="781"/>
      <c r="AV814" s="782">
        <v>12064493</v>
      </c>
      <c r="AW814" s="782"/>
      <c r="AX814" s="782" t="s">
        <v>545</v>
      </c>
      <c r="AY814" s="782"/>
      <c r="AZ814" s="782"/>
      <c r="BA814" s="781"/>
    </row>
    <row r="815" spans="1:53" ht="24.65" hidden="1" customHeight="1">
      <c r="B815" s="183">
        <v>45438</v>
      </c>
      <c r="C815" s="184"/>
      <c r="D815" s="185">
        <f t="shared" si="269"/>
        <v>2024</v>
      </c>
      <c r="E815" s="185" t="str">
        <f>VLOOKUP($B815,Week!$A$1:$C$1462,2,0)</f>
        <v>Week21</v>
      </c>
      <c r="F815" s="186" t="str">
        <f t="shared" si="270"/>
        <v>May</v>
      </c>
      <c r="G815" s="185"/>
      <c r="H815" s="185"/>
      <c r="I815" s="185"/>
      <c r="J815" s="187"/>
      <c r="K815" s="188"/>
      <c r="L815" s="300"/>
      <c r="M815" s="187"/>
      <c r="N815" s="185"/>
      <c r="O815" s="185"/>
      <c r="P815" s="189"/>
      <c r="Q815" s="189"/>
      <c r="R815" s="190"/>
      <c r="S815" s="185"/>
      <c r="T815" s="185"/>
      <c r="U815" s="185"/>
      <c r="V815" s="191"/>
      <c r="W815" s="191"/>
      <c r="X815" s="192"/>
      <c r="Y815" s="193"/>
      <c r="Z815" s="194"/>
      <c r="AA815" s="194"/>
      <c r="AB815" s="805"/>
      <c r="AC815" s="191"/>
      <c r="AD815" s="187"/>
      <c r="AE815" s="195"/>
      <c r="AF815" s="195"/>
      <c r="AG815" s="196"/>
      <c r="AH815" s="197"/>
      <c r="AK815" s="156" t="s">
        <v>691</v>
      </c>
      <c r="AM815" s="198">
        <f t="shared" si="279"/>
        <v>0</v>
      </c>
      <c r="AN815" s="199">
        <f t="shared" si="271"/>
        <v>45438</v>
      </c>
      <c r="AO815" s="159" t="s">
        <v>692</v>
      </c>
      <c r="AP815" s="781"/>
      <c r="AQ815" s="782"/>
      <c r="AR815" s="782"/>
      <c r="AS815" s="782"/>
      <c r="AT815" s="782"/>
      <c r="AU815" s="781"/>
      <c r="AV815" s="782"/>
      <c r="AW815" s="782"/>
      <c r="AX815" s="782"/>
      <c r="AY815" s="782"/>
      <c r="AZ815" s="782"/>
      <c r="BA815" s="781"/>
    </row>
    <row r="816" spans="1:53" ht="25" hidden="1" customHeight="1">
      <c r="B816" s="213">
        <v>45439</v>
      </c>
      <c r="C816" s="578">
        <v>45447</v>
      </c>
      <c r="D816" s="185">
        <f t="shared" si="269"/>
        <v>2024</v>
      </c>
      <c r="E816" s="215" t="str">
        <f>VLOOKUP($B816,Week!$A$1:$C$1462,2,0)</f>
        <v>Week22</v>
      </c>
      <c r="F816" s="216" t="str">
        <f t="shared" si="270"/>
        <v>May</v>
      </c>
      <c r="G816" s="215" t="s">
        <v>1206</v>
      </c>
      <c r="H816" s="215" t="s">
        <v>104</v>
      </c>
      <c r="I816" s="215" t="s">
        <v>2772</v>
      </c>
      <c r="J816" s="209" t="s">
        <v>105</v>
      </c>
      <c r="K816" s="217" t="s">
        <v>107</v>
      </c>
      <c r="L816" s="300" t="s">
        <v>2167</v>
      </c>
      <c r="M816" s="209" t="s">
        <v>108</v>
      </c>
      <c r="N816" s="215" t="s">
        <v>109</v>
      </c>
      <c r="O816" s="215" t="s">
        <v>110</v>
      </c>
      <c r="P816" s="218">
        <v>36</v>
      </c>
      <c r="Q816" s="218">
        <v>5</v>
      </c>
      <c r="R816" s="219">
        <v>7.4999999999999997E-3</v>
      </c>
      <c r="S816" s="215" t="s">
        <v>111</v>
      </c>
      <c r="T816" s="215" t="s">
        <v>112</v>
      </c>
      <c r="U816" s="215" t="s">
        <v>113</v>
      </c>
      <c r="V816" s="220">
        <f>792-644</f>
        <v>148</v>
      </c>
      <c r="W816" s="220">
        <v>148</v>
      </c>
      <c r="X816" s="221"/>
      <c r="Y816" s="222">
        <f t="shared" ref="Y816:Y847" si="283">(W816+X816)-V816</f>
        <v>0</v>
      </c>
      <c r="Z816" s="223">
        <f t="shared" ref="Z816:Z847" si="284">IF(Y816&lt;0,((V816*P816)-((W816+X816)*P816)),0)</f>
        <v>0</v>
      </c>
      <c r="AA816" s="223"/>
      <c r="AB816" s="807"/>
      <c r="AC816" s="220"/>
      <c r="AD816" s="209"/>
      <c r="AE816" s="210"/>
      <c r="AF816" s="210"/>
      <c r="AG816" s="211">
        <f t="shared" ref="AG816:AG847" si="285">MID(O816,1,3)/1000</f>
        <v>0.308</v>
      </c>
      <c r="AH816" s="157">
        <f t="shared" ref="AH816:AH835" si="286">(Z816*AG816)/1000</f>
        <v>0</v>
      </c>
      <c r="AI816" s="152">
        <f t="shared" ref="AI816:AI847" si="287">V816*P816</f>
        <v>5328</v>
      </c>
      <c r="AK816" s="156" t="s">
        <v>691</v>
      </c>
      <c r="AL816" s="574" t="s">
        <v>690</v>
      </c>
      <c r="AM816" s="198">
        <f t="shared" si="279"/>
        <v>0</v>
      </c>
      <c r="AN816" s="199">
        <f t="shared" si="271"/>
        <v>45439</v>
      </c>
      <c r="AO816" s="159" t="s">
        <v>692</v>
      </c>
      <c r="AP816" s="781"/>
      <c r="AQ816" s="782">
        <v>12063755</v>
      </c>
      <c r="AR816" s="782">
        <v>12061353</v>
      </c>
      <c r="AS816" s="782">
        <v>12061354</v>
      </c>
      <c r="AT816" s="782">
        <v>12068566</v>
      </c>
      <c r="AU816" s="781"/>
      <c r="AV816" s="782">
        <v>12088206</v>
      </c>
      <c r="AW816" s="782">
        <v>12088207</v>
      </c>
      <c r="AX816" s="782"/>
      <c r="AY816" s="782">
        <v>12068565</v>
      </c>
      <c r="AZ816" s="782"/>
      <c r="BA816" s="781"/>
    </row>
    <row r="817" spans="1:53" ht="25" hidden="1" customHeight="1">
      <c r="B817" s="213">
        <v>45439</v>
      </c>
      <c r="C817" s="578">
        <v>45447</v>
      </c>
      <c r="D817" s="185">
        <f t="shared" si="269"/>
        <v>2024</v>
      </c>
      <c r="E817" s="215" t="str">
        <f>VLOOKUP($B817,Week!$A$1:$C$1462,2,0)</f>
        <v>Week22</v>
      </c>
      <c r="F817" s="216" t="str">
        <f t="shared" si="270"/>
        <v>May</v>
      </c>
      <c r="G817" s="215" t="s">
        <v>1209</v>
      </c>
      <c r="H817" s="215" t="s">
        <v>104</v>
      </c>
      <c r="I817" s="215" t="s">
        <v>2772</v>
      </c>
      <c r="J817" s="209" t="s">
        <v>105</v>
      </c>
      <c r="K817" s="217" t="s">
        <v>107</v>
      </c>
      <c r="L817" s="300" t="s">
        <v>2167</v>
      </c>
      <c r="M817" s="209" t="s">
        <v>108</v>
      </c>
      <c r="N817" s="215" t="s">
        <v>109</v>
      </c>
      <c r="O817" s="215" t="s">
        <v>110</v>
      </c>
      <c r="P817" s="218">
        <v>36</v>
      </c>
      <c r="Q817" s="218">
        <v>5</v>
      </c>
      <c r="R817" s="219">
        <v>7.4999999999999997E-3</v>
      </c>
      <c r="S817" s="215" t="s">
        <v>111</v>
      </c>
      <c r="T817" s="215" t="s">
        <v>112</v>
      </c>
      <c r="U817" s="215" t="s">
        <v>113</v>
      </c>
      <c r="V817" s="220">
        <v>792</v>
      </c>
      <c r="W817" s="220">
        <v>792</v>
      </c>
      <c r="X817" s="221"/>
      <c r="Y817" s="222">
        <f t="shared" si="283"/>
        <v>0</v>
      </c>
      <c r="Z817" s="223">
        <f t="shared" si="284"/>
        <v>0</v>
      </c>
      <c r="AA817" s="223"/>
      <c r="AB817" s="807"/>
      <c r="AC817" s="220"/>
      <c r="AD817" s="209"/>
      <c r="AE817" s="210"/>
      <c r="AF817" s="210"/>
      <c r="AG817" s="211">
        <f t="shared" si="285"/>
        <v>0.308</v>
      </c>
      <c r="AH817" s="157">
        <f t="shared" si="286"/>
        <v>0</v>
      </c>
      <c r="AI817" s="152">
        <f t="shared" si="287"/>
        <v>28512</v>
      </c>
      <c r="AK817" s="156" t="s">
        <v>691</v>
      </c>
      <c r="AL817" s="574" t="s">
        <v>690</v>
      </c>
      <c r="AM817" s="198">
        <f t="shared" si="279"/>
        <v>0</v>
      </c>
      <c r="AN817" s="199">
        <f t="shared" si="271"/>
        <v>45439</v>
      </c>
      <c r="AO817" s="159" t="s">
        <v>692</v>
      </c>
      <c r="AP817" s="781"/>
      <c r="AQ817" s="782">
        <v>12063755</v>
      </c>
      <c r="AR817" s="782">
        <v>12061353</v>
      </c>
      <c r="AS817" s="782">
        <v>12061354</v>
      </c>
      <c r="AT817" s="782">
        <v>12068566</v>
      </c>
      <c r="AU817" s="781"/>
      <c r="AV817" s="782">
        <v>12088206</v>
      </c>
      <c r="AW817" s="782">
        <v>12088207</v>
      </c>
      <c r="AX817" s="782"/>
      <c r="AY817" s="782">
        <v>12068565</v>
      </c>
      <c r="AZ817" s="782"/>
      <c r="BA817" s="781"/>
    </row>
    <row r="818" spans="1:53" ht="25" hidden="1" customHeight="1">
      <c r="B818" s="213">
        <v>45439</v>
      </c>
      <c r="C818" s="578">
        <v>45447</v>
      </c>
      <c r="D818" s="185">
        <f t="shared" si="269"/>
        <v>2024</v>
      </c>
      <c r="E818" s="215" t="str">
        <f>VLOOKUP($B818,Week!$A$1:$C$1462,2,0)</f>
        <v>Week22</v>
      </c>
      <c r="F818" s="216" t="str">
        <f t="shared" si="270"/>
        <v>May</v>
      </c>
      <c r="G818" s="215" t="s">
        <v>1210</v>
      </c>
      <c r="H818" s="215" t="s">
        <v>104</v>
      </c>
      <c r="I818" s="215" t="s">
        <v>2772</v>
      </c>
      <c r="J818" s="209" t="s">
        <v>105</v>
      </c>
      <c r="K818" s="217" t="s">
        <v>107</v>
      </c>
      <c r="L818" s="300" t="s">
        <v>2167</v>
      </c>
      <c r="M818" s="209" t="s">
        <v>108</v>
      </c>
      <c r="N818" s="215" t="s">
        <v>109</v>
      </c>
      <c r="O818" s="215" t="s">
        <v>110</v>
      </c>
      <c r="P818" s="218">
        <v>36</v>
      </c>
      <c r="Q818" s="218">
        <v>5</v>
      </c>
      <c r="R818" s="219">
        <v>7.4999999999999997E-3</v>
      </c>
      <c r="S818" s="215" t="s">
        <v>111</v>
      </c>
      <c r="T818" s="215" t="s">
        <v>112</v>
      </c>
      <c r="U818" s="215" t="s">
        <v>113</v>
      </c>
      <c r="V818" s="220">
        <v>792</v>
      </c>
      <c r="W818" s="220">
        <v>792</v>
      </c>
      <c r="X818" s="221"/>
      <c r="Y818" s="222">
        <f t="shared" si="283"/>
        <v>0</v>
      </c>
      <c r="Z818" s="223">
        <f t="shared" si="284"/>
        <v>0</v>
      </c>
      <c r="AA818" s="223"/>
      <c r="AB818" s="807"/>
      <c r="AC818" s="220"/>
      <c r="AD818" s="209"/>
      <c r="AE818" s="210"/>
      <c r="AF818" s="210"/>
      <c r="AG818" s="211">
        <f t="shared" si="285"/>
        <v>0.308</v>
      </c>
      <c r="AH818" s="157">
        <f t="shared" si="286"/>
        <v>0</v>
      </c>
      <c r="AI818" s="152">
        <f t="shared" si="287"/>
        <v>28512</v>
      </c>
      <c r="AK818" s="156" t="s">
        <v>691</v>
      </c>
      <c r="AL818" s="574" t="s">
        <v>690</v>
      </c>
      <c r="AM818" s="198">
        <f t="shared" si="279"/>
        <v>0</v>
      </c>
      <c r="AN818" s="199">
        <f t="shared" si="271"/>
        <v>45439</v>
      </c>
      <c r="AO818" s="159" t="s">
        <v>692</v>
      </c>
      <c r="AP818" s="781"/>
      <c r="AQ818" s="782">
        <v>12063755</v>
      </c>
      <c r="AR818" s="782">
        <v>12061353</v>
      </c>
      <c r="AS818" s="782">
        <v>12061354</v>
      </c>
      <c r="AT818" s="782">
        <v>12068566</v>
      </c>
      <c r="AU818" s="781"/>
      <c r="AV818" s="782">
        <v>12088206</v>
      </c>
      <c r="AW818" s="782">
        <v>12088207</v>
      </c>
      <c r="AX818" s="782"/>
      <c r="AY818" s="782">
        <v>12068565</v>
      </c>
      <c r="AZ818" s="782"/>
      <c r="BA818" s="781"/>
    </row>
    <row r="819" spans="1:53" ht="25" hidden="1" customHeight="1">
      <c r="B819" s="213">
        <v>45439</v>
      </c>
      <c r="C819" s="578">
        <v>45447</v>
      </c>
      <c r="D819" s="185">
        <f t="shared" si="269"/>
        <v>2024</v>
      </c>
      <c r="E819" s="215" t="str">
        <f>VLOOKUP($B819,Week!$A$1:$C$1462,2,0)</f>
        <v>Week22</v>
      </c>
      <c r="F819" s="216" t="str">
        <f t="shared" si="270"/>
        <v>May</v>
      </c>
      <c r="G819" s="215" t="s">
        <v>1211</v>
      </c>
      <c r="H819" s="215" t="s">
        <v>104</v>
      </c>
      <c r="I819" s="215" t="s">
        <v>2772</v>
      </c>
      <c r="J819" s="209" t="s">
        <v>105</v>
      </c>
      <c r="K819" s="217" t="s">
        <v>107</v>
      </c>
      <c r="L819" s="300" t="s">
        <v>2167</v>
      </c>
      <c r="M819" s="209" t="s">
        <v>108</v>
      </c>
      <c r="N819" s="215" t="s">
        <v>109</v>
      </c>
      <c r="O819" s="215" t="s">
        <v>110</v>
      </c>
      <c r="P819" s="218">
        <v>36</v>
      </c>
      <c r="Q819" s="218">
        <v>5</v>
      </c>
      <c r="R819" s="219">
        <v>7.4999999999999997E-3</v>
      </c>
      <c r="S819" s="215" t="s">
        <v>111</v>
      </c>
      <c r="T819" s="215" t="s">
        <v>112</v>
      </c>
      <c r="U819" s="215" t="s">
        <v>113</v>
      </c>
      <c r="V819" s="220">
        <v>792</v>
      </c>
      <c r="W819" s="220">
        <v>792</v>
      </c>
      <c r="X819" s="221"/>
      <c r="Y819" s="222">
        <f t="shared" si="283"/>
        <v>0</v>
      </c>
      <c r="Z819" s="223">
        <f t="shared" si="284"/>
        <v>0</v>
      </c>
      <c r="AA819" s="223"/>
      <c r="AB819" s="807"/>
      <c r="AC819" s="220"/>
      <c r="AD819" s="209"/>
      <c r="AE819" s="210"/>
      <c r="AF819" s="210"/>
      <c r="AG819" s="211">
        <f t="shared" si="285"/>
        <v>0.308</v>
      </c>
      <c r="AH819" s="157">
        <f t="shared" si="286"/>
        <v>0</v>
      </c>
      <c r="AI819" s="152">
        <f t="shared" si="287"/>
        <v>28512</v>
      </c>
      <c r="AK819" s="156" t="s">
        <v>691</v>
      </c>
      <c r="AL819" s="574" t="s">
        <v>690</v>
      </c>
      <c r="AM819" s="198">
        <f t="shared" si="279"/>
        <v>0</v>
      </c>
      <c r="AN819" s="199">
        <f t="shared" si="271"/>
        <v>45439</v>
      </c>
      <c r="AO819" s="159" t="s">
        <v>692</v>
      </c>
      <c r="AP819" s="781"/>
      <c r="AQ819" s="782">
        <v>12063755</v>
      </c>
      <c r="AR819" s="782">
        <v>12061353</v>
      </c>
      <c r="AS819" s="782">
        <v>12061354</v>
      </c>
      <c r="AT819" s="782">
        <v>12068566</v>
      </c>
      <c r="AU819" s="781"/>
      <c r="AV819" s="782">
        <v>12088206</v>
      </c>
      <c r="AW819" s="782">
        <v>12088207</v>
      </c>
      <c r="AX819" s="782"/>
      <c r="AY819" s="782">
        <v>12068565</v>
      </c>
      <c r="AZ819" s="782"/>
      <c r="BA819" s="781"/>
    </row>
    <row r="820" spans="1:53" ht="25" hidden="1" customHeight="1">
      <c r="B820" s="213">
        <v>45439</v>
      </c>
      <c r="C820" s="578">
        <v>45447</v>
      </c>
      <c r="D820" s="185">
        <f t="shared" si="269"/>
        <v>2024</v>
      </c>
      <c r="E820" s="215" t="str">
        <f>VLOOKUP($B820,Week!$A$1:$C$1462,2,0)</f>
        <v>Week22</v>
      </c>
      <c r="F820" s="216" t="str">
        <f t="shared" si="270"/>
        <v>May</v>
      </c>
      <c r="G820" s="215" t="s">
        <v>1212</v>
      </c>
      <c r="H820" s="215" t="s">
        <v>104</v>
      </c>
      <c r="I820" s="215" t="s">
        <v>2772</v>
      </c>
      <c r="J820" s="209" t="s">
        <v>105</v>
      </c>
      <c r="K820" s="217" t="s">
        <v>107</v>
      </c>
      <c r="L820" s="300" t="s">
        <v>2167</v>
      </c>
      <c r="M820" s="209" t="s">
        <v>108</v>
      </c>
      <c r="N820" s="215" t="s">
        <v>109</v>
      </c>
      <c r="O820" s="215" t="s">
        <v>110</v>
      </c>
      <c r="P820" s="218">
        <v>36</v>
      </c>
      <c r="Q820" s="218">
        <v>5</v>
      </c>
      <c r="R820" s="219">
        <v>7.4999999999999997E-3</v>
      </c>
      <c r="S820" s="215" t="s">
        <v>111</v>
      </c>
      <c r="T820" s="215" t="s">
        <v>112</v>
      </c>
      <c r="U820" s="215" t="s">
        <v>113</v>
      </c>
      <c r="V820" s="220">
        <v>792</v>
      </c>
      <c r="W820" s="220">
        <v>792</v>
      </c>
      <c r="X820" s="221"/>
      <c r="Y820" s="222">
        <f t="shared" si="283"/>
        <v>0</v>
      </c>
      <c r="Z820" s="223">
        <f t="shared" si="284"/>
        <v>0</v>
      </c>
      <c r="AA820" s="223"/>
      <c r="AB820" s="807"/>
      <c r="AC820" s="220"/>
      <c r="AD820" s="209"/>
      <c r="AE820" s="210"/>
      <c r="AF820" s="210"/>
      <c r="AG820" s="211">
        <f t="shared" si="285"/>
        <v>0.308</v>
      </c>
      <c r="AH820" s="157">
        <f t="shared" si="286"/>
        <v>0</v>
      </c>
      <c r="AI820" s="152">
        <f t="shared" si="287"/>
        <v>28512</v>
      </c>
      <c r="AK820" s="156" t="s">
        <v>691</v>
      </c>
      <c r="AL820" s="574" t="s">
        <v>690</v>
      </c>
      <c r="AM820" s="198">
        <f t="shared" si="279"/>
        <v>0</v>
      </c>
      <c r="AN820" s="199">
        <f t="shared" si="271"/>
        <v>45439</v>
      </c>
      <c r="AO820" s="159" t="s">
        <v>692</v>
      </c>
      <c r="AP820" s="781"/>
      <c r="AQ820" s="782">
        <v>12063755</v>
      </c>
      <c r="AR820" s="782">
        <v>12061353</v>
      </c>
      <c r="AS820" s="782">
        <v>12061354</v>
      </c>
      <c r="AT820" s="782">
        <v>12068566</v>
      </c>
      <c r="AU820" s="781"/>
      <c r="AV820" s="782">
        <v>12088206</v>
      </c>
      <c r="AW820" s="782">
        <v>12088207</v>
      </c>
      <c r="AX820" s="782"/>
      <c r="AY820" s="782">
        <v>12068565</v>
      </c>
      <c r="AZ820" s="782"/>
      <c r="BA820" s="781"/>
    </row>
    <row r="821" spans="1:53" ht="25" hidden="1" customHeight="1">
      <c r="B821" s="213">
        <v>45439</v>
      </c>
      <c r="C821" s="578">
        <v>45447</v>
      </c>
      <c r="D821" s="185">
        <f t="shared" si="269"/>
        <v>2024</v>
      </c>
      <c r="E821" s="215" t="str">
        <f>VLOOKUP($B821,Week!$A$1:$C$1462,2,0)</f>
        <v>Week22</v>
      </c>
      <c r="F821" s="216" t="str">
        <f t="shared" si="270"/>
        <v>May</v>
      </c>
      <c r="G821" s="215" t="s">
        <v>1213</v>
      </c>
      <c r="H821" s="215" t="s">
        <v>104</v>
      </c>
      <c r="I821" s="215" t="s">
        <v>2772</v>
      </c>
      <c r="J821" s="209" t="s">
        <v>105</v>
      </c>
      <c r="K821" s="217" t="s">
        <v>107</v>
      </c>
      <c r="L821" s="300" t="s">
        <v>2167</v>
      </c>
      <c r="M821" s="209" t="s">
        <v>108</v>
      </c>
      <c r="N821" s="215" t="s">
        <v>109</v>
      </c>
      <c r="O821" s="215" t="s">
        <v>110</v>
      </c>
      <c r="P821" s="218">
        <v>36</v>
      </c>
      <c r="Q821" s="218">
        <v>5</v>
      </c>
      <c r="R821" s="219">
        <v>7.4999999999999997E-3</v>
      </c>
      <c r="S821" s="215" t="s">
        <v>111</v>
      </c>
      <c r="T821" s="215" t="s">
        <v>112</v>
      </c>
      <c r="U821" s="215" t="s">
        <v>113</v>
      </c>
      <c r="V821" s="220">
        <v>789</v>
      </c>
      <c r="W821" s="220">
        <f>3704-148-792-792-792-792+250</f>
        <v>638</v>
      </c>
      <c r="X821" s="221">
        <f>(14448-9000)/36</f>
        <v>151.33333333333334</v>
      </c>
      <c r="Y821" s="222">
        <f t="shared" si="283"/>
        <v>0.33333333333337123</v>
      </c>
      <c r="Z821" s="223">
        <f t="shared" si="284"/>
        <v>0</v>
      </c>
      <c r="AA821" s="223"/>
      <c r="AB821" s="807"/>
      <c r="AC821" s="220"/>
      <c r="AD821" s="209"/>
      <c r="AE821" s="210"/>
      <c r="AF821" s="210"/>
      <c r="AG821" s="211">
        <f t="shared" si="285"/>
        <v>0.308</v>
      </c>
      <c r="AH821" s="157">
        <f t="shared" si="286"/>
        <v>0</v>
      </c>
      <c r="AI821" s="152">
        <f t="shared" si="287"/>
        <v>28404</v>
      </c>
      <c r="AK821" s="156" t="s">
        <v>691</v>
      </c>
      <c r="AL821" s="574" t="s">
        <v>690</v>
      </c>
      <c r="AM821" s="198">
        <f t="shared" si="279"/>
        <v>0</v>
      </c>
      <c r="AN821" s="199">
        <f t="shared" si="271"/>
        <v>45439</v>
      </c>
      <c r="AO821" s="159" t="s">
        <v>692</v>
      </c>
      <c r="AP821" s="781"/>
      <c r="AQ821" s="782">
        <v>12063755</v>
      </c>
      <c r="AR821" s="782">
        <v>12061353</v>
      </c>
      <c r="AS821" s="782">
        <v>12061354</v>
      </c>
      <c r="AT821" s="782">
        <v>12068566</v>
      </c>
      <c r="AU821" s="781"/>
      <c r="AV821" s="782">
        <v>12088206</v>
      </c>
      <c r="AW821" s="782">
        <v>12088207</v>
      </c>
      <c r="AX821" s="782"/>
      <c r="AY821" s="782">
        <v>12068565</v>
      </c>
      <c r="AZ821" s="782"/>
      <c r="BA821" s="781"/>
    </row>
    <row r="822" spans="1:53" ht="25" hidden="1" customHeight="1">
      <c r="A822" s="142" t="s">
        <v>120</v>
      </c>
      <c r="B822" s="283">
        <v>45439</v>
      </c>
      <c r="C822" s="284">
        <v>45448</v>
      </c>
      <c r="D822" s="185">
        <f t="shared" si="269"/>
        <v>2024</v>
      </c>
      <c r="E822" s="286" t="str">
        <f>VLOOKUP($B822,Week!$A$1:$C$1462,2,0)</f>
        <v>Week22</v>
      </c>
      <c r="F822" s="285" t="str">
        <f t="shared" si="270"/>
        <v>May</v>
      </c>
      <c r="G822" s="286" t="s">
        <v>1156</v>
      </c>
      <c r="H822" s="286" t="s">
        <v>134</v>
      </c>
      <c r="I822" s="286" t="s">
        <v>2772</v>
      </c>
      <c r="J822" s="287" t="s">
        <v>164</v>
      </c>
      <c r="K822" s="288" t="s">
        <v>153</v>
      </c>
      <c r="L822" s="390" t="s">
        <v>2166</v>
      </c>
      <c r="M822" s="287" t="s">
        <v>214</v>
      </c>
      <c r="N822" s="286" t="s">
        <v>215</v>
      </c>
      <c r="O822" s="286" t="s">
        <v>504</v>
      </c>
      <c r="P822" s="289">
        <v>20</v>
      </c>
      <c r="Q822" s="289">
        <v>8</v>
      </c>
      <c r="R822" s="290">
        <v>1.4999999999999999E-2</v>
      </c>
      <c r="S822" s="286" t="s">
        <v>217</v>
      </c>
      <c r="T822" s="286" t="s">
        <v>56</v>
      </c>
      <c r="U822" s="286" t="s">
        <v>89</v>
      </c>
      <c r="V822" s="291">
        <f>40</f>
        <v>40</v>
      </c>
      <c r="W822" s="291">
        <f>40</f>
        <v>40</v>
      </c>
      <c r="X822" s="292">
        <f>(640)/20</f>
        <v>32</v>
      </c>
      <c r="Y822" s="293">
        <f t="shared" si="283"/>
        <v>32</v>
      </c>
      <c r="Z822" s="294">
        <f t="shared" si="284"/>
        <v>0</v>
      </c>
      <c r="AA822" s="291">
        <f>Q822*Z822</f>
        <v>0</v>
      </c>
      <c r="AB822" s="813">
        <v>2</v>
      </c>
      <c r="AC822" s="291">
        <f>Z822*AB822</f>
        <v>0</v>
      </c>
      <c r="AD822" s="209" t="s">
        <v>218</v>
      </c>
      <c r="AE822" s="210"/>
      <c r="AF822" s="210"/>
      <c r="AG822" s="211">
        <f t="shared" si="285"/>
        <v>0.19400000000000001</v>
      </c>
      <c r="AH822" s="157">
        <f t="shared" si="286"/>
        <v>0</v>
      </c>
      <c r="AI822" s="152">
        <f t="shared" si="287"/>
        <v>800</v>
      </c>
      <c r="AK822" s="156" t="s">
        <v>691</v>
      </c>
      <c r="AL822" s="156" t="s">
        <v>689</v>
      </c>
      <c r="AM822" s="198">
        <f t="shared" si="279"/>
        <v>0</v>
      </c>
      <c r="AN822" s="199">
        <f t="shared" si="271"/>
        <v>45439</v>
      </c>
      <c r="AO822" s="159" t="s">
        <v>692</v>
      </c>
      <c r="AP822" s="783" t="s">
        <v>610</v>
      </c>
      <c r="AQ822" s="782"/>
      <c r="AR822" s="782">
        <v>12064528</v>
      </c>
      <c r="AS822" s="782"/>
      <c r="AT822" s="782">
        <v>12064478</v>
      </c>
      <c r="AU822" s="781"/>
      <c r="AV822" s="782">
        <v>12064493</v>
      </c>
      <c r="AW822" s="782"/>
      <c r="AX822" s="782" t="s">
        <v>545</v>
      </c>
      <c r="AY822" s="782"/>
      <c r="AZ822" s="782"/>
      <c r="BA822" s="781"/>
    </row>
    <row r="823" spans="1:53" ht="25" hidden="1" customHeight="1">
      <c r="A823" s="142" t="s">
        <v>120</v>
      </c>
      <c r="B823" s="448">
        <v>45439</v>
      </c>
      <c r="C823" s="449">
        <v>45451</v>
      </c>
      <c r="D823" s="185">
        <f t="shared" si="269"/>
        <v>2024</v>
      </c>
      <c r="E823" s="450" t="str">
        <f>VLOOKUP($B823,Week!$A$1:$C$1462,2,0)</f>
        <v>Week22</v>
      </c>
      <c r="F823" s="451" t="str">
        <f t="shared" si="270"/>
        <v>May</v>
      </c>
      <c r="G823" s="450" t="s">
        <v>1248</v>
      </c>
      <c r="H823" s="450" t="s">
        <v>134</v>
      </c>
      <c r="I823" s="450" t="s">
        <v>2772</v>
      </c>
      <c r="J823" s="452" t="s">
        <v>164</v>
      </c>
      <c r="K823" s="453" t="s">
        <v>153</v>
      </c>
      <c r="L823" s="390" t="s">
        <v>2166</v>
      </c>
      <c r="M823" s="452" t="s">
        <v>1642</v>
      </c>
      <c r="N823" s="450" t="s">
        <v>429</v>
      </c>
      <c r="O823" s="450" t="s">
        <v>505</v>
      </c>
      <c r="P823" s="454">
        <v>20</v>
      </c>
      <c r="Q823" s="454">
        <v>12</v>
      </c>
      <c r="R823" s="455">
        <v>6.8100000000000001E-3</v>
      </c>
      <c r="S823" s="450" t="s">
        <v>76</v>
      </c>
      <c r="T823" s="450" t="s">
        <v>56</v>
      </c>
      <c r="U823" s="450" t="s">
        <v>430</v>
      </c>
      <c r="V823" s="456">
        <v>826</v>
      </c>
      <c r="W823" s="456">
        <f>826</f>
        <v>826</v>
      </c>
      <c r="X823" s="457"/>
      <c r="Y823" s="458">
        <f t="shared" si="283"/>
        <v>0</v>
      </c>
      <c r="Z823" s="459">
        <f t="shared" si="284"/>
        <v>0</v>
      </c>
      <c r="AA823" s="459">
        <f>Q823*Z823</f>
        <v>0</v>
      </c>
      <c r="AB823" s="827">
        <v>2</v>
      </c>
      <c r="AC823" s="456">
        <f>Z823*AB823</f>
        <v>0</v>
      </c>
      <c r="AD823" s="209" t="s">
        <v>218</v>
      </c>
      <c r="AE823" s="210"/>
      <c r="AF823" s="210"/>
      <c r="AG823" s="211">
        <f t="shared" si="285"/>
        <v>0.20399999999999999</v>
      </c>
      <c r="AH823" s="157">
        <f t="shared" si="286"/>
        <v>0</v>
      </c>
      <c r="AI823" s="152">
        <f t="shared" si="287"/>
        <v>16520</v>
      </c>
      <c r="AK823" s="156" t="s">
        <v>691</v>
      </c>
      <c r="AL823" s="156" t="s">
        <v>689</v>
      </c>
      <c r="AM823" s="198">
        <f t="shared" si="279"/>
        <v>0</v>
      </c>
      <c r="AN823" s="199">
        <f t="shared" si="271"/>
        <v>45439</v>
      </c>
      <c r="AO823" s="159" t="s">
        <v>692</v>
      </c>
      <c r="AP823" s="781"/>
      <c r="AQ823" s="782" t="s">
        <v>158</v>
      </c>
      <c r="AR823" s="782">
        <v>12019692</v>
      </c>
      <c r="AS823" s="782"/>
      <c r="AT823" s="782">
        <v>12055901</v>
      </c>
      <c r="AU823" s="781"/>
      <c r="AV823" s="782">
        <v>12055891</v>
      </c>
      <c r="AW823" s="782"/>
      <c r="AX823" s="782" t="s">
        <v>398</v>
      </c>
      <c r="AY823" s="782"/>
      <c r="AZ823" s="782"/>
      <c r="BA823" s="781"/>
    </row>
    <row r="824" spans="1:53" ht="25" hidden="1" customHeight="1">
      <c r="B824" s="213">
        <v>45440</v>
      </c>
      <c r="C824" s="578">
        <v>45447</v>
      </c>
      <c r="D824" s="185">
        <f t="shared" si="269"/>
        <v>2024</v>
      </c>
      <c r="E824" s="215" t="str">
        <f>VLOOKUP($B824,Week!$A$1:$C$1462,2,0)</f>
        <v>Week22</v>
      </c>
      <c r="F824" s="216" t="str">
        <f t="shared" si="270"/>
        <v>May</v>
      </c>
      <c r="G824" s="215" t="s">
        <v>1213</v>
      </c>
      <c r="H824" s="215" t="s">
        <v>104</v>
      </c>
      <c r="I824" s="215" t="s">
        <v>2772</v>
      </c>
      <c r="J824" s="209" t="s">
        <v>105</v>
      </c>
      <c r="K824" s="217" t="s">
        <v>107</v>
      </c>
      <c r="L824" s="300" t="s">
        <v>2167</v>
      </c>
      <c r="M824" s="209" t="s">
        <v>108</v>
      </c>
      <c r="N824" s="215" t="s">
        <v>109</v>
      </c>
      <c r="O824" s="215" t="s">
        <v>110</v>
      </c>
      <c r="P824" s="218">
        <v>36</v>
      </c>
      <c r="Q824" s="218">
        <v>5</v>
      </c>
      <c r="R824" s="219">
        <v>7.4999999999999997E-3</v>
      </c>
      <c r="S824" s="215" t="s">
        <v>111</v>
      </c>
      <c r="T824" s="215" t="s">
        <v>112</v>
      </c>
      <c r="U824" s="215" t="s">
        <v>113</v>
      </c>
      <c r="V824" s="220">
        <v>3</v>
      </c>
      <c r="W824" s="220">
        <v>3</v>
      </c>
      <c r="X824" s="221"/>
      <c r="Y824" s="222">
        <f t="shared" si="283"/>
        <v>0</v>
      </c>
      <c r="Z824" s="223">
        <f t="shared" si="284"/>
        <v>0</v>
      </c>
      <c r="AA824" s="223"/>
      <c r="AB824" s="807"/>
      <c r="AC824" s="220"/>
      <c r="AD824" s="209"/>
      <c r="AE824" s="210"/>
      <c r="AF824" s="210"/>
      <c r="AG824" s="211">
        <f t="shared" si="285"/>
        <v>0.308</v>
      </c>
      <c r="AH824" s="157">
        <f t="shared" si="286"/>
        <v>0</v>
      </c>
      <c r="AI824" s="152">
        <f t="shared" si="287"/>
        <v>108</v>
      </c>
      <c r="AK824" s="156" t="s">
        <v>691</v>
      </c>
      <c r="AL824" s="574" t="s">
        <v>690</v>
      </c>
      <c r="AM824" s="198">
        <f t="shared" si="279"/>
        <v>0</v>
      </c>
      <c r="AN824" s="199">
        <f t="shared" si="271"/>
        <v>45440</v>
      </c>
      <c r="AO824" s="159" t="s">
        <v>692</v>
      </c>
      <c r="AP824" s="781"/>
      <c r="AQ824" s="782">
        <v>12063755</v>
      </c>
      <c r="AR824" s="782">
        <v>12061353</v>
      </c>
      <c r="AS824" s="782">
        <v>12061354</v>
      </c>
      <c r="AT824" s="782">
        <v>12068566</v>
      </c>
      <c r="AU824" s="781"/>
      <c r="AV824" s="782">
        <v>12088206</v>
      </c>
      <c r="AW824" s="782">
        <v>12088207</v>
      </c>
      <c r="AX824" s="782"/>
      <c r="AY824" s="782">
        <v>12068565</v>
      </c>
      <c r="AZ824" s="782"/>
      <c r="BA824" s="781"/>
    </row>
    <row r="825" spans="1:53" ht="25" hidden="1" customHeight="1">
      <c r="B825" s="213">
        <v>45440</v>
      </c>
      <c r="C825" s="578">
        <v>45447</v>
      </c>
      <c r="D825" s="185">
        <f t="shared" si="269"/>
        <v>2024</v>
      </c>
      <c r="E825" s="215" t="str">
        <f>VLOOKUP($B825,Week!$A$1:$C$1462,2,0)</f>
        <v>Week22</v>
      </c>
      <c r="F825" s="216" t="str">
        <f t="shared" si="270"/>
        <v>May</v>
      </c>
      <c r="G825" s="215" t="s">
        <v>1214</v>
      </c>
      <c r="H825" s="215" t="s">
        <v>104</v>
      </c>
      <c r="I825" s="215" t="s">
        <v>2772</v>
      </c>
      <c r="J825" s="209" t="s">
        <v>105</v>
      </c>
      <c r="K825" s="217" t="s">
        <v>107</v>
      </c>
      <c r="L825" s="300" t="s">
        <v>2167</v>
      </c>
      <c r="M825" s="209" t="s">
        <v>108</v>
      </c>
      <c r="N825" s="215" t="s">
        <v>109</v>
      </c>
      <c r="O825" s="215" t="s">
        <v>110</v>
      </c>
      <c r="P825" s="218">
        <v>36</v>
      </c>
      <c r="Q825" s="218">
        <v>5</v>
      </c>
      <c r="R825" s="219">
        <v>7.4999999999999997E-3</v>
      </c>
      <c r="S825" s="215" t="s">
        <v>111</v>
      </c>
      <c r="T825" s="215" t="s">
        <v>112</v>
      </c>
      <c r="U825" s="215" t="s">
        <v>113</v>
      </c>
      <c r="V825" s="220">
        <v>792</v>
      </c>
      <c r="W825" s="220">
        <v>792</v>
      </c>
      <c r="X825" s="221"/>
      <c r="Y825" s="222">
        <f t="shared" si="283"/>
        <v>0</v>
      </c>
      <c r="Z825" s="223">
        <f t="shared" si="284"/>
        <v>0</v>
      </c>
      <c r="AA825" s="223"/>
      <c r="AB825" s="807"/>
      <c r="AC825" s="220"/>
      <c r="AD825" s="209"/>
      <c r="AE825" s="210"/>
      <c r="AF825" s="210"/>
      <c r="AG825" s="211">
        <f t="shared" si="285"/>
        <v>0.308</v>
      </c>
      <c r="AH825" s="157">
        <f t="shared" si="286"/>
        <v>0</v>
      </c>
      <c r="AI825" s="152">
        <f t="shared" si="287"/>
        <v>28512</v>
      </c>
      <c r="AK825" s="156" t="s">
        <v>691</v>
      </c>
      <c r="AL825" s="574" t="s">
        <v>690</v>
      </c>
      <c r="AM825" s="198">
        <f t="shared" si="279"/>
        <v>0</v>
      </c>
      <c r="AN825" s="199">
        <f t="shared" si="271"/>
        <v>45440</v>
      </c>
      <c r="AO825" s="159" t="s">
        <v>692</v>
      </c>
      <c r="AP825" s="781"/>
      <c r="AQ825" s="782">
        <v>12063755</v>
      </c>
      <c r="AR825" s="782">
        <v>12061353</v>
      </c>
      <c r="AS825" s="782">
        <v>12061354</v>
      </c>
      <c r="AT825" s="782">
        <v>12068566</v>
      </c>
      <c r="AU825" s="781"/>
      <c r="AV825" s="782">
        <v>12088206</v>
      </c>
      <c r="AW825" s="782">
        <v>12088207</v>
      </c>
      <c r="AX825" s="782"/>
      <c r="AY825" s="782">
        <v>12068565</v>
      </c>
      <c r="AZ825" s="782"/>
      <c r="BA825" s="781"/>
    </row>
    <row r="826" spans="1:53" ht="25" hidden="1" customHeight="1">
      <c r="B826" s="213">
        <v>45440</v>
      </c>
      <c r="C826" s="578">
        <v>45448</v>
      </c>
      <c r="D826" s="185">
        <f t="shared" si="269"/>
        <v>2024</v>
      </c>
      <c r="E826" s="215" t="str">
        <f>VLOOKUP($B826,Week!$A$1:$C$1462,2,0)</f>
        <v>Week22</v>
      </c>
      <c r="F826" s="216" t="str">
        <f t="shared" si="270"/>
        <v>May</v>
      </c>
      <c r="G826" s="215" t="s">
        <v>1215</v>
      </c>
      <c r="H826" s="215" t="s">
        <v>104</v>
      </c>
      <c r="I826" s="215" t="s">
        <v>2772</v>
      </c>
      <c r="J826" s="209" t="s">
        <v>105</v>
      </c>
      <c r="K826" s="217" t="s">
        <v>107</v>
      </c>
      <c r="L826" s="300" t="s">
        <v>2167</v>
      </c>
      <c r="M826" s="209" t="s">
        <v>108</v>
      </c>
      <c r="N826" s="215" t="s">
        <v>109</v>
      </c>
      <c r="O826" s="215" t="s">
        <v>110</v>
      </c>
      <c r="P826" s="218">
        <v>36</v>
      </c>
      <c r="Q826" s="218">
        <v>5</v>
      </c>
      <c r="R826" s="219">
        <v>7.4999999999999997E-3</v>
      </c>
      <c r="S826" s="215" t="s">
        <v>111</v>
      </c>
      <c r="T826" s="215" t="s">
        <v>112</v>
      </c>
      <c r="U826" s="215" t="s">
        <v>113</v>
      </c>
      <c r="V826" s="220">
        <v>792</v>
      </c>
      <c r="W826" s="220">
        <v>792</v>
      </c>
      <c r="X826" s="221"/>
      <c r="Y826" s="222">
        <f t="shared" si="283"/>
        <v>0</v>
      </c>
      <c r="Z826" s="223">
        <f t="shared" si="284"/>
        <v>0</v>
      </c>
      <c r="AA826" s="223"/>
      <c r="AB826" s="807"/>
      <c r="AC826" s="220"/>
      <c r="AD826" s="209"/>
      <c r="AE826" s="210"/>
      <c r="AF826" s="210"/>
      <c r="AG826" s="211">
        <f t="shared" si="285"/>
        <v>0.308</v>
      </c>
      <c r="AH826" s="157">
        <f t="shared" si="286"/>
        <v>0</v>
      </c>
      <c r="AI826" s="152">
        <f t="shared" si="287"/>
        <v>28512</v>
      </c>
      <c r="AK826" s="156" t="s">
        <v>691</v>
      </c>
      <c r="AL826" s="574" t="s">
        <v>690</v>
      </c>
      <c r="AM826" s="198">
        <f t="shared" si="279"/>
        <v>0</v>
      </c>
      <c r="AN826" s="199">
        <f t="shared" si="271"/>
        <v>45440</v>
      </c>
      <c r="AO826" s="159" t="s">
        <v>692</v>
      </c>
      <c r="AP826" s="781"/>
      <c r="AQ826" s="782">
        <v>12063755</v>
      </c>
      <c r="AR826" s="782">
        <v>12061353</v>
      </c>
      <c r="AS826" s="782">
        <v>12061354</v>
      </c>
      <c r="AT826" s="782">
        <v>12068566</v>
      </c>
      <c r="AU826" s="781"/>
      <c r="AV826" s="782">
        <v>12088206</v>
      </c>
      <c r="AW826" s="782">
        <v>12088207</v>
      </c>
      <c r="AX826" s="782"/>
      <c r="AY826" s="782">
        <v>12068565</v>
      </c>
      <c r="AZ826" s="782"/>
      <c r="BA826" s="781"/>
    </row>
    <row r="827" spans="1:53" ht="25" hidden="1" customHeight="1">
      <c r="B827" s="213">
        <v>45440</v>
      </c>
      <c r="C827" s="578">
        <v>45448</v>
      </c>
      <c r="D827" s="185">
        <f t="shared" si="269"/>
        <v>2024</v>
      </c>
      <c r="E827" s="215" t="str">
        <f>VLOOKUP($B827,Week!$A$1:$C$1462,2,0)</f>
        <v>Week22</v>
      </c>
      <c r="F827" s="216" t="str">
        <f t="shared" si="270"/>
        <v>May</v>
      </c>
      <c r="G827" s="215" t="s">
        <v>1216</v>
      </c>
      <c r="H827" s="215" t="s">
        <v>104</v>
      </c>
      <c r="I827" s="215" t="s">
        <v>2772</v>
      </c>
      <c r="J827" s="209" t="s">
        <v>105</v>
      </c>
      <c r="K827" s="217" t="s">
        <v>107</v>
      </c>
      <c r="L827" s="300" t="s">
        <v>2167</v>
      </c>
      <c r="M827" s="209" t="s">
        <v>108</v>
      </c>
      <c r="N827" s="215" t="s">
        <v>109</v>
      </c>
      <c r="O827" s="215" t="s">
        <v>110</v>
      </c>
      <c r="P827" s="218">
        <v>36</v>
      </c>
      <c r="Q827" s="218">
        <v>5</v>
      </c>
      <c r="R827" s="219">
        <v>7.4999999999999997E-3</v>
      </c>
      <c r="S827" s="215" t="s">
        <v>111</v>
      </c>
      <c r="T827" s="215" t="s">
        <v>112</v>
      </c>
      <c r="U827" s="215" t="s">
        <v>113</v>
      </c>
      <c r="V827" s="220">
        <v>792</v>
      </c>
      <c r="W827" s="220">
        <v>792</v>
      </c>
      <c r="X827" s="221"/>
      <c r="Y827" s="222">
        <f t="shared" si="283"/>
        <v>0</v>
      </c>
      <c r="Z827" s="223">
        <f t="shared" si="284"/>
        <v>0</v>
      </c>
      <c r="AA827" s="223"/>
      <c r="AB827" s="807"/>
      <c r="AC827" s="220"/>
      <c r="AD827" s="209"/>
      <c r="AE827" s="210"/>
      <c r="AF827" s="210"/>
      <c r="AG827" s="211">
        <f t="shared" si="285"/>
        <v>0.308</v>
      </c>
      <c r="AH827" s="157">
        <f t="shared" si="286"/>
        <v>0</v>
      </c>
      <c r="AI827" s="152">
        <f t="shared" si="287"/>
        <v>28512</v>
      </c>
      <c r="AK827" s="156" t="s">
        <v>691</v>
      </c>
      <c r="AL827" s="574" t="s">
        <v>690</v>
      </c>
      <c r="AM827" s="198">
        <f t="shared" ref="AM827:AM858" si="288">AG827*Z827</f>
        <v>0</v>
      </c>
      <c r="AN827" s="199">
        <f t="shared" si="271"/>
        <v>45440</v>
      </c>
      <c r="AO827" s="159" t="s">
        <v>692</v>
      </c>
      <c r="AP827" s="781"/>
      <c r="AQ827" s="782">
        <v>12063755</v>
      </c>
      <c r="AR827" s="782">
        <v>12061353</v>
      </c>
      <c r="AS827" s="782">
        <v>12061354</v>
      </c>
      <c r="AT827" s="782">
        <v>12068566</v>
      </c>
      <c r="AU827" s="781"/>
      <c r="AV827" s="782">
        <v>12088206</v>
      </c>
      <c r="AW827" s="782">
        <v>12088207</v>
      </c>
      <c r="AX827" s="782"/>
      <c r="AY827" s="782">
        <v>12068565</v>
      </c>
      <c r="AZ827" s="782"/>
      <c r="BA827" s="781"/>
    </row>
    <row r="828" spans="1:53" ht="25" hidden="1" customHeight="1">
      <c r="B828" s="213">
        <v>45440</v>
      </c>
      <c r="C828" s="578">
        <v>45448</v>
      </c>
      <c r="D828" s="185">
        <f t="shared" si="269"/>
        <v>2024</v>
      </c>
      <c r="E828" s="215" t="str">
        <f>VLOOKUP($B828,Week!$A$1:$C$1462,2,0)</f>
        <v>Week22</v>
      </c>
      <c r="F828" s="216" t="str">
        <f t="shared" si="270"/>
        <v>May</v>
      </c>
      <c r="G828" s="215" t="s">
        <v>1217</v>
      </c>
      <c r="H828" s="215" t="s">
        <v>104</v>
      </c>
      <c r="I828" s="215" t="s">
        <v>2772</v>
      </c>
      <c r="J828" s="209" t="s">
        <v>105</v>
      </c>
      <c r="K828" s="217" t="s">
        <v>107</v>
      </c>
      <c r="L828" s="300" t="s">
        <v>2167</v>
      </c>
      <c r="M828" s="209" t="s">
        <v>108</v>
      </c>
      <c r="N828" s="215" t="s">
        <v>109</v>
      </c>
      <c r="O828" s="215" t="s">
        <v>110</v>
      </c>
      <c r="P828" s="218">
        <v>36</v>
      </c>
      <c r="Q828" s="218">
        <v>5</v>
      </c>
      <c r="R828" s="219">
        <v>7.4999999999999997E-3</v>
      </c>
      <c r="S828" s="215" t="s">
        <v>111</v>
      </c>
      <c r="T828" s="215" t="s">
        <v>112</v>
      </c>
      <c r="U828" s="215" t="s">
        <v>113</v>
      </c>
      <c r="V828" s="220">
        <v>792</v>
      </c>
      <c r="W828" s="220">
        <v>792</v>
      </c>
      <c r="X828" s="221"/>
      <c r="Y828" s="222">
        <f t="shared" si="283"/>
        <v>0</v>
      </c>
      <c r="Z828" s="223">
        <f t="shared" si="284"/>
        <v>0</v>
      </c>
      <c r="AA828" s="223"/>
      <c r="AB828" s="807"/>
      <c r="AC828" s="220"/>
      <c r="AD828" s="209"/>
      <c r="AE828" s="210"/>
      <c r="AF828" s="210"/>
      <c r="AG828" s="211">
        <f t="shared" si="285"/>
        <v>0.308</v>
      </c>
      <c r="AH828" s="157">
        <f t="shared" si="286"/>
        <v>0</v>
      </c>
      <c r="AI828" s="152">
        <f t="shared" si="287"/>
        <v>28512</v>
      </c>
      <c r="AK828" s="156" t="s">
        <v>691</v>
      </c>
      <c r="AL828" s="574" t="s">
        <v>690</v>
      </c>
      <c r="AM828" s="198">
        <f t="shared" si="288"/>
        <v>0</v>
      </c>
      <c r="AN828" s="199">
        <f t="shared" si="271"/>
        <v>45440</v>
      </c>
      <c r="AO828" s="159" t="s">
        <v>692</v>
      </c>
      <c r="AP828" s="781"/>
      <c r="AQ828" s="782">
        <v>12063755</v>
      </c>
      <c r="AR828" s="782">
        <v>12061353</v>
      </c>
      <c r="AS828" s="782">
        <v>12061354</v>
      </c>
      <c r="AT828" s="782">
        <v>12068566</v>
      </c>
      <c r="AU828" s="781"/>
      <c r="AV828" s="782">
        <v>12088206</v>
      </c>
      <c r="AW828" s="782">
        <v>12088207</v>
      </c>
      <c r="AX828" s="782"/>
      <c r="AY828" s="782">
        <v>12068565</v>
      </c>
      <c r="AZ828" s="782"/>
      <c r="BA828" s="781"/>
    </row>
    <row r="829" spans="1:53" ht="25" hidden="1" customHeight="1">
      <c r="B829" s="213">
        <v>45440</v>
      </c>
      <c r="C829" s="633">
        <v>45450</v>
      </c>
      <c r="D829" s="185">
        <f t="shared" si="269"/>
        <v>2024</v>
      </c>
      <c r="E829" s="215" t="str">
        <f>VLOOKUP($B829,Week!$A$1:$C$1462,2,0)</f>
        <v>Week22</v>
      </c>
      <c r="F829" s="216" t="str">
        <f t="shared" si="270"/>
        <v>May</v>
      </c>
      <c r="G829" s="215" t="s">
        <v>1218</v>
      </c>
      <c r="H829" s="215" t="s">
        <v>104</v>
      </c>
      <c r="I829" s="215" t="s">
        <v>2772</v>
      </c>
      <c r="J829" s="209" t="s">
        <v>105</v>
      </c>
      <c r="K829" s="217" t="s">
        <v>107</v>
      </c>
      <c r="L829" s="300" t="s">
        <v>2167</v>
      </c>
      <c r="M829" s="209" t="s">
        <v>108</v>
      </c>
      <c r="N829" s="215" t="s">
        <v>109</v>
      </c>
      <c r="O829" s="215" t="s">
        <v>110</v>
      </c>
      <c r="P829" s="218">
        <v>36</v>
      </c>
      <c r="Q829" s="218">
        <v>5</v>
      </c>
      <c r="R829" s="219">
        <v>7.4999999999999997E-3</v>
      </c>
      <c r="S829" s="215" t="s">
        <v>111</v>
      </c>
      <c r="T829" s="215" t="s">
        <v>112</v>
      </c>
      <c r="U829" s="215" t="s">
        <v>113</v>
      </c>
      <c r="V829" s="220">
        <v>792</v>
      </c>
      <c r="W829" s="220">
        <f>3626-3-792-792-792-792</f>
        <v>455</v>
      </c>
      <c r="X829" s="221">
        <f>12132/36</f>
        <v>337</v>
      </c>
      <c r="Y829" s="222">
        <f t="shared" si="283"/>
        <v>0</v>
      </c>
      <c r="Z829" s="223">
        <f t="shared" si="284"/>
        <v>0</v>
      </c>
      <c r="AA829" s="223"/>
      <c r="AB829" s="807"/>
      <c r="AC829" s="220"/>
      <c r="AD829" s="209"/>
      <c r="AE829" s="210"/>
      <c r="AF829" s="210"/>
      <c r="AG829" s="211">
        <f t="shared" si="285"/>
        <v>0.308</v>
      </c>
      <c r="AH829" s="157">
        <f t="shared" si="286"/>
        <v>0</v>
      </c>
      <c r="AI829" s="152">
        <f t="shared" si="287"/>
        <v>28512</v>
      </c>
      <c r="AK829" s="156" t="s">
        <v>691</v>
      </c>
      <c r="AL829" s="574" t="s">
        <v>690</v>
      </c>
      <c r="AM829" s="198">
        <f t="shared" si="288"/>
        <v>0</v>
      </c>
      <c r="AN829" s="199">
        <f t="shared" si="271"/>
        <v>45440</v>
      </c>
      <c r="AO829" s="159" t="s">
        <v>692</v>
      </c>
      <c r="AP829" s="781"/>
      <c r="AQ829" s="782">
        <v>12063755</v>
      </c>
      <c r="AR829" s="782">
        <v>12061353</v>
      </c>
      <c r="AS829" s="782">
        <v>12061354</v>
      </c>
      <c r="AT829" s="782">
        <v>12068566</v>
      </c>
      <c r="AU829" s="781"/>
      <c r="AV829" s="782">
        <v>12088206</v>
      </c>
      <c r="AW829" s="782">
        <v>12088207</v>
      </c>
      <c r="AX829" s="782"/>
      <c r="AY829" s="782">
        <v>12068565</v>
      </c>
      <c r="AZ829" s="782"/>
      <c r="BA829" s="781"/>
    </row>
    <row r="830" spans="1:53" ht="24.65" hidden="1" customHeight="1">
      <c r="B830" s="213">
        <v>45440</v>
      </c>
      <c r="C830" s="633">
        <v>45450</v>
      </c>
      <c r="D830" s="185">
        <f t="shared" si="269"/>
        <v>2024</v>
      </c>
      <c r="E830" s="215" t="str">
        <f>VLOOKUP($B830,Week!$A$1:$C$1462,2,0)</f>
        <v>Week22</v>
      </c>
      <c r="F830" s="216" t="str">
        <f t="shared" si="270"/>
        <v>May</v>
      </c>
      <c r="G830" s="215" t="s">
        <v>1219</v>
      </c>
      <c r="H830" s="215" t="s">
        <v>104</v>
      </c>
      <c r="I830" s="215" t="s">
        <v>2772</v>
      </c>
      <c r="J830" s="209" t="s">
        <v>105</v>
      </c>
      <c r="K830" s="217" t="s">
        <v>107</v>
      </c>
      <c r="L830" s="300" t="s">
        <v>2167</v>
      </c>
      <c r="M830" s="209" t="s">
        <v>108</v>
      </c>
      <c r="N830" s="215" t="s">
        <v>109</v>
      </c>
      <c r="O830" s="215" t="s">
        <v>110</v>
      </c>
      <c r="P830" s="218">
        <v>36</v>
      </c>
      <c r="Q830" s="218">
        <v>5</v>
      </c>
      <c r="R830" s="219">
        <v>7.4999999999999997E-3</v>
      </c>
      <c r="S830" s="215" t="s">
        <v>111</v>
      </c>
      <c r="T830" s="215" t="s">
        <v>112</v>
      </c>
      <c r="U830" s="215" t="s">
        <v>113</v>
      </c>
      <c r="V830" s="220">
        <f>7369/36</f>
        <v>204.69444444444446</v>
      </c>
      <c r="W830" s="220"/>
      <c r="X830" s="221">
        <f>7369/36</f>
        <v>204.69444444444446</v>
      </c>
      <c r="Y830" s="222">
        <f t="shared" si="283"/>
        <v>0</v>
      </c>
      <c r="Z830" s="223">
        <f t="shared" si="284"/>
        <v>0</v>
      </c>
      <c r="AA830" s="223"/>
      <c r="AB830" s="807"/>
      <c r="AC830" s="220"/>
      <c r="AD830" s="209"/>
      <c r="AE830" s="210"/>
      <c r="AF830" s="210"/>
      <c r="AG830" s="211">
        <f t="shared" si="285"/>
        <v>0.308</v>
      </c>
      <c r="AH830" s="157">
        <f t="shared" si="286"/>
        <v>0</v>
      </c>
      <c r="AI830" s="152">
        <f t="shared" si="287"/>
        <v>7369</v>
      </c>
      <c r="AK830" s="156" t="s">
        <v>691</v>
      </c>
      <c r="AL830" s="574" t="s">
        <v>690</v>
      </c>
      <c r="AM830" s="198">
        <f t="shared" si="288"/>
        <v>0</v>
      </c>
      <c r="AN830" s="199">
        <f t="shared" si="271"/>
        <v>45440</v>
      </c>
      <c r="AO830" s="159" t="s">
        <v>692</v>
      </c>
      <c r="AP830" s="781"/>
      <c r="AQ830" s="782">
        <v>12063755</v>
      </c>
      <c r="AR830" s="782">
        <v>12061353</v>
      </c>
      <c r="AS830" s="782">
        <v>12061354</v>
      </c>
      <c r="AT830" s="782">
        <v>12068566</v>
      </c>
      <c r="AU830" s="781"/>
      <c r="AV830" s="782">
        <v>12088206</v>
      </c>
      <c r="AW830" s="782">
        <v>12088207</v>
      </c>
      <c r="AX830" s="782"/>
      <c r="AY830" s="782">
        <v>12068565</v>
      </c>
      <c r="AZ830" s="782"/>
      <c r="BA830" s="781"/>
    </row>
    <row r="831" spans="1:53" ht="25" hidden="1" customHeight="1">
      <c r="A831" s="142" t="s">
        <v>120</v>
      </c>
      <c r="B831" s="448">
        <v>45440</v>
      </c>
      <c r="C831" s="449">
        <v>45451</v>
      </c>
      <c r="D831" s="185">
        <f t="shared" si="269"/>
        <v>2024</v>
      </c>
      <c r="E831" s="450" t="str">
        <f>VLOOKUP($B831,Week!$A$1:$C$1462,2,0)</f>
        <v>Week22</v>
      </c>
      <c r="F831" s="451" t="str">
        <f t="shared" si="270"/>
        <v>May</v>
      </c>
      <c r="G831" s="450" t="s">
        <v>1248</v>
      </c>
      <c r="H831" s="450" t="s">
        <v>134</v>
      </c>
      <c r="I831" s="450" t="s">
        <v>2772</v>
      </c>
      <c r="J831" s="452" t="s">
        <v>164</v>
      </c>
      <c r="K831" s="453" t="s">
        <v>153</v>
      </c>
      <c r="L831" s="390" t="s">
        <v>2166</v>
      </c>
      <c r="M831" s="452" t="s">
        <v>1642</v>
      </c>
      <c r="N831" s="450" t="s">
        <v>429</v>
      </c>
      <c r="O831" s="450" t="s">
        <v>505</v>
      </c>
      <c r="P831" s="454">
        <v>20</v>
      </c>
      <c r="Q831" s="454">
        <v>12</v>
      </c>
      <c r="R831" s="455">
        <v>6.8100000000000001E-3</v>
      </c>
      <c r="S831" s="450" t="s">
        <v>76</v>
      </c>
      <c r="T831" s="450" t="s">
        <v>56</v>
      </c>
      <c r="U831" s="450" t="s">
        <v>430</v>
      </c>
      <c r="V831" s="456">
        <f>1200-826</f>
        <v>374</v>
      </c>
      <c r="W831" s="456">
        <f>374</f>
        <v>374</v>
      </c>
      <c r="X831" s="457">
        <f>(140)/20</f>
        <v>7</v>
      </c>
      <c r="Y831" s="458">
        <f t="shared" si="283"/>
        <v>7</v>
      </c>
      <c r="Z831" s="459">
        <f t="shared" si="284"/>
        <v>0</v>
      </c>
      <c r="AA831" s="459">
        <f>Q831*Z831</f>
        <v>0</v>
      </c>
      <c r="AB831" s="827">
        <v>2</v>
      </c>
      <c r="AC831" s="456">
        <f>Z831*AB831</f>
        <v>0</v>
      </c>
      <c r="AD831" s="209" t="s">
        <v>218</v>
      </c>
      <c r="AE831" s="210"/>
      <c r="AF831" s="210"/>
      <c r="AG831" s="211">
        <f t="shared" si="285"/>
        <v>0.20399999999999999</v>
      </c>
      <c r="AH831" s="157">
        <f t="shared" si="286"/>
        <v>0</v>
      </c>
      <c r="AI831" s="152">
        <f t="shared" si="287"/>
        <v>7480</v>
      </c>
      <c r="AK831" s="156" t="s">
        <v>691</v>
      </c>
      <c r="AL831" s="156" t="s">
        <v>689</v>
      </c>
      <c r="AM831" s="198">
        <f t="shared" si="288"/>
        <v>0</v>
      </c>
      <c r="AN831" s="199">
        <f t="shared" si="271"/>
        <v>45440</v>
      </c>
      <c r="AO831" s="159" t="s">
        <v>692</v>
      </c>
      <c r="AP831" s="781"/>
      <c r="AQ831" s="782" t="s">
        <v>158</v>
      </c>
      <c r="AR831" s="782">
        <v>12019692</v>
      </c>
      <c r="AS831" s="782"/>
      <c r="AT831" s="782">
        <v>12055901</v>
      </c>
      <c r="AU831" s="781"/>
      <c r="AV831" s="782">
        <v>12055891</v>
      </c>
      <c r="AW831" s="782"/>
      <c r="AX831" s="782" t="s">
        <v>398</v>
      </c>
      <c r="AY831" s="782"/>
      <c r="AZ831" s="782"/>
      <c r="BA831" s="781"/>
    </row>
    <row r="832" spans="1:53" ht="26.25" hidden="1" customHeight="1">
      <c r="A832" s="142" t="s">
        <v>120</v>
      </c>
      <c r="B832" s="235">
        <v>45440</v>
      </c>
      <c r="C832" s="235">
        <v>45468</v>
      </c>
      <c r="D832" s="185">
        <f t="shared" si="269"/>
        <v>2024</v>
      </c>
      <c r="E832" s="236" t="str">
        <f>VLOOKUP($B832,Week!$A$1:$C$1462,2,0)</f>
        <v>Week22</v>
      </c>
      <c r="F832" s="237" t="str">
        <f t="shared" si="270"/>
        <v>May</v>
      </c>
      <c r="G832" s="236" t="s">
        <v>1325</v>
      </c>
      <c r="H832" s="236" t="s">
        <v>392</v>
      </c>
      <c r="I832" s="236" t="s">
        <v>2772</v>
      </c>
      <c r="J832" s="238" t="s">
        <v>393</v>
      </c>
      <c r="K832" s="239" t="s">
        <v>153</v>
      </c>
      <c r="L832" s="390" t="s">
        <v>2166</v>
      </c>
      <c r="M832" s="238" t="s">
        <v>165</v>
      </c>
      <c r="N832" s="236" t="s">
        <v>685</v>
      </c>
      <c r="O832" s="236" t="s">
        <v>167</v>
      </c>
      <c r="P832" s="240">
        <v>20</v>
      </c>
      <c r="Q832" s="240">
        <v>12</v>
      </c>
      <c r="R832" s="241">
        <v>6.8100000000000001E-3</v>
      </c>
      <c r="S832" s="236" t="s">
        <v>76</v>
      </c>
      <c r="T832" s="236" t="s">
        <v>56</v>
      </c>
      <c r="U832" s="236" t="s">
        <v>89</v>
      </c>
      <c r="V832" s="242">
        <v>350</v>
      </c>
      <c r="W832" s="242">
        <f>55+295</f>
        <v>350</v>
      </c>
      <c r="X832" s="243"/>
      <c r="Y832" s="244">
        <f t="shared" si="283"/>
        <v>0</v>
      </c>
      <c r="Z832" s="245">
        <f t="shared" si="284"/>
        <v>0</v>
      </c>
      <c r="AA832" s="245">
        <f>Q832*Z832</f>
        <v>0</v>
      </c>
      <c r="AB832" s="809">
        <v>2</v>
      </c>
      <c r="AC832" s="242">
        <f>Z832*AB832</f>
        <v>0</v>
      </c>
      <c r="AD832" s="307" t="s">
        <v>672</v>
      </c>
      <c r="AE832" s="210"/>
      <c r="AF832" s="210"/>
      <c r="AG832" s="211">
        <f t="shared" si="285"/>
        <v>0.154</v>
      </c>
      <c r="AH832" s="157">
        <f t="shared" si="286"/>
        <v>0</v>
      </c>
      <c r="AI832" s="152">
        <f t="shared" si="287"/>
        <v>7000</v>
      </c>
      <c r="AK832" s="156" t="s">
        <v>691</v>
      </c>
      <c r="AL832" s="156" t="s">
        <v>689</v>
      </c>
      <c r="AM832" s="198">
        <f t="shared" si="288"/>
        <v>0</v>
      </c>
      <c r="AN832" s="199">
        <f t="shared" si="271"/>
        <v>45440</v>
      </c>
      <c r="AO832" s="159" t="s">
        <v>692</v>
      </c>
      <c r="AP832" s="783"/>
      <c r="AQ832" s="781" t="s">
        <v>158</v>
      </c>
      <c r="AR832" s="783" t="s">
        <v>523</v>
      </c>
      <c r="AS832" s="781"/>
      <c r="AT832" s="783" t="s">
        <v>607</v>
      </c>
      <c r="AU832" s="781"/>
      <c r="AV832" s="783" t="s">
        <v>606</v>
      </c>
      <c r="AW832" s="781"/>
      <c r="AX832" s="781" t="s">
        <v>398</v>
      </c>
      <c r="AY832" s="781"/>
      <c r="AZ832" s="781"/>
      <c r="BA832" s="781"/>
    </row>
    <row r="833" spans="1:53" ht="25" hidden="1" customHeight="1">
      <c r="A833" s="142" t="s">
        <v>120</v>
      </c>
      <c r="B833" s="308">
        <v>45440</v>
      </c>
      <c r="C833" s="309">
        <v>45454</v>
      </c>
      <c r="D833" s="185">
        <f t="shared" si="269"/>
        <v>2024</v>
      </c>
      <c r="E833" s="309" t="str">
        <f>VLOOKUP($B833,Week!$A$1:$C$1462,2,0)</f>
        <v>Week22</v>
      </c>
      <c r="F833" s="310" t="str">
        <f t="shared" si="270"/>
        <v>May</v>
      </c>
      <c r="G833" s="579" t="s">
        <v>1322</v>
      </c>
      <c r="H833" s="311" t="s">
        <v>104</v>
      </c>
      <c r="I833" s="311" t="s">
        <v>2772</v>
      </c>
      <c r="J833" s="312" t="s">
        <v>105</v>
      </c>
      <c r="K833" s="313" t="s">
        <v>85</v>
      </c>
      <c r="L833" s="390" t="s">
        <v>2166</v>
      </c>
      <c r="M833" s="312" t="s">
        <v>86</v>
      </c>
      <c r="N833" s="311" t="s">
        <v>421</v>
      </c>
      <c r="O833" s="311" t="s">
        <v>506</v>
      </c>
      <c r="P833" s="314">
        <v>10</v>
      </c>
      <c r="Q833" s="314">
        <v>50</v>
      </c>
      <c r="R833" s="315">
        <v>6.8100000000000001E-3</v>
      </c>
      <c r="S833" s="311" t="s">
        <v>76</v>
      </c>
      <c r="T833" s="311" t="s">
        <v>112</v>
      </c>
      <c r="U833" s="311" t="s">
        <v>89</v>
      </c>
      <c r="V833" s="316">
        <v>100</v>
      </c>
      <c r="W833" s="316">
        <f>1+91+8</f>
        <v>100</v>
      </c>
      <c r="X833" s="317"/>
      <c r="Y833" s="318">
        <f t="shared" si="283"/>
        <v>0</v>
      </c>
      <c r="Z833" s="319">
        <f t="shared" si="284"/>
        <v>0</v>
      </c>
      <c r="AA833" s="319">
        <f>Q833*Z833</f>
        <v>0</v>
      </c>
      <c r="AB833" s="815">
        <v>6</v>
      </c>
      <c r="AC833" s="316">
        <f>Z833*AB833</f>
        <v>0</v>
      </c>
      <c r="AD833" s="381"/>
      <c r="AE833" s="210"/>
      <c r="AF833" s="210"/>
      <c r="AG833" s="211">
        <f t="shared" si="285"/>
        <v>0.57999999999999996</v>
      </c>
      <c r="AH833" s="157">
        <f t="shared" si="286"/>
        <v>0</v>
      </c>
      <c r="AI833" s="152">
        <f t="shared" si="287"/>
        <v>1000</v>
      </c>
      <c r="AJ833" s="156">
        <f>AI833*Q833</f>
        <v>50000</v>
      </c>
      <c r="AK833" s="156" t="s">
        <v>691</v>
      </c>
      <c r="AL833" s="156" t="s">
        <v>689</v>
      </c>
      <c r="AM833" s="198">
        <f t="shared" si="288"/>
        <v>0</v>
      </c>
      <c r="AN833" s="199">
        <f t="shared" si="271"/>
        <v>45440</v>
      </c>
      <c r="AO833" s="159" t="s">
        <v>692</v>
      </c>
      <c r="AP833" s="781" t="s">
        <v>423</v>
      </c>
      <c r="AQ833" s="781" t="s">
        <v>422</v>
      </c>
      <c r="AR833" s="782">
        <v>12055234</v>
      </c>
      <c r="AS833" s="781"/>
      <c r="AT833" s="782">
        <v>12069432</v>
      </c>
      <c r="AU833" s="781"/>
      <c r="AV833" s="782">
        <v>12069433</v>
      </c>
      <c r="AW833" s="781"/>
      <c r="AX833" s="781" t="s">
        <v>93</v>
      </c>
      <c r="AY833" s="781"/>
      <c r="AZ833" s="782"/>
      <c r="BA833" s="781"/>
    </row>
    <row r="834" spans="1:53" ht="24.65" hidden="1" customHeight="1">
      <c r="B834" s="369">
        <v>45441</v>
      </c>
      <c r="C834" s="370">
        <v>45454</v>
      </c>
      <c r="D834" s="185">
        <f t="shared" si="269"/>
        <v>2024</v>
      </c>
      <c r="E834" s="370" t="str">
        <f>VLOOKUP($B834,Week!$A$1:$C$1462,2,0)</f>
        <v>Week22</v>
      </c>
      <c r="F834" s="372" t="str">
        <f t="shared" si="270"/>
        <v>May</v>
      </c>
      <c r="G834" s="439" t="s">
        <v>1322</v>
      </c>
      <c r="H834" s="371" t="s">
        <v>104</v>
      </c>
      <c r="I834" s="371" t="s">
        <v>2772</v>
      </c>
      <c r="J834" s="373" t="s">
        <v>105</v>
      </c>
      <c r="K834" s="374" t="s">
        <v>593</v>
      </c>
      <c r="L834" s="300" t="s">
        <v>2167</v>
      </c>
      <c r="M834" s="373" t="s">
        <v>594</v>
      </c>
      <c r="N834" s="371" t="s">
        <v>687</v>
      </c>
      <c r="O834" s="371" t="s">
        <v>415</v>
      </c>
      <c r="P834" s="375">
        <v>24</v>
      </c>
      <c r="Q834" s="375">
        <v>5</v>
      </c>
      <c r="R834" s="376">
        <v>6.0000000000000001E-3</v>
      </c>
      <c r="S834" s="371" t="s">
        <v>55</v>
      </c>
      <c r="T834" s="371" t="s">
        <v>112</v>
      </c>
      <c r="U834" s="371" t="s">
        <v>57</v>
      </c>
      <c r="V834" s="377">
        <f>700</f>
        <v>700</v>
      </c>
      <c r="W834" s="377">
        <f>639</f>
        <v>639</v>
      </c>
      <c r="X834" s="378">
        <f>(1584-128+8)/24</f>
        <v>61</v>
      </c>
      <c r="Y834" s="379">
        <f t="shared" si="283"/>
        <v>0</v>
      </c>
      <c r="Z834" s="380">
        <f t="shared" si="284"/>
        <v>0</v>
      </c>
      <c r="AA834" s="380"/>
      <c r="AB834" s="820"/>
      <c r="AC834" s="377"/>
      <c r="AD834" s="486"/>
      <c r="AE834" s="210"/>
      <c r="AF834" s="210"/>
      <c r="AG834" s="211">
        <f t="shared" si="285"/>
        <v>0.25800000000000001</v>
      </c>
      <c r="AH834" s="157">
        <f t="shared" si="286"/>
        <v>0</v>
      </c>
      <c r="AI834" s="152">
        <f t="shared" si="287"/>
        <v>16800</v>
      </c>
      <c r="AK834" s="156" t="s">
        <v>691</v>
      </c>
      <c r="AL834" s="212" t="s">
        <v>690</v>
      </c>
      <c r="AM834" s="198">
        <f t="shared" si="288"/>
        <v>0</v>
      </c>
      <c r="AN834" s="199">
        <f t="shared" si="271"/>
        <v>45441</v>
      </c>
      <c r="AO834" s="159" t="s">
        <v>692</v>
      </c>
      <c r="AP834" s="783"/>
      <c r="AQ834" s="782">
        <v>12071839</v>
      </c>
      <c r="AR834" s="782">
        <v>12042650</v>
      </c>
      <c r="AS834" s="782">
        <v>12042649</v>
      </c>
      <c r="AT834" s="782">
        <v>12085742</v>
      </c>
      <c r="AU834" s="781"/>
      <c r="AV834" s="782">
        <v>12085744</v>
      </c>
      <c r="AW834" s="782">
        <v>12049607</v>
      </c>
      <c r="AX834" s="782"/>
      <c r="AY834" s="782">
        <v>12085747</v>
      </c>
      <c r="AZ834" s="782"/>
      <c r="BA834" s="781"/>
    </row>
    <row r="835" spans="1:53" ht="24.65" hidden="1" customHeight="1">
      <c r="B835" s="369">
        <v>45441</v>
      </c>
      <c r="C835" s="370">
        <v>45454</v>
      </c>
      <c r="D835" s="185">
        <f t="shared" si="269"/>
        <v>2024</v>
      </c>
      <c r="E835" s="370" t="str">
        <f>VLOOKUP($B835,Week!$A$1:$C$1462,2,0)</f>
        <v>Week22</v>
      </c>
      <c r="F835" s="372" t="str">
        <f t="shared" si="270"/>
        <v>May</v>
      </c>
      <c r="G835" s="439" t="s">
        <v>1323</v>
      </c>
      <c r="H835" s="371" t="s">
        <v>104</v>
      </c>
      <c r="I835" s="371" t="s">
        <v>2772</v>
      </c>
      <c r="J835" s="373" t="s">
        <v>105</v>
      </c>
      <c r="K835" s="374" t="s">
        <v>593</v>
      </c>
      <c r="L835" s="300" t="s">
        <v>2167</v>
      </c>
      <c r="M835" s="373" t="s">
        <v>594</v>
      </c>
      <c r="N835" s="371" t="s">
        <v>687</v>
      </c>
      <c r="O835" s="371" t="s">
        <v>415</v>
      </c>
      <c r="P835" s="375">
        <v>24</v>
      </c>
      <c r="Q835" s="375">
        <v>5</v>
      </c>
      <c r="R835" s="376">
        <v>6.0000000000000001E-3</v>
      </c>
      <c r="S835" s="371" t="s">
        <v>55</v>
      </c>
      <c r="T835" s="371" t="s">
        <v>112</v>
      </c>
      <c r="U835" s="371" t="s">
        <v>57</v>
      </c>
      <c r="V835" s="377">
        <f>800</f>
        <v>800</v>
      </c>
      <c r="W835" s="377">
        <f>1388-639</f>
        <v>749</v>
      </c>
      <c r="X835" s="378">
        <f>(1224)/24</f>
        <v>51</v>
      </c>
      <c r="Y835" s="379">
        <f t="shared" si="283"/>
        <v>0</v>
      </c>
      <c r="Z835" s="380">
        <f t="shared" si="284"/>
        <v>0</v>
      </c>
      <c r="AA835" s="380"/>
      <c r="AB835" s="820"/>
      <c r="AC835" s="377"/>
      <c r="AD835" s="486"/>
      <c r="AE835" s="210"/>
      <c r="AF835" s="210"/>
      <c r="AG835" s="211">
        <f t="shared" si="285"/>
        <v>0.25800000000000001</v>
      </c>
      <c r="AH835" s="157">
        <f t="shared" si="286"/>
        <v>0</v>
      </c>
      <c r="AI835" s="152">
        <f t="shared" si="287"/>
        <v>19200</v>
      </c>
      <c r="AK835" s="156" t="s">
        <v>691</v>
      </c>
      <c r="AL835" s="212" t="s">
        <v>690</v>
      </c>
      <c r="AM835" s="198">
        <f t="shared" si="288"/>
        <v>0</v>
      </c>
      <c r="AN835" s="199">
        <f t="shared" si="271"/>
        <v>45441</v>
      </c>
      <c r="AO835" s="159" t="s">
        <v>692</v>
      </c>
      <c r="AP835" s="783"/>
      <c r="AQ835" s="782">
        <v>12071839</v>
      </c>
      <c r="AR835" s="782">
        <v>12042650</v>
      </c>
      <c r="AS835" s="782">
        <v>12042649</v>
      </c>
      <c r="AT835" s="782">
        <v>12085742</v>
      </c>
      <c r="AU835" s="781"/>
      <c r="AV835" s="782">
        <v>12085744</v>
      </c>
      <c r="AW835" s="782">
        <v>12049607</v>
      </c>
      <c r="AX835" s="782"/>
      <c r="AY835" s="782">
        <v>12085747</v>
      </c>
      <c r="AZ835" s="782"/>
      <c r="BA835" s="781"/>
    </row>
    <row r="836" spans="1:53" ht="25" hidden="1" customHeight="1">
      <c r="A836" s="598"/>
      <c r="B836" s="246">
        <v>45441</v>
      </c>
      <c r="C836" s="247">
        <v>45460</v>
      </c>
      <c r="D836" s="185">
        <f t="shared" si="269"/>
        <v>2024</v>
      </c>
      <c r="E836" s="247" t="str">
        <f>VLOOKUP($B836,Week!$A$1:$C$1462,2,0)</f>
        <v>Week22</v>
      </c>
      <c r="F836" s="248" t="str">
        <f t="shared" si="270"/>
        <v>May</v>
      </c>
      <c r="G836" s="599" t="s">
        <v>1251</v>
      </c>
      <c r="H836" s="249" t="s">
        <v>104</v>
      </c>
      <c r="I836" s="249" t="s">
        <v>2772</v>
      </c>
      <c r="J836" s="250" t="s">
        <v>105</v>
      </c>
      <c r="K836" s="251" t="s">
        <v>593</v>
      </c>
      <c r="L836" s="300" t="s">
        <v>2167</v>
      </c>
      <c r="M836" s="250" t="s">
        <v>594</v>
      </c>
      <c r="N836" s="249" t="s">
        <v>596</v>
      </c>
      <c r="O836" s="249" t="s">
        <v>304</v>
      </c>
      <c r="P836" s="252">
        <v>8</v>
      </c>
      <c r="Q836" s="252">
        <v>5</v>
      </c>
      <c r="R836" s="253">
        <v>6.0000000000000001E-3</v>
      </c>
      <c r="S836" s="249" t="s">
        <v>55</v>
      </c>
      <c r="T836" s="249" t="s">
        <v>112</v>
      </c>
      <c r="U836" s="249" t="s">
        <v>57</v>
      </c>
      <c r="V836" s="254">
        <f>8668/8</f>
        <v>1083.5</v>
      </c>
      <c r="W836" s="254"/>
      <c r="X836" s="255">
        <f>(8668)/8</f>
        <v>1083.5</v>
      </c>
      <c r="Y836" s="256">
        <f t="shared" si="283"/>
        <v>0</v>
      </c>
      <c r="Z836" s="257">
        <f t="shared" si="284"/>
        <v>0</v>
      </c>
      <c r="AA836" s="257"/>
      <c r="AB836" s="810"/>
      <c r="AC836" s="254"/>
      <c r="AD836" s="209"/>
      <c r="AE836" s="210"/>
      <c r="AF836" s="210"/>
      <c r="AG836" s="211">
        <f t="shared" si="285"/>
        <v>0.25800000000000001</v>
      </c>
      <c r="AH836" s="157">
        <v>0.26621999999999996</v>
      </c>
      <c r="AI836" s="152">
        <f t="shared" si="287"/>
        <v>8668</v>
      </c>
      <c r="AK836" s="156" t="s">
        <v>691</v>
      </c>
      <c r="AL836" s="574" t="s">
        <v>690</v>
      </c>
      <c r="AM836" s="198">
        <f t="shared" si="288"/>
        <v>0</v>
      </c>
      <c r="AN836" s="199">
        <f t="shared" si="271"/>
        <v>45441</v>
      </c>
      <c r="AO836" s="159" t="s">
        <v>692</v>
      </c>
      <c r="AP836" s="781"/>
      <c r="AQ836" s="782">
        <v>12071839</v>
      </c>
      <c r="AR836" s="782">
        <v>12042650</v>
      </c>
      <c r="AS836" s="782">
        <v>12042649</v>
      </c>
      <c r="AT836" s="782">
        <v>12084100</v>
      </c>
      <c r="AU836" s="781"/>
      <c r="AV836" s="782">
        <v>12084001</v>
      </c>
      <c r="AW836" s="781"/>
      <c r="AX836" s="781"/>
      <c r="AY836" s="781"/>
      <c r="AZ836" s="782"/>
      <c r="BA836" s="781"/>
    </row>
    <row r="837" spans="1:53" ht="25" hidden="1" customHeight="1">
      <c r="B837" s="345">
        <v>45441</v>
      </c>
      <c r="C837" s="464">
        <v>45448</v>
      </c>
      <c r="D837" s="185">
        <f t="shared" ref="D837:D900" si="289">IF(B837="","",YEAR(B837))</f>
        <v>2024</v>
      </c>
      <c r="E837" s="464" t="str">
        <f>VLOOKUP($B837,Week!$A$1:$C$1462,2,0)</f>
        <v>Week22</v>
      </c>
      <c r="F837" s="465" t="str">
        <f t="shared" ref="F837:F900" si="290">IF(B837="","",TEXT(B837,"[$-409]mmm"))</f>
        <v>May</v>
      </c>
      <c r="G837" s="347" t="s">
        <v>1155</v>
      </c>
      <c r="H837" s="347" t="s">
        <v>134</v>
      </c>
      <c r="I837" s="347" t="s">
        <v>2772</v>
      </c>
      <c r="J837" s="349" t="s">
        <v>135</v>
      </c>
      <c r="K837" s="350" t="s">
        <v>107</v>
      </c>
      <c r="L837" s="300" t="s">
        <v>2167</v>
      </c>
      <c r="M837" s="349" t="s">
        <v>136</v>
      </c>
      <c r="N837" s="347" t="s">
        <v>137</v>
      </c>
      <c r="O837" s="347" t="s">
        <v>138</v>
      </c>
      <c r="P837" s="351">
        <v>24</v>
      </c>
      <c r="Q837" s="351">
        <v>3</v>
      </c>
      <c r="R837" s="352">
        <v>7.4999999999999997E-3</v>
      </c>
      <c r="S837" s="347" t="s">
        <v>111</v>
      </c>
      <c r="T837" s="347" t="s">
        <v>56</v>
      </c>
      <c r="U837" s="347" t="s">
        <v>572</v>
      </c>
      <c r="V837" s="353">
        <f>250</f>
        <v>250</v>
      </c>
      <c r="W837" s="353">
        <f>1+249</f>
        <v>250</v>
      </c>
      <c r="X837" s="354"/>
      <c r="Y837" s="355">
        <f t="shared" si="283"/>
        <v>0</v>
      </c>
      <c r="Z837" s="356">
        <f t="shared" si="284"/>
        <v>0</v>
      </c>
      <c r="AA837" s="356"/>
      <c r="AB837" s="818"/>
      <c r="AC837" s="353"/>
      <c r="AD837" s="443"/>
      <c r="AE837" s="210"/>
      <c r="AF837" s="210"/>
      <c r="AG837" s="211">
        <f t="shared" si="285"/>
        <v>0.219</v>
      </c>
      <c r="AH837" s="157">
        <f t="shared" ref="AH837:AH867" si="291">(Z837*AG837)/1000</f>
        <v>0</v>
      </c>
      <c r="AI837" s="152">
        <f t="shared" si="287"/>
        <v>6000</v>
      </c>
      <c r="AK837" s="156" t="s">
        <v>691</v>
      </c>
      <c r="AL837" s="212" t="s">
        <v>690</v>
      </c>
      <c r="AM837" s="198">
        <f t="shared" si="288"/>
        <v>0</v>
      </c>
      <c r="AN837" s="199">
        <f t="shared" ref="AN837:AN900" si="292">B837</f>
        <v>45441</v>
      </c>
      <c r="AO837" s="159" t="s">
        <v>692</v>
      </c>
      <c r="AP837" s="783" t="s">
        <v>610</v>
      </c>
      <c r="AQ837" s="796" t="s">
        <v>1500</v>
      </c>
      <c r="AR837" s="782" t="s">
        <v>140</v>
      </c>
      <c r="AS837" s="782" t="s">
        <v>141</v>
      </c>
      <c r="AT837" s="782"/>
      <c r="AU837" s="783" t="s">
        <v>568</v>
      </c>
      <c r="AV837" s="796" t="s">
        <v>569</v>
      </c>
      <c r="AW837" s="796" t="s">
        <v>570</v>
      </c>
      <c r="AX837" s="782"/>
      <c r="AY837" s="782">
        <v>12061259</v>
      </c>
      <c r="AZ837" s="782">
        <v>12064123</v>
      </c>
      <c r="BA837" s="782">
        <v>12064127</v>
      </c>
    </row>
    <row r="838" spans="1:53" ht="25" hidden="1" customHeight="1">
      <c r="B838" s="345">
        <v>45441</v>
      </c>
      <c r="C838" s="464">
        <v>45448</v>
      </c>
      <c r="D838" s="185">
        <f t="shared" si="289"/>
        <v>2024</v>
      </c>
      <c r="E838" s="464" t="str">
        <f>VLOOKUP($B838,Week!$A$1:$C$1462,2,0)</f>
        <v>Week22</v>
      </c>
      <c r="F838" s="465" t="str">
        <f t="shared" si="290"/>
        <v>May</v>
      </c>
      <c r="G838" s="347" t="s">
        <v>1356</v>
      </c>
      <c r="H838" s="347" t="s">
        <v>134</v>
      </c>
      <c r="I838" s="347" t="s">
        <v>2772</v>
      </c>
      <c r="J838" s="349" t="s">
        <v>135</v>
      </c>
      <c r="K838" s="350" t="s">
        <v>107</v>
      </c>
      <c r="L838" s="300" t="s">
        <v>2167</v>
      </c>
      <c r="M838" s="349" t="s">
        <v>136</v>
      </c>
      <c r="N838" s="347" t="s">
        <v>137</v>
      </c>
      <c r="O838" s="347" t="s">
        <v>138</v>
      </c>
      <c r="P838" s="351">
        <v>24</v>
      </c>
      <c r="Q838" s="351">
        <v>3</v>
      </c>
      <c r="R838" s="352">
        <v>7.4999999999999997E-3</v>
      </c>
      <c r="S838" s="347" t="s">
        <v>111</v>
      </c>
      <c r="T838" s="347" t="s">
        <v>56</v>
      </c>
      <c r="U838" s="347" t="s">
        <v>572</v>
      </c>
      <c r="V838" s="353">
        <v>200</v>
      </c>
      <c r="W838" s="353">
        <f>445-249+1+3</f>
        <v>200</v>
      </c>
      <c r="X838" s="354"/>
      <c r="Y838" s="355">
        <f t="shared" si="283"/>
        <v>0</v>
      </c>
      <c r="Z838" s="356">
        <f t="shared" si="284"/>
        <v>0</v>
      </c>
      <c r="AA838" s="356"/>
      <c r="AB838" s="818"/>
      <c r="AC838" s="353"/>
      <c r="AD838" s="443"/>
      <c r="AE838" s="210"/>
      <c r="AF838" s="210"/>
      <c r="AG838" s="211">
        <f t="shared" si="285"/>
        <v>0.219</v>
      </c>
      <c r="AH838" s="157">
        <f t="shared" si="291"/>
        <v>0</v>
      </c>
      <c r="AI838" s="152">
        <f t="shared" si="287"/>
        <v>4800</v>
      </c>
      <c r="AK838" s="156" t="s">
        <v>691</v>
      </c>
      <c r="AL838" s="212" t="s">
        <v>690</v>
      </c>
      <c r="AM838" s="198">
        <f t="shared" si="288"/>
        <v>0</v>
      </c>
      <c r="AN838" s="199">
        <f t="shared" si="292"/>
        <v>45441</v>
      </c>
      <c r="AO838" s="159" t="s">
        <v>692</v>
      </c>
      <c r="AP838" s="783" t="s">
        <v>610</v>
      </c>
      <c r="AQ838" s="796" t="s">
        <v>1500</v>
      </c>
      <c r="AR838" s="782" t="s">
        <v>140</v>
      </c>
      <c r="AS838" s="782" t="s">
        <v>141</v>
      </c>
      <c r="AT838" s="782"/>
      <c r="AU838" s="783" t="s">
        <v>568</v>
      </c>
      <c r="AV838" s="796" t="s">
        <v>569</v>
      </c>
      <c r="AW838" s="796" t="s">
        <v>570</v>
      </c>
      <c r="AX838" s="782"/>
      <c r="AY838" s="782">
        <v>12061259</v>
      </c>
      <c r="AZ838" s="782">
        <v>12064123</v>
      </c>
      <c r="BA838" s="782">
        <v>12064127</v>
      </c>
    </row>
    <row r="839" spans="1:53" ht="25" hidden="1" customHeight="1">
      <c r="B839" s="308">
        <v>45441</v>
      </c>
      <c r="C839" s="309">
        <v>45467</v>
      </c>
      <c r="D839" s="185">
        <f t="shared" si="289"/>
        <v>2024</v>
      </c>
      <c r="E839" s="309" t="str">
        <f>VLOOKUP($B839,Week!$A$1:$C$1462,2,0)</f>
        <v>Week22</v>
      </c>
      <c r="F839" s="310" t="str">
        <f t="shared" si="290"/>
        <v>May</v>
      </c>
      <c r="G839" s="311" t="s">
        <v>1369</v>
      </c>
      <c r="H839" s="311" t="s">
        <v>431</v>
      </c>
      <c r="I839" s="311" t="s">
        <v>2772</v>
      </c>
      <c r="J839" s="312" t="s">
        <v>432</v>
      </c>
      <c r="K839" s="313" t="s">
        <v>107</v>
      </c>
      <c r="L839" s="300" t="s">
        <v>2167</v>
      </c>
      <c r="M839" s="312" t="s">
        <v>136</v>
      </c>
      <c r="N839" s="311" t="s">
        <v>542</v>
      </c>
      <c r="O839" s="311" t="s">
        <v>543</v>
      </c>
      <c r="P839" s="314">
        <v>8</v>
      </c>
      <c r="Q839" s="314">
        <v>3</v>
      </c>
      <c r="R839" s="315">
        <v>7.4999999999999997E-3</v>
      </c>
      <c r="S839" s="311" t="s">
        <v>111</v>
      </c>
      <c r="T839" s="311" t="s">
        <v>112</v>
      </c>
      <c r="U839" s="311" t="s">
        <v>57</v>
      </c>
      <c r="V839" s="316">
        <v>800</v>
      </c>
      <c r="W839" s="316"/>
      <c r="X839" s="317">
        <f>(130+6460)/8</f>
        <v>823.75</v>
      </c>
      <c r="Y839" s="318">
        <f t="shared" si="283"/>
        <v>23.75</v>
      </c>
      <c r="Z839" s="319">
        <f t="shared" si="284"/>
        <v>0</v>
      </c>
      <c r="AA839" s="319"/>
      <c r="AB839" s="815"/>
      <c r="AC839" s="316"/>
      <c r="AD839" s="209"/>
      <c r="AE839" s="210"/>
      <c r="AF839" s="210"/>
      <c r="AG839" s="211">
        <f t="shared" si="285"/>
        <v>0.309</v>
      </c>
      <c r="AH839" s="157">
        <f t="shared" si="291"/>
        <v>0</v>
      </c>
      <c r="AI839" s="152">
        <f t="shared" si="287"/>
        <v>6400</v>
      </c>
      <c r="AK839" s="156" t="s">
        <v>691</v>
      </c>
      <c r="AL839" s="212" t="s">
        <v>690</v>
      </c>
      <c r="AM839" s="198">
        <f t="shared" si="288"/>
        <v>0</v>
      </c>
      <c r="AN839" s="199">
        <f t="shared" si="292"/>
        <v>45441</v>
      </c>
      <c r="AO839" s="159" t="s">
        <v>692</v>
      </c>
      <c r="AP839" s="781"/>
      <c r="AQ839" s="782">
        <v>12063755</v>
      </c>
      <c r="AR839" s="782">
        <v>12061353</v>
      </c>
      <c r="AS839" s="782">
        <v>12061354</v>
      </c>
      <c r="AT839" s="782">
        <v>12083615</v>
      </c>
      <c r="AU839" s="781"/>
      <c r="AV839" s="782">
        <v>12062186</v>
      </c>
      <c r="AW839" s="782"/>
      <c r="AX839" s="782"/>
      <c r="AY839" s="782"/>
      <c r="AZ839" s="782"/>
      <c r="BA839" s="781"/>
    </row>
    <row r="840" spans="1:53" ht="24.65" hidden="1" customHeight="1">
      <c r="B840" s="308">
        <v>45441</v>
      </c>
      <c r="C840" s="309">
        <v>45448</v>
      </c>
      <c r="D840" s="185">
        <f t="shared" si="289"/>
        <v>2024</v>
      </c>
      <c r="E840" s="309" t="str">
        <f>VLOOKUP($B840,Week!$A$1:$C$1462,2,0)</f>
        <v>Week22</v>
      </c>
      <c r="F840" s="310" t="str">
        <f t="shared" si="290"/>
        <v>May</v>
      </c>
      <c r="G840" s="311" t="s">
        <v>1319</v>
      </c>
      <c r="H840" s="311" t="s">
        <v>311</v>
      </c>
      <c r="I840" s="311" t="s">
        <v>2772</v>
      </c>
      <c r="J840" s="312" t="s">
        <v>738</v>
      </c>
      <c r="K840" s="313" t="s">
        <v>107</v>
      </c>
      <c r="L840" s="300" t="s">
        <v>2167</v>
      </c>
      <c r="M840" s="312" t="s">
        <v>313</v>
      </c>
      <c r="N840" s="311" t="s">
        <v>314</v>
      </c>
      <c r="O840" s="311" t="s">
        <v>110</v>
      </c>
      <c r="P840" s="314">
        <v>36</v>
      </c>
      <c r="Q840" s="314">
        <v>5</v>
      </c>
      <c r="R840" s="315">
        <v>7.4999999999999997E-3</v>
      </c>
      <c r="S840" s="311" t="s">
        <v>111</v>
      </c>
      <c r="T840" s="311" t="s">
        <v>112</v>
      </c>
      <c r="U840" s="311" t="s">
        <v>57</v>
      </c>
      <c r="V840" s="316">
        <f>792-730</f>
        <v>62</v>
      </c>
      <c r="W840" s="316"/>
      <c r="X840" s="317">
        <f>2232/36</f>
        <v>62</v>
      </c>
      <c r="Y840" s="318">
        <f t="shared" si="283"/>
        <v>0</v>
      </c>
      <c r="Z840" s="319">
        <f t="shared" si="284"/>
        <v>0</v>
      </c>
      <c r="AA840" s="319"/>
      <c r="AB840" s="815"/>
      <c r="AC840" s="316"/>
      <c r="AD840" s="515"/>
      <c r="AE840" s="210"/>
      <c r="AF840" s="210"/>
      <c r="AG840" s="211">
        <f t="shared" si="285"/>
        <v>0.308</v>
      </c>
      <c r="AH840" s="157">
        <f t="shared" si="291"/>
        <v>0</v>
      </c>
      <c r="AI840" s="152">
        <f t="shared" si="287"/>
        <v>2232</v>
      </c>
      <c r="AK840" s="156" t="s">
        <v>691</v>
      </c>
      <c r="AL840" s="212" t="s">
        <v>690</v>
      </c>
      <c r="AM840" s="198">
        <f t="shared" si="288"/>
        <v>0</v>
      </c>
      <c r="AN840" s="199">
        <f t="shared" si="292"/>
        <v>45441</v>
      </c>
      <c r="AO840" s="159" t="s">
        <v>692</v>
      </c>
      <c r="AP840" s="783" t="s">
        <v>644</v>
      </c>
      <c r="AQ840" s="782">
        <v>12063755</v>
      </c>
      <c r="AR840" s="782">
        <v>12061353</v>
      </c>
      <c r="AS840" s="782">
        <v>12061354</v>
      </c>
      <c r="AT840" s="782">
        <v>12062266</v>
      </c>
      <c r="AU840" s="781"/>
      <c r="AV840" s="782">
        <v>12088159</v>
      </c>
      <c r="AW840" s="782">
        <v>12088207</v>
      </c>
      <c r="AX840" s="782"/>
      <c r="AY840" s="782">
        <v>12062262</v>
      </c>
      <c r="AZ840" s="782"/>
      <c r="BA840" s="781"/>
    </row>
    <row r="841" spans="1:53" ht="24.65" hidden="1" customHeight="1">
      <c r="B841" s="308">
        <v>45441</v>
      </c>
      <c r="C841" s="309">
        <v>45455</v>
      </c>
      <c r="D841" s="185">
        <f t="shared" si="289"/>
        <v>2024</v>
      </c>
      <c r="E841" s="309" t="str">
        <f>VLOOKUP($B841,Week!$A$1:$C$1462,2,0)</f>
        <v>Week22</v>
      </c>
      <c r="F841" s="310" t="str">
        <f t="shared" si="290"/>
        <v>May</v>
      </c>
      <c r="G841" s="311" t="s">
        <v>1306</v>
      </c>
      <c r="H841" s="311" t="s">
        <v>311</v>
      </c>
      <c r="I841" s="311" t="s">
        <v>2772</v>
      </c>
      <c r="J841" s="312" t="s">
        <v>738</v>
      </c>
      <c r="K841" s="313" t="s">
        <v>107</v>
      </c>
      <c r="L841" s="300" t="s">
        <v>2167</v>
      </c>
      <c r="M841" s="312" t="s">
        <v>313</v>
      </c>
      <c r="N841" s="311" t="s">
        <v>314</v>
      </c>
      <c r="O841" s="311" t="s">
        <v>110</v>
      </c>
      <c r="P841" s="314">
        <v>36</v>
      </c>
      <c r="Q841" s="314">
        <v>5</v>
      </c>
      <c r="R841" s="315">
        <v>7.4999999999999997E-3</v>
      </c>
      <c r="S841" s="311" t="s">
        <v>111</v>
      </c>
      <c r="T841" s="311" t="s">
        <v>112</v>
      </c>
      <c r="U841" s="311" t="s">
        <v>57</v>
      </c>
      <c r="V841" s="316">
        <v>792</v>
      </c>
      <c r="W841" s="316">
        <f>160+632</f>
        <v>792</v>
      </c>
      <c r="X841" s="317"/>
      <c r="Y841" s="318">
        <f t="shared" si="283"/>
        <v>0</v>
      </c>
      <c r="Z841" s="319">
        <f t="shared" si="284"/>
        <v>0</v>
      </c>
      <c r="AA841" s="319"/>
      <c r="AB841" s="815"/>
      <c r="AC841" s="316"/>
      <c r="AD841" s="515"/>
      <c r="AE841" s="210"/>
      <c r="AF841" s="210"/>
      <c r="AG841" s="211">
        <f t="shared" si="285"/>
        <v>0.308</v>
      </c>
      <c r="AH841" s="157">
        <f t="shared" si="291"/>
        <v>0</v>
      </c>
      <c r="AI841" s="152">
        <f t="shared" si="287"/>
        <v>28512</v>
      </c>
      <c r="AK841" s="156" t="s">
        <v>691</v>
      </c>
      <c r="AL841" s="212" t="s">
        <v>690</v>
      </c>
      <c r="AM841" s="198">
        <f t="shared" si="288"/>
        <v>0</v>
      </c>
      <c r="AN841" s="199">
        <f t="shared" si="292"/>
        <v>45441</v>
      </c>
      <c r="AO841" s="159" t="s">
        <v>692</v>
      </c>
      <c r="AP841" s="783" t="s">
        <v>644</v>
      </c>
      <c r="AQ841" s="782">
        <v>12063755</v>
      </c>
      <c r="AR841" s="782">
        <v>12061353</v>
      </c>
      <c r="AS841" s="782">
        <v>12061354</v>
      </c>
      <c r="AT841" s="782">
        <v>12062266</v>
      </c>
      <c r="AU841" s="781"/>
      <c r="AV841" s="782">
        <v>12088159</v>
      </c>
      <c r="AW841" s="782">
        <v>12088207</v>
      </c>
      <c r="AX841" s="782"/>
      <c r="AY841" s="782">
        <v>12062262</v>
      </c>
      <c r="AZ841" s="782"/>
      <c r="BA841" s="781"/>
    </row>
    <row r="842" spans="1:53" ht="24.65" hidden="1" customHeight="1">
      <c r="B842" s="308">
        <v>45441</v>
      </c>
      <c r="C842" s="309">
        <v>45455</v>
      </c>
      <c r="D842" s="185">
        <f t="shared" si="289"/>
        <v>2024</v>
      </c>
      <c r="E842" s="309" t="str">
        <f>VLOOKUP($B842,Week!$A$1:$C$1462,2,0)</f>
        <v>Week22</v>
      </c>
      <c r="F842" s="310" t="str">
        <f t="shared" si="290"/>
        <v>May</v>
      </c>
      <c r="G842" s="311" t="s">
        <v>1320</v>
      </c>
      <c r="H842" s="311" t="s">
        <v>311</v>
      </c>
      <c r="I842" s="311" t="s">
        <v>2772</v>
      </c>
      <c r="J842" s="312" t="s">
        <v>738</v>
      </c>
      <c r="K842" s="313" t="s">
        <v>107</v>
      </c>
      <c r="L842" s="300" t="s">
        <v>2167</v>
      </c>
      <c r="M842" s="312" t="s">
        <v>313</v>
      </c>
      <c r="N842" s="311" t="s">
        <v>314</v>
      </c>
      <c r="O842" s="311" t="s">
        <v>110</v>
      </c>
      <c r="P842" s="314">
        <v>36</v>
      </c>
      <c r="Q842" s="314">
        <v>5</v>
      </c>
      <c r="R842" s="315">
        <v>7.4999999999999997E-3</v>
      </c>
      <c r="S842" s="311" t="s">
        <v>111</v>
      </c>
      <c r="T842" s="311" t="s">
        <v>112</v>
      </c>
      <c r="U842" s="311" t="s">
        <v>57</v>
      </c>
      <c r="V842" s="316">
        <v>792</v>
      </c>
      <c r="W842" s="316">
        <f>160+249+62+159</f>
        <v>630</v>
      </c>
      <c r="X842" s="317">
        <f>(6184)/36</f>
        <v>171.77777777777777</v>
      </c>
      <c r="Y842" s="318">
        <f t="shared" si="283"/>
        <v>9.7777777777778283</v>
      </c>
      <c r="Z842" s="319">
        <f t="shared" si="284"/>
        <v>0</v>
      </c>
      <c r="AA842" s="319"/>
      <c r="AB842" s="815"/>
      <c r="AC842" s="316"/>
      <c r="AD842" s="515"/>
      <c r="AE842" s="210"/>
      <c r="AF842" s="210"/>
      <c r="AG842" s="211">
        <f t="shared" si="285"/>
        <v>0.308</v>
      </c>
      <c r="AH842" s="157">
        <f t="shared" si="291"/>
        <v>0</v>
      </c>
      <c r="AI842" s="152">
        <f t="shared" si="287"/>
        <v>28512</v>
      </c>
      <c r="AK842" s="156" t="s">
        <v>691</v>
      </c>
      <c r="AL842" s="212" t="s">
        <v>690</v>
      </c>
      <c r="AM842" s="198">
        <f t="shared" si="288"/>
        <v>0</v>
      </c>
      <c r="AN842" s="199">
        <f t="shared" si="292"/>
        <v>45441</v>
      </c>
      <c r="AO842" s="159" t="s">
        <v>692</v>
      </c>
      <c r="AP842" s="783" t="s">
        <v>644</v>
      </c>
      <c r="AQ842" s="782">
        <v>12063755</v>
      </c>
      <c r="AR842" s="782">
        <v>12061353</v>
      </c>
      <c r="AS842" s="782">
        <v>12061354</v>
      </c>
      <c r="AT842" s="782">
        <v>12062266</v>
      </c>
      <c r="AU842" s="781"/>
      <c r="AV842" s="782">
        <v>12088159</v>
      </c>
      <c r="AW842" s="782">
        <v>12088207</v>
      </c>
      <c r="AX842" s="782"/>
      <c r="AY842" s="782">
        <v>12062262</v>
      </c>
      <c r="AZ842" s="782"/>
      <c r="BA842" s="781"/>
    </row>
    <row r="843" spans="1:53" ht="24.75" hidden="1" customHeight="1">
      <c r="B843" s="320">
        <v>45441</v>
      </c>
      <c r="C843" s="321">
        <v>45471</v>
      </c>
      <c r="D843" s="185">
        <f t="shared" si="289"/>
        <v>2024</v>
      </c>
      <c r="E843" s="321" t="str">
        <f>VLOOKUP($B843,Week!$A$1:$C$1462,2,0)</f>
        <v>Week22</v>
      </c>
      <c r="F843" s="322" t="str">
        <f t="shared" si="290"/>
        <v>May</v>
      </c>
      <c r="G843" s="323" t="s">
        <v>1348</v>
      </c>
      <c r="H843" s="323" t="s">
        <v>311</v>
      </c>
      <c r="I843" s="323" t="s">
        <v>2772</v>
      </c>
      <c r="J843" s="324" t="s">
        <v>738</v>
      </c>
      <c r="K843" s="325" t="s">
        <v>107</v>
      </c>
      <c r="L843" s="300" t="s">
        <v>2167</v>
      </c>
      <c r="M843" s="324" t="s">
        <v>313</v>
      </c>
      <c r="N843" s="323" t="s">
        <v>591</v>
      </c>
      <c r="O843" s="323" t="s">
        <v>592</v>
      </c>
      <c r="P843" s="326">
        <v>8</v>
      </c>
      <c r="Q843" s="326">
        <v>4</v>
      </c>
      <c r="R843" s="327">
        <v>7.4999999999999997E-3</v>
      </c>
      <c r="S843" s="323" t="s">
        <v>111</v>
      </c>
      <c r="T843" s="323" t="s">
        <v>112</v>
      </c>
      <c r="U843" s="323" t="s">
        <v>57</v>
      </c>
      <c r="V843" s="328">
        <f>600</f>
        <v>600</v>
      </c>
      <c r="W843" s="328"/>
      <c r="X843" s="329">
        <f>(289+4511)/8</f>
        <v>600</v>
      </c>
      <c r="Y843" s="330">
        <f t="shared" si="283"/>
        <v>0</v>
      </c>
      <c r="Z843" s="331">
        <f t="shared" si="284"/>
        <v>0</v>
      </c>
      <c r="AA843" s="331"/>
      <c r="AB843" s="816"/>
      <c r="AC843" s="328"/>
      <c r="AD843" s="443"/>
      <c r="AE843" s="210"/>
      <c r="AF843" s="210"/>
      <c r="AG843" s="211">
        <f t="shared" si="285"/>
        <v>0.30499999999999999</v>
      </c>
      <c r="AH843" s="157">
        <f t="shared" si="291"/>
        <v>0</v>
      </c>
      <c r="AI843" s="152">
        <f t="shared" si="287"/>
        <v>4800</v>
      </c>
      <c r="AK843" s="156" t="s">
        <v>691</v>
      </c>
      <c r="AL843" s="212" t="s">
        <v>690</v>
      </c>
      <c r="AM843" s="198">
        <f t="shared" si="288"/>
        <v>0</v>
      </c>
      <c r="AN843" s="199">
        <f t="shared" si="292"/>
        <v>45441</v>
      </c>
      <c r="AO843" s="159" t="s">
        <v>692</v>
      </c>
      <c r="AP843" s="783" t="s">
        <v>643</v>
      </c>
      <c r="AQ843" s="782">
        <v>12063755</v>
      </c>
      <c r="AR843" s="782">
        <v>12061353</v>
      </c>
      <c r="AS843" s="782">
        <v>12061354</v>
      </c>
      <c r="AT843" s="782">
        <v>12088679</v>
      </c>
      <c r="AU843" s="781"/>
      <c r="AV843" s="782">
        <v>12061557</v>
      </c>
      <c r="AW843" s="782"/>
      <c r="AX843" s="782"/>
      <c r="AY843" s="782"/>
      <c r="AZ843" s="782"/>
      <c r="BA843" s="781"/>
    </row>
    <row r="844" spans="1:53" ht="24.75" hidden="1" customHeight="1">
      <c r="B844" s="320">
        <v>45441</v>
      </c>
      <c r="C844" s="321">
        <v>45483</v>
      </c>
      <c r="D844" s="185">
        <f t="shared" si="289"/>
        <v>2024</v>
      </c>
      <c r="E844" s="321" t="str">
        <f>VLOOKUP($B844,Week!$A$1:$C$1462,2,0)</f>
        <v>Week22</v>
      </c>
      <c r="F844" s="322" t="str">
        <f t="shared" si="290"/>
        <v>May</v>
      </c>
      <c r="G844" s="323" t="s">
        <v>1349</v>
      </c>
      <c r="H844" s="323" t="s">
        <v>311</v>
      </c>
      <c r="I844" s="323" t="s">
        <v>2772</v>
      </c>
      <c r="J844" s="324" t="s">
        <v>738</v>
      </c>
      <c r="K844" s="325" t="s">
        <v>107</v>
      </c>
      <c r="L844" s="300" t="s">
        <v>2167</v>
      </c>
      <c r="M844" s="324" t="s">
        <v>313</v>
      </c>
      <c r="N844" s="323" t="s">
        <v>591</v>
      </c>
      <c r="O844" s="323" t="s">
        <v>592</v>
      </c>
      <c r="P844" s="326">
        <v>8</v>
      </c>
      <c r="Q844" s="326">
        <v>4</v>
      </c>
      <c r="R844" s="327">
        <v>7.4999999999999997E-3</v>
      </c>
      <c r="S844" s="323" t="s">
        <v>111</v>
      </c>
      <c r="T844" s="323" t="s">
        <v>112</v>
      </c>
      <c r="U844" s="323" t="s">
        <v>57</v>
      </c>
      <c r="V844" s="328">
        <f>600</f>
        <v>600</v>
      </c>
      <c r="W844" s="328"/>
      <c r="X844" s="329">
        <v>600</v>
      </c>
      <c r="Y844" s="330">
        <f>(W844+X844)-V844</f>
        <v>0</v>
      </c>
      <c r="Z844" s="331">
        <f t="shared" si="284"/>
        <v>0</v>
      </c>
      <c r="AA844" s="331"/>
      <c r="AB844" s="816"/>
      <c r="AC844" s="328"/>
      <c r="AD844" s="443"/>
      <c r="AE844" s="210"/>
      <c r="AF844" s="210"/>
      <c r="AG844" s="211">
        <f t="shared" si="285"/>
        <v>0.30499999999999999</v>
      </c>
      <c r="AH844" s="157">
        <f t="shared" si="291"/>
        <v>0</v>
      </c>
      <c r="AI844" s="152">
        <f t="shared" si="287"/>
        <v>4800</v>
      </c>
      <c r="AK844" s="156" t="s">
        <v>691</v>
      </c>
      <c r="AL844" s="212" t="s">
        <v>690</v>
      </c>
      <c r="AM844" s="198">
        <f t="shared" si="288"/>
        <v>0</v>
      </c>
      <c r="AN844" s="199">
        <f t="shared" si="292"/>
        <v>45441</v>
      </c>
      <c r="AO844" s="159" t="s">
        <v>692</v>
      </c>
      <c r="AP844" s="783" t="s">
        <v>643</v>
      </c>
      <c r="AQ844" s="782">
        <v>12063755</v>
      </c>
      <c r="AR844" s="782">
        <v>12061353</v>
      </c>
      <c r="AS844" s="782">
        <v>12061354</v>
      </c>
      <c r="AT844" s="782">
        <v>12088679</v>
      </c>
      <c r="AU844" s="781"/>
      <c r="AV844" s="782">
        <v>12061557</v>
      </c>
      <c r="AW844" s="782"/>
      <c r="AX844" s="782"/>
      <c r="AY844" s="782"/>
      <c r="AZ844" s="782"/>
      <c r="BA844" s="781"/>
    </row>
    <row r="845" spans="1:53" ht="24.75" hidden="1" customHeight="1">
      <c r="B845" s="320">
        <v>45441</v>
      </c>
      <c r="C845" s="321">
        <v>45474</v>
      </c>
      <c r="D845" s="185">
        <f t="shared" si="289"/>
        <v>2024</v>
      </c>
      <c r="E845" s="321" t="str">
        <f>VLOOKUP($B845,Week!$A$1:$C$1462,2,0)</f>
        <v>Week22</v>
      </c>
      <c r="F845" s="322" t="str">
        <f t="shared" si="290"/>
        <v>May</v>
      </c>
      <c r="G845" s="323" t="s">
        <v>1391</v>
      </c>
      <c r="H845" s="323" t="s">
        <v>675</v>
      </c>
      <c r="I845" s="323" t="s">
        <v>2772</v>
      </c>
      <c r="J845" s="324" t="s">
        <v>709</v>
      </c>
      <c r="K845" s="325" t="s">
        <v>107</v>
      </c>
      <c r="L845" s="300" t="s">
        <v>2167</v>
      </c>
      <c r="M845" s="324" t="s">
        <v>313</v>
      </c>
      <c r="N845" s="596" t="s">
        <v>710</v>
      </c>
      <c r="O845" s="323" t="s">
        <v>592</v>
      </c>
      <c r="P845" s="326">
        <v>8</v>
      </c>
      <c r="Q845" s="326">
        <v>4</v>
      </c>
      <c r="R845" s="327">
        <v>7.4999999999999997E-3</v>
      </c>
      <c r="S845" s="323" t="s">
        <v>111</v>
      </c>
      <c r="T845" s="323" t="s">
        <v>112</v>
      </c>
      <c r="U845" s="323" t="s">
        <v>57</v>
      </c>
      <c r="V845" s="328">
        <f>1674</f>
        <v>1674</v>
      </c>
      <c r="W845" s="328"/>
      <c r="X845" s="329">
        <f>(66+14112)/8</f>
        <v>1772.25</v>
      </c>
      <c r="Y845" s="330">
        <f t="shared" si="283"/>
        <v>98.25</v>
      </c>
      <c r="Z845" s="331">
        <f t="shared" si="284"/>
        <v>0</v>
      </c>
      <c r="AA845" s="331"/>
      <c r="AB845" s="816"/>
      <c r="AC845" s="328"/>
      <c r="AD845" s="307" t="s">
        <v>672</v>
      </c>
      <c r="AE845" s="210"/>
      <c r="AF845" s="210"/>
      <c r="AG845" s="211">
        <f t="shared" si="285"/>
        <v>0.30499999999999999</v>
      </c>
      <c r="AH845" s="157">
        <f t="shared" si="291"/>
        <v>0</v>
      </c>
      <c r="AI845" s="152">
        <f t="shared" si="287"/>
        <v>13392</v>
      </c>
      <c r="AK845" s="156" t="s">
        <v>691</v>
      </c>
      <c r="AL845" s="212" t="s">
        <v>690</v>
      </c>
      <c r="AM845" s="198">
        <f t="shared" si="288"/>
        <v>0</v>
      </c>
      <c r="AN845" s="199">
        <f t="shared" si="292"/>
        <v>45441</v>
      </c>
      <c r="AO845" s="159" t="s">
        <v>692</v>
      </c>
      <c r="AP845" s="783" t="s">
        <v>643</v>
      </c>
      <c r="AQ845" s="782">
        <v>12063755</v>
      </c>
      <c r="AR845" s="782">
        <v>12061353</v>
      </c>
      <c r="AS845" s="782">
        <v>12061354</v>
      </c>
      <c r="AT845" s="782">
        <v>12089987</v>
      </c>
      <c r="AU845" s="781"/>
      <c r="AV845" s="782">
        <v>12089986</v>
      </c>
      <c r="AW845" s="782"/>
      <c r="AX845" s="782"/>
      <c r="AY845" s="782"/>
      <c r="AZ845" s="782"/>
      <c r="BA845" s="781"/>
    </row>
    <row r="846" spans="1:53" ht="25" hidden="1" customHeight="1">
      <c r="A846" s="142" t="s">
        <v>120</v>
      </c>
      <c r="B846" s="308">
        <v>45441</v>
      </c>
      <c r="C846" s="309">
        <v>45454</v>
      </c>
      <c r="D846" s="185">
        <f t="shared" si="289"/>
        <v>2024</v>
      </c>
      <c r="E846" s="309" t="str">
        <f>VLOOKUP($B846,Week!$A$1:$C$1462,2,0)</f>
        <v>Week22</v>
      </c>
      <c r="F846" s="310" t="str">
        <f t="shared" si="290"/>
        <v>May</v>
      </c>
      <c r="G846" s="579" t="s">
        <v>1323</v>
      </c>
      <c r="H846" s="311" t="s">
        <v>104</v>
      </c>
      <c r="I846" s="311" t="s">
        <v>2772</v>
      </c>
      <c r="J846" s="312" t="s">
        <v>105</v>
      </c>
      <c r="K846" s="313" t="s">
        <v>85</v>
      </c>
      <c r="L846" s="390" t="s">
        <v>2166</v>
      </c>
      <c r="M846" s="312" t="s">
        <v>86</v>
      </c>
      <c r="N846" s="311" t="s">
        <v>421</v>
      </c>
      <c r="O846" s="311" t="s">
        <v>506</v>
      </c>
      <c r="P846" s="314">
        <v>10</v>
      </c>
      <c r="Q846" s="314">
        <v>50</v>
      </c>
      <c r="R846" s="315">
        <v>6.8100000000000001E-3</v>
      </c>
      <c r="S846" s="311" t="s">
        <v>76</v>
      </c>
      <c r="T846" s="311" t="s">
        <v>112</v>
      </c>
      <c r="U846" s="311" t="s">
        <v>89</v>
      </c>
      <c r="V846" s="316">
        <v>100</v>
      </c>
      <c r="W846" s="316">
        <v>100</v>
      </c>
      <c r="X846" s="317"/>
      <c r="Y846" s="318">
        <f t="shared" si="283"/>
        <v>0</v>
      </c>
      <c r="Z846" s="319">
        <f t="shared" si="284"/>
        <v>0</v>
      </c>
      <c r="AA846" s="319">
        <f>Q846*Z846</f>
        <v>0</v>
      </c>
      <c r="AB846" s="815">
        <v>6</v>
      </c>
      <c r="AC846" s="316">
        <f>Z846*AB846</f>
        <v>0</v>
      </c>
      <c r="AD846" s="381"/>
      <c r="AE846" s="210"/>
      <c r="AF846" s="210"/>
      <c r="AG846" s="211">
        <f t="shared" si="285"/>
        <v>0.57999999999999996</v>
      </c>
      <c r="AH846" s="157">
        <f t="shared" si="291"/>
        <v>0</v>
      </c>
      <c r="AI846" s="152">
        <f t="shared" si="287"/>
        <v>1000</v>
      </c>
      <c r="AJ846" s="156">
        <f>AI846*Q846</f>
        <v>50000</v>
      </c>
      <c r="AK846" s="156" t="s">
        <v>691</v>
      </c>
      <c r="AL846" s="156" t="s">
        <v>689</v>
      </c>
      <c r="AM846" s="198">
        <f t="shared" si="288"/>
        <v>0</v>
      </c>
      <c r="AN846" s="199">
        <f t="shared" si="292"/>
        <v>45441</v>
      </c>
      <c r="AO846" s="159" t="s">
        <v>692</v>
      </c>
      <c r="AP846" s="781" t="s">
        <v>423</v>
      </c>
      <c r="AQ846" s="781" t="s">
        <v>422</v>
      </c>
      <c r="AR846" s="782">
        <v>12055234</v>
      </c>
      <c r="AS846" s="781"/>
      <c r="AT846" s="782">
        <v>12069432</v>
      </c>
      <c r="AU846" s="781"/>
      <c r="AV846" s="782">
        <v>12069433</v>
      </c>
      <c r="AW846" s="781"/>
      <c r="AX846" s="781" t="s">
        <v>93</v>
      </c>
      <c r="AY846" s="781"/>
      <c r="AZ846" s="782"/>
      <c r="BA846" s="781"/>
    </row>
    <row r="847" spans="1:53" ht="25" hidden="1" customHeight="1">
      <c r="A847" s="142" t="s">
        <v>120</v>
      </c>
      <c r="B847" s="308">
        <v>45441</v>
      </c>
      <c r="C847" s="309">
        <v>45454</v>
      </c>
      <c r="D847" s="185">
        <f t="shared" si="289"/>
        <v>2024</v>
      </c>
      <c r="E847" s="309" t="str">
        <f>VLOOKUP($B847,Week!$A$1:$C$1462,2,0)</f>
        <v>Week22</v>
      </c>
      <c r="F847" s="310" t="str">
        <f t="shared" si="290"/>
        <v>May</v>
      </c>
      <c r="G847" s="579" t="s">
        <v>1297</v>
      </c>
      <c r="H847" s="311" t="s">
        <v>104</v>
      </c>
      <c r="I847" s="311" t="s">
        <v>2772</v>
      </c>
      <c r="J847" s="312" t="s">
        <v>105</v>
      </c>
      <c r="K847" s="313" t="s">
        <v>85</v>
      </c>
      <c r="L847" s="390" t="s">
        <v>2166</v>
      </c>
      <c r="M847" s="312" t="s">
        <v>86</v>
      </c>
      <c r="N847" s="311" t="s">
        <v>421</v>
      </c>
      <c r="O847" s="311" t="s">
        <v>506</v>
      </c>
      <c r="P847" s="314">
        <v>10</v>
      </c>
      <c r="Q847" s="314">
        <v>50</v>
      </c>
      <c r="R847" s="315">
        <v>6.8100000000000001E-3</v>
      </c>
      <c r="S847" s="311" t="s">
        <v>76</v>
      </c>
      <c r="T847" s="311" t="s">
        <v>112</v>
      </c>
      <c r="U847" s="311" t="s">
        <v>89</v>
      </c>
      <c r="V847" s="316">
        <f>400</f>
        <v>400</v>
      </c>
      <c r="W847" s="316">
        <v>400</v>
      </c>
      <c r="X847" s="317"/>
      <c r="Y847" s="318">
        <f t="shared" si="283"/>
        <v>0</v>
      </c>
      <c r="Z847" s="319">
        <f t="shared" si="284"/>
        <v>0</v>
      </c>
      <c r="AA847" s="319">
        <f>Q847*Z847</f>
        <v>0</v>
      </c>
      <c r="AB847" s="815">
        <v>6</v>
      </c>
      <c r="AC847" s="316">
        <f>Z847*AB847</f>
        <v>0</v>
      </c>
      <c r="AD847" s="381"/>
      <c r="AE847" s="210"/>
      <c r="AF847" s="210"/>
      <c r="AG847" s="211">
        <f t="shared" si="285"/>
        <v>0.57999999999999996</v>
      </c>
      <c r="AH847" s="157">
        <f t="shared" si="291"/>
        <v>0</v>
      </c>
      <c r="AI847" s="152">
        <f t="shared" si="287"/>
        <v>4000</v>
      </c>
      <c r="AJ847" s="156">
        <f>AI847*Q847</f>
        <v>200000</v>
      </c>
      <c r="AK847" s="156" t="s">
        <v>691</v>
      </c>
      <c r="AL847" s="156" t="s">
        <v>689</v>
      </c>
      <c r="AM847" s="198">
        <f t="shared" si="288"/>
        <v>0</v>
      </c>
      <c r="AN847" s="199">
        <f t="shared" si="292"/>
        <v>45441</v>
      </c>
      <c r="AO847" s="159" t="s">
        <v>692</v>
      </c>
      <c r="AP847" s="781" t="s">
        <v>423</v>
      </c>
      <c r="AQ847" s="781" t="s">
        <v>422</v>
      </c>
      <c r="AR847" s="782">
        <v>12055234</v>
      </c>
      <c r="AS847" s="781"/>
      <c r="AT847" s="782">
        <v>12069432</v>
      </c>
      <c r="AU847" s="781"/>
      <c r="AV847" s="782">
        <v>12069433</v>
      </c>
      <c r="AW847" s="781"/>
      <c r="AX847" s="781" t="s">
        <v>93</v>
      </c>
      <c r="AY847" s="781"/>
      <c r="AZ847" s="782"/>
      <c r="BA847" s="781"/>
    </row>
    <row r="848" spans="1:53" ht="24.65" hidden="1" customHeight="1">
      <c r="B848" s="466">
        <v>45442</v>
      </c>
      <c r="C848" s="467">
        <v>45454</v>
      </c>
      <c r="D848" s="185">
        <f t="shared" si="289"/>
        <v>2024</v>
      </c>
      <c r="E848" s="467" t="str">
        <f>VLOOKUP($B848,Week!$A$1:$C$1462,2,0)</f>
        <v>Week22</v>
      </c>
      <c r="F848" s="469" t="str">
        <f t="shared" si="290"/>
        <v>May</v>
      </c>
      <c r="G848" s="482" t="s">
        <v>1322</v>
      </c>
      <c r="H848" s="482" t="s">
        <v>104</v>
      </c>
      <c r="I848" s="482" t="s">
        <v>2772</v>
      </c>
      <c r="J848" s="483" t="s">
        <v>105</v>
      </c>
      <c r="K848" s="484" t="s">
        <v>51</v>
      </c>
      <c r="L848" s="300" t="s">
        <v>2167</v>
      </c>
      <c r="M848" s="483" t="s">
        <v>674</v>
      </c>
      <c r="N848" s="482" t="s">
        <v>677</v>
      </c>
      <c r="O848" s="482" t="s">
        <v>501</v>
      </c>
      <c r="P848" s="473">
        <v>36</v>
      </c>
      <c r="Q848" s="473">
        <v>5</v>
      </c>
      <c r="R848" s="474">
        <v>6.0000000000000001E-3</v>
      </c>
      <c r="S848" s="482" t="s">
        <v>55</v>
      </c>
      <c r="T848" s="482" t="s">
        <v>112</v>
      </c>
      <c r="U848" s="482" t="s">
        <v>57</v>
      </c>
      <c r="V848" s="475">
        <f>450</f>
        <v>450</v>
      </c>
      <c r="W848" s="475">
        <f>450</f>
        <v>450</v>
      </c>
      <c r="X848" s="476"/>
      <c r="Y848" s="477">
        <f t="shared" ref="Y848:Y867" si="293">(W848+X848)-V848</f>
        <v>0</v>
      </c>
      <c r="Z848" s="478">
        <f t="shared" ref="Z848:Z867" si="294">IF(Y848&lt;0,((V848*P848)-((W848+X848)*P848)),0)</f>
        <v>0</v>
      </c>
      <c r="AA848" s="478"/>
      <c r="AB848" s="828"/>
      <c r="AC848" s="475"/>
      <c r="AD848" s="486"/>
      <c r="AE848" s="210"/>
      <c r="AF848" s="210"/>
      <c r="AG848" s="211">
        <v>0.14499999999999999</v>
      </c>
      <c r="AH848" s="157">
        <f t="shared" si="291"/>
        <v>0</v>
      </c>
      <c r="AI848" s="152">
        <v>19800</v>
      </c>
      <c r="AK848" s="156" t="s">
        <v>691</v>
      </c>
      <c r="AL848" s="212" t="s">
        <v>690</v>
      </c>
      <c r="AM848" s="198">
        <f t="shared" si="288"/>
        <v>0</v>
      </c>
      <c r="AN848" s="199">
        <f t="shared" si="292"/>
        <v>45442</v>
      </c>
      <c r="AO848" s="159" t="s">
        <v>692</v>
      </c>
      <c r="AP848" s="781"/>
      <c r="AQ848" s="782">
        <v>12071839</v>
      </c>
      <c r="AR848" s="782">
        <v>12047514</v>
      </c>
      <c r="AS848" s="782">
        <v>12047515</v>
      </c>
      <c r="AT848" s="782">
        <v>12085743</v>
      </c>
      <c r="AU848" s="781"/>
      <c r="AV848" s="782">
        <v>12085745</v>
      </c>
      <c r="AW848" s="782">
        <v>12024404</v>
      </c>
      <c r="AX848" s="782"/>
      <c r="AY848" s="782">
        <v>12085746</v>
      </c>
      <c r="AZ848" s="782"/>
      <c r="BA848" s="781"/>
    </row>
    <row r="849" spans="1:53" ht="24.65" hidden="1" customHeight="1">
      <c r="B849" s="466">
        <v>45442</v>
      </c>
      <c r="C849" s="467">
        <v>45454</v>
      </c>
      <c r="D849" s="185">
        <f t="shared" si="289"/>
        <v>2024</v>
      </c>
      <c r="E849" s="467" t="str">
        <f>VLOOKUP($B849,Week!$A$1:$C$1462,2,0)</f>
        <v>Week22</v>
      </c>
      <c r="F849" s="469" t="str">
        <f t="shared" si="290"/>
        <v>May</v>
      </c>
      <c r="G849" s="482" t="s">
        <v>1323</v>
      </c>
      <c r="H849" s="482" t="s">
        <v>104</v>
      </c>
      <c r="I849" s="482" t="s">
        <v>2772</v>
      </c>
      <c r="J849" s="483" t="s">
        <v>105</v>
      </c>
      <c r="K849" s="484" t="s">
        <v>51</v>
      </c>
      <c r="L849" s="300" t="s">
        <v>2167</v>
      </c>
      <c r="M849" s="483" t="s">
        <v>674</v>
      </c>
      <c r="N849" s="482" t="s">
        <v>677</v>
      </c>
      <c r="O849" s="482" t="s">
        <v>501</v>
      </c>
      <c r="P849" s="473">
        <v>36</v>
      </c>
      <c r="Q849" s="473">
        <v>5</v>
      </c>
      <c r="R849" s="474">
        <v>6.0000000000000001E-3</v>
      </c>
      <c r="S849" s="482" t="s">
        <v>55</v>
      </c>
      <c r="T849" s="482" t="s">
        <v>112</v>
      </c>
      <c r="U849" s="482" t="s">
        <v>57</v>
      </c>
      <c r="V849" s="475">
        <f>300</f>
        <v>300</v>
      </c>
      <c r="W849" s="475">
        <f>679-450</f>
        <v>229</v>
      </c>
      <c r="X849" s="476">
        <f>(2556)/36</f>
        <v>71</v>
      </c>
      <c r="Y849" s="477">
        <f t="shared" si="293"/>
        <v>0</v>
      </c>
      <c r="Z849" s="478">
        <f t="shared" si="294"/>
        <v>0</v>
      </c>
      <c r="AA849" s="478"/>
      <c r="AB849" s="828"/>
      <c r="AC849" s="475"/>
      <c r="AD849" s="486"/>
      <c r="AE849" s="210"/>
      <c r="AF849" s="210"/>
      <c r="AG849" s="211">
        <v>0.14499999999999999</v>
      </c>
      <c r="AH849" s="157">
        <f t="shared" si="291"/>
        <v>0</v>
      </c>
      <c r="AI849" s="152">
        <v>19800</v>
      </c>
      <c r="AK849" s="156" t="s">
        <v>691</v>
      </c>
      <c r="AL849" s="212" t="s">
        <v>690</v>
      </c>
      <c r="AM849" s="198">
        <f t="shared" si="288"/>
        <v>0</v>
      </c>
      <c r="AN849" s="199">
        <f t="shared" si="292"/>
        <v>45442</v>
      </c>
      <c r="AO849" s="159" t="s">
        <v>692</v>
      </c>
      <c r="AP849" s="781"/>
      <c r="AQ849" s="782">
        <v>12071839</v>
      </c>
      <c r="AR849" s="782">
        <v>12047514</v>
      </c>
      <c r="AS849" s="782">
        <v>12047515</v>
      </c>
      <c r="AT849" s="782">
        <v>12085743</v>
      </c>
      <c r="AU849" s="781"/>
      <c r="AV849" s="782">
        <v>12085745</v>
      </c>
      <c r="AW849" s="782">
        <v>12024404</v>
      </c>
      <c r="AX849" s="782"/>
      <c r="AY849" s="782">
        <v>12085746</v>
      </c>
      <c r="AZ849" s="782"/>
      <c r="BA849" s="781"/>
    </row>
    <row r="850" spans="1:53" ht="24.65" hidden="1" customHeight="1">
      <c r="A850" s="598"/>
      <c r="B850" s="283">
        <v>45442</v>
      </c>
      <c r="C850" s="284">
        <v>45460</v>
      </c>
      <c r="D850" s="185">
        <f t="shared" si="289"/>
        <v>2024</v>
      </c>
      <c r="E850" s="284" t="str">
        <f>VLOOKUP($B850,Week!$A$1:$C$1462,2,0)</f>
        <v>Week22</v>
      </c>
      <c r="F850" s="285" t="str">
        <f t="shared" si="290"/>
        <v>May</v>
      </c>
      <c r="G850" s="626" t="s">
        <v>1251</v>
      </c>
      <c r="H850" s="624" t="s">
        <v>104</v>
      </c>
      <c r="I850" s="624" t="s">
        <v>2772</v>
      </c>
      <c r="J850" s="625" t="s">
        <v>105</v>
      </c>
      <c r="K850" s="288" t="s">
        <v>51</v>
      </c>
      <c r="L850" s="300" t="s">
        <v>2167</v>
      </c>
      <c r="M850" s="287" t="s">
        <v>595</v>
      </c>
      <c r="N850" s="286" t="s">
        <v>597</v>
      </c>
      <c r="O850" s="286" t="s">
        <v>187</v>
      </c>
      <c r="P850" s="289">
        <v>8</v>
      </c>
      <c r="Q850" s="289">
        <v>5</v>
      </c>
      <c r="R850" s="290">
        <v>6.0000000000000001E-3</v>
      </c>
      <c r="S850" s="286" t="s">
        <v>55</v>
      </c>
      <c r="T850" s="286" t="s">
        <v>112</v>
      </c>
      <c r="U850" s="286" t="s">
        <v>57</v>
      </c>
      <c r="V850" s="291">
        <f>1400</f>
        <v>1400</v>
      </c>
      <c r="W850" s="291"/>
      <c r="X850" s="292">
        <f>(1883+9317)/8</f>
        <v>1400</v>
      </c>
      <c r="Y850" s="293">
        <f t="shared" si="293"/>
        <v>0</v>
      </c>
      <c r="Z850" s="294">
        <f t="shared" si="294"/>
        <v>0</v>
      </c>
      <c r="AA850" s="294"/>
      <c r="AB850" s="813"/>
      <c r="AC850" s="291"/>
      <c r="AD850" s="486"/>
      <c r="AE850" s="210"/>
      <c r="AF850" s="210"/>
      <c r="AG850" s="211">
        <v>0.14499999999999999</v>
      </c>
      <c r="AH850" s="157">
        <f t="shared" si="291"/>
        <v>0</v>
      </c>
      <c r="AI850" s="152">
        <v>19800</v>
      </c>
      <c r="AK850" s="156" t="s">
        <v>691</v>
      </c>
      <c r="AL850" s="212" t="s">
        <v>690</v>
      </c>
      <c r="AM850" s="198">
        <f t="shared" si="288"/>
        <v>0</v>
      </c>
      <c r="AN850" s="199">
        <f t="shared" si="292"/>
        <v>45442</v>
      </c>
      <c r="AO850" s="159" t="s">
        <v>692</v>
      </c>
      <c r="AP850" s="781"/>
      <c r="AQ850" s="782">
        <v>12071839</v>
      </c>
      <c r="AR850" s="782">
        <v>12047514</v>
      </c>
      <c r="AS850" s="782">
        <v>12047515</v>
      </c>
      <c r="AT850" s="782">
        <v>12083107</v>
      </c>
      <c r="AU850" s="781"/>
      <c r="AV850" s="782">
        <v>12084002</v>
      </c>
      <c r="AW850" s="782"/>
      <c r="AX850" s="782"/>
      <c r="AY850" s="782"/>
      <c r="AZ850" s="782"/>
      <c r="BA850" s="781"/>
    </row>
    <row r="851" spans="1:53" ht="24.65" hidden="1" customHeight="1">
      <c r="B851" s="224">
        <v>45442</v>
      </c>
      <c r="C851" s="224">
        <v>45468</v>
      </c>
      <c r="D851" s="185">
        <f t="shared" si="289"/>
        <v>2024</v>
      </c>
      <c r="E851" s="225" t="str">
        <f>VLOOKUP($B851,Week!$A$1:$C$1462,2,0)</f>
        <v>Week22</v>
      </c>
      <c r="F851" s="226" t="str">
        <f t="shared" si="290"/>
        <v>May</v>
      </c>
      <c r="G851" s="225" t="s">
        <v>1325</v>
      </c>
      <c r="H851" s="225" t="s">
        <v>392</v>
      </c>
      <c r="I851" s="225" t="s">
        <v>2772</v>
      </c>
      <c r="J851" s="227" t="s">
        <v>393</v>
      </c>
      <c r="K851" s="228" t="s">
        <v>176</v>
      </c>
      <c r="L851" s="300" t="s">
        <v>2167</v>
      </c>
      <c r="M851" s="228" t="s">
        <v>399</v>
      </c>
      <c r="N851" s="225" t="s">
        <v>400</v>
      </c>
      <c r="O851" s="225" t="s">
        <v>195</v>
      </c>
      <c r="P851" s="229">
        <v>24</v>
      </c>
      <c r="Q851" s="229">
        <v>5</v>
      </c>
      <c r="R851" s="230">
        <v>8.0000000000000002E-3</v>
      </c>
      <c r="S851" s="225" t="s">
        <v>40</v>
      </c>
      <c r="T851" s="225" t="s">
        <v>56</v>
      </c>
      <c r="U851" s="225" t="s">
        <v>57</v>
      </c>
      <c r="V851" s="231">
        <v>900</v>
      </c>
      <c r="W851" s="231">
        <f>900</f>
        <v>900</v>
      </c>
      <c r="X851" s="232"/>
      <c r="Y851" s="233">
        <f t="shared" si="293"/>
        <v>0</v>
      </c>
      <c r="Z851" s="234">
        <f t="shared" si="294"/>
        <v>0</v>
      </c>
      <c r="AA851" s="234"/>
      <c r="AB851" s="808"/>
      <c r="AC851" s="231"/>
      <c r="AD851" s="220">
        <v>30000</v>
      </c>
      <c r="AE851" s="210"/>
      <c r="AF851" s="210"/>
      <c r="AG851" s="211">
        <f t="shared" ref="AG851:AG867" si="295">MID(O851,1,3)/1000</f>
        <v>0.14499999999999999</v>
      </c>
      <c r="AH851" s="157">
        <f t="shared" si="291"/>
        <v>0</v>
      </c>
      <c r="AI851" s="152">
        <f t="shared" ref="AI851:AI867" si="296">V851*P851</f>
        <v>21600</v>
      </c>
      <c r="AK851" s="156" t="s">
        <v>691</v>
      </c>
      <c r="AL851" s="574" t="s">
        <v>690</v>
      </c>
      <c r="AM851" s="198">
        <f t="shared" si="288"/>
        <v>0</v>
      </c>
      <c r="AN851" s="199">
        <f t="shared" si="292"/>
        <v>45442</v>
      </c>
      <c r="AO851" s="159" t="s">
        <v>692</v>
      </c>
      <c r="AP851" s="783" t="s">
        <v>638</v>
      </c>
      <c r="AQ851" s="783" t="s">
        <v>631</v>
      </c>
      <c r="AR851" s="783" t="s">
        <v>632</v>
      </c>
      <c r="AS851" s="783" t="s">
        <v>633</v>
      </c>
      <c r="AT851" s="781"/>
      <c r="AU851" s="783" t="s">
        <v>626</v>
      </c>
      <c r="AV851" s="783" t="s">
        <v>630</v>
      </c>
      <c r="AW851" s="783" t="s">
        <v>634</v>
      </c>
      <c r="AX851" s="781"/>
      <c r="AY851" s="783" t="s">
        <v>635</v>
      </c>
      <c r="AZ851" s="783" t="s">
        <v>636</v>
      </c>
      <c r="BA851" s="783" t="s">
        <v>637</v>
      </c>
    </row>
    <row r="852" spans="1:53" ht="26.25" hidden="1" customHeight="1">
      <c r="B852" s="235">
        <v>45442</v>
      </c>
      <c r="C852" s="235">
        <v>45468</v>
      </c>
      <c r="D852" s="185">
        <f t="shared" si="289"/>
        <v>2024</v>
      </c>
      <c r="E852" s="236" t="str">
        <f>VLOOKUP($B852,Week!$A$1:$C$1462,2,0)</f>
        <v>Week22</v>
      </c>
      <c r="F852" s="237" t="str">
        <f t="shared" si="290"/>
        <v>May</v>
      </c>
      <c r="G852" s="236" t="s">
        <v>1325</v>
      </c>
      <c r="H852" s="236" t="s">
        <v>392</v>
      </c>
      <c r="I852" s="236" t="s">
        <v>2772</v>
      </c>
      <c r="J852" s="238" t="s">
        <v>393</v>
      </c>
      <c r="K852" s="239" t="s">
        <v>1643</v>
      </c>
      <c r="L852" s="300" t="s">
        <v>2167</v>
      </c>
      <c r="M852" s="238" t="s">
        <v>406</v>
      </c>
      <c r="N852" s="236" t="s">
        <v>407</v>
      </c>
      <c r="O852" s="236" t="s">
        <v>206</v>
      </c>
      <c r="P852" s="240">
        <v>24</v>
      </c>
      <c r="Q852" s="240">
        <v>5</v>
      </c>
      <c r="R852" s="241">
        <v>8.0000000000000002E-3</v>
      </c>
      <c r="S852" s="236" t="s">
        <v>40</v>
      </c>
      <c r="T852" s="236" t="s">
        <v>56</v>
      </c>
      <c r="U852" s="236" t="s">
        <v>499</v>
      </c>
      <c r="V852" s="242">
        <f>850</f>
        <v>850</v>
      </c>
      <c r="W852" s="242">
        <f>11+839</f>
        <v>850</v>
      </c>
      <c r="X852" s="243"/>
      <c r="Y852" s="244">
        <f t="shared" si="293"/>
        <v>0</v>
      </c>
      <c r="Z852" s="245">
        <f t="shared" si="294"/>
        <v>0</v>
      </c>
      <c r="AA852" s="245"/>
      <c r="AB852" s="809">
        <v>1</v>
      </c>
      <c r="AC852" s="242">
        <f>Z852*AB852</f>
        <v>0</v>
      </c>
      <c r="AD852" s="209"/>
      <c r="AE852" s="210"/>
      <c r="AF852" s="210"/>
      <c r="AG852" s="211">
        <f t="shared" si="295"/>
        <v>0.115</v>
      </c>
      <c r="AH852" s="157">
        <f t="shared" si="291"/>
        <v>0</v>
      </c>
      <c r="AI852" s="152">
        <f t="shared" si="296"/>
        <v>20400</v>
      </c>
      <c r="AK852" s="156" t="s">
        <v>691</v>
      </c>
      <c r="AL852" s="574" t="s">
        <v>690</v>
      </c>
      <c r="AM852" s="198">
        <f t="shared" si="288"/>
        <v>0</v>
      </c>
      <c r="AN852" s="199">
        <f t="shared" si="292"/>
        <v>45442</v>
      </c>
      <c r="AO852" s="159" t="s">
        <v>692</v>
      </c>
      <c r="AP852" s="783" t="s">
        <v>608</v>
      </c>
      <c r="AQ852" s="782">
        <v>12071839</v>
      </c>
      <c r="AR852" s="782">
        <v>12047514</v>
      </c>
      <c r="AS852" s="782">
        <v>12047515</v>
      </c>
      <c r="AT852" s="781"/>
      <c r="AU852" s="782">
        <v>12026902</v>
      </c>
      <c r="AV852" s="782">
        <v>12081781</v>
      </c>
      <c r="AW852" s="782">
        <v>12026904</v>
      </c>
      <c r="AX852" s="781"/>
      <c r="AY852" s="783" t="s">
        <v>625</v>
      </c>
      <c r="AZ852" s="783" t="s">
        <v>624</v>
      </c>
      <c r="BA852" s="783" t="s">
        <v>624</v>
      </c>
    </row>
    <row r="853" spans="1:53" ht="24.65" hidden="1" customHeight="1">
      <c r="B853" s="411">
        <v>45442</v>
      </c>
      <c r="C853" s="412"/>
      <c r="D853" s="185">
        <f t="shared" si="289"/>
        <v>2024</v>
      </c>
      <c r="E853" s="412" t="str">
        <f>VLOOKUP($B853,Week!$A$1:$C$1462,2,0)</f>
        <v>Week22</v>
      </c>
      <c r="F853" s="413" t="str">
        <f t="shared" si="290"/>
        <v>May</v>
      </c>
      <c r="G853" s="414" t="s">
        <v>47</v>
      </c>
      <c r="H853" s="414" t="s">
        <v>260</v>
      </c>
      <c r="I853" s="298" t="s">
        <v>2702</v>
      </c>
      <c r="J853" s="415" t="s">
        <v>261</v>
      </c>
      <c r="K853" s="416" t="s">
        <v>94</v>
      </c>
      <c r="L853" s="300" t="s">
        <v>2167</v>
      </c>
      <c r="M853" s="415" t="s">
        <v>1303</v>
      </c>
      <c r="N853" s="414" t="s">
        <v>263</v>
      </c>
      <c r="O853" s="414" t="s">
        <v>195</v>
      </c>
      <c r="P853" s="417">
        <v>24</v>
      </c>
      <c r="Q853" s="417">
        <v>5</v>
      </c>
      <c r="R853" s="418">
        <v>8.0000000000000002E-3</v>
      </c>
      <c r="S853" s="414" t="s">
        <v>40</v>
      </c>
      <c r="T853" s="414" t="s">
        <v>56</v>
      </c>
      <c r="U853" s="414" t="s">
        <v>57</v>
      </c>
      <c r="V853" s="419">
        <v>2649</v>
      </c>
      <c r="W853" s="419">
        <f>2649</f>
        <v>2649</v>
      </c>
      <c r="X853" s="420"/>
      <c r="Y853" s="421">
        <f t="shared" si="293"/>
        <v>0</v>
      </c>
      <c r="Z853" s="422">
        <f t="shared" si="294"/>
        <v>0</v>
      </c>
      <c r="AA853" s="422"/>
      <c r="AB853" s="825"/>
      <c r="AC853" s="419"/>
      <c r="AD853" s="209"/>
      <c r="AE853" s="210"/>
      <c r="AF853" s="210"/>
      <c r="AG853" s="211">
        <f t="shared" si="295"/>
        <v>0.14499999999999999</v>
      </c>
      <c r="AH853" s="157">
        <f t="shared" si="291"/>
        <v>0</v>
      </c>
      <c r="AI853" s="152">
        <f t="shared" si="296"/>
        <v>63576</v>
      </c>
      <c r="AK853" s="156" t="s">
        <v>691</v>
      </c>
      <c r="AL853" s="212" t="s">
        <v>690</v>
      </c>
      <c r="AM853" s="198">
        <f t="shared" si="288"/>
        <v>0</v>
      </c>
      <c r="AN853" s="199">
        <f t="shared" si="292"/>
        <v>45442</v>
      </c>
      <c r="AO853" s="159" t="s">
        <v>692</v>
      </c>
      <c r="AP853" s="783" t="s">
        <v>609</v>
      </c>
      <c r="AQ853" s="782">
        <v>12071839</v>
      </c>
      <c r="AR853" s="782">
        <v>12047514</v>
      </c>
      <c r="AS853" s="782">
        <v>12047515</v>
      </c>
      <c r="AT853" s="781"/>
      <c r="AU853" s="781"/>
      <c r="AV853" s="782">
        <v>12080613</v>
      </c>
      <c r="AW853" s="781"/>
      <c r="AX853" s="781"/>
      <c r="AY853" s="782">
        <v>12080614</v>
      </c>
      <c r="AZ853" s="782">
        <v>12080616</v>
      </c>
      <c r="BA853" s="781"/>
    </row>
    <row r="854" spans="1:53" ht="25" hidden="1" customHeight="1">
      <c r="A854" s="142" t="s">
        <v>120</v>
      </c>
      <c r="B854" s="546">
        <v>45442</v>
      </c>
      <c r="C854" s="547">
        <v>45467</v>
      </c>
      <c r="D854" s="185">
        <f t="shared" si="289"/>
        <v>2024</v>
      </c>
      <c r="E854" s="547" t="str">
        <f>VLOOKUP($B854,Week!$A$1:$C$1462,2,0)</f>
        <v>Week22</v>
      </c>
      <c r="F854" s="548" t="str">
        <f t="shared" si="290"/>
        <v>May</v>
      </c>
      <c r="G854" s="549" t="s">
        <v>1369</v>
      </c>
      <c r="H854" s="549" t="s">
        <v>431</v>
      </c>
      <c r="I854" s="549" t="s">
        <v>2772</v>
      </c>
      <c r="J854" s="550" t="s">
        <v>432</v>
      </c>
      <c r="K854" s="551" t="s">
        <v>85</v>
      </c>
      <c r="L854" s="390" t="s">
        <v>2166</v>
      </c>
      <c r="M854" s="550" t="s">
        <v>86</v>
      </c>
      <c r="N854" s="549" t="s">
        <v>550</v>
      </c>
      <c r="O854" s="549" t="s">
        <v>548</v>
      </c>
      <c r="P854" s="552">
        <v>10</v>
      </c>
      <c r="Q854" s="552">
        <v>50</v>
      </c>
      <c r="R854" s="553">
        <v>8.1300000000000001E-3</v>
      </c>
      <c r="S854" s="549" t="s">
        <v>40</v>
      </c>
      <c r="T854" s="549" t="s">
        <v>112</v>
      </c>
      <c r="U854" s="549" t="s">
        <v>89</v>
      </c>
      <c r="V854" s="554">
        <v>300</v>
      </c>
      <c r="W854" s="554">
        <f>296+4</f>
        <v>300</v>
      </c>
      <c r="X854" s="555"/>
      <c r="Y854" s="556">
        <f t="shared" si="293"/>
        <v>0</v>
      </c>
      <c r="Z854" s="557">
        <f t="shared" si="294"/>
        <v>0</v>
      </c>
      <c r="AA854" s="557">
        <f>Q854*Z854</f>
        <v>0</v>
      </c>
      <c r="AB854" s="833">
        <v>6</v>
      </c>
      <c r="AC854" s="554">
        <f>Z854*AB854</f>
        <v>0</v>
      </c>
      <c r="AD854" s="209"/>
      <c r="AE854" s="210"/>
      <c r="AF854" s="210"/>
      <c r="AG854" s="211">
        <f t="shared" si="295"/>
        <v>0.63</v>
      </c>
      <c r="AH854" s="157">
        <f t="shared" si="291"/>
        <v>0</v>
      </c>
      <c r="AI854" s="152">
        <f t="shared" si="296"/>
        <v>3000</v>
      </c>
      <c r="AK854" s="156" t="s">
        <v>691</v>
      </c>
      <c r="AL854" s="156" t="s">
        <v>689</v>
      </c>
      <c r="AM854" s="198">
        <f t="shared" si="288"/>
        <v>0</v>
      </c>
      <c r="AN854" s="199">
        <f t="shared" si="292"/>
        <v>45442</v>
      </c>
      <c r="AO854" s="159" t="s">
        <v>692</v>
      </c>
      <c r="AP854" s="783" t="s">
        <v>618</v>
      </c>
      <c r="AQ854" s="782" t="s">
        <v>549</v>
      </c>
      <c r="AR854" s="796" t="s">
        <v>529</v>
      </c>
      <c r="AS854" s="782"/>
      <c r="AT854" s="796" t="s">
        <v>551</v>
      </c>
      <c r="AU854" s="781"/>
      <c r="AV854" s="796" t="s">
        <v>552</v>
      </c>
      <c r="AW854" s="782"/>
      <c r="AX854" s="782" t="s">
        <v>93</v>
      </c>
      <c r="AY854" s="782"/>
      <c r="AZ854" s="782"/>
      <c r="BA854" s="781"/>
    </row>
    <row r="855" spans="1:53" ht="25" hidden="1" customHeight="1">
      <c r="A855" s="142" t="s">
        <v>120</v>
      </c>
      <c r="B855" s="466">
        <v>45442</v>
      </c>
      <c r="C855" s="467">
        <v>45456</v>
      </c>
      <c r="D855" s="185">
        <f t="shared" si="289"/>
        <v>2024</v>
      </c>
      <c r="E855" s="468" t="str">
        <f>VLOOKUP($B855,Week!$A$1:$C$1462,2,0)</f>
        <v>Week22</v>
      </c>
      <c r="F855" s="469" t="str">
        <f t="shared" si="290"/>
        <v>May</v>
      </c>
      <c r="G855" s="470" t="s">
        <v>1324</v>
      </c>
      <c r="H855" s="468" t="s">
        <v>82</v>
      </c>
      <c r="I855" s="468" t="s">
        <v>82</v>
      </c>
      <c r="J855" s="471" t="s">
        <v>720</v>
      </c>
      <c r="K855" s="472" t="s">
        <v>85</v>
      </c>
      <c r="L855" s="390" t="s">
        <v>2166</v>
      </c>
      <c r="M855" s="471" t="s">
        <v>579</v>
      </c>
      <c r="N855" s="468" t="s">
        <v>580</v>
      </c>
      <c r="O855" s="468" t="s">
        <v>581</v>
      </c>
      <c r="P855" s="473">
        <v>8</v>
      </c>
      <c r="Q855" s="473">
        <v>60</v>
      </c>
      <c r="R855" s="474">
        <v>6.8100000000000001E-3</v>
      </c>
      <c r="S855" s="468" t="s">
        <v>76</v>
      </c>
      <c r="T855" s="468" t="s">
        <v>56</v>
      </c>
      <c r="U855" s="468" t="s">
        <v>89</v>
      </c>
      <c r="V855" s="475">
        <v>288</v>
      </c>
      <c r="W855" s="475">
        <f>288</f>
        <v>288</v>
      </c>
      <c r="X855" s="476"/>
      <c r="Y855" s="477">
        <f t="shared" si="293"/>
        <v>0</v>
      </c>
      <c r="Z855" s="478">
        <f t="shared" si="294"/>
        <v>0</v>
      </c>
      <c r="AA855" s="478">
        <f>Q855*Z855</f>
        <v>0</v>
      </c>
      <c r="AB855" s="828">
        <v>6</v>
      </c>
      <c r="AC855" s="475">
        <f>Z855*AB855</f>
        <v>0</v>
      </c>
      <c r="AD855" s="209"/>
      <c r="AE855" s="210"/>
      <c r="AF855" s="210"/>
      <c r="AG855" s="211">
        <f t="shared" si="295"/>
        <v>0.75</v>
      </c>
      <c r="AH855" s="157">
        <f t="shared" si="291"/>
        <v>0</v>
      </c>
      <c r="AI855" s="152">
        <f t="shared" si="296"/>
        <v>2304</v>
      </c>
      <c r="AK855" s="156" t="s">
        <v>691</v>
      </c>
      <c r="AL855" s="156" t="s">
        <v>689</v>
      </c>
      <c r="AM855" s="198">
        <f t="shared" si="288"/>
        <v>0</v>
      </c>
      <c r="AN855" s="199">
        <f t="shared" si="292"/>
        <v>45442</v>
      </c>
      <c r="AO855" s="159" t="s">
        <v>692</v>
      </c>
      <c r="AP855" s="783" t="s">
        <v>622</v>
      </c>
      <c r="AQ855" s="782">
        <v>12004862</v>
      </c>
      <c r="AR855" s="782">
        <v>12080753</v>
      </c>
      <c r="AS855" s="782"/>
      <c r="AT855" s="782">
        <v>12082897</v>
      </c>
      <c r="AU855" s="781"/>
      <c r="AV855" s="782">
        <v>12082898</v>
      </c>
      <c r="AW855" s="782">
        <v>12082899</v>
      </c>
      <c r="AX855" s="796" t="s">
        <v>621</v>
      </c>
      <c r="AY855" s="782"/>
      <c r="AZ855" s="782"/>
      <c r="BA855" s="781"/>
    </row>
    <row r="856" spans="1:53" ht="25" hidden="1" customHeight="1">
      <c r="B856" s="517">
        <v>45443</v>
      </c>
      <c r="C856" s="532">
        <v>45449</v>
      </c>
      <c r="D856" s="185">
        <f t="shared" si="289"/>
        <v>2024</v>
      </c>
      <c r="E856" s="518" t="str">
        <f>VLOOKUP($B856,Week!$A$1:$C$1462,2,0)</f>
        <v>Week22</v>
      </c>
      <c r="F856" s="520" t="str">
        <f t="shared" si="290"/>
        <v>May</v>
      </c>
      <c r="G856" s="519" t="s">
        <v>1428</v>
      </c>
      <c r="H856" s="519" t="s">
        <v>363</v>
      </c>
      <c r="I856" s="519" t="s">
        <v>2772</v>
      </c>
      <c r="J856" s="521" t="s">
        <v>364</v>
      </c>
      <c r="K856" s="522" t="s">
        <v>1643</v>
      </c>
      <c r="L856" s="300" t="s">
        <v>2167</v>
      </c>
      <c r="M856" s="521" t="s">
        <v>1421</v>
      </c>
      <c r="N856" s="519" t="s">
        <v>1422</v>
      </c>
      <c r="O856" s="519" t="s">
        <v>743</v>
      </c>
      <c r="P856" s="523">
        <v>36</v>
      </c>
      <c r="Q856" s="523">
        <v>5</v>
      </c>
      <c r="R856" s="524">
        <v>7.4999999999999997E-3</v>
      </c>
      <c r="S856" s="519" t="s">
        <v>40</v>
      </c>
      <c r="T856" s="519" t="s">
        <v>112</v>
      </c>
      <c r="U856" s="634" t="s">
        <v>721</v>
      </c>
      <c r="V856" s="525">
        <f>10</f>
        <v>10</v>
      </c>
      <c r="W856" s="525">
        <v>10</v>
      </c>
      <c r="X856" s="526"/>
      <c r="Y856" s="527">
        <f t="shared" si="293"/>
        <v>0</v>
      </c>
      <c r="Z856" s="528">
        <f t="shared" si="294"/>
        <v>0</v>
      </c>
      <c r="AA856" s="528"/>
      <c r="AB856" s="831"/>
      <c r="AC856" s="525"/>
      <c r="AD856" s="307" t="s">
        <v>672</v>
      </c>
      <c r="AE856" s="210"/>
      <c r="AF856" s="210"/>
      <c r="AG856" s="211">
        <f t="shared" si="295"/>
        <v>0.14699999999999999</v>
      </c>
      <c r="AH856" s="157">
        <f t="shared" si="291"/>
        <v>0</v>
      </c>
      <c r="AI856" s="152">
        <f t="shared" si="296"/>
        <v>360</v>
      </c>
      <c r="AK856" s="156" t="s">
        <v>691</v>
      </c>
      <c r="AL856" s="574" t="s">
        <v>690</v>
      </c>
      <c r="AM856" s="198">
        <f t="shared" si="288"/>
        <v>0</v>
      </c>
      <c r="AN856" s="199">
        <f t="shared" si="292"/>
        <v>45443</v>
      </c>
      <c r="AO856" s="159" t="s">
        <v>692</v>
      </c>
      <c r="AP856" s="783" t="s">
        <v>639</v>
      </c>
      <c r="AQ856" s="782">
        <v>12071839</v>
      </c>
      <c r="AR856" s="782">
        <v>12047514</v>
      </c>
      <c r="AS856" s="782">
        <v>12047515</v>
      </c>
      <c r="AT856" s="782">
        <v>12091753</v>
      </c>
      <c r="AU856" s="781"/>
      <c r="AV856" s="782">
        <v>12091754</v>
      </c>
      <c r="AW856" s="782"/>
      <c r="AX856" s="781"/>
      <c r="AY856" s="782">
        <v>12091752</v>
      </c>
      <c r="AZ856" s="781"/>
      <c r="BA856" s="781"/>
    </row>
    <row r="857" spans="1:53" ht="25" hidden="1" customHeight="1">
      <c r="B857" s="619">
        <v>45443</v>
      </c>
      <c r="C857" s="466">
        <v>45449</v>
      </c>
      <c r="D857" s="185">
        <f t="shared" si="289"/>
        <v>2024</v>
      </c>
      <c r="E857" s="467" t="str">
        <f>VLOOKUP($B857,Week!$A$1:$C$1462,2,0)</f>
        <v>Week22</v>
      </c>
      <c r="F857" s="469" t="str">
        <f t="shared" si="290"/>
        <v>May</v>
      </c>
      <c r="G857" s="468" t="s">
        <v>1459</v>
      </c>
      <c r="H857" s="468" t="s">
        <v>225</v>
      </c>
      <c r="I857" s="468" t="s">
        <v>2773</v>
      </c>
      <c r="J857" s="471" t="s">
        <v>335</v>
      </c>
      <c r="K857" s="472" t="s">
        <v>1643</v>
      </c>
      <c r="L857" s="300" t="s">
        <v>2167</v>
      </c>
      <c r="M857" s="471" t="s">
        <v>336</v>
      </c>
      <c r="N857" s="468" t="s">
        <v>748</v>
      </c>
      <c r="O857" s="468" t="s">
        <v>743</v>
      </c>
      <c r="P857" s="473">
        <v>36</v>
      </c>
      <c r="Q857" s="473">
        <v>5</v>
      </c>
      <c r="R857" s="474">
        <v>7.4999999999999997E-3</v>
      </c>
      <c r="S857" s="468" t="s">
        <v>40</v>
      </c>
      <c r="T857" s="468" t="s">
        <v>112</v>
      </c>
      <c r="U857" s="620" t="s">
        <v>721</v>
      </c>
      <c r="V857" s="475">
        <v>1288</v>
      </c>
      <c r="W857" s="475">
        <v>1288</v>
      </c>
      <c r="X857" s="476"/>
      <c r="Y857" s="477">
        <f t="shared" si="293"/>
        <v>0</v>
      </c>
      <c r="Z857" s="478">
        <f t="shared" si="294"/>
        <v>0</v>
      </c>
      <c r="AA857" s="478"/>
      <c r="AB857" s="828"/>
      <c r="AC857" s="475"/>
      <c r="AD857" s="515"/>
      <c r="AE857" s="210"/>
      <c r="AF857" s="210"/>
      <c r="AG857" s="211">
        <f t="shared" si="295"/>
        <v>0.14699999999999999</v>
      </c>
      <c r="AH857" s="157">
        <f t="shared" si="291"/>
        <v>0</v>
      </c>
      <c r="AI857" s="152">
        <f t="shared" si="296"/>
        <v>46368</v>
      </c>
      <c r="AK857" s="156" t="s">
        <v>691</v>
      </c>
      <c r="AL857" s="574" t="s">
        <v>690</v>
      </c>
      <c r="AM857" s="198">
        <f t="shared" si="288"/>
        <v>0</v>
      </c>
      <c r="AN857" s="199">
        <f t="shared" si="292"/>
        <v>45443</v>
      </c>
      <c r="AO857" s="159" t="s">
        <v>692</v>
      </c>
      <c r="AP857" s="783" t="s">
        <v>639</v>
      </c>
      <c r="AQ857" s="782">
        <v>12071839</v>
      </c>
      <c r="AR857" s="782">
        <v>12047514</v>
      </c>
      <c r="AS857" s="782">
        <v>12047515</v>
      </c>
      <c r="AT857" s="782">
        <v>12089769</v>
      </c>
      <c r="AU857" s="781"/>
      <c r="AV857" s="782">
        <v>12089766</v>
      </c>
      <c r="AW857" s="782">
        <v>12024404</v>
      </c>
      <c r="AX857" s="781"/>
      <c r="AY857" s="782">
        <v>12089770</v>
      </c>
      <c r="AZ857" s="781"/>
      <c r="BA857" s="781"/>
    </row>
    <row r="858" spans="1:53" ht="25" hidden="1" customHeight="1">
      <c r="B858" s="619">
        <v>45443</v>
      </c>
      <c r="C858" s="466">
        <v>45449</v>
      </c>
      <c r="D858" s="185">
        <f t="shared" si="289"/>
        <v>2024</v>
      </c>
      <c r="E858" s="467" t="str">
        <f>VLOOKUP($B858,Week!$A$1:$C$1462,2,0)</f>
        <v>Week22</v>
      </c>
      <c r="F858" s="469" t="str">
        <f t="shared" si="290"/>
        <v>May</v>
      </c>
      <c r="G858" s="468" t="s">
        <v>1460</v>
      </c>
      <c r="H858" s="468" t="s">
        <v>225</v>
      </c>
      <c r="I858" s="468" t="s">
        <v>2773</v>
      </c>
      <c r="J858" s="471" t="s">
        <v>335</v>
      </c>
      <c r="K858" s="472" t="s">
        <v>1643</v>
      </c>
      <c r="L858" s="300" t="s">
        <v>2167</v>
      </c>
      <c r="M858" s="471" t="s">
        <v>336</v>
      </c>
      <c r="N858" s="468" t="s">
        <v>748</v>
      </c>
      <c r="O858" s="468" t="s">
        <v>743</v>
      </c>
      <c r="P858" s="473">
        <v>36</v>
      </c>
      <c r="Q858" s="473">
        <v>5</v>
      </c>
      <c r="R858" s="474">
        <v>7.4999999999999997E-3</v>
      </c>
      <c r="S858" s="468" t="s">
        <v>40</v>
      </c>
      <c r="T858" s="468" t="s">
        <v>112</v>
      </c>
      <c r="U858" s="620" t="s">
        <v>721</v>
      </c>
      <c r="V858" s="475">
        <v>1288</v>
      </c>
      <c r="W858" s="475">
        <v>1288</v>
      </c>
      <c r="X858" s="476"/>
      <c r="Y858" s="477">
        <f t="shared" si="293"/>
        <v>0</v>
      </c>
      <c r="Z858" s="478">
        <f t="shared" si="294"/>
        <v>0</v>
      </c>
      <c r="AA858" s="478"/>
      <c r="AB858" s="828"/>
      <c r="AC858" s="475"/>
      <c r="AD858" s="515"/>
      <c r="AE858" s="210"/>
      <c r="AF858" s="210"/>
      <c r="AG858" s="211">
        <f t="shared" si="295"/>
        <v>0.14699999999999999</v>
      </c>
      <c r="AH858" s="157">
        <f t="shared" si="291"/>
        <v>0</v>
      </c>
      <c r="AI858" s="152">
        <f t="shared" si="296"/>
        <v>46368</v>
      </c>
      <c r="AK858" s="156" t="s">
        <v>691</v>
      </c>
      <c r="AL858" s="574" t="s">
        <v>690</v>
      </c>
      <c r="AM858" s="198">
        <f t="shared" si="288"/>
        <v>0</v>
      </c>
      <c r="AN858" s="199">
        <f t="shared" si="292"/>
        <v>45443</v>
      </c>
      <c r="AO858" s="159" t="s">
        <v>692</v>
      </c>
      <c r="AP858" s="783" t="s">
        <v>639</v>
      </c>
      <c r="AQ858" s="782">
        <v>12071839</v>
      </c>
      <c r="AR858" s="782">
        <v>12047514</v>
      </c>
      <c r="AS858" s="782">
        <v>12047515</v>
      </c>
      <c r="AT858" s="782">
        <v>12089769</v>
      </c>
      <c r="AU858" s="781"/>
      <c r="AV858" s="782">
        <v>12089766</v>
      </c>
      <c r="AW858" s="782">
        <v>12024404</v>
      </c>
      <c r="AX858" s="781"/>
      <c r="AY858" s="782">
        <v>12089770</v>
      </c>
      <c r="AZ858" s="781"/>
      <c r="BA858" s="781"/>
    </row>
    <row r="859" spans="1:53" ht="25" hidden="1" customHeight="1">
      <c r="B859" s="619">
        <v>45443</v>
      </c>
      <c r="C859" s="466">
        <v>45449</v>
      </c>
      <c r="D859" s="185">
        <f t="shared" si="289"/>
        <v>2024</v>
      </c>
      <c r="E859" s="467" t="str">
        <f>VLOOKUP($B859,Week!$A$1:$C$1462,2,0)</f>
        <v>Week22</v>
      </c>
      <c r="F859" s="469" t="str">
        <f t="shared" si="290"/>
        <v>May</v>
      </c>
      <c r="G859" s="468" t="s">
        <v>1461</v>
      </c>
      <c r="H859" s="468" t="s">
        <v>225</v>
      </c>
      <c r="I859" s="468" t="s">
        <v>2773</v>
      </c>
      <c r="J859" s="471" t="s">
        <v>335</v>
      </c>
      <c r="K859" s="472" t="s">
        <v>1643</v>
      </c>
      <c r="L859" s="300" t="s">
        <v>2167</v>
      </c>
      <c r="M859" s="471" t="s">
        <v>336</v>
      </c>
      <c r="N859" s="468" t="s">
        <v>748</v>
      </c>
      <c r="O859" s="468" t="s">
        <v>743</v>
      </c>
      <c r="P859" s="473">
        <v>36</v>
      </c>
      <c r="Q859" s="473">
        <v>5</v>
      </c>
      <c r="R859" s="474">
        <v>7.4999999999999997E-3</v>
      </c>
      <c r="S859" s="468" t="s">
        <v>40</v>
      </c>
      <c r="T859" s="468" t="s">
        <v>112</v>
      </c>
      <c r="U859" s="620" t="s">
        <v>721</v>
      </c>
      <c r="V859" s="475">
        <v>1288</v>
      </c>
      <c r="W859" s="475">
        <v>1288</v>
      </c>
      <c r="X859" s="476"/>
      <c r="Y859" s="477">
        <f t="shared" si="293"/>
        <v>0</v>
      </c>
      <c r="Z859" s="478">
        <f t="shared" si="294"/>
        <v>0</v>
      </c>
      <c r="AA859" s="478"/>
      <c r="AB859" s="828"/>
      <c r="AC859" s="475"/>
      <c r="AD859" s="515"/>
      <c r="AE859" s="210"/>
      <c r="AF859" s="210"/>
      <c r="AG859" s="211">
        <f t="shared" si="295"/>
        <v>0.14699999999999999</v>
      </c>
      <c r="AH859" s="157">
        <f t="shared" si="291"/>
        <v>0</v>
      </c>
      <c r="AI859" s="152">
        <f t="shared" si="296"/>
        <v>46368</v>
      </c>
      <c r="AK859" s="156" t="s">
        <v>691</v>
      </c>
      <c r="AL859" s="574" t="s">
        <v>690</v>
      </c>
      <c r="AM859" s="198">
        <f t="shared" ref="AM859:AM890" si="297">AG859*Z859</f>
        <v>0</v>
      </c>
      <c r="AN859" s="199">
        <f t="shared" si="292"/>
        <v>45443</v>
      </c>
      <c r="AO859" s="159" t="s">
        <v>692</v>
      </c>
      <c r="AP859" s="783" t="s">
        <v>639</v>
      </c>
      <c r="AQ859" s="782">
        <v>12071839</v>
      </c>
      <c r="AR859" s="782">
        <v>12047514</v>
      </c>
      <c r="AS859" s="782">
        <v>12047515</v>
      </c>
      <c r="AT859" s="782">
        <v>12089769</v>
      </c>
      <c r="AU859" s="781"/>
      <c r="AV859" s="782">
        <v>12089766</v>
      </c>
      <c r="AW859" s="782">
        <v>12024404</v>
      </c>
      <c r="AX859" s="781"/>
      <c r="AY859" s="782">
        <v>12089770</v>
      </c>
      <c r="AZ859" s="781"/>
      <c r="BA859" s="781"/>
    </row>
    <row r="860" spans="1:53" ht="25" hidden="1" customHeight="1">
      <c r="A860" s="142" t="s">
        <v>120</v>
      </c>
      <c r="B860" s="466">
        <v>45443</v>
      </c>
      <c r="C860" s="467">
        <v>45456</v>
      </c>
      <c r="D860" s="185">
        <f t="shared" si="289"/>
        <v>2024</v>
      </c>
      <c r="E860" s="468" t="str">
        <f>VLOOKUP($B860,Week!$A$1:$C$1462,2,0)</f>
        <v>Week22</v>
      </c>
      <c r="F860" s="469" t="str">
        <f t="shared" si="290"/>
        <v>May</v>
      </c>
      <c r="G860" s="470" t="s">
        <v>1324</v>
      </c>
      <c r="H860" s="468" t="s">
        <v>82</v>
      </c>
      <c r="I860" s="468" t="s">
        <v>82</v>
      </c>
      <c r="J860" s="471" t="s">
        <v>720</v>
      </c>
      <c r="K860" s="472" t="s">
        <v>85</v>
      </c>
      <c r="L860" s="390" t="s">
        <v>2166</v>
      </c>
      <c r="M860" s="471" t="s">
        <v>579</v>
      </c>
      <c r="N860" s="468" t="s">
        <v>580</v>
      </c>
      <c r="O860" s="468" t="s">
        <v>581</v>
      </c>
      <c r="P860" s="473">
        <v>8</v>
      </c>
      <c r="Q860" s="473">
        <v>60</v>
      </c>
      <c r="R860" s="474">
        <v>6.8100000000000001E-3</v>
      </c>
      <c r="S860" s="468" t="s">
        <v>76</v>
      </c>
      <c r="T860" s="468" t="s">
        <v>56</v>
      </c>
      <c r="U860" s="468" t="s">
        <v>89</v>
      </c>
      <c r="V860" s="475">
        <v>587</v>
      </c>
      <c r="W860" s="475">
        <v>587</v>
      </c>
      <c r="X860" s="476"/>
      <c r="Y860" s="477">
        <f t="shared" si="293"/>
        <v>0</v>
      </c>
      <c r="Z860" s="478">
        <f t="shared" si="294"/>
        <v>0</v>
      </c>
      <c r="AA860" s="478">
        <f>Q860*Z860</f>
        <v>0</v>
      </c>
      <c r="AB860" s="828">
        <v>6</v>
      </c>
      <c r="AC860" s="475">
        <f>Z860*AB860</f>
        <v>0</v>
      </c>
      <c r="AD860" s="209"/>
      <c r="AE860" s="210"/>
      <c r="AF860" s="210"/>
      <c r="AG860" s="211">
        <f t="shared" si="295"/>
        <v>0.75</v>
      </c>
      <c r="AH860" s="157">
        <f t="shared" si="291"/>
        <v>0</v>
      </c>
      <c r="AI860" s="152">
        <f t="shared" si="296"/>
        <v>4696</v>
      </c>
      <c r="AK860" s="156" t="s">
        <v>691</v>
      </c>
      <c r="AL860" s="156" t="s">
        <v>689</v>
      </c>
      <c r="AM860" s="198">
        <f t="shared" si="297"/>
        <v>0</v>
      </c>
      <c r="AN860" s="199">
        <f t="shared" si="292"/>
        <v>45443</v>
      </c>
      <c r="AO860" s="159" t="s">
        <v>692</v>
      </c>
      <c r="AP860" s="783" t="s">
        <v>622</v>
      </c>
      <c r="AQ860" s="782">
        <v>12004862</v>
      </c>
      <c r="AR860" s="782">
        <v>12080753</v>
      </c>
      <c r="AS860" s="782"/>
      <c r="AT860" s="782">
        <v>12082897</v>
      </c>
      <c r="AU860" s="781"/>
      <c r="AV860" s="782">
        <v>12082898</v>
      </c>
      <c r="AW860" s="782">
        <v>12082899</v>
      </c>
      <c r="AX860" s="796" t="s">
        <v>621</v>
      </c>
      <c r="AY860" s="782"/>
      <c r="AZ860" s="782"/>
      <c r="BA860" s="781"/>
    </row>
    <row r="861" spans="1:53" ht="24.65" hidden="1" customHeight="1">
      <c r="B861" s="213">
        <v>45444</v>
      </c>
      <c r="C861" s="633">
        <v>45450</v>
      </c>
      <c r="D861" s="185">
        <f t="shared" si="289"/>
        <v>2024</v>
      </c>
      <c r="E861" s="215" t="str">
        <f>VLOOKUP($B861,Week!$A$1:$C$1462,2,0)</f>
        <v>Week22</v>
      </c>
      <c r="F861" s="216" t="str">
        <f t="shared" si="290"/>
        <v>Jun</v>
      </c>
      <c r="G861" s="215" t="s">
        <v>1219</v>
      </c>
      <c r="H861" s="215" t="s">
        <v>104</v>
      </c>
      <c r="I861" s="215" t="s">
        <v>2772</v>
      </c>
      <c r="J861" s="209" t="s">
        <v>105</v>
      </c>
      <c r="K861" s="217" t="s">
        <v>107</v>
      </c>
      <c r="L861" s="300" t="s">
        <v>2167</v>
      </c>
      <c r="M861" s="209" t="s">
        <v>108</v>
      </c>
      <c r="N861" s="215" t="s">
        <v>109</v>
      </c>
      <c r="O861" s="215" t="s">
        <v>110</v>
      </c>
      <c r="P861" s="218">
        <v>36</v>
      </c>
      <c r="Q861" s="218">
        <v>5</v>
      </c>
      <c r="R861" s="219">
        <v>7.4999999999999997E-3</v>
      </c>
      <c r="S861" s="215" t="s">
        <v>111</v>
      </c>
      <c r="T861" s="215" t="s">
        <v>112</v>
      </c>
      <c r="U861" s="215" t="s">
        <v>113</v>
      </c>
      <c r="V861" s="220">
        <f>792-204</f>
        <v>588</v>
      </c>
      <c r="W861" s="220">
        <f>792-204</f>
        <v>588</v>
      </c>
      <c r="X861" s="221"/>
      <c r="Y861" s="222">
        <f t="shared" si="293"/>
        <v>0</v>
      </c>
      <c r="Z861" s="223">
        <f t="shared" si="294"/>
        <v>0</v>
      </c>
      <c r="AA861" s="223"/>
      <c r="AB861" s="807"/>
      <c r="AC861" s="220"/>
      <c r="AD861" s="209"/>
      <c r="AE861" s="210"/>
      <c r="AF861" s="210"/>
      <c r="AG861" s="211">
        <f t="shared" si="295"/>
        <v>0.308</v>
      </c>
      <c r="AH861" s="157">
        <f t="shared" si="291"/>
        <v>0</v>
      </c>
      <c r="AI861" s="152">
        <f t="shared" si="296"/>
        <v>21168</v>
      </c>
      <c r="AK861" s="156" t="s">
        <v>691</v>
      </c>
      <c r="AL861" s="574" t="s">
        <v>690</v>
      </c>
      <c r="AM861" s="198">
        <f t="shared" si="297"/>
        <v>0</v>
      </c>
      <c r="AN861" s="199">
        <f t="shared" si="292"/>
        <v>45444</v>
      </c>
      <c r="AO861" s="159" t="s">
        <v>692</v>
      </c>
      <c r="AP861" s="781"/>
      <c r="AQ861" s="782">
        <v>12063755</v>
      </c>
      <c r="AR861" s="782">
        <v>12061353</v>
      </c>
      <c r="AS861" s="782">
        <v>12061354</v>
      </c>
      <c r="AT861" s="782">
        <v>12068566</v>
      </c>
      <c r="AU861" s="781"/>
      <c r="AV861" s="782">
        <v>12088206</v>
      </c>
      <c r="AW861" s="782">
        <v>12088207</v>
      </c>
      <c r="AX861" s="782"/>
      <c r="AY861" s="782">
        <v>12068565</v>
      </c>
      <c r="AZ861" s="782"/>
      <c r="BA861" s="781"/>
    </row>
    <row r="862" spans="1:53" ht="25" hidden="1" customHeight="1">
      <c r="B862" s="213">
        <v>45444</v>
      </c>
      <c r="C862" s="633">
        <v>45450</v>
      </c>
      <c r="D862" s="185">
        <f t="shared" si="289"/>
        <v>2024</v>
      </c>
      <c r="E862" s="215" t="str">
        <f>VLOOKUP($B862,Week!$A$1:$C$1462,2,0)</f>
        <v>Week22</v>
      </c>
      <c r="F862" s="216" t="str">
        <f t="shared" si="290"/>
        <v>Jun</v>
      </c>
      <c r="G862" s="215" t="s">
        <v>1220</v>
      </c>
      <c r="H862" s="215" t="s">
        <v>104</v>
      </c>
      <c r="I862" s="215" t="s">
        <v>2772</v>
      </c>
      <c r="J862" s="209" t="s">
        <v>105</v>
      </c>
      <c r="K862" s="217" t="s">
        <v>107</v>
      </c>
      <c r="L862" s="300" t="s">
        <v>2167</v>
      </c>
      <c r="M862" s="209" t="s">
        <v>108</v>
      </c>
      <c r="N862" s="215" t="s">
        <v>109</v>
      </c>
      <c r="O862" s="215" t="s">
        <v>110</v>
      </c>
      <c r="P862" s="218">
        <v>36</v>
      </c>
      <c r="Q862" s="218">
        <v>5</v>
      </c>
      <c r="R862" s="219">
        <v>7.4999999999999997E-3</v>
      </c>
      <c r="S862" s="215" t="s">
        <v>111</v>
      </c>
      <c r="T862" s="215" t="s">
        <v>112</v>
      </c>
      <c r="U862" s="215" t="s">
        <v>113</v>
      </c>
      <c r="V862" s="220">
        <v>792</v>
      </c>
      <c r="W862" s="220">
        <v>792</v>
      </c>
      <c r="X862" s="221"/>
      <c r="Y862" s="222">
        <f t="shared" si="293"/>
        <v>0</v>
      </c>
      <c r="Z862" s="223">
        <f t="shared" si="294"/>
        <v>0</v>
      </c>
      <c r="AA862" s="223"/>
      <c r="AB862" s="807"/>
      <c r="AC862" s="220"/>
      <c r="AD862" s="209"/>
      <c r="AE862" s="210"/>
      <c r="AF862" s="210"/>
      <c r="AG862" s="211">
        <f t="shared" si="295"/>
        <v>0.308</v>
      </c>
      <c r="AH862" s="157">
        <f t="shared" si="291"/>
        <v>0</v>
      </c>
      <c r="AI862" s="152">
        <f t="shared" si="296"/>
        <v>28512</v>
      </c>
      <c r="AK862" s="156" t="s">
        <v>691</v>
      </c>
      <c r="AL862" s="574" t="s">
        <v>690</v>
      </c>
      <c r="AM862" s="198">
        <f t="shared" si="297"/>
        <v>0</v>
      </c>
      <c r="AN862" s="199">
        <f t="shared" si="292"/>
        <v>45444</v>
      </c>
      <c r="AO862" s="159" t="s">
        <v>692</v>
      </c>
      <c r="AP862" s="781"/>
      <c r="AQ862" s="782">
        <v>12063755</v>
      </c>
      <c r="AR862" s="782">
        <v>12061353</v>
      </c>
      <c r="AS862" s="782">
        <v>12061354</v>
      </c>
      <c r="AT862" s="782">
        <v>12068566</v>
      </c>
      <c r="AU862" s="781"/>
      <c r="AV862" s="782">
        <v>12088206</v>
      </c>
      <c r="AW862" s="782">
        <v>12088207</v>
      </c>
      <c r="AX862" s="782"/>
      <c r="AY862" s="782">
        <v>12068565</v>
      </c>
      <c r="AZ862" s="782"/>
      <c r="BA862" s="781"/>
    </row>
    <row r="863" spans="1:53" ht="25" hidden="1" customHeight="1">
      <c r="B863" s="213">
        <v>45444</v>
      </c>
      <c r="C863" s="633">
        <v>45450</v>
      </c>
      <c r="D863" s="185">
        <f t="shared" si="289"/>
        <v>2024</v>
      </c>
      <c r="E863" s="215" t="str">
        <f>VLOOKUP($B863,Week!$A$1:$C$1462,2,0)</f>
        <v>Week22</v>
      </c>
      <c r="F863" s="216" t="str">
        <f t="shared" si="290"/>
        <v>Jun</v>
      </c>
      <c r="G863" s="215" t="s">
        <v>1221</v>
      </c>
      <c r="H863" s="215" t="s">
        <v>104</v>
      </c>
      <c r="I863" s="215" t="s">
        <v>2772</v>
      </c>
      <c r="J863" s="209" t="s">
        <v>105</v>
      </c>
      <c r="K863" s="217" t="s">
        <v>107</v>
      </c>
      <c r="L863" s="300" t="s">
        <v>2167</v>
      </c>
      <c r="M863" s="209" t="s">
        <v>108</v>
      </c>
      <c r="N863" s="215" t="s">
        <v>109</v>
      </c>
      <c r="O863" s="215" t="s">
        <v>110</v>
      </c>
      <c r="P863" s="218">
        <v>36</v>
      </c>
      <c r="Q863" s="218">
        <v>5</v>
      </c>
      <c r="R863" s="219">
        <v>7.4999999999999997E-3</v>
      </c>
      <c r="S863" s="215" t="s">
        <v>111</v>
      </c>
      <c r="T863" s="215" t="s">
        <v>112</v>
      </c>
      <c r="U863" s="215" t="s">
        <v>113</v>
      </c>
      <c r="V863" s="220">
        <v>792</v>
      </c>
      <c r="W863" s="220">
        <v>792</v>
      </c>
      <c r="X863" s="221"/>
      <c r="Y863" s="222">
        <f t="shared" si="293"/>
        <v>0</v>
      </c>
      <c r="Z863" s="223">
        <f t="shared" si="294"/>
        <v>0</v>
      </c>
      <c r="AA863" s="223"/>
      <c r="AB863" s="807"/>
      <c r="AC863" s="220"/>
      <c r="AD863" s="209"/>
      <c r="AE863" s="210"/>
      <c r="AF863" s="210"/>
      <c r="AG863" s="211">
        <f t="shared" si="295"/>
        <v>0.308</v>
      </c>
      <c r="AH863" s="157">
        <f t="shared" si="291"/>
        <v>0</v>
      </c>
      <c r="AI863" s="152">
        <f t="shared" si="296"/>
        <v>28512</v>
      </c>
      <c r="AK863" s="156" t="s">
        <v>691</v>
      </c>
      <c r="AL863" s="574" t="s">
        <v>690</v>
      </c>
      <c r="AM863" s="198">
        <f t="shared" si="297"/>
        <v>0</v>
      </c>
      <c r="AN863" s="199">
        <f t="shared" si="292"/>
        <v>45444</v>
      </c>
      <c r="AO863" s="159" t="s">
        <v>692</v>
      </c>
      <c r="AP863" s="781"/>
      <c r="AQ863" s="782">
        <v>12063755</v>
      </c>
      <c r="AR863" s="782">
        <v>12061353</v>
      </c>
      <c r="AS863" s="782">
        <v>12061354</v>
      </c>
      <c r="AT863" s="782">
        <v>12068566</v>
      </c>
      <c r="AU863" s="781"/>
      <c r="AV863" s="782">
        <v>12088206</v>
      </c>
      <c r="AW863" s="782">
        <v>12088207</v>
      </c>
      <c r="AX863" s="782"/>
      <c r="AY863" s="782">
        <v>12068565</v>
      </c>
      <c r="AZ863" s="782"/>
      <c r="BA863" s="781"/>
    </row>
    <row r="864" spans="1:53" ht="25" hidden="1" customHeight="1">
      <c r="B864" s="213">
        <v>45444</v>
      </c>
      <c r="C864" s="633">
        <v>45450</v>
      </c>
      <c r="D864" s="185">
        <f t="shared" si="289"/>
        <v>2024</v>
      </c>
      <c r="E864" s="215" t="str">
        <f>VLOOKUP($B864,Week!$A$1:$C$1462,2,0)</f>
        <v>Week22</v>
      </c>
      <c r="F864" s="216" t="str">
        <f t="shared" si="290"/>
        <v>Jun</v>
      </c>
      <c r="G864" s="215" t="s">
        <v>1222</v>
      </c>
      <c r="H864" s="215" t="s">
        <v>104</v>
      </c>
      <c r="I864" s="215" t="s">
        <v>2772</v>
      </c>
      <c r="J864" s="209" t="s">
        <v>105</v>
      </c>
      <c r="K864" s="217" t="s">
        <v>107</v>
      </c>
      <c r="L864" s="300" t="s">
        <v>2167</v>
      </c>
      <c r="M864" s="209" t="s">
        <v>108</v>
      </c>
      <c r="N864" s="215" t="s">
        <v>109</v>
      </c>
      <c r="O864" s="215" t="s">
        <v>110</v>
      </c>
      <c r="P864" s="218">
        <v>36</v>
      </c>
      <c r="Q864" s="218">
        <v>5</v>
      </c>
      <c r="R864" s="219">
        <v>7.4999999999999997E-3</v>
      </c>
      <c r="S864" s="215" t="s">
        <v>111</v>
      </c>
      <c r="T864" s="215" t="s">
        <v>112</v>
      </c>
      <c r="U864" s="215" t="s">
        <v>113</v>
      </c>
      <c r="V864" s="220">
        <v>792</v>
      </c>
      <c r="W864" s="220">
        <v>792</v>
      </c>
      <c r="X864" s="221"/>
      <c r="Y864" s="222">
        <f t="shared" si="293"/>
        <v>0</v>
      </c>
      <c r="Z864" s="223">
        <f t="shared" si="294"/>
        <v>0</v>
      </c>
      <c r="AA864" s="223"/>
      <c r="AB864" s="807"/>
      <c r="AC864" s="220"/>
      <c r="AD864" s="209"/>
      <c r="AE864" s="210"/>
      <c r="AF864" s="210"/>
      <c r="AG864" s="211">
        <f t="shared" si="295"/>
        <v>0.308</v>
      </c>
      <c r="AH864" s="157">
        <f t="shared" si="291"/>
        <v>0</v>
      </c>
      <c r="AI864" s="152">
        <f t="shared" si="296"/>
        <v>28512</v>
      </c>
      <c r="AK864" s="156" t="s">
        <v>691</v>
      </c>
      <c r="AL864" s="574" t="s">
        <v>690</v>
      </c>
      <c r="AM864" s="198">
        <f t="shared" si="297"/>
        <v>0</v>
      </c>
      <c r="AN864" s="199">
        <f t="shared" si="292"/>
        <v>45444</v>
      </c>
      <c r="AO864" s="159" t="s">
        <v>692</v>
      </c>
      <c r="AP864" s="781"/>
      <c r="AQ864" s="782">
        <v>12063755</v>
      </c>
      <c r="AR864" s="782">
        <v>12061353</v>
      </c>
      <c r="AS864" s="782">
        <v>12061354</v>
      </c>
      <c r="AT864" s="782">
        <v>12068566</v>
      </c>
      <c r="AU864" s="781"/>
      <c r="AV864" s="782">
        <v>12088206</v>
      </c>
      <c r="AW864" s="782">
        <v>12088207</v>
      </c>
      <c r="AX864" s="782"/>
      <c r="AY864" s="782">
        <v>12068565</v>
      </c>
      <c r="AZ864" s="782"/>
      <c r="BA864" s="781"/>
    </row>
    <row r="865" spans="1:53" ht="25" hidden="1" customHeight="1">
      <c r="B865" s="213">
        <v>45444</v>
      </c>
      <c r="C865" s="633">
        <v>45450</v>
      </c>
      <c r="D865" s="185">
        <f t="shared" si="289"/>
        <v>2024</v>
      </c>
      <c r="E865" s="215" t="str">
        <f>VLOOKUP($B865,Week!$A$1:$C$1462,2,0)</f>
        <v>Week22</v>
      </c>
      <c r="F865" s="216" t="str">
        <f t="shared" si="290"/>
        <v>Jun</v>
      </c>
      <c r="G865" s="215" t="s">
        <v>1223</v>
      </c>
      <c r="H865" s="215" t="s">
        <v>104</v>
      </c>
      <c r="I865" s="215" t="s">
        <v>2772</v>
      </c>
      <c r="J865" s="209" t="s">
        <v>105</v>
      </c>
      <c r="K865" s="217" t="s">
        <v>107</v>
      </c>
      <c r="L865" s="300" t="s">
        <v>2167</v>
      </c>
      <c r="M865" s="209" t="s">
        <v>108</v>
      </c>
      <c r="N865" s="215" t="s">
        <v>109</v>
      </c>
      <c r="O865" s="215" t="s">
        <v>110</v>
      </c>
      <c r="P865" s="218">
        <v>36</v>
      </c>
      <c r="Q865" s="218">
        <v>5</v>
      </c>
      <c r="R865" s="219">
        <v>7.4999999999999997E-3</v>
      </c>
      <c r="S865" s="215" t="s">
        <v>111</v>
      </c>
      <c r="T865" s="215" t="s">
        <v>112</v>
      </c>
      <c r="U865" s="215" t="s">
        <v>113</v>
      </c>
      <c r="V865" s="220">
        <v>792</v>
      </c>
      <c r="W865" s="220">
        <v>792</v>
      </c>
      <c r="X865" s="221"/>
      <c r="Y865" s="222">
        <f t="shared" si="293"/>
        <v>0</v>
      </c>
      <c r="Z865" s="223">
        <f t="shared" si="294"/>
        <v>0</v>
      </c>
      <c r="AA865" s="223"/>
      <c r="AB865" s="807"/>
      <c r="AC865" s="220"/>
      <c r="AD865" s="209"/>
      <c r="AE865" s="210"/>
      <c r="AF865" s="210"/>
      <c r="AG865" s="211">
        <f t="shared" si="295"/>
        <v>0.308</v>
      </c>
      <c r="AH865" s="157">
        <f t="shared" si="291"/>
        <v>0</v>
      </c>
      <c r="AI865" s="152">
        <f t="shared" si="296"/>
        <v>28512</v>
      </c>
      <c r="AK865" s="156" t="s">
        <v>691</v>
      </c>
      <c r="AL865" s="574" t="s">
        <v>690</v>
      </c>
      <c r="AM865" s="198">
        <f t="shared" si="297"/>
        <v>0</v>
      </c>
      <c r="AN865" s="199">
        <f t="shared" si="292"/>
        <v>45444</v>
      </c>
      <c r="AO865" s="159" t="s">
        <v>692</v>
      </c>
      <c r="AP865" s="781"/>
      <c r="AQ865" s="782">
        <v>12063755</v>
      </c>
      <c r="AR865" s="782">
        <v>12061353</v>
      </c>
      <c r="AS865" s="782">
        <v>12061354</v>
      </c>
      <c r="AT865" s="782">
        <v>12068566</v>
      </c>
      <c r="AU865" s="781"/>
      <c r="AV865" s="782">
        <v>12088206</v>
      </c>
      <c r="AW865" s="782">
        <v>12088207</v>
      </c>
      <c r="AX865" s="782"/>
      <c r="AY865" s="782">
        <v>12068565</v>
      </c>
      <c r="AZ865" s="782"/>
      <c r="BA865" s="781"/>
    </row>
    <row r="866" spans="1:53" ht="25" hidden="1" customHeight="1">
      <c r="B866" s="213">
        <v>45444</v>
      </c>
      <c r="C866" s="633">
        <v>45450</v>
      </c>
      <c r="D866" s="185">
        <f t="shared" si="289"/>
        <v>2024</v>
      </c>
      <c r="E866" s="215" t="str">
        <f>VLOOKUP($B866,Week!$A$1:$C$1462,2,0)</f>
        <v>Week22</v>
      </c>
      <c r="F866" s="216" t="str">
        <f t="shared" si="290"/>
        <v>Jun</v>
      </c>
      <c r="G866" s="215" t="s">
        <v>1224</v>
      </c>
      <c r="H866" s="215" t="s">
        <v>104</v>
      </c>
      <c r="I866" s="215" t="s">
        <v>2772</v>
      </c>
      <c r="J866" s="209" t="s">
        <v>105</v>
      </c>
      <c r="K866" s="217" t="s">
        <v>107</v>
      </c>
      <c r="L866" s="300" t="s">
        <v>2167</v>
      </c>
      <c r="M866" s="209" t="s">
        <v>108</v>
      </c>
      <c r="N866" s="215" t="s">
        <v>109</v>
      </c>
      <c r="O866" s="215" t="s">
        <v>110</v>
      </c>
      <c r="P866" s="218">
        <v>36</v>
      </c>
      <c r="Q866" s="218">
        <v>5</v>
      </c>
      <c r="R866" s="219">
        <v>7.4999999999999997E-3</v>
      </c>
      <c r="S866" s="215" t="s">
        <v>111</v>
      </c>
      <c r="T866" s="215" t="s">
        <v>112</v>
      </c>
      <c r="U866" s="215" t="s">
        <v>113</v>
      </c>
      <c r="V866" s="220">
        <f>4158-588-792-792-792-792</f>
        <v>402</v>
      </c>
      <c r="W866" s="220">
        <f>4158-588-792-792-792-792</f>
        <v>402</v>
      </c>
      <c r="X866" s="221"/>
      <c r="Y866" s="222">
        <f t="shared" si="293"/>
        <v>0</v>
      </c>
      <c r="Z866" s="223">
        <f t="shared" si="294"/>
        <v>0</v>
      </c>
      <c r="AA866" s="223"/>
      <c r="AB866" s="807"/>
      <c r="AC866" s="220"/>
      <c r="AD866" s="209"/>
      <c r="AE866" s="210"/>
      <c r="AF866" s="210"/>
      <c r="AG866" s="211">
        <f t="shared" si="295"/>
        <v>0.308</v>
      </c>
      <c r="AH866" s="157">
        <f t="shared" si="291"/>
        <v>0</v>
      </c>
      <c r="AI866" s="152">
        <f t="shared" si="296"/>
        <v>14472</v>
      </c>
      <c r="AK866" s="156" t="s">
        <v>691</v>
      </c>
      <c r="AL866" s="574" t="s">
        <v>690</v>
      </c>
      <c r="AM866" s="198">
        <f t="shared" si="297"/>
        <v>0</v>
      </c>
      <c r="AN866" s="199">
        <f t="shared" si="292"/>
        <v>45444</v>
      </c>
      <c r="AO866" s="159" t="s">
        <v>692</v>
      </c>
      <c r="AP866" s="781"/>
      <c r="AQ866" s="782">
        <v>12063755</v>
      </c>
      <c r="AR866" s="782">
        <v>12061353</v>
      </c>
      <c r="AS866" s="782">
        <v>12061354</v>
      </c>
      <c r="AT866" s="782">
        <v>12068566</v>
      </c>
      <c r="AU866" s="781"/>
      <c r="AV866" s="782">
        <v>12088206</v>
      </c>
      <c r="AW866" s="782">
        <v>12088207</v>
      </c>
      <c r="AX866" s="782"/>
      <c r="AY866" s="782">
        <v>12068565</v>
      </c>
      <c r="AZ866" s="782"/>
      <c r="BA866" s="781"/>
    </row>
    <row r="867" spans="1:53" ht="25" hidden="1" customHeight="1">
      <c r="A867" s="142" t="s">
        <v>120</v>
      </c>
      <c r="B867" s="466">
        <v>45444</v>
      </c>
      <c r="C867" s="467">
        <v>45456</v>
      </c>
      <c r="D867" s="185">
        <f t="shared" si="289"/>
        <v>2024</v>
      </c>
      <c r="E867" s="468" t="str">
        <f>VLOOKUP($B867,Week!$A$1:$C$1462,2,0)</f>
        <v>Week22</v>
      </c>
      <c r="F867" s="469" t="str">
        <f t="shared" si="290"/>
        <v>Jun</v>
      </c>
      <c r="G867" s="470" t="s">
        <v>1324</v>
      </c>
      <c r="H867" s="468" t="s">
        <v>82</v>
      </c>
      <c r="I867" s="468" t="s">
        <v>82</v>
      </c>
      <c r="J867" s="471" t="s">
        <v>720</v>
      </c>
      <c r="K867" s="472" t="s">
        <v>85</v>
      </c>
      <c r="L867" s="390" t="s">
        <v>2166</v>
      </c>
      <c r="M867" s="471" t="s">
        <v>579</v>
      </c>
      <c r="N867" s="468" t="s">
        <v>580</v>
      </c>
      <c r="O867" s="468" t="s">
        <v>581</v>
      </c>
      <c r="P867" s="473">
        <v>8</v>
      </c>
      <c r="Q867" s="473">
        <v>60</v>
      </c>
      <c r="R867" s="474">
        <v>6.8100000000000001E-3</v>
      </c>
      <c r="S867" s="468" t="s">
        <v>76</v>
      </c>
      <c r="T867" s="468" t="s">
        <v>56</v>
      </c>
      <c r="U867" s="468" t="s">
        <v>89</v>
      </c>
      <c r="V867" s="475">
        <f>1408-288-587</f>
        <v>533</v>
      </c>
      <c r="W867" s="475">
        <v>533</v>
      </c>
      <c r="X867" s="476"/>
      <c r="Y867" s="477">
        <f t="shared" si="293"/>
        <v>0</v>
      </c>
      <c r="Z867" s="478">
        <f t="shared" si="294"/>
        <v>0</v>
      </c>
      <c r="AA867" s="478">
        <f>Q867*Z867</f>
        <v>0</v>
      </c>
      <c r="AB867" s="828">
        <v>6</v>
      </c>
      <c r="AC867" s="475">
        <f>Z867*AB867</f>
        <v>0</v>
      </c>
      <c r="AD867" s="209"/>
      <c r="AE867" s="210"/>
      <c r="AF867" s="210"/>
      <c r="AG867" s="211">
        <f t="shared" si="295"/>
        <v>0.75</v>
      </c>
      <c r="AH867" s="157">
        <f t="shared" si="291"/>
        <v>0</v>
      </c>
      <c r="AI867" s="152">
        <f t="shared" si="296"/>
        <v>4264</v>
      </c>
      <c r="AK867" s="156" t="s">
        <v>691</v>
      </c>
      <c r="AL867" s="156" t="s">
        <v>689</v>
      </c>
      <c r="AM867" s="198">
        <f t="shared" si="297"/>
        <v>0</v>
      </c>
      <c r="AN867" s="199">
        <f t="shared" si="292"/>
        <v>45444</v>
      </c>
      <c r="AO867" s="159" t="s">
        <v>692</v>
      </c>
      <c r="AP867" s="783" t="s">
        <v>622</v>
      </c>
      <c r="AQ867" s="782">
        <v>12004862</v>
      </c>
      <c r="AR867" s="782">
        <v>12080753</v>
      </c>
      <c r="AS867" s="782"/>
      <c r="AT867" s="782">
        <v>12082897</v>
      </c>
      <c r="AU867" s="781"/>
      <c r="AV867" s="782">
        <v>12082898</v>
      </c>
      <c r="AW867" s="782">
        <v>12082899</v>
      </c>
      <c r="AX867" s="796" t="s">
        <v>621</v>
      </c>
      <c r="AY867" s="782"/>
      <c r="AZ867" s="782"/>
      <c r="BA867" s="781"/>
    </row>
    <row r="868" spans="1:53" ht="24.65" hidden="1" customHeight="1">
      <c r="B868" s="183">
        <v>45445</v>
      </c>
      <c r="C868" s="184"/>
      <c r="D868" s="185">
        <f t="shared" si="289"/>
        <v>2024</v>
      </c>
      <c r="E868" s="185" t="str">
        <f>VLOOKUP($B868,Week!$A$1:$C$1462,2,0)</f>
        <v>Week22</v>
      </c>
      <c r="F868" s="186" t="str">
        <f t="shared" si="290"/>
        <v>Jun</v>
      </c>
      <c r="G868" s="185"/>
      <c r="H868" s="185"/>
      <c r="I868" s="185"/>
      <c r="J868" s="187"/>
      <c r="K868" s="188"/>
      <c r="L868" s="300"/>
      <c r="M868" s="187"/>
      <c r="N868" s="185"/>
      <c r="O868" s="185"/>
      <c r="P868" s="189"/>
      <c r="Q868" s="189"/>
      <c r="R868" s="190"/>
      <c r="S868" s="185"/>
      <c r="T868" s="185"/>
      <c r="U868" s="185"/>
      <c r="V868" s="191"/>
      <c r="W868" s="191"/>
      <c r="X868" s="192"/>
      <c r="Y868" s="193"/>
      <c r="Z868" s="194"/>
      <c r="AA868" s="194"/>
      <c r="AB868" s="805"/>
      <c r="AC868" s="191"/>
      <c r="AD868" s="187"/>
      <c r="AE868" s="195"/>
      <c r="AF868" s="195"/>
      <c r="AG868" s="196"/>
      <c r="AH868" s="197"/>
      <c r="AK868" s="156" t="s">
        <v>691</v>
      </c>
      <c r="AM868" s="198">
        <f t="shared" si="297"/>
        <v>0</v>
      </c>
      <c r="AN868" s="199">
        <f t="shared" si="292"/>
        <v>45445</v>
      </c>
      <c r="AO868" s="159" t="s">
        <v>692</v>
      </c>
      <c r="AP868" s="781"/>
      <c r="AQ868" s="782"/>
      <c r="AR868" s="782"/>
      <c r="AS868" s="782"/>
      <c r="AT868" s="782"/>
      <c r="AU868" s="781"/>
      <c r="AV868" s="782"/>
      <c r="AW868" s="782"/>
      <c r="AX868" s="782"/>
      <c r="AY868" s="782"/>
      <c r="AZ868" s="782"/>
      <c r="BA868" s="781"/>
    </row>
    <row r="869" spans="1:53" ht="25" hidden="1" customHeight="1">
      <c r="B869" s="183">
        <v>45446</v>
      </c>
      <c r="C869" s="184"/>
      <c r="D869" s="185">
        <f t="shared" si="289"/>
        <v>2024</v>
      </c>
      <c r="E869" s="185" t="str">
        <f>VLOOKUP($B869,Week!$A$1:$C$1462,2,0)</f>
        <v>Week23</v>
      </c>
      <c r="F869" s="186" t="str">
        <f t="shared" si="290"/>
        <v>Jun</v>
      </c>
      <c r="G869" s="185"/>
      <c r="H869" s="185"/>
      <c r="I869" s="185"/>
      <c r="J869" s="187"/>
      <c r="K869" s="188"/>
      <c r="L869" s="300"/>
      <c r="M869" s="187"/>
      <c r="N869" s="185"/>
      <c r="O869" s="185"/>
      <c r="P869" s="189"/>
      <c r="Q869" s="189"/>
      <c r="R869" s="190"/>
      <c r="S869" s="185"/>
      <c r="T869" s="185"/>
      <c r="U869" s="185"/>
      <c r="V869" s="191"/>
      <c r="W869" s="191"/>
      <c r="X869" s="192"/>
      <c r="Y869" s="193"/>
      <c r="Z869" s="194"/>
      <c r="AA869" s="194"/>
      <c r="AB869" s="805"/>
      <c r="AC869" s="191"/>
      <c r="AD869" s="187"/>
      <c r="AE869" s="195"/>
      <c r="AF869" s="195"/>
      <c r="AG869" s="196"/>
      <c r="AH869" s="197"/>
      <c r="AK869" s="156" t="s">
        <v>691</v>
      </c>
      <c r="AM869" s="198">
        <f t="shared" si="297"/>
        <v>0</v>
      </c>
      <c r="AN869" s="199">
        <f t="shared" si="292"/>
        <v>45446</v>
      </c>
      <c r="AO869" s="159" t="s">
        <v>692</v>
      </c>
      <c r="AP869" s="781"/>
      <c r="AQ869" s="782"/>
      <c r="AR869" s="782"/>
      <c r="AS869" s="782"/>
      <c r="AT869" s="782"/>
      <c r="AU869" s="781"/>
      <c r="AV869" s="782"/>
      <c r="AW869" s="782"/>
      <c r="AX869" s="782"/>
      <c r="AY869" s="782"/>
      <c r="AZ869" s="782"/>
      <c r="BA869" s="781"/>
    </row>
    <row r="870" spans="1:53" ht="24.65" hidden="1" customHeight="1">
      <c r="B870" s="358">
        <v>45447</v>
      </c>
      <c r="C870" s="358">
        <v>45462</v>
      </c>
      <c r="D870" s="185">
        <f t="shared" si="289"/>
        <v>2024</v>
      </c>
      <c r="E870" s="358" t="str">
        <f>VLOOKUP($B870,Week!$A$1:$C$1462,2,0)</f>
        <v>Week23</v>
      </c>
      <c r="F870" s="360" t="str">
        <f t="shared" si="290"/>
        <v>Jun</v>
      </c>
      <c r="G870" s="436" t="s">
        <v>1112</v>
      </c>
      <c r="H870" s="359" t="s">
        <v>225</v>
      </c>
      <c r="I870" s="359" t="s">
        <v>2773</v>
      </c>
      <c r="J870" s="361" t="s">
        <v>650</v>
      </c>
      <c r="K870" s="362" t="s">
        <v>593</v>
      </c>
      <c r="L870" s="300" t="s">
        <v>2167</v>
      </c>
      <c r="M870" s="361" t="s">
        <v>717</v>
      </c>
      <c r="N870" s="359" t="s">
        <v>719</v>
      </c>
      <c r="O870" s="359" t="s">
        <v>230</v>
      </c>
      <c r="P870" s="363">
        <v>12</v>
      </c>
      <c r="Q870" s="363">
        <v>5</v>
      </c>
      <c r="R870" s="364">
        <v>6.0000000000000001E-3</v>
      </c>
      <c r="S870" s="359" t="s">
        <v>55</v>
      </c>
      <c r="T870" s="359" t="s">
        <v>112</v>
      </c>
      <c r="U870" s="359" t="s">
        <v>57</v>
      </c>
      <c r="V870" s="365">
        <v>2600</v>
      </c>
      <c r="W870" s="365"/>
      <c r="X870" s="366">
        <f>(1578+29622)/12</f>
        <v>2600</v>
      </c>
      <c r="Y870" s="367">
        <f t="shared" ref="Y870:Y895" si="298">(W870+X870)-V870</f>
        <v>0</v>
      </c>
      <c r="Z870" s="368">
        <f t="shared" ref="Z870:Z895" si="299">IF(Y870&lt;0,((V870*P870)-((W870+X870)*P870)),0)</f>
        <v>0</v>
      </c>
      <c r="AA870" s="368"/>
      <c r="AB870" s="819"/>
      <c r="AC870" s="365"/>
      <c r="AD870" s="307" t="s">
        <v>672</v>
      </c>
      <c r="AE870" s="210"/>
      <c r="AF870" s="210"/>
      <c r="AG870" s="211">
        <f t="shared" ref="AG870:AG895" si="300">MID(O870,1,3)/1000</f>
        <v>0.25800000000000001</v>
      </c>
      <c r="AH870" s="157">
        <f t="shared" ref="AH870:AH879" si="301">(Z870*AG870)/1000</f>
        <v>0</v>
      </c>
      <c r="AI870" s="152">
        <f t="shared" ref="AI870:AI895" si="302">V870*P870</f>
        <v>31200</v>
      </c>
      <c r="AK870" s="156" t="s">
        <v>691</v>
      </c>
      <c r="AL870" s="574" t="s">
        <v>690</v>
      </c>
      <c r="AM870" s="198">
        <f t="shared" si="297"/>
        <v>0</v>
      </c>
      <c r="AN870" s="199">
        <f t="shared" si="292"/>
        <v>45447</v>
      </c>
      <c r="AO870" s="159" t="s">
        <v>692</v>
      </c>
      <c r="AP870" s="783" t="s">
        <v>612</v>
      </c>
      <c r="AQ870" s="782">
        <v>12071839</v>
      </c>
      <c r="AR870" s="782">
        <v>12042650</v>
      </c>
      <c r="AS870" s="782">
        <v>12042649</v>
      </c>
      <c r="AT870" s="782">
        <v>12088423</v>
      </c>
      <c r="AU870" s="781"/>
      <c r="AV870" s="782">
        <v>12088422</v>
      </c>
      <c r="AW870" s="782"/>
      <c r="AX870" s="782"/>
      <c r="AY870" s="782"/>
      <c r="AZ870" s="782"/>
      <c r="BA870" s="781"/>
    </row>
    <row r="871" spans="1:53" ht="25" hidden="1" customHeight="1">
      <c r="B871" s="213">
        <v>45447</v>
      </c>
      <c r="C871" s="633">
        <v>45450</v>
      </c>
      <c r="D871" s="185">
        <f t="shared" si="289"/>
        <v>2024</v>
      </c>
      <c r="E871" s="215" t="str">
        <f>VLOOKUP($B871,Week!$A$1:$C$1462,2,0)</f>
        <v>Week23</v>
      </c>
      <c r="F871" s="216" t="str">
        <f t="shared" si="290"/>
        <v>Jun</v>
      </c>
      <c r="G871" s="215" t="s">
        <v>1224</v>
      </c>
      <c r="H871" s="215" t="s">
        <v>104</v>
      </c>
      <c r="I871" s="215" t="s">
        <v>2772</v>
      </c>
      <c r="J871" s="209" t="s">
        <v>105</v>
      </c>
      <c r="K871" s="217" t="s">
        <v>107</v>
      </c>
      <c r="L871" s="300" t="s">
        <v>2167</v>
      </c>
      <c r="M871" s="209" t="s">
        <v>108</v>
      </c>
      <c r="N871" s="215" t="s">
        <v>109</v>
      </c>
      <c r="O871" s="215" t="s">
        <v>110</v>
      </c>
      <c r="P871" s="218">
        <v>36</v>
      </c>
      <c r="Q871" s="218">
        <v>5</v>
      </c>
      <c r="R871" s="219">
        <v>7.4999999999999997E-3</v>
      </c>
      <c r="S871" s="215" t="s">
        <v>111</v>
      </c>
      <c r="T871" s="215" t="s">
        <v>112</v>
      </c>
      <c r="U871" s="215" t="s">
        <v>113</v>
      </c>
      <c r="V871" s="220">
        <f>792-402</f>
        <v>390</v>
      </c>
      <c r="W871" s="220">
        <f>792-402</f>
        <v>390</v>
      </c>
      <c r="X871" s="221"/>
      <c r="Y871" s="222">
        <f t="shared" si="298"/>
        <v>0</v>
      </c>
      <c r="Z871" s="223">
        <f t="shared" si="299"/>
        <v>0</v>
      </c>
      <c r="AA871" s="223"/>
      <c r="AB871" s="807"/>
      <c r="AC871" s="220"/>
      <c r="AD871" s="209"/>
      <c r="AE871" s="210"/>
      <c r="AF871" s="210"/>
      <c r="AG871" s="211">
        <f t="shared" si="300"/>
        <v>0.308</v>
      </c>
      <c r="AH871" s="157">
        <f t="shared" si="301"/>
        <v>0</v>
      </c>
      <c r="AI871" s="152">
        <f t="shared" si="302"/>
        <v>14040</v>
      </c>
      <c r="AK871" s="156" t="s">
        <v>691</v>
      </c>
      <c r="AL871" s="574" t="s">
        <v>690</v>
      </c>
      <c r="AM871" s="198">
        <f t="shared" si="297"/>
        <v>0</v>
      </c>
      <c r="AN871" s="199">
        <f t="shared" si="292"/>
        <v>45447</v>
      </c>
      <c r="AO871" s="159" t="s">
        <v>692</v>
      </c>
      <c r="AP871" s="781"/>
      <c r="AQ871" s="782">
        <v>12063755</v>
      </c>
      <c r="AR871" s="782">
        <v>12061353</v>
      </c>
      <c r="AS871" s="782">
        <v>12061354</v>
      </c>
      <c r="AT871" s="782">
        <v>12068566</v>
      </c>
      <c r="AU871" s="781"/>
      <c r="AV871" s="782">
        <v>12088206</v>
      </c>
      <c r="AW871" s="782">
        <v>12088207</v>
      </c>
      <c r="AX871" s="782"/>
      <c r="AY871" s="782">
        <v>12068565</v>
      </c>
      <c r="AZ871" s="782"/>
      <c r="BA871" s="781"/>
    </row>
    <row r="872" spans="1:53" ht="25" hidden="1" customHeight="1">
      <c r="B872" s="213">
        <v>45447</v>
      </c>
      <c r="C872" s="633">
        <v>45450</v>
      </c>
      <c r="D872" s="185">
        <f t="shared" si="289"/>
        <v>2024</v>
      </c>
      <c r="E872" s="215" t="str">
        <f>VLOOKUP($B872,Week!$A$1:$C$1462,2,0)</f>
        <v>Week23</v>
      </c>
      <c r="F872" s="216" t="str">
        <f t="shared" si="290"/>
        <v>Jun</v>
      </c>
      <c r="G872" s="215" t="s">
        <v>1225</v>
      </c>
      <c r="H872" s="215" t="s">
        <v>104</v>
      </c>
      <c r="I872" s="215" t="s">
        <v>2772</v>
      </c>
      <c r="J872" s="209" t="s">
        <v>105</v>
      </c>
      <c r="K872" s="217" t="s">
        <v>107</v>
      </c>
      <c r="L872" s="300" t="s">
        <v>2167</v>
      </c>
      <c r="M872" s="209" t="s">
        <v>108</v>
      </c>
      <c r="N872" s="215" t="s">
        <v>109</v>
      </c>
      <c r="O872" s="215" t="s">
        <v>110</v>
      </c>
      <c r="P872" s="218">
        <v>36</v>
      </c>
      <c r="Q872" s="218">
        <v>5</v>
      </c>
      <c r="R872" s="219">
        <v>7.4999999999999997E-3</v>
      </c>
      <c r="S872" s="215" t="s">
        <v>111</v>
      </c>
      <c r="T872" s="215" t="s">
        <v>112</v>
      </c>
      <c r="U872" s="215" t="s">
        <v>113</v>
      </c>
      <c r="V872" s="220">
        <v>792</v>
      </c>
      <c r="W872" s="220">
        <v>792</v>
      </c>
      <c r="X872" s="221"/>
      <c r="Y872" s="222">
        <f t="shared" si="298"/>
        <v>0</v>
      </c>
      <c r="Z872" s="223">
        <f t="shared" si="299"/>
        <v>0</v>
      </c>
      <c r="AA872" s="223"/>
      <c r="AB872" s="807"/>
      <c r="AC872" s="220"/>
      <c r="AD872" s="209"/>
      <c r="AE872" s="210"/>
      <c r="AF872" s="210"/>
      <c r="AG872" s="211">
        <f t="shared" si="300"/>
        <v>0.308</v>
      </c>
      <c r="AH872" s="157">
        <f t="shared" si="301"/>
        <v>0</v>
      </c>
      <c r="AI872" s="152">
        <f t="shared" si="302"/>
        <v>28512</v>
      </c>
      <c r="AK872" s="156" t="s">
        <v>691</v>
      </c>
      <c r="AL872" s="574" t="s">
        <v>690</v>
      </c>
      <c r="AM872" s="198">
        <f t="shared" si="297"/>
        <v>0</v>
      </c>
      <c r="AN872" s="199">
        <f t="shared" si="292"/>
        <v>45447</v>
      </c>
      <c r="AO872" s="159" t="s">
        <v>692</v>
      </c>
      <c r="AP872" s="781"/>
      <c r="AQ872" s="782">
        <v>12063755</v>
      </c>
      <c r="AR872" s="782">
        <v>12061353</v>
      </c>
      <c r="AS872" s="782">
        <v>12061354</v>
      </c>
      <c r="AT872" s="782">
        <v>12068566</v>
      </c>
      <c r="AU872" s="781"/>
      <c r="AV872" s="782">
        <v>12088206</v>
      </c>
      <c r="AW872" s="782">
        <v>12088207</v>
      </c>
      <c r="AX872" s="782"/>
      <c r="AY872" s="782">
        <v>12068565</v>
      </c>
      <c r="AZ872" s="782"/>
      <c r="BA872" s="781"/>
    </row>
    <row r="873" spans="1:53" ht="25" hidden="1" customHeight="1">
      <c r="B873" s="213">
        <v>45447</v>
      </c>
      <c r="C873" s="633">
        <v>45453</v>
      </c>
      <c r="D873" s="185">
        <f t="shared" si="289"/>
        <v>2024</v>
      </c>
      <c r="E873" s="215" t="str">
        <f>VLOOKUP($B873,Week!$A$1:$C$1462,2,0)</f>
        <v>Week23</v>
      </c>
      <c r="F873" s="216" t="str">
        <f t="shared" si="290"/>
        <v>Jun</v>
      </c>
      <c r="G873" s="215" t="s">
        <v>1226</v>
      </c>
      <c r="H873" s="215" t="s">
        <v>104</v>
      </c>
      <c r="I873" s="215" t="s">
        <v>2772</v>
      </c>
      <c r="J873" s="209" t="s">
        <v>105</v>
      </c>
      <c r="K873" s="217" t="s">
        <v>107</v>
      </c>
      <c r="L873" s="300" t="s">
        <v>2167</v>
      </c>
      <c r="M873" s="209" t="s">
        <v>108</v>
      </c>
      <c r="N873" s="215" t="s">
        <v>109</v>
      </c>
      <c r="O873" s="215" t="s">
        <v>110</v>
      </c>
      <c r="P873" s="218">
        <v>36</v>
      </c>
      <c r="Q873" s="218">
        <v>5</v>
      </c>
      <c r="R873" s="219">
        <v>7.4999999999999997E-3</v>
      </c>
      <c r="S873" s="215" t="s">
        <v>111</v>
      </c>
      <c r="T873" s="215" t="s">
        <v>112</v>
      </c>
      <c r="U873" s="215" t="s">
        <v>113</v>
      </c>
      <c r="V873" s="220">
        <v>792</v>
      </c>
      <c r="W873" s="220">
        <v>792</v>
      </c>
      <c r="X873" s="221"/>
      <c r="Y873" s="222">
        <f t="shared" si="298"/>
        <v>0</v>
      </c>
      <c r="Z873" s="223">
        <f t="shared" si="299"/>
        <v>0</v>
      </c>
      <c r="AA873" s="223"/>
      <c r="AB873" s="807"/>
      <c r="AC873" s="220"/>
      <c r="AD873" s="209"/>
      <c r="AE873" s="210"/>
      <c r="AF873" s="210"/>
      <c r="AG873" s="211">
        <f t="shared" si="300"/>
        <v>0.308</v>
      </c>
      <c r="AH873" s="157">
        <f t="shared" si="301"/>
        <v>0</v>
      </c>
      <c r="AI873" s="152">
        <f t="shared" si="302"/>
        <v>28512</v>
      </c>
      <c r="AK873" s="156" t="s">
        <v>691</v>
      </c>
      <c r="AL873" s="574" t="s">
        <v>690</v>
      </c>
      <c r="AM873" s="198">
        <f t="shared" si="297"/>
        <v>0</v>
      </c>
      <c r="AN873" s="199">
        <f t="shared" si="292"/>
        <v>45447</v>
      </c>
      <c r="AO873" s="159" t="s">
        <v>692</v>
      </c>
      <c r="AP873" s="781"/>
      <c r="AQ873" s="782">
        <v>12063755</v>
      </c>
      <c r="AR873" s="782">
        <v>12061353</v>
      </c>
      <c r="AS873" s="782">
        <v>12061354</v>
      </c>
      <c r="AT873" s="782">
        <v>12068566</v>
      </c>
      <c r="AU873" s="781"/>
      <c r="AV873" s="782">
        <v>12088206</v>
      </c>
      <c r="AW873" s="782">
        <v>12088207</v>
      </c>
      <c r="AX873" s="782"/>
      <c r="AY873" s="782">
        <v>12068565</v>
      </c>
      <c r="AZ873" s="782"/>
      <c r="BA873" s="781"/>
    </row>
    <row r="874" spans="1:53" ht="25" hidden="1" customHeight="1">
      <c r="B874" s="213">
        <v>45447</v>
      </c>
      <c r="C874" s="633">
        <v>45453</v>
      </c>
      <c r="D874" s="185">
        <f t="shared" si="289"/>
        <v>2024</v>
      </c>
      <c r="E874" s="215" t="str">
        <f>VLOOKUP($B874,Week!$A$1:$C$1462,2,0)</f>
        <v>Week23</v>
      </c>
      <c r="F874" s="216" t="str">
        <f t="shared" si="290"/>
        <v>Jun</v>
      </c>
      <c r="G874" s="215" t="s">
        <v>1227</v>
      </c>
      <c r="H874" s="215" t="s">
        <v>104</v>
      </c>
      <c r="I874" s="215" t="s">
        <v>2772</v>
      </c>
      <c r="J874" s="209" t="s">
        <v>105</v>
      </c>
      <c r="K874" s="217" t="s">
        <v>107</v>
      </c>
      <c r="L874" s="300" t="s">
        <v>2167</v>
      </c>
      <c r="M874" s="209" t="s">
        <v>108</v>
      </c>
      <c r="N874" s="215" t="s">
        <v>109</v>
      </c>
      <c r="O874" s="215" t="s">
        <v>110</v>
      </c>
      <c r="P874" s="218">
        <v>36</v>
      </c>
      <c r="Q874" s="218">
        <v>5</v>
      </c>
      <c r="R874" s="219">
        <v>7.4999999999999997E-3</v>
      </c>
      <c r="S874" s="215" t="s">
        <v>111</v>
      </c>
      <c r="T874" s="215" t="s">
        <v>112</v>
      </c>
      <c r="U874" s="215" t="s">
        <v>113</v>
      </c>
      <c r="V874" s="220">
        <v>792</v>
      </c>
      <c r="W874" s="220">
        <v>792</v>
      </c>
      <c r="X874" s="221"/>
      <c r="Y874" s="222">
        <f t="shared" si="298"/>
        <v>0</v>
      </c>
      <c r="Z874" s="223">
        <f t="shared" si="299"/>
        <v>0</v>
      </c>
      <c r="AA874" s="223"/>
      <c r="AB874" s="807"/>
      <c r="AC874" s="220"/>
      <c r="AD874" s="209"/>
      <c r="AE874" s="210"/>
      <c r="AF874" s="210"/>
      <c r="AG874" s="211">
        <f t="shared" si="300"/>
        <v>0.308</v>
      </c>
      <c r="AH874" s="157">
        <f t="shared" si="301"/>
        <v>0</v>
      </c>
      <c r="AI874" s="152">
        <f t="shared" si="302"/>
        <v>28512</v>
      </c>
      <c r="AK874" s="156" t="s">
        <v>691</v>
      </c>
      <c r="AL874" s="574" t="s">
        <v>690</v>
      </c>
      <c r="AM874" s="198">
        <f t="shared" si="297"/>
        <v>0</v>
      </c>
      <c r="AN874" s="199">
        <f t="shared" si="292"/>
        <v>45447</v>
      </c>
      <c r="AO874" s="159" t="s">
        <v>692</v>
      </c>
      <c r="AP874" s="781"/>
      <c r="AQ874" s="782">
        <v>12063755</v>
      </c>
      <c r="AR874" s="782">
        <v>12061353</v>
      </c>
      <c r="AS874" s="782">
        <v>12061354</v>
      </c>
      <c r="AT874" s="782">
        <v>12068566</v>
      </c>
      <c r="AU874" s="781"/>
      <c r="AV874" s="782">
        <v>12088206</v>
      </c>
      <c r="AW874" s="782">
        <v>12088207</v>
      </c>
      <c r="AX874" s="782"/>
      <c r="AY874" s="782">
        <v>12068565</v>
      </c>
      <c r="AZ874" s="782"/>
      <c r="BA874" s="781"/>
    </row>
    <row r="875" spans="1:53" ht="25" hidden="1" customHeight="1">
      <c r="B875" s="213">
        <v>45447</v>
      </c>
      <c r="C875" s="633">
        <v>45453</v>
      </c>
      <c r="D875" s="185">
        <f t="shared" si="289"/>
        <v>2024</v>
      </c>
      <c r="E875" s="215" t="str">
        <f>VLOOKUP($B875,Week!$A$1:$C$1462,2,0)</f>
        <v>Week23</v>
      </c>
      <c r="F875" s="216" t="str">
        <f t="shared" si="290"/>
        <v>Jun</v>
      </c>
      <c r="G875" s="215" t="s">
        <v>1228</v>
      </c>
      <c r="H875" s="215" t="s">
        <v>104</v>
      </c>
      <c r="I875" s="215" t="s">
        <v>2772</v>
      </c>
      <c r="J875" s="209" t="s">
        <v>105</v>
      </c>
      <c r="K875" s="217" t="s">
        <v>107</v>
      </c>
      <c r="L875" s="300" t="s">
        <v>2167</v>
      </c>
      <c r="M875" s="209" t="s">
        <v>108</v>
      </c>
      <c r="N875" s="215" t="s">
        <v>109</v>
      </c>
      <c r="O875" s="215" t="s">
        <v>110</v>
      </c>
      <c r="P875" s="218">
        <v>36</v>
      </c>
      <c r="Q875" s="218">
        <v>5</v>
      </c>
      <c r="R875" s="219">
        <v>7.4999999999999997E-3</v>
      </c>
      <c r="S875" s="215" t="s">
        <v>111</v>
      </c>
      <c r="T875" s="215" t="s">
        <v>112</v>
      </c>
      <c r="U875" s="215" t="s">
        <v>113</v>
      </c>
      <c r="V875" s="220">
        <f>3019-390-792-792-792</f>
        <v>253</v>
      </c>
      <c r="W875" s="220">
        <f>3019-390-792-792-792</f>
        <v>253</v>
      </c>
      <c r="X875" s="221"/>
      <c r="Y875" s="222">
        <f t="shared" si="298"/>
        <v>0</v>
      </c>
      <c r="Z875" s="223">
        <f t="shared" si="299"/>
        <v>0</v>
      </c>
      <c r="AA875" s="223"/>
      <c r="AB875" s="807"/>
      <c r="AC875" s="220"/>
      <c r="AD875" s="209"/>
      <c r="AE875" s="210"/>
      <c r="AF875" s="210"/>
      <c r="AG875" s="211">
        <f t="shared" si="300"/>
        <v>0.308</v>
      </c>
      <c r="AH875" s="157">
        <f t="shared" si="301"/>
        <v>0</v>
      </c>
      <c r="AI875" s="152">
        <f t="shared" si="302"/>
        <v>9108</v>
      </c>
      <c r="AK875" s="156" t="s">
        <v>691</v>
      </c>
      <c r="AL875" s="574" t="s">
        <v>690</v>
      </c>
      <c r="AM875" s="198">
        <f t="shared" si="297"/>
        <v>0</v>
      </c>
      <c r="AN875" s="199">
        <f t="shared" si="292"/>
        <v>45447</v>
      </c>
      <c r="AO875" s="159" t="s">
        <v>692</v>
      </c>
      <c r="AP875" s="781"/>
      <c r="AQ875" s="782">
        <v>12063755</v>
      </c>
      <c r="AR875" s="782">
        <v>12061353</v>
      </c>
      <c r="AS875" s="782">
        <v>12061354</v>
      </c>
      <c r="AT875" s="782">
        <v>12068566</v>
      </c>
      <c r="AU875" s="781"/>
      <c r="AV875" s="782">
        <v>12088206</v>
      </c>
      <c r="AW875" s="782">
        <v>12088207</v>
      </c>
      <c r="AX875" s="782"/>
      <c r="AY875" s="782">
        <v>12068565</v>
      </c>
      <c r="AZ875" s="782"/>
      <c r="BA875" s="781"/>
    </row>
    <row r="876" spans="1:53" ht="25" hidden="1" customHeight="1">
      <c r="B876" s="213">
        <v>45448</v>
      </c>
      <c r="C876" s="633">
        <v>45453</v>
      </c>
      <c r="D876" s="185">
        <f t="shared" si="289"/>
        <v>2024</v>
      </c>
      <c r="E876" s="215" t="str">
        <f>VLOOKUP($B876,Week!$A$1:$C$1462,2,0)</f>
        <v>Week23</v>
      </c>
      <c r="F876" s="216" t="str">
        <f t="shared" si="290"/>
        <v>Jun</v>
      </c>
      <c r="G876" s="215" t="s">
        <v>1228</v>
      </c>
      <c r="H876" s="215" t="s">
        <v>104</v>
      </c>
      <c r="I876" s="215" t="s">
        <v>2772</v>
      </c>
      <c r="J876" s="209" t="s">
        <v>105</v>
      </c>
      <c r="K876" s="217" t="s">
        <v>107</v>
      </c>
      <c r="L876" s="300" t="s">
        <v>2167</v>
      </c>
      <c r="M876" s="209" t="s">
        <v>108</v>
      </c>
      <c r="N876" s="215" t="s">
        <v>109</v>
      </c>
      <c r="O876" s="215" t="s">
        <v>110</v>
      </c>
      <c r="P876" s="218">
        <v>36</v>
      </c>
      <c r="Q876" s="218">
        <v>5</v>
      </c>
      <c r="R876" s="219">
        <v>7.4999999999999997E-3</v>
      </c>
      <c r="S876" s="215" t="s">
        <v>111</v>
      </c>
      <c r="T876" s="215" t="s">
        <v>112</v>
      </c>
      <c r="U876" s="215" t="s">
        <v>113</v>
      </c>
      <c r="V876" s="220">
        <f>792-253</f>
        <v>539</v>
      </c>
      <c r="W876" s="220">
        <f>792-253</f>
        <v>539</v>
      </c>
      <c r="X876" s="221"/>
      <c r="Y876" s="222">
        <f t="shared" si="298"/>
        <v>0</v>
      </c>
      <c r="Z876" s="223">
        <f t="shared" si="299"/>
        <v>0</v>
      </c>
      <c r="AA876" s="223"/>
      <c r="AB876" s="807"/>
      <c r="AC876" s="220"/>
      <c r="AD876" s="209"/>
      <c r="AE876" s="210"/>
      <c r="AF876" s="210"/>
      <c r="AG876" s="211">
        <f t="shared" si="300"/>
        <v>0.308</v>
      </c>
      <c r="AH876" s="157">
        <f t="shared" si="301"/>
        <v>0</v>
      </c>
      <c r="AI876" s="152">
        <f t="shared" si="302"/>
        <v>19404</v>
      </c>
      <c r="AK876" s="156" t="s">
        <v>691</v>
      </c>
      <c r="AL876" s="574" t="s">
        <v>690</v>
      </c>
      <c r="AM876" s="198">
        <f t="shared" si="297"/>
        <v>0</v>
      </c>
      <c r="AN876" s="199">
        <f t="shared" si="292"/>
        <v>45448</v>
      </c>
      <c r="AO876" s="159" t="s">
        <v>692</v>
      </c>
      <c r="AP876" s="781"/>
      <c r="AQ876" s="782">
        <v>12063755</v>
      </c>
      <c r="AR876" s="782">
        <v>12061353</v>
      </c>
      <c r="AS876" s="782">
        <v>12061354</v>
      </c>
      <c r="AT876" s="782">
        <v>12068566</v>
      </c>
      <c r="AU876" s="781"/>
      <c r="AV876" s="782">
        <v>12088206</v>
      </c>
      <c r="AW876" s="782">
        <v>12088207</v>
      </c>
      <c r="AX876" s="782"/>
      <c r="AY876" s="782">
        <v>12068565</v>
      </c>
      <c r="AZ876" s="782"/>
      <c r="BA876" s="781"/>
    </row>
    <row r="877" spans="1:53" ht="25" hidden="1" customHeight="1">
      <c r="B877" s="213">
        <v>45448</v>
      </c>
      <c r="C877" s="633">
        <v>45453</v>
      </c>
      <c r="D877" s="185">
        <f t="shared" si="289"/>
        <v>2024</v>
      </c>
      <c r="E877" s="215" t="str">
        <f>VLOOKUP($B877,Week!$A$1:$C$1462,2,0)</f>
        <v>Week23</v>
      </c>
      <c r="F877" s="216" t="str">
        <f t="shared" si="290"/>
        <v>Jun</v>
      </c>
      <c r="G877" s="215" t="s">
        <v>1229</v>
      </c>
      <c r="H877" s="215" t="s">
        <v>104</v>
      </c>
      <c r="I877" s="215" t="s">
        <v>2772</v>
      </c>
      <c r="J877" s="209" t="s">
        <v>105</v>
      </c>
      <c r="K877" s="217" t="s">
        <v>107</v>
      </c>
      <c r="L877" s="300" t="s">
        <v>2167</v>
      </c>
      <c r="M877" s="209" t="s">
        <v>108</v>
      </c>
      <c r="N877" s="215" t="s">
        <v>109</v>
      </c>
      <c r="O877" s="215" t="s">
        <v>110</v>
      </c>
      <c r="P877" s="218">
        <v>36</v>
      </c>
      <c r="Q877" s="218">
        <v>5</v>
      </c>
      <c r="R877" s="219">
        <v>7.4999999999999997E-3</v>
      </c>
      <c r="S877" s="215" t="s">
        <v>111</v>
      </c>
      <c r="T877" s="215" t="s">
        <v>112</v>
      </c>
      <c r="U877" s="215" t="s">
        <v>113</v>
      </c>
      <c r="V877" s="220">
        <v>792</v>
      </c>
      <c r="W877" s="220">
        <v>792</v>
      </c>
      <c r="X877" s="221"/>
      <c r="Y877" s="222">
        <f t="shared" si="298"/>
        <v>0</v>
      </c>
      <c r="Z877" s="223">
        <f t="shared" si="299"/>
        <v>0</v>
      </c>
      <c r="AA877" s="223"/>
      <c r="AB877" s="807"/>
      <c r="AC877" s="220"/>
      <c r="AD877" s="209"/>
      <c r="AE877" s="210"/>
      <c r="AF877" s="210"/>
      <c r="AG877" s="211">
        <f t="shared" si="300"/>
        <v>0.308</v>
      </c>
      <c r="AH877" s="157">
        <f t="shared" si="301"/>
        <v>0</v>
      </c>
      <c r="AI877" s="152">
        <f t="shared" si="302"/>
        <v>28512</v>
      </c>
      <c r="AK877" s="156" t="s">
        <v>691</v>
      </c>
      <c r="AL877" s="574" t="s">
        <v>690</v>
      </c>
      <c r="AM877" s="198">
        <f t="shared" si="297"/>
        <v>0</v>
      </c>
      <c r="AN877" s="199">
        <f t="shared" si="292"/>
        <v>45448</v>
      </c>
      <c r="AO877" s="159" t="s">
        <v>692</v>
      </c>
      <c r="AP877" s="781"/>
      <c r="AQ877" s="782">
        <v>12063755</v>
      </c>
      <c r="AR877" s="782">
        <v>12061353</v>
      </c>
      <c r="AS877" s="782">
        <v>12061354</v>
      </c>
      <c r="AT877" s="782">
        <v>12068566</v>
      </c>
      <c r="AU877" s="781"/>
      <c r="AV877" s="782">
        <v>12088206</v>
      </c>
      <c r="AW877" s="782">
        <v>12088207</v>
      </c>
      <c r="AX877" s="782"/>
      <c r="AY877" s="782">
        <v>12068565</v>
      </c>
      <c r="AZ877" s="782"/>
      <c r="BA877" s="781"/>
    </row>
    <row r="878" spans="1:53" ht="25" hidden="1" customHeight="1">
      <c r="B878" s="213">
        <v>45448</v>
      </c>
      <c r="C878" s="633">
        <v>45453</v>
      </c>
      <c r="D878" s="185">
        <f t="shared" si="289"/>
        <v>2024</v>
      </c>
      <c r="E878" s="215" t="str">
        <f>VLOOKUP($B878,Week!$A$1:$C$1462,2,0)</f>
        <v>Week23</v>
      </c>
      <c r="F878" s="216" t="str">
        <f t="shared" si="290"/>
        <v>Jun</v>
      </c>
      <c r="G878" s="215" t="s">
        <v>1230</v>
      </c>
      <c r="H878" s="215" t="s">
        <v>104</v>
      </c>
      <c r="I878" s="215" t="s">
        <v>2772</v>
      </c>
      <c r="J878" s="209" t="s">
        <v>105</v>
      </c>
      <c r="K878" s="217" t="s">
        <v>107</v>
      </c>
      <c r="L878" s="300" t="s">
        <v>2167</v>
      </c>
      <c r="M878" s="209" t="s">
        <v>108</v>
      </c>
      <c r="N878" s="215" t="s">
        <v>109</v>
      </c>
      <c r="O878" s="215" t="s">
        <v>110</v>
      </c>
      <c r="P878" s="218">
        <v>36</v>
      </c>
      <c r="Q878" s="218">
        <v>5</v>
      </c>
      <c r="R878" s="219">
        <v>7.4999999999999997E-3</v>
      </c>
      <c r="S878" s="215" t="s">
        <v>111</v>
      </c>
      <c r="T878" s="215" t="s">
        <v>112</v>
      </c>
      <c r="U878" s="215" t="s">
        <v>113</v>
      </c>
      <c r="V878" s="220">
        <v>792</v>
      </c>
      <c r="W878" s="220">
        <v>792</v>
      </c>
      <c r="X878" s="221"/>
      <c r="Y878" s="222">
        <f t="shared" si="298"/>
        <v>0</v>
      </c>
      <c r="Z878" s="223">
        <f t="shared" si="299"/>
        <v>0</v>
      </c>
      <c r="AA878" s="223"/>
      <c r="AB878" s="807"/>
      <c r="AC878" s="220"/>
      <c r="AD878" s="209"/>
      <c r="AE878" s="210"/>
      <c r="AF878" s="210"/>
      <c r="AG878" s="211">
        <f t="shared" si="300"/>
        <v>0.308</v>
      </c>
      <c r="AH878" s="157">
        <f t="shared" si="301"/>
        <v>0</v>
      </c>
      <c r="AI878" s="152">
        <f t="shared" si="302"/>
        <v>28512</v>
      </c>
      <c r="AK878" s="156" t="s">
        <v>691</v>
      </c>
      <c r="AL878" s="574" t="s">
        <v>690</v>
      </c>
      <c r="AM878" s="198">
        <f t="shared" si="297"/>
        <v>0</v>
      </c>
      <c r="AN878" s="199">
        <f t="shared" si="292"/>
        <v>45448</v>
      </c>
      <c r="AO878" s="159" t="s">
        <v>692</v>
      </c>
      <c r="AP878" s="781"/>
      <c r="AQ878" s="782">
        <v>12063755</v>
      </c>
      <c r="AR878" s="782">
        <v>12061353</v>
      </c>
      <c r="AS878" s="782">
        <v>12061354</v>
      </c>
      <c r="AT878" s="782">
        <v>12068566</v>
      </c>
      <c r="AU878" s="781"/>
      <c r="AV878" s="782">
        <v>12088206</v>
      </c>
      <c r="AW878" s="782">
        <v>12088207</v>
      </c>
      <c r="AX878" s="782"/>
      <c r="AY878" s="782">
        <v>12068565</v>
      </c>
      <c r="AZ878" s="782"/>
      <c r="BA878" s="781"/>
    </row>
    <row r="879" spans="1:53" ht="25" hidden="1" customHeight="1">
      <c r="B879" s="213">
        <v>45448</v>
      </c>
      <c r="C879" s="633">
        <v>45454</v>
      </c>
      <c r="D879" s="185">
        <f t="shared" si="289"/>
        <v>2024</v>
      </c>
      <c r="E879" s="215" t="str">
        <f>VLOOKUP($B879,Week!$A$1:$C$1462,2,0)</f>
        <v>Week23</v>
      </c>
      <c r="F879" s="216" t="str">
        <f t="shared" si="290"/>
        <v>Jun</v>
      </c>
      <c r="G879" s="215" t="s">
        <v>1231</v>
      </c>
      <c r="H879" s="215" t="s">
        <v>104</v>
      </c>
      <c r="I879" s="215" t="s">
        <v>2772</v>
      </c>
      <c r="J879" s="209" t="s">
        <v>105</v>
      </c>
      <c r="K879" s="217" t="s">
        <v>107</v>
      </c>
      <c r="L879" s="300" t="s">
        <v>2167</v>
      </c>
      <c r="M879" s="209" t="s">
        <v>108</v>
      </c>
      <c r="N879" s="215" t="s">
        <v>109</v>
      </c>
      <c r="O879" s="215" t="s">
        <v>110</v>
      </c>
      <c r="P879" s="218">
        <v>36</v>
      </c>
      <c r="Q879" s="218">
        <v>5</v>
      </c>
      <c r="R879" s="219">
        <v>7.4999999999999997E-3</v>
      </c>
      <c r="S879" s="215" t="s">
        <v>111</v>
      </c>
      <c r="T879" s="215" t="s">
        <v>112</v>
      </c>
      <c r="U879" s="215" t="s">
        <v>113</v>
      </c>
      <c r="V879" s="220">
        <v>792</v>
      </c>
      <c r="W879" s="220">
        <v>792</v>
      </c>
      <c r="X879" s="221"/>
      <c r="Y879" s="222">
        <f t="shared" si="298"/>
        <v>0</v>
      </c>
      <c r="Z879" s="223">
        <f t="shared" si="299"/>
        <v>0</v>
      </c>
      <c r="AA879" s="223"/>
      <c r="AB879" s="807"/>
      <c r="AC879" s="220"/>
      <c r="AD879" s="209"/>
      <c r="AE879" s="210"/>
      <c r="AF879" s="210"/>
      <c r="AG879" s="211">
        <f t="shared" si="300"/>
        <v>0.308</v>
      </c>
      <c r="AH879" s="157">
        <f t="shared" si="301"/>
        <v>0</v>
      </c>
      <c r="AI879" s="152">
        <f t="shared" si="302"/>
        <v>28512</v>
      </c>
      <c r="AK879" s="156" t="s">
        <v>691</v>
      </c>
      <c r="AL879" s="574" t="s">
        <v>690</v>
      </c>
      <c r="AM879" s="198">
        <f t="shared" si="297"/>
        <v>0</v>
      </c>
      <c r="AN879" s="199">
        <f t="shared" si="292"/>
        <v>45448</v>
      </c>
      <c r="AO879" s="159" t="s">
        <v>692</v>
      </c>
      <c r="AP879" s="781"/>
      <c r="AQ879" s="782">
        <v>12063755</v>
      </c>
      <c r="AR879" s="782">
        <v>12061353</v>
      </c>
      <c r="AS879" s="782">
        <v>12061354</v>
      </c>
      <c r="AT879" s="782">
        <v>12068566</v>
      </c>
      <c r="AU879" s="781"/>
      <c r="AV879" s="782">
        <v>12088206</v>
      </c>
      <c r="AW879" s="782">
        <v>12088207</v>
      </c>
      <c r="AX879" s="782"/>
      <c r="AY879" s="782">
        <v>12068565</v>
      </c>
      <c r="AZ879" s="782"/>
      <c r="BA879" s="781"/>
    </row>
    <row r="880" spans="1:53" ht="25" hidden="1" customHeight="1">
      <c r="B880" s="213">
        <v>45448</v>
      </c>
      <c r="C880" s="633">
        <v>45454</v>
      </c>
      <c r="D880" s="185">
        <f t="shared" si="289"/>
        <v>2024</v>
      </c>
      <c r="E880" s="215" t="str">
        <f>VLOOKUP($B880,Week!$A$1:$C$1462,2,0)</f>
        <v>Week23</v>
      </c>
      <c r="F880" s="216" t="str">
        <f t="shared" si="290"/>
        <v>Jun</v>
      </c>
      <c r="G880" s="215" t="s">
        <v>1232</v>
      </c>
      <c r="H880" s="215" t="s">
        <v>104</v>
      </c>
      <c r="I880" s="215" t="s">
        <v>2772</v>
      </c>
      <c r="J880" s="209" t="s">
        <v>105</v>
      </c>
      <c r="K880" s="217" t="s">
        <v>107</v>
      </c>
      <c r="L880" s="300" t="s">
        <v>2167</v>
      </c>
      <c r="M880" s="209" t="s">
        <v>108</v>
      </c>
      <c r="N880" s="215" t="s">
        <v>109</v>
      </c>
      <c r="O880" s="215" t="s">
        <v>110</v>
      </c>
      <c r="P880" s="218">
        <v>36</v>
      </c>
      <c r="Q880" s="218">
        <v>5</v>
      </c>
      <c r="R880" s="219">
        <v>7.4999999999999997E-3</v>
      </c>
      <c r="S880" s="215" t="s">
        <v>111</v>
      </c>
      <c r="T880" s="215" t="s">
        <v>112</v>
      </c>
      <c r="U880" s="215" t="s">
        <v>113</v>
      </c>
      <c r="V880" s="220">
        <f>3492-539-792-792-792-101</f>
        <v>476</v>
      </c>
      <c r="W880" s="220">
        <f>3492-539-792-792-792-101</f>
        <v>476</v>
      </c>
      <c r="X880" s="221"/>
      <c r="Y880" s="222">
        <f t="shared" si="298"/>
        <v>0</v>
      </c>
      <c r="Z880" s="223">
        <f t="shared" si="299"/>
        <v>0</v>
      </c>
      <c r="AA880" s="223"/>
      <c r="AB880" s="807"/>
      <c r="AC880" s="220"/>
      <c r="AD880" s="209"/>
      <c r="AE880" s="210"/>
      <c r="AF880" s="210"/>
      <c r="AG880" s="211">
        <f t="shared" si="300"/>
        <v>0.308</v>
      </c>
      <c r="AH880" s="157">
        <f t="shared" ref="AH880:AH885" si="303">(Z880*AG880)/1000</f>
        <v>0</v>
      </c>
      <c r="AI880" s="152">
        <f t="shared" si="302"/>
        <v>17136</v>
      </c>
      <c r="AK880" s="156" t="s">
        <v>691</v>
      </c>
      <c r="AL880" s="574" t="s">
        <v>690</v>
      </c>
      <c r="AM880" s="198">
        <f t="shared" si="297"/>
        <v>0</v>
      </c>
      <c r="AN880" s="199">
        <f t="shared" si="292"/>
        <v>45448</v>
      </c>
      <c r="AO880" s="159" t="s">
        <v>692</v>
      </c>
      <c r="AP880" s="781"/>
      <c r="AQ880" s="782">
        <v>12063755</v>
      </c>
      <c r="AR880" s="782">
        <v>12061353</v>
      </c>
      <c r="AS880" s="782">
        <v>12061354</v>
      </c>
      <c r="AT880" s="782">
        <v>12068566</v>
      </c>
      <c r="AU880" s="781"/>
      <c r="AV880" s="782">
        <v>12088206</v>
      </c>
      <c r="AW880" s="782">
        <v>12088207</v>
      </c>
      <c r="AX880" s="782"/>
      <c r="AY880" s="782">
        <v>12068565</v>
      </c>
      <c r="AZ880" s="782"/>
      <c r="BA880" s="781"/>
    </row>
    <row r="881" spans="1:53" ht="25.15" hidden="1" customHeight="1">
      <c r="B881" s="345">
        <v>45449</v>
      </c>
      <c r="C881" s="346">
        <v>45468</v>
      </c>
      <c r="D881" s="185">
        <f t="shared" si="289"/>
        <v>2024</v>
      </c>
      <c r="E881" s="347" t="str">
        <f>VLOOKUP($B881,Week!$A$1:$C$1462,2,0)</f>
        <v>Week23</v>
      </c>
      <c r="F881" s="348" t="str">
        <f t="shared" si="290"/>
        <v>Jun</v>
      </c>
      <c r="G881" s="347" t="s">
        <v>1124</v>
      </c>
      <c r="H881" s="347" t="s">
        <v>424</v>
      </c>
      <c r="I881" s="347" t="s">
        <v>2772</v>
      </c>
      <c r="J881" s="438" t="s">
        <v>425</v>
      </c>
      <c r="K881" s="350" t="s">
        <v>176</v>
      </c>
      <c r="L881" s="300" t="s">
        <v>2167</v>
      </c>
      <c r="M881" s="349" t="s">
        <v>426</v>
      </c>
      <c r="N881" s="347" t="s">
        <v>427</v>
      </c>
      <c r="O881" s="347" t="s">
        <v>599</v>
      </c>
      <c r="P881" s="351">
        <v>36</v>
      </c>
      <c r="Q881" s="351">
        <v>5</v>
      </c>
      <c r="R881" s="352">
        <v>7.4999999999999997E-3</v>
      </c>
      <c r="S881" s="347" t="s">
        <v>111</v>
      </c>
      <c r="T881" s="347" t="s">
        <v>112</v>
      </c>
      <c r="U881" s="347" t="s">
        <v>57</v>
      </c>
      <c r="V881" s="353">
        <v>1288</v>
      </c>
      <c r="W881" s="353">
        <f>43+1245</f>
        <v>1288</v>
      </c>
      <c r="X881" s="354"/>
      <c r="Y881" s="355">
        <f t="shared" si="298"/>
        <v>0</v>
      </c>
      <c r="Z881" s="356">
        <f t="shared" si="299"/>
        <v>0</v>
      </c>
      <c r="AA881" s="353"/>
      <c r="AB881" s="818"/>
      <c r="AC881" s="353"/>
      <c r="AD881" s="307" t="s">
        <v>728</v>
      </c>
      <c r="AE881" s="210"/>
      <c r="AF881" s="210"/>
      <c r="AG881" s="211">
        <f t="shared" si="300"/>
        <v>0.14799999999999999</v>
      </c>
      <c r="AH881" s="157">
        <f t="shared" si="303"/>
        <v>0</v>
      </c>
      <c r="AI881" s="152">
        <f t="shared" si="302"/>
        <v>46368</v>
      </c>
      <c r="AK881" s="156" t="s">
        <v>691</v>
      </c>
      <c r="AL881" s="574" t="s">
        <v>690</v>
      </c>
      <c r="AM881" s="198">
        <f t="shared" si="297"/>
        <v>0</v>
      </c>
      <c r="AN881" s="199">
        <f t="shared" si="292"/>
        <v>45449</v>
      </c>
      <c r="AO881" s="159" t="s">
        <v>692</v>
      </c>
      <c r="AP881" s="783" t="s">
        <v>609</v>
      </c>
      <c r="AQ881" s="782">
        <v>12071839</v>
      </c>
      <c r="AR881" s="782">
        <v>12047514</v>
      </c>
      <c r="AS881" s="782">
        <v>12047515</v>
      </c>
      <c r="AT881" s="782">
        <v>12062098</v>
      </c>
      <c r="AU881" s="782"/>
      <c r="AV881" s="782">
        <v>12062100</v>
      </c>
      <c r="AW881" s="782">
        <v>12024404</v>
      </c>
      <c r="AX881" s="781"/>
      <c r="AY881" s="782">
        <v>12062116</v>
      </c>
      <c r="AZ881" s="782"/>
      <c r="BA881" s="781"/>
    </row>
    <row r="882" spans="1:53" ht="25" hidden="1" customHeight="1">
      <c r="B882" s="597">
        <v>45449</v>
      </c>
      <c r="C882" s="383">
        <v>45456</v>
      </c>
      <c r="D882" s="185">
        <f t="shared" si="289"/>
        <v>2024</v>
      </c>
      <c r="E882" s="224" t="str">
        <f>VLOOKUP($B882,Week!$A$1:$C$1462,2,0)</f>
        <v>Week23</v>
      </c>
      <c r="F882" s="226" t="str">
        <f t="shared" si="290"/>
        <v>Jun</v>
      </c>
      <c r="G882" s="225" t="s">
        <v>1268</v>
      </c>
      <c r="H882" s="225" t="s">
        <v>225</v>
      </c>
      <c r="I882" s="225" t="s">
        <v>2773</v>
      </c>
      <c r="J882" s="227" t="s">
        <v>335</v>
      </c>
      <c r="K882" s="228" t="s">
        <v>176</v>
      </c>
      <c r="L882" s="300" t="s">
        <v>2167</v>
      </c>
      <c r="M882" s="227" t="s">
        <v>336</v>
      </c>
      <c r="N882" s="225" t="s">
        <v>337</v>
      </c>
      <c r="O882" s="225" t="s">
        <v>179</v>
      </c>
      <c r="P882" s="229">
        <v>36</v>
      </c>
      <c r="Q882" s="229">
        <v>5</v>
      </c>
      <c r="R882" s="230">
        <v>7.4999999999999997E-3</v>
      </c>
      <c r="S882" s="225" t="s">
        <v>111</v>
      </c>
      <c r="T882" s="225" t="s">
        <v>112</v>
      </c>
      <c r="U882" s="225" t="s">
        <v>113</v>
      </c>
      <c r="V882" s="231">
        <f>1288-1234</f>
        <v>54</v>
      </c>
      <c r="W882" s="231">
        <f>1+53</f>
        <v>54</v>
      </c>
      <c r="X882" s="232"/>
      <c r="Y882" s="233">
        <f t="shared" si="298"/>
        <v>0</v>
      </c>
      <c r="Z882" s="234">
        <f t="shared" si="299"/>
        <v>0</v>
      </c>
      <c r="AA882" s="234"/>
      <c r="AB882" s="822"/>
      <c r="AC882" s="231"/>
      <c r="AD882" s="307" t="s">
        <v>672</v>
      </c>
      <c r="AE882" s="210"/>
      <c r="AF882" s="210"/>
      <c r="AG882" s="211">
        <f t="shared" si="300"/>
        <v>0.14499999999999999</v>
      </c>
      <c r="AH882" s="157">
        <f t="shared" si="303"/>
        <v>0</v>
      </c>
      <c r="AI882" s="152">
        <f t="shared" si="302"/>
        <v>1944</v>
      </c>
      <c r="AK882" s="156" t="s">
        <v>691</v>
      </c>
      <c r="AL882" s="574" t="s">
        <v>690</v>
      </c>
      <c r="AM882" s="198">
        <f t="shared" si="297"/>
        <v>0</v>
      </c>
      <c r="AN882" s="199">
        <f t="shared" si="292"/>
        <v>45449</v>
      </c>
      <c r="AO882" s="159" t="s">
        <v>692</v>
      </c>
      <c r="AP882" s="783" t="s">
        <v>639</v>
      </c>
      <c r="AQ882" s="782">
        <v>12071839</v>
      </c>
      <c r="AR882" s="782">
        <v>12047514</v>
      </c>
      <c r="AS882" s="782">
        <v>12047515</v>
      </c>
      <c r="AT882" s="782">
        <v>12054919</v>
      </c>
      <c r="AU882" s="781"/>
      <c r="AV882" s="782">
        <v>12054869</v>
      </c>
      <c r="AW882" s="782">
        <v>12024404</v>
      </c>
      <c r="AX882" s="781"/>
      <c r="AY882" s="782">
        <v>12054815</v>
      </c>
      <c r="AZ882" s="781"/>
      <c r="BA882" s="781"/>
    </row>
    <row r="883" spans="1:53" ht="25" hidden="1" customHeight="1">
      <c r="B883" s="597">
        <v>45449</v>
      </c>
      <c r="C883" s="383">
        <v>45456</v>
      </c>
      <c r="D883" s="185">
        <f t="shared" si="289"/>
        <v>2024</v>
      </c>
      <c r="E883" s="224" t="str">
        <f>VLOOKUP($B883,Week!$A$1:$C$1462,2,0)</f>
        <v>Week23</v>
      </c>
      <c r="F883" s="226" t="str">
        <f t="shared" si="290"/>
        <v>Jun</v>
      </c>
      <c r="G883" s="225" t="s">
        <v>1267</v>
      </c>
      <c r="H883" s="225" t="s">
        <v>225</v>
      </c>
      <c r="I883" s="225" t="s">
        <v>2773</v>
      </c>
      <c r="J883" s="227" t="s">
        <v>335</v>
      </c>
      <c r="K883" s="228" t="s">
        <v>176</v>
      </c>
      <c r="L883" s="300" t="s">
        <v>2167</v>
      </c>
      <c r="M883" s="227" t="s">
        <v>336</v>
      </c>
      <c r="N883" s="225" t="s">
        <v>337</v>
      </c>
      <c r="O883" s="225" t="s">
        <v>179</v>
      </c>
      <c r="P883" s="229">
        <v>36</v>
      </c>
      <c r="Q883" s="229">
        <v>5</v>
      </c>
      <c r="R883" s="230">
        <v>7.4999999999999997E-3</v>
      </c>
      <c r="S883" s="225" t="s">
        <v>111</v>
      </c>
      <c r="T883" s="225" t="s">
        <v>112</v>
      </c>
      <c r="U883" s="225" t="s">
        <v>113</v>
      </c>
      <c r="V883" s="231">
        <v>1288</v>
      </c>
      <c r="W883" s="231">
        <v>1288</v>
      </c>
      <c r="X883" s="232"/>
      <c r="Y883" s="233">
        <f t="shared" si="298"/>
        <v>0</v>
      </c>
      <c r="Z883" s="234">
        <f t="shared" si="299"/>
        <v>0</v>
      </c>
      <c r="AA883" s="234"/>
      <c r="AB883" s="822"/>
      <c r="AC883" s="231"/>
      <c r="AD883" s="307" t="s">
        <v>672</v>
      </c>
      <c r="AE883" s="210"/>
      <c r="AF883" s="210"/>
      <c r="AG883" s="211">
        <f t="shared" si="300"/>
        <v>0.14499999999999999</v>
      </c>
      <c r="AH883" s="157">
        <f t="shared" si="303"/>
        <v>0</v>
      </c>
      <c r="AI883" s="152">
        <f t="shared" si="302"/>
        <v>46368</v>
      </c>
      <c r="AK883" s="156" t="s">
        <v>691</v>
      </c>
      <c r="AL883" s="574" t="s">
        <v>690</v>
      </c>
      <c r="AM883" s="198">
        <f t="shared" si="297"/>
        <v>0</v>
      </c>
      <c r="AN883" s="199">
        <f t="shared" si="292"/>
        <v>45449</v>
      </c>
      <c r="AO883" s="159" t="s">
        <v>692</v>
      </c>
      <c r="AP883" s="783" t="s">
        <v>639</v>
      </c>
      <c r="AQ883" s="782">
        <v>12071839</v>
      </c>
      <c r="AR883" s="782">
        <v>12047514</v>
      </c>
      <c r="AS883" s="782">
        <v>12047515</v>
      </c>
      <c r="AT883" s="782">
        <v>12054919</v>
      </c>
      <c r="AU883" s="781"/>
      <c r="AV883" s="782">
        <v>12054869</v>
      </c>
      <c r="AW883" s="782">
        <v>12024404</v>
      </c>
      <c r="AX883" s="781"/>
      <c r="AY883" s="782">
        <v>12054815</v>
      </c>
      <c r="AZ883" s="781"/>
      <c r="BA883" s="781"/>
    </row>
    <row r="884" spans="1:53" ht="25" hidden="1" customHeight="1">
      <c r="B884" s="597">
        <v>45449</v>
      </c>
      <c r="C884" s="383">
        <v>45463</v>
      </c>
      <c r="D884" s="185">
        <f t="shared" si="289"/>
        <v>2024</v>
      </c>
      <c r="E884" s="224" t="str">
        <f>VLOOKUP($B884,Week!$A$1:$C$1462,2,0)</f>
        <v>Week23</v>
      </c>
      <c r="F884" s="226" t="str">
        <f t="shared" si="290"/>
        <v>Jun</v>
      </c>
      <c r="G884" s="225" t="s">
        <v>1269</v>
      </c>
      <c r="H884" s="225" t="s">
        <v>225</v>
      </c>
      <c r="I884" s="225" t="s">
        <v>2773</v>
      </c>
      <c r="J884" s="227" t="s">
        <v>335</v>
      </c>
      <c r="K884" s="228" t="s">
        <v>176</v>
      </c>
      <c r="L884" s="300" t="s">
        <v>2167</v>
      </c>
      <c r="M884" s="227" t="s">
        <v>336</v>
      </c>
      <c r="N884" s="225" t="s">
        <v>337</v>
      </c>
      <c r="O884" s="225" t="s">
        <v>179</v>
      </c>
      <c r="P884" s="229">
        <v>36</v>
      </c>
      <c r="Q884" s="229">
        <v>5</v>
      </c>
      <c r="R884" s="230">
        <v>7.4999999999999997E-3</v>
      </c>
      <c r="S884" s="225" t="s">
        <v>111</v>
      </c>
      <c r="T884" s="225" t="s">
        <v>112</v>
      </c>
      <c r="U884" s="225" t="s">
        <v>113</v>
      </c>
      <c r="V884" s="231">
        <f>2231-53-1288+7</f>
        <v>897</v>
      </c>
      <c r="W884" s="231">
        <f>2231-53-1288+7</f>
        <v>897</v>
      </c>
      <c r="X884" s="232"/>
      <c r="Y884" s="233">
        <f t="shared" si="298"/>
        <v>0</v>
      </c>
      <c r="Z884" s="234">
        <f t="shared" si="299"/>
        <v>0</v>
      </c>
      <c r="AA884" s="234"/>
      <c r="AB884" s="822"/>
      <c r="AC884" s="231"/>
      <c r="AD884" s="307" t="s">
        <v>672</v>
      </c>
      <c r="AE884" s="210"/>
      <c r="AF884" s="210"/>
      <c r="AG884" s="211">
        <f t="shared" si="300"/>
        <v>0.14499999999999999</v>
      </c>
      <c r="AH884" s="157">
        <f t="shared" si="303"/>
        <v>0</v>
      </c>
      <c r="AI884" s="152">
        <f t="shared" si="302"/>
        <v>32292</v>
      </c>
      <c r="AK884" s="156" t="s">
        <v>691</v>
      </c>
      <c r="AL884" s="574" t="s">
        <v>690</v>
      </c>
      <c r="AM884" s="198">
        <f t="shared" si="297"/>
        <v>0</v>
      </c>
      <c r="AN884" s="199">
        <f t="shared" si="292"/>
        <v>45449</v>
      </c>
      <c r="AO884" s="159" t="s">
        <v>692</v>
      </c>
      <c r="AP884" s="783" t="s">
        <v>639</v>
      </c>
      <c r="AQ884" s="782">
        <v>12071839</v>
      </c>
      <c r="AR884" s="782">
        <v>12047514</v>
      </c>
      <c r="AS884" s="782">
        <v>12047515</v>
      </c>
      <c r="AT884" s="782">
        <v>12054919</v>
      </c>
      <c r="AU884" s="781"/>
      <c r="AV884" s="782">
        <v>12054869</v>
      </c>
      <c r="AW884" s="782">
        <v>12024404</v>
      </c>
      <c r="AX884" s="781"/>
      <c r="AY884" s="782">
        <v>12054815</v>
      </c>
      <c r="AZ884" s="781"/>
      <c r="BA884" s="781"/>
    </row>
    <row r="885" spans="1:53" ht="25" hidden="1" customHeight="1">
      <c r="B885" s="581">
        <v>45449</v>
      </c>
      <c r="C885" s="332">
        <v>45458</v>
      </c>
      <c r="D885" s="185">
        <f t="shared" si="289"/>
        <v>2024</v>
      </c>
      <c r="E885" s="333" t="str">
        <f>VLOOKUP($B885,Week!$A$1:$C$1462,2,0)</f>
        <v>Week23</v>
      </c>
      <c r="F885" s="334" t="str">
        <f t="shared" si="290"/>
        <v>Jun</v>
      </c>
      <c r="G885" s="530" t="s">
        <v>1503</v>
      </c>
      <c r="H885" s="335" t="s">
        <v>82</v>
      </c>
      <c r="I885" s="335" t="s">
        <v>82</v>
      </c>
      <c r="J885" s="336" t="s">
        <v>235</v>
      </c>
      <c r="K885" s="337" t="s">
        <v>1643</v>
      </c>
      <c r="L885" s="300" t="s">
        <v>2167</v>
      </c>
      <c r="M885" s="336" t="s">
        <v>336</v>
      </c>
      <c r="N885" s="530" t="s">
        <v>1018</v>
      </c>
      <c r="O885" s="335" t="s">
        <v>743</v>
      </c>
      <c r="P885" s="338">
        <v>36</v>
      </c>
      <c r="Q885" s="338">
        <v>5</v>
      </c>
      <c r="R885" s="339">
        <v>7.4999999999999997E-3</v>
      </c>
      <c r="S885" s="335" t="s">
        <v>40</v>
      </c>
      <c r="T885" s="335" t="s">
        <v>112</v>
      </c>
      <c r="U885" s="340" t="s">
        <v>721</v>
      </c>
      <c r="V885" s="341">
        <v>390</v>
      </c>
      <c r="W885" s="341">
        <f>5+385</f>
        <v>390</v>
      </c>
      <c r="X885" s="342"/>
      <c r="Y885" s="343">
        <f t="shared" si="298"/>
        <v>0</v>
      </c>
      <c r="Z885" s="344">
        <f t="shared" si="299"/>
        <v>0</v>
      </c>
      <c r="AA885" s="344"/>
      <c r="AB885" s="817"/>
      <c r="AC885" s="341"/>
      <c r="AD885" s="209"/>
      <c r="AE885" s="210"/>
      <c r="AF885" s="210"/>
      <c r="AG885" s="211">
        <f t="shared" si="300"/>
        <v>0.14699999999999999</v>
      </c>
      <c r="AH885" s="157">
        <f t="shared" si="303"/>
        <v>0</v>
      </c>
      <c r="AI885" s="152">
        <f t="shared" si="302"/>
        <v>14040</v>
      </c>
      <c r="AK885" s="156" t="s">
        <v>691</v>
      </c>
      <c r="AL885" s="574" t="s">
        <v>690</v>
      </c>
      <c r="AM885" s="198">
        <f t="shared" si="297"/>
        <v>0</v>
      </c>
      <c r="AN885" s="199">
        <f t="shared" si="292"/>
        <v>45449</v>
      </c>
      <c r="AO885" s="159" t="s">
        <v>692</v>
      </c>
      <c r="AP885" s="783" t="s">
        <v>639</v>
      </c>
      <c r="AQ885" s="782">
        <v>12071839</v>
      </c>
      <c r="AR885" s="782">
        <v>12047514</v>
      </c>
      <c r="AS885" s="782">
        <v>12047515</v>
      </c>
      <c r="AT885" s="782">
        <v>12090591</v>
      </c>
      <c r="AU885" s="781"/>
      <c r="AV885" s="782">
        <v>12090590</v>
      </c>
      <c r="AW885" s="782">
        <v>12024404</v>
      </c>
      <c r="AX885" s="781"/>
      <c r="AY885" s="782">
        <v>12090589</v>
      </c>
      <c r="AZ885" s="781"/>
      <c r="BA885" s="781"/>
    </row>
    <row r="886" spans="1:53" ht="24.75" hidden="1" customHeight="1">
      <c r="B886" s="295">
        <v>45450</v>
      </c>
      <c r="C886" s="296">
        <v>45453</v>
      </c>
      <c r="D886" s="185">
        <f t="shared" si="289"/>
        <v>2024</v>
      </c>
      <c r="E886" s="296" t="str">
        <f>VLOOKUP($B886,Week!$A$1:$C$1462,2,0)</f>
        <v>Week23</v>
      </c>
      <c r="F886" s="297" t="str">
        <f t="shared" si="290"/>
        <v>Jun</v>
      </c>
      <c r="G886" s="298" t="s">
        <v>47</v>
      </c>
      <c r="H886" s="298" t="s">
        <v>260</v>
      </c>
      <c r="I886" s="298" t="s">
        <v>2702</v>
      </c>
      <c r="J886" s="307" t="s">
        <v>904</v>
      </c>
      <c r="K886" s="300" t="s">
        <v>176</v>
      </c>
      <c r="L886" s="300" t="s">
        <v>2167</v>
      </c>
      <c r="M886" s="299" t="s">
        <v>262</v>
      </c>
      <c r="N886" s="298" t="s">
        <v>350</v>
      </c>
      <c r="O886" s="298" t="s">
        <v>351</v>
      </c>
      <c r="P886" s="301">
        <v>24</v>
      </c>
      <c r="Q886" s="301">
        <v>5</v>
      </c>
      <c r="R886" s="302">
        <v>6.1999999999999998E-3</v>
      </c>
      <c r="S886" s="298" t="s">
        <v>352</v>
      </c>
      <c r="T886" s="298" t="s">
        <v>56</v>
      </c>
      <c r="U886" s="298" t="s">
        <v>57</v>
      </c>
      <c r="V886" s="303">
        <f>2808</f>
        <v>2808</v>
      </c>
      <c r="W886" s="303">
        <f>2808</f>
        <v>2808</v>
      </c>
      <c r="X886" s="304"/>
      <c r="Y886" s="305">
        <f t="shared" si="298"/>
        <v>0</v>
      </c>
      <c r="Z886" s="306">
        <f t="shared" si="299"/>
        <v>0</v>
      </c>
      <c r="AA886" s="306"/>
      <c r="AB886" s="814"/>
      <c r="AC886" s="303"/>
      <c r="AD886" s="580" t="s">
        <v>672</v>
      </c>
      <c r="AE886" s="210"/>
      <c r="AF886" s="210"/>
      <c r="AG886" s="211">
        <f t="shared" si="300"/>
        <v>0.13</v>
      </c>
      <c r="AH886" s="157">
        <f t="shared" ref="AH886:AH895" si="304">(Z886*AG886)/1000</f>
        <v>0</v>
      </c>
      <c r="AI886" s="152">
        <f t="shared" si="302"/>
        <v>67392</v>
      </c>
      <c r="AK886" s="156" t="s">
        <v>691</v>
      </c>
      <c r="AL886" s="574" t="s">
        <v>690</v>
      </c>
      <c r="AM886" s="198">
        <f t="shared" si="297"/>
        <v>0</v>
      </c>
      <c r="AN886" s="199">
        <f t="shared" si="292"/>
        <v>45450</v>
      </c>
      <c r="AO886" s="159" t="s">
        <v>692</v>
      </c>
      <c r="AP886" s="783" t="s">
        <v>629</v>
      </c>
      <c r="AQ886" s="782">
        <v>12071839</v>
      </c>
      <c r="AR886" s="782">
        <v>12078867</v>
      </c>
      <c r="AS886" s="782">
        <v>12068233</v>
      </c>
      <c r="AT886" s="781"/>
      <c r="AU886" s="781"/>
      <c r="AV886" s="782">
        <v>12062075</v>
      </c>
      <c r="AW886" s="781"/>
      <c r="AX886" s="781"/>
      <c r="AY886" s="782">
        <v>12078867</v>
      </c>
      <c r="AZ886" s="781"/>
      <c r="BA886" s="781"/>
    </row>
    <row r="887" spans="1:53" ht="24.65" hidden="1" customHeight="1">
      <c r="B887" s="424">
        <v>45450</v>
      </c>
      <c r="C887" s="425"/>
      <c r="D887" s="185">
        <f t="shared" si="289"/>
        <v>2024</v>
      </c>
      <c r="E887" s="425" t="str">
        <f>VLOOKUP($B887,Week!$A$1:$C$1462,2,0)</f>
        <v>Week23</v>
      </c>
      <c r="F887" s="426" t="str">
        <f t="shared" si="290"/>
        <v>Jun</v>
      </c>
      <c r="G887" s="427" t="s">
        <v>47</v>
      </c>
      <c r="H887" s="427" t="s">
        <v>260</v>
      </c>
      <c r="I887" s="427" t="s">
        <v>2702</v>
      </c>
      <c r="J887" s="428" t="s">
        <v>70</v>
      </c>
      <c r="K887" s="429" t="s">
        <v>1646</v>
      </c>
      <c r="L887" s="300" t="s">
        <v>2167</v>
      </c>
      <c r="M887" s="428" t="s">
        <v>1116</v>
      </c>
      <c r="N887" s="427" t="s">
        <v>1302</v>
      </c>
      <c r="O887" s="427" t="s">
        <v>668</v>
      </c>
      <c r="P887" s="430">
        <v>12</v>
      </c>
      <c r="Q887" s="430">
        <v>3</v>
      </c>
      <c r="R887" s="431">
        <v>6.1999999999999998E-3</v>
      </c>
      <c r="S887" s="427" t="s">
        <v>352</v>
      </c>
      <c r="T887" s="427" t="s">
        <v>56</v>
      </c>
      <c r="U887" s="427" t="s">
        <v>669</v>
      </c>
      <c r="V887" s="628">
        <f>6596</f>
        <v>6596</v>
      </c>
      <c r="W887" s="432">
        <f>6596</f>
        <v>6596</v>
      </c>
      <c r="X887" s="433"/>
      <c r="Y887" s="434">
        <f t="shared" si="298"/>
        <v>0</v>
      </c>
      <c r="Z887" s="435">
        <f t="shared" si="299"/>
        <v>0</v>
      </c>
      <c r="AA887" s="435"/>
      <c r="AB887" s="826"/>
      <c r="AC887" s="432"/>
      <c r="AD887" s="209" t="s">
        <v>1508</v>
      </c>
      <c r="AE887" s="210"/>
      <c r="AF887" s="210"/>
      <c r="AG887" s="211">
        <f t="shared" si="300"/>
        <v>0.21099999999999999</v>
      </c>
      <c r="AH887" s="157">
        <f t="shared" si="304"/>
        <v>0</v>
      </c>
      <c r="AI887" s="152">
        <f t="shared" si="302"/>
        <v>79152</v>
      </c>
      <c r="AK887" s="156" t="s">
        <v>691</v>
      </c>
      <c r="AL887" s="212" t="s">
        <v>690</v>
      </c>
      <c r="AM887" s="198">
        <f t="shared" si="297"/>
        <v>0</v>
      </c>
      <c r="AN887" s="199">
        <f t="shared" si="292"/>
        <v>45450</v>
      </c>
      <c r="AO887" s="159" t="s">
        <v>692</v>
      </c>
      <c r="AP887" s="783" t="s">
        <v>623</v>
      </c>
      <c r="AQ887" s="782">
        <v>12071839</v>
      </c>
      <c r="AR887" s="782">
        <v>12042650</v>
      </c>
      <c r="AS887" s="782">
        <v>12042649</v>
      </c>
      <c r="AT887" s="782"/>
      <c r="AU887" s="781"/>
      <c r="AV887" s="782">
        <v>12090991</v>
      </c>
      <c r="AW887" s="782"/>
      <c r="AX887" s="782"/>
      <c r="AY887" s="782">
        <v>12090992</v>
      </c>
      <c r="AZ887" s="782">
        <v>12090990</v>
      </c>
      <c r="BA887" s="781"/>
    </row>
    <row r="888" spans="1:53" ht="25" hidden="1" customHeight="1">
      <c r="A888" s="142" t="s">
        <v>120</v>
      </c>
      <c r="B888" s="385">
        <v>45450</v>
      </c>
      <c r="C888" s="386">
        <v>45496</v>
      </c>
      <c r="D888" s="185">
        <f t="shared" si="289"/>
        <v>2024</v>
      </c>
      <c r="E888" s="386" t="str">
        <f>VLOOKUP($B888,Week!$A$1:$C$1462,2,0)</f>
        <v>Week23</v>
      </c>
      <c r="F888" s="387" t="str">
        <f t="shared" si="290"/>
        <v>Jun</v>
      </c>
      <c r="G888" s="388" t="s">
        <v>1119</v>
      </c>
      <c r="H888" s="388" t="s">
        <v>500</v>
      </c>
      <c r="I888" s="388" t="s">
        <v>2772</v>
      </c>
      <c r="J888" s="389" t="s">
        <v>285</v>
      </c>
      <c r="K888" s="390" t="s">
        <v>153</v>
      </c>
      <c r="L888" s="390" t="s">
        <v>2166</v>
      </c>
      <c r="M888" s="389" t="s">
        <v>165</v>
      </c>
      <c r="N888" s="388" t="s">
        <v>286</v>
      </c>
      <c r="O888" s="388" t="s">
        <v>503</v>
      </c>
      <c r="P888" s="391">
        <v>40</v>
      </c>
      <c r="Q888" s="391">
        <v>12</v>
      </c>
      <c r="R888" s="392">
        <v>6.8100000000000001E-3</v>
      </c>
      <c r="S888" s="388" t="s">
        <v>76</v>
      </c>
      <c r="T888" s="388" t="s">
        <v>56</v>
      </c>
      <c r="U888" s="388" t="s">
        <v>89</v>
      </c>
      <c r="V888" s="393">
        <f>523</f>
        <v>523</v>
      </c>
      <c r="W888" s="393">
        <v>523</v>
      </c>
      <c r="X888" s="394"/>
      <c r="Y888" s="395">
        <f t="shared" si="298"/>
        <v>0</v>
      </c>
      <c r="Z888" s="396">
        <f t="shared" si="299"/>
        <v>0</v>
      </c>
      <c r="AA888" s="396">
        <f>Q888*Z888</f>
        <v>0</v>
      </c>
      <c r="AB888" s="823">
        <v>2</v>
      </c>
      <c r="AC888" s="393">
        <f>Z888*AB888</f>
        <v>0</v>
      </c>
      <c r="AD888" s="209"/>
      <c r="AE888" s="210"/>
      <c r="AF888" s="210"/>
      <c r="AG888" s="211">
        <f t="shared" si="300"/>
        <v>0.154</v>
      </c>
      <c r="AH888" s="157">
        <f t="shared" si="304"/>
        <v>0</v>
      </c>
      <c r="AI888" s="152">
        <f t="shared" si="302"/>
        <v>20920</v>
      </c>
      <c r="AK888" s="156" t="s">
        <v>691</v>
      </c>
      <c r="AL888" s="156" t="s">
        <v>689</v>
      </c>
      <c r="AM888" s="198">
        <f t="shared" si="297"/>
        <v>0</v>
      </c>
      <c r="AN888" s="199">
        <f t="shared" si="292"/>
        <v>45450</v>
      </c>
      <c r="AO888" s="159" t="s">
        <v>692</v>
      </c>
      <c r="AP888" s="783" t="s">
        <v>611</v>
      </c>
      <c r="AQ888" s="782">
        <v>12028328</v>
      </c>
      <c r="AR888" s="782">
        <v>12019692</v>
      </c>
      <c r="AS888" s="781"/>
      <c r="AT888" s="782">
        <v>12065371</v>
      </c>
      <c r="AU888" s="782"/>
      <c r="AV888" s="782">
        <v>12055895</v>
      </c>
      <c r="AW888" s="782">
        <v>12034747</v>
      </c>
      <c r="AX888" s="782" t="s">
        <v>398</v>
      </c>
      <c r="AY888" s="781" t="s">
        <v>290</v>
      </c>
      <c r="AZ888" s="781"/>
      <c r="BA888" s="781"/>
    </row>
    <row r="889" spans="1:53" ht="25" hidden="1" customHeight="1">
      <c r="B889" s="213">
        <v>45451</v>
      </c>
      <c r="C889" s="633">
        <v>45454</v>
      </c>
      <c r="D889" s="185">
        <f t="shared" si="289"/>
        <v>2024</v>
      </c>
      <c r="E889" s="215" t="str">
        <f>VLOOKUP($B889,Week!$A$1:$C$1462,2,0)</f>
        <v>Week23</v>
      </c>
      <c r="F889" s="216" t="str">
        <f t="shared" si="290"/>
        <v>Jun</v>
      </c>
      <c r="G889" s="215" t="s">
        <v>1232</v>
      </c>
      <c r="H889" s="215" t="s">
        <v>104</v>
      </c>
      <c r="I889" s="215" t="s">
        <v>2772</v>
      </c>
      <c r="J889" s="209" t="s">
        <v>105</v>
      </c>
      <c r="K889" s="217" t="s">
        <v>107</v>
      </c>
      <c r="L889" s="300" t="s">
        <v>2167</v>
      </c>
      <c r="M889" s="209" t="s">
        <v>108</v>
      </c>
      <c r="N889" s="215" t="s">
        <v>109</v>
      </c>
      <c r="O889" s="215" t="s">
        <v>110</v>
      </c>
      <c r="P889" s="218">
        <v>36</v>
      </c>
      <c r="Q889" s="218">
        <v>5</v>
      </c>
      <c r="R889" s="219">
        <v>7.4999999999999997E-3</v>
      </c>
      <c r="S889" s="215" t="s">
        <v>111</v>
      </c>
      <c r="T889" s="215" t="s">
        <v>112</v>
      </c>
      <c r="U889" s="215" t="s">
        <v>113</v>
      </c>
      <c r="V889" s="220">
        <f>792-476</f>
        <v>316</v>
      </c>
      <c r="W889" s="220">
        <f>792-476</f>
        <v>316</v>
      </c>
      <c r="X889" s="221"/>
      <c r="Y889" s="222">
        <f t="shared" si="298"/>
        <v>0</v>
      </c>
      <c r="Z889" s="223">
        <f t="shared" si="299"/>
        <v>0</v>
      </c>
      <c r="AA889" s="223"/>
      <c r="AB889" s="807"/>
      <c r="AC889" s="220"/>
      <c r="AD889" s="209"/>
      <c r="AE889" s="210"/>
      <c r="AF889" s="210"/>
      <c r="AG889" s="211">
        <f t="shared" si="300"/>
        <v>0.308</v>
      </c>
      <c r="AH889" s="157">
        <f t="shared" si="304"/>
        <v>0</v>
      </c>
      <c r="AI889" s="152">
        <f t="shared" si="302"/>
        <v>11376</v>
      </c>
      <c r="AK889" s="156" t="s">
        <v>691</v>
      </c>
      <c r="AL889" s="574" t="s">
        <v>690</v>
      </c>
      <c r="AM889" s="198">
        <f t="shared" si="297"/>
        <v>0</v>
      </c>
      <c r="AN889" s="199">
        <f t="shared" si="292"/>
        <v>45451</v>
      </c>
      <c r="AO889" s="159" t="s">
        <v>692</v>
      </c>
      <c r="AP889" s="781"/>
      <c r="AQ889" s="782">
        <v>12063755</v>
      </c>
      <c r="AR889" s="782">
        <v>12061353</v>
      </c>
      <c r="AS889" s="782">
        <v>12061354</v>
      </c>
      <c r="AT889" s="782">
        <v>12068566</v>
      </c>
      <c r="AU889" s="781"/>
      <c r="AV889" s="782">
        <v>12088206</v>
      </c>
      <c r="AW889" s="782">
        <v>12088207</v>
      </c>
      <c r="AX889" s="782"/>
      <c r="AY889" s="782">
        <v>12068565</v>
      </c>
      <c r="AZ889" s="782"/>
      <c r="BA889" s="781"/>
    </row>
    <row r="890" spans="1:53" ht="25" hidden="1" customHeight="1">
      <c r="B890" s="213">
        <v>45451</v>
      </c>
      <c r="C890" s="633">
        <v>45457</v>
      </c>
      <c r="D890" s="185">
        <f t="shared" si="289"/>
        <v>2024</v>
      </c>
      <c r="E890" s="215" t="str">
        <f>VLOOKUP($B890,Week!$A$1:$C$1462,2,0)</f>
        <v>Week23</v>
      </c>
      <c r="F890" s="216" t="str">
        <f t="shared" si="290"/>
        <v>Jun</v>
      </c>
      <c r="G890" s="215" t="s">
        <v>1233</v>
      </c>
      <c r="H890" s="215" t="s">
        <v>104</v>
      </c>
      <c r="I890" s="215" t="s">
        <v>2772</v>
      </c>
      <c r="J890" s="209" t="s">
        <v>105</v>
      </c>
      <c r="K890" s="217" t="s">
        <v>107</v>
      </c>
      <c r="L890" s="300" t="s">
        <v>2167</v>
      </c>
      <c r="M890" s="209" t="s">
        <v>108</v>
      </c>
      <c r="N890" s="215" t="s">
        <v>109</v>
      </c>
      <c r="O890" s="215" t="s">
        <v>110</v>
      </c>
      <c r="P890" s="218">
        <v>36</v>
      </c>
      <c r="Q890" s="218">
        <v>5</v>
      </c>
      <c r="R890" s="219">
        <v>7.4999999999999997E-3</v>
      </c>
      <c r="S890" s="215" t="s">
        <v>111</v>
      </c>
      <c r="T890" s="215" t="s">
        <v>112</v>
      </c>
      <c r="U890" s="215" t="s">
        <v>113</v>
      </c>
      <c r="V890" s="220">
        <f>1055-316</f>
        <v>739</v>
      </c>
      <c r="W890" s="220">
        <f>1055-316</f>
        <v>739</v>
      </c>
      <c r="X890" s="221"/>
      <c r="Y890" s="222">
        <f t="shared" si="298"/>
        <v>0</v>
      </c>
      <c r="Z890" s="223">
        <f t="shared" si="299"/>
        <v>0</v>
      </c>
      <c r="AA890" s="223"/>
      <c r="AB890" s="807"/>
      <c r="AC890" s="220"/>
      <c r="AD890" s="209"/>
      <c r="AE890" s="210"/>
      <c r="AF890" s="210"/>
      <c r="AG890" s="211">
        <f t="shared" si="300"/>
        <v>0.308</v>
      </c>
      <c r="AH890" s="157">
        <f t="shared" si="304"/>
        <v>0</v>
      </c>
      <c r="AI890" s="152">
        <f t="shared" si="302"/>
        <v>26604</v>
      </c>
      <c r="AK890" s="156" t="s">
        <v>691</v>
      </c>
      <c r="AL890" s="574" t="s">
        <v>690</v>
      </c>
      <c r="AM890" s="198">
        <f t="shared" si="297"/>
        <v>0</v>
      </c>
      <c r="AN890" s="199">
        <f t="shared" si="292"/>
        <v>45451</v>
      </c>
      <c r="AO890" s="159" t="s">
        <v>692</v>
      </c>
      <c r="AP890" s="781"/>
      <c r="AQ890" s="782">
        <v>12063755</v>
      </c>
      <c r="AR890" s="782">
        <v>12061353</v>
      </c>
      <c r="AS890" s="782">
        <v>12061354</v>
      </c>
      <c r="AT890" s="782">
        <v>12068566</v>
      </c>
      <c r="AU890" s="781"/>
      <c r="AV890" s="782">
        <v>12088206</v>
      </c>
      <c r="AW890" s="782">
        <v>12088207</v>
      </c>
      <c r="AX890" s="782"/>
      <c r="AY890" s="782">
        <v>12068565</v>
      </c>
      <c r="AZ890" s="782"/>
      <c r="BA890" s="781"/>
    </row>
    <row r="891" spans="1:53" ht="24.65" hidden="1" customHeight="1">
      <c r="B891" s="308">
        <v>45451</v>
      </c>
      <c r="C891" s="309">
        <v>45462</v>
      </c>
      <c r="D891" s="185">
        <f t="shared" si="289"/>
        <v>2024</v>
      </c>
      <c r="E891" s="309" t="str">
        <f>VLOOKUP($B891,Week!$A$1:$C$1462,2,0)</f>
        <v>Week23</v>
      </c>
      <c r="F891" s="310" t="str">
        <f t="shared" si="290"/>
        <v>Jun</v>
      </c>
      <c r="G891" s="311" t="s">
        <v>1310</v>
      </c>
      <c r="H891" s="311" t="s">
        <v>311</v>
      </c>
      <c r="I891" s="311" t="s">
        <v>2772</v>
      </c>
      <c r="J891" s="312" t="s">
        <v>738</v>
      </c>
      <c r="K891" s="313" t="s">
        <v>107</v>
      </c>
      <c r="L891" s="300" t="s">
        <v>2167</v>
      </c>
      <c r="M891" s="312" t="s">
        <v>313</v>
      </c>
      <c r="N891" s="311" t="s">
        <v>314</v>
      </c>
      <c r="O891" s="311" t="s">
        <v>110</v>
      </c>
      <c r="P891" s="314">
        <v>36</v>
      </c>
      <c r="Q891" s="314">
        <v>5</v>
      </c>
      <c r="R891" s="315">
        <v>7.4999999999999997E-3</v>
      </c>
      <c r="S891" s="311" t="s">
        <v>111</v>
      </c>
      <c r="T891" s="311" t="s">
        <v>112</v>
      </c>
      <c r="U891" s="311" t="s">
        <v>57</v>
      </c>
      <c r="V891" s="316">
        <v>792</v>
      </c>
      <c r="W891" s="316">
        <f>159+633</f>
        <v>792</v>
      </c>
      <c r="X891" s="317"/>
      <c r="Y891" s="318">
        <f t="shared" si="298"/>
        <v>0</v>
      </c>
      <c r="Z891" s="319">
        <f t="shared" si="299"/>
        <v>0</v>
      </c>
      <c r="AA891" s="319"/>
      <c r="AB891" s="815"/>
      <c r="AC891" s="316"/>
      <c r="AD891" s="515"/>
      <c r="AE891" s="210"/>
      <c r="AF891" s="210"/>
      <c r="AG891" s="211">
        <f t="shared" si="300"/>
        <v>0.308</v>
      </c>
      <c r="AH891" s="157">
        <f t="shared" si="304"/>
        <v>0</v>
      </c>
      <c r="AI891" s="152">
        <f t="shared" si="302"/>
        <v>28512</v>
      </c>
      <c r="AK891" s="156" t="s">
        <v>691</v>
      </c>
      <c r="AL891" s="212" t="s">
        <v>690</v>
      </c>
      <c r="AM891" s="198">
        <f t="shared" ref="AM891:AM922" si="305">AG891*Z891</f>
        <v>0</v>
      </c>
      <c r="AN891" s="199">
        <f t="shared" si="292"/>
        <v>45451</v>
      </c>
      <c r="AO891" s="159" t="s">
        <v>692</v>
      </c>
      <c r="AP891" s="783" t="s">
        <v>644</v>
      </c>
      <c r="AQ891" s="782">
        <v>12063755</v>
      </c>
      <c r="AR891" s="782">
        <v>12061353</v>
      </c>
      <c r="AS891" s="782">
        <v>12061354</v>
      </c>
      <c r="AT891" s="782">
        <v>12062266</v>
      </c>
      <c r="AU891" s="781"/>
      <c r="AV891" s="782">
        <v>12088159</v>
      </c>
      <c r="AW891" s="782">
        <v>12088207</v>
      </c>
      <c r="AX891" s="782"/>
      <c r="AY891" s="782">
        <v>12062262</v>
      </c>
      <c r="AZ891" s="782"/>
      <c r="BA891" s="781"/>
    </row>
    <row r="892" spans="1:53" ht="24.65" hidden="1" customHeight="1">
      <c r="B892" s="308">
        <v>45451</v>
      </c>
      <c r="C892" s="309">
        <v>45462</v>
      </c>
      <c r="D892" s="185">
        <f t="shared" si="289"/>
        <v>2024</v>
      </c>
      <c r="E892" s="309" t="str">
        <f>VLOOKUP($B892,Week!$A$1:$C$1462,2,0)</f>
        <v>Week23</v>
      </c>
      <c r="F892" s="310" t="str">
        <f t="shared" si="290"/>
        <v>Jun</v>
      </c>
      <c r="G892" s="311" t="s">
        <v>1481</v>
      </c>
      <c r="H892" s="311" t="s">
        <v>311</v>
      </c>
      <c r="I892" s="311" t="s">
        <v>2772</v>
      </c>
      <c r="J892" s="312" t="s">
        <v>738</v>
      </c>
      <c r="K892" s="313" t="s">
        <v>107</v>
      </c>
      <c r="L892" s="300" t="s">
        <v>2167</v>
      </c>
      <c r="M892" s="312" t="s">
        <v>313</v>
      </c>
      <c r="N892" s="311" t="s">
        <v>314</v>
      </c>
      <c r="O892" s="311" t="s">
        <v>110</v>
      </c>
      <c r="P892" s="314">
        <v>36</v>
      </c>
      <c r="Q892" s="314">
        <v>5</v>
      </c>
      <c r="R892" s="315">
        <v>7.4999999999999997E-3</v>
      </c>
      <c r="S892" s="311" t="s">
        <v>111</v>
      </c>
      <c r="T892" s="311" t="s">
        <v>112</v>
      </c>
      <c r="U892" s="311" t="s">
        <v>57</v>
      </c>
      <c r="V892" s="316">
        <v>792</v>
      </c>
      <c r="W892" s="316">
        <f>632</f>
        <v>632</v>
      </c>
      <c r="X892" s="317">
        <f>160</f>
        <v>160</v>
      </c>
      <c r="Y892" s="318">
        <f t="shared" si="298"/>
        <v>0</v>
      </c>
      <c r="Z892" s="319">
        <f t="shared" si="299"/>
        <v>0</v>
      </c>
      <c r="AA892" s="319"/>
      <c r="AB892" s="815"/>
      <c r="AC892" s="316"/>
      <c r="AD892" s="515"/>
      <c r="AE892" s="210"/>
      <c r="AF892" s="210"/>
      <c r="AG892" s="211">
        <f t="shared" si="300"/>
        <v>0.308</v>
      </c>
      <c r="AH892" s="157">
        <f t="shared" si="304"/>
        <v>0</v>
      </c>
      <c r="AI892" s="152">
        <f t="shared" si="302"/>
        <v>28512</v>
      </c>
      <c r="AK892" s="156" t="s">
        <v>691</v>
      </c>
      <c r="AL892" s="212" t="s">
        <v>690</v>
      </c>
      <c r="AM892" s="198">
        <f t="shared" si="305"/>
        <v>0</v>
      </c>
      <c r="AN892" s="199">
        <f t="shared" si="292"/>
        <v>45451</v>
      </c>
      <c r="AO892" s="159" t="s">
        <v>692</v>
      </c>
      <c r="AP892" s="783" t="s">
        <v>644</v>
      </c>
      <c r="AQ892" s="782">
        <v>12063755</v>
      </c>
      <c r="AR892" s="782">
        <v>12061353</v>
      </c>
      <c r="AS892" s="782">
        <v>12061354</v>
      </c>
      <c r="AT892" s="782">
        <v>12062266</v>
      </c>
      <c r="AU892" s="781"/>
      <c r="AV892" s="782">
        <v>12088159</v>
      </c>
      <c r="AW892" s="782">
        <v>12088207</v>
      </c>
      <c r="AX892" s="782"/>
      <c r="AY892" s="782">
        <v>12062262</v>
      </c>
      <c r="AZ892" s="782"/>
      <c r="BA892" s="781"/>
    </row>
    <row r="893" spans="1:53" ht="24.65" hidden="1" customHeight="1">
      <c r="B893" s="308">
        <v>45451</v>
      </c>
      <c r="C893" s="309">
        <v>45469</v>
      </c>
      <c r="D893" s="185">
        <f t="shared" si="289"/>
        <v>2024</v>
      </c>
      <c r="E893" s="309" t="str">
        <f>VLOOKUP($B893,Week!$A$1:$C$1462,2,0)</f>
        <v>Week23</v>
      </c>
      <c r="F893" s="310" t="str">
        <f t="shared" si="290"/>
        <v>Jun</v>
      </c>
      <c r="G893" s="311" t="s">
        <v>1346</v>
      </c>
      <c r="H893" s="311" t="s">
        <v>311</v>
      </c>
      <c r="I893" s="311" t="s">
        <v>2772</v>
      </c>
      <c r="J893" s="312" t="s">
        <v>738</v>
      </c>
      <c r="K893" s="313" t="s">
        <v>107</v>
      </c>
      <c r="L893" s="300" t="s">
        <v>2167</v>
      </c>
      <c r="M893" s="312" t="s">
        <v>313</v>
      </c>
      <c r="N893" s="311" t="s">
        <v>314</v>
      </c>
      <c r="O893" s="311" t="s">
        <v>110</v>
      </c>
      <c r="P893" s="314">
        <v>36</v>
      </c>
      <c r="Q893" s="314">
        <v>5</v>
      </c>
      <c r="R893" s="315">
        <v>7.4999999999999997E-3</v>
      </c>
      <c r="S893" s="311" t="s">
        <v>111</v>
      </c>
      <c r="T893" s="311" t="s">
        <v>112</v>
      </c>
      <c r="U893" s="311" t="s">
        <v>57</v>
      </c>
      <c r="V893" s="316">
        <v>792</v>
      </c>
      <c r="W893" s="316">
        <f>1828-633-632+29</f>
        <v>592</v>
      </c>
      <c r="X893" s="317">
        <f>160+40</f>
        <v>200</v>
      </c>
      <c r="Y893" s="318">
        <f t="shared" si="298"/>
        <v>0</v>
      </c>
      <c r="Z893" s="319">
        <f t="shared" si="299"/>
        <v>0</v>
      </c>
      <c r="AA893" s="319"/>
      <c r="AB893" s="815"/>
      <c r="AC893" s="316"/>
      <c r="AD893" s="515"/>
      <c r="AE893" s="210"/>
      <c r="AF893" s="210"/>
      <c r="AG893" s="211">
        <f t="shared" si="300"/>
        <v>0.308</v>
      </c>
      <c r="AH893" s="157">
        <f t="shared" si="304"/>
        <v>0</v>
      </c>
      <c r="AI893" s="152">
        <f t="shared" si="302"/>
        <v>28512</v>
      </c>
      <c r="AK893" s="156" t="s">
        <v>691</v>
      </c>
      <c r="AL893" s="212" t="s">
        <v>690</v>
      </c>
      <c r="AM893" s="198">
        <f t="shared" si="305"/>
        <v>0</v>
      </c>
      <c r="AN893" s="199">
        <f t="shared" si="292"/>
        <v>45451</v>
      </c>
      <c r="AO893" s="159" t="s">
        <v>692</v>
      </c>
      <c r="AP893" s="783" t="s">
        <v>644</v>
      </c>
      <c r="AQ893" s="782">
        <v>12063755</v>
      </c>
      <c r="AR893" s="782">
        <v>12061353</v>
      </c>
      <c r="AS893" s="782">
        <v>12061354</v>
      </c>
      <c r="AT893" s="782">
        <v>12062266</v>
      </c>
      <c r="AU893" s="781"/>
      <c r="AV893" s="782">
        <v>12088159</v>
      </c>
      <c r="AW893" s="782">
        <v>12088207</v>
      </c>
      <c r="AX893" s="782"/>
      <c r="AY893" s="782">
        <v>12062262</v>
      </c>
      <c r="AZ893" s="782"/>
      <c r="BA893" s="781"/>
    </row>
    <row r="894" spans="1:53" ht="25" hidden="1" customHeight="1">
      <c r="A894" s="440"/>
      <c r="B894" s="271">
        <v>45451</v>
      </c>
      <c r="C894" s="271">
        <v>45463</v>
      </c>
      <c r="D894" s="185">
        <f t="shared" si="289"/>
        <v>2024</v>
      </c>
      <c r="E894" s="441" t="str">
        <f>VLOOKUP($B894,Week!$A$1:$C$1462,2,0)</f>
        <v>Week23</v>
      </c>
      <c r="F894" s="442" t="str">
        <f t="shared" si="290"/>
        <v>Jun</v>
      </c>
      <c r="G894" s="274" t="s">
        <v>1011</v>
      </c>
      <c r="H894" s="274" t="s">
        <v>267</v>
      </c>
      <c r="I894" s="274" t="s">
        <v>2772</v>
      </c>
      <c r="J894" s="275" t="s">
        <v>699</v>
      </c>
      <c r="K894" s="276" t="s">
        <v>107</v>
      </c>
      <c r="L894" s="300" t="s">
        <v>2167</v>
      </c>
      <c r="M894" s="275" t="s">
        <v>136</v>
      </c>
      <c r="N894" s="274" t="s">
        <v>269</v>
      </c>
      <c r="O894" s="274" t="s">
        <v>270</v>
      </c>
      <c r="P894" s="277">
        <v>12</v>
      </c>
      <c r="Q894" s="277">
        <v>3</v>
      </c>
      <c r="R894" s="278">
        <v>7.4999999999999997E-3</v>
      </c>
      <c r="S894" s="274" t="s">
        <v>111</v>
      </c>
      <c r="T894" s="274" t="s">
        <v>112</v>
      </c>
      <c r="U894" s="274" t="s">
        <v>57</v>
      </c>
      <c r="V894" s="279">
        <v>2520</v>
      </c>
      <c r="W894" s="279">
        <f>117+2392</f>
        <v>2509</v>
      </c>
      <c r="X894" s="280">
        <f>132/12</f>
        <v>11</v>
      </c>
      <c r="Y894" s="281">
        <f t="shared" si="298"/>
        <v>0</v>
      </c>
      <c r="Z894" s="282">
        <f t="shared" si="299"/>
        <v>0</v>
      </c>
      <c r="AA894" s="282"/>
      <c r="AB894" s="812"/>
      <c r="AC894" s="279"/>
      <c r="AD894" s="443" t="s">
        <v>737</v>
      </c>
      <c r="AE894" s="210"/>
      <c r="AF894" s="210"/>
      <c r="AG894" s="211">
        <f t="shared" si="300"/>
        <v>0.309</v>
      </c>
      <c r="AH894" s="157">
        <f t="shared" si="304"/>
        <v>0</v>
      </c>
      <c r="AI894" s="152">
        <f t="shared" si="302"/>
        <v>30240</v>
      </c>
      <c r="AK894" s="156" t="s">
        <v>691</v>
      </c>
      <c r="AL894" s="212" t="s">
        <v>690</v>
      </c>
      <c r="AM894" s="198">
        <f t="shared" si="305"/>
        <v>0</v>
      </c>
      <c r="AN894" s="199">
        <f t="shared" si="292"/>
        <v>45451</v>
      </c>
      <c r="AO894" s="159" t="s">
        <v>692</v>
      </c>
      <c r="AP894" s="781"/>
      <c r="AQ894" s="782">
        <v>12063755</v>
      </c>
      <c r="AR894" s="782">
        <v>12081257</v>
      </c>
      <c r="AS894" s="782">
        <v>12081260</v>
      </c>
      <c r="AT894" s="782"/>
      <c r="AU894" s="781"/>
      <c r="AV894" s="782">
        <v>12073316</v>
      </c>
      <c r="AW894" s="782"/>
      <c r="AX894" s="782"/>
      <c r="AY894" s="782">
        <v>12073342</v>
      </c>
      <c r="AZ894" s="782">
        <v>12073344</v>
      </c>
      <c r="BA894" s="782">
        <v>12073343</v>
      </c>
    </row>
    <row r="895" spans="1:53" ht="25" hidden="1" customHeight="1">
      <c r="A895" s="142" t="s">
        <v>120</v>
      </c>
      <c r="B895" s="385">
        <v>45451</v>
      </c>
      <c r="C895" s="386">
        <v>45496</v>
      </c>
      <c r="D895" s="185">
        <f t="shared" si="289"/>
        <v>2024</v>
      </c>
      <c r="E895" s="386" t="str">
        <f>VLOOKUP($B895,Week!$A$1:$C$1462,2,0)</f>
        <v>Week23</v>
      </c>
      <c r="F895" s="387" t="str">
        <f t="shared" si="290"/>
        <v>Jun</v>
      </c>
      <c r="G895" s="388" t="s">
        <v>1119</v>
      </c>
      <c r="H895" s="388" t="s">
        <v>500</v>
      </c>
      <c r="I895" s="388" t="s">
        <v>2772</v>
      </c>
      <c r="J895" s="389" t="s">
        <v>285</v>
      </c>
      <c r="K895" s="390" t="s">
        <v>153</v>
      </c>
      <c r="L895" s="390" t="s">
        <v>2166</v>
      </c>
      <c r="M895" s="389" t="s">
        <v>165</v>
      </c>
      <c r="N895" s="388" t="s">
        <v>286</v>
      </c>
      <c r="O895" s="388" t="s">
        <v>503</v>
      </c>
      <c r="P895" s="391">
        <v>40</v>
      </c>
      <c r="Q895" s="391">
        <v>12</v>
      </c>
      <c r="R895" s="392">
        <v>6.8100000000000001E-3</v>
      </c>
      <c r="S895" s="388" t="s">
        <v>76</v>
      </c>
      <c r="T895" s="388" t="s">
        <v>56</v>
      </c>
      <c r="U895" s="388" t="s">
        <v>89</v>
      </c>
      <c r="V895" s="393">
        <v>552</v>
      </c>
      <c r="W895" s="393">
        <v>552</v>
      </c>
      <c r="X895" s="394"/>
      <c r="Y895" s="395">
        <f t="shared" si="298"/>
        <v>0</v>
      </c>
      <c r="Z895" s="396">
        <f t="shared" si="299"/>
        <v>0</v>
      </c>
      <c r="AA895" s="396">
        <f>Q895*Z895</f>
        <v>0</v>
      </c>
      <c r="AB895" s="823">
        <v>2</v>
      </c>
      <c r="AC895" s="393">
        <f>Z895*AB895</f>
        <v>0</v>
      </c>
      <c r="AD895" s="209"/>
      <c r="AE895" s="210"/>
      <c r="AF895" s="210"/>
      <c r="AG895" s="211">
        <f t="shared" si="300"/>
        <v>0.154</v>
      </c>
      <c r="AH895" s="157">
        <f t="shared" si="304"/>
        <v>0</v>
      </c>
      <c r="AI895" s="152">
        <f t="shared" si="302"/>
        <v>22080</v>
      </c>
      <c r="AK895" s="156" t="s">
        <v>691</v>
      </c>
      <c r="AL895" s="156" t="s">
        <v>689</v>
      </c>
      <c r="AM895" s="198">
        <f t="shared" si="305"/>
        <v>0</v>
      </c>
      <c r="AN895" s="199">
        <f t="shared" si="292"/>
        <v>45451</v>
      </c>
      <c r="AO895" s="159" t="s">
        <v>692</v>
      </c>
      <c r="AP895" s="783" t="s">
        <v>611</v>
      </c>
      <c r="AQ895" s="782">
        <v>12028328</v>
      </c>
      <c r="AR895" s="782">
        <v>12019692</v>
      </c>
      <c r="AS895" s="781"/>
      <c r="AT895" s="782">
        <v>12065371</v>
      </c>
      <c r="AU895" s="782"/>
      <c r="AV895" s="782">
        <v>12055895</v>
      </c>
      <c r="AW895" s="782">
        <v>12034747</v>
      </c>
      <c r="AX895" s="782" t="s">
        <v>398</v>
      </c>
      <c r="AY895" s="781" t="s">
        <v>290</v>
      </c>
      <c r="AZ895" s="781"/>
      <c r="BA895" s="781"/>
    </row>
    <row r="896" spans="1:53" ht="24.65" hidden="1" customHeight="1">
      <c r="B896" s="183">
        <v>45452</v>
      </c>
      <c r="C896" s="184"/>
      <c r="D896" s="185">
        <f t="shared" si="289"/>
        <v>2024</v>
      </c>
      <c r="E896" s="185" t="str">
        <f>VLOOKUP($B896,Week!$A$1:$C$1462,2,0)</f>
        <v>Week23</v>
      </c>
      <c r="F896" s="186" t="str">
        <f t="shared" si="290"/>
        <v>Jun</v>
      </c>
      <c r="G896" s="185"/>
      <c r="H896" s="185"/>
      <c r="I896" s="185"/>
      <c r="J896" s="187"/>
      <c r="K896" s="188"/>
      <c r="L896" s="300"/>
      <c r="M896" s="187"/>
      <c r="N896" s="185"/>
      <c r="O896" s="185"/>
      <c r="P896" s="189"/>
      <c r="Q896" s="189"/>
      <c r="R896" s="190"/>
      <c r="S896" s="185"/>
      <c r="T896" s="185"/>
      <c r="U896" s="185"/>
      <c r="V896" s="191"/>
      <c r="W896" s="191"/>
      <c r="X896" s="192"/>
      <c r="Y896" s="193"/>
      <c r="Z896" s="194"/>
      <c r="AA896" s="194"/>
      <c r="AB896" s="805"/>
      <c r="AC896" s="191"/>
      <c r="AD896" s="187"/>
      <c r="AE896" s="195"/>
      <c r="AF896" s="195"/>
      <c r="AG896" s="196"/>
      <c r="AH896" s="197"/>
      <c r="AK896" s="156" t="s">
        <v>691</v>
      </c>
      <c r="AM896" s="198">
        <f t="shared" si="305"/>
        <v>0</v>
      </c>
      <c r="AN896" s="199">
        <f t="shared" si="292"/>
        <v>45452</v>
      </c>
      <c r="AO896" s="159" t="s">
        <v>692</v>
      </c>
      <c r="AP896" s="781"/>
      <c r="AQ896" s="782"/>
      <c r="AR896" s="782"/>
      <c r="AS896" s="782"/>
      <c r="AT896" s="782"/>
      <c r="AU896" s="781"/>
      <c r="AV896" s="782"/>
      <c r="AW896" s="782"/>
      <c r="AX896" s="782"/>
      <c r="AY896" s="782"/>
      <c r="AZ896" s="782"/>
      <c r="BA896" s="781"/>
    </row>
    <row r="897" spans="1:53" ht="25" hidden="1" customHeight="1">
      <c r="B897" s="357">
        <v>45453</v>
      </c>
      <c r="C897" s="358">
        <v>45483</v>
      </c>
      <c r="D897" s="185">
        <f t="shared" si="289"/>
        <v>2024</v>
      </c>
      <c r="E897" s="358" t="str">
        <f>VLOOKUP($B897,Week!$A$1:$C$1462,2,0)</f>
        <v>Week24</v>
      </c>
      <c r="F897" s="360" t="str">
        <f t="shared" si="290"/>
        <v>Jun</v>
      </c>
      <c r="G897" s="436" t="s">
        <v>1113</v>
      </c>
      <c r="H897" s="359" t="s">
        <v>225</v>
      </c>
      <c r="I897" s="359" t="s">
        <v>2773</v>
      </c>
      <c r="J897" s="361" t="s">
        <v>650</v>
      </c>
      <c r="K897" s="362" t="s">
        <v>593</v>
      </c>
      <c r="L897" s="300" t="s">
        <v>2167</v>
      </c>
      <c r="M897" s="361" t="s">
        <v>717</v>
      </c>
      <c r="N897" s="359" t="s">
        <v>719</v>
      </c>
      <c r="O897" s="359" t="s">
        <v>230</v>
      </c>
      <c r="P897" s="363">
        <v>12</v>
      </c>
      <c r="Q897" s="363">
        <v>5</v>
      </c>
      <c r="R897" s="364">
        <v>6.0000000000000001E-3</v>
      </c>
      <c r="S897" s="359" t="s">
        <v>55</v>
      </c>
      <c r="T897" s="359" t="s">
        <v>112</v>
      </c>
      <c r="U897" s="359" t="s">
        <v>57</v>
      </c>
      <c r="V897" s="365">
        <v>2600</v>
      </c>
      <c r="W897" s="365"/>
      <c r="X897" s="366">
        <f>(1429+29771)/12</f>
        <v>2600</v>
      </c>
      <c r="Y897" s="367">
        <f t="shared" ref="Y897:Y944" si="306">(W897+X897)-V897</f>
        <v>0</v>
      </c>
      <c r="Z897" s="368">
        <f t="shared" ref="Z897:Z944" si="307">IF(Y897&lt;0,((V897*P897)-((W897+X897)*P897)),0)</f>
        <v>0</v>
      </c>
      <c r="AA897" s="368"/>
      <c r="AB897" s="819"/>
      <c r="AC897" s="365"/>
      <c r="AD897" s="443" t="s">
        <v>672</v>
      </c>
      <c r="AE897" s="210"/>
      <c r="AF897" s="210"/>
      <c r="AG897" s="211">
        <f t="shared" ref="AG897:AG914" si="308">MID(O897,1,3)/1000</f>
        <v>0.25800000000000001</v>
      </c>
      <c r="AH897" s="157">
        <f t="shared" ref="AH897:AH928" si="309">(Z897*AG897)/1000</f>
        <v>0</v>
      </c>
      <c r="AI897" s="152">
        <f t="shared" ref="AI897:AI944" si="310">V897*P897</f>
        <v>31200</v>
      </c>
      <c r="AK897" s="156" t="s">
        <v>691</v>
      </c>
      <c r="AL897" s="574" t="s">
        <v>690</v>
      </c>
      <c r="AM897" s="198">
        <f t="shared" si="305"/>
        <v>0</v>
      </c>
      <c r="AN897" s="199">
        <f t="shared" si="292"/>
        <v>45453</v>
      </c>
      <c r="AO897" s="159" t="s">
        <v>692</v>
      </c>
      <c r="AP897" s="783" t="s">
        <v>612</v>
      </c>
      <c r="AQ897" s="782">
        <v>12071839</v>
      </c>
      <c r="AR897" s="782">
        <v>12042650</v>
      </c>
      <c r="AS897" s="782">
        <v>12042649</v>
      </c>
      <c r="AT897" s="782">
        <v>12088423</v>
      </c>
      <c r="AU897" s="781"/>
      <c r="AV897" s="782">
        <v>12088422</v>
      </c>
      <c r="AW897" s="782"/>
      <c r="AX897" s="782"/>
      <c r="AY897" s="782"/>
      <c r="AZ897" s="782"/>
      <c r="BA897" s="781"/>
    </row>
    <row r="898" spans="1:53" ht="25" hidden="1" customHeight="1">
      <c r="B898" s="213">
        <v>45453</v>
      </c>
      <c r="C898" s="633">
        <v>45457</v>
      </c>
      <c r="D898" s="185">
        <f t="shared" si="289"/>
        <v>2024</v>
      </c>
      <c r="E898" s="215" t="str">
        <f>VLOOKUP($B898,Week!$A$1:$C$1462,2,0)</f>
        <v>Week24</v>
      </c>
      <c r="F898" s="216" t="str">
        <f t="shared" si="290"/>
        <v>Jun</v>
      </c>
      <c r="G898" s="215" t="s">
        <v>1233</v>
      </c>
      <c r="H898" s="215" t="s">
        <v>104</v>
      </c>
      <c r="I898" s="215" t="s">
        <v>2772</v>
      </c>
      <c r="J898" s="209" t="s">
        <v>105</v>
      </c>
      <c r="K898" s="217" t="s">
        <v>107</v>
      </c>
      <c r="L898" s="300" t="s">
        <v>2167</v>
      </c>
      <c r="M898" s="209" t="s">
        <v>108</v>
      </c>
      <c r="N898" s="215" t="s">
        <v>109</v>
      </c>
      <c r="O898" s="215" t="s">
        <v>110</v>
      </c>
      <c r="P898" s="218">
        <v>36</v>
      </c>
      <c r="Q898" s="218">
        <v>5</v>
      </c>
      <c r="R898" s="219">
        <v>7.4999999999999997E-3</v>
      </c>
      <c r="S898" s="215" t="s">
        <v>111</v>
      </c>
      <c r="T898" s="215" t="s">
        <v>112</v>
      </c>
      <c r="U898" s="215" t="s">
        <v>113</v>
      </c>
      <c r="V898" s="220">
        <f>792-739</f>
        <v>53</v>
      </c>
      <c r="W898" s="220">
        <f>792-739</f>
        <v>53</v>
      </c>
      <c r="X898" s="221"/>
      <c r="Y898" s="222">
        <f t="shared" si="306"/>
        <v>0</v>
      </c>
      <c r="Z898" s="223">
        <f t="shared" si="307"/>
        <v>0</v>
      </c>
      <c r="AA898" s="223"/>
      <c r="AB898" s="807"/>
      <c r="AC898" s="220"/>
      <c r="AD898" s="209"/>
      <c r="AE898" s="210"/>
      <c r="AF898" s="210"/>
      <c r="AG898" s="211">
        <f t="shared" si="308"/>
        <v>0.308</v>
      </c>
      <c r="AH898" s="157">
        <f t="shared" si="309"/>
        <v>0</v>
      </c>
      <c r="AI898" s="152">
        <f t="shared" si="310"/>
        <v>1908</v>
      </c>
      <c r="AK898" s="156" t="s">
        <v>691</v>
      </c>
      <c r="AL898" s="574" t="s">
        <v>690</v>
      </c>
      <c r="AM898" s="198">
        <f t="shared" si="305"/>
        <v>0</v>
      </c>
      <c r="AN898" s="199">
        <f t="shared" si="292"/>
        <v>45453</v>
      </c>
      <c r="AO898" s="159" t="s">
        <v>692</v>
      </c>
      <c r="AP898" s="781"/>
      <c r="AQ898" s="782">
        <v>12063755</v>
      </c>
      <c r="AR898" s="782">
        <v>12061353</v>
      </c>
      <c r="AS898" s="782">
        <v>12061354</v>
      </c>
      <c r="AT898" s="782">
        <v>12068566</v>
      </c>
      <c r="AU898" s="781"/>
      <c r="AV898" s="782">
        <v>12088206</v>
      </c>
      <c r="AW898" s="782">
        <v>12088207</v>
      </c>
      <c r="AX898" s="782"/>
      <c r="AY898" s="782">
        <v>12068565</v>
      </c>
      <c r="AZ898" s="782"/>
      <c r="BA898" s="781"/>
    </row>
    <row r="899" spans="1:53" ht="25" hidden="1" customHeight="1">
      <c r="B899" s="213">
        <v>45453</v>
      </c>
      <c r="C899" s="633">
        <v>45457</v>
      </c>
      <c r="D899" s="185">
        <f t="shared" si="289"/>
        <v>2024</v>
      </c>
      <c r="E899" s="215" t="str">
        <f>VLOOKUP($B899,Week!$A$1:$C$1462,2,0)</f>
        <v>Week24</v>
      </c>
      <c r="F899" s="216" t="str">
        <f t="shared" si="290"/>
        <v>Jun</v>
      </c>
      <c r="G899" s="215" t="s">
        <v>1234</v>
      </c>
      <c r="H899" s="215" t="s">
        <v>104</v>
      </c>
      <c r="I899" s="215" t="s">
        <v>2772</v>
      </c>
      <c r="J899" s="209" t="s">
        <v>105</v>
      </c>
      <c r="K899" s="217" t="s">
        <v>107</v>
      </c>
      <c r="L899" s="300" t="s">
        <v>2167</v>
      </c>
      <c r="M899" s="209" t="s">
        <v>108</v>
      </c>
      <c r="N899" s="215" t="s">
        <v>109</v>
      </c>
      <c r="O899" s="215" t="s">
        <v>110</v>
      </c>
      <c r="P899" s="218">
        <v>36</v>
      </c>
      <c r="Q899" s="218">
        <v>5</v>
      </c>
      <c r="R899" s="219">
        <v>7.4999999999999997E-3</v>
      </c>
      <c r="S899" s="215" t="s">
        <v>111</v>
      </c>
      <c r="T899" s="215" t="s">
        <v>112</v>
      </c>
      <c r="U899" s="215" t="s">
        <v>113</v>
      </c>
      <c r="V899" s="220">
        <v>792</v>
      </c>
      <c r="W899" s="220">
        <v>792</v>
      </c>
      <c r="X899" s="221"/>
      <c r="Y899" s="222">
        <f t="shared" si="306"/>
        <v>0</v>
      </c>
      <c r="Z899" s="223">
        <f t="shared" si="307"/>
        <v>0</v>
      </c>
      <c r="AA899" s="223"/>
      <c r="AB899" s="807"/>
      <c r="AC899" s="220"/>
      <c r="AD899" s="209"/>
      <c r="AE899" s="210"/>
      <c r="AF899" s="210"/>
      <c r="AG899" s="211">
        <f t="shared" si="308"/>
        <v>0.308</v>
      </c>
      <c r="AH899" s="157">
        <f t="shared" si="309"/>
        <v>0</v>
      </c>
      <c r="AI899" s="152">
        <f t="shared" si="310"/>
        <v>28512</v>
      </c>
      <c r="AK899" s="156" t="s">
        <v>691</v>
      </c>
      <c r="AL899" s="574" t="s">
        <v>690</v>
      </c>
      <c r="AM899" s="198">
        <f t="shared" si="305"/>
        <v>0</v>
      </c>
      <c r="AN899" s="199">
        <f t="shared" si="292"/>
        <v>45453</v>
      </c>
      <c r="AO899" s="159" t="s">
        <v>692</v>
      </c>
      <c r="AP899" s="781"/>
      <c r="AQ899" s="782">
        <v>12063755</v>
      </c>
      <c r="AR899" s="782">
        <v>12061353</v>
      </c>
      <c r="AS899" s="782">
        <v>12061354</v>
      </c>
      <c r="AT899" s="782">
        <v>12068566</v>
      </c>
      <c r="AU899" s="781"/>
      <c r="AV899" s="782">
        <v>12088206</v>
      </c>
      <c r="AW899" s="782">
        <v>12088207</v>
      </c>
      <c r="AX899" s="782"/>
      <c r="AY899" s="782">
        <v>12068565</v>
      </c>
      <c r="AZ899" s="782"/>
      <c r="BA899" s="781"/>
    </row>
    <row r="900" spans="1:53" ht="25" hidden="1" customHeight="1">
      <c r="B900" s="213">
        <v>45453</v>
      </c>
      <c r="C900" s="633">
        <v>45457</v>
      </c>
      <c r="D900" s="185">
        <f t="shared" si="289"/>
        <v>2024</v>
      </c>
      <c r="E900" s="215" t="str">
        <f>VLOOKUP($B900,Week!$A$1:$C$1462,2,0)</f>
        <v>Week24</v>
      </c>
      <c r="F900" s="216" t="str">
        <f t="shared" si="290"/>
        <v>Jun</v>
      </c>
      <c r="G900" s="215" t="s">
        <v>1235</v>
      </c>
      <c r="H900" s="215" t="s">
        <v>104</v>
      </c>
      <c r="I900" s="215" t="s">
        <v>2772</v>
      </c>
      <c r="J900" s="209" t="s">
        <v>105</v>
      </c>
      <c r="K900" s="217" t="s">
        <v>107</v>
      </c>
      <c r="L900" s="300" t="s">
        <v>2167</v>
      </c>
      <c r="M900" s="209" t="s">
        <v>108</v>
      </c>
      <c r="N900" s="215" t="s">
        <v>109</v>
      </c>
      <c r="O900" s="215" t="s">
        <v>110</v>
      </c>
      <c r="P900" s="218">
        <v>36</v>
      </c>
      <c r="Q900" s="218">
        <v>5</v>
      </c>
      <c r="R900" s="219">
        <v>7.4999999999999997E-3</v>
      </c>
      <c r="S900" s="215" t="s">
        <v>111</v>
      </c>
      <c r="T900" s="215" t="s">
        <v>112</v>
      </c>
      <c r="U900" s="215" t="s">
        <v>113</v>
      </c>
      <c r="V900" s="220">
        <v>792</v>
      </c>
      <c r="W900" s="220">
        <v>792</v>
      </c>
      <c r="X900" s="221"/>
      <c r="Y900" s="222">
        <f t="shared" si="306"/>
        <v>0</v>
      </c>
      <c r="Z900" s="223">
        <f t="shared" si="307"/>
        <v>0</v>
      </c>
      <c r="AA900" s="223"/>
      <c r="AB900" s="807"/>
      <c r="AC900" s="220"/>
      <c r="AD900" s="209"/>
      <c r="AE900" s="210"/>
      <c r="AF900" s="210"/>
      <c r="AG900" s="211">
        <f t="shared" si="308"/>
        <v>0.308</v>
      </c>
      <c r="AH900" s="157">
        <f t="shared" si="309"/>
        <v>0</v>
      </c>
      <c r="AI900" s="152">
        <f t="shared" si="310"/>
        <v>28512</v>
      </c>
      <c r="AK900" s="156" t="s">
        <v>691</v>
      </c>
      <c r="AL900" s="574" t="s">
        <v>690</v>
      </c>
      <c r="AM900" s="198">
        <f t="shared" si="305"/>
        <v>0</v>
      </c>
      <c r="AN900" s="199">
        <f t="shared" si="292"/>
        <v>45453</v>
      </c>
      <c r="AO900" s="159" t="s">
        <v>692</v>
      </c>
      <c r="AP900" s="781"/>
      <c r="AQ900" s="782">
        <v>12063755</v>
      </c>
      <c r="AR900" s="782">
        <v>12061353</v>
      </c>
      <c r="AS900" s="782">
        <v>12061354</v>
      </c>
      <c r="AT900" s="782">
        <v>12068566</v>
      </c>
      <c r="AU900" s="781"/>
      <c r="AV900" s="782">
        <v>12088206</v>
      </c>
      <c r="AW900" s="782">
        <v>12088207</v>
      </c>
      <c r="AX900" s="782"/>
      <c r="AY900" s="782">
        <v>12068565</v>
      </c>
      <c r="AZ900" s="782"/>
      <c r="BA900" s="781"/>
    </row>
    <row r="901" spans="1:53" ht="24.65" hidden="1" customHeight="1">
      <c r="B901" s="213">
        <v>45453</v>
      </c>
      <c r="C901" s="633">
        <v>45457</v>
      </c>
      <c r="D901" s="185">
        <f t="shared" ref="D901:D964" si="311">IF(B901="","",YEAR(B901))</f>
        <v>2024</v>
      </c>
      <c r="E901" s="215" t="str">
        <f>VLOOKUP($B901,Week!$A$1:$C$1462,2,0)</f>
        <v>Week24</v>
      </c>
      <c r="F901" s="216" t="str">
        <f t="shared" ref="F901:F964" si="312">IF(B901="","",TEXT(B901,"[$-409]mmm"))</f>
        <v>Jun</v>
      </c>
      <c r="G901" s="215" t="s">
        <v>1236</v>
      </c>
      <c r="H901" s="215" t="s">
        <v>104</v>
      </c>
      <c r="I901" s="215" t="s">
        <v>2772</v>
      </c>
      <c r="J901" s="209" t="s">
        <v>105</v>
      </c>
      <c r="K901" s="217" t="s">
        <v>107</v>
      </c>
      <c r="L901" s="300" t="s">
        <v>2167</v>
      </c>
      <c r="M901" s="209" t="s">
        <v>108</v>
      </c>
      <c r="N901" s="215" t="s">
        <v>109</v>
      </c>
      <c r="O901" s="215" t="s">
        <v>110</v>
      </c>
      <c r="P901" s="218">
        <v>36</v>
      </c>
      <c r="Q901" s="218">
        <v>5</v>
      </c>
      <c r="R901" s="219">
        <v>7.4999999999999997E-3</v>
      </c>
      <c r="S901" s="215" t="s">
        <v>111</v>
      </c>
      <c r="T901" s="215" t="s">
        <v>112</v>
      </c>
      <c r="U901" s="215" t="s">
        <v>113</v>
      </c>
      <c r="V901" s="220">
        <v>792</v>
      </c>
      <c r="W901" s="220">
        <v>792</v>
      </c>
      <c r="X901" s="221"/>
      <c r="Y901" s="222">
        <f t="shared" si="306"/>
        <v>0</v>
      </c>
      <c r="Z901" s="223">
        <f t="shared" si="307"/>
        <v>0</v>
      </c>
      <c r="AA901" s="223"/>
      <c r="AB901" s="807"/>
      <c r="AC901" s="220"/>
      <c r="AD901" s="209"/>
      <c r="AE901" s="210"/>
      <c r="AF901" s="210"/>
      <c r="AG901" s="211">
        <f t="shared" si="308"/>
        <v>0.308</v>
      </c>
      <c r="AH901" s="157">
        <f t="shared" si="309"/>
        <v>0</v>
      </c>
      <c r="AI901" s="152">
        <f t="shared" si="310"/>
        <v>28512</v>
      </c>
      <c r="AK901" s="156" t="s">
        <v>691</v>
      </c>
      <c r="AL901" s="574" t="s">
        <v>690</v>
      </c>
      <c r="AM901" s="198">
        <f t="shared" si="305"/>
        <v>0</v>
      </c>
      <c r="AN901" s="199">
        <f t="shared" ref="AN901:AN964" si="313">B901</f>
        <v>45453</v>
      </c>
      <c r="AO901" s="159" t="s">
        <v>692</v>
      </c>
      <c r="AP901" s="781"/>
      <c r="AQ901" s="782">
        <v>12063755</v>
      </c>
      <c r="AR901" s="782">
        <v>12061353</v>
      </c>
      <c r="AS901" s="782">
        <v>12061354</v>
      </c>
      <c r="AT901" s="782">
        <v>12068566</v>
      </c>
      <c r="AU901" s="781"/>
      <c r="AV901" s="782">
        <v>12088206</v>
      </c>
      <c r="AW901" s="782">
        <v>12088207</v>
      </c>
      <c r="AX901" s="782"/>
      <c r="AY901" s="782">
        <v>12068565</v>
      </c>
      <c r="AZ901" s="782"/>
      <c r="BA901" s="781"/>
    </row>
    <row r="902" spans="1:53" ht="25" hidden="1" customHeight="1">
      <c r="B902" s="213">
        <v>45453</v>
      </c>
      <c r="C902" s="633">
        <v>45458</v>
      </c>
      <c r="D902" s="185">
        <f t="shared" si="311"/>
        <v>2024</v>
      </c>
      <c r="E902" s="215" t="str">
        <f>VLOOKUP($B902,Week!$A$1:$C$1462,2,0)</f>
        <v>Week24</v>
      </c>
      <c r="F902" s="216" t="str">
        <f t="shared" si="312"/>
        <v>Jun</v>
      </c>
      <c r="G902" s="215" t="s">
        <v>1237</v>
      </c>
      <c r="H902" s="215" t="s">
        <v>104</v>
      </c>
      <c r="I902" s="215" t="s">
        <v>2772</v>
      </c>
      <c r="J902" s="209" t="s">
        <v>105</v>
      </c>
      <c r="K902" s="217" t="s">
        <v>107</v>
      </c>
      <c r="L902" s="300" t="s">
        <v>2167</v>
      </c>
      <c r="M902" s="209" t="s">
        <v>108</v>
      </c>
      <c r="N902" s="215" t="s">
        <v>109</v>
      </c>
      <c r="O902" s="215" t="s">
        <v>110</v>
      </c>
      <c r="P902" s="218">
        <v>36</v>
      </c>
      <c r="Q902" s="218">
        <v>5</v>
      </c>
      <c r="R902" s="219">
        <v>7.4999999999999997E-3</v>
      </c>
      <c r="S902" s="215" t="s">
        <v>111</v>
      </c>
      <c r="T902" s="215" t="s">
        <v>112</v>
      </c>
      <c r="U902" s="215" t="s">
        <v>113</v>
      </c>
      <c r="V902" s="220">
        <f>3169-53-792-792-792</f>
        <v>740</v>
      </c>
      <c r="W902" s="220">
        <f>3169-53-792-792-792</f>
        <v>740</v>
      </c>
      <c r="X902" s="221"/>
      <c r="Y902" s="222">
        <f t="shared" si="306"/>
        <v>0</v>
      </c>
      <c r="Z902" s="223">
        <f t="shared" si="307"/>
        <v>0</v>
      </c>
      <c r="AA902" s="223"/>
      <c r="AB902" s="807"/>
      <c r="AC902" s="220"/>
      <c r="AD902" s="209"/>
      <c r="AE902" s="210"/>
      <c r="AF902" s="210"/>
      <c r="AG902" s="211">
        <f t="shared" si="308"/>
        <v>0.308</v>
      </c>
      <c r="AH902" s="157">
        <f t="shared" si="309"/>
        <v>0</v>
      </c>
      <c r="AI902" s="152">
        <f t="shared" si="310"/>
        <v>26640</v>
      </c>
      <c r="AK902" s="156" t="s">
        <v>691</v>
      </c>
      <c r="AL902" s="574" t="s">
        <v>690</v>
      </c>
      <c r="AM902" s="198">
        <f t="shared" si="305"/>
        <v>0</v>
      </c>
      <c r="AN902" s="199">
        <f t="shared" si="313"/>
        <v>45453</v>
      </c>
      <c r="AO902" s="159" t="s">
        <v>692</v>
      </c>
      <c r="AP902" s="781"/>
      <c r="AQ902" s="782">
        <v>12063755</v>
      </c>
      <c r="AR902" s="782">
        <v>12061353</v>
      </c>
      <c r="AS902" s="782">
        <v>12061354</v>
      </c>
      <c r="AT902" s="782">
        <v>12068566</v>
      </c>
      <c r="AU902" s="781"/>
      <c r="AV902" s="782">
        <v>12088206</v>
      </c>
      <c r="AW902" s="782">
        <v>12088207</v>
      </c>
      <c r="AX902" s="782"/>
      <c r="AY902" s="782">
        <v>12068565</v>
      </c>
      <c r="AZ902" s="782"/>
      <c r="BA902" s="781"/>
    </row>
    <row r="903" spans="1:53" ht="25" hidden="1" customHeight="1">
      <c r="A903" s="142" t="s">
        <v>120</v>
      </c>
      <c r="B903" s="385">
        <v>45453</v>
      </c>
      <c r="C903" s="386">
        <v>45496</v>
      </c>
      <c r="D903" s="185">
        <f t="shared" si="311"/>
        <v>2024</v>
      </c>
      <c r="E903" s="386" t="str">
        <f>VLOOKUP($B903,Week!$A$1:$C$1462,2,0)</f>
        <v>Week24</v>
      </c>
      <c r="F903" s="387" t="str">
        <f t="shared" si="312"/>
        <v>Jun</v>
      </c>
      <c r="G903" s="388" t="s">
        <v>1119</v>
      </c>
      <c r="H903" s="388" t="s">
        <v>500</v>
      </c>
      <c r="I903" s="388" t="s">
        <v>2772</v>
      </c>
      <c r="J903" s="389" t="s">
        <v>285</v>
      </c>
      <c r="K903" s="390" t="s">
        <v>153</v>
      </c>
      <c r="L903" s="390" t="s">
        <v>2166</v>
      </c>
      <c r="M903" s="389" t="s">
        <v>165</v>
      </c>
      <c r="N903" s="388" t="s">
        <v>286</v>
      </c>
      <c r="O903" s="388" t="s">
        <v>503</v>
      </c>
      <c r="P903" s="391">
        <v>40</v>
      </c>
      <c r="Q903" s="391">
        <v>12</v>
      </c>
      <c r="R903" s="392">
        <v>6.8100000000000001E-3</v>
      </c>
      <c r="S903" s="388" t="s">
        <v>76</v>
      </c>
      <c r="T903" s="388" t="s">
        <v>56</v>
      </c>
      <c r="U903" s="388" t="s">
        <v>89</v>
      </c>
      <c r="V903" s="393">
        <v>468</v>
      </c>
      <c r="W903" s="393">
        <v>468</v>
      </c>
      <c r="X903" s="394"/>
      <c r="Y903" s="395">
        <f t="shared" si="306"/>
        <v>0</v>
      </c>
      <c r="Z903" s="396">
        <f t="shared" si="307"/>
        <v>0</v>
      </c>
      <c r="AA903" s="396">
        <f>Q903*Z903</f>
        <v>0</v>
      </c>
      <c r="AB903" s="823">
        <v>2</v>
      </c>
      <c r="AC903" s="393">
        <f>Z903*AB903</f>
        <v>0</v>
      </c>
      <c r="AD903" s="209"/>
      <c r="AE903" s="210"/>
      <c r="AF903" s="210"/>
      <c r="AG903" s="211">
        <f t="shared" si="308"/>
        <v>0.154</v>
      </c>
      <c r="AH903" s="157">
        <f t="shared" si="309"/>
        <v>0</v>
      </c>
      <c r="AI903" s="152">
        <f t="shared" si="310"/>
        <v>18720</v>
      </c>
      <c r="AK903" s="156" t="s">
        <v>691</v>
      </c>
      <c r="AL903" s="156" t="s">
        <v>689</v>
      </c>
      <c r="AM903" s="198">
        <f t="shared" si="305"/>
        <v>0</v>
      </c>
      <c r="AN903" s="199">
        <f t="shared" si="313"/>
        <v>45453</v>
      </c>
      <c r="AO903" s="159" t="s">
        <v>692</v>
      </c>
      <c r="AP903" s="783" t="s">
        <v>611</v>
      </c>
      <c r="AQ903" s="782">
        <v>12028328</v>
      </c>
      <c r="AR903" s="782">
        <v>12019692</v>
      </c>
      <c r="AS903" s="781"/>
      <c r="AT903" s="782">
        <v>12065371</v>
      </c>
      <c r="AU903" s="782"/>
      <c r="AV903" s="782">
        <v>12055895</v>
      </c>
      <c r="AW903" s="782">
        <v>12034747</v>
      </c>
      <c r="AX903" s="782" t="s">
        <v>398</v>
      </c>
      <c r="AY903" s="781" t="s">
        <v>290</v>
      </c>
      <c r="AZ903" s="781"/>
      <c r="BA903" s="781"/>
    </row>
    <row r="904" spans="1:53" ht="25" hidden="1" customHeight="1">
      <c r="B904" s="213">
        <v>45454</v>
      </c>
      <c r="C904" s="633">
        <v>45458</v>
      </c>
      <c r="D904" s="185">
        <f t="shared" si="311"/>
        <v>2024</v>
      </c>
      <c r="E904" s="215" t="str">
        <f>VLOOKUP($B904,Week!$A$1:$C$1462,2,0)</f>
        <v>Week24</v>
      </c>
      <c r="F904" s="216" t="str">
        <f t="shared" si="312"/>
        <v>Jun</v>
      </c>
      <c r="G904" s="215" t="s">
        <v>1237</v>
      </c>
      <c r="H904" s="215" t="s">
        <v>104</v>
      </c>
      <c r="I904" s="215" t="s">
        <v>2772</v>
      </c>
      <c r="J904" s="209" t="s">
        <v>105</v>
      </c>
      <c r="K904" s="217" t="s">
        <v>107</v>
      </c>
      <c r="L904" s="300" t="s">
        <v>2167</v>
      </c>
      <c r="M904" s="209" t="s">
        <v>108</v>
      </c>
      <c r="N904" s="215" t="s">
        <v>109</v>
      </c>
      <c r="O904" s="215" t="s">
        <v>110</v>
      </c>
      <c r="P904" s="218">
        <v>36</v>
      </c>
      <c r="Q904" s="218">
        <v>5</v>
      </c>
      <c r="R904" s="219">
        <v>7.4999999999999997E-3</v>
      </c>
      <c r="S904" s="215" t="s">
        <v>111</v>
      </c>
      <c r="T904" s="215" t="s">
        <v>112</v>
      </c>
      <c r="U904" s="215" t="s">
        <v>113</v>
      </c>
      <c r="V904" s="220">
        <f>792-740</f>
        <v>52</v>
      </c>
      <c r="W904" s="220">
        <f>792-740</f>
        <v>52</v>
      </c>
      <c r="X904" s="221"/>
      <c r="Y904" s="222">
        <f t="shared" si="306"/>
        <v>0</v>
      </c>
      <c r="Z904" s="223">
        <f t="shared" si="307"/>
        <v>0</v>
      </c>
      <c r="AA904" s="223"/>
      <c r="AB904" s="807"/>
      <c r="AC904" s="220"/>
      <c r="AD904" s="209"/>
      <c r="AE904" s="210"/>
      <c r="AF904" s="210"/>
      <c r="AG904" s="211">
        <f t="shared" si="308"/>
        <v>0.308</v>
      </c>
      <c r="AH904" s="157">
        <f t="shared" si="309"/>
        <v>0</v>
      </c>
      <c r="AI904" s="152">
        <f t="shared" si="310"/>
        <v>1872</v>
      </c>
      <c r="AK904" s="156" t="s">
        <v>691</v>
      </c>
      <c r="AL904" s="574" t="s">
        <v>690</v>
      </c>
      <c r="AM904" s="198">
        <f t="shared" si="305"/>
        <v>0</v>
      </c>
      <c r="AN904" s="199">
        <f t="shared" si="313"/>
        <v>45454</v>
      </c>
      <c r="AO904" s="159" t="s">
        <v>692</v>
      </c>
      <c r="AP904" s="781"/>
      <c r="AQ904" s="782">
        <v>12063755</v>
      </c>
      <c r="AR904" s="782">
        <v>12061353</v>
      </c>
      <c r="AS904" s="782">
        <v>12061354</v>
      </c>
      <c r="AT904" s="782">
        <v>12068566</v>
      </c>
      <c r="AU904" s="781"/>
      <c r="AV904" s="782">
        <v>12088206</v>
      </c>
      <c r="AW904" s="782">
        <v>12088207</v>
      </c>
      <c r="AX904" s="782"/>
      <c r="AY904" s="782">
        <v>12068565</v>
      </c>
      <c r="AZ904" s="782"/>
      <c r="BA904" s="781"/>
    </row>
    <row r="905" spans="1:53" ht="25" hidden="1" customHeight="1">
      <c r="B905" s="213">
        <v>45454</v>
      </c>
      <c r="C905" s="633">
        <v>45458</v>
      </c>
      <c r="D905" s="185">
        <f t="shared" si="311"/>
        <v>2024</v>
      </c>
      <c r="E905" s="215" t="str">
        <f>VLOOKUP($B905,Week!$A$1:$C$1462,2,0)</f>
        <v>Week24</v>
      </c>
      <c r="F905" s="216" t="str">
        <f t="shared" si="312"/>
        <v>Jun</v>
      </c>
      <c r="G905" s="215" t="s">
        <v>1238</v>
      </c>
      <c r="H905" s="215" t="s">
        <v>104</v>
      </c>
      <c r="I905" s="215" t="s">
        <v>2772</v>
      </c>
      <c r="J905" s="209" t="s">
        <v>105</v>
      </c>
      <c r="K905" s="217" t="s">
        <v>107</v>
      </c>
      <c r="L905" s="300" t="s">
        <v>2167</v>
      </c>
      <c r="M905" s="209" t="s">
        <v>108</v>
      </c>
      <c r="N905" s="215" t="s">
        <v>109</v>
      </c>
      <c r="O905" s="215" t="s">
        <v>110</v>
      </c>
      <c r="P905" s="218">
        <v>36</v>
      </c>
      <c r="Q905" s="218">
        <v>5</v>
      </c>
      <c r="R905" s="219">
        <v>7.4999999999999997E-3</v>
      </c>
      <c r="S905" s="215" t="s">
        <v>111</v>
      </c>
      <c r="T905" s="215" t="s">
        <v>112</v>
      </c>
      <c r="U905" s="215" t="s">
        <v>113</v>
      </c>
      <c r="V905" s="220">
        <v>792</v>
      </c>
      <c r="W905" s="220">
        <v>792</v>
      </c>
      <c r="X905" s="221"/>
      <c r="Y905" s="222">
        <f t="shared" si="306"/>
        <v>0</v>
      </c>
      <c r="Z905" s="223">
        <f t="shared" si="307"/>
        <v>0</v>
      </c>
      <c r="AA905" s="223"/>
      <c r="AB905" s="807"/>
      <c r="AC905" s="220"/>
      <c r="AD905" s="209"/>
      <c r="AE905" s="210"/>
      <c r="AF905" s="210"/>
      <c r="AG905" s="211">
        <f t="shared" si="308"/>
        <v>0.308</v>
      </c>
      <c r="AH905" s="157">
        <f t="shared" si="309"/>
        <v>0</v>
      </c>
      <c r="AI905" s="152">
        <f t="shared" si="310"/>
        <v>28512</v>
      </c>
      <c r="AK905" s="156" t="s">
        <v>691</v>
      </c>
      <c r="AL905" s="574" t="s">
        <v>690</v>
      </c>
      <c r="AM905" s="198">
        <f t="shared" si="305"/>
        <v>0</v>
      </c>
      <c r="AN905" s="199">
        <f t="shared" si="313"/>
        <v>45454</v>
      </c>
      <c r="AO905" s="159" t="s">
        <v>692</v>
      </c>
      <c r="AP905" s="781"/>
      <c r="AQ905" s="782">
        <v>12063755</v>
      </c>
      <c r="AR905" s="782">
        <v>12061353</v>
      </c>
      <c r="AS905" s="782">
        <v>12061354</v>
      </c>
      <c r="AT905" s="782">
        <v>12068566</v>
      </c>
      <c r="AU905" s="781"/>
      <c r="AV905" s="782">
        <v>12088206</v>
      </c>
      <c r="AW905" s="782">
        <v>12088207</v>
      </c>
      <c r="AX905" s="782"/>
      <c r="AY905" s="782">
        <v>12068565</v>
      </c>
      <c r="AZ905" s="782"/>
      <c r="BA905" s="781"/>
    </row>
    <row r="906" spans="1:53" ht="25" hidden="1" customHeight="1">
      <c r="B906" s="213">
        <v>45454</v>
      </c>
      <c r="C906" s="633">
        <v>45460</v>
      </c>
      <c r="D906" s="185">
        <f t="shared" si="311"/>
        <v>2024</v>
      </c>
      <c r="E906" s="215" t="str">
        <f>VLOOKUP($B906,Week!$A$1:$C$1462,2,0)</f>
        <v>Week24</v>
      </c>
      <c r="F906" s="216" t="str">
        <f t="shared" si="312"/>
        <v>Jun</v>
      </c>
      <c r="G906" s="215" t="s">
        <v>1239</v>
      </c>
      <c r="H906" s="215" t="s">
        <v>104</v>
      </c>
      <c r="I906" s="215" t="s">
        <v>2772</v>
      </c>
      <c r="J906" s="209" t="s">
        <v>105</v>
      </c>
      <c r="K906" s="217" t="s">
        <v>107</v>
      </c>
      <c r="L906" s="300" t="s">
        <v>2167</v>
      </c>
      <c r="M906" s="209" t="s">
        <v>108</v>
      </c>
      <c r="N906" s="215" t="s">
        <v>109</v>
      </c>
      <c r="O906" s="215" t="s">
        <v>110</v>
      </c>
      <c r="P906" s="218">
        <v>36</v>
      </c>
      <c r="Q906" s="218">
        <v>5</v>
      </c>
      <c r="R906" s="219">
        <v>7.4999999999999997E-3</v>
      </c>
      <c r="S906" s="215" t="s">
        <v>111</v>
      </c>
      <c r="T906" s="215" t="s">
        <v>112</v>
      </c>
      <c r="U906" s="215" t="s">
        <v>113</v>
      </c>
      <c r="V906" s="220">
        <v>792</v>
      </c>
      <c r="W906" s="220">
        <v>792</v>
      </c>
      <c r="X906" s="221"/>
      <c r="Y906" s="222">
        <f t="shared" si="306"/>
        <v>0</v>
      </c>
      <c r="Z906" s="223">
        <f t="shared" si="307"/>
        <v>0</v>
      </c>
      <c r="AA906" s="223"/>
      <c r="AB906" s="807"/>
      <c r="AC906" s="220"/>
      <c r="AD906" s="209"/>
      <c r="AE906" s="210"/>
      <c r="AF906" s="210"/>
      <c r="AG906" s="211">
        <f t="shared" si="308"/>
        <v>0.308</v>
      </c>
      <c r="AH906" s="157">
        <f t="shared" si="309"/>
        <v>0</v>
      </c>
      <c r="AI906" s="152">
        <f t="shared" si="310"/>
        <v>28512</v>
      </c>
      <c r="AK906" s="156" t="s">
        <v>691</v>
      </c>
      <c r="AL906" s="574" t="s">
        <v>690</v>
      </c>
      <c r="AM906" s="198">
        <f t="shared" si="305"/>
        <v>0</v>
      </c>
      <c r="AN906" s="199">
        <f t="shared" si="313"/>
        <v>45454</v>
      </c>
      <c r="AO906" s="159" t="s">
        <v>692</v>
      </c>
      <c r="AP906" s="781"/>
      <c r="AQ906" s="782">
        <v>12063755</v>
      </c>
      <c r="AR906" s="782">
        <v>12061353</v>
      </c>
      <c r="AS906" s="782">
        <v>12061354</v>
      </c>
      <c r="AT906" s="782">
        <v>12068566</v>
      </c>
      <c r="AU906" s="781"/>
      <c r="AV906" s="782">
        <v>12088206</v>
      </c>
      <c r="AW906" s="782">
        <v>12088207</v>
      </c>
      <c r="AX906" s="782"/>
      <c r="AY906" s="782">
        <v>12068565</v>
      </c>
      <c r="AZ906" s="782"/>
      <c r="BA906" s="781"/>
    </row>
    <row r="907" spans="1:53" ht="25" hidden="1" customHeight="1">
      <c r="B907" s="213">
        <v>45454</v>
      </c>
      <c r="C907" s="633">
        <v>45460</v>
      </c>
      <c r="D907" s="185">
        <f t="shared" si="311"/>
        <v>2024</v>
      </c>
      <c r="E907" s="215" t="str">
        <f>VLOOKUP($B907,Week!$A$1:$C$1462,2,0)</f>
        <v>Week24</v>
      </c>
      <c r="F907" s="216" t="str">
        <f t="shared" si="312"/>
        <v>Jun</v>
      </c>
      <c r="G907" s="215" t="s">
        <v>1240</v>
      </c>
      <c r="H907" s="215" t="s">
        <v>104</v>
      </c>
      <c r="I907" s="215" t="s">
        <v>2772</v>
      </c>
      <c r="J907" s="209" t="s">
        <v>105</v>
      </c>
      <c r="K907" s="217" t="s">
        <v>107</v>
      </c>
      <c r="L907" s="300" t="s">
        <v>2167</v>
      </c>
      <c r="M907" s="209" t="s">
        <v>108</v>
      </c>
      <c r="N907" s="215" t="s">
        <v>109</v>
      </c>
      <c r="O907" s="215" t="s">
        <v>110</v>
      </c>
      <c r="P907" s="218">
        <v>36</v>
      </c>
      <c r="Q907" s="218">
        <v>5</v>
      </c>
      <c r="R907" s="219">
        <v>7.4999999999999997E-3</v>
      </c>
      <c r="S907" s="215" t="s">
        <v>111</v>
      </c>
      <c r="T907" s="215" t="s">
        <v>112</v>
      </c>
      <c r="U907" s="215" t="s">
        <v>113</v>
      </c>
      <c r="V907" s="220">
        <v>792</v>
      </c>
      <c r="W907" s="220">
        <v>792</v>
      </c>
      <c r="X907" s="221"/>
      <c r="Y907" s="222">
        <f t="shared" si="306"/>
        <v>0</v>
      </c>
      <c r="Z907" s="223">
        <f t="shared" si="307"/>
        <v>0</v>
      </c>
      <c r="AA907" s="223"/>
      <c r="AB907" s="807"/>
      <c r="AC907" s="220"/>
      <c r="AD907" s="209"/>
      <c r="AE907" s="210"/>
      <c r="AF907" s="210"/>
      <c r="AG907" s="211">
        <f t="shared" si="308"/>
        <v>0.308</v>
      </c>
      <c r="AH907" s="157">
        <f t="shared" si="309"/>
        <v>0</v>
      </c>
      <c r="AI907" s="152">
        <f t="shared" si="310"/>
        <v>28512</v>
      </c>
      <c r="AK907" s="156" t="s">
        <v>691</v>
      </c>
      <c r="AL907" s="574" t="s">
        <v>690</v>
      </c>
      <c r="AM907" s="198">
        <f t="shared" si="305"/>
        <v>0</v>
      </c>
      <c r="AN907" s="199">
        <f t="shared" si="313"/>
        <v>45454</v>
      </c>
      <c r="AO907" s="159" t="s">
        <v>692</v>
      </c>
      <c r="AP907" s="781"/>
      <c r="AQ907" s="782">
        <v>12063755</v>
      </c>
      <c r="AR907" s="782">
        <v>12061353</v>
      </c>
      <c r="AS907" s="782">
        <v>12061354</v>
      </c>
      <c r="AT907" s="782">
        <v>12068566</v>
      </c>
      <c r="AU907" s="781"/>
      <c r="AV907" s="782">
        <v>12088206</v>
      </c>
      <c r="AW907" s="782">
        <v>12088207</v>
      </c>
      <c r="AX907" s="782"/>
      <c r="AY907" s="782">
        <v>12068565</v>
      </c>
      <c r="AZ907" s="782"/>
      <c r="BA907" s="781"/>
    </row>
    <row r="908" spans="1:53" ht="25" hidden="1" customHeight="1">
      <c r="B908" s="213">
        <v>45454</v>
      </c>
      <c r="C908" s="633">
        <v>45460</v>
      </c>
      <c r="D908" s="185">
        <f t="shared" si="311"/>
        <v>2024</v>
      </c>
      <c r="E908" s="215" t="str">
        <f>VLOOKUP($B908,Week!$A$1:$C$1462,2,0)</f>
        <v>Week24</v>
      </c>
      <c r="F908" s="216" t="str">
        <f t="shared" si="312"/>
        <v>Jun</v>
      </c>
      <c r="G908" s="215" t="s">
        <v>1241</v>
      </c>
      <c r="H908" s="215" t="s">
        <v>104</v>
      </c>
      <c r="I908" s="215" t="s">
        <v>2772</v>
      </c>
      <c r="J908" s="209" t="s">
        <v>105</v>
      </c>
      <c r="K908" s="217" t="s">
        <v>107</v>
      </c>
      <c r="L908" s="300" t="s">
        <v>2167</v>
      </c>
      <c r="M908" s="209" t="s">
        <v>108</v>
      </c>
      <c r="N908" s="215" t="s">
        <v>109</v>
      </c>
      <c r="O908" s="215" t="s">
        <v>110</v>
      </c>
      <c r="P908" s="218">
        <v>36</v>
      </c>
      <c r="Q908" s="218">
        <v>5</v>
      </c>
      <c r="R908" s="219">
        <v>7.4999999999999997E-3</v>
      </c>
      <c r="S908" s="215" t="s">
        <v>111</v>
      </c>
      <c r="T908" s="215" t="s">
        <v>112</v>
      </c>
      <c r="U908" s="215" t="s">
        <v>113</v>
      </c>
      <c r="V908" s="220">
        <v>792</v>
      </c>
      <c r="W908" s="220">
        <v>792</v>
      </c>
      <c r="X908" s="221"/>
      <c r="Y908" s="222">
        <f t="shared" si="306"/>
        <v>0</v>
      </c>
      <c r="Z908" s="223">
        <f t="shared" si="307"/>
        <v>0</v>
      </c>
      <c r="AA908" s="223"/>
      <c r="AB908" s="807"/>
      <c r="AC908" s="220"/>
      <c r="AD908" s="209"/>
      <c r="AE908" s="210"/>
      <c r="AF908" s="210"/>
      <c r="AG908" s="211">
        <f t="shared" si="308"/>
        <v>0.308</v>
      </c>
      <c r="AH908" s="157">
        <f t="shared" si="309"/>
        <v>0</v>
      </c>
      <c r="AI908" s="152">
        <f t="shared" si="310"/>
        <v>28512</v>
      </c>
      <c r="AK908" s="156" t="s">
        <v>691</v>
      </c>
      <c r="AL908" s="574" t="s">
        <v>690</v>
      </c>
      <c r="AM908" s="198">
        <f t="shared" si="305"/>
        <v>0</v>
      </c>
      <c r="AN908" s="199">
        <f t="shared" si="313"/>
        <v>45454</v>
      </c>
      <c r="AO908" s="159" t="s">
        <v>692</v>
      </c>
      <c r="AP908" s="781"/>
      <c r="AQ908" s="782">
        <v>12063755</v>
      </c>
      <c r="AR908" s="782">
        <v>12061353</v>
      </c>
      <c r="AS908" s="782">
        <v>12061354</v>
      </c>
      <c r="AT908" s="782">
        <v>12068566</v>
      </c>
      <c r="AU908" s="781"/>
      <c r="AV908" s="782">
        <v>12088206</v>
      </c>
      <c r="AW908" s="782">
        <v>12088207</v>
      </c>
      <c r="AX908" s="782"/>
      <c r="AY908" s="782">
        <v>12068565</v>
      </c>
      <c r="AZ908" s="782"/>
      <c r="BA908" s="781"/>
    </row>
    <row r="909" spans="1:53" ht="25" hidden="1" customHeight="1">
      <c r="B909" s="213">
        <v>45454</v>
      </c>
      <c r="C909" s="633">
        <v>45460</v>
      </c>
      <c r="D909" s="185">
        <f t="shared" si="311"/>
        <v>2024</v>
      </c>
      <c r="E909" s="215" t="str">
        <f>VLOOKUP($B909,Week!$A$1:$C$1462,2,0)</f>
        <v>Week24</v>
      </c>
      <c r="F909" s="216" t="str">
        <f t="shared" si="312"/>
        <v>Jun</v>
      </c>
      <c r="G909" s="215" t="s">
        <v>1242</v>
      </c>
      <c r="H909" s="215" t="s">
        <v>104</v>
      </c>
      <c r="I909" s="215" t="s">
        <v>2772</v>
      </c>
      <c r="J909" s="209" t="s">
        <v>105</v>
      </c>
      <c r="K909" s="217" t="s">
        <v>107</v>
      </c>
      <c r="L909" s="300" t="s">
        <v>2167</v>
      </c>
      <c r="M909" s="209" t="s">
        <v>108</v>
      </c>
      <c r="N909" s="215" t="s">
        <v>109</v>
      </c>
      <c r="O909" s="215" t="s">
        <v>110</v>
      </c>
      <c r="P909" s="218">
        <v>36</v>
      </c>
      <c r="Q909" s="218">
        <v>5</v>
      </c>
      <c r="R909" s="219">
        <v>7.4999999999999997E-3</v>
      </c>
      <c r="S909" s="215" t="s">
        <v>111</v>
      </c>
      <c r="T909" s="215" t="s">
        <v>112</v>
      </c>
      <c r="U909" s="215" t="s">
        <v>113</v>
      </c>
      <c r="V909" s="220">
        <v>792</v>
      </c>
      <c r="W909" s="220">
        <v>792</v>
      </c>
      <c r="X909" s="221"/>
      <c r="Y909" s="222">
        <f t="shared" si="306"/>
        <v>0</v>
      </c>
      <c r="Z909" s="223">
        <f t="shared" si="307"/>
        <v>0</v>
      </c>
      <c r="AA909" s="223"/>
      <c r="AB909" s="807"/>
      <c r="AC909" s="220"/>
      <c r="AD909" s="209"/>
      <c r="AE909" s="210"/>
      <c r="AF909" s="210"/>
      <c r="AG909" s="211">
        <f t="shared" si="308"/>
        <v>0.308</v>
      </c>
      <c r="AH909" s="157">
        <f t="shared" si="309"/>
        <v>0</v>
      </c>
      <c r="AI909" s="152">
        <f t="shared" si="310"/>
        <v>28512</v>
      </c>
      <c r="AK909" s="156" t="s">
        <v>691</v>
      </c>
      <c r="AL909" s="574" t="s">
        <v>690</v>
      </c>
      <c r="AM909" s="198">
        <f t="shared" si="305"/>
        <v>0</v>
      </c>
      <c r="AN909" s="199">
        <f t="shared" si="313"/>
        <v>45454</v>
      </c>
      <c r="AO909" s="159" t="s">
        <v>692</v>
      </c>
      <c r="AP909" s="781"/>
      <c r="AQ909" s="782">
        <v>12063755</v>
      </c>
      <c r="AR909" s="782">
        <v>12061353</v>
      </c>
      <c r="AS909" s="782">
        <v>12061354</v>
      </c>
      <c r="AT909" s="782">
        <v>12068566</v>
      </c>
      <c r="AU909" s="781"/>
      <c r="AV909" s="782">
        <v>12088206</v>
      </c>
      <c r="AW909" s="782">
        <v>12088207</v>
      </c>
      <c r="AX909" s="782"/>
      <c r="AY909" s="782">
        <v>12068565</v>
      </c>
      <c r="AZ909" s="782"/>
      <c r="BA909" s="781"/>
    </row>
    <row r="910" spans="1:53" ht="25" hidden="1" customHeight="1">
      <c r="B910" s="213">
        <v>45454</v>
      </c>
      <c r="C910" s="633">
        <v>45460</v>
      </c>
      <c r="D910" s="185">
        <f t="shared" si="311"/>
        <v>2024</v>
      </c>
      <c r="E910" s="215" t="str">
        <f>VLOOKUP($B910,Week!$A$1:$C$1462,2,0)</f>
        <v>Week24</v>
      </c>
      <c r="F910" s="216" t="str">
        <f t="shared" si="312"/>
        <v>Jun</v>
      </c>
      <c r="G910" s="215" t="s">
        <v>1286</v>
      </c>
      <c r="H910" s="215" t="s">
        <v>104</v>
      </c>
      <c r="I910" s="215" t="s">
        <v>2772</v>
      </c>
      <c r="J910" s="209" t="s">
        <v>105</v>
      </c>
      <c r="K910" s="217" t="s">
        <v>107</v>
      </c>
      <c r="L910" s="300" t="s">
        <v>2167</v>
      </c>
      <c r="M910" s="209" t="s">
        <v>108</v>
      </c>
      <c r="N910" s="215" t="s">
        <v>109</v>
      </c>
      <c r="O910" s="215" t="s">
        <v>110</v>
      </c>
      <c r="P910" s="218">
        <v>36</v>
      </c>
      <c r="Q910" s="218">
        <v>5</v>
      </c>
      <c r="R910" s="219">
        <v>7.4999999999999997E-3</v>
      </c>
      <c r="S910" s="215" t="s">
        <v>111</v>
      </c>
      <c r="T910" s="215" t="s">
        <v>112</v>
      </c>
      <c r="U910" s="215" t="s">
        <v>113</v>
      </c>
      <c r="V910" s="220">
        <f>4081-52-792-792-792-792-792</f>
        <v>69</v>
      </c>
      <c r="W910" s="220">
        <f>4081-52-792-792-792-792-792</f>
        <v>69</v>
      </c>
      <c r="X910" s="221"/>
      <c r="Y910" s="222">
        <f t="shared" si="306"/>
        <v>0</v>
      </c>
      <c r="Z910" s="223">
        <f t="shared" si="307"/>
        <v>0</v>
      </c>
      <c r="AA910" s="223"/>
      <c r="AB910" s="807"/>
      <c r="AC910" s="220"/>
      <c r="AD910" s="209"/>
      <c r="AE910" s="210"/>
      <c r="AF910" s="210"/>
      <c r="AG910" s="211">
        <f t="shared" si="308"/>
        <v>0.308</v>
      </c>
      <c r="AH910" s="157">
        <f t="shared" si="309"/>
        <v>0</v>
      </c>
      <c r="AI910" s="152">
        <f t="shared" si="310"/>
        <v>2484</v>
      </c>
      <c r="AK910" s="156" t="s">
        <v>691</v>
      </c>
      <c r="AL910" s="574" t="s">
        <v>690</v>
      </c>
      <c r="AM910" s="198">
        <f t="shared" si="305"/>
        <v>0</v>
      </c>
      <c r="AN910" s="199">
        <f t="shared" si="313"/>
        <v>45454</v>
      </c>
      <c r="AO910" s="159" t="s">
        <v>692</v>
      </c>
      <c r="AP910" s="781"/>
      <c r="AQ910" s="782">
        <v>12063755</v>
      </c>
      <c r="AR910" s="782">
        <v>12061353</v>
      </c>
      <c r="AS910" s="782">
        <v>12061354</v>
      </c>
      <c r="AT910" s="782">
        <v>12068566</v>
      </c>
      <c r="AU910" s="781"/>
      <c r="AV910" s="782">
        <v>12088206</v>
      </c>
      <c r="AW910" s="782">
        <v>12088207</v>
      </c>
      <c r="AX910" s="782"/>
      <c r="AY910" s="782">
        <v>12068565</v>
      </c>
      <c r="AZ910" s="782"/>
      <c r="BA910" s="781"/>
    </row>
    <row r="911" spans="1:53" ht="25" hidden="1" customHeight="1">
      <c r="A911" s="142" t="s">
        <v>120</v>
      </c>
      <c r="B911" s="385">
        <v>45454</v>
      </c>
      <c r="C911" s="386">
        <v>45496</v>
      </c>
      <c r="D911" s="185">
        <f t="shared" si="311"/>
        <v>2024</v>
      </c>
      <c r="E911" s="386" t="str">
        <f>VLOOKUP($B911,Week!$A$1:$C$1462,2,0)</f>
        <v>Week24</v>
      </c>
      <c r="F911" s="387" t="str">
        <f t="shared" si="312"/>
        <v>Jun</v>
      </c>
      <c r="G911" s="388" t="s">
        <v>1119</v>
      </c>
      <c r="H911" s="388" t="s">
        <v>500</v>
      </c>
      <c r="I911" s="388" t="s">
        <v>2772</v>
      </c>
      <c r="J911" s="389" t="s">
        <v>285</v>
      </c>
      <c r="K911" s="390" t="s">
        <v>153</v>
      </c>
      <c r="L911" s="390" t="s">
        <v>2166</v>
      </c>
      <c r="M911" s="389" t="s">
        <v>165</v>
      </c>
      <c r="N911" s="388" t="s">
        <v>286</v>
      </c>
      <c r="O911" s="388" t="s">
        <v>503</v>
      </c>
      <c r="P911" s="391">
        <v>40</v>
      </c>
      <c r="Q911" s="391">
        <v>12</v>
      </c>
      <c r="R911" s="392">
        <v>6.8100000000000001E-3</v>
      </c>
      <c r="S911" s="388" t="s">
        <v>76</v>
      </c>
      <c r="T911" s="388" t="s">
        <v>56</v>
      </c>
      <c r="U911" s="388" t="s">
        <v>89</v>
      </c>
      <c r="V911" s="393">
        <f>1624-523-552-468</f>
        <v>81</v>
      </c>
      <c r="W911" s="393">
        <f>81</f>
        <v>81</v>
      </c>
      <c r="X911" s="394"/>
      <c r="Y911" s="395">
        <f t="shared" si="306"/>
        <v>0</v>
      </c>
      <c r="Z911" s="396">
        <f t="shared" si="307"/>
        <v>0</v>
      </c>
      <c r="AA911" s="396">
        <f>Q911*Z911</f>
        <v>0</v>
      </c>
      <c r="AB911" s="823">
        <v>2</v>
      </c>
      <c r="AC911" s="393">
        <f>Z911*AB911</f>
        <v>0</v>
      </c>
      <c r="AD911" s="209"/>
      <c r="AE911" s="210"/>
      <c r="AF911" s="210"/>
      <c r="AG911" s="211">
        <f t="shared" si="308"/>
        <v>0.154</v>
      </c>
      <c r="AH911" s="157">
        <f t="shared" si="309"/>
        <v>0</v>
      </c>
      <c r="AI911" s="152">
        <f t="shared" si="310"/>
        <v>3240</v>
      </c>
      <c r="AK911" s="156" t="s">
        <v>691</v>
      </c>
      <c r="AL911" s="156" t="s">
        <v>689</v>
      </c>
      <c r="AM911" s="198">
        <f t="shared" si="305"/>
        <v>0</v>
      </c>
      <c r="AN911" s="199">
        <f t="shared" si="313"/>
        <v>45454</v>
      </c>
      <c r="AO911" s="159" t="s">
        <v>692</v>
      </c>
      <c r="AP911" s="783" t="s">
        <v>611</v>
      </c>
      <c r="AQ911" s="782">
        <v>12028328</v>
      </c>
      <c r="AR911" s="782">
        <v>12019692</v>
      </c>
      <c r="AS911" s="781"/>
      <c r="AT911" s="782">
        <v>12065371</v>
      </c>
      <c r="AU911" s="782"/>
      <c r="AV911" s="782">
        <v>12055895</v>
      </c>
      <c r="AW911" s="782">
        <v>12034747</v>
      </c>
      <c r="AX911" s="782" t="s">
        <v>398</v>
      </c>
      <c r="AY911" s="781" t="s">
        <v>290</v>
      </c>
      <c r="AZ911" s="781"/>
      <c r="BA911" s="781"/>
    </row>
    <row r="912" spans="1:53" ht="24.75" hidden="1" customHeight="1">
      <c r="A912" s="142" t="s">
        <v>120</v>
      </c>
      <c r="B912" s="308">
        <v>45454</v>
      </c>
      <c r="C912" s="309">
        <v>45460</v>
      </c>
      <c r="D912" s="185">
        <f t="shared" si="311"/>
        <v>2024</v>
      </c>
      <c r="E912" s="519" t="str">
        <f>VLOOKUP($B912,Week!$A$1:$C$1462,2,0)</f>
        <v>Week24</v>
      </c>
      <c r="F912" s="520" t="str">
        <f t="shared" si="312"/>
        <v>Jun</v>
      </c>
      <c r="G912" s="446" t="s">
        <v>47</v>
      </c>
      <c r="H912" s="311" t="s">
        <v>518</v>
      </c>
      <c r="I912" s="311" t="s">
        <v>2702</v>
      </c>
      <c r="J912" s="312" t="s">
        <v>70</v>
      </c>
      <c r="K912" s="313" t="s">
        <v>85</v>
      </c>
      <c r="L912" s="390" t="s">
        <v>2166</v>
      </c>
      <c r="M912" s="312" t="s">
        <v>515</v>
      </c>
      <c r="N912" s="311" t="s">
        <v>588</v>
      </c>
      <c r="O912" s="311" t="s">
        <v>546</v>
      </c>
      <c r="P912" s="314">
        <v>12</v>
      </c>
      <c r="Q912" s="314">
        <v>20</v>
      </c>
      <c r="R912" s="315">
        <v>6.1999999999999998E-3</v>
      </c>
      <c r="S912" s="311" t="s">
        <v>352</v>
      </c>
      <c r="T912" s="311" t="s">
        <v>56</v>
      </c>
      <c r="U912" s="311"/>
      <c r="V912" s="316">
        <v>347</v>
      </c>
      <c r="W912" s="316">
        <f>584-543+306</f>
        <v>347</v>
      </c>
      <c r="X912" s="317"/>
      <c r="Y912" s="318">
        <f t="shared" si="306"/>
        <v>0</v>
      </c>
      <c r="Z912" s="319">
        <f t="shared" si="307"/>
        <v>0</v>
      </c>
      <c r="AA912" s="319">
        <f>Q912*Z912</f>
        <v>0</v>
      </c>
      <c r="AB912" s="815"/>
      <c r="AC912" s="316">
        <f>Z912*AB912</f>
        <v>0</v>
      </c>
      <c r="AD912" s="209"/>
      <c r="AE912" s="210"/>
      <c r="AF912" s="210"/>
      <c r="AG912" s="211">
        <f t="shared" si="308"/>
        <v>0.22</v>
      </c>
      <c r="AH912" s="157">
        <f t="shared" si="309"/>
        <v>0</v>
      </c>
      <c r="AI912" s="152">
        <f t="shared" si="310"/>
        <v>4164</v>
      </c>
      <c r="AK912" s="156" t="s">
        <v>691</v>
      </c>
      <c r="AL912" s="156" t="s">
        <v>689</v>
      </c>
      <c r="AM912" s="198">
        <f t="shared" si="305"/>
        <v>0</v>
      </c>
      <c r="AN912" s="199">
        <f t="shared" si="313"/>
        <v>45454</v>
      </c>
      <c r="AO912" s="159" t="s">
        <v>692</v>
      </c>
      <c r="AP912" s="783" t="s">
        <v>613</v>
      </c>
      <c r="AQ912" s="782"/>
      <c r="AR912" s="782" t="s">
        <v>614</v>
      </c>
      <c r="AS912" s="782"/>
      <c r="AT912" s="782">
        <v>12083140</v>
      </c>
      <c r="AU912" s="781"/>
      <c r="AV912" s="782">
        <v>12083143</v>
      </c>
      <c r="AW912" s="782"/>
      <c r="AX912" s="782"/>
      <c r="AY912" s="782"/>
      <c r="AZ912" s="782"/>
      <c r="BA912" s="781"/>
    </row>
    <row r="913" spans="1:53" ht="24.75" hidden="1" customHeight="1">
      <c r="A913" s="142" t="s">
        <v>120</v>
      </c>
      <c r="B913" s="308">
        <v>45454</v>
      </c>
      <c r="C913" s="309">
        <v>45460</v>
      </c>
      <c r="D913" s="185">
        <f t="shared" si="311"/>
        <v>2024</v>
      </c>
      <c r="E913" s="519" t="str">
        <f>VLOOKUP($B913,Week!$A$1:$C$1462,2,0)</f>
        <v>Week24</v>
      </c>
      <c r="F913" s="520" t="str">
        <f t="shared" si="312"/>
        <v>Jun</v>
      </c>
      <c r="G913" s="446" t="s">
        <v>47</v>
      </c>
      <c r="H913" s="311" t="s">
        <v>518</v>
      </c>
      <c r="I913" s="311" t="s">
        <v>2702</v>
      </c>
      <c r="J913" s="312" t="s">
        <v>70</v>
      </c>
      <c r="K913" s="313" t="s">
        <v>85</v>
      </c>
      <c r="L913" s="390" t="s">
        <v>2166</v>
      </c>
      <c r="M913" s="312" t="s">
        <v>515</v>
      </c>
      <c r="N913" s="311" t="s">
        <v>588</v>
      </c>
      <c r="O913" s="311" t="s">
        <v>546</v>
      </c>
      <c r="P913" s="314">
        <v>12</v>
      </c>
      <c r="Q913" s="314">
        <v>20</v>
      </c>
      <c r="R913" s="315">
        <v>6.1999999999999998E-3</v>
      </c>
      <c r="S913" s="311" t="s">
        <v>352</v>
      </c>
      <c r="T913" s="311" t="s">
        <v>56</v>
      </c>
      <c r="U913" s="311"/>
      <c r="V913" s="316">
        <f>208</f>
        <v>208</v>
      </c>
      <c r="W913" s="316">
        <f>208</f>
        <v>208</v>
      </c>
      <c r="X913" s="317"/>
      <c r="Y913" s="318">
        <f t="shared" si="306"/>
        <v>0</v>
      </c>
      <c r="Z913" s="319">
        <f t="shared" si="307"/>
        <v>0</v>
      </c>
      <c r="AA913" s="319">
        <f>Q913*Z913</f>
        <v>0</v>
      </c>
      <c r="AB913" s="815"/>
      <c r="AC913" s="316">
        <f>Z913*AB913</f>
        <v>0</v>
      </c>
      <c r="AD913" s="209"/>
      <c r="AE913" s="210"/>
      <c r="AF913" s="210"/>
      <c r="AG913" s="211">
        <f t="shared" si="308"/>
        <v>0.22</v>
      </c>
      <c r="AH913" s="157">
        <f t="shared" si="309"/>
        <v>0</v>
      </c>
      <c r="AI913" s="152">
        <f t="shared" si="310"/>
        <v>2496</v>
      </c>
      <c r="AK913" s="156" t="s">
        <v>691</v>
      </c>
      <c r="AL913" s="156" t="s">
        <v>689</v>
      </c>
      <c r="AM913" s="198">
        <f t="shared" si="305"/>
        <v>0</v>
      </c>
      <c r="AN913" s="199">
        <f t="shared" si="313"/>
        <v>45454</v>
      </c>
      <c r="AO913" s="159" t="s">
        <v>692</v>
      </c>
      <c r="AP913" s="783" t="s">
        <v>613</v>
      </c>
      <c r="AQ913" s="782"/>
      <c r="AR913" s="782" t="s">
        <v>614</v>
      </c>
      <c r="AS913" s="782"/>
      <c r="AT913" s="782">
        <v>12083140</v>
      </c>
      <c r="AU913" s="781"/>
      <c r="AV913" s="782">
        <v>12083143</v>
      </c>
      <c r="AW913" s="782"/>
      <c r="AX913" s="782"/>
      <c r="AY913" s="782"/>
      <c r="AZ913" s="782"/>
      <c r="BA913" s="781"/>
    </row>
    <row r="914" spans="1:53" ht="25" hidden="1" customHeight="1">
      <c r="A914" s="142" t="s">
        <v>120</v>
      </c>
      <c r="B914" s="369">
        <v>45454</v>
      </c>
      <c r="C914" s="370">
        <v>45474</v>
      </c>
      <c r="D914" s="185">
        <f t="shared" si="311"/>
        <v>2024</v>
      </c>
      <c r="E914" s="371" t="str">
        <f>VLOOKUP($B914,Week!$A$1:$C$1462,2,0)</f>
        <v>Week24</v>
      </c>
      <c r="F914" s="372" t="str">
        <f t="shared" si="312"/>
        <v>Jun</v>
      </c>
      <c r="G914" s="371" t="s">
        <v>1402</v>
      </c>
      <c r="H914" s="371" t="s">
        <v>344</v>
      </c>
      <c r="I914" s="371" t="s">
        <v>2772</v>
      </c>
      <c r="J914" s="373" t="s">
        <v>345</v>
      </c>
      <c r="K914" s="374" t="s">
        <v>153</v>
      </c>
      <c r="L914" s="390" t="s">
        <v>2166</v>
      </c>
      <c r="M914" s="373" t="s">
        <v>214</v>
      </c>
      <c r="N914" s="371" t="s">
        <v>346</v>
      </c>
      <c r="O914" s="371" t="s">
        <v>509</v>
      </c>
      <c r="P914" s="375">
        <v>18</v>
      </c>
      <c r="Q914" s="375">
        <v>8</v>
      </c>
      <c r="R914" s="376">
        <v>6.8100000000000001E-3</v>
      </c>
      <c r="S914" s="371" t="s">
        <v>76</v>
      </c>
      <c r="T914" s="371" t="s">
        <v>56</v>
      </c>
      <c r="U914" s="371" t="s">
        <v>89</v>
      </c>
      <c r="V914" s="377">
        <v>287</v>
      </c>
      <c r="W914" s="377">
        <f>274</f>
        <v>274</v>
      </c>
      <c r="X914" s="378">
        <f>(234)/18</f>
        <v>13</v>
      </c>
      <c r="Y914" s="379">
        <f t="shared" si="306"/>
        <v>0</v>
      </c>
      <c r="Z914" s="380">
        <f t="shared" si="307"/>
        <v>0</v>
      </c>
      <c r="AA914" s="380">
        <f>Q914*Z914</f>
        <v>0</v>
      </c>
      <c r="AB914" s="820">
        <v>1</v>
      </c>
      <c r="AC914" s="377">
        <f>Z914*AB914</f>
        <v>0</v>
      </c>
      <c r="AD914" s="443"/>
      <c r="AE914" s="210"/>
      <c r="AF914" s="210"/>
      <c r="AG914" s="211">
        <f t="shared" si="308"/>
        <v>0.10100000000000001</v>
      </c>
      <c r="AH914" s="157">
        <f t="shared" si="309"/>
        <v>0</v>
      </c>
      <c r="AI914" s="152">
        <f t="shared" si="310"/>
        <v>5166</v>
      </c>
      <c r="AK914" s="156" t="s">
        <v>691</v>
      </c>
      <c r="AL914" s="156" t="s">
        <v>689</v>
      </c>
      <c r="AM914" s="198">
        <f t="shared" si="305"/>
        <v>0</v>
      </c>
      <c r="AN914" s="199">
        <f t="shared" si="313"/>
        <v>45454</v>
      </c>
      <c r="AO914" s="159" t="s">
        <v>692</v>
      </c>
      <c r="AP914" s="781"/>
      <c r="AQ914" s="781" t="s">
        <v>158</v>
      </c>
      <c r="AR914" s="782">
        <v>12038019</v>
      </c>
      <c r="AS914" s="781"/>
      <c r="AT914" s="800">
        <v>12055751</v>
      </c>
      <c r="AU914" s="781"/>
      <c r="AV914" s="800">
        <v>12049471</v>
      </c>
      <c r="AW914" s="781"/>
      <c r="AX914" s="781" t="s">
        <v>162</v>
      </c>
      <c r="AY914" s="781"/>
      <c r="AZ914" s="781"/>
      <c r="BA914" s="781"/>
    </row>
    <row r="915" spans="1:53" ht="24.65" hidden="1" customHeight="1">
      <c r="A915" s="142" t="s">
        <v>120</v>
      </c>
      <c r="B915" s="357">
        <v>45454</v>
      </c>
      <c r="C915" s="358">
        <v>45474</v>
      </c>
      <c r="D915" s="185">
        <f t="shared" si="311"/>
        <v>2024</v>
      </c>
      <c r="E915" s="359" t="str">
        <f>VLOOKUP($B915,Week!$A$1:$C$1462,2,0)</f>
        <v>Week24</v>
      </c>
      <c r="F915" s="360" t="str">
        <f t="shared" si="312"/>
        <v>Jun</v>
      </c>
      <c r="G915" s="359" t="s">
        <v>1402</v>
      </c>
      <c r="H915" s="359" t="s">
        <v>344</v>
      </c>
      <c r="I915" s="359" t="s">
        <v>2772</v>
      </c>
      <c r="J915" s="361" t="s">
        <v>345</v>
      </c>
      <c r="K915" s="362" t="s">
        <v>355</v>
      </c>
      <c r="L915" s="390" t="s">
        <v>2166</v>
      </c>
      <c r="M915" s="361" t="s">
        <v>356</v>
      </c>
      <c r="N915" s="359" t="s">
        <v>357</v>
      </c>
      <c r="O915" s="359" t="s">
        <v>508</v>
      </c>
      <c r="P915" s="363">
        <v>18</v>
      </c>
      <c r="Q915" s="363">
        <v>8</v>
      </c>
      <c r="R915" s="364">
        <v>6.0000000000000001E-3</v>
      </c>
      <c r="S915" s="359" t="s">
        <v>55</v>
      </c>
      <c r="T915" s="359" t="s">
        <v>56</v>
      </c>
      <c r="U915" s="359" t="s">
        <v>89</v>
      </c>
      <c r="V915" s="365">
        <v>250</v>
      </c>
      <c r="W915" s="365">
        <f>221+19</f>
        <v>240</v>
      </c>
      <c r="X915" s="366">
        <f>(432)/18</f>
        <v>24</v>
      </c>
      <c r="Y915" s="367">
        <f t="shared" si="306"/>
        <v>14</v>
      </c>
      <c r="Z915" s="368">
        <f t="shared" si="307"/>
        <v>0</v>
      </c>
      <c r="AA915" s="368">
        <f>Q915*Z915</f>
        <v>0</v>
      </c>
      <c r="AB915" s="819">
        <v>2</v>
      </c>
      <c r="AC915" s="365">
        <f>Z915*AB915</f>
        <v>0</v>
      </c>
      <c r="AD915" s="443"/>
      <c r="AE915" s="210"/>
      <c r="AF915" s="210"/>
      <c r="AG915" s="211">
        <f>MID(O915,1,2)/1000</f>
        <v>0.09</v>
      </c>
      <c r="AH915" s="157">
        <f t="shared" si="309"/>
        <v>0</v>
      </c>
      <c r="AI915" s="152">
        <f t="shared" si="310"/>
        <v>4500</v>
      </c>
      <c r="AK915" s="156" t="s">
        <v>691</v>
      </c>
      <c r="AL915" s="156" t="s">
        <v>689</v>
      </c>
      <c r="AM915" s="198">
        <f t="shared" si="305"/>
        <v>0</v>
      </c>
      <c r="AN915" s="199">
        <f t="shared" si="313"/>
        <v>45454</v>
      </c>
      <c r="AO915" s="159" t="s">
        <v>692</v>
      </c>
      <c r="AP915" s="781"/>
      <c r="AQ915" s="782"/>
      <c r="AR915" s="782" t="s">
        <v>531</v>
      </c>
      <c r="AS915" s="782"/>
      <c r="AT915" s="782"/>
      <c r="AU915" s="782">
        <v>12054219</v>
      </c>
      <c r="AV915" s="782">
        <v>12054239</v>
      </c>
      <c r="AW915" s="782"/>
      <c r="AX915" s="782" t="s">
        <v>532</v>
      </c>
      <c r="AY915" s="782"/>
      <c r="AZ915" s="782"/>
      <c r="BA915" s="781"/>
    </row>
    <row r="916" spans="1:53" ht="25" hidden="1" customHeight="1">
      <c r="B916" s="213">
        <v>45455</v>
      </c>
      <c r="C916" s="633">
        <v>45460</v>
      </c>
      <c r="D916" s="185">
        <f t="shared" si="311"/>
        <v>2024</v>
      </c>
      <c r="E916" s="215" t="str">
        <f>VLOOKUP($B916,Week!$A$1:$C$1462,2,0)</f>
        <v>Week24</v>
      </c>
      <c r="F916" s="216" t="str">
        <f t="shared" si="312"/>
        <v>Jun</v>
      </c>
      <c r="G916" s="215" t="s">
        <v>1286</v>
      </c>
      <c r="H916" s="215" t="s">
        <v>104</v>
      </c>
      <c r="I916" s="215" t="s">
        <v>2772</v>
      </c>
      <c r="J916" s="209" t="s">
        <v>105</v>
      </c>
      <c r="K916" s="217" t="s">
        <v>107</v>
      </c>
      <c r="L916" s="300" t="s">
        <v>2167</v>
      </c>
      <c r="M916" s="209" t="s">
        <v>108</v>
      </c>
      <c r="N916" s="215" t="s">
        <v>109</v>
      </c>
      <c r="O916" s="215" t="s">
        <v>110</v>
      </c>
      <c r="P916" s="218">
        <v>36</v>
      </c>
      <c r="Q916" s="218">
        <v>5</v>
      </c>
      <c r="R916" s="219">
        <v>7.4999999999999997E-3</v>
      </c>
      <c r="S916" s="215" t="s">
        <v>111</v>
      </c>
      <c r="T916" s="215" t="s">
        <v>112</v>
      </c>
      <c r="U916" s="215" t="s">
        <v>113</v>
      </c>
      <c r="V916" s="220">
        <f>792-69</f>
        <v>723</v>
      </c>
      <c r="W916" s="220">
        <f>792-69</f>
        <v>723</v>
      </c>
      <c r="X916" s="221"/>
      <c r="Y916" s="222">
        <f t="shared" si="306"/>
        <v>0</v>
      </c>
      <c r="Z916" s="223">
        <f t="shared" si="307"/>
        <v>0</v>
      </c>
      <c r="AA916" s="223"/>
      <c r="AB916" s="807"/>
      <c r="AC916" s="220"/>
      <c r="AD916" s="209"/>
      <c r="AE916" s="210"/>
      <c r="AF916" s="210"/>
      <c r="AG916" s="211">
        <f t="shared" ref="AG916:AG944" si="314">MID(O916,1,3)/1000</f>
        <v>0.308</v>
      </c>
      <c r="AH916" s="157">
        <f t="shared" si="309"/>
        <v>0</v>
      </c>
      <c r="AI916" s="152">
        <f t="shared" si="310"/>
        <v>26028</v>
      </c>
      <c r="AK916" s="156" t="s">
        <v>691</v>
      </c>
      <c r="AL916" s="574" t="s">
        <v>690</v>
      </c>
      <c r="AM916" s="198">
        <f t="shared" si="305"/>
        <v>0</v>
      </c>
      <c r="AN916" s="199">
        <f t="shared" si="313"/>
        <v>45455</v>
      </c>
      <c r="AO916" s="159" t="s">
        <v>692</v>
      </c>
      <c r="AP916" s="781"/>
      <c r="AQ916" s="782">
        <v>12063755</v>
      </c>
      <c r="AR916" s="782">
        <v>12061353</v>
      </c>
      <c r="AS916" s="782">
        <v>12061354</v>
      </c>
      <c r="AT916" s="782">
        <v>12068566</v>
      </c>
      <c r="AU916" s="781"/>
      <c r="AV916" s="782">
        <v>12088206</v>
      </c>
      <c r="AW916" s="782">
        <v>12088207</v>
      </c>
      <c r="AX916" s="782"/>
      <c r="AY916" s="782">
        <v>12068565</v>
      </c>
      <c r="AZ916" s="782"/>
      <c r="BA916" s="781"/>
    </row>
    <row r="917" spans="1:53" ht="25" hidden="1" customHeight="1">
      <c r="B917" s="213">
        <v>45455</v>
      </c>
      <c r="C917" s="633">
        <v>45461</v>
      </c>
      <c r="D917" s="185">
        <f t="shared" si="311"/>
        <v>2024</v>
      </c>
      <c r="E917" s="215" t="str">
        <f>VLOOKUP($B917,Week!$A$1:$C$1462,2,0)</f>
        <v>Week24</v>
      </c>
      <c r="F917" s="216" t="str">
        <f t="shared" si="312"/>
        <v>Jun</v>
      </c>
      <c r="G917" s="215" t="s">
        <v>1287</v>
      </c>
      <c r="H917" s="215" t="s">
        <v>104</v>
      </c>
      <c r="I917" s="215" t="s">
        <v>2772</v>
      </c>
      <c r="J917" s="209" t="s">
        <v>105</v>
      </c>
      <c r="K917" s="217" t="s">
        <v>107</v>
      </c>
      <c r="L917" s="300" t="s">
        <v>2167</v>
      </c>
      <c r="M917" s="209" t="s">
        <v>108</v>
      </c>
      <c r="N917" s="215" t="s">
        <v>109</v>
      </c>
      <c r="O917" s="215" t="s">
        <v>110</v>
      </c>
      <c r="P917" s="218">
        <v>36</v>
      </c>
      <c r="Q917" s="218">
        <v>5</v>
      </c>
      <c r="R917" s="219">
        <v>7.4999999999999997E-3</v>
      </c>
      <c r="S917" s="215" t="s">
        <v>111</v>
      </c>
      <c r="T917" s="215" t="s">
        <v>112</v>
      </c>
      <c r="U917" s="215" t="s">
        <v>113</v>
      </c>
      <c r="V917" s="220">
        <v>792</v>
      </c>
      <c r="W917" s="220">
        <v>792</v>
      </c>
      <c r="X917" s="221"/>
      <c r="Y917" s="222">
        <f t="shared" si="306"/>
        <v>0</v>
      </c>
      <c r="Z917" s="223">
        <f t="shared" si="307"/>
        <v>0</v>
      </c>
      <c r="AA917" s="223"/>
      <c r="AB917" s="807"/>
      <c r="AC917" s="220"/>
      <c r="AD917" s="209"/>
      <c r="AE917" s="210"/>
      <c r="AF917" s="210"/>
      <c r="AG917" s="211">
        <f t="shared" si="314"/>
        <v>0.308</v>
      </c>
      <c r="AH917" s="157">
        <f t="shared" si="309"/>
        <v>0</v>
      </c>
      <c r="AI917" s="152">
        <f t="shared" si="310"/>
        <v>28512</v>
      </c>
      <c r="AK917" s="156" t="s">
        <v>691</v>
      </c>
      <c r="AL917" s="574" t="s">
        <v>690</v>
      </c>
      <c r="AM917" s="198">
        <f t="shared" si="305"/>
        <v>0</v>
      </c>
      <c r="AN917" s="199">
        <f t="shared" si="313"/>
        <v>45455</v>
      </c>
      <c r="AO917" s="159" t="s">
        <v>692</v>
      </c>
      <c r="AP917" s="781"/>
      <c r="AQ917" s="782">
        <v>12063755</v>
      </c>
      <c r="AR917" s="782">
        <v>12061353</v>
      </c>
      <c r="AS917" s="782">
        <v>12061354</v>
      </c>
      <c r="AT917" s="782">
        <v>12068566</v>
      </c>
      <c r="AU917" s="781"/>
      <c r="AV917" s="782">
        <v>12088206</v>
      </c>
      <c r="AW917" s="782">
        <v>12088207</v>
      </c>
      <c r="AX917" s="782"/>
      <c r="AY917" s="782">
        <v>12068565</v>
      </c>
      <c r="AZ917" s="782"/>
      <c r="BA917" s="781"/>
    </row>
    <row r="918" spans="1:53" ht="25" hidden="1" customHeight="1">
      <c r="B918" s="213">
        <v>45455</v>
      </c>
      <c r="C918" s="633">
        <v>45465</v>
      </c>
      <c r="D918" s="185">
        <f t="shared" si="311"/>
        <v>2024</v>
      </c>
      <c r="E918" s="215" t="str">
        <f>VLOOKUP($B918,Week!$A$1:$C$1462,2,0)</f>
        <v>Week24</v>
      </c>
      <c r="F918" s="216" t="str">
        <f t="shared" si="312"/>
        <v>Jun</v>
      </c>
      <c r="G918" s="215" t="s">
        <v>1288</v>
      </c>
      <c r="H918" s="215" t="s">
        <v>104</v>
      </c>
      <c r="I918" s="215" t="s">
        <v>2772</v>
      </c>
      <c r="J918" s="209" t="s">
        <v>105</v>
      </c>
      <c r="K918" s="217" t="s">
        <v>107</v>
      </c>
      <c r="L918" s="300" t="s">
        <v>2167</v>
      </c>
      <c r="M918" s="209" t="s">
        <v>108</v>
      </c>
      <c r="N918" s="215" t="s">
        <v>109</v>
      </c>
      <c r="O918" s="215" t="s">
        <v>110</v>
      </c>
      <c r="P918" s="218">
        <v>36</v>
      </c>
      <c r="Q918" s="218">
        <v>5</v>
      </c>
      <c r="R918" s="219">
        <v>7.4999999999999997E-3</v>
      </c>
      <c r="S918" s="215" t="s">
        <v>111</v>
      </c>
      <c r="T918" s="215" t="s">
        <v>112</v>
      </c>
      <c r="U918" s="215" t="s">
        <v>113</v>
      </c>
      <c r="V918" s="220">
        <v>792</v>
      </c>
      <c r="W918" s="220">
        <v>792</v>
      </c>
      <c r="X918" s="221"/>
      <c r="Y918" s="222">
        <f t="shared" si="306"/>
        <v>0</v>
      </c>
      <c r="Z918" s="223">
        <f t="shared" si="307"/>
        <v>0</v>
      </c>
      <c r="AA918" s="223"/>
      <c r="AB918" s="807"/>
      <c r="AC918" s="220"/>
      <c r="AD918" s="209"/>
      <c r="AE918" s="210"/>
      <c r="AF918" s="210"/>
      <c r="AG918" s="211">
        <f t="shared" si="314"/>
        <v>0.308</v>
      </c>
      <c r="AH918" s="157">
        <f t="shared" si="309"/>
        <v>0</v>
      </c>
      <c r="AI918" s="152">
        <f t="shared" si="310"/>
        <v>28512</v>
      </c>
      <c r="AK918" s="156" t="s">
        <v>691</v>
      </c>
      <c r="AL918" s="574" t="s">
        <v>690</v>
      </c>
      <c r="AM918" s="198">
        <f t="shared" si="305"/>
        <v>0</v>
      </c>
      <c r="AN918" s="199">
        <f t="shared" si="313"/>
        <v>45455</v>
      </c>
      <c r="AO918" s="159" t="s">
        <v>692</v>
      </c>
      <c r="AP918" s="781"/>
      <c r="AQ918" s="782">
        <v>12063755</v>
      </c>
      <c r="AR918" s="782">
        <v>12061353</v>
      </c>
      <c r="AS918" s="782">
        <v>12061354</v>
      </c>
      <c r="AT918" s="782">
        <v>12068566</v>
      </c>
      <c r="AU918" s="781"/>
      <c r="AV918" s="782">
        <v>12088206</v>
      </c>
      <c r="AW918" s="782">
        <v>12088207</v>
      </c>
      <c r="AX918" s="782"/>
      <c r="AY918" s="782">
        <v>12068565</v>
      </c>
      <c r="AZ918" s="782"/>
      <c r="BA918" s="781"/>
    </row>
    <row r="919" spans="1:53" ht="25" hidden="1" customHeight="1">
      <c r="B919" s="213">
        <v>45455</v>
      </c>
      <c r="C919" s="633">
        <v>45465</v>
      </c>
      <c r="D919" s="185">
        <f t="shared" si="311"/>
        <v>2024</v>
      </c>
      <c r="E919" s="215" t="str">
        <f>VLOOKUP($B919,Week!$A$1:$C$1462,2,0)</f>
        <v>Week24</v>
      </c>
      <c r="F919" s="216" t="str">
        <f t="shared" si="312"/>
        <v>Jun</v>
      </c>
      <c r="G919" s="215" t="s">
        <v>1281</v>
      </c>
      <c r="H919" s="215" t="s">
        <v>104</v>
      </c>
      <c r="I919" s="215" t="s">
        <v>2772</v>
      </c>
      <c r="J919" s="209" t="s">
        <v>105</v>
      </c>
      <c r="K919" s="217" t="s">
        <v>107</v>
      </c>
      <c r="L919" s="300" t="s">
        <v>2167</v>
      </c>
      <c r="M919" s="209" t="s">
        <v>108</v>
      </c>
      <c r="N919" s="215" t="s">
        <v>109</v>
      </c>
      <c r="O919" s="215" t="s">
        <v>110</v>
      </c>
      <c r="P919" s="218">
        <v>36</v>
      </c>
      <c r="Q919" s="218">
        <v>5</v>
      </c>
      <c r="R919" s="219">
        <v>7.4999999999999997E-3</v>
      </c>
      <c r="S919" s="215" t="s">
        <v>111</v>
      </c>
      <c r="T919" s="215" t="s">
        <v>112</v>
      </c>
      <c r="U919" s="215" t="s">
        <v>113</v>
      </c>
      <c r="V919" s="220">
        <v>792</v>
      </c>
      <c r="W919" s="220">
        <v>792</v>
      </c>
      <c r="X919" s="221"/>
      <c r="Y919" s="222">
        <f t="shared" si="306"/>
        <v>0</v>
      </c>
      <c r="Z919" s="223">
        <f t="shared" si="307"/>
        <v>0</v>
      </c>
      <c r="AA919" s="223"/>
      <c r="AB919" s="807"/>
      <c r="AC919" s="220"/>
      <c r="AD919" s="209"/>
      <c r="AE919" s="210"/>
      <c r="AF919" s="210"/>
      <c r="AG919" s="211">
        <f t="shared" si="314"/>
        <v>0.308</v>
      </c>
      <c r="AH919" s="157">
        <f t="shared" si="309"/>
        <v>0</v>
      </c>
      <c r="AI919" s="152">
        <f t="shared" si="310"/>
        <v>28512</v>
      </c>
      <c r="AK919" s="156" t="s">
        <v>691</v>
      </c>
      <c r="AL919" s="574" t="s">
        <v>690</v>
      </c>
      <c r="AM919" s="198">
        <f t="shared" si="305"/>
        <v>0</v>
      </c>
      <c r="AN919" s="199">
        <f t="shared" si="313"/>
        <v>45455</v>
      </c>
      <c r="AO919" s="159" t="s">
        <v>692</v>
      </c>
      <c r="AP919" s="781"/>
      <c r="AQ919" s="782">
        <v>12063755</v>
      </c>
      <c r="AR919" s="782">
        <v>12061353</v>
      </c>
      <c r="AS919" s="782">
        <v>12061354</v>
      </c>
      <c r="AT919" s="782">
        <v>12068566</v>
      </c>
      <c r="AU919" s="781"/>
      <c r="AV919" s="782">
        <v>12088206</v>
      </c>
      <c r="AW919" s="782">
        <v>12088207</v>
      </c>
      <c r="AX919" s="782"/>
      <c r="AY919" s="782">
        <v>12068565</v>
      </c>
      <c r="AZ919" s="782"/>
      <c r="BA919" s="781"/>
    </row>
    <row r="920" spans="1:53" ht="25" hidden="1" customHeight="1">
      <c r="B920" s="213">
        <v>45455</v>
      </c>
      <c r="C920" s="633">
        <v>45465</v>
      </c>
      <c r="D920" s="185">
        <f t="shared" si="311"/>
        <v>2024</v>
      </c>
      <c r="E920" s="215" t="str">
        <f>VLOOKUP($B920,Week!$A$1:$C$1462,2,0)</f>
        <v>Week24</v>
      </c>
      <c r="F920" s="216" t="str">
        <f t="shared" si="312"/>
        <v>Jun</v>
      </c>
      <c r="G920" s="215" t="s">
        <v>1293</v>
      </c>
      <c r="H920" s="215" t="s">
        <v>104</v>
      </c>
      <c r="I920" s="215" t="s">
        <v>2772</v>
      </c>
      <c r="J920" s="209" t="s">
        <v>105</v>
      </c>
      <c r="K920" s="217" t="s">
        <v>107</v>
      </c>
      <c r="L920" s="300" t="s">
        <v>2167</v>
      </c>
      <c r="M920" s="209" t="s">
        <v>108</v>
      </c>
      <c r="N920" s="215" t="s">
        <v>109</v>
      </c>
      <c r="O920" s="215" t="s">
        <v>110</v>
      </c>
      <c r="P920" s="218">
        <v>36</v>
      </c>
      <c r="Q920" s="218">
        <v>5</v>
      </c>
      <c r="R920" s="219">
        <v>7.4999999999999997E-3</v>
      </c>
      <c r="S920" s="215" t="s">
        <v>111</v>
      </c>
      <c r="T920" s="215" t="s">
        <v>112</v>
      </c>
      <c r="U920" s="215" t="s">
        <v>113</v>
      </c>
      <c r="V920" s="220">
        <v>792</v>
      </c>
      <c r="W920" s="220">
        <v>792</v>
      </c>
      <c r="X920" s="221"/>
      <c r="Y920" s="222">
        <f t="shared" si="306"/>
        <v>0</v>
      </c>
      <c r="Z920" s="223">
        <f t="shared" si="307"/>
        <v>0</v>
      </c>
      <c r="AA920" s="223"/>
      <c r="AB920" s="807"/>
      <c r="AC920" s="220"/>
      <c r="AD920" s="209"/>
      <c r="AE920" s="210"/>
      <c r="AF920" s="210"/>
      <c r="AG920" s="211">
        <f t="shared" si="314"/>
        <v>0.308</v>
      </c>
      <c r="AH920" s="157">
        <f t="shared" si="309"/>
        <v>0</v>
      </c>
      <c r="AI920" s="152">
        <f t="shared" si="310"/>
        <v>28512</v>
      </c>
      <c r="AK920" s="156" t="s">
        <v>691</v>
      </c>
      <c r="AL920" s="574" t="s">
        <v>690</v>
      </c>
      <c r="AM920" s="198">
        <f t="shared" si="305"/>
        <v>0</v>
      </c>
      <c r="AN920" s="199">
        <f t="shared" si="313"/>
        <v>45455</v>
      </c>
      <c r="AO920" s="159" t="s">
        <v>692</v>
      </c>
      <c r="AP920" s="781"/>
      <c r="AQ920" s="782">
        <v>12063755</v>
      </c>
      <c r="AR920" s="782">
        <v>12061353</v>
      </c>
      <c r="AS920" s="782">
        <v>12061354</v>
      </c>
      <c r="AT920" s="782">
        <v>12068566</v>
      </c>
      <c r="AU920" s="781"/>
      <c r="AV920" s="782">
        <v>12088206</v>
      </c>
      <c r="AW920" s="782">
        <v>12088207</v>
      </c>
      <c r="AX920" s="782"/>
      <c r="AY920" s="782">
        <v>12068565</v>
      </c>
      <c r="AZ920" s="782"/>
      <c r="BA920" s="781"/>
    </row>
    <row r="921" spans="1:53" ht="25" hidden="1" customHeight="1">
      <c r="B921" s="213">
        <v>45455</v>
      </c>
      <c r="C921" s="633">
        <v>45465</v>
      </c>
      <c r="D921" s="185">
        <f t="shared" si="311"/>
        <v>2024</v>
      </c>
      <c r="E921" s="215" t="str">
        <f>VLOOKUP($B921,Week!$A$1:$C$1462,2,0)</f>
        <v>Week24</v>
      </c>
      <c r="F921" s="216" t="str">
        <f t="shared" si="312"/>
        <v>Jun</v>
      </c>
      <c r="G921" s="215" t="s">
        <v>1294</v>
      </c>
      <c r="H921" s="215" t="s">
        <v>104</v>
      </c>
      <c r="I921" s="215" t="s">
        <v>2772</v>
      </c>
      <c r="J921" s="209" t="s">
        <v>105</v>
      </c>
      <c r="K921" s="217" t="s">
        <v>107</v>
      </c>
      <c r="L921" s="300" t="s">
        <v>2167</v>
      </c>
      <c r="M921" s="209" t="s">
        <v>108</v>
      </c>
      <c r="N921" s="215" t="s">
        <v>109</v>
      </c>
      <c r="O921" s="215" t="s">
        <v>110</v>
      </c>
      <c r="P921" s="218">
        <v>36</v>
      </c>
      <c r="Q921" s="218">
        <v>5</v>
      </c>
      <c r="R921" s="219">
        <v>7.4999999999999997E-3</v>
      </c>
      <c r="S921" s="215" t="s">
        <v>111</v>
      </c>
      <c r="T921" s="215" t="s">
        <v>112</v>
      </c>
      <c r="U921" s="215" t="s">
        <v>113</v>
      </c>
      <c r="V921" s="220">
        <f>4152-723-792-792-792-792+20</f>
        <v>281</v>
      </c>
      <c r="W921" s="220">
        <f>4152-723-792-792-792-792+20</f>
        <v>281</v>
      </c>
      <c r="X921" s="221"/>
      <c r="Y921" s="222">
        <f t="shared" si="306"/>
        <v>0</v>
      </c>
      <c r="Z921" s="223">
        <f t="shared" si="307"/>
        <v>0</v>
      </c>
      <c r="AA921" s="223"/>
      <c r="AB921" s="807"/>
      <c r="AC921" s="220"/>
      <c r="AD921" s="209"/>
      <c r="AE921" s="210"/>
      <c r="AF921" s="210"/>
      <c r="AG921" s="211">
        <f t="shared" si="314"/>
        <v>0.308</v>
      </c>
      <c r="AH921" s="157">
        <f t="shared" si="309"/>
        <v>0</v>
      </c>
      <c r="AI921" s="152">
        <f t="shared" si="310"/>
        <v>10116</v>
      </c>
      <c r="AK921" s="156" t="s">
        <v>691</v>
      </c>
      <c r="AL921" s="574" t="s">
        <v>690</v>
      </c>
      <c r="AM921" s="198">
        <f t="shared" si="305"/>
        <v>0</v>
      </c>
      <c r="AN921" s="199">
        <f t="shared" si="313"/>
        <v>45455</v>
      </c>
      <c r="AO921" s="159" t="s">
        <v>692</v>
      </c>
      <c r="AP921" s="781"/>
      <c r="AQ921" s="782">
        <v>12063755</v>
      </c>
      <c r="AR921" s="782">
        <v>12061353</v>
      </c>
      <c r="AS921" s="782">
        <v>12061354</v>
      </c>
      <c r="AT921" s="782">
        <v>12068566</v>
      </c>
      <c r="AU921" s="781"/>
      <c r="AV921" s="782">
        <v>12088206</v>
      </c>
      <c r="AW921" s="782">
        <v>12088207</v>
      </c>
      <c r="AX921" s="782"/>
      <c r="AY921" s="782">
        <v>12068565</v>
      </c>
      <c r="AZ921" s="782"/>
      <c r="BA921" s="781"/>
    </row>
    <row r="922" spans="1:53" ht="25" hidden="1" customHeight="1">
      <c r="A922" s="142" t="s">
        <v>120</v>
      </c>
      <c r="B922" s="369">
        <v>45455</v>
      </c>
      <c r="C922" s="370">
        <v>45474</v>
      </c>
      <c r="D922" s="185">
        <f t="shared" si="311"/>
        <v>2024</v>
      </c>
      <c r="E922" s="371" t="str">
        <f>VLOOKUP($B922,Week!$A$1:$C$1462,2,0)</f>
        <v>Week24</v>
      </c>
      <c r="F922" s="372" t="str">
        <f t="shared" si="312"/>
        <v>Jun</v>
      </c>
      <c r="G922" s="371" t="s">
        <v>1402</v>
      </c>
      <c r="H922" s="371" t="s">
        <v>344</v>
      </c>
      <c r="I922" s="371" t="s">
        <v>2772</v>
      </c>
      <c r="J922" s="373" t="s">
        <v>345</v>
      </c>
      <c r="K922" s="374" t="s">
        <v>153</v>
      </c>
      <c r="L922" s="390" t="s">
        <v>2166</v>
      </c>
      <c r="M922" s="373" t="s">
        <v>214</v>
      </c>
      <c r="N922" s="371" t="s">
        <v>346</v>
      </c>
      <c r="O922" s="371" t="s">
        <v>509</v>
      </c>
      <c r="P922" s="375">
        <v>18</v>
      </c>
      <c r="Q922" s="375">
        <v>8</v>
      </c>
      <c r="R922" s="376">
        <v>6.8100000000000001E-3</v>
      </c>
      <c r="S922" s="371" t="s">
        <v>76</v>
      </c>
      <c r="T922" s="371" t="s">
        <v>56</v>
      </c>
      <c r="U922" s="371" t="s">
        <v>89</v>
      </c>
      <c r="V922" s="377">
        <f>1650-287</f>
        <v>1363</v>
      </c>
      <c r="W922" s="377">
        <f>893</f>
        <v>893</v>
      </c>
      <c r="X922" s="378">
        <f>9414-8460</f>
        <v>954</v>
      </c>
      <c r="Y922" s="379">
        <f t="shared" si="306"/>
        <v>484</v>
      </c>
      <c r="Z922" s="380">
        <f t="shared" si="307"/>
        <v>0</v>
      </c>
      <c r="AA922" s="380">
        <f>Q922*Z922</f>
        <v>0</v>
      </c>
      <c r="AB922" s="820">
        <v>1</v>
      </c>
      <c r="AC922" s="377">
        <f>Z922*AB922</f>
        <v>0</v>
      </c>
      <c r="AD922" s="443"/>
      <c r="AE922" s="210"/>
      <c r="AF922" s="210"/>
      <c r="AG922" s="211">
        <f t="shared" si="314"/>
        <v>0.10100000000000001</v>
      </c>
      <c r="AH922" s="157">
        <f t="shared" si="309"/>
        <v>0</v>
      </c>
      <c r="AI922" s="152">
        <f t="shared" si="310"/>
        <v>24534</v>
      </c>
      <c r="AK922" s="156" t="s">
        <v>691</v>
      </c>
      <c r="AL922" s="156" t="s">
        <v>689</v>
      </c>
      <c r="AM922" s="198">
        <f t="shared" si="305"/>
        <v>0</v>
      </c>
      <c r="AN922" s="199">
        <f t="shared" si="313"/>
        <v>45455</v>
      </c>
      <c r="AO922" s="159" t="s">
        <v>692</v>
      </c>
      <c r="AP922" s="781"/>
      <c r="AQ922" s="781" t="s">
        <v>158</v>
      </c>
      <c r="AR922" s="782">
        <v>12038019</v>
      </c>
      <c r="AS922" s="781"/>
      <c r="AT922" s="800">
        <v>12055751</v>
      </c>
      <c r="AU922" s="781"/>
      <c r="AV922" s="800">
        <v>12049471</v>
      </c>
      <c r="AW922" s="781"/>
      <c r="AX922" s="781" t="s">
        <v>162</v>
      </c>
      <c r="AY922" s="781"/>
      <c r="AZ922" s="781"/>
      <c r="BA922" s="781"/>
    </row>
    <row r="923" spans="1:53" ht="24.75" hidden="1" customHeight="1">
      <c r="B923" s="295">
        <v>45456</v>
      </c>
      <c r="C923" s="296">
        <v>45460</v>
      </c>
      <c r="D923" s="185">
        <f t="shared" si="311"/>
        <v>2024</v>
      </c>
      <c r="E923" s="296" t="str">
        <f>VLOOKUP($B923,Week!$A$1:$C$1462,2,0)</f>
        <v>Week24</v>
      </c>
      <c r="F923" s="297" t="str">
        <f t="shared" si="312"/>
        <v>Jun</v>
      </c>
      <c r="G923" s="635" t="s">
        <v>47</v>
      </c>
      <c r="H923" s="298" t="s">
        <v>260</v>
      </c>
      <c r="I923" s="298" t="s">
        <v>2702</v>
      </c>
      <c r="J923" s="307" t="s">
        <v>904</v>
      </c>
      <c r="K923" s="300" t="s">
        <v>176</v>
      </c>
      <c r="L923" s="300" t="s">
        <v>2167</v>
      </c>
      <c r="M923" s="299" t="s">
        <v>262</v>
      </c>
      <c r="N923" s="298" t="s">
        <v>350</v>
      </c>
      <c r="O923" s="298" t="s">
        <v>351</v>
      </c>
      <c r="P923" s="301">
        <v>24</v>
      </c>
      <c r="Q923" s="301">
        <v>5</v>
      </c>
      <c r="R923" s="302">
        <v>6.1999999999999998E-3</v>
      </c>
      <c r="S923" s="298" t="s">
        <v>352</v>
      </c>
      <c r="T923" s="298" t="s">
        <v>56</v>
      </c>
      <c r="U923" s="298" t="s">
        <v>57</v>
      </c>
      <c r="V923" s="303">
        <f>878</f>
        <v>878</v>
      </c>
      <c r="W923" s="303">
        <f>878</f>
        <v>878</v>
      </c>
      <c r="X923" s="304"/>
      <c r="Y923" s="305">
        <f t="shared" si="306"/>
        <v>0</v>
      </c>
      <c r="Z923" s="306">
        <f t="shared" si="307"/>
        <v>0</v>
      </c>
      <c r="AA923" s="306"/>
      <c r="AB923" s="814"/>
      <c r="AC923" s="303"/>
      <c r="AD923" s="580" t="s">
        <v>672</v>
      </c>
      <c r="AE923" s="210"/>
      <c r="AF923" s="210"/>
      <c r="AG923" s="211">
        <f t="shared" si="314"/>
        <v>0.13</v>
      </c>
      <c r="AH923" s="157">
        <f t="shared" si="309"/>
        <v>0</v>
      </c>
      <c r="AI923" s="152">
        <f t="shared" si="310"/>
        <v>21072</v>
      </c>
      <c r="AK923" s="156" t="s">
        <v>691</v>
      </c>
      <c r="AL923" s="574" t="s">
        <v>690</v>
      </c>
      <c r="AM923" s="198">
        <f t="shared" ref="AM923:AM946" si="315">AG923*Z923</f>
        <v>0</v>
      </c>
      <c r="AN923" s="199">
        <f t="shared" si="313"/>
        <v>45456</v>
      </c>
      <c r="AO923" s="159" t="s">
        <v>692</v>
      </c>
      <c r="AP923" s="783" t="s">
        <v>629</v>
      </c>
      <c r="AQ923" s="782">
        <v>12071839</v>
      </c>
      <c r="AR923" s="782">
        <v>12078867</v>
      </c>
      <c r="AS923" s="782">
        <v>12068233</v>
      </c>
      <c r="AT923" s="781"/>
      <c r="AU923" s="781"/>
      <c r="AV923" s="782">
        <v>12062075</v>
      </c>
      <c r="AW923" s="781"/>
      <c r="AX923" s="781"/>
      <c r="AY923" s="782">
        <v>12078867</v>
      </c>
      <c r="AZ923" s="781"/>
      <c r="BA923" s="781"/>
    </row>
    <row r="924" spans="1:53" ht="25" hidden="1" customHeight="1">
      <c r="B924" s="358">
        <v>45456</v>
      </c>
      <c r="C924" s="358">
        <v>45467</v>
      </c>
      <c r="D924" s="185">
        <f t="shared" si="311"/>
        <v>2024</v>
      </c>
      <c r="E924" s="358" t="str">
        <f>VLOOKUP($B924,Week!$A$1:$C$1462,2,0)</f>
        <v>Week24</v>
      </c>
      <c r="F924" s="360" t="str">
        <f t="shared" si="312"/>
        <v>Jun</v>
      </c>
      <c r="G924" s="358" t="s">
        <v>1369</v>
      </c>
      <c r="H924" s="359" t="s">
        <v>431</v>
      </c>
      <c r="I924" s="359" t="s">
        <v>2772</v>
      </c>
      <c r="J924" s="361" t="s">
        <v>432</v>
      </c>
      <c r="K924" s="362" t="s">
        <v>365</v>
      </c>
      <c r="L924" s="300" t="s">
        <v>2167</v>
      </c>
      <c r="M924" s="361" t="s">
        <v>561</v>
      </c>
      <c r="N924" s="359" t="s">
        <v>562</v>
      </c>
      <c r="O924" s="359" t="s">
        <v>187</v>
      </c>
      <c r="P924" s="363">
        <v>8</v>
      </c>
      <c r="Q924" s="363">
        <v>4</v>
      </c>
      <c r="R924" s="364">
        <v>7.4999999999999997E-3</v>
      </c>
      <c r="S924" s="359" t="s">
        <v>111</v>
      </c>
      <c r="T924" s="359" t="s">
        <v>112</v>
      </c>
      <c r="U924" s="359" t="s">
        <v>57</v>
      </c>
      <c r="V924" s="365">
        <v>2700</v>
      </c>
      <c r="W924" s="365"/>
      <c r="X924" s="366">
        <f>(1704+19923)/8</f>
        <v>2703.375</v>
      </c>
      <c r="Y924" s="367">
        <f t="shared" si="306"/>
        <v>3.375</v>
      </c>
      <c r="Z924" s="368">
        <f t="shared" si="307"/>
        <v>0</v>
      </c>
      <c r="AA924" s="368"/>
      <c r="AB924" s="819"/>
      <c r="AC924" s="365"/>
      <c r="AD924" s="209"/>
      <c r="AE924" s="210"/>
      <c r="AF924" s="210"/>
      <c r="AG924" s="211">
        <f t="shared" si="314"/>
        <v>0.14499999999999999</v>
      </c>
      <c r="AH924" s="157">
        <f t="shared" si="309"/>
        <v>0</v>
      </c>
      <c r="AI924" s="152">
        <f t="shared" si="310"/>
        <v>21600</v>
      </c>
      <c r="AK924" s="156" t="s">
        <v>691</v>
      </c>
      <c r="AL924" s="212" t="s">
        <v>690</v>
      </c>
      <c r="AM924" s="198">
        <f t="shared" si="315"/>
        <v>0</v>
      </c>
      <c r="AN924" s="199">
        <f t="shared" si="313"/>
        <v>45456</v>
      </c>
      <c r="AO924" s="159" t="s">
        <v>692</v>
      </c>
      <c r="AP924" s="783" t="s">
        <v>613</v>
      </c>
      <c r="AQ924" s="782">
        <v>12071839</v>
      </c>
      <c r="AR924" s="782">
        <v>12047514</v>
      </c>
      <c r="AS924" s="782">
        <v>12047515</v>
      </c>
      <c r="AT924" s="782">
        <v>12062626</v>
      </c>
      <c r="AU924" s="782" t="s">
        <v>563</v>
      </c>
      <c r="AV924" s="782">
        <v>12062625</v>
      </c>
      <c r="AW924" s="782"/>
      <c r="AX924" s="782"/>
      <c r="AY924" s="782"/>
      <c r="AZ924" s="782"/>
      <c r="BA924" s="781"/>
    </row>
    <row r="925" spans="1:53" ht="24.65" hidden="1" customHeight="1">
      <c r="B925" s="308">
        <v>45456</v>
      </c>
      <c r="C925" s="309">
        <v>45476</v>
      </c>
      <c r="D925" s="185">
        <f t="shared" si="311"/>
        <v>2024</v>
      </c>
      <c r="E925" s="309" t="str">
        <f>VLOOKUP($B925,Week!$A$1:$C$1462,2,0)</f>
        <v>Week24</v>
      </c>
      <c r="F925" s="310" t="str">
        <f t="shared" si="312"/>
        <v>Jun</v>
      </c>
      <c r="G925" s="311" t="s">
        <v>1311</v>
      </c>
      <c r="H925" s="311" t="s">
        <v>311</v>
      </c>
      <c r="I925" s="311" t="s">
        <v>2772</v>
      </c>
      <c r="J925" s="312" t="s">
        <v>738</v>
      </c>
      <c r="K925" s="313" t="s">
        <v>107</v>
      </c>
      <c r="L925" s="300" t="s">
        <v>2167</v>
      </c>
      <c r="M925" s="312" t="s">
        <v>313</v>
      </c>
      <c r="N925" s="311" t="s">
        <v>314</v>
      </c>
      <c r="O925" s="311" t="s">
        <v>110</v>
      </c>
      <c r="P925" s="314">
        <v>36</v>
      </c>
      <c r="Q925" s="314">
        <v>5</v>
      </c>
      <c r="R925" s="315">
        <v>7.4999999999999997E-3</v>
      </c>
      <c r="S925" s="311" t="s">
        <v>111</v>
      </c>
      <c r="T925" s="311" t="s">
        <v>112</v>
      </c>
      <c r="U925" s="311" t="s">
        <v>57</v>
      </c>
      <c r="V925" s="316">
        <v>792</v>
      </c>
      <c r="W925" s="316">
        <f>99+632+61</f>
        <v>792</v>
      </c>
      <c r="X925" s="317"/>
      <c r="Y925" s="318">
        <f t="shared" si="306"/>
        <v>0</v>
      </c>
      <c r="Z925" s="319">
        <f t="shared" si="307"/>
        <v>0</v>
      </c>
      <c r="AA925" s="319"/>
      <c r="AB925" s="815"/>
      <c r="AC925" s="316"/>
      <c r="AD925" s="515"/>
      <c r="AE925" s="210"/>
      <c r="AF925" s="210"/>
      <c r="AG925" s="211">
        <f t="shared" si="314"/>
        <v>0.308</v>
      </c>
      <c r="AH925" s="157">
        <f t="shared" si="309"/>
        <v>0</v>
      </c>
      <c r="AI925" s="152">
        <f t="shared" si="310"/>
        <v>28512</v>
      </c>
      <c r="AK925" s="156" t="s">
        <v>691</v>
      </c>
      <c r="AL925" s="212" t="s">
        <v>690</v>
      </c>
      <c r="AM925" s="198">
        <f t="shared" si="315"/>
        <v>0</v>
      </c>
      <c r="AN925" s="199">
        <f t="shared" si="313"/>
        <v>45456</v>
      </c>
      <c r="AO925" s="159" t="s">
        <v>692</v>
      </c>
      <c r="AP925" s="783" t="s">
        <v>644</v>
      </c>
      <c r="AQ925" s="782">
        <v>12063755</v>
      </c>
      <c r="AR925" s="782">
        <v>12061353</v>
      </c>
      <c r="AS925" s="782">
        <v>12061354</v>
      </c>
      <c r="AT925" s="782">
        <v>12062266</v>
      </c>
      <c r="AU925" s="781"/>
      <c r="AV925" s="782">
        <v>12088159</v>
      </c>
      <c r="AW925" s="782">
        <v>12088207</v>
      </c>
      <c r="AX925" s="782"/>
      <c r="AY925" s="782">
        <v>12062262</v>
      </c>
      <c r="AZ925" s="782"/>
      <c r="BA925" s="781"/>
    </row>
    <row r="926" spans="1:53" ht="24.65" hidden="1" customHeight="1">
      <c r="B926" s="308">
        <v>45456</v>
      </c>
      <c r="C926" s="309">
        <v>45476</v>
      </c>
      <c r="D926" s="185">
        <f t="shared" si="311"/>
        <v>2024</v>
      </c>
      <c r="E926" s="309" t="str">
        <f>VLOOKUP($B926,Week!$A$1:$C$1462,2,0)</f>
        <v>Week24</v>
      </c>
      <c r="F926" s="310" t="str">
        <f t="shared" si="312"/>
        <v>Jun</v>
      </c>
      <c r="G926" s="311" t="s">
        <v>1312</v>
      </c>
      <c r="H926" s="311" t="s">
        <v>311</v>
      </c>
      <c r="I926" s="311" t="s">
        <v>2772</v>
      </c>
      <c r="J926" s="312" t="s">
        <v>738</v>
      </c>
      <c r="K926" s="313" t="s">
        <v>107</v>
      </c>
      <c r="L926" s="300" t="s">
        <v>2167</v>
      </c>
      <c r="M926" s="312" t="s">
        <v>313</v>
      </c>
      <c r="N926" s="311" t="s">
        <v>314</v>
      </c>
      <c r="O926" s="311" t="s">
        <v>110</v>
      </c>
      <c r="P926" s="314">
        <v>36</v>
      </c>
      <c r="Q926" s="314">
        <v>5</v>
      </c>
      <c r="R926" s="315">
        <v>7.4999999999999997E-3</v>
      </c>
      <c r="S926" s="311" t="s">
        <v>111</v>
      </c>
      <c r="T926" s="311" t="s">
        <v>112</v>
      </c>
      <c r="U926" s="311" t="s">
        <v>57</v>
      </c>
      <c r="V926" s="316">
        <v>792</v>
      </c>
      <c r="W926" s="316">
        <f>180+401+68</f>
        <v>649</v>
      </c>
      <c r="X926" s="317">
        <f>5148/36</f>
        <v>143</v>
      </c>
      <c r="Y926" s="318">
        <f t="shared" si="306"/>
        <v>0</v>
      </c>
      <c r="Z926" s="319">
        <f t="shared" si="307"/>
        <v>0</v>
      </c>
      <c r="AA926" s="319"/>
      <c r="AB926" s="815"/>
      <c r="AC926" s="316"/>
      <c r="AD926" s="515"/>
      <c r="AE926" s="210"/>
      <c r="AF926" s="210"/>
      <c r="AG926" s="211">
        <f t="shared" si="314"/>
        <v>0.308</v>
      </c>
      <c r="AH926" s="157">
        <f t="shared" si="309"/>
        <v>0</v>
      </c>
      <c r="AI926" s="152">
        <f t="shared" si="310"/>
        <v>28512</v>
      </c>
      <c r="AK926" s="156" t="s">
        <v>691</v>
      </c>
      <c r="AL926" s="212" t="s">
        <v>690</v>
      </c>
      <c r="AM926" s="198">
        <f t="shared" si="315"/>
        <v>0</v>
      </c>
      <c r="AN926" s="199">
        <f t="shared" si="313"/>
        <v>45456</v>
      </c>
      <c r="AO926" s="159" t="s">
        <v>692</v>
      </c>
      <c r="AP926" s="783" t="s">
        <v>644</v>
      </c>
      <c r="AQ926" s="782">
        <v>12063755</v>
      </c>
      <c r="AR926" s="782">
        <v>12061353</v>
      </c>
      <c r="AS926" s="782">
        <v>12061354</v>
      </c>
      <c r="AT926" s="782">
        <v>12062266</v>
      </c>
      <c r="AU926" s="781"/>
      <c r="AV926" s="782">
        <v>12088159</v>
      </c>
      <c r="AW926" s="782">
        <v>12088207</v>
      </c>
      <c r="AX926" s="782"/>
      <c r="AY926" s="782">
        <v>12062262</v>
      </c>
      <c r="AZ926" s="782"/>
      <c r="BA926" s="781"/>
    </row>
    <row r="927" spans="1:53" ht="25" hidden="1" customHeight="1">
      <c r="B927" s="498">
        <v>45456</v>
      </c>
      <c r="C927" s="499">
        <v>45476</v>
      </c>
      <c r="D927" s="185">
        <f t="shared" si="311"/>
        <v>2024</v>
      </c>
      <c r="E927" s="499" t="str">
        <f>VLOOKUP($B927,Week!$A$1:$C$1462,2,0)</f>
        <v>Week24</v>
      </c>
      <c r="F927" s="500" t="str">
        <f t="shared" si="312"/>
        <v>Jun</v>
      </c>
      <c r="G927" s="501" t="s">
        <v>1307</v>
      </c>
      <c r="H927" s="501" t="s">
        <v>311</v>
      </c>
      <c r="I927" s="501" t="s">
        <v>2772</v>
      </c>
      <c r="J927" s="502" t="s">
        <v>738</v>
      </c>
      <c r="K927" s="503" t="s">
        <v>1646</v>
      </c>
      <c r="L927" s="300" t="s">
        <v>2167</v>
      </c>
      <c r="M927" s="502" t="s">
        <v>654</v>
      </c>
      <c r="N927" s="501" t="s">
        <v>726</v>
      </c>
      <c r="O927" s="501" t="s">
        <v>655</v>
      </c>
      <c r="P927" s="504">
        <v>24</v>
      </c>
      <c r="Q927" s="504">
        <v>5</v>
      </c>
      <c r="R927" s="505">
        <v>7.4999999999999997E-3</v>
      </c>
      <c r="S927" s="501" t="s">
        <v>40</v>
      </c>
      <c r="T927" s="501" t="s">
        <v>112</v>
      </c>
      <c r="U927" s="506" t="s">
        <v>721</v>
      </c>
      <c r="V927" s="507">
        <v>924</v>
      </c>
      <c r="W927" s="507">
        <f>114+810</f>
        <v>924</v>
      </c>
      <c r="X927" s="508"/>
      <c r="Y927" s="509">
        <f t="shared" si="306"/>
        <v>0</v>
      </c>
      <c r="Z927" s="510">
        <f t="shared" si="307"/>
        <v>0</v>
      </c>
      <c r="AA927" s="510"/>
      <c r="AB927" s="830"/>
      <c r="AC927" s="507"/>
      <c r="AD927" s="209" t="s">
        <v>1480</v>
      </c>
      <c r="AE927" s="210"/>
      <c r="AF927" s="210"/>
      <c r="AG927" s="211">
        <f t="shared" si="314"/>
        <v>0.307</v>
      </c>
      <c r="AH927" s="157">
        <f t="shared" si="309"/>
        <v>0</v>
      </c>
      <c r="AI927" s="152">
        <f t="shared" si="310"/>
        <v>22176</v>
      </c>
      <c r="AK927" s="156" t="s">
        <v>691</v>
      </c>
      <c r="AL927" s="212" t="s">
        <v>690</v>
      </c>
      <c r="AM927" s="198">
        <f t="shared" si="315"/>
        <v>0</v>
      </c>
      <c r="AN927" s="199">
        <f t="shared" si="313"/>
        <v>45456</v>
      </c>
      <c r="AO927" s="159" t="s">
        <v>692</v>
      </c>
      <c r="AP927" s="781" t="s">
        <v>642</v>
      </c>
      <c r="AQ927" s="782">
        <v>12063755</v>
      </c>
      <c r="AR927" s="782">
        <v>12061353</v>
      </c>
      <c r="AS927" s="782">
        <v>12061354</v>
      </c>
      <c r="AT927" s="782">
        <v>12089274</v>
      </c>
      <c r="AU927" s="781"/>
      <c r="AV927" s="782">
        <v>12089275</v>
      </c>
      <c r="AW927" s="782">
        <v>12068154</v>
      </c>
      <c r="AX927" s="782"/>
      <c r="AY927" s="782">
        <v>12089276</v>
      </c>
      <c r="AZ927" s="782"/>
      <c r="BA927" s="781"/>
    </row>
    <row r="928" spans="1:53" ht="25" hidden="1" customHeight="1">
      <c r="B928" s="498">
        <v>45456</v>
      </c>
      <c r="C928" s="499">
        <v>45497</v>
      </c>
      <c r="D928" s="185">
        <f t="shared" si="311"/>
        <v>2024</v>
      </c>
      <c r="E928" s="499" t="str">
        <f>VLOOKUP($B928,Week!$A$1:$C$1462,2,0)</f>
        <v>Week24</v>
      </c>
      <c r="F928" s="500" t="str">
        <f t="shared" si="312"/>
        <v>Jun</v>
      </c>
      <c r="G928" s="501" t="s">
        <v>1351</v>
      </c>
      <c r="H928" s="501" t="s">
        <v>311</v>
      </c>
      <c r="I928" s="501" t="s">
        <v>2772</v>
      </c>
      <c r="J928" s="502" t="s">
        <v>738</v>
      </c>
      <c r="K928" s="503" t="s">
        <v>1646</v>
      </c>
      <c r="L928" s="300" t="s">
        <v>2167</v>
      </c>
      <c r="M928" s="502" t="s">
        <v>654</v>
      </c>
      <c r="N928" s="501" t="s">
        <v>726</v>
      </c>
      <c r="O928" s="501" t="s">
        <v>655</v>
      </c>
      <c r="P928" s="504">
        <v>24</v>
      </c>
      <c r="Q928" s="504">
        <v>5</v>
      </c>
      <c r="R928" s="505">
        <v>7.4999999999999997E-3</v>
      </c>
      <c r="S928" s="501" t="s">
        <v>40</v>
      </c>
      <c r="T928" s="501" t="s">
        <v>112</v>
      </c>
      <c r="U928" s="506" t="s">
        <v>721</v>
      </c>
      <c r="V928" s="507">
        <v>924</v>
      </c>
      <c r="W928" s="507">
        <f>1690-810+30</f>
        <v>910</v>
      </c>
      <c r="X928" s="508">
        <f>336/24</f>
        <v>14</v>
      </c>
      <c r="Y928" s="509">
        <f t="shared" si="306"/>
        <v>0</v>
      </c>
      <c r="Z928" s="510">
        <f t="shared" si="307"/>
        <v>0</v>
      </c>
      <c r="AA928" s="510"/>
      <c r="AB928" s="830"/>
      <c r="AC928" s="507"/>
      <c r="AD928" s="209"/>
      <c r="AE928" s="210"/>
      <c r="AF928" s="210"/>
      <c r="AG928" s="211">
        <f t="shared" si="314"/>
        <v>0.307</v>
      </c>
      <c r="AH928" s="157">
        <f t="shared" si="309"/>
        <v>0</v>
      </c>
      <c r="AI928" s="152">
        <f t="shared" si="310"/>
        <v>22176</v>
      </c>
      <c r="AK928" s="156" t="s">
        <v>691</v>
      </c>
      <c r="AL928" s="212" t="s">
        <v>690</v>
      </c>
      <c r="AM928" s="198">
        <f t="shared" si="315"/>
        <v>0</v>
      </c>
      <c r="AN928" s="199">
        <f t="shared" si="313"/>
        <v>45456</v>
      </c>
      <c r="AO928" s="159" t="s">
        <v>692</v>
      </c>
      <c r="AP928" s="781" t="s">
        <v>642</v>
      </c>
      <c r="AQ928" s="782">
        <v>12063755</v>
      </c>
      <c r="AR928" s="782">
        <v>12061353</v>
      </c>
      <c r="AS928" s="782">
        <v>12061354</v>
      </c>
      <c r="AT928" s="782">
        <v>12089274</v>
      </c>
      <c r="AU928" s="781"/>
      <c r="AV928" s="782">
        <v>12089275</v>
      </c>
      <c r="AW928" s="782">
        <v>12068154</v>
      </c>
      <c r="AX928" s="782"/>
      <c r="AY928" s="782">
        <v>12089276</v>
      </c>
      <c r="AZ928" s="782"/>
      <c r="BA928" s="781"/>
    </row>
    <row r="929" spans="1:53" ht="25" hidden="1" customHeight="1">
      <c r="B929" s="332">
        <v>45456</v>
      </c>
      <c r="C929" s="333">
        <v>45474</v>
      </c>
      <c r="D929" s="185">
        <f t="shared" si="311"/>
        <v>2024</v>
      </c>
      <c r="E929" s="333" t="str">
        <f>VLOOKUP($B929,Week!$A$1:$C$1462,2,0)</f>
        <v>Week24</v>
      </c>
      <c r="F929" s="334" t="str">
        <f t="shared" si="312"/>
        <v>Jun</v>
      </c>
      <c r="G929" s="335" t="s">
        <v>1391</v>
      </c>
      <c r="H929" s="335" t="s">
        <v>675</v>
      </c>
      <c r="I929" s="335" t="s">
        <v>2772</v>
      </c>
      <c r="J929" s="336" t="s">
        <v>709</v>
      </c>
      <c r="K929" s="337" t="s">
        <v>1649</v>
      </c>
      <c r="L929" s="300" t="s">
        <v>2167</v>
      </c>
      <c r="M929" s="336" t="s">
        <v>603</v>
      </c>
      <c r="N929" s="530" t="s">
        <v>711</v>
      </c>
      <c r="O929" s="335" t="s">
        <v>602</v>
      </c>
      <c r="P929" s="338">
        <v>8</v>
      </c>
      <c r="Q929" s="338">
        <v>3</v>
      </c>
      <c r="R929" s="339">
        <v>6.0000000000000001E-3</v>
      </c>
      <c r="S929" s="335" t="s">
        <v>55</v>
      </c>
      <c r="T929" s="335" t="s">
        <v>112</v>
      </c>
      <c r="U929" s="340" t="s">
        <v>723</v>
      </c>
      <c r="V929" s="341">
        <f>594</f>
        <v>594</v>
      </c>
      <c r="W929" s="341"/>
      <c r="X929" s="342">
        <v>594</v>
      </c>
      <c r="Y929" s="343">
        <f t="shared" si="306"/>
        <v>0</v>
      </c>
      <c r="Z929" s="344">
        <f t="shared" si="307"/>
        <v>0</v>
      </c>
      <c r="AA929" s="344"/>
      <c r="AB929" s="817"/>
      <c r="AC929" s="341"/>
      <c r="AD929" s="307" t="s">
        <v>1392</v>
      </c>
      <c r="AE929" s="210"/>
      <c r="AF929" s="210"/>
      <c r="AG929" s="211">
        <f t="shared" si="314"/>
        <v>0.30199999999999999</v>
      </c>
      <c r="AH929" s="157">
        <v>0.26621999999999996</v>
      </c>
      <c r="AI929" s="152">
        <f t="shared" si="310"/>
        <v>4752</v>
      </c>
      <c r="AK929" s="156" t="s">
        <v>691</v>
      </c>
      <c r="AL929" s="212" t="s">
        <v>690</v>
      </c>
      <c r="AM929" s="198">
        <f t="shared" si="315"/>
        <v>0</v>
      </c>
      <c r="AN929" s="199">
        <f t="shared" si="313"/>
        <v>45456</v>
      </c>
      <c r="AO929" s="159" t="s">
        <v>692</v>
      </c>
      <c r="AP929" s="781" t="s">
        <v>642</v>
      </c>
      <c r="AQ929" s="782">
        <v>12063755</v>
      </c>
      <c r="AR929" s="782">
        <v>12061353</v>
      </c>
      <c r="AS929" s="782">
        <v>12061354</v>
      </c>
      <c r="AT929" s="782">
        <v>12089985</v>
      </c>
      <c r="AU929" s="781"/>
      <c r="AV929" s="782">
        <v>12089988</v>
      </c>
      <c r="AW929" s="781"/>
      <c r="AX929" s="781"/>
      <c r="AY929" s="781"/>
      <c r="AZ929" s="782"/>
      <c r="BA929" s="781"/>
    </row>
    <row r="930" spans="1:53" ht="24.65" hidden="1" customHeight="1">
      <c r="A930" s="142" t="s">
        <v>120</v>
      </c>
      <c r="B930" s="258">
        <v>45456</v>
      </c>
      <c r="C930" s="259">
        <v>45486</v>
      </c>
      <c r="D930" s="185">
        <f t="shared" si="311"/>
        <v>2024</v>
      </c>
      <c r="E930" s="260" t="str">
        <f>VLOOKUP($B930,Week!$A$1:$C$1462,2,0)</f>
        <v>Week24</v>
      </c>
      <c r="F930" s="261" t="str">
        <f t="shared" si="312"/>
        <v>Jun</v>
      </c>
      <c r="G930" s="262" t="s">
        <v>1423</v>
      </c>
      <c r="H930" s="260" t="s">
        <v>134</v>
      </c>
      <c r="I930" s="260" t="s">
        <v>2772</v>
      </c>
      <c r="J930" s="263" t="s">
        <v>164</v>
      </c>
      <c r="K930" s="264" t="s">
        <v>153</v>
      </c>
      <c r="L930" s="390" t="s">
        <v>2166</v>
      </c>
      <c r="M930" s="263" t="s">
        <v>165</v>
      </c>
      <c r="N930" s="260" t="s">
        <v>166</v>
      </c>
      <c r="O930" s="260" t="s">
        <v>502</v>
      </c>
      <c r="P930" s="265">
        <v>20</v>
      </c>
      <c r="Q930" s="265">
        <v>12</v>
      </c>
      <c r="R930" s="266">
        <v>6.8100000000000001E-3</v>
      </c>
      <c r="S930" s="260" t="s">
        <v>76</v>
      </c>
      <c r="T930" s="260" t="s">
        <v>56</v>
      </c>
      <c r="U930" s="260" t="s">
        <v>89</v>
      </c>
      <c r="V930" s="267">
        <v>1088</v>
      </c>
      <c r="W930" s="267">
        <f>32+1056</f>
        <v>1088</v>
      </c>
      <c r="X930" s="268"/>
      <c r="Y930" s="269">
        <f t="shared" si="306"/>
        <v>0</v>
      </c>
      <c r="Z930" s="270">
        <f t="shared" si="307"/>
        <v>0</v>
      </c>
      <c r="AA930" s="270">
        <f>Q930*Z930</f>
        <v>0</v>
      </c>
      <c r="AB930" s="811">
        <v>2</v>
      </c>
      <c r="AC930" s="267">
        <f>Z930*AB930</f>
        <v>0</v>
      </c>
      <c r="AD930" s="209" t="s">
        <v>168</v>
      </c>
      <c r="AE930" s="210"/>
      <c r="AF930" s="210"/>
      <c r="AG930" s="211">
        <f t="shared" si="314"/>
        <v>0.154</v>
      </c>
      <c r="AH930" s="157">
        <f t="shared" ref="AH930:AH935" si="316">(Z930*AG930)/1000</f>
        <v>0</v>
      </c>
      <c r="AI930" s="152">
        <f t="shared" si="310"/>
        <v>21760</v>
      </c>
      <c r="AK930" s="156" t="s">
        <v>691</v>
      </c>
      <c r="AL930" s="156" t="s">
        <v>689</v>
      </c>
      <c r="AM930" s="198">
        <f t="shared" si="315"/>
        <v>0</v>
      </c>
      <c r="AN930" s="199">
        <f t="shared" si="313"/>
        <v>45456</v>
      </c>
      <c r="AO930" s="159" t="s">
        <v>692</v>
      </c>
      <c r="AP930" s="783" t="s">
        <v>610</v>
      </c>
      <c r="AQ930" s="783" t="s">
        <v>631</v>
      </c>
      <c r="AR930" s="783" t="s">
        <v>523</v>
      </c>
      <c r="AS930" s="781"/>
      <c r="AT930" s="782">
        <v>12055919</v>
      </c>
      <c r="AU930" s="781"/>
      <c r="AV930" s="783" t="s">
        <v>544</v>
      </c>
      <c r="AW930" s="781"/>
      <c r="AX930" s="782" t="s">
        <v>398</v>
      </c>
      <c r="AY930" s="781"/>
      <c r="AZ930" s="781"/>
      <c r="BA930" s="781"/>
    </row>
    <row r="931" spans="1:53" ht="25" hidden="1" customHeight="1">
      <c r="B931" s="597">
        <v>45457</v>
      </c>
      <c r="C931" s="383">
        <v>45463</v>
      </c>
      <c r="D931" s="185">
        <f t="shared" si="311"/>
        <v>2024</v>
      </c>
      <c r="E931" s="224" t="str">
        <f>VLOOKUP($B931,Week!$A$1:$C$1462,2,0)</f>
        <v>Week24</v>
      </c>
      <c r="F931" s="226" t="str">
        <f t="shared" si="312"/>
        <v>Jun</v>
      </c>
      <c r="G931" s="225" t="s">
        <v>1269</v>
      </c>
      <c r="H931" s="225" t="s">
        <v>225</v>
      </c>
      <c r="I931" s="225" t="s">
        <v>2773</v>
      </c>
      <c r="J931" s="227" t="s">
        <v>335</v>
      </c>
      <c r="K931" s="228" t="s">
        <v>176</v>
      </c>
      <c r="L931" s="300" t="s">
        <v>2167</v>
      </c>
      <c r="M931" s="227" t="s">
        <v>336</v>
      </c>
      <c r="N931" s="225" t="s">
        <v>337</v>
      </c>
      <c r="O931" s="225" t="s">
        <v>179</v>
      </c>
      <c r="P931" s="229">
        <v>36</v>
      </c>
      <c r="Q931" s="229">
        <v>5</v>
      </c>
      <c r="R931" s="230">
        <v>7.4999999999999997E-3</v>
      </c>
      <c r="S931" s="225" t="s">
        <v>111</v>
      </c>
      <c r="T931" s="225" t="s">
        <v>112</v>
      </c>
      <c r="U931" s="225" t="s">
        <v>113</v>
      </c>
      <c r="V931" s="231">
        <f>1288-897</f>
        <v>391</v>
      </c>
      <c r="W931" s="231">
        <v>391</v>
      </c>
      <c r="X931" s="232"/>
      <c r="Y931" s="233">
        <f t="shared" si="306"/>
        <v>0</v>
      </c>
      <c r="Z931" s="234">
        <f t="shared" si="307"/>
        <v>0</v>
      </c>
      <c r="AA931" s="234"/>
      <c r="AB931" s="822"/>
      <c r="AC931" s="231"/>
      <c r="AD931" s="307" t="s">
        <v>672</v>
      </c>
      <c r="AE931" s="210"/>
      <c r="AF931" s="210"/>
      <c r="AG931" s="211">
        <f t="shared" si="314"/>
        <v>0.14499999999999999</v>
      </c>
      <c r="AH931" s="157">
        <f t="shared" si="316"/>
        <v>0</v>
      </c>
      <c r="AI931" s="152">
        <f t="shared" si="310"/>
        <v>14076</v>
      </c>
      <c r="AK931" s="156" t="s">
        <v>691</v>
      </c>
      <c r="AL931" s="574" t="s">
        <v>690</v>
      </c>
      <c r="AM931" s="198">
        <f t="shared" si="315"/>
        <v>0</v>
      </c>
      <c r="AN931" s="199">
        <f t="shared" si="313"/>
        <v>45457</v>
      </c>
      <c r="AO931" s="159" t="s">
        <v>692</v>
      </c>
      <c r="AP931" s="783" t="s">
        <v>639</v>
      </c>
      <c r="AQ931" s="782">
        <v>12071839</v>
      </c>
      <c r="AR931" s="782">
        <v>12047514</v>
      </c>
      <c r="AS931" s="782">
        <v>12047515</v>
      </c>
      <c r="AT931" s="782">
        <v>12054919</v>
      </c>
      <c r="AU931" s="781"/>
      <c r="AV931" s="782">
        <v>12054869</v>
      </c>
      <c r="AW931" s="782">
        <v>12024404</v>
      </c>
      <c r="AX931" s="781"/>
      <c r="AY931" s="782">
        <v>12054815</v>
      </c>
      <c r="AZ931" s="781"/>
      <c r="BA931" s="781"/>
    </row>
    <row r="932" spans="1:53" ht="25" hidden="1" customHeight="1">
      <c r="B932" s="597">
        <v>45457</v>
      </c>
      <c r="C932" s="383">
        <v>45470</v>
      </c>
      <c r="D932" s="185">
        <f t="shared" si="311"/>
        <v>2024</v>
      </c>
      <c r="E932" s="224" t="str">
        <f>VLOOKUP($B932,Week!$A$1:$C$1462,2,0)</f>
        <v>Week24</v>
      </c>
      <c r="F932" s="226" t="str">
        <f t="shared" si="312"/>
        <v>Jun</v>
      </c>
      <c r="G932" s="225" t="s">
        <v>1270</v>
      </c>
      <c r="H932" s="225" t="s">
        <v>225</v>
      </c>
      <c r="I932" s="225" t="s">
        <v>2773</v>
      </c>
      <c r="J932" s="227" t="s">
        <v>335</v>
      </c>
      <c r="K932" s="228" t="s">
        <v>176</v>
      </c>
      <c r="L932" s="300" t="s">
        <v>2167</v>
      </c>
      <c r="M932" s="227" t="s">
        <v>336</v>
      </c>
      <c r="N932" s="225" t="s">
        <v>337</v>
      </c>
      <c r="O932" s="225" t="s">
        <v>179</v>
      </c>
      <c r="P932" s="229">
        <v>36</v>
      </c>
      <c r="Q932" s="229">
        <v>5</v>
      </c>
      <c r="R932" s="230">
        <v>7.4999999999999997E-3</v>
      </c>
      <c r="S932" s="225" t="s">
        <v>111</v>
      </c>
      <c r="T932" s="225" t="s">
        <v>112</v>
      </c>
      <c r="U932" s="225" t="s">
        <v>113</v>
      </c>
      <c r="V932" s="231">
        <v>1288</v>
      </c>
      <c r="W932" s="231">
        <f>1275</f>
        <v>1275</v>
      </c>
      <c r="X932" s="232">
        <v>13</v>
      </c>
      <c r="Y932" s="233">
        <f t="shared" si="306"/>
        <v>0</v>
      </c>
      <c r="Z932" s="234">
        <f t="shared" si="307"/>
        <v>0</v>
      </c>
      <c r="AA932" s="234"/>
      <c r="AB932" s="822"/>
      <c r="AC932" s="231"/>
      <c r="AD932" s="307" t="s">
        <v>672</v>
      </c>
      <c r="AE932" s="210"/>
      <c r="AF932" s="210"/>
      <c r="AG932" s="211">
        <f t="shared" si="314"/>
        <v>0.14499999999999999</v>
      </c>
      <c r="AH932" s="157">
        <f t="shared" si="316"/>
        <v>0</v>
      </c>
      <c r="AI932" s="152">
        <f t="shared" si="310"/>
        <v>46368</v>
      </c>
      <c r="AK932" s="156" t="s">
        <v>691</v>
      </c>
      <c r="AL932" s="574" t="s">
        <v>690</v>
      </c>
      <c r="AM932" s="198">
        <f t="shared" si="315"/>
        <v>0</v>
      </c>
      <c r="AN932" s="199">
        <f t="shared" si="313"/>
        <v>45457</v>
      </c>
      <c r="AO932" s="159" t="s">
        <v>692</v>
      </c>
      <c r="AP932" s="783" t="s">
        <v>639</v>
      </c>
      <c r="AQ932" s="782">
        <v>12071839</v>
      </c>
      <c r="AR932" s="782">
        <v>12047514</v>
      </c>
      <c r="AS932" s="782">
        <v>12047515</v>
      </c>
      <c r="AT932" s="782">
        <v>12054919</v>
      </c>
      <c r="AU932" s="781"/>
      <c r="AV932" s="782">
        <v>12054869</v>
      </c>
      <c r="AW932" s="782">
        <v>12024404</v>
      </c>
      <c r="AX932" s="781"/>
      <c r="AY932" s="782">
        <v>12054815</v>
      </c>
      <c r="AZ932" s="781"/>
      <c r="BA932" s="781"/>
    </row>
    <row r="933" spans="1:53" ht="24.75" hidden="1" customHeight="1">
      <c r="B933" s="295">
        <v>45457</v>
      </c>
      <c r="C933" s="296">
        <v>45460</v>
      </c>
      <c r="D933" s="185">
        <f t="shared" si="311"/>
        <v>2024</v>
      </c>
      <c r="E933" s="296" t="str">
        <f>VLOOKUP($B933,Week!$A$1:$C$1462,2,0)</f>
        <v>Week24</v>
      </c>
      <c r="F933" s="297" t="str">
        <f t="shared" si="312"/>
        <v>Jun</v>
      </c>
      <c r="G933" s="298" t="s">
        <v>47</v>
      </c>
      <c r="H933" s="298" t="s">
        <v>260</v>
      </c>
      <c r="I933" s="298" t="s">
        <v>2702</v>
      </c>
      <c r="J933" s="307" t="s">
        <v>904</v>
      </c>
      <c r="K933" s="300" t="s">
        <v>176</v>
      </c>
      <c r="L933" s="300" t="s">
        <v>2167</v>
      </c>
      <c r="M933" s="299" t="s">
        <v>262</v>
      </c>
      <c r="N933" s="298" t="s">
        <v>350</v>
      </c>
      <c r="O933" s="298" t="s">
        <v>351</v>
      </c>
      <c r="P933" s="301">
        <v>24</v>
      </c>
      <c r="Q933" s="301">
        <v>5</v>
      </c>
      <c r="R933" s="302">
        <v>6.1999999999999998E-3</v>
      </c>
      <c r="S933" s="298" t="s">
        <v>352</v>
      </c>
      <c r="T933" s="298" t="s">
        <v>56</v>
      </c>
      <c r="U933" s="298" t="s">
        <v>57</v>
      </c>
      <c r="V933" s="303">
        <v>3133</v>
      </c>
      <c r="W933" s="303">
        <f>3133</f>
        <v>3133</v>
      </c>
      <c r="X933" s="304"/>
      <c r="Y933" s="305">
        <f t="shared" si="306"/>
        <v>0</v>
      </c>
      <c r="Z933" s="306">
        <f t="shared" si="307"/>
        <v>0</v>
      </c>
      <c r="AA933" s="306"/>
      <c r="AB933" s="814"/>
      <c r="AC933" s="303"/>
      <c r="AD933" s="580" t="s">
        <v>672</v>
      </c>
      <c r="AE933" s="210"/>
      <c r="AF933" s="210"/>
      <c r="AG933" s="211">
        <f t="shared" si="314"/>
        <v>0.13</v>
      </c>
      <c r="AH933" s="157">
        <f t="shared" si="316"/>
        <v>0</v>
      </c>
      <c r="AI933" s="152">
        <f t="shared" si="310"/>
        <v>75192</v>
      </c>
      <c r="AK933" s="156" t="s">
        <v>691</v>
      </c>
      <c r="AL933" s="574" t="s">
        <v>690</v>
      </c>
      <c r="AM933" s="198">
        <f t="shared" si="315"/>
        <v>0</v>
      </c>
      <c r="AN933" s="199">
        <f t="shared" si="313"/>
        <v>45457</v>
      </c>
      <c r="AO933" s="159" t="s">
        <v>692</v>
      </c>
      <c r="AP933" s="783" t="s">
        <v>629</v>
      </c>
      <c r="AQ933" s="782">
        <v>12071839</v>
      </c>
      <c r="AR933" s="782">
        <v>12078867</v>
      </c>
      <c r="AS933" s="782">
        <v>12068233</v>
      </c>
      <c r="AT933" s="781"/>
      <c r="AU933" s="781"/>
      <c r="AV933" s="782">
        <v>12062075</v>
      </c>
      <c r="AW933" s="781"/>
      <c r="AX933" s="781"/>
      <c r="AY933" s="782">
        <v>12078867</v>
      </c>
      <c r="AZ933" s="781"/>
      <c r="BA933" s="781"/>
    </row>
    <row r="934" spans="1:53" ht="24.65" hidden="1" customHeight="1">
      <c r="A934" s="142" t="s">
        <v>120</v>
      </c>
      <c r="B934" s="258">
        <v>45457</v>
      </c>
      <c r="C934" s="259">
        <v>45486</v>
      </c>
      <c r="D934" s="185">
        <f t="shared" si="311"/>
        <v>2024</v>
      </c>
      <c r="E934" s="260" t="str">
        <f>VLOOKUP($B934,Week!$A$1:$C$1462,2,0)</f>
        <v>Week24</v>
      </c>
      <c r="F934" s="261" t="str">
        <f t="shared" si="312"/>
        <v>Jun</v>
      </c>
      <c r="G934" s="262" t="s">
        <v>1423</v>
      </c>
      <c r="H934" s="260" t="s">
        <v>134</v>
      </c>
      <c r="I934" s="260" t="s">
        <v>2772</v>
      </c>
      <c r="J934" s="263" t="s">
        <v>164</v>
      </c>
      <c r="K934" s="264" t="s">
        <v>153</v>
      </c>
      <c r="L934" s="390" t="s">
        <v>2166</v>
      </c>
      <c r="M934" s="263" t="s">
        <v>165</v>
      </c>
      <c r="N934" s="260" t="s">
        <v>166</v>
      </c>
      <c r="O934" s="260" t="s">
        <v>502</v>
      </c>
      <c r="P934" s="265">
        <v>20</v>
      </c>
      <c r="Q934" s="265">
        <v>12</v>
      </c>
      <c r="R934" s="266">
        <v>6.8100000000000001E-3</v>
      </c>
      <c r="S934" s="260" t="s">
        <v>76</v>
      </c>
      <c r="T934" s="260" t="s">
        <v>56</v>
      </c>
      <c r="U934" s="260" t="s">
        <v>89</v>
      </c>
      <c r="V934" s="267">
        <f>2000-1088</f>
        <v>912</v>
      </c>
      <c r="W934" s="267">
        <f>912</f>
        <v>912</v>
      </c>
      <c r="X934" s="268"/>
      <c r="Y934" s="269">
        <f t="shared" si="306"/>
        <v>0</v>
      </c>
      <c r="Z934" s="270">
        <f t="shared" si="307"/>
        <v>0</v>
      </c>
      <c r="AA934" s="270">
        <f>Q934*Z934</f>
        <v>0</v>
      </c>
      <c r="AB934" s="811">
        <v>2</v>
      </c>
      <c r="AC934" s="267">
        <f>Z934*AB934</f>
        <v>0</v>
      </c>
      <c r="AD934" s="209" t="s">
        <v>168</v>
      </c>
      <c r="AE934" s="210"/>
      <c r="AF934" s="210"/>
      <c r="AG934" s="211">
        <f t="shared" si="314"/>
        <v>0.154</v>
      </c>
      <c r="AH934" s="157">
        <f t="shared" si="316"/>
        <v>0</v>
      </c>
      <c r="AI934" s="152">
        <f t="shared" si="310"/>
        <v>18240</v>
      </c>
      <c r="AK934" s="156" t="s">
        <v>691</v>
      </c>
      <c r="AL934" s="156" t="s">
        <v>689</v>
      </c>
      <c r="AM934" s="198">
        <f t="shared" si="315"/>
        <v>0</v>
      </c>
      <c r="AN934" s="199">
        <f t="shared" si="313"/>
        <v>45457</v>
      </c>
      <c r="AO934" s="159" t="s">
        <v>692</v>
      </c>
      <c r="AP934" s="783" t="s">
        <v>610</v>
      </c>
      <c r="AQ934" s="783" t="s">
        <v>631</v>
      </c>
      <c r="AR934" s="783" t="s">
        <v>523</v>
      </c>
      <c r="AS934" s="781"/>
      <c r="AT934" s="782">
        <v>12055919</v>
      </c>
      <c r="AU934" s="781"/>
      <c r="AV934" s="783" t="s">
        <v>544</v>
      </c>
      <c r="AW934" s="781"/>
      <c r="AX934" s="782" t="s">
        <v>398</v>
      </c>
      <c r="AY934" s="781"/>
      <c r="AZ934" s="781"/>
      <c r="BA934" s="781"/>
    </row>
    <row r="935" spans="1:53" ht="24.75" hidden="1" customHeight="1">
      <c r="B935" s="295">
        <v>45458</v>
      </c>
      <c r="C935" s="296">
        <v>45461</v>
      </c>
      <c r="D935" s="185">
        <f t="shared" si="311"/>
        <v>2024</v>
      </c>
      <c r="E935" s="296" t="str">
        <f>VLOOKUP($B935,Week!$A$1:$C$1462,2,0)</f>
        <v>Week24</v>
      </c>
      <c r="F935" s="297" t="str">
        <f t="shared" si="312"/>
        <v>Jun</v>
      </c>
      <c r="G935" s="298" t="s">
        <v>47</v>
      </c>
      <c r="H935" s="298" t="s">
        <v>260</v>
      </c>
      <c r="I935" s="298" t="s">
        <v>2702</v>
      </c>
      <c r="J935" s="307" t="s">
        <v>904</v>
      </c>
      <c r="K935" s="300" t="s">
        <v>176</v>
      </c>
      <c r="L935" s="300" t="s">
        <v>2167</v>
      </c>
      <c r="M935" s="299" t="s">
        <v>262</v>
      </c>
      <c r="N935" s="298" t="s">
        <v>350</v>
      </c>
      <c r="O935" s="298" t="s">
        <v>351</v>
      </c>
      <c r="P935" s="301">
        <v>24</v>
      </c>
      <c r="Q935" s="301">
        <v>5</v>
      </c>
      <c r="R935" s="302">
        <v>6.1999999999999998E-3</v>
      </c>
      <c r="S935" s="298" t="s">
        <v>352</v>
      </c>
      <c r="T935" s="298" t="s">
        <v>56</v>
      </c>
      <c r="U935" s="298" t="s">
        <v>57</v>
      </c>
      <c r="V935" s="303">
        <f>2140</f>
        <v>2140</v>
      </c>
      <c r="W935" s="303">
        <f>2140</f>
        <v>2140</v>
      </c>
      <c r="X935" s="304"/>
      <c r="Y935" s="305">
        <f t="shared" si="306"/>
        <v>0</v>
      </c>
      <c r="Z935" s="306">
        <f t="shared" si="307"/>
        <v>0</v>
      </c>
      <c r="AA935" s="306"/>
      <c r="AB935" s="814"/>
      <c r="AC935" s="303"/>
      <c r="AD935" s="580" t="s">
        <v>672</v>
      </c>
      <c r="AE935" s="210"/>
      <c r="AF935" s="210"/>
      <c r="AG935" s="211">
        <f t="shared" si="314"/>
        <v>0.13</v>
      </c>
      <c r="AH935" s="157">
        <f t="shared" si="316"/>
        <v>0</v>
      </c>
      <c r="AI935" s="152">
        <f t="shared" si="310"/>
        <v>51360</v>
      </c>
      <c r="AK935" s="156" t="s">
        <v>691</v>
      </c>
      <c r="AL935" s="574" t="s">
        <v>690</v>
      </c>
      <c r="AM935" s="198">
        <f t="shared" si="315"/>
        <v>0</v>
      </c>
      <c r="AN935" s="199">
        <f t="shared" si="313"/>
        <v>45458</v>
      </c>
      <c r="AO935" s="159" t="s">
        <v>692</v>
      </c>
      <c r="AP935" s="783" t="s">
        <v>629</v>
      </c>
      <c r="AQ935" s="782">
        <v>12071839</v>
      </c>
      <c r="AR935" s="782">
        <v>12078867</v>
      </c>
      <c r="AS935" s="782">
        <v>12068233</v>
      </c>
      <c r="AT935" s="781"/>
      <c r="AU935" s="781"/>
      <c r="AV935" s="782">
        <v>12062075</v>
      </c>
      <c r="AW935" s="781"/>
      <c r="AX935" s="781"/>
      <c r="AY935" s="782">
        <v>12078867</v>
      </c>
      <c r="AZ935" s="781"/>
      <c r="BA935" s="781"/>
    </row>
    <row r="936" spans="1:53" ht="25" hidden="1" customHeight="1">
      <c r="A936" s="440"/>
      <c r="B936" s="332">
        <v>45458</v>
      </c>
      <c r="C936" s="333">
        <v>45469</v>
      </c>
      <c r="D936" s="185">
        <f t="shared" si="311"/>
        <v>2024</v>
      </c>
      <c r="E936" s="333" t="str">
        <f>VLOOKUP($B936,Week!$A$1:$C$1462,2,0)</f>
        <v>Week24</v>
      </c>
      <c r="F936" s="334" t="str">
        <f t="shared" si="312"/>
        <v>Jun</v>
      </c>
      <c r="G936" s="335" t="s">
        <v>1348</v>
      </c>
      <c r="H936" s="335" t="s">
        <v>311</v>
      </c>
      <c r="I936" s="335" t="s">
        <v>2772</v>
      </c>
      <c r="J936" s="336" t="s">
        <v>738</v>
      </c>
      <c r="K936" s="337" t="s">
        <v>1651</v>
      </c>
      <c r="L936" s="300" t="s">
        <v>2167</v>
      </c>
      <c r="M936" s="336" t="s">
        <v>683</v>
      </c>
      <c r="N936" s="335" t="s">
        <v>694</v>
      </c>
      <c r="O936" s="335" t="s">
        <v>684</v>
      </c>
      <c r="P936" s="338">
        <v>8</v>
      </c>
      <c r="Q936" s="338">
        <v>3</v>
      </c>
      <c r="R936" s="339">
        <v>8.0000000000000002E-3</v>
      </c>
      <c r="S936" s="335" t="s">
        <v>55</v>
      </c>
      <c r="T936" s="335" t="s">
        <v>112</v>
      </c>
      <c r="U936" s="340" t="s">
        <v>716</v>
      </c>
      <c r="V936" s="341">
        <v>300</v>
      </c>
      <c r="W936" s="341"/>
      <c r="X936" s="342">
        <f>(711+1689)/8</f>
        <v>300</v>
      </c>
      <c r="Y936" s="343">
        <f t="shared" si="306"/>
        <v>0</v>
      </c>
      <c r="Z936" s="344">
        <f t="shared" si="307"/>
        <v>0</v>
      </c>
      <c r="AA936" s="344"/>
      <c r="AB936" s="817"/>
      <c r="AC936" s="341"/>
      <c r="AD936" s="443" t="s">
        <v>695</v>
      </c>
      <c r="AE936" s="210"/>
      <c r="AF936" s="210"/>
      <c r="AG936" s="211">
        <f t="shared" si="314"/>
        <v>0.219</v>
      </c>
      <c r="AH936" s="157">
        <v>0.26621999999999996</v>
      </c>
      <c r="AI936" s="152">
        <f t="shared" si="310"/>
        <v>2400</v>
      </c>
      <c r="AK936" s="156" t="s">
        <v>691</v>
      </c>
      <c r="AL936" s="574" t="s">
        <v>690</v>
      </c>
      <c r="AM936" s="198">
        <f t="shared" si="315"/>
        <v>0</v>
      </c>
      <c r="AN936" s="199">
        <f t="shared" si="313"/>
        <v>45458</v>
      </c>
      <c r="AO936" s="159" t="s">
        <v>692</v>
      </c>
      <c r="AP936" s="781" t="s">
        <v>642</v>
      </c>
      <c r="AQ936" s="782">
        <v>12071839</v>
      </c>
      <c r="AR936" s="782">
        <v>12042650</v>
      </c>
      <c r="AS936" s="782">
        <v>12042649</v>
      </c>
      <c r="AT936" s="782">
        <v>12087119</v>
      </c>
      <c r="AU936" s="781"/>
      <c r="AV936" s="782">
        <v>12087117</v>
      </c>
      <c r="AW936" s="781"/>
      <c r="AX936" s="781"/>
      <c r="AY936" s="781"/>
      <c r="AZ936" s="782"/>
      <c r="BA936" s="781"/>
    </row>
    <row r="937" spans="1:53" ht="25" hidden="1" customHeight="1">
      <c r="A937" s="440"/>
      <c r="B937" s="332">
        <v>45458</v>
      </c>
      <c r="C937" s="333">
        <v>45483</v>
      </c>
      <c r="D937" s="185">
        <f t="shared" si="311"/>
        <v>2024</v>
      </c>
      <c r="E937" s="333" t="str">
        <f>VLOOKUP($B937,Week!$A$1:$C$1462,2,0)</f>
        <v>Week24</v>
      </c>
      <c r="F937" s="334" t="str">
        <f t="shared" si="312"/>
        <v>Jun</v>
      </c>
      <c r="G937" s="335" t="s">
        <v>1349</v>
      </c>
      <c r="H937" s="335" t="s">
        <v>311</v>
      </c>
      <c r="I937" s="335" t="s">
        <v>2772</v>
      </c>
      <c r="J937" s="336" t="s">
        <v>738</v>
      </c>
      <c r="K937" s="337" t="s">
        <v>1651</v>
      </c>
      <c r="L937" s="300" t="s">
        <v>2167</v>
      </c>
      <c r="M937" s="336" t="s">
        <v>683</v>
      </c>
      <c r="N937" s="335" t="s">
        <v>694</v>
      </c>
      <c r="O937" s="335" t="s">
        <v>684</v>
      </c>
      <c r="P937" s="338">
        <v>8</v>
      </c>
      <c r="Q937" s="338">
        <v>3</v>
      </c>
      <c r="R937" s="339">
        <v>8.0000000000000002E-3</v>
      </c>
      <c r="S937" s="335" t="s">
        <v>55</v>
      </c>
      <c r="T937" s="335" t="s">
        <v>112</v>
      </c>
      <c r="U937" s="340" t="s">
        <v>716</v>
      </c>
      <c r="V937" s="341">
        <v>200</v>
      </c>
      <c r="W937" s="341"/>
      <c r="X937" s="342">
        <f>(3346-1689)/8</f>
        <v>207.125</v>
      </c>
      <c r="Y937" s="343">
        <f t="shared" si="306"/>
        <v>7.125</v>
      </c>
      <c r="Z937" s="344">
        <f t="shared" si="307"/>
        <v>0</v>
      </c>
      <c r="AA937" s="344"/>
      <c r="AB937" s="817"/>
      <c r="AC937" s="341"/>
      <c r="AD937" s="443" t="s">
        <v>695</v>
      </c>
      <c r="AE937" s="210"/>
      <c r="AF937" s="210"/>
      <c r="AG937" s="211">
        <f t="shared" si="314"/>
        <v>0.219</v>
      </c>
      <c r="AH937" s="157">
        <v>0.26621999999999996</v>
      </c>
      <c r="AI937" s="152">
        <f t="shared" si="310"/>
        <v>1600</v>
      </c>
      <c r="AK937" s="156" t="s">
        <v>691</v>
      </c>
      <c r="AL937" s="574" t="s">
        <v>690</v>
      </c>
      <c r="AM937" s="198">
        <f t="shared" si="315"/>
        <v>0</v>
      </c>
      <c r="AN937" s="199">
        <f t="shared" si="313"/>
        <v>45458</v>
      </c>
      <c r="AO937" s="159" t="s">
        <v>692</v>
      </c>
      <c r="AP937" s="781" t="s">
        <v>642</v>
      </c>
      <c r="AQ937" s="782">
        <v>12071839</v>
      </c>
      <c r="AR937" s="782">
        <v>12042650</v>
      </c>
      <c r="AS937" s="782">
        <v>12042649</v>
      </c>
      <c r="AT937" s="782">
        <v>12087119</v>
      </c>
      <c r="AU937" s="781"/>
      <c r="AV937" s="782">
        <v>12087117</v>
      </c>
      <c r="AW937" s="781"/>
      <c r="AX937" s="781"/>
      <c r="AY937" s="781"/>
      <c r="AZ937" s="782"/>
      <c r="BA937" s="781"/>
    </row>
    <row r="938" spans="1:53" ht="25" hidden="1" customHeight="1">
      <c r="A938" s="440"/>
      <c r="B938" s="332">
        <v>45458</v>
      </c>
      <c r="C938" s="333">
        <v>45474</v>
      </c>
      <c r="D938" s="185">
        <f t="shared" si="311"/>
        <v>2024</v>
      </c>
      <c r="E938" s="333" t="str">
        <f>VLOOKUP($B938,Week!$A$1:$C$1462,2,0)</f>
        <v>Week24</v>
      </c>
      <c r="F938" s="334" t="str">
        <f t="shared" si="312"/>
        <v>Jun</v>
      </c>
      <c r="G938" s="335" t="s">
        <v>1391</v>
      </c>
      <c r="H938" s="335" t="s">
        <v>675</v>
      </c>
      <c r="I938" s="335" t="s">
        <v>2772</v>
      </c>
      <c r="J938" s="336" t="s">
        <v>709</v>
      </c>
      <c r="K938" s="337" t="s">
        <v>1651</v>
      </c>
      <c r="L938" s="300" t="s">
        <v>2167</v>
      </c>
      <c r="M938" s="336" t="s">
        <v>683</v>
      </c>
      <c r="N938" s="530" t="s">
        <v>713</v>
      </c>
      <c r="O938" s="335" t="s">
        <v>684</v>
      </c>
      <c r="P938" s="338">
        <v>8</v>
      </c>
      <c r="Q938" s="338">
        <v>3</v>
      </c>
      <c r="R938" s="339">
        <v>6.0000000000000001E-3</v>
      </c>
      <c r="S938" s="335" t="s">
        <v>55</v>
      </c>
      <c r="T938" s="335" t="s">
        <v>112</v>
      </c>
      <c r="U938" s="340" t="s">
        <v>716</v>
      </c>
      <c r="V938" s="341">
        <f>108</f>
        <v>108</v>
      </c>
      <c r="W938" s="341"/>
      <c r="X938" s="342">
        <f>(864)/8</f>
        <v>108</v>
      </c>
      <c r="Y938" s="343">
        <f t="shared" si="306"/>
        <v>0</v>
      </c>
      <c r="Z938" s="344">
        <f t="shared" si="307"/>
        <v>0</v>
      </c>
      <c r="AA938" s="344"/>
      <c r="AB938" s="817"/>
      <c r="AC938" s="341"/>
      <c r="AD938" s="443" t="s">
        <v>672</v>
      </c>
      <c r="AE938" s="210"/>
      <c r="AF938" s="210"/>
      <c r="AG938" s="211">
        <f t="shared" si="314"/>
        <v>0.219</v>
      </c>
      <c r="AH938" s="157">
        <v>0.26621999999999996</v>
      </c>
      <c r="AI938" s="152">
        <f t="shared" si="310"/>
        <v>864</v>
      </c>
      <c r="AK938" s="156" t="s">
        <v>691</v>
      </c>
      <c r="AL938" s="574" t="s">
        <v>690</v>
      </c>
      <c r="AM938" s="198">
        <f t="shared" si="315"/>
        <v>0</v>
      </c>
      <c r="AN938" s="199">
        <f t="shared" si="313"/>
        <v>45458</v>
      </c>
      <c r="AO938" s="159" t="s">
        <v>692</v>
      </c>
      <c r="AP938" s="781" t="s">
        <v>642</v>
      </c>
      <c r="AQ938" s="782">
        <v>12071839</v>
      </c>
      <c r="AR938" s="782">
        <v>12042650</v>
      </c>
      <c r="AS938" s="782">
        <v>12042649</v>
      </c>
      <c r="AT938" s="782">
        <v>12089991</v>
      </c>
      <c r="AU938" s="781"/>
      <c r="AV938" s="782">
        <v>12089989</v>
      </c>
      <c r="AW938" s="781"/>
      <c r="AX938" s="781"/>
      <c r="AY938" s="781"/>
      <c r="AZ938" s="782"/>
      <c r="BA938" s="781"/>
    </row>
    <row r="939" spans="1:53" ht="25" hidden="1" customHeight="1">
      <c r="B939" s="385">
        <v>45458</v>
      </c>
      <c r="C939" s="386">
        <v>45469</v>
      </c>
      <c r="D939" s="185">
        <f t="shared" si="311"/>
        <v>2024</v>
      </c>
      <c r="E939" s="386" t="str">
        <f>VLOOKUP($B939,Week!$A$1:$C$1462,2,0)</f>
        <v>Week24</v>
      </c>
      <c r="F939" s="387" t="str">
        <f t="shared" si="312"/>
        <v>Jun</v>
      </c>
      <c r="G939" s="388" t="s">
        <v>1042</v>
      </c>
      <c r="H939" s="388" t="s">
        <v>571</v>
      </c>
      <c r="I939" s="388" t="s">
        <v>2772</v>
      </c>
      <c r="J939" s="389" t="s">
        <v>663</v>
      </c>
      <c r="K939" s="390" t="s">
        <v>1652</v>
      </c>
      <c r="L939" s="300" t="s">
        <v>2167</v>
      </c>
      <c r="M939" s="389" t="s">
        <v>682</v>
      </c>
      <c r="N939" s="388" t="s">
        <v>718</v>
      </c>
      <c r="O939" s="388" t="s">
        <v>659</v>
      </c>
      <c r="P939" s="391">
        <v>12</v>
      </c>
      <c r="Q939" s="391">
        <v>3</v>
      </c>
      <c r="R939" s="392">
        <v>6.0000000000000001E-3</v>
      </c>
      <c r="S939" s="388" t="s">
        <v>55</v>
      </c>
      <c r="T939" s="388" t="s">
        <v>112</v>
      </c>
      <c r="U939" s="601" t="s">
        <v>724</v>
      </c>
      <c r="V939" s="393">
        <v>2040</v>
      </c>
      <c r="W939" s="393"/>
      <c r="X939" s="394">
        <f>(24480)/12</f>
        <v>2040</v>
      </c>
      <c r="Y939" s="395">
        <f t="shared" si="306"/>
        <v>0</v>
      </c>
      <c r="Z939" s="396">
        <f t="shared" si="307"/>
        <v>0</v>
      </c>
      <c r="AA939" s="396"/>
      <c r="AB939" s="823"/>
      <c r="AC939" s="393"/>
      <c r="AD939" s="636" t="s">
        <v>1043</v>
      </c>
      <c r="AE939" s="210"/>
      <c r="AF939" s="210"/>
      <c r="AG939" s="211">
        <f t="shared" si="314"/>
        <v>0.30199999999999999</v>
      </c>
      <c r="AH939" s="157">
        <v>0.26621999999999996</v>
      </c>
      <c r="AI939" s="152">
        <f t="shared" si="310"/>
        <v>24480</v>
      </c>
      <c r="AK939" s="156" t="s">
        <v>691</v>
      </c>
      <c r="AL939" s="212" t="s">
        <v>690</v>
      </c>
      <c r="AM939" s="198">
        <f t="shared" si="315"/>
        <v>0</v>
      </c>
      <c r="AN939" s="199">
        <f t="shared" si="313"/>
        <v>45458</v>
      </c>
      <c r="AO939" s="159" t="s">
        <v>692</v>
      </c>
      <c r="AP939" s="781" t="s">
        <v>642</v>
      </c>
      <c r="AQ939" s="782">
        <v>12063755</v>
      </c>
      <c r="AR939" s="782">
        <v>12061353</v>
      </c>
      <c r="AS939" s="782">
        <v>12061354</v>
      </c>
      <c r="AT939" s="782">
        <v>12090253</v>
      </c>
      <c r="AU939" s="781"/>
      <c r="AV939" s="782">
        <v>12090245</v>
      </c>
      <c r="AW939" s="781"/>
      <c r="AX939" s="781"/>
      <c r="AY939" s="781"/>
      <c r="AZ939" s="782"/>
      <c r="BA939" s="781"/>
    </row>
    <row r="940" spans="1:53" ht="25" hidden="1" customHeight="1">
      <c r="A940" s="440"/>
      <c r="B940" s="385">
        <v>45458</v>
      </c>
      <c r="C940" s="386">
        <v>45469</v>
      </c>
      <c r="D940" s="185">
        <f t="shared" si="311"/>
        <v>2024</v>
      </c>
      <c r="E940" s="386" t="str">
        <f>VLOOKUP($B940,Week!$A$1:$C$1462,2,0)</f>
        <v>Week24</v>
      </c>
      <c r="F940" s="387" t="str">
        <f t="shared" si="312"/>
        <v>Jun</v>
      </c>
      <c r="G940" s="388" t="s">
        <v>1406</v>
      </c>
      <c r="H940" s="388" t="s">
        <v>600</v>
      </c>
      <c r="I940" s="388" t="s">
        <v>2772</v>
      </c>
      <c r="J940" s="389" t="s">
        <v>708</v>
      </c>
      <c r="K940" s="390" t="s">
        <v>1652</v>
      </c>
      <c r="L940" s="300" t="s">
        <v>2167</v>
      </c>
      <c r="M940" s="389" t="s">
        <v>603</v>
      </c>
      <c r="N940" s="637" t="s">
        <v>1404</v>
      </c>
      <c r="O940" s="388" t="s">
        <v>602</v>
      </c>
      <c r="P940" s="391">
        <v>8</v>
      </c>
      <c r="Q940" s="391">
        <v>3</v>
      </c>
      <c r="R940" s="392">
        <v>6.0000000000000001E-3</v>
      </c>
      <c r="S940" s="388" t="s">
        <v>55</v>
      </c>
      <c r="T940" s="388" t="s">
        <v>112</v>
      </c>
      <c r="U940" s="601" t="s">
        <v>724</v>
      </c>
      <c r="V940" s="393">
        <v>3500</v>
      </c>
      <c r="W940" s="393"/>
      <c r="X940" s="394">
        <f>3500</f>
        <v>3500</v>
      </c>
      <c r="Y940" s="395">
        <f t="shared" si="306"/>
        <v>0</v>
      </c>
      <c r="Z940" s="396">
        <f t="shared" si="307"/>
        <v>0</v>
      </c>
      <c r="AA940" s="396"/>
      <c r="AB940" s="823"/>
      <c r="AC940" s="393"/>
      <c r="AD940" s="636" t="s">
        <v>1043</v>
      </c>
      <c r="AE940" s="210"/>
      <c r="AF940" s="210"/>
      <c r="AG940" s="211">
        <f t="shared" si="314"/>
        <v>0.30199999999999999</v>
      </c>
      <c r="AH940" s="157">
        <v>0.26621999999999996</v>
      </c>
      <c r="AI940" s="152">
        <f t="shared" si="310"/>
        <v>28000</v>
      </c>
      <c r="AK940" s="156" t="s">
        <v>691</v>
      </c>
      <c r="AL940" s="212" t="s">
        <v>690</v>
      </c>
      <c r="AM940" s="198">
        <f t="shared" si="315"/>
        <v>0</v>
      </c>
      <c r="AN940" s="199">
        <f t="shared" si="313"/>
        <v>45458</v>
      </c>
      <c r="AO940" s="159" t="s">
        <v>692</v>
      </c>
      <c r="AP940" s="781" t="s">
        <v>642</v>
      </c>
      <c r="AQ940" s="782">
        <v>12063755</v>
      </c>
      <c r="AR940" s="782">
        <v>12061353</v>
      </c>
      <c r="AS940" s="782">
        <v>12061354</v>
      </c>
      <c r="AT940" s="782">
        <v>12091199</v>
      </c>
      <c r="AU940" s="781"/>
      <c r="AV940" s="782">
        <v>12091198</v>
      </c>
      <c r="AW940" s="781"/>
      <c r="AX940" s="781"/>
      <c r="AY940" s="781"/>
      <c r="AZ940" s="782"/>
      <c r="BA940" s="781"/>
    </row>
    <row r="941" spans="1:53" ht="25" hidden="1" customHeight="1">
      <c r="B941" s="385">
        <v>45458</v>
      </c>
      <c r="C941" s="386">
        <v>45481</v>
      </c>
      <c r="D941" s="185">
        <f t="shared" si="311"/>
        <v>2024</v>
      </c>
      <c r="E941" s="386" t="str">
        <f>VLOOKUP($B941,Week!$A$1:$C$1462,2,0)</f>
        <v>Week24</v>
      </c>
      <c r="F941" s="387" t="str">
        <f t="shared" si="312"/>
        <v>Jun</v>
      </c>
      <c r="G941" s="388" t="s">
        <v>1405</v>
      </c>
      <c r="H941" s="388" t="s">
        <v>600</v>
      </c>
      <c r="I941" s="388" t="s">
        <v>2772</v>
      </c>
      <c r="J941" s="389" t="s">
        <v>708</v>
      </c>
      <c r="K941" s="390" t="s">
        <v>1652</v>
      </c>
      <c r="L941" s="300" t="s">
        <v>2167</v>
      </c>
      <c r="M941" s="389" t="s">
        <v>603</v>
      </c>
      <c r="N941" s="637" t="s">
        <v>1404</v>
      </c>
      <c r="O941" s="388" t="s">
        <v>602</v>
      </c>
      <c r="P941" s="391">
        <v>8</v>
      </c>
      <c r="Q941" s="391">
        <v>3</v>
      </c>
      <c r="R941" s="392">
        <v>6.0000000000000001E-3</v>
      </c>
      <c r="S941" s="388" t="s">
        <v>55</v>
      </c>
      <c r="T941" s="388" t="s">
        <v>112</v>
      </c>
      <c r="U941" s="601" t="s">
        <v>724</v>
      </c>
      <c r="V941" s="393">
        <f>3500-241+24</f>
        <v>3283</v>
      </c>
      <c r="W941" s="393"/>
      <c r="X941" s="394">
        <f>3259+24</f>
        <v>3283</v>
      </c>
      <c r="Y941" s="395">
        <f t="shared" si="306"/>
        <v>0</v>
      </c>
      <c r="Z941" s="396">
        <f t="shared" si="307"/>
        <v>0</v>
      </c>
      <c r="AA941" s="396"/>
      <c r="AB941" s="823"/>
      <c r="AC941" s="393"/>
      <c r="AD941" s="636" t="s">
        <v>1043</v>
      </c>
      <c r="AE941" s="210"/>
      <c r="AF941" s="210"/>
      <c r="AG941" s="211">
        <f t="shared" si="314"/>
        <v>0.30199999999999999</v>
      </c>
      <c r="AH941" s="157">
        <v>0.26621999999999996</v>
      </c>
      <c r="AI941" s="152">
        <f t="shared" si="310"/>
        <v>26264</v>
      </c>
      <c r="AK941" s="156" t="s">
        <v>691</v>
      </c>
      <c r="AL941" s="212" t="s">
        <v>690</v>
      </c>
      <c r="AM941" s="198">
        <f t="shared" si="315"/>
        <v>0</v>
      </c>
      <c r="AN941" s="199">
        <f t="shared" si="313"/>
        <v>45458</v>
      </c>
      <c r="AO941" s="159" t="s">
        <v>692</v>
      </c>
      <c r="AP941" s="781" t="s">
        <v>642</v>
      </c>
      <c r="AQ941" s="782">
        <v>12063755</v>
      </c>
      <c r="AR941" s="782">
        <v>12061353</v>
      </c>
      <c r="AS941" s="782">
        <v>12061354</v>
      </c>
      <c r="AT941" s="782">
        <v>12091199</v>
      </c>
      <c r="AU941" s="781"/>
      <c r="AV941" s="782">
        <v>12091198</v>
      </c>
      <c r="AW941" s="781"/>
      <c r="AX941" s="781"/>
      <c r="AY941" s="781"/>
      <c r="AZ941" s="782"/>
      <c r="BA941" s="781"/>
    </row>
    <row r="942" spans="1:53" ht="25" hidden="1" customHeight="1">
      <c r="B942" s="332">
        <v>45458</v>
      </c>
      <c r="C942" s="333">
        <v>45474</v>
      </c>
      <c r="D942" s="185">
        <f t="shared" si="311"/>
        <v>2024</v>
      </c>
      <c r="E942" s="333" t="str">
        <f>VLOOKUP($B942,Week!$A$1:$C$1462,2,0)</f>
        <v>Week24</v>
      </c>
      <c r="F942" s="334" t="str">
        <f t="shared" si="312"/>
        <v>Jun</v>
      </c>
      <c r="G942" s="335" t="s">
        <v>1391</v>
      </c>
      <c r="H942" s="335" t="s">
        <v>675</v>
      </c>
      <c r="I942" s="335" t="s">
        <v>2772</v>
      </c>
      <c r="J942" s="336" t="s">
        <v>709</v>
      </c>
      <c r="K942" s="337" t="s">
        <v>1652</v>
      </c>
      <c r="L942" s="300" t="s">
        <v>2167</v>
      </c>
      <c r="M942" s="336" t="s">
        <v>682</v>
      </c>
      <c r="N942" s="530" t="s">
        <v>712</v>
      </c>
      <c r="O942" s="335" t="s">
        <v>602</v>
      </c>
      <c r="P942" s="338">
        <v>8</v>
      </c>
      <c r="Q942" s="338">
        <v>3</v>
      </c>
      <c r="R942" s="339">
        <v>6.0000000000000001E-3</v>
      </c>
      <c r="S942" s="335" t="s">
        <v>55</v>
      </c>
      <c r="T942" s="335" t="s">
        <v>112</v>
      </c>
      <c r="U942" s="340" t="s">
        <v>724</v>
      </c>
      <c r="V942" s="341">
        <f>810</f>
        <v>810</v>
      </c>
      <c r="W942" s="341"/>
      <c r="X942" s="342">
        <f>(6480)/8</f>
        <v>810</v>
      </c>
      <c r="Y942" s="343">
        <f t="shared" si="306"/>
        <v>0</v>
      </c>
      <c r="Z942" s="344">
        <f t="shared" si="307"/>
        <v>0</v>
      </c>
      <c r="AA942" s="344"/>
      <c r="AB942" s="817"/>
      <c r="AC942" s="341"/>
      <c r="AD942" s="443" t="s">
        <v>1504</v>
      </c>
      <c r="AE942" s="210"/>
      <c r="AF942" s="210"/>
      <c r="AG942" s="211">
        <f t="shared" si="314"/>
        <v>0.30199999999999999</v>
      </c>
      <c r="AH942" s="157">
        <v>0.26621999999999996</v>
      </c>
      <c r="AI942" s="152">
        <f t="shared" si="310"/>
        <v>6480</v>
      </c>
      <c r="AK942" s="156" t="s">
        <v>691</v>
      </c>
      <c r="AL942" s="574" t="s">
        <v>690</v>
      </c>
      <c r="AM942" s="198">
        <f t="shared" si="315"/>
        <v>0</v>
      </c>
      <c r="AN942" s="199">
        <f t="shared" si="313"/>
        <v>45458</v>
      </c>
      <c r="AO942" s="159" t="s">
        <v>692</v>
      </c>
      <c r="AP942" s="781" t="s">
        <v>642</v>
      </c>
      <c r="AQ942" s="782">
        <v>12063755</v>
      </c>
      <c r="AR942" s="782">
        <v>12061353</v>
      </c>
      <c r="AS942" s="782">
        <v>12061354</v>
      </c>
      <c r="AT942" s="782">
        <v>12090030</v>
      </c>
      <c r="AU942" s="781"/>
      <c r="AV942" s="782">
        <v>12089992</v>
      </c>
      <c r="AW942" s="781"/>
      <c r="AX942" s="781"/>
      <c r="AY942" s="781"/>
      <c r="AZ942" s="782"/>
      <c r="BA942" s="781"/>
    </row>
    <row r="943" spans="1:53" ht="25" hidden="1" customHeight="1">
      <c r="A943" s="623"/>
      <c r="B943" s="332">
        <v>45458</v>
      </c>
      <c r="C943" s="333">
        <v>45488</v>
      </c>
      <c r="D943" s="185">
        <f t="shared" si="311"/>
        <v>2024</v>
      </c>
      <c r="E943" s="333" t="str">
        <f>VLOOKUP($B943,Week!$A$1:$C$1462,2,0)</f>
        <v>Week24</v>
      </c>
      <c r="F943" s="334" t="str">
        <f t="shared" si="312"/>
        <v>Jun</v>
      </c>
      <c r="G943" s="335" t="s">
        <v>1349</v>
      </c>
      <c r="H943" s="335" t="s">
        <v>311</v>
      </c>
      <c r="I943" s="335" t="s">
        <v>2772</v>
      </c>
      <c r="J943" s="336" t="s">
        <v>738</v>
      </c>
      <c r="K943" s="337" t="s">
        <v>1652</v>
      </c>
      <c r="L943" s="300" t="s">
        <v>2167</v>
      </c>
      <c r="M943" s="336" t="s">
        <v>682</v>
      </c>
      <c r="N943" s="335" t="s">
        <v>693</v>
      </c>
      <c r="O943" s="335" t="s">
        <v>602</v>
      </c>
      <c r="P943" s="338">
        <v>8</v>
      </c>
      <c r="Q943" s="338">
        <v>3</v>
      </c>
      <c r="R943" s="339">
        <v>6.0000000000000001E-3</v>
      </c>
      <c r="S943" s="335" t="s">
        <v>55</v>
      </c>
      <c r="T943" s="335" t="s">
        <v>112</v>
      </c>
      <c r="U943" s="340" t="s">
        <v>724</v>
      </c>
      <c r="V943" s="341">
        <f>350</f>
        <v>350</v>
      </c>
      <c r="W943" s="341"/>
      <c r="X943" s="342">
        <f>2800/8</f>
        <v>350</v>
      </c>
      <c r="Y943" s="343">
        <f t="shared" si="306"/>
        <v>0</v>
      </c>
      <c r="Z943" s="344">
        <f t="shared" si="307"/>
        <v>0</v>
      </c>
      <c r="AA943" s="344"/>
      <c r="AB943" s="817"/>
      <c r="AC943" s="341"/>
      <c r="AD943" s="443"/>
      <c r="AE943" s="210"/>
      <c r="AF943" s="210"/>
      <c r="AG943" s="211">
        <f t="shared" si="314"/>
        <v>0.30199999999999999</v>
      </c>
      <c r="AH943" s="157">
        <v>0.26621999999999996</v>
      </c>
      <c r="AI943" s="152">
        <f t="shared" si="310"/>
        <v>2800</v>
      </c>
      <c r="AK943" s="156" t="s">
        <v>691</v>
      </c>
      <c r="AL943" s="574" t="s">
        <v>690</v>
      </c>
      <c r="AM943" s="198">
        <f t="shared" si="315"/>
        <v>0</v>
      </c>
      <c r="AN943" s="199">
        <f t="shared" si="313"/>
        <v>45458</v>
      </c>
      <c r="AO943" s="159" t="s">
        <v>692</v>
      </c>
      <c r="AP943" s="781" t="s">
        <v>642</v>
      </c>
      <c r="AQ943" s="782">
        <v>12063755</v>
      </c>
      <c r="AR943" s="782">
        <v>12061353</v>
      </c>
      <c r="AS943" s="782">
        <v>12061354</v>
      </c>
      <c r="AT943" s="782">
        <v>12087120</v>
      </c>
      <c r="AU943" s="781"/>
      <c r="AV943" s="782">
        <v>12087118</v>
      </c>
      <c r="AW943" s="781"/>
      <c r="AX943" s="781"/>
      <c r="AY943" s="781"/>
      <c r="AZ943" s="782"/>
      <c r="BA943" s="781"/>
    </row>
    <row r="944" spans="1:53" ht="25" hidden="1" customHeight="1">
      <c r="A944" s="142" t="s">
        <v>120</v>
      </c>
      <c r="B944" s="271">
        <v>45458</v>
      </c>
      <c r="C944" s="272">
        <v>45476</v>
      </c>
      <c r="D944" s="185">
        <f t="shared" si="311"/>
        <v>2024</v>
      </c>
      <c r="E944" s="272" t="str">
        <f>VLOOKUP($B944,Week!$A$1:$C$1462,2,0)</f>
        <v>Week24</v>
      </c>
      <c r="F944" s="273" t="str">
        <f t="shared" si="312"/>
        <v>Jun</v>
      </c>
      <c r="G944" s="274" t="s">
        <v>1487</v>
      </c>
      <c r="H944" s="274" t="s">
        <v>500</v>
      </c>
      <c r="I944" s="274" t="s">
        <v>2772</v>
      </c>
      <c r="J944" s="275" t="s">
        <v>285</v>
      </c>
      <c r="K944" s="276" t="s">
        <v>153</v>
      </c>
      <c r="L944" s="390" t="s">
        <v>2166</v>
      </c>
      <c r="M944" s="275" t="s">
        <v>86</v>
      </c>
      <c r="N944" s="274" t="s">
        <v>547</v>
      </c>
      <c r="O944" s="274" t="s">
        <v>548</v>
      </c>
      <c r="P944" s="277">
        <v>10</v>
      </c>
      <c r="Q944" s="277">
        <v>50</v>
      </c>
      <c r="R944" s="278">
        <v>6.8100000000000001E-3</v>
      </c>
      <c r="S944" s="274" t="s">
        <v>76</v>
      </c>
      <c r="T944" s="274" t="s">
        <v>56</v>
      </c>
      <c r="U944" s="274" t="s">
        <v>89</v>
      </c>
      <c r="V944" s="279">
        <v>551</v>
      </c>
      <c r="W944" s="279">
        <f>12+539</f>
        <v>551</v>
      </c>
      <c r="X944" s="280"/>
      <c r="Y944" s="281">
        <f t="shared" si="306"/>
        <v>0</v>
      </c>
      <c r="Z944" s="282">
        <f t="shared" si="307"/>
        <v>0</v>
      </c>
      <c r="AA944" s="282">
        <f>Q944*Z944</f>
        <v>0</v>
      </c>
      <c r="AB944" s="812">
        <v>6</v>
      </c>
      <c r="AC944" s="279">
        <f>Z944*AB944</f>
        <v>0</v>
      </c>
      <c r="AD944" s="209"/>
      <c r="AE944" s="210"/>
      <c r="AF944" s="210"/>
      <c r="AG944" s="211">
        <f t="shared" si="314"/>
        <v>0.63</v>
      </c>
      <c r="AH944" s="157">
        <f>(Z944*AG944)/1000</f>
        <v>0</v>
      </c>
      <c r="AI944" s="152">
        <f t="shared" si="310"/>
        <v>5510</v>
      </c>
      <c r="AK944" s="156" t="s">
        <v>691</v>
      </c>
      <c r="AL944" s="156" t="s">
        <v>689</v>
      </c>
      <c r="AM944" s="198">
        <f t="shared" si="315"/>
        <v>0</v>
      </c>
      <c r="AN944" s="199">
        <f t="shared" si="313"/>
        <v>45458</v>
      </c>
      <c r="AO944" s="159" t="s">
        <v>692</v>
      </c>
      <c r="AP944" s="783" t="s">
        <v>620</v>
      </c>
      <c r="AQ944" s="782" t="s">
        <v>549</v>
      </c>
      <c r="AR944" s="782">
        <v>12055234</v>
      </c>
      <c r="AS944" s="781"/>
      <c r="AT944" s="782"/>
      <c r="AU944" s="782"/>
      <c r="AV944" s="782">
        <v>12062809</v>
      </c>
      <c r="AW944" s="782"/>
      <c r="AX944" s="782" t="s">
        <v>619</v>
      </c>
      <c r="AY944" s="781"/>
      <c r="AZ944" s="781"/>
      <c r="BA944" s="781"/>
    </row>
    <row r="945" spans="1:53" ht="24.65" hidden="1" customHeight="1">
      <c r="B945" s="183">
        <v>45459</v>
      </c>
      <c r="C945" s="184"/>
      <c r="D945" s="185">
        <f t="shared" si="311"/>
        <v>2024</v>
      </c>
      <c r="E945" s="185" t="str">
        <f>VLOOKUP($B945,Week!$A$1:$C$1462,2,0)</f>
        <v>Week24</v>
      </c>
      <c r="F945" s="186" t="str">
        <f t="shared" si="312"/>
        <v>Jun</v>
      </c>
      <c r="G945" s="185"/>
      <c r="H945" s="185"/>
      <c r="I945" s="185"/>
      <c r="J945" s="187"/>
      <c r="K945" s="188"/>
      <c r="L945" s="300"/>
      <c r="M945" s="187"/>
      <c r="N945" s="185"/>
      <c r="O945" s="185"/>
      <c r="P945" s="189"/>
      <c r="Q945" s="189"/>
      <c r="R945" s="190"/>
      <c r="S945" s="185"/>
      <c r="T945" s="185"/>
      <c r="U945" s="185"/>
      <c r="V945" s="191"/>
      <c r="W945" s="191"/>
      <c r="X945" s="192"/>
      <c r="Y945" s="193"/>
      <c r="Z945" s="194"/>
      <c r="AA945" s="194"/>
      <c r="AB945" s="805"/>
      <c r="AC945" s="191"/>
      <c r="AD945" s="187"/>
      <c r="AE945" s="195"/>
      <c r="AF945" s="195"/>
      <c r="AG945" s="196"/>
      <c r="AH945" s="197"/>
      <c r="AK945" s="156" t="s">
        <v>691</v>
      </c>
      <c r="AM945" s="198">
        <f t="shared" si="315"/>
        <v>0</v>
      </c>
      <c r="AN945" s="199">
        <f t="shared" si="313"/>
        <v>45459</v>
      </c>
      <c r="AO945" s="159" t="s">
        <v>692</v>
      </c>
      <c r="AP945" s="781"/>
      <c r="AQ945" s="782"/>
      <c r="AR945" s="782"/>
      <c r="AS945" s="782"/>
      <c r="AT945" s="782"/>
      <c r="AU945" s="781"/>
      <c r="AV945" s="782"/>
      <c r="AW945" s="782"/>
      <c r="AX945" s="782"/>
      <c r="AY945" s="782"/>
      <c r="AZ945" s="782"/>
      <c r="BA945" s="781"/>
    </row>
    <row r="946" spans="1:53" ht="24.75" hidden="1" customHeight="1">
      <c r="B946" s="295">
        <v>45460</v>
      </c>
      <c r="C946" s="296">
        <v>45474</v>
      </c>
      <c r="D946" s="185">
        <f t="shared" si="311"/>
        <v>2024</v>
      </c>
      <c r="E946" s="296" t="str">
        <f>VLOOKUP($B946,Week!$A$1:$C$1462,2,0)</f>
        <v>Week25</v>
      </c>
      <c r="F946" s="297" t="str">
        <f t="shared" si="312"/>
        <v>Jun</v>
      </c>
      <c r="G946" s="298" t="s">
        <v>47</v>
      </c>
      <c r="H946" s="298" t="s">
        <v>260</v>
      </c>
      <c r="I946" s="298" t="s">
        <v>2702</v>
      </c>
      <c r="J946" s="307" t="s">
        <v>904</v>
      </c>
      <c r="K946" s="300" t="s">
        <v>176</v>
      </c>
      <c r="L946" s="300" t="s">
        <v>2167</v>
      </c>
      <c r="M946" s="299" t="s">
        <v>262</v>
      </c>
      <c r="N946" s="298" t="s">
        <v>350</v>
      </c>
      <c r="O946" s="298" t="s">
        <v>351</v>
      </c>
      <c r="P946" s="301">
        <v>24</v>
      </c>
      <c r="Q946" s="301">
        <v>5</v>
      </c>
      <c r="R946" s="302">
        <v>6.1999999999999998E-3</v>
      </c>
      <c r="S946" s="298" t="s">
        <v>352</v>
      </c>
      <c r="T946" s="298" t="s">
        <v>56</v>
      </c>
      <c r="U946" s="298" t="s">
        <v>57</v>
      </c>
      <c r="V946" s="303">
        <f>3613</f>
        <v>3613</v>
      </c>
      <c r="W946" s="303">
        <f>3613</f>
        <v>3613</v>
      </c>
      <c r="X946" s="304"/>
      <c r="Y946" s="305">
        <f t="shared" ref="Y946:Y986" si="317">(W946+X946)-V946</f>
        <v>0</v>
      </c>
      <c r="Z946" s="306">
        <f t="shared" ref="Z946:Z986" si="318">IF(Y946&lt;0,((V946*P946)-((W946+X946)*P946)),0)</f>
        <v>0</v>
      </c>
      <c r="AA946" s="306"/>
      <c r="AB946" s="814"/>
      <c r="AC946" s="303"/>
      <c r="AD946" s="580" t="s">
        <v>672</v>
      </c>
      <c r="AE946" s="210"/>
      <c r="AF946" s="210"/>
      <c r="AG946" s="211">
        <f t="shared" ref="AG946:AG974" si="319">MID(O946,1,3)/1000</f>
        <v>0.13</v>
      </c>
      <c r="AH946" s="157">
        <f>(Z946*AG946)/1000</f>
        <v>0</v>
      </c>
      <c r="AI946" s="152">
        <f t="shared" ref="AI946:AI986" si="320">V946*P946</f>
        <v>86712</v>
      </c>
      <c r="AK946" s="156" t="s">
        <v>691</v>
      </c>
      <c r="AL946" s="574" t="s">
        <v>690</v>
      </c>
      <c r="AM946" s="198">
        <f t="shared" si="315"/>
        <v>0</v>
      </c>
      <c r="AN946" s="199">
        <f t="shared" si="313"/>
        <v>45460</v>
      </c>
      <c r="AO946" s="159" t="s">
        <v>692</v>
      </c>
      <c r="AP946" s="783" t="s">
        <v>629</v>
      </c>
      <c r="AQ946" s="782">
        <v>12071839</v>
      </c>
      <c r="AR946" s="782">
        <v>12078867</v>
      </c>
      <c r="AS946" s="782">
        <v>12068233</v>
      </c>
      <c r="AT946" s="781"/>
      <c r="AU946" s="781"/>
      <c r="AV946" s="782">
        <v>12062075</v>
      </c>
      <c r="AW946" s="781"/>
      <c r="AX946" s="781"/>
      <c r="AY946" s="782">
        <v>12078867</v>
      </c>
      <c r="AZ946" s="781"/>
      <c r="BA946" s="781"/>
    </row>
    <row r="947" spans="1:53" ht="25" hidden="1" customHeight="1">
      <c r="B947" s="213">
        <v>45460</v>
      </c>
      <c r="C947" s="633">
        <v>45465</v>
      </c>
      <c r="D947" s="185">
        <f t="shared" si="311"/>
        <v>2024</v>
      </c>
      <c r="E947" s="215" t="str">
        <f>VLOOKUP($B947,Week!$A$1:$C$1462,2,0)</f>
        <v>Week25</v>
      </c>
      <c r="F947" s="216" t="str">
        <f t="shared" si="312"/>
        <v>Jun</v>
      </c>
      <c r="G947" s="215" t="s">
        <v>1294</v>
      </c>
      <c r="H947" s="215" t="s">
        <v>104</v>
      </c>
      <c r="I947" s="215" t="s">
        <v>2772</v>
      </c>
      <c r="J947" s="209" t="s">
        <v>105</v>
      </c>
      <c r="K947" s="217" t="s">
        <v>107</v>
      </c>
      <c r="L947" s="300" t="s">
        <v>2167</v>
      </c>
      <c r="M947" s="209" t="s">
        <v>108</v>
      </c>
      <c r="N947" s="215" t="s">
        <v>109</v>
      </c>
      <c r="O947" s="215" t="s">
        <v>110</v>
      </c>
      <c r="P947" s="218">
        <v>36</v>
      </c>
      <c r="Q947" s="218">
        <v>5</v>
      </c>
      <c r="R947" s="219">
        <v>7.4999999999999997E-3</v>
      </c>
      <c r="S947" s="215" t="s">
        <v>111</v>
      </c>
      <c r="T947" s="215" t="s">
        <v>112</v>
      </c>
      <c r="U947" s="215" t="s">
        <v>113</v>
      </c>
      <c r="V947" s="220">
        <f>792-281</f>
        <v>511</v>
      </c>
      <c r="W947" s="220">
        <f>792-281</f>
        <v>511</v>
      </c>
      <c r="X947" s="221"/>
      <c r="Y947" s="222">
        <f t="shared" si="317"/>
        <v>0</v>
      </c>
      <c r="Z947" s="223">
        <f t="shared" si="318"/>
        <v>0</v>
      </c>
      <c r="AA947" s="223"/>
      <c r="AB947" s="807"/>
      <c r="AC947" s="220"/>
      <c r="AD947" s="209"/>
      <c r="AE947" s="210"/>
      <c r="AF947" s="210"/>
      <c r="AG947" s="211">
        <f t="shared" si="319"/>
        <v>0.308</v>
      </c>
      <c r="AH947" s="157">
        <f t="shared" ref="AH947:AH952" si="321">(Z947*AG947)/1000</f>
        <v>0</v>
      </c>
      <c r="AI947" s="152">
        <f t="shared" si="320"/>
        <v>18396</v>
      </c>
      <c r="AK947" s="156" t="s">
        <v>691</v>
      </c>
      <c r="AL947" s="574" t="s">
        <v>690</v>
      </c>
      <c r="AM947" s="198">
        <f t="shared" ref="AM947:AM952" si="322">AG947*Z947</f>
        <v>0</v>
      </c>
      <c r="AN947" s="199">
        <f t="shared" si="313"/>
        <v>45460</v>
      </c>
      <c r="AO947" s="159" t="s">
        <v>692</v>
      </c>
      <c r="AP947" s="781"/>
      <c r="AQ947" s="782">
        <v>12063755</v>
      </c>
      <c r="AR947" s="782">
        <v>12061353</v>
      </c>
      <c r="AS947" s="782">
        <v>12061354</v>
      </c>
      <c r="AT947" s="782">
        <v>12068566</v>
      </c>
      <c r="AU947" s="781"/>
      <c r="AV947" s="782">
        <v>12088206</v>
      </c>
      <c r="AW947" s="782">
        <v>12088207</v>
      </c>
      <c r="AX947" s="782"/>
      <c r="AY947" s="782">
        <v>12068565</v>
      </c>
      <c r="AZ947" s="782"/>
      <c r="BA947" s="781"/>
    </row>
    <row r="948" spans="1:53" ht="25" hidden="1" customHeight="1">
      <c r="B948" s="213">
        <v>45460</v>
      </c>
      <c r="C948" s="633">
        <v>45465</v>
      </c>
      <c r="D948" s="185">
        <f t="shared" si="311"/>
        <v>2024</v>
      </c>
      <c r="E948" s="215" t="str">
        <f>VLOOKUP($B948,Week!$A$1:$C$1462,2,0)</f>
        <v>Week25</v>
      </c>
      <c r="F948" s="216" t="str">
        <f t="shared" si="312"/>
        <v>Jun</v>
      </c>
      <c r="G948" s="215" t="s">
        <v>1295</v>
      </c>
      <c r="H948" s="215" t="s">
        <v>104</v>
      </c>
      <c r="I948" s="215" t="s">
        <v>2772</v>
      </c>
      <c r="J948" s="209" t="s">
        <v>105</v>
      </c>
      <c r="K948" s="217" t="s">
        <v>107</v>
      </c>
      <c r="L948" s="300" t="s">
        <v>2167</v>
      </c>
      <c r="M948" s="209" t="s">
        <v>108</v>
      </c>
      <c r="N948" s="215" t="s">
        <v>109</v>
      </c>
      <c r="O948" s="215" t="s">
        <v>110</v>
      </c>
      <c r="P948" s="218">
        <v>36</v>
      </c>
      <c r="Q948" s="218">
        <v>5</v>
      </c>
      <c r="R948" s="219">
        <v>7.4999999999999997E-3</v>
      </c>
      <c r="S948" s="215" t="s">
        <v>111</v>
      </c>
      <c r="T948" s="215" t="s">
        <v>112</v>
      </c>
      <c r="U948" s="215" t="s">
        <v>113</v>
      </c>
      <c r="V948" s="220">
        <f>792</f>
        <v>792</v>
      </c>
      <c r="W948" s="220">
        <f>792</f>
        <v>792</v>
      </c>
      <c r="X948" s="221"/>
      <c r="Y948" s="222">
        <f t="shared" si="317"/>
        <v>0</v>
      </c>
      <c r="Z948" s="223">
        <f t="shared" si="318"/>
        <v>0</v>
      </c>
      <c r="AA948" s="223"/>
      <c r="AB948" s="807"/>
      <c r="AC948" s="220"/>
      <c r="AD948" s="209"/>
      <c r="AE948" s="210"/>
      <c r="AF948" s="210"/>
      <c r="AG948" s="211">
        <f t="shared" si="319"/>
        <v>0.308</v>
      </c>
      <c r="AH948" s="157">
        <f t="shared" si="321"/>
        <v>0</v>
      </c>
      <c r="AI948" s="152">
        <f t="shared" si="320"/>
        <v>28512</v>
      </c>
      <c r="AK948" s="156" t="s">
        <v>691</v>
      </c>
      <c r="AL948" s="574" t="s">
        <v>690</v>
      </c>
      <c r="AM948" s="198">
        <f t="shared" si="322"/>
        <v>0</v>
      </c>
      <c r="AN948" s="199">
        <f t="shared" si="313"/>
        <v>45460</v>
      </c>
      <c r="AO948" s="159" t="s">
        <v>692</v>
      </c>
      <c r="AP948" s="781"/>
      <c r="AQ948" s="782">
        <v>12063755</v>
      </c>
      <c r="AR948" s="782">
        <v>12061353</v>
      </c>
      <c r="AS948" s="782">
        <v>12061354</v>
      </c>
      <c r="AT948" s="782">
        <v>12068566</v>
      </c>
      <c r="AU948" s="781"/>
      <c r="AV948" s="782">
        <v>12088206</v>
      </c>
      <c r="AW948" s="782">
        <v>12088207</v>
      </c>
      <c r="AX948" s="782"/>
      <c r="AY948" s="782">
        <v>12068565</v>
      </c>
      <c r="AZ948" s="782"/>
      <c r="BA948" s="781"/>
    </row>
    <row r="949" spans="1:53" ht="25" hidden="1" customHeight="1">
      <c r="B949" s="213">
        <v>45460</v>
      </c>
      <c r="C949" s="633">
        <v>45467</v>
      </c>
      <c r="D949" s="185">
        <f t="shared" si="311"/>
        <v>2024</v>
      </c>
      <c r="E949" s="215" t="str">
        <f>VLOOKUP($B949,Week!$A$1:$C$1462,2,0)</f>
        <v>Week25</v>
      </c>
      <c r="F949" s="216" t="str">
        <f t="shared" si="312"/>
        <v>Jun</v>
      </c>
      <c r="G949" s="215" t="s">
        <v>1296</v>
      </c>
      <c r="H949" s="215" t="s">
        <v>104</v>
      </c>
      <c r="I949" s="215" t="s">
        <v>2772</v>
      </c>
      <c r="J949" s="209" t="s">
        <v>105</v>
      </c>
      <c r="K949" s="217" t="s">
        <v>107</v>
      </c>
      <c r="L949" s="300" t="s">
        <v>2167</v>
      </c>
      <c r="M949" s="209" t="s">
        <v>108</v>
      </c>
      <c r="N949" s="215" t="s">
        <v>109</v>
      </c>
      <c r="O949" s="215" t="s">
        <v>110</v>
      </c>
      <c r="P949" s="218">
        <v>36</v>
      </c>
      <c r="Q949" s="218">
        <v>5</v>
      </c>
      <c r="R949" s="219">
        <v>7.4999999999999997E-3</v>
      </c>
      <c r="S949" s="215" t="s">
        <v>111</v>
      </c>
      <c r="T949" s="215" t="s">
        <v>112</v>
      </c>
      <c r="U949" s="215" t="s">
        <v>113</v>
      </c>
      <c r="V949" s="220">
        <f>1630-511-792</f>
        <v>327</v>
      </c>
      <c r="W949" s="220">
        <f>1630-511-792</f>
        <v>327</v>
      </c>
      <c r="X949" s="221"/>
      <c r="Y949" s="222">
        <f t="shared" si="317"/>
        <v>0</v>
      </c>
      <c r="Z949" s="223">
        <f t="shared" si="318"/>
        <v>0</v>
      </c>
      <c r="AA949" s="223"/>
      <c r="AB949" s="807"/>
      <c r="AC949" s="220"/>
      <c r="AD949" s="209"/>
      <c r="AE949" s="210"/>
      <c r="AF949" s="210"/>
      <c r="AG949" s="211">
        <f t="shared" si="319"/>
        <v>0.308</v>
      </c>
      <c r="AH949" s="157">
        <f t="shared" si="321"/>
        <v>0</v>
      </c>
      <c r="AI949" s="152">
        <f t="shared" si="320"/>
        <v>11772</v>
      </c>
      <c r="AK949" s="156" t="s">
        <v>691</v>
      </c>
      <c r="AL949" s="574" t="s">
        <v>690</v>
      </c>
      <c r="AM949" s="198">
        <f t="shared" si="322"/>
        <v>0</v>
      </c>
      <c r="AN949" s="199">
        <f t="shared" si="313"/>
        <v>45460</v>
      </c>
      <c r="AO949" s="159" t="s">
        <v>692</v>
      </c>
      <c r="AP949" s="781"/>
      <c r="AQ949" s="782">
        <v>12063755</v>
      </c>
      <c r="AR949" s="782">
        <v>12061353</v>
      </c>
      <c r="AS949" s="782">
        <v>12061354</v>
      </c>
      <c r="AT949" s="782">
        <v>12068566</v>
      </c>
      <c r="AU949" s="781"/>
      <c r="AV949" s="782">
        <v>12088206</v>
      </c>
      <c r="AW949" s="782">
        <v>12088207</v>
      </c>
      <c r="AX949" s="782"/>
      <c r="AY949" s="782">
        <v>12068565</v>
      </c>
      <c r="AZ949" s="782"/>
      <c r="BA949" s="781"/>
    </row>
    <row r="950" spans="1:53" ht="25" hidden="1" customHeight="1">
      <c r="A950" s="142" t="s">
        <v>120</v>
      </c>
      <c r="B950" s="271">
        <v>45460</v>
      </c>
      <c r="C950" s="272">
        <v>45476</v>
      </c>
      <c r="D950" s="185">
        <f t="shared" si="311"/>
        <v>2024</v>
      </c>
      <c r="E950" s="272" t="str">
        <f>VLOOKUP($B950,Week!$A$1:$C$1462,2,0)</f>
        <v>Week25</v>
      </c>
      <c r="F950" s="273" t="str">
        <f t="shared" si="312"/>
        <v>Jun</v>
      </c>
      <c r="G950" s="274" t="s">
        <v>1487</v>
      </c>
      <c r="H950" s="274" t="s">
        <v>500</v>
      </c>
      <c r="I950" s="274" t="s">
        <v>2772</v>
      </c>
      <c r="J950" s="275" t="s">
        <v>285</v>
      </c>
      <c r="K950" s="276" t="s">
        <v>153</v>
      </c>
      <c r="L950" s="390" t="s">
        <v>2166</v>
      </c>
      <c r="M950" s="275" t="s">
        <v>86</v>
      </c>
      <c r="N950" s="274" t="s">
        <v>547</v>
      </c>
      <c r="O950" s="274" t="s">
        <v>548</v>
      </c>
      <c r="P950" s="277">
        <v>10</v>
      </c>
      <c r="Q950" s="277">
        <v>50</v>
      </c>
      <c r="R950" s="278">
        <v>6.8100000000000001E-3</v>
      </c>
      <c r="S950" s="274" t="s">
        <v>76</v>
      </c>
      <c r="T950" s="274" t="s">
        <v>56</v>
      </c>
      <c r="U950" s="274" t="s">
        <v>89</v>
      </c>
      <c r="V950" s="279">
        <v>532</v>
      </c>
      <c r="W950" s="279">
        <v>532</v>
      </c>
      <c r="X950" s="280"/>
      <c r="Y950" s="281">
        <f t="shared" si="317"/>
        <v>0</v>
      </c>
      <c r="Z950" s="282">
        <f t="shared" si="318"/>
        <v>0</v>
      </c>
      <c r="AA950" s="282">
        <f>Q950*Z950</f>
        <v>0</v>
      </c>
      <c r="AB950" s="812">
        <v>6</v>
      </c>
      <c r="AC950" s="279">
        <f>Z950*AB950</f>
        <v>0</v>
      </c>
      <c r="AD950" s="209"/>
      <c r="AE950" s="210"/>
      <c r="AF950" s="210"/>
      <c r="AG950" s="211">
        <f t="shared" si="319"/>
        <v>0.63</v>
      </c>
      <c r="AH950" s="157">
        <f>(Z950*AG950)/1000</f>
        <v>0</v>
      </c>
      <c r="AI950" s="152">
        <f t="shared" si="320"/>
        <v>5320</v>
      </c>
      <c r="AK950" s="156" t="s">
        <v>691</v>
      </c>
      <c r="AL950" s="156" t="s">
        <v>689</v>
      </c>
      <c r="AM950" s="198">
        <f>AG950*Z950</f>
        <v>0</v>
      </c>
      <c r="AN950" s="199">
        <f t="shared" si="313"/>
        <v>45460</v>
      </c>
      <c r="AO950" s="159" t="s">
        <v>692</v>
      </c>
      <c r="AP950" s="783" t="s">
        <v>620</v>
      </c>
      <c r="AQ950" s="782" t="s">
        <v>549</v>
      </c>
      <c r="AR950" s="782">
        <v>12055234</v>
      </c>
      <c r="AS950" s="781"/>
      <c r="AT950" s="782"/>
      <c r="AU950" s="782"/>
      <c r="AV950" s="782">
        <v>12062809</v>
      </c>
      <c r="AW950" s="782"/>
      <c r="AX950" s="782" t="s">
        <v>619</v>
      </c>
      <c r="AY950" s="781"/>
      <c r="AZ950" s="781"/>
      <c r="BA950" s="781"/>
    </row>
    <row r="951" spans="1:53" ht="25" hidden="1" customHeight="1">
      <c r="B951" s="213">
        <v>45461</v>
      </c>
      <c r="C951" s="633">
        <v>45467</v>
      </c>
      <c r="D951" s="185">
        <f t="shared" si="311"/>
        <v>2024</v>
      </c>
      <c r="E951" s="215" t="str">
        <f>VLOOKUP($B951,Week!$A$1:$C$1462,2,0)</f>
        <v>Week25</v>
      </c>
      <c r="F951" s="216" t="str">
        <f t="shared" si="312"/>
        <v>Jun</v>
      </c>
      <c r="G951" s="215" t="s">
        <v>1296</v>
      </c>
      <c r="H951" s="215" t="s">
        <v>104</v>
      </c>
      <c r="I951" s="215" t="s">
        <v>2772</v>
      </c>
      <c r="J951" s="209" t="s">
        <v>105</v>
      </c>
      <c r="K951" s="217" t="s">
        <v>107</v>
      </c>
      <c r="L951" s="300" t="s">
        <v>2167</v>
      </c>
      <c r="M951" s="209" t="s">
        <v>108</v>
      </c>
      <c r="N951" s="215" t="s">
        <v>109</v>
      </c>
      <c r="O951" s="215" t="s">
        <v>110</v>
      </c>
      <c r="P951" s="218">
        <v>36</v>
      </c>
      <c r="Q951" s="218">
        <v>5</v>
      </c>
      <c r="R951" s="219">
        <v>7.4999999999999997E-3</v>
      </c>
      <c r="S951" s="215" t="s">
        <v>111</v>
      </c>
      <c r="T951" s="215" t="s">
        <v>112</v>
      </c>
      <c r="U951" s="215" t="s">
        <v>113</v>
      </c>
      <c r="V951" s="220">
        <f>792-327</f>
        <v>465</v>
      </c>
      <c r="W951" s="220">
        <f>792-327</f>
        <v>465</v>
      </c>
      <c r="X951" s="221"/>
      <c r="Y951" s="222">
        <f t="shared" si="317"/>
        <v>0</v>
      </c>
      <c r="Z951" s="223">
        <f t="shared" si="318"/>
        <v>0</v>
      </c>
      <c r="AA951" s="223"/>
      <c r="AB951" s="807"/>
      <c r="AC951" s="220"/>
      <c r="AD951" s="209"/>
      <c r="AE951" s="210"/>
      <c r="AF951" s="210"/>
      <c r="AG951" s="211">
        <f t="shared" si="319"/>
        <v>0.308</v>
      </c>
      <c r="AH951" s="157">
        <f t="shared" si="321"/>
        <v>0</v>
      </c>
      <c r="AI951" s="152">
        <f t="shared" si="320"/>
        <v>16740</v>
      </c>
      <c r="AK951" s="156" t="s">
        <v>691</v>
      </c>
      <c r="AL951" s="574" t="s">
        <v>690</v>
      </c>
      <c r="AM951" s="198">
        <f t="shared" si="322"/>
        <v>0</v>
      </c>
      <c r="AN951" s="199">
        <f t="shared" si="313"/>
        <v>45461</v>
      </c>
      <c r="AO951" s="159" t="s">
        <v>692</v>
      </c>
      <c r="AP951" s="781"/>
      <c r="AQ951" s="782">
        <v>12063755</v>
      </c>
      <c r="AR951" s="782">
        <v>12061353</v>
      </c>
      <c r="AS951" s="782">
        <v>12061354</v>
      </c>
      <c r="AT951" s="782">
        <v>12068566</v>
      </c>
      <c r="AU951" s="781"/>
      <c r="AV951" s="782">
        <v>12088206</v>
      </c>
      <c r="AW951" s="782">
        <v>12088207</v>
      </c>
      <c r="AX951" s="782"/>
      <c r="AY951" s="782">
        <v>12068565</v>
      </c>
      <c r="AZ951" s="782"/>
      <c r="BA951" s="781"/>
    </row>
    <row r="952" spans="1:53" ht="25" hidden="1" customHeight="1">
      <c r="B952" s="213">
        <v>45461</v>
      </c>
      <c r="C952" s="633">
        <v>45467</v>
      </c>
      <c r="D952" s="185">
        <f t="shared" si="311"/>
        <v>2024</v>
      </c>
      <c r="E952" s="215" t="str">
        <f>VLOOKUP($B952,Week!$A$1:$C$1462,2,0)</f>
        <v>Week25</v>
      </c>
      <c r="F952" s="216" t="str">
        <f t="shared" si="312"/>
        <v>Jun</v>
      </c>
      <c r="G952" s="215" t="s">
        <v>1282</v>
      </c>
      <c r="H952" s="215" t="s">
        <v>104</v>
      </c>
      <c r="I952" s="215" t="s">
        <v>2772</v>
      </c>
      <c r="J952" s="209" t="s">
        <v>105</v>
      </c>
      <c r="K952" s="217" t="s">
        <v>107</v>
      </c>
      <c r="L952" s="300" t="s">
        <v>2167</v>
      </c>
      <c r="M952" s="209" t="s">
        <v>108</v>
      </c>
      <c r="N952" s="215" t="s">
        <v>109</v>
      </c>
      <c r="O952" s="215" t="s">
        <v>110</v>
      </c>
      <c r="P952" s="218">
        <v>36</v>
      </c>
      <c r="Q952" s="218">
        <v>5</v>
      </c>
      <c r="R952" s="219">
        <v>7.4999999999999997E-3</v>
      </c>
      <c r="S952" s="215" t="s">
        <v>111</v>
      </c>
      <c r="T952" s="215" t="s">
        <v>112</v>
      </c>
      <c r="U952" s="215" t="s">
        <v>113</v>
      </c>
      <c r="V952" s="220">
        <v>792</v>
      </c>
      <c r="W952" s="220">
        <v>792</v>
      </c>
      <c r="X952" s="221"/>
      <c r="Y952" s="222">
        <f t="shared" si="317"/>
        <v>0</v>
      </c>
      <c r="Z952" s="223">
        <f t="shared" si="318"/>
        <v>0</v>
      </c>
      <c r="AA952" s="223"/>
      <c r="AB952" s="807"/>
      <c r="AC952" s="220"/>
      <c r="AD952" s="209"/>
      <c r="AE952" s="210"/>
      <c r="AF952" s="210"/>
      <c r="AG952" s="211">
        <f t="shared" si="319"/>
        <v>0.308</v>
      </c>
      <c r="AH952" s="157">
        <f t="shared" si="321"/>
        <v>0</v>
      </c>
      <c r="AI952" s="152">
        <f t="shared" si="320"/>
        <v>28512</v>
      </c>
      <c r="AK952" s="156" t="s">
        <v>691</v>
      </c>
      <c r="AL952" s="574" t="s">
        <v>690</v>
      </c>
      <c r="AM952" s="198">
        <f t="shared" si="322"/>
        <v>0</v>
      </c>
      <c r="AN952" s="199">
        <f t="shared" si="313"/>
        <v>45461</v>
      </c>
      <c r="AO952" s="159" t="s">
        <v>692</v>
      </c>
      <c r="AP952" s="781"/>
      <c r="AQ952" s="782">
        <v>12063755</v>
      </c>
      <c r="AR952" s="782">
        <v>12061353</v>
      </c>
      <c r="AS952" s="782">
        <v>12061354</v>
      </c>
      <c r="AT952" s="782">
        <v>12068566</v>
      </c>
      <c r="AU952" s="781"/>
      <c r="AV952" s="782">
        <v>12088206</v>
      </c>
      <c r="AW952" s="782">
        <v>12088207</v>
      </c>
      <c r="AX952" s="782"/>
      <c r="AY952" s="782">
        <v>12068565</v>
      </c>
      <c r="AZ952" s="782"/>
      <c r="BA952" s="781"/>
    </row>
    <row r="953" spans="1:53" ht="25" hidden="1" customHeight="1">
      <c r="B953" s="213">
        <v>45461</v>
      </c>
      <c r="C953" s="633">
        <v>45467</v>
      </c>
      <c r="D953" s="185">
        <f t="shared" si="311"/>
        <v>2024</v>
      </c>
      <c r="E953" s="215" t="str">
        <f>VLOOKUP($B953,Week!$A$1:$C$1462,2,0)</f>
        <v>Week25</v>
      </c>
      <c r="F953" s="216" t="str">
        <f t="shared" si="312"/>
        <v>Jun</v>
      </c>
      <c r="G953" s="215" t="s">
        <v>1283</v>
      </c>
      <c r="H953" s="215" t="s">
        <v>104</v>
      </c>
      <c r="I953" s="215" t="s">
        <v>2772</v>
      </c>
      <c r="J953" s="209" t="s">
        <v>105</v>
      </c>
      <c r="K953" s="217" t="s">
        <v>107</v>
      </c>
      <c r="L953" s="300" t="s">
        <v>2167</v>
      </c>
      <c r="M953" s="209" t="s">
        <v>108</v>
      </c>
      <c r="N953" s="215" t="s">
        <v>109</v>
      </c>
      <c r="O953" s="215" t="s">
        <v>110</v>
      </c>
      <c r="P953" s="218">
        <v>36</v>
      </c>
      <c r="Q953" s="218">
        <v>5</v>
      </c>
      <c r="R953" s="219">
        <v>7.4999999999999997E-3</v>
      </c>
      <c r="S953" s="215" t="s">
        <v>111</v>
      </c>
      <c r="T953" s="215" t="s">
        <v>112</v>
      </c>
      <c r="U953" s="215" t="s">
        <v>113</v>
      </c>
      <c r="V953" s="220">
        <v>792</v>
      </c>
      <c r="W953" s="220">
        <v>792</v>
      </c>
      <c r="X953" s="221"/>
      <c r="Y953" s="222">
        <f t="shared" si="317"/>
        <v>0</v>
      </c>
      <c r="Z953" s="223">
        <f t="shared" si="318"/>
        <v>0</v>
      </c>
      <c r="AA953" s="223"/>
      <c r="AB953" s="807"/>
      <c r="AC953" s="220"/>
      <c r="AD953" s="209"/>
      <c r="AE953" s="210"/>
      <c r="AF953" s="210"/>
      <c r="AG953" s="211">
        <f t="shared" si="319"/>
        <v>0.308</v>
      </c>
      <c r="AH953" s="157">
        <f t="shared" ref="AH953:AH962" si="323">(Z953*AG953)/1000</f>
        <v>0</v>
      </c>
      <c r="AI953" s="152">
        <f t="shared" si="320"/>
        <v>28512</v>
      </c>
      <c r="AK953" s="156" t="s">
        <v>691</v>
      </c>
      <c r="AL953" s="574" t="s">
        <v>690</v>
      </c>
      <c r="AM953" s="198">
        <f t="shared" ref="AM953:AM962" si="324">AG953*Z953</f>
        <v>0</v>
      </c>
      <c r="AN953" s="199">
        <f t="shared" si="313"/>
        <v>45461</v>
      </c>
      <c r="AO953" s="159" t="s">
        <v>692</v>
      </c>
      <c r="AP953" s="781"/>
      <c r="AQ953" s="782">
        <v>12063755</v>
      </c>
      <c r="AR953" s="782">
        <v>12061353</v>
      </c>
      <c r="AS953" s="782">
        <v>12061354</v>
      </c>
      <c r="AT953" s="782">
        <v>12068566</v>
      </c>
      <c r="AU953" s="781"/>
      <c r="AV953" s="782">
        <v>12088206</v>
      </c>
      <c r="AW953" s="782">
        <v>12088207</v>
      </c>
      <c r="AX953" s="782"/>
      <c r="AY953" s="782">
        <v>12068565</v>
      </c>
      <c r="AZ953" s="782"/>
      <c r="BA953" s="781"/>
    </row>
    <row r="954" spans="1:53" ht="25" hidden="1" customHeight="1">
      <c r="B954" s="213">
        <v>45461</v>
      </c>
      <c r="C954" s="633">
        <v>45467</v>
      </c>
      <c r="D954" s="185">
        <f t="shared" si="311"/>
        <v>2024</v>
      </c>
      <c r="E954" s="215" t="str">
        <f>VLOOKUP($B954,Week!$A$1:$C$1462,2,0)</f>
        <v>Week25</v>
      </c>
      <c r="F954" s="216" t="str">
        <f t="shared" si="312"/>
        <v>Jun</v>
      </c>
      <c r="G954" s="215" t="s">
        <v>1284</v>
      </c>
      <c r="H954" s="215" t="s">
        <v>104</v>
      </c>
      <c r="I954" s="215" t="s">
        <v>2772</v>
      </c>
      <c r="J954" s="209" t="s">
        <v>105</v>
      </c>
      <c r="K954" s="217" t="s">
        <v>107</v>
      </c>
      <c r="L954" s="300" t="s">
        <v>2167</v>
      </c>
      <c r="M954" s="209" t="s">
        <v>108</v>
      </c>
      <c r="N954" s="215" t="s">
        <v>109</v>
      </c>
      <c r="O954" s="215" t="s">
        <v>110</v>
      </c>
      <c r="P954" s="218">
        <v>36</v>
      </c>
      <c r="Q954" s="218">
        <v>5</v>
      </c>
      <c r="R954" s="219">
        <v>7.4999999999999997E-3</v>
      </c>
      <c r="S954" s="215" t="s">
        <v>111</v>
      </c>
      <c r="T954" s="215" t="s">
        <v>112</v>
      </c>
      <c r="U954" s="215" t="s">
        <v>113</v>
      </c>
      <c r="V954" s="220">
        <v>792</v>
      </c>
      <c r="W954" s="220">
        <v>792</v>
      </c>
      <c r="X954" s="221"/>
      <c r="Y954" s="222">
        <f t="shared" si="317"/>
        <v>0</v>
      </c>
      <c r="Z954" s="223">
        <f t="shared" si="318"/>
        <v>0</v>
      </c>
      <c r="AA954" s="223"/>
      <c r="AB954" s="807"/>
      <c r="AC954" s="220"/>
      <c r="AD954" s="209"/>
      <c r="AE954" s="210"/>
      <c r="AF954" s="210"/>
      <c r="AG954" s="211">
        <f t="shared" si="319"/>
        <v>0.308</v>
      </c>
      <c r="AH954" s="157">
        <f t="shared" si="323"/>
        <v>0</v>
      </c>
      <c r="AI954" s="152">
        <f t="shared" si="320"/>
        <v>28512</v>
      </c>
      <c r="AK954" s="156" t="s">
        <v>691</v>
      </c>
      <c r="AL954" s="574" t="s">
        <v>690</v>
      </c>
      <c r="AM954" s="198">
        <f t="shared" si="324"/>
        <v>0</v>
      </c>
      <c r="AN954" s="199">
        <f t="shared" si="313"/>
        <v>45461</v>
      </c>
      <c r="AO954" s="159" t="s">
        <v>692</v>
      </c>
      <c r="AP954" s="781"/>
      <c r="AQ954" s="782">
        <v>12063755</v>
      </c>
      <c r="AR954" s="782">
        <v>12061353</v>
      </c>
      <c r="AS954" s="782">
        <v>12061354</v>
      </c>
      <c r="AT954" s="782">
        <v>12068566</v>
      </c>
      <c r="AU954" s="781"/>
      <c r="AV954" s="782">
        <v>12088206</v>
      </c>
      <c r="AW954" s="782">
        <v>12088207</v>
      </c>
      <c r="AX954" s="782"/>
      <c r="AY954" s="782">
        <v>12068565</v>
      </c>
      <c r="AZ954" s="782"/>
      <c r="BA954" s="781"/>
    </row>
    <row r="955" spans="1:53" ht="25" hidden="1" customHeight="1">
      <c r="B955" s="213">
        <v>45461</v>
      </c>
      <c r="C955" s="633">
        <v>45467</v>
      </c>
      <c r="D955" s="185">
        <f t="shared" si="311"/>
        <v>2024</v>
      </c>
      <c r="E955" s="215" t="str">
        <f>VLOOKUP($B955,Week!$A$1:$C$1462,2,0)</f>
        <v>Week25</v>
      </c>
      <c r="F955" s="216" t="str">
        <f t="shared" si="312"/>
        <v>Jun</v>
      </c>
      <c r="G955" s="215" t="s">
        <v>1280</v>
      </c>
      <c r="H955" s="215" t="s">
        <v>104</v>
      </c>
      <c r="I955" s="215" t="s">
        <v>2772</v>
      </c>
      <c r="J955" s="209" t="s">
        <v>105</v>
      </c>
      <c r="K955" s="217" t="s">
        <v>107</v>
      </c>
      <c r="L955" s="300" t="s">
        <v>2167</v>
      </c>
      <c r="M955" s="209" t="s">
        <v>108</v>
      </c>
      <c r="N955" s="215" t="s">
        <v>109</v>
      </c>
      <c r="O955" s="215" t="s">
        <v>110</v>
      </c>
      <c r="P955" s="218">
        <v>36</v>
      </c>
      <c r="Q955" s="218">
        <v>5</v>
      </c>
      <c r="R955" s="219">
        <v>7.4999999999999997E-3</v>
      </c>
      <c r="S955" s="215" t="s">
        <v>111</v>
      </c>
      <c r="T955" s="215" t="s">
        <v>112</v>
      </c>
      <c r="U955" s="215" t="s">
        <v>113</v>
      </c>
      <c r="V955" s="220">
        <v>792</v>
      </c>
      <c r="W955" s="220">
        <v>792</v>
      </c>
      <c r="X955" s="221"/>
      <c r="Y955" s="222">
        <f t="shared" si="317"/>
        <v>0</v>
      </c>
      <c r="Z955" s="223">
        <f t="shared" si="318"/>
        <v>0</v>
      </c>
      <c r="AA955" s="223"/>
      <c r="AB955" s="807"/>
      <c r="AC955" s="220"/>
      <c r="AD955" s="209"/>
      <c r="AE955" s="210"/>
      <c r="AF955" s="210"/>
      <c r="AG955" s="211">
        <f t="shared" si="319"/>
        <v>0.308</v>
      </c>
      <c r="AH955" s="157">
        <f t="shared" si="323"/>
        <v>0</v>
      </c>
      <c r="AI955" s="152">
        <f t="shared" si="320"/>
        <v>28512</v>
      </c>
      <c r="AK955" s="156" t="s">
        <v>691</v>
      </c>
      <c r="AL955" s="574" t="s">
        <v>690</v>
      </c>
      <c r="AM955" s="198">
        <f t="shared" si="324"/>
        <v>0</v>
      </c>
      <c r="AN955" s="199">
        <f t="shared" si="313"/>
        <v>45461</v>
      </c>
      <c r="AO955" s="159" t="s">
        <v>692</v>
      </c>
      <c r="AP955" s="781"/>
      <c r="AQ955" s="782">
        <v>12063755</v>
      </c>
      <c r="AR955" s="782">
        <v>12061353</v>
      </c>
      <c r="AS955" s="782">
        <v>12061354</v>
      </c>
      <c r="AT955" s="782">
        <v>12068566</v>
      </c>
      <c r="AU955" s="781"/>
      <c r="AV955" s="782">
        <v>12088206</v>
      </c>
      <c r="AW955" s="782">
        <v>12088207</v>
      </c>
      <c r="AX955" s="782"/>
      <c r="AY955" s="782">
        <v>12068565</v>
      </c>
      <c r="AZ955" s="782"/>
      <c r="BA955" s="781"/>
    </row>
    <row r="956" spans="1:53" ht="25" hidden="1" customHeight="1">
      <c r="B956" s="213">
        <v>45461</v>
      </c>
      <c r="C956" s="633">
        <v>45467</v>
      </c>
      <c r="D956" s="185">
        <f t="shared" si="311"/>
        <v>2024</v>
      </c>
      <c r="E956" s="215" t="str">
        <f>VLOOKUP($B956,Week!$A$1:$C$1462,2,0)</f>
        <v>Week25</v>
      </c>
      <c r="F956" s="216" t="str">
        <f t="shared" si="312"/>
        <v>Jun</v>
      </c>
      <c r="G956" s="215" t="s">
        <v>1289</v>
      </c>
      <c r="H956" s="215" t="s">
        <v>104</v>
      </c>
      <c r="I956" s="215" t="s">
        <v>2772</v>
      </c>
      <c r="J956" s="209" t="s">
        <v>105</v>
      </c>
      <c r="K956" s="217" t="s">
        <v>107</v>
      </c>
      <c r="L956" s="300" t="s">
        <v>2167</v>
      </c>
      <c r="M956" s="209" t="s">
        <v>108</v>
      </c>
      <c r="N956" s="215" t="s">
        <v>109</v>
      </c>
      <c r="O956" s="215" t="s">
        <v>110</v>
      </c>
      <c r="P956" s="218">
        <v>36</v>
      </c>
      <c r="Q956" s="218">
        <v>5</v>
      </c>
      <c r="R956" s="219">
        <v>7.4999999999999997E-3</v>
      </c>
      <c r="S956" s="215" t="s">
        <v>111</v>
      </c>
      <c r="T956" s="215" t="s">
        <v>112</v>
      </c>
      <c r="U956" s="215" t="s">
        <v>113</v>
      </c>
      <c r="V956" s="220">
        <f>4023-465-792-792-792-792</f>
        <v>390</v>
      </c>
      <c r="W956" s="220">
        <f>4023-465-792-792-792-792</f>
        <v>390</v>
      </c>
      <c r="X956" s="221"/>
      <c r="Y956" s="222">
        <f t="shared" si="317"/>
        <v>0</v>
      </c>
      <c r="Z956" s="223">
        <f t="shared" si="318"/>
        <v>0</v>
      </c>
      <c r="AA956" s="223"/>
      <c r="AB956" s="807"/>
      <c r="AC956" s="220"/>
      <c r="AD956" s="209"/>
      <c r="AE956" s="210"/>
      <c r="AF956" s="210"/>
      <c r="AG956" s="211">
        <f t="shared" si="319"/>
        <v>0.308</v>
      </c>
      <c r="AH956" s="157">
        <f t="shared" si="323"/>
        <v>0</v>
      </c>
      <c r="AI956" s="152">
        <f t="shared" si="320"/>
        <v>14040</v>
      </c>
      <c r="AK956" s="156" t="s">
        <v>691</v>
      </c>
      <c r="AL956" s="574" t="s">
        <v>690</v>
      </c>
      <c r="AM956" s="198">
        <f t="shared" si="324"/>
        <v>0</v>
      </c>
      <c r="AN956" s="199">
        <f t="shared" si="313"/>
        <v>45461</v>
      </c>
      <c r="AO956" s="159" t="s">
        <v>692</v>
      </c>
      <c r="AP956" s="781"/>
      <c r="AQ956" s="782">
        <v>12063755</v>
      </c>
      <c r="AR956" s="782">
        <v>12061353</v>
      </c>
      <c r="AS956" s="782">
        <v>12061354</v>
      </c>
      <c r="AT956" s="782">
        <v>12068566</v>
      </c>
      <c r="AU956" s="781"/>
      <c r="AV956" s="782">
        <v>12088206</v>
      </c>
      <c r="AW956" s="782">
        <v>12088207</v>
      </c>
      <c r="AX956" s="782"/>
      <c r="AY956" s="782">
        <v>12068565</v>
      </c>
      <c r="AZ956" s="782"/>
      <c r="BA956" s="781"/>
    </row>
    <row r="957" spans="1:53" ht="25" hidden="1" customHeight="1">
      <c r="A957" s="142" t="s">
        <v>120</v>
      </c>
      <c r="B957" s="271">
        <v>45461</v>
      </c>
      <c r="C957" s="272">
        <v>45476</v>
      </c>
      <c r="D957" s="185">
        <f t="shared" si="311"/>
        <v>2024</v>
      </c>
      <c r="E957" s="272" t="str">
        <f>VLOOKUP($B957,Week!$A$1:$C$1462,2,0)</f>
        <v>Week25</v>
      </c>
      <c r="F957" s="273" t="str">
        <f t="shared" si="312"/>
        <v>Jun</v>
      </c>
      <c r="G957" s="274" t="s">
        <v>1487</v>
      </c>
      <c r="H957" s="274" t="s">
        <v>500</v>
      </c>
      <c r="I957" s="274" t="s">
        <v>2772</v>
      </c>
      <c r="J957" s="275" t="s">
        <v>285</v>
      </c>
      <c r="K957" s="276" t="s">
        <v>153</v>
      </c>
      <c r="L957" s="390" t="s">
        <v>2166</v>
      </c>
      <c r="M957" s="275" t="s">
        <v>86</v>
      </c>
      <c r="N957" s="274" t="s">
        <v>547</v>
      </c>
      <c r="O957" s="274" t="s">
        <v>548</v>
      </c>
      <c r="P957" s="277">
        <v>10</v>
      </c>
      <c r="Q957" s="277">
        <v>50</v>
      </c>
      <c r="R957" s="278">
        <v>6.8100000000000001E-3</v>
      </c>
      <c r="S957" s="274" t="s">
        <v>76</v>
      </c>
      <c r="T957" s="274" t="s">
        <v>56</v>
      </c>
      <c r="U957" s="274" t="s">
        <v>89</v>
      </c>
      <c r="V957" s="279">
        <v>537</v>
      </c>
      <c r="W957" s="279">
        <v>537</v>
      </c>
      <c r="X957" s="280"/>
      <c r="Y957" s="281">
        <f t="shared" si="317"/>
        <v>0</v>
      </c>
      <c r="Z957" s="282">
        <f t="shared" si="318"/>
        <v>0</v>
      </c>
      <c r="AA957" s="282">
        <f>Q957*Z957</f>
        <v>0</v>
      </c>
      <c r="AB957" s="812">
        <v>6</v>
      </c>
      <c r="AC957" s="279">
        <f>Z957*AB957</f>
        <v>0</v>
      </c>
      <c r="AD957" s="209"/>
      <c r="AE957" s="210"/>
      <c r="AF957" s="210"/>
      <c r="AG957" s="211">
        <f t="shared" si="319"/>
        <v>0.63</v>
      </c>
      <c r="AH957" s="157">
        <f t="shared" si="323"/>
        <v>0</v>
      </c>
      <c r="AI957" s="152">
        <f t="shared" si="320"/>
        <v>5370</v>
      </c>
      <c r="AK957" s="156" t="s">
        <v>691</v>
      </c>
      <c r="AL957" s="156" t="s">
        <v>689</v>
      </c>
      <c r="AM957" s="198">
        <f t="shared" si="324"/>
        <v>0</v>
      </c>
      <c r="AN957" s="199">
        <f t="shared" si="313"/>
        <v>45461</v>
      </c>
      <c r="AO957" s="159" t="s">
        <v>692</v>
      </c>
      <c r="AP957" s="783" t="s">
        <v>620</v>
      </c>
      <c r="AQ957" s="782" t="s">
        <v>549</v>
      </c>
      <c r="AR957" s="782">
        <v>12055234</v>
      </c>
      <c r="AS957" s="781"/>
      <c r="AT957" s="782"/>
      <c r="AU957" s="782"/>
      <c r="AV957" s="782">
        <v>12062809</v>
      </c>
      <c r="AW957" s="782"/>
      <c r="AX957" s="782" t="s">
        <v>619</v>
      </c>
      <c r="AY957" s="781"/>
      <c r="AZ957" s="781"/>
      <c r="BA957" s="781"/>
    </row>
    <row r="958" spans="1:53" ht="25" hidden="1" customHeight="1">
      <c r="B958" s="213">
        <v>45462</v>
      </c>
      <c r="C958" s="633">
        <v>45467</v>
      </c>
      <c r="D958" s="185">
        <f t="shared" si="311"/>
        <v>2024</v>
      </c>
      <c r="E958" s="215" t="str">
        <f>VLOOKUP($B958,Week!$A$1:$C$1462,2,0)</f>
        <v>Week25</v>
      </c>
      <c r="F958" s="216" t="str">
        <f t="shared" si="312"/>
        <v>Jun</v>
      </c>
      <c r="G958" s="215" t="s">
        <v>1289</v>
      </c>
      <c r="H958" s="215" t="s">
        <v>104</v>
      </c>
      <c r="I958" s="215" t="s">
        <v>2772</v>
      </c>
      <c r="J958" s="209" t="s">
        <v>105</v>
      </c>
      <c r="K958" s="217" t="s">
        <v>107</v>
      </c>
      <c r="L958" s="300" t="s">
        <v>2167</v>
      </c>
      <c r="M958" s="209" t="s">
        <v>108</v>
      </c>
      <c r="N958" s="215" t="s">
        <v>109</v>
      </c>
      <c r="O958" s="215" t="s">
        <v>110</v>
      </c>
      <c r="P958" s="218">
        <v>36</v>
      </c>
      <c r="Q958" s="218">
        <v>5</v>
      </c>
      <c r="R958" s="219">
        <v>7.4999999999999997E-3</v>
      </c>
      <c r="S958" s="215" t="s">
        <v>111</v>
      </c>
      <c r="T958" s="215" t="s">
        <v>112</v>
      </c>
      <c r="U958" s="215" t="s">
        <v>113</v>
      </c>
      <c r="V958" s="220">
        <f>792-390</f>
        <v>402</v>
      </c>
      <c r="W958" s="220">
        <f>792-390</f>
        <v>402</v>
      </c>
      <c r="X958" s="221"/>
      <c r="Y958" s="222">
        <f t="shared" si="317"/>
        <v>0</v>
      </c>
      <c r="Z958" s="223">
        <f t="shared" si="318"/>
        <v>0</v>
      </c>
      <c r="AA958" s="223"/>
      <c r="AB958" s="807"/>
      <c r="AC958" s="220"/>
      <c r="AD958" s="209"/>
      <c r="AE958" s="210"/>
      <c r="AF958" s="210"/>
      <c r="AG958" s="211">
        <f t="shared" si="319"/>
        <v>0.308</v>
      </c>
      <c r="AH958" s="157">
        <f t="shared" si="323"/>
        <v>0</v>
      </c>
      <c r="AI958" s="152">
        <f t="shared" si="320"/>
        <v>14472</v>
      </c>
      <c r="AK958" s="156" t="s">
        <v>691</v>
      </c>
      <c r="AL958" s="574" t="s">
        <v>690</v>
      </c>
      <c r="AM958" s="198">
        <f t="shared" si="324"/>
        <v>0</v>
      </c>
      <c r="AN958" s="199">
        <f t="shared" si="313"/>
        <v>45462</v>
      </c>
      <c r="AO958" s="159" t="s">
        <v>692</v>
      </c>
      <c r="AP958" s="781"/>
      <c r="AQ958" s="782">
        <v>12063755</v>
      </c>
      <c r="AR958" s="782">
        <v>12061353</v>
      </c>
      <c r="AS958" s="782">
        <v>12061354</v>
      </c>
      <c r="AT958" s="782">
        <v>12068566</v>
      </c>
      <c r="AU958" s="781"/>
      <c r="AV958" s="782">
        <v>12088206</v>
      </c>
      <c r="AW958" s="782">
        <v>12088207</v>
      </c>
      <c r="AX958" s="782"/>
      <c r="AY958" s="782">
        <v>12068565</v>
      </c>
      <c r="AZ958" s="782"/>
      <c r="BA958" s="781"/>
    </row>
    <row r="959" spans="1:53" ht="25" hidden="1" customHeight="1">
      <c r="B959" s="213">
        <v>45462</v>
      </c>
      <c r="C959" s="633">
        <v>45468</v>
      </c>
      <c r="D959" s="185">
        <f t="shared" si="311"/>
        <v>2024</v>
      </c>
      <c r="E959" s="215" t="str">
        <f>VLOOKUP($B959,Week!$A$1:$C$1462,2,0)</f>
        <v>Week25</v>
      </c>
      <c r="F959" s="216" t="str">
        <f t="shared" si="312"/>
        <v>Jun</v>
      </c>
      <c r="G959" s="215" t="s">
        <v>1290</v>
      </c>
      <c r="H959" s="215" t="s">
        <v>104</v>
      </c>
      <c r="I959" s="215" t="s">
        <v>2772</v>
      </c>
      <c r="J959" s="209" t="s">
        <v>105</v>
      </c>
      <c r="K959" s="217" t="s">
        <v>107</v>
      </c>
      <c r="L959" s="300" t="s">
        <v>2167</v>
      </c>
      <c r="M959" s="209" t="s">
        <v>108</v>
      </c>
      <c r="N959" s="215" t="s">
        <v>109</v>
      </c>
      <c r="O959" s="215" t="s">
        <v>110</v>
      </c>
      <c r="P959" s="218">
        <v>36</v>
      </c>
      <c r="Q959" s="218">
        <v>5</v>
      </c>
      <c r="R959" s="219">
        <v>7.4999999999999997E-3</v>
      </c>
      <c r="S959" s="215" t="s">
        <v>111</v>
      </c>
      <c r="T959" s="215" t="s">
        <v>112</v>
      </c>
      <c r="U959" s="215" t="s">
        <v>113</v>
      </c>
      <c r="V959" s="220">
        <v>792</v>
      </c>
      <c r="W959" s="220">
        <v>792</v>
      </c>
      <c r="X959" s="221"/>
      <c r="Y959" s="222">
        <f t="shared" si="317"/>
        <v>0</v>
      </c>
      <c r="Z959" s="223">
        <f t="shared" si="318"/>
        <v>0</v>
      </c>
      <c r="AA959" s="223"/>
      <c r="AB959" s="807"/>
      <c r="AC959" s="220"/>
      <c r="AD959" s="209"/>
      <c r="AE959" s="210"/>
      <c r="AF959" s="210"/>
      <c r="AG959" s="211">
        <f t="shared" si="319"/>
        <v>0.308</v>
      </c>
      <c r="AH959" s="157">
        <f t="shared" si="323"/>
        <v>0</v>
      </c>
      <c r="AI959" s="152">
        <f t="shared" si="320"/>
        <v>28512</v>
      </c>
      <c r="AK959" s="156" t="s">
        <v>691</v>
      </c>
      <c r="AL959" s="574" t="s">
        <v>690</v>
      </c>
      <c r="AM959" s="198">
        <f t="shared" si="324"/>
        <v>0</v>
      </c>
      <c r="AN959" s="199">
        <f t="shared" si="313"/>
        <v>45462</v>
      </c>
      <c r="AO959" s="159" t="s">
        <v>692</v>
      </c>
      <c r="AP959" s="781"/>
      <c r="AQ959" s="782">
        <v>12063755</v>
      </c>
      <c r="AR959" s="782">
        <v>12061353</v>
      </c>
      <c r="AS959" s="782">
        <v>12061354</v>
      </c>
      <c r="AT959" s="782">
        <v>12068566</v>
      </c>
      <c r="AU959" s="781"/>
      <c r="AV959" s="782">
        <v>12088206</v>
      </c>
      <c r="AW959" s="782">
        <v>12088207</v>
      </c>
      <c r="AX959" s="782"/>
      <c r="AY959" s="782">
        <v>12068565</v>
      </c>
      <c r="AZ959" s="782"/>
      <c r="BA959" s="781"/>
    </row>
    <row r="960" spans="1:53" ht="25" hidden="1" customHeight="1">
      <c r="B960" s="213">
        <v>45462</v>
      </c>
      <c r="C960" s="633">
        <v>45474</v>
      </c>
      <c r="D960" s="185">
        <f t="shared" si="311"/>
        <v>2024</v>
      </c>
      <c r="E960" s="215" t="str">
        <f>VLOOKUP($B960,Week!$A$1:$C$1462,2,0)</f>
        <v>Week25</v>
      </c>
      <c r="F960" s="216" t="str">
        <f t="shared" si="312"/>
        <v>Jun</v>
      </c>
      <c r="G960" s="215" t="s">
        <v>1291</v>
      </c>
      <c r="H960" s="215" t="s">
        <v>104</v>
      </c>
      <c r="I960" s="215" t="s">
        <v>2772</v>
      </c>
      <c r="J960" s="209" t="s">
        <v>105</v>
      </c>
      <c r="K960" s="217" t="s">
        <v>107</v>
      </c>
      <c r="L960" s="300" t="s">
        <v>2167</v>
      </c>
      <c r="M960" s="209" t="s">
        <v>108</v>
      </c>
      <c r="N960" s="215" t="s">
        <v>109</v>
      </c>
      <c r="O960" s="215" t="s">
        <v>110</v>
      </c>
      <c r="P960" s="218">
        <v>36</v>
      </c>
      <c r="Q960" s="218">
        <v>5</v>
      </c>
      <c r="R960" s="219">
        <v>7.4999999999999997E-3</v>
      </c>
      <c r="S960" s="215" t="s">
        <v>111</v>
      </c>
      <c r="T960" s="215" t="s">
        <v>112</v>
      </c>
      <c r="U960" s="215" t="s">
        <v>113</v>
      </c>
      <c r="V960" s="220">
        <v>792</v>
      </c>
      <c r="W960" s="220">
        <v>792</v>
      </c>
      <c r="X960" s="221"/>
      <c r="Y960" s="222">
        <f t="shared" si="317"/>
        <v>0</v>
      </c>
      <c r="Z960" s="223">
        <f t="shared" si="318"/>
        <v>0</v>
      </c>
      <c r="AA960" s="223"/>
      <c r="AB960" s="807"/>
      <c r="AC960" s="220"/>
      <c r="AD960" s="209"/>
      <c r="AE960" s="210"/>
      <c r="AF960" s="210"/>
      <c r="AG960" s="211">
        <f t="shared" si="319"/>
        <v>0.308</v>
      </c>
      <c r="AH960" s="157">
        <f t="shared" si="323"/>
        <v>0</v>
      </c>
      <c r="AI960" s="152">
        <f t="shared" si="320"/>
        <v>28512</v>
      </c>
      <c r="AK960" s="156" t="s">
        <v>691</v>
      </c>
      <c r="AL960" s="574" t="s">
        <v>690</v>
      </c>
      <c r="AM960" s="198">
        <f t="shared" si="324"/>
        <v>0</v>
      </c>
      <c r="AN960" s="199">
        <f t="shared" si="313"/>
        <v>45462</v>
      </c>
      <c r="AO960" s="159" t="s">
        <v>692</v>
      </c>
      <c r="AP960" s="781"/>
      <c r="AQ960" s="782">
        <v>12063755</v>
      </c>
      <c r="AR960" s="782">
        <v>12061353</v>
      </c>
      <c r="AS960" s="782">
        <v>12061354</v>
      </c>
      <c r="AT960" s="782">
        <v>12068566</v>
      </c>
      <c r="AU960" s="781"/>
      <c r="AV960" s="782">
        <v>12088206</v>
      </c>
      <c r="AW960" s="782">
        <v>12088207</v>
      </c>
      <c r="AX960" s="782"/>
      <c r="AY960" s="782">
        <v>12068565</v>
      </c>
      <c r="AZ960" s="782"/>
      <c r="BA960" s="781"/>
    </row>
    <row r="961" spans="1:53" ht="25" hidden="1" customHeight="1">
      <c r="B961" s="213">
        <v>45462</v>
      </c>
      <c r="C961" s="633">
        <v>45474</v>
      </c>
      <c r="D961" s="185">
        <f t="shared" si="311"/>
        <v>2024</v>
      </c>
      <c r="E961" s="215" t="str">
        <f>VLOOKUP($B961,Week!$A$1:$C$1462,2,0)</f>
        <v>Week25</v>
      </c>
      <c r="F961" s="216" t="str">
        <f t="shared" si="312"/>
        <v>Jun</v>
      </c>
      <c r="G961" s="215" t="s">
        <v>1292</v>
      </c>
      <c r="H961" s="215" t="s">
        <v>104</v>
      </c>
      <c r="I961" s="215" t="s">
        <v>2772</v>
      </c>
      <c r="J961" s="209" t="s">
        <v>105</v>
      </c>
      <c r="K961" s="217" t="s">
        <v>107</v>
      </c>
      <c r="L961" s="300" t="s">
        <v>2167</v>
      </c>
      <c r="M961" s="209" t="s">
        <v>108</v>
      </c>
      <c r="N961" s="215" t="s">
        <v>109</v>
      </c>
      <c r="O961" s="215" t="s">
        <v>110</v>
      </c>
      <c r="P961" s="218">
        <v>36</v>
      </c>
      <c r="Q961" s="218">
        <v>5</v>
      </c>
      <c r="R961" s="219">
        <v>7.4999999999999997E-3</v>
      </c>
      <c r="S961" s="215" t="s">
        <v>111</v>
      </c>
      <c r="T961" s="215" t="s">
        <v>112</v>
      </c>
      <c r="U961" s="215" t="s">
        <v>113</v>
      </c>
      <c r="V961" s="220">
        <v>792</v>
      </c>
      <c r="W961" s="220">
        <v>792</v>
      </c>
      <c r="X961" s="221"/>
      <c r="Y961" s="222">
        <f t="shared" si="317"/>
        <v>0</v>
      </c>
      <c r="Z961" s="223">
        <f t="shared" si="318"/>
        <v>0</v>
      </c>
      <c r="AA961" s="223"/>
      <c r="AB961" s="807"/>
      <c r="AC961" s="220"/>
      <c r="AD961" s="209"/>
      <c r="AE961" s="210"/>
      <c r="AF961" s="210"/>
      <c r="AG961" s="211">
        <f t="shared" si="319"/>
        <v>0.308</v>
      </c>
      <c r="AH961" s="157">
        <f t="shared" si="323"/>
        <v>0</v>
      </c>
      <c r="AI961" s="152">
        <f t="shared" si="320"/>
        <v>28512</v>
      </c>
      <c r="AK961" s="156" t="s">
        <v>691</v>
      </c>
      <c r="AL961" s="574" t="s">
        <v>690</v>
      </c>
      <c r="AM961" s="198">
        <f t="shared" si="324"/>
        <v>0</v>
      </c>
      <c r="AN961" s="199">
        <f t="shared" si="313"/>
        <v>45462</v>
      </c>
      <c r="AO961" s="159" t="s">
        <v>692</v>
      </c>
      <c r="AP961" s="781"/>
      <c r="AQ961" s="782">
        <v>12063755</v>
      </c>
      <c r="AR961" s="782">
        <v>12061353</v>
      </c>
      <c r="AS961" s="782">
        <v>12061354</v>
      </c>
      <c r="AT961" s="782">
        <v>12068566</v>
      </c>
      <c r="AU961" s="781"/>
      <c r="AV961" s="782">
        <v>12088206</v>
      </c>
      <c r="AW961" s="782">
        <v>12088207</v>
      </c>
      <c r="AX961" s="782"/>
      <c r="AY961" s="782">
        <v>12068565</v>
      </c>
      <c r="AZ961" s="782"/>
      <c r="BA961" s="781"/>
    </row>
    <row r="962" spans="1:53" ht="25" hidden="1" customHeight="1">
      <c r="B962" s="213">
        <v>45462</v>
      </c>
      <c r="C962" s="633">
        <v>45474</v>
      </c>
      <c r="D962" s="185">
        <f t="shared" si="311"/>
        <v>2024</v>
      </c>
      <c r="E962" s="215" t="str">
        <f>VLOOKUP($B962,Week!$A$1:$C$1462,2,0)</f>
        <v>Week25</v>
      </c>
      <c r="F962" s="216" t="str">
        <f t="shared" si="312"/>
        <v>Jun</v>
      </c>
      <c r="G962" s="215" t="s">
        <v>1285</v>
      </c>
      <c r="H962" s="215" t="s">
        <v>104</v>
      </c>
      <c r="I962" s="215" t="s">
        <v>2772</v>
      </c>
      <c r="J962" s="209" t="s">
        <v>105</v>
      </c>
      <c r="K962" s="217" t="s">
        <v>107</v>
      </c>
      <c r="L962" s="300" t="s">
        <v>2167</v>
      </c>
      <c r="M962" s="209" t="s">
        <v>108</v>
      </c>
      <c r="N962" s="215" t="s">
        <v>109</v>
      </c>
      <c r="O962" s="215" t="s">
        <v>110</v>
      </c>
      <c r="P962" s="218">
        <v>36</v>
      </c>
      <c r="Q962" s="218">
        <v>5</v>
      </c>
      <c r="R962" s="219">
        <v>7.4999999999999997E-3</v>
      </c>
      <c r="S962" s="215" t="s">
        <v>111</v>
      </c>
      <c r="T962" s="215" t="s">
        <v>112</v>
      </c>
      <c r="U962" s="215" t="s">
        <v>113</v>
      </c>
      <c r="V962" s="220">
        <v>792</v>
      </c>
      <c r="W962" s="220">
        <v>792</v>
      </c>
      <c r="X962" s="221"/>
      <c r="Y962" s="222">
        <f t="shared" si="317"/>
        <v>0</v>
      </c>
      <c r="Z962" s="223">
        <f t="shared" si="318"/>
        <v>0</v>
      </c>
      <c r="AA962" s="223"/>
      <c r="AB962" s="807"/>
      <c r="AC962" s="220"/>
      <c r="AD962" s="209"/>
      <c r="AE962" s="210"/>
      <c r="AF962" s="210"/>
      <c r="AG962" s="211">
        <f t="shared" si="319"/>
        <v>0.308</v>
      </c>
      <c r="AH962" s="157">
        <f t="shared" si="323"/>
        <v>0</v>
      </c>
      <c r="AI962" s="152">
        <f t="shared" si="320"/>
        <v>28512</v>
      </c>
      <c r="AK962" s="156" t="s">
        <v>691</v>
      </c>
      <c r="AL962" s="574" t="s">
        <v>690</v>
      </c>
      <c r="AM962" s="198">
        <f t="shared" si="324"/>
        <v>0</v>
      </c>
      <c r="AN962" s="199">
        <f t="shared" si="313"/>
        <v>45462</v>
      </c>
      <c r="AO962" s="159" t="s">
        <v>692</v>
      </c>
      <c r="AP962" s="781"/>
      <c r="AQ962" s="782">
        <v>12063755</v>
      </c>
      <c r="AR962" s="782">
        <v>12061353</v>
      </c>
      <c r="AS962" s="782">
        <v>12061354</v>
      </c>
      <c r="AT962" s="782">
        <v>12068566</v>
      </c>
      <c r="AU962" s="781"/>
      <c r="AV962" s="782">
        <v>12088206</v>
      </c>
      <c r="AW962" s="782">
        <v>12088207</v>
      </c>
      <c r="AX962" s="782"/>
      <c r="AY962" s="782">
        <v>12068565</v>
      </c>
      <c r="AZ962" s="782"/>
      <c r="BA962" s="781"/>
    </row>
    <row r="963" spans="1:53" ht="25" hidden="1" customHeight="1">
      <c r="B963" s="213">
        <v>45462</v>
      </c>
      <c r="C963" s="633">
        <v>45474</v>
      </c>
      <c r="D963" s="185">
        <f t="shared" si="311"/>
        <v>2024</v>
      </c>
      <c r="E963" s="215" t="str">
        <f>VLOOKUP($B963,Week!$A$1:$C$1462,2,0)</f>
        <v>Week25</v>
      </c>
      <c r="F963" s="216" t="str">
        <f t="shared" si="312"/>
        <v>Jun</v>
      </c>
      <c r="G963" s="215" t="s">
        <v>1327</v>
      </c>
      <c r="H963" s="215" t="s">
        <v>104</v>
      </c>
      <c r="I963" s="215" t="s">
        <v>2772</v>
      </c>
      <c r="J963" s="209" t="s">
        <v>105</v>
      </c>
      <c r="K963" s="217" t="s">
        <v>107</v>
      </c>
      <c r="L963" s="300" t="s">
        <v>2167</v>
      </c>
      <c r="M963" s="209" t="s">
        <v>108</v>
      </c>
      <c r="N963" s="215" t="s">
        <v>109</v>
      </c>
      <c r="O963" s="215" t="s">
        <v>110</v>
      </c>
      <c r="P963" s="218">
        <v>36</v>
      </c>
      <c r="Q963" s="218">
        <v>5</v>
      </c>
      <c r="R963" s="219">
        <v>7.4999999999999997E-3</v>
      </c>
      <c r="S963" s="215" t="s">
        <v>111</v>
      </c>
      <c r="T963" s="215" t="s">
        <v>112</v>
      </c>
      <c r="U963" s="215" t="s">
        <v>113</v>
      </c>
      <c r="V963" s="220">
        <f>4228-402-792-792-792-792</f>
        <v>658</v>
      </c>
      <c r="W963" s="220">
        <f>4228-402-792-792-792-792</f>
        <v>658</v>
      </c>
      <c r="X963" s="221"/>
      <c r="Y963" s="222">
        <f t="shared" si="317"/>
        <v>0</v>
      </c>
      <c r="Z963" s="223">
        <f t="shared" si="318"/>
        <v>0</v>
      </c>
      <c r="AA963" s="223"/>
      <c r="AB963" s="807"/>
      <c r="AC963" s="220"/>
      <c r="AD963" s="209"/>
      <c r="AE963" s="210"/>
      <c r="AF963" s="210"/>
      <c r="AG963" s="211">
        <f t="shared" si="319"/>
        <v>0.308</v>
      </c>
      <c r="AH963" s="157">
        <f t="shared" ref="AH963:AH969" si="325">(Z963*AG963)/1000</f>
        <v>0</v>
      </c>
      <c r="AI963" s="152">
        <f t="shared" si="320"/>
        <v>23688</v>
      </c>
      <c r="AK963" s="156" t="s">
        <v>691</v>
      </c>
      <c r="AL963" s="574" t="s">
        <v>690</v>
      </c>
      <c r="AM963" s="198">
        <f t="shared" ref="AM963:AM969" si="326">AG963*Z963</f>
        <v>0</v>
      </c>
      <c r="AN963" s="199">
        <f t="shared" si="313"/>
        <v>45462</v>
      </c>
      <c r="AO963" s="159" t="s">
        <v>692</v>
      </c>
      <c r="AP963" s="781"/>
      <c r="AQ963" s="782">
        <v>12063755</v>
      </c>
      <c r="AR963" s="782">
        <v>12061353</v>
      </c>
      <c r="AS963" s="782">
        <v>12061354</v>
      </c>
      <c r="AT963" s="782">
        <v>12068566</v>
      </c>
      <c r="AU963" s="781"/>
      <c r="AV963" s="782">
        <v>12088206</v>
      </c>
      <c r="AW963" s="782">
        <v>12088207</v>
      </c>
      <c r="AX963" s="782"/>
      <c r="AY963" s="782">
        <v>12068565</v>
      </c>
      <c r="AZ963" s="782"/>
      <c r="BA963" s="781"/>
    </row>
    <row r="964" spans="1:53" ht="25" hidden="1" customHeight="1">
      <c r="A964" s="142" t="s">
        <v>120</v>
      </c>
      <c r="B964" s="271">
        <v>45462</v>
      </c>
      <c r="C964" s="272">
        <v>45476</v>
      </c>
      <c r="D964" s="185">
        <f t="shared" si="311"/>
        <v>2024</v>
      </c>
      <c r="E964" s="272" t="str">
        <f>VLOOKUP($B964,Week!$A$1:$C$1462,2,0)</f>
        <v>Week25</v>
      </c>
      <c r="F964" s="273" t="str">
        <f t="shared" si="312"/>
        <v>Jun</v>
      </c>
      <c r="G964" s="274" t="s">
        <v>1487</v>
      </c>
      <c r="H964" s="274" t="s">
        <v>500</v>
      </c>
      <c r="I964" s="274" t="s">
        <v>2772</v>
      </c>
      <c r="J964" s="275" t="s">
        <v>285</v>
      </c>
      <c r="K964" s="276" t="s">
        <v>153</v>
      </c>
      <c r="L964" s="390" t="s">
        <v>2166</v>
      </c>
      <c r="M964" s="275" t="s">
        <v>86</v>
      </c>
      <c r="N964" s="274" t="s">
        <v>547</v>
      </c>
      <c r="O964" s="274" t="s">
        <v>548</v>
      </c>
      <c r="P964" s="277">
        <v>10</v>
      </c>
      <c r="Q964" s="277">
        <v>50</v>
      </c>
      <c r="R964" s="278">
        <v>6.8100000000000001E-3</v>
      </c>
      <c r="S964" s="274" t="s">
        <v>76</v>
      </c>
      <c r="T964" s="274" t="s">
        <v>56</v>
      </c>
      <c r="U964" s="274" t="s">
        <v>89</v>
      </c>
      <c r="V964" s="279">
        <f>2056-551-532-537</f>
        <v>436</v>
      </c>
      <c r="W964" s="279">
        <v>436</v>
      </c>
      <c r="X964" s="280"/>
      <c r="Y964" s="281">
        <f t="shared" si="317"/>
        <v>0</v>
      </c>
      <c r="Z964" s="282">
        <f t="shared" si="318"/>
        <v>0</v>
      </c>
      <c r="AA964" s="282">
        <f>Q964*Z964</f>
        <v>0</v>
      </c>
      <c r="AB964" s="812">
        <v>6</v>
      </c>
      <c r="AC964" s="279">
        <f>Z964*AB964</f>
        <v>0</v>
      </c>
      <c r="AD964" s="209"/>
      <c r="AE964" s="210"/>
      <c r="AF964" s="210"/>
      <c r="AG964" s="211">
        <f t="shared" si="319"/>
        <v>0.63</v>
      </c>
      <c r="AH964" s="157">
        <f>(Z964*AG964)/1000</f>
        <v>0</v>
      </c>
      <c r="AI964" s="152">
        <f t="shared" si="320"/>
        <v>4360</v>
      </c>
      <c r="AK964" s="156" t="s">
        <v>691</v>
      </c>
      <c r="AL964" s="156" t="s">
        <v>689</v>
      </c>
      <c r="AM964" s="198">
        <f>AG964*Z964</f>
        <v>0</v>
      </c>
      <c r="AN964" s="199">
        <f t="shared" si="313"/>
        <v>45462</v>
      </c>
      <c r="AO964" s="159" t="s">
        <v>692</v>
      </c>
      <c r="AP964" s="783" t="s">
        <v>620</v>
      </c>
      <c r="AQ964" s="782" t="s">
        <v>549</v>
      </c>
      <c r="AR964" s="782">
        <v>12055234</v>
      </c>
      <c r="AS964" s="781"/>
      <c r="AT964" s="782"/>
      <c r="AU964" s="782"/>
      <c r="AV964" s="782">
        <v>12062809</v>
      </c>
      <c r="AW964" s="782"/>
      <c r="AX964" s="782" t="s">
        <v>619</v>
      </c>
      <c r="AY964" s="781"/>
      <c r="AZ964" s="781"/>
      <c r="BA964" s="781"/>
    </row>
    <row r="965" spans="1:53" ht="25" hidden="1" customHeight="1">
      <c r="B965" s="320">
        <v>45463</v>
      </c>
      <c r="C965" s="321">
        <v>45470</v>
      </c>
      <c r="D965" s="185">
        <f t="shared" ref="D965:D1028" si="327">IF(B965="","",YEAR(B965))</f>
        <v>2024</v>
      </c>
      <c r="E965" s="321" t="str">
        <f>VLOOKUP($B965,Week!$A$1:$C$1462,2,0)</f>
        <v>Week25</v>
      </c>
      <c r="F965" s="322" t="str">
        <f t="shared" ref="F965:F1028" si="328">IF(B965="","",TEXT(B965,"[$-409]mmm"))</f>
        <v>Jun</v>
      </c>
      <c r="G965" s="638" t="s">
        <v>1571</v>
      </c>
      <c r="H965" s="323" t="s">
        <v>518</v>
      </c>
      <c r="I965" s="323" t="s">
        <v>2702</v>
      </c>
      <c r="J965" s="324" t="s">
        <v>70</v>
      </c>
      <c r="K965" s="325" t="s">
        <v>564</v>
      </c>
      <c r="L965" s="300" t="s">
        <v>2167</v>
      </c>
      <c r="M965" s="324" t="s">
        <v>558</v>
      </c>
      <c r="N965" s="323" t="s">
        <v>559</v>
      </c>
      <c r="O965" s="323" t="s">
        <v>560</v>
      </c>
      <c r="P965" s="326">
        <v>12</v>
      </c>
      <c r="Q965" s="326">
        <v>3</v>
      </c>
      <c r="R965" s="327">
        <v>8.0000000000000002E-3</v>
      </c>
      <c r="S965" s="323" t="s">
        <v>40</v>
      </c>
      <c r="T965" s="323" t="s">
        <v>56</v>
      </c>
      <c r="U965" s="323" t="s">
        <v>57</v>
      </c>
      <c r="V965" s="397">
        <v>121</v>
      </c>
      <c r="W965" s="328">
        <f>77+44</f>
        <v>121</v>
      </c>
      <c r="X965" s="329"/>
      <c r="Y965" s="330">
        <f t="shared" si="317"/>
        <v>0</v>
      </c>
      <c r="Z965" s="331">
        <f t="shared" si="318"/>
        <v>0</v>
      </c>
      <c r="AA965" s="331"/>
      <c r="AB965" s="816"/>
      <c r="AC965" s="328"/>
      <c r="AD965" s="209"/>
      <c r="AE965" s="210"/>
      <c r="AF965" s="210"/>
      <c r="AG965" s="211">
        <f t="shared" si="319"/>
        <v>0.22600000000000001</v>
      </c>
      <c r="AH965" s="157">
        <f t="shared" si="325"/>
        <v>0</v>
      </c>
      <c r="AI965" s="152">
        <f t="shared" si="320"/>
        <v>1452</v>
      </c>
      <c r="AK965" s="156" t="s">
        <v>691</v>
      </c>
      <c r="AL965" s="212" t="s">
        <v>690</v>
      </c>
      <c r="AM965" s="198">
        <f t="shared" si="326"/>
        <v>0</v>
      </c>
      <c r="AN965" s="199">
        <f t="shared" ref="AN965:AN1028" si="329">B965</f>
        <v>45463</v>
      </c>
      <c r="AO965" s="159" t="s">
        <v>692</v>
      </c>
      <c r="AP965" s="783" t="s">
        <v>623</v>
      </c>
      <c r="AQ965" s="782">
        <v>12071839</v>
      </c>
      <c r="AR965" s="782">
        <v>12042650</v>
      </c>
      <c r="AS965" s="782">
        <v>12042649</v>
      </c>
      <c r="AT965" s="782"/>
      <c r="AU965" s="781"/>
      <c r="AV965" s="782">
        <v>12083156</v>
      </c>
      <c r="AW965" s="782"/>
      <c r="AX965" s="782"/>
      <c r="AY965" s="782">
        <v>12083147</v>
      </c>
      <c r="AZ965" s="782">
        <v>12083148</v>
      </c>
      <c r="BA965" s="781"/>
    </row>
    <row r="966" spans="1:53" ht="25" hidden="1" customHeight="1">
      <c r="B966" s="320">
        <v>45463</v>
      </c>
      <c r="C966" s="321"/>
      <c r="D966" s="185">
        <f t="shared" si="327"/>
        <v>2024</v>
      </c>
      <c r="E966" s="321" t="str">
        <f>VLOOKUP($B966,Week!$A$1:$C$1462,2,0)</f>
        <v>Week25</v>
      </c>
      <c r="F966" s="322" t="str">
        <f t="shared" si="328"/>
        <v>Jun</v>
      </c>
      <c r="G966" s="638" t="s">
        <v>1572</v>
      </c>
      <c r="H966" s="323" t="s">
        <v>518</v>
      </c>
      <c r="I966" s="323" t="s">
        <v>2702</v>
      </c>
      <c r="J966" s="324" t="s">
        <v>70</v>
      </c>
      <c r="K966" s="325" t="s">
        <v>564</v>
      </c>
      <c r="L966" s="300" t="s">
        <v>2167</v>
      </c>
      <c r="M966" s="324" t="s">
        <v>558</v>
      </c>
      <c r="N966" s="323" t="s">
        <v>559</v>
      </c>
      <c r="O966" s="323" t="s">
        <v>560</v>
      </c>
      <c r="P966" s="326">
        <v>12</v>
      </c>
      <c r="Q966" s="326">
        <v>3</v>
      </c>
      <c r="R966" s="327">
        <v>8.0000000000000002E-3</v>
      </c>
      <c r="S966" s="323" t="s">
        <v>40</v>
      </c>
      <c r="T966" s="323" t="s">
        <v>56</v>
      </c>
      <c r="U966" s="323" t="s">
        <v>57</v>
      </c>
      <c r="V966" s="397">
        <f>612-121</f>
        <v>491</v>
      </c>
      <c r="W966" s="328">
        <f>491</f>
        <v>491</v>
      </c>
      <c r="X966" s="329"/>
      <c r="Y966" s="330">
        <f t="shared" si="317"/>
        <v>0</v>
      </c>
      <c r="Z966" s="331">
        <f t="shared" si="318"/>
        <v>0</v>
      </c>
      <c r="AA966" s="331"/>
      <c r="AB966" s="816"/>
      <c r="AC966" s="328"/>
      <c r="AD966" s="209"/>
      <c r="AE966" s="210"/>
      <c r="AF966" s="210"/>
      <c r="AG966" s="211">
        <f t="shared" si="319"/>
        <v>0.22600000000000001</v>
      </c>
      <c r="AH966" s="157">
        <f t="shared" si="325"/>
        <v>0</v>
      </c>
      <c r="AI966" s="152">
        <f t="shared" si="320"/>
        <v>5892</v>
      </c>
      <c r="AK966" s="156" t="s">
        <v>691</v>
      </c>
      <c r="AL966" s="212" t="s">
        <v>690</v>
      </c>
      <c r="AM966" s="198">
        <f t="shared" si="326"/>
        <v>0</v>
      </c>
      <c r="AN966" s="199">
        <f t="shared" si="329"/>
        <v>45463</v>
      </c>
      <c r="AO966" s="159" t="s">
        <v>692</v>
      </c>
      <c r="AP966" s="783" t="s">
        <v>623</v>
      </c>
      <c r="AQ966" s="782">
        <v>12071839</v>
      </c>
      <c r="AR966" s="782">
        <v>12042650</v>
      </c>
      <c r="AS966" s="782">
        <v>12042649</v>
      </c>
      <c r="AT966" s="782"/>
      <c r="AU966" s="781"/>
      <c r="AV966" s="782">
        <v>12083156</v>
      </c>
      <c r="AW966" s="782"/>
      <c r="AX966" s="782"/>
      <c r="AY966" s="782">
        <v>12083147</v>
      </c>
      <c r="AZ966" s="782">
        <v>12083148</v>
      </c>
      <c r="BA966" s="781"/>
    </row>
    <row r="967" spans="1:53" ht="25" hidden="1" customHeight="1">
      <c r="B967" s="271">
        <v>45463</v>
      </c>
      <c r="C967" s="272"/>
      <c r="D967" s="185">
        <f t="shared" si="327"/>
        <v>2024</v>
      </c>
      <c r="E967" s="272" t="str">
        <f>VLOOKUP($B967,Week!$A$1:$C$1462,2,0)</f>
        <v>Week25</v>
      </c>
      <c r="F967" s="273" t="str">
        <f t="shared" si="328"/>
        <v>Jun</v>
      </c>
      <c r="G967" s="274" t="s">
        <v>1572</v>
      </c>
      <c r="H967" s="274" t="s">
        <v>518</v>
      </c>
      <c r="I967" s="274" t="s">
        <v>2702</v>
      </c>
      <c r="J967" s="275" t="s">
        <v>70</v>
      </c>
      <c r="K967" s="276" t="s">
        <v>556</v>
      </c>
      <c r="L967" s="300" t="s">
        <v>2167</v>
      </c>
      <c r="M967" s="275" t="s">
        <v>520</v>
      </c>
      <c r="N967" s="423" t="s">
        <v>586</v>
      </c>
      <c r="O967" s="274" t="s">
        <v>585</v>
      </c>
      <c r="P967" s="277">
        <v>12</v>
      </c>
      <c r="Q967" s="277">
        <v>5</v>
      </c>
      <c r="R967" s="278">
        <v>6.0000000000000001E-3</v>
      </c>
      <c r="S967" s="274" t="s">
        <v>55</v>
      </c>
      <c r="T967" s="274" t="s">
        <v>56</v>
      </c>
      <c r="U967" s="274" t="s">
        <v>57</v>
      </c>
      <c r="V967" s="279">
        <f>258</f>
        <v>258</v>
      </c>
      <c r="W967" s="279">
        <f>9+249</f>
        <v>258</v>
      </c>
      <c r="X967" s="280"/>
      <c r="Y967" s="281">
        <f t="shared" si="317"/>
        <v>0</v>
      </c>
      <c r="Z967" s="282">
        <f t="shared" si="318"/>
        <v>0</v>
      </c>
      <c r="AA967" s="282"/>
      <c r="AB967" s="812"/>
      <c r="AC967" s="279"/>
      <c r="AD967" s="209"/>
      <c r="AE967" s="210"/>
      <c r="AF967" s="210"/>
      <c r="AG967" s="211">
        <f t="shared" si="319"/>
        <v>0.13500000000000001</v>
      </c>
      <c r="AH967" s="157">
        <f t="shared" si="325"/>
        <v>0</v>
      </c>
      <c r="AI967" s="152">
        <f t="shared" si="320"/>
        <v>3096</v>
      </c>
      <c r="AK967" s="156" t="s">
        <v>691</v>
      </c>
      <c r="AL967" s="212" t="s">
        <v>690</v>
      </c>
      <c r="AM967" s="198">
        <f t="shared" si="326"/>
        <v>0</v>
      </c>
      <c r="AN967" s="199">
        <f t="shared" si="329"/>
        <v>45463</v>
      </c>
      <c r="AO967" s="159" t="s">
        <v>692</v>
      </c>
      <c r="AP967" s="781"/>
      <c r="AQ967" s="782">
        <v>12071839</v>
      </c>
      <c r="AR967" s="782">
        <v>12047514</v>
      </c>
      <c r="AS967" s="782">
        <v>12047515</v>
      </c>
      <c r="AT967" s="782"/>
      <c r="AU967" s="781"/>
      <c r="AV967" s="782">
        <v>12083307</v>
      </c>
      <c r="AW967" s="782"/>
      <c r="AX967" s="782"/>
      <c r="AY967" s="782">
        <v>12083305</v>
      </c>
      <c r="AZ967" s="782">
        <v>12083306</v>
      </c>
      <c r="BA967" s="781"/>
    </row>
    <row r="968" spans="1:53" ht="25" hidden="1" customHeight="1">
      <c r="B968" s="398">
        <v>45463</v>
      </c>
      <c r="C968" s="399">
        <v>45470</v>
      </c>
      <c r="D968" s="185">
        <f t="shared" si="327"/>
        <v>2024</v>
      </c>
      <c r="E968" s="399" t="str">
        <f>VLOOKUP($B968,Week!$A$1:$C$1462,2,0)</f>
        <v>Week25</v>
      </c>
      <c r="F968" s="400" t="str">
        <f t="shared" si="328"/>
        <v>Jun</v>
      </c>
      <c r="G968" s="401" t="s">
        <v>1571</v>
      </c>
      <c r="H968" s="401" t="s">
        <v>518</v>
      </c>
      <c r="I968" s="401" t="s">
        <v>2702</v>
      </c>
      <c r="J968" s="402" t="s">
        <v>70</v>
      </c>
      <c r="K968" s="403" t="s">
        <v>1645</v>
      </c>
      <c r="L968" s="300" t="s">
        <v>2167</v>
      </c>
      <c r="M968" s="402" t="s">
        <v>553</v>
      </c>
      <c r="N968" s="404" t="s">
        <v>557</v>
      </c>
      <c r="O968" s="401" t="s">
        <v>101</v>
      </c>
      <c r="P968" s="405">
        <v>12</v>
      </c>
      <c r="Q968" s="405">
        <v>5</v>
      </c>
      <c r="R968" s="406">
        <v>8.0000000000000002E-3</v>
      </c>
      <c r="S968" s="401" t="s">
        <v>40</v>
      </c>
      <c r="T968" s="401" t="s">
        <v>56</v>
      </c>
      <c r="U968" s="401" t="s">
        <v>499</v>
      </c>
      <c r="V968" s="407">
        <f>650</f>
        <v>650</v>
      </c>
      <c r="W968" s="407">
        <f>650</f>
        <v>650</v>
      </c>
      <c r="X968" s="408"/>
      <c r="Y968" s="409">
        <f t="shared" si="317"/>
        <v>0</v>
      </c>
      <c r="Z968" s="410">
        <f t="shared" si="318"/>
        <v>0</v>
      </c>
      <c r="AA968" s="410"/>
      <c r="AB968" s="824">
        <v>1</v>
      </c>
      <c r="AC968" s="407">
        <f>Z968*AB968</f>
        <v>0</v>
      </c>
      <c r="AD968" s="209"/>
      <c r="AE968" s="210"/>
      <c r="AF968" s="210"/>
      <c r="AG968" s="211">
        <f t="shared" si="319"/>
        <v>0.115</v>
      </c>
      <c r="AH968" s="157">
        <f t="shared" si="325"/>
        <v>0</v>
      </c>
      <c r="AI968" s="152">
        <f t="shared" si="320"/>
        <v>7800</v>
      </c>
      <c r="AK968" s="156" t="s">
        <v>691</v>
      </c>
      <c r="AL968" s="212" t="s">
        <v>690</v>
      </c>
      <c r="AM968" s="198">
        <f t="shared" si="326"/>
        <v>0</v>
      </c>
      <c r="AN968" s="199">
        <f t="shared" si="329"/>
        <v>45463</v>
      </c>
      <c r="AO968" s="159" t="s">
        <v>692</v>
      </c>
      <c r="AP968" s="783" t="s">
        <v>623</v>
      </c>
      <c r="AQ968" s="782">
        <v>12071839</v>
      </c>
      <c r="AR968" s="782">
        <v>12047514</v>
      </c>
      <c r="AS968" s="782">
        <v>12047515</v>
      </c>
      <c r="AT968" s="782"/>
      <c r="AU968" s="781"/>
      <c r="AV968" s="782">
        <v>12072447</v>
      </c>
      <c r="AW968" s="782"/>
      <c r="AX968" s="782"/>
      <c r="AY968" s="782">
        <v>12064574</v>
      </c>
      <c r="AZ968" s="782">
        <v>12064576</v>
      </c>
      <c r="BA968" s="781"/>
    </row>
    <row r="969" spans="1:53" ht="25" hidden="1" customHeight="1">
      <c r="B969" s="398">
        <v>45463</v>
      </c>
      <c r="C969" s="399"/>
      <c r="D969" s="185">
        <f t="shared" si="327"/>
        <v>2024</v>
      </c>
      <c r="E969" s="399" t="str">
        <f>VLOOKUP($B969,Week!$A$1:$C$1462,2,0)</f>
        <v>Week25</v>
      </c>
      <c r="F969" s="400" t="str">
        <f t="shared" si="328"/>
        <v>Jun</v>
      </c>
      <c r="G969" s="401" t="s">
        <v>1572</v>
      </c>
      <c r="H969" s="401" t="s">
        <v>518</v>
      </c>
      <c r="I969" s="401" t="s">
        <v>2702</v>
      </c>
      <c r="J969" s="402" t="s">
        <v>70</v>
      </c>
      <c r="K969" s="403" t="s">
        <v>1645</v>
      </c>
      <c r="L969" s="300" t="s">
        <v>2167</v>
      </c>
      <c r="M969" s="402" t="s">
        <v>553</v>
      </c>
      <c r="N969" s="404" t="s">
        <v>557</v>
      </c>
      <c r="O969" s="401" t="s">
        <v>101</v>
      </c>
      <c r="P969" s="405">
        <v>12</v>
      </c>
      <c r="Q969" s="405">
        <v>5</v>
      </c>
      <c r="R969" s="406">
        <v>8.0000000000000002E-3</v>
      </c>
      <c r="S969" s="401" t="s">
        <v>40</v>
      </c>
      <c r="T969" s="401" t="s">
        <v>56</v>
      </c>
      <c r="U969" s="401" t="s">
        <v>499</v>
      </c>
      <c r="V969" s="407">
        <f>1458-650</f>
        <v>808</v>
      </c>
      <c r="W969" s="407">
        <v>808</v>
      </c>
      <c r="X969" s="408"/>
      <c r="Y969" s="409">
        <f t="shared" si="317"/>
        <v>0</v>
      </c>
      <c r="Z969" s="410">
        <f t="shared" si="318"/>
        <v>0</v>
      </c>
      <c r="AA969" s="410"/>
      <c r="AB969" s="824">
        <v>1</v>
      </c>
      <c r="AC969" s="407">
        <f>Z969*AB969</f>
        <v>0</v>
      </c>
      <c r="AD969" s="209"/>
      <c r="AE969" s="210"/>
      <c r="AF969" s="210"/>
      <c r="AG969" s="211">
        <f t="shared" si="319"/>
        <v>0.115</v>
      </c>
      <c r="AH969" s="157">
        <f t="shared" si="325"/>
        <v>0</v>
      </c>
      <c r="AI969" s="152">
        <f t="shared" si="320"/>
        <v>9696</v>
      </c>
      <c r="AK969" s="156" t="s">
        <v>691</v>
      </c>
      <c r="AL969" s="212" t="s">
        <v>690</v>
      </c>
      <c r="AM969" s="198">
        <f t="shared" si="326"/>
        <v>0</v>
      </c>
      <c r="AN969" s="199">
        <f t="shared" si="329"/>
        <v>45463</v>
      </c>
      <c r="AO969" s="159" t="s">
        <v>692</v>
      </c>
      <c r="AP969" s="783" t="s">
        <v>623</v>
      </c>
      <c r="AQ969" s="782">
        <v>12071839</v>
      </c>
      <c r="AR969" s="782">
        <v>12047514</v>
      </c>
      <c r="AS969" s="782">
        <v>12047515</v>
      </c>
      <c r="AT969" s="782"/>
      <c r="AU969" s="781"/>
      <c r="AV969" s="782">
        <v>12072447</v>
      </c>
      <c r="AW969" s="782"/>
      <c r="AX969" s="782"/>
      <c r="AY969" s="782">
        <v>12064574</v>
      </c>
      <c r="AZ969" s="782">
        <v>12064576</v>
      </c>
      <c r="BA969" s="781"/>
    </row>
    <row r="970" spans="1:53" ht="24.65" hidden="1" customHeight="1">
      <c r="B970" s="246">
        <v>45463</v>
      </c>
      <c r="C970" s="247" t="s">
        <v>1572</v>
      </c>
      <c r="D970" s="185">
        <f t="shared" si="327"/>
        <v>2024</v>
      </c>
      <c r="E970" s="247" t="str">
        <f>VLOOKUP($B970,Week!$A$1:$C$1462,2,0)</f>
        <v>Week25</v>
      </c>
      <c r="F970" s="248" t="str">
        <f t="shared" si="328"/>
        <v>Jun</v>
      </c>
      <c r="G970" s="249" t="s">
        <v>47</v>
      </c>
      <c r="H970" s="249" t="s">
        <v>260</v>
      </c>
      <c r="I970" s="249" t="s">
        <v>2702</v>
      </c>
      <c r="J970" s="250" t="s">
        <v>70</v>
      </c>
      <c r="K970" s="251" t="s">
        <v>1020</v>
      </c>
      <c r="L970" s="300" t="s">
        <v>2167</v>
      </c>
      <c r="M970" s="250" t="s">
        <v>741</v>
      </c>
      <c r="N970" s="249" t="s">
        <v>740</v>
      </c>
      <c r="O970" s="249" t="s">
        <v>742</v>
      </c>
      <c r="P970" s="252">
        <v>24</v>
      </c>
      <c r="Q970" s="252">
        <v>5</v>
      </c>
      <c r="R970" s="249">
        <v>6.1999999999999998E-3</v>
      </c>
      <c r="S970" s="249" t="s">
        <v>352</v>
      </c>
      <c r="T970" s="249" t="s">
        <v>56</v>
      </c>
      <c r="U970" s="249" t="s">
        <v>739</v>
      </c>
      <c r="V970" s="254">
        <f>4918</f>
        <v>4918</v>
      </c>
      <c r="W970" s="254">
        <f>3785-3484+4616</f>
        <v>4917</v>
      </c>
      <c r="X970" s="255">
        <f>(36)/24</f>
        <v>1.5</v>
      </c>
      <c r="Y970" s="256">
        <f t="shared" si="317"/>
        <v>0.5</v>
      </c>
      <c r="Z970" s="257">
        <f t="shared" si="318"/>
        <v>0</v>
      </c>
      <c r="AA970" s="257"/>
      <c r="AB970" s="810"/>
      <c r="AC970" s="254"/>
      <c r="AD970" s="209"/>
      <c r="AE970" s="210"/>
      <c r="AF970" s="210"/>
      <c r="AG970" s="211">
        <f t="shared" si="319"/>
        <v>0.14299999999999999</v>
      </c>
      <c r="AH970" s="157">
        <f t="shared" ref="AH970:AH975" si="330">(Z970*AG970)/1000</f>
        <v>0</v>
      </c>
      <c r="AI970" s="152">
        <f t="shared" si="320"/>
        <v>118032</v>
      </c>
      <c r="AK970" s="156" t="s">
        <v>691</v>
      </c>
      <c r="AL970" s="212" t="s">
        <v>690</v>
      </c>
      <c r="AM970" s="198">
        <f t="shared" ref="AM970:AM975" si="331">AG970*Z970</f>
        <v>0</v>
      </c>
      <c r="AN970" s="199">
        <f t="shared" si="329"/>
        <v>45463</v>
      </c>
      <c r="AO970" s="159" t="s">
        <v>692</v>
      </c>
      <c r="AP970" s="783" t="s">
        <v>609</v>
      </c>
      <c r="AQ970" s="782">
        <v>12071839</v>
      </c>
      <c r="AR970" s="782">
        <v>12047514</v>
      </c>
      <c r="AS970" s="782">
        <v>12047515</v>
      </c>
      <c r="AT970" s="781"/>
      <c r="AU970" s="781"/>
      <c r="AV970" s="782">
        <v>12089668</v>
      </c>
      <c r="AW970" s="781"/>
      <c r="AX970" s="781"/>
      <c r="AY970" s="782">
        <v>12088311</v>
      </c>
      <c r="AZ970" s="782">
        <v>12088315</v>
      </c>
      <c r="BA970" s="781"/>
    </row>
    <row r="971" spans="1:53" ht="25" hidden="1" customHeight="1">
      <c r="A971" s="142" t="s">
        <v>120</v>
      </c>
      <c r="B971" s="466">
        <v>45463</v>
      </c>
      <c r="C971" s="467">
        <v>45478</v>
      </c>
      <c r="D971" s="185">
        <f t="shared" si="327"/>
        <v>2024</v>
      </c>
      <c r="E971" s="468" t="str">
        <f>VLOOKUP($B971,Week!$A$1:$C$1462,2,0)</f>
        <v>Week25</v>
      </c>
      <c r="F971" s="469" t="str">
        <f t="shared" si="328"/>
        <v>Jun</v>
      </c>
      <c r="G971" s="470" t="s">
        <v>1366</v>
      </c>
      <c r="H971" s="468" t="s">
        <v>82</v>
      </c>
      <c r="I971" s="468" t="s">
        <v>82</v>
      </c>
      <c r="J971" s="471" t="s">
        <v>720</v>
      </c>
      <c r="K971" s="472" t="s">
        <v>85</v>
      </c>
      <c r="L971" s="390" t="s">
        <v>2166</v>
      </c>
      <c r="M971" s="471" t="s">
        <v>579</v>
      </c>
      <c r="N971" s="468" t="s">
        <v>580</v>
      </c>
      <c r="O971" s="468" t="s">
        <v>581</v>
      </c>
      <c r="P971" s="473">
        <v>8</v>
      </c>
      <c r="Q971" s="473">
        <v>60</v>
      </c>
      <c r="R971" s="474">
        <v>6.8100000000000001E-3</v>
      </c>
      <c r="S971" s="468" t="s">
        <v>76</v>
      </c>
      <c r="T971" s="468" t="s">
        <v>56</v>
      </c>
      <c r="U971" s="468" t="s">
        <v>89</v>
      </c>
      <c r="V971" s="475">
        <f>605</f>
        <v>605</v>
      </c>
      <c r="W971" s="475">
        <f>574</f>
        <v>574</v>
      </c>
      <c r="X971" s="476">
        <v>31</v>
      </c>
      <c r="Y971" s="477">
        <f t="shared" si="317"/>
        <v>0</v>
      </c>
      <c r="Z971" s="478">
        <f t="shared" si="318"/>
        <v>0</v>
      </c>
      <c r="AA971" s="478">
        <f>Q971*Z971</f>
        <v>0</v>
      </c>
      <c r="AB971" s="828">
        <v>6</v>
      </c>
      <c r="AC971" s="475">
        <f>Z971*AB971</f>
        <v>0</v>
      </c>
      <c r="AD971" s="209"/>
      <c r="AE971" s="210"/>
      <c r="AF971" s="210"/>
      <c r="AG971" s="211">
        <f t="shared" si="319"/>
        <v>0.75</v>
      </c>
      <c r="AH971" s="157">
        <f t="shared" si="330"/>
        <v>0</v>
      </c>
      <c r="AI971" s="152">
        <f t="shared" si="320"/>
        <v>4840</v>
      </c>
      <c r="AK971" s="156" t="s">
        <v>691</v>
      </c>
      <c r="AL971" s="156" t="s">
        <v>689</v>
      </c>
      <c r="AM971" s="198">
        <f t="shared" si="331"/>
        <v>0</v>
      </c>
      <c r="AN971" s="199">
        <f t="shared" si="329"/>
        <v>45463</v>
      </c>
      <c r="AO971" s="159" t="s">
        <v>692</v>
      </c>
      <c r="AP971" s="783" t="s">
        <v>622</v>
      </c>
      <c r="AQ971" s="782">
        <v>12004862</v>
      </c>
      <c r="AR971" s="782">
        <v>12080753</v>
      </c>
      <c r="AS971" s="782"/>
      <c r="AT971" s="782">
        <v>12082897</v>
      </c>
      <c r="AU971" s="781"/>
      <c r="AV971" s="782">
        <v>12082898</v>
      </c>
      <c r="AW971" s="782">
        <v>12082899</v>
      </c>
      <c r="AX971" s="796" t="s">
        <v>621</v>
      </c>
      <c r="AY971" s="782"/>
      <c r="AZ971" s="782"/>
      <c r="BA971" s="781"/>
    </row>
    <row r="972" spans="1:53" ht="25" hidden="1" customHeight="1">
      <c r="A972" s="529" t="s">
        <v>755</v>
      </c>
      <c r="B972" s="357">
        <v>45464</v>
      </c>
      <c r="C972" s="358"/>
      <c r="D972" s="185">
        <f t="shared" si="327"/>
        <v>2024</v>
      </c>
      <c r="E972" s="358" t="str">
        <f>VLOOKUP($B972,Week!$A$1:$C$1462,2,0)</f>
        <v>Week25</v>
      </c>
      <c r="F972" s="360" t="str">
        <f t="shared" si="328"/>
        <v>Jun</v>
      </c>
      <c r="G972" s="359" t="s">
        <v>1572</v>
      </c>
      <c r="H972" s="359" t="s">
        <v>518</v>
      </c>
      <c r="I972" s="359" t="s">
        <v>2702</v>
      </c>
      <c r="J972" s="361" t="s">
        <v>70</v>
      </c>
      <c r="K972" s="362" t="s">
        <v>94</v>
      </c>
      <c r="L972" s="300" t="s">
        <v>2167</v>
      </c>
      <c r="M972" s="361" t="s">
        <v>519</v>
      </c>
      <c r="N972" s="436" t="s">
        <v>648</v>
      </c>
      <c r="O972" s="359" t="s">
        <v>97</v>
      </c>
      <c r="P972" s="363">
        <v>12</v>
      </c>
      <c r="Q972" s="363">
        <v>5</v>
      </c>
      <c r="R972" s="364">
        <v>8.0000000000000002E-3</v>
      </c>
      <c r="S972" s="359" t="s">
        <v>40</v>
      </c>
      <c r="T972" s="359" t="s">
        <v>56</v>
      </c>
      <c r="U972" s="359" t="s">
        <v>57</v>
      </c>
      <c r="V972" s="365">
        <v>12</v>
      </c>
      <c r="W972" s="365">
        <f>144/12</f>
        <v>12</v>
      </c>
      <c r="X972" s="366"/>
      <c r="Y972" s="367">
        <f t="shared" si="317"/>
        <v>0</v>
      </c>
      <c r="Z972" s="368">
        <f t="shared" si="318"/>
        <v>0</v>
      </c>
      <c r="AA972" s="368"/>
      <c r="AB972" s="819"/>
      <c r="AC972" s="365"/>
      <c r="AD972" s="209"/>
      <c r="AE972" s="210"/>
      <c r="AF972" s="210"/>
      <c r="AG972" s="211">
        <f t="shared" si="319"/>
        <v>0.14499999999999999</v>
      </c>
      <c r="AH972" s="157">
        <f t="shared" si="330"/>
        <v>0</v>
      </c>
      <c r="AI972" s="152">
        <f t="shared" si="320"/>
        <v>144</v>
      </c>
      <c r="AK972" s="156" t="s">
        <v>691</v>
      </c>
      <c r="AL972" s="574" t="s">
        <v>690</v>
      </c>
      <c r="AM972" s="198">
        <f t="shared" si="331"/>
        <v>0</v>
      </c>
      <c r="AN972" s="199">
        <f t="shared" si="329"/>
        <v>45464</v>
      </c>
      <c r="AO972" s="159" t="s">
        <v>692</v>
      </c>
      <c r="AP972" s="783" t="s">
        <v>628</v>
      </c>
      <c r="AQ972" s="782">
        <v>12071839</v>
      </c>
      <c r="AR972" s="782">
        <v>12047514</v>
      </c>
      <c r="AS972" s="782">
        <v>12047515</v>
      </c>
      <c r="AT972" s="782"/>
      <c r="AU972" s="781"/>
      <c r="AV972" s="782">
        <v>12080617</v>
      </c>
      <c r="AW972" s="782"/>
      <c r="AX972" s="782"/>
      <c r="AY972" s="782">
        <v>12080618</v>
      </c>
      <c r="AZ972" s="782">
        <v>12080619</v>
      </c>
      <c r="BA972" s="781"/>
    </row>
    <row r="973" spans="1:53" ht="25" hidden="1" customHeight="1">
      <c r="B973" s="357">
        <v>45464</v>
      </c>
      <c r="C973" s="358">
        <v>45470</v>
      </c>
      <c r="D973" s="185">
        <f t="shared" si="327"/>
        <v>2024</v>
      </c>
      <c r="E973" s="358" t="str">
        <f>VLOOKUP($B973,Week!$A$1:$C$1462,2,0)</f>
        <v>Week25</v>
      </c>
      <c r="F973" s="360" t="str">
        <f t="shared" si="328"/>
        <v>Jun</v>
      </c>
      <c r="G973" s="359" t="s">
        <v>1571</v>
      </c>
      <c r="H973" s="359" t="s">
        <v>518</v>
      </c>
      <c r="I973" s="359" t="s">
        <v>2702</v>
      </c>
      <c r="J973" s="361" t="s">
        <v>70</v>
      </c>
      <c r="K973" s="362" t="s">
        <v>94</v>
      </c>
      <c r="L973" s="300" t="s">
        <v>2167</v>
      </c>
      <c r="M973" s="361" t="s">
        <v>519</v>
      </c>
      <c r="N973" s="359" t="s">
        <v>589</v>
      </c>
      <c r="O973" s="359" t="s">
        <v>97</v>
      </c>
      <c r="P973" s="363">
        <v>12</v>
      </c>
      <c r="Q973" s="363">
        <v>5</v>
      </c>
      <c r="R973" s="364">
        <v>8.0000000000000002E-3</v>
      </c>
      <c r="S973" s="359" t="s">
        <v>40</v>
      </c>
      <c r="T973" s="359" t="s">
        <v>56</v>
      </c>
      <c r="U973" s="359" t="s">
        <v>57</v>
      </c>
      <c r="V973" s="365">
        <f>1320</f>
        <v>1320</v>
      </c>
      <c r="W973" s="365">
        <f>20+1300</f>
        <v>1320</v>
      </c>
      <c r="X973" s="366"/>
      <c r="Y973" s="367">
        <f t="shared" si="317"/>
        <v>0</v>
      </c>
      <c r="Z973" s="368">
        <f t="shared" si="318"/>
        <v>0</v>
      </c>
      <c r="AA973" s="368"/>
      <c r="AB973" s="819"/>
      <c r="AC973" s="365"/>
      <c r="AD973" s="209"/>
      <c r="AE973" s="210"/>
      <c r="AF973" s="210"/>
      <c r="AG973" s="211">
        <f t="shared" si="319"/>
        <v>0.14499999999999999</v>
      </c>
      <c r="AH973" s="157">
        <f t="shared" si="330"/>
        <v>0</v>
      </c>
      <c r="AI973" s="152">
        <f t="shared" si="320"/>
        <v>15840</v>
      </c>
      <c r="AK973" s="156" t="s">
        <v>691</v>
      </c>
      <c r="AL973" s="574" t="s">
        <v>690</v>
      </c>
      <c r="AM973" s="198">
        <f t="shared" si="331"/>
        <v>0</v>
      </c>
      <c r="AN973" s="199">
        <f t="shared" si="329"/>
        <v>45464</v>
      </c>
      <c r="AO973" s="159" t="s">
        <v>692</v>
      </c>
      <c r="AP973" s="783" t="s">
        <v>628</v>
      </c>
      <c r="AQ973" s="782">
        <v>12071839</v>
      </c>
      <c r="AR973" s="782">
        <v>12047514</v>
      </c>
      <c r="AS973" s="782">
        <v>12047515</v>
      </c>
      <c r="AT973" s="782"/>
      <c r="AU973" s="781"/>
      <c r="AV973" s="782">
        <v>12080617</v>
      </c>
      <c r="AW973" s="782"/>
      <c r="AX973" s="782"/>
      <c r="AY973" s="782">
        <v>12080618</v>
      </c>
      <c r="AZ973" s="782">
        <v>12080619</v>
      </c>
      <c r="BA973" s="781"/>
    </row>
    <row r="974" spans="1:53" ht="25" hidden="1" customHeight="1">
      <c r="B974" s="357">
        <v>45464</v>
      </c>
      <c r="C974" s="358"/>
      <c r="D974" s="185">
        <f t="shared" si="327"/>
        <v>2024</v>
      </c>
      <c r="E974" s="358" t="str">
        <f>VLOOKUP($B974,Week!$A$1:$C$1462,2,0)</f>
        <v>Week25</v>
      </c>
      <c r="F974" s="360" t="str">
        <f t="shared" si="328"/>
        <v>Jun</v>
      </c>
      <c r="G974" s="359" t="s">
        <v>1572</v>
      </c>
      <c r="H974" s="359" t="s">
        <v>518</v>
      </c>
      <c r="I974" s="359" t="s">
        <v>2702</v>
      </c>
      <c r="J974" s="361" t="s">
        <v>70</v>
      </c>
      <c r="K974" s="362" t="s">
        <v>94</v>
      </c>
      <c r="L974" s="300" t="s">
        <v>2167</v>
      </c>
      <c r="M974" s="361" t="s">
        <v>519</v>
      </c>
      <c r="N974" s="359" t="s">
        <v>589</v>
      </c>
      <c r="O974" s="359" t="s">
        <v>97</v>
      </c>
      <c r="P974" s="363">
        <v>12</v>
      </c>
      <c r="Q974" s="363">
        <v>5</v>
      </c>
      <c r="R974" s="364">
        <v>8.0000000000000002E-3</v>
      </c>
      <c r="S974" s="359" t="s">
        <v>40</v>
      </c>
      <c r="T974" s="359" t="s">
        <v>56</v>
      </c>
      <c r="U974" s="359" t="s">
        <v>57</v>
      </c>
      <c r="V974" s="365">
        <f>4415-1320</f>
        <v>3095</v>
      </c>
      <c r="W974" s="365">
        <f>3095</f>
        <v>3095</v>
      </c>
      <c r="X974" s="366"/>
      <c r="Y974" s="367">
        <f t="shared" si="317"/>
        <v>0</v>
      </c>
      <c r="Z974" s="368">
        <f t="shared" si="318"/>
        <v>0</v>
      </c>
      <c r="AA974" s="368"/>
      <c r="AB974" s="819"/>
      <c r="AC974" s="365"/>
      <c r="AD974" s="209"/>
      <c r="AE974" s="210"/>
      <c r="AF974" s="210"/>
      <c r="AG974" s="211">
        <f t="shared" si="319"/>
        <v>0.14499999999999999</v>
      </c>
      <c r="AH974" s="157">
        <f t="shared" si="330"/>
        <v>0</v>
      </c>
      <c r="AI974" s="152">
        <f t="shared" si="320"/>
        <v>37140</v>
      </c>
      <c r="AK974" s="156" t="s">
        <v>691</v>
      </c>
      <c r="AL974" s="574" t="s">
        <v>690</v>
      </c>
      <c r="AM974" s="198">
        <f t="shared" si="331"/>
        <v>0</v>
      </c>
      <c r="AN974" s="199">
        <f t="shared" si="329"/>
        <v>45464</v>
      </c>
      <c r="AO974" s="159" t="s">
        <v>692</v>
      </c>
      <c r="AP974" s="783" t="s">
        <v>628</v>
      </c>
      <c r="AQ974" s="782">
        <v>12071839</v>
      </c>
      <c r="AR974" s="782">
        <v>12047514</v>
      </c>
      <c r="AS974" s="782">
        <v>12047515</v>
      </c>
      <c r="AT974" s="782"/>
      <c r="AU974" s="781"/>
      <c r="AV974" s="782">
        <v>12080617</v>
      </c>
      <c r="AW974" s="782"/>
      <c r="AX974" s="782"/>
      <c r="AY974" s="782">
        <v>12080618</v>
      </c>
      <c r="AZ974" s="782">
        <v>12080619</v>
      </c>
      <c r="BA974" s="781"/>
    </row>
    <row r="975" spans="1:53" ht="25" hidden="1" customHeight="1">
      <c r="B975" s="424">
        <v>45464</v>
      </c>
      <c r="C975" s="425"/>
      <c r="D975" s="185">
        <f t="shared" si="327"/>
        <v>2024</v>
      </c>
      <c r="E975" s="425" t="str">
        <f>VLOOKUP($B975,Week!$A$1:$C$1462,2,0)</f>
        <v>Week25</v>
      </c>
      <c r="F975" s="426" t="str">
        <f t="shared" si="328"/>
        <v>Jun</v>
      </c>
      <c r="G975" s="427" t="s">
        <v>1572</v>
      </c>
      <c r="H975" s="427" t="s">
        <v>518</v>
      </c>
      <c r="I975" s="427" t="s">
        <v>2702</v>
      </c>
      <c r="J975" s="428" t="s">
        <v>70</v>
      </c>
      <c r="K975" s="429" t="s">
        <v>94</v>
      </c>
      <c r="L975" s="300" t="s">
        <v>2167</v>
      </c>
      <c r="M975" s="428" t="s">
        <v>521</v>
      </c>
      <c r="N975" s="427" t="s">
        <v>587</v>
      </c>
      <c r="O975" s="427" t="s">
        <v>3198</v>
      </c>
      <c r="P975" s="430">
        <v>18</v>
      </c>
      <c r="Q975" s="430">
        <v>5</v>
      </c>
      <c r="R975" s="431">
        <v>8.0000000000000002E-3</v>
      </c>
      <c r="S975" s="427" t="s">
        <v>40</v>
      </c>
      <c r="T975" s="427" t="s">
        <v>56</v>
      </c>
      <c r="U975" s="427" t="s">
        <v>89</v>
      </c>
      <c r="V975" s="432">
        <f>1095</f>
        <v>1095</v>
      </c>
      <c r="W975" s="432">
        <f>989</f>
        <v>989</v>
      </c>
      <c r="X975" s="433">
        <f>(638)/6</f>
        <v>106.33333333333333</v>
      </c>
      <c r="Y975" s="434">
        <f t="shared" si="317"/>
        <v>0.33333333333325754</v>
      </c>
      <c r="Z975" s="435">
        <f t="shared" si="318"/>
        <v>0</v>
      </c>
      <c r="AA975" s="435"/>
      <c r="AB975" s="826">
        <v>1</v>
      </c>
      <c r="AC975" s="432">
        <f>Z975*AB975</f>
        <v>0</v>
      </c>
      <c r="AD975" s="209"/>
      <c r="AE975" s="210"/>
      <c r="AF975" s="210"/>
      <c r="AG975" s="211" t="e">
        <f>(MID(O975,1,3)/1000)/3</f>
        <v>#VALUE!</v>
      </c>
      <c r="AH975" s="157" t="e">
        <f t="shared" si="330"/>
        <v>#VALUE!</v>
      </c>
      <c r="AI975" s="152">
        <f t="shared" si="320"/>
        <v>19710</v>
      </c>
      <c r="AK975" s="156" t="s">
        <v>691</v>
      </c>
      <c r="AL975" s="212" t="s">
        <v>690</v>
      </c>
      <c r="AM975" s="198" t="e">
        <f t="shared" si="331"/>
        <v>#VALUE!</v>
      </c>
      <c r="AN975" s="199">
        <f t="shared" si="329"/>
        <v>45464</v>
      </c>
      <c r="AO975" s="159" t="s">
        <v>692</v>
      </c>
      <c r="AP975" s="783" t="s">
        <v>628</v>
      </c>
      <c r="AQ975" s="782"/>
      <c r="AR975" s="782"/>
      <c r="AS975" s="782"/>
      <c r="AT975" s="782"/>
      <c r="AU975" s="781"/>
      <c r="AV975" s="782">
        <v>12080791</v>
      </c>
      <c r="AW975" s="782" t="s">
        <v>641</v>
      </c>
      <c r="AX975" s="782" t="s">
        <v>533</v>
      </c>
      <c r="AY975" s="782"/>
      <c r="AZ975" s="782"/>
      <c r="BA975" s="781"/>
    </row>
    <row r="976" spans="1:53" ht="24.65" hidden="1" customHeight="1">
      <c r="B976" s="411">
        <v>45464</v>
      </c>
      <c r="C976" s="412" t="s">
        <v>1572</v>
      </c>
      <c r="D976" s="185">
        <f t="shared" si="327"/>
        <v>2024</v>
      </c>
      <c r="E976" s="412" t="str">
        <f>VLOOKUP($B976,Week!$A$1:$C$1462,2,0)</f>
        <v>Week25</v>
      </c>
      <c r="F976" s="413" t="str">
        <f t="shared" si="328"/>
        <v>Jun</v>
      </c>
      <c r="G976" s="414" t="s">
        <v>47</v>
      </c>
      <c r="H976" s="414" t="s">
        <v>260</v>
      </c>
      <c r="I976" s="414" t="s">
        <v>2702</v>
      </c>
      <c r="J976" s="415" t="s">
        <v>261</v>
      </c>
      <c r="K976" s="416" t="s">
        <v>94</v>
      </c>
      <c r="L976" s="300" t="s">
        <v>2167</v>
      </c>
      <c r="M976" s="415" t="s">
        <v>1303</v>
      </c>
      <c r="N976" s="414" t="s">
        <v>263</v>
      </c>
      <c r="O976" s="414" t="s">
        <v>195</v>
      </c>
      <c r="P976" s="417">
        <v>24</v>
      </c>
      <c r="Q976" s="417">
        <v>5</v>
      </c>
      <c r="R976" s="418">
        <v>8.0000000000000002E-3</v>
      </c>
      <c r="S976" s="414" t="s">
        <v>40</v>
      </c>
      <c r="T976" s="414" t="s">
        <v>56</v>
      </c>
      <c r="U976" s="414" t="s">
        <v>57</v>
      </c>
      <c r="V976" s="419">
        <f>3410</f>
        <v>3410</v>
      </c>
      <c r="W976" s="419">
        <f>3410</f>
        <v>3410</v>
      </c>
      <c r="X976" s="420"/>
      <c r="Y976" s="421">
        <f t="shared" si="317"/>
        <v>0</v>
      </c>
      <c r="Z976" s="422">
        <f t="shared" si="318"/>
        <v>0</v>
      </c>
      <c r="AA976" s="422"/>
      <c r="AB976" s="825"/>
      <c r="AC976" s="419"/>
      <c r="AD976" s="209"/>
      <c r="AE976" s="210"/>
      <c r="AF976" s="210"/>
      <c r="AG976" s="211">
        <f t="shared" ref="AG976:AG986" si="332">MID(O976,1,3)/1000</f>
        <v>0.14499999999999999</v>
      </c>
      <c r="AH976" s="157">
        <f t="shared" ref="AH976:AH983" si="333">(Z976*AG976)/1000</f>
        <v>0</v>
      </c>
      <c r="AI976" s="152">
        <f t="shared" si="320"/>
        <v>81840</v>
      </c>
      <c r="AK976" s="156" t="s">
        <v>691</v>
      </c>
      <c r="AL976" s="212" t="s">
        <v>690</v>
      </c>
      <c r="AM976" s="198">
        <f t="shared" ref="AM976:AM981" si="334">AG976*Z976</f>
        <v>0</v>
      </c>
      <c r="AN976" s="199">
        <f t="shared" si="329"/>
        <v>45464</v>
      </c>
      <c r="AO976" s="159" t="s">
        <v>692</v>
      </c>
      <c r="AP976" s="783" t="s">
        <v>609</v>
      </c>
      <c r="AQ976" s="782">
        <v>12071839</v>
      </c>
      <c r="AR976" s="782">
        <v>12047514</v>
      </c>
      <c r="AS976" s="782">
        <v>12047515</v>
      </c>
      <c r="AT976" s="781"/>
      <c r="AU976" s="781"/>
      <c r="AV976" s="782">
        <v>12080613</v>
      </c>
      <c r="AW976" s="781"/>
      <c r="AX976" s="781"/>
      <c r="AY976" s="782">
        <v>12080614</v>
      </c>
      <c r="AZ976" s="782">
        <v>12080616</v>
      </c>
      <c r="BA976" s="781"/>
    </row>
    <row r="977" spans="1:53" ht="24.65" hidden="1" customHeight="1">
      <c r="A977" s="142" t="s">
        <v>120</v>
      </c>
      <c r="B977" s="466">
        <v>45464</v>
      </c>
      <c r="C977" s="467">
        <v>45478</v>
      </c>
      <c r="D977" s="185">
        <f t="shared" si="327"/>
        <v>2024</v>
      </c>
      <c r="E977" s="468" t="str">
        <f>VLOOKUP($B977,Week!$A$1:$C$1462,2,0)</f>
        <v>Week25</v>
      </c>
      <c r="F977" s="469" t="str">
        <f t="shared" si="328"/>
        <v>Jun</v>
      </c>
      <c r="G977" s="470" t="s">
        <v>1366</v>
      </c>
      <c r="H977" s="468" t="s">
        <v>82</v>
      </c>
      <c r="I977" s="468" t="s">
        <v>82</v>
      </c>
      <c r="J977" s="471" t="s">
        <v>720</v>
      </c>
      <c r="K977" s="472" t="s">
        <v>85</v>
      </c>
      <c r="L977" s="390" t="s">
        <v>2166</v>
      </c>
      <c r="M977" s="471" t="s">
        <v>579</v>
      </c>
      <c r="N977" s="468" t="s">
        <v>580</v>
      </c>
      <c r="O977" s="468" t="s">
        <v>581</v>
      </c>
      <c r="P977" s="473">
        <v>8</v>
      </c>
      <c r="Q977" s="473">
        <v>60</v>
      </c>
      <c r="R977" s="474">
        <v>6.8100000000000001E-3</v>
      </c>
      <c r="S977" s="468" t="s">
        <v>76</v>
      </c>
      <c r="T977" s="468" t="s">
        <v>56</v>
      </c>
      <c r="U977" s="468" t="s">
        <v>89</v>
      </c>
      <c r="V977" s="475">
        <v>582</v>
      </c>
      <c r="W977" s="475">
        <v>582</v>
      </c>
      <c r="X977" s="476"/>
      <c r="Y977" s="477">
        <f t="shared" si="317"/>
        <v>0</v>
      </c>
      <c r="Z977" s="478">
        <f t="shared" si="318"/>
        <v>0</v>
      </c>
      <c r="AA977" s="478">
        <f>Q977*Z977</f>
        <v>0</v>
      </c>
      <c r="AB977" s="828">
        <v>6</v>
      </c>
      <c r="AC977" s="475">
        <f>Z977*AB977</f>
        <v>0</v>
      </c>
      <c r="AD977" s="209"/>
      <c r="AE977" s="210"/>
      <c r="AF977" s="210"/>
      <c r="AG977" s="211">
        <f t="shared" si="332"/>
        <v>0.75</v>
      </c>
      <c r="AH977" s="157">
        <f>(Z977*AG977)/1000</f>
        <v>0</v>
      </c>
      <c r="AI977" s="152">
        <f t="shared" si="320"/>
        <v>4656</v>
      </c>
      <c r="AK977" s="156" t="s">
        <v>691</v>
      </c>
      <c r="AL977" s="156" t="s">
        <v>689</v>
      </c>
      <c r="AM977" s="198">
        <f>AG977*Z977</f>
        <v>0</v>
      </c>
      <c r="AN977" s="199">
        <f t="shared" si="329"/>
        <v>45464</v>
      </c>
      <c r="AO977" s="159" t="s">
        <v>692</v>
      </c>
      <c r="AP977" s="783" t="s">
        <v>622</v>
      </c>
      <c r="AQ977" s="782">
        <v>12004862</v>
      </c>
      <c r="AR977" s="782">
        <v>12080753</v>
      </c>
      <c r="AS977" s="782"/>
      <c r="AT977" s="782">
        <v>12082897</v>
      </c>
      <c r="AU977" s="781"/>
      <c r="AV977" s="782">
        <v>12082898</v>
      </c>
      <c r="AW977" s="782">
        <v>12082899</v>
      </c>
      <c r="AX977" s="796" t="s">
        <v>621</v>
      </c>
      <c r="AY977" s="782"/>
      <c r="AZ977" s="782"/>
      <c r="BA977" s="781"/>
    </row>
    <row r="978" spans="1:53" ht="25" hidden="1" customHeight="1">
      <c r="B978" s="213">
        <v>45465</v>
      </c>
      <c r="C978" s="633">
        <v>45474</v>
      </c>
      <c r="D978" s="185">
        <f t="shared" si="327"/>
        <v>2024</v>
      </c>
      <c r="E978" s="215" t="str">
        <f>VLOOKUP($B978,Week!$A$1:$C$1462,2,0)</f>
        <v>Week25</v>
      </c>
      <c r="F978" s="216" t="str">
        <f t="shared" si="328"/>
        <v>Jun</v>
      </c>
      <c r="G978" s="215" t="s">
        <v>1327</v>
      </c>
      <c r="H978" s="215" t="s">
        <v>104</v>
      </c>
      <c r="I978" s="215" t="s">
        <v>2772</v>
      </c>
      <c r="J978" s="209" t="s">
        <v>105</v>
      </c>
      <c r="K978" s="217" t="s">
        <v>107</v>
      </c>
      <c r="L978" s="300" t="s">
        <v>2167</v>
      </c>
      <c r="M978" s="209" t="s">
        <v>108</v>
      </c>
      <c r="N978" s="215" t="s">
        <v>109</v>
      </c>
      <c r="O978" s="215" t="s">
        <v>110</v>
      </c>
      <c r="P978" s="218">
        <v>36</v>
      </c>
      <c r="Q978" s="218">
        <v>5</v>
      </c>
      <c r="R978" s="219">
        <v>7.4999999999999997E-3</v>
      </c>
      <c r="S978" s="215" t="s">
        <v>111</v>
      </c>
      <c r="T978" s="215" t="s">
        <v>112</v>
      </c>
      <c r="U978" s="215" t="s">
        <v>113</v>
      </c>
      <c r="V978" s="220">
        <f>792-658</f>
        <v>134</v>
      </c>
      <c r="W978" s="220">
        <v>134</v>
      </c>
      <c r="X978" s="221"/>
      <c r="Y978" s="222">
        <f t="shared" si="317"/>
        <v>0</v>
      </c>
      <c r="Z978" s="223">
        <f t="shared" si="318"/>
        <v>0</v>
      </c>
      <c r="AA978" s="223"/>
      <c r="AB978" s="807"/>
      <c r="AC978" s="220"/>
      <c r="AD978" s="209"/>
      <c r="AE978" s="210"/>
      <c r="AF978" s="210"/>
      <c r="AG978" s="211">
        <f t="shared" si="332"/>
        <v>0.308</v>
      </c>
      <c r="AH978" s="157">
        <f>(Z978*AG978)/1000</f>
        <v>0</v>
      </c>
      <c r="AI978" s="152">
        <f t="shared" si="320"/>
        <v>4824</v>
      </c>
      <c r="AK978" s="156" t="s">
        <v>691</v>
      </c>
      <c r="AL978" s="574" t="s">
        <v>690</v>
      </c>
      <c r="AM978" s="198">
        <f>AG978*Z978</f>
        <v>0</v>
      </c>
      <c r="AN978" s="199">
        <f t="shared" si="329"/>
        <v>45465</v>
      </c>
      <c r="AO978" s="159" t="s">
        <v>692</v>
      </c>
      <c r="AP978" s="781"/>
      <c r="AQ978" s="782">
        <v>12063755</v>
      </c>
      <c r="AR978" s="782">
        <v>12061353</v>
      </c>
      <c r="AS978" s="782">
        <v>12061354</v>
      </c>
      <c r="AT978" s="782">
        <v>12068566</v>
      </c>
      <c r="AU978" s="781"/>
      <c r="AV978" s="782">
        <v>12088206</v>
      </c>
      <c r="AW978" s="782">
        <v>12088207</v>
      </c>
      <c r="AX978" s="782"/>
      <c r="AY978" s="782">
        <v>12068565</v>
      </c>
      <c r="AZ978" s="782"/>
      <c r="BA978" s="781"/>
    </row>
    <row r="979" spans="1:53" ht="25" hidden="1" customHeight="1">
      <c r="B979" s="213">
        <v>45465</v>
      </c>
      <c r="C979" s="633">
        <v>45474</v>
      </c>
      <c r="D979" s="185">
        <f t="shared" si="327"/>
        <v>2024</v>
      </c>
      <c r="E979" s="215" t="str">
        <f>VLOOKUP($B979,Week!$A$1:$C$1462,2,0)</f>
        <v>Week25</v>
      </c>
      <c r="F979" s="216" t="str">
        <f t="shared" si="328"/>
        <v>Jun</v>
      </c>
      <c r="G979" s="215" t="s">
        <v>1328</v>
      </c>
      <c r="H979" s="215" t="s">
        <v>104</v>
      </c>
      <c r="I979" s="215" t="s">
        <v>2772</v>
      </c>
      <c r="J979" s="209" t="s">
        <v>105</v>
      </c>
      <c r="K979" s="217" t="s">
        <v>107</v>
      </c>
      <c r="L979" s="300" t="s">
        <v>2167</v>
      </c>
      <c r="M979" s="209" t="s">
        <v>108</v>
      </c>
      <c r="N979" s="215" t="s">
        <v>109</v>
      </c>
      <c r="O979" s="215" t="s">
        <v>110</v>
      </c>
      <c r="P979" s="218">
        <v>36</v>
      </c>
      <c r="Q979" s="218">
        <v>5</v>
      </c>
      <c r="R979" s="219">
        <v>7.4999999999999997E-3</v>
      </c>
      <c r="S979" s="215" t="s">
        <v>111</v>
      </c>
      <c r="T979" s="215" t="s">
        <v>112</v>
      </c>
      <c r="U979" s="215" t="s">
        <v>113</v>
      </c>
      <c r="V979" s="220">
        <v>792</v>
      </c>
      <c r="W979" s="220">
        <v>792</v>
      </c>
      <c r="X979" s="221"/>
      <c r="Y979" s="222">
        <f t="shared" si="317"/>
        <v>0</v>
      </c>
      <c r="Z979" s="223">
        <f t="shared" si="318"/>
        <v>0</v>
      </c>
      <c r="AA979" s="223"/>
      <c r="AB979" s="807"/>
      <c r="AC979" s="220"/>
      <c r="AD979" s="209"/>
      <c r="AE979" s="210"/>
      <c r="AF979" s="210"/>
      <c r="AG979" s="211">
        <f t="shared" si="332"/>
        <v>0.308</v>
      </c>
      <c r="AH979" s="157">
        <f>(Z979*AG979)/1000</f>
        <v>0</v>
      </c>
      <c r="AI979" s="152">
        <f t="shared" si="320"/>
        <v>28512</v>
      </c>
      <c r="AK979" s="156" t="s">
        <v>691</v>
      </c>
      <c r="AL979" s="574" t="s">
        <v>690</v>
      </c>
      <c r="AM979" s="198">
        <f>AG979*Z979</f>
        <v>0</v>
      </c>
      <c r="AN979" s="199">
        <f t="shared" si="329"/>
        <v>45465</v>
      </c>
      <c r="AO979" s="159" t="s">
        <v>692</v>
      </c>
      <c r="AP979" s="781"/>
      <c r="AQ979" s="782">
        <v>12063755</v>
      </c>
      <c r="AR979" s="782">
        <v>12061353</v>
      </c>
      <c r="AS979" s="782">
        <v>12061354</v>
      </c>
      <c r="AT979" s="782">
        <v>12068566</v>
      </c>
      <c r="AU979" s="781"/>
      <c r="AV979" s="782">
        <v>12088206</v>
      </c>
      <c r="AW979" s="782">
        <v>12088207</v>
      </c>
      <c r="AX979" s="782"/>
      <c r="AY979" s="782">
        <v>12068565</v>
      </c>
      <c r="AZ979" s="782"/>
      <c r="BA979" s="781"/>
    </row>
    <row r="980" spans="1:53" ht="25" hidden="1" customHeight="1">
      <c r="B980" s="213">
        <v>45465</v>
      </c>
      <c r="C980" s="633">
        <v>45474</v>
      </c>
      <c r="D980" s="185">
        <f t="shared" si="327"/>
        <v>2024</v>
      </c>
      <c r="E980" s="215" t="str">
        <f>VLOOKUP($B980,Week!$A$1:$C$1462,2,0)</f>
        <v>Week25</v>
      </c>
      <c r="F980" s="216" t="str">
        <f t="shared" si="328"/>
        <v>Jun</v>
      </c>
      <c r="G980" s="215" t="s">
        <v>1329</v>
      </c>
      <c r="H980" s="215" t="s">
        <v>104</v>
      </c>
      <c r="I980" s="215" t="s">
        <v>2772</v>
      </c>
      <c r="J980" s="209" t="s">
        <v>105</v>
      </c>
      <c r="K980" s="217" t="s">
        <v>107</v>
      </c>
      <c r="L980" s="300" t="s">
        <v>2167</v>
      </c>
      <c r="M980" s="209" t="s">
        <v>108</v>
      </c>
      <c r="N980" s="215" t="s">
        <v>109</v>
      </c>
      <c r="O980" s="215" t="s">
        <v>110</v>
      </c>
      <c r="P980" s="218">
        <v>36</v>
      </c>
      <c r="Q980" s="218">
        <v>5</v>
      </c>
      <c r="R980" s="219">
        <v>7.4999999999999997E-3</v>
      </c>
      <c r="S980" s="215" t="s">
        <v>111</v>
      </c>
      <c r="T980" s="215" t="s">
        <v>112</v>
      </c>
      <c r="U980" s="215" t="s">
        <v>113</v>
      </c>
      <c r="V980" s="220">
        <v>792</v>
      </c>
      <c r="W980" s="220">
        <v>792</v>
      </c>
      <c r="X980" s="221"/>
      <c r="Y980" s="222">
        <f t="shared" si="317"/>
        <v>0</v>
      </c>
      <c r="Z980" s="223">
        <f t="shared" si="318"/>
        <v>0</v>
      </c>
      <c r="AA980" s="223"/>
      <c r="AB980" s="807"/>
      <c r="AC980" s="220"/>
      <c r="AD980" s="209"/>
      <c r="AE980" s="210"/>
      <c r="AF980" s="210"/>
      <c r="AG980" s="211">
        <f t="shared" si="332"/>
        <v>0.308</v>
      </c>
      <c r="AH980" s="157">
        <f t="shared" si="333"/>
        <v>0</v>
      </c>
      <c r="AI980" s="152">
        <f t="shared" si="320"/>
        <v>28512</v>
      </c>
      <c r="AK980" s="156" t="s">
        <v>691</v>
      </c>
      <c r="AL980" s="574" t="s">
        <v>690</v>
      </c>
      <c r="AM980" s="198">
        <f t="shared" si="334"/>
        <v>0</v>
      </c>
      <c r="AN980" s="199">
        <f t="shared" si="329"/>
        <v>45465</v>
      </c>
      <c r="AO980" s="159" t="s">
        <v>692</v>
      </c>
      <c r="AP980" s="781"/>
      <c r="AQ980" s="782">
        <v>12063755</v>
      </c>
      <c r="AR980" s="782">
        <v>12061353</v>
      </c>
      <c r="AS980" s="782">
        <v>12061354</v>
      </c>
      <c r="AT980" s="782">
        <v>12068566</v>
      </c>
      <c r="AU980" s="781"/>
      <c r="AV980" s="782">
        <v>12088206</v>
      </c>
      <c r="AW980" s="782">
        <v>12088207</v>
      </c>
      <c r="AX980" s="782"/>
      <c r="AY980" s="782">
        <v>12068565</v>
      </c>
      <c r="AZ980" s="782"/>
      <c r="BA980" s="781"/>
    </row>
    <row r="981" spans="1:53" ht="25" hidden="1" customHeight="1">
      <c r="B981" s="213">
        <v>45465</v>
      </c>
      <c r="C981" s="633">
        <v>45474</v>
      </c>
      <c r="D981" s="185">
        <f t="shared" si="327"/>
        <v>2024</v>
      </c>
      <c r="E981" s="215" t="str">
        <f>VLOOKUP($B981,Week!$A$1:$C$1462,2,0)</f>
        <v>Week25</v>
      </c>
      <c r="F981" s="216" t="str">
        <f t="shared" si="328"/>
        <v>Jun</v>
      </c>
      <c r="G981" s="215" t="s">
        <v>1330</v>
      </c>
      <c r="H981" s="215" t="s">
        <v>104</v>
      </c>
      <c r="I981" s="215" t="s">
        <v>2772</v>
      </c>
      <c r="J981" s="209" t="s">
        <v>105</v>
      </c>
      <c r="K981" s="217" t="s">
        <v>107</v>
      </c>
      <c r="L981" s="300" t="s">
        <v>2167</v>
      </c>
      <c r="M981" s="209" t="s">
        <v>108</v>
      </c>
      <c r="N981" s="215" t="s">
        <v>109</v>
      </c>
      <c r="O981" s="215" t="s">
        <v>110</v>
      </c>
      <c r="P981" s="218">
        <v>36</v>
      </c>
      <c r="Q981" s="218">
        <v>5</v>
      </c>
      <c r="R981" s="219">
        <v>7.4999999999999997E-3</v>
      </c>
      <c r="S981" s="215" t="s">
        <v>111</v>
      </c>
      <c r="T981" s="215" t="s">
        <v>112</v>
      </c>
      <c r="U981" s="215" t="s">
        <v>113</v>
      </c>
      <c r="V981" s="220">
        <v>792</v>
      </c>
      <c r="W981" s="220">
        <v>792</v>
      </c>
      <c r="X981" s="221"/>
      <c r="Y981" s="222">
        <f t="shared" si="317"/>
        <v>0</v>
      </c>
      <c r="Z981" s="223">
        <f t="shared" si="318"/>
        <v>0</v>
      </c>
      <c r="AA981" s="223"/>
      <c r="AB981" s="807"/>
      <c r="AC981" s="220"/>
      <c r="AD981" s="209"/>
      <c r="AE981" s="210"/>
      <c r="AF981" s="210"/>
      <c r="AG981" s="211">
        <f t="shared" si="332"/>
        <v>0.308</v>
      </c>
      <c r="AH981" s="157">
        <f t="shared" si="333"/>
        <v>0</v>
      </c>
      <c r="AI981" s="152">
        <f t="shared" si="320"/>
        <v>28512</v>
      </c>
      <c r="AK981" s="156" t="s">
        <v>691</v>
      </c>
      <c r="AL981" s="574" t="s">
        <v>690</v>
      </c>
      <c r="AM981" s="198">
        <f t="shared" si="334"/>
        <v>0</v>
      </c>
      <c r="AN981" s="199">
        <f t="shared" si="329"/>
        <v>45465</v>
      </c>
      <c r="AO981" s="159" t="s">
        <v>692</v>
      </c>
      <c r="AP981" s="781"/>
      <c r="AQ981" s="782">
        <v>12063755</v>
      </c>
      <c r="AR981" s="782">
        <v>12061353</v>
      </c>
      <c r="AS981" s="782">
        <v>12061354</v>
      </c>
      <c r="AT981" s="782">
        <v>12068566</v>
      </c>
      <c r="AU981" s="781"/>
      <c r="AV981" s="782">
        <v>12088206</v>
      </c>
      <c r="AW981" s="782">
        <v>12088207</v>
      </c>
      <c r="AX981" s="782"/>
      <c r="AY981" s="782">
        <v>12068565</v>
      </c>
      <c r="AZ981" s="782"/>
      <c r="BA981" s="781"/>
    </row>
    <row r="982" spans="1:53" ht="25" hidden="1" customHeight="1">
      <c r="B982" s="213">
        <v>45465</v>
      </c>
      <c r="C982" s="633">
        <v>45474</v>
      </c>
      <c r="D982" s="185">
        <f t="shared" si="327"/>
        <v>2024</v>
      </c>
      <c r="E982" s="215" t="str">
        <f>VLOOKUP($B982,Week!$A$1:$C$1462,2,0)</f>
        <v>Week25</v>
      </c>
      <c r="F982" s="216" t="str">
        <f t="shared" si="328"/>
        <v>Jun</v>
      </c>
      <c r="G982" s="215" t="s">
        <v>1331</v>
      </c>
      <c r="H982" s="215" t="s">
        <v>104</v>
      </c>
      <c r="I982" s="215" t="s">
        <v>2772</v>
      </c>
      <c r="J982" s="209" t="s">
        <v>105</v>
      </c>
      <c r="K982" s="217" t="s">
        <v>107</v>
      </c>
      <c r="L982" s="300" t="s">
        <v>2167</v>
      </c>
      <c r="M982" s="209" t="s">
        <v>108</v>
      </c>
      <c r="N982" s="215" t="s">
        <v>109</v>
      </c>
      <c r="O982" s="215" t="s">
        <v>110</v>
      </c>
      <c r="P982" s="218">
        <v>36</v>
      </c>
      <c r="Q982" s="218">
        <v>5</v>
      </c>
      <c r="R982" s="219">
        <v>7.4999999999999997E-3</v>
      </c>
      <c r="S982" s="215" t="s">
        <v>111</v>
      </c>
      <c r="T982" s="215" t="s">
        <v>112</v>
      </c>
      <c r="U982" s="215" t="s">
        <v>113</v>
      </c>
      <c r="V982" s="220">
        <v>792</v>
      </c>
      <c r="W982" s="220">
        <v>792</v>
      </c>
      <c r="X982" s="221"/>
      <c r="Y982" s="222">
        <f t="shared" si="317"/>
        <v>0</v>
      </c>
      <c r="Z982" s="223">
        <f t="shared" si="318"/>
        <v>0</v>
      </c>
      <c r="AA982" s="223"/>
      <c r="AB982" s="807"/>
      <c r="AC982" s="220"/>
      <c r="AD982" s="209"/>
      <c r="AE982" s="210"/>
      <c r="AF982" s="210"/>
      <c r="AG982" s="211">
        <f t="shared" si="332"/>
        <v>0.308</v>
      </c>
      <c r="AH982" s="157">
        <f t="shared" si="333"/>
        <v>0</v>
      </c>
      <c r="AI982" s="152">
        <f t="shared" si="320"/>
        <v>28512</v>
      </c>
      <c r="AK982" s="156" t="s">
        <v>691</v>
      </c>
      <c r="AL982" s="574" t="s">
        <v>690</v>
      </c>
      <c r="AM982" s="198">
        <f t="shared" ref="AM982:AM1004" si="335">AG982*Z982</f>
        <v>0</v>
      </c>
      <c r="AN982" s="199">
        <f t="shared" si="329"/>
        <v>45465</v>
      </c>
      <c r="AO982" s="159" t="s">
        <v>692</v>
      </c>
      <c r="AP982" s="781"/>
      <c r="AQ982" s="782">
        <v>12063755</v>
      </c>
      <c r="AR982" s="782">
        <v>12061353</v>
      </c>
      <c r="AS982" s="782">
        <v>12061354</v>
      </c>
      <c r="AT982" s="782">
        <v>12068566</v>
      </c>
      <c r="AU982" s="781"/>
      <c r="AV982" s="782">
        <v>12088206</v>
      </c>
      <c r="AW982" s="782">
        <v>12088207</v>
      </c>
      <c r="AX982" s="782"/>
      <c r="AY982" s="782">
        <v>12068565</v>
      </c>
      <c r="AZ982" s="782"/>
      <c r="BA982" s="781"/>
    </row>
    <row r="983" spans="1:53" ht="25" hidden="1" customHeight="1">
      <c r="B983" s="213">
        <v>45465</v>
      </c>
      <c r="C983" s="633">
        <v>45478</v>
      </c>
      <c r="D983" s="185">
        <f t="shared" si="327"/>
        <v>2024</v>
      </c>
      <c r="E983" s="215" t="str">
        <f>VLOOKUP($B983,Week!$A$1:$C$1462,2,0)</f>
        <v>Week25</v>
      </c>
      <c r="F983" s="216" t="str">
        <f t="shared" si="328"/>
        <v>Jun</v>
      </c>
      <c r="G983" s="215" t="s">
        <v>1332</v>
      </c>
      <c r="H983" s="215" t="s">
        <v>104</v>
      </c>
      <c r="I983" s="215" t="s">
        <v>2772</v>
      </c>
      <c r="J983" s="209" t="s">
        <v>105</v>
      </c>
      <c r="K983" s="217" t="s">
        <v>107</v>
      </c>
      <c r="L983" s="300" t="s">
        <v>2167</v>
      </c>
      <c r="M983" s="209" t="s">
        <v>108</v>
      </c>
      <c r="N983" s="215" t="s">
        <v>109</v>
      </c>
      <c r="O983" s="215" t="s">
        <v>110</v>
      </c>
      <c r="P983" s="218">
        <v>36</v>
      </c>
      <c r="Q983" s="218">
        <v>5</v>
      </c>
      <c r="R983" s="219">
        <v>7.4999999999999997E-3</v>
      </c>
      <c r="S983" s="215" t="s">
        <v>111</v>
      </c>
      <c r="T983" s="215" t="s">
        <v>112</v>
      </c>
      <c r="U983" s="215" t="s">
        <v>113</v>
      </c>
      <c r="V983" s="220">
        <v>792</v>
      </c>
      <c r="W983" s="220">
        <f>3952-134-792-792-792-792</f>
        <v>650</v>
      </c>
      <c r="X983" s="221">
        <f>5112/36</f>
        <v>142</v>
      </c>
      <c r="Y983" s="222">
        <f t="shared" si="317"/>
        <v>0</v>
      </c>
      <c r="Z983" s="223">
        <f t="shared" si="318"/>
        <v>0</v>
      </c>
      <c r="AA983" s="223"/>
      <c r="AB983" s="807"/>
      <c r="AC983" s="220"/>
      <c r="AD983" s="209"/>
      <c r="AE983" s="210"/>
      <c r="AF983" s="210"/>
      <c r="AG983" s="211">
        <f t="shared" si="332"/>
        <v>0.308</v>
      </c>
      <c r="AH983" s="157">
        <f t="shared" si="333"/>
        <v>0</v>
      </c>
      <c r="AI983" s="152">
        <f t="shared" si="320"/>
        <v>28512</v>
      </c>
      <c r="AK983" s="156" t="s">
        <v>691</v>
      </c>
      <c r="AL983" s="574" t="s">
        <v>690</v>
      </c>
      <c r="AM983" s="198">
        <f t="shared" si="335"/>
        <v>0</v>
      </c>
      <c r="AN983" s="199">
        <f t="shared" si="329"/>
        <v>45465</v>
      </c>
      <c r="AO983" s="159" t="s">
        <v>692</v>
      </c>
      <c r="AP983" s="781"/>
      <c r="AQ983" s="782">
        <v>12063755</v>
      </c>
      <c r="AR983" s="782">
        <v>12061353</v>
      </c>
      <c r="AS983" s="782">
        <v>12061354</v>
      </c>
      <c r="AT983" s="782">
        <v>12068566</v>
      </c>
      <c r="AU983" s="781"/>
      <c r="AV983" s="782">
        <v>12088206</v>
      </c>
      <c r="AW983" s="782">
        <v>12088207</v>
      </c>
      <c r="AX983" s="782"/>
      <c r="AY983" s="782">
        <v>12068565</v>
      </c>
      <c r="AZ983" s="782"/>
      <c r="BA983" s="781"/>
    </row>
    <row r="984" spans="1:53" ht="25" hidden="1" customHeight="1">
      <c r="B984" s="213">
        <v>45465</v>
      </c>
      <c r="C984" s="633">
        <v>45478</v>
      </c>
      <c r="D984" s="185">
        <f t="shared" si="327"/>
        <v>2024</v>
      </c>
      <c r="E984" s="215" t="str">
        <f>VLOOKUP($B984,Week!$A$1:$C$1462,2,0)</f>
        <v>Week25</v>
      </c>
      <c r="F984" s="216" t="str">
        <f t="shared" si="328"/>
        <v>Jun</v>
      </c>
      <c r="G984" s="215" t="s">
        <v>1333</v>
      </c>
      <c r="H984" s="215" t="s">
        <v>104</v>
      </c>
      <c r="I984" s="215" t="s">
        <v>2772</v>
      </c>
      <c r="J984" s="209" t="s">
        <v>105</v>
      </c>
      <c r="K984" s="217" t="s">
        <v>107</v>
      </c>
      <c r="L984" s="300" t="s">
        <v>2167</v>
      </c>
      <c r="M984" s="209" t="s">
        <v>108</v>
      </c>
      <c r="N984" s="215" t="s">
        <v>109</v>
      </c>
      <c r="O984" s="215" t="s">
        <v>110</v>
      </c>
      <c r="P984" s="218">
        <v>36</v>
      </c>
      <c r="Q984" s="218">
        <v>5</v>
      </c>
      <c r="R984" s="219">
        <v>7.4999999999999997E-3</v>
      </c>
      <c r="S984" s="215" t="s">
        <v>111</v>
      </c>
      <c r="T984" s="215" t="s">
        <v>112</v>
      </c>
      <c r="U984" s="215" t="s">
        <v>113</v>
      </c>
      <c r="V984" s="220">
        <v>219</v>
      </c>
      <c r="W984" s="220"/>
      <c r="X984" s="221">
        <f>(13008-5112)/36</f>
        <v>219.33333333333334</v>
      </c>
      <c r="Y984" s="222">
        <f t="shared" si="317"/>
        <v>0.33333333333334281</v>
      </c>
      <c r="Z984" s="223">
        <f t="shared" si="318"/>
        <v>0</v>
      </c>
      <c r="AA984" s="223"/>
      <c r="AB984" s="807"/>
      <c r="AC984" s="220"/>
      <c r="AD984" s="209"/>
      <c r="AE984" s="210"/>
      <c r="AF984" s="210"/>
      <c r="AG984" s="211">
        <f t="shared" si="332"/>
        <v>0.308</v>
      </c>
      <c r="AH984" s="157">
        <f>(Z984*AG984)/1000</f>
        <v>0</v>
      </c>
      <c r="AI984" s="152">
        <f t="shared" si="320"/>
        <v>7884</v>
      </c>
      <c r="AK984" s="156" t="s">
        <v>691</v>
      </c>
      <c r="AL984" s="574" t="s">
        <v>690</v>
      </c>
      <c r="AM984" s="198">
        <f t="shared" si="335"/>
        <v>0</v>
      </c>
      <c r="AN984" s="199">
        <f t="shared" si="329"/>
        <v>45465</v>
      </c>
      <c r="AO984" s="159" t="s">
        <v>692</v>
      </c>
      <c r="AP984" s="781"/>
      <c r="AQ984" s="782">
        <v>12063755</v>
      </c>
      <c r="AR984" s="782">
        <v>12061353</v>
      </c>
      <c r="AS984" s="782">
        <v>12061354</v>
      </c>
      <c r="AT984" s="782">
        <v>12068566</v>
      </c>
      <c r="AU984" s="781"/>
      <c r="AV984" s="782">
        <v>12088206</v>
      </c>
      <c r="AW984" s="782">
        <v>12088207</v>
      </c>
      <c r="AX984" s="782"/>
      <c r="AY984" s="782">
        <v>12068565</v>
      </c>
      <c r="AZ984" s="782"/>
      <c r="BA984" s="781"/>
    </row>
    <row r="985" spans="1:53" ht="25" hidden="1" customHeight="1">
      <c r="A985" s="142" t="s">
        <v>120</v>
      </c>
      <c r="B985" s="466">
        <v>45465</v>
      </c>
      <c r="C985" s="467">
        <v>45478</v>
      </c>
      <c r="D985" s="185">
        <f t="shared" si="327"/>
        <v>2024</v>
      </c>
      <c r="E985" s="468" t="str">
        <f>VLOOKUP($B985,Week!$A$1:$C$1462,2,0)</f>
        <v>Week25</v>
      </c>
      <c r="F985" s="469" t="str">
        <f t="shared" si="328"/>
        <v>Jun</v>
      </c>
      <c r="G985" s="470" t="s">
        <v>1366</v>
      </c>
      <c r="H985" s="468" t="s">
        <v>82</v>
      </c>
      <c r="I985" s="468" t="s">
        <v>82</v>
      </c>
      <c r="J985" s="471" t="s">
        <v>720</v>
      </c>
      <c r="K985" s="472" t="s">
        <v>85</v>
      </c>
      <c r="L985" s="390" t="s">
        <v>2166</v>
      </c>
      <c r="M985" s="471" t="s">
        <v>579</v>
      </c>
      <c r="N985" s="468" t="s">
        <v>580</v>
      </c>
      <c r="O985" s="468" t="s">
        <v>581</v>
      </c>
      <c r="P985" s="473">
        <v>8</v>
      </c>
      <c r="Q985" s="473">
        <v>60</v>
      </c>
      <c r="R985" s="474">
        <v>6.8100000000000001E-3</v>
      </c>
      <c r="S985" s="468" t="s">
        <v>76</v>
      </c>
      <c r="T985" s="468" t="s">
        <v>56</v>
      </c>
      <c r="U985" s="468" t="s">
        <v>89</v>
      </c>
      <c r="V985" s="475">
        <f>1408-605-582</f>
        <v>221</v>
      </c>
      <c r="W985" s="475">
        <f>221</f>
        <v>221</v>
      </c>
      <c r="X985" s="476"/>
      <c r="Y985" s="477">
        <f t="shared" si="317"/>
        <v>0</v>
      </c>
      <c r="Z985" s="478">
        <f t="shared" si="318"/>
        <v>0</v>
      </c>
      <c r="AA985" s="478">
        <f>Q985*Z985</f>
        <v>0</v>
      </c>
      <c r="AB985" s="828">
        <v>6</v>
      </c>
      <c r="AC985" s="475">
        <f>Z985*AB985</f>
        <v>0</v>
      </c>
      <c r="AD985" s="209"/>
      <c r="AE985" s="210"/>
      <c r="AF985" s="210"/>
      <c r="AG985" s="211">
        <f t="shared" si="332"/>
        <v>0.75</v>
      </c>
      <c r="AH985" s="157">
        <f>(Z985*AG985)/1000</f>
        <v>0</v>
      </c>
      <c r="AI985" s="152">
        <f t="shared" si="320"/>
        <v>1768</v>
      </c>
      <c r="AK985" s="156" t="s">
        <v>691</v>
      </c>
      <c r="AL985" s="156" t="s">
        <v>689</v>
      </c>
      <c r="AM985" s="198">
        <f t="shared" si="335"/>
        <v>0</v>
      </c>
      <c r="AN985" s="199">
        <f t="shared" si="329"/>
        <v>45465</v>
      </c>
      <c r="AO985" s="159" t="s">
        <v>692</v>
      </c>
      <c r="AP985" s="783" t="s">
        <v>622</v>
      </c>
      <c r="AQ985" s="782">
        <v>12004862</v>
      </c>
      <c r="AR985" s="782">
        <v>12080753</v>
      </c>
      <c r="AS985" s="782"/>
      <c r="AT985" s="782">
        <v>12082897</v>
      </c>
      <c r="AU985" s="781"/>
      <c r="AV985" s="782">
        <v>12082898</v>
      </c>
      <c r="AW985" s="782">
        <v>12082899</v>
      </c>
      <c r="AX985" s="796" t="s">
        <v>621</v>
      </c>
      <c r="AY985" s="782"/>
      <c r="AZ985" s="782"/>
      <c r="BA985" s="781"/>
    </row>
    <row r="986" spans="1:53" ht="25" hidden="1" customHeight="1">
      <c r="A986" s="142" t="s">
        <v>120</v>
      </c>
      <c r="B986" s="466">
        <v>45465</v>
      </c>
      <c r="C986" s="467">
        <v>45478</v>
      </c>
      <c r="D986" s="185">
        <f t="shared" si="327"/>
        <v>2024</v>
      </c>
      <c r="E986" s="468" t="str">
        <f>VLOOKUP($B986,Week!$A$1:$C$1462,2,0)</f>
        <v>Week25</v>
      </c>
      <c r="F986" s="469" t="str">
        <f t="shared" si="328"/>
        <v>Jun</v>
      </c>
      <c r="G986" s="470" t="s">
        <v>1367</v>
      </c>
      <c r="H986" s="468" t="s">
        <v>82</v>
      </c>
      <c r="I986" s="468" t="s">
        <v>82</v>
      </c>
      <c r="J986" s="471" t="s">
        <v>720</v>
      </c>
      <c r="K986" s="472" t="s">
        <v>85</v>
      </c>
      <c r="L986" s="390" t="s">
        <v>2166</v>
      </c>
      <c r="M986" s="471" t="s">
        <v>579</v>
      </c>
      <c r="N986" s="468" t="s">
        <v>580</v>
      </c>
      <c r="O986" s="468" t="s">
        <v>581</v>
      </c>
      <c r="P986" s="473">
        <v>8</v>
      </c>
      <c r="Q986" s="473">
        <v>60</v>
      </c>
      <c r="R986" s="474">
        <v>6.8100000000000001E-3</v>
      </c>
      <c r="S986" s="468" t="s">
        <v>76</v>
      </c>
      <c r="T986" s="468" t="s">
        <v>56</v>
      </c>
      <c r="U986" s="468" t="s">
        <v>89</v>
      </c>
      <c r="V986" s="475">
        <v>367</v>
      </c>
      <c r="W986" s="475">
        <v>367</v>
      </c>
      <c r="X986" s="476"/>
      <c r="Y986" s="477">
        <f t="shared" si="317"/>
        <v>0</v>
      </c>
      <c r="Z986" s="478">
        <f t="shared" si="318"/>
        <v>0</v>
      </c>
      <c r="AA986" s="478">
        <f>Q986*Z986</f>
        <v>0</v>
      </c>
      <c r="AB986" s="828">
        <v>6</v>
      </c>
      <c r="AC986" s="475">
        <f>Z986*AB986</f>
        <v>0</v>
      </c>
      <c r="AD986" s="209"/>
      <c r="AE986" s="210"/>
      <c r="AF986" s="210"/>
      <c r="AG986" s="211">
        <f t="shared" si="332"/>
        <v>0.75</v>
      </c>
      <c r="AH986" s="157">
        <f>(Z986*AG986)/1000</f>
        <v>0</v>
      </c>
      <c r="AI986" s="152">
        <f t="shared" si="320"/>
        <v>2936</v>
      </c>
      <c r="AK986" s="156" t="s">
        <v>691</v>
      </c>
      <c r="AL986" s="156" t="s">
        <v>689</v>
      </c>
      <c r="AM986" s="198">
        <f t="shared" si="335"/>
        <v>0</v>
      </c>
      <c r="AN986" s="199">
        <f t="shared" si="329"/>
        <v>45465</v>
      </c>
      <c r="AO986" s="159" t="s">
        <v>692</v>
      </c>
      <c r="AP986" s="783" t="s">
        <v>622</v>
      </c>
      <c r="AQ986" s="782">
        <v>12004862</v>
      </c>
      <c r="AR986" s="782">
        <v>12080753</v>
      </c>
      <c r="AS986" s="782"/>
      <c r="AT986" s="782">
        <v>12082897</v>
      </c>
      <c r="AU986" s="781"/>
      <c r="AV986" s="782">
        <v>12082898</v>
      </c>
      <c r="AW986" s="782">
        <v>12082899</v>
      </c>
      <c r="AX986" s="796" t="s">
        <v>621</v>
      </c>
      <c r="AY986" s="782"/>
      <c r="AZ986" s="782"/>
      <c r="BA986" s="781"/>
    </row>
    <row r="987" spans="1:53" ht="24.65" hidden="1" customHeight="1">
      <c r="B987" s="183">
        <v>45466</v>
      </c>
      <c r="C987" s="184"/>
      <c r="D987" s="185">
        <f t="shared" si="327"/>
        <v>2024</v>
      </c>
      <c r="E987" s="185" t="str">
        <f>VLOOKUP($B987,Week!$A$1:$C$1462,2,0)</f>
        <v>Week25</v>
      </c>
      <c r="F987" s="186" t="str">
        <f t="shared" si="328"/>
        <v>Jun</v>
      </c>
      <c r="G987" s="185"/>
      <c r="H987" s="185"/>
      <c r="I987" s="185"/>
      <c r="J987" s="187"/>
      <c r="K987" s="188"/>
      <c r="L987" s="300"/>
      <c r="M987" s="187"/>
      <c r="N987" s="185"/>
      <c r="O987" s="185"/>
      <c r="P987" s="189"/>
      <c r="Q987" s="189"/>
      <c r="R987" s="190"/>
      <c r="S987" s="185"/>
      <c r="T987" s="185"/>
      <c r="U987" s="185"/>
      <c r="V987" s="191"/>
      <c r="W987" s="191"/>
      <c r="X987" s="192"/>
      <c r="Y987" s="193"/>
      <c r="Z987" s="194"/>
      <c r="AA987" s="194"/>
      <c r="AB987" s="805"/>
      <c r="AC987" s="191"/>
      <c r="AD987" s="187"/>
      <c r="AE987" s="195"/>
      <c r="AF987" s="195"/>
      <c r="AG987" s="196"/>
      <c r="AH987" s="197"/>
      <c r="AK987" s="156" t="s">
        <v>691</v>
      </c>
      <c r="AM987" s="198">
        <f t="shared" si="335"/>
        <v>0</v>
      </c>
      <c r="AN987" s="199">
        <f t="shared" si="329"/>
        <v>45466</v>
      </c>
      <c r="AO987" s="159" t="s">
        <v>692</v>
      </c>
      <c r="AP987" s="781"/>
      <c r="AQ987" s="782"/>
      <c r="AR987" s="782"/>
      <c r="AS987" s="782"/>
      <c r="AT987" s="782"/>
      <c r="AU987" s="781"/>
      <c r="AV987" s="782"/>
      <c r="AW987" s="782"/>
      <c r="AX987" s="782"/>
      <c r="AY987" s="782"/>
      <c r="AZ987" s="782"/>
      <c r="BA987" s="781"/>
    </row>
    <row r="988" spans="1:53" ht="24.75" hidden="1" customHeight="1">
      <c r="A988" s="529" t="s">
        <v>1478</v>
      </c>
      <c r="B988" s="295">
        <v>45467</v>
      </c>
      <c r="C988" s="296" t="s">
        <v>1572</v>
      </c>
      <c r="D988" s="185">
        <f t="shared" si="327"/>
        <v>2024</v>
      </c>
      <c r="E988" s="296" t="str">
        <f>VLOOKUP($B988,Week!$A$1:$C$1462,2,0)</f>
        <v>Week26</v>
      </c>
      <c r="F988" s="297" t="str">
        <f t="shared" si="328"/>
        <v>Jun</v>
      </c>
      <c r="G988" s="298" t="s">
        <v>47</v>
      </c>
      <c r="H988" s="298" t="s">
        <v>260</v>
      </c>
      <c r="I988" s="298" t="s">
        <v>2702</v>
      </c>
      <c r="J988" s="307" t="s">
        <v>904</v>
      </c>
      <c r="K988" s="300" t="s">
        <v>176</v>
      </c>
      <c r="L988" s="300" t="s">
        <v>2167</v>
      </c>
      <c r="M988" s="299" t="s">
        <v>262</v>
      </c>
      <c r="N988" s="298" t="s">
        <v>350</v>
      </c>
      <c r="O988" s="298" t="s">
        <v>351</v>
      </c>
      <c r="P988" s="301">
        <v>24</v>
      </c>
      <c r="Q988" s="301">
        <v>5</v>
      </c>
      <c r="R988" s="302">
        <v>6.1999999999999998E-3</v>
      </c>
      <c r="S988" s="298" t="s">
        <v>352</v>
      </c>
      <c r="T988" s="298" t="s">
        <v>56</v>
      </c>
      <c r="U988" s="298" t="s">
        <v>57</v>
      </c>
      <c r="V988" s="303">
        <v>3777</v>
      </c>
      <c r="W988" s="303">
        <v>3777</v>
      </c>
      <c r="X988" s="304"/>
      <c r="Y988" s="305">
        <f t="shared" ref="Y988:Y1014" si="336">(W988+X988)-V988</f>
        <v>0</v>
      </c>
      <c r="Z988" s="306">
        <f t="shared" ref="Z988:Z1014" si="337">IF(Y988&lt;0,((V988*P988)-((W988+X988)*P988)),0)</f>
        <v>0</v>
      </c>
      <c r="AA988" s="306"/>
      <c r="AB988" s="814"/>
      <c r="AC988" s="303"/>
      <c r="AD988" s="486"/>
      <c r="AE988" s="210"/>
      <c r="AF988" s="210"/>
      <c r="AG988" s="211">
        <f>MID(O988,1,3)/1000</f>
        <v>0.13</v>
      </c>
      <c r="AH988" s="157">
        <f>(Z988*AG988)/1000</f>
        <v>0</v>
      </c>
      <c r="AI988" s="152">
        <f>V988*P988</f>
        <v>90648</v>
      </c>
      <c r="AK988" s="156" t="s">
        <v>691</v>
      </c>
      <c r="AL988" s="574" t="s">
        <v>690</v>
      </c>
      <c r="AM988" s="198">
        <f t="shared" si="335"/>
        <v>0</v>
      </c>
      <c r="AN988" s="199">
        <f t="shared" si="329"/>
        <v>45467</v>
      </c>
      <c r="AO988" s="159" t="s">
        <v>692</v>
      </c>
      <c r="AP988" s="783" t="s">
        <v>629</v>
      </c>
      <c r="AQ988" s="782">
        <v>12071839</v>
      </c>
      <c r="AR988" s="782">
        <v>12078867</v>
      </c>
      <c r="AS988" s="782">
        <v>12068233</v>
      </c>
      <c r="AT988" s="781"/>
      <c r="AU988" s="781"/>
      <c r="AV988" s="782">
        <v>12062075</v>
      </c>
      <c r="AW988" s="781"/>
      <c r="AX988" s="781"/>
      <c r="AY988" s="782">
        <v>12078867</v>
      </c>
      <c r="AZ988" s="781"/>
      <c r="BA988" s="781"/>
    </row>
    <row r="989" spans="1:53" ht="24.65" hidden="1" customHeight="1">
      <c r="B989" s="283">
        <v>45467</v>
      </c>
      <c r="C989" s="284">
        <v>45495</v>
      </c>
      <c r="D989" s="185">
        <f t="shared" si="327"/>
        <v>2024</v>
      </c>
      <c r="E989" s="284" t="str">
        <f>VLOOKUP($B989,Week!$A$1:$C$1462,2,0)</f>
        <v>Week26</v>
      </c>
      <c r="F989" s="285" t="str">
        <f t="shared" si="328"/>
        <v>Jun</v>
      </c>
      <c r="G989" s="631" t="s">
        <v>1326</v>
      </c>
      <c r="H989" s="624" t="s">
        <v>104</v>
      </c>
      <c r="I989" s="624" t="s">
        <v>2772</v>
      </c>
      <c r="J989" s="625" t="s">
        <v>105</v>
      </c>
      <c r="K989" s="288" t="s">
        <v>51</v>
      </c>
      <c r="L989" s="300" t="s">
        <v>2167</v>
      </c>
      <c r="M989" s="287" t="s">
        <v>595</v>
      </c>
      <c r="N989" s="286" t="s">
        <v>597</v>
      </c>
      <c r="O989" s="286" t="s">
        <v>187</v>
      </c>
      <c r="P989" s="289">
        <v>8</v>
      </c>
      <c r="Q989" s="289">
        <v>5</v>
      </c>
      <c r="R989" s="290">
        <v>6.0000000000000001E-3</v>
      </c>
      <c r="S989" s="286" t="s">
        <v>55</v>
      </c>
      <c r="T989" s="286" t="s">
        <v>112</v>
      </c>
      <c r="U989" s="286" t="s">
        <v>57</v>
      </c>
      <c r="V989" s="291">
        <f>1400</f>
        <v>1400</v>
      </c>
      <c r="W989" s="291"/>
      <c r="X989" s="292">
        <f>(1829+9371)/8</f>
        <v>1400</v>
      </c>
      <c r="Y989" s="293">
        <f t="shared" si="336"/>
        <v>0</v>
      </c>
      <c r="Z989" s="294">
        <f t="shared" si="337"/>
        <v>0</v>
      </c>
      <c r="AA989" s="294"/>
      <c r="AB989" s="813"/>
      <c r="AC989" s="291"/>
      <c r="AD989" s="486"/>
      <c r="AE989" s="210"/>
      <c r="AF989" s="210"/>
      <c r="AG989" s="211">
        <v>0.14499999999999999</v>
      </c>
      <c r="AH989" s="157">
        <f t="shared" ref="AH989:AH995" si="338">(Z989*AG989)/1000</f>
        <v>0</v>
      </c>
      <c r="AI989" s="152">
        <v>19800</v>
      </c>
      <c r="AK989" s="156" t="s">
        <v>691</v>
      </c>
      <c r="AL989" s="212" t="s">
        <v>690</v>
      </c>
      <c r="AM989" s="198">
        <f t="shared" si="335"/>
        <v>0</v>
      </c>
      <c r="AN989" s="199">
        <f t="shared" si="329"/>
        <v>45467</v>
      </c>
      <c r="AO989" s="159" t="s">
        <v>692</v>
      </c>
      <c r="AP989" s="781"/>
      <c r="AQ989" s="782">
        <v>12071839</v>
      </c>
      <c r="AR989" s="782">
        <v>12047514</v>
      </c>
      <c r="AS989" s="782">
        <v>12047515</v>
      </c>
      <c r="AT989" s="782">
        <v>12083107</v>
      </c>
      <c r="AU989" s="781"/>
      <c r="AV989" s="782">
        <v>12084002</v>
      </c>
      <c r="AW989" s="782"/>
      <c r="AX989" s="782"/>
      <c r="AY989" s="782"/>
      <c r="AZ989" s="782"/>
      <c r="BA989" s="781"/>
    </row>
    <row r="990" spans="1:53" ht="24.65" hidden="1" customHeight="1">
      <c r="B990" s="283">
        <v>45467</v>
      </c>
      <c r="C990" s="284">
        <v>45496</v>
      </c>
      <c r="D990" s="185">
        <f t="shared" si="327"/>
        <v>2024</v>
      </c>
      <c r="E990" s="284" t="str">
        <f>VLOOKUP($B990,Week!$A$1:$C$1462,2,0)</f>
        <v>Week26</v>
      </c>
      <c r="F990" s="285" t="str">
        <f t="shared" si="328"/>
        <v>Jun</v>
      </c>
      <c r="G990" s="631" t="s">
        <v>1490</v>
      </c>
      <c r="H990" s="624" t="s">
        <v>104</v>
      </c>
      <c r="I990" s="624" t="s">
        <v>2772</v>
      </c>
      <c r="J990" s="625" t="s">
        <v>105</v>
      </c>
      <c r="K990" s="288" t="s">
        <v>51</v>
      </c>
      <c r="L990" s="300" t="s">
        <v>2167</v>
      </c>
      <c r="M990" s="287" t="s">
        <v>595</v>
      </c>
      <c r="N990" s="286" t="s">
        <v>597</v>
      </c>
      <c r="O990" s="286" t="s">
        <v>187</v>
      </c>
      <c r="P990" s="289">
        <v>8</v>
      </c>
      <c r="Q990" s="289">
        <v>5</v>
      </c>
      <c r="R990" s="290">
        <v>6.0000000000000001E-3</v>
      </c>
      <c r="S990" s="286" t="s">
        <v>55</v>
      </c>
      <c r="T990" s="286" t="s">
        <v>112</v>
      </c>
      <c r="U990" s="286" t="s">
        <v>57</v>
      </c>
      <c r="V990" s="291">
        <f>400</f>
        <v>400</v>
      </c>
      <c r="W990" s="291"/>
      <c r="X990" s="292">
        <v>400</v>
      </c>
      <c r="Y990" s="293">
        <f t="shared" si="336"/>
        <v>0</v>
      </c>
      <c r="Z990" s="294">
        <f t="shared" si="337"/>
        <v>0</v>
      </c>
      <c r="AA990" s="294"/>
      <c r="AB990" s="813"/>
      <c r="AC990" s="291"/>
      <c r="AD990" s="486"/>
      <c r="AE990" s="210"/>
      <c r="AF990" s="210"/>
      <c r="AG990" s="211">
        <v>0.14499999999999999</v>
      </c>
      <c r="AH990" s="157">
        <f t="shared" si="338"/>
        <v>0</v>
      </c>
      <c r="AI990" s="152">
        <v>19800</v>
      </c>
      <c r="AK990" s="156" t="s">
        <v>691</v>
      </c>
      <c r="AL990" s="212" t="s">
        <v>690</v>
      </c>
      <c r="AM990" s="198">
        <f t="shared" si="335"/>
        <v>0</v>
      </c>
      <c r="AN990" s="199">
        <f t="shared" si="329"/>
        <v>45467</v>
      </c>
      <c r="AO990" s="159" t="s">
        <v>692</v>
      </c>
      <c r="AP990" s="781"/>
      <c r="AQ990" s="782">
        <v>12071839</v>
      </c>
      <c r="AR990" s="782">
        <v>12047514</v>
      </c>
      <c r="AS990" s="782">
        <v>12047515</v>
      </c>
      <c r="AT990" s="782">
        <v>12083107</v>
      </c>
      <c r="AU990" s="781"/>
      <c r="AV990" s="782">
        <v>12084002</v>
      </c>
      <c r="AW990" s="782"/>
      <c r="AX990" s="782"/>
      <c r="AY990" s="782"/>
      <c r="AZ990" s="782"/>
      <c r="BA990" s="781"/>
    </row>
    <row r="991" spans="1:53" ht="24.65" hidden="1" customHeight="1">
      <c r="B991" s="283">
        <v>45467</v>
      </c>
      <c r="C991" s="284">
        <v>45503</v>
      </c>
      <c r="D991" s="185">
        <f t="shared" si="327"/>
        <v>2024</v>
      </c>
      <c r="E991" s="284" t="str">
        <f>VLOOKUP($B991,Week!$A$1:$C$1462,2,0)</f>
        <v>Week26</v>
      </c>
      <c r="F991" s="285" t="str">
        <f t="shared" si="328"/>
        <v>Jun</v>
      </c>
      <c r="G991" s="631" t="s">
        <v>1492</v>
      </c>
      <c r="H991" s="624" t="s">
        <v>104</v>
      </c>
      <c r="I991" s="624" t="s">
        <v>2772</v>
      </c>
      <c r="J991" s="625" t="s">
        <v>105</v>
      </c>
      <c r="K991" s="288" t="s">
        <v>51</v>
      </c>
      <c r="L991" s="300" t="s">
        <v>2167</v>
      </c>
      <c r="M991" s="287" t="s">
        <v>595</v>
      </c>
      <c r="N991" s="286" t="s">
        <v>597</v>
      </c>
      <c r="O991" s="286" t="s">
        <v>187</v>
      </c>
      <c r="P991" s="289">
        <v>8</v>
      </c>
      <c r="Q991" s="289">
        <v>5</v>
      </c>
      <c r="R991" s="290">
        <v>6.0000000000000001E-3</v>
      </c>
      <c r="S991" s="286" t="s">
        <v>55</v>
      </c>
      <c r="T991" s="286" t="s">
        <v>112</v>
      </c>
      <c r="U991" s="286" t="s">
        <v>57</v>
      </c>
      <c r="V991" s="291">
        <f>500</f>
        <v>500</v>
      </c>
      <c r="W991" s="291"/>
      <c r="X991" s="292">
        <v>500</v>
      </c>
      <c r="Y991" s="293">
        <f t="shared" si="336"/>
        <v>0</v>
      </c>
      <c r="Z991" s="294">
        <f t="shared" si="337"/>
        <v>0</v>
      </c>
      <c r="AA991" s="294"/>
      <c r="AB991" s="813"/>
      <c r="AC991" s="291"/>
      <c r="AD991" s="486"/>
      <c r="AE991" s="210"/>
      <c r="AF991" s="210"/>
      <c r="AG991" s="211">
        <v>0.14499999999999999</v>
      </c>
      <c r="AH991" s="157">
        <f t="shared" si="338"/>
        <v>0</v>
      </c>
      <c r="AI991" s="152">
        <v>19800</v>
      </c>
      <c r="AK991" s="156" t="s">
        <v>691</v>
      </c>
      <c r="AL991" s="212" t="s">
        <v>690</v>
      </c>
      <c r="AM991" s="198">
        <f t="shared" si="335"/>
        <v>0</v>
      </c>
      <c r="AN991" s="199">
        <f t="shared" si="329"/>
        <v>45467</v>
      </c>
      <c r="AO991" s="159" t="s">
        <v>692</v>
      </c>
      <c r="AP991" s="781"/>
      <c r="AQ991" s="782">
        <v>12071839</v>
      </c>
      <c r="AR991" s="782">
        <v>12047514</v>
      </c>
      <c r="AS991" s="782">
        <v>12047515</v>
      </c>
      <c r="AT991" s="782">
        <v>12083107</v>
      </c>
      <c r="AU991" s="781"/>
      <c r="AV991" s="782">
        <v>12084002</v>
      </c>
      <c r="AW991" s="782"/>
      <c r="AX991" s="782"/>
      <c r="AY991" s="782"/>
      <c r="AZ991" s="782"/>
      <c r="BA991" s="781"/>
    </row>
    <row r="992" spans="1:53" ht="24.65" hidden="1" customHeight="1">
      <c r="B992" s="283">
        <v>45467</v>
      </c>
      <c r="C992" s="284">
        <v>45524</v>
      </c>
      <c r="D992" s="185">
        <f t="shared" si="327"/>
        <v>2024</v>
      </c>
      <c r="E992" s="284" t="str">
        <f>VLOOKUP($B992,Week!$A$1:$C$1462,2,0)</f>
        <v>Week26</v>
      </c>
      <c r="F992" s="285" t="str">
        <f t="shared" si="328"/>
        <v>Jun</v>
      </c>
      <c r="G992" s="631" t="s">
        <v>1494</v>
      </c>
      <c r="H992" s="624" t="s">
        <v>104</v>
      </c>
      <c r="I992" s="624" t="s">
        <v>2772</v>
      </c>
      <c r="J992" s="625" t="s">
        <v>105</v>
      </c>
      <c r="K992" s="288" t="s">
        <v>51</v>
      </c>
      <c r="L992" s="300" t="s">
        <v>2167</v>
      </c>
      <c r="M992" s="287" t="s">
        <v>595</v>
      </c>
      <c r="N992" s="286" t="s">
        <v>597</v>
      </c>
      <c r="O992" s="286" t="s">
        <v>187</v>
      </c>
      <c r="P992" s="289">
        <v>8</v>
      </c>
      <c r="Q992" s="289">
        <v>5</v>
      </c>
      <c r="R992" s="290">
        <v>6.0000000000000001E-3</v>
      </c>
      <c r="S992" s="286" t="s">
        <v>55</v>
      </c>
      <c r="T992" s="286" t="s">
        <v>112</v>
      </c>
      <c r="U992" s="286" t="s">
        <v>57</v>
      </c>
      <c r="V992" s="291">
        <f>350</f>
        <v>350</v>
      </c>
      <c r="W992" s="291"/>
      <c r="X992" s="292">
        <v>350</v>
      </c>
      <c r="Y992" s="293">
        <f t="shared" si="336"/>
        <v>0</v>
      </c>
      <c r="Z992" s="294">
        <f t="shared" si="337"/>
        <v>0</v>
      </c>
      <c r="AA992" s="294"/>
      <c r="AB992" s="813"/>
      <c r="AC992" s="291"/>
      <c r="AD992" s="486"/>
      <c r="AE992" s="210"/>
      <c r="AF992" s="210"/>
      <c r="AG992" s="211">
        <v>0.14499999999999999</v>
      </c>
      <c r="AH992" s="157">
        <f t="shared" si="338"/>
        <v>0</v>
      </c>
      <c r="AI992" s="152">
        <v>19800</v>
      </c>
      <c r="AK992" s="156" t="s">
        <v>691</v>
      </c>
      <c r="AL992" s="212" t="s">
        <v>690</v>
      </c>
      <c r="AM992" s="198">
        <f t="shared" si="335"/>
        <v>0</v>
      </c>
      <c r="AN992" s="199">
        <f t="shared" si="329"/>
        <v>45467</v>
      </c>
      <c r="AO992" s="159" t="s">
        <v>692</v>
      </c>
      <c r="AP992" s="781"/>
      <c r="AQ992" s="782">
        <v>12071839</v>
      </c>
      <c r="AR992" s="782">
        <v>12047514</v>
      </c>
      <c r="AS992" s="782">
        <v>12047515</v>
      </c>
      <c r="AT992" s="782">
        <v>12083107</v>
      </c>
      <c r="AU992" s="781"/>
      <c r="AV992" s="782">
        <v>12084002</v>
      </c>
      <c r="AW992" s="782"/>
      <c r="AX992" s="782"/>
      <c r="AY992" s="782"/>
      <c r="AZ992" s="782"/>
      <c r="BA992" s="781"/>
    </row>
    <row r="993" spans="1:53" ht="24.65" hidden="1" customHeight="1">
      <c r="B993" s="283">
        <v>45467</v>
      </c>
      <c r="C993" s="284">
        <v>45531</v>
      </c>
      <c r="D993" s="185">
        <f t="shared" si="327"/>
        <v>2024</v>
      </c>
      <c r="E993" s="284" t="str">
        <f>VLOOKUP($B993,Week!$A$1:$C$1462,2,0)</f>
        <v>Week26</v>
      </c>
      <c r="F993" s="285" t="str">
        <f t="shared" si="328"/>
        <v>Jun</v>
      </c>
      <c r="G993" s="631" t="s">
        <v>1457</v>
      </c>
      <c r="H993" s="624" t="s">
        <v>104</v>
      </c>
      <c r="I993" s="624" t="s">
        <v>2772</v>
      </c>
      <c r="J993" s="625" t="s">
        <v>105</v>
      </c>
      <c r="K993" s="288" t="s">
        <v>51</v>
      </c>
      <c r="L993" s="300" t="s">
        <v>2167</v>
      </c>
      <c r="M993" s="287" t="s">
        <v>595</v>
      </c>
      <c r="N993" s="286" t="s">
        <v>597</v>
      </c>
      <c r="O993" s="286" t="s">
        <v>187</v>
      </c>
      <c r="P993" s="289">
        <v>8</v>
      </c>
      <c r="Q993" s="289">
        <v>5</v>
      </c>
      <c r="R993" s="290">
        <v>6.0000000000000001E-3</v>
      </c>
      <c r="S993" s="286" t="s">
        <v>55</v>
      </c>
      <c r="T993" s="286" t="s">
        <v>112</v>
      </c>
      <c r="U993" s="286" t="s">
        <v>57</v>
      </c>
      <c r="V993" s="291">
        <f>3000</f>
        <v>3000</v>
      </c>
      <c r="W993" s="291"/>
      <c r="X993" s="292">
        <v>3000</v>
      </c>
      <c r="Y993" s="293">
        <f t="shared" si="336"/>
        <v>0</v>
      </c>
      <c r="Z993" s="294">
        <f t="shared" si="337"/>
        <v>0</v>
      </c>
      <c r="AA993" s="294"/>
      <c r="AB993" s="813"/>
      <c r="AC993" s="291"/>
      <c r="AD993" s="486"/>
      <c r="AE993" s="210"/>
      <c r="AF993" s="210"/>
      <c r="AG993" s="211">
        <v>0.14499999999999999</v>
      </c>
      <c r="AH993" s="157">
        <f t="shared" si="338"/>
        <v>0</v>
      </c>
      <c r="AI993" s="152">
        <v>19800</v>
      </c>
      <c r="AK993" s="156" t="s">
        <v>691</v>
      </c>
      <c r="AL993" s="212" t="s">
        <v>690</v>
      </c>
      <c r="AM993" s="198">
        <f t="shared" si="335"/>
        <v>0</v>
      </c>
      <c r="AN993" s="199">
        <f t="shared" si="329"/>
        <v>45467</v>
      </c>
      <c r="AO993" s="159" t="s">
        <v>692</v>
      </c>
      <c r="AP993" s="781"/>
      <c r="AQ993" s="782">
        <v>12071839</v>
      </c>
      <c r="AR993" s="782">
        <v>12047514</v>
      </c>
      <c r="AS993" s="782">
        <v>12047515</v>
      </c>
      <c r="AT993" s="782">
        <v>12083107</v>
      </c>
      <c r="AU993" s="781"/>
      <c r="AV993" s="782">
        <v>12084002</v>
      </c>
      <c r="AW993" s="782"/>
      <c r="AX993" s="782"/>
      <c r="AY993" s="782"/>
      <c r="AZ993" s="782"/>
      <c r="BA993" s="781"/>
    </row>
    <row r="994" spans="1:53" ht="24.65" hidden="1" customHeight="1">
      <c r="B994" s="283">
        <v>45467</v>
      </c>
      <c r="C994" s="284">
        <v>45565</v>
      </c>
      <c r="D994" s="185">
        <f t="shared" si="327"/>
        <v>2024</v>
      </c>
      <c r="E994" s="284" t="str">
        <f>VLOOKUP($B994,Week!$A$1:$C$1462,2,0)</f>
        <v>Week26</v>
      </c>
      <c r="F994" s="285" t="str">
        <f t="shared" si="328"/>
        <v>Jun</v>
      </c>
      <c r="G994" s="631" t="s">
        <v>1458</v>
      </c>
      <c r="H994" s="624" t="s">
        <v>104</v>
      </c>
      <c r="I994" s="624" t="s">
        <v>2772</v>
      </c>
      <c r="J994" s="625" t="s">
        <v>105</v>
      </c>
      <c r="K994" s="288" t="s">
        <v>51</v>
      </c>
      <c r="L994" s="300" t="s">
        <v>2167</v>
      </c>
      <c r="M994" s="287" t="s">
        <v>595</v>
      </c>
      <c r="N994" s="286" t="s">
        <v>597</v>
      </c>
      <c r="O994" s="286" t="s">
        <v>187</v>
      </c>
      <c r="P994" s="289">
        <v>8</v>
      </c>
      <c r="Q994" s="289">
        <v>5</v>
      </c>
      <c r="R994" s="290">
        <v>6.0000000000000001E-3</v>
      </c>
      <c r="S994" s="286" t="s">
        <v>55</v>
      </c>
      <c r="T994" s="286" t="s">
        <v>112</v>
      </c>
      <c r="U994" s="286" t="s">
        <v>57</v>
      </c>
      <c r="V994" s="291">
        <v>1200</v>
      </c>
      <c r="W994" s="291"/>
      <c r="X994" s="292">
        <v>1200</v>
      </c>
      <c r="Y994" s="293">
        <f t="shared" si="336"/>
        <v>0</v>
      </c>
      <c r="Z994" s="294">
        <f t="shared" si="337"/>
        <v>0</v>
      </c>
      <c r="AA994" s="294"/>
      <c r="AB994" s="813"/>
      <c r="AC994" s="291"/>
      <c r="AD994" s="486"/>
      <c r="AE994" s="210"/>
      <c r="AF994" s="210"/>
      <c r="AG994" s="211">
        <v>0.14499999999999999</v>
      </c>
      <c r="AH994" s="157">
        <f>(Z994*AG994)/1000</f>
        <v>0</v>
      </c>
      <c r="AI994" s="152">
        <v>19800</v>
      </c>
      <c r="AK994" s="156" t="s">
        <v>691</v>
      </c>
      <c r="AL994" s="212" t="s">
        <v>690</v>
      </c>
      <c r="AM994" s="198">
        <f t="shared" si="335"/>
        <v>0</v>
      </c>
      <c r="AN994" s="199">
        <f t="shared" si="329"/>
        <v>45467</v>
      </c>
      <c r="AO994" s="159" t="s">
        <v>692</v>
      </c>
      <c r="AP994" s="781"/>
      <c r="AQ994" s="782">
        <v>12071839</v>
      </c>
      <c r="AR994" s="782">
        <v>12047514</v>
      </c>
      <c r="AS994" s="782">
        <v>12047515</v>
      </c>
      <c r="AT994" s="782">
        <v>12083107</v>
      </c>
      <c r="AU994" s="781"/>
      <c r="AV994" s="782">
        <v>12084002</v>
      </c>
      <c r="AW994" s="782"/>
      <c r="AX994" s="782"/>
      <c r="AY994" s="782"/>
      <c r="AZ994" s="782"/>
      <c r="BA994" s="781"/>
    </row>
    <row r="995" spans="1:53" ht="25" hidden="1" customHeight="1">
      <c r="A995" s="529" t="s">
        <v>255</v>
      </c>
      <c r="B995" s="383">
        <v>45468</v>
      </c>
      <c r="C995" s="383">
        <v>45470</v>
      </c>
      <c r="D995" s="185">
        <f t="shared" si="327"/>
        <v>2024</v>
      </c>
      <c r="E995" s="224" t="str">
        <f>VLOOKUP($B995,Week!$A$1:$C$1462,2,0)</f>
        <v>Week26</v>
      </c>
      <c r="F995" s="226" t="str">
        <f t="shared" si="328"/>
        <v>Jun</v>
      </c>
      <c r="G995" s="225" t="s">
        <v>1270</v>
      </c>
      <c r="H995" s="225" t="s">
        <v>225</v>
      </c>
      <c r="I995" s="225" t="s">
        <v>2773</v>
      </c>
      <c r="J995" s="227" t="s">
        <v>335</v>
      </c>
      <c r="K995" s="228" t="s">
        <v>176</v>
      </c>
      <c r="L995" s="300" t="s">
        <v>2167</v>
      </c>
      <c r="M995" s="227" t="s">
        <v>336</v>
      </c>
      <c r="N995" s="225" t="s">
        <v>337</v>
      </c>
      <c r="O995" s="225" t="s">
        <v>179</v>
      </c>
      <c r="P995" s="229">
        <v>36</v>
      </c>
      <c r="Q995" s="229">
        <v>5</v>
      </c>
      <c r="R995" s="230">
        <v>7.4999999999999997E-3</v>
      </c>
      <c r="S995" s="225" t="s">
        <v>111</v>
      </c>
      <c r="T995" s="225" t="s">
        <v>112</v>
      </c>
      <c r="U995" s="225" t="s">
        <v>113</v>
      </c>
      <c r="V995" s="231">
        <f>542</f>
        <v>542</v>
      </c>
      <c r="W995" s="231">
        <f>177+177+92</f>
        <v>446</v>
      </c>
      <c r="X995" s="232">
        <f>3456-3168-192</f>
        <v>96</v>
      </c>
      <c r="Y995" s="233">
        <f t="shared" si="336"/>
        <v>0</v>
      </c>
      <c r="Z995" s="234">
        <f t="shared" si="337"/>
        <v>0</v>
      </c>
      <c r="AA995" s="234"/>
      <c r="AB995" s="822"/>
      <c r="AC995" s="231"/>
      <c r="AD995" s="486"/>
      <c r="AE995" s="210"/>
      <c r="AF995" s="210"/>
      <c r="AG995" s="211">
        <f t="shared" ref="AG995:AG1014" si="339">MID(O995,1,3)/1000</f>
        <v>0.14499999999999999</v>
      </c>
      <c r="AH995" s="157">
        <f t="shared" si="338"/>
        <v>0</v>
      </c>
      <c r="AI995" s="152">
        <f t="shared" ref="AI995:AI1014" si="340">V995*P995</f>
        <v>19512</v>
      </c>
      <c r="AK995" s="156" t="s">
        <v>691</v>
      </c>
      <c r="AL995" s="574" t="s">
        <v>690</v>
      </c>
      <c r="AM995" s="198">
        <f t="shared" si="335"/>
        <v>0</v>
      </c>
      <c r="AN995" s="199">
        <f t="shared" si="329"/>
        <v>45468</v>
      </c>
      <c r="AO995" s="159" t="s">
        <v>692</v>
      </c>
      <c r="AP995" s="783" t="s">
        <v>639</v>
      </c>
      <c r="AQ995" s="782">
        <v>12071839</v>
      </c>
      <c r="AR995" s="782">
        <v>12047514</v>
      </c>
      <c r="AS995" s="782">
        <v>12047515</v>
      </c>
      <c r="AT995" s="782">
        <v>12054919</v>
      </c>
      <c r="AU995" s="781"/>
      <c r="AV995" s="782">
        <v>12054869</v>
      </c>
      <c r="AW995" s="782">
        <v>12024404</v>
      </c>
      <c r="AX995" s="781"/>
      <c r="AY995" s="782">
        <v>12054815</v>
      </c>
      <c r="AZ995" s="781"/>
      <c r="BA995" s="781"/>
    </row>
    <row r="996" spans="1:53" ht="24.65" hidden="1" customHeight="1">
      <c r="B996" s="383">
        <v>45468</v>
      </c>
      <c r="C996" s="383">
        <v>45484</v>
      </c>
      <c r="D996" s="185">
        <f t="shared" si="327"/>
        <v>2024</v>
      </c>
      <c r="E996" s="224" t="str">
        <f>VLOOKUP($B996,Week!$A$1:$C$1462,2,0)</f>
        <v>Week26</v>
      </c>
      <c r="F996" s="226" t="str">
        <f t="shared" si="328"/>
        <v>Jun</v>
      </c>
      <c r="G996" s="225" t="s">
        <v>1271</v>
      </c>
      <c r="H996" s="225" t="s">
        <v>225</v>
      </c>
      <c r="I996" s="225" t="s">
        <v>2773</v>
      </c>
      <c r="J996" s="227" t="s">
        <v>335</v>
      </c>
      <c r="K996" s="228" t="s">
        <v>176</v>
      </c>
      <c r="L996" s="300" t="s">
        <v>2167</v>
      </c>
      <c r="M996" s="227" t="s">
        <v>336</v>
      </c>
      <c r="N996" s="225" t="s">
        <v>337</v>
      </c>
      <c r="O996" s="225" t="s">
        <v>179</v>
      </c>
      <c r="P996" s="229">
        <v>36</v>
      </c>
      <c r="Q996" s="229">
        <v>5</v>
      </c>
      <c r="R996" s="230">
        <v>7.4999999999999997E-3</v>
      </c>
      <c r="S996" s="225" t="s">
        <v>111</v>
      </c>
      <c r="T996" s="225" t="s">
        <v>112</v>
      </c>
      <c r="U996" s="225" t="s">
        <v>113</v>
      </c>
      <c r="V996" s="231">
        <v>1288</v>
      </c>
      <c r="W996" s="231">
        <f>180+180+75</f>
        <v>435</v>
      </c>
      <c r="X996" s="232">
        <f>(30708)/36</f>
        <v>853</v>
      </c>
      <c r="Y996" s="233">
        <f t="shared" si="336"/>
        <v>0</v>
      </c>
      <c r="Z996" s="234">
        <f t="shared" si="337"/>
        <v>0</v>
      </c>
      <c r="AA996" s="234"/>
      <c r="AB996" s="822"/>
      <c r="AC996" s="231"/>
      <c r="AD996" s="486"/>
      <c r="AE996" s="210"/>
      <c r="AF996" s="210"/>
      <c r="AG996" s="211">
        <f t="shared" si="339"/>
        <v>0.14499999999999999</v>
      </c>
      <c r="AH996" s="157">
        <f t="shared" ref="AH996:AH1014" si="341">(Z996*AG996)/1000</f>
        <v>0</v>
      </c>
      <c r="AI996" s="152">
        <f t="shared" si="340"/>
        <v>46368</v>
      </c>
      <c r="AK996" s="156" t="s">
        <v>691</v>
      </c>
      <c r="AL996" s="574" t="s">
        <v>690</v>
      </c>
      <c r="AM996" s="198">
        <f t="shared" si="335"/>
        <v>0</v>
      </c>
      <c r="AN996" s="199">
        <f t="shared" si="329"/>
        <v>45468</v>
      </c>
      <c r="AO996" s="159" t="s">
        <v>692</v>
      </c>
      <c r="AP996" s="783" t="s">
        <v>639</v>
      </c>
      <c r="AQ996" s="782">
        <v>12071839</v>
      </c>
      <c r="AR996" s="782">
        <v>12047514</v>
      </c>
      <c r="AS996" s="782">
        <v>12047515</v>
      </c>
      <c r="AT996" s="782">
        <v>12054919</v>
      </c>
      <c r="AU996" s="781"/>
      <c r="AV996" s="782">
        <v>12054869</v>
      </c>
      <c r="AW996" s="782">
        <v>12024404</v>
      </c>
      <c r="AX996" s="781"/>
      <c r="AY996" s="782">
        <v>12054815</v>
      </c>
      <c r="AZ996" s="781"/>
      <c r="BA996" s="781"/>
    </row>
    <row r="997" spans="1:53" ht="25" hidden="1" customHeight="1">
      <c r="B997" s="383">
        <v>45468</v>
      </c>
      <c r="C997" s="383">
        <v>45491</v>
      </c>
      <c r="D997" s="185">
        <f t="shared" si="327"/>
        <v>2024</v>
      </c>
      <c r="E997" s="224" t="str">
        <f>VLOOKUP($B997,Week!$A$1:$C$1462,2,0)</f>
        <v>Week26</v>
      </c>
      <c r="F997" s="226" t="str">
        <f t="shared" si="328"/>
        <v>Jun</v>
      </c>
      <c r="G997" s="225" t="s">
        <v>1272</v>
      </c>
      <c r="H997" s="225" t="s">
        <v>225</v>
      </c>
      <c r="I997" s="225" t="s">
        <v>2773</v>
      </c>
      <c r="J997" s="227" t="s">
        <v>335</v>
      </c>
      <c r="K997" s="228" t="s">
        <v>176</v>
      </c>
      <c r="L997" s="300" t="s">
        <v>2167</v>
      </c>
      <c r="M997" s="227" t="s">
        <v>336</v>
      </c>
      <c r="N997" s="225" t="s">
        <v>337</v>
      </c>
      <c r="O997" s="225" t="s">
        <v>179</v>
      </c>
      <c r="P997" s="229">
        <v>36</v>
      </c>
      <c r="Q997" s="229">
        <v>5</v>
      </c>
      <c r="R997" s="230">
        <v>7.4999999999999997E-3</v>
      </c>
      <c r="S997" s="225" t="s">
        <v>111</v>
      </c>
      <c r="T997" s="225" t="s">
        <v>112</v>
      </c>
      <c r="U997" s="225" t="s">
        <v>113</v>
      </c>
      <c r="V997" s="231">
        <f>1020</f>
        <v>1020</v>
      </c>
      <c r="W997" s="231">
        <f>314</f>
        <v>314</v>
      </c>
      <c r="X997" s="232">
        <f>(25482)/36</f>
        <v>707.83333333333337</v>
      </c>
      <c r="Y997" s="233">
        <f t="shared" si="336"/>
        <v>1.8333333333333712</v>
      </c>
      <c r="Z997" s="234">
        <f t="shared" si="337"/>
        <v>0</v>
      </c>
      <c r="AA997" s="234"/>
      <c r="AB997" s="822"/>
      <c r="AC997" s="231"/>
      <c r="AD997" s="486"/>
      <c r="AE997" s="210"/>
      <c r="AF997" s="210"/>
      <c r="AG997" s="211">
        <f t="shared" si="339"/>
        <v>0.14499999999999999</v>
      </c>
      <c r="AH997" s="157">
        <f t="shared" si="341"/>
        <v>0</v>
      </c>
      <c r="AI997" s="152">
        <f t="shared" si="340"/>
        <v>36720</v>
      </c>
      <c r="AK997" s="156" t="s">
        <v>691</v>
      </c>
      <c r="AL997" s="574" t="s">
        <v>690</v>
      </c>
      <c r="AM997" s="198">
        <f t="shared" si="335"/>
        <v>0</v>
      </c>
      <c r="AN997" s="199">
        <f t="shared" si="329"/>
        <v>45468</v>
      </c>
      <c r="AO997" s="159" t="s">
        <v>692</v>
      </c>
      <c r="AP997" s="783" t="s">
        <v>639</v>
      </c>
      <c r="AQ997" s="782">
        <v>12071839</v>
      </c>
      <c r="AR997" s="782">
        <v>12047514</v>
      </c>
      <c r="AS997" s="782">
        <v>12047515</v>
      </c>
      <c r="AT997" s="782">
        <v>12054919</v>
      </c>
      <c r="AU997" s="781"/>
      <c r="AV997" s="782">
        <v>12054869</v>
      </c>
      <c r="AW997" s="782">
        <v>12024404</v>
      </c>
      <c r="AX997" s="781"/>
      <c r="AY997" s="782">
        <v>12054815</v>
      </c>
      <c r="AZ997" s="781"/>
      <c r="BA997" s="781"/>
    </row>
    <row r="998" spans="1:53" ht="24.75" hidden="1" customHeight="1">
      <c r="B998" s="333">
        <v>45468</v>
      </c>
      <c r="C998" s="333">
        <v>45484</v>
      </c>
      <c r="D998" s="185">
        <f t="shared" si="327"/>
        <v>2024</v>
      </c>
      <c r="E998" s="335" t="str">
        <f>VLOOKUP($B998,Week!$A$1:$C$1462,2,0)</f>
        <v>Week26</v>
      </c>
      <c r="F998" s="334" t="str">
        <f t="shared" si="328"/>
        <v>Jun</v>
      </c>
      <c r="G998" s="335" t="s">
        <v>1347</v>
      </c>
      <c r="H998" s="335" t="s">
        <v>363</v>
      </c>
      <c r="I998" s="335" t="s">
        <v>2772</v>
      </c>
      <c r="J998" s="336" t="s">
        <v>364</v>
      </c>
      <c r="K998" s="337" t="s">
        <v>176</v>
      </c>
      <c r="L998" s="300" t="s">
        <v>2167</v>
      </c>
      <c r="M998" s="382" t="s">
        <v>646</v>
      </c>
      <c r="N998" s="335" t="s">
        <v>647</v>
      </c>
      <c r="O998" s="335" t="s">
        <v>599</v>
      </c>
      <c r="P998" s="338">
        <v>36</v>
      </c>
      <c r="Q998" s="338">
        <v>5</v>
      </c>
      <c r="R998" s="339">
        <v>8.0000000000000002E-3</v>
      </c>
      <c r="S998" s="335" t="s">
        <v>40</v>
      </c>
      <c r="T998" s="335" t="s">
        <v>112</v>
      </c>
      <c r="U998" s="335" t="s">
        <v>57</v>
      </c>
      <c r="V998" s="341">
        <v>1288</v>
      </c>
      <c r="W998" s="341">
        <f>1211</f>
        <v>1211</v>
      </c>
      <c r="X998" s="342">
        <f>(2772)/36</f>
        <v>77</v>
      </c>
      <c r="Y998" s="343">
        <f t="shared" si="336"/>
        <v>0</v>
      </c>
      <c r="Z998" s="344">
        <f t="shared" si="337"/>
        <v>0</v>
      </c>
      <c r="AA998" s="344"/>
      <c r="AB998" s="821"/>
      <c r="AC998" s="341"/>
      <c r="AD998" s="209"/>
      <c r="AE998" s="210"/>
      <c r="AF998" s="210"/>
      <c r="AG998" s="211">
        <f t="shared" si="339"/>
        <v>0.14799999999999999</v>
      </c>
      <c r="AH998" s="157">
        <f t="shared" si="341"/>
        <v>0</v>
      </c>
      <c r="AI998" s="152">
        <f t="shared" si="340"/>
        <v>46368</v>
      </c>
      <c r="AK998" s="156" t="s">
        <v>691</v>
      </c>
      <c r="AL998" s="574" t="s">
        <v>690</v>
      </c>
      <c r="AM998" s="198">
        <f t="shared" si="335"/>
        <v>0</v>
      </c>
      <c r="AN998" s="199">
        <f t="shared" si="329"/>
        <v>45468</v>
      </c>
      <c r="AO998" s="159" t="s">
        <v>692</v>
      </c>
      <c r="AP998" s="781"/>
      <c r="AQ998" s="782">
        <v>12071839</v>
      </c>
      <c r="AR998" s="782">
        <v>12047514</v>
      </c>
      <c r="AS998" s="782">
        <v>12047515</v>
      </c>
      <c r="AT998" s="782">
        <v>12084374</v>
      </c>
      <c r="AU998" s="781"/>
      <c r="AV998" s="782">
        <v>12084372</v>
      </c>
      <c r="AW998" s="782">
        <v>12024404</v>
      </c>
      <c r="AX998" s="782"/>
      <c r="AY998" s="782">
        <v>12084373</v>
      </c>
      <c r="AZ998" s="782"/>
      <c r="BA998" s="781"/>
    </row>
    <row r="999" spans="1:53" ht="25" hidden="1" customHeight="1">
      <c r="B999" s="558">
        <v>45469</v>
      </c>
      <c r="C999" s="308">
        <v>45475</v>
      </c>
      <c r="D999" s="185">
        <f t="shared" si="327"/>
        <v>2024</v>
      </c>
      <c r="E999" s="309" t="str">
        <f>VLOOKUP($B999,Week!$A$1:$C$1462,2,0)</f>
        <v>Week26</v>
      </c>
      <c r="F999" s="310" t="str">
        <f t="shared" si="328"/>
        <v>Jun</v>
      </c>
      <c r="G999" s="311" t="s">
        <v>1631</v>
      </c>
      <c r="H999" s="311" t="s">
        <v>500</v>
      </c>
      <c r="I999" s="311" t="s">
        <v>2772</v>
      </c>
      <c r="J999" s="312" t="s">
        <v>285</v>
      </c>
      <c r="K999" s="313" t="s">
        <v>1643</v>
      </c>
      <c r="L999" s="300" t="s">
        <v>2167</v>
      </c>
      <c r="M999" s="313" t="s">
        <v>1318</v>
      </c>
      <c r="N999" s="311" t="s">
        <v>1167</v>
      </c>
      <c r="O999" s="311" t="s">
        <v>743</v>
      </c>
      <c r="P999" s="314">
        <v>36</v>
      </c>
      <c r="Q999" s="314">
        <v>5</v>
      </c>
      <c r="R999" s="315">
        <v>7.4999999999999997E-3</v>
      </c>
      <c r="S999" s="311" t="s">
        <v>40</v>
      </c>
      <c r="T999" s="311" t="s">
        <v>112</v>
      </c>
      <c r="U999" s="629" t="s">
        <v>721</v>
      </c>
      <c r="V999" s="316">
        <v>1288</v>
      </c>
      <c r="W999" s="316">
        <f>638</f>
        <v>638</v>
      </c>
      <c r="X999" s="317">
        <f>(270+23941)/36</f>
        <v>672.52777777777783</v>
      </c>
      <c r="Y999" s="318">
        <f t="shared" si="336"/>
        <v>22.527777777777828</v>
      </c>
      <c r="Z999" s="319">
        <f t="shared" si="337"/>
        <v>0</v>
      </c>
      <c r="AA999" s="319"/>
      <c r="AB999" s="815"/>
      <c r="AC999" s="316"/>
      <c r="AD999" s="381"/>
      <c r="AE999" s="210"/>
      <c r="AF999" s="210"/>
      <c r="AG999" s="211">
        <f t="shared" si="339"/>
        <v>0.14699999999999999</v>
      </c>
      <c r="AH999" s="157">
        <f t="shared" si="341"/>
        <v>0</v>
      </c>
      <c r="AI999" s="152">
        <f t="shared" si="340"/>
        <v>46368</v>
      </c>
      <c r="AK999" s="156" t="s">
        <v>691</v>
      </c>
      <c r="AL999" s="574" t="s">
        <v>690</v>
      </c>
      <c r="AM999" s="198">
        <f t="shared" si="335"/>
        <v>0</v>
      </c>
      <c r="AN999" s="199">
        <f t="shared" si="329"/>
        <v>45469</v>
      </c>
      <c r="AO999" s="159" t="s">
        <v>692</v>
      </c>
      <c r="AP999" s="783" t="s">
        <v>639</v>
      </c>
      <c r="AQ999" s="782">
        <v>12071839</v>
      </c>
      <c r="AR999" s="782">
        <v>12047514</v>
      </c>
      <c r="AS999" s="782">
        <v>12047515</v>
      </c>
      <c r="AT999" s="782">
        <v>12089764</v>
      </c>
      <c r="AU999" s="781"/>
      <c r="AV999" s="782">
        <v>12089763</v>
      </c>
      <c r="AW999" s="782">
        <v>12024404</v>
      </c>
      <c r="AX999" s="781"/>
      <c r="AY999" s="782">
        <v>12089765</v>
      </c>
      <c r="AZ999" s="781"/>
      <c r="BA999" s="781"/>
    </row>
    <row r="1000" spans="1:53" ht="25" hidden="1" customHeight="1">
      <c r="B1000" s="517">
        <v>45469</v>
      </c>
      <c r="C1000" s="532">
        <v>45477</v>
      </c>
      <c r="D1000" s="185">
        <f t="shared" si="327"/>
        <v>2024</v>
      </c>
      <c r="E1000" s="518" t="str">
        <f>VLOOKUP($B1000,Week!$A$1:$C$1462,2,0)</f>
        <v>Week26</v>
      </c>
      <c r="F1000" s="520" t="str">
        <f t="shared" si="328"/>
        <v>Jun</v>
      </c>
      <c r="G1000" s="519" t="s">
        <v>1426</v>
      </c>
      <c r="H1000" s="519" t="s">
        <v>363</v>
      </c>
      <c r="I1000" s="519" t="s">
        <v>2772</v>
      </c>
      <c r="J1000" s="521" t="s">
        <v>364</v>
      </c>
      <c r="K1000" s="522" t="s">
        <v>1643</v>
      </c>
      <c r="L1000" s="300" t="s">
        <v>2167</v>
      </c>
      <c r="M1000" s="521" t="s">
        <v>646</v>
      </c>
      <c r="N1000" s="519" t="s">
        <v>1422</v>
      </c>
      <c r="O1000" s="519" t="s">
        <v>743</v>
      </c>
      <c r="P1000" s="523">
        <v>36</v>
      </c>
      <c r="Q1000" s="523">
        <v>5</v>
      </c>
      <c r="R1000" s="524">
        <v>7.4999999999999997E-3</v>
      </c>
      <c r="S1000" s="519" t="s">
        <v>40</v>
      </c>
      <c r="T1000" s="519" t="s">
        <v>112</v>
      </c>
      <c r="U1000" s="634" t="s">
        <v>721</v>
      </c>
      <c r="V1000" s="525">
        <v>1288</v>
      </c>
      <c r="W1000" s="525">
        <f>2+1286</f>
        <v>1288</v>
      </c>
      <c r="X1000" s="526"/>
      <c r="Y1000" s="527">
        <f t="shared" si="336"/>
        <v>0</v>
      </c>
      <c r="Z1000" s="528">
        <f t="shared" si="337"/>
        <v>0</v>
      </c>
      <c r="AA1000" s="528"/>
      <c r="AB1000" s="831"/>
      <c r="AC1000" s="525"/>
      <c r="AD1000" s="381"/>
      <c r="AE1000" s="210"/>
      <c r="AF1000" s="210"/>
      <c r="AG1000" s="211">
        <f t="shared" si="339"/>
        <v>0.14699999999999999</v>
      </c>
      <c r="AH1000" s="157">
        <f t="shared" si="341"/>
        <v>0</v>
      </c>
      <c r="AI1000" s="152">
        <f t="shared" si="340"/>
        <v>46368</v>
      </c>
      <c r="AK1000" s="156" t="s">
        <v>691</v>
      </c>
      <c r="AL1000" s="574" t="s">
        <v>690</v>
      </c>
      <c r="AM1000" s="198">
        <f t="shared" si="335"/>
        <v>0</v>
      </c>
      <c r="AN1000" s="199">
        <f t="shared" si="329"/>
        <v>45469</v>
      </c>
      <c r="AO1000" s="159" t="s">
        <v>692</v>
      </c>
      <c r="AP1000" s="783" t="s">
        <v>639</v>
      </c>
      <c r="AQ1000" s="782">
        <v>12071839</v>
      </c>
      <c r="AR1000" s="782">
        <v>12047514</v>
      </c>
      <c r="AS1000" s="782">
        <v>12047515</v>
      </c>
      <c r="AT1000" s="782">
        <v>12091753</v>
      </c>
      <c r="AU1000" s="781"/>
      <c r="AV1000" s="782">
        <v>12091754</v>
      </c>
      <c r="AW1000" s="782"/>
      <c r="AX1000" s="781"/>
      <c r="AY1000" s="782">
        <v>12091752</v>
      </c>
      <c r="AZ1000" s="781"/>
      <c r="BA1000" s="781"/>
    </row>
    <row r="1001" spans="1:53" ht="25" hidden="1" customHeight="1">
      <c r="B1001" s="517">
        <v>45469</v>
      </c>
      <c r="C1001" s="532">
        <v>45477</v>
      </c>
      <c r="D1001" s="185">
        <f t="shared" si="327"/>
        <v>2024</v>
      </c>
      <c r="E1001" s="518" t="str">
        <f>VLOOKUP($B1001,Week!$A$1:$C$1462,2,0)</f>
        <v>Week26</v>
      </c>
      <c r="F1001" s="520" t="str">
        <f t="shared" si="328"/>
        <v>Jun</v>
      </c>
      <c r="G1001" s="519" t="s">
        <v>1427</v>
      </c>
      <c r="H1001" s="519" t="s">
        <v>363</v>
      </c>
      <c r="I1001" s="519" t="s">
        <v>2772</v>
      </c>
      <c r="J1001" s="521" t="s">
        <v>364</v>
      </c>
      <c r="K1001" s="522" t="s">
        <v>1643</v>
      </c>
      <c r="L1001" s="300" t="s">
        <v>2167</v>
      </c>
      <c r="M1001" s="521" t="s">
        <v>646</v>
      </c>
      <c r="N1001" s="519" t="s">
        <v>1422</v>
      </c>
      <c r="O1001" s="519" t="s">
        <v>743</v>
      </c>
      <c r="P1001" s="523">
        <v>36</v>
      </c>
      <c r="Q1001" s="523">
        <v>5</v>
      </c>
      <c r="R1001" s="524">
        <v>7.4999999999999997E-3</v>
      </c>
      <c r="S1001" s="519" t="s">
        <v>40</v>
      </c>
      <c r="T1001" s="519" t="s">
        <v>112</v>
      </c>
      <c r="U1001" s="634" t="s">
        <v>721</v>
      </c>
      <c r="V1001" s="525">
        <v>1288</v>
      </c>
      <c r="W1001" s="525">
        <f>1962-1286</f>
        <v>676</v>
      </c>
      <c r="X1001" s="526">
        <f>(22032)/36</f>
        <v>612</v>
      </c>
      <c r="Y1001" s="527">
        <f t="shared" si="336"/>
        <v>0</v>
      </c>
      <c r="Z1001" s="528">
        <f t="shared" si="337"/>
        <v>0</v>
      </c>
      <c r="AA1001" s="528"/>
      <c r="AB1001" s="831"/>
      <c r="AC1001" s="525"/>
      <c r="AD1001" s="381"/>
      <c r="AE1001" s="210"/>
      <c r="AF1001" s="210"/>
      <c r="AG1001" s="211">
        <f t="shared" si="339"/>
        <v>0.14699999999999999</v>
      </c>
      <c r="AH1001" s="157">
        <f t="shared" si="341"/>
        <v>0</v>
      </c>
      <c r="AI1001" s="152">
        <f t="shared" si="340"/>
        <v>46368</v>
      </c>
      <c r="AK1001" s="156" t="s">
        <v>691</v>
      </c>
      <c r="AL1001" s="574" t="s">
        <v>690</v>
      </c>
      <c r="AM1001" s="198">
        <f t="shared" si="335"/>
        <v>0</v>
      </c>
      <c r="AN1001" s="199">
        <f t="shared" si="329"/>
        <v>45469</v>
      </c>
      <c r="AO1001" s="159" t="s">
        <v>692</v>
      </c>
      <c r="AP1001" s="783" t="s">
        <v>639</v>
      </c>
      <c r="AQ1001" s="782">
        <v>12071839</v>
      </c>
      <c r="AR1001" s="782">
        <v>12047514</v>
      </c>
      <c r="AS1001" s="782">
        <v>12047515</v>
      </c>
      <c r="AT1001" s="782">
        <v>12091753</v>
      </c>
      <c r="AU1001" s="781"/>
      <c r="AV1001" s="782">
        <v>12091754</v>
      </c>
      <c r="AW1001" s="782"/>
      <c r="AX1001" s="781"/>
      <c r="AY1001" s="782">
        <v>12091752</v>
      </c>
      <c r="AZ1001" s="781"/>
      <c r="BA1001" s="781"/>
    </row>
    <row r="1002" spans="1:53" ht="25" hidden="1" customHeight="1">
      <c r="B1002" s="619">
        <v>45470</v>
      </c>
      <c r="C1002" s="466">
        <v>45484</v>
      </c>
      <c r="D1002" s="185">
        <f t="shared" si="327"/>
        <v>2024</v>
      </c>
      <c r="E1002" s="467" t="str">
        <f>VLOOKUP($B1002,Week!$A$1:$C$1462,2,0)</f>
        <v>Week26</v>
      </c>
      <c r="F1002" s="469" t="str">
        <f t="shared" si="328"/>
        <v>Jun</v>
      </c>
      <c r="G1002" s="468" t="s">
        <v>1473</v>
      </c>
      <c r="H1002" s="468" t="s">
        <v>225</v>
      </c>
      <c r="I1002" s="468" t="s">
        <v>2773</v>
      </c>
      <c r="J1002" s="471" t="s">
        <v>335</v>
      </c>
      <c r="K1002" s="472" t="s">
        <v>1643</v>
      </c>
      <c r="L1002" s="300" t="s">
        <v>2167</v>
      </c>
      <c r="M1002" s="471" t="s">
        <v>336</v>
      </c>
      <c r="N1002" s="468" t="s">
        <v>748</v>
      </c>
      <c r="O1002" s="468" t="s">
        <v>743</v>
      </c>
      <c r="P1002" s="473">
        <v>36</v>
      </c>
      <c r="Q1002" s="473">
        <v>5</v>
      </c>
      <c r="R1002" s="474">
        <v>7.4999999999999997E-3</v>
      </c>
      <c r="S1002" s="468" t="s">
        <v>40</v>
      </c>
      <c r="T1002" s="468" t="s">
        <v>112</v>
      </c>
      <c r="U1002" s="620" t="s">
        <v>721</v>
      </c>
      <c r="V1002" s="475">
        <v>1288</v>
      </c>
      <c r="W1002" s="475">
        <f>11+1277</f>
        <v>1288</v>
      </c>
      <c r="X1002" s="476"/>
      <c r="Y1002" s="477">
        <f t="shared" si="336"/>
        <v>0</v>
      </c>
      <c r="Z1002" s="478">
        <f t="shared" si="337"/>
        <v>0</v>
      </c>
      <c r="AA1002" s="478"/>
      <c r="AB1002" s="828"/>
      <c r="AC1002" s="475"/>
      <c r="AD1002" s="515"/>
      <c r="AE1002" s="210"/>
      <c r="AF1002" s="210"/>
      <c r="AG1002" s="211">
        <f t="shared" si="339"/>
        <v>0.14699999999999999</v>
      </c>
      <c r="AH1002" s="157">
        <f t="shared" si="341"/>
        <v>0</v>
      </c>
      <c r="AI1002" s="152">
        <f t="shared" si="340"/>
        <v>46368</v>
      </c>
      <c r="AK1002" s="156" t="s">
        <v>691</v>
      </c>
      <c r="AL1002" s="574" t="s">
        <v>690</v>
      </c>
      <c r="AM1002" s="198">
        <f t="shared" si="335"/>
        <v>0</v>
      </c>
      <c r="AN1002" s="199">
        <f t="shared" si="329"/>
        <v>45470</v>
      </c>
      <c r="AO1002" s="159" t="s">
        <v>692</v>
      </c>
      <c r="AP1002" s="783" t="s">
        <v>639</v>
      </c>
      <c r="AQ1002" s="782">
        <v>12071839</v>
      </c>
      <c r="AR1002" s="782">
        <v>12047514</v>
      </c>
      <c r="AS1002" s="782">
        <v>12047515</v>
      </c>
      <c r="AT1002" s="782">
        <v>12089769</v>
      </c>
      <c r="AU1002" s="781"/>
      <c r="AV1002" s="782">
        <v>12089766</v>
      </c>
      <c r="AW1002" s="782">
        <v>12024404</v>
      </c>
      <c r="AX1002" s="781"/>
      <c r="AY1002" s="782">
        <v>12089770</v>
      </c>
      <c r="AZ1002" s="781"/>
      <c r="BA1002" s="781"/>
    </row>
    <row r="1003" spans="1:53" ht="25" hidden="1" customHeight="1">
      <c r="B1003" s="619">
        <v>45470</v>
      </c>
      <c r="C1003" s="466">
        <v>45484</v>
      </c>
      <c r="D1003" s="185">
        <f t="shared" si="327"/>
        <v>2024</v>
      </c>
      <c r="E1003" s="467" t="str">
        <f>VLOOKUP($B1003,Week!$A$1:$C$1462,2,0)</f>
        <v>Week26</v>
      </c>
      <c r="F1003" s="469" t="str">
        <f t="shared" si="328"/>
        <v>Jun</v>
      </c>
      <c r="G1003" s="468" t="s">
        <v>1474</v>
      </c>
      <c r="H1003" s="468" t="s">
        <v>225</v>
      </c>
      <c r="I1003" s="468" t="s">
        <v>2773</v>
      </c>
      <c r="J1003" s="471" t="s">
        <v>335</v>
      </c>
      <c r="K1003" s="472" t="s">
        <v>1643</v>
      </c>
      <c r="L1003" s="300" t="s">
        <v>2167</v>
      </c>
      <c r="M1003" s="471" t="s">
        <v>336</v>
      </c>
      <c r="N1003" s="468" t="s">
        <v>748</v>
      </c>
      <c r="O1003" s="468" t="s">
        <v>743</v>
      </c>
      <c r="P1003" s="473">
        <v>36</v>
      </c>
      <c r="Q1003" s="473">
        <v>5</v>
      </c>
      <c r="R1003" s="474">
        <v>7.4999999999999997E-3</v>
      </c>
      <c r="S1003" s="468" t="s">
        <v>40</v>
      </c>
      <c r="T1003" s="468" t="s">
        <v>112</v>
      </c>
      <c r="U1003" s="620" t="s">
        <v>721</v>
      </c>
      <c r="V1003" s="475">
        <v>1288</v>
      </c>
      <c r="W1003" s="475">
        <f>2375-1277</f>
        <v>1098</v>
      </c>
      <c r="X1003" s="476">
        <f>190</f>
        <v>190</v>
      </c>
      <c r="Y1003" s="477">
        <f t="shared" si="336"/>
        <v>0</v>
      </c>
      <c r="Z1003" s="478">
        <f t="shared" si="337"/>
        <v>0</v>
      </c>
      <c r="AA1003" s="478"/>
      <c r="AB1003" s="828"/>
      <c r="AC1003" s="475"/>
      <c r="AD1003" s="515"/>
      <c r="AE1003" s="210"/>
      <c r="AF1003" s="210"/>
      <c r="AG1003" s="211">
        <f t="shared" si="339"/>
        <v>0.14699999999999999</v>
      </c>
      <c r="AH1003" s="157">
        <f t="shared" si="341"/>
        <v>0</v>
      </c>
      <c r="AI1003" s="152">
        <f t="shared" si="340"/>
        <v>46368</v>
      </c>
      <c r="AK1003" s="156" t="s">
        <v>691</v>
      </c>
      <c r="AL1003" s="574" t="s">
        <v>690</v>
      </c>
      <c r="AM1003" s="198">
        <f t="shared" si="335"/>
        <v>0</v>
      </c>
      <c r="AN1003" s="199">
        <f t="shared" si="329"/>
        <v>45470</v>
      </c>
      <c r="AO1003" s="159" t="s">
        <v>692</v>
      </c>
      <c r="AP1003" s="783" t="s">
        <v>639</v>
      </c>
      <c r="AQ1003" s="782">
        <v>12071839</v>
      </c>
      <c r="AR1003" s="782">
        <v>12047514</v>
      </c>
      <c r="AS1003" s="782">
        <v>12047515</v>
      </c>
      <c r="AT1003" s="782">
        <v>12089769</v>
      </c>
      <c r="AU1003" s="781"/>
      <c r="AV1003" s="782">
        <v>12089766</v>
      </c>
      <c r="AW1003" s="782">
        <v>12024404</v>
      </c>
      <c r="AX1003" s="781"/>
      <c r="AY1003" s="782">
        <v>12089770</v>
      </c>
      <c r="AZ1003" s="781"/>
      <c r="BA1003" s="781"/>
    </row>
    <row r="1004" spans="1:53" ht="25" hidden="1" customHeight="1">
      <c r="B1004" s="619">
        <v>45470</v>
      </c>
      <c r="C1004" s="466">
        <v>45498</v>
      </c>
      <c r="D1004" s="185">
        <f t="shared" si="327"/>
        <v>2024</v>
      </c>
      <c r="E1004" s="467" t="str">
        <f>VLOOKUP($B1004,Week!$A$1:$C$1462,2,0)</f>
        <v>Week26</v>
      </c>
      <c r="F1004" s="469" t="str">
        <f t="shared" si="328"/>
        <v>Jun</v>
      </c>
      <c r="G1004" s="468" t="s">
        <v>1475</v>
      </c>
      <c r="H1004" s="468" t="s">
        <v>225</v>
      </c>
      <c r="I1004" s="468" t="s">
        <v>2773</v>
      </c>
      <c r="J1004" s="471" t="s">
        <v>335</v>
      </c>
      <c r="K1004" s="472" t="s">
        <v>1643</v>
      </c>
      <c r="L1004" s="300" t="s">
        <v>2167</v>
      </c>
      <c r="M1004" s="471" t="s">
        <v>336</v>
      </c>
      <c r="N1004" s="468" t="s">
        <v>748</v>
      </c>
      <c r="O1004" s="468" t="s">
        <v>743</v>
      </c>
      <c r="P1004" s="473">
        <v>36</v>
      </c>
      <c r="Q1004" s="473">
        <v>5</v>
      </c>
      <c r="R1004" s="474">
        <v>7.4999999999999997E-3</v>
      </c>
      <c r="S1004" s="468" t="s">
        <v>40</v>
      </c>
      <c r="T1004" s="468" t="s">
        <v>112</v>
      </c>
      <c r="U1004" s="620" t="s">
        <v>721</v>
      </c>
      <c r="V1004" s="475">
        <v>1288</v>
      </c>
      <c r="W1004" s="475"/>
      <c r="X1004" s="476">
        <f>1288</f>
        <v>1288</v>
      </c>
      <c r="Y1004" s="477">
        <f t="shared" si="336"/>
        <v>0</v>
      </c>
      <c r="Z1004" s="478">
        <f t="shared" si="337"/>
        <v>0</v>
      </c>
      <c r="AA1004" s="478"/>
      <c r="AB1004" s="828"/>
      <c r="AC1004" s="475"/>
      <c r="AD1004" s="515"/>
      <c r="AE1004" s="210"/>
      <c r="AF1004" s="210"/>
      <c r="AG1004" s="211">
        <f t="shared" si="339"/>
        <v>0.14699999999999999</v>
      </c>
      <c r="AH1004" s="157">
        <f t="shared" si="341"/>
        <v>0</v>
      </c>
      <c r="AI1004" s="152">
        <f t="shared" si="340"/>
        <v>46368</v>
      </c>
      <c r="AK1004" s="156" t="s">
        <v>691</v>
      </c>
      <c r="AL1004" s="574" t="s">
        <v>690</v>
      </c>
      <c r="AM1004" s="198">
        <f t="shared" si="335"/>
        <v>0</v>
      </c>
      <c r="AN1004" s="199">
        <f t="shared" si="329"/>
        <v>45470</v>
      </c>
      <c r="AO1004" s="159" t="s">
        <v>692</v>
      </c>
      <c r="AP1004" s="783" t="s">
        <v>639</v>
      </c>
      <c r="AQ1004" s="782">
        <v>12071839</v>
      </c>
      <c r="AR1004" s="782">
        <v>12047514</v>
      </c>
      <c r="AS1004" s="782">
        <v>12047515</v>
      </c>
      <c r="AT1004" s="782">
        <v>12089769</v>
      </c>
      <c r="AU1004" s="781"/>
      <c r="AV1004" s="782">
        <v>12089766</v>
      </c>
      <c r="AW1004" s="782">
        <v>12024404</v>
      </c>
      <c r="AX1004" s="781"/>
      <c r="AY1004" s="782">
        <v>12089770</v>
      </c>
      <c r="AZ1004" s="781"/>
      <c r="BA1004" s="781"/>
    </row>
    <row r="1005" spans="1:53" ht="25" hidden="1" customHeight="1">
      <c r="B1005" s="357">
        <v>45471</v>
      </c>
      <c r="C1005" s="358">
        <v>45497</v>
      </c>
      <c r="D1005" s="185">
        <f t="shared" si="327"/>
        <v>2024</v>
      </c>
      <c r="E1005" s="358" t="str">
        <f>VLOOKUP($B1005,Week!$A$1:$C$1462,2,0)</f>
        <v>Week26</v>
      </c>
      <c r="F1005" s="360" t="str">
        <f t="shared" si="328"/>
        <v>Jun</v>
      </c>
      <c r="G1005" s="436" t="s">
        <v>1477</v>
      </c>
      <c r="H1005" s="359" t="s">
        <v>225</v>
      </c>
      <c r="I1005" s="359" t="s">
        <v>2773</v>
      </c>
      <c r="J1005" s="361" t="s">
        <v>650</v>
      </c>
      <c r="K1005" s="362" t="s">
        <v>593</v>
      </c>
      <c r="L1005" s="300" t="s">
        <v>2167</v>
      </c>
      <c r="M1005" s="361" t="s">
        <v>717</v>
      </c>
      <c r="N1005" s="359" t="s">
        <v>719</v>
      </c>
      <c r="O1005" s="359" t="s">
        <v>230</v>
      </c>
      <c r="P1005" s="363">
        <v>12</v>
      </c>
      <c r="Q1005" s="363">
        <v>5</v>
      </c>
      <c r="R1005" s="364">
        <v>6.0000000000000001E-3</v>
      </c>
      <c r="S1005" s="359" t="s">
        <v>55</v>
      </c>
      <c r="T1005" s="359" t="s">
        <v>112</v>
      </c>
      <c r="U1005" s="359" t="s">
        <v>57</v>
      </c>
      <c r="V1005" s="365">
        <v>2600</v>
      </c>
      <c r="W1005" s="365"/>
      <c r="X1005" s="366">
        <f>(1815+29385)/12</f>
        <v>2600</v>
      </c>
      <c r="Y1005" s="367">
        <f t="shared" si="336"/>
        <v>0</v>
      </c>
      <c r="Z1005" s="368">
        <f t="shared" si="337"/>
        <v>0</v>
      </c>
      <c r="AA1005" s="368"/>
      <c r="AB1005" s="819"/>
      <c r="AC1005" s="365"/>
      <c r="AD1005" s="515"/>
      <c r="AE1005" s="210"/>
      <c r="AF1005" s="210"/>
      <c r="AG1005" s="211">
        <f t="shared" si="339"/>
        <v>0.25800000000000001</v>
      </c>
      <c r="AH1005" s="157">
        <f t="shared" si="341"/>
        <v>0</v>
      </c>
      <c r="AI1005" s="152">
        <f t="shared" si="340"/>
        <v>31200</v>
      </c>
      <c r="AK1005" s="156" t="s">
        <v>691</v>
      </c>
      <c r="AL1005" s="574" t="s">
        <v>690</v>
      </c>
      <c r="AM1005" s="198">
        <f t="shared" ref="AM1005:AM1010" si="342">AG1005*Z1005</f>
        <v>0</v>
      </c>
      <c r="AN1005" s="199">
        <f t="shared" si="329"/>
        <v>45471</v>
      </c>
      <c r="AO1005" s="159" t="s">
        <v>692</v>
      </c>
      <c r="AP1005" s="783" t="s">
        <v>612</v>
      </c>
      <c r="AQ1005" s="782">
        <v>12071839</v>
      </c>
      <c r="AR1005" s="782">
        <v>12042650</v>
      </c>
      <c r="AS1005" s="782">
        <v>12042649</v>
      </c>
      <c r="AT1005" s="782">
        <v>12088423</v>
      </c>
      <c r="AU1005" s="781"/>
      <c r="AV1005" s="782">
        <v>12088422</v>
      </c>
      <c r="AW1005" s="782"/>
      <c r="AX1005" s="782"/>
      <c r="AY1005" s="782"/>
      <c r="AZ1005" s="782"/>
      <c r="BA1005" s="781"/>
    </row>
    <row r="1006" spans="1:53" ht="25" hidden="1" customHeight="1">
      <c r="B1006" s="357">
        <v>45471</v>
      </c>
      <c r="C1006" s="358">
        <v>45512</v>
      </c>
      <c r="D1006" s="185">
        <f t="shared" si="327"/>
        <v>2024</v>
      </c>
      <c r="E1006" s="358" t="str">
        <f>VLOOKUP($B1006,Week!$A$1:$C$1462,2,0)</f>
        <v>Week26</v>
      </c>
      <c r="F1006" s="360" t="str">
        <f t="shared" si="328"/>
        <v>Jun</v>
      </c>
      <c r="G1006" s="436" t="s">
        <v>1262</v>
      </c>
      <c r="H1006" s="359" t="s">
        <v>225</v>
      </c>
      <c r="I1006" s="359" t="s">
        <v>2773</v>
      </c>
      <c r="J1006" s="361" t="s">
        <v>650</v>
      </c>
      <c r="K1006" s="362" t="s">
        <v>593</v>
      </c>
      <c r="L1006" s="300" t="s">
        <v>2167</v>
      </c>
      <c r="M1006" s="361" t="s">
        <v>717</v>
      </c>
      <c r="N1006" s="359" t="s">
        <v>719</v>
      </c>
      <c r="O1006" s="359" t="s">
        <v>230</v>
      </c>
      <c r="P1006" s="363">
        <v>12</v>
      </c>
      <c r="Q1006" s="363">
        <v>5</v>
      </c>
      <c r="R1006" s="364">
        <v>6.0000000000000001E-3</v>
      </c>
      <c r="S1006" s="359" t="s">
        <v>55</v>
      </c>
      <c r="T1006" s="359" t="s">
        <v>112</v>
      </c>
      <c r="U1006" s="359" t="s">
        <v>57</v>
      </c>
      <c r="V1006" s="365">
        <v>2600</v>
      </c>
      <c r="W1006" s="365"/>
      <c r="X1006" s="366">
        <f>2600</f>
        <v>2600</v>
      </c>
      <c r="Y1006" s="367">
        <f t="shared" si="336"/>
        <v>0</v>
      </c>
      <c r="Z1006" s="368">
        <f t="shared" si="337"/>
        <v>0</v>
      </c>
      <c r="AA1006" s="368"/>
      <c r="AB1006" s="819"/>
      <c r="AC1006" s="365"/>
      <c r="AD1006" s="515"/>
      <c r="AE1006" s="210"/>
      <c r="AF1006" s="210"/>
      <c r="AG1006" s="211">
        <f t="shared" si="339"/>
        <v>0.25800000000000001</v>
      </c>
      <c r="AH1006" s="157">
        <f t="shared" si="341"/>
        <v>0</v>
      </c>
      <c r="AI1006" s="152">
        <f t="shared" si="340"/>
        <v>31200</v>
      </c>
      <c r="AK1006" s="156" t="s">
        <v>691</v>
      </c>
      <c r="AL1006" s="574" t="s">
        <v>690</v>
      </c>
      <c r="AM1006" s="198">
        <f>AG1006*Z1006</f>
        <v>0</v>
      </c>
      <c r="AN1006" s="199">
        <f t="shared" si="329"/>
        <v>45471</v>
      </c>
      <c r="AO1006" s="159" t="s">
        <v>692</v>
      </c>
      <c r="AP1006" s="783" t="s">
        <v>612</v>
      </c>
      <c r="AQ1006" s="782">
        <v>12071839</v>
      </c>
      <c r="AR1006" s="782">
        <v>12042650</v>
      </c>
      <c r="AS1006" s="782">
        <v>12042649</v>
      </c>
      <c r="AT1006" s="782">
        <v>12088423</v>
      </c>
      <c r="AU1006" s="781"/>
      <c r="AV1006" s="782">
        <v>12088422</v>
      </c>
      <c r="AW1006" s="782"/>
      <c r="AX1006" s="782"/>
      <c r="AY1006" s="782"/>
      <c r="AZ1006" s="782"/>
      <c r="BA1006" s="781"/>
    </row>
    <row r="1007" spans="1:53" ht="24.65" hidden="1" customHeight="1">
      <c r="B1007" s="308">
        <v>45471</v>
      </c>
      <c r="C1007" s="309">
        <v>45488</v>
      </c>
      <c r="D1007" s="185">
        <f t="shared" si="327"/>
        <v>2024</v>
      </c>
      <c r="E1007" s="309" t="str">
        <f>VLOOKUP($B1007,Week!$A$1:$C$1462,2,0)</f>
        <v>Week26</v>
      </c>
      <c r="F1007" s="310" t="str">
        <f t="shared" si="328"/>
        <v>Jun</v>
      </c>
      <c r="G1007" s="311" t="s">
        <v>1313</v>
      </c>
      <c r="H1007" s="311" t="s">
        <v>311</v>
      </c>
      <c r="I1007" s="311" t="s">
        <v>2772</v>
      </c>
      <c r="J1007" s="312" t="s">
        <v>738</v>
      </c>
      <c r="K1007" s="313" t="s">
        <v>107</v>
      </c>
      <c r="L1007" s="300" t="s">
        <v>2167</v>
      </c>
      <c r="M1007" s="312" t="s">
        <v>313</v>
      </c>
      <c r="N1007" s="311" t="s">
        <v>314</v>
      </c>
      <c r="O1007" s="311" t="s">
        <v>110</v>
      </c>
      <c r="P1007" s="314">
        <v>36</v>
      </c>
      <c r="Q1007" s="314">
        <v>5</v>
      </c>
      <c r="R1007" s="315">
        <v>7.4999999999999997E-3</v>
      </c>
      <c r="S1007" s="311" t="s">
        <v>111</v>
      </c>
      <c r="T1007" s="311" t="s">
        <v>112</v>
      </c>
      <c r="U1007" s="311" t="s">
        <v>57</v>
      </c>
      <c r="V1007" s="316">
        <v>792</v>
      </c>
      <c r="W1007" s="316">
        <f>160+506</f>
        <v>666</v>
      </c>
      <c r="X1007" s="317">
        <v>130</v>
      </c>
      <c r="Y1007" s="318">
        <f t="shared" si="336"/>
        <v>4</v>
      </c>
      <c r="Z1007" s="319">
        <f t="shared" si="337"/>
        <v>0</v>
      </c>
      <c r="AA1007" s="319"/>
      <c r="AB1007" s="815"/>
      <c r="AC1007" s="316"/>
      <c r="AD1007" s="515"/>
      <c r="AE1007" s="210"/>
      <c r="AF1007" s="210"/>
      <c r="AG1007" s="211">
        <f t="shared" si="339"/>
        <v>0.308</v>
      </c>
      <c r="AH1007" s="157">
        <f t="shared" si="341"/>
        <v>0</v>
      </c>
      <c r="AI1007" s="152">
        <f t="shared" si="340"/>
        <v>28512</v>
      </c>
      <c r="AK1007" s="156" t="s">
        <v>691</v>
      </c>
      <c r="AL1007" s="212" t="s">
        <v>690</v>
      </c>
      <c r="AM1007" s="198">
        <f t="shared" si="342"/>
        <v>0</v>
      </c>
      <c r="AN1007" s="199">
        <f t="shared" si="329"/>
        <v>45471</v>
      </c>
      <c r="AO1007" s="159" t="s">
        <v>692</v>
      </c>
      <c r="AP1007" s="783" t="s">
        <v>644</v>
      </c>
      <c r="AQ1007" s="782">
        <v>12063755</v>
      </c>
      <c r="AR1007" s="782">
        <v>12061353</v>
      </c>
      <c r="AS1007" s="782">
        <v>12061354</v>
      </c>
      <c r="AT1007" s="782">
        <v>12062266</v>
      </c>
      <c r="AU1007" s="781"/>
      <c r="AV1007" s="782">
        <v>12088159</v>
      </c>
      <c r="AW1007" s="782">
        <v>12088207</v>
      </c>
      <c r="AX1007" s="782"/>
      <c r="AY1007" s="782">
        <v>12062262</v>
      </c>
      <c r="AZ1007" s="782"/>
      <c r="BA1007" s="781"/>
    </row>
    <row r="1008" spans="1:53" ht="24.65" hidden="1" customHeight="1">
      <c r="B1008" s="308">
        <v>45471</v>
      </c>
      <c r="C1008" s="309">
        <v>45488</v>
      </c>
      <c r="D1008" s="185">
        <f t="shared" si="327"/>
        <v>2024</v>
      </c>
      <c r="E1008" s="309" t="str">
        <f>VLOOKUP($B1008,Week!$A$1:$C$1462,2,0)</f>
        <v>Week26</v>
      </c>
      <c r="F1008" s="310" t="str">
        <f t="shared" si="328"/>
        <v>Jun</v>
      </c>
      <c r="G1008" s="311" t="s">
        <v>1350</v>
      </c>
      <c r="H1008" s="311" t="s">
        <v>311</v>
      </c>
      <c r="I1008" s="311" t="s">
        <v>2772</v>
      </c>
      <c r="J1008" s="312" t="s">
        <v>738</v>
      </c>
      <c r="K1008" s="313" t="s">
        <v>107</v>
      </c>
      <c r="L1008" s="300" t="s">
        <v>2167</v>
      </c>
      <c r="M1008" s="312" t="s">
        <v>313</v>
      </c>
      <c r="N1008" s="311" t="s">
        <v>314</v>
      </c>
      <c r="O1008" s="311" t="s">
        <v>110</v>
      </c>
      <c r="P1008" s="314">
        <v>36</v>
      </c>
      <c r="Q1008" s="314">
        <v>5</v>
      </c>
      <c r="R1008" s="315">
        <v>7.4999999999999997E-3</v>
      </c>
      <c r="S1008" s="311" t="s">
        <v>111</v>
      </c>
      <c r="T1008" s="311" t="s">
        <v>112</v>
      </c>
      <c r="U1008" s="311" t="s">
        <v>57</v>
      </c>
      <c r="V1008" s="316">
        <v>792</v>
      </c>
      <c r="W1008" s="316">
        <f>160+632</f>
        <v>792</v>
      </c>
      <c r="X1008" s="317"/>
      <c r="Y1008" s="318">
        <f t="shared" si="336"/>
        <v>0</v>
      </c>
      <c r="Z1008" s="319">
        <f t="shared" si="337"/>
        <v>0</v>
      </c>
      <c r="AA1008" s="319"/>
      <c r="AB1008" s="815"/>
      <c r="AC1008" s="316"/>
      <c r="AD1008" s="515"/>
      <c r="AE1008" s="210"/>
      <c r="AF1008" s="210"/>
      <c r="AG1008" s="211">
        <f t="shared" si="339"/>
        <v>0.308</v>
      </c>
      <c r="AH1008" s="157">
        <f t="shared" si="341"/>
        <v>0</v>
      </c>
      <c r="AI1008" s="152">
        <f t="shared" si="340"/>
        <v>28512</v>
      </c>
      <c r="AK1008" s="156" t="s">
        <v>691</v>
      </c>
      <c r="AL1008" s="212" t="s">
        <v>690</v>
      </c>
      <c r="AM1008" s="198">
        <f t="shared" si="342"/>
        <v>0</v>
      </c>
      <c r="AN1008" s="199">
        <f t="shared" si="329"/>
        <v>45471</v>
      </c>
      <c r="AO1008" s="159" t="s">
        <v>692</v>
      </c>
      <c r="AP1008" s="783" t="s">
        <v>644</v>
      </c>
      <c r="AQ1008" s="782">
        <v>12063755</v>
      </c>
      <c r="AR1008" s="782">
        <v>12061353</v>
      </c>
      <c r="AS1008" s="782">
        <v>12061354</v>
      </c>
      <c r="AT1008" s="782">
        <v>12062266</v>
      </c>
      <c r="AU1008" s="781"/>
      <c r="AV1008" s="782">
        <v>12088159</v>
      </c>
      <c r="AW1008" s="782">
        <v>12088207</v>
      </c>
      <c r="AX1008" s="782"/>
      <c r="AY1008" s="782">
        <v>12062262</v>
      </c>
      <c r="AZ1008" s="782"/>
      <c r="BA1008" s="781"/>
    </row>
    <row r="1009" spans="1:53" ht="24.65" hidden="1" customHeight="1">
      <c r="B1009" s="308">
        <v>45471</v>
      </c>
      <c r="C1009" s="309">
        <v>45497</v>
      </c>
      <c r="D1009" s="185">
        <f t="shared" si="327"/>
        <v>2024</v>
      </c>
      <c r="E1009" s="309" t="str">
        <f>VLOOKUP($B1009,Week!$A$1:$C$1462,2,0)</f>
        <v>Week26</v>
      </c>
      <c r="F1009" s="310" t="str">
        <f t="shared" si="328"/>
        <v>Jun</v>
      </c>
      <c r="G1009" s="311" t="s">
        <v>1462</v>
      </c>
      <c r="H1009" s="311" t="s">
        <v>311</v>
      </c>
      <c r="I1009" s="311" t="s">
        <v>2772</v>
      </c>
      <c r="J1009" s="312" t="s">
        <v>738</v>
      </c>
      <c r="K1009" s="313" t="s">
        <v>107</v>
      </c>
      <c r="L1009" s="300" t="s">
        <v>2167</v>
      </c>
      <c r="M1009" s="312" t="s">
        <v>313</v>
      </c>
      <c r="N1009" s="311" t="s">
        <v>314</v>
      </c>
      <c r="O1009" s="311" t="s">
        <v>110</v>
      </c>
      <c r="P1009" s="314">
        <v>36</v>
      </c>
      <c r="Q1009" s="314">
        <v>5</v>
      </c>
      <c r="R1009" s="315">
        <v>7.4999999999999997E-3</v>
      </c>
      <c r="S1009" s="311" t="s">
        <v>111</v>
      </c>
      <c r="T1009" s="311" t="s">
        <v>112</v>
      </c>
      <c r="U1009" s="311" t="s">
        <v>57</v>
      </c>
      <c r="V1009" s="316">
        <v>792</v>
      </c>
      <c r="W1009" s="316">
        <f>18+461+121+171</f>
        <v>771</v>
      </c>
      <c r="X1009" s="317">
        <f>160-18-121</f>
        <v>21</v>
      </c>
      <c r="Y1009" s="318">
        <f t="shared" si="336"/>
        <v>0</v>
      </c>
      <c r="Z1009" s="319">
        <f t="shared" si="337"/>
        <v>0</v>
      </c>
      <c r="AA1009" s="319"/>
      <c r="AB1009" s="815"/>
      <c r="AC1009" s="316"/>
      <c r="AD1009" s="515"/>
      <c r="AE1009" s="210"/>
      <c r="AF1009" s="210"/>
      <c r="AG1009" s="211">
        <f t="shared" si="339"/>
        <v>0.308</v>
      </c>
      <c r="AH1009" s="157">
        <f t="shared" si="341"/>
        <v>0</v>
      </c>
      <c r="AI1009" s="152">
        <f t="shared" si="340"/>
        <v>28512</v>
      </c>
      <c r="AK1009" s="156" t="s">
        <v>691</v>
      </c>
      <c r="AL1009" s="212" t="s">
        <v>690</v>
      </c>
      <c r="AM1009" s="198">
        <f t="shared" si="342"/>
        <v>0</v>
      </c>
      <c r="AN1009" s="199">
        <f t="shared" si="329"/>
        <v>45471</v>
      </c>
      <c r="AO1009" s="159" t="s">
        <v>692</v>
      </c>
      <c r="AP1009" s="783" t="s">
        <v>644</v>
      </c>
      <c r="AQ1009" s="782">
        <v>12063755</v>
      </c>
      <c r="AR1009" s="782">
        <v>12061353</v>
      </c>
      <c r="AS1009" s="782">
        <v>12061354</v>
      </c>
      <c r="AT1009" s="782">
        <v>12062266</v>
      </c>
      <c r="AU1009" s="781"/>
      <c r="AV1009" s="782">
        <v>12088159</v>
      </c>
      <c r="AW1009" s="782">
        <v>12088207</v>
      </c>
      <c r="AX1009" s="782"/>
      <c r="AY1009" s="782">
        <v>12062262</v>
      </c>
      <c r="AZ1009" s="782"/>
      <c r="BA1009" s="781"/>
    </row>
    <row r="1010" spans="1:53" ht="25" hidden="1" customHeight="1">
      <c r="B1010" s="487">
        <v>45471</v>
      </c>
      <c r="C1010" s="487">
        <v>45496</v>
      </c>
      <c r="D1010" s="185">
        <f t="shared" si="327"/>
        <v>2024</v>
      </c>
      <c r="E1010" s="488" t="str">
        <f>VLOOKUP($B1010,Week!$A$1:$C$1462,2,0)</f>
        <v>Week26</v>
      </c>
      <c r="F1010" s="489" t="str">
        <f t="shared" si="328"/>
        <v>Jun</v>
      </c>
      <c r="G1010" s="444" t="s">
        <v>1040</v>
      </c>
      <c r="H1010" s="444" t="s">
        <v>571</v>
      </c>
      <c r="I1010" s="444" t="s">
        <v>2772</v>
      </c>
      <c r="J1010" s="490" t="s">
        <v>663</v>
      </c>
      <c r="K1010" s="491" t="s">
        <v>107</v>
      </c>
      <c r="L1010" s="300" t="s">
        <v>2167</v>
      </c>
      <c r="M1010" s="490" t="s">
        <v>136</v>
      </c>
      <c r="N1010" s="444" t="s">
        <v>574</v>
      </c>
      <c r="O1010" s="444" t="s">
        <v>270</v>
      </c>
      <c r="P1010" s="492">
        <v>12</v>
      </c>
      <c r="Q1010" s="492">
        <v>3</v>
      </c>
      <c r="R1010" s="493">
        <v>7.4999999999999997E-3</v>
      </c>
      <c r="S1010" s="444" t="s">
        <v>111</v>
      </c>
      <c r="T1010" s="444" t="s">
        <v>112</v>
      </c>
      <c r="U1010" s="444" t="s">
        <v>57</v>
      </c>
      <c r="V1010" s="494">
        <v>2040</v>
      </c>
      <c r="W1010" s="494"/>
      <c r="X1010" s="495">
        <f>(1308+23172)/12</f>
        <v>2040</v>
      </c>
      <c r="Y1010" s="496">
        <f t="shared" si="336"/>
        <v>0</v>
      </c>
      <c r="Z1010" s="497">
        <f t="shared" si="337"/>
        <v>0</v>
      </c>
      <c r="AA1010" s="497"/>
      <c r="AB1010" s="829"/>
      <c r="AC1010" s="494"/>
      <c r="AD1010" s="639" t="s">
        <v>1414</v>
      </c>
      <c r="AE1010" s="210"/>
      <c r="AF1010" s="210"/>
      <c r="AG1010" s="211">
        <f t="shared" si="339"/>
        <v>0.309</v>
      </c>
      <c r="AH1010" s="157">
        <f t="shared" si="341"/>
        <v>0</v>
      </c>
      <c r="AI1010" s="152">
        <f t="shared" si="340"/>
        <v>24480</v>
      </c>
      <c r="AK1010" s="156" t="s">
        <v>691</v>
      </c>
      <c r="AL1010" s="212" t="s">
        <v>690</v>
      </c>
      <c r="AM1010" s="198">
        <f t="shared" si="342"/>
        <v>0</v>
      </c>
      <c r="AN1010" s="199">
        <f t="shared" si="329"/>
        <v>45471</v>
      </c>
      <c r="AO1010" s="159" t="s">
        <v>692</v>
      </c>
      <c r="AP1010" s="781"/>
      <c r="AQ1010" s="782">
        <v>12063755</v>
      </c>
      <c r="AR1010" s="782">
        <v>12061353</v>
      </c>
      <c r="AS1010" s="782">
        <v>12061354</v>
      </c>
      <c r="AT1010" s="782">
        <v>12090252</v>
      </c>
      <c r="AU1010" s="781"/>
      <c r="AV1010" s="782">
        <v>12090250</v>
      </c>
      <c r="AW1010" s="782"/>
      <c r="AX1010" s="782"/>
      <c r="AY1010" s="782">
        <v>12082927</v>
      </c>
      <c r="AZ1010" s="782">
        <v>12082928</v>
      </c>
      <c r="BA1010" s="782">
        <v>12082929</v>
      </c>
    </row>
    <row r="1011" spans="1:53" ht="24.65" hidden="1" customHeight="1">
      <c r="B1011" s="411">
        <v>45472</v>
      </c>
      <c r="C1011" s="412" t="s">
        <v>1572</v>
      </c>
      <c r="D1011" s="185">
        <f t="shared" si="327"/>
        <v>2024</v>
      </c>
      <c r="E1011" s="412" t="str">
        <f>VLOOKUP($B1011,Week!$A$1:$C$1462,2,0)</f>
        <v>Week26</v>
      </c>
      <c r="F1011" s="413" t="str">
        <f t="shared" si="328"/>
        <v>Jun</v>
      </c>
      <c r="G1011" s="414" t="s">
        <v>47</v>
      </c>
      <c r="H1011" s="414" t="s">
        <v>260</v>
      </c>
      <c r="I1011" s="414" t="s">
        <v>2702</v>
      </c>
      <c r="J1011" s="415" t="s">
        <v>261</v>
      </c>
      <c r="K1011" s="416" t="s">
        <v>94</v>
      </c>
      <c r="L1011" s="300" t="s">
        <v>2167</v>
      </c>
      <c r="M1011" s="415" t="s">
        <v>1303</v>
      </c>
      <c r="N1011" s="414" t="s">
        <v>263</v>
      </c>
      <c r="O1011" s="414" t="s">
        <v>195</v>
      </c>
      <c r="P1011" s="417">
        <v>24</v>
      </c>
      <c r="Q1011" s="417">
        <v>5</v>
      </c>
      <c r="R1011" s="418">
        <v>8.0000000000000002E-3</v>
      </c>
      <c r="S1011" s="414" t="s">
        <v>40</v>
      </c>
      <c r="T1011" s="414" t="s">
        <v>56</v>
      </c>
      <c r="U1011" s="414" t="s">
        <v>57</v>
      </c>
      <c r="V1011" s="419">
        <f>5692</f>
        <v>5692</v>
      </c>
      <c r="W1011" s="419">
        <f>5692</f>
        <v>5692</v>
      </c>
      <c r="X1011" s="420"/>
      <c r="Y1011" s="421">
        <f t="shared" si="336"/>
        <v>0</v>
      </c>
      <c r="Z1011" s="422">
        <f t="shared" si="337"/>
        <v>0</v>
      </c>
      <c r="AA1011" s="422"/>
      <c r="AB1011" s="825"/>
      <c r="AC1011" s="419"/>
      <c r="AD1011" s="209"/>
      <c r="AE1011" s="210"/>
      <c r="AF1011" s="210"/>
      <c r="AG1011" s="211">
        <f t="shared" si="339"/>
        <v>0.14499999999999999</v>
      </c>
      <c r="AH1011" s="157">
        <f t="shared" si="341"/>
        <v>0</v>
      </c>
      <c r="AI1011" s="152">
        <f t="shared" si="340"/>
        <v>136608</v>
      </c>
      <c r="AK1011" s="156" t="s">
        <v>691</v>
      </c>
      <c r="AL1011" s="212" t="s">
        <v>690</v>
      </c>
      <c r="AM1011" s="198">
        <f t="shared" ref="AM1011:AM1027" si="343">AG1011*Z1011</f>
        <v>0</v>
      </c>
      <c r="AN1011" s="199">
        <f t="shared" si="329"/>
        <v>45472</v>
      </c>
      <c r="AO1011" s="159" t="s">
        <v>692</v>
      </c>
      <c r="AP1011" s="783" t="s">
        <v>609</v>
      </c>
      <c r="AQ1011" s="782">
        <v>12071839</v>
      </c>
      <c r="AR1011" s="782">
        <v>12047514</v>
      </c>
      <c r="AS1011" s="782">
        <v>12047515</v>
      </c>
      <c r="AT1011" s="781"/>
      <c r="AU1011" s="781"/>
      <c r="AV1011" s="782">
        <v>12080613</v>
      </c>
      <c r="AW1011" s="781"/>
      <c r="AX1011" s="781"/>
      <c r="AY1011" s="782">
        <v>12080614</v>
      </c>
      <c r="AZ1011" s="782">
        <v>12080616</v>
      </c>
      <c r="BA1011" s="781"/>
    </row>
    <row r="1012" spans="1:53" ht="24.65" hidden="1" customHeight="1">
      <c r="B1012" s="546">
        <v>45472</v>
      </c>
      <c r="C1012" s="547"/>
      <c r="D1012" s="185">
        <f t="shared" si="327"/>
        <v>2024</v>
      </c>
      <c r="E1012" s="547" t="str">
        <f>VLOOKUP($B1012,Week!$A$1:$C$1462,2,0)</f>
        <v>Week26</v>
      </c>
      <c r="F1012" s="548" t="str">
        <f t="shared" si="328"/>
        <v>Jun</v>
      </c>
      <c r="G1012" s="549" t="s">
        <v>1572</v>
      </c>
      <c r="H1012" s="549" t="s">
        <v>518</v>
      </c>
      <c r="I1012" s="549" t="s">
        <v>2702</v>
      </c>
      <c r="J1012" s="550" t="s">
        <v>70</v>
      </c>
      <c r="K1012" s="551" t="s">
        <v>1020</v>
      </c>
      <c r="L1012" s="300" t="s">
        <v>2167</v>
      </c>
      <c r="M1012" s="550" t="s">
        <v>746</v>
      </c>
      <c r="N1012" s="618" t="s">
        <v>751</v>
      </c>
      <c r="O1012" s="549" t="s">
        <v>747</v>
      </c>
      <c r="P1012" s="552">
        <v>12</v>
      </c>
      <c r="Q1012" s="552">
        <v>5</v>
      </c>
      <c r="R1012" s="549">
        <v>6.1999999999999998E-3</v>
      </c>
      <c r="S1012" s="549" t="s">
        <v>352</v>
      </c>
      <c r="T1012" s="549" t="s">
        <v>56</v>
      </c>
      <c r="U1012" s="549" t="s">
        <v>739</v>
      </c>
      <c r="V1012" s="554">
        <v>1256</v>
      </c>
      <c r="W1012" s="554">
        <f>1256</f>
        <v>1256</v>
      </c>
      <c r="X1012" s="555"/>
      <c r="Y1012" s="556">
        <f t="shared" si="336"/>
        <v>0</v>
      </c>
      <c r="Z1012" s="557">
        <f t="shared" si="337"/>
        <v>0</v>
      </c>
      <c r="AA1012" s="557"/>
      <c r="AB1012" s="833"/>
      <c r="AC1012" s="554"/>
      <c r="AD1012" s="209"/>
      <c r="AE1012" s="210"/>
      <c r="AF1012" s="210"/>
      <c r="AG1012" s="211">
        <f t="shared" si="339"/>
        <v>0.14299999999999999</v>
      </c>
      <c r="AH1012" s="157">
        <f t="shared" si="341"/>
        <v>0</v>
      </c>
      <c r="AI1012" s="152">
        <f t="shared" si="340"/>
        <v>15072</v>
      </c>
      <c r="AK1012" s="156" t="s">
        <v>691</v>
      </c>
      <c r="AL1012" s="212" t="s">
        <v>690</v>
      </c>
      <c r="AM1012" s="198">
        <f t="shared" si="343"/>
        <v>0</v>
      </c>
      <c r="AN1012" s="199">
        <f t="shared" si="329"/>
        <v>45472</v>
      </c>
      <c r="AO1012" s="159" t="s">
        <v>692</v>
      </c>
      <c r="AP1012" s="783" t="s">
        <v>609</v>
      </c>
      <c r="AQ1012" s="782">
        <v>12071839</v>
      </c>
      <c r="AR1012" s="782">
        <v>12047514</v>
      </c>
      <c r="AS1012" s="782">
        <v>12047515</v>
      </c>
      <c r="AT1012" s="781"/>
      <c r="AU1012" s="781"/>
      <c r="AV1012" s="782">
        <v>12080616</v>
      </c>
      <c r="AW1012" s="781"/>
      <c r="AX1012" s="781"/>
      <c r="AY1012" s="782">
        <v>12089871</v>
      </c>
      <c r="AZ1012" s="782">
        <v>12089872</v>
      </c>
      <c r="BA1012" s="781"/>
    </row>
    <row r="1013" spans="1:53" ht="25" hidden="1" customHeight="1">
      <c r="A1013" s="754" t="s">
        <v>438</v>
      </c>
      <c r="B1013" s="424">
        <v>45472</v>
      </c>
      <c r="C1013" s="425">
        <v>45512</v>
      </c>
      <c r="D1013" s="185">
        <f t="shared" si="327"/>
        <v>2024</v>
      </c>
      <c r="E1013" s="427" t="str">
        <f>VLOOKUP($B1013,Week!$A$1:$C$1462,2,0)</f>
        <v>Week26</v>
      </c>
      <c r="F1013" s="426" t="str">
        <f t="shared" si="328"/>
        <v>Jun</v>
      </c>
      <c r="G1013" s="755" t="s">
        <v>1413</v>
      </c>
      <c r="H1013" s="427" t="s">
        <v>104</v>
      </c>
      <c r="I1013" s="427" t="s">
        <v>2772</v>
      </c>
      <c r="J1013" s="428" t="s">
        <v>105</v>
      </c>
      <c r="K1013" s="429" t="s">
        <v>433</v>
      </c>
      <c r="L1013" s="300" t="s">
        <v>2167</v>
      </c>
      <c r="M1013" s="428" t="s">
        <v>565</v>
      </c>
      <c r="N1013" s="427" t="s">
        <v>567</v>
      </c>
      <c r="O1013" s="427" t="s">
        <v>566</v>
      </c>
      <c r="P1013" s="430">
        <v>16</v>
      </c>
      <c r="Q1013" s="430">
        <v>6</v>
      </c>
      <c r="R1013" s="431">
        <v>8.1300000000000001E-3</v>
      </c>
      <c r="S1013" s="427" t="s">
        <v>40</v>
      </c>
      <c r="T1013" s="427" t="s">
        <v>112</v>
      </c>
      <c r="U1013" s="427" t="s">
        <v>662</v>
      </c>
      <c r="V1013" s="432">
        <v>16</v>
      </c>
      <c r="W1013" s="432">
        <v>16</v>
      </c>
      <c r="X1013" s="433"/>
      <c r="Y1013" s="434">
        <f t="shared" si="336"/>
        <v>0</v>
      </c>
      <c r="Z1013" s="435">
        <f t="shared" si="337"/>
        <v>0</v>
      </c>
      <c r="AA1013" s="435"/>
      <c r="AB1013" s="826">
        <v>1</v>
      </c>
      <c r="AC1013" s="432">
        <f>AB1013*V1013*P1013</f>
        <v>256</v>
      </c>
      <c r="AD1013" s="307" t="s">
        <v>1467</v>
      </c>
      <c r="AE1013" s="511"/>
      <c r="AF1013" s="511"/>
      <c r="AG1013" s="211">
        <f t="shared" si="339"/>
        <v>0.11700000000000001</v>
      </c>
      <c r="AH1013" s="157">
        <f t="shared" si="341"/>
        <v>0</v>
      </c>
      <c r="AI1013" s="152">
        <f t="shared" si="340"/>
        <v>256</v>
      </c>
      <c r="AK1013" s="156" t="s">
        <v>691</v>
      </c>
      <c r="AL1013" s="574" t="s">
        <v>690</v>
      </c>
      <c r="AM1013" s="198">
        <f t="shared" si="343"/>
        <v>0</v>
      </c>
      <c r="AN1013" s="199">
        <f t="shared" si="329"/>
        <v>45472</v>
      </c>
      <c r="AO1013" s="159" t="s">
        <v>692</v>
      </c>
      <c r="AP1013" s="797"/>
      <c r="AQ1013" s="798"/>
      <c r="AR1013" s="798">
        <v>12080450</v>
      </c>
      <c r="AS1013" s="798"/>
      <c r="AT1013" s="798">
        <v>12083198</v>
      </c>
      <c r="AU1013" s="799"/>
      <c r="AV1013" s="798">
        <v>12080491</v>
      </c>
      <c r="AW1013" s="798"/>
      <c r="AX1013" s="798" t="s">
        <v>627</v>
      </c>
      <c r="AY1013" s="798"/>
      <c r="AZ1013" s="798"/>
      <c r="BA1013" s="799"/>
    </row>
    <row r="1014" spans="1:53" ht="25" hidden="1" customHeight="1">
      <c r="A1014" s="754" t="s">
        <v>438</v>
      </c>
      <c r="B1014" s="332">
        <v>45472</v>
      </c>
      <c r="C1014" s="333">
        <v>45474</v>
      </c>
      <c r="D1014" s="185">
        <f t="shared" si="327"/>
        <v>2024</v>
      </c>
      <c r="E1014" s="335" t="str">
        <f>VLOOKUP($B1014,Week!$A$1:$C$1462,2,0)</f>
        <v>Week26</v>
      </c>
      <c r="F1014" s="334" t="str">
        <f t="shared" si="328"/>
        <v>Jun</v>
      </c>
      <c r="G1014" s="530" t="s">
        <v>1391</v>
      </c>
      <c r="H1014" s="335" t="s">
        <v>675</v>
      </c>
      <c r="I1014" s="335" t="s">
        <v>2772</v>
      </c>
      <c r="J1014" s="336" t="s">
        <v>709</v>
      </c>
      <c r="K1014" s="337" t="s">
        <v>671</v>
      </c>
      <c r="L1014" s="300" t="s">
        <v>2167</v>
      </c>
      <c r="M1014" s="336" t="s">
        <v>661</v>
      </c>
      <c r="N1014" s="335" t="s">
        <v>714</v>
      </c>
      <c r="O1014" s="335" t="s">
        <v>566</v>
      </c>
      <c r="P1014" s="338">
        <v>16</v>
      </c>
      <c r="Q1014" s="338">
        <v>6</v>
      </c>
      <c r="R1014" s="339">
        <v>6.0000000000000001E-3</v>
      </c>
      <c r="S1014" s="335" t="s">
        <v>55</v>
      </c>
      <c r="T1014" s="335" t="s">
        <v>112</v>
      </c>
      <c r="U1014" s="335" t="s">
        <v>662</v>
      </c>
      <c r="V1014" s="341">
        <v>56</v>
      </c>
      <c r="W1014" s="341"/>
      <c r="X1014" s="342">
        <f>(451)/8</f>
        <v>56.375</v>
      </c>
      <c r="Y1014" s="343">
        <f t="shared" si="336"/>
        <v>0.375</v>
      </c>
      <c r="Z1014" s="344">
        <f t="shared" si="337"/>
        <v>0</v>
      </c>
      <c r="AA1014" s="344"/>
      <c r="AB1014" s="817">
        <v>1</v>
      </c>
      <c r="AC1014" s="341">
        <f>AB1014*V1014*P1014</f>
        <v>896</v>
      </c>
      <c r="AD1014" s="336" t="s">
        <v>2295</v>
      </c>
      <c r="AE1014" s="533"/>
      <c r="AF1014" s="533"/>
      <c r="AG1014" s="211">
        <f t="shared" si="339"/>
        <v>0.11700000000000001</v>
      </c>
      <c r="AH1014" s="157">
        <f t="shared" si="341"/>
        <v>0</v>
      </c>
      <c r="AI1014" s="152">
        <f t="shared" si="340"/>
        <v>896</v>
      </c>
      <c r="AK1014" s="156" t="s">
        <v>691</v>
      </c>
      <c r="AL1014" s="212" t="s">
        <v>690</v>
      </c>
      <c r="AM1014" s="198">
        <f t="shared" si="343"/>
        <v>0</v>
      </c>
      <c r="AN1014" s="199">
        <f t="shared" si="329"/>
        <v>45472</v>
      </c>
      <c r="AO1014" s="159" t="s">
        <v>692</v>
      </c>
      <c r="AP1014" s="797"/>
      <c r="AQ1014" s="798"/>
      <c r="AR1014" s="798">
        <v>12080450</v>
      </c>
      <c r="AS1014" s="798"/>
      <c r="AT1014" s="798">
        <v>12083198</v>
      </c>
      <c r="AU1014" s="799"/>
      <c r="AV1014" s="798">
        <v>12080491</v>
      </c>
      <c r="AW1014" s="798"/>
      <c r="AX1014" s="798" t="s">
        <v>627</v>
      </c>
      <c r="AY1014" s="798"/>
      <c r="AZ1014" s="798"/>
      <c r="BA1014" s="799"/>
    </row>
    <row r="1015" spans="1:53" ht="25" hidden="1" customHeight="1">
      <c r="B1015" s="183">
        <v>45473</v>
      </c>
      <c r="C1015" s="184"/>
      <c r="D1015" s="185">
        <f t="shared" si="327"/>
        <v>2024</v>
      </c>
      <c r="E1015" s="185" t="str">
        <f>VLOOKUP($B1015,Week!$A$1:$C$1462,2,0)</f>
        <v>Week26</v>
      </c>
      <c r="F1015" s="186" t="str">
        <f t="shared" si="328"/>
        <v>Jun</v>
      </c>
      <c r="G1015" s="185"/>
      <c r="H1015" s="185"/>
      <c r="I1015" s="185"/>
      <c r="J1015" s="187"/>
      <c r="K1015" s="188"/>
      <c r="L1015" s="300"/>
      <c r="M1015" s="187"/>
      <c r="N1015" s="185"/>
      <c r="O1015" s="185"/>
      <c r="P1015" s="189"/>
      <c r="Q1015" s="189"/>
      <c r="R1015" s="190"/>
      <c r="S1015" s="185"/>
      <c r="T1015" s="185"/>
      <c r="U1015" s="185"/>
      <c r="V1015" s="191"/>
      <c r="W1015" s="191"/>
      <c r="X1015" s="192"/>
      <c r="Y1015" s="193"/>
      <c r="Z1015" s="194"/>
      <c r="AA1015" s="194"/>
      <c r="AB1015" s="805"/>
      <c r="AC1015" s="191"/>
      <c r="AD1015" s="187"/>
      <c r="AE1015" s="195"/>
      <c r="AF1015" s="195"/>
      <c r="AG1015" s="196"/>
      <c r="AH1015" s="197"/>
      <c r="AK1015" s="156" t="s">
        <v>691</v>
      </c>
      <c r="AM1015" s="198">
        <f t="shared" si="343"/>
        <v>0</v>
      </c>
      <c r="AN1015" s="199">
        <f t="shared" si="329"/>
        <v>45473</v>
      </c>
      <c r="AO1015" s="159" t="s">
        <v>692</v>
      </c>
      <c r="AP1015" s="781"/>
      <c r="AQ1015" s="782"/>
      <c r="AR1015" s="782"/>
      <c r="AS1015" s="782"/>
      <c r="AT1015" s="782"/>
      <c r="AU1015" s="781"/>
      <c r="AV1015" s="782"/>
      <c r="AW1015" s="782"/>
      <c r="AX1015" s="782"/>
      <c r="AY1015" s="782"/>
      <c r="AZ1015" s="782"/>
      <c r="BA1015" s="781"/>
    </row>
    <row r="1016" spans="1:53" ht="25" hidden="1" customHeight="1">
      <c r="B1016" s="213">
        <v>45474</v>
      </c>
      <c r="C1016" s="633">
        <v>45478</v>
      </c>
      <c r="D1016" s="185">
        <f t="shared" si="327"/>
        <v>2024</v>
      </c>
      <c r="E1016" s="215" t="str">
        <f>VLOOKUP($B1016,Week!$A$1:$C$1462,2,0)</f>
        <v>Week27</v>
      </c>
      <c r="F1016" s="216" t="str">
        <f t="shared" si="328"/>
        <v>Jul</v>
      </c>
      <c r="G1016" s="215" t="s">
        <v>1333</v>
      </c>
      <c r="H1016" s="215" t="s">
        <v>104</v>
      </c>
      <c r="I1016" s="215" t="s">
        <v>2772</v>
      </c>
      <c r="J1016" s="209" t="s">
        <v>105</v>
      </c>
      <c r="K1016" s="217" t="s">
        <v>107</v>
      </c>
      <c r="L1016" s="300" t="s">
        <v>2167</v>
      </c>
      <c r="M1016" s="209" t="s">
        <v>108</v>
      </c>
      <c r="N1016" s="215" t="s">
        <v>109</v>
      </c>
      <c r="O1016" s="215" t="s">
        <v>110</v>
      </c>
      <c r="P1016" s="218">
        <v>36</v>
      </c>
      <c r="Q1016" s="218">
        <v>5</v>
      </c>
      <c r="R1016" s="219">
        <v>7.4999999999999997E-3</v>
      </c>
      <c r="S1016" s="215" t="s">
        <v>111</v>
      </c>
      <c r="T1016" s="215" t="s">
        <v>112</v>
      </c>
      <c r="U1016" s="215" t="s">
        <v>113</v>
      </c>
      <c r="V1016" s="220">
        <f>792-219</f>
        <v>573</v>
      </c>
      <c r="W1016" s="220">
        <v>573</v>
      </c>
      <c r="X1016" s="221"/>
      <c r="Y1016" s="222">
        <f t="shared" ref="Y1016:Y1057" si="344">(W1016+X1016)-V1016</f>
        <v>0</v>
      </c>
      <c r="Z1016" s="223">
        <f t="shared" ref="Z1016:Z1057" si="345">IF(Y1016&lt;0,((V1016*P1016)-((W1016+X1016)*P1016)),0)</f>
        <v>0</v>
      </c>
      <c r="AA1016" s="223"/>
      <c r="AB1016" s="807"/>
      <c r="AC1016" s="220"/>
      <c r="AD1016" s="209"/>
      <c r="AE1016" s="210"/>
      <c r="AF1016" s="210"/>
      <c r="AG1016" s="211">
        <f t="shared" ref="AG1016:AG1051" si="346">MID(O1016,1,3)/1000</f>
        <v>0.308</v>
      </c>
      <c r="AH1016" s="157">
        <f t="shared" ref="AH1016:AH1027" si="347">(Z1016*AG1016)/1000</f>
        <v>0</v>
      </c>
      <c r="AI1016" s="152">
        <f t="shared" ref="AI1016:AI1051" si="348">V1016*P1016</f>
        <v>20628</v>
      </c>
      <c r="AK1016" s="156" t="s">
        <v>691</v>
      </c>
      <c r="AL1016" s="574" t="s">
        <v>690</v>
      </c>
      <c r="AM1016" s="198">
        <f t="shared" si="343"/>
        <v>0</v>
      </c>
      <c r="AN1016" s="199">
        <f t="shared" si="329"/>
        <v>45474</v>
      </c>
      <c r="AO1016" s="159" t="s">
        <v>692</v>
      </c>
      <c r="AP1016" s="781"/>
      <c r="AQ1016" s="782">
        <v>12063755</v>
      </c>
      <c r="AR1016" s="782">
        <v>12061353</v>
      </c>
      <c r="AS1016" s="782">
        <v>12061354</v>
      </c>
      <c r="AT1016" s="782">
        <v>12068566</v>
      </c>
      <c r="AU1016" s="781"/>
      <c r="AV1016" s="782">
        <v>12088206</v>
      </c>
      <c r="AW1016" s="782">
        <v>12088207</v>
      </c>
      <c r="AX1016" s="782"/>
      <c r="AY1016" s="782">
        <v>12068565</v>
      </c>
      <c r="AZ1016" s="782"/>
      <c r="BA1016" s="781"/>
    </row>
    <row r="1017" spans="1:53" ht="25" hidden="1" customHeight="1">
      <c r="B1017" s="213">
        <v>45474</v>
      </c>
      <c r="C1017" s="633">
        <v>45481</v>
      </c>
      <c r="D1017" s="185">
        <f t="shared" si="327"/>
        <v>2024</v>
      </c>
      <c r="E1017" s="215" t="str">
        <f>VLOOKUP($B1017,Week!$A$1:$C$1462,2,0)</f>
        <v>Week27</v>
      </c>
      <c r="F1017" s="216" t="str">
        <f t="shared" si="328"/>
        <v>Jul</v>
      </c>
      <c r="G1017" s="215" t="s">
        <v>1334</v>
      </c>
      <c r="H1017" s="215" t="s">
        <v>104</v>
      </c>
      <c r="I1017" s="215" t="s">
        <v>2772</v>
      </c>
      <c r="J1017" s="209" t="s">
        <v>105</v>
      </c>
      <c r="K1017" s="217" t="s">
        <v>107</v>
      </c>
      <c r="L1017" s="300" t="s">
        <v>2167</v>
      </c>
      <c r="M1017" s="209" t="s">
        <v>108</v>
      </c>
      <c r="N1017" s="215" t="s">
        <v>109</v>
      </c>
      <c r="O1017" s="215" t="s">
        <v>110</v>
      </c>
      <c r="P1017" s="218">
        <v>36</v>
      </c>
      <c r="Q1017" s="218">
        <v>5</v>
      </c>
      <c r="R1017" s="219">
        <v>7.4999999999999997E-3</v>
      </c>
      <c r="S1017" s="215" t="s">
        <v>111</v>
      </c>
      <c r="T1017" s="215" t="s">
        <v>112</v>
      </c>
      <c r="U1017" s="215" t="s">
        <v>113</v>
      </c>
      <c r="V1017" s="220">
        <v>792</v>
      </c>
      <c r="W1017" s="220">
        <v>792</v>
      </c>
      <c r="X1017" s="221"/>
      <c r="Y1017" s="222">
        <f t="shared" si="344"/>
        <v>0</v>
      </c>
      <c r="Z1017" s="223">
        <f t="shared" si="345"/>
        <v>0</v>
      </c>
      <c r="AA1017" s="223"/>
      <c r="AB1017" s="807"/>
      <c r="AC1017" s="220"/>
      <c r="AD1017" s="209"/>
      <c r="AE1017" s="210"/>
      <c r="AF1017" s="210"/>
      <c r="AG1017" s="211">
        <f t="shared" si="346"/>
        <v>0.308</v>
      </c>
      <c r="AH1017" s="157">
        <f t="shared" si="347"/>
        <v>0</v>
      </c>
      <c r="AI1017" s="152">
        <f t="shared" si="348"/>
        <v>28512</v>
      </c>
      <c r="AK1017" s="156" t="s">
        <v>691</v>
      </c>
      <c r="AL1017" s="574" t="s">
        <v>690</v>
      </c>
      <c r="AM1017" s="198">
        <f t="shared" si="343"/>
        <v>0</v>
      </c>
      <c r="AN1017" s="199">
        <f t="shared" si="329"/>
        <v>45474</v>
      </c>
      <c r="AO1017" s="159" t="s">
        <v>692</v>
      </c>
      <c r="AP1017" s="781"/>
      <c r="AQ1017" s="782">
        <v>12063755</v>
      </c>
      <c r="AR1017" s="782">
        <v>12061353</v>
      </c>
      <c r="AS1017" s="782">
        <v>12061354</v>
      </c>
      <c r="AT1017" s="782">
        <v>12068566</v>
      </c>
      <c r="AU1017" s="781"/>
      <c r="AV1017" s="782">
        <v>12088206</v>
      </c>
      <c r="AW1017" s="782">
        <v>12088207</v>
      </c>
      <c r="AX1017" s="782"/>
      <c r="AY1017" s="782">
        <v>12068565</v>
      </c>
      <c r="AZ1017" s="782"/>
      <c r="BA1017" s="781"/>
    </row>
    <row r="1018" spans="1:53" ht="25" hidden="1" customHeight="1">
      <c r="B1018" s="213">
        <v>45474</v>
      </c>
      <c r="C1018" s="633">
        <v>45481</v>
      </c>
      <c r="D1018" s="185">
        <f t="shared" si="327"/>
        <v>2024</v>
      </c>
      <c r="E1018" s="215" t="str">
        <f>VLOOKUP($B1018,Week!$A$1:$C$1462,2,0)</f>
        <v>Week27</v>
      </c>
      <c r="F1018" s="216" t="str">
        <f t="shared" si="328"/>
        <v>Jul</v>
      </c>
      <c r="G1018" s="215" t="s">
        <v>1335</v>
      </c>
      <c r="H1018" s="215" t="s">
        <v>104</v>
      </c>
      <c r="I1018" s="215" t="s">
        <v>2772</v>
      </c>
      <c r="J1018" s="209" t="s">
        <v>105</v>
      </c>
      <c r="K1018" s="217" t="s">
        <v>107</v>
      </c>
      <c r="L1018" s="300" t="s">
        <v>2167</v>
      </c>
      <c r="M1018" s="209" t="s">
        <v>108</v>
      </c>
      <c r="N1018" s="215" t="s">
        <v>109</v>
      </c>
      <c r="O1018" s="215" t="s">
        <v>110</v>
      </c>
      <c r="P1018" s="218">
        <v>36</v>
      </c>
      <c r="Q1018" s="218">
        <v>5</v>
      </c>
      <c r="R1018" s="219">
        <v>7.4999999999999997E-3</v>
      </c>
      <c r="S1018" s="215" t="s">
        <v>111</v>
      </c>
      <c r="T1018" s="215" t="s">
        <v>112</v>
      </c>
      <c r="U1018" s="215" t="s">
        <v>113</v>
      </c>
      <c r="V1018" s="220">
        <v>792</v>
      </c>
      <c r="W1018" s="220">
        <v>792</v>
      </c>
      <c r="X1018" s="221"/>
      <c r="Y1018" s="222">
        <f t="shared" si="344"/>
        <v>0</v>
      </c>
      <c r="Z1018" s="223">
        <f t="shared" si="345"/>
        <v>0</v>
      </c>
      <c r="AA1018" s="223"/>
      <c r="AB1018" s="807"/>
      <c r="AC1018" s="220"/>
      <c r="AD1018" s="209"/>
      <c r="AE1018" s="210"/>
      <c r="AF1018" s="210"/>
      <c r="AG1018" s="211">
        <f t="shared" si="346"/>
        <v>0.308</v>
      </c>
      <c r="AH1018" s="157">
        <f t="shared" si="347"/>
        <v>0</v>
      </c>
      <c r="AI1018" s="152">
        <f t="shared" si="348"/>
        <v>28512</v>
      </c>
      <c r="AK1018" s="156" t="s">
        <v>691</v>
      </c>
      <c r="AL1018" s="574" t="s">
        <v>690</v>
      </c>
      <c r="AM1018" s="198">
        <f t="shared" si="343"/>
        <v>0</v>
      </c>
      <c r="AN1018" s="199">
        <f t="shared" si="329"/>
        <v>45474</v>
      </c>
      <c r="AO1018" s="159" t="s">
        <v>692</v>
      </c>
      <c r="AP1018" s="781"/>
      <c r="AQ1018" s="782">
        <v>12063755</v>
      </c>
      <c r="AR1018" s="782">
        <v>12061353</v>
      </c>
      <c r="AS1018" s="782">
        <v>12061354</v>
      </c>
      <c r="AT1018" s="782">
        <v>12068566</v>
      </c>
      <c r="AU1018" s="781"/>
      <c r="AV1018" s="782">
        <v>12088206</v>
      </c>
      <c r="AW1018" s="782">
        <v>12088207</v>
      </c>
      <c r="AX1018" s="782"/>
      <c r="AY1018" s="782">
        <v>12068565</v>
      </c>
      <c r="AZ1018" s="782"/>
      <c r="BA1018" s="781"/>
    </row>
    <row r="1019" spans="1:53" ht="25" hidden="1" customHeight="1">
      <c r="B1019" s="213">
        <v>45474</v>
      </c>
      <c r="C1019" s="633">
        <v>45481</v>
      </c>
      <c r="D1019" s="185">
        <f t="shared" si="327"/>
        <v>2024</v>
      </c>
      <c r="E1019" s="215" t="str">
        <f>VLOOKUP($B1019,Week!$A$1:$C$1462,2,0)</f>
        <v>Week27</v>
      </c>
      <c r="F1019" s="216" t="str">
        <f t="shared" si="328"/>
        <v>Jul</v>
      </c>
      <c r="G1019" s="215" t="s">
        <v>1336</v>
      </c>
      <c r="H1019" s="215" t="s">
        <v>104</v>
      </c>
      <c r="I1019" s="215" t="s">
        <v>2772</v>
      </c>
      <c r="J1019" s="209" t="s">
        <v>105</v>
      </c>
      <c r="K1019" s="217" t="s">
        <v>107</v>
      </c>
      <c r="L1019" s="300" t="s">
        <v>2167</v>
      </c>
      <c r="M1019" s="209" t="s">
        <v>108</v>
      </c>
      <c r="N1019" s="215" t="s">
        <v>109</v>
      </c>
      <c r="O1019" s="215" t="s">
        <v>110</v>
      </c>
      <c r="P1019" s="218">
        <v>36</v>
      </c>
      <c r="Q1019" s="218">
        <v>5</v>
      </c>
      <c r="R1019" s="219">
        <v>7.4999999999999997E-3</v>
      </c>
      <c r="S1019" s="215" t="s">
        <v>111</v>
      </c>
      <c r="T1019" s="215" t="s">
        <v>112</v>
      </c>
      <c r="U1019" s="215" t="s">
        <v>113</v>
      </c>
      <c r="V1019" s="220">
        <f>792</f>
        <v>792</v>
      </c>
      <c r="W1019" s="220">
        <f>2381-573-792-792</f>
        <v>224</v>
      </c>
      <c r="X1019" s="221">
        <f>568</f>
        <v>568</v>
      </c>
      <c r="Y1019" s="222">
        <f t="shared" si="344"/>
        <v>0</v>
      </c>
      <c r="Z1019" s="223">
        <f t="shared" si="345"/>
        <v>0</v>
      </c>
      <c r="AA1019" s="223"/>
      <c r="AB1019" s="807"/>
      <c r="AC1019" s="220"/>
      <c r="AD1019" s="209"/>
      <c r="AE1019" s="210"/>
      <c r="AF1019" s="210"/>
      <c r="AG1019" s="211">
        <f t="shared" si="346"/>
        <v>0.308</v>
      </c>
      <c r="AH1019" s="157">
        <f t="shared" si="347"/>
        <v>0</v>
      </c>
      <c r="AI1019" s="152">
        <f t="shared" si="348"/>
        <v>28512</v>
      </c>
      <c r="AK1019" s="156" t="s">
        <v>691</v>
      </c>
      <c r="AL1019" s="574" t="s">
        <v>690</v>
      </c>
      <c r="AM1019" s="198">
        <f t="shared" si="343"/>
        <v>0</v>
      </c>
      <c r="AN1019" s="199">
        <f t="shared" si="329"/>
        <v>45474</v>
      </c>
      <c r="AO1019" s="159" t="s">
        <v>692</v>
      </c>
      <c r="AP1019" s="781"/>
      <c r="AQ1019" s="782">
        <v>12063755</v>
      </c>
      <c r="AR1019" s="782">
        <v>12061353</v>
      </c>
      <c r="AS1019" s="782">
        <v>12061354</v>
      </c>
      <c r="AT1019" s="782">
        <v>12068566</v>
      </c>
      <c r="AU1019" s="781"/>
      <c r="AV1019" s="782">
        <v>12088206</v>
      </c>
      <c r="AW1019" s="782">
        <v>12088207</v>
      </c>
      <c r="AX1019" s="782"/>
      <c r="AY1019" s="782">
        <v>12068565</v>
      </c>
      <c r="AZ1019" s="782"/>
      <c r="BA1019" s="781"/>
    </row>
    <row r="1020" spans="1:53" ht="25" hidden="1" customHeight="1">
      <c r="B1020" s="213">
        <v>45474</v>
      </c>
      <c r="C1020" s="633">
        <v>45482</v>
      </c>
      <c r="D1020" s="185">
        <f t="shared" si="327"/>
        <v>2024</v>
      </c>
      <c r="E1020" s="215" t="str">
        <f>VLOOKUP($B1020,Week!$A$1:$C$1462,2,0)</f>
        <v>Week27</v>
      </c>
      <c r="F1020" s="216" t="str">
        <f t="shared" si="328"/>
        <v>Jul</v>
      </c>
      <c r="G1020" s="215" t="s">
        <v>1337</v>
      </c>
      <c r="H1020" s="215" t="s">
        <v>104</v>
      </c>
      <c r="I1020" s="215" t="s">
        <v>2772</v>
      </c>
      <c r="J1020" s="209" t="s">
        <v>105</v>
      </c>
      <c r="K1020" s="217" t="s">
        <v>107</v>
      </c>
      <c r="L1020" s="300" t="s">
        <v>2167</v>
      </c>
      <c r="M1020" s="209" t="s">
        <v>108</v>
      </c>
      <c r="N1020" s="215" t="s">
        <v>109</v>
      </c>
      <c r="O1020" s="215" t="s">
        <v>110</v>
      </c>
      <c r="P1020" s="218">
        <v>36</v>
      </c>
      <c r="Q1020" s="218">
        <v>5</v>
      </c>
      <c r="R1020" s="219">
        <v>7.4999999999999997E-3</v>
      </c>
      <c r="S1020" s="215" t="s">
        <v>111</v>
      </c>
      <c r="T1020" s="215" t="s">
        <v>112</v>
      </c>
      <c r="U1020" s="215" t="s">
        <v>113</v>
      </c>
      <c r="V1020" s="220">
        <v>792</v>
      </c>
      <c r="W1020" s="220"/>
      <c r="X1020" s="221">
        <f>792</f>
        <v>792</v>
      </c>
      <c r="Y1020" s="222">
        <f t="shared" si="344"/>
        <v>0</v>
      </c>
      <c r="Z1020" s="223">
        <f t="shared" si="345"/>
        <v>0</v>
      </c>
      <c r="AA1020" s="223"/>
      <c r="AB1020" s="807"/>
      <c r="AC1020" s="220"/>
      <c r="AD1020" s="209"/>
      <c r="AE1020" s="210"/>
      <c r="AF1020" s="210"/>
      <c r="AG1020" s="211">
        <f t="shared" si="346"/>
        <v>0.308</v>
      </c>
      <c r="AH1020" s="157">
        <f t="shared" si="347"/>
        <v>0</v>
      </c>
      <c r="AI1020" s="152">
        <f t="shared" si="348"/>
        <v>28512</v>
      </c>
      <c r="AK1020" s="156" t="s">
        <v>691</v>
      </c>
      <c r="AL1020" s="574" t="s">
        <v>690</v>
      </c>
      <c r="AM1020" s="198">
        <f t="shared" si="343"/>
        <v>0</v>
      </c>
      <c r="AN1020" s="199">
        <f t="shared" si="329"/>
        <v>45474</v>
      </c>
      <c r="AO1020" s="159" t="s">
        <v>692</v>
      </c>
      <c r="AP1020" s="781"/>
      <c r="AQ1020" s="782">
        <v>12063755</v>
      </c>
      <c r="AR1020" s="782">
        <v>12061353</v>
      </c>
      <c r="AS1020" s="782">
        <v>12061354</v>
      </c>
      <c r="AT1020" s="782">
        <v>12068566</v>
      </c>
      <c r="AU1020" s="781"/>
      <c r="AV1020" s="782">
        <v>12088206</v>
      </c>
      <c r="AW1020" s="782">
        <v>12088207</v>
      </c>
      <c r="AX1020" s="782"/>
      <c r="AY1020" s="782">
        <v>12068565</v>
      </c>
      <c r="AZ1020" s="782"/>
      <c r="BA1020" s="781"/>
    </row>
    <row r="1021" spans="1:53" ht="25" hidden="1" customHeight="1">
      <c r="B1021" s="213">
        <v>45474</v>
      </c>
      <c r="C1021" s="633">
        <v>45482</v>
      </c>
      <c r="D1021" s="185">
        <f t="shared" si="327"/>
        <v>2024</v>
      </c>
      <c r="E1021" s="215" t="str">
        <f>VLOOKUP($B1021,Week!$A$1:$C$1462,2,0)</f>
        <v>Week27</v>
      </c>
      <c r="F1021" s="216" t="str">
        <f t="shared" si="328"/>
        <v>Jul</v>
      </c>
      <c r="G1021" s="215" t="s">
        <v>1338</v>
      </c>
      <c r="H1021" s="215" t="s">
        <v>104</v>
      </c>
      <c r="I1021" s="215" t="s">
        <v>2772</v>
      </c>
      <c r="J1021" s="209" t="s">
        <v>105</v>
      </c>
      <c r="K1021" s="217" t="s">
        <v>107</v>
      </c>
      <c r="L1021" s="300" t="s">
        <v>2167</v>
      </c>
      <c r="M1021" s="209" t="s">
        <v>108</v>
      </c>
      <c r="N1021" s="215" t="s">
        <v>109</v>
      </c>
      <c r="O1021" s="215" t="s">
        <v>110</v>
      </c>
      <c r="P1021" s="218">
        <v>36</v>
      </c>
      <c r="Q1021" s="218">
        <v>5</v>
      </c>
      <c r="R1021" s="219">
        <v>7.4999999999999997E-3</v>
      </c>
      <c r="S1021" s="215" t="s">
        <v>111</v>
      </c>
      <c r="T1021" s="215" t="s">
        <v>112</v>
      </c>
      <c r="U1021" s="215" t="s">
        <v>113</v>
      </c>
      <c r="V1021" s="220">
        <v>204</v>
      </c>
      <c r="W1021" s="220"/>
      <c r="X1021" s="221">
        <f>(7357)/36</f>
        <v>204.36111111111111</v>
      </c>
      <c r="Y1021" s="222">
        <f t="shared" si="344"/>
        <v>0.36111111111111427</v>
      </c>
      <c r="Z1021" s="223">
        <f t="shared" si="345"/>
        <v>0</v>
      </c>
      <c r="AA1021" s="223"/>
      <c r="AB1021" s="807"/>
      <c r="AC1021" s="220"/>
      <c r="AD1021" s="209"/>
      <c r="AE1021" s="210"/>
      <c r="AF1021" s="210"/>
      <c r="AG1021" s="211">
        <f t="shared" si="346"/>
        <v>0.308</v>
      </c>
      <c r="AH1021" s="157">
        <f t="shared" si="347"/>
        <v>0</v>
      </c>
      <c r="AI1021" s="152">
        <f t="shared" si="348"/>
        <v>7344</v>
      </c>
      <c r="AK1021" s="156" t="s">
        <v>691</v>
      </c>
      <c r="AL1021" s="574" t="s">
        <v>690</v>
      </c>
      <c r="AM1021" s="198">
        <f t="shared" si="343"/>
        <v>0</v>
      </c>
      <c r="AN1021" s="199">
        <f t="shared" si="329"/>
        <v>45474</v>
      </c>
      <c r="AO1021" s="159" t="s">
        <v>692</v>
      </c>
      <c r="AP1021" s="781"/>
      <c r="AQ1021" s="782">
        <v>12063755</v>
      </c>
      <c r="AR1021" s="782">
        <v>12061353</v>
      </c>
      <c r="AS1021" s="782">
        <v>12061354</v>
      </c>
      <c r="AT1021" s="782">
        <v>12068566</v>
      </c>
      <c r="AU1021" s="781"/>
      <c r="AV1021" s="782">
        <v>12088206</v>
      </c>
      <c r="AW1021" s="782">
        <v>12088207</v>
      </c>
      <c r="AX1021" s="782"/>
      <c r="AY1021" s="782">
        <v>12068565</v>
      </c>
      <c r="AZ1021" s="782"/>
      <c r="BA1021" s="781"/>
    </row>
    <row r="1022" spans="1:53" ht="25" hidden="1" customHeight="1">
      <c r="A1022" s="142" t="s">
        <v>120</v>
      </c>
      <c r="B1022" s="466">
        <v>45474</v>
      </c>
      <c r="C1022" s="467">
        <v>45478</v>
      </c>
      <c r="D1022" s="185">
        <f t="shared" si="327"/>
        <v>2024</v>
      </c>
      <c r="E1022" s="468" t="str">
        <f>VLOOKUP($B1022,Week!$A$1:$C$1462,2,0)</f>
        <v>Week27</v>
      </c>
      <c r="F1022" s="469" t="str">
        <f t="shared" si="328"/>
        <v>Jul</v>
      </c>
      <c r="G1022" s="470" t="s">
        <v>1367</v>
      </c>
      <c r="H1022" s="468" t="s">
        <v>82</v>
      </c>
      <c r="I1022" s="468" t="s">
        <v>82</v>
      </c>
      <c r="J1022" s="471" t="s">
        <v>720</v>
      </c>
      <c r="K1022" s="472" t="s">
        <v>85</v>
      </c>
      <c r="L1022" s="390" t="s">
        <v>2166</v>
      </c>
      <c r="M1022" s="471" t="s">
        <v>579</v>
      </c>
      <c r="N1022" s="468" t="s">
        <v>580</v>
      </c>
      <c r="O1022" s="468" t="s">
        <v>581</v>
      </c>
      <c r="P1022" s="473">
        <v>8</v>
      </c>
      <c r="Q1022" s="473">
        <v>60</v>
      </c>
      <c r="R1022" s="474">
        <v>6.8100000000000001E-3</v>
      </c>
      <c r="S1022" s="468" t="s">
        <v>76</v>
      </c>
      <c r="T1022" s="468" t="s">
        <v>56</v>
      </c>
      <c r="U1022" s="468" t="s">
        <v>89</v>
      </c>
      <c r="V1022" s="475">
        <v>516</v>
      </c>
      <c r="W1022" s="475">
        <f>516</f>
        <v>516</v>
      </c>
      <c r="X1022" s="476"/>
      <c r="Y1022" s="477">
        <f t="shared" si="344"/>
        <v>0</v>
      </c>
      <c r="Z1022" s="478">
        <f t="shared" si="345"/>
        <v>0</v>
      </c>
      <c r="AA1022" s="478">
        <f>Q1022*Z1022</f>
        <v>0</v>
      </c>
      <c r="AB1022" s="828">
        <v>6</v>
      </c>
      <c r="AC1022" s="475">
        <f>Z1022*AB1022</f>
        <v>0</v>
      </c>
      <c r="AD1022" s="209"/>
      <c r="AE1022" s="210"/>
      <c r="AF1022" s="210"/>
      <c r="AG1022" s="211">
        <f t="shared" si="346"/>
        <v>0.75</v>
      </c>
      <c r="AH1022" s="157">
        <f t="shared" si="347"/>
        <v>0</v>
      </c>
      <c r="AI1022" s="152">
        <f t="shared" si="348"/>
        <v>4128</v>
      </c>
      <c r="AK1022" s="156" t="s">
        <v>691</v>
      </c>
      <c r="AL1022" s="156" t="s">
        <v>689</v>
      </c>
      <c r="AM1022" s="198">
        <f t="shared" si="343"/>
        <v>0</v>
      </c>
      <c r="AN1022" s="199">
        <f t="shared" si="329"/>
        <v>45474</v>
      </c>
      <c r="AO1022" s="159" t="s">
        <v>692</v>
      </c>
      <c r="AP1022" s="783" t="s">
        <v>622</v>
      </c>
      <c r="AQ1022" s="782">
        <v>12004862</v>
      </c>
      <c r="AR1022" s="782">
        <v>12080753</v>
      </c>
      <c r="AS1022" s="782"/>
      <c r="AT1022" s="782">
        <v>12082897</v>
      </c>
      <c r="AU1022" s="781"/>
      <c r="AV1022" s="782">
        <v>12082898</v>
      </c>
      <c r="AW1022" s="782">
        <v>12082899</v>
      </c>
      <c r="AX1022" s="796" t="s">
        <v>621</v>
      </c>
      <c r="AY1022" s="782"/>
      <c r="AZ1022" s="782"/>
      <c r="BA1022" s="781"/>
    </row>
    <row r="1023" spans="1:53" ht="24.75" hidden="1" customHeight="1">
      <c r="B1023" s="295">
        <v>45475</v>
      </c>
      <c r="C1023" s="296">
        <v>45488</v>
      </c>
      <c r="D1023" s="185">
        <f t="shared" si="327"/>
        <v>2024</v>
      </c>
      <c r="E1023" s="296" t="str">
        <f>VLOOKUP($B1023,Week!$A$1:$C$1462,2,0)</f>
        <v>Week27</v>
      </c>
      <c r="F1023" s="297" t="str">
        <f t="shared" si="328"/>
        <v>Jul</v>
      </c>
      <c r="G1023" s="298" t="s">
        <v>47</v>
      </c>
      <c r="H1023" s="298" t="s">
        <v>260</v>
      </c>
      <c r="I1023" s="298" t="s">
        <v>2702</v>
      </c>
      <c r="J1023" s="307" t="s">
        <v>904</v>
      </c>
      <c r="K1023" s="300" t="s">
        <v>176</v>
      </c>
      <c r="L1023" s="300" t="s">
        <v>2167</v>
      </c>
      <c r="M1023" s="299" t="s">
        <v>262</v>
      </c>
      <c r="N1023" s="298" t="s">
        <v>350</v>
      </c>
      <c r="O1023" s="298" t="s">
        <v>351</v>
      </c>
      <c r="P1023" s="301">
        <v>24</v>
      </c>
      <c r="Q1023" s="301">
        <v>5</v>
      </c>
      <c r="R1023" s="302">
        <v>6.1999999999999998E-3</v>
      </c>
      <c r="S1023" s="298" t="s">
        <v>352</v>
      </c>
      <c r="T1023" s="298" t="s">
        <v>56</v>
      </c>
      <c r="U1023" s="298" t="s">
        <v>57</v>
      </c>
      <c r="V1023" s="303">
        <v>4324</v>
      </c>
      <c r="W1023" s="303">
        <v>4324</v>
      </c>
      <c r="X1023" s="304"/>
      <c r="Y1023" s="305">
        <f t="shared" si="344"/>
        <v>0</v>
      </c>
      <c r="Z1023" s="306">
        <f t="shared" si="345"/>
        <v>0</v>
      </c>
      <c r="AA1023" s="306"/>
      <c r="AB1023" s="814"/>
      <c r="AC1023" s="303"/>
      <c r="AD1023" s="209"/>
      <c r="AE1023" s="210"/>
      <c r="AF1023" s="210"/>
      <c r="AG1023" s="211">
        <f t="shared" si="346"/>
        <v>0.13</v>
      </c>
      <c r="AH1023" s="157">
        <f t="shared" si="347"/>
        <v>0</v>
      </c>
      <c r="AI1023" s="152">
        <f t="shared" si="348"/>
        <v>103776</v>
      </c>
      <c r="AK1023" s="156" t="s">
        <v>691</v>
      </c>
      <c r="AL1023" s="574" t="s">
        <v>690</v>
      </c>
      <c r="AM1023" s="198">
        <f t="shared" si="343"/>
        <v>0</v>
      </c>
      <c r="AN1023" s="199">
        <f t="shared" si="329"/>
        <v>45475</v>
      </c>
      <c r="AO1023" s="159" t="s">
        <v>692</v>
      </c>
      <c r="AP1023" s="783" t="s">
        <v>629</v>
      </c>
      <c r="AQ1023" s="782">
        <v>12071839</v>
      </c>
      <c r="AR1023" s="782">
        <v>12078867</v>
      </c>
      <c r="AS1023" s="782">
        <v>12068233</v>
      </c>
      <c r="AT1023" s="781"/>
      <c r="AU1023" s="781"/>
      <c r="AV1023" s="782">
        <v>12062075</v>
      </c>
      <c r="AW1023" s="781"/>
      <c r="AX1023" s="781"/>
      <c r="AY1023" s="782">
        <v>12078867</v>
      </c>
      <c r="AZ1023" s="781"/>
      <c r="BA1023" s="781"/>
    </row>
    <row r="1024" spans="1:53" ht="24.65" hidden="1" customHeight="1">
      <c r="B1024" s="224">
        <v>45475</v>
      </c>
      <c r="C1024" s="224">
        <v>45489</v>
      </c>
      <c r="D1024" s="185">
        <f t="shared" si="327"/>
        <v>2024</v>
      </c>
      <c r="E1024" s="225" t="str">
        <f>VLOOKUP($B1024,Week!$A$1:$C$1462,2,0)</f>
        <v>Week27</v>
      </c>
      <c r="F1024" s="226" t="str">
        <f t="shared" si="328"/>
        <v>Jul</v>
      </c>
      <c r="G1024" s="225" t="s">
        <v>1471</v>
      </c>
      <c r="H1024" s="225" t="s">
        <v>392</v>
      </c>
      <c r="I1024" s="225" t="s">
        <v>2772</v>
      </c>
      <c r="J1024" s="227" t="s">
        <v>393</v>
      </c>
      <c r="K1024" s="228" t="s">
        <v>176</v>
      </c>
      <c r="L1024" s="300" t="s">
        <v>2167</v>
      </c>
      <c r="M1024" s="228" t="s">
        <v>399</v>
      </c>
      <c r="N1024" s="225" t="s">
        <v>400</v>
      </c>
      <c r="O1024" s="225" t="s">
        <v>195</v>
      </c>
      <c r="P1024" s="229">
        <v>24</v>
      </c>
      <c r="Q1024" s="229">
        <v>5</v>
      </c>
      <c r="R1024" s="230">
        <v>8.0000000000000002E-3</v>
      </c>
      <c r="S1024" s="225" t="s">
        <v>40</v>
      </c>
      <c r="T1024" s="225" t="s">
        <v>56</v>
      </c>
      <c r="U1024" s="225" t="s">
        <v>57</v>
      </c>
      <c r="V1024" s="231">
        <v>900</v>
      </c>
      <c r="W1024" s="231">
        <v>900</v>
      </c>
      <c r="X1024" s="232"/>
      <c r="Y1024" s="233">
        <f t="shared" si="344"/>
        <v>0</v>
      </c>
      <c r="Z1024" s="234">
        <f t="shared" si="345"/>
        <v>0</v>
      </c>
      <c r="AA1024" s="234"/>
      <c r="AB1024" s="808"/>
      <c r="AC1024" s="231"/>
      <c r="AD1024" s="220"/>
      <c r="AE1024" s="210"/>
      <c r="AF1024" s="210"/>
      <c r="AG1024" s="211">
        <f t="shared" si="346"/>
        <v>0.14499999999999999</v>
      </c>
      <c r="AH1024" s="157">
        <f t="shared" si="347"/>
        <v>0</v>
      </c>
      <c r="AI1024" s="152">
        <f t="shared" si="348"/>
        <v>21600</v>
      </c>
      <c r="AK1024" s="156" t="s">
        <v>691</v>
      </c>
      <c r="AL1024" s="574" t="s">
        <v>690</v>
      </c>
      <c r="AM1024" s="198">
        <f t="shared" si="343"/>
        <v>0</v>
      </c>
      <c r="AN1024" s="199">
        <f t="shared" si="329"/>
        <v>45475</v>
      </c>
      <c r="AO1024" s="159" t="s">
        <v>692</v>
      </c>
      <c r="AP1024" s="783" t="s">
        <v>638</v>
      </c>
      <c r="AQ1024" s="783" t="s">
        <v>631</v>
      </c>
      <c r="AR1024" s="783" t="s">
        <v>632</v>
      </c>
      <c r="AS1024" s="783" t="s">
        <v>633</v>
      </c>
      <c r="AT1024" s="781"/>
      <c r="AU1024" s="783" t="s">
        <v>626</v>
      </c>
      <c r="AV1024" s="783" t="s">
        <v>630</v>
      </c>
      <c r="AW1024" s="783" t="s">
        <v>634</v>
      </c>
      <c r="AX1024" s="781"/>
      <c r="AY1024" s="783" t="s">
        <v>635</v>
      </c>
      <c r="AZ1024" s="783" t="s">
        <v>636</v>
      </c>
      <c r="BA1024" s="783" t="s">
        <v>637</v>
      </c>
    </row>
    <row r="1025" spans="1:53" ht="26.25" hidden="1" customHeight="1">
      <c r="B1025" s="235">
        <v>45475</v>
      </c>
      <c r="C1025" s="235">
        <v>45489</v>
      </c>
      <c r="D1025" s="185">
        <f t="shared" si="327"/>
        <v>2024</v>
      </c>
      <c r="E1025" s="236" t="str">
        <f>VLOOKUP($B1025,Week!$A$1:$C$1462,2,0)</f>
        <v>Week27</v>
      </c>
      <c r="F1025" s="237" t="str">
        <f t="shared" si="328"/>
        <v>Jul</v>
      </c>
      <c r="G1025" s="236" t="s">
        <v>1471</v>
      </c>
      <c r="H1025" s="236" t="s">
        <v>392</v>
      </c>
      <c r="I1025" s="236" t="s">
        <v>2772</v>
      </c>
      <c r="J1025" s="238" t="s">
        <v>393</v>
      </c>
      <c r="K1025" s="239" t="s">
        <v>1643</v>
      </c>
      <c r="L1025" s="300" t="s">
        <v>2167</v>
      </c>
      <c r="M1025" s="238" t="s">
        <v>406</v>
      </c>
      <c r="N1025" s="236" t="s">
        <v>407</v>
      </c>
      <c r="O1025" s="236" t="s">
        <v>206</v>
      </c>
      <c r="P1025" s="240">
        <v>24</v>
      </c>
      <c r="Q1025" s="240">
        <v>5</v>
      </c>
      <c r="R1025" s="241">
        <v>8.0000000000000002E-3</v>
      </c>
      <c r="S1025" s="236" t="s">
        <v>40</v>
      </c>
      <c r="T1025" s="236" t="s">
        <v>56</v>
      </c>
      <c r="U1025" s="640" t="s">
        <v>499</v>
      </c>
      <c r="V1025" s="242">
        <f>850</f>
        <v>850</v>
      </c>
      <c r="W1025" s="242">
        <f>4+846</f>
        <v>850</v>
      </c>
      <c r="X1025" s="243"/>
      <c r="Y1025" s="244">
        <f t="shared" si="344"/>
        <v>0</v>
      </c>
      <c r="Z1025" s="245">
        <f t="shared" si="345"/>
        <v>0</v>
      </c>
      <c r="AA1025" s="245"/>
      <c r="AB1025" s="809">
        <v>1</v>
      </c>
      <c r="AC1025" s="242">
        <f>Z1025*AB1025</f>
        <v>0</v>
      </c>
      <c r="AD1025" s="209"/>
      <c r="AE1025" s="210"/>
      <c r="AF1025" s="210"/>
      <c r="AG1025" s="211">
        <f t="shared" si="346"/>
        <v>0.115</v>
      </c>
      <c r="AH1025" s="157">
        <f t="shared" si="347"/>
        <v>0</v>
      </c>
      <c r="AI1025" s="152">
        <f t="shared" si="348"/>
        <v>20400</v>
      </c>
      <c r="AK1025" s="156" t="s">
        <v>691</v>
      </c>
      <c r="AL1025" s="574" t="s">
        <v>690</v>
      </c>
      <c r="AM1025" s="198">
        <f t="shared" si="343"/>
        <v>0</v>
      </c>
      <c r="AN1025" s="199">
        <f t="shared" si="329"/>
        <v>45475</v>
      </c>
      <c r="AO1025" s="159" t="s">
        <v>692</v>
      </c>
      <c r="AP1025" s="783" t="s">
        <v>608</v>
      </c>
      <c r="AQ1025" s="782">
        <v>12071839</v>
      </c>
      <c r="AR1025" s="782">
        <v>12047514</v>
      </c>
      <c r="AS1025" s="782">
        <v>12047515</v>
      </c>
      <c r="AT1025" s="781"/>
      <c r="AU1025" s="782">
        <v>12026902</v>
      </c>
      <c r="AV1025" s="782">
        <v>12081781</v>
      </c>
      <c r="AW1025" s="782">
        <v>12026904</v>
      </c>
      <c r="AX1025" s="781"/>
      <c r="AY1025" s="783" t="s">
        <v>625</v>
      </c>
      <c r="AZ1025" s="783" t="s">
        <v>1640</v>
      </c>
      <c r="BA1025" s="783" t="s">
        <v>624</v>
      </c>
    </row>
    <row r="1026" spans="1:53" ht="25" hidden="1" customHeight="1">
      <c r="A1026" s="142" t="s">
        <v>120</v>
      </c>
      <c r="B1026" s="466">
        <v>45475</v>
      </c>
      <c r="C1026" s="467">
        <v>45478</v>
      </c>
      <c r="D1026" s="185">
        <f t="shared" si="327"/>
        <v>2024</v>
      </c>
      <c r="E1026" s="468" t="str">
        <f>VLOOKUP($B1026,Week!$A$1:$C$1462,2,0)</f>
        <v>Week27</v>
      </c>
      <c r="F1026" s="469" t="str">
        <f t="shared" si="328"/>
        <v>Jul</v>
      </c>
      <c r="G1026" s="470" t="s">
        <v>1367</v>
      </c>
      <c r="H1026" s="468" t="s">
        <v>82</v>
      </c>
      <c r="I1026" s="468" t="s">
        <v>82</v>
      </c>
      <c r="J1026" s="471" t="s">
        <v>720</v>
      </c>
      <c r="K1026" s="472" t="s">
        <v>85</v>
      </c>
      <c r="L1026" s="390" t="s">
        <v>2166</v>
      </c>
      <c r="M1026" s="471" t="s">
        <v>579</v>
      </c>
      <c r="N1026" s="468" t="s">
        <v>580</v>
      </c>
      <c r="O1026" s="468" t="s">
        <v>581</v>
      </c>
      <c r="P1026" s="473">
        <v>8</v>
      </c>
      <c r="Q1026" s="473">
        <v>60</v>
      </c>
      <c r="R1026" s="474">
        <v>6.8100000000000001E-3</v>
      </c>
      <c r="S1026" s="468" t="s">
        <v>76</v>
      </c>
      <c r="T1026" s="468" t="s">
        <v>56</v>
      </c>
      <c r="U1026" s="468" t="s">
        <v>89</v>
      </c>
      <c r="V1026" s="475">
        <f>1408-367-516</f>
        <v>525</v>
      </c>
      <c r="W1026" s="475">
        <v>525</v>
      </c>
      <c r="X1026" s="476"/>
      <c r="Y1026" s="477">
        <f t="shared" si="344"/>
        <v>0</v>
      </c>
      <c r="Z1026" s="478">
        <f t="shared" si="345"/>
        <v>0</v>
      </c>
      <c r="AA1026" s="478">
        <f>Q1026*Z1026</f>
        <v>0</v>
      </c>
      <c r="AB1026" s="828">
        <v>6</v>
      </c>
      <c r="AC1026" s="475">
        <f>Z1026*AB1026</f>
        <v>0</v>
      </c>
      <c r="AD1026" s="209"/>
      <c r="AE1026" s="210"/>
      <c r="AF1026" s="210"/>
      <c r="AG1026" s="211">
        <f t="shared" si="346"/>
        <v>0.75</v>
      </c>
      <c r="AH1026" s="157">
        <f t="shared" si="347"/>
        <v>0</v>
      </c>
      <c r="AI1026" s="152">
        <f t="shared" si="348"/>
        <v>4200</v>
      </c>
      <c r="AK1026" s="156" t="s">
        <v>691</v>
      </c>
      <c r="AL1026" s="156" t="s">
        <v>689</v>
      </c>
      <c r="AM1026" s="198">
        <f t="shared" si="343"/>
        <v>0</v>
      </c>
      <c r="AN1026" s="199">
        <f t="shared" si="329"/>
        <v>45475</v>
      </c>
      <c r="AO1026" s="159" t="s">
        <v>692</v>
      </c>
      <c r="AP1026" s="783" t="s">
        <v>622</v>
      </c>
      <c r="AQ1026" s="782">
        <v>12004862</v>
      </c>
      <c r="AR1026" s="782">
        <v>12080753</v>
      </c>
      <c r="AS1026" s="782"/>
      <c r="AT1026" s="782">
        <v>12082897</v>
      </c>
      <c r="AU1026" s="781"/>
      <c r="AV1026" s="782">
        <v>12082898</v>
      </c>
      <c r="AW1026" s="782">
        <v>12082899</v>
      </c>
      <c r="AX1026" s="796" t="s">
        <v>621</v>
      </c>
      <c r="AY1026" s="782"/>
      <c r="AZ1026" s="782"/>
      <c r="BA1026" s="781"/>
    </row>
    <row r="1027" spans="1:53" ht="25" hidden="1" customHeight="1">
      <c r="B1027" s="213">
        <v>45476</v>
      </c>
      <c r="C1027" s="633">
        <v>45482</v>
      </c>
      <c r="D1027" s="185">
        <f t="shared" si="327"/>
        <v>2024</v>
      </c>
      <c r="E1027" s="215" t="str">
        <f>VLOOKUP($B1027,Week!$A$1:$C$1462,2,0)</f>
        <v>Week27</v>
      </c>
      <c r="F1027" s="216" t="str">
        <f t="shared" si="328"/>
        <v>Jul</v>
      </c>
      <c r="G1027" s="215" t="s">
        <v>1338</v>
      </c>
      <c r="H1027" s="215" t="s">
        <v>104</v>
      </c>
      <c r="I1027" s="215" t="s">
        <v>2772</v>
      </c>
      <c r="J1027" s="209" t="s">
        <v>105</v>
      </c>
      <c r="K1027" s="217" t="s">
        <v>107</v>
      </c>
      <c r="L1027" s="300" t="s">
        <v>2167</v>
      </c>
      <c r="M1027" s="209" t="s">
        <v>108</v>
      </c>
      <c r="N1027" s="215" t="s">
        <v>109</v>
      </c>
      <c r="O1027" s="215" t="s">
        <v>110</v>
      </c>
      <c r="P1027" s="218">
        <v>36</v>
      </c>
      <c r="Q1027" s="218">
        <v>5</v>
      </c>
      <c r="R1027" s="219">
        <v>7.4999999999999997E-3</v>
      </c>
      <c r="S1027" s="215" t="s">
        <v>111</v>
      </c>
      <c r="T1027" s="215" t="s">
        <v>112</v>
      </c>
      <c r="U1027" s="215" t="s">
        <v>113</v>
      </c>
      <c r="V1027" s="220">
        <f>792-204</f>
        <v>588</v>
      </c>
      <c r="W1027" s="220">
        <f>792-204</f>
        <v>588</v>
      </c>
      <c r="X1027" s="221"/>
      <c r="Y1027" s="222">
        <f t="shared" si="344"/>
        <v>0</v>
      </c>
      <c r="Z1027" s="223">
        <f t="shared" si="345"/>
        <v>0</v>
      </c>
      <c r="AA1027" s="223"/>
      <c r="AB1027" s="807"/>
      <c r="AC1027" s="220"/>
      <c r="AD1027" s="209"/>
      <c r="AE1027" s="210"/>
      <c r="AF1027" s="210"/>
      <c r="AG1027" s="211">
        <f t="shared" si="346"/>
        <v>0.308</v>
      </c>
      <c r="AH1027" s="157">
        <f t="shared" si="347"/>
        <v>0</v>
      </c>
      <c r="AI1027" s="152">
        <f t="shared" si="348"/>
        <v>21168</v>
      </c>
      <c r="AK1027" s="156" t="s">
        <v>691</v>
      </c>
      <c r="AL1027" s="574" t="s">
        <v>690</v>
      </c>
      <c r="AM1027" s="198">
        <f t="shared" si="343"/>
        <v>0</v>
      </c>
      <c r="AN1027" s="199">
        <f t="shared" si="329"/>
        <v>45476</v>
      </c>
      <c r="AO1027" s="159" t="s">
        <v>692</v>
      </c>
      <c r="AP1027" s="781"/>
      <c r="AQ1027" s="782">
        <v>12063755</v>
      </c>
      <c r="AR1027" s="782">
        <v>12061353</v>
      </c>
      <c r="AS1027" s="782">
        <v>12061354</v>
      </c>
      <c r="AT1027" s="782">
        <v>12068566</v>
      </c>
      <c r="AU1027" s="781"/>
      <c r="AV1027" s="782">
        <v>12088206</v>
      </c>
      <c r="AW1027" s="782">
        <v>12088207</v>
      </c>
      <c r="AX1027" s="782"/>
      <c r="AY1027" s="782">
        <v>12068565</v>
      </c>
      <c r="AZ1027" s="782"/>
      <c r="BA1027" s="781"/>
    </row>
    <row r="1028" spans="1:53" ht="25" hidden="1" customHeight="1">
      <c r="B1028" s="213">
        <v>45476</v>
      </c>
      <c r="C1028" s="633">
        <v>45482</v>
      </c>
      <c r="D1028" s="185">
        <f t="shared" si="327"/>
        <v>2024</v>
      </c>
      <c r="E1028" s="215" t="str">
        <f>VLOOKUP($B1028,Week!$A$1:$C$1462,2,0)</f>
        <v>Week27</v>
      </c>
      <c r="F1028" s="216" t="str">
        <f t="shared" si="328"/>
        <v>Jul</v>
      </c>
      <c r="G1028" s="215" t="s">
        <v>1339</v>
      </c>
      <c r="H1028" s="215" t="s">
        <v>104</v>
      </c>
      <c r="I1028" s="215" t="s">
        <v>2772</v>
      </c>
      <c r="J1028" s="209" t="s">
        <v>105</v>
      </c>
      <c r="K1028" s="217" t="s">
        <v>107</v>
      </c>
      <c r="L1028" s="300" t="s">
        <v>2167</v>
      </c>
      <c r="M1028" s="209" t="s">
        <v>108</v>
      </c>
      <c r="N1028" s="215" t="s">
        <v>109</v>
      </c>
      <c r="O1028" s="215" t="s">
        <v>110</v>
      </c>
      <c r="P1028" s="218">
        <v>36</v>
      </c>
      <c r="Q1028" s="218">
        <v>5</v>
      </c>
      <c r="R1028" s="219">
        <v>7.4999999999999997E-3</v>
      </c>
      <c r="S1028" s="215" t="s">
        <v>111</v>
      </c>
      <c r="T1028" s="215" t="s">
        <v>112</v>
      </c>
      <c r="U1028" s="215" t="s">
        <v>113</v>
      </c>
      <c r="V1028" s="220">
        <v>792</v>
      </c>
      <c r="W1028" s="220">
        <v>792</v>
      </c>
      <c r="X1028" s="221"/>
      <c r="Y1028" s="222">
        <f t="shared" si="344"/>
        <v>0</v>
      </c>
      <c r="Z1028" s="223">
        <f t="shared" si="345"/>
        <v>0</v>
      </c>
      <c r="AA1028" s="223"/>
      <c r="AB1028" s="807"/>
      <c r="AC1028" s="220"/>
      <c r="AD1028" s="209"/>
      <c r="AE1028" s="210"/>
      <c r="AF1028" s="210"/>
      <c r="AG1028" s="211">
        <f t="shared" si="346"/>
        <v>0.308</v>
      </c>
      <c r="AH1028" s="157">
        <f t="shared" ref="AH1028:AH1033" si="349">(Z1028*AG1028)/1000</f>
        <v>0</v>
      </c>
      <c r="AI1028" s="152">
        <f t="shared" si="348"/>
        <v>28512</v>
      </c>
      <c r="AK1028" s="156" t="s">
        <v>691</v>
      </c>
      <c r="AL1028" s="574" t="s">
        <v>690</v>
      </c>
      <c r="AM1028" s="198">
        <f t="shared" ref="AM1028:AM1033" si="350">AG1028*Z1028</f>
        <v>0</v>
      </c>
      <c r="AN1028" s="199">
        <f t="shared" si="329"/>
        <v>45476</v>
      </c>
      <c r="AO1028" s="159" t="s">
        <v>692</v>
      </c>
      <c r="AP1028" s="781"/>
      <c r="AQ1028" s="782">
        <v>12063755</v>
      </c>
      <c r="AR1028" s="782">
        <v>12061353</v>
      </c>
      <c r="AS1028" s="782">
        <v>12061354</v>
      </c>
      <c r="AT1028" s="782">
        <v>12068566</v>
      </c>
      <c r="AU1028" s="781"/>
      <c r="AV1028" s="782">
        <v>12088206</v>
      </c>
      <c r="AW1028" s="782">
        <v>12088207</v>
      </c>
      <c r="AX1028" s="782"/>
      <c r="AY1028" s="782">
        <v>12068565</v>
      </c>
      <c r="AZ1028" s="782"/>
      <c r="BA1028" s="781"/>
    </row>
    <row r="1029" spans="1:53" ht="25" hidden="1" customHeight="1">
      <c r="B1029" s="213">
        <v>45476</v>
      </c>
      <c r="C1029" s="633">
        <v>45482</v>
      </c>
      <c r="D1029" s="185">
        <f t="shared" ref="D1029:D1092" si="351">IF(B1029="","",YEAR(B1029))</f>
        <v>2024</v>
      </c>
      <c r="E1029" s="215" t="str">
        <f>VLOOKUP($B1029,Week!$A$1:$C$1462,2,0)</f>
        <v>Week27</v>
      </c>
      <c r="F1029" s="216" t="str">
        <f t="shared" ref="F1029:F1092" si="352">IF(B1029="","",TEXT(B1029,"[$-409]mmm"))</f>
        <v>Jul</v>
      </c>
      <c r="G1029" s="215" t="s">
        <v>1340</v>
      </c>
      <c r="H1029" s="215" t="s">
        <v>104</v>
      </c>
      <c r="I1029" s="215" t="s">
        <v>2772</v>
      </c>
      <c r="J1029" s="209" t="s">
        <v>105</v>
      </c>
      <c r="K1029" s="217" t="s">
        <v>107</v>
      </c>
      <c r="L1029" s="300" t="s">
        <v>2167</v>
      </c>
      <c r="M1029" s="209" t="s">
        <v>108</v>
      </c>
      <c r="N1029" s="215" t="s">
        <v>109</v>
      </c>
      <c r="O1029" s="215" t="s">
        <v>110</v>
      </c>
      <c r="P1029" s="218">
        <v>36</v>
      </c>
      <c r="Q1029" s="218">
        <v>5</v>
      </c>
      <c r="R1029" s="219">
        <v>7.4999999999999997E-3</v>
      </c>
      <c r="S1029" s="215" t="s">
        <v>111</v>
      </c>
      <c r="T1029" s="215" t="s">
        <v>112</v>
      </c>
      <c r="U1029" s="215" t="s">
        <v>113</v>
      </c>
      <c r="V1029" s="220">
        <v>792</v>
      </c>
      <c r="W1029" s="220">
        <v>792</v>
      </c>
      <c r="X1029" s="221"/>
      <c r="Y1029" s="222">
        <f t="shared" si="344"/>
        <v>0</v>
      </c>
      <c r="Z1029" s="223">
        <f t="shared" si="345"/>
        <v>0</v>
      </c>
      <c r="AA1029" s="223"/>
      <c r="AB1029" s="807"/>
      <c r="AC1029" s="220"/>
      <c r="AD1029" s="209"/>
      <c r="AE1029" s="210"/>
      <c r="AF1029" s="210"/>
      <c r="AG1029" s="211">
        <f t="shared" si="346"/>
        <v>0.308</v>
      </c>
      <c r="AH1029" s="157">
        <f t="shared" si="349"/>
        <v>0</v>
      </c>
      <c r="AI1029" s="152">
        <f t="shared" si="348"/>
        <v>28512</v>
      </c>
      <c r="AK1029" s="156" t="s">
        <v>691</v>
      </c>
      <c r="AL1029" s="574" t="s">
        <v>690</v>
      </c>
      <c r="AM1029" s="198">
        <f t="shared" si="350"/>
        <v>0</v>
      </c>
      <c r="AN1029" s="199">
        <f t="shared" ref="AN1029:AN1092" si="353">B1029</f>
        <v>45476</v>
      </c>
      <c r="AO1029" s="159" t="s">
        <v>692</v>
      </c>
      <c r="AP1029" s="781"/>
      <c r="AQ1029" s="782">
        <v>12063755</v>
      </c>
      <c r="AR1029" s="782">
        <v>12061353</v>
      </c>
      <c r="AS1029" s="782">
        <v>12061354</v>
      </c>
      <c r="AT1029" s="782">
        <v>12068566</v>
      </c>
      <c r="AU1029" s="781"/>
      <c r="AV1029" s="782">
        <v>12088206</v>
      </c>
      <c r="AW1029" s="782">
        <v>12088207</v>
      </c>
      <c r="AX1029" s="782"/>
      <c r="AY1029" s="782">
        <v>12068565</v>
      </c>
      <c r="AZ1029" s="782"/>
      <c r="BA1029" s="781"/>
    </row>
    <row r="1030" spans="1:53" ht="25" hidden="1" customHeight="1">
      <c r="B1030" s="213">
        <v>45476</v>
      </c>
      <c r="C1030" s="633">
        <v>45485</v>
      </c>
      <c r="D1030" s="185">
        <f t="shared" si="351"/>
        <v>2024</v>
      </c>
      <c r="E1030" s="215" t="str">
        <f>VLOOKUP($B1030,Week!$A$1:$C$1462,2,0)</f>
        <v>Week27</v>
      </c>
      <c r="F1030" s="216" t="str">
        <f t="shared" si="352"/>
        <v>Jul</v>
      </c>
      <c r="G1030" s="215" t="s">
        <v>1341</v>
      </c>
      <c r="H1030" s="215" t="s">
        <v>104</v>
      </c>
      <c r="I1030" s="215" t="s">
        <v>2772</v>
      </c>
      <c r="J1030" s="209" t="s">
        <v>105</v>
      </c>
      <c r="K1030" s="217" t="s">
        <v>107</v>
      </c>
      <c r="L1030" s="300" t="s">
        <v>2167</v>
      </c>
      <c r="M1030" s="209" t="s">
        <v>108</v>
      </c>
      <c r="N1030" s="215" t="s">
        <v>109</v>
      </c>
      <c r="O1030" s="215" t="s">
        <v>110</v>
      </c>
      <c r="P1030" s="218">
        <v>36</v>
      </c>
      <c r="Q1030" s="218">
        <v>5</v>
      </c>
      <c r="R1030" s="219">
        <v>7.4999999999999997E-3</v>
      </c>
      <c r="S1030" s="215" t="s">
        <v>111</v>
      </c>
      <c r="T1030" s="215" t="s">
        <v>112</v>
      </c>
      <c r="U1030" s="215" t="s">
        <v>113</v>
      </c>
      <c r="V1030" s="220">
        <v>792</v>
      </c>
      <c r="W1030" s="220">
        <v>792</v>
      </c>
      <c r="X1030" s="221"/>
      <c r="Y1030" s="222">
        <f t="shared" si="344"/>
        <v>0</v>
      </c>
      <c r="Z1030" s="223">
        <f t="shared" si="345"/>
        <v>0</v>
      </c>
      <c r="AA1030" s="223"/>
      <c r="AB1030" s="807"/>
      <c r="AC1030" s="220"/>
      <c r="AD1030" s="209"/>
      <c r="AE1030" s="210"/>
      <c r="AF1030" s="210"/>
      <c r="AG1030" s="211">
        <f t="shared" si="346"/>
        <v>0.308</v>
      </c>
      <c r="AH1030" s="157">
        <f>(Z1030*AG1030)/1000</f>
        <v>0</v>
      </c>
      <c r="AI1030" s="152">
        <f t="shared" si="348"/>
        <v>28512</v>
      </c>
      <c r="AK1030" s="156" t="s">
        <v>691</v>
      </c>
      <c r="AL1030" s="574" t="s">
        <v>690</v>
      </c>
      <c r="AM1030" s="198">
        <f>AG1030*Z1030</f>
        <v>0</v>
      </c>
      <c r="AN1030" s="199">
        <f t="shared" si="353"/>
        <v>45476</v>
      </c>
      <c r="AO1030" s="159" t="s">
        <v>692</v>
      </c>
      <c r="AP1030" s="781"/>
      <c r="AQ1030" s="782">
        <v>12063755</v>
      </c>
      <c r="AR1030" s="782">
        <v>12061353</v>
      </c>
      <c r="AS1030" s="782">
        <v>12061354</v>
      </c>
      <c r="AT1030" s="782">
        <v>12068566</v>
      </c>
      <c r="AU1030" s="781"/>
      <c r="AV1030" s="782">
        <v>12088206</v>
      </c>
      <c r="AW1030" s="782">
        <v>12088207</v>
      </c>
      <c r="AX1030" s="782"/>
      <c r="AY1030" s="782">
        <v>12068565</v>
      </c>
      <c r="AZ1030" s="782"/>
      <c r="BA1030" s="781"/>
    </row>
    <row r="1031" spans="1:53" ht="25" hidden="1" customHeight="1">
      <c r="B1031" s="213">
        <v>45476</v>
      </c>
      <c r="C1031" s="633">
        <v>45485</v>
      </c>
      <c r="D1031" s="185">
        <f t="shared" si="351"/>
        <v>2024</v>
      </c>
      <c r="E1031" s="215" t="str">
        <f>VLOOKUP($B1031,Week!$A$1:$C$1462,2,0)</f>
        <v>Week27</v>
      </c>
      <c r="F1031" s="216" t="str">
        <f t="shared" si="352"/>
        <v>Jul</v>
      </c>
      <c r="G1031" s="215" t="s">
        <v>1342</v>
      </c>
      <c r="H1031" s="215" t="s">
        <v>104</v>
      </c>
      <c r="I1031" s="215" t="s">
        <v>2772</v>
      </c>
      <c r="J1031" s="209" t="s">
        <v>105</v>
      </c>
      <c r="K1031" s="217" t="s">
        <v>107</v>
      </c>
      <c r="L1031" s="300" t="s">
        <v>2167</v>
      </c>
      <c r="M1031" s="209" t="s">
        <v>108</v>
      </c>
      <c r="N1031" s="215" t="s">
        <v>109</v>
      </c>
      <c r="O1031" s="215" t="s">
        <v>110</v>
      </c>
      <c r="P1031" s="218">
        <v>36</v>
      </c>
      <c r="Q1031" s="218">
        <v>5</v>
      </c>
      <c r="R1031" s="219">
        <v>7.4999999999999997E-3</v>
      </c>
      <c r="S1031" s="215" t="s">
        <v>111</v>
      </c>
      <c r="T1031" s="215" t="s">
        <v>112</v>
      </c>
      <c r="U1031" s="215" t="s">
        <v>113</v>
      </c>
      <c r="V1031" s="220">
        <v>792</v>
      </c>
      <c r="W1031" s="220">
        <v>792</v>
      </c>
      <c r="X1031" s="221"/>
      <c r="Y1031" s="222">
        <f t="shared" si="344"/>
        <v>0</v>
      </c>
      <c r="Z1031" s="223">
        <f t="shared" si="345"/>
        <v>0</v>
      </c>
      <c r="AA1031" s="223"/>
      <c r="AB1031" s="807"/>
      <c r="AC1031" s="220"/>
      <c r="AD1031" s="209"/>
      <c r="AE1031" s="210"/>
      <c r="AF1031" s="210"/>
      <c r="AG1031" s="211">
        <f t="shared" si="346"/>
        <v>0.308</v>
      </c>
      <c r="AH1031" s="157">
        <f>(Z1031*AG1031)/1000</f>
        <v>0</v>
      </c>
      <c r="AI1031" s="152">
        <f t="shared" si="348"/>
        <v>28512</v>
      </c>
      <c r="AK1031" s="156" t="s">
        <v>691</v>
      </c>
      <c r="AL1031" s="574" t="s">
        <v>690</v>
      </c>
      <c r="AM1031" s="198">
        <f>AG1031*Z1031</f>
        <v>0</v>
      </c>
      <c r="AN1031" s="199">
        <f t="shared" si="353"/>
        <v>45476</v>
      </c>
      <c r="AO1031" s="159" t="s">
        <v>692</v>
      </c>
      <c r="AP1031" s="781"/>
      <c r="AQ1031" s="782">
        <v>12063755</v>
      </c>
      <c r="AR1031" s="782">
        <v>12061353</v>
      </c>
      <c r="AS1031" s="782">
        <v>12061354</v>
      </c>
      <c r="AT1031" s="782">
        <v>12068566</v>
      </c>
      <c r="AU1031" s="781"/>
      <c r="AV1031" s="782">
        <v>12088206</v>
      </c>
      <c r="AW1031" s="782">
        <v>12088207</v>
      </c>
      <c r="AX1031" s="782"/>
      <c r="AY1031" s="782">
        <v>12068565</v>
      </c>
      <c r="AZ1031" s="782"/>
      <c r="BA1031" s="781"/>
    </row>
    <row r="1032" spans="1:53" ht="25" hidden="1" customHeight="1">
      <c r="B1032" s="213">
        <v>45476</v>
      </c>
      <c r="C1032" s="633">
        <v>45485</v>
      </c>
      <c r="D1032" s="185">
        <f t="shared" si="351"/>
        <v>2024</v>
      </c>
      <c r="E1032" s="215" t="str">
        <f>VLOOKUP($B1032,Week!$A$1:$C$1462,2,0)</f>
        <v>Week27</v>
      </c>
      <c r="F1032" s="216" t="str">
        <f t="shared" si="352"/>
        <v>Jul</v>
      </c>
      <c r="G1032" s="215" t="s">
        <v>1343</v>
      </c>
      <c r="H1032" s="215" t="s">
        <v>104</v>
      </c>
      <c r="I1032" s="215" t="s">
        <v>2772</v>
      </c>
      <c r="J1032" s="209" t="s">
        <v>105</v>
      </c>
      <c r="K1032" s="217" t="s">
        <v>107</v>
      </c>
      <c r="L1032" s="300" t="s">
        <v>2167</v>
      </c>
      <c r="M1032" s="209" t="s">
        <v>108</v>
      </c>
      <c r="N1032" s="215" t="s">
        <v>109</v>
      </c>
      <c r="O1032" s="215" t="s">
        <v>110</v>
      </c>
      <c r="P1032" s="218">
        <v>36</v>
      </c>
      <c r="Q1032" s="218">
        <v>5</v>
      </c>
      <c r="R1032" s="219">
        <v>7.4999999999999997E-3</v>
      </c>
      <c r="S1032" s="215" t="s">
        <v>111</v>
      </c>
      <c r="T1032" s="215" t="s">
        <v>112</v>
      </c>
      <c r="U1032" s="215" t="s">
        <v>113</v>
      </c>
      <c r="V1032" s="220">
        <f>3918-588-792-792-792-792</f>
        <v>162</v>
      </c>
      <c r="W1032" s="220">
        <f>3918-588-792-792-792-792</f>
        <v>162</v>
      </c>
      <c r="X1032" s="221"/>
      <c r="Y1032" s="222">
        <f t="shared" si="344"/>
        <v>0</v>
      </c>
      <c r="Z1032" s="223">
        <f t="shared" si="345"/>
        <v>0</v>
      </c>
      <c r="AA1032" s="223"/>
      <c r="AB1032" s="807"/>
      <c r="AC1032" s="220"/>
      <c r="AD1032" s="209"/>
      <c r="AE1032" s="210"/>
      <c r="AF1032" s="210"/>
      <c r="AG1032" s="211">
        <f t="shared" si="346"/>
        <v>0.308</v>
      </c>
      <c r="AH1032" s="157">
        <f>(Z1032*AG1032)/1000</f>
        <v>0</v>
      </c>
      <c r="AI1032" s="152">
        <f t="shared" si="348"/>
        <v>5832</v>
      </c>
      <c r="AK1032" s="156" t="s">
        <v>691</v>
      </c>
      <c r="AL1032" s="574" t="s">
        <v>690</v>
      </c>
      <c r="AM1032" s="198">
        <f>AG1032*Z1032</f>
        <v>0</v>
      </c>
      <c r="AN1032" s="199">
        <f t="shared" si="353"/>
        <v>45476</v>
      </c>
      <c r="AO1032" s="159" t="s">
        <v>692</v>
      </c>
      <c r="AP1032" s="781"/>
      <c r="AQ1032" s="782">
        <v>12063755</v>
      </c>
      <c r="AR1032" s="782">
        <v>12061353</v>
      </c>
      <c r="AS1032" s="782">
        <v>12061354</v>
      </c>
      <c r="AT1032" s="782">
        <v>12068566</v>
      </c>
      <c r="AU1032" s="781"/>
      <c r="AV1032" s="782">
        <v>12088206</v>
      </c>
      <c r="AW1032" s="782">
        <v>12088207</v>
      </c>
      <c r="AX1032" s="782"/>
      <c r="AY1032" s="782">
        <v>12068565</v>
      </c>
      <c r="AZ1032" s="782"/>
      <c r="BA1032" s="781"/>
    </row>
    <row r="1033" spans="1:53" ht="26.25" hidden="1" customHeight="1">
      <c r="A1033" s="142" t="s">
        <v>120</v>
      </c>
      <c r="B1033" s="235">
        <v>45476</v>
      </c>
      <c r="C1033" s="235">
        <v>45489</v>
      </c>
      <c r="D1033" s="185">
        <f t="shared" si="351"/>
        <v>2024</v>
      </c>
      <c r="E1033" s="236" t="str">
        <f>VLOOKUP($B1033,Week!$A$1:$C$1462,2,0)</f>
        <v>Week27</v>
      </c>
      <c r="F1033" s="237" t="str">
        <f t="shared" si="352"/>
        <v>Jul</v>
      </c>
      <c r="G1033" s="236" t="s">
        <v>1471</v>
      </c>
      <c r="H1033" s="236" t="s">
        <v>392</v>
      </c>
      <c r="I1033" s="236" t="s">
        <v>2772</v>
      </c>
      <c r="J1033" s="238" t="s">
        <v>393</v>
      </c>
      <c r="K1033" s="239" t="s">
        <v>153</v>
      </c>
      <c r="L1033" s="390" t="s">
        <v>2166</v>
      </c>
      <c r="M1033" s="238" t="s">
        <v>165</v>
      </c>
      <c r="N1033" s="236" t="s">
        <v>685</v>
      </c>
      <c r="O1033" s="236" t="s">
        <v>167</v>
      </c>
      <c r="P1033" s="240">
        <v>20</v>
      </c>
      <c r="Q1033" s="240">
        <v>12</v>
      </c>
      <c r="R1033" s="241">
        <v>6.8100000000000001E-3</v>
      </c>
      <c r="S1033" s="236" t="s">
        <v>76</v>
      </c>
      <c r="T1033" s="236" t="s">
        <v>56</v>
      </c>
      <c r="U1033" s="236" t="s">
        <v>89</v>
      </c>
      <c r="V1033" s="242">
        <v>400</v>
      </c>
      <c r="W1033" s="242">
        <f>400</f>
        <v>400</v>
      </c>
      <c r="X1033" s="243"/>
      <c r="Y1033" s="244">
        <f t="shared" si="344"/>
        <v>0</v>
      </c>
      <c r="Z1033" s="245">
        <f t="shared" si="345"/>
        <v>0</v>
      </c>
      <c r="AA1033" s="245">
        <f>Q1033*Z1033</f>
        <v>0</v>
      </c>
      <c r="AB1033" s="809">
        <v>2</v>
      </c>
      <c r="AC1033" s="242">
        <f>Z1033*AB1033</f>
        <v>0</v>
      </c>
      <c r="AD1033" s="209"/>
      <c r="AE1033" s="210"/>
      <c r="AF1033" s="210"/>
      <c r="AG1033" s="211">
        <f t="shared" si="346"/>
        <v>0.154</v>
      </c>
      <c r="AH1033" s="157">
        <f t="shared" si="349"/>
        <v>0</v>
      </c>
      <c r="AI1033" s="152">
        <f t="shared" si="348"/>
        <v>8000</v>
      </c>
      <c r="AK1033" s="156" t="s">
        <v>691</v>
      </c>
      <c r="AL1033" s="156" t="s">
        <v>689</v>
      </c>
      <c r="AM1033" s="198">
        <f t="shared" si="350"/>
        <v>0</v>
      </c>
      <c r="AN1033" s="199">
        <f t="shared" si="353"/>
        <v>45476</v>
      </c>
      <c r="AO1033" s="159" t="s">
        <v>692</v>
      </c>
      <c r="AP1033" s="783"/>
      <c r="AQ1033" s="781" t="s">
        <v>158</v>
      </c>
      <c r="AR1033" s="783" t="s">
        <v>523</v>
      </c>
      <c r="AS1033" s="781"/>
      <c r="AT1033" s="783" t="s">
        <v>607</v>
      </c>
      <c r="AU1033" s="781"/>
      <c r="AV1033" s="783" t="s">
        <v>606</v>
      </c>
      <c r="AW1033" s="781"/>
      <c r="AX1033" s="781" t="s">
        <v>398</v>
      </c>
      <c r="AY1033" s="781"/>
      <c r="AZ1033" s="781"/>
      <c r="BA1033" s="781"/>
    </row>
    <row r="1034" spans="1:53" ht="24.65" hidden="1" customHeight="1">
      <c r="A1034" s="142" t="s">
        <v>120</v>
      </c>
      <c r="B1034" s="258">
        <v>45476</v>
      </c>
      <c r="C1034" s="259">
        <v>45511</v>
      </c>
      <c r="D1034" s="185">
        <f t="shared" si="351"/>
        <v>2024</v>
      </c>
      <c r="E1034" s="260" t="str">
        <f>VLOOKUP($B1034,Week!$A$1:$C$1462,2,0)</f>
        <v>Week27</v>
      </c>
      <c r="F1034" s="261" t="str">
        <f t="shared" si="352"/>
        <v>Jul</v>
      </c>
      <c r="G1034" s="262" t="s">
        <v>1424</v>
      </c>
      <c r="H1034" s="260" t="s">
        <v>134</v>
      </c>
      <c r="I1034" s="260" t="s">
        <v>2772</v>
      </c>
      <c r="J1034" s="263" t="s">
        <v>164</v>
      </c>
      <c r="K1034" s="264" t="s">
        <v>153</v>
      </c>
      <c r="L1034" s="390" t="s">
        <v>2166</v>
      </c>
      <c r="M1034" s="263" t="s">
        <v>165</v>
      </c>
      <c r="N1034" s="260" t="s">
        <v>166</v>
      </c>
      <c r="O1034" s="260" t="s">
        <v>502</v>
      </c>
      <c r="P1034" s="265">
        <v>20</v>
      </c>
      <c r="Q1034" s="265">
        <v>12</v>
      </c>
      <c r="R1034" s="266">
        <v>6.8100000000000001E-3</v>
      </c>
      <c r="S1034" s="260" t="s">
        <v>76</v>
      </c>
      <c r="T1034" s="260" t="s">
        <v>56</v>
      </c>
      <c r="U1034" s="260" t="s">
        <v>89</v>
      </c>
      <c r="V1034" s="267">
        <v>653</v>
      </c>
      <c r="W1034" s="267">
        <f>84+569</f>
        <v>653</v>
      </c>
      <c r="X1034" s="268"/>
      <c r="Y1034" s="269">
        <f t="shared" si="344"/>
        <v>0</v>
      </c>
      <c r="Z1034" s="270">
        <f t="shared" si="345"/>
        <v>0</v>
      </c>
      <c r="AA1034" s="270">
        <f>Q1034*Z1034</f>
        <v>0</v>
      </c>
      <c r="AB1034" s="811">
        <v>2</v>
      </c>
      <c r="AC1034" s="267">
        <f>Z1034*AB1034</f>
        <v>0</v>
      </c>
      <c r="AD1034" s="209" t="s">
        <v>168</v>
      </c>
      <c r="AE1034" s="210"/>
      <c r="AF1034" s="210"/>
      <c r="AG1034" s="211">
        <f t="shared" si="346"/>
        <v>0.154</v>
      </c>
      <c r="AH1034" s="157">
        <f t="shared" ref="AH1034:AH1044" si="354">(Z1034*AG1034)/1000</f>
        <v>0</v>
      </c>
      <c r="AI1034" s="152">
        <f t="shared" si="348"/>
        <v>13060</v>
      </c>
      <c r="AK1034" s="156" t="s">
        <v>691</v>
      </c>
      <c r="AL1034" s="156" t="s">
        <v>689</v>
      </c>
      <c r="AM1034" s="198">
        <f t="shared" ref="AM1034:AM1065" si="355">AG1034*Z1034</f>
        <v>0</v>
      </c>
      <c r="AN1034" s="199">
        <f t="shared" si="353"/>
        <v>45476</v>
      </c>
      <c r="AO1034" s="159" t="s">
        <v>692</v>
      </c>
      <c r="AP1034" s="783" t="s">
        <v>610</v>
      </c>
      <c r="AQ1034" s="783" t="s">
        <v>631</v>
      </c>
      <c r="AR1034" s="783" t="s">
        <v>523</v>
      </c>
      <c r="AS1034" s="781"/>
      <c r="AT1034" s="782">
        <v>12055919</v>
      </c>
      <c r="AU1034" s="781"/>
      <c r="AV1034" s="783" t="s">
        <v>544</v>
      </c>
      <c r="AW1034" s="781"/>
      <c r="AX1034" s="782" t="s">
        <v>398</v>
      </c>
      <c r="AY1034" s="781"/>
      <c r="AZ1034" s="781"/>
      <c r="BA1034" s="781"/>
    </row>
    <row r="1035" spans="1:53" ht="25" hidden="1" customHeight="1">
      <c r="B1035" s="213">
        <v>45477</v>
      </c>
      <c r="C1035" s="633">
        <v>45485</v>
      </c>
      <c r="D1035" s="185">
        <f t="shared" si="351"/>
        <v>2024</v>
      </c>
      <c r="E1035" s="215" t="str">
        <f>VLOOKUP($B1035,Week!$A$1:$C$1462,2,0)</f>
        <v>Week27</v>
      </c>
      <c r="F1035" s="216" t="str">
        <f t="shared" si="352"/>
        <v>Jul</v>
      </c>
      <c r="G1035" s="215" t="s">
        <v>1343</v>
      </c>
      <c r="H1035" s="215" t="s">
        <v>104</v>
      </c>
      <c r="I1035" s="215" t="s">
        <v>2772</v>
      </c>
      <c r="J1035" s="209" t="s">
        <v>105</v>
      </c>
      <c r="K1035" s="217" t="s">
        <v>107</v>
      </c>
      <c r="L1035" s="300" t="s">
        <v>2167</v>
      </c>
      <c r="M1035" s="209" t="s">
        <v>108</v>
      </c>
      <c r="N1035" s="215" t="s">
        <v>109</v>
      </c>
      <c r="O1035" s="215" t="s">
        <v>110</v>
      </c>
      <c r="P1035" s="218">
        <v>36</v>
      </c>
      <c r="Q1035" s="218">
        <v>5</v>
      </c>
      <c r="R1035" s="219">
        <v>7.4999999999999997E-3</v>
      </c>
      <c r="S1035" s="215" t="s">
        <v>111</v>
      </c>
      <c r="T1035" s="215" t="s">
        <v>112</v>
      </c>
      <c r="U1035" s="215" t="s">
        <v>113</v>
      </c>
      <c r="V1035" s="220">
        <f>792-162</f>
        <v>630</v>
      </c>
      <c r="W1035" s="220">
        <f>792-162</f>
        <v>630</v>
      </c>
      <c r="X1035" s="221"/>
      <c r="Y1035" s="222">
        <f t="shared" si="344"/>
        <v>0</v>
      </c>
      <c r="Z1035" s="223">
        <f t="shared" si="345"/>
        <v>0</v>
      </c>
      <c r="AA1035" s="223"/>
      <c r="AB1035" s="807"/>
      <c r="AC1035" s="220"/>
      <c r="AD1035" s="209"/>
      <c r="AE1035" s="210"/>
      <c r="AF1035" s="210"/>
      <c r="AG1035" s="211">
        <f t="shared" si="346"/>
        <v>0.308</v>
      </c>
      <c r="AH1035" s="157">
        <f t="shared" si="354"/>
        <v>0</v>
      </c>
      <c r="AI1035" s="152">
        <f t="shared" si="348"/>
        <v>22680</v>
      </c>
      <c r="AK1035" s="156" t="s">
        <v>691</v>
      </c>
      <c r="AL1035" s="574" t="s">
        <v>690</v>
      </c>
      <c r="AM1035" s="198">
        <f t="shared" si="355"/>
        <v>0</v>
      </c>
      <c r="AN1035" s="199">
        <f t="shared" si="353"/>
        <v>45477</v>
      </c>
      <c r="AO1035" s="159" t="s">
        <v>692</v>
      </c>
      <c r="AP1035" s="781"/>
      <c r="AQ1035" s="782">
        <v>12063755</v>
      </c>
      <c r="AR1035" s="782">
        <v>12061353</v>
      </c>
      <c r="AS1035" s="782">
        <v>12061354</v>
      </c>
      <c r="AT1035" s="782">
        <v>12068566</v>
      </c>
      <c r="AU1035" s="781"/>
      <c r="AV1035" s="782">
        <v>12088206</v>
      </c>
      <c r="AW1035" s="782">
        <v>12088207</v>
      </c>
      <c r="AX1035" s="782"/>
      <c r="AY1035" s="782">
        <v>12068565</v>
      </c>
      <c r="AZ1035" s="782"/>
      <c r="BA1035" s="781"/>
    </row>
    <row r="1036" spans="1:53" ht="25" hidden="1" customHeight="1">
      <c r="B1036" s="213">
        <v>45477</v>
      </c>
      <c r="C1036" s="633">
        <v>45485</v>
      </c>
      <c r="D1036" s="185">
        <f t="shared" si="351"/>
        <v>2024</v>
      </c>
      <c r="E1036" s="215" t="str">
        <f>VLOOKUP($B1036,Week!$A$1:$C$1462,2,0)</f>
        <v>Week27</v>
      </c>
      <c r="F1036" s="216" t="str">
        <f t="shared" si="352"/>
        <v>Jul</v>
      </c>
      <c r="G1036" s="215" t="s">
        <v>1344</v>
      </c>
      <c r="H1036" s="215" t="s">
        <v>104</v>
      </c>
      <c r="I1036" s="215" t="s">
        <v>2772</v>
      </c>
      <c r="J1036" s="209" t="s">
        <v>105</v>
      </c>
      <c r="K1036" s="217" t="s">
        <v>107</v>
      </c>
      <c r="L1036" s="300" t="s">
        <v>2167</v>
      </c>
      <c r="M1036" s="209" t="s">
        <v>108</v>
      </c>
      <c r="N1036" s="215" t="s">
        <v>109</v>
      </c>
      <c r="O1036" s="215" t="s">
        <v>110</v>
      </c>
      <c r="P1036" s="218">
        <v>36</v>
      </c>
      <c r="Q1036" s="218">
        <v>5</v>
      </c>
      <c r="R1036" s="219">
        <v>7.4999999999999997E-3</v>
      </c>
      <c r="S1036" s="215" t="s">
        <v>111</v>
      </c>
      <c r="T1036" s="215" t="s">
        <v>112</v>
      </c>
      <c r="U1036" s="215" t="s">
        <v>113</v>
      </c>
      <c r="V1036" s="220">
        <v>792</v>
      </c>
      <c r="W1036" s="220">
        <v>792</v>
      </c>
      <c r="X1036" s="221"/>
      <c r="Y1036" s="222">
        <f t="shared" si="344"/>
        <v>0</v>
      </c>
      <c r="Z1036" s="223">
        <f t="shared" si="345"/>
        <v>0</v>
      </c>
      <c r="AA1036" s="223"/>
      <c r="AB1036" s="807"/>
      <c r="AC1036" s="220"/>
      <c r="AD1036" s="209"/>
      <c r="AE1036" s="210"/>
      <c r="AF1036" s="210"/>
      <c r="AG1036" s="211">
        <f t="shared" si="346"/>
        <v>0.308</v>
      </c>
      <c r="AH1036" s="157">
        <f t="shared" si="354"/>
        <v>0</v>
      </c>
      <c r="AI1036" s="152">
        <f t="shared" si="348"/>
        <v>28512</v>
      </c>
      <c r="AK1036" s="156" t="s">
        <v>691</v>
      </c>
      <c r="AL1036" s="574" t="s">
        <v>690</v>
      </c>
      <c r="AM1036" s="198">
        <f t="shared" si="355"/>
        <v>0</v>
      </c>
      <c r="AN1036" s="199">
        <f t="shared" si="353"/>
        <v>45477</v>
      </c>
      <c r="AO1036" s="159" t="s">
        <v>692</v>
      </c>
      <c r="AP1036" s="781"/>
      <c r="AQ1036" s="782">
        <v>12063755</v>
      </c>
      <c r="AR1036" s="782">
        <v>12061353</v>
      </c>
      <c r="AS1036" s="782">
        <v>12061354</v>
      </c>
      <c r="AT1036" s="782">
        <v>12068566</v>
      </c>
      <c r="AU1036" s="781"/>
      <c r="AV1036" s="782">
        <v>12088206</v>
      </c>
      <c r="AW1036" s="782">
        <v>12088207</v>
      </c>
      <c r="AX1036" s="782"/>
      <c r="AY1036" s="782">
        <v>12068565</v>
      </c>
      <c r="AZ1036" s="782"/>
      <c r="BA1036" s="781"/>
    </row>
    <row r="1037" spans="1:53" ht="25" hidden="1" customHeight="1">
      <c r="B1037" s="213">
        <v>45477</v>
      </c>
      <c r="C1037" s="633">
        <v>45488</v>
      </c>
      <c r="D1037" s="185">
        <f t="shared" si="351"/>
        <v>2024</v>
      </c>
      <c r="E1037" s="215" t="str">
        <f>VLOOKUP($B1037,Week!$A$1:$C$1462,2,0)</f>
        <v>Week27</v>
      </c>
      <c r="F1037" s="216" t="str">
        <f t="shared" si="352"/>
        <v>Jul</v>
      </c>
      <c r="G1037" s="215" t="s">
        <v>1370</v>
      </c>
      <c r="H1037" s="215" t="s">
        <v>104</v>
      </c>
      <c r="I1037" s="215" t="s">
        <v>2772</v>
      </c>
      <c r="J1037" s="209" t="s">
        <v>105</v>
      </c>
      <c r="K1037" s="217" t="s">
        <v>107</v>
      </c>
      <c r="L1037" s="300" t="s">
        <v>2167</v>
      </c>
      <c r="M1037" s="209" t="s">
        <v>108</v>
      </c>
      <c r="N1037" s="215" t="s">
        <v>109</v>
      </c>
      <c r="O1037" s="215" t="s">
        <v>110</v>
      </c>
      <c r="P1037" s="218">
        <v>36</v>
      </c>
      <c r="Q1037" s="218">
        <v>5</v>
      </c>
      <c r="R1037" s="219">
        <v>7.4999999999999997E-3</v>
      </c>
      <c r="S1037" s="215" t="s">
        <v>111</v>
      </c>
      <c r="T1037" s="215" t="s">
        <v>112</v>
      </c>
      <c r="U1037" s="215" t="s">
        <v>113</v>
      </c>
      <c r="V1037" s="220">
        <f>792</f>
        <v>792</v>
      </c>
      <c r="W1037" s="220">
        <f>792</f>
        <v>792</v>
      </c>
      <c r="X1037" s="221"/>
      <c r="Y1037" s="222">
        <f t="shared" si="344"/>
        <v>0</v>
      </c>
      <c r="Z1037" s="223">
        <f t="shared" si="345"/>
        <v>0</v>
      </c>
      <c r="AA1037" s="223"/>
      <c r="AB1037" s="807"/>
      <c r="AC1037" s="220"/>
      <c r="AD1037" s="209"/>
      <c r="AE1037" s="210"/>
      <c r="AF1037" s="210"/>
      <c r="AG1037" s="211">
        <f t="shared" si="346"/>
        <v>0.308</v>
      </c>
      <c r="AH1037" s="157">
        <f t="shared" si="354"/>
        <v>0</v>
      </c>
      <c r="AI1037" s="152">
        <f t="shared" si="348"/>
        <v>28512</v>
      </c>
      <c r="AK1037" s="156" t="s">
        <v>691</v>
      </c>
      <c r="AL1037" s="574" t="s">
        <v>690</v>
      </c>
      <c r="AM1037" s="198">
        <f t="shared" si="355"/>
        <v>0</v>
      </c>
      <c r="AN1037" s="199">
        <f t="shared" si="353"/>
        <v>45477</v>
      </c>
      <c r="AO1037" s="159" t="s">
        <v>692</v>
      </c>
      <c r="AP1037" s="781"/>
      <c r="AQ1037" s="782">
        <v>12063755</v>
      </c>
      <c r="AR1037" s="782">
        <v>12061353</v>
      </c>
      <c r="AS1037" s="782">
        <v>12061354</v>
      </c>
      <c r="AT1037" s="782">
        <v>12068566</v>
      </c>
      <c r="AU1037" s="781"/>
      <c r="AV1037" s="782">
        <v>12088206</v>
      </c>
      <c r="AW1037" s="782">
        <v>12088207</v>
      </c>
      <c r="AX1037" s="782"/>
      <c r="AY1037" s="782">
        <v>12068565</v>
      </c>
      <c r="AZ1037" s="782"/>
      <c r="BA1037" s="781"/>
    </row>
    <row r="1038" spans="1:53" ht="25" hidden="1" customHeight="1">
      <c r="B1038" s="213">
        <v>45477</v>
      </c>
      <c r="C1038" s="633">
        <v>45488</v>
      </c>
      <c r="D1038" s="185">
        <f t="shared" si="351"/>
        <v>2024</v>
      </c>
      <c r="E1038" s="215" t="str">
        <f>VLOOKUP($B1038,Week!$A$1:$C$1462,2,0)</f>
        <v>Week27</v>
      </c>
      <c r="F1038" s="216" t="str">
        <f t="shared" si="352"/>
        <v>Jul</v>
      </c>
      <c r="G1038" s="215" t="s">
        <v>1371</v>
      </c>
      <c r="H1038" s="215" t="s">
        <v>104</v>
      </c>
      <c r="I1038" s="215" t="s">
        <v>2772</v>
      </c>
      <c r="J1038" s="209" t="s">
        <v>105</v>
      </c>
      <c r="K1038" s="217" t="s">
        <v>107</v>
      </c>
      <c r="L1038" s="300" t="s">
        <v>2167</v>
      </c>
      <c r="M1038" s="209" t="s">
        <v>108</v>
      </c>
      <c r="N1038" s="215" t="s">
        <v>109</v>
      </c>
      <c r="O1038" s="215" t="s">
        <v>110</v>
      </c>
      <c r="P1038" s="218">
        <v>36</v>
      </c>
      <c r="Q1038" s="218">
        <v>5</v>
      </c>
      <c r="R1038" s="219">
        <v>7.4999999999999997E-3</v>
      </c>
      <c r="S1038" s="215" t="s">
        <v>111</v>
      </c>
      <c r="T1038" s="215" t="s">
        <v>112</v>
      </c>
      <c r="U1038" s="215" t="s">
        <v>113</v>
      </c>
      <c r="V1038" s="220">
        <v>792</v>
      </c>
      <c r="W1038" s="220">
        <v>792</v>
      </c>
      <c r="X1038" s="221"/>
      <c r="Y1038" s="222">
        <f t="shared" si="344"/>
        <v>0</v>
      </c>
      <c r="Z1038" s="223">
        <f t="shared" si="345"/>
        <v>0</v>
      </c>
      <c r="AA1038" s="223"/>
      <c r="AB1038" s="807"/>
      <c r="AC1038" s="220"/>
      <c r="AD1038" s="209"/>
      <c r="AE1038" s="210"/>
      <c r="AF1038" s="210"/>
      <c r="AG1038" s="211">
        <f t="shared" si="346"/>
        <v>0.308</v>
      </c>
      <c r="AH1038" s="157">
        <f t="shared" si="354"/>
        <v>0</v>
      </c>
      <c r="AI1038" s="152">
        <f t="shared" si="348"/>
        <v>28512</v>
      </c>
      <c r="AK1038" s="156" t="s">
        <v>691</v>
      </c>
      <c r="AL1038" s="574" t="s">
        <v>690</v>
      </c>
      <c r="AM1038" s="198">
        <f t="shared" si="355"/>
        <v>0</v>
      </c>
      <c r="AN1038" s="199">
        <f t="shared" si="353"/>
        <v>45477</v>
      </c>
      <c r="AO1038" s="159" t="s">
        <v>692</v>
      </c>
      <c r="AP1038" s="781"/>
      <c r="AQ1038" s="782">
        <v>12063755</v>
      </c>
      <c r="AR1038" s="782">
        <v>12061353</v>
      </c>
      <c r="AS1038" s="782">
        <v>12061354</v>
      </c>
      <c r="AT1038" s="782">
        <v>12068566</v>
      </c>
      <c r="AU1038" s="781"/>
      <c r="AV1038" s="782">
        <v>12088206</v>
      </c>
      <c r="AW1038" s="782">
        <v>12088207</v>
      </c>
      <c r="AX1038" s="782"/>
      <c r="AY1038" s="782">
        <v>12068565</v>
      </c>
      <c r="AZ1038" s="782"/>
      <c r="BA1038" s="781"/>
    </row>
    <row r="1039" spans="1:53" ht="25" hidden="1" customHeight="1">
      <c r="B1039" s="213">
        <v>45477</v>
      </c>
      <c r="C1039" s="633">
        <v>45488</v>
      </c>
      <c r="D1039" s="185">
        <f t="shared" si="351"/>
        <v>2024</v>
      </c>
      <c r="E1039" s="215" t="str">
        <f>VLOOKUP($B1039,Week!$A$1:$C$1462,2,0)</f>
        <v>Week27</v>
      </c>
      <c r="F1039" s="216" t="str">
        <f t="shared" si="352"/>
        <v>Jul</v>
      </c>
      <c r="G1039" s="215" t="s">
        <v>1372</v>
      </c>
      <c r="H1039" s="215" t="s">
        <v>104</v>
      </c>
      <c r="I1039" s="215" t="s">
        <v>2772</v>
      </c>
      <c r="J1039" s="209" t="s">
        <v>105</v>
      </c>
      <c r="K1039" s="217" t="s">
        <v>107</v>
      </c>
      <c r="L1039" s="300" t="s">
        <v>2167</v>
      </c>
      <c r="M1039" s="209" t="s">
        <v>108</v>
      </c>
      <c r="N1039" s="215" t="s">
        <v>109</v>
      </c>
      <c r="O1039" s="215" t="s">
        <v>110</v>
      </c>
      <c r="P1039" s="218">
        <v>36</v>
      </c>
      <c r="Q1039" s="218">
        <v>5</v>
      </c>
      <c r="R1039" s="219">
        <v>7.4999999999999997E-3</v>
      </c>
      <c r="S1039" s="215" t="s">
        <v>111</v>
      </c>
      <c r="T1039" s="215" t="s">
        <v>112</v>
      </c>
      <c r="U1039" s="215" t="s">
        <v>113</v>
      </c>
      <c r="V1039" s="220">
        <v>792</v>
      </c>
      <c r="W1039" s="220">
        <v>792</v>
      </c>
      <c r="X1039" s="221"/>
      <c r="Y1039" s="222">
        <f t="shared" si="344"/>
        <v>0</v>
      </c>
      <c r="Z1039" s="223">
        <f t="shared" si="345"/>
        <v>0</v>
      </c>
      <c r="AA1039" s="223"/>
      <c r="AB1039" s="807"/>
      <c r="AC1039" s="220"/>
      <c r="AD1039" s="209"/>
      <c r="AE1039" s="210"/>
      <c r="AF1039" s="210"/>
      <c r="AG1039" s="211">
        <f t="shared" si="346"/>
        <v>0.308</v>
      </c>
      <c r="AH1039" s="157">
        <f t="shared" si="354"/>
        <v>0</v>
      </c>
      <c r="AI1039" s="152">
        <f t="shared" si="348"/>
        <v>28512</v>
      </c>
      <c r="AK1039" s="156" t="s">
        <v>691</v>
      </c>
      <c r="AL1039" s="574" t="s">
        <v>690</v>
      </c>
      <c r="AM1039" s="198">
        <f t="shared" si="355"/>
        <v>0</v>
      </c>
      <c r="AN1039" s="199">
        <f t="shared" si="353"/>
        <v>45477</v>
      </c>
      <c r="AO1039" s="159" t="s">
        <v>692</v>
      </c>
      <c r="AP1039" s="781"/>
      <c r="AQ1039" s="782">
        <v>12063755</v>
      </c>
      <c r="AR1039" s="782">
        <v>12061353</v>
      </c>
      <c r="AS1039" s="782">
        <v>12061354</v>
      </c>
      <c r="AT1039" s="782">
        <v>12068566</v>
      </c>
      <c r="AU1039" s="781"/>
      <c r="AV1039" s="782">
        <v>12088206</v>
      </c>
      <c r="AW1039" s="782">
        <v>12088207</v>
      </c>
      <c r="AX1039" s="782"/>
      <c r="AY1039" s="782">
        <v>12068565</v>
      </c>
      <c r="AZ1039" s="782"/>
      <c r="BA1039" s="781"/>
    </row>
    <row r="1040" spans="1:53" ht="25" hidden="1" customHeight="1">
      <c r="B1040" s="213">
        <v>45477</v>
      </c>
      <c r="C1040" s="633">
        <v>45488</v>
      </c>
      <c r="D1040" s="185">
        <f t="shared" si="351"/>
        <v>2024</v>
      </c>
      <c r="E1040" s="215" t="str">
        <f>VLOOKUP($B1040,Week!$A$1:$C$1462,2,0)</f>
        <v>Week27</v>
      </c>
      <c r="F1040" s="216" t="str">
        <f t="shared" si="352"/>
        <v>Jul</v>
      </c>
      <c r="G1040" s="215" t="s">
        <v>1373</v>
      </c>
      <c r="H1040" s="215" t="s">
        <v>104</v>
      </c>
      <c r="I1040" s="215" t="s">
        <v>2772</v>
      </c>
      <c r="J1040" s="209" t="s">
        <v>105</v>
      </c>
      <c r="K1040" s="217" t="s">
        <v>107</v>
      </c>
      <c r="L1040" s="300" t="s">
        <v>2167</v>
      </c>
      <c r="M1040" s="209" t="s">
        <v>108</v>
      </c>
      <c r="N1040" s="215" t="s">
        <v>109</v>
      </c>
      <c r="O1040" s="215" t="s">
        <v>110</v>
      </c>
      <c r="P1040" s="218">
        <v>36</v>
      </c>
      <c r="Q1040" s="218">
        <v>5</v>
      </c>
      <c r="R1040" s="219">
        <v>7.4999999999999997E-3</v>
      </c>
      <c r="S1040" s="215" t="s">
        <v>111</v>
      </c>
      <c r="T1040" s="215" t="s">
        <v>112</v>
      </c>
      <c r="U1040" s="215" t="s">
        <v>113</v>
      </c>
      <c r="V1040" s="220">
        <f>3899-630-792-792-792-792</f>
        <v>101</v>
      </c>
      <c r="W1040" s="220">
        <f>3899-630-792-792-792-792</f>
        <v>101</v>
      </c>
      <c r="X1040" s="221"/>
      <c r="Y1040" s="222">
        <f t="shared" si="344"/>
        <v>0</v>
      </c>
      <c r="Z1040" s="223">
        <f t="shared" si="345"/>
        <v>0</v>
      </c>
      <c r="AA1040" s="223"/>
      <c r="AB1040" s="807"/>
      <c r="AC1040" s="220"/>
      <c r="AD1040" s="209"/>
      <c r="AE1040" s="210"/>
      <c r="AF1040" s="210"/>
      <c r="AG1040" s="211">
        <f t="shared" si="346"/>
        <v>0.308</v>
      </c>
      <c r="AH1040" s="157">
        <f t="shared" si="354"/>
        <v>0</v>
      </c>
      <c r="AI1040" s="152">
        <f t="shared" si="348"/>
        <v>3636</v>
      </c>
      <c r="AK1040" s="156" t="s">
        <v>691</v>
      </c>
      <c r="AL1040" s="574" t="s">
        <v>690</v>
      </c>
      <c r="AM1040" s="198">
        <f t="shared" si="355"/>
        <v>0</v>
      </c>
      <c r="AN1040" s="199">
        <f t="shared" si="353"/>
        <v>45477</v>
      </c>
      <c r="AO1040" s="159" t="s">
        <v>692</v>
      </c>
      <c r="AP1040" s="781"/>
      <c r="AQ1040" s="782">
        <v>12063755</v>
      </c>
      <c r="AR1040" s="782">
        <v>12061353</v>
      </c>
      <c r="AS1040" s="782">
        <v>12061354</v>
      </c>
      <c r="AT1040" s="782">
        <v>12068566</v>
      </c>
      <c r="AU1040" s="781"/>
      <c r="AV1040" s="782">
        <v>12088206</v>
      </c>
      <c r="AW1040" s="782">
        <v>12088207</v>
      </c>
      <c r="AX1040" s="782"/>
      <c r="AY1040" s="782">
        <v>12068565</v>
      </c>
      <c r="AZ1040" s="782"/>
      <c r="BA1040" s="781"/>
    </row>
    <row r="1041" spans="1:53" ht="24.65" hidden="1" customHeight="1">
      <c r="A1041" s="142" t="s">
        <v>120</v>
      </c>
      <c r="B1041" s="258">
        <v>45477</v>
      </c>
      <c r="C1041" s="259">
        <v>45511</v>
      </c>
      <c r="D1041" s="185">
        <f t="shared" si="351"/>
        <v>2024</v>
      </c>
      <c r="E1041" s="260" t="str">
        <f>VLOOKUP($B1041,Week!$A$1:$C$1462,2,0)</f>
        <v>Week27</v>
      </c>
      <c r="F1041" s="261" t="str">
        <f t="shared" si="352"/>
        <v>Jul</v>
      </c>
      <c r="G1041" s="262" t="s">
        <v>1424</v>
      </c>
      <c r="H1041" s="260" t="s">
        <v>134</v>
      </c>
      <c r="I1041" s="260" t="s">
        <v>2772</v>
      </c>
      <c r="J1041" s="263" t="s">
        <v>164</v>
      </c>
      <c r="K1041" s="264" t="s">
        <v>153</v>
      </c>
      <c r="L1041" s="390" t="s">
        <v>2166</v>
      </c>
      <c r="M1041" s="263" t="s">
        <v>165</v>
      </c>
      <c r="N1041" s="260" t="s">
        <v>166</v>
      </c>
      <c r="O1041" s="260" t="s">
        <v>502</v>
      </c>
      <c r="P1041" s="265">
        <v>20</v>
      </c>
      <c r="Q1041" s="265">
        <v>12</v>
      </c>
      <c r="R1041" s="266">
        <v>6.8100000000000001E-3</v>
      </c>
      <c r="S1041" s="260" t="s">
        <v>76</v>
      </c>
      <c r="T1041" s="260" t="s">
        <v>56</v>
      </c>
      <c r="U1041" s="260" t="s">
        <v>89</v>
      </c>
      <c r="V1041" s="267">
        <f>1600-653</f>
        <v>947</v>
      </c>
      <c r="W1041" s="267">
        <f>947</f>
        <v>947</v>
      </c>
      <c r="X1041" s="268"/>
      <c r="Y1041" s="269">
        <f t="shared" si="344"/>
        <v>0</v>
      </c>
      <c r="Z1041" s="270">
        <f t="shared" si="345"/>
        <v>0</v>
      </c>
      <c r="AA1041" s="270">
        <f>Q1041*Z1041</f>
        <v>0</v>
      </c>
      <c r="AB1041" s="811">
        <v>2</v>
      </c>
      <c r="AC1041" s="267">
        <f>Z1041*AB1041</f>
        <v>0</v>
      </c>
      <c r="AD1041" s="209" t="s">
        <v>168</v>
      </c>
      <c r="AE1041" s="210"/>
      <c r="AF1041" s="210"/>
      <c r="AG1041" s="211">
        <f t="shared" si="346"/>
        <v>0.154</v>
      </c>
      <c r="AH1041" s="157">
        <f t="shared" si="354"/>
        <v>0</v>
      </c>
      <c r="AI1041" s="152">
        <f t="shared" si="348"/>
        <v>18940</v>
      </c>
      <c r="AK1041" s="156" t="s">
        <v>691</v>
      </c>
      <c r="AL1041" s="156" t="s">
        <v>689</v>
      </c>
      <c r="AM1041" s="198">
        <f t="shared" si="355"/>
        <v>0</v>
      </c>
      <c r="AN1041" s="199">
        <f t="shared" si="353"/>
        <v>45477</v>
      </c>
      <c r="AO1041" s="159" t="s">
        <v>692</v>
      </c>
      <c r="AP1041" s="783" t="s">
        <v>610</v>
      </c>
      <c r="AQ1041" s="783" t="s">
        <v>631</v>
      </c>
      <c r="AR1041" s="783" t="s">
        <v>523</v>
      </c>
      <c r="AS1041" s="781"/>
      <c r="AT1041" s="782">
        <v>12055919</v>
      </c>
      <c r="AU1041" s="781"/>
      <c r="AV1041" s="783" t="s">
        <v>544</v>
      </c>
      <c r="AW1041" s="781"/>
      <c r="AX1041" s="782" t="s">
        <v>398</v>
      </c>
      <c r="AY1041" s="781"/>
      <c r="AZ1041" s="781"/>
      <c r="BA1041" s="781"/>
    </row>
    <row r="1042" spans="1:53" ht="25" hidden="1" customHeight="1">
      <c r="B1042" s="213">
        <v>45478</v>
      </c>
      <c r="C1042" s="633">
        <v>45488</v>
      </c>
      <c r="D1042" s="185">
        <f t="shared" si="351"/>
        <v>2024</v>
      </c>
      <c r="E1042" s="215" t="str">
        <f>VLOOKUP($B1042,Week!$A$1:$C$1462,2,0)</f>
        <v>Week27</v>
      </c>
      <c r="F1042" s="216" t="str">
        <f t="shared" si="352"/>
        <v>Jul</v>
      </c>
      <c r="G1042" s="215" t="s">
        <v>1373</v>
      </c>
      <c r="H1042" s="215" t="s">
        <v>104</v>
      </c>
      <c r="I1042" s="215" t="s">
        <v>2772</v>
      </c>
      <c r="J1042" s="209" t="s">
        <v>105</v>
      </c>
      <c r="K1042" s="217" t="s">
        <v>107</v>
      </c>
      <c r="L1042" s="300" t="s">
        <v>2167</v>
      </c>
      <c r="M1042" s="209" t="s">
        <v>108</v>
      </c>
      <c r="N1042" s="215" t="s">
        <v>109</v>
      </c>
      <c r="O1042" s="215" t="s">
        <v>110</v>
      </c>
      <c r="P1042" s="218">
        <v>36</v>
      </c>
      <c r="Q1042" s="218">
        <v>5</v>
      </c>
      <c r="R1042" s="219">
        <v>7.4999999999999997E-3</v>
      </c>
      <c r="S1042" s="215" t="s">
        <v>111</v>
      </c>
      <c r="T1042" s="215" t="s">
        <v>112</v>
      </c>
      <c r="U1042" s="215" t="s">
        <v>113</v>
      </c>
      <c r="V1042" s="220">
        <f>792-101</f>
        <v>691</v>
      </c>
      <c r="W1042" s="220">
        <v>691</v>
      </c>
      <c r="X1042" s="221"/>
      <c r="Y1042" s="222">
        <f t="shared" si="344"/>
        <v>0</v>
      </c>
      <c r="Z1042" s="223">
        <f t="shared" si="345"/>
        <v>0</v>
      </c>
      <c r="AA1042" s="223"/>
      <c r="AB1042" s="807"/>
      <c r="AC1042" s="220"/>
      <c r="AD1042" s="209"/>
      <c r="AE1042" s="210"/>
      <c r="AF1042" s="210"/>
      <c r="AG1042" s="211">
        <f t="shared" si="346"/>
        <v>0.308</v>
      </c>
      <c r="AH1042" s="157">
        <f t="shared" si="354"/>
        <v>0</v>
      </c>
      <c r="AI1042" s="152">
        <f t="shared" si="348"/>
        <v>24876</v>
      </c>
      <c r="AK1042" s="156" t="s">
        <v>691</v>
      </c>
      <c r="AL1042" s="574" t="s">
        <v>690</v>
      </c>
      <c r="AM1042" s="198">
        <f t="shared" si="355"/>
        <v>0</v>
      </c>
      <c r="AN1042" s="199">
        <f t="shared" si="353"/>
        <v>45478</v>
      </c>
      <c r="AO1042" s="159" t="s">
        <v>692</v>
      </c>
      <c r="AP1042" s="781"/>
      <c r="AQ1042" s="782">
        <v>12063755</v>
      </c>
      <c r="AR1042" s="782">
        <v>12061353</v>
      </c>
      <c r="AS1042" s="782">
        <v>12061354</v>
      </c>
      <c r="AT1042" s="782">
        <v>12068566</v>
      </c>
      <c r="AU1042" s="781"/>
      <c r="AV1042" s="782">
        <v>12088206</v>
      </c>
      <c r="AW1042" s="782">
        <v>12088207</v>
      </c>
      <c r="AX1042" s="782"/>
      <c r="AY1042" s="782">
        <v>12068565</v>
      </c>
      <c r="AZ1042" s="782"/>
      <c r="BA1042" s="781"/>
    </row>
    <row r="1043" spans="1:53" ht="25" hidden="1" customHeight="1">
      <c r="B1043" s="213">
        <v>45478</v>
      </c>
      <c r="C1043" s="633">
        <v>45495</v>
      </c>
      <c r="D1043" s="185">
        <f t="shared" si="351"/>
        <v>2024</v>
      </c>
      <c r="E1043" s="215" t="str">
        <f>VLOOKUP($B1043,Week!$A$1:$C$1462,2,0)</f>
        <v>Week27</v>
      </c>
      <c r="F1043" s="216" t="str">
        <f t="shared" si="352"/>
        <v>Jul</v>
      </c>
      <c r="G1043" s="215" t="s">
        <v>1374</v>
      </c>
      <c r="H1043" s="215" t="s">
        <v>104</v>
      </c>
      <c r="I1043" s="215" t="s">
        <v>2772</v>
      </c>
      <c r="J1043" s="209" t="s">
        <v>105</v>
      </c>
      <c r="K1043" s="217" t="s">
        <v>107</v>
      </c>
      <c r="L1043" s="300" t="s">
        <v>2167</v>
      </c>
      <c r="M1043" s="209" t="s">
        <v>108</v>
      </c>
      <c r="N1043" s="215" t="s">
        <v>109</v>
      </c>
      <c r="O1043" s="215" t="s">
        <v>110</v>
      </c>
      <c r="P1043" s="218">
        <v>36</v>
      </c>
      <c r="Q1043" s="218">
        <v>5</v>
      </c>
      <c r="R1043" s="219">
        <v>7.4999999999999997E-3</v>
      </c>
      <c r="S1043" s="215" t="s">
        <v>111</v>
      </c>
      <c r="T1043" s="215" t="s">
        <v>112</v>
      </c>
      <c r="U1043" s="215" t="s">
        <v>113</v>
      </c>
      <c r="V1043" s="220">
        <v>792</v>
      </c>
      <c r="W1043" s="220">
        <v>792</v>
      </c>
      <c r="X1043" s="221"/>
      <c r="Y1043" s="222">
        <f t="shared" si="344"/>
        <v>0</v>
      </c>
      <c r="Z1043" s="223">
        <f t="shared" si="345"/>
        <v>0</v>
      </c>
      <c r="AA1043" s="223"/>
      <c r="AB1043" s="807"/>
      <c r="AC1043" s="220"/>
      <c r="AD1043" s="209"/>
      <c r="AE1043" s="210"/>
      <c r="AF1043" s="210"/>
      <c r="AG1043" s="211">
        <f t="shared" si="346"/>
        <v>0.308</v>
      </c>
      <c r="AH1043" s="157">
        <f t="shared" si="354"/>
        <v>0</v>
      </c>
      <c r="AI1043" s="152">
        <f t="shared" si="348"/>
        <v>28512</v>
      </c>
      <c r="AK1043" s="156" t="s">
        <v>691</v>
      </c>
      <c r="AL1043" s="574" t="s">
        <v>690</v>
      </c>
      <c r="AM1043" s="198">
        <f t="shared" si="355"/>
        <v>0</v>
      </c>
      <c r="AN1043" s="199">
        <f t="shared" si="353"/>
        <v>45478</v>
      </c>
      <c r="AO1043" s="159" t="s">
        <v>692</v>
      </c>
      <c r="AP1043" s="781"/>
      <c r="AQ1043" s="782">
        <v>12063755</v>
      </c>
      <c r="AR1043" s="782">
        <v>12061353</v>
      </c>
      <c r="AS1043" s="782">
        <v>12061354</v>
      </c>
      <c r="AT1043" s="782">
        <v>12068566</v>
      </c>
      <c r="AU1043" s="781"/>
      <c r="AV1043" s="782">
        <v>12088206</v>
      </c>
      <c r="AW1043" s="782">
        <v>12088207</v>
      </c>
      <c r="AX1043" s="782"/>
      <c r="AY1043" s="782">
        <v>12068565</v>
      </c>
      <c r="AZ1043" s="782"/>
      <c r="BA1043" s="781"/>
    </row>
    <row r="1044" spans="1:53" ht="25" hidden="1" customHeight="1">
      <c r="B1044" s="213">
        <v>45478</v>
      </c>
      <c r="C1044" s="578">
        <v>45495</v>
      </c>
      <c r="D1044" s="185">
        <f t="shared" si="351"/>
        <v>2024</v>
      </c>
      <c r="E1044" s="215" t="str">
        <f>VLOOKUP($B1044,Week!$A$1:$C$1462,2,0)</f>
        <v>Week27</v>
      </c>
      <c r="F1044" s="216" t="str">
        <f t="shared" si="352"/>
        <v>Jul</v>
      </c>
      <c r="G1044" s="215" t="s">
        <v>1375</v>
      </c>
      <c r="H1044" s="215" t="s">
        <v>104</v>
      </c>
      <c r="I1044" s="215" t="s">
        <v>2772</v>
      </c>
      <c r="J1044" s="209" t="s">
        <v>105</v>
      </c>
      <c r="K1044" s="217" t="s">
        <v>107</v>
      </c>
      <c r="L1044" s="300" t="s">
        <v>2167</v>
      </c>
      <c r="M1044" s="209" t="s">
        <v>108</v>
      </c>
      <c r="N1044" s="215" t="s">
        <v>109</v>
      </c>
      <c r="O1044" s="215" t="s">
        <v>110</v>
      </c>
      <c r="P1044" s="218">
        <v>36</v>
      </c>
      <c r="Q1044" s="218">
        <v>5</v>
      </c>
      <c r="R1044" s="219">
        <v>7.4999999999999997E-3</v>
      </c>
      <c r="S1044" s="215" t="s">
        <v>111</v>
      </c>
      <c r="T1044" s="215" t="s">
        <v>112</v>
      </c>
      <c r="U1044" s="215" t="s">
        <v>113</v>
      </c>
      <c r="V1044" s="220">
        <v>551</v>
      </c>
      <c r="W1044" s="220">
        <f>551</f>
        <v>551</v>
      </c>
      <c r="X1044" s="221"/>
      <c r="Y1044" s="222">
        <f t="shared" si="344"/>
        <v>0</v>
      </c>
      <c r="Z1044" s="223">
        <f t="shared" si="345"/>
        <v>0</v>
      </c>
      <c r="AA1044" s="223"/>
      <c r="AB1044" s="807"/>
      <c r="AC1044" s="220"/>
      <c r="AD1044" s="209"/>
      <c r="AE1044" s="210"/>
      <c r="AF1044" s="210"/>
      <c r="AG1044" s="211">
        <f t="shared" si="346"/>
        <v>0.308</v>
      </c>
      <c r="AH1044" s="157">
        <f t="shared" si="354"/>
        <v>0</v>
      </c>
      <c r="AI1044" s="152">
        <f t="shared" si="348"/>
        <v>19836</v>
      </c>
      <c r="AK1044" s="156" t="s">
        <v>691</v>
      </c>
      <c r="AL1044" s="574" t="s">
        <v>690</v>
      </c>
      <c r="AM1044" s="198">
        <f t="shared" si="355"/>
        <v>0</v>
      </c>
      <c r="AN1044" s="199">
        <f t="shared" si="353"/>
        <v>45478</v>
      </c>
      <c r="AO1044" s="159" t="s">
        <v>692</v>
      </c>
      <c r="AP1044" s="781"/>
      <c r="AQ1044" s="782">
        <v>12063755</v>
      </c>
      <c r="AR1044" s="782">
        <v>12061353</v>
      </c>
      <c r="AS1044" s="782">
        <v>12061354</v>
      </c>
      <c r="AT1044" s="782">
        <v>12068566</v>
      </c>
      <c r="AU1044" s="781"/>
      <c r="AV1044" s="782">
        <v>12088206</v>
      </c>
      <c r="AW1044" s="782">
        <v>12088207</v>
      </c>
      <c r="AX1044" s="782"/>
      <c r="AY1044" s="782">
        <v>12068565</v>
      </c>
      <c r="AZ1044" s="782"/>
      <c r="BA1044" s="781"/>
    </row>
    <row r="1045" spans="1:53" ht="25" hidden="1" customHeight="1">
      <c r="A1045" s="529" t="s">
        <v>598</v>
      </c>
      <c r="B1045" s="385">
        <v>45478</v>
      </c>
      <c r="C1045" s="386">
        <v>45481</v>
      </c>
      <c r="D1045" s="185">
        <f t="shared" si="351"/>
        <v>2024</v>
      </c>
      <c r="E1045" s="386" t="str">
        <f>VLOOKUP($B1045,Week!$A$1:$C$1462,2,0)</f>
        <v>Week27</v>
      </c>
      <c r="F1045" s="387" t="str">
        <f t="shared" si="352"/>
        <v>Jul</v>
      </c>
      <c r="G1045" s="388" t="s">
        <v>1405</v>
      </c>
      <c r="H1045" s="388" t="s">
        <v>600</v>
      </c>
      <c r="I1045" s="388" t="s">
        <v>2772</v>
      </c>
      <c r="J1045" s="389" t="s">
        <v>708</v>
      </c>
      <c r="K1045" s="390" t="s">
        <v>1652</v>
      </c>
      <c r="L1045" s="300" t="s">
        <v>2167</v>
      </c>
      <c r="M1045" s="389" t="s">
        <v>603</v>
      </c>
      <c r="N1045" s="637" t="s">
        <v>1404</v>
      </c>
      <c r="O1045" s="388" t="s">
        <v>602</v>
      </c>
      <c r="P1045" s="391">
        <v>8</v>
      </c>
      <c r="Q1045" s="391">
        <v>3</v>
      </c>
      <c r="R1045" s="392">
        <v>6.0000000000000001E-3</v>
      </c>
      <c r="S1045" s="388" t="s">
        <v>55</v>
      </c>
      <c r="T1045" s="388" t="s">
        <v>112</v>
      </c>
      <c r="U1045" s="601" t="s">
        <v>724</v>
      </c>
      <c r="V1045" s="393">
        <f>241-24</f>
        <v>217</v>
      </c>
      <c r="W1045" s="393"/>
      <c r="X1045" s="394">
        <v>217</v>
      </c>
      <c r="Y1045" s="395">
        <f t="shared" si="344"/>
        <v>0</v>
      </c>
      <c r="Z1045" s="396">
        <f t="shared" si="345"/>
        <v>0</v>
      </c>
      <c r="AA1045" s="396"/>
      <c r="AB1045" s="823"/>
      <c r="AC1045" s="393"/>
      <c r="AD1045" s="636" t="s">
        <v>1043</v>
      </c>
      <c r="AE1045" s="210"/>
      <c r="AF1045" s="210"/>
      <c r="AG1045" s="211">
        <f t="shared" si="346"/>
        <v>0.30199999999999999</v>
      </c>
      <c r="AH1045" s="157">
        <v>0.26621999999999996</v>
      </c>
      <c r="AI1045" s="152">
        <f t="shared" si="348"/>
        <v>1736</v>
      </c>
      <c r="AK1045" s="156" t="s">
        <v>691</v>
      </c>
      <c r="AL1045" s="212" t="s">
        <v>690</v>
      </c>
      <c r="AM1045" s="198">
        <f t="shared" si="355"/>
        <v>0</v>
      </c>
      <c r="AN1045" s="199">
        <f t="shared" si="353"/>
        <v>45478</v>
      </c>
      <c r="AO1045" s="159" t="s">
        <v>692</v>
      </c>
      <c r="AP1045" s="781" t="s">
        <v>642</v>
      </c>
      <c r="AQ1045" s="782">
        <v>12063755</v>
      </c>
      <c r="AR1045" s="782">
        <v>12061353</v>
      </c>
      <c r="AS1045" s="782">
        <v>12061354</v>
      </c>
      <c r="AT1045" s="782">
        <v>12091199</v>
      </c>
      <c r="AU1045" s="781"/>
      <c r="AV1045" s="782">
        <v>12091198</v>
      </c>
      <c r="AW1045" s="781"/>
      <c r="AX1045" s="781"/>
      <c r="AY1045" s="781"/>
      <c r="AZ1045" s="782"/>
      <c r="BA1045" s="781"/>
    </row>
    <row r="1046" spans="1:53" ht="24.75" hidden="1" customHeight="1">
      <c r="A1046" s="142" t="s">
        <v>120</v>
      </c>
      <c r="B1046" s="308">
        <v>45478</v>
      </c>
      <c r="C1046" s="309">
        <v>45481</v>
      </c>
      <c r="D1046" s="185">
        <f t="shared" si="351"/>
        <v>2024</v>
      </c>
      <c r="E1046" s="519" t="str">
        <f>VLOOKUP($B1046,Week!$A$1:$C$1462,2,0)</f>
        <v>Week27</v>
      </c>
      <c r="F1046" s="520" t="str">
        <f t="shared" si="352"/>
        <v>Jul</v>
      </c>
      <c r="G1046" s="446" t="s">
        <v>1572</v>
      </c>
      <c r="H1046" s="311" t="s">
        <v>518</v>
      </c>
      <c r="I1046" s="311" t="s">
        <v>2702</v>
      </c>
      <c r="J1046" s="312" t="s">
        <v>70</v>
      </c>
      <c r="K1046" s="313" t="s">
        <v>85</v>
      </c>
      <c r="L1046" s="390" t="s">
        <v>2166</v>
      </c>
      <c r="M1046" s="312" t="s">
        <v>515</v>
      </c>
      <c r="N1046" s="311" t="s">
        <v>588</v>
      </c>
      <c r="O1046" s="311" t="s">
        <v>546</v>
      </c>
      <c r="P1046" s="314">
        <v>12</v>
      </c>
      <c r="Q1046" s="314">
        <v>20</v>
      </c>
      <c r="R1046" s="315">
        <v>6.1999999999999998E-3</v>
      </c>
      <c r="S1046" s="311" t="s">
        <v>352</v>
      </c>
      <c r="T1046" s="311" t="s">
        <v>56</v>
      </c>
      <c r="U1046" s="311"/>
      <c r="V1046" s="316">
        <v>399</v>
      </c>
      <c r="W1046" s="316">
        <f>23+376</f>
        <v>399</v>
      </c>
      <c r="X1046" s="317"/>
      <c r="Y1046" s="318">
        <f t="shared" si="344"/>
        <v>0</v>
      </c>
      <c r="Z1046" s="319">
        <f t="shared" si="345"/>
        <v>0</v>
      </c>
      <c r="AA1046" s="319">
        <f>Q1046*Z1046</f>
        <v>0</v>
      </c>
      <c r="AB1046" s="815"/>
      <c r="AC1046" s="316">
        <f>Z1046*AB1046</f>
        <v>0</v>
      </c>
      <c r="AD1046" s="209"/>
      <c r="AE1046" s="210"/>
      <c r="AF1046" s="210"/>
      <c r="AG1046" s="211">
        <f t="shared" si="346"/>
        <v>0.22</v>
      </c>
      <c r="AH1046" s="157">
        <f t="shared" ref="AH1046:AH1054" si="356">(Z1046*AG1046)/1000</f>
        <v>0</v>
      </c>
      <c r="AI1046" s="152">
        <f t="shared" si="348"/>
        <v>4788</v>
      </c>
      <c r="AK1046" s="156" t="s">
        <v>691</v>
      </c>
      <c r="AL1046" s="156" t="s">
        <v>689</v>
      </c>
      <c r="AM1046" s="198">
        <f t="shared" si="355"/>
        <v>0</v>
      </c>
      <c r="AN1046" s="199">
        <f t="shared" si="353"/>
        <v>45478</v>
      </c>
      <c r="AO1046" s="159" t="s">
        <v>692</v>
      </c>
      <c r="AP1046" s="783" t="s">
        <v>613</v>
      </c>
      <c r="AQ1046" s="782"/>
      <c r="AR1046" s="782" t="s">
        <v>614</v>
      </c>
      <c r="AS1046" s="782"/>
      <c r="AT1046" s="782">
        <v>12083140</v>
      </c>
      <c r="AU1046" s="781"/>
      <c r="AV1046" s="782">
        <v>12083143</v>
      </c>
      <c r="AW1046" s="782"/>
      <c r="AX1046" s="782"/>
      <c r="AY1046" s="782"/>
      <c r="AZ1046" s="782"/>
      <c r="BA1046" s="781"/>
    </row>
    <row r="1047" spans="1:53" ht="25" hidden="1" customHeight="1">
      <c r="A1047" s="142" t="s">
        <v>120</v>
      </c>
      <c r="B1047" s="308">
        <v>45478</v>
      </c>
      <c r="C1047" s="309">
        <v>45496</v>
      </c>
      <c r="D1047" s="185">
        <f t="shared" si="351"/>
        <v>2024</v>
      </c>
      <c r="E1047" s="309" t="str">
        <f>VLOOKUP($B1047,Week!$A$1:$C$1462,2,0)</f>
        <v>Week27</v>
      </c>
      <c r="F1047" s="310" t="str">
        <f t="shared" si="352"/>
        <v>Jul</v>
      </c>
      <c r="G1047" s="579" t="s">
        <v>1490</v>
      </c>
      <c r="H1047" s="311" t="s">
        <v>104</v>
      </c>
      <c r="I1047" s="311" t="s">
        <v>2772</v>
      </c>
      <c r="J1047" s="312" t="s">
        <v>105</v>
      </c>
      <c r="K1047" s="313" t="s">
        <v>85</v>
      </c>
      <c r="L1047" s="390" t="s">
        <v>2166</v>
      </c>
      <c r="M1047" s="312" t="s">
        <v>86</v>
      </c>
      <c r="N1047" s="311" t="s">
        <v>421</v>
      </c>
      <c r="O1047" s="311" t="s">
        <v>506</v>
      </c>
      <c r="P1047" s="314">
        <v>10</v>
      </c>
      <c r="Q1047" s="314">
        <v>50</v>
      </c>
      <c r="R1047" s="315">
        <v>6.8100000000000001E-3</v>
      </c>
      <c r="S1047" s="311" t="s">
        <v>76</v>
      </c>
      <c r="T1047" s="311" t="s">
        <v>112</v>
      </c>
      <c r="U1047" s="311" t="s">
        <v>89</v>
      </c>
      <c r="V1047" s="316">
        <f>100</f>
        <v>100</v>
      </c>
      <c r="W1047" s="316">
        <f>14+86</f>
        <v>100</v>
      </c>
      <c r="X1047" s="317"/>
      <c r="Y1047" s="318">
        <f t="shared" si="344"/>
        <v>0</v>
      </c>
      <c r="Z1047" s="319">
        <f t="shared" si="345"/>
        <v>0</v>
      </c>
      <c r="AA1047" s="319">
        <f>Q1047*Z1047</f>
        <v>0</v>
      </c>
      <c r="AB1047" s="815">
        <v>6</v>
      </c>
      <c r="AC1047" s="316">
        <f>Z1047*AB1047</f>
        <v>0</v>
      </c>
      <c r="AD1047" s="381"/>
      <c r="AE1047" s="210"/>
      <c r="AF1047" s="210"/>
      <c r="AG1047" s="211">
        <f t="shared" si="346"/>
        <v>0.57999999999999996</v>
      </c>
      <c r="AH1047" s="157">
        <f t="shared" si="356"/>
        <v>0</v>
      </c>
      <c r="AI1047" s="152">
        <f t="shared" si="348"/>
        <v>1000</v>
      </c>
      <c r="AJ1047" s="156">
        <f>AI1047*Q1047</f>
        <v>50000</v>
      </c>
      <c r="AK1047" s="156" t="s">
        <v>691</v>
      </c>
      <c r="AL1047" s="156" t="s">
        <v>689</v>
      </c>
      <c r="AM1047" s="198">
        <f t="shared" si="355"/>
        <v>0</v>
      </c>
      <c r="AN1047" s="199">
        <f t="shared" si="353"/>
        <v>45478</v>
      </c>
      <c r="AO1047" s="159" t="s">
        <v>692</v>
      </c>
      <c r="AP1047" s="781" t="s">
        <v>423</v>
      </c>
      <c r="AQ1047" s="781" t="s">
        <v>422</v>
      </c>
      <c r="AR1047" s="782">
        <v>12055234</v>
      </c>
      <c r="AS1047" s="781"/>
      <c r="AT1047" s="782">
        <v>12069432</v>
      </c>
      <c r="AU1047" s="781"/>
      <c r="AV1047" s="782">
        <v>12069433</v>
      </c>
      <c r="AW1047" s="781"/>
      <c r="AX1047" s="781" t="s">
        <v>93</v>
      </c>
      <c r="AY1047" s="781"/>
      <c r="AZ1047" s="782"/>
      <c r="BA1047" s="781"/>
    </row>
    <row r="1048" spans="1:53" ht="25" hidden="1" customHeight="1">
      <c r="A1048" s="142" t="s">
        <v>120</v>
      </c>
      <c r="B1048" s="308">
        <v>45478</v>
      </c>
      <c r="C1048" s="309">
        <v>45500</v>
      </c>
      <c r="D1048" s="185">
        <f t="shared" si="351"/>
        <v>2024</v>
      </c>
      <c r="E1048" s="309" t="str">
        <f>VLOOKUP($B1048,Week!$A$1:$C$1462,2,0)</f>
        <v>Week27</v>
      </c>
      <c r="F1048" s="310" t="str">
        <f t="shared" si="352"/>
        <v>Jul</v>
      </c>
      <c r="G1048" s="579" t="s">
        <v>1491</v>
      </c>
      <c r="H1048" s="311" t="s">
        <v>104</v>
      </c>
      <c r="I1048" s="311" t="s">
        <v>2772</v>
      </c>
      <c r="J1048" s="312" t="s">
        <v>105</v>
      </c>
      <c r="K1048" s="313" t="s">
        <v>85</v>
      </c>
      <c r="L1048" s="390" t="s">
        <v>2166</v>
      </c>
      <c r="M1048" s="312" t="s">
        <v>86</v>
      </c>
      <c r="N1048" s="311" t="s">
        <v>421</v>
      </c>
      <c r="O1048" s="311" t="s">
        <v>506</v>
      </c>
      <c r="P1048" s="314">
        <v>10</v>
      </c>
      <c r="Q1048" s="314">
        <v>50</v>
      </c>
      <c r="R1048" s="315">
        <v>6.8100000000000001E-3</v>
      </c>
      <c r="S1048" s="311" t="s">
        <v>76</v>
      </c>
      <c r="T1048" s="311" t="s">
        <v>112</v>
      </c>
      <c r="U1048" s="311" t="s">
        <v>89</v>
      </c>
      <c r="V1048" s="316">
        <f>100</f>
        <v>100</v>
      </c>
      <c r="W1048" s="316">
        <f>100</f>
        <v>100</v>
      </c>
      <c r="X1048" s="317"/>
      <c r="Y1048" s="318">
        <f t="shared" si="344"/>
        <v>0</v>
      </c>
      <c r="Z1048" s="319">
        <f t="shared" si="345"/>
        <v>0</v>
      </c>
      <c r="AA1048" s="319">
        <f>Q1048*Z1048</f>
        <v>0</v>
      </c>
      <c r="AB1048" s="815">
        <v>6</v>
      </c>
      <c r="AC1048" s="316">
        <f>Z1048*AB1048</f>
        <v>0</v>
      </c>
      <c r="AD1048" s="381"/>
      <c r="AE1048" s="210"/>
      <c r="AF1048" s="210"/>
      <c r="AG1048" s="211">
        <f t="shared" si="346"/>
        <v>0.57999999999999996</v>
      </c>
      <c r="AH1048" s="157">
        <f t="shared" si="356"/>
        <v>0</v>
      </c>
      <c r="AI1048" s="152">
        <f t="shared" si="348"/>
        <v>1000</v>
      </c>
      <c r="AJ1048" s="156">
        <f>AI1048*Q1048</f>
        <v>50000</v>
      </c>
      <c r="AK1048" s="156" t="s">
        <v>691</v>
      </c>
      <c r="AL1048" s="156" t="s">
        <v>689</v>
      </c>
      <c r="AM1048" s="198">
        <f t="shared" si="355"/>
        <v>0</v>
      </c>
      <c r="AN1048" s="199">
        <f t="shared" si="353"/>
        <v>45478</v>
      </c>
      <c r="AO1048" s="159" t="s">
        <v>692</v>
      </c>
      <c r="AP1048" s="781" t="s">
        <v>423</v>
      </c>
      <c r="AQ1048" s="781" t="s">
        <v>422</v>
      </c>
      <c r="AR1048" s="782">
        <v>12055234</v>
      </c>
      <c r="AS1048" s="781"/>
      <c r="AT1048" s="782">
        <v>12069432</v>
      </c>
      <c r="AU1048" s="781"/>
      <c r="AV1048" s="782">
        <v>12069433</v>
      </c>
      <c r="AW1048" s="781"/>
      <c r="AX1048" s="781" t="s">
        <v>93</v>
      </c>
      <c r="AY1048" s="781"/>
      <c r="AZ1048" s="782"/>
      <c r="BA1048" s="781"/>
    </row>
    <row r="1049" spans="1:53" ht="25" hidden="1" customHeight="1">
      <c r="A1049" s="142" t="s">
        <v>120</v>
      </c>
      <c r="B1049" s="308">
        <v>45478</v>
      </c>
      <c r="C1049" s="309">
        <v>45512</v>
      </c>
      <c r="D1049" s="185">
        <f t="shared" si="351"/>
        <v>2024</v>
      </c>
      <c r="E1049" s="309" t="str">
        <f>VLOOKUP($B1049,Week!$A$1:$C$1462,2,0)</f>
        <v>Week27</v>
      </c>
      <c r="F1049" s="310" t="str">
        <f t="shared" si="352"/>
        <v>Jul</v>
      </c>
      <c r="G1049" s="579" t="s">
        <v>1493</v>
      </c>
      <c r="H1049" s="311" t="s">
        <v>104</v>
      </c>
      <c r="I1049" s="311" t="s">
        <v>2772</v>
      </c>
      <c r="J1049" s="312" t="s">
        <v>105</v>
      </c>
      <c r="K1049" s="313" t="s">
        <v>85</v>
      </c>
      <c r="L1049" s="390" t="s">
        <v>2166</v>
      </c>
      <c r="M1049" s="312" t="s">
        <v>86</v>
      </c>
      <c r="N1049" s="311" t="s">
        <v>421</v>
      </c>
      <c r="O1049" s="311" t="s">
        <v>506</v>
      </c>
      <c r="P1049" s="314">
        <v>10</v>
      </c>
      <c r="Q1049" s="314">
        <v>50</v>
      </c>
      <c r="R1049" s="315">
        <v>6.8100000000000001E-3</v>
      </c>
      <c r="S1049" s="311" t="s">
        <v>76</v>
      </c>
      <c r="T1049" s="311" t="s">
        <v>112</v>
      </c>
      <c r="U1049" s="311" t="s">
        <v>89</v>
      </c>
      <c r="V1049" s="316">
        <f>100</f>
        <v>100</v>
      </c>
      <c r="W1049" s="316">
        <f>94+6</f>
        <v>100</v>
      </c>
      <c r="X1049" s="317"/>
      <c r="Y1049" s="318">
        <f t="shared" si="344"/>
        <v>0</v>
      </c>
      <c r="Z1049" s="319">
        <f t="shared" si="345"/>
        <v>0</v>
      </c>
      <c r="AA1049" s="319">
        <f>Q1049*Z1049</f>
        <v>0</v>
      </c>
      <c r="AB1049" s="815">
        <v>6</v>
      </c>
      <c r="AC1049" s="316">
        <f>Z1049*AB1049</f>
        <v>0</v>
      </c>
      <c r="AD1049" s="381"/>
      <c r="AE1049" s="210"/>
      <c r="AF1049" s="210"/>
      <c r="AG1049" s="211">
        <f t="shared" si="346"/>
        <v>0.57999999999999996</v>
      </c>
      <c r="AH1049" s="157">
        <f t="shared" si="356"/>
        <v>0</v>
      </c>
      <c r="AI1049" s="152">
        <f t="shared" si="348"/>
        <v>1000</v>
      </c>
      <c r="AJ1049" s="156">
        <f>AI1049*Q1049</f>
        <v>50000</v>
      </c>
      <c r="AK1049" s="156" t="s">
        <v>691</v>
      </c>
      <c r="AL1049" s="156" t="s">
        <v>689</v>
      </c>
      <c r="AM1049" s="198">
        <f t="shared" si="355"/>
        <v>0</v>
      </c>
      <c r="AN1049" s="199">
        <f t="shared" si="353"/>
        <v>45478</v>
      </c>
      <c r="AO1049" s="159" t="s">
        <v>692</v>
      </c>
      <c r="AP1049" s="781" t="s">
        <v>423</v>
      </c>
      <c r="AQ1049" s="781" t="s">
        <v>422</v>
      </c>
      <c r="AR1049" s="782">
        <v>12055234</v>
      </c>
      <c r="AS1049" s="781"/>
      <c r="AT1049" s="782">
        <v>12069432</v>
      </c>
      <c r="AU1049" s="781"/>
      <c r="AV1049" s="782">
        <v>12069433</v>
      </c>
      <c r="AW1049" s="781"/>
      <c r="AX1049" s="781" t="s">
        <v>93</v>
      </c>
      <c r="AY1049" s="781"/>
      <c r="AZ1049" s="782"/>
      <c r="BA1049" s="781"/>
    </row>
    <row r="1050" spans="1:53" ht="25" hidden="1" customHeight="1">
      <c r="A1050" s="142" t="s">
        <v>120</v>
      </c>
      <c r="B1050" s="308">
        <v>45478</v>
      </c>
      <c r="C1050" s="309">
        <v>45519</v>
      </c>
      <c r="D1050" s="185">
        <f t="shared" si="351"/>
        <v>2024</v>
      </c>
      <c r="E1050" s="309" t="str">
        <f>VLOOKUP($B1050,Week!$A$1:$C$1462,2,0)</f>
        <v>Week27</v>
      </c>
      <c r="F1050" s="310" t="str">
        <f t="shared" si="352"/>
        <v>Jul</v>
      </c>
      <c r="G1050" s="579" t="s">
        <v>1547</v>
      </c>
      <c r="H1050" s="311" t="s">
        <v>104</v>
      </c>
      <c r="I1050" s="311" t="s">
        <v>2772</v>
      </c>
      <c r="J1050" s="312" t="s">
        <v>105</v>
      </c>
      <c r="K1050" s="313" t="s">
        <v>85</v>
      </c>
      <c r="L1050" s="390" t="s">
        <v>2166</v>
      </c>
      <c r="M1050" s="312" t="s">
        <v>86</v>
      </c>
      <c r="N1050" s="311" t="s">
        <v>421</v>
      </c>
      <c r="O1050" s="311" t="s">
        <v>506</v>
      </c>
      <c r="P1050" s="314">
        <v>10</v>
      </c>
      <c r="Q1050" s="314">
        <v>50</v>
      </c>
      <c r="R1050" s="315">
        <v>6.8100000000000001E-3</v>
      </c>
      <c r="S1050" s="311" t="s">
        <v>76</v>
      </c>
      <c r="T1050" s="311" t="s">
        <v>112</v>
      </c>
      <c r="U1050" s="311" t="s">
        <v>89</v>
      </c>
      <c r="V1050" s="316">
        <f>400</f>
        <v>400</v>
      </c>
      <c r="W1050" s="316">
        <f>400</f>
        <v>400</v>
      </c>
      <c r="X1050" s="317"/>
      <c r="Y1050" s="318">
        <f t="shared" si="344"/>
        <v>0</v>
      </c>
      <c r="Z1050" s="319">
        <f t="shared" si="345"/>
        <v>0</v>
      </c>
      <c r="AA1050" s="319">
        <f>Q1050*Z1050</f>
        <v>0</v>
      </c>
      <c r="AB1050" s="815">
        <v>6</v>
      </c>
      <c r="AC1050" s="316">
        <f>Z1050*AB1050</f>
        <v>0</v>
      </c>
      <c r="AD1050" s="381"/>
      <c r="AE1050" s="210"/>
      <c r="AF1050" s="210"/>
      <c r="AG1050" s="211">
        <f t="shared" si="346"/>
        <v>0.57999999999999996</v>
      </c>
      <c r="AH1050" s="157">
        <f t="shared" si="356"/>
        <v>0</v>
      </c>
      <c r="AI1050" s="152">
        <f t="shared" si="348"/>
        <v>4000</v>
      </c>
      <c r="AJ1050" s="156">
        <f>AI1050*Q1050</f>
        <v>200000</v>
      </c>
      <c r="AK1050" s="156" t="s">
        <v>691</v>
      </c>
      <c r="AL1050" s="156" t="s">
        <v>689</v>
      </c>
      <c r="AM1050" s="198">
        <f t="shared" si="355"/>
        <v>0</v>
      </c>
      <c r="AN1050" s="199">
        <f t="shared" si="353"/>
        <v>45478</v>
      </c>
      <c r="AO1050" s="159" t="s">
        <v>692</v>
      </c>
      <c r="AP1050" s="781" t="s">
        <v>423</v>
      </c>
      <c r="AQ1050" s="781" t="s">
        <v>422</v>
      </c>
      <c r="AR1050" s="782">
        <v>12055234</v>
      </c>
      <c r="AS1050" s="781"/>
      <c r="AT1050" s="782">
        <v>12069432</v>
      </c>
      <c r="AU1050" s="781"/>
      <c r="AV1050" s="782">
        <v>12069433</v>
      </c>
      <c r="AW1050" s="781"/>
      <c r="AX1050" s="781" t="s">
        <v>93</v>
      </c>
      <c r="AY1050" s="781"/>
      <c r="AZ1050" s="782"/>
      <c r="BA1050" s="781"/>
    </row>
    <row r="1051" spans="1:53" ht="25.15" hidden="1" customHeight="1">
      <c r="B1051" s="345">
        <v>45479</v>
      </c>
      <c r="C1051" s="346">
        <v>45497</v>
      </c>
      <c r="D1051" s="185">
        <f t="shared" si="351"/>
        <v>2024</v>
      </c>
      <c r="E1051" s="347" t="str">
        <f>VLOOKUP($B1051,Week!$A$1:$C$1462,2,0)</f>
        <v>Week27</v>
      </c>
      <c r="F1051" s="348" t="str">
        <f t="shared" si="352"/>
        <v>Jul</v>
      </c>
      <c r="G1051" s="347" t="s">
        <v>1125</v>
      </c>
      <c r="H1051" s="347" t="s">
        <v>424</v>
      </c>
      <c r="I1051" s="347" t="s">
        <v>2772</v>
      </c>
      <c r="J1051" s="438" t="s">
        <v>425</v>
      </c>
      <c r="K1051" s="350" t="s">
        <v>176</v>
      </c>
      <c r="L1051" s="300" t="s">
        <v>2167</v>
      </c>
      <c r="M1051" s="349" t="s">
        <v>426</v>
      </c>
      <c r="N1051" s="347" t="s">
        <v>427</v>
      </c>
      <c r="O1051" s="347" t="s">
        <v>599</v>
      </c>
      <c r="P1051" s="351">
        <v>36</v>
      </c>
      <c r="Q1051" s="351">
        <v>5</v>
      </c>
      <c r="R1051" s="352">
        <v>7.4999999999999997E-3</v>
      </c>
      <c r="S1051" s="347" t="s">
        <v>111</v>
      </c>
      <c r="T1051" s="347" t="s">
        <v>112</v>
      </c>
      <c r="U1051" s="347" t="s">
        <v>57</v>
      </c>
      <c r="V1051" s="353">
        <v>1288</v>
      </c>
      <c r="W1051" s="353">
        <f>1223</f>
        <v>1223</v>
      </c>
      <c r="X1051" s="354">
        <f>(794+1546)/36</f>
        <v>65</v>
      </c>
      <c r="Y1051" s="355">
        <f t="shared" si="344"/>
        <v>0</v>
      </c>
      <c r="Z1051" s="356">
        <f t="shared" si="345"/>
        <v>0</v>
      </c>
      <c r="AA1051" s="353"/>
      <c r="AB1051" s="818"/>
      <c r="AC1051" s="353"/>
      <c r="AD1051" s="307" t="s">
        <v>728</v>
      </c>
      <c r="AE1051" s="210"/>
      <c r="AF1051" s="210"/>
      <c r="AG1051" s="211">
        <f t="shared" si="346"/>
        <v>0.14799999999999999</v>
      </c>
      <c r="AH1051" s="157">
        <f t="shared" si="356"/>
        <v>0</v>
      </c>
      <c r="AI1051" s="152">
        <f t="shared" si="348"/>
        <v>46368</v>
      </c>
      <c r="AK1051" s="156" t="s">
        <v>691</v>
      </c>
      <c r="AL1051" s="574" t="s">
        <v>690</v>
      </c>
      <c r="AM1051" s="198">
        <f t="shared" si="355"/>
        <v>0</v>
      </c>
      <c r="AN1051" s="199">
        <f t="shared" si="353"/>
        <v>45479</v>
      </c>
      <c r="AO1051" s="159" t="s">
        <v>692</v>
      </c>
      <c r="AP1051" s="783" t="s">
        <v>609</v>
      </c>
      <c r="AQ1051" s="782">
        <v>12071839</v>
      </c>
      <c r="AR1051" s="782">
        <v>12047514</v>
      </c>
      <c r="AS1051" s="782">
        <v>12047515</v>
      </c>
      <c r="AT1051" s="782">
        <v>12062098</v>
      </c>
      <c r="AU1051" s="782"/>
      <c r="AV1051" s="782">
        <v>12062100</v>
      </c>
      <c r="AW1051" s="782">
        <v>12024404</v>
      </c>
      <c r="AX1051" s="781"/>
      <c r="AY1051" s="782">
        <v>12062116</v>
      </c>
      <c r="AZ1051" s="782"/>
      <c r="BA1051" s="781"/>
    </row>
    <row r="1052" spans="1:53" ht="24.65" hidden="1" customHeight="1">
      <c r="B1052" s="466">
        <v>45479</v>
      </c>
      <c r="C1052" s="467">
        <v>45500</v>
      </c>
      <c r="D1052" s="185">
        <f t="shared" si="351"/>
        <v>2024</v>
      </c>
      <c r="E1052" s="467" t="str">
        <f>VLOOKUP($B1052,Week!$A$1:$C$1462,2,0)</f>
        <v>Week27</v>
      </c>
      <c r="F1052" s="469" t="str">
        <f t="shared" si="352"/>
        <v>Jul</v>
      </c>
      <c r="G1052" s="641" t="s">
        <v>1491</v>
      </c>
      <c r="H1052" s="482" t="s">
        <v>104</v>
      </c>
      <c r="I1052" s="482" t="s">
        <v>2772</v>
      </c>
      <c r="J1052" s="483" t="s">
        <v>105</v>
      </c>
      <c r="K1052" s="484" t="s">
        <v>51</v>
      </c>
      <c r="L1052" s="300" t="s">
        <v>2167</v>
      </c>
      <c r="M1052" s="483" t="s">
        <v>674</v>
      </c>
      <c r="N1052" s="482" t="s">
        <v>677</v>
      </c>
      <c r="O1052" s="482" t="s">
        <v>501</v>
      </c>
      <c r="P1052" s="473">
        <v>36</v>
      </c>
      <c r="Q1052" s="473">
        <v>5</v>
      </c>
      <c r="R1052" s="474">
        <v>6.0000000000000001E-3</v>
      </c>
      <c r="S1052" s="482" t="s">
        <v>55</v>
      </c>
      <c r="T1052" s="482" t="s">
        <v>112</v>
      </c>
      <c r="U1052" s="482" t="s">
        <v>57</v>
      </c>
      <c r="V1052" s="475">
        <f>450</f>
        <v>450</v>
      </c>
      <c r="W1052" s="475">
        <f>450</f>
        <v>450</v>
      </c>
      <c r="X1052" s="476"/>
      <c r="Y1052" s="477">
        <f t="shared" si="344"/>
        <v>0</v>
      </c>
      <c r="Z1052" s="478">
        <f t="shared" si="345"/>
        <v>0</v>
      </c>
      <c r="AA1052" s="478"/>
      <c r="AB1052" s="828"/>
      <c r="AC1052" s="475"/>
      <c r="AD1052" s="486"/>
      <c r="AE1052" s="210"/>
      <c r="AF1052" s="210"/>
      <c r="AG1052" s="211">
        <v>0.14499999999999999</v>
      </c>
      <c r="AH1052" s="157">
        <f t="shared" si="356"/>
        <v>0</v>
      </c>
      <c r="AI1052" s="152">
        <v>19800</v>
      </c>
      <c r="AK1052" s="156" t="s">
        <v>691</v>
      </c>
      <c r="AL1052" s="212" t="s">
        <v>690</v>
      </c>
      <c r="AM1052" s="198">
        <f t="shared" si="355"/>
        <v>0</v>
      </c>
      <c r="AN1052" s="199">
        <f t="shared" si="353"/>
        <v>45479</v>
      </c>
      <c r="AO1052" s="159" t="s">
        <v>692</v>
      </c>
      <c r="AP1052" s="781"/>
      <c r="AQ1052" s="782">
        <v>12071839</v>
      </c>
      <c r="AR1052" s="782">
        <v>12047514</v>
      </c>
      <c r="AS1052" s="782">
        <v>12047515</v>
      </c>
      <c r="AT1052" s="782">
        <v>12085743</v>
      </c>
      <c r="AU1052" s="781"/>
      <c r="AV1052" s="782">
        <v>12085745</v>
      </c>
      <c r="AW1052" s="782">
        <v>12024404</v>
      </c>
      <c r="AX1052" s="782"/>
      <c r="AY1052" s="782">
        <v>12085746</v>
      </c>
      <c r="AZ1052" s="782"/>
      <c r="BA1052" s="781"/>
    </row>
    <row r="1053" spans="1:53" ht="24.65" hidden="1" customHeight="1">
      <c r="B1053" s="466">
        <v>45479</v>
      </c>
      <c r="C1053" s="467">
        <v>45519</v>
      </c>
      <c r="D1053" s="185">
        <f t="shared" si="351"/>
        <v>2024</v>
      </c>
      <c r="E1053" s="467" t="str">
        <f>VLOOKUP($B1053,Week!$A$1:$C$1462,2,0)</f>
        <v>Week27</v>
      </c>
      <c r="F1053" s="469" t="str">
        <f t="shared" si="352"/>
        <v>Jul</v>
      </c>
      <c r="G1053" s="641" t="s">
        <v>1493</v>
      </c>
      <c r="H1053" s="482" t="s">
        <v>104</v>
      </c>
      <c r="I1053" s="482" t="s">
        <v>2772</v>
      </c>
      <c r="J1053" s="483" t="s">
        <v>105</v>
      </c>
      <c r="K1053" s="484" t="s">
        <v>51</v>
      </c>
      <c r="L1053" s="300" t="s">
        <v>2167</v>
      </c>
      <c r="M1053" s="483" t="s">
        <v>674</v>
      </c>
      <c r="N1053" s="482" t="s">
        <v>677</v>
      </c>
      <c r="O1053" s="482" t="s">
        <v>501</v>
      </c>
      <c r="P1053" s="473">
        <v>36</v>
      </c>
      <c r="Q1053" s="473">
        <v>5</v>
      </c>
      <c r="R1053" s="474">
        <v>6.0000000000000001E-3</v>
      </c>
      <c r="S1053" s="482" t="s">
        <v>55</v>
      </c>
      <c r="T1053" s="482" t="s">
        <v>112</v>
      </c>
      <c r="U1053" s="482" t="s">
        <v>57</v>
      </c>
      <c r="V1053" s="475">
        <f>300</f>
        <v>300</v>
      </c>
      <c r="W1053" s="475">
        <v>300</v>
      </c>
      <c r="X1053" s="476"/>
      <c r="Y1053" s="477">
        <f t="shared" si="344"/>
        <v>0</v>
      </c>
      <c r="Z1053" s="478">
        <f t="shared" si="345"/>
        <v>0</v>
      </c>
      <c r="AA1053" s="478"/>
      <c r="AB1053" s="828"/>
      <c r="AC1053" s="475"/>
      <c r="AD1053" s="486"/>
      <c r="AE1053" s="210"/>
      <c r="AF1053" s="210"/>
      <c r="AG1053" s="211">
        <v>0.14499999999999999</v>
      </c>
      <c r="AH1053" s="157">
        <f t="shared" si="356"/>
        <v>0</v>
      </c>
      <c r="AI1053" s="152">
        <v>19800</v>
      </c>
      <c r="AK1053" s="156" t="s">
        <v>691</v>
      </c>
      <c r="AL1053" s="212" t="s">
        <v>690</v>
      </c>
      <c r="AM1053" s="198">
        <f t="shared" si="355"/>
        <v>0</v>
      </c>
      <c r="AN1053" s="199">
        <f t="shared" si="353"/>
        <v>45479</v>
      </c>
      <c r="AO1053" s="159" t="s">
        <v>692</v>
      </c>
      <c r="AP1053" s="781"/>
      <c r="AQ1053" s="782">
        <v>12071839</v>
      </c>
      <c r="AR1053" s="782">
        <v>12047514</v>
      </c>
      <c r="AS1053" s="782">
        <v>12047515</v>
      </c>
      <c r="AT1053" s="782">
        <v>12085743</v>
      </c>
      <c r="AU1053" s="781"/>
      <c r="AV1053" s="782">
        <v>12085745</v>
      </c>
      <c r="AW1053" s="782">
        <v>12024404</v>
      </c>
      <c r="AX1053" s="782"/>
      <c r="AY1053" s="782">
        <v>12085746</v>
      </c>
      <c r="AZ1053" s="782"/>
      <c r="BA1053" s="781"/>
    </row>
    <row r="1054" spans="1:53" ht="24.75" hidden="1" customHeight="1">
      <c r="B1054" s="295">
        <v>45479</v>
      </c>
      <c r="C1054" s="296">
        <v>45495</v>
      </c>
      <c r="D1054" s="185">
        <f t="shared" si="351"/>
        <v>2024</v>
      </c>
      <c r="E1054" s="296" t="str">
        <f>VLOOKUP($B1054,Week!$A$1:$C$1462,2,0)</f>
        <v>Week27</v>
      </c>
      <c r="F1054" s="297" t="str">
        <f t="shared" si="352"/>
        <v>Jul</v>
      </c>
      <c r="G1054" s="298" t="s">
        <v>47</v>
      </c>
      <c r="H1054" s="298" t="s">
        <v>260</v>
      </c>
      <c r="I1054" s="298" t="s">
        <v>2702</v>
      </c>
      <c r="J1054" s="307" t="s">
        <v>904</v>
      </c>
      <c r="K1054" s="300" t="s">
        <v>176</v>
      </c>
      <c r="L1054" s="300" t="s">
        <v>2167</v>
      </c>
      <c r="M1054" s="299" t="s">
        <v>262</v>
      </c>
      <c r="N1054" s="298" t="s">
        <v>350</v>
      </c>
      <c r="O1054" s="298" t="s">
        <v>351</v>
      </c>
      <c r="P1054" s="301">
        <v>24</v>
      </c>
      <c r="Q1054" s="301">
        <v>5</v>
      </c>
      <c r="R1054" s="302">
        <v>6.1999999999999998E-3</v>
      </c>
      <c r="S1054" s="298" t="s">
        <v>352</v>
      </c>
      <c r="T1054" s="298" t="s">
        <v>56</v>
      </c>
      <c r="U1054" s="298" t="s">
        <v>57</v>
      </c>
      <c r="V1054" s="303">
        <v>2574</v>
      </c>
      <c r="W1054" s="303">
        <f>2574</f>
        <v>2574</v>
      </c>
      <c r="X1054" s="304"/>
      <c r="Y1054" s="305">
        <f t="shared" si="344"/>
        <v>0</v>
      </c>
      <c r="Z1054" s="306">
        <f t="shared" si="345"/>
        <v>0</v>
      </c>
      <c r="AA1054" s="306"/>
      <c r="AB1054" s="814"/>
      <c r="AC1054" s="303"/>
      <c r="AD1054" s="486"/>
      <c r="AE1054" s="210"/>
      <c r="AF1054" s="210"/>
      <c r="AG1054" s="211">
        <f>MID(O1054,1,3)/1000</f>
        <v>0.13</v>
      </c>
      <c r="AH1054" s="157">
        <f t="shared" si="356"/>
        <v>0</v>
      </c>
      <c r="AI1054" s="152">
        <f>V1054*P1054</f>
        <v>61776</v>
      </c>
      <c r="AK1054" s="156" t="s">
        <v>691</v>
      </c>
      <c r="AL1054" s="574" t="s">
        <v>690</v>
      </c>
      <c r="AM1054" s="198">
        <f t="shared" si="355"/>
        <v>0</v>
      </c>
      <c r="AN1054" s="199">
        <f t="shared" si="353"/>
        <v>45479</v>
      </c>
      <c r="AO1054" s="159" t="s">
        <v>692</v>
      </c>
      <c r="AP1054" s="783" t="s">
        <v>629</v>
      </c>
      <c r="AQ1054" s="782">
        <v>12071839</v>
      </c>
      <c r="AR1054" s="782">
        <v>12078867</v>
      </c>
      <c r="AS1054" s="782">
        <v>12068233</v>
      </c>
      <c r="AT1054" s="781"/>
      <c r="AU1054" s="781"/>
      <c r="AV1054" s="782">
        <v>12062075</v>
      </c>
      <c r="AW1054" s="781"/>
      <c r="AX1054" s="781"/>
      <c r="AY1054" s="782">
        <v>12078867</v>
      </c>
      <c r="AZ1054" s="781"/>
      <c r="BA1054" s="781"/>
    </row>
    <row r="1055" spans="1:53" ht="25" hidden="1" customHeight="1">
      <c r="B1055" s="332">
        <v>45479</v>
      </c>
      <c r="C1055" s="333">
        <v>45525</v>
      </c>
      <c r="D1055" s="185">
        <f t="shared" si="351"/>
        <v>2024</v>
      </c>
      <c r="E1055" s="333" t="str">
        <f>VLOOKUP($B1055,Week!$A$1:$C$1462,2,0)</f>
        <v>Week27</v>
      </c>
      <c r="F1055" s="334" t="str">
        <f t="shared" si="352"/>
        <v>Jul</v>
      </c>
      <c r="G1055" s="335" t="s">
        <v>1588</v>
      </c>
      <c r="H1055" s="335" t="s">
        <v>675</v>
      </c>
      <c r="I1055" s="335" t="s">
        <v>2772</v>
      </c>
      <c r="J1055" s="336" t="s">
        <v>709</v>
      </c>
      <c r="K1055" s="337" t="s">
        <v>1649</v>
      </c>
      <c r="L1055" s="300" t="s">
        <v>2167</v>
      </c>
      <c r="M1055" s="336" t="s">
        <v>603</v>
      </c>
      <c r="N1055" s="530" t="s">
        <v>711</v>
      </c>
      <c r="O1055" s="335" t="s">
        <v>602</v>
      </c>
      <c r="P1055" s="338">
        <v>8</v>
      </c>
      <c r="Q1055" s="338">
        <v>3</v>
      </c>
      <c r="R1055" s="339">
        <v>6.0000000000000001E-3</v>
      </c>
      <c r="S1055" s="335" t="s">
        <v>55</v>
      </c>
      <c r="T1055" s="335" t="s">
        <v>112</v>
      </c>
      <c r="U1055" s="340" t="s">
        <v>723</v>
      </c>
      <c r="V1055" s="341">
        <f>162</f>
        <v>162</v>
      </c>
      <c r="W1055" s="341"/>
      <c r="X1055" s="342">
        <f>(1100+196)/8</f>
        <v>162</v>
      </c>
      <c r="Y1055" s="343">
        <f t="shared" si="344"/>
        <v>0</v>
      </c>
      <c r="Z1055" s="344">
        <f t="shared" si="345"/>
        <v>0</v>
      </c>
      <c r="AA1055" s="344"/>
      <c r="AB1055" s="817"/>
      <c r="AC1055" s="341"/>
      <c r="AD1055" s="443"/>
      <c r="AE1055" s="210"/>
      <c r="AF1055" s="210"/>
      <c r="AG1055" s="211">
        <f>MID(O1055,1,3)/1000</f>
        <v>0.30199999999999999</v>
      </c>
      <c r="AH1055" s="157">
        <v>0.26621999999999996</v>
      </c>
      <c r="AI1055" s="152">
        <f>V1055*P1055</f>
        <v>1296</v>
      </c>
      <c r="AK1055" s="156" t="s">
        <v>691</v>
      </c>
      <c r="AL1055" s="212" t="s">
        <v>690</v>
      </c>
      <c r="AM1055" s="198">
        <f t="shared" si="355"/>
        <v>0</v>
      </c>
      <c r="AN1055" s="199">
        <f t="shared" si="353"/>
        <v>45479</v>
      </c>
      <c r="AO1055" s="159" t="s">
        <v>692</v>
      </c>
      <c r="AP1055" s="781" t="s">
        <v>642</v>
      </c>
      <c r="AQ1055" s="782">
        <v>12063755</v>
      </c>
      <c r="AR1055" s="782">
        <v>12061353</v>
      </c>
      <c r="AS1055" s="782">
        <v>12061354</v>
      </c>
      <c r="AT1055" s="782">
        <v>12089985</v>
      </c>
      <c r="AU1055" s="781"/>
      <c r="AV1055" s="782">
        <v>12089988</v>
      </c>
      <c r="AW1055" s="781"/>
      <c r="AX1055" s="781"/>
      <c r="AY1055" s="781"/>
      <c r="AZ1055" s="782"/>
      <c r="BA1055" s="781"/>
    </row>
    <row r="1056" spans="1:53" ht="25" hidden="1" customHeight="1">
      <c r="B1056" s="332">
        <v>45479</v>
      </c>
      <c r="C1056" s="333">
        <v>45547</v>
      </c>
      <c r="D1056" s="185">
        <f t="shared" si="351"/>
        <v>2024</v>
      </c>
      <c r="E1056" s="333" t="str">
        <f>VLOOKUP($B1056,Week!$A$1:$C$1462,2,0)</f>
        <v>Week27</v>
      </c>
      <c r="F1056" s="334" t="str">
        <f t="shared" si="352"/>
        <v>Jul</v>
      </c>
      <c r="G1056" s="335" t="s">
        <v>1589</v>
      </c>
      <c r="H1056" s="335" t="s">
        <v>675</v>
      </c>
      <c r="I1056" s="335" t="s">
        <v>2772</v>
      </c>
      <c r="J1056" s="336" t="s">
        <v>709</v>
      </c>
      <c r="K1056" s="337" t="s">
        <v>1649</v>
      </c>
      <c r="L1056" s="300" t="s">
        <v>2167</v>
      </c>
      <c r="M1056" s="336" t="s">
        <v>603</v>
      </c>
      <c r="N1056" s="530" t="s">
        <v>711</v>
      </c>
      <c r="O1056" s="335" t="s">
        <v>602</v>
      </c>
      <c r="P1056" s="338">
        <v>8</v>
      </c>
      <c r="Q1056" s="338">
        <v>3</v>
      </c>
      <c r="R1056" s="339">
        <v>6.0000000000000001E-3</v>
      </c>
      <c r="S1056" s="335" t="s">
        <v>55</v>
      </c>
      <c r="T1056" s="335" t="s">
        <v>112</v>
      </c>
      <c r="U1056" s="340" t="s">
        <v>723</v>
      </c>
      <c r="V1056" s="341">
        <f>270</f>
        <v>270</v>
      </c>
      <c r="W1056" s="341"/>
      <c r="X1056" s="342">
        <v>270</v>
      </c>
      <c r="Y1056" s="343">
        <f t="shared" si="344"/>
        <v>0</v>
      </c>
      <c r="Z1056" s="344">
        <f t="shared" si="345"/>
        <v>0</v>
      </c>
      <c r="AA1056" s="344"/>
      <c r="AB1056" s="817"/>
      <c r="AC1056" s="341"/>
      <c r="AD1056" s="443"/>
      <c r="AE1056" s="210"/>
      <c r="AF1056" s="210"/>
      <c r="AG1056" s="211">
        <f>MID(O1056,1,3)/1000</f>
        <v>0.30199999999999999</v>
      </c>
      <c r="AH1056" s="157">
        <v>0.26621999999999996</v>
      </c>
      <c r="AI1056" s="152">
        <f>V1056*P1056</f>
        <v>2160</v>
      </c>
      <c r="AK1056" s="156" t="s">
        <v>691</v>
      </c>
      <c r="AL1056" s="212" t="s">
        <v>690</v>
      </c>
      <c r="AM1056" s="198">
        <f t="shared" si="355"/>
        <v>0</v>
      </c>
      <c r="AN1056" s="199">
        <f t="shared" si="353"/>
        <v>45479</v>
      </c>
      <c r="AO1056" s="159" t="s">
        <v>692</v>
      </c>
      <c r="AP1056" s="781" t="s">
        <v>642</v>
      </c>
      <c r="AQ1056" s="782">
        <v>12063755</v>
      </c>
      <c r="AR1056" s="782">
        <v>12061353</v>
      </c>
      <c r="AS1056" s="782">
        <v>12061354</v>
      </c>
      <c r="AT1056" s="782">
        <v>12089985</v>
      </c>
      <c r="AU1056" s="781"/>
      <c r="AV1056" s="782">
        <v>12089988</v>
      </c>
      <c r="AW1056" s="781"/>
      <c r="AX1056" s="781"/>
      <c r="AY1056" s="781"/>
      <c r="AZ1056" s="782"/>
      <c r="BA1056" s="781"/>
    </row>
    <row r="1057" spans="1:53" ht="25" hidden="1" customHeight="1">
      <c r="A1057" s="529" t="s">
        <v>1707</v>
      </c>
      <c r="B1057" s="332">
        <v>45479</v>
      </c>
      <c r="C1057" s="333"/>
      <c r="D1057" s="185">
        <f t="shared" si="351"/>
        <v>2024</v>
      </c>
      <c r="E1057" s="333" t="str">
        <f>VLOOKUP($B1057,Week!$A$1:$C$1462,2,0)</f>
        <v>Week27</v>
      </c>
      <c r="F1057" s="334" t="str">
        <f t="shared" si="352"/>
        <v>Jul</v>
      </c>
      <c r="G1057" s="447" t="s">
        <v>1706</v>
      </c>
      <c r="H1057" s="335" t="s">
        <v>675</v>
      </c>
      <c r="I1057" s="335" t="s">
        <v>2772</v>
      </c>
      <c r="J1057" s="336" t="s">
        <v>709</v>
      </c>
      <c r="K1057" s="337" t="s">
        <v>1649</v>
      </c>
      <c r="L1057" s="300" t="s">
        <v>2167</v>
      </c>
      <c r="M1057" s="336" t="s">
        <v>603</v>
      </c>
      <c r="N1057" s="530" t="s">
        <v>711</v>
      </c>
      <c r="O1057" s="335" t="s">
        <v>602</v>
      </c>
      <c r="P1057" s="338">
        <v>8</v>
      </c>
      <c r="Q1057" s="338">
        <v>3</v>
      </c>
      <c r="R1057" s="339">
        <v>6.0000000000000001E-3</v>
      </c>
      <c r="S1057" s="335" t="s">
        <v>55</v>
      </c>
      <c r="T1057" s="335" t="s">
        <v>112</v>
      </c>
      <c r="U1057" s="340" t="s">
        <v>723</v>
      </c>
      <c r="V1057" s="341">
        <f>375</f>
        <v>375</v>
      </c>
      <c r="W1057" s="341"/>
      <c r="X1057" s="342">
        <f>(6219-196-2160)/8</f>
        <v>482.875</v>
      </c>
      <c r="Y1057" s="343">
        <f t="shared" si="344"/>
        <v>107.875</v>
      </c>
      <c r="Z1057" s="344">
        <f t="shared" si="345"/>
        <v>0</v>
      </c>
      <c r="AA1057" s="344"/>
      <c r="AB1057" s="817"/>
      <c r="AC1057" s="341"/>
      <c r="AD1057" s="307" t="s">
        <v>1590</v>
      </c>
      <c r="AE1057" s="210"/>
      <c r="AF1057" s="210"/>
      <c r="AG1057" s="211">
        <f>MID(O1057,1,3)/1000</f>
        <v>0.30199999999999999</v>
      </c>
      <c r="AH1057" s="157">
        <v>0.26621999999999996</v>
      </c>
      <c r="AI1057" s="152">
        <f>V1057*P1057</f>
        <v>3000</v>
      </c>
      <c r="AK1057" s="156" t="s">
        <v>691</v>
      </c>
      <c r="AL1057" s="212" t="s">
        <v>690</v>
      </c>
      <c r="AM1057" s="198">
        <f t="shared" si="355"/>
        <v>0</v>
      </c>
      <c r="AN1057" s="199">
        <f t="shared" si="353"/>
        <v>45479</v>
      </c>
      <c r="AO1057" s="159" t="s">
        <v>692</v>
      </c>
      <c r="AP1057" s="781" t="s">
        <v>642</v>
      </c>
      <c r="AQ1057" s="782">
        <v>12063755</v>
      </c>
      <c r="AR1057" s="782">
        <v>12061353</v>
      </c>
      <c r="AS1057" s="782">
        <v>12061354</v>
      </c>
      <c r="AT1057" s="782">
        <v>12089985</v>
      </c>
      <c r="AU1057" s="781"/>
      <c r="AV1057" s="782">
        <v>12089988</v>
      </c>
      <c r="AW1057" s="781"/>
      <c r="AX1057" s="781"/>
      <c r="AY1057" s="781"/>
      <c r="AZ1057" s="782"/>
      <c r="BA1057" s="781"/>
    </row>
    <row r="1058" spans="1:53" ht="25" hidden="1" customHeight="1">
      <c r="B1058" s="183">
        <v>45480</v>
      </c>
      <c r="C1058" s="184"/>
      <c r="D1058" s="185">
        <f t="shared" si="351"/>
        <v>2024</v>
      </c>
      <c r="E1058" s="185" t="str">
        <f>VLOOKUP($B1058,Week!$A$1:$C$1462,2,0)</f>
        <v>Week27</v>
      </c>
      <c r="F1058" s="186" t="str">
        <f t="shared" si="352"/>
        <v>Jul</v>
      </c>
      <c r="G1058" s="185"/>
      <c r="H1058" s="185"/>
      <c r="I1058" s="185"/>
      <c r="J1058" s="187"/>
      <c r="K1058" s="188"/>
      <c r="L1058" s="300"/>
      <c r="M1058" s="187"/>
      <c r="N1058" s="185"/>
      <c r="O1058" s="185"/>
      <c r="P1058" s="189"/>
      <c r="Q1058" s="189"/>
      <c r="R1058" s="190"/>
      <c r="S1058" s="185"/>
      <c r="T1058" s="185"/>
      <c r="U1058" s="185"/>
      <c r="V1058" s="191"/>
      <c r="W1058" s="191"/>
      <c r="X1058" s="192"/>
      <c r="Y1058" s="193"/>
      <c r="Z1058" s="194"/>
      <c r="AA1058" s="194"/>
      <c r="AB1058" s="805"/>
      <c r="AC1058" s="191"/>
      <c r="AD1058" s="187"/>
      <c r="AE1058" s="195"/>
      <c r="AF1058" s="195"/>
      <c r="AG1058" s="196"/>
      <c r="AH1058" s="197"/>
      <c r="AK1058" s="156" t="s">
        <v>691</v>
      </c>
      <c r="AM1058" s="198">
        <f t="shared" si="355"/>
        <v>0</v>
      </c>
      <c r="AN1058" s="199">
        <f t="shared" si="353"/>
        <v>45480</v>
      </c>
      <c r="AO1058" s="159" t="s">
        <v>692</v>
      </c>
      <c r="AP1058" s="781"/>
      <c r="AQ1058" s="782"/>
      <c r="AR1058" s="782"/>
      <c r="AS1058" s="782"/>
      <c r="AT1058" s="782"/>
      <c r="AU1058" s="781"/>
      <c r="AV1058" s="782"/>
      <c r="AW1058" s="782"/>
      <c r="AX1058" s="782"/>
      <c r="AY1058" s="782"/>
      <c r="AZ1058" s="782"/>
      <c r="BA1058" s="781"/>
    </row>
    <row r="1059" spans="1:53" ht="24.75" hidden="1" customHeight="1">
      <c r="B1059" s="295">
        <v>45481</v>
      </c>
      <c r="C1059" s="296" t="s">
        <v>1572</v>
      </c>
      <c r="D1059" s="185">
        <f t="shared" si="351"/>
        <v>2024</v>
      </c>
      <c r="E1059" s="296" t="str">
        <f>VLOOKUP($B1059,Week!$A$1:$C$1462,2,0)</f>
        <v>Week28</v>
      </c>
      <c r="F1059" s="297" t="str">
        <f t="shared" si="352"/>
        <v>Jul</v>
      </c>
      <c r="G1059" s="298" t="s">
        <v>47</v>
      </c>
      <c r="H1059" s="298" t="s">
        <v>260</v>
      </c>
      <c r="I1059" s="298" t="s">
        <v>2702</v>
      </c>
      <c r="J1059" s="307" t="s">
        <v>904</v>
      </c>
      <c r="K1059" s="300" t="s">
        <v>176</v>
      </c>
      <c r="L1059" s="300" t="s">
        <v>2167</v>
      </c>
      <c r="M1059" s="299" t="s">
        <v>262</v>
      </c>
      <c r="N1059" s="298" t="s">
        <v>350</v>
      </c>
      <c r="O1059" s="298" t="s">
        <v>351</v>
      </c>
      <c r="P1059" s="301">
        <v>24</v>
      </c>
      <c r="Q1059" s="301">
        <v>5</v>
      </c>
      <c r="R1059" s="302">
        <v>6.1999999999999998E-3</v>
      </c>
      <c r="S1059" s="298" t="s">
        <v>352</v>
      </c>
      <c r="T1059" s="298" t="s">
        <v>56</v>
      </c>
      <c r="U1059" s="298" t="s">
        <v>57</v>
      </c>
      <c r="V1059" s="303">
        <v>4507</v>
      </c>
      <c r="W1059" s="303">
        <f>4507</f>
        <v>4507</v>
      </c>
      <c r="X1059" s="304"/>
      <c r="Y1059" s="305">
        <f t="shared" ref="Y1059:Y1088" si="357">(W1059+X1059)-V1059</f>
        <v>0</v>
      </c>
      <c r="Z1059" s="306">
        <f t="shared" ref="Z1059:Z1088" si="358">IF(Y1059&lt;0,((V1059*P1059)-((W1059+X1059)*P1059)),0)</f>
        <v>0</v>
      </c>
      <c r="AA1059" s="306"/>
      <c r="AB1059" s="814"/>
      <c r="AC1059" s="303"/>
      <c r="AD1059" s="486"/>
      <c r="AE1059" s="210"/>
      <c r="AF1059" s="210"/>
      <c r="AG1059" s="211">
        <f t="shared" ref="AG1059:AG1088" si="359">MID(O1059,1,3)/1000</f>
        <v>0.13</v>
      </c>
      <c r="AH1059" s="157">
        <f t="shared" ref="AH1059:AH1064" si="360">(Z1059*AG1059)/1000</f>
        <v>0</v>
      </c>
      <c r="AI1059" s="152">
        <f t="shared" ref="AI1059:AI1088" si="361">V1059*P1059</f>
        <v>108168</v>
      </c>
      <c r="AK1059" s="156" t="s">
        <v>691</v>
      </c>
      <c r="AL1059" s="574" t="s">
        <v>690</v>
      </c>
      <c r="AM1059" s="198">
        <f t="shared" si="355"/>
        <v>0</v>
      </c>
      <c r="AN1059" s="199">
        <f t="shared" si="353"/>
        <v>45481</v>
      </c>
      <c r="AO1059" s="159" t="s">
        <v>692</v>
      </c>
      <c r="AP1059" s="783" t="s">
        <v>629</v>
      </c>
      <c r="AQ1059" s="782">
        <v>12071839</v>
      </c>
      <c r="AR1059" s="782">
        <v>12078867</v>
      </c>
      <c r="AS1059" s="782">
        <v>12068233</v>
      </c>
      <c r="AT1059" s="781"/>
      <c r="AU1059" s="781"/>
      <c r="AV1059" s="782">
        <v>12062075</v>
      </c>
      <c r="AW1059" s="781"/>
      <c r="AX1059" s="781"/>
      <c r="AY1059" s="782">
        <v>12078867</v>
      </c>
      <c r="AZ1059" s="781"/>
      <c r="BA1059" s="781"/>
    </row>
    <row r="1060" spans="1:53" ht="24.65" hidden="1" customHeight="1">
      <c r="B1060" s="369">
        <v>45481</v>
      </c>
      <c r="C1060" s="370">
        <v>45496</v>
      </c>
      <c r="D1060" s="185">
        <f t="shared" si="351"/>
        <v>2024</v>
      </c>
      <c r="E1060" s="370" t="str">
        <f>VLOOKUP($B1060,Week!$A$1:$C$1462,2,0)</f>
        <v>Week28</v>
      </c>
      <c r="F1060" s="372" t="str">
        <f t="shared" si="352"/>
        <v>Jul</v>
      </c>
      <c r="G1060" s="439" t="s">
        <v>1490</v>
      </c>
      <c r="H1060" s="371" t="s">
        <v>104</v>
      </c>
      <c r="I1060" s="371" t="s">
        <v>2772</v>
      </c>
      <c r="J1060" s="373" t="s">
        <v>105</v>
      </c>
      <c r="K1060" s="374" t="s">
        <v>593</v>
      </c>
      <c r="L1060" s="300" t="s">
        <v>2167</v>
      </c>
      <c r="M1060" s="373" t="s">
        <v>594</v>
      </c>
      <c r="N1060" s="371" t="s">
        <v>687</v>
      </c>
      <c r="O1060" s="371" t="s">
        <v>415</v>
      </c>
      <c r="P1060" s="375">
        <v>24</v>
      </c>
      <c r="Q1060" s="375">
        <v>5</v>
      </c>
      <c r="R1060" s="376">
        <v>6.0000000000000001E-3</v>
      </c>
      <c r="S1060" s="371" t="s">
        <v>55</v>
      </c>
      <c r="T1060" s="371" t="s">
        <v>112</v>
      </c>
      <c r="U1060" s="371" t="s">
        <v>57</v>
      </c>
      <c r="V1060" s="377">
        <f>750</f>
        <v>750</v>
      </c>
      <c r="W1060" s="377">
        <f>750</f>
        <v>750</v>
      </c>
      <c r="X1060" s="378"/>
      <c r="Y1060" s="379">
        <f t="shared" si="357"/>
        <v>0</v>
      </c>
      <c r="Z1060" s="380">
        <f t="shared" si="358"/>
        <v>0</v>
      </c>
      <c r="AA1060" s="380"/>
      <c r="AB1060" s="820"/>
      <c r="AC1060" s="377"/>
      <c r="AD1060" s="486"/>
      <c r="AE1060" s="210"/>
      <c r="AF1060" s="210"/>
      <c r="AG1060" s="211">
        <f t="shared" si="359"/>
        <v>0.25800000000000001</v>
      </c>
      <c r="AH1060" s="157">
        <f t="shared" si="360"/>
        <v>0</v>
      </c>
      <c r="AI1060" s="152">
        <f t="shared" si="361"/>
        <v>18000</v>
      </c>
      <c r="AK1060" s="156" t="s">
        <v>691</v>
      </c>
      <c r="AL1060" s="212" t="s">
        <v>690</v>
      </c>
      <c r="AM1060" s="198">
        <f t="shared" si="355"/>
        <v>0</v>
      </c>
      <c r="AN1060" s="199">
        <f t="shared" si="353"/>
        <v>45481</v>
      </c>
      <c r="AO1060" s="159" t="s">
        <v>692</v>
      </c>
      <c r="AP1060" s="783"/>
      <c r="AQ1060" s="782">
        <v>12071839</v>
      </c>
      <c r="AR1060" s="782">
        <v>12042650</v>
      </c>
      <c r="AS1060" s="782">
        <v>12042649</v>
      </c>
      <c r="AT1060" s="782">
        <v>12085742</v>
      </c>
      <c r="AU1060" s="781"/>
      <c r="AV1060" s="782">
        <v>12085744</v>
      </c>
      <c r="AW1060" s="782">
        <v>12049607</v>
      </c>
      <c r="AX1060" s="782"/>
      <c r="AY1060" s="782">
        <v>12085747</v>
      </c>
      <c r="AZ1060" s="782"/>
      <c r="BA1060" s="781"/>
    </row>
    <row r="1061" spans="1:53" ht="24.65" hidden="1" customHeight="1">
      <c r="B1061" s="369">
        <v>45481</v>
      </c>
      <c r="C1061" s="370">
        <v>45500</v>
      </c>
      <c r="D1061" s="185">
        <f t="shared" si="351"/>
        <v>2024</v>
      </c>
      <c r="E1061" s="370" t="str">
        <f>VLOOKUP($B1061,Week!$A$1:$C$1462,2,0)</f>
        <v>Week28</v>
      </c>
      <c r="F1061" s="372" t="str">
        <f t="shared" si="352"/>
        <v>Jul</v>
      </c>
      <c r="G1061" s="439" t="s">
        <v>1491</v>
      </c>
      <c r="H1061" s="371" t="s">
        <v>104</v>
      </c>
      <c r="I1061" s="371" t="s">
        <v>2772</v>
      </c>
      <c r="J1061" s="373" t="s">
        <v>105</v>
      </c>
      <c r="K1061" s="374" t="s">
        <v>593</v>
      </c>
      <c r="L1061" s="300" t="s">
        <v>2167</v>
      </c>
      <c r="M1061" s="373" t="s">
        <v>594</v>
      </c>
      <c r="N1061" s="371" t="s">
        <v>687</v>
      </c>
      <c r="O1061" s="371" t="s">
        <v>415</v>
      </c>
      <c r="P1061" s="375">
        <v>24</v>
      </c>
      <c r="Q1061" s="375">
        <v>5</v>
      </c>
      <c r="R1061" s="376">
        <v>6.0000000000000001E-3</v>
      </c>
      <c r="S1061" s="371" t="s">
        <v>55</v>
      </c>
      <c r="T1061" s="371" t="s">
        <v>112</v>
      </c>
      <c r="U1061" s="371" t="s">
        <v>57</v>
      </c>
      <c r="V1061" s="377">
        <f>700</f>
        <v>700</v>
      </c>
      <c r="W1061" s="377">
        <f>700</f>
        <v>700</v>
      </c>
      <c r="X1061" s="378"/>
      <c r="Y1061" s="379">
        <f t="shared" si="357"/>
        <v>0</v>
      </c>
      <c r="Z1061" s="380">
        <f t="shared" si="358"/>
        <v>0</v>
      </c>
      <c r="AA1061" s="380"/>
      <c r="AB1061" s="820"/>
      <c r="AC1061" s="377"/>
      <c r="AD1061" s="486"/>
      <c r="AE1061" s="210"/>
      <c r="AF1061" s="210"/>
      <c r="AG1061" s="211">
        <f t="shared" si="359"/>
        <v>0.25800000000000001</v>
      </c>
      <c r="AH1061" s="157">
        <f t="shared" si="360"/>
        <v>0</v>
      </c>
      <c r="AI1061" s="152">
        <f t="shared" si="361"/>
        <v>16800</v>
      </c>
      <c r="AK1061" s="156" t="s">
        <v>691</v>
      </c>
      <c r="AL1061" s="212" t="s">
        <v>690</v>
      </c>
      <c r="AM1061" s="198">
        <f t="shared" si="355"/>
        <v>0</v>
      </c>
      <c r="AN1061" s="199">
        <f t="shared" si="353"/>
        <v>45481</v>
      </c>
      <c r="AO1061" s="159" t="s">
        <v>692</v>
      </c>
      <c r="AP1061" s="783"/>
      <c r="AQ1061" s="782">
        <v>12071839</v>
      </c>
      <c r="AR1061" s="782">
        <v>12042650</v>
      </c>
      <c r="AS1061" s="782">
        <v>12042649</v>
      </c>
      <c r="AT1061" s="782">
        <v>12085742</v>
      </c>
      <c r="AU1061" s="781"/>
      <c r="AV1061" s="782">
        <v>12085744</v>
      </c>
      <c r="AW1061" s="782">
        <v>12049607</v>
      </c>
      <c r="AX1061" s="782"/>
      <c r="AY1061" s="782">
        <v>12085747</v>
      </c>
      <c r="AZ1061" s="782"/>
      <c r="BA1061" s="781"/>
    </row>
    <row r="1062" spans="1:53" ht="24.65" hidden="1" customHeight="1">
      <c r="B1062" s="369">
        <v>45481</v>
      </c>
      <c r="C1062" s="370">
        <v>45503</v>
      </c>
      <c r="D1062" s="185">
        <f t="shared" si="351"/>
        <v>2024</v>
      </c>
      <c r="E1062" s="370" t="str">
        <f>VLOOKUP($B1062,Week!$A$1:$C$1462,2,0)</f>
        <v>Week28</v>
      </c>
      <c r="F1062" s="372" t="str">
        <f t="shared" si="352"/>
        <v>Jul</v>
      </c>
      <c r="G1062" s="439" t="s">
        <v>1492</v>
      </c>
      <c r="H1062" s="371" t="s">
        <v>104</v>
      </c>
      <c r="I1062" s="371" t="s">
        <v>2772</v>
      </c>
      <c r="J1062" s="373" t="s">
        <v>105</v>
      </c>
      <c r="K1062" s="374" t="s">
        <v>593</v>
      </c>
      <c r="L1062" s="300" t="s">
        <v>2167</v>
      </c>
      <c r="M1062" s="373" t="s">
        <v>594</v>
      </c>
      <c r="N1062" s="371" t="s">
        <v>687</v>
      </c>
      <c r="O1062" s="371" t="s">
        <v>415</v>
      </c>
      <c r="P1062" s="375">
        <v>24</v>
      </c>
      <c r="Q1062" s="375">
        <v>5</v>
      </c>
      <c r="R1062" s="376">
        <v>6.0000000000000001E-3</v>
      </c>
      <c r="S1062" s="371" t="s">
        <v>55</v>
      </c>
      <c r="T1062" s="371" t="s">
        <v>112</v>
      </c>
      <c r="U1062" s="371" t="s">
        <v>57</v>
      </c>
      <c r="V1062" s="377">
        <f>1556-750-700</f>
        <v>106</v>
      </c>
      <c r="W1062" s="377">
        <f>1556-750-700</f>
        <v>106</v>
      </c>
      <c r="X1062" s="378"/>
      <c r="Y1062" s="379">
        <f t="shared" si="357"/>
        <v>0</v>
      </c>
      <c r="Z1062" s="380">
        <f t="shared" si="358"/>
        <v>0</v>
      </c>
      <c r="AA1062" s="380"/>
      <c r="AB1062" s="820"/>
      <c r="AC1062" s="377"/>
      <c r="AD1062" s="486"/>
      <c r="AE1062" s="210"/>
      <c r="AF1062" s="210"/>
      <c r="AG1062" s="211">
        <f t="shared" si="359"/>
        <v>0.25800000000000001</v>
      </c>
      <c r="AH1062" s="157">
        <f t="shared" si="360"/>
        <v>0</v>
      </c>
      <c r="AI1062" s="152">
        <f t="shared" si="361"/>
        <v>2544</v>
      </c>
      <c r="AK1062" s="156" t="s">
        <v>691</v>
      </c>
      <c r="AL1062" s="212" t="s">
        <v>690</v>
      </c>
      <c r="AM1062" s="198">
        <f t="shared" si="355"/>
        <v>0</v>
      </c>
      <c r="AN1062" s="199">
        <f t="shared" si="353"/>
        <v>45481</v>
      </c>
      <c r="AO1062" s="159" t="s">
        <v>692</v>
      </c>
      <c r="AP1062" s="783"/>
      <c r="AQ1062" s="782">
        <v>12071839</v>
      </c>
      <c r="AR1062" s="782">
        <v>12042650</v>
      </c>
      <c r="AS1062" s="782">
        <v>12042649</v>
      </c>
      <c r="AT1062" s="782">
        <v>12085742</v>
      </c>
      <c r="AU1062" s="781"/>
      <c r="AV1062" s="782">
        <v>12085744</v>
      </c>
      <c r="AW1062" s="782">
        <v>12049607</v>
      </c>
      <c r="AX1062" s="782"/>
      <c r="AY1062" s="782">
        <v>12085747</v>
      </c>
      <c r="AZ1062" s="782"/>
      <c r="BA1062" s="781"/>
    </row>
    <row r="1063" spans="1:53" ht="24.65" hidden="1" customHeight="1">
      <c r="B1063" s="369">
        <v>45482</v>
      </c>
      <c r="C1063" s="370">
        <v>45503</v>
      </c>
      <c r="D1063" s="185">
        <f t="shared" si="351"/>
        <v>2024</v>
      </c>
      <c r="E1063" s="370" t="str">
        <f>VLOOKUP($B1063,Week!$A$1:$C$1462,2,0)</f>
        <v>Week28</v>
      </c>
      <c r="F1063" s="372" t="str">
        <f t="shared" si="352"/>
        <v>Jul</v>
      </c>
      <c r="G1063" s="439" t="s">
        <v>1492</v>
      </c>
      <c r="H1063" s="371" t="s">
        <v>104</v>
      </c>
      <c r="I1063" s="371" t="s">
        <v>2772</v>
      </c>
      <c r="J1063" s="373" t="s">
        <v>105</v>
      </c>
      <c r="K1063" s="374" t="s">
        <v>593</v>
      </c>
      <c r="L1063" s="300" t="s">
        <v>2167</v>
      </c>
      <c r="M1063" s="373" t="s">
        <v>594</v>
      </c>
      <c r="N1063" s="371" t="s">
        <v>687</v>
      </c>
      <c r="O1063" s="371" t="s">
        <v>415</v>
      </c>
      <c r="P1063" s="375">
        <v>24</v>
      </c>
      <c r="Q1063" s="375">
        <v>5</v>
      </c>
      <c r="R1063" s="376">
        <v>6.0000000000000001E-3</v>
      </c>
      <c r="S1063" s="371" t="s">
        <v>55</v>
      </c>
      <c r="T1063" s="371" t="s">
        <v>112</v>
      </c>
      <c r="U1063" s="371" t="s">
        <v>57</v>
      </c>
      <c r="V1063" s="377">
        <f>700-106</f>
        <v>594</v>
      </c>
      <c r="W1063" s="377">
        <v>594</v>
      </c>
      <c r="X1063" s="378"/>
      <c r="Y1063" s="379">
        <f t="shared" si="357"/>
        <v>0</v>
      </c>
      <c r="Z1063" s="380">
        <f t="shared" si="358"/>
        <v>0</v>
      </c>
      <c r="AA1063" s="380"/>
      <c r="AB1063" s="820"/>
      <c r="AC1063" s="377"/>
      <c r="AD1063" s="486"/>
      <c r="AE1063" s="210"/>
      <c r="AF1063" s="210"/>
      <c r="AG1063" s="211">
        <f t="shared" si="359"/>
        <v>0.25800000000000001</v>
      </c>
      <c r="AH1063" s="157">
        <f t="shared" si="360"/>
        <v>0</v>
      </c>
      <c r="AI1063" s="152">
        <f t="shared" si="361"/>
        <v>14256</v>
      </c>
      <c r="AK1063" s="156" t="s">
        <v>691</v>
      </c>
      <c r="AL1063" s="212" t="s">
        <v>690</v>
      </c>
      <c r="AM1063" s="198">
        <f t="shared" si="355"/>
        <v>0</v>
      </c>
      <c r="AN1063" s="199">
        <f t="shared" si="353"/>
        <v>45482</v>
      </c>
      <c r="AO1063" s="159" t="s">
        <v>692</v>
      </c>
      <c r="AP1063" s="783"/>
      <c r="AQ1063" s="782">
        <v>12071839</v>
      </c>
      <c r="AR1063" s="782">
        <v>12042650</v>
      </c>
      <c r="AS1063" s="782">
        <v>12042649</v>
      </c>
      <c r="AT1063" s="782">
        <v>12085742</v>
      </c>
      <c r="AU1063" s="781"/>
      <c r="AV1063" s="782">
        <v>12085744</v>
      </c>
      <c r="AW1063" s="782">
        <v>12049607</v>
      </c>
      <c r="AX1063" s="782"/>
      <c r="AY1063" s="782">
        <v>12085747</v>
      </c>
      <c r="AZ1063" s="782"/>
      <c r="BA1063" s="781"/>
    </row>
    <row r="1064" spans="1:53" ht="24.65" hidden="1" customHeight="1">
      <c r="B1064" s="369">
        <v>45482</v>
      </c>
      <c r="C1064" s="370">
        <v>45519</v>
      </c>
      <c r="D1064" s="185">
        <f t="shared" si="351"/>
        <v>2024</v>
      </c>
      <c r="E1064" s="370" t="str">
        <f>VLOOKUP($B1064,Week!$A$1:$C$1462,2,0)</f>
        <v>Week28</v>
      </c>
      <c r="F1064" s="372" t="str">
        <f t="shared" si="352"/>
        <v>Jul</v>
      </c>
      <c r="G1064" s="439" t="s">
        <v>1493</v>
      </c>
      <c r="H1064" s="371" t="s">
        <v>104</v>
      </c>
      <c r="I1064" s="371" t="s">
        <v>2772</v>
      </c>
      <c r="J1064" s="373" t="s">
        <v>105</v>
      </c>
      <c r="K1064" s="374" t="s">
        <v>593</v>
      </c>
      <c r="L1064" s="300" t="s">
        <v>2167</v>
      </c>
      <c r="M1064" s="373" t="s">
        <v>594</v>
      </c>
      <c r="N1064" s="371" t="s">
        <v>687</v>
      </c>
      <c r="O1064" s="371" t="s">
        <v>415</v>
      </c>
      <c r="P1064" s="375">
        <v>24</v>
      </c>
      <c r="Q1064" s="375">
        <v>5</v>
      </c>
      <c r="R1064" s="376">
        <v>6.0000000000000001E-3</v>
      </c>
      <c r="S1064" s="371" t="s">
        <v>55</v>
      </c>
      <c r="T1064" s="371" t="s">
        <v>112</v>
      </c>
      <c r="U1064" s="371" t="s">
        <v>57</v>
      </c>
      <c r="V1064" s="377">
        <f>800</f>
        <v>800</v>
      </c>
      <c r="W1064" s="377">
        <v>800</v>
      </c>
      <c r="X1064" s="378"/>
      <c r="Y1064" s="379">
        <f t="shared" si="357"/>
        <v>0</v>
      </c>
      <c r="Z1064" s="380">
        <f t="shared" si="358"/>
        <v>0</v>
      </c>
      <c r="AA1064" s="380"/>
      <c r="AB1064" s="820"/>
      <c r="AC1064" s="377"/>
      <c r="AD1064" s="486"/>
      <c r="AE1064" s="210"/>
      <c r="AF1064" s="210"/>
      <c r="AG1064" s="211">
        <f t="shared" si="359"/>
        <v>0.25800000000000001</v>
      </c>
      <c r="AH1064" s="157">
        <f t="shared" si="360"/>
        <v>0</v>
      </c>
      <c r="AI1064" s="152">
        <f t="shared" si="361"/>
        <v>19200</v>
      </c>
      <c r="AK1064" s="156" t="s">
        <v>691</v>
      </c>
      <c r="AL1064" s="212" t="s">
        <v>690</v>
      </c>
      <c r="AM1064" s="198">
        <f t="shared" si="355"/>
        <v>0</v>
      </c>
      <c r="AN1064" s="199">
        <f t="shared" si="353"/>
        <v>45482</v>
      </c>
      <c r="AO1064" s="159" t="s">
        <v>692</v>
      </c>
      <c r="AP1064" s="783"/>
      <c r="AQ1064" s="782">
        <v>12071839</v>
      </c>
      <c r="AR1064" s="782">
        <v>12042650</v>
      </c>
      <c r="AS1064" s="782">
        <v>12042649</v>
      </c>
      <c r="AT1064" s="782">
        <v>12085742</v>
      </c>
      <c r="AU1064" s="781"/>
      <c r="AV1064" s="782">
        <v>12085744</v>
      </c>
      <c r="AW1064" s="782">
        <v>12049607</v>
      </c>
      <c r="AX1064" s="782"/>
      <c r="AY1064" s="782">
        <v>12085747</v>
      </c>
      <c r="AZ1064" s="782"/>
      <c r="BA1064" s="781"/>
    </row>
    <row r="1065" spans="1:53" ht="25" hidden="1" customHeight="1">
      <c r="B1065" s="246">
        <v>45482</v>
      </c>
      <c r="C1065" s="247">
        <v>45572</v>
      </c>
      <c r="D1065" s="185">
        <f t="shared" si="351"/>
        <v>2024</v>
      </c>
      <c r="E1065" s="247" t="str">
        <f>VLOOKUP($B1065,Week!$A$1:$C$1462,2,0)</f>
        <v>Week28</v>
      </c>
      <c r="F1065" s="248" t="str">
        <f t="shared" si="352"/>
        <v>Jul</v>
      </c>
      <c r="G1065" s="599" t="s">
        <v>1457</v>
      </c>
      <c r="H1065" s="249" t="s">
        <v>104</v>
      </c>
      <c r="I1065" s="249" t="s">
        <v>2772</v>
      </c>
      <c r="J1065" s="250" t="s">
        <v>105</v>
      </c>
      <c r="K1065" s="251" t="s">
        <v>593</v>
      </c>
      <c r="L1065" s="300" t="s">
        <v>2167</v>
      </c>
      <c r="M1065" s="250" t="s">
        <v>594</v>
      </c>
      <c r="N1065" s="249" t="s">
        <v>596</v>
      </c>
      <c r="O1065" s="249" t="s">
        <v>304</v>
      </c>
      <c r="P1065" s="252">
        <v>8</v>
      </c>
      <c r="Q1065" s="252">
        <v>5</v>
      </c>
      <c r="R1065" s="253">
        <v>6.0000000000000001E-3</v>
      </c>
      <c r="S1065" s="249" t="s">
        <v>55</v>
      </c>
      <c r="T1065" s="249" t="s">
        <v>112</v>
      </c>
      <c r="U1065" s="249" t="s">
        <v>57</v>
      </c>
      <c r="V1065" s="254">
        <v>1237</v>
      </c>
      <c r="W1065" s="254"/>
      <c r="X1065" s="255">
        <f>(1668+8228)/8</f>
        <v>1237</v>
      </c>
      <c r="Y1065" s="256">
        <f t="shared" si="357"/>
        <v>0</v>
      </c>
      <c r="Z1065" s="257">
        <f t="shared" si="358"/>
        <v>0</v>
      </c>
      <c r="AA1065" s="257"/>
      <c r="AB1065" s="810"/>
      <c r="AC1065" s="254"/>
      <c r="AD1065" s="209"/>
      <c r="AE1065" s="210"/>
      <c r="AF1065" s="210"/>
      <c r="AG1065" s="211">
        <f t="shared" si="359"/>
        <v>0.25800000000000001</v>
      </c>
      <c r="AH1065" s="157">
        <v>0.26621999999999996</v>
      </c>
      <c r="AI1065" s="152">
        <f t="shared" si="361"/>
        <v>9896</v>
      </c>
      <c r="AK1065" s="156" t="s">
        <v>691</v>
      </c>
      <c r="AL1065" s="574" t="s">
        <v>690</v>
      </c>
      <c r="AM1065" s="198">
        <f t="shared" si="355"/>
        <v>0</v>
      </c>
      <c r="AN1065" s="199">
        <f t="shared" si="353"/>
        <v>45482</v>
      </c>
      <c r="AO1065" s="159" t="s">
        <v>692</v>
      </c>
      <c r="AP1065" s="781"/>
      <c r="AQ1065" s="782">
        <v>12071839</v>
      </c>
      <c r="AR1065" s="782">
        <v>12042650</v>
      </c>
      <c r="AS1065" s="782">
        <v>12042649</v>
      </c>
      <c r="AT1065" s="782">
        <v>12084100</v>
      </c>
      <c r="AU1065" s="781"/>
      <c r="AV1065" s="782">
        <v>12084001</v>
      </c>
      <c r="AW1065" s="781"/>
      <c r="AX1065" s="781"/>
      <c r="AY1065" s="781"/>
      <c r="AZ1065" s="782"/>
      <c r="BA1065" s="781"/>
    </row>
    <row r="1066" spans="1:53" ht="25" hidden="1" customHeight="1">
      <c r="B1066" s="546">
        <v>45482</v>
      </c>
      <c r="C1066" s="547">
        <v>45498</v>
      </c>
      <c r="D1066" s="185">
        <f t="shared" si="351"/>
        <v>2024</v>
      </c>
      <c r="E1066" s="549" t="str">
        <f>VLOOKUP($B1066,Week!$A$1:$C$1462,2,0)</f>
        <v>Week28</v>
      </c>
      <c r="F1066" s="548" t="str">
        <f t="shared" si="352"/>
        <v>Jul</v>
      </c>
      <c r="G1066" s="549" t="s">
        <v>1546</v>
      </c>
      <c r="H1066" s="549" t="s">
        <v>831</v>
      </c>
      <c r="I1066" s="549" t="s">
        <v>2772</v>
      </c>
      <c r="J1066" s="550" t="s">
        <v>1130</v>
      </c>
      <c r="K1066" s="551" t="s">
        <v>176</v>
      </c>
      <c r="L1066" s="300" t="s">
        <v>2167</v>
      </c>
      <c r="M1066" s="550" t="s">
        <v>193</v>
      </c>
      <c r="N1066" s="549" t="s">
        <v>833</v>
      </c>
      <c r="O1066" s="549" t="s">
        <v>195</v>
      </c>
      <c r="P1066" s="552">
        <v>24</v>
      </c>
      <c r="Q1066" s="552">
        <v>5</v>
      </c>
      <c r="R1066" s="553">
        <v>8.0000000000000002E-3</v>
      </c>
      <c r="S1066" s="549" t="s">
        <v>40</v>
      </c>
      <c r="T1066" s="549" t="s">
        <v>56</v>
      </c>
      <c r="U1066" s="549" t="s">
        <v>57</v>
      </c>
      <c r="V1066" s="554">
        <f>200</f>
        <v>200</v>
      </c>
      <c r="W1066" s="554">
        <v>200</v>
      </c>
      <c r="X1066" s="555"/>
      <c r="Y1066" s="556">
        <f t="shared" si="357"/>
        <v>0</v>
      </c>
      <c r="Z1066" s="557">
        <f t="shared" si="358"/>
        <v>0</v>
      </c>
      <c r="AA1066" s="554"/>
      <c r="AB1066" s="833"/>
      <c r="AC1066" s="554"/>
      <c r="AD1066" s="381"/>
      <c r="AE1066" s="220"/>
      <c r="AF1066" s="220"/>
      <c r="AG1066" s="211">
        <f t="shared" si="359"/>
        <v>0.14499999999999999</v>
      </c>
      <c r="AH1066" s="157">
        <f t="shared" ref="AH1066:AH1088" si="362">(Z1066*AG1066)/1000</f>
        <v>0</v>
      </c>
      <c r="AI1066" s="152">
        <f t="shared" si="361"/>
        <v>4800</v>
      </c>
      <c r="AK1066" s="156" t="s">
        <v>691</v>
      </c>
      <c r="AL1066" s="212" t="s">
        <v>690</v>
      </c>
      <c r="AM1066" s="198">
        <f t="shared" ref="AM1066:AM1097" si="363">AG1066*Z1066</f>
        <v>0</v>
      </c>
      <c r="AN1066" s="199">
        <f t="shared" si="353"/>
        <v>45482</v>
      </c>
      <c r="AO1066" s="159" t="s">
        <v>692</v>
      </c>
      <c r="AP1066" s="783" t="s">
        <v>610</v>
      </c>
      <c r="AQ1066" s="782">
        <v>12071839</v>
      </c>
      <c r="AR1066" s="782">
        <v>12047514</v>
      </c>
      <c r="AS1066" s="782">
        <v>12047515</v>
      </c>
      <c r="AT1066" s="782"/>
      <c r="AU1066" s="782">
        <v>12026902</v>
      </c>
      <c r="AV1066" s="782">
        <v>12054724</v>
      </c>
      <c r="AW1066" s="782">
        <v>12026904</v>
      </c>
      <c r="AX1066" s="782"/>
      <c r="AY1066" s="782">
        <v>12054436</v>
      </c>
      <c r="AZ1066" s="782">
        <v>12054433</v>
      </c>
      <c r="BA1066" s="782">
        <v>12054434</v>
      </c>
    </row>
    <row r="1067" spans="1:53" ht="25" hidden="1" customHeight="1">
      <c r="B1067" s="546">
        <v>45482</v>
      </c>
      <c r="C1067" s="547">
        <v>45498</v>
      </c>
      <c r="D1067" s="185">
        <f t="shared" si="351"/>
        <v>2024</v>
      </c>
      <c r="E1067" s="549" t="str">
        <f>VLOOKUP($B1067,Week!$A$1:$C$1462,2,0)</f>
        <v>Week28</v>
      </c>
      <c r="F1067" s="548" t="str">
        <f t="shared" si="352"/>
        <v>Jul</v>
      </c>
      <c r="G1067" s="549" t="s">
        <v>1546</v>
      </c>
      <c r="H1067" s="549" t="s">
        <v>831</v>
      </c>
      <c r="I1067" s="549" t="s">
        <v>2772</v>
      </c>
      <c r="J1067" s="550" t="s">
        <v>1130</v>
      </c>
      <c r="K1067" s="551" t="s">
        <v>744</v>
      </c>
      <c r="L1067" s="300" t="s">
        <v>2167</v>
      </c>
      <c r="M1067" s="550" t="s">
        <v>193</v>
      </c>
      <c r="N1067" s="549" t="s">
        <v>832</v>
      </c>
      <c r="O1067" s="549" t="s">
        <v>206</v>
      </c>
      <c r="P1067" s="552">
        <v>24</v>
      </c>
      <c r="Q1067" s="552">
        <v>5</v>
      </c>
      <c r="R1067" s="553">
        <v>8.0000000000000002E-3</v>
      </c>
      <c r="S1067" s="549" t="s">
        <v>40</v>
      </c>
      <c r="T1067" s="549" t="s">
        <v>56</v>
      </c>
      <c r="U1067" s="618" t="s">
        <v>499</v>
      </c>
      <c r="V1067" s="554">
        <f>405</f>
        <v>405</v>
      </c>
      <c r="W1067" s="554">
        <f>405</f>
        <v>405</v>
      </c>
      <c r="X1067" s="555"/>
      <c r="Y1067" s="556">
        <f t="shared" si="357"/>
        <v>0</v>
      </c>
      <c r="Z1067" s="557">
        <f t="shared" si="358"/>
        <v>0</v>
      </c>
      <c r="AA1067" s="554"/>
      <c r="AB1067" s="833">
        <v>1</v>
      </c>
      <c r="AC1067" s="554">
        <f>Z1067*AB1067</f>
        <v>0</v>
      </c>
      <c r="AD1067" s="381"/>
      <c r="AE1067" s="220"/>
      <c r="AF1067" s="220"/>
      <c r="AG1067" s="211">
        <f t="shared" si="359"/>
        <v>0.115</v>
      </c>
      <c r="AH1067" s="157">
        <f t="shared" si="362"/>
        <v>0</v>
      </c>
      <c r="AI1067" s="152">
        <f t="shared" si="361"/>
        <v>9720</v>
      </c>
      <c r="AK1067" s="156" t="s">
        <v>691</v>
      </c>
      <c r="AL1067" s="212" t="s">
        <v>690</v>
      </c>
      <c r="AM1067" s="198">
        <f t="shared" si="363"/>
        <v>0</v>
      </c>
      <c r="AN1067" s="199">
        <f t="shared" si="353"/>
        <v>45482</v>
      </c>
      <c r="AO1067" s="159" t="s">
        <v>692</v>
      </c>
      <c r="AP1067" s="783" t="s">
        <v>610</v>
      </c>
      <c r="AQ1067" s="782">
        <v>12071839</v>
      </c>
      <c r="AR1067" s="782">
        <v>12047514</v>
      </c>
      <c r="AS1067" s="782">
        <v>12047515</v>
      </c>
      <c r="AT1067" s="782"/>
      <c r="AU1067" s="782">
        <v>12026902</v>
      </c>
      <c r="AV1067" s="782">
        <v>12054722</v>
      </c>
      <c r="AW1067" s="782">
        <v>12026904</v>
      </c>
      <c r="AX1067" s="782"/>
      <c r="AY1067" s="782">
        <v>12061939</v>
      </c>
      <c r="AZ1067" s="782">
        <v>12061940</v>
      </c>
      <c r="BA1067" s="782">
        <v>12061938</v>
      </c>
    </row>
    <row r="1068" spans="1:53" ht="24.75" hidden="1" customHeight="1">
      <c r="B1068" s="295">
        <v>45482</v>
      </c>
      <c r="C1068" s="296" t="s">
        <v>1573</v>
      </c>
      <c r="D1068" s="185">
        <f t="shared" si="351"/>
        <v>2024</v>
      </c>
      <c r="E1068" s="296" t="str">
        <f>VLOOKUP($B1068,Week!$A$1:$C$1462,2,0)</f>
        <v>Week28</v>
      </c>
      <c r="F1068" s="297" t="str">
        <f t="shared" si="352"/>
        <v>Jul</v>
      </c>
      <c r="G1068" s="648" t="s">
        <v>47</v>
      </c>
      <c r="H1068" s="298" t="s">
        <v>260</v>
      </c>
      <c r="I1068" s="298" t="s">
        <v>2702</v>
      </c>
      <c r="J1068" s="307" t="s">
        <v>904</v>
      </c>
      <c r="K1068" s="300" t="s">
        <v>176</v>
      </c>
      <c r="L1068" s="300" t="s">
        <v>2167</v>
      </c>
      <c r="M1068" s="299" t="s">
        <v>262</v>
      </c>
      <c r="N1068" s="298" t="s">
        <v>350</v>
      </c>
      <c r="O1068" s="298" t="s">
        <v>351</v>
      </c>
      <c r="P1068" s="301">
        <v>24</v>
      </c>
      <c r="Q1068" s="301">
        <v>5</v>
      </c>
      <c r="R1068" s="302">
        <v>6.1999999999999998E-3</v>
      </c>
      <c r="S1068" s="298" t="s">
        <v>352</v>
      </c>
      <c r="T1068" s="298" t="s">
        <v>56</v>
      </c>
      <c r="U1068" s="298" t="s">
        <v>57</v>
      </c>
      <c r="V1068" s="303">
        <v>2168</v>
      </c>
      <c r="W1068" s="303">
        <f>2168</f>
        <v>2168</v>
      </c>
      <c r="X1068" s="304"/>
      <c r="Y1068" s="305">
        <f t="shared" si="357"/>
        <v>0</v>
      </c>
      <c r="Z1068" s="306">
        <f t="shared" si="358"/>
        <v>0</v>
      </c>
      <c r="AA1068" s="306"/>
      <c r="AB1068" s="814"/>
      <c r="AC1068" s="303"/>
      <c r="AD1068" s="486"/>
      <c r="AE1068" s="210"/>
      <c r="AF1068" s="210"/>
      <c r="AG1068" s="211">
        <f t="shared" si="359"/>
        <v>0.13</v>
      </c>
      <c r="AH1068" s="157">
        <f t="shared" si="362"/>
        <v>0</v>
      </c>
      <c r="AI1068" s="152">
        <f t="shared" si="361"/>
        <v>52032</v>
      </c>
      <c r="AK1068" s="156" t="s">
        <v>691</v>
      </c>
      <c r="AL1068" s="574" t="s">
        <v>690</v>
      </c>
      <c r="AM1068" s="198">
        <f t="shared" si="363"/>
        <v>0</v>
      </c>
      <c r="AN1068" s="199">
        <f t="shared" si="353"/>
        <v>45482</v>
      </c>
      <c r="AO1068" s="159" t="s">
        <v>692</v>
      </c>
      <c r="AP1068" s="783" t="s">
        <v>629</v>
      </c>
      <c r="AQ1068" s="782">
        <v>12071839</v>
      </c>
      <c r="AR1068" s="782">
        <v>12078867</v>
      </c>
      <c r="AS1068" s="782">
        <v>12068233</v>
      </c>
      <c r="AT1068" s="781"/>
      <c r="AU1068" s="781"/>
      <c r="AV1068" s="782">
        <v>12062075</v>
      </c>
      <c r="AW1068" s="781"/>
      <c r="AX1068" s="781"/>
      <c r="AY1068" s="782">
        <v>12078867</v>
      </c>
      <c r="AZ1068" s="781"/>
      <c r="BA1068" s="781"/>
    </row>
    <row r="1069" spans="1:53" ht="25" hidden="1" customHeight="1">
      <c r="B1069" s="517">
        <v>45483</v>
      </c>
      <c r="C1069" s="532">
        <v>45512</v>
      </c>
      <c r="D1069" s="185">
        <f t="shared" si="351"/>
        <v>2024</v>
      </c>
      <c r="E1069" s="518" t="str">
        <f>VLOOKUP($B1069,Week!$A$1:$C$1462,2,0)</f>
        <v>Week28</v>
      </c>
      <c r="F1069" s="520" t="str">
        <f t="shared" si="352"/>
        <v>Jul</v>
      </c>
      <c r="G1069" s="519" t="s">
        <v>1429</v>
      </c>
      <c r="H1069" s="519" t="s">
        <v>363</v>
      </c>
      <c r="I1069" s="519" t="s">
        <v>2772</v>
      </c>
      <c r="J1069" s="521" t="s">
        <v>364</v>
      </c>
      <c r="K1069" s="522" t="s">
        <v>1643</v>
      </c>
      <c r="L1069" s="300" t="s">
        <v>2167</v>
      </c>
      <c r="M1069" s="521" t="s">
        <v>1421</v>
      </c>
      <c r="N1069" s="519" t="s">
        <v>1422</v>
      </c>
      <c r="O1069" s="519" t="s">
        <v>743</v>
      </c>
      <c r="P1069" s="523">
        <v>36</v>
      </c>
      <c r="Q1069" s="523">
        <v>5</v>
      </c>
      <c r="R1069" s="524">
        <v>7.4999999999999997E-3</v>
      </c>
      <c r="S1069" s="519" t="s">
        <v>40</v>
      </c>
      <c r="T1069" s="519" t="s">
        <v>112</v>
      </c>
      <c r="U1069" s="634" t="s">
        <v>721</v>
      </c>
      <c r="V1069" s="525">
        <v>1288</v>
      </c>
      <c r="W1069" s="525">
        <v>1239</v>
      </c>
      <c r="X1069" s="526">
        <v>49</v>
      </c>
      <c r="Y1069" s="527">
        <f t="shared" si="357"/>
        <v>0</v>
      </c>
      <c r="Z1069" s="528">
        <f t="shared" si="358"/>
        <v>0</v>
      </c>
      <c r="AA1069" s="528"/>
      <c r="AB1069" s="831"/>
      <c r="AC1069" s="525"/>
      <c r="AD1069" s="209"/>
      <c r="AE1069" s="210"/>
      <c r="AF1069" s="210"/>
      <c r="AG1069" s="211">
        <f t="shared" si="359"/>
        <v>0.14699999999999999</v>
      </c>
      <c r="AH1069" s="157">
        <f t="shared" si="362"/>
        <v>0</v>
      </c>
      <c r="AI1069" s="152">
        <f t="shared" si="361"/>
        <v>46368</v>
      </c>
      <c r="AK1069" s="156" t="s">
        <v>691</v>
      </c>
      <c r="AL1069" s="574" t="s">
        <v>690</v>
      </c>
      <c r="AM1069" s="198">
        <f t="shared" si="363"/>
        <v>0</v>
      </c>
      <c r="AN1069" s="199">
        <f t="shared" si="353"/>
        <v>45483</v>
      </c>
      <c r="AO1069" s="159" t="s">
        <v>692</v>
      </c>
      <c r="AP1069" s="783" t="s">
        <v>639</v>
      </c>
      <c r="AQ1069" s="782">
        <v>12071839</v>
      </c>
      <c r="AR1069" s="782">
        <v>12047514</v>
      </c>
      <c r="AS1069" s="782">
        <v>12047515</v>
      </c>
      <c r="AT1069" s="782">
        <v>12091753</v>
      </c>
      <c r="AU1069" s="781"/>
      <c r="AV1069" s="782">
        <v>12091754</v>
      </c>
      <c r="AW1069" s="782"/>
      <c r="AX1069" s="781"/>
      <c r="AY1069" s="782">
        <v>12091752</v>
      </c>
      <c r="AZ1069" s="781"/>
      <c r="BA1069" s="781"/>
    </row>
    <row r="1070" spans="1:53" ht="25" hidden="1" customHeight="1">
      <c r="B1070" s="517">
        <v>45483</v>
      </c>
      <c r="C1070" s="532">
        <v>45518</v>
      </c>
      <c r="D1070" s="185">
        <f t="shared" si="351"/>
        <v>2024</v>
      </c>
      <c r="E1070" s="518" t="str">
        <f>VLOOKUP($B1070,Week!$A$1:$C$1462,2,0)</f>
        <v>Week28</v>
      </c>
      <c r="F1070" s="520" t="str">
        <f t="shared" si="352"/>
        <v>Jul</v>
      </c>
      <c r="G1070" s="519" t="s">
        <v>1430</v>
      </c>
      <c r="H1070" s="519" t="s">
        <v>363</v>
      </c>
      <c r="I1070" s="519" t="s">
        <v>2772</v>
      </c>
      <c r="J1070" s="521" t="s">
        <v>364</v>
      </c>
      <c r="K1070" s="522" t="s">
        <v>1643</v>
      </c>
      <c r="L1070" s="300" t="s">
        <v>2167</v>
      </c>
      <c r="M1070" s="521" t="s">
        <v>1421</v>
      </c>
      <c r="N1070" s="519" t="s">
        <v>1422</v>
      </c>
      <c r="O1070" s="519" t="s">
        <v>743</v>
      </c>
      <c r="P1070" s="523">
        <v>36</v>
      </c>
      <c r="Q1070" s="523">
        <v>5</v>
      </c>
      <c r="R1070" s="524">
        <v>7.4999999999999997E-3</v>
      </c>
      <c r="S1070" s="519" t="s">
        <v>40</v>
      </c>
      <c r="T1070" s="519" t="s">
        <v>112</v>
      </c>
      <c r="U1070" s="634" t="s">
        <v>721</v>
      </c>
      <c r="V1070" s="525">
        <v>1288</v>
      </c>
      <c r="W1070" s="525">
        <v>1288</v>
      </c>
      <c r="X1070" s="526"/>
      <c r="Y1070" s="527">
        <f t="shared" si="357"/>
        <v>0</v>
      </c>
      <c r="Z1070" s="528">
        <f t="shared" si="358"/>
        <v>0</v>
      </c>
      <c r="AA1070" s="528"/>
      <c r="AB1070" s="831"/>
      <c r="AC1070" s="525"/>
      <c r="AD1070" s="209"/>
      <c r="AE1070" s="210"/>
      <c r="AF1070" s="210"/>
      <c r="AG1070" s="211">
        <f t="shared" si="359"/>
        <v>0.14699999999999999</v>
      </c>
      <c r="AH1070" s="157">
        <f t="shared" si="362"/>
        <v>0</v>
      </c>
      <c r="AI1070" s="152">
        <f t="shared" si="361"/>
        <v>46368</v>
      </c>
      <c r="AK1070" s="156" t="s">
        <v>691</v>
      </c>
      <c r="AL1070" s="574" t="s">
        <v>690</v>
      </c>
      <c r="AM1070" s="198">
        <f t="shared" si="363"/>
        <v>0</v>
      </c>
      <c r="AN1070" s="199">
        <f t="shared" si="353"/>
        <v>45483</v>
      </c>
      <c r="AO1070" s="159" t="s">
        <v>692</v>
      </c>
      <c r="AP1070" s="783" t="s">
        <v>639</v>
      </c>
      <c r="AQ1070" s="782">
        <v>12071839</v>
      </c>
      <c r="AR1070" s="782">
        <v>12047514</v>
      </c>
      <c r="AS1070" s="782">
        <v>12047515</v>
      </c>
      <c r="AT1070" s="782">
        <v>12091753</v>
      </c>
      <c r="AU1070" s="781"/>
      <c r="AV1070" s="782">
        <v>12091754</v>
      </c>
      <c r="AW1070" s="782"/>
      <c r="AX1070" s="781"/>
      <c r="AY1070" s="782">
        <v>12091752</v>
      </c>
      <c r="AZ1070" s="781"/>
      <c r="BA1070" s="781"/>
    </row>
    <row r="1071" spans="1:53" ht="25" hidden="1" customHeight="1">
      <c r="B1071" s="517">
        <v>45483</v>
      </c>
      <c r="C1071" s="532">
        <v>45518</v>
      </c>
      <c r="D1071" s="185">
        <f t="shared" si="351"/>
        <v>2024</v>
      </c>
      <c r="E1071" s="518" t="str">
        <f>VLOOKUP($B1071,Week!$A$1:$C$1462,2,0)</f>
        <v>Week28</v>
      </c>
      <c r="F1071" s="520" t="str">
        <f t="shared" si="352"/>
        <v>Jul</v>
      </c>
      <c r="G1071" s="519" t="s">
        <v>1431</v>
      </c>
      <c r="H1071" s="519" t="s">
        <v>363</v>
      </c>
      <c r="I1071" s="519" t="s">
        <v>2772</v>
      </c>
      <c r="J1071" s="521" t="s">
        <v>364</v>
      </c>
      <c r="K1071" s="522" t="s">
        <v>1643</v>
      </c>
      <c r="L1071" s="300" t="s">
        <v>2167</v>
      </c>
      <c r="M1071" s="521" t="s">
        <v>1421</v>
      </c>
      <c r="N1071" s="519" t="s">
        <v>1422</v>
      </c>
      <c r="O1071" s="519" t="s">
        <v>743</v>
      </c>
      <c r="P1071" s="523">
        <v>36</v>
      </c>
      <c r="Q1071" s="523">
        <v>5</v>
      </c>
      <c r="R1071" s="524">
        <v>7.4999999999999997E-3</v>
      </c>
      <c r="S1071" s="519" t="s">
        <v>40</v>
      </c>
      <c r="T1071" s="519" t="s">
        <v>112</v>
      </c>
      <c r="U1071" s="634" t="s">
        <v>721</v>
      </c>
      <c r="V1071" s="525">
        <f>1205</f>
        <v>1205</v>
      </c>
      <c r="W1071" s="525">
        <f>3732-1239-1288</f>
        <v>1205</v>
      </c>
      <c r="X1071" s="526"/>
      <c r="Y1071" s="527">
        <f t="shared" si="357"/>
        <v>0</v>
      </c>
      <c r="Z1071" s="528">
        <f t="shared" si="358"/>
        <v>0</v>
      </c>
      <c r="AA1071" s="528"/>
      <c r="AB1071" s="831"/>
      <c r="AC1071" s="525"/>
      <c r="AD1071" s="209"/>
      <c r="AE1071" s="210"/>
      <c r="AF1071" s="210"/>
      <c r="AG1071" s="211">
        <f t="shared" si="359"/>
        <v>0.14699999999999999</v>
      </c>
      <c r="AH1071" s="157">
        <f t="shared" si="362"/>
        <v>0</v>
      </c>
      <c r="AI1071" s="152">
        <f t="shared" si="361"/>
        <v>43380</v>
      </c>
      <c r="AK1071" s="156" t="s">
        <v>691</v>
      </c>
      <c r="AL1071" s="574" t="s">
        <v>690</v>
      </c>
      <c r="AM1071" s="198">
        <f t="shared" si="363"/>
        <v>0</v>
      </c>
      <c r="AN1071" s="199">
        <f t="shared" si="353"/>
        <v>45483</v>
      </c>
      <c r="AO1071" s="159" t="s">
        <v>692</v>
      </c>
      <c r="AP1071" s="783" t="s">
        <v>639</v>
      </c>
      <c r="AQ1071" s="782">
        <v>12071839</v>
      </c>
      <c r="AR1071" s="782">
        <v>12047514</v>
      </c>
      <c r="AS1071" s="782">
        <v>12047515</v>
      </c>
      <c r="AT1071" s="782">
        <v>12091753</v>
      </c>
      <c r="AU1071" s="781"/>
      <c r="AV1071" s="782">
        <v>12091754</v>
      </c>
      <c r="AW1071" s="782"/>
      <c r="AX1071" s="781"/>
      <c r="AY1071" s="782">
        <v>12091752</v>
      </c>
      <c r="AZ1071" s="781"/>
      <c r="BA1071" s="781"/>
    </row>
    <row r="1072" spans="1:53" ht="25" hidden="1" customHeight="1">
      <c r="B1072" s="213">
        <v>45484</v>
      </c>
      <c r="C1072" s="578">
        <v>45495</v>
      </c>
      <c r="D1072" s="185">
        <f t="shared" si="351"/>
        <v>2024</v>
      </c>
      <c r="E1072" s="215" t="str">
        <f>VLOOKUP($B1072,Week!$A$1:$C$1462,2,0)</f>
        <v>Week28</v>
      </c>
      <c r="F1072" s="216" t="str">
        <f t="shared" si="352"/>
        <v>Jul</v>
      </c>
      <c r="G1072" s="215" t="s">
        <v>1375</v>
      </c>
      <c r="H1072" s="215" t="s">
        <v>104</v>
      </c>
      <c r="I1072" s="215" t="s">
        <v>2772</v>
      </c>
      <c r="J1072" s="209" t="s">
        <v>105</v>
      </c>
      <c r="K1072" s="217" t="s">
        <v>107</v>
      </c>
      <c r="L1072" s="300" t="s">
        <v>2167</v>
      </c>
      <c r="M1072" s="209" t="s">
        <v>108</v>
      </c>
      <c r="N1072" s="215" t="s">
        <v>109</v>
      </c>
      <c r="O1072" s="215" t="s">
        <v>110</v>
      </c>
      <c r="P1072" s="218">
        <v>36</v>
      </c>
      <c r="Q1072" s="218">
        <v>5</v>
      </c>
      <c r="R1072" s="219">
        <v>7.4999999999999997E-3</v>
      </c>
      <c r="S1072" s="215" t="s">
        <v>111</v>
      </c>
      <c r="T1072" s="215" t="s">
        <v>112</v>
      </c>
      <c r="U1072" s="215" t="s">
        <v>113</v>
      </c>
      <c r="V1072" s="220">
        <f>792-551</f>
        <v>241</v>
      </c>
      <c r="W1072" s="220">
        <v>241</v>
      </c>
      <c r="X1072" s="221"/>
      <c r="Y1072" s="222">
        <f t="shared" si="357"/>
        <v>0</v>
      </c>
      <c r="Z1072" s="223">
        <f t="shared" si="358"/>
        <v>0</v>
      </c>
      <c r="AA1072" s="223"/>
      <c r="AB1072" s="807"/>
      <c r="AC1072" s="220"/>
      <c r="AD1072" s="209"/>
      <c r="AE1072" s="210"/>
      <c r="AF1072" s="210"/>
      <c r="AG1072" s="211">
        <f t="shared" si="359"/>
        <v>0.308</v>
      </c>
      <c r="AH1072" s="157">
        <f t="shared" si="362"/>
        <v>0</v>
      </c>
      <c r="AI1072" s="152">
        <f t="shared" si="361"/>
        <v>8676</v>
      </c>
      <c r="AK1072" s="156" t="s">
        <v>691</v>
      </c>
      <c r="AL1072" s="574" t="s">
        <v>690</v>
      </c>
      <c r="AM1072" s="198">
        <f t="shared" si="363"/>
        <v>0</v>
      </c>
      <c r="AN1072" s="199">
        <f t="shared" si="353"/>
        <v>45484</v>
      </c>
      <c r="AO1072" s="159" t="s">
        <v>692</v>
      </c>
      <c r="AP1072" s="781"/>
      <c r="AQ1072" s="782">
        <v>12063755</v>
      </c>
      <c r="AR1072" s="782">
        <v>12061353</v>
      </c>
      <c r="AS1072" s="782">
        <v>12061354</v>
      </c>
      <c r="AT1072" s="782">
        <v>12068566</v>
      </c>
      <c r="AU1072" s="781"/>
      <c r="AV1072" s="782">
        <v>12088206</v>
      </c>
      <c r="AW1072" s="782">
        <v>12088207</v>
      </c>
      <c r="AX1072" s="782"/>
      <c r="AY1072" s="782">
        <v>12068565</v>
      </c>
      <c r="AZ1072" s="782"/>
      <c r="BA1072" s="781"/>
    </row>
    <row r="1073" spans="2:53" ht="25" hidden="1" customHeight="1">
      <c r="B1073" s="213">
        <v>45484</v>
      </c>
      <c r="C1073" s="578">
        <v>45495</v>
      </c>
      <c r="D1073" s="185">
        <f t="shared" si="351"/>
        <v>2024</v>
      </c>
      <c r="E1073" s="215" t="str">
        <f>VLOOKUP($B1073,Week!$A$1:$C$1462,2,0)</f>
        <v>Week28</v>
      </c>
      <c r="F1073" s="216" t="str">
        <f t="shared" si="352"/>
        <v>Jul</v>
      </c>
      <c r="G1073" s="215" t="s">
        <v>1376</v>
      </c>
      <c r="H1073" s="215" t="s">
        <v>104</v>
      </c>
      <c r="I1073" s="215" t="s">
        <v>2772</v>
      </c>
      <c r="J1073" s="209" t="s">
        <v>105</v>
      </c>
      <c r="K1073" s="217" t="s">
        <v>107</v>
      </c>
      <c r="L1073" s="300" t="s">
        <v>2167</v>
      </c>
      <c r="M1073" s="209" t="s">
        <v>108</v>
      </c>
      <c r="N1073" s="215" t="s">
        <v>109</v>
      </c>
      <c r="O1073" s="215" t="s">
        <v>110</v>
      </c>
      <c r="P1073" s="218">
        <v>36</v>
      </c>
      <c r="Q1073" s="218">
        <v>5</v>
      </c>
      <c r="R1073" s="219">
        <v>7.4999999999999997E-3</v>
      </c>
      <c r="S1073" s="215" t="s">
        <v>111</v>
      </c>
      <c r="T1073" s="215" t="s">
        <v>112</v>
      </c>
      <c r="U1073" s="215" t="s">
        <v>113</v>
      </c>
      <c r="V1073" s="220">
        <v>792</v>
      </c>
      <c r="W1073" s="220">
        <v>792</v>
      </c>
      <c r="X1073" s="221"/>
      <c r="Y1073" s="222">
        <f t="shared" si="357"/>
        <v>0</v>
      </c>
      <c r="Z1073" s="223">
        <f t="shared" si="358"/>
        <v>0</v>
      </c>
      <c r="AA1073" s="223"/>
      <c r="AB1073" s="807"/>
      <c r="AC1073" s="220"/>
      <c r="AD1073" s="209"/>
      <c r="AE1073" s="210"/>
      <c r="AF1073" s="210"/>
      <c r="AG1073" s="211">
        <f t="shared" si="359"/>
        <v>0.308</v>
      </c>
      <c r="AH1073" s="157">
        <f t="shared" si="362"/>
        <v>0</v>
      </c>
      <c r="AI1073" s="152">
        <f t="shared" si="361"/>
        <v>28512</v>
      </c>
      <c r="AK1073" s="156" t="s">
        <v>691</v>
      </c>
      <c r="AL1073" s="574" t="s">
        <v>690</v>
      </c>
      <c r="AM1073" s="198">
        <f t="shared" si="363"/>
        <v>0</v>
      </c>
      <c r="AN1073" s="199">
        <f t="shared" si="353"/>
        <v>45484</v>
      </c>
      <c r="AO1073" s="159" t="s">
        <v>692</v>
      </c>
      <c r="AP1073" s="781"/>
      <c r="AQ1073" s="782">
        <v>12063755</v>
      </c>
      <c r="AR1073" s="782">
        <v>12061353</v>
      </c>
      <c r="AS1073" s="782">
        <v>12061354</v>
      </c>
      <c r="AT1073" s="782">
        <v>12068566</v>
      </c>
      <c r="AU1073" s="781"/>
      <c r="AV1073" s="782">
        <v>12088206</v>
      </c>
      <c r="AW1073" s="782">
        <v>12088207</v>
      </c>
      <c r="AX1073" s="782"/>
      <c r="AY1073" s="782">
        <v>12068565</v>
      </c>
      <c r="AZ1073" s="782"/>
      <c r="BA1073" s="781"/>
    </row>
    <row r="1074" spans="2:53" ht="25" hidden="1" customHeight="1">
      <c r="B1074" s="213">
        <v>45484</v>
      </c>
      <c r="C1074" s="578">
        <v>45495</v>
      </c>
      <c r="D1074" s="185">
        <f t="shared" si="351"/>
        <v>2024</v>
      </c>
      <c r="E1074" s="215" t="str">
        <f>VLOOKUP($B1074,Week!$A$1:$C$1462,2,0)</f>
        <v>Week28</v>
      </c>
      <c r="F1074" s="216" t="str">
        <f t="shared" si="352"/>
        <v>Jul</v>
      </c>
      <c r="G1074" s="215" t="s">
        <v>1326</v>
      </c>
      <c r="H1074" s="215" t="s">
        <v>104</v>
      </c>
      <c r="I1074" s="215" t="s">
        <v>2772</v>
      </c>
      <c r="J1074" s="209" t="s">
        <v>105</v>
      </c>
      <c r="K1074" s="217" t="s">
        <v>107</v>
      </c>
      <c r="L1074" s="300" t="s">
        <v>2167</v>
      </c>
      <c r="M1074" s="209" t="s">
        <v>108</v>
      </c>
      <c r="N1074" s="215" t="s">
        <v>109</v>
      </c>
      <c r="O1074" s="215" t="s">
        <v>110</v>
      </c>
      <c r="P1074" s="218">
        <v>36</v>
      </c>
      <c r="Q1074" s="218">
        <v>5</v>
      </c>
      <c r="R1074" s="219">
        <v>7.4999999999999997E-3</v>
      </c>
      <c r="S1074" s="215" t="s">
        <v>111</v>
      </c>
      <c r="T1074" s="215" t="s">
        <v>112</v>
      </c>
      <c r="U1074" s="215" t="s">
        <v>113</v>
      </c>
      <c r="V1074" s="220">
        <f>550</f>
        <v>550</v>
      </c>
      <c r="W1074" s="220">
        <f>550</f>
        <v>550</v>
      </c>
      <c r="X1074" s="221"/>
      <c r="Y1074" s="222">
        <f t="shared" si="357"/>
        <v>0</v>
      </c>
      <c r="Z1074" s="223">
        <f t="shared" si="358"/>
        <v>0</v>
      </c>
      <c r="AA1074" s="223"/>
      <c r="AB1074" s="807"/>
      <c r="AC1074" s="220"/>
      <c r="AD1074" s="209"/>
      <c r="AE1074" s="210"/>
      <c r="AF1074" s="210"/>
      <c r="AG1074" s="211">
        <f t="shared" si="359"/>
        <v>0.308</v>
      </c>
      <c r="AH1074" s="157">
        <f t="shared" si="362"/>
        <v>0</v>
      </c>
      <c r="AI1074" s="152">
        <f t="shared" si="361"/>
        <v>19800</v>
      </c>
      <c r="AK1074" s="156" t="s">
        <v>691</v>
      </c>
      <c r="AL1074" s="574" t="s">
        <v>690</v>
      </c>
      <c r="AM1074" s="198">
        <f t="shared" si="363"/>
        <v>0</v>
      </c>
      <c r="AN1074" s="199">
        <f t="shared" si="353"/>
        <v>45484</v>
      </c>
      <c r="AO1074" s="159" t="s">
        <v>692</v>
      </c>
      <c r="AP1074" s="781"/>
      <c r="AQ1074" s="782">
        <v>12063755</v>
      </c>
      <c r="AR1074" s="782">
        <v>12061353</v>
      </c>
      <c r="AS1074" s="782">
        <v>12061354</v>
      </c>
      <c r="AT1074" s="782">
        <v>12068566</v>
      </c>
      <c r="AU1074" s="781"/>
      <c r="AV1074" s="782">
        <v>12088206</v>
      </c>
      <c r="AW1074" s="782">
        <v>12088207</v>
      </c>
      <c r="AX1074" s="782"/>
      <c r="AY1074" s="782">
        <v>12068565</v>
      </c>
      <c r="AZ1074" s="782"/>
      <c r="BA1074" s="781"/>
    </row>
    <row r="1075" spans="2:53" ht="25" hidden="1" customHeight="1">
      <c r="B1075" s="213">
        <v>45484</v>
      </c>
      <c r="C1075" s="578">
        <v>45495</v>
      </c>
      <c r="D1075" s="185">
        <f t="shared" si="351"/>
        <v>2024</v>
      </c>
      <c r="E1075" s="215" t="str">
        <f>VLOOKUP($B1075,Week!$A$1:$C$1462,2,0)</f>
        <v>Week28</v>
      </c>
      <c r="F1075" s="216" t="str">
        <f t="shared" si="352"/>
        <v>Jul</v>
      </c>
      <c r="G1075" s="215" t="s">
        <v>1377</v>
      </c>
      <c r="H1075" s="215" t="s">
        <v>104</v>
      </c>
      <c r="I1075" s="215" t="s">
        <v>2772</v>
      </c>
      <c r="J1075" s="209" t="s">
        <v>105</v>
      </c>
      <c r="K1075" s="217" t="s">
        <v>107</v>
      </c>
      <c r="L1075" s="300" t="s">
        <v>2167</v>
      </c>
      <c r="M1075" s="209" t="s">
        <v>108</v>
      </c>
      <c r="N1075" s="215" t="s">
        <v>109</v>
      </c>
      <c r="O1075" s="215" t="s">
        <v>110</v>
      </c>
      <c r="P1075" s="218">
        <v>36</v>
      </c>
      <c r="Q1075" s="218">
        <v>5</v>
      </c>
      <c r="R1075" s="219">
        <v>7.4999999999999997E-3</v>
      </c>
      <c r="S1075" s="215" t="s">
        <v>111</v>
      </c>
      <c r="T1075" s="215" t="s">
        <v>112</v>
      </c>
      <c r="U1075" s="215" t="s">
        <v>113</v>
      </c>
      <c r="V1075" s="220">
        <v>792</v>
      </c>
      <c r="W1075" s="220">
        <v>792</v>
      </c>
      <c r="X1075" s="221"/>
      <c r="Y1075" s="222">
        <f t="shared" si="357"/>
        <v>0</v>
      </c>
      <c r="Z1075" s="223">
        <f t="shared" si="358"/>
        <v>0</v>
      </c>
      <c r="AA1075" s="223"/>
      <c r="AB1075" s="807"/>
      <c r="AC1075" s="220"/>
      <c r="AD1075" s="209"/>
      <c r="AE1075" s="210"/>
      <c r="AF1075" s="210"/>
      <c r="AG1075" s="211">
        <f t="shared" si="359"/>
        <v>0.308</v>
      </c>
      <c r="AH1075" s="157">
        <f t="shared" si="362"/>
        <v>0</v>
      </c>
      <c r="AI1075" s="152">
        <f t="shared" si="361"/>
        <v>28512</v>
      </c>
      <c r="AK1075" s="156" t="s">
        <v>691</v>
      </c>
      <c r="AL1075" s="574" t="s">
        <v>690</v>
      </c>
      <c r="AM1075" s="198">
        <f t="shared" si="363"/>
        <v>0</v>
      </c>
      <c r="AN1075" s="199">
        <f t="shared" si="353"/>
        <v>45484</v>
      </c>
      <c r="AO1075" s="159" t="s">
        <v>692</v>
      </c>
      <c r="AP1075" s="781"/>
      <c r="AQ1075" s="782">
        <v>12063755</v>
      </c>
      <c r="AR1075" s="782">
        <v>12061353</v>
      </c>
      <c r="AS1075" s="782">
        <v>12061354</v>
      </c>
      <c r="AT1075" s="782">
        <v>12068566</v>
      </c>
      <c r="AU1075" s="781"/>
      <c r="AV1075" s="782">
        <v>12088206</v>
      </c>
      <c r="AW1075" s="782">
        <v>12088207</v>
      </c>
      <c r="AX1075" s="782"/>
      <c r="AY1075" s="782">
        <v>12068565</v>
      </c>
      <c r="AZ1075" s="782"/>
      <c r="BA1075" s="781"/>
    </row>
    <row r="1076" spans="2:53" ht="25" hidden="1" customHeight="1">
      <c r="B1076" s="213">
        <v>45484</v>
      </c>
      <c r="C1076" s="578">
        <v>45495</v>
      </c>
      <c r="D1076" s="185">
        <f t="shared" si="351"/>
        <v>2024</v>
      </c>
      <c r="E1076" s="215" t="str">
        <f>VLOOKUP($B1076,Week!$A$1:$C$1462,2,0)</f>
        <v>Week28</v>
      </c>
      <c r="F1076" s="216" t="str">
        <f t="shared" si="352"/>
        <v>Jul</v>
      </c>
      <c r="G1076" s="215" t="s">
        <v>1378</v>
      </c>
      <c r="H1076" s="215" t="s">
        <v>104</v>
      </c>
      <c r="I1076" s="215" t="s">
        <v>2772</v>
      </c>
      <c r="J1076" s="209" t="s">
        <v>105</v>
      </c>
      <c r="K1076" s="217" t="s">
        <v>107</v>
      </c>
      <c r="L1076" s="300" t="s">
        <v>2167</v>
      </c>
      <c r="M1076" s="209" t="s">
        <v>108</v>
      </c>
      <c r="N1076" s="215" t="s">
        <v>109</v>
      </c>
      <c r="O1076" s="215" t="s">
        <v>110</v>
      </c>
      <c r="P1076" s="218">
        <v>36</v>
      </c>
      <c r="Q1076" s="218">
        <v>5</v>
      </c>
      <c r="R1076" s="219">
        <v>7.4999999999999997E-3</v>
      </c>
      <c r="S1076" s="215" t="s">
        <v>111</v>
      </c>
      <c r="T1076" s="215" t="s">
        <v>112</v>
      </c>
      <c r="U1076" s="215" t="s">
        <v>113</v>
      </c>
      <c r="V1076" s="220">
        <v>792</v>
      </c>
      <c r="W1076" s="220">
        <v>792</v>
      </c>
      <c r="X1076" s="221"/>
      <c r="Y1076" s="222">
        <f t="shared" si="357"/>
        <v>0</v>
      </c>
      <c r="Z1076" s="223">
        <f t="shared" si="358"/>
        <v>0</v>
      </c>
      <c r="AA1076" s="223"/>
      <c r="AB1076" s="807"/>
      <c r="AC1076" s="220"/>
      <c r="AD1076" s="209"/>
      <c r="AE1076" s="210"/>
      <c r="AF1076" s="210"/>
      <c r="AG1076" s="211">
        <f t="shared" si="359"/>
        <v>0.308</v>
      </c>
      <c r="AH1076" s="157">
        <f t="shared" si="362"/>
        <v>0</v>
      </c>
      <c r="AI1076" s="152">
        <f t="shared" si="361"/>
        <v>28512</v>
      </c>
      <c r="AK1076" s="156" t="s">
        <v>691</v>
      </c>
      <c r="AL1076" s="574" t="s">
        <v>690</v>
      </c>
      <c r="AM1076" s="198">
        <f t="shared" si="363"/>
        <v>0</v>
      </c>
      <c r="AN1076" s="199">
        <f t="shared" si="353"/>
        <v>45484</v>
      </c>
      <c r="AO1076" s="159" t="s">
        <v>692</v>
      </c>
      <c r="AP1076" s="781"/>
      <c r="AQ1076" s="782">
        <v>12063755</v>
      </c>
      <c r="AR1076" s="782">
        <v>12061353</v>
      </c>
      <c r="AS1076" s="782">
        <v>12061354</v>
      </c>
      <c r="AT1076" s="782">
        <v>12068566</v>
      </c>
      <c r="AU1076" s="781"/>
      <c r="AV1076" s="782">
        <v>12088206</v>
      </c>
      <c r="AW1076" s="782">
        <v>12088207</v>
      </c>
      <c r="AX1076" s="782"/>
      <c r="AY1076" s="782">
        <v>12068565</v>
      </c>
      <c r="AZ1076" s="782"/>
      <c r="BA1076" s="781"/>
    </row>
    <row r="1077" spans="2:53" ht="25" hidden="1" customHeight="1">
      <c r="B1077" s="213">
        <v>45484</v>
      </c>
      <c r="C1077" s="578">
        <v>45495</v>
      </c>
      <c r="D1077" s="185">
        <f t="shared" si="351"/>
        <v>2024</v>
      </c>
      <c r="E1077" s="215" t="str">
        <f>VLOOKUP($B1077,Week!$A$1:$C$1462,2,0)</f>
        <v>Week28</v>
      </c>
      <c r="F1077" s="216" t="str">
        <f t="shared" si="352"/>
        <v>Jul</v>
      </c>
      <c r="G1077" s="215" t="s">
        <v>1379</v>
      </c>
      <c r="H1077" s="215" t="s">
        <v>104</v>
      </c>
      <c r="I1077" s="215" t="s">
        <v>2772</v>
      </c>
      <c r="J1077" s="209" t="s">
        <v>105</v>
      </c>
      <c r="K1077" s="217" t="s">
        <v>107</v>
      </c>
      <c r="L1077" s="300" t="s">
        <v>2167</v>
      </c>
      <c r="M1077" s="209" t="s">
        <v>108</v>
      </c>
      <c r="N1077" s="215" t="s">
        <v>109</v>
      </c>
      <c r="O1077" s="215" t="s">
        <v>110</v>
      </c>
      <c r="P1077" s="218">
        <v>36</v>
      </c>
      <c r="Q1077" s="218">
        <v>5</v>
      </c>
      <c r="R1077" s="219">
        <v>7.4999999999999997E-3</v>
      </c>
      <c r="S1077" s="215" t="s">
        <v>111</v>
      </c>
      <c r="T1077" s="215" t="s">
        <v>112</v>
      </c>
      <c r="U1077" s="215" t="s">
        <v>113</v>
      </c>
      <c r="V1077" s="220">
        <f>3935-241-792-550-792-792</f>
        <v>768</v>
      </c>
      <c r="W1077" s="220">
        <f>3935-241-792-550-792-792</f>
        <v>768</v>
      </c>
      <c r="X1077" s="221"/>
      <c r="Y1077" s="222">
        <f t="shared" si="357"/>
        <v>0</v>
      </c>
      <c r="Z1077" s="223">
        <f t="shared" si="358"/>
        <v>0</v>
      </c>
      <c r="AA1077" s="223"/>
      <c r="AB1077" s="807"/>
      <c r="AC1077" s="220"/>
      <c r="AD1077" s="209"/>
      <c r="AE1077" s="210"/>
      <c r="AF1077" s="210"/>
      <c r="AG1077" s="211">
        <f t="shared" si="359"/>
        <v>0.308</v>
      </c>
      <c r="AH1077" s="157">
        <f t="shared" si="362"/>
        <v>0</v>
      </c>
      <c r="AI1077" s="152">
        <f t="shared" si="361"/>
        <v>27648</v>
      </c>
      <c r="AK1077" s="156" t="s">
        <v>691</v>
      </c>
      <c r="AL1077" s="574" t="s">
        <v>690</v>
      </c>
      <c r="AM1077" s="198">
        <f t="shared" si="363"/>
        <v>0</v>
      </c>
      <c r="AN1077" s="199">
        <f t="shared" si="353"/>
        <v>45484</v>
      </c>
      <c r="AO1077" s="159" t="s">
        <v>692</v>
      </c>
      <c r="AP1077" s="781"/>
      <c r="AQ1077" s="782">
        <v>12063755</v>
      </c>
      <c r="AR1077" s="782">
        <v>12061353</v>
      </c>
      <c r="AS1077" s="782">
        <v>12061354</v>
      </c>
      <c r="AT1077" s="782">
        <v>12068566</v>
      </c>
      <c r="AU1077" s="781"/>
      <c r="AV1077" s="782">
        <v>12088206</v>
      </c>
      <c r="AW1077" s="782">
        <v>12088207</v>
      </c>
      <c r="AX1077" s="782"/>
      <c r="AY1077" s="782">
        <v>12068565</v>
      </c>
      <c r="AZ1077" s="782"/>
      <c r="BA1077" s="781"/>
    </row>
    <row r="1078" spans="2:53" ht="25" hidden="1" customHeight="1">
      <c r="B1078" s="213">
        <v>45485</v>
      </c>
      <c r="C1078" s="578">
        <v>45495</v>
      </c>
      <c r="D1078" s="185">
        <f t="shared" si="351"/>
        <v>2024</v>
      </c>
      <c r="E1078" s="215" t="str">
        <f>VLOOKUP($B1078,Week!$A$1:$C$1462,2,0)</f>
        <v>Week28</v>
      </c>
      <c r="F1078" s="216" t="str">
        <f t="shared" si="352"/>
        <v>Jul</v>
      </c>
      <c r="G1078" s="215" t="s">
        <v>1379</v>
      </c>
      <c r="H1078" s="215" t="s">
        <v>104</v>
      </c>
      <c r="I1078" s="215" t="s">
        <v>2772</v>
      </c>
      <c r="J1078" s="209" t="s">
        <v>105</v>
      </c>
      <c r="K1078" s="217" t="s">
        <v>107</v>
      </c>
      <c r="L1078" s="300" t="s">
        <v>2167</v>
      </c>
      <c r="M1078" s="209" t="s">
        <v>108</v>
      </c>
      <c r="N1078" s="215" t="s">
        <v>109</v>
      </c>
      <c r="O1078" s="215" t="s">
        <v>110</v>
      </c>
      <c r="P1078" s="218">
        <v>36</v>
      </c>
      <c r="Q1078" s="218">
        <v>5</v>
      </c>
      <c r="R1078" s="219">
        <v>7.4999999999999997E-3</v>
      </c>
      <c r="S1078" s="215" t="s">
        <v>111</v>
      </c>
      <c r="T1078" s="215" t="s">
        <v>112</v>
      </c>
      <c r="U1078" s="215" t="s">
        <v>113</v>
      </c>
      <c r="V1078" s="220">
        <f>792-768</f>
        <v>24</v>
      </c>
      <c r="W1078" s="220">
        <f>792-768</f>
        <v>24</v>
      </c>
      <c r="X1078" s="221"/>
      <c r="Y1078" s="222">
        <f t="shared" si="357"/>
        <v>0</v>
      </c>
      <c r="Z1078" s="223">
        <f t="shared" si="358"/>
        <v>0</v>
      </c>
      <c r="AA1078" s="223"/>
      <c r="AB1078" s="807"/>
      <c r="AC1078" s="220"/>
      <c r="AD1078" s="209"/>
      <c r="AE1078" s="210"/>
      <c r="AF1078" s="210"/>
      <c r="AG1078" s="211">
        <f t="shared" si="359"/>
        <v>0.308</v>
      </c>
      <c r="AH1078" s="157">
        <f t="shared" si="362"/>
        <v>0</v>
      </c>
      <c r="AI1078" s="152">
        <f t="shared" si="361"/>
        <v>864</v>
      </c>
      <c r="AK1078" s="156" t="s">
        <v>691</v>
      </c>
      <c r="AL1078" s="574" t="s">
        <v>690</v>
      </c>
      <c r="AM1078" s="198">
        <f t="shared" si="363"/>
        <v>0</v>
      </c>
      <c r="AN1078" s="199">
        <f t="shared" si="353"/>
        <v>45485</v>
      </c>
      <c r="AO1078" s="159" t="s">
        <v>692</v>
      </c>
      <c r="AP1078" s="781"/>
      <c r="AQ1078" s="782">
        <v>12063755</v>
      </c>
      <c r="AR1078" s="782">
        <v>12061353</v>
      </c>
      <c r="AS1078" s="782">
        <v>12061354</v>
      </c>
      <c r="AT1078" s="782">
        <v>12068566</v>
      </c>
      <c r="AU1078" s="781"/>
      <c r="AV1078" s="782">
        <v>12088206</v>
      </c>
      <c r="AW1078" s="782">
        <v>12088207</v>
      </c>
      <c r="AX1078" s="782"/>
      <c r="AY1078" s="782">
        <v>12068565</v>
      </c>
      <c r="AZ1078" s="782"/>
      <c r="BA1078" s="781"/>
    </row>
    <row r="1079" spans="2:53" ht="25" hidden="1" customHeight="1">
      <c r="B1079" s="213">
        <v>45485</v>
      </c>
      <c r="C1079" s="578">
        <v>45495</v>
      </c>
      <c r="D1079" s="185">
        <f t="shared" si="351"/>
        <v>2024</v>
      </c>
      <c r="E1079" s="215" t="str">
        <f>VLOOKUP($B1079,Week!$A$1:$C$1462,2,0)</f>
        <v>Week28</v>
      </c>
      <c r="F1079" s="216" t="str">
        <f t="shared" si="352"/>
        <v>Jul</v>
      </c>
      <c r="G1079" s="215" t="s">
        <v>1380</v>
      </c>
      <c r="H1079" s="215" t="s">
        <v>104</v>
      </c>
      <c r="I1079" s="215" t="s">
        <v>2772</v>
      </c>
      <c r="J1079" s="209" t="s">
        <v>105</v>
      </c>
      <c r="K1079" s="217" t="s">
        <v>107</v>
      </c>
      <c r="L1079" s="300" t="s">
        <v>2167</v>
      </c>
      <c r="M1079" s="209" t="s">
        <v>108</v>
      </c>
      <c r="N1079" s="215" t="s">
        <v>109</v>
      </c>
      <c r="O1079" s="215" t="s">
        <v>110</v>
      </c>
      <c r="P1079" s="218">
        <v>36</v>
      </c>
      <c r="Q1079" s="218">
        <v>5</v>
      </c>
      <c r="R1079" s="219">
        <v>7.4999999999999997E-3</v>
      </c>
      <c r="S1079" s="215" t="s">
        <v>111</v>
      </c>
      <c r="T1079" s="215" t="s">
        <v>112</v>
      </c>
      <c r="U1079" s="215" t="s">
        <v>113</v>
      </c>
      <c r="V1079" s="220">
        <v>792</v>
      </c>
      <c r="W1079" s="220">
        <v>792</v>
      </c>
      <c r="X1079" s="221"/>
      <c r="Y1079" s="222">
        <f t="shared" si="357"/>
        <v>0</v>
      </c>
      <c r="Z1079" s="223">
        <f t="shared" si="358"/>
        <v>0</v>
      </c>
      <c r="AA1079" s="223"/>
      <c r="AB1079" s="807"/>
      <c r="AC1079" s="220"/>
      <c r="AD1079" s="209"/>
      <c r="AE1079" s="210"/>
      <c r="AF1079" s="210"/>
      <c r="AG1079" s="211">
        <f t="shared" si="359"/>
        <v>0.308</v>
      </c>
      <c r="AH1079" s="157">
        <f t="shared" si="362"/>
        <v>0</v>
      </c>
      <c r="AI1079" s="152">
        <f t="shared" si="361"/>
        <v>28512</v>
      </c>
      <c r="AK1079" s="156" t="s">
        <v>691</v>
      </c>
      <c r="AL1079" s="574" t="s">
        <v>690</v>
      </c>
      <c r="AM1079" s="198">
        <f t="shared" si="363"/>
        <v>0</v>
      </c>
      <c r="AN1079" s="199">
        <f t="shared" si="353"/>
        <v>45485</v>
      </c>
      <c r="AO1079" s="159" t="s">
        <v>692</v>
      </c>
      <c r="AP1079" s="781"/>
      <c r="AQ1079" s="782">
        <v>12063755</v>
      </c>
      <c r="AR1079" s="782">
        <v>12061353</v>
      </c>
      <c r="AS1079" s="782">
        <v>12061354</v>
      </c>
      <c r="AT1079" s="782">
        <v>12068566</v>
      </c>
      <c r="AU1079" s="781"/>
      <c r="AV1079" s="782">
        <v>12088206</v>
      </c>
      <c r="AW1079" s="782">
        <v>12088207</v>
      </c>
      <c r="AX1079" s="782"/>
      <c r="AY1079" s="782">
        <v>12068565</v>
      </c>
      <c r="AZ1079" s="782"/>
      <c r="BA1079" s="781"/>
    </row>
    <row r="1080" spans="2:53" ht="25" hidden="1" customHeight="1">
      <c r="B1080" s="213">
        <v>45485</v>
      </c>
      <c r="C1080" s="578">
        <v>45500</v>
      </c>
      <c r="D1080" s="185">
        <f t="shared" si="351"/>
        <v>2024</v>
      </c>
      <c r="E1080" s="215" t="str">
        <f>VLOOKUP($B1080,Week!$A$1:$C$1462,2,0)</f>
        <v>Week28</v>
      </c>
      <c r="F1080" s="216" t="str">
        <f t="shared" si="352"/>
        <v>Jul</v>
      </c>
      <c r="G1080" s="215" t="s">
        <v>1381</v>
      </c>
      <c r="H1080" s="215" t="s">
        <v>104</v>
      </c>
      <c r="I1080" s="215" t="s">
        <v>2772</v>
      </c>
      <c r="J1080" s="209" t="s">
        <v>105</v>
      </c>
      <c r="K1080" s="217" t="s">
        <v>107</v>
      </c>
      <c r="L1080" s="300" t="s">
        <v>2167</v>
      </c>
      <c r="M1080" s="209" t="s">
        <v>108</v>
      </c>
      <c r="N1080" s="215" t="s">
        <v>109</v>
      </c>
      <c r="O1080" s="215" t="s">
        <v>110</v>
      </c>
      <c r="P1080" s="218">
        <v>36</v>
      </c>
      <c r="Q1080" s="218">
        <v>5</v>
      </c>
      <c r="R1080" s="219">
        <v>7.4999999999999997E-3</v>
      </c>
      <c r="S1080" s="215" t="s">
        <v>111</v>
      </c>
      <c r="T1080" s="215" t="s">
        <v>112</v>
      </c>
      <c r="U1080" s="215" t="s">
        <v>113</v>
      </c>
      <c r="V1080" s="220">
        <v>792</v>
      </c>
      <c r="W1080" s="220">
        <v>792</v>
      </c>
      <c r="X1080" s="221"/>
      <c r="Y1080" s="222">
        <f t="shared" si="357"/>
        <v>0</v>
      </c>
      <c r="Z1080" s="223">
        <f t="shared" si="358"/>
        <v>0</v>
      </c>
      <c r="AA1080" s="223"/>
      <c r="AB1080" s="807"/>
      <c r="AC1080" s="220"/>
      <c r="AD1080" s="209"/>
      <c r="AE1080" s="210"/>
      <c r="AF1080" s="210"/>
      <c r="AG1080" s="211">
        <f t="shared" si="359"/>
        <v>0.308</v>
      </c>
      <c r="AH1080" s="157">
        <f t="shared" si="362"/>
        <v>0</v>
      </c>
      <c r="AI1080" s="152">
        <f t="shared" si="361"/>
        <v>28512</v>
      </c>
      <c r="AK1080" s="156" t="s">
        <v>691</v>
      </c>
      <c r="AL1080" s="574" t="s">
        <v>690</v>
      </c>
      <c r="AM1080" s="198">
        <f t="shared" si="363"/>
        <v>0</v>
      </c>
      <c r="AN1080" s="199">
        <f t="shared" si="353"/>
        <v>45485</v>
      </c>
      <c r="AO1080" s="159" t="s">
        <v>692</v>
      </c>
      <c r="AP1080" s="781"/>
      <c r="AQ1080" s="782">
        <v>12063755</v>
      </c>
      <c r="AR1080" s="782">
        <v>12061353</v>
      </c>
      <c r="AS1080" s="782">
        <v>12061354</v>
      </c>
      <c r="AT1080" s="782">
        <v>12068566</v>
      </c>
      <c r="AU1080" s="781"/>
      <c r="AV1080" s="782">
        <v>12088206</v>
      </c>
      <c r="AW1080" s="782">
        <v>12088207</v>
      </c>
      <c r="AX1080" s="782"/>
      <c r="AY1080" s="782">
        <v>12068565</v>
      </c>
      <c r="AZ1080" s="782"/>
      <c r="BA1080" s="781"/>
    </row>
    <row r="1081" spans="2:53" ht="25" hidden="1" customHeight="1">
      <c r="B1081" s="213">
        <v>45485</v>
      </c>
      <c r="C1081" s="578">
        <v>45500</v>
      </c>
      <c r="D1081" s="185">
        <f t="shared" si="351"/>
        <v>2024</v>
      </c>
      <c r="E1081" s="215" t="str">
        <f>VLOOKUP($B1081,Week!$A$1:$C$1462,2,0)</f>
        <v>Week28</v>
      </c>
      <c r="F1081" s="216" t="str">
        <f t="shared" si="352"/>
        <v>Jul</v>
      </c>
      <c r="G1081" s="215" t="s">
        <v>1382</v>
      </c>
      <c r="H1081" s="215" t="s">
        <v>104</v>
      </c>
      <c r="I1081" s="215" t="s">
        <v>2772</v>
      </c>
      <c r="J1081" s="209" t="s">
        <v>105</v>
      </c>
      <c r="K1081" s="217" t="s">
        <v>107</v>
      </c>
      <c r="L1081" s="300" t="s">
        <v>2167</v>
      </c>
      <c r="M1081" s="209" t="s">
        <v>108</v>
      </c>
      <c r="N1081" s="215" t="s">
        <v>109</v>
      </c>
      <c r="O1081" s="215" t="s">
        <v>110</v>
      </c>
      <c r="P1081" s="218">
        <v>36</v>
      </c>
      <c r="Q1081" s="218">
        <v>5</v>
      </c>
      <c r="R1081" s="219">
        <v>7.4999999999999997E-3</v>
      </c>
      <c r="S1081" s="215" t="s">
        <v>111</v>
      </c>
      <c r="T1081" s="215" t="s">
        <v>112</v>
      </c>
      <c r="U1081" s="215" t="s">
        <v>113</v>
      </c>
      <c r="V1081" s="220">
        <v>792</v>
      </c>
      <c r="W1081" s="220">
        <v>792</v>
      </c>
      <c r="X1081" s="221"/>
      <c r="Y1081" s="222">
        <f t="shared" si="357"/>
        <v>0</v>
      </c>
      <c r="Z1081" s="223">
        <f t="shared" si="358"/>
        <v>0</v>
      </c>
      <c r="AA1081" s="223"/>
      <c r="AB1081" s="807"/>
      <c r="AC1081" s="220"/>
      <c r="AD1081" s="209"/>
      <c r="AE1081" s="210"/>
      <c r="AF1081" s="210"/>
      <c r="AG1081" s="211">
        <f t="shared" si="359"/>
        <v>0.308</v>
      </c>
      <c r="AH1081" s="157">
        <f t="shared" si="362"/>
        <v>0</v>
      </c>
      <c r="AI1081" s="152">
        <f t="shared" si="361"/>
        <v>28512</v>
      </c>
      <c r="AK1081" s="156" t="s">
        <v>691</v>
      </c>
      <c r="AL1081" s="574" t="s">
        <v>690</v>
      </c>
      <c r="AM1081" s="198">
        <f t="shared" si="363"/>
        <v>0</v>
      </c>
      <c r="AN1081" s="199">
        <f t="shared" si="353"/>
        <v>45485</v>
      </c>
      <c r="AO1081" s="159" t="s">
        <v>692</v>
      </c>
      <c r="AP1081" s="781"/>
      <c r="AQ1081" s="782">
        <v>12063755</v>
      </c>
      <c r="AR1081" s="782">
        <v>12061353</v>
      </c>
      <c r="AS1081" s="782">
        <v>12061354</v>
      </c>
      <c r="AT1081" s="782">
        <v>12068566</v>
      </c>
      <c r="AU1081" s="781"/>
      <c r="AV1081" s="782">
        <v>12088206</v>
      </c>
      <c r="AW1081" s="782">
        <v>12088207</v>
      </c>
      <c r="AX1081" s="782"/>
      <c r="AY1081" s="782">
        <v>12068565</v>
      </c>
      <c r="AZ1081" s="782"/>
      <c r="BA1081" s="781"/>
    </row>
    <row r="1082" spans="2:53" ht="25" hidden="1" customHeight="1">
      <c r="B1082" s="213">
        <v>45485</v>
      </c>
      <c r="C1082" s="578">
        <v>45500</v>
      </c>
      <c r="D1082" s="185">
        <f t="shared" si="351"/>
        <v>2024</v>
      </c>
      <c r="E1082" s="215" t="str">
        <f>VLOOKUP($B1082,Week!$A$1:$C$1462,2,0)</f>
        <v>Week28</v>
      </c>
      <c r="F1082" s="216" t="str">
        <f t="shared" si="352"/>
        <v>Jul</v>
      </c>
      <c r="G1082" s="215" t="s">
        <v>1383</v>
      </c>
      <c r="H1082" s="215" t="s">
        <v>104</v>
      </c>
      <c r="I1082" s="215" t="s">
        <v>2772</v>
      </c>
      <c r="J1082" s="209" t="s">
        <v>105</v>
      </c>
      <c r="K1082" s="217" t="s">
        <v>107</v>
      </c>
      <c r="L1082" s="300" t="s">
        <v>2167</v>
      </c>
      <c r="M1082" s="209" t="s">
        <v>108</v>
      </c>
      <c r="N1082" s="215" t="s">
        <v>109</v>
      </c>
      <c r="O1082" s="215" t="s">
        <v>110</v>
      </c>
      <c r="P1082" s="218">
        <v>36</v>
      </c>
      <c r="Q1082" s="218">
        <v>5</v>
      </c>
      <c r="R1082" s="219">
        <v>7.4999999999999997E-3</v>
      </c>
      <c r="S1082" s="215" t="s">
        <v>111</v>
      </c>
      <c r="T1082" s="215" t="s">
        <v>112</v>
      </c>
      <c r="U1082" s="215" t="s">
        <v>113</v>
      </c>
      <c r="V1082" s="220">
        <v>792</v>
      </c>
      <c r="W1082" s="220">
        <v>792</v>
      </c>
      <c r="X1082" s="221"/>
      <c r="Y1082" s="222">
        <f t="shared" si="357"/>
        <v>0</v>
      </c>
      <c r="Z1082" s="223">
        <f t="shared" si="358"/>
        <v>0</v>
      </c>
      <c r="AA1082" s="223"/>
      <c r="AB1082" s="807"/>
      <c r="AC1082" s="220"/>
      <c r="AD1082" s="209"/>
      <c r="AE1082" s="210"/>
      <c r="AF1082" s="210"/>
      <c r="AG1082" s="211">
        <f t="shared" si="359"/>
        <v>0.308</v>
      </c>
      <c r="AH1082" s="157">
        <f t="shared" si="362"/>
        <v>0</v>
      </c>
      <c r="AI1082" s="152">
        <f t="shared" si="361"/>
        <v>28512</v>
      </c>
      <c r="AK1082" s="156" t="s">
        <v>691</v>
      </c>
      <c r="AL1082" s="574" t="s">
        <v>690</v>
      </c>
      <c r="AM1082" s="198">
        <f t="shared" si="363"/>
        <v>0</v>
      </c>
      <c r="AN1082" s="199">
        <f t="shared" si="353"/>
        <v>45485</v>
      </c>
      <c r="AO1082" s="159" t="s">
        <v>692</v>
      </c>
      <c r="AP1082" s="781"/>
      <c r="AQ1082" s="782">
        <v>12063755</v>
      </c>
      <c r="AR1082" s="782">
        <v>12061353</v>
      </c>
      <c r="AS1082" s="782">
        <v>12061354</v>
      </c>
      <c r="AT1082" s="782">
        <v>12068566</v>
      </c>
      <c r="AU1082" s="781"/>
      <c r="AV1082" s="782">
        <v>12088206</v>
      </c>
      <c r="AW1082" s="782">
        <v>12088207</v>
      </c>
      <c r="AX1082" s="782"/>
      <c r="AY1082" s="782">
        <v>12068565</v>
      </c>
      <c r="AZ1082" s="782"/>
      <c r="BA1082" s="781"/>
    </row>
    <row r="1083" spans="2:53" ht="25" hidden="1" customHeight="1">
      <c r="B1083" s="213">
        <v>45485</v>
      </c>
      <c r="C1083" s="578">
        <v>45500</v>
      </c>
      <c r="D1083" s="185">
        <f t="shared" si="351"/>
        <v>2024</v>
      </c>
      <c r="E1083" s="215" t="str">
        <f>VLOOKUP($B1083,Week!$A$1:$C$1462,2,0)</f>
        <v>Week28</v>
      </c>
      <c r="F1083" s="216" t="str">
        <f t="shared" si="352"/>
        <v>Jul</v>
      </c>
      <c r="G1083" s="215" t="s">
        <v>1384</v>
      </c>
      <c r="H1083" s="215" t="s">
        <v>104</v>
      </c>
      <c r="I1083" s="215" t="s">
        <v>2772</v>
      </c>
      <c r="J1083" s="209" t="s">
        <v>105</v>
      </c>
      <c r="K1083" s="217" t="s">
        <v>107</v>
      </c>
      <c r="L1083" s="300" t="s">
        <v>2167</v>
      </c>
      <c r="M1083" s="209" t="s">
        <v>108</v>
      </c>
      <c r="N1083" s="215" t="s">
        <v>109</v>
      </c>
      <c r="O1083" s="215" t="s">
        <v>110</v>
      </c>
      <c r="P1083" s="218">
        <v>36</v>
      </c>
      <c r="Q1083" s="218">
        <v>5</v>
      </c>
      <c r="R1083" s="219">
        <v>7.4999999999999997E-3</v>
      </c>
      <c r="S1083" s="215" t="s">
        <v>111</v>
      </c>
      <c r="T1083" s="215" t="s">
        <v>112</v>
      </c>
      <c r="U1083" s="215" t="s">
        <v>113</v>
      </c>
      <c r="V1083" s="220">
        <v>792</v>
      </c>
      <c r="W1083" s="220">
        <v>792</v>
      </c>
      <c r="X1083" s="221"/>
      <c r="Y1083" s="222">
        <f t="shared" si="357"/>
        <v>0</v>
      </c>
      <c r="Z1083" s="223">
        <f t="shared" si="358"/>
        <v>0</v>
      </c>
      <c r="AA1083" s="223"/>
      <c r="AB1083" s="807"/>
      <c r="AC1083" s="220"/>
      <c r="AD1083" s="209"/>
      <c r="AE1083" s="210"/>
      <c r="AF1083" s="210"/>
      <c r="AG1083" s="211">
        <f t="shared" si="359"/>
        <v>0.308</v>
      </c>
      <c r="AH1083" s="157">
        <f t="shared" si="362"/>
        <v>0</v>
      </c>
      <c r="AI1083" s="152">
        <f t="shared" si="361"/>
        <v>28512</v>
      </c>
      <c r="AK1083" s="156" t="s">
        <v>691</v>
      </c>
      <c r="AL1083" s="574" t="s">
        <v>690</v>
      </c>
      <c r="AM1083" s="198">
        <f t="shared" si="363"/>
        <v>0</v>
      </c>
      <c r="AN1083" s="199">
        <f t="shared" si="353"/>
        <v>45485</v>
      </c>
      <c r="AO1083" s="159" t="s">
        <v>692</v>
      </c>
      <c r="AP1083" s="781"/>
      <c r="AQ1083" s="782">
        <v>12063755</v>
      </c>
      <c r="AR1083" s="782">
        <v>12061353</v>
      </c>
      <c r="AS1083" s="782">
        <v>12061354</v>
      </c>
      <c r="AT1083" s="782">
        <v>12068566</v>
      </c>
      <c r="AU1083" s="781"/>
      <c r="AV1083" s="782">
        <v>12088206</v>
      </c>
      <c r="AW1083" s="782">
        <v>12088207</v>
      </c>
      <c r="AX1083" s="782"/>
      <c r="AY1083" s="782">
        <v>12068565</v>
      </c>
      <c r="AZ1083" s="782"/>
      <c r="BA1083" s="781"/>
    </row>
    <row r="1084" spans="2:53" ht="25" hidden="1" customHeight="1">
      <c r="B1084" s="213">
        <v>45486</v>
      </c>
      <c r="C1084" s="578">
        <v>45500</v>
      </c>
      <c r="D1084" s="185">
        <f t="shared" si="351"/>
        <v>2024</v>
      </c>
      <c r="E1084" s="215" t="str">
        <f>VLOOKUP($B1084,Week!$A$1:$C$1462,2,0)</f>
        <v>Week28</v>
      </c>
      <c r="F1084" s="216" t="str">
        <f t="shared" si="352"/>
        <v>Jul</v>
      </c>
      <c r="G1084" s="215" t="s">
        <v>1385</v>
      </c>
      <c r="H1084" s="215" t="s">
        <v>104</v>
      </c>
      <c r="I1084" s="215" t="s">
        <v>2772</v>
      </c>
      <c r="J1084" s="209" t="s">
        <v>105</v>
      </c>
      <c r="K1084" s="217" t="s">
        <v>107</v>
      </c>
      <c r="L1084" s="300" t="s">
        <v>2167</v>
      </c>
      <c r="M1084" s="209" t="s">
        <v>108</v>
      </c>
      <c r="N1084" s="215" t="s">
        <v>109</v>
      </c>
      <c r="O1084" s="215" t="s">
        <v>110</v>
      </c>
      <c r="P1084" s="218">
        <v>36</v>
      </c>
      <c r="Q1084" s="218">
        <v>5</v>
      </c>
      <c r="R1084" s="219">
        <v>7.4999999999999997E-3</v>
      </c>
      <c r="S1084" s="215" t="s">
        <v>111</v>
      </c>
      <c r="T1084" s="215" t="s">
        <v>112</v>
      </c>
      <c r="U1084" s="215" t="s">
        <v>113</v>
      </c>
      <c r="V1084" s="220">
        <f>4052-24-792-792-792-792-792</f>
        <v>68</v>
      </c>
      <c r="W1084" s="220">
        <f>4052-24-792-792-792-792-792</f>
        <v>68</v>
      </c>
      <c r="X1084" s="221"/>
      <c r="Y1084" s="222">
        <f t="shared" si="357"/>
        <v>0</v>
      </c>
      <c r="Z1084" s="223">
        <f t="shared" si="358"/>
        <v>0</v>
      </c>
      <c r="AA1084" s="223"/>
      <c r="AB1084" s="807"/>
      <c r="AC1084" s="220"/>
      <c r="AD1084" s="209"/>
      <c r="AE1084" s="210"/>
      <c r="AF1084" s="210"/>
      <c r="AG1084" s="211">
        <f t="shared" si="359"/>
        <v>0.308</v>
      </c>
      <c r="AH1084" s="157">
        <f t="shared" si="362"/>
        <v>0</v>
      </c>
      <c r="AI1084" s="152">
        <f t="shared" si="361"/>
        <v>2448</v>
      </c>
      <c r="AK1084" s="156" t="s">
        <v>691</v>
      </c>
      <c r="AL1084" s="574" t="s">
        <v>690</v>
      </c>
      <c r="AM1084" s="198">
        <f t="shared" si="363"/>
        <v>0</v>
      </c>
      <c r="AN1084" s="199">
        <f t="shared" si="353"/>
        <v>45486</v>
      </c>
      <c r="AO1084" s="159" t="s">
        <v>692</v>
      </c>
      <c r="AP1084" s="781"/>
      <c r="AQ1084" s="782">
        <v>12063755</v>
      </c>
      <c r="AR1084" s="782">
        <v>12061353</v>
      </c>
      <c r="AS1084" s="782">
        <v>12061354</v>
      </c>
      <c r="AT1084" s="782">
        <v>12068566</v>
      </c>
      <c r="AU1084" s="781"/>
      <c r="AV1084" s="782">
        <v>12088206</v>
      </c>
      <c r="AW1084" s="782">
        <v>12088207</v>
      </c>
      <c r="AX1084" s="782"/>
      <c r="AY1084" s="782">
        <v>12068565</v>
      </c>
      <c r="AZ1084" s="782"/>
      <c r="BA1084" s="781"/>
    </row>
    <row r="1085" spans="2:53" ht="25" hidden="1" customHeight="1">
      <c r="B1085" s="213">
        <v>45486</v>
      </c>
      <c r="C1085" s="578">
        <v>45500</v>
      </c>
      <c r="D1085" s="185">
        <f t="shared" si="351"/>
        <v>2024</v>
      </c>
      <c r="E1085" s="215" t="str">
        <f>VLOOKUP($B1085,Week!$A$1:$C$1462,2,0)</f>
        <v>Week28</v>
      </c>
      <c r="F1085" s="216" t="str">
        <f t="shared" si="352"/>
        <v>Jul</v>
      </c>
      <c r="G1085" s="215" t="s">
        <v>1385</v>
      </c>
      <c r="H1085" s="215" t="s">
        <v>104</v>
      </c>
      <c r="I1085" s="215" t="s">
        <v>2772</v>
      </c>
      <c r="J1085" s="209" t="s">
        <v>105</v>
      </c>
      <c r="K1085" s="217" t="s">
        <v>107</v>
      </c>
      <c r="L1085" s="300" t="s">
        <v>2167</v>
      </c>
      <c r="M1085" s="209" t="s">
        <v>108</v>
      </c>
      <c r="N1085" s="215" t="s">
        <v>109</v>
      </c>
      <c r="O1085" s="215" t="s">
        <v>110</v>
      </c>
      <c r="P1085" s="218">
        <v>36</v>
      </c>
      <c r="Q1085" s="218">
        <v>5</v>
      </c>
      <c r="R1085" s="219">
        <v>7.4999999999999997E-3</v>
      </c>
      <c r="S1085" s="215" t="s">
        <v>111</v>
      </c>
      <c r="T1085" s="215" t="s">
        <v>112</v>
      </c>
      <c r="U1085" s="215" t="s">
        <v>113</v>
      </c>
      <c r="V1085" s="220">
        <f>792-68</f>
        <v>724</v>
      </c>
      <c r="W1085" s="220">
        <f>792-68</f>
        <v>724</v>
      </c>
      <c r="X1085" s="221"/>
      <c r="Y1085" s="222">
        <f t="shared" si="357"/>
        <v>0</v>
      </c>
      <c r="Z1085" s="223">
        <f t="shared" si="358"/>
        <v>0</v>
      </c>
      <c r="AA1085" s="223"/>
      <c r="AB1085" s="807"/>
      <c r="AC1085" s="220"/>
      <c r="AD1085" s="209"/>
      <c r="AE1085" s="210"/>
      <c r="AF1085" s="210"/>
      <c r="AG1085" s="211">
        <f t="shared" si="359"/>
        <v>0.308</v>
      </c>
      <c r="AH1085" s="157">
        <f t="shared" si="362"/>
        <v>0</v>
      </c>
      <c r="AI1085" s="152">
        <f t="shared" si="361"/>
        <v>26064</v>
      </c>
      <c r="AK1085" s="156" t="s">
        <v>691</v>
      </c>
      <c r="AL1085" s="574" t="s">
        <v>690</v>
      </c>
      <c r="AM1085" s="198">
        <f t="shared" si="363"/>
        <v>0</v>
      </c>
      <c r="AN1085" s="199">
        <f t="shared" si="353"/>
        <v>45486</v>
      </c>
      <c r="AO1085" s="159" t="s">
        <v>692</v>
      </c>
      <c r="AP1085" s="781"/>
      <c r="AQ1085" s="782">
        <v>12063755</v>
      </c>
      <c r="AR1085" s="782">
        <v>12061353</v>
      </c>
      <c r="AS1085" s="782">
        <v>12061354</v>
      </c>
      <c r="AT1085" s="782">
        <v>12068566</v>
      </c>
      <c r="AU1085" s="781"/>
      <c r="AV1085" s="782">
        <v>12088206</v>
      </c>
      <c r="AW1085" s="782">
        <v>12088207</v>
      </c>
      <c r="AX1085" s="782"/>
      <c r="AY1085" s="782">
        <v>12068565</v>
      </c>
      <c r="AZ1085" s="782"/>
      <c r="BA1085" s="781"/>
    </row>
    <row r="1086" spans="2:53" ht="25" hidden="1" customHeight="1">
      <c r="B1086" s="213">
        <v>45486</v>
      </c>
      <c r="C1086" s="578">
        <v>45503</v>
      </c>
      <c r="D1086" s="185">
        <f t="shared" si="351"/>
        <v>2024</v>
      </c>
      <c r="E1086" s="215" t="str">
        <f>VLOOKUP($B1086,Week!$A$1:$C$1462,2,0)</f>
        <v>Week28</v>
      </c>
      <c r="F1086" s="216" t="str">
        <f t="shared" si="352"/>
        <v>Jul</v>
      </c>
      <c r="G1086" s="215" t="s">
        <v>1386</v>
      </c>
      <c r="H1086" s="215" t="s">
        <v>104</v>
      </c>
      <c r="I1086" s="215" t="s">
        <v>2772</v>
      </c>
      <c r="J1086" s="209" t="s">
        <v>105</v>
      </c>
      <c r="K1086" s="217" t="s">
        <v>107</v>
      </c>
      <c r="L1086" s="300" t="s">
        <v>2167</v>
      </c>
      <c r="M1086" s="209" t="s">
        <v>108</v>
      </c>
      <c r="N1086" s="215" t="s">
        <v>109</v>
      </c>
      <c r="O1086" s="215" t="s">
        <v>110</v>
      </c>
      <c r="P1086" s="218">
        <v>36</v>
      </c>
      <c r="Q1086" s="218">
        <v>5</v>
      </c>
      <c r="R1086" s="219">
        <v>7.4999999999999997E-3</v>
      </c>
      <c r="S1086" s="215" t="s">
        <v>111</v>
      </c>
      <c r="T1086" s="215" t="s">
        <v>112</v>
      </c>
      <c r="U1086" s="215" t="s">
        <v>113</v>
      </c>
      <c r="V1086" s="220">
        <v>792</v>
      </c>
      <c r="W1086" s="220">
        <v>792</v>
      </c>
      <c r="X1086" s="221"/>
      <c r="Y1086" s="222">
        <f t="shared" si="357"/>
        <v>0</v>
      </c>
      <c r="Z1086" s="223">
        <f t="shared" si="358"/>
        <v>0</v>
      </c>
      <c r="AA1086" s="223"/>
      <c r="AB1086" s="807"/>
      <c r="AC1086" s="220"/>
      <c r="AD1086" s="209"/>
      <c r="AE1086" s="210"/>
      <c r="AF1086" s="210"/>
      <c r="AG1086" s="211">
        <f t="shared" si="359"/>
        <v>0.308</v>
      </c>
      <c r="AH1086" s="157">
        <f t="shared" si="362"/>
        <v>0</v>
      </c>
      <c r="AI1086" s="152">
        <f t="shared" si="361"/>
        <v>28512</v>
      </c>
      <c r="AK1086" s="156" t="s">
        <v>691</v>
      </c>
      <c r="AL1086" s="574" t="s">
        <v>690</v>
      </c>
      <c r="AM1086" s="198">
        <f t="shared" si="363"/>
        <v>0</v>
      </c>
      <c r="AN1086" s="199">
        <f t="shared" si="353"/>
        <v>45486</v>
      </c>
      <c r="AO1086" s="159" t="s">
        <v>692</v>
      </c>
      <c r="AP1086" s="781"/>
      <c r="AQ1086" s="782">
        <v>12063755</v>
      </c>
      <c r="AR1086" s="782">
        <v>12061353</v>
      </c>
      <c r="AS1086" s="782">
        <v>12061354</v>
      </c>
      <c r="AT1086" s="782">
        <v>12068566</v>
      </c>
      <c r="AU1086" s="781"/>
      <c r="AV1086" s="782">
        <v>12088206</v>
      </c>
      <c r="AW1086" s="782">
        <v>12088207</v>
      </c>
      <c r="AX1086" s="782"/>
      <c r="AY1086" s="782">
        <v>12068565</v>
      </c>
      <c r="AZ1086" s="782"/>
      <c r="BA1086" s="781"/>
    </row>
    <row r="1087" spans="2:53" ht="25" hidden="1" customHeight="1">
      <c r="B1087" s="213">
        <v>45486</v>
      </c>
      <c r="C1087" s="578">
        <v>45503</v>
      </c>
      <c r="D1087" s="185">
        <f t="shared" si="351"/>
        <v>2024</v>
      </c>
      <c r="E1087" s="215" t="str">
        <f>VLOOKUP($B1087,Week!$A$1:$C$1462,2,0)</f>
        <v>Week28</v>
      </c>
      <c r="F1087" s="216" t="str">
        <f t="shared" si="352"/>
        <v>Jul</v>
      </c>
      <c r="G1087" s="215" t="s">
        <v>1387</v>
      </c>
      <c r="H1087" s="215" t="s">
        <v>104</v>
      </c>
      <c r="I1087" s="215" t="s">
        <v>2772</v>
      </c>
      <c r="J1087" s="209" t="s">
        <v>105</v>
      </c>
      <c r="K1087" s="217" t="s">
        <v>107</v>
      </c>
      <c r="L1087" s="300" t="s">
        <v>2167</v>
      </c>
      <c r="M1087" s="209" t="s">
        <v>108</v>
      </c>
      <c r="N1087" s="215" t="s">
        <v>109</v>
      </c>
      <c r="O1087" s="215" t="s">
        <v>110</v>
      </c>
      <c r="P1087" s="218">
        <v>36</v>
      </c>
      <c r="Q1087" s="218">
        <v>5</v>
      </c>
      <c r="R1087" s="219">
        <v>7.4999999999999997E-3</v>
      </c>
      <c r="S1087" s="215" t="s">
        <v>111</v>
      </c>
      <c r="T1087" s="215" t="s">
        <v>112</v>
      </c>
      <c r="U1087" s="215" t="s">
        <v>113</v>
      </c>
      <c r="V1087" s="220">
        <f>1636-724-792</f>
        <v>120</v>
      </c>
      <c r="W1087" s="220">
        <f>1636-724-792</f>
        <v>120</v>
      </c>
      <c r="X1087" s="221"/>
      <c r="Y1087" s="222">
        <f t="shared" si="357"/>
        <v>0</v>
      </c>
      <c r="Z1087" s="223">
        <f t="shared" si="358"/>
        <v>0</v>
      </c>
      <c r="AA1087" s="223"/>
      <c r="AB1087" s="807"/>
      <c r="AC1087" s="220"/>
      <c r="AD1087" s="209"/>
      <c r="AE1087" s="210"/>
      <c r="AF1087" s="210"/>
      <c r="AG1087" s="211">
        <f t="shared" si="359"/>
        <v>0.308</v>
      </c>
      <c r="AH1087" s="157">
        <f t="shared" si="362"/>
        <v>0</v>
      </c>
      <c r="AI1087" s="152">
        <f t="shared" si="361"/>
        <v>4320</v>
      </c>
      <c r="AK1087" s="156" t="s">
        <v>691</v>
      </c>
      <c r="AL1087" s="574" t="s">
        <v>690</v>
      </c>
      <c r="AM1087" s="198">
        <f t="shared" si="363"/>
        <v>0</v>
      </c>
      <c r="AN1087" s="199">
        <f t="shared" si="353"/>
        <v>45486</v>
      </c>
      <c r="AO1087" s="159" t="s">
        <v>692</v>
      </c>
      <c r="AP1087" s="781"/>
      <c r="AQ1087" s="782">
        <v>12063755</v>
      </c>
      <c r="AR1087" s="782">
        <v>12061353</v>
      </c>
      <c r="AS1087" s="782">
        <v>12061354</v>
      </c>
      <c r="AT1087" s="782">
        <v>12068566</v>
      </c>
      <c r="AU1087" s="781"/>
      <c r="AV1087" s="782">
        <v>12088206</v>
      </c>
      <c r="AW1087" s="782">
        <v>12088207</v>
      </c>
      <c r="AX1087" s="782"/>
      <c r="AY1087" s="782">
        <v>12068565</v>
      </c>
      <c r="AZ1087" s="782"/>
      <c r="BA1087" s="781"/>
    </row>
    <row r="1088" spans="2:53" ht="24.65" hidden="1" customHeight="1">
      <c r="B1088" s="424">
        <v>45486</v>
      </c>
      <c r="C1088" s="425" t="s">
        <v>1572</v>
      </c>
      <c r="D1088" s="185">
        <f t="shared" si="351"/>
        <v>2024</v>
      </c>
      <c r="E1088" s="425" t="str">
        <f>VLOOKUP($B1088,Week!$A$1:$C$1462,2,0)</f>
        <v>Week28</v>
      </c>
      <c r="F1088" s="426" t="str">
        <f t="shared" si="352"/>
        <v>Jul</v>
      </c>
      <c r="G1088" s="427" t="s">
        <v>47</v>
      </c>
      <c r="H1088" s="427" t="s">
        <v>260</v>
      </c>
      <c r="I1088" s="427" t="s">
        <v>2702</v>
      </c>
      <c r="J1088" s="428" t="s">
        <v>70</v>
      </c>
      <c r="K1088" s="429" t="s">
        <v>1646</v>
      </c>
      <c r="L1088" s="300" t="s">
        <v>2167</v>
      </c>
      <c r="M1088" s="428" t="s">
        <v>1116</v>
      </c>
      <c r="N1088" s="427" t="s">
        <v>1302</v>
      </c>
      <c r="O1088" s="427" t="s">
        <v>668</v>
      </c>
      <c r="P1088" s="430">
        <v>12</v>
      </c>
      <c r="Q1088" s="430">
        <v>3</v>
      </c>
      <c r="R1088" s="431">
        <v>6.1999999999999998E-3</v>
      </c>
      <c r="S1088" s="427" t="s">
        <v>352</v>
      </c>
      <c r="T1088" s="427" t="s">
        <v>56</v>
      </c>
      <c r="U1088" s="427" t="s">
        <v>669</v>
      </c>
      <c r="V1088" s="628">
        <f>7034</f>
        <v>7034</v>
      </c>
      <c r="W1088" s="432">
        <f>30+7004</f>
        <v>7034</v>
      </c>
      <c r="X1088" s="433"/>
      <c r="Y1088" s="434">
        <f t="shared" si="357"/>
        <v>0</v>
      </c>
      <c r="Z1088" s="435">
        <f t="shared" si="358"/>
        <v>0</v>
      </c>
      <c r="AA1088" s="435"/>
      <c r="AB1088" s="826"/>
      <c r="AC1088" s="432"/>
      <c r="AD1088" s="209" t="s">
        <v>1508</v>
      </c>
      <c r="AE1088" s="210"/>
      <c r="AF1088" s="210"/>
      <c r="AG1088" s="211">
        <f t="shared" si="359"/>
        <v>0.21099999999999999</v>
      </c>
      <c r="AH1088" s="157">
        <f t="shared" si="362"/>
        <v>0</v>
      </c>
      <c r="AI1088" s="152">
        <f t="shared" si="361"/>
        <v>84408</v>
      </c>
      <c r="AK1088" s="156" t="s">
        <v>691</v>
      </c>
      <c r="AL1088" s="212" t="s">
        <v>690</v>
      </c>
      <c r="AM1088" s="198">
        <f t="shared" si="363"/>
        <v>0</v>
      </c>
      <c r="AN1088" s="199">
        <f t="shared" si="353"/>
        <v>45486</v>
      </c>
      <c r="AO1088" s="159" t="s">
        <v>692</v>
      </c>
      <c r="AP1088" s="783" t="s">
        <v>623</v>
      </c>
      <c r="AQ1088" s="782">
        <v>12071839</v>
      </c>
      <c r="AR1088" s="782">
        <v>12042650</v>
      </c>
      <c r="AS1088" s="782">
        <v>12042649</v>
      </c>
      <c r="AT1088" s="782"/>
      <c r="AU1088" s="781"/>
      <c r="AV1088" s="782">
        <v>12090991</v>
      </c>
      <c r="AW1088" s="782"/>
      <c r="AX1088" s="782"/>
      <c r="AY1088" s="782">
        <v>12090992</v>
      </c>
      <c r="AZ1088" s="782">
        <v>12090990</v>
      </c>
      <c r="BA1088" s="781"/>
    </row>
    <row r="1089" spans="2:53" ht="25" hidden="1" customHeight="1">
      <c r="B1089" s="183">
        <v>45487</v>
      </c>
      <c r="C1089" s="184"/>
      <c r="D1089" s="185">
        <f t="shared" si="351"/>
        <v>2024</v>
      </c>
      <c r="E1089" s="185" t="str">
        <f>VLOOKUP($B1089,Week!$A$1:$C$1462,2,0)</f>
        <v>Week28</v>
      </c>
      <c r="F1089" s="186" t="str">
        <f t="shared" si="352"/>
        <v>Jul</v>
      </c>
      <c r="G1089" s="185"/>
      <c r="H1089" s="185"/>
      <c r="I1089" s="185"/>
      <c r="J1089" s="187"/>
      <c r="K1089" s="188"/>
      <c r="L1089" s="300"/>
      <c r="M1089" s="187"/>
      <c r="N1089" s="185"/>
      <c r="O1089" s="185"/>
      <c r="P1089" s="189"/>
      <c r="Q1089" s="189"/>
      <c r="R1089" s="190"/>
      <c r="S1089" s="185"/>
      <c r="T1089" s="185"/>
      <c r="U1089" s="185"/>
      <c r="V1089" s="191"/>
      <c r="W1089" s="191"/>
      <c r="X1089" s="192"/>
      <c r="Y1089" s="193"/>
      <c r="Z1089" s="194"/>
      <c r="AA1089" s="194"/>
      <c r="AB1089" s="805"/>
      <c r="AC1089" s="191"/>
      <c r="AD1089" s="187"/>
      <c r="AE1089" s="195"/>
      <c r="AF1089" s="195"/>
      <c r="AG1089" s="196"/>
      <c r="AH1089" s="197"/>
      <c r="AK1089" s="156" t="s">
        <v>691</v>
      </c>
      <c r="AM1089" s="198">
        <f t="shared" si="363"/>
        <v>0</v>
      </c>
      <c r="AN1089" s="199">
        <f t="shared" si="353"/>
        <v>45487</v>
      </c>
      <c r="AO1089" s="159" t="s">
        <v>692</v>
      </c>
      <c r="AP1089" s="781"/>
      <c r="AQ1089" s="782"/>
      <c r="AR1089" s="782"/>
      <c r="AS1089" s="782"/>
      <c r="AT1089" s="782"/>
      <c r="AU1089" s="781"/>
      <c r="AV1089" s="782"/>
      <c r="AW1089" s="782"/>
      <c r="AX1089" s="782"/>
      <c r="AY1089" s="782"/>
      <c r="AZ1089" s="782"/>
      <c r="BA1089" s="781"/>
    </row>
    <row r="1090" spans="2:53" ht="25" hidden="1" customHeight="1">
      <c r="B1090" s="383">
        <v>45488</v>
      </c>
      <c r="C1090" s="383">
        <v>45493</v>
      </c>
      <c r="D1090" s="185">
        <f t="shared" si="351"/>
        <v>2024</v>
      </c>
      <c r="E1090" s="224" t="str">
        <f>VLOOKUP($B1090,Week!$A$1:$C$1462,2,0)</f>
        <v>Week29</v>
      </c>
      <c r="F1090" s="226" t="str">
        <f t="shared" si="352"/>
        <v>Jul</v>
      </c>
      <c r="G1090" s="225" t="s">
        <v>1272</v>
      </c>
      <c r="H1090" s="225" t="s">
        <v>225</v>
      </c>
      <c r="I1090" s="225" t="s">
        <v>2773</v>
      </c>
      <c r="J1090" s="227" t="s">
        <v>335</v>
      </c>
      <c r="K1090" s="228" t="s">
        <v>176</v>
      </c>
      <c r="L1090" s="300" t="s">
        <v>2167</v>
      </c>
      <c r="M1090" s="227" t="s">
        <v>336</v>
      </c>
      <c r="N1090" s="225" t="s">
        <v>337</v>
      </c>
      <c r="O1090" s="225" t="s">
        <v>179</v>
      </c>
      <c r="P1090" s="229">
        <v>36</v>
      </c>
      <c r="Q1090" s="229">
        <v>5</v>
      </c>
      <c r="R1090" s="230">
        <v>7.4999999999999997E-3</v>
      </c>
      <c r="S1090" s="225" t="s">
        <v>111</v>
      </c>
      <c r="T1090" s="225" t="s">
        <v>112</v>
      </c>
      <c r="U1090" s="225" t="s">
        <v>113</v>
      </c>
      <c r="V1090" s="231">
        <f>1288-1020</f>
        <v>268</v>
      </c>
      <c r="W1090" s="231">
        <f>1288-1020</f>
        <v>268</v>
      </c>
      <c r="X1090" s="232"/>
      <c r="Y1090" s="233">
        <f t="shared" ref="Y1090:Y1114" si="364">(W1090+X1090)-V1090</f>
        <v>0</v>
      </c>
      <c r="Z1090" s="234">
        <f t="shared" ref="Z1090:Z1114" si="365">IF(Y1090&lt;0,((V1090*P1090)-((W1090+X1090)*P1090)),0)</f>
        <v>0</v>
      </c>
      <c r="AA1090" s="234"/>
      <c r="AB1090" s="822"/>
      <c r="AC1090" s="231"/>
      <c r="AD1090" s="515"/>
      <c r="AE1090" s="210"/>
      <c r="AF1090" s="210"/>
      <c r="AG1090" s="211">
        <f t="shared" ref="AG1090:AG1114" si="366">MID(O1090,1,3)/1000</f>
        <v>0.14499999999999999</v>
      </c>
      <c r="AH1090" s="157">
        <f t="shared" ref="AH1090:AH1114" si="367">(Z1090*AG1090)/1000</f>
        <v>0</v>
      </c>
      <c r="AI1090" s="152">
        <f t="shared" ref="AI1090:AI1114" si="368">V1090*P1090</f>
        <v>9648</v>
      </c>
      <c r="AK1090" s="156" t="s">
        <v>691</v>
      </c>
      <c r="AL1090" s="574" t="s">
        <v>690</v>
      </c>
      <c r="AM1090" s="198">
        <f t="shared" si="363"/>
        <v>0</v>
      </c>
      <c r="AN1090" s="199">
        <f t="shared" si="353"/>
        <v>45488</v>
      </c>
      <c r="AO1090" s="159" t="s">
        <v>692</v>
      </c>
      <c r="AP1090" s="783" t="s">
        <v>639</v>
      </c>
      <c r="AQ1090" s="782">
        <v>12071839</v>
      </c>
      <c r="AR1090" s="782">
        <v>12047514</v>
      </c>
      <c r="AS1090" s="782">
        <v>12047515</v>
      </c>
      <c r="AT1090" s="782">
        <v>12054919</v>
      </c>
      <c r="AU1090" s="781"/>
      <c r="AV1090" s="782">
        <v>12054869</v>
      </c>
      <c r="AW1090" s="782">
        <v>12024404</v>
      </c>
      <c r="AX1090" s="781"/>
      <c r="AY1090" s="782">
        <v>12054815</v>
      </c>
      <c r="AZ1090" s="781"/>
      <c r="BA1090" s="781"/>
    </row>
    <row r="1091" spans="2:53" ht="25" hidden="1" customHeight="1">
      <c r="B1091" s="383">
        <v>45488</v>
      </c>
      <c r="C1091" s="383">
        <v>45498</v>
      </c>
      <c r="D1091" s="185">
        <f t="shared" si="351"/>
        <v>2024</v>
      </c>
      <c r="E1091" s="224" t="str">
        <f>VLOOKUP($B1091,Week!$A$1:$C$1462,2,0)</f>
        <v>Week29</v>
      </c>
      <c r="F1091" s="226" t="str">
        <f t="shared" si="352"/>
        <v>Jul</v>
      </c>
      <c r="G1091" s="225" t="s">
        <v>1273</v>
      </c>
      <c r="H1091" s="225" t="s">
        <v>225</v>
      </c>
      <c r="I1091" s="225" t="s">
        <v>2773</v>
      </c>
      <c r="J1091" s="227" t="s">
        <v>335</v>
      </c>
      <c r="K1091" s="228" t="s">
        <v>176</v>
      </c>
      <c r="L1091" s="300" t="s">
        <v>2167</v>
      </c>
      <c r="M1091" s="227" t="s">
        <v>336</v>
      </c>
      <c r="N1091" s="225" t="s">
        <v>337</v>
      </c>
      <c r="O1091" s="225" t="s">
        <v>179</v>
      </c>
      <c r="P1091" s="229">
        <v>36</v>
      </c>
      <c r="Q1091" s="229">
        <v>5</v>
      </c>
      <c r="R1091" s="230">
        <v>7.4999999999999997E-3</v>
      </c>
      <c r="S1091" s="225" t="s">
        <v>111</v>
      </c>
      <c r="T1091" s="225" t="s">
        <v>112</v>
      </c>
      <c r="U1091" s="225" t="s">
        <v>113</v>
      </c>
      <c r="V1091" s="231">
        <v>1288</v>
      </c>
      <c r="W1091" s="231">
        <v>1288</v>
      </c>
      <c r="X1091" s="232"/>
      <c r="Y1091" s="233">
        <f t="shared" si="364"/>
        <v>0</v>
      </c>
      <c r="Z1091" s="234">
        <f t="shared" si="365"/>
        <v>0</v>
      </c>
      <c r="AA1091" s="234"/>
      <c r="AB1091" s="822"/>
      <c r="AC1091" s="231"/>
      <c r="AD1091" s="515"/>
      <c r="AE1091" s="210"/>
      <c r="AF1091" s="210"/>
      <c r="AG1091" s="211">
        <f t="shared" si="366"/>
        <v>0.14499999999999999</v>
      </c>
      <c r="AH1091" s="157">
        <f t="shared" si="367"/>
        <v>0</v>
      </c>
      <c r="AI1091" s="152">
        <f t="shared" si="368"/>
        <v>46368</v>
      </c>
      <c r="AK1091" s="156" t="s">
        <v>691</v>
      </c>
      <c r="AL1091" s="574" t="s">
        <v>690</v>
      </c>
      <c r="AM1091" s="198">
        <f t="shared" si="363"/>
        <v>0</v>
      </c>
      <c r="AN1091" s="199">
        <f t="shared" si="353"/>
        <v>45488</v>
      </c>
      <c r="AO1091" s="159" t="s">
        <v>692</v>
      </c>
      <c r="AP1091" s="783" t="s">
        <v>639</v>
      </c>
      <c r="AQ1091" s="782">
        <v>12071839</v>
      </c>
      <c r="AR1091" s="782">
        <v>12047514</v>
      </c>
      <c r="AS1091" s="782">
        <v>12047515</v>
      </c>
      <c r="AT1091" s="782">
        <v>12054919</v>
      </c>
      <c r="AU1091" s="781"/>
      <c r="AV1091" s="782">
        <v>12054869</v>
      </c>
      <c r="AW1091" s="782">
        <v>12024404</v>
      </c>
      <c r="AX1091" s="781"/>
      <c r="AY1091" s="782">
        <v>12054815</v>
      </c>
      <c r="AZ1091" s="781"/>
      <c r="BA1091" s="781"/>
    </row>
    <row r="1092" spans="2:53" ht="25" hidden="1" customHeight="1">
      <c r="B1092" s="383">
        <v>45488</v>
      </c>
      <c r="C1092" s="383">
        <v>45505</v>
      </c>
      <c r="D1092" s="185">
        <f t="shared" si="351"/>
        <v>2024</v>
      </c>
      <c r="E1092" s="224" t="str">
        <f>VLOOKUP($B1092,Week!$A$1:$C$1462,2,0)</f>
        <v>Week29</v>
      </c>
      <c r="F1092" s="226" t="str">
        <f t="shared" si="352"/>
        <v>Jul</v>
      </c>
      <c r="G1092" s="225" t="s">
        <v>1274</v>
      </c>
      <c r="H1092" s="225" t="s">
        <v>225</v>
      </c>
      <c r="I1092" s="225" t="s">
        <v>2773</v>
      </c>
      <c r="J1092" s="227" t="s">
        <v>335</v>
      </c>
      <c r="K1092" s="228" t="s">
        <v>176</v>
      </c>
      <c r="L1092" s="300" t="s">
        <v>2167</v>
      </c>
      <c r="M1092" s="227" t="s">
        <v>336</v>
      </c>
      <c r="N1092" s="225" t="s">
        <v>337</v>
      </c>
      <c r="O1092" s="225" t="s">
        <v>179</v>
      </c>
      <c r="P1092" s="229">
        <v>36</v>
      </c>
      <c r="Q1092" s="229">
        <v>5</v>
      </c>
      <c r="R1092" s="230">
        <v>7.4999999999999997E-3</v>
      </c>
      <c r="S1092" s="225" t="s">
        <v>111</v>
      </c>
      <c r="T1092" s="225" t="s">
        <v>112</v>
      </c>
      <c r="U1092" s="225" t="s">
        <v>113</v>
      </c>
      <c r="V1092" s="231">
        <v>1288</v>
      </c>
      <c r="W1092" s="231">
        <v>1288</v>
      </c>
      <c r="X1092" s="232"/>
      <c r="Y1092" s="233">
        <f t="shared" si="364"/>
        <v>0</v>
      </c>
      <c r="Z1092" s="234">
        <f t="shared" si="365"/>
        <v>0</v>
      </c>
      <c r="AA1092" s="234"/>
      <c r="AB1092" s="822"/>
      <c r="AC1092" s="231"/>
      <c r="AD1092" s="515"/>
      <c r="AE1092" s="210"/>
      <c r="AF1092" s="210"/>
      <c r="AG1092" s="211">
        <f t="shared" si="366"/>
        <v>0.14499999999999999</v>
      </c>
      <c r="AH1092" s="157">
        <f t="shared" si="367"/>
        <v>0</v>
      </c>
      <c r="AI1092" s="152">
        <f t="shared" si="368"/>
        <v>46368</v>
      </c>
      <c r="AK1092" s="156" t="s">
        <v>691</v>
      </c>
      <c r="AL1092" s="574" t="s">
        <v>690</v>
      </c>
      <c r="AM1092" s="198">
        <f t="shared" si="363"/>
        <v>0</v>
      </c>
      <c r="AN1092" s="199">
        <f t="shared" si="353"/>
        <v>45488</v>
      </c>
      <c r="AO1092" s="159" t="s">
        <v>692</v>
      </c>
      <c r="AP1092" s="783" t="s">
        <v>639</v>
      </c>
      <c r="AQ1092" s="782">
        <v>12071839</v>
      </c>
      <c r="AR1092" s="782">
        <v>12047514</v>
      </c>
      <c r="AS1092" s="782">
        <v>12047515</v>
      </c>
      <c r="AT1092" s="782">
        <v>12054919</v>
      </c>
      <c r="AU1092" s="781"/>
      <c r="AV1092" s="782">
        <v>12054869</v>
      </c>
      <c r="AW1092" s="782">
        <v>12024404</v>
      </c>
      <c r="AX1092" s="781"/>
      <c r="AY1092" s="782">
        <v>12054815</v>
      </c>
      <c r="AZ1092" s="781"/>
      <c r="BA1092" s="781"/>
    </row>
    <row r="1093" spans="2:53" ht="25" hidden="1" customHeight="1">
      <c r="B1093" s="383">
        <v>45488</v>
      </c>
      <c r="C1093" s="383">
        <v>45505</v>
      </c>
      <c r="D1093" s="185">
        <f t="shared" ref="D1093:D1156" si="369">IF(B1093="","",YEAR(B1093))</f>
        <v>2024</v>
      </c>
      <c r="E1093" s="224" t="str">
        <f>VLOOKUP($B1093,Week!$A$1:$C$1462,2,0)</f>
        <v>Week29</v>
      </c>
      <c r="F1093" s="226" t="str">
        <f t="shared" ref="F1093:F1156" si="370">IF(B1093="","",TEXT(B1093,"[$-409]mmm"))</f>
        <v>Jul</v>
      </c>
      <c r="G1093" s="225" t="s">
        <v>1695</v>
      </c>
      <c r="H1093" s="225" t="s">
        <v>225</v>
      </c>
      <c r="I1093" s="225" t="s">
        <v>2773</v>
      </c>
      <c r="J1093" s="227" t="s">
        <v>335</v>
      </c>
      <c r="K1093" s="228" t="s">
        <v>176</v>
      </c>
      <c r="L1093" s="300" t="s">
        <v>2167</v>
      </c>
      <c r="M1093" s="227" t="s">
        <v>336</v>
      </c>
      <c r="N1093" s="225" t="s">
        <v>337</v>
      </c>
      <c r="O1093" s="225" t="s">
        <v>179</v>
      </c>
      <c r="P1093" s="229">
        <v>36</v>
      </c>
      <c r="Q1093" s="229">
        <v>5</v>
      </c>
      <c r="R1093" s="230">
        <v>7.4999999999999997E-3</v>
      </c>
      <c r="S1093" s="225" t="s">
        <v>111</v>
      </c>
      <c r="T1093" s="225" t="s">
        <v>112</v>
      </c>
      <c r="U1093" s="225" t="s">
        <v>113</v>
      </c>
      <c r="V1093" s="231">
        <v>1288</v>
      </c>
      <c r="W1093" s="231">
        <v>1288</v>
      </c>
      <c r="X1093" s="232"/>
      <c r="Y1093" s="233">
        <f t="shared" si="364"/>
        <v>0</v>
      </c>
      <c r="Z1093" s="234">
        <f t="shared" si="365"/>
        <v>0</v>
      </c>
      <c r="AA1093" s="234"/>
      <c r="AB1093" s="822"/>
      <c r="AC1093" s="231"/>
      <c r="AD1093" s="515"/>
      <c r="AE1093" s="210"/>
      <c r="AF1093" s="210"/>
      <c r="AG1093" s="211">
        <f t="shared" si="366"/>
        <v>0.14499999999999999</v>
      </c>
      <c r="AH1093" s="157">
        <f t="shared" si="367"/>
        <v>0</v>
      </c>
      <c r="AI1093" s="152">
        <f t="shared" si="368"/>
        <v>46368</v>
      </c>
      <c r="AK1093" s="156" t="s">
        <v>691</v>
      </c>
      <c r="AL1093" s="574" t="s">
        <v>690</v>
      </c>
      <c r="AM1093" s="198">
        <f t="shared" si="363"/>
        <v>0</v>
      </c>
      <c r="AN1093" s="199">
        <f t="shared" ref="AN1093:AN1156" si="371">B1093</f>
        <v>45488</v>
      </c>
      <c r="AO1093" s="159" t="s">
        <v>692</v>
      </c>
      <c r="AP1093" s="783" t="s">
        <v>639</v>
      </c>
      <c r="AQ1093" s="782">
        <v>12071839</v>
      </c>
      <c r="AR1093" s="782">
        <v>12047514</v>
      </c>
      <c r="AS1093" s="782">
        <v>12047515</v>
      </c>
      <c r="AT1093" s="782">
        <v>12054919</v>
      </c>
      <c r="AU1093" s="781"/>
      <c r="AV1093" s="782">
        <v>12054869</v>
      </c>
      <c r="AW1093" s="782">
        <v>12024404</v>
      </c>
      <c r="AX1093" s="781"/>
      <c r="AY1093" s="782">
        <v>12054815</v>
      </c>
      <c r="AZ1093" s="781"/>
      <c r="BA1093" s="781"/>
    </row>
    <row r="1094" spans="2:53" ht="25" hidden="1" customHeight="1">
      <c r="B1094" s="383">
        <v>45488</v>
      </c>
      <c r="C1094" s="383">
        <v>45512</v>
      </c>
      <c r="D1094" s="185">
        <f t="shared" si="369"/>
        <v>2024</v>
      </c>
      <c r="E1094" s="224" t="str">
        <f>VLOOKUP($B1094,Week!$A$1:$C$1462,2,0)</f>
        <v>Week29</v>
      </c>
      <c r="F1094" s="226" t="str">
        <f t="shared" si="370"/>
        <v>Jul</v>
      </c>
      <c r="G1094" s="225" t="s">
        <v>1275</v>
      </c>
      <c r="H1094" s="225" t="s">
        <v>225</v>
      </c>
      <c r="I1094" s="225" t="s">
        <v>2773</v>
      </c>
      <c r="J1094" s="227" t="s">
        <v>335</v>
      </c>
      <c r="K1094" s="228" t="s">
        <v>176</v>
      </c>
      <c r="L1094" s="300" t="s">
        <v>2167</v>
      </c>
      <c r="M1094" s="227" t="s">
        <v>336</v>
      </c>
      <c r="N1094" s="225" t="s">
        <v>337</v>
      </c>
      <c r="O1094" s="225" t="s">
        <v>179</v>
      </c>
      <c r="P1094" s="229">
        <v>36</v>
      </c>
      <c r="Q1094" s="229">
        <v>5</v>
      </c>
      <c r="R1094" s="230">
        <v>7.4999999999999997E-3</v>
      </c>
      <c r="S1094" s="225" t="s">
        <v>111</v>
      </c>
      <c r="T1094" s="225" t="s">
        <v>112</v>
      </c>
      <c r="U1094" s="225" t="s">
        <v>113</v>
      </c>
      <c r="V1094" s="231">
        <v>34</v>
      </c>
      <c r="W1094" s="231">
        <v>34</v>
      </c>
      <c r="X1094" s="232"/>
      <c r="Y1094" s="233">
        <f t="shared" si="364"/>
        <v>0</v>
      </c>
      <c r="Z1094" s="234">
        <f t="shared" si="365"/>
        <v>0</v>
      </c>
      <c r="AA1094" s="234"/>
      <c r="AB1094" s="822"/>
      <c r="AC1094" s="231"/>
      <c r="AD1094" s="515"/>
      <c r="AE1094" s="210"/>
      <c r="AF1094" s="210"/>
      <c r="AG1094" s="211">
        <f t="shared" si="366"/>
        <v>0.14499999999999999</v>
      </c>
      <c r="AH1094" s="157">
        <f t="shared" si="367"/>
        <v>0</v>
      </c>
      <c r="AI1094" s="152">
        <f t="shared" si="368"/>
        <v>1224</v>
      </c>
      <c r="AK1094" s="156" t="s">
        <v>691</v>
      </c>
      <c r="AL1094" s="574" t="s">
        <v>690</v>
      </c>
      <c r="AM1094" s="198">
        <f t="shared" si="363"/>
        <v>0</v>
      </c>
      <c r="AN1094" s="199">
        <f t="shared" si="371"/>
        <v>45488</v>
      </c>
      <c r="AO1094" s="159" t="s">
        <v>692</v>
      </c>
      <c r="AP1094" s="783" t="s">
        <v>639</v>
      </c>
      <c r="AQ1094" s="782">
        <v>12071839</v>
      </c>
      <c r="AR1094" s="782">
        <v>12047514</v>
      </c>
      <c r="AS1094" s="782">
        <v>12047515</v>
      </c>
      <c r="AT1094" s="782">
        <v>12054919</v>
      </c>
      <c r="AU1094" s="781"/>
      <c r="AV1094" s="782">
        <v>12054869</v>
      </c>
      <c r="AW1094" s="782">
        <v>12024404</v>
      </c>
      <c r="AX1094" s="781"/>
      <c r="AY1094" s="782">
        <v>12054815</v>
      </c>
      <c r="AZ1094" s="781"/>
      <c r="BA1094" s="781"/>
    </row>
    <row r="1095" spans="2:53" ht="25" hidden="1" customHeight="1">
      <c r="B1095" s="619">
        <v>45489</v>
      </c>
      <c r="C1095" s="466">
        <v>45512</v>
      </c>
      <c r="D1095" s="185">
        <f t="shared" si="369"/>
        <v>2024</v>
      </c>
      <c r="E1095" s="467" t="str">
        <f>VLOOKUP($B1095,Week!$A$1:$C$1462,2,0)</f>
        <v>Week29</v>
      </c>
      <c r="F1095" s="469" t="str">
        <f t="shared" si="370"/>
        <v>Jul</v>
      </c>
      <c r="G1095" s="468" t="s">
        <v>1482</v>
      </c>
      <c r="H1095" s="468" t="s">
        <v>225</v>
      </c>
      <c r="I1095" s="468" t="s">
        <v>2773</v>
      </c>
      <c r="J1095" s="471" t="s">
        <v>335</v>
      </c>
      <c r="K1095" s="472" t="s">
        <v>1643</v>
      </c>
      <c r="L1095" s="300" t="s">
        <v>2167</v>
      </c>
      <c r="M1095" s="471" t="s">
        <v>336</v>
      </c>
      <c r="N1095" s="468" t="s">
        <v>748</v>
      </c>
      <c r="O1095" s="468" t="s">
        <v>743</v>
      </c>
      <c r="P1095" s="473">
        <v>36</v>
      </c>
      <c r="Q1095" s="473">
        <v>5</v>
      </c>
      <c r="R1095" s="474">
        <v>7.4999999999999997E-3</v>
      </c>
      <c r="S1095" s="468" t="s">
        <v>40</v>
      </c>
      <c r="T1095" s="468" t="s">
        <v>112</v>
      </c>
      <c r="U1095" s="620" t="s">
        <v>721</v>
      </c>
      <c r="V1095" s="475">
        <v>1288</v>
      </c>
      <c r="W1095" s="475">
        <f>1301-1288+1178</f>
        <v>1191</v>
      </c>
      <c r="X1095" s="476">
        <f>((3500)/36)</f>
        <v>97.222222222222229</v>
      </c>
      <c r="Y1095" s="477">
        <f t="shared" si="364"/>
        <v>0.22222222222217169</v>
      </c>
      <c r="Z1095" s="478">
        <f t="shared" si="365"/>
        <v>0</v>
      </c>
      <c r="AA1095" s="478"/>
      <c r="AB1095" s="828"/>
      <c r="AC1095" s="475"/>
      <c r="AD1095" s="515"/>
      <c r="AE1095" s="210"/>
      <c r="AF1095" s="210"/>
      <c r="AG1095" s="211">
        <f t="shared" si="366"/>
        <v>0.14699999999999999</v>
      </c>
      <c r="AH1095" s="157">
        <f t="shared" si="367"/>
        <v>0</v>
      </c>
      <c r="AI1095" s="152">
        <f t="shared" si="368"/>
        <v>46368</v>
      </c>
      <c r="AK1095" s="156" t="s">
        <v>691</v>
      </c>
      <c r="AL1095" s="574" t="s">
        <v>690</v>
      </c>
      <c r="AM1095" s="198">
        <f t="shared" si="363"/>
        <v>0</v>
      </c>
      <c r="AN1095" s="199">
        <f t="shared" si="371"/>
        <v>45489</v>
      </c>
      <c r="AO1095" s="159" t="s">
        <v>692</v>
      </c>
      <c r="AP1095" s="783" t="s">
        <v>639</v>
      </c>
      <c r="AQ1095" s="782">
        <v>12071839</v>
      </c>
      <c r="AR1095" s="782">
        <v>12047514</v>
      </c>
      <c r="AS1095" s="782">
        <v>12047515</v>
      </c>
      <c r="AT1095" s="782">
        <v>12089769</v>
      </c>
      <c r="AU1095" s="781"/>
      <c r="AV1095" s="782">
        <v>12089766</v>
      </c>
      <c r="AW1095" s="782">
        <v>12024404</v>
      </c>
      <c r="AX1095" s="781"/>
      <c r="AY1095" s="782">
        <v>12089770</v>
      </c>
      <c r="AZ1095" s="781"/>
      <c r="BA1095" s="781"/>
    </row>
    <row r="1096" spans="2:53" ht="25" hidden="1" customHeight="1">
      <c r="B1096" s="619">
        <v>45489</v>
      </c>
      <c r="C1096" s="466">
        <v>45519</v>
      </c>
      <c r="D1096" s="185">
        <f t="shared" si="369"/>
        <v>2024</v>
      </c>
      <c r="E1096" s="467" t="str">
        <f>VLOOKUP($B1096,Week!$A$1:$C$1462,2,0)</f>
        <v>Week29</v>
      </c>
      <c r="F1096" s="469" t="str">
        <f t="shared" si="370"/>
        <v>Jul</v>
      </c>
      <c r="G1096" s="468" t="s">
        <v>1466</v>
      </c>
      <c r="H1096" s="468" t="s">
        <v>225</v>
      </c>
      <c r="I1096" s="468" t="s">
        <v>2773</v>
      </c>
      <c r="J1096" s="471" t="s">
        <v>335</v>
      </c>
      <c r="K1096" s="472" t="s">
        <v>1643</v>
      </c>
      <c r="L1096" s="300" t="s">
        <v>2167</v>
      </c>
      <c r="M1096" s="471" t="s">
        <v>336</v>
      </c>
      <c r="N1096" s="468" t="s">
        <v>748</v>
      </c>
      <c r="O1096" s="468" t="s">
        <v>743</v>
      </c>
      <c r="P1096" s="473">
        <v>36</v>
      </c>
      <c r="Q1096" s="473">
        <v>5</v>
      </c>
      <c r="R1096" s="474">
        <v>7.4999999999999997E-3</v>
      </c>
      <c r="S1096" s="468" t="s">
        <v>40</v>
      </c>
      <c r="T1096" s="468" t="s">
        <v>112</v>
      </c>
      <c r="U1096" s="620" t="s">
        <v>721</v>
      </c>
      <c r="V1096" s="475">
        <v>1288</v>
      </c>
      <c r="W1096" s="475">
        <v>1288</v>
      </c>
      <c r="X1096" s="476"/>
      <c r="Y1096" s="477">
        <f t="shared" si="364"/>
        <v>0</v>
      </c>
      <c r="Z1096" s="478">
        <f t="shared" si="365"/>
        <v>0</v>
      </c>
      <c r="AA1096" s="478"/>
      <c r="AB1096" s="828"/>
      <c r="AC1096" s="475"/>
      <c r="AD1096" s="515"/>
      <c r="AE1096" s="210"/>
      <c r="AF1096" s="210"/>
      <c r="AG1096" s="211">
        <f t="shared" si="366"/>
        <v>0.14699999999999999</v>
      </c>
      <c r="AH1096" s="157">
        <f t="shared" si="367"/>
        <v>0</v>
      </c>
      <c r="AI1096" s="152">
        <f t="shared" si="368"/>
        <v>46368</v>
      </c>
      <c r="AK1096" s="156" t="s">
        <v>691</v>
      </c>
      <c r="AL1096" s="574" t="s">
        <v>690</v>
      </c>
      <c r="AM1096" s="198">
        <f t="shared" si="363"/>
        <v>0</v>
      </c>
      <c r="AN1096" s="199">
        <f t="shared" si="371"/>
        <v>45489</v>
      </c>
      <c r="AO1096" s="159" t="s">
        <v>692</v>
      </c>
      <c r="AP1096" s="783" t="s">
        <v>639</v>
      </c>
      <c r="AQ1096" s="782">
        <v>12071839</v>
      </c>
      <c r="AR1096" s="782">
        <v>12047514</v>
      </c>
      <c r="AS1096" s="782">
        <v>12047515</v>
      </c>
      <c r="AT1096" s="782">
        <v>12089769</v>
      </c>
      <c r="AU1096" s="781"/>
      <c r="AV1096" s="782">
        <v>12089766</v>
      </c>
      <c r="AW1096" s="782">
        <v>12024404</v>
      </c>
      <c r="AX1096" s="781"/>
      <c r="AY1096" s="782">
        <v>12089770</v>
      </c>
      <c r="AZ1096" s="781"/>
      <c r="BA1096" s="781"/>
    </row>
    <row r="1097" spans="2:53" ht="25" hidden="1" customHeight="1">
      <c r="B1097" s="619">
        <v>45489</v>
      </c>
      <c r="C1097" s="466">
        <v>45526</v>
      </c>
      <c r="D1097" s="185">
        <f t="shared" si="369"/>
        <v>2024</v>
      </c>
      <c r="E1097" s="467" t="str">
        <f>VLOOKUP($B1097,Week!$A$1:$C$1462,2,0)</f>
        <v>Week29</v>
      </c>
      <c r="F1097" s="469" t="str">
        <f t="shared" si="370"/>
        <v>Jul</v>
      </c>
      <c r="G1097" s="468" t="s">
        <v>1483</v>
      </c>
      <c r="H1097" s="468" t="s">
        <v>225</v>
      </c>
      <c r="I1097" s="468" t="s">
        <v>2773</v>
      </c>
      <c r="J1097" s="471" t="s">
        <v>335</v>
      </c>
      <c r="K1097" s="472" t="s">
        <v>1643</v>
      </c>
      <c r="L1097" s="300" t="s">
        <v>2167</v>
      </c>
      <c r="M1097" s="471" t="s">
        <v>336</v>
      </c>
      <c r="N1097" s="468" t="s">
        <v>748</v>
      </c>
      <c r="O1097" s="468" t="s">
        <v>743</v>
      </c>
      <c r="P1097" s="473">
        <v>36</v>
      </c>
      <c r="Q1097" s="473">
        <v>5</v>
      </c>
      <c r="R1097" s="474">
        <v>7.4999999999999997E-3</v>
      </c>
      <c r="S1097" s="468" t="s">
        <v>40</v>
      </c>
      <c r="T1097" s="468" t="s">
        <v>112</v>
      </c>
      <c r="U1097" s="620" t="s">
        <v>721</v>
      </c>
      <c r="V1097" s="475">
        <v>1288</v>
      </c>
      <c r="W1097" s="475">
        <v>1288</v>
      </c>
      <c r="X1097" s="476"/>
      <c r="Y1097" s="477">
        <f t="shared" si="364"/>
        <v>0</v>
      </c>
      <c r="Z1097" s="478">
        <f t="shared" si="365"/>
        <v>0</v>
      </c>
      <c r="AA1097" s="478"/>
      <c r="AB1097" s="828"/>
      <c r="AC1097" s="475"/>
      <c r="AD1097" s="515"/>
      <c r="AE1097" s="210"/>
      <c r="AF1097" s="210"/>
      <c r="AG1097" s="211">
        <f t="shared" si="366"/>
        <v>0.14699999999999999</v>
      </c>
      <c r="AH1097" s="157">
        <f t="shared" si="367"/>
        <v>0</v>
      </c>
      <c r="AI1097" s="152">
        <f t="shared" si="368"/>
        <v>46368</v>
      </c>
      <c r="AK1097" s="156" t="s">
        <v>691</v>
      </c>
      <c r="AL1097" s="574" t="s">
        <v>690</v>
      </c>
      <c r="AM1097" s="198">
        <f t="shared" si="363"/>
        <v>0</v>
      </c>
      <c r="AN1097" s="199">
        <f t="shared" si="371"/>
        <v>45489</v>
      </c>
      <c r="AO1097" s="159" t="s">
        <v>692</v>
      </c>
      <c r="AP1097" s="783" t="s">
        <v>639</v>
      </c>
      <c r="AQ1097" s="782">
        <v>12071839</v>
      </c>
      <c r="AR1097" s="782">
        <v>12047514</v>
      </c>
      <c r="AS1097" s="782">
        <v>12047515</v>
      </c>
      <c r="AT1097" s="782">
        <v>12089769</v>
      </c>
      <c r="AU1097" s="781"/>
      <c r="AV1097" s="782">
        <v>12089766</v>
      </c>
      <c r="AW1097" s="782">
        <v>12024404</v>
      </c>
      <c r="AX1097" s="781"/>
      <c r="AY1097" s="782">
        <v>12089770</v>
      </c>
      <c r="AZ1097" s="781"/>
      <c r="BA1097" s="781"/>
    </row>
    <row r="1098" spans="2:53" ht="25" hidden="1" customHeight="1">
      <c r="B1098" s="619">
        <v>45489</v>
      </c>
      <c r="C1098" s="466">
        <v>45526</v>
      </c>
      <c r="D1098" s="185">
        <f t="shared" si="369"/>
        <v>2024</v>
      </c>
      <c r="E1098" s="467" t="str">
        <f>VLOOKUP($B1098,Week!$A$1:$C$1462,2,0)</f>
        <v>Week29</v>
      </c>
      <c r="F1098" s="469" t="str">
        <f t="shared" si="370"/>
        <v>Jul</v>
      </c>
      <c r="G1098" s="468" t="s">
        <v>1484</v>
      </c>
      <c r="H1098" s="468" t="s">
        <v>225</v>
      </c>
      <c r="I1098" s="468" t="s">
        <v>2773</v>
      </c>
      <c r="J1098" s="471" t="s">
        <v>335</v>
      </c>
      <c r="K1098" s="472" t="s">
        <v>1643</v>
      </c>
      <c r="L1098" s="300" t="s">
        <v>2167</v>
      </c>
      <c r="M1098" s="471" t="s">
        <v>336</v>
      </c>
      <c r="N1098" s="468" t="s">
        <v>748</v>
      </c>
      <c r="O1098" s="468" t="s">
        <v>743</v>
      </c>
      <c r="P1098" s="473">
        <v>36</v>
      </c>
      <c r="Q1098" s="473">
        <v>5</v>
      </c>
      <c r="R1098" s="474">
        <v>7.4999999999999997E-3</v>
      </c>
      <c r="S1098" s="468" t="s">
        <v>40</v>
      </c>
      <c r="T1098" s="468" t="s">
        <v>112</v>
      </c>
      <c r="U1098" s="620" t="s">
        <v>721</v>
      </c>
      <c r="V1098" s="475">
        <f>3821-1178-1288-1288+2</f>
        <v>69</v>
      </c>
      <c r="W1098" s="475">
        <f>3821-1178-1288-1288+2</f>
        <v>69</v>
      </c>
      <c r="X1098" s="476"/>
      <c r="Y1098" s="477">
        <f t="shared" si="364"/>
        <v>0</v>
      </c>
      <c r="Z1098" s="478">
        <f t="shared" si="365"/>
        <v>0</v>
      </c>
      <c r="AA1098" s="478"/>
      <c r="AB1098" s="828"/>
      <c r="AC1098" s="475"/>
      <c r="AD1098" s="515"/>
      <c r="AE1098" s="210"/>
      <c r="AF1098" s="210"/>
      <c r="AG1098" s="211">
        <f t="shared" si="366"/>
        <v>0.14699999999999999</v>
      </c>
      <c r="AH1098" s="157">
        <f t="shared" si="367"/>
        <v>0</v>
      </c>
      <c r="AI1098" s="152">
        <f t="shared" si="368"/>
        <v>2484</v>
      </c>
      <c r="AK1098" s="156" t="s">
        <v>691</v>
      </c>
      <c r="AL1098" s="574" t="s">
        <v>690</v>
      </c>
      <c r="AM1098" s="198">
        <f t="shared" ref="AM1098:AM1127" si="372">AG1098*Z1098</f>
        <v>0</v>
      </c>
      <c r="AN1098" s="199">
        <f t="shared" si="371"/>
        <v>45489</v>
      </c>
      <c r="AO1098" s="159" t="s">
        <v>692</v>
      </c>
      <c r="AP1098" s="783" t="s">
        <v>639</v>
      </c>
      <c r="AQ1098" s="782">
        <v>12071839</v>
      </c>
      <c r="AR1098" s="782">
        <v>12047514</v>
      </c>
      <c r="AS1098" s="782">
        <v>12047515</v>
      </c>
      <c r="AT1098" s="782">
        <v>12089769</v>
      </c>
      <c r="AU1098" s="781"/>
      <c r="AV1098" s="782">
        <v>12089766</v>
      </c>
      <c r="AW1098" s="782">
        <v>12024404</v>
      </c>
      <c r="AX1098" s="781"/>
      <c r="AY1098" s="782">
        <v>12089770</v>
      </c>
      <c r="AZ1098" s="781"/>
      <c r="BA1098" s="781"/>
    </row>
    <row r="1099" spans="2:53" ht="25" hidden="1" customHeight="1">
      <c r="B1099" s="517">
        <v>45489</v>
      </c>
      <c r="C1099" s="532">
        <v>45518</v>
      </c>
      <c r="D1099" s="185">
        <f t="shared" si="369"/>
        <v>2024</v>
      </c>
      <c r="E1099" s="518" t="str">
        <f>VLOOKUP($B1099,Week!$A$1:$C$1462,2,0)</f>
        <v>Week29</v>
      </c>
      <c r="F1099" s="520" t="str">
        <f t="shared" si="370"/>
        <v>Jul</v>
      </c>
      <c r="G1099" s="519" t="s">
        <v>1431</v>
      </c>
      <c r="H1099" s="519" t="s">
        <v>363</v>
      </c>
      <c r="I1099" s="519" t="s">
        <v>2772</v>
      </c>
      <c r="J1099" s="521" t="s">
        <v>364</v>
      </c>
      <c r="K1099" s="522" t="s">
        <v>1643</v>
      </c>
      <c r="L1099" s="300" t="s">
        <v>2167</v>
      </c>
      <c r="M1099" s="521" t="s">
        <v>1421</v>
      </c>
      <c r="N1099" s="519" t="s">
        <v>1422</v>
      </c>
      <c r="O1099" s="519" t="s">
        <v>743</v>
      </c>
      <c r="P1099" s="523">
        <v>36</v>
      </c>
      <c r="Q1099" s="523">
        <v>5</v>
      </c>
      <c r="R1099" s="524">
        <v>7.4999999999999997E-3</v>
      </c>
      <c r="S1099" s="519" t="s">
        <v>40</v>
      </c>
      <c r="T1099" s="519" t="s">
        <v>112</v>
      </c>
      <c r="U1099" s="634" t="s">
        <v>721</v>
      </c>
      <c r="V1099" s="525">
        <f>1288-1205</f>
        <v>83</v>
      </c>
      <c r="W1099" s="525">
        <f>71</f>
        <v>71</v>
      </c>
      <c r="X1099" s="526">
        <f>432/36</f>
        <v>12</v>
      </c>
      <c r="Y1099" s="527">
        <f t="shared" si="364"/>
        <v>0</v>
      </c>
      <c r="Z1099" s="528">
        <f t="shared" si="365"/>
        <v>0</v>
      </c>
      <c r="AA1099" s="528"/>
      <c r="AB1099" s="831"/>
      <c r="AC1099" s="525"/>
      <c r="AD1099" s="209"/>
      <c r="AE1099" s="210"/>
      <c r="AF1099" s="210"/>
      <c r="AG1099" s="211">
        <f t="shared" si="366"/>
        <v>0.14699999999999999</v>
      </c>
      <c r="AH1099" s="157">
        <f t="shared" si="367"/>
        <v>0</v>
      </c>
      <c r="AI1099" s="152">
        <f t="shared" si="368"/>
        <v>2988</v>
      </c>
      <c r="AK1099" s="156" t="s">
        <v>691</v>
      </c>
      <c r="AL1099" s="574" t="s">
        <v>690</v>
      </c>
      <c r="AM1099" s="198">
        <f t="shared" si="372"/>
        <v>0</v>
      </c>
      <c r="AN1099" s="199">
        <f t="shared" si="371"/>
        <v>45489</v>
      </c>
      <c r="AO1099" s="159" t="s">
        <v>692</v>
      </c>
      <c r="AP1099" s="783" t="s">
        <v>639</v>
      </c>
      <c r="AQ1099" s="782">
        <v>12071839</v>
      </c>
      <c r="AR1099" s="782">
        <v>12047514</v>
      </c>
      <c r="AS1099" s="782">
        <v>12047515</v>
      </c>
      <c r="AT1099" s="782">
        <v>12091753</v>
      </c>
      <c r="AU1099" s="781"/>
      <c r="AV1099" s="782">
        <v>12091754</v>
      </c>
      <c r="AW1099" s="782"/>
      <c r="AX1099" s="781"/>
      <c r="AY1099" s="782">
        <v>12091752</v>
      </c>
      <c r="AZ1099" s="781"/>
      <c r="BA1099" s="781"/>
    </row>
    <row r="1100" spans="2:53" ht="24.75" hidden="1" customHeight="1">
      <c r="B1100" s="295">
        <v>45490</v>
      </c>
      <c r="C1100" s="296" t="s">
        <v>1573</v>
      </c>
      <c r="D1100" s="185">
        <f t="shared" si="369"/>
        <v>2024</v>
      </c>
      <c r="E1100" s="296" t="str">
        <f>VLOOKUP($B1100,Week!$A$1:$C$1462,2,0)</f>
        <v>Week29</v>
      </c>
      <c r="F1100" s="297" t="str">
        <f t="shared" si="370"/>
        <v>Jul</v>
      </c>
      <c r="G1100" s="648" t="s">
        <v>47</v>
      </c>
      <c r="H1100" s="298" t="s">
        <v>260</v>
      </c>
      <c r="I1100" s="298" t="s">
        <v>2702</v>
      </c>
      <c r="J1100" s="307" t="s">
        <v>904</v>
      </c>
      <c r="K1100" s="300" t="s">
        <v>176</v>
      </c>
      <c r="L1100" s="300" t="s">
        <v>2167</v>
      </c>
      <c r="M1100" s="299" t="s">
        <v>262</v>
      </c>
      <c r="N1100" s="298" t="s">
        <v>350</v>
      </c>
      <c r="O1100" s="298" t="s">
        <v>351</v>
      </c>
      <c r="P1100" s="301">
        <v>24</v>
      </c>
      <c r="Q1100" s="301">
        <v>5</v>
      </c>
      <c r="R1100" s="302">
        <v>6.1999999999999998E-3</v>
      </c>
      <c r="S1100" s="298" t="s">
        <v>352</v>
      </c>
      <c r="T1100" s="298" t="s">
        <v>56</v>
      </c>
      <c r="U1100" s="298" t="s">
        <v>57</v>
      </c>
      <c r="V1100" s="303">
        <v>3238</v>
      </c>
      <c r="W1100" s="303">
        <f>3237</f>
        <v>3237</v>
      </c>
      <c r="X1100" s="304">
        <v>1</v>
      </c>
      <c r="Y1100" s="305">
        <f t="shared" si="364"/>
        <v>0</v>
      </c>
      <c r="Z1100" s="306">
        <f t="shared" si="365"/>
        <v>0</v>
      </c>
      <c r="AA1100" s="306"/>
      <c r="AB1100" s="814"/>
      <c r="AC1100" s="303"/>
      <c r="AD1100" s="381"/>
      <c r="AE1100" s="210"/>
      <c r="AF1100" s="210"/>
      <c r="AG1100" s="211">
        <f t="shared" si="366"/>
        <v>0.13</v>
      </c>
      <c r="AH1100" s="157">
        <f t="shared" si="367"/>
        <v>0</v>
      </c>
      <c r="AI1100" s="152">
        <f t="shared" si="368"/>
        <v>77712</v>
      </c>
      <c r="AK1100" s="156" t="s">
        <v>691</v>
      </c>
      <c r="AL1100" s="574" t="s">
        <v>690</v>
      </c>
      <c r="AM1100" s="198">
        <f t="shared" si="372"/>
        <v>0</v>
      </c>
      <c r="AN1100" s="199">
        <f t="shared" si="371"/>
        <v>45490</v>
      </c>
      <c r="AO1100" s="159" t="s">
        <v>692</v>
      </c>
      <c r="AP1100" s="783" t="s">
        <v>629</v>
      </c>
      <c r="AQ1100" s="782">
        <v>12071839</v>
      </c>
      <c r="AR1100" s="782">
        <v>12078867</v>
      </c>
      <c r="AS1100" s="782">
        <v>12068233</v>
      </c>
      <c r="AT1100" s="781"/>
      <c r="AU1100" s="781"/>
      <c r="AV1100" s="782">
        <v>12062075</v>
      </c>
      <c r="AW1100" s="781"/>
      <c r="AX1100" s="781"/>
      <c r="AY1100" s="782">
        <v>12078867</v>
      </c>
      <c r="AZ1100" s="781"/>
      <c r="BA1100" s="781"/>
    </row>
    <row r="1101" spans="2:53" ht="24.65" hidden="1" customHeight="1">
      <c r="B1101" s="466">
        <v>45490</v>
      </c>
      <c r="C1101" s="467">
        <v>45504</v>
      </c>
      <c r="D1101" s="185">
        <f t="shared" si="369"/>
        <v>2024</v>
      </c>
      <c r="E1101" s="467" t="str">
        <f>VLOOKUP($B1101,Week!$A$1:$C$1462,2,0)</f>
        <v>Week29</v>
      </c>
      <c r="F1101" s="469" t="str">
        <f t="shared" si="370"/>
        <v>Jul</v>
      </c>
      <c r="G1101" s="468" t="s">
        <v>1578</v>
      </c>
      <c r="H1101" s="468" t="s">
        <v>675</v>
      </c>
      <c r="I1101" s="468" t="s">
        <v>2772</v>
      </c>
      <c r="J1101" s="471" t="s">
        <v>709</v>
      </c>
      <c r="K1101" s="472" t="s">
        <v>107</v>
      </c>
      <c r="L1101" s="300" t="s">
        <v>2167</v>
      </c>
      <c r="M1101" s="471" t="s">
        <v>313</v>
      </c>
      <c r="N1101" s="617" t="s">
        <v>696</v>
      </c>
      <c r="O1101" s="468" t="s">
        <v>110</v>
      </c>
      <c r="P1101" s="473">
        <v>36</v>
      </c>
      <c r="Q1101" s="473">
        <v>5</v>
      </c>
      <c r="R1101" s="474">
        <v>7.4999999999999997E-3</v>
      </c>
      <c r="S1101" s="468" t="s">
        <v>111</v>
      </c>
      <c r="T1101" s="468" t="s">
        <v>112</v>
      </c>
      <c r="U1101" s="468" t="s">
        <v>57</v>
      </c>
      <c r="V1101" s="475">
        <v>320</v>
      </c>
      <c r="W1101" s="475">
        <f>1+319</f>
        <v>320</v>
      </c>
      <c r="X1101" s="476"/>
      <c r="Y1101" s="477">
        <f t="shared" si="364"/>
        <v>0</v>
      </c>
      <c r="Z1101" s="478">
        <f t="shared" si="365"/>
        <v>0</v>
      </c>
      <c r="AA1101" s="478"/>
      <c r="AB1101" s="828"/>
      <c r="AC1101" s="475"/>
      <c r="AD1101" s="515"/>
      <c r="AE1101" s="210"/>
      <c r="AF1101" s="210"/>
      <c r="AG1101" s="211">
        <f t="shared" si="366"/>
        <v>0.308</v>
      </c>
      <c r="AH1101" s="157">
        <f t="shared" si="367"/>
        <v>0</v>
      </c>
      <c r="AI1101" s="152">
        <f t="shared" si="368"/>
        <v>11520</v>
      </c>
      <c r="AK1101" s="156" t="s">
        <v>691</v>
      </c>
      <c r="AL1101" s="212" t="s">
        <v>690</v>
      </c>
      <c r="AM1101" s="198">
        <f t="shared" si="372"/>
        <v>0</v>
      </c>
      <c r="AN1101" s="199">
        <f t="shared" si="371"/>
        <v>45490</v>
      </c>
      <c r="AO1101" s="159" t="s">
        <v>692</v>
      </c>
      <c r="AP1101" s="783" t="s">
        <v>644</v>
      </c>
      <c r="AQ1101" s="782">
        <v>12063755</v>
      </c>
      <c r="AR1101" s="782">
        <v>12061353</v>
      </c>
      <c r="AS1101" s="782">
        <v>12061354</v>
      </c>
      <c r="AT1101" s="782">
        <v>12089990</v>
      </c>
      <c r="AU1101" s="781"/>
      <c r="AV1101" s="782">
        <v>12089997</v>
      </c>
      <c r="AW1101" s="782">
        <v>12088207</v>
      </c>
      <c r="AX1101" s="782"/>
      <c r="AY1101" s="782">
        <v>12089998</v>
      </c>
      <c r="AZ1101" s="782"/>
      <c r="BA1101" s="781"/>
    </row>
    <row r="1102" spans="2:53" ht="24.65" hidden="1" customHeight="1">
      <c r="B1102" s="308">
        <v>45490</v>
      </c>
      <c r="C1102" s="309">
        <v>45504</v>
      </c>
      <c r="D1102" s="185">
        <f t="shared" si="369"/>
        <v>2024</v>
      </c>
      <c r="E1102" s="309" t="str">
        <f>VLOOKUP($B1102,Week!$A$1:$C$1462,2,0)</f>
        <v>Week29</v>
      </c>
      <c r="F1102" s="310" t="str">
        <f t="shared" si="370"/>
        <v>Jul</v>
      </c>
      <c r="G1102" s="311" t="s">
        <v>1472</v>
      </c>
      <c r="H1102" s="311" t="s">
        <v>311</v>
      </c>
      <c r="I1102" s="311" t="s">
        <v>2772</v>
      </c>
      <c r="J1102" s="312" t="s">
        <v>738</v>
      </c>
      <c r="K1102" s="313" t="s">
        <v>107</v>
      </c>
      <c r="L1102" s="300" t="s">
        <v>2167</v>
      </c>
      <c r="M1102" s="312" t="s">
        <v>313</v>
      </c>
      <c r="N1102" s="311" t="s">
        <v>314</v>
      </c>
      <c r="O1102" s="311" t="s">
        <v>110</v>
      </c>
      <c r="P1102" s="314">
        <v>36</v>
      </c>
      <c r="Q1102" s="314">
        <v>5</v>
      </c>
      <c r="R1102" s="315">
        <v>7.4999999999999997E-3</v>
      </c>
      <c r="S1102" s="311" t="s">
        <v>111</v>
      </c>
      <c r="T1102" s="311" t="s">
        <v>112</v>
      </c>
      <c r="U1102" s="311" t="s">
        <v>57</v>
      </c>
      <c r="V1102" s="316">
        <v>792</v>
      </c>
      <c r="W1102" s="316">
        <f>609</f>
        <v>609</v>
      </c>
      <c r="X1102" s="317">
        <f>183</f>
        <v>183</v>
      </c>
      <c r="Y1102" s="318">
        <f t="shared" si="364"/>
        <v>0</v>
      </c>
      <c r="Z1102" s="319">
        <f t="shared" si="365"/>
        <v>0</v>
      </c>
      <c r="AA1102" s="319"/>
      <c r="AB1102" s="815"/>
      <c r="AC1102" s="316"/>
      <c r="AD1102" s="515"/>
      <c r="AE1102" s="210"/>
      <c r="AF1102" s="210"/>
      <c r="AG1102" s="211">
        <f t="shared" si="366"/>
        <v>0.308</v>
      </c>
      <c r="AH1102" s="157">
        <f t="shared" si="367"/>
        <v>0</v>
      </c>
      <c r="AI1102" s="152">
        <f t="shared" si="368"/>
        <v>28512</v>
      </c>
      <c r="AK1102" s="156" t="s">
        <v>691</v>
      </c>
      <c r="AL1102" s="212" t="s">
        <v>690</v>
      </c>
      <c r="AM1102" s="198">
        <f t="shared" si="372"/>
        <v>0</v>
      </c>
      <c r="AN1102" s="199">
        <f t="shared" si="371"/>
        <v>45490</v>
      </c>
      <c r="AO1102" s="159" t="s">
        <v>692</v>
      </c>
      <c r="AP1102" s="783" t="s">
        <v>644</v>
      </c>
      <c r="AQ1102" s="782">
        <v>12063755</v>
      </c>
      <c r="AR1102" s="782">
        <v>12061353</v>
      </c>
      <c r="AS1102" s="782">
        <v>12061354</v>
      </c>
      <c r="AT1102" s="782">
        <v>12062266</v>
      </c>
      <c r="AU1102" s="781"/>
      <c r="AV1102" s="782">
        <v>12088159</v>
      </c>
      <c r="AW1102" s="782">
        <v>12088207</v>
      </c>
      <c r="AX1102" s="782"/>
      <c r="AY1102" s="782">
        <v>12062262</v>
      </c>
      <c r="AZ1102" s="782"/>
      <c r="BA1102" s="781"/>
    </row>
    <row r="1103" spans="2:53" ht="24.65" hidden="1" customHeight="1">
      <c r="B1103" s="308">
        <v>45490</v>
      </c>
      <c r="C1103" s="309">
        <v>45519</v>
      </c>
      <c r="D1103" s="185">
        <f t="shared" si="369"/>
        <v>2024</v>
      </c>
      <c r="E1103" s="309" t="str">
        <f>VLOOKUP($B1103,Week!$A$1:$C$1462,2,0)</f>
        <v>Week29</v>
      </c>
      <c r="F1103" s="310" t="str">
        <f t="shared" si="370"/>
        <v>Jul</v>
      </c>
      <c r="G1103" s="311" t="s">
        <v>1510</v>
      </c>
      <c r="H1103" s="311" t="s">
        <v>311</v>
      </c>
      <c r="I1103" s="311" t="s">
        <v>2772</v>
      </c>
      <c r="J1103" s="312" t="s">
        <v>738</v>
      </c>
      <c r="K1103" s="313" t="s">
        <v>107</v>
      </c>
      <c r="L1103" s="300" t="s">
        <v>2167</v>
      </c>
      <c r="M1103" s="312" t="s">
        <v>313</v>
      </c>
      <c r="N1103" s="311" t="s">
        <v>314</v>
      </c>
      <c r="O1103" s="311" t="s">
        <v>110</v>
      </c>
      <c r="P1103" s="314">
        <v>36</v>
      </c>
      <c r="Q1103" s="314">
        <v>5</v>
      </c>
      <c r="R1103" s="315">
        <v>7.4999999999999997E-3</v>
      </c>
      <c r="S1103" s="311" t="s">
        <v>111</v>
      </c>
      <c r="T1103" s="311" t="s">
        <v>112</v>
      </c>
      <c r="U1103" s="311" t="s">
        <v>57</v>
      </c>
      <c r="V1103" s="316">
        <v>792</v>
      </c>
      <c r="W1103" s="316">
        <f>1401-609</f>
        <v>792</v>
      </c>
      <c r="X1103" s="317"/>
      <c r="Y1103" s="318">
        <f t="shared" si="364"/>
        <v>0</v>
      </c>
      <c r="Z1103" s="319">
        <f t="shared" si="365"/>
        <v>0</v>
      </c>
      <c r="AA1103" s="319"/>
      <c r="AB1103" s="815"/>
      <c r="AC1103" s="316"/>
      <c r="AD1103" s="515"/>
      <c r="AE1103" s="210"/>
      <c r="AF1103" s="210"/>
      <c r="AG1103" s="211">
        <f t="shared" si="366"/>
        <v>0.308</v>
      </c>
      <c r="AH1103" s="157">
        <f t="shared" si="367"/>
        <v>0</v>
      </c>
      <c r="AI1103" s="152">
        <f t="shared" si="368"/>
        <v>28512</v>
      </c>
      <c r="AK1103" s="156" t="s">
        <v>691</v>
      </c>
      <c r="AL1103" s="212" t="s">
        <v>690</v>
      </c>
      <c r="AM1103" s="198">
        <f t="shared" si="372"/>
        <v>0</v>
      </c>
      <c r="AN1103" s="199">
        <f t="shared" si="371"/>
        <v>45490</v>
      </c>
      <c r="AO1103" s="159" t="s">
        <v>692</v>
      </c>
      <c r="AP1103" s="783" t="s">
        <v>644</v>
      </c>
      <c r="AQ1103" s="782">
        <v>12063755</v>
      </c>
      <c r="AR1103" s="782">
        <v>12061353</v>
      </c>
      <c r="AS1103" s="782">
        <v>12061354</v>
      </c>
      <c r="AT1103" s="782">
        <v>12062266</v>
      </c>
      <c r="AU1103" s="781"/>
      <c r="AV1103" s="782">
        <v>12088159</v>
      </c>
      <c r="AW1103" s="782">
        <v>12088207</v>
      </c>
      <c r="AX1103" s="782"/>
      <c r="AY1103" s="782">
        <v>12062262</v>
      </c>
      <c r="AZ1103" s="782"/>
      <c r="BA1103" s="781"/>
    </row>
    <row r="1104" spans="2:53" ht="24.65" hidden="1" customHeight="1">
      <c r="B1104" s="224">
        <v>45491</v>
      </c>
      <c r="C1104" s="224">
        <v>45496</v>
      </c>
      <c r="D1104" s="185">
        <f t="shared" si="369"/>
        <v>2024</v>
      </c>
      <c r="E1104" s="224" t="str">
        <f>VLOOKUP($B1104,Week!$A$1:$C$1462,2,0)</f>
        <v>Week29</v>
      </c>
      <c r="F1104" s="226" t="str">
        <f t="shared" si="370"/>
        <v>Jul</v>
      </c>
      <c r="G1104" s="642" t="s">
        <v>1490</v>
      </c>
      <c r="H1104" s="225" t="s">
        <v>104</v>
      </c>
      <c r="I1104" s="225" t="s">
        <v>2772</v>
      </c>
      <c r="J1104" s="227" t="s">
        <v>105</v>
      </c>
      <c r="K1104" s="228" t="s">
        <v>676</v>
      </c>
      <c r="L1104" s="300" t="s">
        <v>2167</v>
      </c>
      <c r="M1104" s="227" t="s">
        <v>108</v>
      </c>
      <c r="N1104" s="225" t="s">
        <v>688</v>
      </c>
      <c r="O1104" s="225" t="s">
        <v>428</v>
      </c>
      <c r="P1104" s="229">
        <v>24</v>
      </c>
      <c r="Q1104" s="229">
        <v>5</v>
      </c>
      <c r="R1104" s="230">
        <v>6.0000000000000001E-3</v>
      </c>
      <c r="S1104" s="225" t="s">
        <v>55</v>
      </c>
      <c r="T1104" s="225" t="s">
        <v>112</v>
      </c>
      <c r="U1104" s="225" t="s">
        <v>113</v>
      </c>
      <c r="V1104" s="231">
        <f>200</f>
        <v>200</v>
      </c>
      <c r="W1104" s="231">
        <f>1+199</f>
        <v>200</v>
      </c>
      <c r="X1104" s="232"/>
      <c r="Y1104" s="233">
        <f t="shared" si="364"/>
        <v>0</v>
      </c>
      <c r="Z1104" s="234">
        <f t="shared" si="365"/>
        <v>0</v>
      </c>
      <c r="AA1104" s="234"/>
      <c r="AB1104" s="822"/>
      <c r="AC1104" s="231"/>
      <c r="AD1104" s="307" t="s">
        <v>1363</v>
      </c>
      <c r="AE1104" s="210"/>
      <c r="AF1104" s="210"/>
      <c r="AG1104" s="211">
        <f t="shared" si="366"/>
        <v>0.308</v>
      </c>
      <c r="AH1104" s="157">
        <f t="shared" si="367"/>
        <v>0</v>
      </c>
      <c r="AI1104" s="152">
        <f t="shared" si="368"/>
        <v>4800</v>
      </c>
      <c r="AK1104" s="156" t="s">
        <v>691</v>
      </c>
      <c r="AL1104" s="212" t="s">
        <v>690</v>
      </c>
      <c r="AM1104" s="198">
        <f t="shared" si="372"/>
        <v>0</v>
      </c>
      <c r="AN1104" s="199">
        <f t="shared" si="371"/>
        <v>45491</v>
      </c>
      <c r="AO1104" s="159" t="s">
        <v>692</v>
      </c>
      <c r="AP1104" s="783" t="s">
        <v>629</v>
      </c>
      <c r="AQ1104" s="782">
        <v>12063755</v>
      </c>
      <c r="AR1104" s="782">
        <v>12061353</v>
      </c>
      <c r="AS1104" s="782">
        <v>12061354</v>
      </c>
      <c r="AT1104" s="782">
        <v>12085752</v>
      </c>
      <c r="AU1104" s="781"/>
      <c r="AV1104" s="782">
        <v>12069473</v>
      </c>
      <c r="AW1104" s="782">
        <v>12068154</v>
      </c>
      <c r="AX1104" s="782"/>
      <c r="AY1104" s="782">
        <v>12085753</v>
      </c>
      <c r="AZ1104" s="782"/>
      <c r="BA1104" s="781"/>
    </row>
    <row r="1105" spans="1:53" ht="24.65" hidden="1" customHeight="1">
      <c r="B1105" s="224">
        <v>45491</v>
      </c>
      <c r="C1105" s="224">
        <v>45503</v>
      </c>
      <c r="D1105" s="185">
        <f t="shared" si="369"/>
        <v>2024</v>
      </c>
      <c r="E1105" s="224" t="str">
        <f>VLOOKUP($B1105,Week!$A$1:$C$1462,2,0)</f>
        <v>Week29</v>
      </c>
      <c r="F1105" s="226" t="str">
        <f t="shared" si="370"/>
        <v>Jul</v>
      </c>
      <c r="G1105" s="642" t="s">
        <v>1492</v>
      </c>
      <c r="H1105" s="225" t="s">
        <v>104</v>
      </c>
      <c r="I1105" s="225" t="s">
        <v>2772</v>
      </c>
      <c r="J1105" s="227" t="s">
        <v>105</v>
      </c>
      <c r="K1105" s="228" t="s">
        <v>676</v>
      </c>
      <c r="L1105" s="300" t="s">
        <v>2167</v>
      </c>
      <c r="M1105" s="227" t="s">
        <v>108</v>
      </c>
      <c r="N1105" s="225" t="s">
        <v>688</v>
      </c>
      <c r="O1105" s="225" t="s">
        <v>428</v>
      </c>
      <c r="P1105" s="229">
        <v>24</v>
      </c>
      <c r="Q1105" s="229">
        <v>5</v>
      </c>
      <c r="R1105" s="230">
        <v>6.0000000000000001E-3</v>
      </c>
      <c r="S1105" s="225" t="s">
        <v>55</v>
      </c>
      <c r="T1105" s="225" t="s">
        <v>112</v>
      </c>
      <c r="U1105" s="225" t="s">
        <v>113</v>
      </c>
      <c r="V1105" s="231">
        <f>200</f>
        <v>200</v>
      </c>
      <c r="W1105" s="231">
        <v>200</v>
      </c>
      <c r="X1105" s="232"/>
      <c r="Y1105" s="233">
        <f t="shared" si="364"/>
        <v>0</v>
      </c>
      <c r="Z1105" s="234">
        <f t="shared" si="365"/>
        <v>0</v>
      </c>
      <c r="AA1105" s="234"/>
      <c r="AB1105" s="822"/>
      <c r="AC1105" s="231"/>
      <c r="AD1105" s="307" t="s">
        <v>1363</v>
      </c>
      <c r="AE1105" s="210"/>
      <c r="AF1105" s="210"/>
      <c r="AG1105" s="211">
        <f t="shared" si="366"/>
        <v>0.308</v>
      </c>
      <c r="AH1105" s="157">
        <f t="shared" si="367"/>
        <v>0</v>
      </c>
      <c r="AI1105" s="152">
        <f t="shared" si="368"/>
        <v>4800</v>
      </c>
      <c r="AK1105" s="156" t="s">
        <v>691</v>
      </c>
      <c r="AL1105" s="212" t="s">
        <v>690</v>
      </c>
      <c r="AM1105" s="198">
        <f t="shared" si="372"/>
        <v>0</v>
      </c>
      <c r="AN1105" s="199">
        <f t="shared" si="371"/>
        <v>45491</v>
      </c>
      <c r="AO1105" s="159" t="s">
        <v>692</v>
      </c>
      <c r="AP1105" s="783" t="s">
        <v>629</v>
      </c>
      <c r="AQ1105" s="782">
        <v>12063755</v>
      </c>
      <c r="AR1105" s="782">
        <v>12061353</v>
      </c>
      <c r="AS1105" s="782">
        <v>12061354</v>
      </c>
      <c r="AT1105" s="782">
        <v>12085752</v>
      </c>
      <c r="AU1105" s="781"/>
      <c r="AV1105" s="782">
        <v>12069473</v>
      </c>
      <c r="AW1105" s="782">
        <v>12068154</v>
      </c>
      <c r="AX1105" s="782"/>
      <c r="AY1105" s="782">
        <v>12085753</v>
      </c>
      <c r="AZ1105" s="782"/>
      <c r="BA1105" s="781"/>
    </row>
    <row r="1106" spans="1:53" ht="24.65" hidden="1" customHeight="1">
      <c r="B1106" s="224">
        <v>45491</v>
      </c>
      <c r="C1106" s="224">
        <v>45524</v>
      </c>
      <c r="D1106" s="185">
        <f t="shared" si="369"/>
        <v>2024</v>
      </c>
      <c r="E1106" s="224" t="str">
        <f>VLOOKUP($B1106,Week!$A$1:$C$1462,2,0)</f>
        <v>Week29</v>
      </c>
      <c r="F1106" s="226" t="str">
        <f t="shared" si="370"/>
        <v>Jul</v>
      </c>
      <c r="G1106" s="642" t="s">
        <v>1494</v>
      </c>
      <c r="H1106" s="225" t="s">
        <v>104</v>
      </c>
      <c r="I1106" s="225" t="s">
        <v>2772</v>
      </c>
      <c r="J1106" s="227" t="s">
        <v>105</v>
      </c>
      <c r="K1106" s="228" t="s">
        <v>676</v>
      </c>
      <c r="L1106" s="300" t="s">
        <v>2167</v>
      </c>
      <c r="M1106" s="227" t="s">
        <v>108</v>
      </c>
      <c r="N1106" s="225" t="s">
        <v>688</v>
      </c>
      <c r="O1106" s="225" t="s">
        <v>428</v>
      </c>
      <c r="P1106" s="229">
        <v>24</v>
      </c>
      <c r="Q1106" s="229">
        <v>5</v>
      </c>
      <c r="R1106" s="230">
        <v>6.0000000000000001E-3</v>
      </c>
      <c r="S1106" s="225" t="s">
        <v>55</v>
      </c>
      <c r="T1106" s="225" t="s">
        <v>112</v>
      </c>
      <c r="U1106" s="225" t="s">
        <v>113</v>
      </c>
      <c r="V1106" s="231">
        <v>200</v>
      </c>
      <c r="W1106" s="231">
        <f>597-199-200+2</f>
        <v>200</v>
      </c>
      <c r="X1106" s="232"/>
      <c r="Y1106" s="233">
        <f t="shared" si="364"/>
        <v>0</v>
      </c>
      <c r="Z1106" s="234">
        <f t="shared" si="365"/>
        <v>0</v>
      </c>
      <c r="AA1106" s="234"/>
      <c r="AB1106" s="822"/>
      <c r="AC1106" s="231"/>
      <c r="AD1106" s="307" t="s">
        <v>1363</v>
      </c>
      <c r="AE1106" s="210"/>
      <c r="AF1106" s="210"/>
      <c r="AG1106" s="211">
        <f t="shared" si="366"/>
        <v>0.308</v>
      </c>
      <c r="AH1106" s="157">
        <f t="shared" si="367"/>
        <v>0</v>
      </c>
      <c r="AI1106" s="152">
        <f t="shared" si="368"/>
        <v>4800</v>
      </c>
      <c r="AK1106" s="156" t="s">
        <v>691</v>
      </c>
      <c r="AL1106" s="212" t="s">
        <v>690</v>
      </c>
      <c r="AM1106" s="198">
        <f t="shared" si="372"/>
        <v>0</v>
      </c>
      <c r="AN1106" s="199">
        <f t="shared" si="371"/>
        <v>45491</v>
      </c>
      <c r="AO1106" s="159" t="s">
        <v>692</v>
      </c>
      <c r="AP1106" s="783" t="s">
        <v>629</v>
      </c>
      <c r="AQ1106" s="782">
        <v>12063755</v>
      </c>
      <c r="AR1106" s="782">
        <v>12061353</v>
      </c>
      <c r="AS1106" s="782">
        <v>12061354</v>
      </c>
      <c r="AT1106" s="782">
        <v>12085752</v>
      </c>
      <c r="AU1106" s="781"/>
      <c r="AV1106" s="782">
        <v>12069473</v>
      </c>
      <c r="AW1106" s="782">
        <v>12068154</v>
      </c>
      <c r="AX1106" s="782"/>
      <c r="AY1106" s="782">
        <v>12085753</v>
      </c>
      <c r="AZ1106" s="782"/>
      <c r="BA1106" s="781"/>
    </row>
    <row r="1107" spans="1:53" ht="25" hidden="1" customHeight="1">
      <c r="B1107" s="213">
        <v>45491</v>
      </c>
      <c r="C1107" s="578">
        <v>45503</v>
      </c>
      <c r="D1107" s="185">
        <f t="shared" si="369"/>
        <v>2024</v>
      </c>
      <c r="E1107" s="215" t="str">
        <f>VLOOKUP($B1107,Week!$A$1:$C$1462,2,0)</f>
        <v>Week29</v>
      </c>
      <c r="F1107" s="216" t="str">
        <f t="shared" si="370"/>
        <v>Jul</v>
      </c>
      <c r="G1107" s="215" t="s">
        <v>1387</v>
      </c>
      <c r="H1107" s="215" t="s">
        <v>104</v>
      </c>
      <c r="I1107" s="215" t="s">
        <v>2772</v>
      </c>
      <c r="J1107" s="209" t="s">
        <v>105</v>
      </c>
      <c r="K1107" s="217" t="s">
        <v>107</v>
      </c>
      <c r="L1107" s="300" t="s">
        <v>2167</v>
      </c>
      <c r="M1107" s="209" t="s">
        <v>108</v>
      </c>
      <c r="N1107" s="215" t="s">
        <v>109</v>
      </c>
      <c r="O1107" s="215" t="s">
        <v>110</v>
      </c>
      <c r="P1107" s="218">
        <v>36</v>
      </c>
      <c r="Q1107" s="218">
        <v>5</v>
      </c>
      <c r="R1107" s="219">
        <v>7.4999999999999997E-3</v>
      </c>
      <c r="S1107" s="215" t="s">
        <v>111</v>
      </c>
      <c r="T1107" s="215" t="s">
        <v>112</v>
      </c>
      <c r="U1107" s="215" t="s">
        <v>113</v>
      </c>
      <c r="V1107" s="220">
        <f>792-120</f>
        <v>672</v>
      </c>
      <c r="W1107" s="220">
        <f>792-120</f>
        <v>672</v>
      </c>
      <c r="X1107" s="221"/>
      <c r="Y1107" s="222">
        <f t="shared" si="364"/>
        <v>0</v>
      </c>
      <c r="Z1107" s="223">
        <f t="shared" si="365"/>
        <v>0</v>
      </c>
      <c r="AA1107" s="223"/>
      <c r="AB1107" s="807"/>
      <c r="AC1107" s="220"/>
      <c r="AD1107" s="209"/>
      <c r="AE1107" s="210"/>
      <c r="AF1107" s="210"/>
      <c r="AG1107" s="211">
        <f t="shared" si="366"/>
        <v>0.308</v>
      </c>
      <c r="AH1107" s="157">
        <f t="shared" si="367"/>
        <v>0</v>
      </c>
      <c r="AI1107" s="152">
        <f t="shared" si="368"/>
        <v>24192</v>
      </c>
      <c r="AK1107" s="156" t="s">
        <v>691</v>
      </c>
      <c r="AL1107" s="574" t="s">
        <v>690</v>
      </c>
      <c r="AM1107" s="198">
        <f t="shared" si="372"/>
        <v>0</v>
      </c>
      <c r="AN1107" s="199">
        <f t="shared" si="371"/>
        <v>45491</v>
      </c>
      <c r="AO1107" s="159" t="s">
        <v>692</v>
      </c>
      <c r="AP1107" s="781"/>
      <c r="AQ1107" s="782">
        <v>12063755</v>
      </c>
      <c r="AR1107" s="782">
        <v>12061353</v>
      </c>
      <c r="AS1107" s="782">
        <v>12061354</v>
      </c>
      <c r="AT1107" s="782">
        <v>12068566</v>
      </c>
      <c r="AU1107" s="781"/>
      <c r="AV1107" s="782">
        <v>12088206</v>
      </c>
      <c r="AW1107" s="782">
        <v>12088207</v>
      </c>
      <c r="AX1107" s="782"/>
      <c r="AY1107" s="782">
        <v>12068565</v>
      </c>
      <c r="AZ1107" s="782"/>
      <c r="BA1107" s="781"/>
    </row>
    <row r="1108" spans="1:53" ht="25" hidden="1" customHeight="1">
      <c r="B1108" s="213">
        <v>45491</v>
      </c>
      <c r="C1108" s="578">
        <v>45503</v>
      </c>
      <c r="D1108" s="185">
        <f t="shared" si="369"/>
        <v>2024</v>
      </c>
      <c r="E1108" s="215" t="str">
        <f>VLOOKUP($B1108,Week!$A$1:$C$1462,2,0)</f>
        <v>Week29</v>
      </c>
      <c r="F1108" s="216" t="str">
        <f t="shared" si="370"/>
        <v>Jul</v>
      </c>
      <c r="G1108" s="215" t="s">
        <v>1388</v>
      </c>
      <c r="H1108" s="215" t="s">
        <v>104</v>
      </c>
      <c r="I1108" s="215" t="s">
        <v>2772</v>
      </c>
      <c r="J1108" s="209" t="s">
        <v>105</v>
      </c>
      <c r="K1108" s="217" t="s">
        <v>107</v>
      </c>
      <c r="L1108" s="300" t="s">
        <v>2167</v>
      </c>
      <c r="M1108" s="209" t="s">
        <v>108</v>
      </c>
      <c r="N1108" s="215" t="s">
        <v>109</v>
      </c>
      <c r="O1108" s="215" t="s">
        <v>110</v>
      </c>
      <c r="P1108" s="218">
        <v>36</v>
      </c>
      <c r="Q1108" s="218">
        <v>5</v>
      </c>
      <c r="R1108" s="219">
        <v>7.4999999999999997E-3</v>
      </c>
      <c r="S1108" s="215" t="s">
        <v>111</v>
      </c>
      <c r="T1108" s="215" t="s">
        <v>112</v>
      </c>
      <c r="U1108" s="215" t="s">
        <v>113</v>
      </c>
      <c r="V1108" s="220">
        <v>792</v>
      </c>
      <c r="W1108" s="220">
        <v>792</v>
      </c>
      <c r="X1108" s="221"/>
      <c r="Y1108" s="222">
        <f t="shared" si="364"/>
        <v>0</v>
      </c>
      <c r="Z1108" s="223">
        <f t="shared" si="365"/>
        <v>0</v>
      </c>
      <c r="AA1108" s="223"/>
      <c r="AB1108" s="807"/>
      <c r="AC1108" s="220"/>
      <c r="AD1108" s="209"/>
      <c r="AE1108" s="210"/>
      <c r="AF1108" s="210"/>
      <c r="AG1108" s="211">
        <f t="shared" si="366"/>
        <v>0.308</v>
      </c>
      <c r="AH1108" s="157">
        <f t="shared" si="367"/>
        <v>0</v>
      </c>
      <c r="AI1108" s="152">
        <f t="shared" si="368"/>
        <v>28512</v>
      </c>
      <c r="AK1108" s="156" t="s">
        <v>691</v>
      </c>
      <c r="AL1108" s="574" t="s">
        <v>690</v>
      </c>
      <c r="AM1108" s="198">
        <f t="shared" si="372"/>
        <v>0</v>
      </c>
      <c r="AN1108" s="199">
        <f t="shared" si="371"/>
        <v>45491</v>
      </c>
      <c r="AO1108" s="159" t="s">
        <v>692</v>
      </c>
      <c r="AP1108" s="781"/>
      <c r="AQ1108" s="782">
        <v>12063755</v>
      </c>
      <c r="AR1108" s="782">
        <v>12061353</v>
      </c>
      <c r="AS1108" s="782">
        <v>12061354</v>
      </c>
      <c r="AT1108" s="782">
        <v>12068566</v>
      </c>
      <c r="AU1108" s="781"/>
      <c r="AV1108" s="782">
        <v>12088206</v>
      </c>
      <c r="AW1108" s="782">
        <v>12088207</v>
      </c>
      <c r="AX1108" s="782"/>
      <c r="AY1108" s="782">
        <v>12068565</v>
      </c>
      <c r="AZ1108" s="782"/>
      <c r="BA1108" s="781"/>
    </row>
    <row r="1109" spans="1:53" ht="25" hidden="1" customHeight="1">
      <c r="B1109" s="213">
        <v>45491</v>
      </c>
      <c r="C1109" s="578">
        <v>45509</v>
      </c>
      <c r="D1109" s="185">
        <f t="shared" si="369"/>
        <v>2024</v>
      </c>
      <c r="E1109" s="215" t="str">
        <f>VLOOKUP($B1109,Week!$A$1:$C$1462,2,0)</f>
        <v>Week29</v>
      </c>
      <c r="F1109" s="216" t="str">
        <f t="shared" si="370"/>
        <v>Jul</v>
      </c>
      <c r="G1109" s="215" t="s">
        <v>1389</v>
      </c>
      <c r="H1109" s="215" t="s">
        <v>104</v>
      </c>
      <c r="I1109" s="215" t="s">
        <v>2772</v>
      </c>
      <c r="J1109" s="209" t="s">
        <v>105</v>
      </c>
      <c r="K1109" s="217" t="s">
        <v>107</v>
      </c>
      <c r="L1109" s="300" t="s">
        <v>2167</v>
      </c>
      <c r="M1109" s="209" t="s">
        <v>108</v>
      </c>
      <c r="N1109" s="215" t="s">
        <v>109</v>
      </c>
      <c r="O1109" s="215" t="s">
        <v>110</v>
      </c>
      <c r="P1109" s="218">
        <v>36</v>
      </c>
      <c r="Q1109" s="218">
        <v>5</v>
      </c>
      <c r="R1109" s="219">
        <v>7.4999999999999997E-3</v>
      </c>
      <c r="S1109" s="215" t="s">
        <v>111</v>
      </c>
      <c r="T1109" s="215" t="s">
        <v>112</v>
      </c>
      <c r="U1109" s="215" t="s">
        <v>113</v>
      </c>
      <c r="V1109" s="220">
        <v>792</v>
      </c>
      <c r="W1109" s="220">
        <v>792</v>
      </c>
      <c r="X1109" s="221"/>
      <c r="Y1109" s="222">
        <f t="shared" si="364"/>
        <v>0</v>
      </c>
      <c r="Z1109" s="223">
        <f t="shared" si="365"/>
        <v>0</v>
      </c>
      <c r="AA1109" s="223"/>
      <c r="AB1109" s="807"/>
      <c r="AC1109" s="220"/>
      <c r="AD1109" s="209"/>
      <c r="AE1109" s="210"/>
      <c r="AF1109" s="210"/>
      <c r="AG1109" s="211">
        <f t="shared" si="366"/>
        <v>0.308</v>
      </c>
      <c r="AH1109" s="157">
        <f t="shared" si="367"/>
        <v>0</v>
      </c>
      <c r="AI1109" s="152">
        <f t="shared" si="368"/>
        <v>28512</v>
      </c>
      <c r="AK1109" s="156" t="s">
        <v>691</v>
      </c>
      <c r="AL1109" s="574" t="s">
        <v>690</v>
      </c>
      <c r="AM1109" s="198">
        <f t="shared" si="372"/>
        <v>0</v>
      </c>
      <c r="AN1109" s="199">
        <f t="shared" si="371"/>
        <v>45491</v>
      </c>
      <c r="AO1109" s="159" t="s">
        <v>692</v>
      </c>
      <c r="AP1109" s="781"/>
      <c r="AQ1109" s="782">
        <v>12063755</v>
      </c>
      <c r="AR1109" s="782">
        <v>12061353</v>
      </c>
      <c r="AS1109" s="782">
        <v>12061354</v>
      </c>
      <c r="AT1109" s="782">
        <v>12068566</v>
      </c>
      <c r="AU1109" s="781"/>
      <c r="AV1109" s="782">
        <v>12088206</v>
      </c>
      <c r="AW1109" s="782">
        <v>12088207</v>
      </c>
      <c r="AX1109" s="782"/>
      <c r="AY1109" s="782">
        <v>12068565</v>
      </c>
      <c r="AZ1109" s="782"/>
      <c r="BA1109" s="781"/>
    </row>
    <row r="1110" spans="1:53" ht="25" hidden="1" customHeight="1">
      <c r="B1110" s="213">
        <v>45491</v>
      </c>
      <c r="C1110" s="578">
        <v>45509</v>
      </c>
      <c r="D1110" s="185">
        <f t="shared" si="369"/>
        <v>2024</v>
      </c>
      <c r="E1110" s="215" t="str">
        <f>VLOOKUP($B1110,Week!$A$1:$C$1462,2,0)</f>
        <v>Week29</v>
      </c>
      <c r="F1110" s="216" t="str">
        <f t="shared" si="370"/>
        <v>Jul</v>
      </c>
      <c r="G1110" s="215" t="s">
        <v>1390</v>
      </c>
      <c r="H1110" s="215" t="s">
        <v>104</v>
      </c>
      <c r="I1110" s="215" t="s">
        <v>2772</v>
      </c>
      <c r="J1110" s="209" t="s">
        <v>105</v>
      </c>
      <c r="K1110" s="217" t="s">
        <v>107</v>
      </c>
      <c r="L1110" s="300" t="s">
        <v>2167</v>
      </c>
      <c r="M1110" s="209" t="s">
        <v>108</v>
      </c>
      <c r="N1110" s="215" t="s">
        <v>109</v>
      </c>
      <c r="O1110" s="215" t="s">
        <v>110</v>
      </c>
      <c r="P1110" s="218">
        <v>36</v>
      </c>
      <c r="Q1110" s="218">
        <v>5</v>
      </c>
      <c r="R1110" s="219">
        <v>7.4999999999999997E-3</v>
      </c>
      <c r="S1110" s="215" t="s">
        <v>111</v>
      </c>
      <c r="T1110" s="215" t="s">
        <v>112</v>
      </c>
      <c r="U1110" s="215" t="s">
        <v>113</v>
      </c>
      <c r="V1110" s="220">
        <f>2545-672-792-792</f>
        <v>289</v>
      </c>
      <c r="W1110" s="220">
        <f>2545-672-792-792</f>
        <v>289</v>
      </c>
      <c r="X1110" s="221"/>
      <c r="Y1110" s="222">
        <f t="shared" si="364"/>
        <v>0</v>
      </c>
      <c r="Z1110" s="223">
        <f t="shared" si="365"/>
        <v>0</v>
      </c>
      <c r="AA1110" s="223"/>
      <c r="AB1110" s="807"/>
      <c r="AC1110" s="220"/>
      <c r="AD1110" s="209"/>
      <c r="AE1110" s="210"/>
      <c r="AF1110" s="210"/>
      <c r="AG1110" s="211">
        <f t="shared" si="366"/>
        <v>0.308</v>
      </c>
      <c r="AH1110" s="157">
        <f t="shared" si="367"/>
        <v>0</v>
      </c>
      <c r="AI1110" s="152">
        <f t="shared" si="368"/>
        <v>10404</v>
      </c>
      <c r="AK1110" s="156" t="s">
        <v>691</v>
      </c>
      <c r="AL1110" s="574" t="s">
        <v>690</v>
      </c>
      <c r="AM1110" s="198">
        <f t="shared" si="372"/>
        <v>0</v>
      </c>
      <c r="AN1110" s="199">
        <f t="shared" si="371"/>
        <v>45491</v>
      </c>
      <c r="AO1110" s="159" t="s">
        <v>692</v>
      </c>
      <c r="AP1110" s="781"/>
      <c r="AQ1110" s="782">
        <v>12063755</v>
      </c>
      <c r="AR1110" s="782">
        <v>12061353</v>
      </c>
      <c r="AS1110" s="782">
        <v>12061354</v>
      </c>
      <c r="AT1110" s="782">
        <v>12068566</v>
      </c>
      <c r="AU1110" s="781"/>
      <c r="AV1110" s="782">
        <v>12088206</v>
      </c>
      <c r="AW1110" s="782">
        <v>12088207</v>
      </c>
      <c r="AX1110" s="782"/>
      <c r="AY1110" s="782">
        <v>12068565</v>
      </c>
      <c r="AZ1110" s="782"/>
      <c r="BA1110" s="781"/>
    </row>
    <row r="1111" spans="1:53" ht="25" hidden="1" customHeight="1">
      <c r="A1111" s="440"/>
      <c r="B1111" s="271">
        <v>45491</v>
      </c>
      <c r="C1111" s="271">
        <v>45505</v>
      </c>
      <c r="D1111" s="185">
        <f t="shared" si="369"/>
        <v>2024</v>
      </c>
      <c r="E1111" s="441" t="str">
        <f>VLOOKUP($B1111,Week!$A$1:$C$1462,2,0)</f>
        <v>Week29</v>
      </c>
      <c r="F1111" s="442" t="str">
        <f t="shared" si="370"/>
        <v>Jul</v>
      </c>
      <c r="G1111" s="423" t="s">
        <v>1166</v>
      </c>
      <c r="H1111" s="274" t="s">
        <v>267</v>
      </c>
      <c r="I1111" s="274" t="s">
        <v>2772</v>
      </c>
      <c r="J1111" s="275" t="s">
        <v>699</v>
      </c>
      <c r="K1111" s="276" t="s">
        <v>107</v>
      </c>
      <c r="L1111" s="300" t="s">
        <v>2167</v>
      </c>
      <c r="M1111" s="275" t="s">
        <v>136</v>
      </c>
      <c r="N1111" s="274" t="s">
        <v>269</v>
      </c>
      <c r="O1111" s="274" t="s">
        <v>270</v>
      </c>
      <c r="P1111" s="277">
        <v>12</v>
      </c>
      <c r="Q1111" s="277">
        <v>3</v>
      </c>
      <c r="R1111" s="278">
        <v>7.4999999999999997E-3</v>
      </c>
      <c r="S1111" s="274" t="s">
        <v>111</v>
      </c>
      <c r="T1111" s="274" t="s">
        <v>112</v>
      </c>
      <c r="U1111" s="274" t="s">
        <v>57</v>
      </c>
      <c r="V1111" s="279">
        <v>2520</v>
      </c>
      <c r="W1111" s="279">
        <f>88+2399+33</f>
        <v>2520</v>
      </c>
      <c r="X1111" s="280"/>
      <c r="Y1111" s="281">
        <f t="shared" si="364"/>
        <v>0</v>
      </c>
      <c r="Z1111" s="282">
        <f t="shared" si="365"/>
        <v>0</v>
      </c>
      <c r="AA1111" s="282"/>
      <c r="AB1111" s="812"/>
      <c r="AC1111" s="279"/>
      <c r="AD1111" s="443" t="s">
        <v>737</v>
      </c>
      <c r="AE1111" s="210"/>
      <c r="AF1111" s="210"/>
      <c r="AG1111" s="211">
        <f t="shared" si="366"/>
        <v>0.309</v>
      </c>
      <c r="AH1111" s="157">
        <f t="shared" si="367"/>
        <v>0</v>
      </c>
      <c r="AI1111" s="152">
        <f t="shared" si="368"/>
        <v>30240</v>
      </c>
      <c r="AK1111" s="156" t="s">
        <v>691</v>
      </c>
      <c r="AL1111" s="212" t="s">
        <v>690</v>
      </c>
      <c r="AM1111" s="198">
        <f t="shared" si="372"/>
        <v>0</v>
      </c>
      <c r="AN1111" s="199">
        <f t="shared" si="371"/>
        <v>45491</v>
      </c>
      <c r="AO1111" s="159" t="s">
        <v>692</v>
      </c>
      <c r="AP1111" s="781"/>
      <c r="AQ1111" s="782">
        <v>12063755</v>
      </c>
      <c r="AR1111" s="782">
        <v>12081257</v>
      </c>
      <c r="AS1111" s="782">
        <v>12081260</v>
      </c>
      <c r="AT1111" s="782"/>
      <c r="AU1111" s="781"/>
      <c r="AV1111" s="782">
        <v>12073316</v>
      </c>
      <c r="AW1111" s="782"/>
      <c r="AX1111" s="782"/>
      <c r="AY1111" s="782">
        <v>12073342</v>
      </c>
      <c r="AZ1111" s="782">
        <v>12073344</v>
      </c>
      <c r="BA1111" s="782">
        <v>12073343</v>
      </c>
    </row>
    <row r="1112" spans="1:53" ht="25" hidden="1" customHeight="1">
      <c r="A1112" s="142" t="s">
        <v>120</v>
      </c>
      <c r="B1112" s="271">
        <v>45492</v>
      </c>
      <c r="C1112" s="272">
        <v>45510</v>
      </c>
      <c r="D1112" s="185">
        <f t="shared" si="369"/>
        <v>2024</v>
      </c>
      <c r="E1112" s="272" t="str">
        <f>VLOOKUP($B1112,Week!$A$1:$C$1462,2,0)</f>
        <v>Week29</v>
      </c>
      <c r="F1112" s="273" t="str">
        <f t="shared" si="370"/>
        <v>Jul</v>
      </c>
      <c r="G1112" s="274" t="s">
        <v>1488</v>
      </c>
      <c r="H1112" s="274" t="s">
        <v>500</v>
      </c>
      <c r="I1112" s="274" t="s">
        <v>2772</v>
      </c>
      <c r="J1112" s="275" t="s">
        <v>285</v>
      </c>
      <c r="K1112" s="276" t="s">
        <v>153</v>
      </c>
      <c r="L1112" s="390" t="s">
        <v>2166</v>
      </c>
      <c r="M1112" s="275" t="s">
        <v>86</v>
      </c>
      <c r="N1112" s="274" t="s">
        <v>547</v>
      </c>
      <c r="O1112" s="274" t="s">
        <v>548</v>
      </c>
      <c r="P1112" s="277">
        <v>10</v>
      </c>
      <c r="Q1112" s="277">
        <v>50</v>
      </c>
      <c r="R1112" s="278">
        <v>6.8100000000000001E-3</v>
      </c>
      <c r="S1112" s="274" t="s">
        <v>76</v>
      </c>
      <c r="T1112" s="274" t="s">
        <v>56</v>
      </c>
      <c r="U1112" s="274" t="s">
        <v>89</v>
      </c>
      <c r="V1112" s="279">
        <v>1263</v>
      </c>
      <c r="W1112" s="279">
        <f>36+1227</f>
        <v>1263</v>
      </c>
      <c r="X1112" s="280"/>
      <c r="Y1112" s="281">
        <f t="shared" si="364"/>
        <v>0</v>
      </c>
      <c r="Z1112" s="282">
        <f t="shared" si="365"/>
        <v>0</v>
      </c>
      <c r="AA1112" s="282">
        <f>Q1112*Z1112</f>
        <v>0</v>
      </c>
      <c r="AB1112" s="812">
        <v>6</v>
      </c>
      <c r="AC1112" s="279">
        <f>Z1112*AB1112</f>
        <v>0</v>
      </c>
      <c r="AD1112" s="209"/>
      <c r="AE1112" s="210"/>
      <c r="AF1112" s="210"/>
      <c r="AG1112" s="211">
        <f t="shared" si="366"/>
        <v>0.63</v>
      </c>
      <c r="AH1112" s="157">
        <f t="shared" si="367"/>
        <v>0</v>
      </c>
      <c r="AI1112" s="152">
        <f t="shared" si="368"/>
        <v>12630</v>
      </c>
      <c r="AK1112" s="156" t="s">
        <v>691</v>
      </c>
      <c r="AL1112" s="156" t="s">
        <v>689</v>
      </c>
      <c r="AM1112" s="198">
        <f t="shared" si="372"/>
        <v>0</v>
      </c>
      <c r="AN1112" s="199">
        <f t="shared" si="371"/>
        <v>45492</v>
      </c>
      <c r="AO1112" s="159" t="s">
        <v>692</v>
      </c>
      <c r="AP1112" s="783" t="s">
        <v>620</v>
      </c>
      <c r="AQ1112" s="782" t="s">
        <v>549</v>
      </c>
      <c r="AR1112" s="782">
        <v>12055234</v>
      </c>
      <c r="AS1112" s="781"/>
      <c r="AT1112" s="782"/>
      <c r="AU1112" s="782"/>
      <c r="AV1112" s="782">
        <v>12062809</v>
      </c>
      <c r="AW1112" s="782"/>
      <c r="AX1112" s="782" t="s">
        <v>619</v>
      </c>
      <c r="AY1112" s="781"/>
      <c r="AZ1112" s="781"/>
      <c r="BA1112" s="781"/>
    </row>
    <row r="1113" spans="1:53" ht="25" hidden="1" customHeight="1">
      <c r="A1113" s="142" t="s">
        <v>120</v>
      </c>
      <c r="B1113" s="271">
        <v>45493</v>
      </c>
      <c r="C1113" s="272">
        <v>45510</v>
      </c>
      <c r="D1113" s="185">
        <f t="shared" si="369"/>
        <v>2024</v>
      </c>
      <c r="E1113" s="272" t="str">
        <f>VLOOKUP($B1113,Week!$A$1:$C$1462,2,0)</f>
        <v>Week29</v>
      </c>
      <c r="F1113" s="273" t="str">
        <f t="shared" si="370"/>
        <v>Jul</v>
      </c>
      <c r="G1113" s="274" t="s">
        <v>1488</v>
      </c>
      <c r="H1113" s="274" t="s">
        <v>500</v>
      </c>
      <c r="I1113" s="274" t="s">
        <v>2772</v>
      </c>
      <c r="J1113" s="275" t="s">
        <v>285</v>
      </c>
      <c r="K1113" s="276" t="s">
        <v>153</v>
      </c>
      <c r="L1113" s="390" t="s">
        <v>2166</v>
      </c>
      <c r="M1113" s="275" t="s">
        <v>86</v>
      </c>
      <c r="N1113" s="274" t="s">
        <v>547</v>
      </c>
      <c r="O1113" s="274" t="s">
        <v>548</v>
      </c>
      <c r="P1113" s="277">
        <v>10</v>
      </c>
      <c r="Q1113" s="277">
        <v>50</v>
      </c>
      <c r="R1113" s="278">
        <v>6.8100000000000001E-3</v>
      </c>
      <c r="S1113" s="274" t="s">
        <v>76</v>
      </c>
      <c r="T1113" s="274" t="s">
        <v>56</v>
      </c>
      <c r="U1113" s="274" t="s">
        <v>89</v>
      </c>
      <c r="V1113" s="279">
        <v>463</v>
      </c>
      <c r="W1113" s="279">
        <v>463</v>
      </c>
      <c r="X1113" s="280"/>
      <c r="Y1113" s="281">
        <f t="shared" si="364"/>
        <v>0</v>
      </c>
      <c r="Z1113" s="282">
        <f t="shared" si="365"/>
        <v>0</v>
      </c>
      <c r="AA1113" s="282">
        <f>Q1113*Z1113</f>
        <v>0</v>
      </c>
      <c r="AB1113" s="812">
        <v>6</v>
      </c>
      <c r="AC1113" s="279">
        <f>Z1113*AB1113</f>
        <v>0</v>
      </c>
      <c r="AD1113" s="209"/>
      <c r="AE1113" s="210"/>
      <c r="AF1113" s="210"/>
      <c r="AG1113" s="211">
        <f t="shared" si="366"/>
        <v>0.63</v>
      </c>
      <c r="AH1113" s="157">
        <f t="shared" si="367"/>
        <v>0</v>
      </c>
      <c r="AI1113" s="152">
        <f t="shared" si="368"/>
        <v>4630</v>
      </c>
      <c r="AK1113" s="156" t="s">
        <v>691</v>
      </c>
      <c r="AL1113" s="156" t="s">
        <v>689</v>
      </c>
      <c r="AM1113" s="198">
        <f t="shared" si="372"/>
        <v>0</v>
      </c>
      <c r="AN1113" s="199">
        <f t="shared" si="371"/>
        <v>45493</v>
      </c>
      <c r="AO1113" s="159" t="s">
        <v>692</v>
      </c>
      <c r="AP1113" s="783" t="s">
        <v>620</v>
      </c>
      <c r="AQ1113" s="782" t="s">
        <v>549</v>
      </c>
      <c r="AR1113" s="782">
        <v>12055234</v>
      </c>
      <c r="AS1113" s="781"/>
      <c r="AT1113" s="782"/>
      <c r="AU1113" s="782"/>
      <c r="AV1113" s="782">
        <v>12062809</v>
      </c>
      <c r="AW1113" s="782"/>
      <c r="AX1113" s="782" t="s">
        <v>619</v>
      </c>
      <c r="AY1113" s="781"/>
      <c r="AZ1113" s="781"/>
      <c r="BA1113" s="781"/>
    </row>
    <row r="1114" spans="1:53" ht="25" hidden="1" customHeight="1">
      <c r="A1114" s="142" t="s">
        <v>120</v>
      </c>
      <c r="B1114" s="581">
        <v>45493</v>
      </c>
      <c r="C1114" s="333">
        <v>45500</v>
      </c>
      <c r="D1114" s="185">
        <f t="shared" si="369"/>
        <v>2024</v>
      </c>
      <c r="E1114" s="335" t="str">
        <f>VLOOKUP($B1114,Week!$A$1:$C$1462,2,0)</f>
        <v>Week29</v>
      </c>
      <c r="F1114" s="334" t="str">
        <f t="shared" si="370"/>
        <v>Jul</v>
      </c>
      <c r="G1114" s="530" t="s">
        <v>1641</v>
      </c>
      <c r="H1114" s="335" t="s">
        <v>82</v>
      </c>
      <c r="I1114" s="335" t="s">
        <v>82</v>
      </c>
      <c r="J1114" s="336" t="s">
        <v>235</v>
      </c>
      <c r="K1114" s="337" t="s">
        <v>85</v>
      </c>
      <c r="L1114" s="390" t="s">
        <v>2166</v>
      </c>
      <c r="M1114" s="336" t="s">
        <v>86</v>
      </c>
      <c r="N1114" s="335" t="s">
        <v>273</v>
      </c>
      <c r="O1114" s="335" t="s">
        <v>507</v>
      </c>
      <c r="P1114" s="338">
        <v>8</v>
      </c>
      <c r="Q1114" s="338">
        <v>50</v>
      </c>
      <c r="R1114" s="339">
        <v>6.8100000000000001E-3</v>
      </c>
      <c r="S1114" s="335" t="s">
        <v>76</v>
      </c>
      <c r="T1114" s="335" t="s">
        <v>56</v>
      </c>
      <c r="U1114" s="335" t="s">
        <v>89</v>
      </c>
      <c r="V1114" s="341">
        <f>924</f>
        <v>924</v>
      </c>
      <c r="W1114" s="341">
        <f>924</f>
        <v>924</v>
      </c>
      <c r="X1114" s="342"/>
      <c r="Y1114" s="343">
        <f t="shared" si="364"/>
        <v>0</v>
      </c>
      <c r="Z1114" s="344">
        <f t="shared" si="365"/>
        <v>0</v>
      </c>
      <c r="AA1114" s="344">
        <f>Q1114*Z1114</f>
        <v>0</v>
      </c>
      <c r="AB1114" s="817">
        <v>6</v>
      </c>
      <c r="AC1114" s="341">
        <f>Z1114*AB1114</f>
        <v>0</v>
      </c>
      <c r="AD1114" s="307" t="s">
        <v>715</v>
      </c>
      <c r="AE1114" s="210"/>
      <c r="AF1114" s="210"/>
      <c r="AG1114" s="211">
        <f t="shared" si="366"/>
        <v>0.63</v>
      </c>
      <c r="AH1114" s="157">
        <f t="shared" si="367"/>
        <v>0</v>
      </c>
      <c r="AI1114" s="152">
        <f t="shared" si="368"/>
        <v>7392</v>
      </c>
      <c r="AK1114" s="156" t="s">
        <v>691</v>
      </c>
      <c r="AL1114" s="156" t="s">
        <v>689</v>
      </c>
      <c r="AM1114" s="198">
        <f t="shared" si="372"/>
        <v>0</v>
      </c>
      <c r="AN1114" s="199">
        <f t="shared" si="371"/>
        <v>45493</v>
      </c>
      <c r="AO1114" s="159" t="s">
        <v>692</v>
      </c>
      <c r="AP1114" s="781"/>
      <c r="AQ1114" s="782">
        <v>12004862</v>
      </c>
      <c r="AR1114" s="782">
        <v>12055234</v>
      </c>
      <c r="AS1114" s="782"/>
      <c r="AT1114" s="782">
        <v>12056345</v>
      </c>
      <c r="AU1114" s="781"/>
      <c r="AV1114" s="782">
        <v>12056200</v>
      </c>
      <c r="AW1114" s="782"/>
      <c r="AX1114" s="782" t="s">
        <v>93</v>
      </c>
      <c r="AY1114" s="782"/>
      <c r="AZ1114" s="782"/>
      <c r="BA1114" s="781"/>
    </row>
    <row r="1115" spans="1:53" ht="25" hidden="1" customHeight="1">
      <c r="B1115" s="183">
        <v>45494</v>
      </c>
      <c r="C1115" s="184"/>
      <c r="D1115" s="185">
        <f t="shared" si="369"/>
        <v>2024</v>
      </c>
      <c r="E1115" s="185" t="str">
        <f>VLOOKUP($B1115,Week!$A$1:$C$1462,2,0)</f>
        <v>Week29</v>
      </c>
      <c r="F1115" s="186" t="str">
        <f t="shared" si="370"/>
        <v>Jul</v>
      </c>
      <c r="G1115" s="185"/>
      <c r="H1115" s="185"/>
      <c r="I1115" s="185"/>
      <c r="J1115" s="187"/>
      <c r="K1115" s="188"/>
      <c r="L1115" s="300"/>
      <c r="M1115" s="187"/>
      <c r="N1115" s="185"/>
      <c r="O1115" s="185"/>
      <c r="P1115" s="189"/>
      <c r="Q1115" s="189"/>
      <c r="R1115" s="190"/>
      <c r="S1115" s="185"/>
      <c r="T1115" s="185"/>
      <c r="U1115" s="185"/>
      <c r="V1115" s="191"/>
      <c r="W1115" s="191"/>
      <c r="X1115" s="192"/>
      <c r="Y1115" s="193"/>
      <c r="Z1115" s="194"/>
      <c r="AA1115" s="194"/>
      <c r="AB1115" s="805"/>
      <c r="AC1115" s="191"/>
      <c r="AD1115" s="187"/>
      <c r="AE1115" s="195"/>
      <c r="AF1115" s="195"/>
      <c r="AG1115" s="196"/>
      <c r="AH1115" s="197"/>
      <c r="AK1115" s="156" t="s">
        <v>691</v>
      </c>
      <c r="AM1115" s="198">
        <f t="shared" si="372"/>
        <v>0</v>
      </c>
      <c r="AN1115" s="199">
        <f t="shared" si="371"/>
        <v>45494</v>
      </c>
      <c r="AO1115" s="159" t="s">
        <v>692</v>
      </c>
      <c r="AP1115" s="781"/>
      <c r="AQ1115" s="782"/>
      <c r="AR1115" s="782"/>
      <c r="AS1115" s="782"/>
      <c r="AT1115" s="782"/>
      <c r="AU1115" s="781"/>
      <c r="AV1115" s="782"/>
      <c r="AW1115" s="782"/>
      <c r="AX1115" s="782"/>
      <c r="AY1115" s="782"/>
      <c r="AZ1115" s="782"/>
      <c r="BA1115" s="781"/>
    </row>
    <row r="1116" spans="1:53" ht="24.75" hidden="1" customHeight="1">
      <c r="B1116" s="295">
        <v>45495</v>
      </c>
      <c r="C1116" s="296" t="s">
        <v>1573</v>
      </c>
      <c r="D1116" s="185">
        <f t="shared" si="369"/>
        <v>2024</v>
      </c>
      <c r="E1116" s="296" t="str">
        <f>VLOOKUP($B1116,Week!$A$1:$C$1462,2,0)</f>
        <v>Week30</v>
      </c>
      <c r="F1116" s="297" t="str">
        <f t="shared" si="370"/>
        <v>Jul</v>
      </c>
      <c r="G1116" s="648" t="s">
        <v>47</v>
      </c>
      <c r="H1116" s="298" t="s">
        <v>260</v>
      </c>
      <c r="I1116" s="298" t="s">
        <v>2702</v>
      </c>
      <c r="J1116" s="307" t="s">
        <v>904</v>
      </c>
      <c r="K1116" s="300" t="s">
        <v>176</v>
      </c>
      <c r="L1116" s="300" t="s">
        <v>2167</v>
      </c>
      <c r="M1116" s="299" t="s">
        <v>262</v>
      </c>
      <c r="N1116" s="298" t="s">
        <v>350</v>
      </c>
      <c r="O1116" s="298" t="s">
        <v>351</v>
      </c>
      <c r="P1116" s="301">
        <v>24</v>
      </c>
      <c r="Q1116" s="301">
        <v>5</v>
      </c>
      <c r="R1116" s="302">
        <v>6.1999999999999998E-3</v>
      </c>
      <c r="S1116" s="298" t="s">
        <v>352</v>
      </c>
      <c r="T1116" s="298" t="s">
        <v>56</v>
      </c>
      <c r="U1116" s="298" t="s">
        <v>57</v>
      </c>
      <c r="V1116" s="303">
        <f>4121</f>
        <v>4121</v>
      </c>
      <c r="W1116" s="303">
        <f>4121</f>
        <v>4121</v>
      </c>
      <c r="X1116" s="304"/>
      <c r="Y1116" s="305">
        <f t="shared" ref="Y1116:Y1148" si="373">(W1116+X1116)-V1116</f>
        <v>0</v>
      </c>
      <c r="Z1116" s="306">
        <f t="shared" ref="Z1116:Z1148" si="374">IF(Y1116&lt;0,((V1116*P1116)-((W1116+X1116)*P1116)),0)</f>
        <v>0</v>
      </c>
      <c r="AA1116" s="306"/>
      <c r="AB1116" s="814"/>
      <c r="AC1116" s="303"/>
      <c r="AD1116" s="381"/>
      <c r="AE1116" s="210"/>
      <c r="AF1116" s="210"/>
      <c r="AG1116" s="211">
        <f t="shared" ref="AG1116:AG1124" si="375">MID(O1116,1,3)/1000</f>
        <v>0.13</v>
      </c>
      <c r="AH1116" s="157">
        <f t="shared" ref="AH1116:AH1148" si="376">(Z1116*AG1116)/1000</f>
        <v>0</v>
      </c>
      <c r="AI1116" s="152">
        <f t="shared" ref="AI1116:AI1148" si="377">V1116*P1116</f>
        <v>98904</v>
      </c>
      <c r="AK1116" s="156" t="s">
        <v>691</v>
      </c>
      <c r="AL1116" s="574" t="s">
        <v>690</v>
      </c>
      <c r="AM1116" s="198">
        <f t="shared" si="372"/>
        <v>0</v>
      </c>
      <c r="AN1116" s="199">
        <f t="shared" si="371"/>
        <v>45495</v>
      </c>
      <c r="AO1116" s="159" t="s">
        <v>692</v>
      </c>
      <c r="AP1116" s="783" t="s">
        <v>629</v>
      </c>
      <c r="AQ1116" s="782">
        <v>12071839</v>
      </c>
      <c r="AR1116" s="782">
        <v>12078867</v>
      </c>
      <c r="AS1116" s="782">
        <v>12068233</v>
      </c>
      <c r="AT1116" s="781"/>
      <c r="AU1116" s="781"/>
      <c r="AV1116" s="782">
        <v>12062075</v>
      </c>
      <c r="AW1116" s="781"/>
      <c r="AX1116" s="781"/>
      <c r="AY1116" s="782">
        <v>12078867</v>
      </c>
      <c r="AZ1116" s="781"/>
      <c r="BA1116" s="781"/>
    </row>
    <row r="1117" spans="1:53" ht="24.75" hidden="1" customHeight="1">
      <c r="B1117" s="333">
        <v>45495</v>
      </c>
      <c r="C1117" s="333">
        <v>45511</v>
      </c>
      <c r="D1117" s="185">
        <f t="shared" si="369"/>
        <v>2024</v>
      </c>
      <c r="E1117" s="335" t="str">
        <f>VLOOKUP($B1117,Week!$A$1:$C$1462,2,0)</f>
        <v>Week30</v>
      </c>
      <c r="F1117" s="334" t="str">
        <f t="shared" si="370"/>
        <v>Jul</v>
      </c>
      <c r="G1117" s="335" t="s">
        <v>1495</v>
      </c>
      <c r="H1117" s="335" t="s">
        <v>363</v>
      </c>
      <c r="I1117" s="335" t="s">
        <v>2772</v>
      </c>
      <c r="J1117" s="336" t="s">
        <v>364</v>
      </c>
      <c r="K1117" s="337" t="s">
        <v>176</v>
      </c>
      <c r="L1117" s="300" t="s">
        <v>2167</v>
      </c>
      <c r="M1117" s="382" t="s">
        <v>646</v>
      </c>
      <c r="N1117" s="335" t="s">
        <v>647</v>
      </c>
      <c r="O1117" s="335" t="s">
        <v>599</v>
      </c>
      <c r="P1117" s="338">
        <v>36</v>
      </c>
      <c r="Q1117" s="338">
        <v>5</v>
      </c>
      <c r="R1117" s="339">
        <v>8.0000000000000002E-3</v>
      </c>
      <c r="S1117" s="335" t="s">
        <v>40</v>
      </c>
      <c r="T1117" s="335" t="s">
        <v>112</v>
      </c>
      <c r="U1117" s="335" t="s">
        <v>57</v>
      </c>
      <c r="V1117" s="341">
        <v>1288</v>
      </c>
      <c r="W1117" s="341">
        <f>109+1179</f>
        <v>1288</v>
      </c>
      <c r="X1117" s="342"/>
      <c r="Y1117" s="343">
        <f t="shared" si="373"/>
        <v>0</v>
      </c>
      <c r="Z1117" s="344">
        <f t="shared" si="374"/>
        <v>0</v>
      </c>
      <c r="AA1117" s="344"/>
      <c r="AB1117" s="821"/>
      <c r="AC1117" s="341"/>
      <c r="AD1117" s="209"/>
      <c r="AE1117" s="210"/>
      <c r="AF1117" s="210"/>
      <c r="AG1117" s="211">
        <f t="shared" si="375"/>
        <v>0.14799999999999999</v>
      </c>
      <c r="AH1117" s="157">
        <f t="shared" si="376"/>
        <v>0</v>
      </c>
      <c r="AI1117" s="152">
        <f t="shared" si="377"/>
        <v>46368</v>
      </c>
      <c r="AK1117" s="156" t="s">
        <v>691</v>
      </c>
      <c r="AL1117" s="574" t="s">
        <v>690</v>
      </c>
      <c r="AM1117" s="198">
        <f t="shared" si="372"/>
        <v>0</v>
      </c>
      <c r="AN1117" s="199">
        <f t="shared" si="371"/>
        <v>45495</v>
      </c>
      <c r="AO1117" s="159" t="s">
        <v>692</v>
      </c>
      <c r="AP1117" s="781"/>
      <c r="AQ1117" s="782">
        <v>12071839</v>
      </c>
      <c r="AR1117" s="782">
        <v>12047514</v>
      </c>
      <c r="AS1117" s="782">
        <v>12047515</v>
      </c>
      <c r="AT1117" s="782">
        <v>12084374</v>
      </c>
      <c r="AU1117" s="781"/>
      <c r="AV1117" s="782">
        <v>12084372</v>
      </c>
      <c r="AW1117" s="782">
        <v>12024404</v>
      </c>
      <c r="AX1117" s="782"/>
      <c r="AY1117" s="782">
        <v>12084373</v>
      </c>
      <c r="AZ1117" s="782"/>
      <c r="BA1117" s="781"/>
    </row>
    <row r="1118" spans="1:53" ht="24.75" hidden="1" customHeight="1">
      <c r="A1118" s="142" t="s">
        <v>120</v>
      </c>
      <c r="B1118" s="308">
        <v>45495</v>
      </c>
      <c r="C1118" s="309">
        <v>45505</v>
      </c>
      <c r="D1118" s="185">
        <f t="shared" si="369"/>
        <v>2024</v>
      </c>
      <c r="E1118" s="519" t="str">
        <f>VLOOKUP($B1118,Week!$A$1:$C$1462,2,0)</f>
        <v>Week30</v>
      </c>
      <c r="F1118" s="520" t="str">
        <f t="shared" si="370"/>
        <v>Jul</v>
      </c>
      <c r="G1118" s="644" t="s">
        <v>1573</v>
      </c>
      <c r="H1118" s="311" t="s">
        <v>518</v>
      </c>
      <c r="I1118" s="311" t="s">
        <v>2702</v>
      </c>
      <c r="J1118" s="312" t="s">
        <v>70</v>
      </c>
      <c r="K1118" s="313" t="s">
        <v>85</v>
      </c>
      <c r="L1118" s="390" t="s">
        <v>2166</v>
      </c>
      <c r="M1118" s="312" t="s">
        <v>515</v>
      </c>
      <c r="N1118" s="311" t="s">
        <v>588</v>
      </c>
      <c r="O1118" s="311" t="s">
        <v>546</v>
      </c>
      <c r="P1118" s="314">
        <v>12</v>
      </c>
      <c r="Q1118" s="314">
        <v>20</v>
      </c>
      <c r="R1118" s="315">
        <v>6.1999999999999998E-3</v>
      </c>
      <c r="S1118" s="311" t="s">
        <v>352</v>
      </c>
      <c r="T1118" s="311" t="s">
        <v>56</v>
      </c>
      <c r="U1118" s="311"/>
      <c r="V1118" s="316">
        <f>174+1</f>
        <v>175</v>
      </c>
      <c r="W1118" s="316">
        <f>410-376+140+1</f>
        <v>175</v>
      </c>
      <c r="X1118" s="317"/>
      <c r="Y1118" s="318">
        <f t="shared" si="373"/>
        <v>0</v>
      </c>
      <c r="Z1118" s="319">
        <f t="shared" si="374"/>
        <v>0</v>
      </c>
      <c r="AA1118" s="319">
        <f>Q1118*Z1118</f>
        <v>0</v>
      </c>
      <c r="AB1118" s="815"/>
      <c r="AC1118" s="316">
        <f>Z1118*AB1118</f>
        <v>0</v>
      </c>
      <c r="AD1118" s="209"/>
      <c r="AE1118" s="210"/>
      <c r="AF1118" s="210"/>
      <c r="AG1118" s="211">
        <f t="shared" si="375"/>
        <v>0.22</v>
      </c>
      <c r="AH1118" s="157">
        <f t="shared" si="376"/>
        <v>0</v>
      </c>
      <c r="AI1118" s="152">
        <f t="shared" si="377"/>
        <v>2100</v>
      </c>
      <c r="AK1118" s="156" t="s">
        <v>691</v>
      </c>
      <c r="AL1118" s="156" t="s">
        <v>689</v>
      </c>
      <c r="AM1118" s="198">
        <f t="shared" si="372"/>
        <v>0</v>
      </c>
      <c r="AN1118" s="199">
        <f t="shared" si="371"/>
        <v>45495</v>
      </c>
      <c r="AO1118" s="159" t="s">
        <v>692</v>
      </c>
      <c r="AP1118" s="783" t="s">
        <v>613</v>
      </c>
      <c r="AQ1118" s="782"/>
      <c r="AR1118" s="782" t="s">
        <v>614</v>
      </c>
      <c r="AS1118" s="782"/>
      <c r="AT1118" s="782">
        <v>12083140</v>
      </c>
      <c r="AU1118" s="781"/>
      <c r="AV1118" s="782">
        <v>12083143</v>
      </c>
      <c r="AW1118" s="782"/>
      <c r="AX1118" s="782"/>
      <c r="AY1118" s="782"/>
      <c r="AZ1118" s="782"/>
      <c r="BA1118" s="781"/>
    </row>
    <row r="1119" spans="1:53" ht="25" hidden="1" customHeight="1">
      <c r="A1119" s="142" t="s">
        <v>120</v>
      </c>
      <c r="B1119" s="271">
        <v>45495</v>
      </c>
      <c r="C1119" s="272">
        <v>45510</v>
      </c>
      <c r="D1119" s="185">
        <f t="shared" si="369"/>
        <v>2024</v>
      </c>
      <c r="E1119" s="272" t="str">
        <f>VLOOKUP($B1119,Week!$A$1:$C$1462,2,0)</f>
        <v>Week30</v>
      </c>
      <c r="F1119" s="273" t="str">
        <f t="shared" si="370"/>
        <v>Jul</v>
      </c>
      <c r="G1119" s="274" t="s">
        <v>1488</v>
      </c>
      <c r="H1119" s="274" t="s">
        <v>500</v>
      </c>
      <c r="I1119" s="274" t="s">
        <v>2772</v>
      </c>
      <c r="J1119" s="275" t="s">
        <v>285</v>
      </c>
      <c r="K1119" s="276" t="s">
        <v>153</v>
      </c>
      <c r="L1119" s="390" t="s">
        <v>2166</v>
      </c>
      <c r="M1119" s="275" t="s">
        <v>86</v>
      </c>
      <c r="N1119" s="274" t="s">
        <v>547</v>
      </c>
      <c r="O1119" s="274" t="s">
        <v>548</v>
      </c>
      <c r="P1119" s="277">
        <v>10</v>
      </c>
      <c r="Q1119" s="277">
        <v>50</v>
      </c>
      <c r="R1119" s="278">
        <v>6.8100000000000001E-3</v>
      </c>
      <c r="S1119" s="274" t="s">
        <v>76</v>
      </c>
      <c r="T1119" s="274" t="s">
        <v>56</v>
      </c>
      <c r="U1119" s="274" t="s">
        <v>89</v>
      </c>
      <c r="V1119" s="279">
        <f>2056-1263-463</f>
        <v>330</v>
      </c>
      <c r="W1119" s="279">
        <v>330</v>
      </c>
      <c r="X1119" s="280"/>
      <c r="Y1119" s="281">
        <f t="shared" si="373"/>
        <v>0</v>
      </c>
      <c r="Z1119" s="282">
        <f t="shared" si="374"/>
        <v>0</v>
      </c>
      <c r="AA1119" s="282">
        <f>Q1119*Z1119</f>
        <v>0</v>
      </c>
      <c r="AB1119" s="812">
        <v>6</v>
      </c>
      <c r="AC1119" s="279">
        <f>Z1119*AB1119</f>
        <v>0</v>
      </c>
      <c r="AD1119" s="209"/>
      <c r="AE1119" s="210"/>
      <c r="AF1119" s="210"/>
      <c r="AG1119" s="211">
        <f t="shared" si="375"/>
        <v>0.63</v>
      </c>
      <c r="AH1119" s="157">
        <f t="shared" si="376"/>
        <v>0</v>
      </c>
      <c r="AI1119" s="152">
        <f t="shared" si="377"/>
        <v>3300</v>
      </c>
      <c r="AK1119" s="156" t="s">
        <v>691</v>
      </c>
      <c r="AL1119" s="156" t="s">
        <v>689</v>
      </c>
      <c r="AM1119" s="198">
        <f t="shared" si="372"/>
        <v>0</v>
      </c>
      <c r="AN1119" s="199">
        <f t="shared" si="371"/>
        <v>45495</v>
      </c>
      <c r="AO1119" s="159" t="s">
        <v>692</v>
      </c>
      <c r="AP1119" s="783" t="s">
        <v>620</v>
      </c>
      <c r="AQ1119" s="782" t="s">
        <v>549</v>
      </c>
      <c r="AR1119" s="782">
        <v>12055234</v>
      </c>
      <c r="AS1119" s="781"/>
      <c r="AT1119" s="782"/>
      <c r="AU1119" s="782"/>
      <c r="AV1119" s="782">
        <v>12062809</v>
      </c>
      <c r="AW1119" s="782"/>
      <c r="AX1119" s="782" t="s">
        <v>619</v>
      </c>
      <c r="AY1119" s="781"/>
      <c r="AZ1119" s="781"/>
      <c r="BA1119" s="781"/>
    </row>
    <row r="1120" spans="1:53" ht="25.15" hidden="1" customHeight="1">
      <c r="A1120" s="529" t="s">
        <v>1626</v>
      </c>
      <c r="B1120" s="345">
        <v>45496</v>
      </c>
      <c r="C1120" s="346">
        <v>45545</v>
      </c>
      <c r="D1120" s="185">
        <f t="shared" si="369"/>
        <v>2024</v>
      </c>
      <c r="E1120" s="347" t="str">
        <f>VLOOKUP($B1120,Week!$A$1:$C$1462,2,0)</f>
        <v>Week30</v>
      </c>
      <c r="F1120" s="348" t="str">
        <f t="shared" si="370"/>
        <v>Jul</v>
      </c>
      <c r="G1120" s="347" t="s">
        <v>1278</v>
      </c>
      <c r="H1120" s="347" t="s">
        <v>424</v>
      </c>
      <c r="I1120" s="347" t="s">
        <v>2772</v>
      </c>
      <c r="J1120" s="438" t="s">
        <v>425</v>
      </c>
      <c r="K1120" s="350" t="s">
        <v>176</v>
      </c>
      <c r="L1120" s="300" t="s">
        <v>2167</v>
      </c>
      <c r="M1120" s="349" t="s">
        <v>426</v>
      </c>
      <c r="N1120" s="347" t="s">
        <v>427</v>
      </c>
      <c r="O1120" s="347" t="s">
        <v>599</v>
      </c>
      <c r="P1120" s="351">
        <v>36</v>
      </c>
      <c r="Q1120" s="351">
        <v>5</v>
      </c>
      <c r="R1120" s="352">
        <v>7.4999999999999997E-3</v>
      </c>
      <c r="S1120" s="347" t="s">
        <v>111</v>
      </c>
      <c r="T1120" s="347" t="s">
        <v>112</v>
      </c>
      <c r="U1120" s="347" t="s">
        <v>57</v>
      </c>
      <c r="V1120" s="353">
        <v>1288</v>
      </c>
      <c r="W1120" s="353">
        <f>48+1240</f>
        <v>1288</v>
      </c>
      <c r="X1120" s="354"/>
      <c r="Y1120" s="355">
        <f t="shared" si="373"/>
        <v>0</v>
      </c>
      <c r="Z1120" s="356">
        <f t="shared" si="374"/>
        <v>0</v>
      </c>
      <c r="AA1120" s="353"/>
      <c r="AB1120" s="818"/>
      <c r="AC1120" s="353"/>
      <c r="AD1120" s="307" t="s">
        <v>728</v>
      </c>
      <c r="AE1120" s="210"/>
      <c r="AF1120" s="210"/>
      <c r="AG1120" s="211">
        <f t="shared" si="375"/>
        <v>0.14799999999999999</v>
      </c>
      <c r="AH1120" s="157">
        <f t="shared" si="376"/>
        <v>0</v>
      </c>
      <c r="AI1120" s="152">
        <f t="shared" si="377"/>
        <v>46368</v>
      </c>
      <c r="AK1120" s="156" t="s">
        <v>691</v>
      </c>
      <c r="AL1120" s="574" t="s">
        <v>690</v>
      </c>
      <c r="AM1120" s="198">
        <f t="shared" si="372"/>
        <v>0</v>
      </c>
      <c r="AN1120" s="199">
        <f t="shared" si="371"/>
        <v>45496</v>
      </c>
      <c r="AO1120" s="159" t="s">
        <v>692</v>
      </c>
      <c r="AP1120" s="783" t="s">
        <v>609</v>
      </c>
      <c r="AQ1120" s="782">
        <v>12071839</v>
      </c>
      <c r="AR1120" s="782">
        <v>12047514</v>
      </c>
      <c r="AS1120" s="782">
        <v>12047515</v>
      </c>
      <c r="AT1120" s="782">
        <v>12062098</v>
      </c>
      <c r="AU1120" s="782"/>
      <c r="AV1120" s="782">
        <v>12062100</v>
      </c>
      <c r="AW1120" s="782">
        <v>12024404</v>
      </c>
      <c r="AX1120" s="781"/>
      <c r="AY1120" s="782">
        <v>12062116</v>
      </c>
      <c r="AZ1120" s="782"/>
      <c r="BA1120" s="781"/>
    </row>
    <row r="1121" spans="1:53" ht="25.15" hidden="1" customHeight="1">
      <c r="B1121" s="345">
        <v>45496</v>
      </c>
      <c r="C1121" s="346">
        <v>45559</v>
      </c>
      <c r="D1121" s="185">
        <f t="shared" si="369"/>
        <v>2024</v>
      </c>
      <c r="E1121" s="347" t="str">
        <f>VLOOKUP($B1121,Week!$A$1:$C$1462,2,0)</f>
        <v>Week30</v>
      </c>
      <c r="F1121" s="348" t="str">
        <f t="shared" si="370"/>
        <v>Jul</v>
      </c>
      <c r="G1121" s="347" t="s">
        <v>1279</v>
      </c>
      <c r="H1121" s="347" t="s">
        <v>424</v>
      </c>
      <c r="I1121" s="347" t="s">
        <v>2772</v>
      </c>
      <c r="J1121" s="438" t="s">
        <v>425</v>
      </c>
      <c r="K1121" s="350" t="s">
        <v>176</v>
      </c>
      <c r="L1121" s="300" t="s">
        <v>2167</v>
      </c>
      <c r="M1121" s="349" t="s">
        <v>426</v>
      </c>
      <c r="N1121" s="347" t="s">
        <v>427</v>
      </c>
      <c r="O1121" s="347" t="s">
        <v>599</v>
      </c>
      <c r="P1121" s="351">
        <v>36</v>
      </c>
      <c r="Q1121" s="351">
        <v>5</v>
      </c>
      <c r="R1121" s="352">
        <v>7.4999999999999997E-3</v>
      </c>
      <c r="S1121" s="347" t="s">
        <v>111</v>
      </c>
      <c r="T1121" s="347" t="s">
        <v>112</v>
      </c>
      <c r="U1121" s="347" t="s">
        <v>57</v>
      </c>
      <c r="V1121" s="353">
        <v>1288</v>
      </c>
      <c r="W1121" s="353">
        <f>2528-1240</f>
        <v>1288</v>
      </c>
      <c r="X1121" s="354"/>
      <c r="Y1121" s="355">
        <f t="shared" si="373"/>
        <v>0</v>
      </c>
      <c r="Z1121" s="356">
        <f t="shared" si="374"/>
        <v>0</v>
      </c>
      <c r="AA1121" s="353"/>
      <c r="AB1121" s="818"/>
      <c r="AC1121" s="353"/>
      <c r="AD1121" s="307" t="s">
        <v>728</v>
      </c>
      <c r="AE1121" s="210"/>
      <c r="AF1121" s="210"/>
      <c r="AG1121" s="211">
        <f t="shared" si="375"/>
        <v>0.14799999999999999</v>
      </c>
      <c r="AH1121" s="157">
        <f t="shared" si="376"/>
        <v>0</v>
      </c>
      <c r="AI1121" s="152">
        <f t="shared" si="377"/>
        <v>46368</v>
      </c>
      <c r="AK1121" s="156" t="s">
        <v>691</v>
      </c>
      <c r="AL1121" s="574" t="s">
        <v>690</v>
      </c>
      <c r="AM1121" s="198">
        <f t="shared" si="372"/>
        <v>0</v>
      </c>
      <c r="AN1121" s="199">
        <f t="shared" si="371"/>
        <v>45496</v>
      </c>
      <c r="AO1121" s="159" t="s">
        <v>692</v>
      </c>
      <c r="AP1121" s="783" t="s">
        <v>609</v>
      </c>
      <c r="AQ1121" s="782">
        <v>12071839</v>
      </c>
      <c r="AR1121" s="782">
        <v>12047514</v>
      </c>
      <c r="AS1121" s="782">
        <v>12047515</v>
      </c>
      <c r="AT1121" s="782">
        <v>12062098</v>
      </c>
      <c r="AU1121" s="782"/>
      <c r="AV1121" s="782">
        <v>12062100</v>
      </c>
      <c r="AW1121" s="782">
        <v>12024404</v>
      </c>
      <c r="AX1121" s="781"/>
      <c r="AY1121" s="782">
        <v>12062116</v>
      </c>
      <c r="AZ1121" s="782"/>
      <c r="BA1121" s="781"/>
    </row>
    <row r="1122" spans="1:53" ht="24.75" hidden="1" customHeight="1">
      <c r="B1122" s="295">
        <v>45496</v>
      </c>
      <c r="C1122" s="296" t="s">
        <v>1573</v>
      </c>
      <c r="D1122" s="185">
        <f t="shared" si="369"/>
        <v>2024</v>
      </c>
      <c r="E1122" s="296" t="str">
        <f>VLOOKUP($B1122,Week!$A$1:$C$1462,2,0)</f>
        <v>Week30</v>
      </c>
      <c r="F1122" s="297" t="str">
        <f t="shared" si="370"/>
        <v>Jul</v>
      </c>
      <c r="G1122" s="648" t="s">
        <v>47</v>
      </c>
      <c r="H1122" s="298" t="s">
        <v>260</v>
      </c>
      <c r="I1122" s="298" t="s">
        <v>2702</v>
      </c>
      <c r="J1122" s="307" t="s">
        <v>904</v>
      </c>
      <c r="K1122" s="300" t="s">
        <v>176</v>
      </c>
      <c r="L1122" s="300" t="s">
        <v>2167</v>
      </c>
      <c r="M1122" s="299" t="s">
        <v>262</v>
      </c>
      <c r="N1122" s="298" t="s">
        <v>350</v>
      </c>
      <c r="O1122" s="298" t="s">
        <v>351</v>
      </c>
      <c r="P1122" s="301">
        <v>24</v>
      </c>
      <c r="Q1122" s="301">
        <v>5</v>
      </c>
      <c r="R1122" s="302">
        <v>6.1999999999999998E-3</v>
      </c>
      <c r="S1122" s="298" t="s">
        <v>352</v>
      </c>
      <c r="T1122" s="298" t="s">
        <v>56</v>
      </c>
      <c r="U1122" s="298" t="s">
        <v>57</v>
      </c>
      <c r="V1122" s="303">
        <v>1513</v>
      </c>
      <c r="W1122" s="303">
        <v>1513</v>
      </c>
      <c r="X1122" s="304"/>
      <c r="Y1122" s="305">
        <f t="shared" si="373"/>
        <v>0</v>
      </c>
      <c r="Z1122" s="306">
        <f t="shared" si="374"/>
        <v>0</v>
      </c>
      <c r="AA1122" s="306"/>
      <c r="AB1122" s="814"/>
      <c r="AC1122" s="303"/>
      <c r="AD1122" s="381"/>
      <c r="AE1122" s="210"/>
      <c r="AF1122" s="210"/>
      <c r="AG1122" s="211">
        <f t="shared" si="375"/>
        <v>0.13</v>
      </c>
      <c r="AH1122" s="157">
        <f t="shared" si="376"/>
        <v>0</v>
      </c>
      <c r="AI1122" s="152">
        <f t="shared" si="377"/>
        <v>36312</v>
      </c>
      <c r="AK1122" s="156" t="s">
        <v>691</v>
      </c>
      <c r="AL1122" s="574" t="s">
        <v>690</v>
      </c>
      <c r="AM1122" s="198">
        <f t="shared" si="372"/>
        <v>0</v>
      </c>
      <c r="AN1122" s="199">
        <f t="shared" si="371"/>
        <v>45496</v>
      </c>
      <c r="AO1122" s="159" t="s">
        <v>692</v>
      </c>
      <c r="AP1122" s="783" t="s">
        <v>629</v>
      </c>
      <c r="AQ1122" s="782">
        <v>12071839</v>
      </c>
      <c r="AR1122" s="782">
        <v>12078867</v>
      </c>
      <c r="AS1122" s="782">
        <v>12068233</v>
      </c>
      <c r="AT1122" s="781"/>
      <c r="AU1122" s="781"/>
      <c r="AV1122" s="782">
        <v>12062075</v>
      </c>
      <c r="AW1122" s="781"/>
      <c r="AX1122" s="781"/>
      <c r="AY1122" s="782">
        <v>12078867</v>
      </c>
      <c r="AZ1122" s="781"/>
      <c r="BA1122" s="781"/>
    </row>
    <row r="1123" spans="1:53" ht="25" hidden="1" customHeight="1">
      <c r="A1123" s="142" t="s">
        <v>120</v>
      </c>
      <c r="B1123" s="369">
        <v>45496</v>
      </c>
      <c r="C1123" s="370">
        <v>45512</v>
      </c>
      <c r="D1123" s="185">
        <f t="shared" si="369"/>
        <v>2024</v>
      </c>
      <c r="E1123" s="371" t="str">
        <f>VLOOKUP($B1123,Week!$A$1:$C$1462,2,0)</f>
        <v>Week30</v>
      </c>
      <c r="F1123" s="372" t="str">
        <f t="shared" si="370"/>
        <v>Jul</v>
      </c>
      <c r="G1123" s="371" t="s">
        <v>1476</v>
      </c>
      <c r="H1123" s="371" t="s">
        <v>344</v>
      </c>
      <c r="I1123" s="371" t="s">
        <v>2772</v>
      </c>
      <c r="J1123" s="373" t="s">
        <v>345</v>
      </c>
      <c r="K1123" s="374" t="s">
        <v>153</v>
      </c>
      <c r="L1123" s="390" t="s">
        <v>2166</v>
      </c>
      <c r="M1123" s="373" t="s">
        <v>214</v>
      </c>
      <c r="N1123" s="371" t="s">
        <v>346</v>
      </c>
      <c r="O1123" s="371" t="s">
        <v>509</v>
      </c>
      <c r="P1123" s="375">
        <v>18</v>
      </c>
      <c r="Q1123" s="375">
        <v>8</v>
      </c>
      <c r="R1123" s="376">
        <v>6.8100000000000001E-3</v>
      </c>
      <c r="S1123" s="371" t="s">
        <v>76</v>
      </c>
      <c r="T1123" s="371" t="s">
        <v>56</v>
      </c>
      <c r="U1123" s="371" t="s">
        <v>89</v>
      </c>
      <c r="V1123" s="377">
        <f>1650</f>
        <v>1650</v>
      </c>
      <c r="W1123" s="377">
        <f>657</f>
        <v>657</v>
      </c>
      <c r="X1123" s="378">
        <f>(954+16920)/18</f>
        <v>993</v>
      </c>
      <c r="Y1123" s="379">
        <f t="shared" si="373"/>
        <v>0</v>
      </c>
      <c r="Z1123" s="380">
        <f t="shared" si="374"/>
        <v>0</v>
      </c>
      <c r="AA1123" s="380">
        <f>Q1123*Z1123</f>
        <v>0</v>
      </c>
      <c r="AB1123" s="820">
        <v>1</v>
      </c>
      <c r="AC1123" s="377">
        <f>Z1123*AB1123</f>
        <v>0</v>
      </c>
      <c r="AD1123" s="443"/>
      <c r="AE1123" s="210"/>
      <c r="AF1123" s="210"/>
      <c r="AG1123" s="211">
        <f t="shared" si="375"/>
        <v>0.10100000000000001</v>
      </c>
      <c r="AH1123" s="157">
        <f t="shared" si="376"/>
        <v>0</v>
      </c>
      <c r="AI1123" s="152">
        <f t="shared" si="377"/>
        <v>29700</v>
      </c>
      <c r="AK1123" s="156" t="s">
        <v>691</v>
      </c>
      <c r="AL1123" s="156" t="s">
        <v>689</v>
      </c>
      <c r="AM1123" s="198">
        <f t="shared" si="372"/>
        <v>0</v>
      </c>
      <c r="AN1123" s="199">
        <f t="shared" si="371"/>
        <v>45496</v>
      </c>
      <c r="AO1123" s="159" t="s">
        <v>692</v>
      </c>
      <c r="AP1123" s="781"/>
      <c r="AQ1123" s="781" t="s">
        <v>158</v>
      </c>
      <c r="AR1123" s="782">
        <v>12038019</v>
      </c>
      <c r="AS1123" s="781"/>
      <c r="AT1123" s="800">
        <v>12055751</v>
      </c>
      <c r="AU1123" s="781"/>
      <c r="AV1123" s="800">
        <v>12049471</v>
      </c>
      <c r="AW1123" s="781"/>
      <c r="AX1123" s="781" t="s">
        <v>162</v>
      </c>
      <c r="AY1123" s="781"/>
      <c r="AZ1123" s="781"/>
      <c r="BA1123" s="781"/>
    </row>
    <row r="1124" spans="1:53" ht="24.65" hidden="1" customHeight="1">
      <c r="B1124" s="246">
        <v>45497</v>
      </c>
      <c r="C1124" s="247" t="s">
        <v>1573</v>
      </c>
      <c r="D1124" s="185">
        <f t="shared" si="369"/>
        <v>2024</v>
      </c>
      <c r="E1124" s="247" t="str">
        <f>VLOOKUP($B1124,Week!$A$1:$C$1462,2,0)</f>
        <v>Week30</v>
      </c>
      <c r="F1124" s="248" t="str">
        <f t="shared" si="370"/>
        <v>Jul</v>
      </c>
      <c r="G1124" s="249" t="s">
        <v>47</v>
      </c>
      <c r="H1124" s="249" t="s">
        <v>260</v>
      </c>
      <c r="I1124" s="249" t="s">
        <v>2702</v>
      </c>
      <c r="J1124" s="250" t="s">
        <v>70</v>
      </c>
      <c r="K1124" s="251" t="s">
        <v>1020</v>
      </c>
      <c r="L1124" s="300" t="s">
        <v>2167</v>
      </c>
      <c r="M1124" s="250" t="s">
        <v>741</v>
      </c>
      <c r="N1124" s="249" t="s">
        <v>740</v>
      </c>
      <c r="O1124" s="249" t="s">
        <v>742</v>
      </c>
      <c r="P1124" s="252">
        <v>24</v>
      </c>
      <c r="Q1124" s="252">
        <v>5</v>
      </c>
      <c r="R1124" s="249">
        <v>6.1999999999999998E-3</v>
      </c>
      <c r="S1124" s="249" t="s">
        <v>352</v>
      </c>
      <c r="T1124" s="249" t="s">
        <v>56</v>
      </c>
      <c r="U1124" s="249" t="s">
        <v>739</v>
      </c>
      <c r="V1124" s="254">
        <v>5699</v>
      </c>
      <c r="W1124" s="254">
        <f>5699</f>
        <v>5699</v>
      </c>
      <c r="X1124" s="255"/>
      <c r="Y1124" s="256">
        <f t="shared" si="373"/>
        <v>0</v>
      </c>
      <c r="Z1124" s="257">
        <f t="shared" si="374"/>
        <v>0</v>
      </c>
      <c r="AA1124" s="257"/>
      <c r="AB1124" s="810"/>
      <c r="AC1124" s="254"/>
      <c r="AD1124" s="209"/>
      <c r="AE1124" s="210"/>
      <c r="AF1124" s="210"/>
      <c r="AG1124" s="211">
        <f t="shared" si="375"/>
        <v>0.14299999999999999</v>
      </c>
      <c r="AH1124" s="157">
        <f t="shared" si="376"/>
        <v>0</v>
      </c>
      <c r="AI1124" s="152">
        <f t="shared" si="377"/>
        <v>136776</v>
      </c>
      <c r="AK1124" s="156" t="s">
        <v>691</v>
      </c>
      <c r="AL1124" s="212" t="s">
        <v>690</v>
      </c>
      <c r="AM1124" s="198">
        <f t="shared" si="372"/>
        <v>0</v>
      </c>
      <c r="AN1124" s="199">
        <f t="shared" si="371"/>
        <v>45497</v>
      </c>
      <c r="AO1124" s="159" t="s">
        <v>692</v>
      </c>
      <c r="AP1124" s="783" t="s">
        <v>609</v>
      </c>
      <c r="AQ1124" s="782">
        <v>12071839</v>
      </c>
      <c r="AR1124" s="782">
        <v>12047514</v>
      </c>
      <c r="AS1124" s="782">
        <v>12047515</v>
      </c>
      <c r="AT1124" s="781"/>
      <c r="AU1124" s="781"/>
      <c r="AV1124" s="782">
        <v>12089668</v>
      </c>
      <c r="AW1124" s="781"/>
      <c r="AX1124" s="781"/>
      <c r="AY1124" s="782">
        <v>12088311</v>
      </c>
      <c r="AZ1124" s="782">
        <v>12088315</v>
      </c>
      <c r="BA1124" s="781"/>
    </row>
    <row r="1125" spans="1:53" ht="25" hidden="1" customHeight="1">
      <c r="A1125" s="142" t="s">
        <v>120</v>
      </c>
      <c r="B1125" s="559">
        <v>45497</v>
      </c>
      <c r="C1125" s="560">
        <v>45511</v>
      </c>
      <c r="D1125" s="185">
        <f t="shared" si="369"/>
        <v>2024</v>
      </c>
      <c r="E1125" s="561" t="str">
        <f>VLOOKUP($B1125,Week!$A$1:$C$1462,2,0)</f>
        <v>Week30</v>
      </c>
      <c r="F1125" s="562" t="str">
        <f t="shared" si="370"/>
        <v>Jul</v>
      </c>
      <c r="G1125" s="561" t="s">
        <v>1506</v>
      </c>
      <c r="H1125" s="561" t="s">
        <v>134</v>
      </c>
      <c r="I1125" s="561" t="s">
        <v>2772</v>
      </c>
      <c r="J1125" s="563" t="s">
        <v>164</v>
      </c>
      <c r="K1125" s="564" t="s">
        <v>355</v>
      </c>
      <c r="L1125" s="390" t="s">
        <v>2166</v>
      </c>
      <c r="M1125" s="563" t="s">
        <v>356</v>
      </c>
      <c r="N1125" s="561" t="s">
        <v>652</v>
      </c>
      <c r="O1125" s="561" t="s">
        <v>508</v>
      </c>
      <c r="P1125" s="565">
        <v>18</v>
      </c>
      <c r="Q1125" s="565">
        <v>8</v>
      </c>
      <c r="R1125" s="566">
        <v>6.0000000000000001E-3</v>
      </c>
      <c r="S1125" s="561" t="s">
        <v>55</v>
      </c>
      <c r="T1125" s="561" t="s">
        <v>56</v>
      </c>
      <c r="U1125" s="561" t="s">
        <v>89</v>
      </c>
      <c r="V1125" s="567">
        <f>600</f>
        <v>600</v>
      </c>
      <c r="W1125" s="567">
        <f>19+581</f>
        <v>600</v>
      </c>
      <c r="X1125" s="568"/>
      <c r="Y1125" s="569">
        <f t="shared" si="373"/>
        <v>0</v>
      </c>
      <c r="Z1125" s="570">
        <f t="shared" si="374"/>
        <v>0</v>
      </c>
      <c r="AA1125" s="570">
        <f>Q1125*Z1125</f>
        <v>0</v>
      </c>
      <c r="AB1125" s="834">
        <v>2</v>
      </c>
      <c r="AC1125" s="567">
        <f>Z1125*AB1125</f>
        <v>0</v>
      </c>
      <c r="AD1125" s="209"/>
      <c r="AE1125" s="210"/>
      <c r="AF1125" s="210"/>
      <c r="AG1125" s="211">
        <f>MID(O1125,1,2)/1000</f>
        <v>0.09</v>
      </c>
      <c r="AH1125" s="157">
        <f t="shared" si="376"/>
        <v>0</v>
      </c>
      <c r="AI1125" s="152">
        <f t="shared" si="377"/>
        <v>10800</v>
      </c>
      <c r="AK1125" s="156" t="s">
        <v>691</v>
      </c>
      <c r="AL1125" s="156" t="s">
        <v>689</v>
      </c>
      <c r="AM1125" s="198">
        <f t="shared" si="372"/>
        <v>0</v>
      </c>
      <c r="AN1125" s="199">
        <f t="shared" si="371"/>
        <v>45497</v>
      </c>
      <c r="AO1125" s="159" t="s">
        <v>692</v>
      </c>
      <c r="AP1125" s="783"/>
      <c r="AQ1125" s="782"/>
      <c r="AR1125" s="782"/>
      <c r="AS1125" s="782"/>
      <c r="AT1125" s="782"/>
      <c r="AU1125" s="782"/>
      <c r="AV1125" s="782"/>
      <c r="AW1125" s="782"/>
      <c r="AX1125" s="782"/>
      <c r="AY1125" s="782"/>
      <c r="AZ1125" s="782"/>
      <c r="BA1125" s="781"/>
    </row>
    <row r="1126" spans="1:53" ht="24.65" hidden="1" customHeight="1">
      <c r="A1126" s="142" t="s">
        <v>120</v>
      </c>
      <c r="B1126" s="357">
        <v>45497</v>
      </c>
      <c r="C1126" s="358">
        <v>45512</v>
      </c>
      <c r="D1126" s="185">
        <f t="shared" si="369"/>
        <v>2024</v>
      </c>
      <c r="E1126" s="359" t="str">
        <f>VLOOKUP($B1126,Week!$A$1:$C$1462,2,0)</f>
        <v>Week30</v>
      </c>
      <c r="F1126" s="360" t="str">
        <f t="shared" si="370"/>
        <v>Jul</v>
      </c>
      <c r="G1126" s="359" t="s">
        <v>1476</v>
      </c>
      <c r="H1126" s="359" t="s">
        <v>344</v>
      </c>
      <c r="I1126" s="359" t="s">
        <v>2772</v>
      </c>
      <c r="J1126" s="361" t="s">
        <v>345</v>
      </c>
      <c r="K1126" s="362" t="s">
        <v>355</v>
      </c>
      <c r="L1126" s="390" t="s">
        <v>2166</v>
      </c>
      <c r="M1126" s="361" t="s">
        <v>356</v>
      </c>
      <c r="N1126" s="359" t="s">
        <v>357</v>
      </c>
      <c r="O1126" s="359" t="s">
        <v>508</v>
      </c>
      <c r="P1126" s="363">
        <v>18</v>
      </c>
      <c r="Q1126" s="363">
        <v>8</v>
      </c>
      <c r="R1126" s="364">
        <v>6.0000000000000001E-3</v>
      </c>
      <c r="S1126" s="359" t="s">
        <v>55</v>
      </c>
      <c r="T1126" s="359" t="s">
        <v>56</v>
      </c>
      <c r="U1126" s="359" t="s">
        <v>89</v>
      </c>
      <c r="V1126" s="365">
        <v>250</v>
      </c>
      <c r="W1126" s="365">
        <f>23+227</f>
        <v>250</v>
      </c>
      <c r="X1126" s="366"/>
      <c r="Y1126" s="367">
        <f t="shared" si="373"/>
        <v>0</v>
      </c>
      <c r="Z1126" s="368">
        <f t="shared" si="374"/>
        <v>0</v>
      </c>
      <c r="AA1126" s="368">
        <f>Q1126*Z1126</f>
        <v>0</v>
      </c>
      <c r="AB1126" s="819">
        <v>2</v>
      </c>
      <c r="AC1126" s="365">
        <f>Z1126*AB1126</f>
        <v>0</v>
      </c>
      <c r="AD1126" s="443"/>
      <c r="AE1126" s="210"/>
      <c r="AF1126" s="210"/>
      <c r="AG1126" s="211">
        <f>MID(O1126,1,2)/1000</f>
        <v>0.09</v>
      </c>
      <c r="AH1126" s="157">
        <f t="shared" si="376"/>
        <v>0</v>
      </c>
      <c r="AI1126" s="152">
        <f t="shared" si="377"/>
        <v>4500</v>
      </c>
      <c r="AK1126" s="156" t="s">
        <v>691</v>
      </c>
      <c r="AL1126" s="156" t="s">
        <v>689</v>
      </c>
      <c r="AM1126" s="198">
        <f t="shared" si="372"/>
        <v>0</v>
      </c>
      <c r="AN1126" s="199">
        <f t="shared" si="371"/>
        <v>45497</v>
      </c>
      <c r="AO1126" s="159" t="s">
        <v>692</v>
      </c>
      <c r="AP1126" s="781"/>
      <c r="AQ1126" s="782"/>
      <c r="AR1126" s="782" t="s">
        <v>531</v>
      </c>
      <c r="AS1126" s="782"/>
      <c r="AT1126" s="782"/>
      <c r="AU1126" s="782">
        <v>12054219</v>
      </c>
      <c r="AV1126" s="782">
        <v>12054239</v>
      </c>
      <c r="AW1126" s="782"/>
      <c r="AX1126" s="782" t="s">
        <v>532</v>
      </c>
      <c r="AY1126" s="782"/>
      <c r="AZ1126" s="782"/>
      <c r="BA1126" s="781"/>
    </row>
    <row r="1127" spans="1:53" ht="26.25" hidden="1" customHeight="1">
      <c r="A1127" s="142" t="s">
        <v>120</v>
      </c>
      <c r="B1127" s="235">
        <v>45497</v>
      </c>
      <c r="C1127" s="235">
        <v>45531</v>
      </c>
      <c r="D1127" s="185">
        <f t="shared" si="369"/>
        <v>2024</v>
      </c>
      <c r="E1127" s="236" t="str">
        <f>VLOOKUP($B1127,Week!$A$1:$C$1462,2,0)</f>
        <v>Week30</v>
      </c>
      <c r="F1127" s="237" t="str">
        <f t="shared" si="370"/>
        <v>Jul</v>
      </c>
      <c r="G1127" s="236" t="s">
        <v>1630</v>
      </c>
      <c r="H1127" s="236" t="s">
        <v>392</v>
      </c>
      <c r="I1127" s="236" t="s">
        <v>2772</v>
      </c>
      <c r="J1127" s="238" t="s">
        <v>393</v>
      </c>
      <c r="K1127" s="239" t="s">
        <v>153</v>
      </c>
      <c r="L1127" s="390" t="s">
        <v>2166</v>
      </c>
      <c r="M1127" s="238" t="s">
        <v>165</v>
      </c>
      <c r="N1127" s="236" t="s">
        <v>685</v>
      </c>
      <c r="O1127" s="236" t="s">
        <v>167</v>
      </c>
      <c r="P1127" s="240">
        <v>20</v>
      </c>
      <c r="Q1127" s="240">
        <v>12</v>
      </c>
      <c r="R1127" s="241">
        <v>6.8100000000000001E-3</v>
      </c>
      <c r="S1127" s="236" t="s">
        <v>76</v>
      </c>
      <c r="T1127" s="236" t="s">
        <v>56</v>
      </c>
      <c r="U1127" s="236" t="s">
        <v>89</v>
      </c>
      <c r="V1127" s="242">
        <v>400</v>
      </c>
      <c r="W1127" s="242">
        <f>367+33</f>
        <v>400</v>
      </c>
      <c r="X1127" s="243"/>
      <c r="Y1127" s="244">
        <f t="shared" si="373"/>
        <v>0</v>
      </c>
      <c r="Z1127" s="245">
        <f t="shared" si="374"/>
        <v>0</v>
      </c>
      <c r="AA1127" s="245">
        <f>Q1127*Z1127</f>
        <v>0</v>
      </c>
      <c r="AB1127" s="809">
        <v>2</v>
      </c>
      <c r="AC1127" s="242">
        <f>Z1127*AB1127</f>
        <v>0</v>
      </c>
      <c r="AD1127" s="209"/>
      <c r="AE1127" s="210"/>
      <c r="AF1127" s="210"/>
      <c r="AG1127" s="211">
        <f t="shared" ref="AG1127:AG1141" si="378">MID(O1127,1,3)/1000</f>
        <v>0.154</v>
      </c>
      <c r="AH1127" s="157">
        <f t="shared" si="376"/>
        <v>0</v>
      </c>
      <c r="AI1127" s="152">
        <f t="shared" si="377"/>
        <v>8000</v>
      </c>
      <c r="AK1127" s="156" t="s">
        <v>691</v>
      </c>
      <c r="AL1127" s="156" t="s">
        <v>689</v>
      </c>
      <c r="AM1127" s="198">
        <f t="shared" si="372"/>
        <v>0</v>
      </c>
      <c r="AN1127" s="199">
        <f t="shared" si="371"/>
        <v>45497</v>
      </c>
      <c r="AO1127" s="159" t="s">
        <v>692</v>
      </c>
      <c r="AP1127" s="783"/>
      <c r="AQ1127" s="781" t="s">
        <v>158</v>
      </c>
      <c r="AR1127" s="783" t="s">
        <v>523</v>
      </c>
      <c r="AS1127" s="781"/>
      <c r="AT1127" s="783" t="s">
        <v>607</v>
      </c>
      <c r="AU1127" s="781"/>
      <c r="AV1127" s="783" t="s">
        <v>606</v>
      </c>
      <c r="AW1127" s="781"/>
      <c r="AX1127" s="781" t="s">
        <v>398</v>
      </c>
      <c r="AY1127" s="781"/>
      <c r="AZ1127" s="781"/>
      <c r="BA1127" s="781"/>
    </row>
    <row r="1128" spans="1:53" ht="25" hidden="1" customHeight="1">
      <c r="B1128" s="320">
        <v>45498</v>
      </c>
      <c r="C1128" s="321" t="s">
        <v>1572</v>
      </c>
      <c r="D1128" s="185">
        <f t="shared" si="369"/>
        <v>2024</v>
      </c>
      <c r="E1128" s="321" t="str">
        <f>VLOOKUP($B1128,Week!$A$1:$C$1462,2,0)</f>
        <v>Week30</v>
      </c>
      <c r="F1128" s="322" t="str">
        <f t="shared" si="370"/>
        <v>Jul</v>
      </c>
      <c r="G1128" s="323" t="s">
        <v>47</v>
      </c>
      <c r="H1128" s="323" t="s">
        <v>518</v>
      </c>
      <c r="I1128" s="323" t="s">
        <v>2702</v>
      </c>
      <c r="J1128" s="324" t="s">
        <v>70</v>
      </c>
      <c r="K1128" s="325" t="s">
        <v>564</v>
      </c>
      <c r="L1128" s="300" t="s">
        <v>2167</v>
      </c>
      <c r="M1128" s="324" t="s">
        <v>558</v>
      </c>
      <c r="N1128" s="323" t="s">
        <v>559</v>
      </c>
      <c r="O1128" s="323" t="s">
        <v>560</v>
      </c>
      <c r="P1128" s="326">
        <v>12</v>
      </c>
      <c r="Q1128" s="326">
        <v>3</v>
      </c>
      <c r="R1128" s="327">
        <v>8.0000000000000002E-3</v>
      </c>
      <c r="S1128" s="323" t="s">
        <v>40</v>
      </c>
      <c r="T1128" s="323" t="s">
        <v>56</v>
      </c>
      <c r="U1128" s="323" t="s">
        <v>57</v>
      </c>
      <c r="V1128" s="397">
        <f>216</f>
        <v>216</v>
      </c>
      <c r="W1128" s="328">
        <f>10+206</f>
        <v>216</v>
      </c>
      <c r="X1128" s="329"/>
      <c r="Y1128" s="330">
        <f t="shared" si="373"/>
        <v>0</v>
      </c>
      <c r="Z1128" s="331">
        <f t="shared" si="374"/>
        <v>0</v>
      </c>
      <c r="AA1128" s="331"/>
      <c r="AB1128" s="816"/>
      <c r="AC1128" s="328"/>
      <c r="AD1128" s="209"/>
      <c r="AE1128" s="210"/>
      <c r="AF1128" s="210"/>
      <c r="AG1128" s="211">
        <f t="shared" si="378"/>
        <v>0.22600000000000001</v>
      </c>
      <c r="AH1128" s="157">
        <f t="shared" si="376"/>
        <v>0</v>
      </c>
      <c r="AI1128" s="152">
        <f t="shared" si="377"/>
        <v>2592</v>
      </c>
      <c r="AK1128" s="156" t="s">
        <v>691</v>
      </c>
      <c r="AL1128" s="212" t="s">
        <v>690</v>
      </c>
      <c r="AM1128" s="198">
        <f t="shared" ref="AM1128:AM1134" si="379">AG1128*Z1128</f>
        <v>0</v>
      </c>
      <c r="AN1128" s="199">
        <f t="shared" si="371"/>
        <v>45498</v>
      </c>
      <c r="AO1128" s="159" t="s">
        <v>692</v>
      </c>
      <c r="AP1128" s="783" t="s">
        <v>623</v>
      </c>
      <c r="AQ1128" s="782">
        <v>12071839</v>
      </c>
      <c r="AR1128" s="782">
        <v>12042650</v>
      </c>
      <c r="AS1128" s="782">
        <v>12042649</v>
      </c>
      <c r="AT1128" s="782"/>
      <c r="AU1128" s="781"/>
      <c r="AV1128" s="782">
        <v>12083156</v>
      </c>
      <c r="AW1128" s="782"/>
      <c r="AX1128" s="782"/>
      <c r="AY1128" s="782">
        <v>12083147</v>
      </c>
      <c r="AZ1128" s="782">
        <v>12083148</v>
      </c>
      <c r="BA1128" s="781"/>
    </row>
    <row r="1129" spans="1:53" ht="25" hidden="1" customHeight="1">
      <c r="B1129" s="320">
        <v>45498</v>
      </c>
      <c r="C1129" s="321" t="s">
        <v>1573</v>
      </c>
      <c r="D1129" s="185">
        <f t="shared" si="369"/>
        <v>2024</v>
      </c>
      <c r="E1129" s="321" t="str">
        <f>VLOOKUP($B1129,Week!$A$1:$C$1462,2,0)</f>
        <v>Week30</v>
      </c>
      <c r="F1129" s="322" t="str">
        <f t="shared" si="370"/>
        <v>Jul</v>
      </c>
      <c r="G1129" s="323" t="s">
        <v>47</v>
      </c>
      <c r="H1129" s="323" t="s">
        <v>518</v>
      </c>
      <c r="I1129" s="323" t="s">
        <v>2702</v>
      </c>
      <c r="J1129" s="324" t="s">
        <v>70</v>
      </c>
      <c r="K1129" s="325" t="s">
        <v>564</v>
      </c>
      <c r="L1129" s="300" t="s">
        <v>2167</v>
      </c>
      <c r="M1129" s="324" t="s">
        <v>558</v>
      </c>
      <c r="N1129" s="323" t="s">
        <v>559</v>
      </c>
      <c r="O1129" s="323" t="s">
        <v>560</v>
      </c>
      <c r="P1129" s="326">
        <v>12</v>
      </c>
      <c r="Q1129" s="326">
        <v>3</v>
      </c>
      <c r="R1129" s="327">
        <v>8.0000000000000002E-3</v>
      </c>
      <c r="S1129" s="323" t="s">
        <v>40</v>
      </c>
      <c r="T1129" s="323" t="s">
        <v>56</v>
      </c>
      <c r="U1129" s="323" t="s">
        <v>57</v>
      </c>
      <c r="V1129" s="397">
        <f>452</f>
        <v>452</v>
      </c>
      <c r="W1129" s="328">
        <f>452</f>
        <v>452</v>
      </c>
      <c r="X1129" s="329"/>
      <c r="Y1129" s="330">
        <f t="shared" si="373"/>
        <v>0</v>
      </c>
      <c r="Z1129" s="331">
        <f t="shared" si="374"/>
        <v>0</v>
      </c>
      <c r="AA1129" s="331"/>
      <c r="AB1129" s="816"/>
      <c r="AC1129" s="328"/>
      <c r="AD1129" s="209"/>
      <c r="AE1129" s="210"/>
      <c r="AF1129" s="210"/>
      <c r="AG1129" s="211">
        <f t="shared" si="378"/>
        <v>0.22600000000000001</v>
      </c>
      <c r="AH1129" s="157">
        <f t="shared" si="376"/>
        <v>0</v>
      </c>
      <c r="AI1129" s="152">
        <f t="shared" si="377"/>
        <v>5424</v>
      </c>
      <c r="AK1129" s="156" t="s">
        <v>691</v>
      </c>
      <c r="AL1129" s="212" t="s">
        <v>690</v>
      </c>
      <c r="AM1129" s="198">
        <f t="shared" si="379"/>
        <v>0</v>
      </c>
      <c r="AN1129" s="199">
        <f t="shared" si="371"/>
        <v>45498</v>
      </c>
      <c r="AO1129" s="159" t="s">
        <v>692</v>
      </c>
      <c r="AP1129" s="783" t="s">
        <v>623</v>
      </c>
      <c r="AQ1129" s="782">
        <v>12071839</v>
      </c>
      <c r="AR1129" s="782">
        <v>12042650</v>
      </c>
      <c r="AS1129" s="782">
        <v>12042649</v>
      </c>
      <c r="AT1129" s="782"/>
      <c r="AU1129" s="781"/>
      <c r="AV1129" s="782">
        <v>12083156</v>
      </c>
      <c r="AW1129" s="782"/>
      <c r="AX1129" s="782"/>
      <c r="AY1129" s="782">
        <v>12083147</v>
      </c>
      <c r="AZ1129" s="782">
        <v>12083148</v>
      </c>
      <c r="BA1129" s="781"/>
    </row>
    <row r="1130" spans="1:53" ht="24.65" hidden="1" customHeight="1">
      <c r="B1130" s="411">
        <v>45498</v>
      </c>
      <c r="C1130" s="412" t="s">
        <v>1573</v>
      </c>
      <c r="D1130" s="185">
        <f t="shared" si="369"/>
        <v>2024</v>
      </c>
      <c r="E1130" s="412" t="str">
        <f>VLOOKUP($B1130,Week!$A$1:$C$1462,2,0)</f>
        <v>Week30</v>
      </c>
      <c r="F1130" s="413" t="str">
        <f t="shared" si="370"/>
        <v>Jul</v>
      </c>
      <c r="G1130" s="414" t="s">
        <v>47</v>
      </c>
      <c r="H1130" s="414" t="s">
        <v>260</v>
      </c>
      <c r="I1130" s="414" t="s">
        <v>2702</v>
      </c>
      <c r="J1130" s="415" t="s">
        <v>261</v>
      </c>
      <c r="K1130" s="416" t="s">
        <v>94</v>
      </c>
      <c r="L1130" s="300" t="s">
        <v>2167</v>
      </c>
      <c r="M1130" s="415" t="s">
        <v>1303</v>
      </c>
      <c r="N1130" s="414" t="s">
        <v>263</v>
      </c>
      <c r="O1130" s="414" t="s">
        <v>195</v>
      </c>
      <c r="P1130" s="417">
        <v>24</v>
      </c>
      <c r="Q1130" s="417">
        <v>5</v>
      </c>
      <c r="R1130" s="418">
        <v>8.0000000000000002E-3</v>
      </c>
      <c r="S1130" s="414" t="s">
        <v>40</v>
      </c>
      <c r="T1130" s="414" t="s">
        <v>56</v>
      </c>
      <c r="U1130" s="414" t="s">
        <v>57</v>
      </c>
      <c r="V1130" s="419">
        <f>4879</f>
        <v>4879</v>
      </c>
      <c r="W1130" s="419">
        <f>2+4877</f>
        <v>4879</v>
      </c>
      <c r="X1130" s="420"/>
      <c r="Y1130" s="421">
        <f t="shared" si="373"/>
        <v>0</v>
      </c>
      <c r="Z1130" s="422">
        <f t="shared" si="374"/>
        <v>0</v>
      </c>
      <c r="AA1130" s="422"/>
      <c r="AB1130" s="825"/>
      <c r="AC1130" s="419"/>
      <c r="AD1130" s="209"/>
      <c r="AE1130" s="210"/>
      <c r="AF1130" s="210"/>
      <c r="AG1130" s="211">
        <f t="shared" si="378"/>
        <v>0.14499999999999999</v>
      </c>
      <c r="AH1130" s="157">
        <f t="shared" si="376"/>
        <v>0</v>
      </c>
      <c r="AI1130" s="152">
        <f t="shared" si="377"/>
        <v>117096</v>
      </c>
      <c r="AK1130" s="156" t="s">
        <v>691</v>
      </c>
      <c r="AL1130" s="212" t="s">
        <v>690</v>
      </c>
      <c r="AM1130" s="198">
        <f t="shared" si="379"/>
        <v>0</v>
      </c>
      <c r="AN1130" s="199">
        <f t="shared" si="371"/>
        <v>45498</v>
      </c>
      <c r="AO1130" s="159" t="s">
        <v>692</v>
      </c>
      <c r="AP1130" s="783" t="s">
        <v>609</v>
      </c>
      <c r="AQ1130" s="782">
        <v>12071839</v>
      </c>
      <c r="AR1130" s="782">
        <v>12047514</v>
      </c>
      <c r="AS1130" s="782">
        <v>12047515</v>
      </c>
      <c r="AT1130" s="781"/>
      <c r="AU1130" s="781"/>
      <c r="AV1130" s="782">
        <v>12080613</v>
      </c>
      <c r="AW1130" s="781"/>
      <c r="AX1130" s="781"/>
      <c r="AY1130" s="782">
        <v>12080614</v>
      </c>
      <c r="AZ1130" s="782">
        <v>12080616</v>
      </c>
      <c r="BA1130" s="781"/>
    </row>
    <row r="1131" spans="1:53" ht="24.65" hidden="1" customHeight="1">
      <c r="A1131" s="529" t="s">
        <v>598</v>
      </c>
      <c r="B1131" s="546">
        <v>45498</v>
      </c>
      <c r="C1131" s="547" t="s">
        <v>1572</v>
      </c>
      <c r="D1131" s="185">
        <f t="shared" si="369"/>
        <v>2024</v>
      </c>
      <c r="E1131" s="547" t="str">
        <f>VLOOKUP($B1131,Week!$A$1:$C$1462,2,0)</f>
        <v>Week30</v>
      </c>
      <c r="F1131" s="548" t="str">
        <f t="shared" si="370"/>
        <v>Jul</v>
      </c>
      <c r="G1131" s="549" t="s">
        <v>47</v>
      </c>
      <c r="H1131" s="549" t="s">
        <v>518</v>
      </c>
      <c r="I1131" s="549" t="s">
        <v>2702</v>
      </c>
      <c r="J1131" s="550" t="s">
        <v>70</v>
      </c>
      <c r="K1131" s="551" t="s">
        <v>1020</v>
      </c>
      <c r="L1131" s="300" t="s">
        <v>2167</v>
      </c>
      <c r="M1131" s="550" t="s">
        <v>746</v>
      </c>
      <c r="N1131" s="618" t="s">
        <v>751</v>
      </c>
      <c r="O1131" s="549" t="s">
        <v>747</v>
      </c>
      <c r="P1131" s="552">
        <v>12</v>
      </c>
      <c r="Q1131" s="552">
        <v>5</v>
      </c>
      <c r="R1131" s="549">
        <v>6.1999999999999998E-3</v>
      </c>
      <c r="S1131" s="549" t="s">
        <v>352</v>
      </c>
      <c r="T1131" s="549" t="s">
        <v>56</v>
      </c>
      <c r="U1131" s="549" t="s">
        <v>739</v>
      </c>
      <c r="V1131" s="554">
        <f>1394-1256</f>
        <v>138</v>
      </c>
      <c r="W1131" s="554">
        <f>138</f>
        <v>138</v>
      </c>
      <c r="X1131" s="555"/>
      <c r="Y1131" s="556">
        <f t="shared" si="373"/>
        <v>0</v>
      </c>
      <c r="Z1131" s="557">
        <f t="shared" si="374"/>
        <v>0</v>
      </c>
      <c r="AA1131" s="557"/>
      <c r="AB1131" s="833"/>
      <c r="AC1131" s="554"/>
      <c r="AD1131" s="209"/>
      <c r="AE1131" s="210"/>
      <c r="AF1131" s="210"/>
      <c r="AG1131" s="211">
        <f t="shared" si="378"/>
        <v>0.14299999999999999</v>
      </c>
      <c r="AH1131" s="157">
        <f t="shared" si="376"/>
        <v>0</v>
      </c>
      <c r="AI1131" s="152">
        <f t="shared" si="377"/>
        <v>1656</v>
      </c>
      <c r="AK1131" s="156" t="s">
        <v>691</v>
      </c>
      <c r="AL1131" s="212" t="s">
        <v>690</v>
      </c>
      <c r="AM1131" s="198">
        <f>AG1131*Z1131</f>
        <v>0</v>
      </c>
      <c r="AN1131" s="199">
        <f t="shared" si="371"/>
        <v>45498</v>
      </c>
      <c r="AO1131" s="159" t="s">
        <v>692</v>
      </c>
      <c r="AP1131" s="783" t="s">
        <v>609</v>
      </c>
      <c r="AQ1131" s="782">
        <v>12071839</v>
      </c>
      <c r="AR1131" s="782">
        <v>12047514</v>
      </c>
      <c r="AS1131" s="782">
        <v>12047515</v>
      </c>
      <c r="AT1131" s="781"/>
      <c r="AU1131" s="781"/>
      <c r="AV1131" s="782">
        <v>12080616</v>
      </c>
      <c r="AW1131" s="781"/>
      <c r="AX1131" s="781"/>
      <c r="AY1131" s="782">
        <v>12089871</v>
      </c>
      <c r="AZ1131" s="782">
        <v>12089872</v>
      </c>
      <c r="BA1131" s="781"/>
    </row>
    <row r="1132" spans="1:53" ht="24.65" hidden="1" customHeight="1">
      <c r="B1132" s="546">
        <v>45498</v>
      </c>
      <c r="C1132" s="547" t="s">
        <v>1573</v>
      </c>
      <c r="D1132" s="185">
        <f t="shared" si="369"/>
        <v>2024</v>
      </c>
      <c r="E1132" s="547" t="str">
        <f>VLOOKUP($B1132,Week!$A$1:$C$1462,2,0)</f>
        <v>Week30</v>
      </c>
      <c r="F1132" s="548" t="str">
        <f t="shared" si="370"/>
        <v>Jul</v>
      </c>
      <c r="G1132" s="549" t="s">
        <v>47</v>
      </c>
      <c r="H1132" s="549" t="s">
        <v>518</v>
      </c>
      <c r="I1132" s="549" t="s">
        <v>2702</v>
      </c>
      <c r="J1132" s="550" t="s">
        <v>70</v>
      </c>
      <c r="K1132" s="551" t="s">
        <v>1020</v>
      </c>
      <c r="L1132" s="300" t="s">
        <v>2167</v>
      </c>
      <c r="M1132" s="550" t="s">
        <v>746</v>
      </c>
      <c r="N1132" s="618" t="s">
        <v>751</v>
      </c>
      <c r="O1132" s="549" t="s">
        <v>747</v>
      </c>
      <c r="P1132" s="552">
        <v>12</v>
      </c>
      <c r="Q1132" s="552">
        <v>5</v>
      </c>
      <c r="R1132" s="549">
        <v>6.1999999999999998E-3</v>
      </c>
      <c r="S1132" s="549" t="s">
        <v>352</v>
      </c>
      <c r="T1132" s="549" t="s">
        <v>56</v>
      </c>
      <c r="U1132" s="549" t="s">
        <v>739</v>
      </c>
      <c r="V1132" s="554">
        <f>173+98</f>
        <v>271</v>
      </c>
      <c r="W1132" s="554">
        <f>271</f>
        <v>271</v>
      </c>
      <c r="X1132" s="555"/>
      <c r="Y1132" s="556">
        <f t="shared" si="373"/>
        <v>0</v>
      </c>
      <c r="Z1132" s="557">
        <f t="shared" si="374"/>
        <v>0</v>
      </c>
      <c r="AA1132" s="557"/>
      <c r="AB1132" s="833"/>
      <c r="AC1132" s="554"/>
      <c r="AD1132" s="209"/>
      <c r="AE1132" s="210"/>
      <c r="AF1132" s="210"/>
      <c r="AG1132" s="211">
        <f t="shared" si="378"/>
        <v>0.14299999999999999</v>
      </c>
      <c r="AH1132" s="157">
        <f t="shared" si="376"/>
        <v>0</v>
      </c>
      <c r="AI1132" s="152">
        <f t="shared" si="377"/>
        <v>3252</v>
      </c>
      <c r="AK1132" s="156" t="s">
        <v>691</v>
      </c>
      <c r="AL1132" s="212" t="s">
        <v>690</v>
      </c>
      <c r="AM1132" s="198">
        <f t="shared" si="379"/>
        <v>0</v>
      </c>
      <c r="AN1132" s="199">
        <f t="shared" si="371"/>
        <v>45498</v>
      </c>
      <c r="AO1132" s="159" t="s">
        <v>692</v>
      </c>
      <c r="AP1132" s="783" t="s">
        <v>609</v>
      </c>
      <c r="AQ1132" s="782">
        <v>12071839</v>
      </c>
      <c r="AR1132" s="782">
        <v>12047514</v>
      </c>
      <c r="AS1132" s="782">
        <v>12047515</v>
      </c>
      <c r="AT1132" s="781"/>
      <c r="AU1132" s="781"/>
      <c r="AV1132" s="782">
        <v>12080616</v>
      </c>
      <c r="AW1132" s="781"/>
      <c r="AX1132" s="781"/>
      <c r="AY1132" s="782">
        <v>12089871</v>
      </c>
      <c r="AZ1132" s="782">
        <v>12089872</v>
      </c>
      <c r="BA1132" s="781"/>
    </row>
    <row r="1133" spans="1:53" ht="24.65" hidden="1" customHeight="1">
      <c r="B1133" s="546">
        <v>45498</v>
      </c>
      <c r="C1133" s="547" t="s">
        <v>1573</v>
      </c>
      <c r="D1133" s="185">
        <f t="shared" si="369"/>
        <v>2024</v>
      </c>
      <c r="E1133" s="547" t="str">
        <f>VLOOKUP($B1133,Week!$A$1:$C$1462,2,0)</f>
        <v>Week30</v>
      </c>
      <c r="F1133" s="548" t="str">
        <f t="shared" si="370"/>
        <v>Jul</v>
      </c>
      <c r="G1133" s="549" t="s">
        <v>47</v>
      </c>
      <c r="H1133" s="549" t="s">
        <v>518</v>
      </c>
      <c r="I1133" s="549" t="s">
        <v>2702</v>
      </c>
      <c r="J1133" s="550" t="s">
        <v>70</v>
      </c>
      <c r="K1133" s="551" t="s">
        <v>1020</v>
      </c>
      <c r="L1133" s="300" t="s">
        <v>2167</v>
      </c>
      <c r="M1133" s="550" t="s">
        <v>746</v>
      </c>
      <c r="N1133" s="618" t="s">
        <v>1129</v>
      </c>
      <c r="O1133" s="549" t="s">
        <v>1128</v>
      </c>
      <c r="P1133" s="552">
        <v>18</v>
      </c>
      <c r="Q1133" s="552">
        <v>5</v>
      </c>
      <c r="R1133" s="549">
        <v>6.1999999999999998E-3</v>
      </c>
      <c r="S1133" s="549" t="s">
        <v>352</v>
      </c>
      <c r="T1133" s="549" t="s">
        <v>56</v>
      </c>
      <c r="U1133" s="549" t="s">
        <v>739</v>
      </c>
      <c r="V1133" s="554">
        <v>126</v>
      </c>
      <c r="W1133" s="554">
        <f>126</f>
        <v>126</v>
      </c>
      <c r="X1133" s="555"/>
      <c r="Y1133" s="556">
        <f t="shared" si="373"/>
        <v>0</v>
      </c>
      <c r="Z1133" s="557">
        <f t="shared" si="374"/>
        <v>0</v>
      </c>
      <c r="AA1133" s="557"/>
      <c r="AB1133" s="833"/>
      <c r="AC1133" s="554"/>
      <c r="AD1133" s="209"/>
      <c r="AE1133" s="210"/>
      <c r="AF1133" s="210"/>
      <c r="AG1133" s="211">
        <f t="shared" si="378"/>
        <v>0.14299999999999999</v>
      </c>
      <c r="AH1133" s="157">
        <f t="shared" si="376"/>
        <v>0</v>
      </c>
      <c r="AI1133" s="152">
        <f t="shared" si="377"/>
        <v>2268</v>
      </c>
      <c r="AK1133" s="156" t="s">
        <v>691</v>
      </c>
      <c r="AL1133" s="212" t="s">
        <v>690</v>
      </c>
      <c r="AM1133" s="198">
        <f t="shared" si="379"/>
        <v>0</v>
      </c>
      <c r="AN1133" s="199">
        <f t="shared" si="371"/>
        <v>45498</v>
      </c>
      <c r="AO1133" s="159" t="s">
        <v>692</v>
      </c>
      <c r="AP1133" s="783" t="s">
        <v>609</v>
      </c>
      <c r="AQ1133" s="782">
        <v>12071839</v>
      </c>
      <c r="AR1133" s="782">
        <v>12047514</v>
      </c>
      <c r="AS1133" s="782">
        <v>12047515</v>
      </c>
      <c r="AT1133" s="781"/>
      <c r="AU1133" s="781"/>
      <c r="AV1133" s="782">
        <v>12091080</v>
      </c>
      <c r="AW1133" s="781"/>
      <c r="AX1133" s="782">
        <v>12091078</v>
      </c>
      <c r="AY1133" s="782">
        <v>12089871</v>
      </c>
      <c r="AZ1133" s="782">
        <v>12089872</v>
      </c>
      <c r="BA1133" s="781" t="s">
        <v>1501</v>
      </c>
    </row>
    <row r="1134" spans="1:53" ht="24.65" hidden="1" customHeight="1">
      <c r="B1134" s="246">
        <v>45498</v>
      </c>
      <c r="C1134" s="247" t="s">
        <v>1573</v>
      </c>
      <c r="D1134" s="185">
        <f t="shared" si="369"/>
        <v>2024</v>
      </c>
      <c r="E1134" s="247" t="str">
        <f>VLOOKUP($B1134,Week!$A$1:$C$1462,2,0)</f>
        <v>Week30</v>
      </c>
      <c r="F1134" s="248" t="str">
        <f t="shared" si="370"/>
        <v>Jul</v>
      </c>
      <c r="G1134" s="249" t="s">
        <v>47</v>
      </c>
      <c r="H1134" s="249" t="s">
        <v>260</v>
      </c>
      <c r="I1134" s="249" t="s">
        <v>2702</v>
      </c>
      <c r="J1134" s="250" t="s">
        <v>70</v>
      </c>
      <c r="K1134" s="251" t="s">
        <v>1020</v>
      </c>
      <c r="L1134" s="300" t="s">
        <v>2167</v>
      </c>
      <c r="M1134" s="250" t="s">
        <v>741</v>
      </c>
      <c r="N1134" s="249" t="s">
        <v>740</v>
      </c>
      <c r="O1134" s="249" t="s">
        <v>742</v>
      </c>
      <c r="P1134" s="252">
        <v>24</v>
      </c>
      <c r="Q1134" s="252">
        <v>5</v>
      </c>
      <c r="R1134" s="249">
        <v>6.1999999999999998E-3</v>
      </c>
      <c r="S1134" s="249" t="s">
        <v>352</v>
      </c>
      <c r="T1134" s="249" t="s">
        <v>56</v>
      </c>
      <c r="U1134" s="249" t="s">
        <v>739</v>
      </c>
      <c r="V1134" s="254">
        <f>491+52</f>
        <v>543</v>
      </c>
      <c r="W1134" s="254">
        <f>491+52</f>
        <v>543</v>
      </c>
      <c r="X1134" s="255"/>
      <c r="Y1134" s="256">
        <f t="shared" si="373"/>
        <v>0</v>
      </c>
      <c r="Z1134" s="257">
        <f t="shared" si="374"/>
        <v>0</v>
      </c>
      <c r="AA1134" s="257"/>
      <c r="AB1134" s="810"/>
      <c r="AC1134" s="254"/>
      <c r="AD1134" s="209"/>
      <c r="AE1134" s="210"/>
      <c r="AF1134" s="210"/>
      <c r="AG1134" s="211">
        <f t="shared" si="378"/>
        <v>0.14299999999999999</v>
      </c>
      <c r="AH1134" s="157">
        <f t="shared" si="376"/>
        <v>0</v>
      </c>
      <c r="AI1134" s="152">
        <f t="shared" si="377"/>
        <v>13032</v>
      </c>
      <c r="AK1134" s="156" t="s">
        <v>691</v>
      </c>
      <c r="AL1134" s="212" t="s">
        <v>690</v>
      </c>
      <c r="AM1134" s="198">
        <f t="shared" si="379"/>
        <v>0</v>
      </c>
      <c r="AN1134" s="199">
        <f t="shared" si="371"/>
        <v>45498</v>
      </c>
      <c r="AO1134" s="159" t="s">
        <v>692</v>
      </c>
      <c r="AP1134" s="783" t="s">
        <v>609</v>
      </c>
      <c r="AQ1134" s="782">
        <v>12071839</v>
      </c>
      <c r="AR1134" s="782">
        <v>12047514</v>
      </c>
      <c r="AS1134" s="782">
        <v>12047515</v>
      </c>
      <c r="AT1134" s="781"/>
      <c r="AU1134" s="781"/>
      <c r="AV1134" s="782">
        <v>12089668</v>
      </c>
      <c r="AW1134" s="781"/>
      <c r="AX1134" s="781"/>
      <c r="AY1134" s="782">
        <v>12088311</v>
      </c>
      <c r="AZ1134" s="782">
        <v>12088315</v>
      </c>
      <c r="BA1134" s="781"/>
    </row>
    <row r="1135" spans="1:53" ht="25" hidden="1" customHeight="1">
      <c r="B1135" s="271">
        <v>45499</v>
      </c>
      <c r="C1135" s="272" t="s">
        <v>1572</v>
      </c>
      <c r="D1135" s="185">
        <f t="shared" si="369"/>
        <v>2024</v>
      </c>
      <c r="E1135" s="272" t="str">
        <f>VLOOKUP($B1135,Week!$A$1:$C$1462,2,0)</f>
        <v>Week30</v>
      </c>
      <c r="F1135" s="273" t="str">
        <f t="shared" si="370"/>
        <v>Jul</v>
      </c>
      <c r="G1135" s="274" t="s">
        <v>47</v>
      </c>
      <c r="H1135" s="274" t="s">
        <v>518</v>
      </c>
      <c r="I1135" s="274" t="s">
        <v>2702</v>
      </c>
      <c r="J1135" s="275" t="s">
        <v>70</v>
      </c>
      <c r="K1135" s="276" t="s">
        <v>556</v>
      </c>
      <c r="L1135" s="300" t="s">
        <v>2167</v>
      </c>
      <c r="M1135" s="275" t="s">
        <v>520</v>
      </c>
      <c r="N1135" s="423" t="s">
        <v>586</v>
      </c>
      <c r="O1135" s="274" t="s">
        <v>585</v>
      </c>
      <c r="P1135" s="277">
        <v>12</v>
      </c>
      <c r="Q1135" s="277">
        <v>5</v>
      </c>
      <c r="R1135" s="278">
        <v>6.0000000000000001E-3</v>
      </c>
      <c r="S1135" s="274" t="s">
        <v>55</v>
      </c>
      <c r="T1135" s="274" t="s">
        <v>56</v>
      </c>
      <c r="U1135" s="274" t="s">
        <v>57</v>
      </c>
      <c r="V1135" s="279">
        <f>301</f>
        <v>301</v>
      </c>
      <c r="W1135" s="279">
        <f>304-249+246</f>
        <v>301</v>
      </c>
      <c r="X1135" s="280"/>
      <c r="Y1135" s="281">
        <f t="shared" si="373"/>
        <v>0</v>
      </c>
      <c r="Z1135" s="282">
        <f t="shared" si="374"/>
        <v>0</v>
      </c>
      <c r="AA1135" s="282"/>
      <c r="AB1135" s="812"/>
      <c r="AC1135" s="279"/>
      <c r="AD1135" s="209"/>
      <c r="AE1135" s="210"/>
      <c r="AF1135" s="210"/>
      <c r="AG1135" s="211">
        <f t="shared" si="378"/>
        <v>0.13500000000000001</v>
      </c>
      <c r="AH1135" s="157">
        <f t="shared" si="376"/>
        <v>0</v>
      </c>
      <c r="AI1135" s="152">
        <f t="shared" si="377"/>
        <v>3612</v>
      </c>
      <c r="AK1135" s="156" t="s">
        <v>691</v>
      </c>
      <c r="AL1135" s="212" t="s">
        <v>690</v>
      </c>
      <c r="AM1135" s="198">
        <f t="shared" ref="AM1135:AM1141" si="380">AG1135*Z1135</f>
        <v>0</v>
      </c>
      <c r="AN1135" s="199">
        <f t="shared" si="371"/>
        <v>45499</v>
      </c>
      <c r="AO1135" s="159" t="s">
        <v>692</v>
      </c>
      <c r="AP1135" s="781"/>
      <c r="AQ1135" s="782">
        <v>12071839</v>
      </c>
      <c r="AR1135" s="782">
        <v>12047514</v>
      </c>
      <c r="AS1135" s="782">
        <v>12047515</v>
      </c>
      <c r="AT1135" s="782"/>
      <c r="AU1135" s="781"/>
      <c r="AV1135" s="782">
        <v>12083307</v>
      </c>
      <c r="AW1135" s="782"/>
      <c r="AX1135" s="782"/>
      <c r="AY1135" s="782">
        <v>12083305</v>
      </c>
      <c r="AZ1135" s="782">
        <v>12083306</v>
      </c>
      <c r="BA1135" s="781"/>
    </row>
    <row r="1136" spans="1:53" ht="25" hidden="1" customHeight="1">
      <c r="B1136" s="271">
        <v>45499</v>
      </c>
      <c r="C1136" s="272" t="s">
        <v>1573</v>
      </c>
      <c r="D1136" s="185">
        <f t="shared" si="369"/>
        <v>2024</v>
      </c>
      <c r="E1136" s="272" t="str">
        <f>VLOOKUP($B1136,Week!$A$1:$C$1462,2,0)</f>
        <v>Week30</v>
      </c>
      <c r="F1136" s="273" t="str">
        <f t="shared" si="370"/>
        <v>Jul</v>
      </c>
      <c r="G1136" s="643" t="s">
        <v>47</v>
      </c>
      <c r="H1136" s="274" t="s">
        <v>518</v>
      </c>
      <c r="I1136" s="274" t="s">
        <v>2702</v>
      </c>
      <c r="J1136" s="275" t="s">
        <v>70</v>
      </c>
      <c r="K1136" s="276" t="s">
        <v>556</v>
      </c>
      <c r="L1136" s="300" t="s">
        <v>2167</v>
      </c>
      <c r="M1136" s="275" t="s">
        <v>520</v>
      </c>
      <c r="N1136" s="423" t="s">
        <v>586</v>
      </c>
      <c r="O1136" s="274" t="s">
        <v>585</v>
      </c>
      <c r="P1136" s="277">
        <v>12</v>
      </c>
      <c r="Q1136" s="277">
        <v>5</v>
      </c>
      <c r="R1136" s="278">
        <v>6.0000000000000001E-3</v>
      </c>
      <c r="S1136" s="274" t="s">
        <v>55</v>
      </c>
      <c r="T1136" s="274" t="s">
        <v>56</v>
      </c>
      <c r="U1136" s="274" t="s">
        <v>57</v>
      </c>
      <c r="V1136" s="279">
        <f>311</f>
        <v>311</v>
      </c>
      <c r="W1136" s="279">
        <v>311</v>
      </c>
      <c r="X1136" s="280"/>
      <c r="Y1136" s="281">
        <f t="shared" si="373"/>
        <v>0</v>
      </c>
      <c r="Z1136" s="282">
        <f t="shared" si="374"/>
        <v>0</v>
      </c>
      <c r="AA1136" s="282"/>
      <c r="AB1136" s="812"/>
      <c r="AC1136" s="279"/>
      <c r="AD1136" s="209"/>
      <c r="AE1136" s="210"/>
      <c r="AF1136" s="210"/>
      <c r="AG1136" s="211">
        <f t="shared" si="378"/>
        <v>0.13500000000000001</v>
      </c>
      <c r="AH1136" s="157">
        <f t="shared" si="376"/>
        <v>0</v>
      </c>
      <c r="AI1136" s="152">
        <f t="shared" si="377"/>
        <v>3732</v>
      </c>
      <c r="AK1136" s="156" t="s">
        <v>691</v>
      </c>
      <c r="AL1136" s="212" t="s">
        <v>690</v>
      </c>
      <c r="AM1136" s="198">
        <f t="shared" si="380"/>
        <v>0</v>
      </c>
      <c r="AN1136" s="199">
        <f t="shared" si="371"/>
        <v>45499</v>
      </c>
      <c r="AO1136" s="159" t="s">
        <v>692</v>
      </c>
      <c r="AP1136" s="781"/>
      <c r="AQ1136" s="782">
        <v>12071839</v>
      </c>
      <c r="AR1136" s="782">
        <v>12047514</v>
      </c>
      <c r="AS1136" s="782">
        <v>12047515</v>
      </c>
      <c r="AT1136" s="782"/>
      <c r="AU1136" s="781"/>
      <c r="AV1136" s="782">
        <v>12083307</v>
      </c>
      <c r="AW1136" s="782"/>
      <c r="AX1136" s="782"/>
      <c r="AY1136" s="782">
        <v>12083305</v>
      </c>
      <c r="AZ1136" s="782">
        <v>12083306</v>
      </c>
      <c r="BA1136" s="781"/>
    </row>
    <row r="1137" spans="1:53" ht="25" hidden="1" customHeight="1">
      <c r="A1137" s="529" t="s">
        <v>755</v>
      </c>
      <c r="B1137" s="357">
        <v>45499</v>
      </c>
      <c r="C1137" s="358" t="s">
        <v>1573</v>
      </c>
      <c r="D1137" s="185">
        <f t="shared" si="369"/>
        <v>2024</v>
      </c>
      <c r="E1137" s="358" t="str">
        <f>VLOOKUP($B1137,Week!$A$1:$C$1462,2,0)</f>
        <v>Week30</v>
      </c>
      <c r="F1137" s="360" t="str">
        <f t="shared" si="370"/>
        <v>Jul</v>
      </c>
      <c r="G1137" s="359" t="s">
        <v>47</v>
      </c>
      <c r="H1137" s="359" t="s">
        <v>518</v>
      </c>
      <c r="I1137" s="359" t="s">
        <v>2702</v>
      </c>
      <c r="J1137" s="361" t="s">
        <v>70</v>
      </c>
      <c r="K1137" s="362" t="s">
        <v>94</v>
      </c>
      <c r="L1137" s="300" t="s">
        <v>2167</v>
      </c>
      <c r="M1137" s="361" t="s">
        <v>519</v>
      </c>
      <c r="N1137" s="436" t="s">
        <v>648</v>
      </c>
      <c r="O1137" s="359" t="s">
        <v>97</v>
      </c>
      <c r="P1137" s="363">
        <v>12</v>
      </c>
      <c r="Q1137" s="363">
        <v>5</v>
      </c>
      <c r="R1137" s="364">
        <v>8.0000000000000002E-3</v>
      </c>
      <c r="S1137" s="359" t="s">
        <v>40</v>
      </c>
      <c r="T1137" s="359" t="s">
        <v>56</v>
      </c>
      <c r="U1137" s="359" t="s">
        <v>57</v>
      </c>
      <c r="V1137" s="365">
        <v>12</v>
      </c>
      <c r="W1137" s="365">
        <f>144/12</f>
        <v>12</v>
      </c>
      <c r="X1137" s="366"/>
      <c r="Y1137" s="367">
        <f t="shared" si="373"/>
        <v>0</v>
      </c>
      <c r="Z1137" s="368">
        <f t="shared" si="374"/>
        <v>0</v>
      </c>
      <c r="AA1137" s="368"/>
      <c r="AB1137" s="819"/>
      <c r="AC1137" s="365"/>
      <c r="AD1137" s="209"/>
      <c r="AE1137" s="210"/>
      <c r="AF1137" s="210"/>
      <c r="AG1137" s="211">
        <f t="shared" si="378"/>
        <v>0.14499999999999999</v>
      </c>
      <c r="AH1137" s="157">
        <f t="shared" si="376"/>
        <v>0</v>
      </c>
      <c r="AI1137" s="152">
        <f t="shared" si="377"/>
        <v>144</v>
      </c>
      <c r="AK1137" s="156" t="s">
        <v>691</v>
      </c>
      <c r="AL1137" s="574" t="s">
        <v>690</v>
      </c>
      <c r="AM1137" s="198">
        <f t="shared" si="380"/>
        <v>0</v>
      </c>
      <c r="AN1137" s="199">
        <f t="shared" si="371"/>
        <v>45499</v>
      </c>
      <c r="AO1137" s="159" t="s">
        <v>692</v>
      </c>
      <c r="AP1137" s="783" t="s">
        <v>628</v>
      </c>
      <c r="AQ1137" s="782">
        <v>12071839</v>
      </c>
      <c r="AR1137" s="782">
        <v>12047514</v>
      </c>
      <c r="AS1137" s="782">
        <v>12047515</v>
      </c>
      <c r="AT1137" s="782"/>
      <c r="AU1137" s="781"/>
      <c r="AV1137" s="782">
        <v>12080617</v>
      </c>
      <c r="AW1137" s="782"/>
      <c r="AX1137" s="782"/>
      <c r="AY1137" s="782">
        <v>12080618</v>
      </c>
      <c r="AZ1137" s="782">
        <v>12080619</v>
      </c>
      <c r="BA1137" s="781"/>
    </row>
    <row r="1138" spans="1:53" ht="25" hidden="1" customHeight="1">
      <c r="B1138" s="357">
        <v>45499</v>
      </c>
      <c r="C1138" s="358" t="s">
        <v>1572</v>
      </c>
      <c r="D1138" s="185">
        <f t="shared" si="369"/>
        <v>2024</v>
      </c>
      <c r="E1138" s="358" t="str">
        <f>VLOOKUP($B1138,Week!$A$1:$C$1462,2,0)</f>
        <v>Week30</v>
      </c>
      <c r="F1138" s="360" t="str">
        <f t="shared" si="370"/>
        <v>Jul</v>
      </c>
      <c r="G1138" s="359" t="s">
        <v>47</v>
      </c>
      <c r="H1138" s="359" t="s">
        <v>518</v>
      </c>
      <c r="I1138" s="359" t="s">
        <v>2702</v>
      </c>
      <c r="J1138" s="361" t="s">
        <v>70</v>
      </c>
      <c r="K1138" s="362" t="s">
        <v>94</v>
      </c>
      <c r="L1138" s="300" t="s">
        <v>2167</v>
      </c>
      <c r="M1138" s="361" t="s">
        <v>519</v>
      </c>
      <c r="N1138" s="359" t="s">
        <v>589</v>
      </c>
      <c r="O1138" s="359" t="s">
        <v>97</v>
      </c>
      <c r="P1138" s="363">
        <v>12</v>
      </c>
      <c r="Q1138" s="363">
        <v>5</v>
      </c>
      <c r="R1138" s="364">
        <v>8.0000000000000002E-3</v>
      </c>
      <c r="S1138" s="359" t="s">
        <v>40</v>
      </c>
      <c r="T1138" s="359" t="s">
        <v>56</v>
      </c>
      <c r="U1138" s="359" t="s">
        <v>57</v>
      </c>
      <c r="V1138" s="365">
        <f>1325</f>
        <v>1325</v>
      </c>
      <c r="W1138" s="365">
        <f>4482-1300-3095+40+1198</f>
        <v>1325</v>
      </c>
      <c r="X1138" s="366"/>
      <c r="Y1138" s="367">
        <f t="shared" si="373"/>
        <v>0</v>
      </c>
      <c r="Z1138" s="368">
        <f t="shared" si="374"/>
        <v>0</v>
      </c>
      <c r="AA1138" s="368"/>
      <c r="AB1138" s="819"/>
      <c r="AC1138" s="365"/>
      <c r="AD1138" s="209"/>
      <c r="AE1138" s="210"/>
      <c r="AF1138" s="210"/>
      <c r="AG1138" s="211">
        <f t="shared" si="378"/>
        <v>0.14499999999999999</v>
      </c>
      <c r="AH1138" s="157">
        <f t="shared" si="376"/>
        <v>0</v>
      </c>
      <c r="AI1138" s="152">
        <f t="shared" si="377"/>
        <v>15900</v>
      </c>
      <c r="AK1138" s="156" t="s">
        <v>691</v>
      </c>
      <c r="AL1138" s="574" t="s">
        <v>690</v>
      </c>
      <c r="AM1138" s="198">
        <f t="shared" si="380"/>
        <v>0</v>
      </c>
      <c r="AN1138" s="199">
        <f t="shared" si="371"/>
        <v>45499</v>
      </c>
      <c r="AO1138" s="159" t="s">
        <v>692</v>
      </c>
      <c r="AP1138" s="783" t="s">
        <v>628</v>
      </c>
      <c r="AQ1138" s="782">
        <v>12071839</v>
      </c>
      <c r="AR1138" s="782">
        <v>12047514</v>
      </c>
      <c r="AS1138" s="782">
        <v>12047515</v>
      </c>
      <c r="AT1138" s="782"/>
      <c r="AU1138" s="781"/>
      <c r="AV1138" s="782">
        <v>12080617</v>
      </c>
      <c r="AW1138" s="782"/>
      <c r="AX1138" s="782"/>
      <c r="AY1138" s="782">
        <v>12080618</v>
      </c>
      <c r="AZ1138" s="782">
        <v>12080619</v>
      </c>
      <c r="BA1138" s="781"/>
    </row>
    <row r="1139" spans="1:53" ht="25" hidden="1" customHeight="1">
      <c r="B1139" s="357">
        <v>45499</v>
      </c>
      <c r="C1139" s="358" t="s">
        <v>1573</v>
      </c>
      <c r="D1139" s="185">
        <f t="shared" si="369"/>
        <v>2024</v>
      </c>
      <c r="E1139" s="358" t="str">
        <f>VLOOKUP($B1139,Week!$A$1:$C$1462,2,0)</f>
        <v>Week30</v>
      </c>
      <c r="F1139" s="360" t="str">
        <f t="shared" si="370"/>
        <v>Jul</v>
      </c>
      <c r="G1139" s="359" t="s">
        <v>47</v>
      </c>
      <c r="H1139" s="359" t="s">
        <v>518</v>
      </c>
      <c r="I1139" s="359" t="s">
        <v>2702</v>
      </c>
      <c r="J1139" s="361" t="s">
        <v>70</v>
      </c>
      <c r="K1139" s="362" t="s">
        <v>94</v>
      </c>
      <c r="L1139" s="300" t="s">
        <v>2167</v>
      </c>
      <c r="M1139" s="361" t="s">
        <v>519</v>
      </c>
      <c r="N1139" s="359" t="s">
        <v>589</v>
      </c>
      <c r="O1139" s="359" t="s">
        <v>97</v>
      </c>
      <c r="P1139" s="363">
        <v>12</v>
      </c>
      <c r="Q1139" s="363">
        <v>5</v>
      </c>
      <c r="R1139" s="364">
        <v>8.0000000000000002E-3</v>
      </c>
      <c r="S1139" s="359" t="s">
        <v>40</v>
      </c>
      <c r="T1139" s="359" t="s">
        <v>56</v>
      </c>
      <c r="U1139" s="359" t="s">
        <v>57</v>
      </c>
      <c r="V1139" s="365">
        <f>2876</f>
        <v>2876</v>
      </c>
      <c r="W1139" s="365">
        <f>2876</f>
        <v>2876</v>
      </c>
      <c r="X1139" s="366"/>
      <c r="Y1139" s="367">
        <f t="shared" si="373"/>
        <v>0</v>
      </c>
      <c r="Z1139" s="368">
        <f t="shared" si="374"/>
        <v>0</v>
      </c>
      <c r="AA1139" s="368"/>
      <c r="AB1139" s="819"/>
      <c r="AC1139" s="365"/>
      <c r="AD1139" s="209"/>
      <c r="AE1139" s="210"/>
      <c r="AF1139" s="210"/>
      <c r="AG1139" s="211">
        <f t="shared" si="378"/>
        <v>0.14499999999999999</v>
      </c>
      <c r="AH1139" s="157">
        <f t="shared" si="376"/>
        <v>0</v>
      </c>
      <c r="AI1139" s="152">
        <f t="shared" si="377"/>
        <v>34512</v>
      </c>
      <c r="AK1139" s="156" t="s">
        <v>691</v>
      </c>
      <c r="AL1139" s="574" t="s">
        <v>690</v>
      </c>
      <c r="AM1139" s="198">
        <f t="shared" si="380"/>
        <v>0</v>
      </c>
      <c r="AN1139" s="199">
        <f t="shared" si="371"/>
        <v>45499</v>
      </c>
      <c r="AO1139" s="159" t="s">
        <v>692</v>
      </c>
      <c r="AP1139" s="783" t="s">
        <v>628</v>
      </c>
      <c r="AQ1139" s="782">
        <v>12071839</v>
      </c>
      <c r="AR1139" s="782">
        <v>12047514</v>
      </c>
      <c r="AS1139" s="782">
        <v>12047515</v>
      </c>
      <c r="AT1139" s="782"/>
      <c r="AU1139" s="781"/>
      <c r="AV1139" s="782">
        <v>12080617</v>
      </c>
      <c r="AW1139" s="782"/>
      <c r="AX1139" s="782"/>
      <c r="AY1139" s="782">
        <v>12080618</v>
      </c>
      <c r="AZ1139" s="782">
        <v>12080619</v>
      </c>
      <c r="BA1139" s="781"/>
    </row>
    <row r="1140" spans="1:53" ht="24.65" hidden="1" customHeight="1">
      <c r="B1140" s="411">
        <v>45499</v>
      </c>
      <c r="C1140" s="412" t="s">
        <v>1573</v>
      </c>
      <c r="D1140" s="185">
        <f t="shared" si="369"/>
        <v>2024</v>
      </c>
      <c r="E1140" s="412" t="str">
        <f>VLOOKUP($B1140,Week!$A$1:$C$1462,2,0)</f>
        <v>Week30</v>
      </c>
      <c r="F1140" s="413" t="str">
        <f t="shared" si="370"/>
        <v>Jul</v>
      </c>
      <c r="G1140" s="414" t="s">
        <v>47</v>
      </c>
      <c r="H1140" s="414" t="s">
        <v>260</v>
      </c>
      <c r="I1140" s="414" t="s">
        <v>2702</v>
      </c>
      <c r="J1140" s="415" t="s">
        <v>261</v>
      </c>
      <c r="K1140" s="416" t="s">
        <v>94</v>
      </c>
      <c r="L1140" s="300" t="s">
        <v>2167</v>
      </c>
      <c r="M1140" s="415" t="s">
        <v>1303</v>
      </c>
      <c r="N1140" s="414" t="s">
        <v>263</v>
      </c>
      <c r="O1140" s="414" t="s">
        <v>195</v>
      </c>
      <c r="P1140" s="417">
        <v>24</v>
      </c>
      <c r="Q1140" s="417">
        <v>5</v>
      </c>
      <c r="R1140" s="418">
        <v>8.0000000000000002E-3</v>
      </c>
      <c r="S1140" s="414" t="s">
        <v>40</v>
      </c>
      <c r="T1140" s="414" t="s">
        <v>56</v>
      </c>
      <c r="U1140" s="414" t="s">
        <v>57</v>
      </c>
      <c r="V1140" s="419">
        <v>2546</v>
      </c>
      <c r="W1140" s="419">
        <f>2546</f>
        <v>2546</v>
      </c>
      <c r="X1140" s="420"/>
      <c r="Y1140" s="421">
        <f t="shared" si="373"/>
        <v>0</v>
      </c>
      <c r="Z1140" s="422">
        <f t="shared" si="374"/>
        <v>0</v>
      </c>
      <c r="AA1140" s="422"/>
      <c r="AB1140" s="825"/>
      <c r="AC1140" s="419"/>
      <c r="AD1140" s="209"/>
      <c r="AE1140" s="210"/>
      <c r="AF1140" s="210"/>
      <c r="AG1140" s="211">
        <f t="shared" si="378"/>
        <v>0.14499999999999999</v>
      </c>
      <c r="AH1140" s="157">
        <f t="shared" si="376"/>
        <v>0</v>
      </c>
      <c r="AI1140" s="152">
        <f t="shared" si="377"/>
        <v>61104</v>
      </c>
      <c r="AK1140" s="156" t="s">
        <v>691</v>
      </c>
      <c r="AL1140" s="212" t="s">
        <v>690</v>
      </c>
      <c r="AM1140" s="198">
        <f t="shared" si="380"/>
        <v>0</v>
      </c>
      <c r="AN1140" s="199">
        <f t="shared" si="371"/>
        <v>45499</v>
      </c>
      <c r="AO1140" s="159" t="s">
        <v>692</v>
      </c>
      <c r="AP1140" s="783" t="s">
        <v>609</v>
      </c>
      <c r="AQ1140" s="782">
        <v>12071839</v>
      </c>
      <c r="AR1140" s="782">
        <v>12047514</v>
      </c>
      <c r="AS1140" s="782">
        <v>12047515</v>
      </c>
      <c r="AT1140" s="781"/>
      <c r="AU1140" s="781"/>
      <c r="AV1140" s="782">
        <v>12080613</v>
      </c>
      <c r="AW1140" s="781"/>
      <c r="AX1140" s="781"/>
      <c r="AY1140" s="782">
        <v>12080614</v>
      </c>
      <c r="AZ1140" s="782">
        <v>12080616</v>
      </c>
      <c r="BA1140" s="781"/>
    </row>
    <row r="1141" spans="1:53" ht="25" hidden="1" customHeight="1">
      <c r="B1141" s="398">
        <v>45499</v>
      </c>
      <c r="C1141" s="399" t="s">
        <v>1573</v>
      </c>
      <c r="D1141" s="185">
        <f t="shared" si="369"/>
        <v>2024</v>
      </c>
      <c r="E1141" s="399" t="str">
        <f>VLOOKUP($B1141,Week!$A$1:$C$1462,2,0)</f>
        <v>Week30</v>
      </c>
      <c r="F1141" s="400" t="str">
        <f t="shared" si="370"/>
        <v>Jul</v>
      </c>
      <c r="G1141" s="401" t="s">
        <v>47</v>
      </c>
      <c r="H1141" s="401" t="s">
        <v>518</v>
      </c>
      <c r="I1141" s="401" t="s">
        <v>2702</v>
      </c>
      <c r="J1141" s="402" t="s">
        <v>70</v>
      </c>
      <c r="K1141" s="403" t="s">
        <v>1645</v>
      </c>
      <c r="L1141" s="300" t="s">
        <v>2167</v>
      </c>
      <c r="M1141" s="402" t="s">
        <v>553</v>
      </c>
      <c r="N1141" s="404" t="s">
        <v>557</v>
      </c>
      <c r="O1141" s="401" t="s">
        <v>101</v>
      </c>
      <c r="P1141" s="405">
        <v>12</v>
      </c>
      <c r="Q1141" s="405">
        <v>5</v>
      </c>
      <c r="R1141" s="406">
        <v>8.0000000000000002E-3</v>
      </c>
      <c r="S1141" s="401" t="s">
        <v>40</v>
      </c>
      <c r="T1141" s="401" t="s">
        <v>56</v>
      </c>
      <c r="U1141" s="401" t="s">
        <v>499</v>
      </c>
      <c r="V1141" s="407">
        <f>429</f>
        <v>429</v>
      </c>
      <c r="W1141" s="407">
        <f>21+408</f>
        <v>429</v>
      </c>
      <c r="X1141" s="408"/>
      <c r="Y1141" s="409">
        <f t="shared" si="373"/>
        <v>0</v>
      </c>
      <c r="Z1141" s="410">
        <f t="shared" si="374"/>
        <v>0</v>
      </c>
      <c r="AA1141" s="410"/>
      <c r="AB1141" s="824">
        <v>1</v>
      </c>
      <c r="AC1141" s="407">
        <f>Z1141*AB1141</f>
        <v>0</v>
      </c>
      <c r="AD1141" s="209"/>
      <c r="AE1141" s="210"/>
      <c r="AF1141" s="210"/>
      <c r="AG1141" s="211">
        <f t="shared" si="378"/>
        <v>0.115</v>
      </c>
      <c r="AH1141" s="157">
        <f t="shared" si="376"/>
        <v>0</v>
      </c>
      <c r="AI1141" s="152">
        <f t="shared" si="377"/>
        <v>5148</v>
      </c>
      <c r="AK1141" s="156" t="s">
        <v>691</v>
      </c>
      <c r="AL1141" s="212" t="s">
        <v>690</v>
      </c>
      <c r="AM1141" s="198">
        <f t="shared" si="380"/>
        <v>0</v>
      </c>
      <c r="AN1141" s="199">
        <f t="shared" si="371"/>
        <v>45499</v>
      </c>
      <c r="AO1141" s="159" t="s">
        <v>692</v>
      </c>
      <c r="AP1141" s="783" t="s">
        <v>623</v>
      </c>
      <c r="AQ1141" s="782">
        <v>12071839</v>
      </c>
      <c r="AR1141" s="782">
        <v>12047514</v>
      </c>
      <c r="AS1141" s="782">
        <v>12047515</v>
      </c>
      <c r="AT1141" s="782"/>
      <c r="AU1141" s="781"/>
      <c r="AV1141" s="782">
        <v>12072447</v>
      </c>
      <c r="AW1141" s="782"/>
      <c r="AX1141" s="782"/>
      <c r="AY1141" s="782">
        <v>12064574</v>
      </c>
      <c r="AZ1141" s="782">
        <v>12064576</v>
      </c>
      <c r="BA1141" s="781"/>
    </row>
    <row r="1142" spans="1:53" ht="25" hidden="1" customHeight="1">
      <c r="B1142" s="424">
        <v>45499</v>
      </c>
      <c r="C1142" s="425" t="s">
        <v>1572</v>
      </c>
      <c r="D1142" s="185">
        <f t="shared" si="369"/>
        <v>2024</v>
      </c>
      <c r="E1142" s="425" t="str">
        <f>VLOOKUP($B1142,Week!$A$1:$C$1462,2,0)</f>
        <v>Week30</v>
      </c>
      <c r="F1142" s="426" t="str">
        <f t="shared" si="370"/>
        <v>Jul</v>
      </c>
      <c r="G1142" s="427" t="s">
        <v>47</v>
      </c>
      <c r="H1142" s="427" t="s">
        <v>518</v>
      </c>
      <c r="I1142" s="427" t="s">
        <v>2702</v>
      </c>
      <c r="J1142" s="428" t="s">
        <v>70</v>
      </c>
      <c r="K1142" s="429" t="s">
        <v>94</v>
      </c>
      <c r="L1142" s="300" t="s">
        <v>2167</v>
      </c>
      <c r="M1142" s="428" t="s">
        <v>521</v>
      </c>
      <c r="N1142" s="427" t="s">
        <v>587</v>
      </c>
      <c r="O1142" s="427" t="s">
        <v>3198</v>
      </c>
      <c r="P1142" s="430">
        <v>18</v>
      </c>
      <c r="Q1142" s="430">
        <v>5</v>
      </c>
      <c r="R1142" s="431">
        <v>8.0000000000000002E-3</v>
      </c>
      <c r="S1142" s="427" t="s">
        <v>40</v>
      </c>
      <c r="T1142" s="427" t="s">
        <v>56</v>
      </c>
      <c r="U1142" s="427" t="s">
        <v>89</v>
      </c>
      <c r="V1142" s="432">
        <f>581</f>
        <v>581</v>
      </c>
      <c r="W1142" s="432">
        <v>581</v>
      </c>
      <c r="X1142" s="433"/>
      <c r="Y1142" s="434">
        <f t="shared" si="373"/>
        <v>0</v>
      </c>
      <c r="Z1142" s="435">
        <f t="shared" si="374"/>
        <v>0</v>
      </c>
      <c r="AA1142" s="435"/>
      <c r="AB1142" s="826">
        <v>1</v>
      </c>
      <c r="AC1142" s="432">
        <f>Z1142*AB1142</f>
        <v>0</v>
      </c>
      <c r="AD1142" s="209"/>
      <c r="AE1142" s="210"/>
      <c r="AF1142" s="210"/>
      <c r="AG1142" s="211" t="e">
        <f>(MID(O1142,1,3)/1000)/3</f>
        <v>#VALUE!</v>
      </c>
      <c r="AH1142" s="157" t="e">
        <f t="shared" si="376"/>
        <v>#VALUE!</v>
      </c>
      <c r="AI1142" s="152">
        <f t="shared" si="377"/>
        <v>10458</v>
      </c>
      <c r="AK1142" s="156" t="s">
        <v>691</v>
      </c>
      <c r="AL1142" s="212" t="s">
        <v>690</v>
      </c>
      <c r="AM1142" s="198" t="e">
        <f t="shared" ref="AM1142:AM1173" si="381">AG1142*Z1142</f>
        <v>#VALUE!</v>
      </c>
      <c r="AN1142" s="199">
        <f t="shared" si="371"/>
        <v>45499</v>
      </c>
      <c r="AO1142" s="159" t="s">
        <v>692</v>
      </c>
      <c r="AP1142" s="783" t="s">
        <v>628</v>
      </c>
      <c r="AQ1142" s="782"/>
      <c r="AR1142" s="782"/>
      <c r="AS1142" s="782"/>
      <c r="AT1142" s="782"/>
      <c r="AU1142" s="781"/>
      <c r="AV1142" s="782">
        <v>12080791</v>
      </c>
      <c r="AW1142" s="782" t="s">
        <v>641</v>
      </c>
      <c r="AX1142" s="782" t="s">
        <v>533</v>
      </c>
      <c r="AY1142" s="782"/>
      <c r="AZ1142" s="782"/>
      <c r="BA1142" s="781"/>
    </row>
    <row r="1143" spans="1:53" ht="25" hidden="1" customHeight="1">
      <c r="B1143" s="424">
        <v>45499</v>
      </c>
      <c r="C1143" s="425" t="s">
        <v>1573</v>
      </c>
      <c r="D1143" s="185">
        <f t="shared" si="369"/>
        <v>2024</v>
      </c>
      <c r="E1143" s="425" t="str">
        <f>VLOOKUP($B1143,Week!$A$1:$C$1462,2,0)</f>
        <v>Week30</v>
      </c>
      <c r="F1143" s="426" t="str">
        <f t="shared" si="370"/>
        <v>Jul</v>
      </c>
      <c r="G1143" s="427" t="s">
        <v>47</v>
      </c>
      <c r="H1143" s="427" t="s">
        <v>518</v>
      </c>
      <c r="I1143" s="427" t="s">
        <v>2702</v>
      </c>
      <c r="J1143" s="428" t="s">
        <v>70</v>
      </c>
      <c r="K1143" s="429" t="s">
        <v>94</v>
      </c>
      <c r="L1143" s="300" t="s">
        <v>2167</v>
      </c>
      <c r="M1143" s="428" t="s">
        <v>521</v>
      </c>
      <c r="N1143" s="427" t="s">
        <v>587</v>
      </c>
      <c r="O1143" s="427" t="s">
        <v>3198</v>
      </c>
      <c r="P1143" s="430">
        <v>18</v>
      </c>
      <c r="Q1143" s="430">
        <v>5</v>
      </c>
      <c r="R1143" s="431">
        <v>8.0000000000000002E-3</v>
      </c>
      <c r="S1143" s="427" t="s">
        <v>40</v>
      </c>
      <c r="T1143" s="427" t="s">
        <v>56</v>
      </c>
      <c r="U1143" s="427" t="s">
        <v>89</v>
      </c>
      <c r="V1143" s="432">
        <f>519</f>
        <v>519</v>
      </c>
      <c r="W1143" s="432">
        <f>1096-581</f>
        <v>515</v>
      </c>
      <c r="X1143" s="433">
        <f>24/6</f>
        <v>4</v>
      </c>
      <c r="Y1143" s="434">
        <f t="shared" si="373"/>
        <v>0</v>
      </c>
      <c r="Z1143" s="435">
        <f t="shared" si="374"/>
        <v>0</v>
      </c>
      <c r="AA1143" s="435"/>
      <c r="AB1143" s="826">
        <v>1</v>
      </c>
      <c r="AC1143" s="432">
        <f>Z1143*AB1143</f>
        <v>0</v>
      </c>
      <c r="AD1143" s="209"/>
      <c r="AE1143" s="210"/>
      <c r="AF1143" s="210"/>
      <c r="AG1143" s="211" t="e">
        <f>(MID(O1143,1,3)/1000)/3</f>
        <v>#VALUE!</v>
      </c>
      <c r="AH1143" s="157" t="e">
        <f t="shared" si="376"/>
        <v>#VALUE!</v>
      </c>
      <c r="AI1143" s="152">
        <f t="shared" si="377"/>
        <v>9342</v>
      </c>
      <c r="AK1143" s="156" t="s">
        <v>691</v>
      </c>
      <c r="AL1143" s="212" t="s">
        <v>690</v>
      </c>
      <c r="AM1143" s="198" t="e">
        <f t="shared" si="381"/>
        <v>#VALUE!</v>
      </c>
      <c r="AN1143" s="199">
        <f t="shared" si="371"/>
        <v>45499</v>
      </c>
      <c r="AO1143" s="159" t="s">
        <v>692</v>
      </c>
      <c r="AP1143" s="783" t="s">
        <v>628</v>
      </c>
      <c r="AQ1143" s="782"/>
      <c r="AR1143" s="782"/>
      <c r="AS1143" s="782"/>
      <c r="AT1143" s="782"/>
      <c r="AU1143" s="781"/>
      <c r="AV1143" s="782">
        <v>12080791</v>
      </c>
      <c r="AW1143" s="782" t="s">
        <v>641</v>
      </c>
      <c r="AX1143" s="782" t="s">
        <v>533</v>
      </c>
      <c r="AY1143" s="782"/>
      <c r="AZ1143" s="782"/>
      <c r="BA1143" s="781"/>
    </row>
    <row r="1144" spans="1:53" ht="24.65" hidden="1" customHeight="1">
      <c r="B1144" s="308">
        <v>45500</v>
      </c>
      <c r="C1144" s="309">
        <v>45519</v>
      </c>
      <c r="D1144" s="185">
        <f t="shared" si="369"/>
        <v>2024</v>
      </c>
      <c r="E1144" s="309" t="str">
        <f>VLOOKUP($B1144,Week!$A$1:$C$1462,2,0)</f>
        <v>Week30</v>
      </c>
      <c r="F1144" s="310" t="str">
        <f t="shared" si="370"/>
        <v>Jul</v>
      </c>
      <c r="G1144" s="311" t="s">
        <v>1511</v>
      </c>
      <c r="H1144" s="311" t="s">
        <v>311</v>
      </c>
      <c r="I1144" s="311" t="s">
        <v>2772</v>
      </c>
      <c r="J1144" s="312" t="s">
        <v>738</v>
      </c>
      <c r="K1144" s="313" t="s">
        <v>107</v>
      </c>
      <c r="L1144" s="300" t="s">
        <v>2167</v>
      </c>
      <c r="M1144" s="312" t="s">
        <v>313</v>
      </c>
      <c r="N1144" s="311" t="s">
        <v>314</v>
      </c>
      <c r="O1144" s="311" t="s">
        <v>110</v>
      </c>
      <c r="P1144" s="314">
        <v>36</v>
      </c>
      <c r="Q1144" s="314">
        <v>5</v>
      </c>
      <c r="R1144" s="315">
        <v>7.4999999999999997E-3</v>
      </c>
      <c r="S1144" s="311" t="s">
        <v>111</v>
      </c>
      <c r="T1144" s="311" t="s">
        <v>112</v>
      </c>
      <c r="U1144" s="311" t="s">
        <v>57</v>
      </c>
      <c r="V1144" s="316">
        <v>792</v>
      </c>
      <c r="W1144" s="316">
        <f>44+748</f>
        <v>792</v>
      </c>
      <c r="X1144" s="317"/>
      <c r="Y1144" s="318">
        <f t="shared" si="373"/>
        <v>0</v>
      </c>
      <c r="Z1144" s="319">
        <f t="shared" si="374"/>
        <v>0</v>
      </c>
      <c r="AA1144" s="319"/>
      <c r="AB1144" s="815"/>
      <c r="AC1144" s="316"/>
      <c r="AD1144" s="515"/>
      <c r="AE1144" s="210"/>
      <c r="AF1144" s="210"/>
      <c r="AG1144" s="211">
        <f>MID(O1144,1,3)/1000</f>
        <v>0.308</v>
      </c>
      <c r="AH1144" s="157">
        <f t="shared" si="376"/>
        <v>0</v>
      </c>
      <c r="AI1144" s="152">
        <f t="shared" si="377"/>
        <v>28512</v>
      </c>
      <c r="AK1144" s="156" t="s">
        <v>691</v>
      </c>
      <c r="AL1144" s="212" t="s">
        <v>690</v>
      </c>
      <c r="AM1144" s="198">
        <f t="shared" si="381"/>
        <v>0</v>
      </c>
      <c r="AN1144" s="199">
        <f t="shared" si="371"/>
        <v>45500</v>
      </c>
      <c r="AO1144" s="159" t="s">
        <v>692</v>
      </c>
      <c r="AP1144" s="783" t="s">
        <v>644</v>
      </c>
      <c r="AQ1144" s="782">
        <v>12063755</v>
      </c>
      <c r="AR1144" s="782">
        <v>12061353</v>
      </c>
      <c r="AS1144" s="782">
        <v>12061354</v>
      </c>
      <c r="AT1144" s="782">
        <v>12062266</v>
      </c>
      <c r="AU1144" s="781"/>
      <c r="AV1144" s="782">
        <v>12088159</v>
      </c>
      <c r="AW1144" s="782">
        <v>12088207</v>
      </c>
      <c r="AX1144" s="782"/>
      <c r="AY1144" s="782">
        <v>12062262</v>
      </c>
      <c r="AZ1144" s="782"/>
      <c r="BA1144" s="781"/>
    </row>
    <row r="1145" spans="1:53" ht="24.65" hidden="1" customHeight="1">
      <c r="B1145" s="308">
        <v>45500</v>
      </c>
      <c r="C1145" s="309">
        <v>45526</v>
      </c>
      <c r="D1145" s="185">
        <f t="shared" si="369"/>
        <v>2024</v>
      </c>
      <c r="E1145" s="309" t="str">
        <f>VLOOKUP($B1145,Week!$A$1:$C$1462,2,0)</f>
        <v>Week30</v>
      </c>
      <c r="F1145" s="310" t="str">
        <f t="shared" si="370"/>
        <v>Jul</v>
      </c>
      <c r="G1145" s="311" t="s">
        <v>1512</v>
      </c>
      <c r="H1145" s="311" t="s">
        <v>311</v>
      </c>
      <c r="I1145" s="311" t="s">
        <v>2772</v>
      </c>
      <c r="J1145" s="312" t="s">
        <v>738</v>
      </c>
      <c r="K1145" s="313" t="s">
        <v>107</v>
      </c>
      <c r="L1145" s="300" t="s">
        <v>2167</v>
      </c>
      <c r="M1145" s="312" t="s">
        <v>313</v>
      </c>
      <c r="N1145" s="311" t="s">
        <v>314</v>
      </c>
      <c r="O1145" s="311" t="s">
        <v>110</v>
      </c>
      <c r="P1145" s="314">
        <v>36</v>
      </c>
      <c r="Q1145" s="314">
        <v>5</v>
      </c>
      <c r="R1145" s="315">
        <v>7.4999999999999997E-3</v>
      </c>
      <c r="S1145" s="311" t="s">
        <v>111</v>
      </c>
      <c r="T1145" s="311" t="s">
        <v>112</v>
      </c>
      <c r="U1145" s="311" t="s">
        <v>57</v>
      </c>
      <c r="V1145" s="316">
        <v>792</v>
      </c>
      <c r="W1145" s="316">
        <v>792</v>
      </c>
      <c r="X1145" s="317"/>
      <c r="Y1145" s="318">
        <f t="shared" si="373"/>
        <v>0</v>
      </c>
      <c r="Z1145" s="319">
        <f t="shared" si="374"/>
        <v>0</v>
      </c>
      <c r="AA1145" s="319"/>
      <c r="AB1145" s="815"/>
      <c r="AC1145" s="316"/>
      <c r="AD1145" s="515"/>
      <c r="AE1145" s="210"/>
      <c r="AF1145" s="210"/>
      <c r="AG1145" s="211">
        <f>MID(O1145,1,3)/1000</f>
        <v>0.308</v>
      </c>
      <c r="AH1145" s="157">
        <f t="shared" si="376"/>
        <v>0</v>
      </c>
      <c r="AI1145" s="152">
        <f t="shared" si="377"/>
        <v>28512</v>
      </c>
      <c r="AK1145" s="156" t="s">
        <v>691</v>
      </c>
      <c r="AL1145" s="212" t="s">
        <v>690</v>
      </c>
      <c r="AM1145" s="198">
        <f t="shared" si="381"/>
        <v>0</v>
      </c>
      <c r="AN1145" s="199">
        <f t="shared" si="371"/>
        <v>45500</v>
      </c>
      <c r="AO1145" s="159" t="s">
        <v>692</v>
      </c>
      <c r="AP1145" s="783" t="s">
        <v>644</v>
      </c>
      <c r="AQ1145" s="782">
        <v>12063755</v>
      </c>
      <c r="AR1145" s="782">
        <v>12061353</v>
      </c>
      <c r="AS1145" s="782">
        <v>12061354</v>
      </c>
      <c r="AT1145" s="782">
        <v>12062266</v>
      </c>
      <c r="AU1145" s="781"/>
      <c r="AV1145" s="782">
        <v>12088159</v>
      </c>
      <c r="AW1145" s="782">
        <v>12088207</v>
      </c>
      <c r="AX1145" s="782"/>
      <c r="AY1145" s="782">
        <v>12062262</v>
      </c>
      <c r="AZ1145" s="782"/>
      <c r="BA1145" s="781"/>
    </row>
    <row r="1146" spans="1:53" ht="24.65" hidden="1" customHeight="1">
      <c r="B1146" s="308">
        <v>45500</v>
      </c>
      <c r="C1146" s="309">
        <v>45533</v>
      </c>
      <c r="D1146" s="185">
        <f t="shared" si="369"/>
        <v>2024</v>
      </c>
      <c r="E1146" s="309" t="str">
        <f>VLOOKUP($B1146,Week!$A$1:$C$1462,2,0)</f>
        <v>Week30</v>
      </c>
      <c r="F1146" s="310" t="str">
        <f t="shared" si="370"/>
        <v>Jul</v>
      </c>
      <c r="G1146" s="311" t="s">
        <v>1542</v>
      </c>
      <c r="H1146" s="311" t="s">
        <v>311</v>
      </c>
      <c r="I1146" s="311" t="s">
        <v>2772</v>
      </c>
      <c r="J1146" s="312" t="s">
        <v>738</v>
      </c>
      <c r="K1146" s="313" t="s">
        <v>107</v>
      </c>
      <c r="L1146" s="300" t="s">
        <v>2167</v>
      </c>
      <c r="M1146" s="312" t="s">
        <v>313</v>
      </c>
      <c r="N1146" s="311" t="s">
        <v>314</v>
      </c>
      <c r="O1146" s="311" t="s">
        <v>110</v>
      </c>
      <c r="P1146" s="314">
        <v>36</v>
      </c>
      <c r="Q1146" s="314">
        <v>5</v>
      </c>
      <c r="R1146" s="315">
        <v>7.4999999999999997E-3</v>
      </c>
      <c r="S1146" s="311" t="s">
        <v>111</v>
      </c>
      <c r="T1146" s="311" t="s">
        <v>112</v>
      </c>
      <c r="U1146" s="311" t="s">
        <v>57</v>
      </c>
      <c r="V1146" s="316">
        <v>385</v>
      </c>
      <c r="W1146" s="316">
        <f>1969-44-748-792</f>
        <v>385</v>
      </c>
      <c r="X1146" s="317"/>
      <c r="Y1146" s="318">
        <f t="shared" si="373"/>
        <v>0</v>
      </c>
      <c r="Z1146" s="319">
        <f t="shared" si="374"/>
        <v>0</v>
      </c>
      <c r="AA1146" s="319"/>
      <c r="AB1146" s="815"/>
      <c r="AC1146" s="316"/>
      <c r="AD1146" s="515"/>
      <c r="AE1146" s="210"/>
      <c r="AF1146" s="210"/>
      <c r="AG1146" s="211">
        <f>MID(O1146,1,3)/1000</f>
        <v>0.308</v>
      </c>
      <c r="AH1146" s="157">
        <f t="shared" si="376"/>
        <v>0</v>
      </c>
      <c r="AI1146" s="152">
        <f t="shared" si="377"/>
        <v>13860</v>
      </c>
      <c r="AK1146" s="156" t="s">
        <v>691</v>
      </c>
      <c r="AL1146" s="212" t="s">
        <v>690</v>
      </c>
      <c r="AM1146" s="198">
        <f t="shared" si="381"/>
        <v>0</v>
      </c>
      <c r="AN1146" s="199">
        <f t="shared" si="371"/>
        <v>45500</v>
      </c>
      <c r="AO1146" s="159" t="s">
        <v>692</v>
      </c>
      <c r="AP1146" s="783" t="s">
        <v>644</v>
      </c>
      <c r="AQ1146" s="782">
        <v>12063755</v>
      </c>
      <c r="AR1146" s="782">
        <v>12061353</v>
      </c>
      <c r="AS1146" s="782">
        <v>12061354</v>
      </c>
      <c r="AT1146" s="782">
        <v>12062266</v>
      </c>
      <c r="AU1146" s="781"/>
      <c r="AV1146" s="782">
        <v>12088159</v>
      </c>
      <c r="AW1146" s="782">
        <v>12088207</v>
      </c>
      <c r="AX1146" s="782"/>
      <c r="AY1146" s="782">
        <v>12062262</v>
      </c>
      <c r="AZ1146" s="782"/>
      <c r="BA1146" s="781"/>
    </row>
    <row r="1147" spans="1:53" ht="25" hidden="1" customHeight="1">
      <c r="A1147" s="440"/>
      <c r="B1147" s="271">
        <v>45500</v>
      </c>
      <c r="C1147" s="271">
        <v>45530</v>
      </c>
      <c r="D1147" s="185">
        <f t="shared" si="369"/>
        <v>2024</v>
      </c>
      <c r="E1147" s="441" t="str">
        <f>VLOOKUP($B1147,Week!$A$1:$C$1462,2,0)</f>
        <v>Week30</v>
      </c>
      <c r="F1147" s="442" t="str">
        <f t="shared" si="370"/>
        <v>Jul</v>
      </c>
      <c r="G1147" s="423" t="s">
        <v>1161</v>
      </c>
      <c r="H1147" s="274" t="s">
        <v>267</v>
      </c>
      <c r="I1147" s="274" t="s">
        <v>2772</v>
      </c>
      <c r="J1147" s="275" t="s">
        <v>699</v>
      </c>
      <c r="K1147" s="276" t="s">
        <v>107</v>
      </c>
      <c r="L1147" s="300" t="s">
        <v>2167</v>
      </c>
      <c r="M1147" s="275" t="s">
        <v>136</v>
      </c>
      <c r="N1147" s="274" t="s">
        <v>269</v>
      </c>
      <c r="O1147" s="274" t="s">
        <v>270</v>
      </c>
      <c r="P1147" s="277">
        <v>12</v>
      </c>
      <c r="Q1147" s="277">
        <v>3</v>
      </c>
      <c r="R1147" s="278">
        <v>7.4999999999999997E-3</v>
      </c>
      <c r="S1147" s="274" t="s">
        <v>111</v>
      </c>
      <c r="T1147" s="274" t="s">
        <v>112</v>
      </c>
      <c r="U1147" s="274" t="s">
        <v>57</v>
      </c>
      <c r="V1147" s="279">
        <v>2520</v>
      </c>
      <c r="W1147" s="279">
        <v>2520</v>
      </c>
      <c r="X1147" s="280"/>
      <c r="Y1147" s="281">
        <f t="shared" si="373"/>
        <v>0</v>
      </c>
      <c r="Z1147" s="282">
        <f t="shared" si="374"/>
        <v>0</v>
      </c>
      <c r="AA1147" s="282"/>
      <c r="AB1147" s="812"/>
      <c r="AC1147" s="279"/>
      <c r="AD1147" s="443" t="s">
        <v>737</v>
      </c>
      <c r="AE1147" s="210"/>
      <c r="AF1147" s="210"/>
      <c r="AG1147" s="211">
        <f>MID(O1147,1,3)/1000</f>
        <v>0.309</v>
      </c>
      <c r="AH1147" s="157">
        <f t="shared" si="376"/>
        <v>0</v>
      </c>
      <c r="AI1147" s="152">
        <f t="shared" si="377"/>
        <v>30240</v>
      </c>
      <c r="AK1147" s="156" t="s">
        <v>691</v>
      </c>
      <c r="AL1147" s="212" t="s">
        <v>690</v>
      </c>
      <c r="AM1147" s="198">
        <f t="shared" si="381"/>
        <v>0</v>
      </c>
      <c r="AN1147" s="199">
        <f t="shared" si="371"/>
        <v>45500</v>
      </c>
      <c r="AO1147" s="159" t="s">
        <v>692</v>
      </c>
      <c r="AP1147" s="781"/>
      <c r="AQ1147" s="782">
        <v>12063755</v>
      </c>
      <c r="AR1147" s="782">
        <v>12081257</v>
      </c>
      <c r="AS1147" s="782">
        <v>12081260</v>
      </c>
      <c r="AT1147" s="782"/>
      <c r="AU1147" s="781"/>
      <c r="AV1147" s="782">
        <v>12073316</v>
      </c>
      <c r="AW1147" s="782"/>
      <c r="AX1147" s="782"/>
      <c r="AY1147" s="782">
        <v>12073342</v>
      </c>
      <c r="AZ1147" s="782">
        <v>12073344</v>
      </c>
      <c r="BA1147" s="782">
        <v>12073343</v>
      </c>
    </row>
    <row r="1148" spans="1:53" ht="25" hidden="1" customHeight="1">
      <c r="B1148" s="332">
        <v>45500</v>
      </c>
      <c r="C1148" s="333">
        <v>45517</v>
      </c>
      <c r="D1148" s="185">
        <f t="shared" si="369"/>
        <v>2024</v>
      </c>
      <c r="E1148" s="333" t="str">
        <f>VLOOKUP($B1148,Week!$A$1:$C$1462,2,0)</f>
        <v>Week30</v>
      </c>
      <c r="F1148" s="334" t="str">
        <f t="shared" si="370"/>
        <v>Jul</v>
      </c>
      <c r="G1148" s="335" t="s">
        <v>1569</v>
      </c>
      <c r="H1148" s="335" t="s">
        <v>600</v>
      </c>
      <c r="I1148" s="335" t="s">
        <v>2772</v>
      </c>
      <c r="J1148" s="336" t="s">
        <v>708</v>
      </c>
      <c r="K1148" s="337" t="s">
        <v>1646</v>
      </c>
      <c r="L1148" s="300" t="s">
        <v>2167</v>
      </c>
      <c r="M1148" s="336" t="s">
        <v>601</v>
      </c>
      <c r="N1148" s="335" t="s">
        <v>604</v>
      </c>
      <c r="O1148" s="335" t="s">
        <v>543</v>
      </c>
      <c r="P1148" s="338">
        <v>8</v>
      </c>
      <c r="Q1148" s="338">
        <v>3</v>
      </c>
      <c r="R1148" s="339">
        <v>7.4999999999999997E-3</v>
      </c>
      <c r="S1148" s="335" t="s">
        <v>40</v>
      </c>
      <c r="T1148" s="335" t="s">
        <v>112</v>
      </c>
      <c r="U1148" s="340" t="s">
        <v>722</v>
      </c>
      <c r="V1148" s="341">
        <v>3500</v>
      </c>
      <c r="W1148" s="341"/>
      <c r="X1148" s="342">
        <f>(1098+682+26294)/8</f>
        <v>3509.25</v>
      </c>
      <c r="Y1148" s="343">
        <f t="shared" si="373"/>
        <v>9.25</v>
      </c>
      <c r="Z1148" s="344">
        <f t="shared" si="374"/>
        <v>0</v>
      </c>
      <c r="AA1148" s="344"/>
      <c r="AB1148" s="817"/>
      <c r="AC1148" s="341"/>
      <c r="AD1148" s="307" t="s">
        <v>673</v>
      </c>
      <c r="AE1148" s="210"/>
      <c r="AF1148" s="210"/>
      <c r="AG1148" s="211">
        <f>MID(O1148,1,3)/1000</f>
        <v>0.309</v>
      </c>
      <c r="AH1148" s="157">
        <f t="shared" si="376"/>
        <v>0</v>
      </c>
      <c r="AI1148" s="152">
        <f t="shared" si="377"/>
        <v>28000</v>
      </c>
      <c r="AK1148" s="156" t="s">
        <v>691</v>
      </c>
      <c r="AL1148" s="574" t="s">
        <v>690</v>
      </c>
      <c r="AM1148" s="198">
        <f t="shared" si="381"/>
        <v>0</v>
      </c>
      <c r="AN1148" s="199">
        <f t="shared" si="371"/>
        <v>45500</v>
      </c>
      <c r="AO1148" s="159" t="s">
        <v>692</v>
      </c>
      <c r="AP1148" s="781"/>
      <c r="AQ1148" s="782">
        <v>12063755</v>
      </c>
      <c r="AR1148" s="782">
        <v>12061353</v>
      </c>
      <c r="AS1148" s="782">
        <v>12061354</v>
      </c>
      <c r="AT1148" s="782">
        <v>12084023</v>
      </c>
      <c r="AU1148" s="781"/>
      <c r="AV1148" s="782">
        <v>12084228</v>
      </c>
      <c r="AW1148" s="782"/>
      <c r="AX1148" s="782"/>
      <c r="AY1148" s="782"/>
      <c r="AZ1148" s="782"/>
      <c r="BA1148" s="781"/>
    </row>
    <row r="1149" spans="1:53" ht="25" hidden="1" customHeight="1">
      <c r="B1149" s="183">
        <v>45501</v>
      </c>
      <c r="C1149" s="184"/>
      <c r="D1149" s="185">
        <f t="shared" si="369"/>
        <v>2024</v>
      </c>
      <c r="E1149" s="185" t="str">
        <f>VLOOKUP($B1149,Week!$A$1:$C$1462,2,0)</f>
        <v>Week30</v>
      </c>
      <c r="F1149" s="186" t="str">
        <f t="shared" si="370"/>
        <v>Jul</v>
      </c>
      <c r="G1149" s="185"/>
      <c r="H1149" s="185"/>
      <c r="I1149" s="185"/>
      <c r="J1149" s="187"/>
      <c r="K1149" s="188"/>
      <c r="L1149" s="300"/>
      <c r="M1149" s="187"/>
      <c r="N1149" s="185"/>
      <c r="O1149" s="185"/>
      <c r="P1149" s="189"/>
      <c r="Q1149" s="189"/>
      <c r="R1149" s="190"/>
      <c r="S1149" s="185"/>
      <c r="T1149" s="185"/>
      <c r="U1149" s="185"/>
      <c r="V1149" s="191"/>
      <c r="W1149" s="191"/>
      <c r="X1149" s="192"/>
      <c r="Y1149" s="193"/>
      <c r="Z1149" s="194"/>
      <c r="AA1149" s="194"/>
      <c r="AB1149" s="805"/>
      <c r="AC1149" s="191"/>
      <c r="AD1149" s="187"/>
      <c r="AE1149" s="195"/>
      <c r="AF1149" s="195"/>
      <c r="AG1149" s="196"/>
      <c r="AH1149" s="197"/>
      <c r="AK1149" s="156" t="s">
        <v>691</v>
      </c>
      <c r="AM1149" s="198">
        <f t="shared" si="381"/>
        <v>0</v>
      </c>
      <c r="AN1149" s="199">
        <f t="shared" si="371"/>
        <v>45501</v>
      </c>
      <c r="AO1149" s="159" t="s">
        <v>692</v>
      </c>
      <c r="AP1149" s="781"/>
      <c r="AQ1149" s="782"/>
      <c r="AR1149" s="782"/>
      <c r="AS1149" s="782"/>
      <c r="AT1149" s="782"/>
      <c r="AU1149" s="781"/>
      <c r="AV1149" s="782"/>
      <c r="AW1149" s="782"/>
      <c r="AX1149" s="782"/>
      <c r="AY1149" s="782"/>
      <c r="AZ1149" s="782"/>
      <c r="BA1149" s="781"/>
    </row>
    <row r="1150" spans="1:53" ht="25" hidden="1" customHeight="1">
      <c r="B1150" s="183">
        <v>45502</v>
      </c>
      <c r="C1150" s="184"/>
      <c r="D1150" s="185">
        <f t="shared" si="369"/>
        <v>2024</v>
      </c>
      <c r="E1150" s="185" t="str">
        <f>VLOOKUP($B1150,Week!$A$1:$C$1462,2,0)</f>
        <v>Week31</v>
      </c>
      <c r="F1150" s="186" t="str">
        <f t="shared" si="370"/>
        <v>Jul</v>
      </c>
      <c r="G1150" s="185"/>
      <c r="H1150" s="185"/>
      <c r="I1150" s="185"/>
      <c r="J1150" s="187"/>
      <c r="K1150" s="188"/>
      <c r="L1150" s="300"/>
      <c r="M1150" s="187"/>
      <c r="N1150" s="185"/>
      <c r="O1150" s="185"/>
      <c r="P1150" s="189"/>
      <c r="Q1150" s="189"/>
      <c r="R1150" s="190"/>
      <c r="S1150" s="185"/>
      <c r="T1150" s="185"/>
      <c r="U1150" s="185"/>
      <c r="V1150" s="191"/>
      <c r="W1150" s="191"/>
      <c r="X1150" s="192"/>
      <c r="Y1150" s="193"/>
      <c r="Z1150" s="194"/>
      <c r="AA1150" s="194"/>
      <c r="AB1150" s="805"/>
      <c r="AC1150" s="191"/>
      <c r="AD1150" s="187"/>
      <c r="AE1150" s="195"/>
      <c r="AF1150" s="195"/>
      <c r="AG1150" s="196"/>
      <c r="AH1150" s="197"/>
      <c r="AK1150" s="156" t="s">
        <v>691</v>
      </c>
      <c r="AM1150" s="198">
        <f t="shared" si="381"/>
        <v>0</v>
      </c>
      <c r="AN1150" s="199">
        <f t="shared" si="371"/>
        <v>45502</v>
      </c>
      <c r="AO1150" s="159" t="s">
        <v>692</v>
      </c>
      <c r="AP1150" s="781"/>
      <c r="AQ1150" s="782"/>
      <c r="AR1150" s="782"/>
      <c r="AS1150" s="782"/>
      <c r="AT1150" s="782"/>
      <c r="AU1150" s="781"/>
      <c r="AV1150" s="782"/>
      <c r="AW1150" s="782"/>
      <c r="AX1150" s="782"/>
      <c r="AY1150" s="782"/>
      <c r="AZ1150" s="782"/>
      <c r="BA1150" s="781"/>
    </row>
    <row r="1151" spans="1:53" ht="25" hidden="1" customHeight="1">
      <c r="A1151" s="529" t="s">
        <v>1592</v>
      </c>
      <c r="B1151" s="600">
        <v>45503</v>
      </c>
      <c r="C1151" s="546">
        <v>45517</v>
      </c>
      <c r="D1151" s="185">
        <f t="shared" si="369"/>
        <v>2024</v>
      </c>
      <c r="E1151" s="547" t="str">
        <f>VLOOKUP($B1151,Week!$A$1:$C$1462,2,0)</f>
        <v>Week31</v>
      </c>
      <c r="F1151" s="548" t="str">
        <f t="shared" si="370"/>
        <v>Jul</v>
      </c>
      <c r="G1151" s="549" t="s">
        <v>1632</v>
      </c>
      <c r="H1151" s="549" t="s">
        <v>500</v>
      </c>
      <c r="I1151" s="549" t="s">
        <v>2772</v>
      </c>
      <c r="J1151" s="550" t="s">
        <v>285</v>
      </c>
      <c r="K1151" s="551" t="s">
        <v>176</v>
      </c>
      <c r="L1151" s="300" t="s">
        <v>2167</v>
      </c>
      <c r="M1151" s="550" t="s">
        <v>336</v>
      </c>
      <c r="N1151" s="549" t="s">
        <v>1168</v>
      </c>
      <c r="O1151" s="549" t="s">
        <v>179</v>
      </c>
      <c r="P1151" s="552">
        <v>36</v>
      </c>
      <c r="Q1151" s="552">
        <v>5</v>
      </c>
      <c r="R1151" s="553">
        <v>7.4999999999999997E-3</v>
      </c>
      <c r="S1151" s="549" t="s">
        <v>111</v>
      </c>
      <c r="T1151" s="549" t="s">
        <v>112</v>
      </c>
      <c r="U1151" s="549" t="s">
        <v>113</v>
      </c>
      <c r="V1151" s="554">
        <v>1288</v>
      </c>
      <c r="W1151" s="554">
        <f>1288</f>
        <v>1288</v>
      </c>
      <c r="X1151" s="555"/>
      <c r="Y1151" s="556">
        <f t="shared" ref="Y1151:Y1177" si="382">(W1151+X1151)-V1151</f>
        <v>0</v>
      </c>
      <c r="Z1151" s="557">
        <f t="shared" ref="Z1151:Z1177" si="383">IF(Y1151&lt;0,((V1151*P1151)-((W1151+X1151)*P1151)),0)</f>
        <v>0</v>
      </c>
      <c r="AA1151" s="557"/>
      <c r="AB1151" s="833"/>
      <c r="AC1151" s="554"/>
      <c r="AD1151" s="307" t="s">
        <v>672</v>
      </c>
      <c r="AE1151" s="210"/>
      <c r="AF1151" s="210"/>
      <c r="AG1151" s="211">
        <f t="shared" ref="AG1151:AG1163" si="384">MID(O1151,1,3)/1000</f>
        <v>0.14499999999999999</v>
      </c>
      <c r="AH1151" s="157">
        <f t="shared" ref="AH1151:AH1158" si="385">(Z1151*AG1151)/1000</f>
        <v>0</v>
      </c>
      <c r="AI1151" s="152">
        <f t="shared" ref="AI1151:AI1163" si="386">V1151*P1151</f>
        <v>46368</v>
      </c>
      <c r="AK1151" s="156" t="s">
        <v>691</v>
      </c>
      <c r="AL1151" s="574" t="s">
        <v>690</v>
      </c>
      <c r="AM1151" s="198">
        <f t="shared" si="381"/>
        <v>0</v>
      </c>
      <c r="AN1151" s="199">
        <f t="shared" si="371"/>
        <v>45503</v>
      </c>
      <c r="AO1151" s="159" t="s">
        <v>692</v>
      </c>
      <c r="AP1151" s="783" t="s">
        <v>639</v>
      </c>
      <c r="AQ1151" s="782">
        <v>12071839</v>
      </c>
      <c r="AR1151" s="782">
        <v>12047514</v>
      </c>
      <c r="AS1151" s="782">
        <v>12047515</v>
      </c>
      <c r="AT1151" s="782">
        <v>12054919</v>
      </c>
      <c r="AU1151" s="781"/>
      <c r="AV1151" s="782">
        <v>12054869</v>
      </c>
      <c r="AW1151" s="782">
        <v>12024404</v>
      </c>
      <c r="AX1151" s="781"/>
      <c r="AY1151" s="782">
        <v>12054815</v>
      </c>
      <c r="AZ1151" s="781"/>
      <c r="BA1151" s="781"/>
    </row>
    <row r="1152" spans="1:53" ht="25" hidden="1" customHeight="1">
      <c r="A1152" s="529" t="s">
        <v>1592</v>
      </c>
      <c r="B1152" s="600">
        <v>45503</v>
      </c>
      <c r="C1152" s="546">
        <v>45517</v>
      </c>
      <c r="D1152" s="185">
        <f t="shared" si="369"/>
        <v>2024</v>
      </c>
      <c r="E1152" s="547" t="str">
        <f>VLOOKUP($B1152,Week!$A$1:$C$1462,2,0)</f>
        <v>Week31</v>
      </c>
      <c r="F1152" s="548" t="str">
        <f t="shared" si="370"/>
        <v>Jul</v>
      </c>
      <c r="G1152" s="549" t="s">
        <v>1669</v>
      </c>
      <c r="H1152" s="549" t="s">
        <v>500</v>
      </c>
      <c r="I1152" s="549" t="s">
        <v>2772</v>
      </c>
      <c r="J1152" s="550" t="s">
        <v>285</v>
      </c>
      <c r="K1152" s="551" t="s">
        <v>176</v>
      </c>
      <c r="L1152" s="300" t="s">
        <v>2167</v>
      </c>
      <c r="M1152" s="550" t="s">
        <v>336</v>
      </c>
      <c r="N1152" s="549" t="s">
        <v>1168</v>
      </c>
      <c r="O1152" s="549" t="s">
        <v>179</v>
      </c>
      <c r="P1152" s="552">
        <v>36</v>
      </c>
      <c r="Q1152" s="552">
        <v>5</v>
      </c>
      <c r="R1152" s="553">
        <v>7.4999999999999997E-3</v>
      </c>
      <c r="S1152" s="549" t="s">
        <v>111</v>
      </c>
      <c r="T1152" s="549" t="s">
        <v>112</v>
      </c>
      <c r="U1152" s="549" t="s">
        <v>113</v>
      </c>
      <c r="V1152" s="554">
        <f>644</f>
        <v>644</v>
      </c>
      <c r="W1152" s="554">
        <f>1882-1288</f>
        <v>594</v>
      </c>
      <c r="X1152" s="555">
        <f>(936+1756)/36</f>
        <v>74.777777777777771</v>
      </c>
      <c r="Y1152" s="556">
        <f t="shared" si="382"/>
        <v>24.777777777777828</v>
      </c>
      <c r="Z1152" s="557">
        <f t="shared" si="383"/>
        <v>0</v>
      </c>
      <c r="AA1152" s="557"/>
      <c r="AB1152" s="833"/>
      <c r="AC1152" s="554"/>
      <c r="AD1152" s="307" t="s">
        <v>672</v>
      </c>
      <c r="AE1152" s="210"/>
      <c r="AF1152" s="210"/>
      <c r="AG1152" s="211">
        <f t="shared" si="384"/>
        <v>0.14499999999999999</v>
      </c>
      <c r="AH1152" s="157">
        <f t="shared" si="385"/>
        <v>0</v>
      </c>
      <c r="AI1152" s="152">
        <f t="shared" si="386"/>
        <v>23184</v>
      </c>
      <c r="AK1152" s="156" t="s">
        <v>691</v>
      </c>
      <c r="AL1152" s="574" t="s">
        <v>690</v>
      </c>
      <c r="AM1152" s="198">
        <f t="shared" si="381"/>
        <v>0</v>
      </c>
      <c r="AN1152" s="199">
        <f t="shared" si="371"/>
        <v>45503</v>
      </c>
      <c r="AO1152" s="159" t="s">
        <v>692</v>
      </c>
      <c r="AP1152" s="783" t="s">
        <v>639</v>
      </c>
      <c r="AQ1152" s="782">
        <v>12071839</v>
      </c>
      <c r="AR1152" s="782">
        <v>12047514</v>
      </c>
      <c r="AS1152" s="782">
        <v>12047515</v>
      </c>
      <c r="AT1152" s="782">
        <v>12054919</v>
      </c>
      <c r="AU1152" s="781"/>
      <c r="AV1152" s="782">
        <v>12054869</v>
      </c>
      <c r="AW1152" s="782">
        <v>12024404</v>
      </c>
      <c r="AX1152" s="781"/>
      <c r="AY1152" s="782">
        <v>12054815</v>
      </c>
      <c r="AZ1152" s="781"/>
      <c r="BA1152" s="781"/>
    </row>
    <row r="1153" spans="1:53" ht="25" hidden="1" customHeight="1">
      <c r="A1153" s="529" t="s">
        <v>1592</v>
      </c>
      <c r="B1153" s="383">
        <v>45503</v>
      </c>
      <c r="C1153" s="383">
        <v>45512</v>
      </c>
      <c r="D1153" s="185">
        <f t="shared" si="369"/>
        <v>2024</v>
      </c>
      <c r="E1153" s="224" t="str">
        <f>VLOOKUP($B1153,Week!$A$1:$C$1462,2,0)</f>
        <v>Week31</v>
      </c>
      <c r="F1153" s="226" t="str">
        <f t="shared" si="370"/>
        <v>Jul</v>
      </c>
      <c r="G1153" s="225" t="s">
        <v>1275</v>
      </c>
      <c r="H1153" s="225" t="s">
        <v>225</v>
      </c>
      <c r="I1153" s="225" t="s">
        <v>2773</v>
      </c>
      <c r="J1153" s="227" t="s">
        <v>335</v>
      </c>
      <c r="K1153" s="228" t="s">
        <v>176</v>
      </c>
      <c r="L1153" s="300" t="s">
        <v>2167</v>
      </c>
      <c r="M1153" s="227" t="s">
        <v>336</v>
      </c>
      <c r="N1153" s="225" t="s">
        <v>337</v>
      </c>
      <c r="O1153" s="225" t="s">
        <v>179</v>
      </c>
      <c r="P1153" s="229">
        <v>36</v>
      </c>
      <c r="Q1153" s="229">
        <v>5</v>
      </c>
      <c r="R1153" s="230">
        <v>7.4999999999999997E-3</v>
      </c>
      <c r="S1153" s="225" t="s">
        <v>111</v>
      </c>
      <c r="T1153" s="225" t="s">
        <v>112</v>
      </c>
      <c r="U1153" s="225" t="s">
        <v>113</v>
      </c>
      <c r="V1153" s="231">
        <f>1288-34</f>
        <v>1254</v>
      </c>
      <c r="W1153" s="231">
        <v>1254</v>
      </c>
      <c r="X1153" s="232"/>
      <c r="Y1153" s="233">
        <f t="shared" si="382"/>
        <v>0</v>
      </c>
      <c r="Z1153" s="234">
        <f t="shared" si="383"/>
        <v>0</v>
      </c>
      <c r="AA1153" s="234"/>
      <c r="AB1153" s="822"/>
      <c r="AC1153" s="231"/>
      <c r="AD1153" s="209"/>
      <c r="AE1153" s="210"/>
      <c r="AF1153" s="210"/>
      <c r="AG1153" s="211">
        <f t="shared" si="384"/>
        <v>0.14499999999999999</v>
      </c>
      <c r="AH1153" s="157">
        <f t="shared" si="385"/>
        <v>0</v>
      </c>
      <c r="AI1153" s="152">
        <f t="shared" si="386"/>
        <v>45144</v>
      </c>
      <c r="AK1153" s="156" t="s">
        <v>691</v>
      </c>
      <c r="AL1153" s="574" t="s">
        <v>690</v>
      </c>
      <c r="AM1153" s="198">
        <f t="shared" si="381"/>
        <v>0</v>
      </c>
      <c r="AN1153" s="199">
        <f t="shared" si="371"/>
        <v>45503</v>
      </c>
      <c r="AO1153" s="159" t="s">
        <v>692</v>
      </c>
      <c r="AP1153" s="783" t="s">
        <v>639</v>
      </c>
      <c r="AQ1153" s="782">
        <v>12071839</v>
      </c>
      <c r="AR1153" s="782">
        <v>12047514</v>
      </c>
      <c r="AS1153" s="782">
        <v>12047515</v>
      </c>
      <c r="AT1153" s="782">
        <v>12054919</v>
      </c>
      <c r="AU1153" s="781"/>
      <c r="AV1153" s="782">
        <v>12054869</v>
      </c>
      <c r="AW1153" s="782">
        <v>12024404</v>
      </c>
      <c r="AX1153" s="781"/>
      <c r="AY1153" s="782">
        <v>12054815</v>
      </c>
      <c r="AZ1153" s="781"/>
      <c r="BA1153" s="781"/>
    </row>
    <row r="1154" spans="1:53" ht="25" hidden="1" customHeight="1">
      <c r="A1154" s="529" t="s">
        <v>1592</v>
      </c>
      <c r="B1154" s="383">
        <v>45503</v>
      </c>
      <c r="C1154" s="383">
        <v>45526</v>
      </c>
      <c r="D1154" s="185">
        <f t="shared" si="369"/>
        <v>2024</v>
      </c>
      <c r="E1154" s="224" t="str">
        <f>VLOOKUP($B1154,Week!$A$1:$C$1462,2,0)</f>
        <v>Week31</v>
      </c>
      <c r="F1154" s="226" t="str">
        <f t="shared" si="370"/>
        <v>Jul</v>
      </c>
      <c r="G1154" s="225" t="s">
        <v>1277</v>
      </c>
      <c r="H1154" s="225" t="s">
        <v>225</v>
      </c>
      <c r="I1154" s="225" t="s">
        <v>2773</v>
      </c>
      <c r="J1154" s="227" t="s">
        <v>335</v>
      </c>
      <c r="K1154" s="228" t="s">
        <v>176</v>
      </c>
      <c r="L1154" s="300" t="s">
        <v>2167</v>
      </c>
      <c r="M1154" s="227" t="s">
        <v>336</v>
      </c>
      <c r="N1154" s="225" t="s">
        <v>337</v>
      </c>
      <c r="O1154" s="225" t="s">
        <v>179</v>
      </c>
      <c r="P1154" s="229">
        <v>36</v>
      </c>
      <c r="Q1154" s="229">
        <v>5</v>
      </c>
      <c r="R1154" s="230">
        <v>7.4999999999999997E-3</v>
      </c>
      <c r="S1154" s="225" t="s">
        <v>111</v>
      </c>
      <c r="T1154" s="225" t="s">
        <v>112</v>
      </c>
      <c r="U1154" s="225" t="s">
        <v>113</v>
      </c>
      <c r="V1154" s="231">
        <v>755</v>
      </c>
      <c r="W1154" s="231">
        <f>2009-1254</f>
        <v>755</v>
      </c>
      <c r="X1154" s="232"/>
      <c r="Y1154" s="233">
        <f t="shared" si="382"/>
        <v>0</v>
      </c>
      <c r="Z1154" s="234">
        <f t="shared" si="383"/>
        <v>0</v>
      </c>
      <c r="AA1154" s="234"/>
      <c r="AB1154" s="822"/>
      <c r="AC1154" s="231"/>
      <c r="AD1154" s="209"/>
      <c r="AE1154" s="210"/>
      <c r="AF1154" s="210"/>
      <c r="AG1154" s="211">
        <f t="shared" si="384"/>
        <v>0.14499999999999999</v>
      </c>
      <c r="AH1154" s="157">
        <f t="shared" si="385"/>
        <v>0</v>
      </c>
      <c r="AI1154" s="152">
        <f t="shared" si="386"/>
        <v>27180</v>
      </c>
      <c r="AK1154" s="156" t="s">
        <v>691</v>
      </c>
      <c r="AL1154" s="574" t="s">
        <v>690</v>
      </c>
      <c r="AM1154" s="198">
        <f t="shared" si="381"/>
        <v>0</v>
      </c>
      <c r="AN1154" s="199">
        <f t="shared" si="371"/>
        <v>45503</v>
      </c>
      <c r="AO1154" s="159" t="s">
        <v>692</v>
      </c>
      <c r="AP1154" s="783" t="s">
        <v>639</v>
      </c>
      <c r="AQ1154" s="782">
        <v>12071839</v>
      </c>
      <c r="AR1154" s="782">
        <v>12047514</v>
      </c>
      <c r="AS1154" s="782">
        <v>12047515</v>
      </c>
      <c r="AT1154" s="782">
        <v>12054919</v>
      </c>
      <c r="AU1154" s="781"/>
      <c r="AV1154" s="782">
        <v>12054869</v>
      </c>
      <c r="AW1154" s="782">
        <v>12024404</v>
      </c>
      <c r="AX1154" s="781"/>
      <c r="AY1154" s="782">
        <v>12054815</v>
      </c>
      <c r="AZ1154" s="781"/>
      <c r="BA1154" s="781"/>
    </row>
    <row r="1155" spans="1:53" ht="24.75" hidden="1" customHeight="1">
      <c r="A1155" s="529" t="s">
        <v>1592</v>
      </c>
      <c r="B1155" s="333">
        <v>45504</v>
      </c>
      <c r="C1155" s="333">
        <v>45518</v>
      </c>
      <c r="D1155" s="185">
        <f t="shared" si="369"/>
        <v>2024</v>
      </c>
      <c r="E1155" s="335" t="str">
        <f>VLOOKUP($B1155,Week!$A$1:$C$1462,2,0)</f>
        <v>Week31</v>
      </c>
      <c r="F1155" s="334" t="str">
        <f t="shared" si="370"/>
        <v>Jul</v>
      </c>
      <c r="G1155" s="335" t="s">
        <v>1496</v>
      </c>
      <c r="H1155" s="335" t="s">
        <v>363</v>
      </c>
      <c r="I1155" s="335" t="s">
        <v>2772</v>
      </c>
      <c r="J1155" s="336" t="s">
        <v>364</v>
      </c>
      <c r="K1155" s="337" t="s">
        <v>176</v>
      </c>
      <c r="L1155" s="300" t="s">
        <v>2167</v>
      </c>
      <c r="M1155" s="382" t="s">
        <v>646</v>
      </c>
      <c r="N1155" s="335" t="s">
        <v>647</v>
      </c>
      <c r="O1155" s="335" t="s">
        <v>599</v>
      </c>
      <c r="P1155" s="338">
        <v>36</v>
      </c>
      <c r="Q1155" s="338">
        <v>5</v>
      </c>
      <c r="R1155" s="339">
        <v>8.0000000000000002E-3</v>
      </c>
      <c r="S1155" s="335" t="s">
        <v>40</v>
      </c>
      <c r="T1155" s="335" t="s">
        <v>112</v>
      </c>
      <c r="U1155" s="335" t="s">
        <v>57</v>
      </c>
      <c r="V1155" s="341">
        <v>1288</v>
      </c>
      <c r="W1155" s="341">
        <f>28+1226+34</f>
        <v>1288</v>
      </c>
      <c r="X1155" s="342"/>
      <c r="Y1155" s="343">
        <f t="shared" si="382"/>
        <v>0</v>
      </c>
      <c r="Z1155" s="344">
        <f t="shared" si="383"/>
        <v>0</v>
      </c>
      <c r="AA1155" s="344"/>
      <c r="AB1155" s="821"/>
      <c r="AC1155" s="341"/>
      <c r="AD1155" s="209"/>
      <c r="AE1155" s="210"/>
      <c r="AF1155" s="210"/>
      <c r="AG1155" s="211">
        <f t="shared" si="384"/>
        <v>0.14799999999999999</v>
      </c>
      <c r="AH1155" s="157">
        <f t="shared" si="385"/>
        <v>0</v>
      </c>
      <c r="AI1155" s="152">
        <f t="shared" si="386"/>
        <v>46368</v>
      </c>
      <c r="AK1155" s="156" t="s">
        <v>691</v>
      </c>
      <c r="AL1155" s="574" t="s">
        <v>690</v>
      </c>
      <c r="AM1155" s="198">
        <f t="shared" si="381"/>
        <v>0</v>
      </c>
      <c r="AN1155" s="199">
        <f t="shared" si="371"/>
        <v>45504</v>
      </c>
      <c r="AO1155" s="159" t="s">
        <v>692</v>
      </c>
      <c r="AP1155" s="781"/>
      <c r="AQ1155" s="782">
        <v>12071839</v>
      </c>
      <c r="AR1155" s="782">
        <v>12047514</v>
      </c>
      <c r="AS1155" s="782">
        <v>12047515</v>
      </c>
      <c r="AT1155" s="782">
        <v>12084374</v>
      </c>
      <c r="AU1155" s="781"/>
      <c r="AV1155" s="782">
        <v>12084372</v>
      </c>
      <c r="AW1155" s="782">
        <v>12024404</v>
      </c>
      <c r="AX1155" s="782"/>
      <c r="AY1155" s="782">
        <v>12084373</v>
      </c>
      <c r="AZ1155" s="782"/>
      <c r="BA1155" s="781"/>
    </row>
    <row r="1156" spans="1:53" ht="24.75" hidden="1" customHeight="1">
      <c r="A1156" s="529" t="s">
        <v>1592</v>
      </c>
      <c r="B1156" s="333">
        <v>45504</v>
      </c>
      <c r="C1156" s="333">
        <v>45525</v>
      </c>
      <c r="D1156" s="185">
        <f t="shared" si="369"/>
        <v>2024</v>
      </c>
      <c r="E1156" s="335" t="str">
        <f>VLOOKUP($B1156,Week!$A$1:$C$1462,2,0)</f>
        <v>Week31</v>
      </c>
      <c r="F1156" s="334" t="str">
        <f t="shared" si="370"/>
        <v>Jul</v>
      </c>
      <c r="G1156" s="335" t="s">
        <v>1497</v>
      </c>
      <c r="H1156" s="335" t="s">
        <v>363</v>
      </c>
      <c r="I1156" s="335" t="s">
        <v>2772</v>
      </c>
      <c r="J1156" s="336" t="s">
        <v>364</v>
      </c>
      <c r="K1156" s="337" t="s">
        <v>176</v>
      </c>
      <c r="L1156" s="300" t="s">
        <v>2167</v>
      </c>
      <c r="M1156" s="382" t="s">
        <v>646</v>
      </c>
      <c r="N1156" s="335" t="s">
        <v>647</v>
      </c>
      <c r="O1156" s="335" t="s">
        <v>599</v>
      </c>
      <c r="P1156" s="338">
        <v>36</v>
      </c>
      <c r="Q1156" s="338">
        <v>5</v>
      </c>
      <c r="R1156" s="339">
        <v>8.0000000000000002E-3</v>
      </c>
      <c r="S1156" s="335" t="s">
        <v>40</v>
      </c>
      <c r="T1156" s="335" t="s">
        <v>112</v>
      </c>
      <c r="U1156" s="335" t="s">
        <v>57</v>
      </c>
      <c r="V1156" s="341">
        <v>1288</v>
      </c>
      <c r="W1156" s="341">
        <v>1288</v>
      </c>
      <c r="X1156" s="342"/>
      <c r="Y1156" s="343">
        <f t="shared" si="382"/>
        <v>0</v>
      </c>
      <c r="Z1156" s="344">
        <f t="shared" si="383"/>
        <v>0</v>
      </c>
      <c r="AA1156" s="344"/>
      <c r="AB1156" s="821"/>
      <c r="AC1156" s="341"/>
      <c r="AD1156" s="209"/>
      <c r="AE1156" s="210"/>
      <c r="AF1156" s="210"/>
      <c r="AG1156" s="211">
        <f t="shared" si="384"/>
        <v>0.14799999999999999</v>
      </c>
      <c r="AH1156" s="157">
        <f t="shared" si="385"/>
        <v>0</v>
      </c>
      <c r="AI1156" s="152">
        <f t="shared" si="386"/>
        <v>46368</v>
      </c>
      <c r="AK1156" s="156" t="s">
        <v>691</v>
      </c>
      <c r="AL1156" s="574" t="s">
        <v>690</v>
      </c>
      <c r="AM1156" s="198">
        <f t="shared" si="381"/>
        <v>0</v>
      </c>
      <c r="AN1156" s="199">
        <f t="shared" si="371"/>
        <v>45504</v>
      </c>
      <c r="AO1156" s="159" t="s">
        <v>692</v>
      </c>
      <c r="AP1156" s="781"/>
      <c r="AQ1156" s="782">
        <v>12071839</v>
      </c>
      <c r="AR1156" s="782">
        <v>12047514</v>
      </c>
      <c r="AS1156" s="782">
        <v>12047515</v>
      </c>
      <c r="AT1156" s="782">
        <v>12084374</v>
      </c>
      <c r="AU1156" s="781"/>
      <c r="AV1156" s="782">
        <v>12084372</v>
      </c>
      <c r="AW1156" s="782">
        <v>12024404</v>
      </c>
      <c r="AX1156" s="782"/>
      <c r="AY1156" s="782">
        <v>12084373</v>
      </c>
      <c r="AZ1156" s="782"/>
      <c r="BA1156" s="781"/>
    </row>
    <row r="1157" spans="1:53" ht="24.75" hidden="1" customHeight="1">
      <c r="A1157" s="529" t="s">
        <v>1592</v>
      </c>
      <c r="B1157" s="333">
        <v>45504</v>
      </c>
      <c r="C1157" s="333">
        <v>45525</v>
      </c>
      <c r="D1157" s="185">
        <f t="shared" ref="D1157:D1220" si="387">IF(B1157="","",YEAR(B1157))</f>
        <v>2024</v>
      </c>
      <c r="E1157" s="335" t="str">
        <f>VLOOKUP($B1157,Week!$A$1:$C$1462,2,0)</f>
        <v>Week31</v>
      </c>
      <c r="F1157" s="334" t="str">
        <f t="shared" ref="F1157:F1220" si="388">IF(B1157="","",TEXT(B1157,"[$-409]mmm"))</f>
        <v>Jul</v>
      </c>
      <c r="G1157" s="335" t="s">
        <v>1498</v>
      </c>
      <c r="H1157" s="335" t="s">
        <v>363</v>
      </c>
      <c r="I1157" s="335" t="s">
        <v>2772</v>
      </c>
      <c r="J1157" s="336" t="s">
        <v>364</v>
      </c>
      <c r="K1157" s="337" t="s">
        <v>176</v>
      </c>
      <c r="L1157" s="300" t="s">
        <v>2167</v>
      </c>
      <c r="M1157" s="382" t="s">
        <v>646</v>
      </c>
      <c r="N1157" s="335" t="s">
        <v>647</v>
      </c>
      <c r="O1157" s="335" t="s">
        <v>599</v>
      </c>
      <c r="P1157" s="338">
        <v>36</v>
      </c>
      <c r="Q1157" s="338">
        <v>5</v>
      </c>
      <c r="R1157" s="339">
        <v>8.0000000000000002E-3</v>
      </c>
      <c r="S1157" s="335" t="s">
        <v>40</v>
      </c>
      <c r="T1157" s="335" t="s">
        <v>112</v>
      </c>
      <c r="U1157" s="335" t="s">
        <v>57</v>
      </c>
      <c r="V1157" s="341">
        <v>1288</v>
      </c>
      <c r="W1157" s="341">
        <f>3799-1226-1288+3</f>
        <v>1288</v>
      </c>
      <c r="X1157" s="342"/>
      <c r="Y1157" s="343">
        <f t="shared" si="382"/>
        <v>0</v>
      </c>
      <c r="Z1157" s="344">
        <f t="shared" si="383"/>
        <v>0</v>
      </c>
      <c r="AA1157" s="344"/>
      <c r="AB1157" s="821"/>
      <c r="AC1157" s="341"/>
      <c r="AD1157" s="209"/>
      <c r="AE1157" s="210"/>
      <c r="AF1157" s="210"/>
      <c r="AG1157" s="211">
        <f t="shared" si="384"/>
        <v>0.14799999999999999</v>
      </c>
      <c r="AH1157" s="157">
        <f t="shared" si="385"/>
        <v>0</v>
      </c>
      <c r="AI1157" s="152">
        <f t="shared" si="386"/>
        <v>46368</v>
      </c>
      <c r="AK1157" s="156" t="s">
        <v>691</v>
      </c>
      <c r="AL1157" s="574" t="s">
        <v>690</v>
      </c>
      <c r="AM1157" s="198">
        <f t="shared" si="381"/>
        <v>0</v>
      </c>
      <c r="AN1157" s="199">
        <f t="shared" ref="AN1157:AN1220" si="389">B1157</f>
        <v>45504</v>
      </c>
      <c r="AO1157" s="159" t="s">
        <v>692</v>
      </c>
      <c r="AP1157" s="781"/>
      <c r="AQ1157" s="782">
        <v>12071839</v>
      </c>
      <c r="AR1157" s="782">
        <v>12047514</v>
      </c>
      <c r="AS1157" s="782">
        <v>12047515</v>
      </c>
      <c r="AT1157" s="782">
        <v>12084374</v>
      </c>
      <c r="AU1157" s="781"/>
      <c r="AV1157" s="782">
        <v>12084372</v>
      </c>
      <c r="AW1157" s="782">
        <v>12024404</v>
      </c>
      <c r="AX1157" s="782"/>
      <c r="AY1157" s="782">
        <v>12084373</v>
      </c>
      <c r="AZ1157" s="782"/>
      <c r="BA1157" s="781"/>
    </row>
    <row r="1158" spans="1:53" ht="25" hidden="1" customHeight="1">
      <c r="B1158" s="213">
        <v>45504</v>
      </c>
      <c r="C1158" s="214">
        <v>45511</v>
      </c>
      <c r="D1158" s="185">
        <f t="shared" si="387"/>
        <v>2024</v>
      </c>
      <c r="E1158" s="215" t="str">
        <f>VLOOKUP($B1158,Week!$A$1:$C$1462,2,0)</f>
        <v>Week31</v>
      </c>
      <c r="F1158" s="216" t="str">
        <f t="shared" si="388"/>
        <v>Jul</v>
      </c>
      <c r="G1158" s="215" t="s">
        <v>1505</v>
      </c>
      <c r="H1158" s="215" t="s">
        <v>134</v>
      </c>
      <c r="I1158" s="215" t="s">
        <v>2772</v>
      </c>
      <c r="J1158" s="209" t="s">
        <v>164</v>
      </c>
      <c r="K1158" s="217" t="s">
        <v>1648</v>
      </c>
      <c r="L1158" s="300" t="s">
        <v>2167</v>
      </c>
      <c r="M1158" s="209" t="s">
        <v>193</v>
      </c>
      <c r="N1158" s="215" t="s">
        <v>205</v>
      </c>
      <c r="O1158" s="215" t="s">
        <v>206</v>
      </c>
      <c r="P1158" s="218">
        <v>24</v>
      </c>
      <c r="Q1158" s="218">
        <v>5</v>
      </c>
      <c r="R1158" s="219">
        <v>8.0000000000000002E-3</v>
      </c>
      <c r="S1158" s="215" t="s">
        <v>40</v>
      </c>
      <c r="T1158" s="215" t="s">
        <v>56</v>
      </c>
      <c r="U1158" s="480" t="s">
        <v>499</v>
      </c>
      <c r="V1158" s="220">
        <v>500</v>
      </c>
      <c r="W1158" s="220">
        <f>446</f>
        <v>446</v>
      </c>
      <c r="X1158" s="221">
        <f>73-19</f>
        <v>54</v>
      </c>
      <c r="Y1158" s="222">
        <f t="shared" si="382"/>
        <v>0</v>
      </c>
      <c r="Z1158" s="223">
        <f t="shared" si="383"/>
        <v>0</v>
      </c>
      <c r="AA1158" s="220"/>
      <c r="AB1158" s="807">
        <v>1</v>
      </c>
      <c r="AC1158" s="220">
        <f>Z1158*AB1158</f>
        <v>0</v>
      </c>
      <c r="AD1158" s="381"/>
      <c r="AE1158" s="220"/>
      <c r="AF1158" s="220"/>
      <c r="AG1158" s="211">
        <f t="shared" si="384"/>
        <v>0.115</v>
      </c>
      <c r="AH1158" s="157">
        <f t="shared" si="385"/>
        <v>0</v>
      </c>
      <c r="AI1158" s="152">
        <f t="shared" si="386"/>
        <v>12000</v>
      </c>
      <c r="AK1158" s="156" t="s">
        <v>691</v>
      </c>
      <c r="AL1158" s="212" t="s">
        <v>690</v>
      </c>
      <c r="AM1158" s="198">
        <f t="shared" si="381"/>
        <v>0</v>
      </c>
      <c r="AN1158" s="199">
        <f t="shared" si="389"/>
        <v>45504</v>
      </c>
      <c r="AO1158" s="159" t="s">
        <v>692</v>
      </c>
      <c r="AP1158" s="783" t="s">
        <v>610</v>
      </c>
      <c r="AQ1158" s="782">
        <v>12071839</v>
      </c>
      <c r="AR1158" s="782">
        <v>12047514</v>
      </c>
      <c r="AS1158" s="782">
        <v>12047515</v>
      </c>
      <c r="AT1158" s="782"/>
      <c r="AU1158" s="782">
        <v>12026902</v>
      </c>
      <c r="AV1158" s="782">
        <v>12054722</v>
      </c>
      <c r="AW1158" s="782">
        <v>12026904</v>
      </c>
      <c r="AX1158" s="782"/>
      <c r="AY1158" s="782">
        <v>12061939</v>
      </c>
      <c r="AZ1158" s="782">
        <v>12061940</v>
      </c>
      <c r="BA1158" s="782">
        <v>12061938</v>
      </c>
    </row>
    <row r="1159" spans="1:53" ht="25" hidden="1" customHeight="1">
      <c r="A1159" s="440"/>
      <c r="B1159" s="332">
        <v>45505</v>
      </c>
      <c r="C1159" s="333">
        <v>45525</v>
      </c>
      <c r="D1159" s="185">
        <f t="shared" si="387"/>
        <v>2024</v>
      </c>
      <c r="E1159" s="333" t="str">
        <f>VLOOKUP($B1159,Week!$A$1:$C$1462,2,0)</f>
        <v>Week31</v>
      </c>
      <c r="F1159" s="334" t="str">
        <f t="shared" si="388"/>
        <v>Aug</v>
      </c>
      <c r="G1159" s="335" t="s">
        <v>1588</v>
      </c>
      <c r="H1159" s="335" t="s">
        <v>675</v>
      </c>
      <c r="I1159" s="335" t="s">
        <v>2772</v>
      </c>
      <c r="J1159" s="336" t="s">
        <v>709</v>
      </c>
      <c r="K1159" s="337" t="s">
        <v>1651</v>
      </c>
      <c r="L1159" s="300" t="s">
        <v>2167</v>
      </c>
      <c r="M1159" s="336" t="s">
        <v>683</v>
      </c>
      <c r="N1159" s="530" t="s">
        <v>713</v>
      </c>
      <c r="O1159" s="335" t="s">
        <v>684</v>
      </c>
      <c r="P1159" s="338">
        <v>8</v>
      </c>
      <c r="Q1159" s="338">
        <v>3</v>
      </c>
      <c r="R1159" s="339">
        <v>6.0000000000000001E-3</v>
      </c>
      <c r="S1159" s="335" t="s">
        <v>55</v>
      </c>
      <c r="T1159" s="335" t="s">
        <v>112</v>
      </c>
      <c r="U1159" s="340" t="s">
        <v>716</v>
      </c>
      <c r="V1159" s="341">
        <f>54</f>
        <v>54</v>
      </c>
      <c r="W1159" s="341"/>
      <c r="X1159" s="342">
        <f>432/8</f>
        <v>54</v>
      </c>
      <c r="Y1159" s="343">
        <f t="shared" si="382"/>
        <v>0</v>
      </c>
      <c r="Z1159" s="344">
        <f t="shared" si="383"/>
        <v>0</v>
      </c>
      <c r="AA1159" s="344"/>
      <c r="AB1159" s="817"/>
      <c r="AC1159" s="341"/>
      <c r="AD1159" s="443" t="s">
        <v>672</v>
      </c>
      <c r="AE1159" s="210"/>
      <c r="AF1159" s="210"/>
      <c r="AG1159" s="211">
        <f t="shared" si="384"/>
        <v>0.219</v>
      </c>
      <c r="AH1159" s="157">
        <v>0.26621999999999996</v>
      </c>
      <c r="AI1159" s="152">
        <f t="shared" si="386"/>
        <v>432</v>
      </c>
      <c r="AK1159" s="156" t="s">
        <v>691</v>
      </c>
      <c r="AL1159" s="574" t="s">
        <v>690</v>
      </c>
      <c r="AM1159" s="198">
        <f t="shared" si="381"/>
        <v>0</v>
      </c>
      <c r="AN1159" s="199">
        <f t="shared" si="389"/>
        <v>45505</v>
      </c>
      <c r="AO1159" s="159" t="s">
        <v>692</v>
      </c>
      <c r="AP1159" s="781" t="s">
        <v>642</v>
      </c>
      <c r="AQ1159" s="782">
        <v>12071839</v>
      </c>
      <c r="AR1159" s="782">
        <v>12042650</v>
      </c>
      <c r="AS1159" s="782">
        <v>12042649</v>
      </c>
      <c r="AT1159" s="782">
        <v>12089991</v>
      </c>
      <c r="AU1159" s="781"/>
      <c r="AV1159" s="782">
        <v>12089989</v>
      </c>
      <c r="AW1159" s="781"/>
      <c r="AX1159" s="781"/>
      <c r="AY1159" s="781"/>
      <c r="AZ1159" s="782"/>
      <c r="BA1159" s="781"/>
    </row>
    <row r="1160" spans="1:53" ht="25" hidden="1" customHeight="1">
      <c r="A1160" s="440"/>
      <c r="B1160" s="332">
        <v>45505</v>
      </c>
      <c r="C1160" s="333">
        <v>45533</v>
      </c>
      <c r="D1160" s="185">
        <f t="shared" si="387"/>
        <v>2024</v>
      </c>
      <c r="E1160" s="333" t="str">
        <f>VLOOKUP($B1160,Week!$A$1:$C$1462,2,0)</f>
        <v>Week31</v>
      </c>
      <c r="F1160" s="334" t="str">
        <f t="shared" si="388"/>
        <v>Aug</v>
      </c>
      <c r="G1160" s="335" t="s">
        <v>1589</v>
      </c>
      <c r="H1160" s="335" t="s">
        <v>675</v>
      </c>
      <c r="I1160" s="335" t="s">
        <v>2772</v>
      </c>
      <c r="J1160" s="336" t="s">
        <v>709</v>
      </c>
      <c r="K1160" s="337" t="s">
        <v>1651</v>
      </c>
      <c r="L1160" s="300" t="s">
        <v>2167</v>
      </c>
      <c r="M1160" s="336" t="s">
        <v>683</v>
      </c>
      <c r="N1160" s="530" t="s">
        <v>713</v>
      </c>
      <c r="O1160" s="335" t="s">
        <v>684</v>
      </c>
      <c r="P1160" s="338">
        <v>8</v>
      </c>
      <c r="Q1160" s="338">
        <v>3</v>
      </c>
      <c r="R1160" s="339">
        <v>6.0000000000000001E-3</v>
      </c>
      <c r="S1160" s="335" t="s">
        <v>55</v>
      </c>
      <c r="T1160" s="335" t="s">
        <v>112</v>
      </c>
      <c r="U1160" s="340" t="s">
        <v>716</v>
      </c>
      <c r="V1160" s="341">
        <f>108</f>
        <v>108</v>
      </c>
      <c r="W1160" s="341"/>
      <c r="X1160" s="342">
        <f>(1956-432)/8</f>
        <v>190.5</v>
      </c>
      <c r="Y1160" s="343">
        <f t="shared" si="382"/>
        <v>82.5</v>
      </c>
      <c r="Z1160" s="344">
        <f t="shared" si="383"/>
        <v>0</v>
      </c>
      <c r="AA1160" s="344"/>
      <c r="AB1160" s="817"/>
      <c r="AC1160" s="341"/>
      <c r="AD1160" s="443" t="s">
        <v>672</v>
      </c>
      <c r="AE1160" s="210"/>
      <c r="AF1160" s="210"/>
      <c r="AG1160" s="211">
        <f t="shared" si="384"/>
        <v>0.219</v>
      </c>
      <c r="AH1160" s="157">
        <v>0.26621999999999996</v>
      </c>
      <c r="AI1160" s="152">
        <f t="shared" si="386"/>
        <v>864</v>
      </c>
      <c r="AK1160" s="156" t="s">
        <v>691</v>
      </c>
      <c r="AL1160" s="574" t="s">
        <v>690</v>
      </c>
      <c r="AM1160" s="198">
        <f t="shared" si="381"/>
        <v>0</v>
      </c>
      <c r="AN1160" s="199">
        <f t="shared" si="389"/>
        <v>45505</v>
      </c>
      <c r="AO1160" s="159" t="s">
        <v>692</v>
      </c>
      <c r="AP1160" s="781" t="s">
        <v>642</v>
      </c>
      <c r="AQ1160" s="782">
        <v>12071839</v>
      </c>
      <c r="AR1160" s="782">
        <v>12042650</v>
      </c>
      <c r="AS1160" s="782">
        <v>12042649</v>
      </c>
      <c r="AT1160" s="782">
        <v>12089991</v>
      </c>
      <c r="AU1160" s="781"/>
      <c r="AV1160" s="782">
        <v>12089989</v>
      </c>
      <c r="AW1160" s="781"/>
      <c r="AX1160" s="781"/>
      <c r="AY1160" s="781"/>
      <c r="AZ1160" s="782"/>
      <c r="BA1160" s="781"/>
    </row>
    <row r="1161" spans="1:53" ht="25" hidden="1" customHeight="1">
      <c r="B1161" s="357">
        <v>45505</v>
      </c>
      <c r="C1161" s="358">
        <v>45532</v>
      </c>
      <c r="D1161" s="185">
        <f t="shared" si="387"/>
        <v>2024</v>
      </c>
      <c r="E1161" s="358" t="str">
        <f>VLOOKUP($B1161,Week!$A$1:$C$1462,2,0)</f>
        <v>Week31</v>
      </c>
      <c r="F1161" s="360" t="str">
        <f t="shared" si="388"/>
        <v>Aug</v>
      </c>
      <c r="G1161" s="436" t="s">
        <v>1603</v>
      </c>
      <c r="H1161" s="359" t="s">
        <v>225</v>
      </c>
      <c r="I1161" s="359" t="s">
        <v>2773</v>
      </c>
      <c r="J1161" s="361" t="s">
        <v>650</v>
      </c>
      <c r="K1161" s="362" t="s">
        <v>593</v>
      </c>
      <c r="L1161" s="300" t="s">
        <v>2167</v>
      </c>
      <c r="M1161" s="361" t="s">
        <v>717</v>
      </c>
      <c r="N1161" s="359" t="s">
        <v>719</v>
      </c>
      <c r="O1161" s="359" t="s">
        <v>230</v>
      </c>
      <c r="P1161" s="363">
        <v>12</v>
      </c>
      <c r="Q1161" s="363">
        <v>5</v>
      </c>
      <c r="R1161" s="364">
        <v>6.0000000000000001E-3</v>
      </c>
      <c r="S1161" s="359" t="s">
        <v>55</v>
      </c>
      <c r="T1161" s="359" t="s">
        <v>112</v>
      </c>
      <c r="U1161" s="359" t="s">
        <v>57</v>
      </c>
      <c r="V1161" s="365">
        <v>2600</v>
      </c>
      <c r="W1161" s="365"/>
      <c r="X1161" s="366">
        <f>(2123+28802+275)/12</f>
        <v>2600</v>
      </c>
      <c r="Y1161" s="367">
        <f t="shared" si="382"/>
        <v>0</v>
      </c>
      <c r="Z1161" s="368">
        <f t="shared" si="383"/>
        <v>0</v>
      </c>
      <c r="AA1161" s="368"/>
      <c r="AB1161" s="819"/>
      <c r="AC1161" s="365"/>
      <c r="AD1161" s="209"/>
      <c r="AE1161" s="210"/>
      <c r="AF1161" s="210"/>
      <c r="AG1161" s="211">
        <f t="shared" si="384"/>
        <v>0.25800000000000001</v>
      </c>
      <c r="AH1161" s="157">
        <f t="shared" ref="AH1161:AH1177" si="390">(Z1161*AG1161)/1000</f>
        <v>0</v>
      </c>
      <c r="AI1161" s="152">
        <f t="shared" si="386"/>
        <v>31200</v>
      </c>
      <c r="AK1161" s="156" t="s">
        <v>691</v>
      </c>
      <c r="AL1161" s="574" t="s">
        <v>690</v>
      </c>
      <c r="AM1161" s="198">
        <f t="shared" si="381"/>
        <v>0</v>
      </c>
      <c r="AN1161" s="199">
        <f t="shared" si="389"/>
        <v>45505</v>
      </c>
      <c r="AO1161" s="159" t="s">
        <v>692</v>
      </c>
      <c r="AP1161" s="783" t="s">
        <v>612</v>
      </c>
      <c r="AQ1161" s="782">
        <v>12071839</v>
      </c>
      <c r="AR1161" s="782">
        <v>12042650</v>
      </c>
      <c r="AS1161" s="782">
        <v>12042649</v>
      </c>
      <c r="AT1161" s="782">
        <v>12088423</v>
      </c>
      <c r="AU1161" s="781"/>
      <c r="AV1161" s="782">
        <v>12088422</v>
      </c>
      <c r="AW1161" s="782"/>
      <c r="AX1161" s="782"/>
      <c r="AY1161" s="782"/>
      <c r="AZ1161" s="782"/>
      <c r="BA1161" s="781"/>
    </row>
    <row r="1162" spans="1:53" ht="25" hidden="1" customHeight="1">
      <c r="B1162" s="200">
        <v>45505</v>
      </c>
      <c r="C1162" s="201">
        <v>45524</v>
      </c>
      <c r="D1162" s="185">
        <f t="shared" si="387"/>
        <v>2024</v>
      </c>
      <c r="E1162" s="201" t="str">
        <f>VLOOKUP($B1162,Week!$A$1:$C$1462,2,0)</f>
        <v>Week31</v>
      </c>
      <c r="F1162" s="202" t="str">
        <f t="shared" si="388"/>
        <v>Aug</v>
      </c>
      <c r="G1162" s="512" t="s">
        <v>1545</v>
      </c>
      <c r="H1162" s="512" t="s">
        <v>424</v>
      </c>
      <c r="I1162" s="512" t="s">
        <v>2772</v>
      </c>
      <c r="J1162" s="513" t="s">
        <v>535</v>
      </c>
      <c r="K1162" s="514" t="s">
        <v>227</v>
      </c>
      <c r="L1162" s="300" t="s">
        <v>2167</v>
      </c>
      <c r="M1162" s="513" t="s">
        <v>539</v>
      </c>
      <c r="N1162" s="512" t="s">
        <v>540</v>
      </c>
      <c r="O1162" s="512" t="s">
        <v>304</v>
      </c>
      <c r="P1162" s="203">
        <v>8</v>
      </c>
      <c r="Q1162" s="203">
        <v>5</v>
      </c>
      <c r="R1162" s="204">
        <v>7.4999999999999997E-3</v>
      </c>
      <c r="S1162" s="512" t="s">
        <v>111</v>
      </c>
      <c r="T1162" s="512" t="s">
        <v>112</v>
      </c>
      <c r="U1162" s="512" t="s">
        <v>57</v>
      </c>
      <c r="V1162" s="205">
        <f>2000</f>
        <v>2000</v>
      </c>
      <c r="W1162" s="205"/>
      <c r="X1162" s="206">
        <f>(1261+14730+27)/8</f>
        <v>2002.25</v>
      </c>
      <c r="Y1162" s="207">
        <f t="shared" si="382"/>
        <v>2.25</v>
      </c>
      <c r="Z1162" s="208">
        <f t="shared" si="383"/>
        <v>0</v>
      </c>
      <c r="AA1162" s="208"/>
      <c r="AB1162" s="806"/>
      <c r="AC1162" s="205"/>
      <c r="AD1162" s="209"/>
      <c r="AE1162" s="210"/>
      <c r="AF1162" s="210"/>
      <c r="AG1162" s="211">
        <f t="shared" si="384"/>
        <v>0.25800000000000001</v>
      </c>
      <c r="AH1162" s="157">
        <f t="shared" si="390"/>
        <v>0</v>
      </c>
      <c r="AI1162" s="152">
        <f t="shared" si="386"/>
        <v>16000</v>
      </c>
      <c r="AK1162" s="156" t="s">
        <v>691</v>
      </c>
      <c r="AL1162" s="212" t="s">
        <v>690</v>
      </c>
      <c r="AM1162" s="198">
        <f t="shared" si="381"/>
        <v>0</v>
      </c>
      <c r="AN1162" s="199">
        <f t="shared" si="389"/>
        <v>45505</v>
      </c>
      <c r="AO1162" s="159" t="s">
        <v>692</v>
      </c>
      <c r="AP1162" s="781"/>
      <c r="AQ1162" s="782">
        <v>12071839</v>
      </c>
      <c r="AR1162" s="782">
        <v>12042650</v>
      </c>
      <c r="AS1162" s="782">
        <v>12042649</v>
      </c>
      <c r="AT1162" s="782">
        <v>12063676</v>
      </c>
      <c r="AU1162" s="782"/>
      <c r="AV1162" s="782">
        <v>12063748</v>
      </c>
      <c r="AW1162" s="781"/>
      <c r="AX1162" s="781"/>
      <c r="AY1162" s="781" t="s">
        <v>541</v>
      </c>
      <c r="AZ1162" s="781"/>
      <c r="BA1162" s="781"/>
    </row>
    <row r="1163" spans="1:53" ht="25" hidden="1" customHeight="1">
      <c r="B1163" s="200">
        <v>45505</v>
      </c>
      <c r="C1163" s="201">
        <v>45541</v>
      </c>
      <c r="D1163" s="185">
        <f t="shared" si="387"/>
        <v>2024</v>
      </c>
      <c r="E1163" s="201" t="str">
        <f>VLOOKUP($B1163,Week!$A$1:$C$1462,2,0)</f>
        <v>Week31</v>
      </c>
      <c r="F1163" s="202" t="str">
        <f t="shared" si="388"/>
        <v>Aug</v>
      </c>
      <c r="G1163" s="512" t="s">
        <v>734</v>
      </c>
      <c r="H1163" s="512" t="s">
        <v>424</v>
      </c>
      <c r="I1163" s="512" t="s">
        <v>2772</v>
      </c>
      <c r="J1163" s="513" t="s">
        <v>535</v>
      </c>
      <c r="K1163" s="514" t="s">
        <v>227</v>
      </c>
      <c r="L1163" s="300" t="s">
        <v>2167</v>
      </c>
      <c r="M1163" s="513" t="s">
        <v>539</v>
      </c>
      <c r="N1163" s="512" t="s">
        <v>733</v>
      </c>
      <c r="O1163" s="512" t="s">
        <v>230</v>
      </c>
      <c r="P1163" s="203">
        <v>12</v>
      </c>
      <c r="Q1163" s="203">
        <v>5</v>
      </c>
      <c r="R1163" s="204">
        <v>7.4999999999999997E-3</v>
      </c>
      <c r="S1163" s="512" t="s">
        <v>111</v>
      </c>
      <c r="T1163" s="512" t="s">
        <v>112</v>
      </c>
      <c r="U1163" s="512" t="s">
        <v>57</v>
      </c>
      <c r="V1163" s="205">
        <f>250</f>
        <v>250</v>
      </c>
      <c r="W1163" s="205">
        <f>3+247</f>
        <v>250</v>
      </c>
      <c r="X1163" s="206"/>
      <c r="Y1163" s="207">
        <f t="shared" si="382"/>
        <v>0</v>
      </c>
      <c r="Z1163" s="208">
        <f t="shared" si="383"/>
        <v>0</v>
      </c>
      <c r="AA1163" s="208"/>
      <c r="AB1163" s="806"/>
      <c r="AC1163" s="205"/>
      <c r="AD1163" s="209"/>
      <c r="AE1163" s="210"/>
      <c r="AF1163" s="210"/>
      <c r="AG1163" s="211">
        <f t="shared" si="384"/>
        <v>0.25800000000000001</v>
      </c>
      <c r="AH1163" s="157">
        <f t="shared" si="390"/>
        <v>0</v>
      </c>
      <c r="AI1163" s="152">
        <f t="shared" si="386"/>
        <v>3000</v>
      </c>
      <c r="AK1163" s="156" t="s">
        <v>691</v>
      </c>
      <c r="AL1163" s="212" t="s">
        <v>690</v>
      </c>
      <c r="AM1163" s="198">
        <f t="shared" si="381"/>
        <v>0</v>
      </c>
      <c r="AN1163" s="199">
        <f t="shared" si="389"/>
        <v>45505</v>
      </c>
      <c r="AO1163" s="159" t="s">
        <v>692</v>
      </c>
      <c r="AP1163" s="781"/>
      <c r="AQ1163" s="782">
        <v>12071839</v>
      </c>
      <c r="AR1163" s="782">
        <v>12042650</v>
      </c>
      <c r="AS1163" s="782">
        <v>12042649</v>
      </c>
      <c r="AT1163" s="782">
        <v>12063676</v>
      </c>
      <c r="AU1163" s="782"/>
      <c r="AV1163" s="782">
        <v>12063748</v>
      </c>
      <c r="AW1163" s="781"/>
      <c r="AX1163" s="781"/>
      <c r="AY1163" s="781" t="s">
        <v>541</v>
      </c>
      <c r="AZ1163" s="781"/>
      <c r="BA1163" s="781"/>
    </row>
    <row r="1164" spans="1:53" ht="25" hidden="1" customHeight="1">
      <c r="B1164" s="546">
        <v>45505</v>
      </c>
      <c r="C1164" s="547">
        <v>45524</v>
      </c>
      <c r="D1164" s="185">
        <f t="shared" si="387"/>
        <v>2024</v>
      </c>
      <c r="E1164" s="547" t="str">
        <f>VLOOKUP($B1164,Week!$A$1:$C$1462,2,0)</f>
        <v>Week31</v>
      </c>
      <c r="F1164" s="548" t="str">
        <f t="shared" si="388"/>
        <v>Aug</v>
      </c>
      <c r="G1164" s="575" t="s">
        <v>1545</v>
      </c>
      <c r="H1164" s="575" t="s">
        <v>424</v>
      </c>
      <c r="I1164" s="575" t="s">
        <v>2772</v>
      </c>
      <c r="J1164" s="576" t="s">
        <v>535</v>
      </c>
      <c r="K1164" s="577" t="s">
        <v>176</v>
      </c>
      <c r="L1164" s="300" t="s">
        <v>2167</v>
      </c>
      <c r="M1164" s="576" t="s">
        <v>536</v>
      </c>
      <c r="N1164" s="575" t="s">
        <v>537</v>
      </c>
      <c r="O1164" s="575" t="s">
        <v>187</v>
      </c>
      <c r="P1164" s="552">
        <v>8</v>
      </c>
      <c r="Q1164" s="552">
        <v>5</v>
      </c>
      <c r="R1164" s="553">
        <v>7.4999999999999997E-3</v>
      </c>
      <c r="S1164" s="575" t="s">
        <v>111</v>
      </c>
      <c r="T1164" s="575" t="s">
        <v>112</v>
      </c>
      <c r="U1164" s="575" t="s">
        <v>57</v>
      </c>
      <c r="V1164" s="554">
        <f>1600</f>
        <v>1600</v>
      </c>
      <c r="W1164" s="554"/>
      <c r="X1164" s="555">
        <f>(1544+11555)/8</f>
        <v>1637.375</v>
      </c>
      <c r="Y1164" s="556">
        <f t="shared" si="382"/>
        <v>37.375</v>
      </c>
      <c r="Z1164" s="557">
        <f t="shared" si="383"/>
        <v>0</v>
      </c>
      <c r="AA1164" s="557"/>
      <c r="AB1164" s="833"/>
      <c r="AC1164" s="554"/>
      <c r="AD1164" s="209"/>
      <c r="AE1164" s="210"/>
      <c r="AF1164" s="210"/>
      <c r="AG1164" s="211">
        <v>0.14499999999999999</v>
      </c>
      <c r="AH1164" s="157">
        <f t="shared" si="390"/>
        <v>0</v>
      </c>
      <c r="AI1164" s="152">
        <v>19800</v>
      </c>
      <c r="AK1164" s="156" t="s">
        <v>691</v>
      </c>
      <c r="AL1164" s="212" t="s">
        <v>690</v>
      </c>
      <c r="AM1164" s="198">
        <f t="shared" si="381"/>
        <v>0</v>
      </c>
      <c r="AN1164" s="199">
        <f t="shared" si="389"/>
        <v>45505</v>
      </c>
      <c r="AO1164" s="159" t="s">
        <v>692</v>
      </c>
      <c r="AP1164" s="781"/>
      <c r="AQ1164" s="782">
        <v>12071839</v>
      </c>
      <c r="AR1164" s="782">
        <v>12047514</v>
      </c>
      <c r="AS1164" s="782">
        <v>12047515</v>
      </c>
      <c r="AT1164" s="782">
        <v>12063674</v>
      </c>
      <c r="AU1164" s="782">
        <v>12035353</v>
      </c>
      <c r="AV1164" s="782" t="s">
        <v>538</v>
      </c>
      <c r="AW1164" s="781"/>
      <c r="AX1164" s="781"/>
      <c r="AY1164" s="782">
        <v>12054938</v>
      </c>
      <c r="AZ1164" s="781"/>
      <c r="BA1164" s="781"/>
    </row>
    <row r="1165" spans="1:53" ht="25" hidden="1" customHeight="1">
      <c r="B1165" s="546">
        <v>45505</v>
      </c>
      <c r="C1165" s="547">
        <v>45541</v>
      </c>
      <c r="D1165" s="185">
        <f t="shared" si="387"/>
        <v>2024</v>
      </c>
      <c r="E1165" s="547" t="str">
        <f>VLOOKUP($B1165,Week!$A$1:$C$1462,2,0)</f>
        <v>Week31</v>
      </c>
      <c r="F1165" s="548" t="str">
        <f t="shared" si="388"/>
        <v>Aug</v>
      </c>
      <c r="G1165" s="575" t="s">
        <v>734</v>
      </c>
      <c r="H1165" s="575" t="s">
        <v>424</v>
      </c>
      <c r="I1165" s="575" t="s">
        <v>2772</v>
      </c>
      <c r="J1165" s="576" t="s">
        <v>535</v>
      </c>
      <c r="K1165" s="577" t="s">
        <v>176</v>
      </c>
      <c r="L1165" s="300" t="s">
        <v>2167</v>
      </c>
      <c r="M1165" s="576" t="s">
        <v>536</v>
      </c>
      <c r="N1165" s="575" t="s">
        <v>732</v>
      </c>
      <c r="O1165" s="575" t="s">
        <v>97</v>
      </c>
      <c r="P1165" s="552">
        <v>12</v>
      </c>
      <c r="Q1165" s="552">
        <v>5</v>
      </c>
      <c r="R1165" s="553">
        <v>7.4999999999999997E-3</v>
      </c>
      <c r="S1165" s="575" t="s">
        <v>111</v>
      </c>
      <c r="T1165" s="575" t="s">
        <v>112</v>
      </c>
      <c r="U1165" s="575" t="s">
        <v>57</v>
      </c>
      <c r="V1165" s="554">
        <f>250</f>
        <v>250</v>
      </c>
      <c r="W1165" s="554">
        <f>250</f>
        <v>250</v>
      </c>
      <c r="X1165" s="555">
        <f>(95)/12</f>
        <v>7.916666666666667</v>
      </c>
      <c r="Y1165" s="556">
        <f t="shared" si="382"/>
        <v>7.9166666666666856</v>
      </c>
      <c r="Z1165" s="557">
        <f t="shared" si="383"/>
        <v>0</v>
      </c>
      <c r="AA1165" s="557"/>
      <c r="AB1165" s="833"/>
      <c r="AC1165" s="554"/>
      <c r="AD1165" s="209"/>
      <c r="AE1165" s="210"/>
      <c r="AF1165" s="210"/>
      <c r="AG1165" s="211">
        <f t="shared" ref="AG1165:AG1177" si="391">MID(O1165,1,3)/1000</f>
        <v>0.14499999999999999</v>
      </c>
      <c r="AH1165" s="157">
        <f t="shared" si="390"/>
        <v>0</v>
      </c>
      <c r="AI1165" s="152">
        <v>19800</v>
      </c>
      <c r="AK1165" s="156" t="s">
        <v>691</v>
      </c>
      <c r="AL1165" s="212" t="s">
        <v>690</v>
      </c>
      <c r="AM1165" s="198">
        <f t="shared" si="381"/>
        <v>0</v>
      </c>
      <c r="AN1165" s="199">
        <f t="shared" si="389"/>
        <v>45505</v>
      </c>
      <c r="AO1165" s="159" t="s">
        <v>692</v>
      </c>
      <c r="AP1165" s="781"/>
      <c r="AQ1165" s="782">
        <v>12071839</v>
      </c>
      <c r="AR1165" s="782">
        <v>12047514</v>
      </c>
      <c r="AS1165" s="782">
        <v>12047515</v>
      </c>
      <c r="AT1165" s="782">
        <v>12063674</v>
      </c>
      <c r="AU1165" s="782">
        <v>12035353</v>
      </c>
      <c r="AV1165" s="782" t="s">
        <v>538</v>
      </c>
      <c r="AW1165" s="781"/>
      <c r="AX1165" s="781"/>
      <c r="AY1165" s="782">
        <v>12054938</v>
      </c>
      <c r="AZ1165" s="781"/>
      <c r="BA1165" s="781"/>
    </row>
    <row r="1166" spans="1:53" ht="24.75" hidden="1" customHeight="1">
      <c r="B1166" s="295">
        <v>45505</v>
      </c>
      <c r="C1166" s="296" t="s">
        <v>1591</v>
      </c>
      <c r="D1166" s="185">
        <f t="shared" si="387"/>
        <v>2024</v>
      </c>
      <c r="E1166" s="296" t="str">
        <f>VLOOKUP($B1166,Week!$A$1:$C$1462,2,0)</f>
        <v>Week31</v>
      </c>
      <c r="F1166" s="297" t="str">
        <f t="shared" si="388"/>
        <v>Aug</v>
      </c>
      <c r="G1166" s="648" t="s">
        <v>47</v>
      </c>
      <c r="H1166" s="298" t="s">
        <v>260</v>
      </c>
      <c r="I1166" s="298" t="s">
        <v>2702</v>
      </c>
      <c r="J1166" s="307" t="s">
        <v>904</v>
      </c>
      <c r="K1166" s="300" t="s">
        <v>176</v>
      </c>
      <c r="L1166" s="300" t="s">
        <v>2167</v>
      </c>
      <c r="M1166" s="299" t="s">
        <v>262</v>
      </c>
      <c r="N1166" s="298" t="s">
        <v>350</v>
      </c>
      <c r="O1166" s="298" t="s">
        <v>351</v>
      </c>
      <c r="P1166" s="301">
        <v>24</v>
      </c>
      <c r="Q1166" s="301">
        <v>5</v>
      </c>
      <c r="R1166" s="302">
        <v>6.1999999999999998E-3</v>
      </c>
      <c r="S1166" s="298" t="s">
        <v>352</v>
      </c>
      <c r="T1166" s="298" t="s">
        <v>56</v>
      </c>
      <c r="U1166" s="298" t="s">
        <v>57</v>
      </c>
      <c r="V1166" s="303">
        <f>2890</f>
        <v>2890</v>
      </c>
      <c r="W1166" s="303">
        <f>2890</f>
        <v>2890</v>
      </c>
      <c r="X1166" s="304"/>
      <c r="Y1166" s="305">
        <f t="shared" si="382"/>
        <v>0</v>
      </c>
      <c r="Z1166" s="306">
        <f t="shared" si="383"/>
        <v>0</v>
      </c>
      <c r="AA1166" s="306"/>
      <c r="AB1166" s="814"/>
      <c r="AC1166" s="303"/>
      <c r="AD1166" s="209"/>
      <c r="AE1166" s="210"/>
      <c r="AF1166" s="210"/>
      <c r="AG1166" s="211">
        <f t="shared" si="391"/>
        <v>0.13</v>
      </c>
      <c r="AH1166" s="157">
        <f t="shared" si="390"/>
        <v>0</v>
      </c>
      <c r="AI1166" s="152">
        <f t="shared" ref="AI1166:AI1177" si="392">V1166*P1166</f>
        <v>69360</v>
      </c>
      <c r="AK1166" s="156" t="s">
        <v>691</v>
      </c>
      <c r="AL1166" s="574" t="s">
        <v>690</v>
      </c>
      <c r="AM1166" s="198">
        <f t="shared" si="381"/>
        <v>0</v>
      </c>
      <c r="AN1166" s="199">
        <f t="shared" si="389"/>
        <v>45505</v>
      </c>
      <c r="AO1166" s="159" t="s">
        <v>692</v>
      </c>
      <c r="AP1166" s="783" t="s">
        <v>629</v>
      </c>
      <c r="AQ1166" s="782">
        <v>12071839</v>
      </c>
      <c r="AR1166" s="782">
        <v>12078867</v>
      </c>
      <c r="AS1166" s="782">
        <v>12068233</v>
      </c>
      <c r="AT1166" s="781"/>
      <c r="AU1166" s="781"/>
      <c r="AV1166" s="782">
        <v>12062075</v>
      </c>
      <c r="AW1166" s="781"/>
      <c r="AX1166" s="781"/>
      <c r="AY1166" s="782">
        <v>12078867</v>
      </c>
      <c r="AZ1166" s="781"/>
      <c r="BA1166" s="781"/>
    </row>
    <row r="1167" spans="1:53" ht="25" hidden="1" customHeight="1">
      <c r="A1167" s="529" t="s">
        <v>1708</v>
      </c>
      <c r="B1167" s="213">
        <v>45506</v>
      </c>
      <c r="C1167" s="578">
        <v>45509</v>
      </c>
      <c r="D1167" s="185">
        <f t="shared" si="387"/>
        <v>2024</v>
      </c>
      <c r="E1167" s="215" t="str">
        <f>VLOOKUP($B1167,Week!$A$1:$C$1462,2,0)</f>
        <v>Week31</v>
      </c>
      <c r="F1167" s="216" t="str">
        <f t="shared" si="388"/>
        <v>Aug</v>
      </c>
      <c r="G1167" s="215" t="s">
        <v>1390</v>
      </c>
      <c r="H1167" s="215" t="s">
        <v>104</v>
      </c>
      <c r="I1167" s="215" t="s">
        <v>2772</v>
      </c>
      <c r="J1167" s="209" t="s">
        <v>105</v>
      </c>
      <c r="K1167" s="217" t="s">
        <v>107</v>
      </c>
      <c r="L1167" s="300" t="s">
        <v>2167</v>
      </c>
      <c r="M1167" s="209" t="s">
        <v>108</v>
      </c>
      <c r="N1167" s="215" t="s">
        <v>109</v>
      </c>
      <c r="O1167" s="215" t="s">
        <v>110</v>
      </c>
      <c r="P1167" s="218">
        <v>36</v>
      </c>
      <c r="Q1167" s="218">
        <v>5</v>
      </c>
      <c r="R1167" s="219">
        <v>7.4999999999999997E-3</v>
      </c>
      <c r="S1167" s="215" t="s">
        <v>111</v>
      </c>
      <c r="T1167" s="215" t="s">
        <v>112</v>
      </c>
      <c r="U1167" s="215" t="s">
        <v>113</v>
      </c>
      <c r="V1167" s="220">
        <f>792-289</f>
        <v>503</v>
      </c>
      <c r="W1167" s="220">
        <v>503</v>
      </c>
      <c r="X1167" s="221"/>
      <c r="Y1167" s="222">
        <f t="shared" si="382"/>
        <v>0</v>
      </c>
      <c r="Z1167" s="223">
        <f t="shared" si="383"/>
        <v>0</v>
      </c>
      <c r="AA1167" s="223"/>
      <c r="AB1167" s="807"/>
      <c r="AC1167" s="220"/>
      <c r="AD1167" s="209"/>
      <c r="AE1167" s="210"/>
      <c r="AF1167" s="210"/>
      <c r="AG1167" s="211">
        <f t="shared" si="391"/>
        <v>0.308</v>
      </c>
      <c r="AH1167" s="157">
        <f t="shared" si="390"/>
        <v>0</v>
      </c>
      <c r="AI1167" s="152">
        <f t="shared" si="392"/>
        <v>18108</v>
      </c>
      <c r="AK1167" s="156" t="s">
        <v>691</v>
      </c>
      <c r="AL1167" s="574" t="s">
        <v>690</v>
      </c>
      <c r="AM1167" s="198">
        <f t="shared" si="381"/>
        <v>0</v>
      </c>
      <c r="AN1167" s="199">
        <f t="shared" si="389"/>
        <v>45506</v>
      </c>
      <c r="AO1167" s="159" t="s">
        <v>692</v>
      </c>
      <c r="AP1167" s="781"/>
      <c r="AQ1167" s="782">
        <v>12063755</v>
      </c>
      <c r="AR1167" s="782">
        <v>12061353</v>
      </c>
      <c r="AS1167" s="782">
        <v>12061354</v>
      </c>
      <c r="AT1167" s="782">
        <v>12068566</v>
      </c>
      <c r="AU1167" s="781"/>
      <c r="AV1167" s="782">
        <v>12088206</v>
      </c>
      <c r="AW1167" s="782">
        <v>12088207</v>
      </c>
      <c r="AX1167" s="782"/>
      <c r="AY1167" s="782">
        <v>12068565</v>
      </c>
      <c r="AZ1167" s="782"/>
      <c r="BA1167" s="781"/>
    </row>
    <row r="1168" spans="1:53" ht="25" hidden="1" customHeight="1">
      <c r="A1168" s="529" t="s">
        <v>1708</v>
      </c>
      <c r="B1168" s="213">
        <v>45506</v>
      </c>
      <c r="C1168" s="578">
        <v>45509</v>
      </c>
      <c r="D1168" s="185">
        <f t="shared" si="387"/>
        <v>2024</v>
      </c>
      <c r="E1168" s="215" t="str">
        <f>VLOOKUP($B1168,Week!$A$1:$C$1462,2,0)</f>
        <v>Week31</v>
      </c>
      <c r="F1168" s="216" t="str">
        <f t="shared" si="388"/>
        <v>Aug</v>
      </c>
      <c r="G1168" s="215" t="s">
        <v>1433</v>
      </c>
      <c r="H1168" s="215" t="s">
        <v>104</v>
      </c>
      <c r="I1168" s="215" t="s">
        <v>2772</v>
      </c>
      <c r="J1168" s="209" t="s">
        <v>105</v>
      </c>
      <c r="K1168" s="217" t="s">
        <v>107</v>
      </c>
      <c r="L1168" s="300" t="s">
        <v>2167</v>
      </c>
      <c r="M1168" s="209" t="s">
        <v>108</v>
      </c>
      <c r="N1168" s="215" t="s">
        <v>109</v>
      </c>
      <c r="O1168" s="215" t="s">
        <v>110</v>
      </c>
      <c r="P1168" s="218">
        <v>36</v>
      </c>
      <c r="Q1168" s="218">
        <v>5</v>
      </c>
      <c r="R1168" s="219">
        <v>7.4999999999999997E-3</v>
      </c>
      <c r="S1168" s="215" t="s">
        <v>111</v>
      </c>
      <c r="T1168" s="215" t="s">
        <v>112</v>
      </c>
      <c r="U1168" s="215" t="s">
        <v>113</v>
      </c>
      <c r="V1168" s="220">
        <v>792</v>
      </c>
      <c r="W1168" s="220">
        <v>792</v>
      </c>
      <c r="X1168" s="221"/>
      <c r="Y1168" s="222">
        <f t="shared" si="382"/>
        <v>0</v>
      </c>
      <c r="Z1168" s="223">
        <f t="shared" si="383"/>
        <v>0</v>
      </c>
      <c r="AA1168" s="223"/>
      <c r="AB1168" s="807"/>
      <c r="AC1168" s="220"/>
      <c r="AD1168" s="209"/>
      <c r="AE1168" s="210"/>
      <c r="AF1168" s="210"/>
      <c r="AG1168" s="211">
        <f t="shared" si="391"/>
        <v>0.308</v>
      </c>
      <c r="AH1168" s="157">
        <f t="shared" si="390"/>
        <v>0</v>
      </c>
      <c r="AI1168" s="152">
        <f t="shared" si="392"/>
        <v>28512</v>
      </c>
      <c r="AK1168" s="156" t="s">
        <v>691</v>
      </c>
      <c r="AL1168" s="574" t="s">
        <v>690</v>
      </c>
      <c r="AM1168" s="198">
        <f t="shared" si="381"/>
        <v>0</v>
      </c>
      <c r="AN1168" s="199">
        <f t="shared" si="389"/>
        <v>45506</v>
      </c>
      <c r="AO1168" s="159" t="s">
        <v>692</v>
      </c>
      <c r="AP1168" s="781"/>
      <c r="AQ1168" s="782">
        <v>12063755</v>
      </c>
      <c r="AR1168" s="782">
        <v>12061353</v>
      </c>
      <c r="AS1168" s="782">
        <v>12061354</v>
      </c>
      <c r="AT1168" s="782">
        <v>12068566</v>
      </c>
      <c r="AU1168" s="781"/>
      <c r="AV1168" s="782">
        <v>12088206</v>
      </c>
      <c r="AW1168" s="782">
        <v>12088207</v>
      </c>
      <c r="AX1168" s="782"/>
      <c r="AY1168" s="782">
        <v>12068565</v>
      </c>
      <c r="AZ1168" s="782"/>
      <c r="BA1168" s="781"/>
    </row>
    <row r="1169" spans="1:53" ht="25" hidden="1" customHeight="1">
      <c r="B1169" s="213">
        <v>45506</v>
      </c>
      <c r="C1169" s="578">
        <v>45510</v>
      </c>
      <c r="D1169" s="185">
        <f t="shared" si="387"/>
        <v>2024</v>
      </c>
      <c r="E1169" s="215" t="str">
        <f>VLOOKUP($B1169,Week!$A$1:$C$1462,2,0)</f>
        <v>Week31</v>
      </c>
      <c r="F1169" s="216" t="str">
        <f t="shared" si="388"/>
        <v>Aug</v>
      </c>
      <c r="G1169" s="215" t="s">
        <v>1434</v>
      </c>
      <c r="H1169" s="215" t="s">
        <v>104</v>
      </c>
      <c r="I1169" s="215" t="s">
        <v>2772</v>
      </c>
      <c r="J1169" s="209" t="s">
        <v>105</v>
      </c>
      <c r="K1169" s="217" t="s">
        <v>107</v>
      </c>
      <c r="L1169" s="300" t="s">
        <v>2167</v>
      </c>
      <c r="M1169" s="209" t="s">
        <v>108</v>
      </c>
      <c r="N1169" s="215" t="s">
        <v>109</v>
      </c>
      <c r="O1169" s="215" t="s">
        <v>110</v>
      </c>
      <c r="P1169" s="218">
        <v>36</v>
      </c>
      <c r="Q1169" s="218">
        <v>5</v>
      </c>
      <c r="R1169" s="219">
        <v>7.4999999999999997E-3</v>
      </c>
      <c r="S1169" s="215" t="s">
        <v>111</v>
      </c>
      <c r="T1169" s="215" t="s">
        <v>112</v>
      </c>
      <c r="U1169" s="215" t="s">
        <v>113</v>
      </c>
      <c r="V1169" s="220">
        <v>792</v>
      </c>
      <c r="W1169" s="220">
        <v>792</v>
      </c>
      <c r="X1169" s="221"/>
      <c r="Y1169" s="222">
        <f t="shared" si="382"/>
        <v>0</v>
      </c>
      <c r="Z1169" s="223">
        <f t="shared" si="383"/>
        <v>0</v>
      </c>
      <c r="AA1169" s="223"/>
      <c r="AB1169" s="807"/>
      <c r="AC1169" s="220"/>
      <c r="AD1169" s="209"/>
      <c r="AE1169" s="210"/>
      <c r="AF1169" s="210"/>
      <c r="AG1169" s="211">
        <f t="shared" si="391"/>
        <v>0.308</v>
      </c>
      <c r="AH1169" s="157">
        <f t="shared" si="390"/>
        <v>0</v>
      </c>
      <c r="AI1169" s="152">
        <f t="shared" si="392"/>
        <v>28512</v>
      </c>
      <c r="AK1169" s="156" t="s">
        <v>691</v>
      </c>
      <c r="AL1169" s="574" t="s">
        <v>690</v>
      </c>
      <c r="AM1169" s="198">
        <f t="shared" si="381"/>
        <v>0</v>
      </c>
      <c r="AN1169" s="199">
        <f t="shared" si="389"/>
        <v>45506</v>
      </c>
      <c r="AO1169" s="159" t="s">
        <v>692</v>
      </c>
      <c r="AP1169" s="781"/>
      <c r="AQ1169" s="782">
        <v>12063755</v>
      </c>
      <c r="AR1169" s="782">
        <v>12061353</v>
      </c>
      <c r="AS1169" s="782">
        <v>12061354</v>
      </c>
      <c r="AT1169" s="782">
        <v>12068566</v>
      </c>
      <c r="AU1169" s="781"/>
      <c r="AV1169" s="782">
        <v>12088206</v>
      </c>
      <c r="AW1169" s="782">
        <v>12088207</v>
      </c>
      <c r="AX1169" s="782"/>
      <c r="AY1169" s="782">
        <v>12068565</v>
      </c>
      <c r="AZ1169" s="782"/>
      <c r="BA1169" s="781"/>
    </row>
    <row r="1170" spans="1:53" ht="25" hidden="1" customHeight="1">
      <c r="B1170" s="213">
        <v>45506</v>
      </c>
      <c r="C1170" s="578">
        <v>45510</v>
      </c>
      <c r="D1170" s="185">
        <f t="shared" si="387"/>
        <v>2024</v>
      </c>
      <c r="E1170" s="215" t="str">
        <f>VLOOKUP($B1170,Week!$A$1:$C$1462,2,0)</f>
        <v>Week31</v>
      </c>
      <c r="F1170" s="216" t="str">
        <f t="shared" si="388"/>
        <v>Aug</v>
      </c>
      <c r="G1170" s="215" t="s">
        <v>1435</v>
      </c>
      <c r="H1170" s="215" t="s">
        <v>104</v>
      </c>
      <c r="I1170" s="215" t="s">
        <v>2772</v>
      </c>
      <c r="J1170" s="209" t="s">
        <v>105</v>
      </c>
      <c r="K1170" s="217" t="s">
        <v>107</v>
      </c>
      <c r="L1170" s="300" t="s">
        <v>2167</v>
      </c>
      <c r="M1170" s="209" t="s">
        <v>108</v>
      </c>
      <c r="N1170" s="215" t="s">
        <v>109</v>
      </c>
      <c r="O1170" s="215" t="s">
        <v>110</v>
      </c>
      <c r="P1170" s="218">
        <v>36</v>
      </c>
      <c r="Q1170" s="218">
        <v>5</v>
      </c>
      <c r="R1170" s="219">
        <v>7.4999999999999997E-3</v>
      </c>
      <c r="S1170" s="215" t="s">
        <v>111</v>
      </c>
      <c r="T1170" s="215" t="s">
        <v>112</v>
      </c>
      <c r="U1170" s="215" t="s">
        <v>113</v>
      </c>
      <c r="V1170" s="220">
        <f>792</f>
        <v>792</v>
      </c>
      <c r="W1170" s="220">
        <f>792</f>
        <v>792</v>
      </c>
      <c r="X1170" s="221"/>
      <c r="Y1170" s="222">
        <f t="shared" si="382"/>
        <v>0</v>
      </c>
      <c r="Z1170" s="223">
        <f t="shared" si="383"/>
        <v>0</v>
      </c>
      <c r="AA1170" s="223"/>
      <c r="AB1170" s="807"/>
      <c r="AC1170" s="220"/>
      <c r="AD1170" s="209"/>
      <c r="AE1170" s="210"/>
      <c r="AF1170" s="210"/>
      <c r="AG1170" s="211">
        <f t="shared" si="391"/>
        <v>0.308</v>
      </c>
      <c r="AH1170" s="157">
        <f t="shared" si="390"/>
        <v>0</v>
      </c>
      <c r="AI1170" s="152">
        <f t="shared" si="392"/>
        <v>28512</v>
      </c>
      <c r="AK1170" s="156" t="s">
        <v>691</v>
      </c>
      <c r="AL1170" s="574" t="s">
        <v>690</v>
      </c>
      <c r="AM1170" s="198">
        <f t="shared" si="381"/>
        <v>0</v>
      </c>
      <c r="AN1170" s="199">
        <f t="shared" si="389"/>
        <v>45506</v>
      </c>
      <c r="AO1170" s="159" t="s">
        <v>692</v>
      </c>
      <c r="AP1170" s="781"/>
      <c r="AQ1170" s="782">
        <v>12063755</v>
      </c>
      <c r="AR1170" s="782">
        <v>12061353</v>
      </c>
      <c r="AS1170" s="782">
        <v>12061354</v>
      </c>
      <c r="AT1170" s="782">
        <v>12068566</v>
      </c>
      <c r="AU1170" s="781"/>
      <c r="AV1170" s="782">
        <v>12088206</v>
      </c>
      <c r="AW1170" s="782">
        <v>12088207</v>
      </c>
      <c r="AX1170" s="782"/>
      <c r="AY1170" s="782">
        <v>12068565</v>
      </c>
      <c r="AZ1170" s="782"/>
      <c r="BA1170" s="781"/>
    </row>
    <row r="1171" spans="1:53" ht="25" hidden="1" customHeight="1">
      <c r="B1171" s="213">
        <v>45506</v>
      </c>
      <c r="C1171" s="578">
        <v>45511</v>
      </c>
      <c r="D1171" s="185">
        <f t="shared" si="387"/>
        <v>2024</v>
      </c>
      <c r="E1171" s="215" t="str">
        <f>VLOOKUP($B1171,Week!$A$1:$C$1462,2,0)</f>
        <v>Week31</v>
      </c>
      <c r="F1171" s="216" t="str">
        <f t="shared" si="388"/>
        <v>Aug</v>
      </c>
      <c r="G1171" s="215" t="s">
        <v>1436</v>
      </c>
      <c r="H1171" s="215" t="s">
        <v>104</v>
      </c>
      <c r="I1171" s="215" t="s">
        <v>2772</v>
      </c>
      <c r="J1171" s="209" t="s">
        <v>105</v>
      </c>
      <c r="K1171" s="217" t="s">
        <v>107</v>
      </c>
      <c r="L1171" s="300" t="s">
        <v>2167</v>
      </c>
      <c r="M1171" s="209" t="s">
        <v>108</v>
      </c>
      <c r="N1171" s="215" t="s">
        <v>109</v>
      </c>
      <c r="O1171" s="215" t="s">
        <v>110</v>
      </c>
      <c r="P1171" s="218">
        <v>36</v>
      </c>
      <c r="Q1171" s="218">
        <v>5</v>
      </c>
      <c r="R1171" s="219">
        <v>7.4999999999999997E-3</v>
      </c>
      <c r="S1171" s="215" t="s">
        <v>111</v>
      </c>
      <c r="T1171" s="215" t="s">
        <v>112</v>
      </c>
      <c r="U1171" s="215" t="s">
        <v>113</v>
      </c>
      <c r="V1171" s="220">
        <f>3074-503-792-792-792</f>
        <v>195</v>
      </c>
      <c r="W1171" s="220">
        <f>3074-503-792-792-792</f>
        <v>195</v>
      </c>
      <c r="X1171" s="221"/>
      <c r="Y1171" s="222">
        <f t="shared" si="382"/>
        <v>0</v>
      </c>
      <c r="Z1171" s="223">
        <f t="shared" si="383"/>
        <v>0</v>
      </c>
      <c r="AA1171" s="223"/>
      <c r="AB1171" s="807"/>
      <c r="AC1171" s="220"/>
      <c r="AD1171" s="209"/>
      <c r="AE1171" s="210"/>
      <c r="AF1171" s="210"/>
      <c r="AG1171" s="211">
        <f t="shared" si="391"/>
        <v>0.308</v>
      </c>
      <c r="AH1171" s="157">
        <f t="shared" si="390"/>
        <v>0</v>
      </c>
      <c r="AI1171" s="152">
        <f t="shared" si="392"/>
        <v>7020</v>
      </c>
      <c r="AK1171" s="156" t="s">
        <v>691</v>
      </c>
      <c r="AL1171" s="574" t="s">
        <v>690</v>
      </c>
      <c r="AM1171" s="198">
        <f t="shared" si="381"/>
        <v>0</v>
      </c>
      <c r="AN1171" s="199">
        <f t="shared" si="389"/>
        <v>45506</v>
      </c>
      <c r="AO1171" s="159" t="s">
        <v>692</v>
      </c>
      <c r="AP1171" s="781"/>
      <c r="AQ1171" s="782">
        <v>12063755</v>
      </c>
      <c r="AR1171" s="782">
        <v>12061353</v>
      </c>
      <c r="AS1171" s="782">
        <v>12061354</v>
      </c>
      <c r="AT1171" s="782">
        <v>12068566</v>
      </c>
      <c r="AU1171" s="781"/>
      <c r="AV1171" s="782">
        <v>12088206</v>
      </c>
      <c r="AW1171" s="782">
        <v>12088207</v>
      </c>
      <c r="AX1171" s="782"/>
      <c r="AY1171" s="782">
        <v>12068565</v>
      </c>
      <c r="AZ1171" s="782"/>
      <c r="BA1171" s="781"/>
    </row>
    <row r="1172" spans="1:53" ht="25" hidden="1" customHeight="1">
      <c r="B1172" s="213">
        <v>45507</v>
      </c>
      <c r="C1172" s="578">
        <v>45511</v>
      </c>
      <c r="D1172" s="185">
        <f t="shared" si="387"/>
        <v>2024</v>
      </c>
      <c r="E1172" s="215" t="str">
        <f>VLOOKUP($B1172,Week!$A$1:$C$1462,2,0)</f>
        <v>Week31</v>
      </c>
      <c r="F1172" s="216" t="str">
        <f t="shared" si="388"/>
        <v>Aug</v>
      </c>
      <c r="G1172" s="215" t="s">
        <v>1436</v>
      </c>
      <c r="H1172" s="215" t="s">
        <v>104</v>
      </c>
      <c r="I1172" s="215" t="s">
        <v>2772</v>
      </c>
      <c r="J1172" s="209" t="s">
        <v>105</v>
      </c>
      <c r="K1172" s="217" t="s">
        <v>107</v>
      </c>
      <c r="L1172" s="300" t="s">
        <v>2167</v>
      </c>
      <c r="M1172" s="209" t="s">
        <v>108</v>
      </c>
      <c r="N1172" s="215" t="s">
        <v>109</v>
      </c>
      <c r="O1172" s="215" t="s">
        <v>110</v>
      </c>
      <c r="P1172" s="218">
        <v>36</v>
      </c>
      <c r="Q1172" s="218">
        <v>5</v>
      </c>
      <c r="R1172" s="219">
        <v>7.4999999999999997E-3</v>
      </c>
      <c r="S1172" s="215" t="s">
        <v>111</v>
      </c>
      <c r="T1172" s="215" t="s">
        <v>112</v>
      </c>
      <c r="U1172" s="215" t="s">
        <v>113</v>
      </c>
      <c r="V1172" s="220">
        <f>792-195</f>
        <v>597</v>
      </c>
      <c r="W1172" s="220">
        <f>792-195</f>
        <v>597</v>
      </c>
      <c r="X1172" s="221"/>
      <c r="Y1172" s="222">
        <f t="shared" si="382"/>
        <v>0</v>
      </c>
      <c r="Z1172" s="223">
        <f t="shared" si="383"/>
        <v>0</v>
      </c>
      <c r="AA1172" s="223"/>
      <c r="AB1172" s="807"/>
      <c r="AC1172" s="220"/>
      <c r="AD1172" s="209"/>
      <c r="AE1172" s="210"/>
      <c r="AF1172" s="210"/>
      <c r="AG1172" s="211">
        <f t="shared" si="391"/>
        <v>0.308</v>
      </c>
      <c r="AH1172" s="157">
        <f t="shared" si="390"/>
        <v>0</v>
      </c>
      <c r="AI1172" s="152">
        <f t="shared" si="392"/>
        <v>21492</v>
      </c>
      <c r="AK1172" s="156" t="s">
        <v>691</v>
      </c>
      <c r="AL1172" s="574" t="s">
        <v>690</v>
      </c>
      <c r="AM1172" s="198">
        <f t="shared" si="381"/>
        <v>0</v>
      </c>
      <c r="AN1172" s="199">
        <f t="shared" si="389"/>
        <v>45507</v>
      </c>
      <c r="AO1172" s="159" t="s">
        <v>692</v>
      </c>
      <c r="AP1172" s="781"/>
      <c r="AQ1172" s="782">
        <v>12063755</v>
      </c>
      <c r="AR1172" s="782">
        <v>12061353</v>
      </c>
      <c r="AS1172" s="782">
        <v>12061354</v>
      </c>
      <c r="AT1172" s="782">
        <v>12068566</v>
      </c>
      <c r="AU1172" s="781"/>
      <c r="AV1172" s="782">
        <v>12088206</v>
      </c>
      <c r="AW1172" s="782">
        <v>12088207</v>
      </c>
      <c r="AX1172" s="782"/>
      <c r="AY1172" s="782">
        <v>12068565</v>
      </c>
      <c r="AZ1172" s="782"/>
      <c r="BA1172" s="781"/>
    </row>
    <row r="1173" spans="1:53" ht="25" hidden="1" customHeight="1">
      <c r="B1173" s="213">
        <v>45507</v>
      </c>
      <c r="C1173" s="578">
        <v>45511</v>
      </c>
      <c r="D1173" s="185">
        <f t="shared" si="387"/>
        <v>2024</v>
      </c>
      <c r="E1173" s="215" t="str">
        <f>VLOOKUP($B1173,Week!$A$1:$C$1462,2,0)</f>
        <v>Week31</v>
      </c>
      <c r="F1173" s="216" t="str">
        <f t="shared" si="388"/>
        <v>Aug</v>
      </c>
      <c r="G1173" s="215" t="s">
        <v>1437</v>
      </c>
      <c r="H1173" s="215" t="s">
        <v>104</v>
      </c>
      <c r="I1173" s="215" t="s">
        <v>2772</v>
      </c>
      <c r="J1173" s="209" t="s">
        <v>105</v>
      </c>
      <c r="K1173" s="217" t="s">
        <v>107</v>
      </c>
      <c r="L1173" s="300" t="s">
        <v>2167</v>
      </c>
      <c r="M1173" s="209" t="s">
        <v>108</v>
      </c>
      <c r="N1173" s="215" t="s">
        <v>109</v>
      </c>
      <c r="O1173" s="215" t="s">
        <v>110</v>
      </c>
      <c r="P1173" s="218">
        <v>36</v>
      </c>
      <c r="Q1173" s="218">
        <v>5</v>
      </c>
      <c r="R1173" s="219">
        <v>7.4999999999999997E-3</v>
      </c>
      <c r="S1173" s="215" t="s">
        <v>111</v>
      </c>
      <c r="T1173" s="215" t="s">
        <v>112</v>
      </c>
      <c r="U1173" s="215" t="s">
        <v>113</v>
      </c>
      <c r="V1173" s="220">
        <v>792</v>
      </c>
      <c r="W1173" s="220">
        <v>792</v>
      </c>
      <c r="X1173" s="221"/>
      <c r="Y1173" s="222">
        <f t="shared" si="382"/>
        <v>0</v>
      </c>
      <c r="Z1173" s="223">
        <f t="shared" si="383"/>
        <v>0</v>
      </c>
      <c r="AA1173" s="223"/>
      <c r="AB1173" s="807"/>
      <c r="AC1173" s="220"/>
      <c r="AD1173" s="209"/>
      <c r="AE1173" s="210"/>
      <c r="AF1173" s="210"/>
      <c r="AG1173" s="211">
        <f t="shared" si="391"/>
        <v>0.308</v>
      </c>
      <c r="AH1173" s="157">
        <f t="shared" si="390"/>
        <v>0</v>
      </c>
      <c r="AI1173" s="152">
        <f t="shared" si="392"/>
        <v>28512</v>
      </c>
      <c r="AK1173" s="156" t="s">
        <v>691</v>
      </c>
      <c r="AL1173" s="574" t="s">
        <v>690</v>
      </c>
      <c r="AM1173" s="198">
        <f t="shared" si="381"/>
        <v>0</v>
      </c>
      <c r="AN1173" s="199">
        <f t="shared" si="389"/>
        <v>45507</v>
      </c>
      <c r="AO1173" s="159" t="s">
        <v>692</v>
      </c>
      <c r="AP1173" s="781"/>
      <c r="AQ1173" s="782">
        <v>12063755</v>
      </c>
      <c r="AR1173" s="782">
        <v>12061353</v>
      </c>
      <c r="AS1173" s="782">
        <v>12061354</v>
      </c>
      <c r="AT1173" s="782">
        <v>12068566</v>
      </c>
      <c r="AU1173" s="781"/>
      <c r="AV1173" s="782">
        <v>12088206</v>
      </c>
      <c r="AW1173" s="782">
        <v>12088207</v>
      </c>
      <c r="AX1173" s="782"/>
      <c r="AY1173" s="782">
        <v>12068565</v>
      </c>
      <c r="AZ1173" s="782"/>
      <c r="BA1173" s="781"/>
    </row>
    <row r="1174" spans="1:53" ht="25" hidden="1" customHeight="1">
      <c r="B1174" s="213">
        <v>45507</v>
      </c>
      <c r="C1174" s="578">
        <v>45511</v>
      </c>
      <c r="D1174" s="185">
        <f t="shared" si="387"/>
        <v>2024</v>
      </c>
      <c r="E1174" s="215" t="str">
        <f>VLOOKUP($B1174,Week!$A$1:$C$1462,2,0)</f>
        <v>Week31</v>
      </c>
      <c r="F1174" s="216" t="str">
        <f t="shared" si="388"/>
        <v>Aug</v>
      </c>
      <c r="G1174" s="215" t="s">
        <v>1438</v>
      </c>
      <c r="H1174" s="215" t="s">
        <v>104</v>
      </c>
      <c r="I1174" s="215" t="s">
        <v>2772</v>
      </c>
      <c r="J1174" s="209" t="s">
        <v>105</v>
      </c>
      <c r="K1174" s="217" t="s">
        <v>107</v>
      </c>
      <c r="L1174" s="300" t="s">
        <v>2167</v>
      </c>
      <c r="M1174" s="209" t="s">
        <v>108</v>
      </c>
      <c r="N1174" s="215" t="s">
        <v>109</v>
      </c>
      <c r="O1174" s="215" t="s">
        <v>110</v>
      </c>
      <c r="P1174" s="218">
        <v>36</v>
      </c>
      <c r="Q1174" s="218">
        <v>5</v>
      </c>
      <c r="R1174" s="219">
        <v>7.4999999999999997E-3</v>
      </c>
      <c r="S1174" s="215" t="s">
        <v>111</v>
      </c>
      <c r="T1174" s="215" t="s">
        <v>112</v>
      </c>
      <c r="U1174" s="215" t="s">
        <v>113</v>
      </c>
      <c r="V1174" s="220">
        <v>792</v>
      </c>
      <c r="W1174" s="220">
        <v>792</v>
      </c>
      <c r="X1174" s="221"/>
      <c r="Y1174" s="222">
        <f t="shared" si="382"/>
        <v>0</v>
      </c>
      <c r="Z1174" s="223">
        <f t="shared" si="383"/>
        <v>0</v>
      </c>
      <c r="AA1174" s="223"/>
      <c r="AB1174" s="807"/>
      <c r="AC1174" s="220"/>
      <c r="AD1174" s="209"/>
      <c r="AE1174" s="210"/>
      <c r="AF1174" s="210"/>
      <c r="AG1174" s="211">
        <f t="shared" si="391"/>
        <v>0.308</v>
      </c>
      <c r="AH1174" s="157">
        <f t="shared" si="390"/>
        <v>0</v>
      </c>
      <c r="AI1174" s="152">
        <f t="shared" si="392"/>
        <v>28512</v>
      </c>
      <c r="AK1174" s="156" t="s">
        <v>691</v>
      </c>
      <c r="AL1174" s="574" t="s">
        <v>690</v>
      </c>
      <c r="AM1174" s="198">
        <f t="shared" ref="AM1174:AM1205" si="393">AG1174*Z1174</f>
        <v>0</v>
      </c>
      <c r="AN1174" s="199">
        <f t="shared" si="389"/>
        <v>45507</v>
      </c>
      <c r="AO1174" s="159" t="s">
        <v>692</v>
      </c>
      <c r="AP1174" s="781"/>
      <c r="AQ1174" s="782">
        <v>12063755</v>
      </c>
      <c r="AR1174" s="782">
        <v>12061353</v>
      </c>
      <c r="AS1174" s="782">
        <v>12061354</v>
      </c>
      <c r="AT1174" s="782">
        <v>12068566</v>
      </c>
      <c r="AU1174" s="781"/>
      <c r="AV1174" s="782">
        <v>12088206</v>
      </c>
      <c r="AW1174" s="782">
        <v>12088207</v>
      </c>
      <c r="AX1174" s="782"/>
      <c r="AY1174" s="782">
        <v>12068565</v>
      </c>
      <c r="AZ1174" s="782"/>
      <c r="BA1174" s="781"/>
    </row>
    <row r="1175" spans="1:53" ht="25" hidden="1" customHeight="1">
      <c r="B1175" s="213">
        <v>45507</v>
      </c>
      <c r="C1175" s="578">
        <v>45517</v>
      </c>
      <c r="D1175" s="185">
        <f t="shared" si="387"/>
        <v>2024</v>
      </c>
      <c r="E1175" s="215" t="str">
        <f>VLOOKUP($B1175,Week!$A$1:$C$1462,2,0)</f>
        <v>Week31</v>
      </c>
      <c r="F1175" s="216" t="str">
        <f t="shared" si="388"/>
        <v>Aug</v>
      </c>
      <c r="G1175" s="215" t="s">
        <v>1439</v>
      </c>
      <c r="H1175" s="215" t="s">
        <v>104</v>
      </c>
      <c r="I1175" s="215" t="s">
        <v>2772</v>
      </c>
      <c r="J1175" s="209" t="s">
        <v>105</v>
      </c>
      <c r="K1175" s="217" t="s">
        <v>107</v>
      </c>
      <c r="L1175" s="300" t="s">
        <v>2167</v>
      </c>
      <c r="M1175" s="209" t="s">
        <v>108</v>
      </c>
      <c r="N1175" s="215" t="s">
        <v>109</v>
      </c>
      <c r="O1175" s="215" t="s">
        <v>110</v>
      </c>
      <c r="P1175" s="218">
        <v>36</v>
      </c>
      <c r="Q1175" s="218">
        <v>5</v>
      </c>
      <c r="R1175" s="219">
        <v>7.4999999999999997E-3</v>
      </c>
      <c r="S1175" s="215" t="s">
        <v>111</v>
      </c>
      <c r="T1175" s="215" t="s">
        <v>112</v>
      </c>
      <c r="U1175" s="215" t="s">
        <v>113</v>
      </c>
      <c r="V1175" s="220">
        <v>792</v>
      </c>
      <c r="W1175" s="220">
        <v>792</v>
      </c>
      <c r="X1175" s="221"/>
      <c r="Y1175" s="222">
        <f t="shared" si="382"/>
        <v>0</v>
      </c>
      <c r="Z1175" s="223">
        <f t="shared" si="383"/>
        <v>0</v>
      </c>
      <c r="AA1175" s="223"/>
      <c r="AB1175" s="807"/>
      <c r="AC1175" s="220"/>
      <c r="AD1175" s="209"/>
      <c r="AE1175" s="210"/>
      <c r="AF1175" s="210"/>
      <c r="AG1175" s="211">
        <f t="shared" si="391"/>
        <v>0.308</v>
      </c>
      <c r="AH1175" s="157">
        <f t="shared" si="390"/>
        <v>0</v>
      </c>
      <c r="AI1175" s="152">
        <f t="shared" si="392"/>
        <v>28512</v>
      </c>
      <c r="AK1175" s="156" t="s">
        <v>691</v>
      </c>
      <c r="AL1175" s="574" t="s">
        <v>690</v>
      </c>
      <c r="AM1175" s="198">
        <f t="shared" si="393"/>
        <v>0</v>
      </c>
      <c r="AN1175" s="199">
        <f t="shared" si="389"/>
        <v>45507</v>
      </c>
      <c r="AO1175" s="159" t="s">
        <v>692</v>
      </c>
      <c r="AP1175" s="781"/>
      <c r="AQ1175" s="782">
        <v>12063755</v>
      </c>
      <c r="AR1175" s="782">
        <v>12061353</v>
      </c>
      <c r="AS1175" s="782">
        <v>12061354</v>
      </c>
      <c r="AT1175" s="782">
        <v>12068566</v>
      </c>
      <c r="AU1175" s="781"/>
      <c r="AV1175" s="782">
        <v>12088206</v>
      </c>
      <c r="AW1175" s="782">
        <v>12088207</v>
      </c>
      <c r="AX1175" s="782"/>
      <c r="AY1175" s="782">
        <v>12068565</v>
      </c>
      <c r="AZ1175" s="782"/>
      <c r="BA1175" s="781"/>
    </row>
    <row r="1176" spans="1:53" ht="25" hidden="1" customHeight="1">
      <c r="B1176" s="213">
        <v>45507</v>
      </c>
      <c r="C1176" s="578">
        <v>45517</v>
      </c>
      <c r="D1176" s="185">
        <f t="shared" si="387"/>
        <v>2024</v>
      </c>
      <c r="E1176" s="215" t="str">
        <f>VLOOKUP($B1176,Week!$A$1:$C$1462,2,0)</f>
        <v>Week31</v>
      </c>
      <c r="F1176" s="216" t="str">
        <f t="shared" si="388"/>
        <v>Aug</v>
      </c>
      <c r="G1176" s="215" t="s">
        <v>1440</v>
      </c>
      <c r="H1176" s="215" t="s">
        <v>104</v>
      </c>
      <c r="I1176" s="215" t="s">
        <v>2772</v>
      </c>
      <c r="J1176" s="209" t="s">
        <v>105</v>
      </c>
      <c r="K1176" s="217" t="s">
        <v>107</v>
      </c>
      <c r="L1176" s="300" t="s">
        <v>2167</v>
      </c>
      <c r="M1176" s="209" t="s">
        <v>108</v>
      </c>
      <c r="N1176" s="215" t="s">
        <v>109</v>
      </c>
      <c r="O1176" s="215" t="s">
        <v>110</v>
      </c>
      <c r="P1176" s="218">
        <v>36</v>
      </c>
      <c r="Q1176" s="218">
        <v>5</v>
      </c>
      <c r="R1176" s="219">
        <v>7.4999999999999997E-3</v>
      </c>
      <c r="S1176" s="215" t="s">
        <v>111</v>
      </c>
      <c r="T1176" s="215" t="s">
        <v>112</v>
      </c>
      <c r="U1176" s="215" t="s">
        <v>113</v>
      </c>
      <c r="V1176" s="220">
        <f>3346-597-792-792-792</f>
        <v>373</v>
      </c>
      <c r="W1176" s="220">
        <f>3346-597-792-792-792</f>
        <v>373</v>
      </c>
      <c r="X1176" s="221"/>
      <c r="Y1176" s="222">
        <f t="shared" si="382"/>
        <v>0</v>
      </c>
      <c r="Z1176" s="223">
        <f t="shared" si="383"/>
        <v>0</v>
      </c>
      <c r="AA1176" s="223"/>
      <c r="AB1176" s="807"/>
      <c r="AC1176" s="220"/>
      <c r="AD1176" s="209"/>
      <c r="AE1176" s="210"/>
      <c r="AF1176" s="210"/>
      <c r="AG1176" s="211">
        <f t="shared" si="391"/>
        <v>0.308</v>
      </c>
      <c r="AH1176" s="157">
        <f t="shared" si="390"/>
        <v>0</v>
      </c>
      <c r="AI1176" s="152">
        <f t="shared" si="392"/>
        <v>13428</v>
      </c>
      <c r="AK1176" s="156" t="s">
        <v>691</v>
      </c>
      <c r="AL1176" s="574" t="s">
        <v>690</v>
      </c>
      <c r="AM1176" s="198">
        <f t="shared" si="393"/>
        <v>0</v>
      </c>
      <c r="AN1176" s="199">
        <f t="shared" si="389"/>
        <v>45507</v>
      </c>
      <c r="AO1176" s="159" t="s">
        <v>692</v>
      </c>
      <c r="AP1176" s="781"/>
      <c r="AQ1176" s="782">
        <v>12063755</v>
      </c>
      <c r="AR1176" s="782">
        <v>12061353</v>
      </c>
      <c r="AS1176" s="782">
        <v>12061354</v>
      </c>
      <c r="AT1176" s="782">
        <v>12068566</v>
      </c>
      <c r="AU1176" s="781"/>
      <c r="AV1176" s="782">
        <v>12088206</v>
      </c>
      <c r="AW1176" s="782">
        <v>12088207</v>
      </c>
      <c r="AX1176" s="782"/>
      <c r="AY1176" s="782">
        <v>12068565</v>
      </c>
      <c r="AZ1176" s="782"/>
      <c r="BA1176" s="781"/>
    </row>
    <row r="1177" spans="1:53" ht="25" hidden="1" customHeight="1">
      <c r="B1177" s="498">
        <v>45507</v>
      </c>
      <c r="C1177" s="499">
        <v>45519</v>
      </c>
      <c r="D1177" s="185">
        <f t="shared" si="387"/>
        <v>2024</v>
      </c>
      <c r="E1177" s="499" t="str">
        <f>VLOOKUP($B1177,Week!$A$1:$C$1462,2,0)</f>
        <v>Week31</v>
      </c>
      <c r="F1177" s="500" t="str">
        <f t="shared" si="388"/>
        <v>Aug</v>
      </c>
      <c r="G1177" s="501" t="s">
        <v>1541</v>
      </c>
      <c r="H1177" s="501" t="s">
        <v>311</v>
      </c>
      <c r="I1177" s="501" t="s">
        <v>2772</v>
      </c>
      <c r="J1177" s="502" t="s">
        <v>738</v>
      </c>
      <c r="K1177" s="503" t="s">
        <v>1646</v>
      </c>
      <c r="L1177" s="300" t="s">
        <v>2167</v>
      </c>
      <c r="M1177" s="502" t="s">
        <v>654</v>
      </c>
      <c r="N1177" s="501" t="s">
        <v>726</v>
      </c>
      <c r="O1177" s="501" t="s">
        <v>655</v>
      </c>
      <c r="P1177" s="504">
        <v>24</v>
      </c>
      <c r="Q1177" s="504">
        <v>5</v>
      </c>
      <c r="R1177" s="505">
        <v>7.4999999999999997E-3</v>
      </c>
      <c r="S1177" s="501" t="s">
        <v>40</v>
      </c>
      <c r="T1177" s="501" t="s">
        <v>112</v>
      </c>
      <c r="U1177" s="506" t="s">
        <v>721</v>
      </c>
      <c r="V1177" s="507">
        <v>924</v>
      </c>
      <c r="W1177" s="507">
        <f>834</f>
        <v>834</v>
      </c>
      <c r="X1177" s="508">
        <f>(1114+720+333)/24</f>
        <v>90.291666666666671</v>
      </c>
      <c r="Y1177" s="509">
        <f t="shared" si="382"/>
        <v>0.29166666666662877</v>
      </c>
      <c r="Z1177" s="510">
        <f t="shared" si="383"/>
        <v>0</v>
      </c>
      <c r="AA1177" s="510"/>
      <c r="AB1177" s="830"/>
      <c r="AC1177" s="507"/>
      <c r="AD1177" s="209"/>
      <c r="AE1177" s="210"/>
      <c r="AF1177" s="210"/>
      <c r="AG1177" s="211">
        <f t="shared" si="391"/>
        <v>0.307</v>
      </c>
      <c r="AH1177" s="157">
        <f t="shared" si="390"/>
        <v>0</v>
      </c>
      <c r="AI1177" s="152">
        <f t="shared" si="392"/>
        <v>22176</v>
      </c>
      <c r="AK1177" s="156" t="s">
        <v>691</v>
      </c>
      <c r="AL1177" s="212" t="s">
        <v>690</v>
      </c>
      <c r="AM1177" s="198">
        <f t="shared" si="393"/>
        <v>0</v>
      </c>
      <c r="AN1177" s="199">
        <f t="shared" si="389"/>
        <v>45507</v>
      </c>
      <c r="AO1177" s="159" t="s">
        <v>692</v>
      </c>
      <c r="AP1177" s="781" t="s">
        <v>642</v>
      </c>
      <c r="AQ1177" s="782">
        <v>12063755</v>
      </c>
      <c r="AR1177" s="782">
        <v>12061353</v>
      </c>
      <c r="AS1177" s="782">
        <v>12061354</v>
      </c>
      <c r="AT1177" s="782">
        <v>12089274</v>
      </c>
      <c r="AU1177" s="781"/>
      <c r="AV1177" s="782">
        <v>12089275</v>
      </c>
      <c r="AW1177" s="782">
        <v>12068154</v>
      </c>
      <c r="AX1177" s="782"/>
      <c r="AY1177" s="782">
        <v>12089276</v>
      </c>
      <c r="AZ1177" s="782"/>
      <c r="BA1177" s="781"/>
    </row>
    <row r="1178" spans="1:53" ht="25" hidden="1" customHeight="1">
      <c r="B1178" s="183">
        <v>45508</v>
      </c>
      <c r="C1178" s="184"/>
      <c r="D1178" s="185">
        <f t="shared" si="387"/>
        <v>2024</v>
      </c>
      <c r="E1178" s="185" t="str">
        <f>VLOOKUP($B1178,Week!$A$1:$C$1462,2,0)</f>
        <v>Week31</v>
      </c>
      <c r="F1178" s="186" t="str">
        <f t="shared" si="388"/>
        <v>Aug</v>
      </c>
      <c r="G1178" s="185"/>
      <c r="H1178" s="185"/>
      <c r="I1178" s="185"/>
      <c r="J1178" s="187"/>
      <c r="K1178" s="188"/>
      <c r="L1178" s="300"/>
      <c r="M1178" s="187"/>
      <c r="N1178" s="185"/>
      <c r="O1178" s="185"/>
      <c r="P1178" s="189"/>
      <c r="Q1178" s="189"/>
      <c r="R1178" s="190"/>
      <c r="S1178" s="185"/>
      <c r="T1178" s="185"/>
      <c r="U1178" s="185"/>
      <c r="V1178" s="191"/>
      <c r="W1178" s="191"/>
      <c r="X1178" s="192"/>
      <c r="Y1178" s="193"/>
      <c r="Z1178" s="194"/>
      <c r="AA1178" s="194"/>
      <c r="AB1178" s="805"/>
      <c r="AC1178" s="191"/>
      <c r="AD1178" s="187"/>
      <c r="AE1178" s="195"/>
      <c r="AF1178" s="195"/>
      <c r="AG1178" s="196"/>
      <c r="AH1178" s="197"/>
      <c r="AK1178" s="156" t="s">
        <v>691</v>
      </c>
      <c r="AM1178" s="198">
        <f t="shared" si="393"/>
        <v>0</v>
      </c>
      <c r="AN1178" s="199">
        <f t="shared" si="389"/>
        <v>45508</v>
      </c>
      <c r="AO1178" s="159" t="s">
        <v>692</v>
      </c>
      <c r="AP1178" s="781"/>
      <c r="AQ1178" s="782"/>
      <c r="AR1178" s="782"/>
      <c r="AS1178" s="782"/>
      <c r="AT1178" s="782"/>
      <c r="AU1178" s="781"/>
      <c r="AV1178" s="782"/>
      <c r="AW1178" s="782"/>
      <c r="AX1178" s="782"/>
      <c r="AY1178" s="782"/>
      <c r="AZ1178" s="782"/>
      <c r="BA1178" s="781"/>
    </row>
    <row r="1179" spans="1:53" ht="25" hidden="1" customHeight="1">
      <c r="B1179" s="517">
        <v>45509</v>
      </c>
      <c r="C1179" s="532">
        <v>45540</v>
      </c>
      <c r="D1179" s="185">
        <f t="shared" si="387"/>
        <v>2024</v>
      </c>
      <c r="E1179" s="518" t="str">
        <f>VLOOKUP($B1179,Week!$A$1:$C$1462,2,0)</f>
        <v>Week32</v>
      </c>
      <c r="F1179" s="520" t="str">
        <f t="shared" si="388"/>
        <v>Aug</v>
      </c>
      <c r="G1179" s="519" t="s">
        <v>1432</v>
      </c>
      <c r="H1179" s="519" t="s">
        <v>363</v>
      </c>
      <c r="I1179" s="519" t="s">
        <v>2772</v>
      </c>
      <c r="J1179" s="521" t="s">
        <v>364</v>
      </c>
      <c r="K1179" s="522" t="s">
        <v>1643</v>
      </c>
      <c r="L1179" s="300" t="s">
        <v>2167</v>
      </c>
      <c r="M1179" s="521" t="s">
        <v>1421</v>
      </c>
      <c r="N1179" s="519" t="s">
        <v>1422</v>
      </c>
      <c r="O1179" s="519" t="s">
        <v>743</v>
      </c>
      <c r="P1179" s="523">
        <v>36</v>
      </c>
      <c r="Q1179" s="523">
        <v>5</v>
      </c>
      <c r="R1179" s="524">
        <v>7.4999999999999997E-3</v>
      </c>
      <c r="S1179" s="519" t="s">
        <v>40</v>
      </c>
      <c r="T1179" s="519" t="s">
        <v>112</v>
      </c>
      <c r="U1179" s="634" t="s">
        <v>721</v>
      </c>
      <c r="V1179" s="525">
        <v>1288</v>
      </c>
      <c r="W1179" s="525">
        <f>1277</f>
        <v>1277</v>
      </c>
      <c r="X1179" s="526">
        <f>(523+2405)/36</f>
        <v>81.333333333333329</v>
      </c>
      <c r="Y1179" s="527">
        <f t="shared" ref="Y1179:Y1201" si="394">(W1179+X1179)-V1179</f>
        <v>70.333333333333258</v>
      </c>
      <c r="Z1179" s="528">
        <f t="shared" ref="Z1179:Z1201" si="395">IF(Y1179&lt;0,((V1179*P1179)-((W1179+X1179)*P1179)),0)</f>
        <v>0</v>
      </c>
      <c r="AA1179" s="528"/>
      <c r="AB1179" s="831"/>
      <c r="AC1179" s="525"/>
      <c r="AD1179" s="515"/>
      <c r="AE1179" s="210"/>
      <c r="AF1179" s="210"/>
      <c r="AG1179" s="211">
        <f t="shared" ref="AG1179:AG1201" si="396">MID(O1179,1,3)/1000</f>
        <v>0.14699999999999999</v>
      </c>
      <c r="AH1179" s="157">
        <f t="shared" ref="AH1179:AH1201" si="397">(Z1179*AG1179)/1000</f>
        <v>0</v>
      </c>
      <c r="AI1179" s="152">
        <f t="shared" ref="AI1179:AI1201" si="398">V1179*P1179</f>
        <v>46368</v>
      </c>
      <c r="AK1179" s="156" t="s">
        <v>691</v>
      </c>
      <c r="AL1179" s="574" t="s">
        <v>690</v>
      </c>
      <c r="AM1179" s="198">
        <f t="shared" si="393"/>
        <v>0</v>
      </c>
      <c r="AN1179" s="199">
        <f t="shared" si="389"/>
        <v>45509</v>
      </c>
      <c r="AO1179" s="159" t="s">
        <v>692</v>
      </c>
      <c r="AP1179" s="783" t="s">
        <v>639</v>
      </c>
      <c r="AQ1179" s="782">
        <v>12071839</v>
      </c>
      <c r="AR1179" s="782">
        <v>12047514</v>
      </c>
      <c r="AS1179" s="782">
        <v>12047515</v>
      </c>
      <c r="AT1179" s="782">
        <v>12091753</v>
      </c>
      <c r="AU1179" s="781"/>
      <c r="AV1179" s="782">
        <v>12091754</v>
      </c>
      <c r="AW1179" s="782"/>
      <c r="AX1179" s="781"/>
      <c r="AY1179" s="782">
        <v>12091752</v>
      </c>
      <c r="AZ1179" s="781"/>
      <c r="BA1179" s="781"/>
    </row>
    <row r="1180" spans="1:53" ht="25" hidden="1" customHeight="1">
      <c r="B1180" s="558">
        <v>45509</v>
      </c>
      <c r="C1180" s="308">
        <v>45517</v>
      </c>
      <c r="D1180" s="185">
        <f t="shared" si="387"/>
        <v>2024</v>
      </c>
      <c r="E1180" s="309" t="str">
        <f>VLOOKUP($B1180,Week!$A$1:$C$1462,2,0)</f>
        <v>Week32</v>
      </c>
      <c r="F1180" s="310" t="str">
        <f t="shared" si="388"/>
        <v>Aug</v>
      </c>
      <c r="G1180" s="311" t="s">
        <v>1669</v>
      </c>
      <c r="H1180" s="311" t="s">
        <v>500</v>
      </c>
      <c r="I1180" s="311" t="s">
        <v>2772</v>
      </c>
      <c r="J1180" s="312" t="s">
        <v>285</v>
      </c>
      <c r="K1180" s="313" t="s">
        <v>1643</v>
      </c>
      <c r="L1180" s="300" t="s">
        <v>2167</v>
      </c>
      <c r="M1180" s="313" t="s">
        <v>1318</v>
      </c>
      <c r="N1180" s="311" t="s">
        <v>1167</v>
      </c>
      <c r="O1180" s="311" t="s">
        <v>743</v>
      </c>
      <c r="P1180" s="314">
        <v>36</v>
      </c>
      <c r="Q1180" s="314">
        <v>5</v>
      </c>
      <c r="R1180" s="315">
        <v>7.4999999999999997E-3</v>
      </c>
      <c r="S1180" s="311" t="s">
        <v>40</v>
      </c>
      <c r="T1180" s="311" t="s">
        <v>112</v>
      </c>
      <c r="U1180" s="629" t="s">
        <v>721</v>
      </c>
      <c r="V1180" s="316">
        <f>644</f>
        <v>644</v>
      </c>
      <c r="W1180" s="316">
        <f>28+611</f>
        <v>639</v>
      </c>
      <c r="X1180" s="317">
        <f>180/36</f>
        <v>5</v>
      </c>
      <c r="Y1180" s="318">
        <f t="shared" si="394"/>
        <v>0</v>
      </c>
      <c r="Z1180" s="319">
        <f t="shared" si="395"/>
        <v>0</v>
      </c>
      <c r="AA1180" s="319"/>
      <c r="AB1180" s="815"/>
      <c r="AC1180" s="316"/>
      <c r="AD1180" s="381"/>
      <c r="AE1180" s="210"/>
      <c r="AF1180" s="210"/>
      <c r="AG1180" s="211">
        <f t="shared" si="396"/>
        <v>0.14699999999999999</v>
      </c>
      <c r="AH1180" s="157">
        <f t="shared" si="397"/>
        <v>0</v>
      </c>
      <c r="AI1180" s="152">
        <f t="shared" si="398"/>
        <v>23184</v>
      </c>
      <c r="AK1180" s="156" t="s">
        <v>691</v>
      </c>
      <c r="AL1180" s="574" t="s">
        <v>690</v>
      </c>
      <c r="AM1180" s="198">
        <f t="shared" si="393"/>
        <v>0</v>
      </c>
      <c r="AN1180" s="199">
        <f t="shared" si="389"/>
        <v>45509</v>
      </c>
      <c r="AO1180" s="159" t="s">
        <v>692</v>
      </c>
      <c r="AP1180" s="783" t="s">
        <v>639</v>
      </c>
      <c r="AQ1180" s="782">
        <v>12071839</v>
      </c>
      <c r="AR1180" s="782">
        <v>12047514</v>
      </c>
      <c r="AS1180" s="782">
        <v>12047515</v>
      </c>
      <c r="AT1180" s="782">
        <v>12089764</v>
      </c>
      <c r="AU1180" s="781"/>
      <c r="AV1180" s="782">
        <v>12089763</v>
      </c>
      <c r="AW1180" s="782">
        <v>12024404</v>
      </c>
      <c r="AX1180" s="781"/>
      <c r="AY1180" s="782">
        <v>12089765</v>
      </c>
      <c r="AZ1180" s="781"/>
      <c r="BA1180" s="781"/>
    </row>
    <row r="1181" spans="1:53" ht="25" hidden="1" customHeight="1">
      <c r="B1181" s="619">
        <v>45509</v>
      </c>
      <c r="C1181" s="466">
        <v>45526</v>
      </c>
      <c r="D1181" s="185">
        <f t="shared" si="387"/>
        <v>2024</v>
      </c>
      <c r="E1181" s="467" t="str">
        <f>VLOOKUP($B1181,Week!$A$1:$C$1462,2,0)</f>
        <v>Week32</v>
      </c>
      <c r="F1181" s="469" t="str">
        <f t="shared" si="388"/>
        <v>Aug</v>
      </c>
      <c r="G1181" s="468" t="s">
        <v>1484</v>
      </c>
      <c r="H1181" s="468" t="s">
        <v>225</v>
      </c>
      <c r="I1181" s="468" t="s">
        <v>2773</v>
      </c>
      <c r="J1181" s="471" t="s">
        <v>335</v>
      </c>
      <c r="K1181" s="472" t="s">
        <v>1643</v>
      </c>
      <c r="L1181" s="300" t="s">
        <v>2167</v>
      </c>
      <c r="M1181" s="471" t="s">
        <v>336</v>
      </c>
      <c r="N1181" s="468" t="s">
        <v>748</v>
      </c>
      <c r="O1181" s="468" t="s">
        <v>743</v>
      </c>
      <c r="P1181" s="473">
        <v>36</v>
      </c>
      <c r="Q1181" s="473">
        <v>5</v>
      </c>
      <c r="R1181" s="474">
        <v>7.4999999999999997E-3</v>
      </c>
      <c r="S1181" s="468" t="s">
        <v>40</v>
      </c>
      <c r="T1181" s="468" t="s">
        <v>112</v>
      </c>
      <c r="U1181" s="620" t="s">
        <v>721</v>
      </c>
      <c r="V1181" s="475">
        <f>1288-69</f>
        <v>1219</v>
      </c>
      <c r="W1181" s="475">
        <f>1219</f>
        <v>1219</v>
      </c>
      <c r="X1181" s="476"/>
      <c r="Y1181" s="477">
        <f t="shared" si="394"/>
        <v>0</v>
      </c>
      <c r="Z1181" s="478">
        <f t="shared" si="395"/>
        <v>0</v>
      </c>
      <c r="AA1181" s="478"/>
      <c r="AB1181" s="828"/>
      <c r="AC1181" s="475"/>
      <c r="AD1181" s="515"/>
      <c r="AE1181" s="210"/>
      <c r="AF1181" s="210"/>
      <c r="AG1181" s="211">
        <f t="shared" si="396"/>
        <v>0.14699999999999999</v>
      </c>
      <c r="AH1181" s="157">
        <f t="shared" si="397"/>
        <v>0</v>
      </c>
      <c r="AI1181" s="152">
        <f t="shared" si="398"/>
        <v>43884</v>
      </c>
      <c r="AK1181" s="156" t="s">
        <v>691</v>
      </c>
      <c r="AL1181" s="574" t="s">
        <v>690</v>
      </c>
      <c r="AM1181" s="198">
        <f t="shared" si="393"/>
        <v>0</v>
      </c>
      <c r="AN1181" s="199">
        <f t="shared" si="389"/>
        <v>45509</v>
      </c>
      <c r="AO1181" s="159" t="s">
        <v>692</v>
      </c>
      <c r="AP1181" s="783" t="s">
        <v>639</v>
      </c>
      <c r="AQ1181" s="782">
        <v>12071839</v>
      </c>
      <c r="AR1181" s="782">
        <v>12047514</v>
      </c>
      <c r="AS1181" s="782">
        <v>12047515</v>
      </c>
      <c r="AT1181" s="782">
        <v>12089769</v>
      </c>
      <c r="AU1181" s="781"/>
      <c r="AV1181" s="782">
        <v>12089766</v>
      </c>
      <c r="AW1181" s="782">
        <v>12024404</v>
      </c>
      <c r="AX1181" s="781"/>
      <c r="AY1181" s="782">
        <v>12089770</v>
      </c>
      <c r="AZ1181" s="781"/>
      <c r="BA1181" s="781"/>
    </row>
    <row r="1182" spans="1:53" ht="25" hidden="1" customHeight="1">
      <c r="B1182" s="619">
        <v>45509</v>
      </c>
      <c r="C1182" s="466">
        <v>45547</v>
      </c>
      <c r="D1182" s="185">
        <f t="shared" si="387"/>
        <v>2024</v>
      </c>
      <c r="E1182" s="467" t="str">
        <f>VLOOKUP($B1182,Week!$A$1:$C$1462,2,0)</f>
        <v>Week32</v>
      </c>
      <c r="F1182" s="469" t="str">
        <f t="shared" si="388"/>
        <v>Aug</v>
      </c>
      <c r="G1182" s="468" t="s">
        <v>1485</v>
      </c>
      <c r="H1182" s="468" t="s">
        <v>225</v>
      </c>
      <c r="I1182" s="468" t="s">
        <v>2773</v>
      </c>
      <c r="J1182" s="471" t="s">
        <v>335</v>
      </c>
      <c r="K1182" s="472" t="s">
        <v>1643</v>
      </c>
      <c r="L1182" s="300" t="s">
        <v>2167</v>
      </c>
      <c r="M1182" s="471" t="s">
        <v>336</v>
      </c>
      <c r="N1182" s="468" t="s">
        <v>748</v>
      </c>
      <c r="O1182" s="468" t="s">
        <v>743</v>
      </c>
      <c r="P1182" s="473">
        <v>36</v>
      </c>
      <c r="Q1182" s="473">
        <v>5</v>
      </c>
      <c r="R1182" s="474">
        <v>7.4999999999999997E-3</v>
      </c>
      <c r="S1182" s="468" t="s">
        <v>40</v>
      </c>
      <c r="T1182" s="468" t="s">
        <v>112</v>
      </c>
      <c r="U1182" s="620" t="s">
        <v>721</v>
      </c>
      <c r="V1182" s="475">
        <f>690</f>
        <v>690</v>
      </c>
      <c r="W1182" s="475">
        <f>1870-1219</f>
        <v>651</v>
      </c>
      <c r="X1182" s="476">
        <f>39</f>
        <v>39</v>
      </c>
      <c r="Y1182" s="477">
        <f t="shared" si="394"/>
        <v>0</v>
      </c>
      <c r="Z1182" s="478">
        <f t="shared" si="395"/>
        <v>0</v>
      </c>
      <c r="AA1182" s="478"/>
      <c r="AB1182" s="828"/>
      <c r="AC1182" s="475"/>
      <c r="AD1182" s="515"/>
      <c r="AE1182" s="210"/>
      <c r="AF1182" s="210"/>
      <c r="AG1182" s="211">
        <f t="shared" si="396"/>
        <v>0.14699999999999999</v>
      </c>
      <c r="AH1182" s="157">
        <f t="shared" si="397"/>
        <v>0</v>
      </c>
      <c r="AI1182" s="152">
        <f t="shared" si="398"/>
        <v>24840</v>
      </c>
      <c r="AK1182" s="156" t="s">
        <v>691</v>
      </c>
      <c r="AL1182" s="574" t="s">
        <v>690</v>
      </c>
      <c r="AM1182" s="198">
        <f t="shared" si="393"/>
        <v>0</v>
      </c>
      <c r="AN1182" s="199">
        <f t="shared" si="389"/>
        <v>45509</v>
      </c>
      <c r="AO1182" s="159" t="s">
        <v>692</v>
      </c>
      <c r="AP1182" s="783" t="s">
        <v>639</v>
      </c>
      <c r="AQ1182" s="782">
        <v>12071839</v>
      </c>
      <c r="AR1182" s="782">
        <v>12047514</v>
      </c>
      <c r="AS1182" s="782">
        <v>12047515</v>
      </c>
      <c r="AT1182" s="782">
        <v>12089769</v>
      </c>
      <c r="AU1182" s="781"/>
      <c r="AV1182" s="782">
        <v>12089766</v>
      </c>
      <c r="AW1182" s="782">
        <v>12024404</v>
      </c>
      <c r="AX1182" s="781"/>
      <c r="AY1182" s="782">
        <v>12089770</v>
      </c>
      <c r="AZ1182" s="781"/>
      <c r="BA1182" s="781"/>
    </row>
    <row r="1183" spans="1:53" ht="25" hidden="1" customHeight="1">
      <c r="A1183" s="754" t="s">
        <v>438</v>
      </c>
      <c r="B1183" s="332">
        <v>45510</v>
      </c>
      <c r="C1183" s="333">
        <v>45525</v>
      </c>
      <c r="D1183" s="185">
        <f t="shared" si="387"/>
        <v>2024</v>
      </c>
      <c r="E1183" s="335" t="str">
        <f>VLOOKUP($B1183,Week!$A$1:$C$1462,2,0)</f>
        <v>Week32</v>
      </c>
      <c r="F1183" s="334" t="str">
        <f t="shared" si="388"/>
        <v>Aug</v>
      </c>
      <c r="G1183" s="530" t="s">
        <v>1588</v>
      </c>
      <c r="H1183" s="335" t="s">
        <v>675</v>
      </c>
      <c r="I1183" s="335" t="s">
        <v>2772</v>
      </c>
      <c r="J1183" s="336" t="s">
        <v>709</v>
      </c>
      <c r="K1183" s="337" t="s">
        <v>671</v>
      </c>
      <c r="L1183" s="300" t="s">
        <v>2167</v>
      </c>
      <c r="M1183" s="336" t="s">
        <v>661</v>
      </c>
      <c r="N1183" s="335" t="s">
        <v>714</v>
      </c>
      <c r="O1183" s="335" t="s">
        <v>566</v>
      </c>
      <c r="P1183" s="338">
        <v>16</v>
      </c>
      <c r="Q1183" s="338">
        <v>6</v>
      </c>
      <c r="R1183" s="339">
        <v>6.0000000000000001E-3</v>
      </c>
      <c r="S1183" s="335" t="s">
        <v>55</v>
      </c>
      <c r="T1183" s="335" t="s">
        <v>112</v>
      </c>
      <c r="U1183" s="335" t="s">
        <v>662</v>
      </c>
      <c r="V1183" s="341">
        <f>432</f>
        <v>432</v>
      </c>
      <c r="W1183" s="341">
        <f>421+11</f>
        <v>432</v>
      </c>
      <c r="X1183" s="342"/>
      <c r="Y1183" s="343">
        <f t="shared" si="394"/>
        <v>0</v>
      </c>
      <c r="Z1183" s="344">
        <f t="shared" si="395"/>
        <v>0</v>
      </c>
      <c r="AA1183" s="344"/>
      <c r="AB1183" s="817">
        <v>1</v>
      </c>
      <c r="AC1183" s="341">
        <f>AB1183*V1183*P1183</f>
        <v>6912</v>
      </c>
      <c r="AD1183" s="336" t="s">
        <v>2295</v>
      </c>
      <c r="AE1183" s="533"/>
      <c r="AF1183" s="533"/>
      <c r="AG1183" s="211">
        <f t="shared" si="396"/>
        <v>0.11700000000000001</v>
      </c>
      <c r="AH1183" s="157">
        <f t="shared" si="397"/>
        <v>0</v>
      </c>
      <c r="AI1183" s="152">
        <f t="shared" si="398"/>
        <v>6912</v>
      </c>
      <c r="AK1183" s="156" t="s">
        <v>691</v>
      </c>
      <c r="AL1183" s="212" t="s">
        <v>690</v>
      </c>
      <c r="AM1183" s="198">
        <f t="shared" si="393"/>
        <v>0</v>
      </c>
      <c r="AN1183" s="199">
        <f t="shared" si="389"/>
        <v>45510</v>
      </c>
      <c r="AO1183" s="159" t="s">
        <v>692</v>
      </c>
      <c r="AP1183" s="797"/>
      <c r="AQ1183" s="798"/>
      <c r="AR1183" s="798">
        <v>12080450</v>
      </c>
      <c r="AS1183" s="798"/>
      <c r="AT1183" s="798">
        <v>12083198</v>
      </c>
      <c r="AU1183" s="799"/>
      <c r="AV1183" s="798">
        <v>12080491</v>
      </c>
      <c r="AW1183" s="798"/>
      <c r="AX1183" s="798" t="s">
        <v>627</v>
      </c>
      <c r="AY1183" s="798"/>
      <c r="AZ1183" s="798"/>
      <c r="BA1183" s="799"/>
    </row>
    <row r="1184" spans="1:53" ht="25" hidden="1" customHeight="1">
      <c r="B1184" s="383">
        <v>45510</v>
      </c>
      <c r="C1184" s="383">
        <v>45526</v>
      </c>
      <c r="D1184" s="185">
        <f t="shared" si="387"/>
        <v>2024</v>
      </c>
      <c r="E1184" s="224" t="str">
        <f>VLOOKUP($B1184,Week!$A$1:$C$1462,2,0)</f>
        <v>Week32</v>
      </c>
      <c r="F1184" s="226" t="str">
        <f t="shared" si="388"/>
        <v>Aug</v>
      </c>
      <c r="G1184" s="225" t="s">
        <v>1277</v>
      </c>
      <c r="H1184" s="225" t="s">
        <v>225</v>
      </c>
      <c r="I1184" s="225" t="s">
        <v>2773</v>
      </c>
      <c r="J1184" s="227" t="s">
        <v>335</v>
      </c>
      <c r="K1184" s="228" t="s">
        <v>176</v>
      </c>
      <c r="L1184" s="300" t="s">
        <v>2167</v>
      </c>
      <c r="M1184" s="227" t="s">
        <v>336</v>
      </c>
      <c r="N1184" s="225" t="s">
        <v>337</v>
      </c>
      <c r="O1184" s="225" t="s">
        <v>179</v>
      </c>
      <c r="P1184" s="229">
        <v>36</v>
      </c>
      <c r="Q1184" s="229">
        <v>5</v>
      </c>
      <c r="R1184" s="230">
        <v>7.4999999999999997E-3</v>
      </c>
      <c r="S1184" s="225" t="s">
        <v>111</v>
      </c>
      <c r="T1184" s="225" t="s">
        <v>112</v>
      </c>
      <c r="U1184" s="225" t="s">
        <v>113</v>
      </c>
      <c r="V1184" s="231">
        <v>526</v>
      </c>
      <c r="W1184" s="231">
        <f>526</f>
        <v>526</v>
      </c>
      <c r="X1184" s="232"/>
      <c r="Y1184" s="233">
        <f t="shared" si="394"/>
        <v>0</v>
      </c>
      <c r="Z1184" s="234">
        <f t="shared" si="395"/>
        <v>0</v>
      </c>
      <c r="AA1184" s="234"/>
      <c r="AB1184" s="822"/>
      <c r="AC1184" s="231"/>
      <c r="AD1184" s="209"/>
      <c r="AE1184" s="210"/>
      <c r="AF1184" s="210"/>
      <c r="AG1184" s="211">
        <f t="shared" si="396"/>
        <v>0.14499999999999999</v>
      </c>
      <c r="AH1184" s="157">
        <f t="shared" si="397"/>
        <v>0</v>
      </c>
      <c r="AI1184" s="152">
        <f t="shared" si="398"/>
        <v>18936</v>
      </c>
      <c r="AK1184" s="156" t="s">
        <v>691</v>
      </c>
      <c r="AL1184" s="574" t="s">
        <v>690</v>
      </c>
      <c r="AM1184" s="198">
        <f t="shared" si="393"/>
        <v>0</v>
      </c>
      <c r="AN1184" s="199">
        <f t="shared" si="389"/>
        <v>45510</v>
      </c>
      <c r="AO1184" s="159" t="s">
        <v>692</v>
      </c>
      <c r="AP1184" s="783" t="s">
        <v>639</v>
      </c>
      <c r="AQ1184" s="782">
        <v>12071839</v>
      </c>
      <c r="AR1184" s="782">
        <v>12047514</v>
      </c>
      <c r="AS1184" s="782">
        <v>12047515</v>
      </c>
      <c r="AT1184" s="782">
        <v>12054919</v>
      </c>
      <c r="AU1184" s="781"/>
      <c r="AV1184" s="782">
        <v>12054869</v>
      </c>
      <c r="AW1184" s="782">
        <v>12024404</v>
      </c>
      <c r="AX1184" s="781"/>
      <c r="AY1184" s="782">
        <v>12054815</v>
      </c>
      <c r="AZ1184" s="781"/>
      <c r="BA1184" s="781"/>
    </row>
    <row r="1185" spans="1:53" ht="24.75" hidden="1" customHeight="1">
      <c r="B1185" s="295">
        <v>45510</v>
      </c>
      <c r="C1185" s="296" t="s">
        <v>1591</v>
      </c>
      <c r="D1185" s="185">
        <f t="shared" si="387"/>
        <v>2024</v>
      </c>
      <c r="E1185" s="296" t="str">
        <f>VLOOKUP($B1185,Week!$A$1:$C$1462,2,0)</f>
        <v>Week32</v>
      </c>
      <c r="F1185" s="297" t="str">
        <f t="shared" si="388"/>
        <v>Aug</v>
      </c>
      <c r="G1185" s="648" t="s">
        <v>47</v>
      </c>
      <c r="H1185" s="298" t="s">
        <v>260</v>
      </c>
      <c r="I1185" s="298" t="s">
        <v>2702</v>
      </c>
      <c r="J1185" s="307" t="s">
        <v>904</v>
      </c>
      <c r="K1185" s="300" t="s">
        <v>176</v>
      </c>
      <c r="L1185" s="300" t="s">
        <v>2167</v>
      </c>
      <c r="M1185" s="299" t="s">
        <v>262</v>
      </c>
      <c r="N1185" s="298" t="s">
        <v>350</v>
      </c>
      <c r="O1185" s="298" t="s">
        <v>351</v>
      </c>
      <c r="P1185" s="301">
        <v>24</v>
      </c>
      <c r="Q1185" s="301">
        <v>5</v>
      </c>
      <c r="R1185" s="302">
        <v>6.1999999999999998E-3</v>
      </c>
      <c r="S1185" s="298" t="s">
        <v>352</v>
      </c>
      <c r="T1185" s="298" t="s">
        <v>56</v>
      </c>
      <c r="U1185" s="298" t="s">
        <v>57</v>
      </c>
      <c r="V1185" s="303">
        <v>4852</v>
      </c>
      <c r="W1185" s="303">
        <v>4852</v>
      </c>
      <c r="X1185" s="304"/>
      <c r="Y1185" s="305">
        <f t="shared" si="394"/>
        <v>0</v>
      </c>
      <c r="Z1185" s="306">
        <f t="shared" si="395"/>
        <v>0</v>
      </c>
      <c r="AA1185" s="306"/>
      <c r="AB1185" s="814"/>
      <c r="AC1185" s="303"/>
      <c r="AD1185" s="209"/>
      <c r="AE1185" s="210"/>
      <c r="AF1185" s="210"/>
      <c r="AG1185" s="211">
        <f t="shared" si="396"/>
        <v>0.13</v>
      </c>
      <c r="AH1185" s="157">
        <f t="shared" si="397"/>
        <v>0</v>
      </c>
      <c r="AI1185" s="152">
        <f t="shared" si="398"/>
        <v>116448</v>
      </c>
      <c r="AK1185" s="156" t="s">
        <v>691</v>
      </c>
      <c r="AL1185" s="574" t="s">
        <v>690</v>
      </c>
      <c r="AM1185" s="198">
        <f t="shared" si="393"/>
        <v>0</v>
      </c>
      <c r="AN1185" s="199">
        <f t="shared" si="389"/>
        <v>45510</v>
      </c>
      <c r="AO1185" s="159" t="s">
        <v>692</v>
      </c>
      <c r="AP1185" s="783" t="s">
        <v>629</v>
      </c>
      <c r="AQ1185" s="782">
        <v>12071839</v>
      </c>
      <c r="AR1185" s="782">
        <v>12078867</v>
      </c>
      <c r="AS1185" s="782">
        <v>12068233</v>
      </c>
      <c r="AT1185" s="781"/>
      <c r="AU1185" s="781"/>
      <c r="AV1185" s="782">
        <v>12062075</v>
      </c>
      <c r="AW1185" s="781"/>
      <c r="AX1185" s="781"/>
      <c r="AY1185" s="782">
        <v>12078867</v>
      </c>
      <c r="AZ1185" s="781"/>
      <c r="BA1185" s="781"/>
    </row>
    <row r="1186" spans="1:53" ht="25" hidden="1" customHeight="1">
      <c r="A1186" s="754" t="s">
        <v>438</v>
      </c>
      <c r="B1186" s="332">
        <v>45511</v>
      </c>
      <c r="C1186" s="333">
        <v>45533</v>
      </c>
      <c r="D1186" s="185">
        <f t="shared" si="387"/>
        <v>2024</v>
      </c>
      <c r="E1186" s="335" t="str">
        <f>VLOOKUP($B1186,Week!$A$1:$C$1462,2,0)</f>
        <v>Week32</v>
      </c>
      <c r="F1186" s="334" t="str">
        <f t="shared" si="388"/>
        <v>Aug</v>
      </c>
      <c r="G1186" s="530" t="s">
        <v>1589</v>
      </c>
      <c r="H1186" s="335" t="s">
        <v>675</v>
      </c>
      <c r="I1186" s="335" t="s">
        <v>2772</v>
      </c>
      <c r="J1186" s="336" t="s">
        <v>709</v>
      </c>
      <c r="K1186" s="337" t="s">
        <v>671</v>
      </c>
      <c r="L1186" s="300" t="s">
        <v>2167</v>
      </c>
      <c r="M1186" s="336" t="s">
        <v>661</v>
      </c>
      <c r="N1186" s="335" t="s">
        <v>714</v>
      </c>
      <c r="O1186" s="335" t="s">
        <v>566</v>
      </c>
      <c r="P1186" s="338">
        <v>16</v>
      </c>
      <c r="Q1186" s="338">
        <v>6</v>
      </c>
      <c r="R1186" s="339">
        <v>6.0000000000000001E-3</v>
      </c>
      <c r="S1186" s="335" t="s">
        <v>55</v>
      </c>
      <c r="T1186" s="335" t="s">
        <v>112</v>
      </c>
      <c r="U1186" s="335" t="s">
        <v>662</v>
      </c>
      <c r="V1186" s="341">
        <f>288</f>
        <v>288</v>
      </c>
      <c r="W1186" s="341">
        <f>260+28</f>
        <v>288</v>
      </c>
      <c r="X1186" s="342"/>
      <c r="Y1186" s="343">
        <f t="shared" si="394"/>
        <v>0</v>
      </c>
      <c r="Z1186" s="344">
        <f t="shared" si="395"/>
        <v>0</v>
      </c>
      <c r="AA1186" s="344"/>
      <c r="AB1186" s="817">
        <v>1</v>
      </c>
      <c r="AC1186" s="341">
        <f>AB1186*V1186*P1186</f>
        <v>4608</v>
      </c>
      <c r="AD1186" s="336" t="s">
        <v>2295</v>
      </c>
      <c r="AE1186" s="533"/>
      <c r="AF1186" s="533"/>
      <c r="AG1186" s="211">
        <f t="shared" si="396"/>
        <v>0.11700000000000001</v>
      </c>
      <c r="AH1186" s="157">
        <f t="shared" si="397"/>
        <v>0</v>
      </c>
      <c r="AI1186" s="152">
        <f t="shared" si="398"/>
        <v>4608</v>
      </c>
      <c r="AK1186" s="156" t="s">
        <v>691</v>
      </c>
      <c r="AL1186" s="212" t="s">
        <v>690</v>
      </c>
      <c r="AM1186" s="198">
        <f t="shared" si="393"/>
        <v>0</v>
      </c>
      <c r="AN1186" s="199">
        <f t="shared" si="389"/>
        <v>45511</v>
      </c>
      <c r="AO1186" s="159" t="s">
        <v>692</v>
      </c>
      <c r="AP1186" s="797"/>
      <c r="AQ1186" s="798"/>
      <c r="AR1186" s="798">
        <v>12080450</v>
      </c>
      <c r="AS1186" s="798"/>
      <c r="AT1186" s="798">
        <v>12083198</v>
      </c>
      <c r="AU1186" s="799"/>
      <c r="AV1186" s="798">
        <v>12080491</v>
      </c>
      <c r="AW1186" s="798"/>
      <c r="AX1186" s="798" t="s">
        <v>627</v>
      </c>
      <c r="AY1186" s="798"/>
      <c r="AZ1186" s="798"/>
      <c r="BA1186" s="799"/>
    </row>
    <row r="1187" spans="1:53" ht="26.25" hidden="1" customHeight="1">
      <c r="B1187" s="235">
        <v>45511</v>
      </c>
      <c r="C1187" s="235">
        <v>45531</v>
      </c>
      <c r="D1187" s="185">
        <f t="shared" si="387"/>
        <v>2024</v>
      </c>
      <c r="E1187" s="236" t="str">
        <f>VLOOKUP($B1187,Week!$A$1:$C$1462,2,0)</f>
        <v>Week32</v>
      </c>
      <c r="F1187" s="237" t="str">
        <f t="shared" si="388"/>
        <v>Aug</v>
      </c>
      <c r="G1187" s="236" t="s">
        <v>1630</v>
      </c>
      <c r="H1187" s="236" t="s">
        <v>392</v>
      </c>
      <c r="I1187" s="236" t="s">
        <v>2772</v>
      </c>
      <c r="J1187" s="238" t="s">
        <v>393</v>
      </c>
      <c r="K1187" s="239" t="s">
        <v>1643</v>
      </c>
      <c r="L1187" s="300" t="s">
        <v>2167</v>
      </c>
      <c r="M1187" s="238" t="s">
        <v>406</v>
      </c>
      <c r="N1187" s="236" t="s">
        <v>407</v>
      </c>
      <c r="O1187" s="236" t="s">
        <v>206</v>
      </c>
      <c r="P1187" s="240">
        <v>24</v>
      </c>
      <c r="Q1187" s="240">
        <v>5</v>
      </c>
      <c r="R1187" s="241">
        <v>8.0000000000000002E-3</v>
      </c>
      <c r="S1187" s="236" t="s">
        <v>40</v>
      </c>
      <c r="T1187" s="236" t="s">
        <v>56</v>
      </c>
      <c r="U1187" s="640" t="s">
        <v>499</v>
      </c>
      <c r="V1187" s="242">
        <f>850</f>
        <v>850</v>
      </c>
      <c r="W1187" s="242">
        <f>4+323</f>
        <v>327</v>
      </c>
      <c r="X1187" s="243">
        <f>(12555)/24</f>
        <v>523.125</v>
      </c>
      <c r="Y1187" s="244">
        <f t="shared" si="394"/>
        <v>0.125</v>
      </c>
      <c r="Z1187" s="245">
        <f t="shared" si="395"/>
        <v>0</v>
      </c>
      <c r="AA1187" s="245"/>
      <c r="AB1187" s="809">
        <v>1</v>
      </c>
      <c r="AC1187" s="242">
        <f>Z1187*AB1187</f>
        <v>0</v>
      </c>
      <c r="AD1187" s="209"/>
      <c r="AE1187" s="210"/>
      <c r="AF1187" s="210"/>
      <c r="AG1187" s="211">
        <f t="shared" si="396"/>
        <v>0.115</v>
      </c>
      <c r="AH1187" s="157">
        <f t="shared" si="397"/>
        <v>0</v>
      </c>
      <c r="AI1187" s="152">
        <f t="shared" si="398"/>
        <v>20400</v>
      </c>
      <c r="AK1187" s="156" t="s">
        <v>691</v>
      </c>
      <c r="AL1187" s="574" t="s">
        <v>690</v>
      </c>
      <c r="AM1187" s="198">
        <f t="shared" si="393"/>
        <v>0</v>
      </c>
      <c r="AN1187" s="199">
        <f t="shared" si="389"/>
        <v>45511</v>
      </c>
      <c r="AO1187" s="159" t="s">
        <v>692</v>
      </c>
      <c r="AP1187" s="783" t="s">
        <v>608</v>
      </c>
      <c r="AQ1187" s="782">
        <v>12071839</v>
      </c>
      <c r="AR1187" s="782">
        <v>12047514</v>
      </c>
      <c r="AS1187" s="782">
        <v>12047515</v>
      </c>
      <c r="AT1187" s="781"/>
      <c r="AU1187" s="782">
        <v>12026902</v>
      </c>
      <c r="AV1187" s="782">
        <v>12081781</v>
      </c>
      <c r="AW1187" s="782">
        <v>12026904</v>
      </c>
      <c r="AX1187" s="781"/>
      <c r="AY1187" s="783" t="s">
        <v>625</v>
      </c>
      <c r="AZ1187" s="783" t="s">
        <v>1640</v>
      </c>
      <c r="BA1187" s="783" t="s">
        <v>624</v>
      </c>
    </row>
    <row r="1188" spans="1:53" ht="24.65" hidden="1" customHeight="1">
      <c r="B1188" s="224">
        <v>45511</v>
      </c>
      <c r="C1188" s="224">
        <v>45531</v>
      </c>
      <c r="D1188" s="185">
        <f t="shared" si="387"/>
        <v>2024</v>
      </c>
      <c r="E1188" s="225" t="str">
        <f>VLOOKUP($B1188,Week!$A$1:$C$1462,2,0)</f>
        <v>Week32</v>
      </c>
      <c r="F1188" s="226" t="str">
        <f t="shared" si="388"/>
        <v>Aug</v>
      </c>
      <c r="G1188" s="225" t="s">
        <v>1630</v>
      </c>
      <c r="H1188" s="225" t="s">
        <v>392</v>
      </c>
      <c r="I1188" s="225" t="s">
        <v>2772</v>
      </c>
      <c r="J1188" s="227" t="s">
        <v>393</v>
      </c>
      <c r="K1188" s="228" t="s">
        <v>176</v>
      </c>
      <c r="L1188" s="300" t="s">
        <v>2167</v>
      </c>
      <c r="M1188" s="228" t="s">
        <v>399</v>
      </c>
      <c r="N1188" s="225" t="s">
        <v>400</v>
      </c>
      <c r="O1188" s="225" t="s">
        <v>195</v>
      </c>
      <c r="P1188" s="229">
        <v>24</v>
      </c>
      <c r="Q1188" s="229">
        <v>5</v>
      </c>
      <c r="R1188" s="230">
        <v>8.0000000000000002E-3</v>
      </c>
      <c r="S1188" s="225" t="s">
        <v>40</v>
      </c>
      <c r="T1188" s="225" t="s">
        <v>56</v>
      </c>
      <c r="U1188" s="225" t="s">
        <v>57</v>
      </c>
      <c r="V1188" s="231">
        <v>900</v>
      </c>
      <c r="W1188" s="231"/>
      <c r="X1188" s="232">
        <f>(234+21369)/24</f>
        <v>900.125</v>
      </c>
      <c r="Y1188" s="233">
        <f t="shared" si="394"/>
        <v>0.125</v>
      </c>
      <c r="Z1188" s="234">
        <f t="shared" si="395"/>
        <v>0</v>
      </c>
      <c r="AA1188" s="234"/>
      <c r="AB1188" s="808"/>
      <c r="AC1188" s="231"/>
      <c r="AD1188" s="220"/>
      <c r="AE1188" s="210"/>
      <c r="AF1188" s="210"/>
      <c r="AG1188" s="211">
        <f t="shared" si="396"/>
        <v>0.14499999999999999</v>
      </c>
      <c r="AH1188" s="157">
        <f t="shared" si="397"/>
        <v>0</v>
      </c>
      <c r="AI1188" s="152">
        <f t="shared" si="398"/>
        <v>21600</v>
      </c>
      <c r="AK1188" s="156" t="s">
        <v>691</v>
      </c>
      <c r="AL1188" s="574" t="s">
        <v>690</v>
      </c>
      <c r="AM1188" s="198">
        <f t="shared" si="393"/>
        <v>0</v>
      </c>
      <c r="AN1188" s="199">
        <f t="shared" si="389"/>
        <v>45511</v>
      </c>
      <c r="AO1188" s="159" t="s">
        <v>692</v>
      </c>
      <c r="AP1188" s="783" t="s">
        <v>638</v>
      </c>
      <c r="AQ1188" s="783" t="s">
        <v>631</v>
      </c>
      <c r="AR1188" s="783" t="s">
        <v>632</v>
      </c>
      <c r="AS1188" s="783" t="s">
        <v>633</v>
      </c>
      <c r="AT1188" s="781"/>
      <c r="AU1188" s="783" t="s">
        <v>626</v>
      </c>
      <c r="AV1188" s="783" t="s">
        <v>630</v>
      </c>
      <c r="AW1188" s="783" t="s">
        <v>634</v>
      </c>
      <c r="AX1188" s="781"/>
      <c r="AY1188" s="783" t="s">
        <v>635</v>
      </c>
      <c r="AZ1188" s="783" t="s">
        <v>636</v>
      </c>
      <c r="BA1188" s="783" t="s">
        <v>637</v>
      </c>
    </row>
    <row r="1189" spans="1:53" ht="24.65" hidden="1" customHeight="1">
      <c r="B1189" s="411">
        <v>45511</v>
      </c>
      <c r="C1189" s="645" t="s">
        <v>1573</v>
      </c>
      <c r="D1189" s="185">
        <f t="shared" si="387"/>
        <v>2024</v>
      </c>
      <c r="E1189" s="412" t="str">
        <f>VLOOKUP($B1189,Week!$A$1:$C$1462,2,0)</f>
        <v>Week32</v>
      </c>
      <c r="F1189" s="413" t="str">
        <f t="shared" si="388"/>
        <v>Aug</v>
      </c>
      <c r="G1189" s="414" t="s">
        <v>47</v>
      </c>
      <c r="H1189" s="414" t="s">
        <v>260</v>
      </c>
      <c r="I1189" s="414" t="s">
        <v>2702</v>
      </c>
      <c r="J1189" s="415" t="s">
        <v>261</v>
      </c>
      <c r="K1189" s="416" t="s">
        <v>94</v>
      </c>
      <c r="L1189" s="300" t="s">
        <v>2167</v>
      </c>
      <c r="M1189" s="415" t="s">
        <v>1303</v>
      </c>
      <c r="N1189" s="414" t="s">
        <v>263</v>
      </c>
      <c r="O1189" s="414" t="s">
        <v>195</v>
      </c>
      <c r="P1189" s="417">
        <v>24</v>
      </c>
      <c r="Q1189" s="417">
        <v>5</v>
      </c>
      <c r="R1189" s="418">
        <v>8.0000000000000002E-3</v>
      </c>
      <c r="S1189" s="414" t="s">
        <v>40</v>
      </c>
      <c r="T1189" s="414" t="s">
        <v>56</v>
      </c>
      <c r="U1189" s="414" t="s">
        <v>57</v>
      </c>
      <c r="V1189" s="419">
        <v>3685</v>
      </c>
      <c r="W1189" s="419">
        <f>3685</f>
        <v>3685</v>
      </c>
      <c r="X1189" s="420"/>
      <c r="Y1189" s="421">
        <f t="shared" si="394"/>
        <v>0</v>
      </c>
      <c r="Z1189" s="422">
        <f t="shared" si="395"/>
        <v>0</v>
      </c>
      <c r="AA1189" s="422"/>
      <c r="AB1189" s="825"/>
      <c r="AC1189" s="419"/>
      <c r="AD1189" s="209"/>
      <c r="AE1189" s="210"/>
      <c r="AF1189" s="210"/>
      <c r="AG1189" s="211">
        <f t="shared" si="396"/>
        <v>0.14499999999999999</v>
      </c>
      <c r="AH1189" s="157">
        <f t="shared" si="397"/>
        <v>0</v>
      </c>
      <c r="AI1189" s="152">
        <f t="shared" si="398"/>
        <v>88440</v>
      </c>
      <c r="AK1189" s="156" t="s">
        <v>691</v>
      </c>
      <c r="AL1189" s="212" t="s">
        <v>690</v>
      </c>
      <c r="AM1189" s="198">
        <f t="shared" si="393"/>
        <v>0</v>
      </c>
      <c r="AN1189" s="199">
        <f t="shared" si="389"/>
        <v>45511</v>
      </c>
      <c r="AO1189" s="159" t="s">
        <v>692</v>
      </c>
      <c r="AP1189" s="783" t="s">
        <v>609</v>
      </c>
      <c r="AQ1189" s="782">
        <v>12071839</v>
      </c>
      <c r="AR1189" s="782">
        <v>12047514</v>
      </c>
      <c r="AS1189" s="782">
        <v>12047515</v>
      </c>
      <c r="AT1189" s="781"/>
      <c r="AU1189" s="781"/>
      <c r="AV1189" s="782">
        <v>12080613</v>
      </c>
      <c r="AW1189" s="781"/>
      <c r="AX1189" s="781"/>
      <c r="AY1189" s="782">
        <v>12080614</v>
      </c>
      <c r="AZ1189" s="782">
        <v>12080616</v>
      </c>
      <c r="BA1189" s="781"/>
    </row>
    <row r="1190" spans="1:53" ht="25" hidden="1" customHeight="1">
      <c r="B1190" s="332">
        <v>45511</v>
      </c>
      <c r="C1190" s="646" t="s">
        <v>1543</v>
      </c>
      <c r="D1190" s="185">
        <f t="shared" si="387"/>
        <v>2024</v>
      </c>
      <c r="E1190" s="333" t="str">
        <f>VLOOKUP($B1190,Week!$A$1:$C$1462,2,0)</f>
        <v>Week32</v>
      </c>
      <c r="F1190" s="334" t="str">
        <f t="shared" si="388"/>
        <v>Aug</v>
      </c>
      <c r="G1190" s="335" t="s">
        <v>47</v>
      </c>
      <c r="H1190" s="335" t="s">
        <v>518</v>
      </c>
      <c r="I1190" s="335" t="s">
        <v>2702</v>
      </c>
      <c r="J1190" s="336" t="s">
        <v>70</v>
      </c>
      <c r="K1190" s="337" t="s">
        <v>582</v>
      </c>
      <c r="L1190" s="300" t="s">
        <v>2167</v>
      </c>
      <c r="M1190" s="336" t="s">
        <v>534</v>
      </c>
      <c r="N1190" s="530" t="s">
        <v>578</v>
      </c>
      <c r="O1190" s="335" t="s">
        <v>583</v>
      </c>
      <c r="P1190" s="338">
        <v>12</v>
      </c>
      <c r="Q1190" s="338">
        <v>3</v>
      </c>
      <c r="R1190" s="339">
        <v>6.0000000000000001E-3</v>
      </c>
      <c r="S1190" s="335" t="s">
        <v>55</v>
      </c>
      <c r="T1190" s="335" t="s">
        <v>56</v>
      </c>
      <c r="U1190" s="335" t="s">
        <v>57</v>
      </c>
      <c r="V1190" s="341">
        <f>356</f>
        <v>356</v>
      </c>
      <c r="W1190" s="341">
        <f>356</f>
        <v>356</v>
      </c>
      <c r="X1190" s="342"/>
      <c r="Y1190" s="531">
        <f t="shared" si="394"/>
        <v>0</v>
      </c>
      <c r="Z1190" s="344">
        <f t="shared" si="395"/>
        <v>0</v>
      </c>
      <c r="AA1190" s="344"/>
      <c r="AB1190" s="817"/>
      <c r="AC1190" s="341"/>
      <c r="AD1190" s="209"/>
      <c r="AE1190" s="210"/>
      <c r="AF1190" s="210"/>
      <c r="AG1190" s="211">
        <f t="shared" si="396"/>
        <v>0.191</v>
      </c>
      <c r="AH1190" s="157">
        <f t="shared" si="397"/>
        <v>0</v>
      </c>
      <c r="AI1190" s="152">
        <f t="shared" si="398"/>
        <v>4272</v>
      </c>
      <c r="AK1190" s="156" t="s">
        <v>691</v>
      </c>
      <c r="AL1190" s="212" t="s">
        <v>690</v>
      </c>
      <c r="AM1190" s="198">
        <f t="shared" si="393"/>
        <v>0</v>
      </c>
      <c r="AN1190" s="199">
        <f t="shared" si="389"/>
        <v>45511</v>
      </c>
      <c r="AO1190" s="159" t="s">
        <v>692</v>
      </c>
      <c r="AP1190" s="781"/>
      <c r="AQ1190" s="782">
        <v>12071839</v>
      </c>
      <c r="AR1190" s="782">
        <v>12042650</v>
      </c>
      <c r="AS1190" s="782">
        <v>12042649</v>
      </c>
      <c r="AT1190" s="782"/>
      <c r="AU1190" s="781"/>
      <c r="AV1190" s="782">
        <v>12083313</v>
      </c>
      <c r="AW1190" s="782"/>
      <c r="AX1190" s="782"/>
      <c r="AY1190" s="782">
        <v>12083308</v>
      </c>
      <c r="AZ1190" s="782">
        <v>12083312</v>
      </c>
      <c r="BA1190" s="781"/>
    </row>
    <row r="1191" spans="1:53" ht="25" hidden="1" customHeight="1">
      <c r="A1191" s="754" t="s">
        <v>438</v>
      </c>
      <c r="B1191" s="424">
        <v>45512</v>
      </c>
      <c r="C1191" s="425">
        <v>45541</v>
      </c>
      <c r="D1191" s="185">
        <f t="shared" si="387"/>
        <v>2024</v>
      </c>
      <c r="E1191" s="427" t="str">
        <f>VLOOKUP($B1191,Week!$A$1:$C$1462,2,0)</f>
        <v>Week32</v>
      </c>
      <c r="F1191" s="426" t="str">
        <f t="shared" si="388"/>
        <v>Aug</v>
      </c>
      <c r="G1191" s="755" t="s">
        <v>734</v>
      </c>
      <c r="H1191" s="427" t="s">
        <v>424</v>
      </c>
      <c r="I1191" s="427" t="s">
        <v>2772</v>
      </c>
      <c r="J1191" s="428" t="s">
        <v>535</v>
      </c>
      <c r="K1191" s="428" t="s">
        <v>433</v>
      </c>
      <c r="L1191" s="300" t="s">
        <v>2167</v>
      </c>
      <c r="M1191" s="428" t="s">
        <v>730</v>
      </c>
      <c r="N1191" s="427" t="s">
        <v>731</v>
      </c>
      <c r="O1191" s="427" t="s">
        <v>735</v>
      </c>
      <c r="P1191" s="430">
        <v>16</v>
      </c>
      <c r="Q1191" s="430">
        <v>20</v>
      </c>
      <c r="R1191" s="431">
        <v>8.1300000000000001E-3</v>
      </c>
      <c r="S1191" s="427" t="s">
        <v>40</v>
      </c>
      <c r="T1191" s="427"/>
      <c r="U1191" s="427" t="s">
        <v>89</v>
      </c>
      <c r="V1191" s="432">
        <v>350</v>
      </c>
      <c r="W1191" s="432">
        <f>350</f>
        <v>350</v>
      </c>
      <c r="X1191" s="433">
        <f>46/16</f>
        <v>2.875</v>
      </c>
      <c r="Y1191" s="434">
        <f t="shared" si="394"/>
        <v>2.875</v>
      </c>
      <c r="Z1191" s="435">
        <f t="shared" si="395"/>
        <v>0</v>
      </c>
      <c r="AA1191" s="435"/>
      <c r="AB1191" s="826">
        <v>4</v>
      </c>
      <c r="AC1191" s="432">
        <f>AB1191*V1191*P1191</f>
        <v>22400</v>
      </c>
      <c r="AD1191" s="307" t="s">
        <v>573</v>
      </c>
      <c r="AE1191" s="511"/>
      <c r="AF1191" s="511"/>
      <c r="AG1191" s="211">
        <f t="shared" si="396"/>
        <v>0.36</v>
      </c>
      <c r="AH1191" s="157">
        <f t="shared" si="397"/>
        <v>0</v>
      </c>
      <c r="AI1191" s="152">
        <f t="shared" si="398"/>
        <v>5600</v>
      </c>
      <c r="AK1191" s="156" t="s">
        <v>691</v>
      </c>
      <c r="AL1191" s="574" t="s">
        <v>690</v>
      </c>
      <c r="AM1191" s="198">
        <f t="shared" si="393"/>
        <v>0</v>
      </c>
      <c r="AN1191" s="199">
        <f t="shared" si="389"/>
        <v>45512</v>
      </c>
      <c r="AO1191" s="159" t="s">
        <v>692</v>
      </c>
      <c r="AP1191" s="797"/>
      <c r="AQ1191" s="798"/>
      <c r="AR1191" s="798">
        <v>12080450</v>
      </c>
      <c r="AS1191" s="798"/>
      <c r="AT1191" s="798">
        <v>12083198</v>
      </c>
      <c r="AU1191" s="799"/>
      <c r="AV1191" s="798">
        <v>12080491</v>
      </c>
      <c r="AW1191" s="798"/>
      <c r="AX1191" s="798" t="s">
        <v>627</v>
      </c>
      <c r="AY1191" s="798"/>
      <c r="AZ1191" s="798"/>
      <c r="BA1191" s="799"/>
    </row>
    <row r="1192" spans="1:53" ht="25" hidden="1" customHeight="1">
      <c r="A1192" s="754" t="s">
        <v>438</v>
      </c>
      <c r="B1192" s="424">
        <v>45512</v>
      </c>
      <c r="C1192" s="425">
        <v>45625</v>
      </c>
      <c r="D1192" s="185">
        <f t="shared" si="387"/>
        <v>2024</v>
      </c>
      <c r="E1192" s="427" t="str">
        <f>VLOOKUP($B1192,Week!$A$1:$C$1462,2,0)</f>
        <v>Week32</v>
      </c>
      <c r="F1192" s="426" t="str">
        <f t="shared" si="388"/>
        <v>Aug</v>
      </c>
      <c r="G1192" s="755" t="s">
        <v>1413</v>
      </c>
      <c r="H1192" s="427" t="s">
        <v>104</v>
      </c>
      <c r="I1192" s="427" t="s">
        <v>2772</v>
      </c>
      <c r="J1192" s="428" t="s">
        <v>105</v>
      </c>
      <c r="K1192" s="429" t="s">
        <v>433</v>
      </c>
      <c r="L1192" s="300" t="s">
        <v>2167</v>
      </c>
      <c r="M1192" s="428" t="s">
        <v>565</v>
      </c>
      <c r="N1192" s="427" t="s">
        <v>567</v>
      </c>
      <c r="O1192" s="427" t="s">
        <v>566</v>
      </c>
      <c r="P1192" s="430">
        <v>16</v>
      </c>
      <c r="Q1192" s="430">
        <v>6</v>
      </c>
      <c r="R1192" s="431">
        <v>8.1300000000000001E-3</v>
      </c>
      <c r="S1192" s="427" t="s">
        <v>40</v>
      </c>
      <c r="T1192" s="427" t="s">
        <v>112</v>
      </c>
      <c r="U1192" s="427" t="s">
        <v>662</v>
      </c>
      <c r="V1192" s="432">
        <f>4</f>
        <v>4</v>
      </c>
      <c r="W1192" s="432">
        <f>4</f>
        <v>4</v>
      </c>
      <c r="X1192" s="433"/>
      <c r="Y1192" s="434">
        <f t="shared" si="394"/>
        <v>0</v>
      </c>
      <c r="Z1192" s="435">
        <f t="shared" si="395"/>
        <v>0</v>
      </c>
      <c r="AA1192" s="435"/>
      <c r="AB1192" s="826">
        <v>1</v>
      </c>
      <c r="AC1192" s="432">
        <f>AB1192*V1192*P1192</f>
        <v>64</v>
      </c>
      <c r="AD1192" s="307" t="s">
        <v>1467</v>
      </c>
      <c r="AE1192" s="511"/>
      <c r="AF1192" s="511"/>
      <c r="AG1192" s="211">
        <f t="shared" si="396"/>
        <v>0.11700000000000001</v>
      </c>
      <c r="AH1192" s="157">
        <f t="shared" si="397"/>
        <v>0</v>
      </c>
      <c r="AI1192" s="152">
        <f t="shared" si="398"/>
        <v>64</v>
      </c>
      <c r="AK1192" s="156" t="s">
        <v>691</v>
      </c>
      <c r="AL1192" s="574" t="s">
        <v>690</v>
      </c>
      <c r="AM1192" s="198">
        <f t="shared" si="393"/>
        <v>0</v>
      </c>
      <c r="AN1192" s="199">
        <f t="shared" si="389"/>
        <v>45512</v>
      </c>
      <c r="AO1192" s="159" t="s">
        <v>692</v>
      </c>
      <c r="AP1192" s="797"/>
      <c r="AQ1192" s="798"/>
      <c r="AR1192" s="798">
        <v>12080450</v>
      </c>
      <c r="AS1192" s="798"/>
      <c r="AT1192" s="798">
        <v>12083198</v>
      </c>
      <c r="AU1192" s="799"/>
      <c r="AV1192" s="798">
        <v>12080491</v>
      </c>
      <c r="AW1192" s="798"/>
      <c r="AX1192" s="798" t="s">
        <v>627</v>
      </c>
      <c r="AY1192" s="798"/>
      <c r="AZ1192" s="798"/>
      <c r="BA1192" s="799"/>
    </row>
    <row r="1193" spans="1:53" ht="25" hidden="1" customHeight="1">
      <c r="B1193" s="383">
        <v>45512</v>
      </c>
      <c r="C1193" s="383">
        <v>45526</v>
      </c>
      <c r="D1193" s="185">
        <f t="shared" si="387"/>
        <v>2024</v>
      </c>
      <c r="E1193" s="224" t="str">
        <f>VLOOKUP($B1193,Week!$A$1:$C$1462,2,0)</f>
        <v>Week32</v>
      </c>
      <c r="F1193" s="226" t="str">
        <f t="shared" si="388"/>
        <v>Aug</v>
      </c>
      <c r="G1193" s="225" t="s">
        <v>1277</v>
      </c>
      <c r="H1193" s="225" t="s">
        <v>225</v>
      </c>
      <c r="I1193" s="225" t="s">
        <v>2773</v>
      </c>
      <c r="J1193" s="227" t="s">
        <v>335</v>
      </c>
      <c r="K1193" s="228" t="s">
        <v>176</v>
      </c>
      <c r="L1193" s="300" t="s">
        <v>2167</v>
      </c>
      <c r="M1193" s="227" t="s">
        <v>336</v>
      </c>
      <c r="N1193" s="225" t="s">
        <v>337</v>
      </c>
      <c r="O1193" s="225" t="s">
        <v>179</v>
      </c>
      <c r="P1193" s="229">
        <v>36</v>
      </c>
      <c r="Q1193" s="229">
        <v>5</v>
      </c>
      <c r="R1193" s="230">
        <v>7.4999999999999997E-3</v>
      </c>
      <c r="S1193" s="225" t="s">
        <v>111</v>
      </c>
      <c r="T1193" s="225" t="s">
        <v>112</v>
      </c>
      <c r="U1193" s="225" t="s">
        <v>113</v>
      </c>
      <c r="V1193" s="231">
        <f>1288-755-526</f>
        <v>7</v>
      </c>
      <c r="W1193" s="231">
        <v>7</v>
      </c>
      <c r="X1193" s="232"/>
      <c r="Y1193" s="233">
        <f t="shared" si="394"/>
        <v>0</v>
      </c>
      <c r="Z1193" s="234">
        <f t="shared" si="395"/>
        <v>0</v>
      </c>
      <c r="AA1193" s="234"/>
      <c r="AB1193" s="822"/>
      <c r="AC1193" s="231"/>
      <c r="AD1193" s="209"/>
      <c r="AE1193" s="210"/>
      <c r="AF1193" s="210"/>
      <c r="AG1193" s="211">
        <f t="shared" si="396"/>
        <v>0.14499999999999999</v>
      </c>
      <c r="AH1193" s="157">
        <f t="shared" si="397"/>
        <v>0</v>
      </c>
      <c r="AI1193" s="152">
        <f t="shared" si="398"/>
        <v>252</v>
      </c>
      <c r="AK1193" s="156" t="s">
        <v>691</v>
      </c>
      <c r="AL1193" s="574" t="s">
        <v>690</v>
      </c>
      <c r="AM1193" s="198">
        <f t="shared" si="393"/>
        <v>0</v>
      </c>
      <c r="AN1193" s="199">
        <f t="shared" si="389"/>
        <v>45512</v>
      </c>
      <c r="AO1193" s="159" t="s">
        <v>692</v>
      </c>
      <c r="AP1193" s="783" t="s">
        <v>639</v>
      </c>
      <c r="AQ1193" s="782">
        <v>12071839</v>
      </c>
      <c r="AR1193" s="782">
        <v>12047514</v>
      </c>
      <c r="AS1193" s="782">
        <v>12047515</v>
      </c>
      <c r="AT1193" s="782">
        <v>12054919</v>
      </c>
      <c r="AU1193" s="781"/>
      <c r="AV1193" s="782">
        <v>12054869</v>
      </c>
      <c r="AW1193" s="782">
        <v>12024404</v>
      </c>
      <c r="AX1193" s="781"/>
      <c r="AY1193" s="782">
        <v>12054815</v>
      </c>
      <c r="AZ1193" s="781"/>
      <c r="BA1193" s="781"/>
    </row>
    <row r="1194" spans="1:53" ht="25" hidden="1" customHeight="1">
      <c r="B1194" s="383">
        <v>45512</v>
      </c>
      <c r="C1194" s="383">
        <v>45533</v>
      </c>
      <c r="D1194" s="185">
        <f t="shared" si="387"/>
        <v>2024</v>
      </c>
      <c r="E1194" s="224" t="str">
        <f>VLOOKUP($B1194,Week!$A$1:$C$1462,2,0)</f>
        <v>Week32</v>
      </c>
      <c r="F1194" s="226" t="str">
        <f t="shared" si="388"/>
        <v>Aug</v>
      </c>
      <c r="G1194" s="225" t="s">
        <v>1606</v>
      </c>
      <c r="H1194" s="225" t="s">
        <v>225</v>
      </c>
      <c r="I1194" s="225" t="s">
        <v>2773</v>
      </c>
      <c r="J1194" s="227" t="s">
        <v>335</v>
      </c>
      <c r="K1194" s="228" t="s">
        <v>176</v>
      </c>
      <c r="L1194" s="300" t="s">
        <v>2167</v>
      </c>
      <c r="M1194" s="227" t="s">
        <v>336</v>
      </c>
      <c r="N1194" s="225" t="s">
        <v>337</v>
      </c>
      <c r="O1194" s="225" t="s">
        <v>179</v>
      </c>
      <c r="P1194" s="229">
        <v>36</v>
      </c>
      <c r="Q1194" s="229">
        <v>5</v>
      </c>
      <c r="R1194" s="230">
        <v>7.4999999999999997E-3</v>
      </c>
      <c r="S1194" s="225" t="s">
        <v>111</v>
      </c>
      <c r="T1194" s="225" t="s">
        <v>112</v>
      </c>
      <c r="U1194" s="225" t="s">
        <v>113</v>
      </c>
      <c r="V1194" s="231">
        <v>1288</v>
      </c>
      <c r="W1194" s="231">
        <v>1288</v>
      </c>
      <c r="X1194" s="232"/>
      <c r="Y1194" s="233">
        <f t="shared" si="394"/>
        <v>0</v>
      </c>
      <c r="Z1194" s="234">
        <f t="shared" si="395"/>
        <v>0</v>
      </c>
      <c r="AA1194" s="234"/>
      <c r="AB1194" s="822"/>
      <c r="AC1194" s="231"/>
      <c r="AD1194" s="209"/>
      <c r="AE1194" s="210"/>
      <c r="AF1194" s="210"/>
      <c r="AG1194" s="211">
        <f t="shared" si="396"/>
        <v>0.14499999999999999</v>
      </c>
      <c r="AH1194" s="157">
        <f t="shared" si="397"/>
        <v>0</v>
      </c>
      <c r="AI1194" s="152">
        <f t="shared" si="398"/>
        <v>46368</v>
      </c>
      <c r="AK1194" s="156" t="s">
        <v>691</v>
      </c>
      <c r="AL1194" s="574" t="s">
        <v>690</v>
      </c>
      <c r="AM1194" s="198">
        <f t="shared" si="393"/>
        <v>0</v>
      </c>
      <c r="AN1194" s="199">
        <f t="shared" si="389"/>
        <v>45512</v>
      </c>
      <c r="AO1194" s="159" t="s">
        <v>692</v>
      </c>
      <c r="AP1194" s="783" t="s">
        <v>639</v>
      </c>
      <c r="AQ1194" s="782">
        <v>12071839</v>
      </c>
      <c r="AR1194" s="782">
        <v>12047514</v>
      </c>
      <c r="AS1194" s="782">
        <v>12047515</v>
      </c>
      <c r="AT1194" s="782">
        <v>12054919</v>
      </c>
      <c r="AU1194" s="781"/>
      <c r="AV1194" s="782">
        <v>12054869</v>
      </c>
      <c r="AW1194" s="782">
        <v>12024404</v>
      </c>
      <c r="AX1194" s="781"/>
      <c r="AY1194" s="782">
        <v>12054815</v>
      </c>
      <c r="AZ1194" s="781"/>
      <c r="BA1194" s="781"/>
    </row>
    <row r="1195" spans="1:53" ht="25" hidden="1" customHeight="1">
      <c r="B1195" s="383">
        <v>45512</v>
      </c>
      <c r="C1195" s="383">
        <v>45540</v>
      </c>
      <c r="D1195" s="185">
        <f t="shared" si="387"/>
        <v>2024</v>
      </c>
      <c r="E1195" s="224" t="str">
        <f>VLOOKUP($B1195,Week!$A$1:$C$1462,2,0)</f>
        <v>Week32</v>
      </c>
      <c r="F1195" s="226" t="str">
        <f t="shared" si="388"/>
        <v>Aug</v>
      </c>
      <c r="G1195" s="225" t="s">
        <v>1607</v>
      </c>
      <c r="H1195" s="225" t="s">
        <v>225</v>
      </c>
      <c r="I1195" s="225" t="s">
        <v>2773</v>
      </c>
      <c r="J1195" s="227" t="s">
        <v>335</v>
      </c>
      <c r="K1195" s="228" t="s">
        <v>176</v>
      </c>
      <c r="L1195" s="300" t="s">
        <v>2167</v>
      </c>
      <c r="M1195" s="227" t="s">
        <v>336</v>
      </c>
      <c r="N1195" s="225" t="s">
        <v>337</v>
      </c>
      <c r="O1195" s="225" t="s">
        <v>179</v>
      </c>
      <c r="P1195" s="229">
        <v>36</v>
      </c>
      <c r="Q1195" s="229">
        <v>5</v>
      </c>
      <c r="R1195" s="230">
        <v>7.4999999999999997E-3</v>
      </c>
      <c r="S1195" s="225" t="s">
        <v>111</v>
      </c>
      <c r="T1195" s="225" t="s">
        <v>112</v>
      </c>
      <c r="U1195" s="225" t="s">
        <v>113</v>
      </c>
      <c r="V1195" s="231">
        <v>1288</v>
      </c>
      <c r="W1195" s="231">
        <v>1288</v>
      </c>
      <c r="X1195" s="232"/>
      <c r="Y1195" s="233">
        <f t="shared" si="394"/>
        <v>0</v>
      </c>
      <c r="Z1195" s="234">
        <f t="shared" si="395"/>
        <v>0</v>
      </c>
      <c r="AA1195" s="234"/>
      <c r="AB1195" s="822"/>
      <c r="AC1195" s="231"/>
      <c r="AD1195" s="209"/>
      <c r="AE1195" s="210"/>
      <c r="AF1195" s="210"/>
      <c r="AG1195" s="211">
        <f t="shared" si="396"/>
        <v>0.14499999999999999</v>
      </c>
      <c r="AH1195" s="157">
        <f t="shared" si="397"/>
        <v>0</v>
      </c>
      <c r="AI1195" s="152">
        <f t="shared" si="398"/>
        <v>46368</v>
      </c>
      <c r="AK1195" s="156" t="s">
        <v>691</v>
      </c>
      <c r="AL1195" s="574" t="s">
        <v>690</v>
      </c>
      <c r="AM1195" s="198">
        <f t="shared" si="393"/>
        <v>0</v>
      </c>
      <c r="AN1195" s="199">
        <f t="shared" si="389"/>
        <v>45512</v>
      </c>
      <c r="AO1195" s="159" t="s">
        <v>692</v>
      </c>
      <c r="AP1195" s="783" t="s">
        <v>639</v>
      </c>
      <c r="AQ1195" s="782">
        <v>12071839</v>
      </c>
      <c r="AR1195" s="782">
        <v>12047514</v>
      </c>
      <c r="AS1195" s="782">
        <v>12047515</v>
      </c>
      <c r="AT1195" s="782">
        <v>12054919</v>
      </c>
      <c r="AU1195" s="781"/>
      <c r="AV1195" s="782">
        <v>12054869</v>
      </c>
      <c r="AW1195" s="782">
        <v>12024404</v>
      </c>
      <c r="AX1195" s="781"/>
      <c r="AY1195" s="782">
        <v>12054815</v>
      </c>
      <c r="AZ1195" s="781"/>
      <c r="BA1195" s="781"/>
    </row>
    <row r="1196" spans="1:53" ht="25" hidden="1" customHeight="1">
      <c r="B1196" s="383">
        <v>45512</v>
      </c>
      <c r="C1196" s="383">
        <v>45554</v>
      </c>
      <c r="D1196" s="185">
        <f t="shared" si="387"/>
        <v>2024</v>
      </c>
      <c r="E1196" s="224" t="str">
        <f>VLOOKUP($B1196,Week!$A$1:$C$1462,2,0)</f>
        <v>Week32</v>
      </c>
      <c r="F1196" s="226" t="str">
        <f t="shared" si="388"/>
        <v>Aug</v>
      </c>
      <c r="G1196" s="225" t="s">
        <v>1608</v>
      </c>
      <c r="H1196" s="225" t="s">
        <v>225</v>
      </c>
      <c r="I1196" s="225" t="s">
        <v>2773</v>
      </c>
      <c r="J1196" s="227" t="s">
        <v>335</v>
      </c>
      <c r="K1196" s="228" t="s">
        <v>176</v>
      </c>
      <c r="L1196" s="300" t="s">
        <v>2167</v>
      </c>
      <c r="M1196" s="227" t="s">
        <v>336</v>
      </c>
      <c r="N1196" s="225" t="s">
        <v>337</v>
      </c>
      <c r="O1196" s="225" t="s">
        <v>179</v>
      </c>
      <c r="P1196" s="229">
        <v>36</v>
      </c>
      <c r="Q1196" s="229">
        <v>5</v>
      </c>
      <c r="R1196" s="230">
        <v>7.4999999999999997E-3</v>
      </c>
      <c r="S1196" s="225" t="s">
        <v>111</v>
      </c>
      <c r="T1196" s="225" t="s">
        <v>112</v>
      </c>
      <c r="U1196" s="225" t="s">
        <v>113</v>
      </c>
      <c r="V1196" s="231">
        <f>1064</f>
        <v>1064</v>
      </c>
      <c r="W1196" s="231">
        <f>2793-7-1288-1288+395</f>
        <v>605</v>
      </c>
      <c r="X1196" s="232">
        <f>(16747)/36</f>
        <v>465.19444444444446</v>
      </c>
      <c r="Y1196" s="233">
        <f t="shared" si="394"/>
        <v>6.1944444444443434</v>
      </c>
      <c r="Z1196" s="234">
        <f t="shared" si="395"/>
        <v>0</v>
      </c>
      <c r="AA1196" s="234"/>
      <c r="AB1196" s="822"/>
      <c r="AC1196" s="231"/>
      <c r="AD1196" s="209"/>
      <c r="AE1196" s="210"/>
      <c r="AF1196" s="210"/>
      <c r="AG1196" s="211">
        <f t="shared" si="396"/>
        <v>0.14499999999999999</v>
      </c>
      <c r="AH1196" s="157">
        <f t="shared" si="397"/>
        <v>0</v>
      </c>
      <c r="AI1196" s="152">
        <f t="shared" si="398"/>
        <v>38304</v>
      </c>
      <c r="AK1196" s="156" t="s">
        <v>691</v>
      </c>
      <c r="AL1196" s="574" t="s">
        <v>690</v>
      </c>
      <c r="AM1196" s="198">
        <f t="shared" si="393"/>
        <v>0</v>
      </c>
      <c r="AN1196" s="199">
        <f t="shared" si="389"/>
        <v>45512</v>
      </c>
      <c r="AO1196" s="159" t="s">
        <v>692</v>
      </c>
      <c r="AP1196" s="783" t="s">
        <v>639</v>
      </c>
      <c r="AQ1196" s="782">
        <v>12071839</v>
      </c>
      <c r="AR1196" s="782">
        <v>12047514</v>
      </c>
      <c r="AS1196" s="782">
        <v>12047515</v>
      </c>
      <c r="AT1196" s="782">
        <v>12054919</v>
      </c>
      <c r="AU1196" s="781"/>
      <c r="AV1196" s="782">
        <v>12054869</v>
      </c>
      <c r="AW1196" s="782">
        <v>12024404</v>
      </c>
      <c r="AX1196" s="781"/>
      <c r="AY1196" s="782">
        <v>12054815</v>
      </c>
      <c r="AZ1196" s="781"/>
      <c r="BA1196" s="781"/>
    </row>
    <row r="1197" spans="1:53" ht="25" hidden="1" customHeight="1">
      <c r="B1197" s="213">
        <v>45513</v>
      </c>
      <c r="C1197" s="578">
        <v>45517</v>
      </c>
      <c r="D1197" s="185">
        <f t="shared" si="387"/>
        <v>2024</v>
      </c>
      <c r="E1197" s="215" t="str">
        <f>VLOOKUP($B1197,Week!$A$1:$C$1462,2,0)</f>
        <v>Week32</v>
      </c>
      <c r="F1197" s="216" t="str">
        <f t="shared" si="388"/>
        <v>Aug</v>
      </c>
      <c r="G1197" s="215" t="s">
        <v>1440</v>
      </c>
      <c r="H1197" s="215" t="s">
        <v>104</v>
      </c>
      <c r="I1197" s="215" t="s">
        <v>2772</v>
      </c>
      <c r="J1197" s="209" t="s">
        <v>105</v>
      </c>
      <c r="K1197" s="217" t="s">
        <v>107</v>
      </c>
      <c r="L1197" s="300" t="s">
        <v>2167</v>
      </c>
      <c r="M1197" s="209" t="s">
        <v>108</v>
      </c>
      <c r="N1197" s="215" t="s">
        <v>109</v>
      </c>
      <c r="O1197" s="215" t="s">
        <v>110</v>
      </c>
      <c r="P1197" s="218">
        <v>36</v>
      </c>
      <c r="Q1197" s="218">
        <v>5</v>
      </c>
      <c r="R1197" s="219">
        <v>7.4999999999999997E-3</v>
      </c>
      <c r="S1197" s="215" t="s">
        <v>111</v>
      </c>
      <c r="T1197" s="215" t="s">
        <v>112</v>
      </c>
      <c r="U1197" s="215" t="s">
        <v>113</v>
      </c>
      <c r="V1197" s="220">
        <f>792-373</f>
        <v>419</v>
      </c>
      <c r="W1197" s="220">
        <f>792-373</f>
        <v>419</v>
      </c>
      <c r="X1197" s="221"/>
      <c r="Y1197" s="222">
        <f t="shared" si="394"/>
        <v>0</v>
      </c>
      <c r="Z1197" s="223">
        <f t="shared" si="395"/>
        <v>0</v>
      </c>
      <c r="AA1197" s="223"/>
      <c r="AB1197" s="807"/>
      <c r="AC1197" s="220"/>
      <c r="AD1197" s="209"/>
      <c r="AE1197" s="210"/>
      <c r="AF1197" s="210"/>
      <c r="AG1197" s="211">
        <f t="shared" si="396"/>
        <v>0.308</v>
      </c>
      <c r="AH1197" s="157">
        <f t="shared" si="397"/>
        <v>0</v>
      </c>
      <c r="AI1197" s="152">
        <f t="shared" si="398"/>
        <v>15084</v>
      </c>
      <c r="AK1197" s="156" t="s">
        <v>691</v>
      </c>
      <c r="AL1197" s="574" t="s">
        <v>690</v>
      </c>
      <c r="AM1197" s="198">
        <f t="shared" si="393"/>
        <v>0</v>
      </c>
      <c r="AN1197" s="199">
        <f t="shared" si="389"/>
        <v>45513</v>
      </c>
      <c r="AO1197" s="159" t="s">
        <v>692</v>
      </c>
      <c r="AP1197" s="781"/>
      <c r="AQ1197" s="782">
        <v>12063755</v>
      </c>
      <c r="AR1197" s="782">
        <v>12061353</v>
      </c>
      <c r="AS1197" s="782">
        <v>12061354</v>
      </c>
      <c r="AT1197" s="782">
        <v>12068566</v>
      </c>
      <c r="AU1197" s="781"/>
      <c r="AV1197" s="782">
        <v>12088206</v>
      </c>
      <c r="AW1197" s="782">
        <v>12088207</v>
      </c>
      <c r="AX1197" s="782"/>
      <c r="AY1197" s="782">
        <v>12068565</v>
      </c>
      <c r="AZ1197" s="782"/>
      <c r="BA1197" s="781"/>
    </row>
    <row r="1198" spans="1:53" ht="25" hidden="1" customHeight="1">
      <c r="B1198" s="213">
        <v>45513</v>
      </c>
      <c r="C1198" s="578">
        <v>45519</v>
      </c>
      <c r="D1198" s="185">
        <f t="shared" si="387"/>
        <v>2024</v>
      </c>
      <c r="E1198" s="215" t="str">
        <f>VLOOKUP($B1198,Week!$A$1:$C$1462,2,0)</f>
        <v>Week32</v>
      </c>
      <c r="F1198" s="216" t="str">
        <f t="shared" si="388"/>
        <v>Aug</v>
      </c>
      <c r="G1198" s="215" t="s">
        <v>1441</v>
      </c>
      <c r="H1198" s="215" t="s">
        <v>104</v>
      </c>
      <c r="I1198" s="215" t="s">
        <v>2772</v>
      </c>
      <c r="J1198" s="209" t="s">
        <v>105</v>
      </c>
      <c r="K1198" s="217" t="s">
        <v>107</v>
      </c>
      <c r="L1198" s="300" t="s">
        <v>2167</v>
      </c>
      <c r="M1198" s="209" t="s">
        <v>108</v>
      </c>
      <c r="N1198" s="215" t="s">
        <v>109</v>
      </c>
      <c r="O1198" s="215" t="s">
        <v>110</v>
      </c>
      <c r="P1198" s="218">
        <v>36</v>
      </c>
      <c r="Q1198" s="218">
        <v>5</v>
      </c>
      <c r="R1198" s="219">
        <v>7.4999999999999997E-3</v>
      </c>
      <c r="S1198" s="215" t="s">
        <v>111</v>
      </c>
      <c r="T1198" s="215" t="s">
        <v>112</v>
      </c>
      <c r="U1198" s="215" t="s">
        <v>113</v>
      </c>
      <c r="V1198" s="220">
        <v>792</v>
      </c>
      <c r="W1198" s="220">
        <v>792</v>
      </c>
      <c r="X1198" s="221"/>
      <c r="Y1198" s="222">
        <f t="shared" si="394"/>
        <v>0</v>
      </c>
      <c r="Z1198" s="223">
        <f t="shared" si="395"/>
        <v>0</v>
      </c>
      <c r="AA1198" s="223"/>
      <c r="AB1198" s="807"/>
      <c r="AC1198" s="220"/>
      <c r="AD1198" s="209"/>
      <c r="AE1198" s="210"/>
      <c r="AF1198" s="210"/>
      <c r="AG1198" s="211">
        <f t="shared" si="396"/>
        <v>0.308</v>
      </c>
      <c r="AH1198" s="157">
        <f t="shared" si="397"/>
        <v>0</v>
      </c>
      <c r="AI1198" s="152">
        <f t="shared" si="398"/>
        <v>28512</v>
      </c>
      <c r="AK1198" s="156" t="s">
        <v>691</v>
      </c>
      <c r="AL1198" s="574" t="s">
        <v>690</v>
      </c>
      <c r="AM1198" s="198">
        <f t="shared" si="393"/>
        <v>0</v>
      </c>
      <c r="AN1198" s="199">
        <f t="shared" si="389"/>
        <v>45513</v>
      </c>
      <c r="AO1198" s="159" t="s">
        <v>692</v>
      </c>
      <c r="AP1198" s="781"/>
      <c r="AQ1198" s="782">
        <v>12063755</v>
      </c>
      <c r="AR1198" s="782">
        <v>12061353</v>
      </c>
      <c r="AS1198" s="782">
        <v>12061354</v>
      </c>
      <c r="AT1198" s="782">
        <v>12068566</v>
      </c>
      <c r="AU1198" s="781"/>
      <c r="AV1198" s="782">
        <v>12088206</v>
      </c>
      <c r="AW1198" s="782">
        <v>12088207</v>
      </c>
      <c r="AX1198" s="782"/>
      <c r="AY1198" s="782">
        <v>12068565</v>
      </c>
      <c r="AZ1198" s="782"/>
      <c r="BA1198" s="781"/>
    </row>
    <row r="1199" spans="1:53" ht="25" hidden="1" customHeight="1">
      <c r="B1199" s="213">
        <v>45513</v>
      </c>
      <c r="C1199" s="578">
        <v>45520</v>
      </c>
      <c r="D1199" s="185">
        <f t="shared" si="387"/>
        <v>2024</v>
      </c>
      <c r="E1199" s="215" t="str">
        <f>VLOOKUP($B1199,Week!$A$1:$C$1462,2,0)</f>
        <v>Week32</v>
      </c>
      <c r="F1199" s="216" t="str">
        <f t="shared" si="388"/>
        <v>Aug</v>
      </c>
      <c r="G1199" s="215" t="s">
        <v>1442</v>
      </c>
      <c r="H1199" s="215" t="s">
        <v>104</v>
      </c>
      <c r="I1199" s="215" t="s">
        <v>2772</v>
      </c>
      <c r="J1199" s="209" t="s">
        <v>105</v>
      </c>
      <c r="K1199" s="217" t="s">
        <v>107</v>
      </c>
      <c r="L1199" s="300" t="s">
        <v>2167</v>
      </c>
      <c r="M1199" s="209" t="s">
        <v>108</v>
      </c>
      <c r="N1199" s="215" t="s">
        <v>109</v>
      </c>
      <c r="O1199" s="215" t="s">
        <v>110</v>
      </c>
      <c r="P1199" s="218">
        <v>36</v>
      </c>
      <c r="Q1199" s="218">
        <v>5</v>
      </c>
      <c r="R1199" s="219">
        <v>7.4999999999999997E-3</v>
      </c>
      <c r="S1199" s="215" t="s">
        <v>111</v>
      </c>
      <c r="T1199" s="215" t="s">
        <v>112</v>
      </c>
      <c r="U1199" s="215" t="s">
        <v>113</v>
      </c>
      <c r="V1199" s="220">
        <f>1705-419-792</f>
        <v>494</v>
      </c>
      <c r="W1199" s="220">
        <f>1705-419-792</f>
        <v>494</v>
      </c>
      <c r="X1199" s="221"/>
      <c r="Y1199" s="222">
        <f t="shared" si="394"/>
        <v>0</v>
      </c>
      <c r="Z1199" s="223">
        <f t="shared" si="395"/>
        <v>0</v>
      </c>
      <c r="AA1199" s="223"/>
      <c r="AB1199" s="807"/>
      <c r="AC1199" s="220"/>
      <c r="AD1199" s="209"/>
      <c r="AE1199" s="210"/>
      <c r="AF1199" s="210"/>
      <c r="AG1199" s="211">
        <f t="shared" si="396"/>
        <v>0.308</v>
      </c>
      <c r="AH1199" s="157">
        <f t="shared" si="397"/>
        <v>0</v>
      </c>
      <c r="AI1199" s="152">
        <f t="shared" si="398"/>
        <v>17784</v>
      </c>
      <c r="AK1199" s="156" t="s">
        <v>691</v>
      </c>
      <c r="AL1199" s="574" t="s">
        <v>690</v>
      </c>
      <c r="AM1199" s="198">
        <f t="shared" si="393"/>
        <v>0</v>
      </c>
      <c r="AN1199" s="199">
        <f t="shared" si="389"/>
        <v>45513</v>
      </c>
      <c r="AO1199" s="159" t="s">
        <v>692</v>
      </c>
      <c r="AP1199" s="781"/>
      <c r="AQ1199" s="782">
        <v>12063755</v>
      </c>
      <c r="AR1199" s="782">
        <v>12061353</v>
      </c>
      <c r="AS1199" s="782">
        <v>12061354</v>
      </c>
      <c r="AT1199" s="782">
        <v>12068566</v>
      </c>
      <c r="AU1199" s="781"/>
      <c r="AV1199" s="782">
        <v>12088206</v>
      </c>
      <c r="AW1199" s="782">
        <v>12088207</v>
      </c>
      <c r="AX1199" s="782"/>
      <c r="AY1199" s="782">
        <v>12068565</v>
      </c>
      <c r="AZ1199" s="782"/>
      <c r="BA1199" s="781"/>
    </row>
    <row r="1200" spans="1:53" ht="24.75" hidden="1" customHeight="1">
      <c r="B1200" s="333">
        <v>45514</v>
      </c>
      <c r="C1200" s="333">
        <v>45553</v>
      </c>
      <c r="D1200" s="185">
        <f t="shared" si="387"/>
        <v>2024</v>
      </c>
      <c r="E1200" s="335" t="str">
        <f>VLOOKUP($B1200,Week!$A$1:$C$1462,2,0)</f>
        <v>Week32</v>
      </c>
      <c r="F1200" s="334" t="str">
        <f t="shared" si="388"/>
        <v>Aug</v>
      </c>
      <c r="G1200" s="335" t="s">
        <v>1694</v>
      </c>
      <c r="H1200" s="335" t="s">
        <v>363</v>
      </c>
      <c r="I1200" s="335" t="s">
        <v>2772</v>
      </c>
      <c r="J1200" s="336" t="s">
        <v>364</v>
      </c>
      <c r="K1200" s="337" t="s">
        <v>176</v>
      </c>
      <c r="L1200" s="300" t="s">
        <v>2167</v>
      </c>
      <c r="M1200" s="382" t="s">
        <v>646</v>
      </c>
      <c r="N1200" s="335" t="s">
        <v>647</v>
      </c>
      <c r="O1200" s="335" t="s">
        <v>599</v>
      </c>
      <c r="P1200" s="338">
        <v>36</v>
      </c>
      <c r="Q1200" s="338">
        <v>5</v>
      </c>
      <c r="R1200" s="339">
        <v>8.0000000000000002E-3</v>
      </c>
      <c r="S1200" s="335" t="s">
        <v>40</v>
      </c>
      <c r="T1200" s="335" t="s">
        <v>112</v>
      </c>
      <c r="U1200" s="335" t="s">
        <v>57</v>
      </c>
      <c r="V1200" s="341">
        <v>762</v>
      </c>
      <c r="W1200" s="341"/>
      <c r="X1200" s="342">
        <f>(2418+25030)/36</f>
        <v>762.44444444444446</v>
      </c>
      <c r="Y1200" s="343">
        <f t="shared" si="394"/>
        <v>0.44444444444445708</v>
      </c>
      <c r="Z1200" s="344">
        <f t="shared" si="395"/>
        <v>0</v>
      </c>
      <c r="AA1200" s="344"/>
      <c r="AB1200" s="821"/>
      <c r="AC1200" s="341"/>
      <c r="AD1200" s="209"/>
      <c r="AE1200" s="210"/>
      <c r="AF1200" s="210"/>
      <c r="AG1200" s="211">
        <f t="shared" si="396"/>
        <v>0.14799999999999999</v>
      </c>
      <c r="AH1200" s="157">
        <f t="shared" si="397"/>
        <v>0</v>
      </c>
      <c r="AI1200" s="152">
        <f t="shared" si="398"/>
        <v>27432</v>
      </c>
      <c r="AK1200" s="156" t="s">
        <v>691</v>
      </c>
      <c r="AL1200" s="574" t="s">
        <v>690</v>
      </c>
      <c r="AM1200" s="198">
        <f t="shared" si="393"/>
        <v>0</v>
      </c>
      <c r="AN1200" s="199">
        <f t="shared" si="389"/>
        <v>45514</v>
      </c>
      <c r="AO1200" s="159" t="s">
        <v>692</v>
      </c>
      <c r="AP1200" s="781"/>
      <c r="AQ1200" s="782">
        <v>12071839</v>
      </c>
      <c r="AR1200" s="782">
        <v>12047514</v>
      </c>
      <c r="AS1200" s="782">
        <v>12047515</v>
      </c>
      <c r="AT1200" s="782">
        <v>12084374</v>
      </c>
      <c r="AU1200" s="781"/>
      <c r="AV1200" s="782">
        <v>12084372</v>
      </c>
      <c r="AW1200" s="782">
        <v>12024404</v>
      </c>
      <c r="AX1200" s="782"/>
      <c r="AY1200" s="782">
        <v>12084373</v>
      </c>
      <c r="AZ1200" s="782"/>
      <c r="BA1200" s="781"/>
    </row>
    <row r="1201" spans="1:53" ht="25" hidden="1" customHeight="1">
      <c r="A1201" s="142" t="s">
        <v>120</v>
      </c>
      <c r="B1201" s="466">
        <v>45514</v>
      </c>
      <c r="C1201" s="467">
        <v>45524</v>
      </c>
      <c r="D1201" s="185">
        <f t="shared" si="387"/>
        <v>2024</v>
      </c>
      <c r="E1201" s="468" t="str">
        <f>VLOOKUP($B1201,Week!$A$1:$C$1462,2,0)</f>
        <v>Week32</v>
      </c>
      <c r="F1201" s="469" t="str">
        <f t="shared" si="388"/>
        <v>Aug</v>
      </c>
      <c r="G1201" s="470" t="s">
        <v>1502</v>
      </c>
      <c r="H1201" s="468" t="s">
        <v>82</v>
      </c>
      <c r="I1201" s="468" t="s">
        <v>82</v>
      </c>
      <c r="J1201" s="471" t="s">
        <v>720</v>
      </c>
      <c r="K1201" s="472" t="s">
        <v>85</v>
      </c>
      <c r="L1201" s="390" t="s">
        <v>2166</v>
      </c>
      <c r="M1201" s="471" t="s">
        <v>579</v>
      </c>
      <c r="N1201" s="468" t="s">
        <v>580</v>
      </c>
      <c r="O1201" s="468" t="s">
        <v>581</v>
      </c>
      <c r="P1201" s="473">
        <v>8</v>
      </c>
      <c r="Q1201" s="473">
        <v>60</v>
      </c>
      <c r="R1201" s="474">
        <v>6.8100000000000001E-3</v>
      </c>
      <c r="S1201" s="468" t="s">
        <v>76</v>
      </c>
      <c r="T1201" s="468" t="s">
        <v>56</v>
      </c>
      <c r="U1201" s="468" t="s">
        <v>89</v>
      </c>
      <c r="V1201" s="475">
        <f>1408</f>
        <v>1408</v>
      </c>
      <c r="W1201" s="475">
        <f>14+1394</f>
        <v>1408</v>
      </c>
      <c r="X1201" s="476"/>
      <c r="Y1201" s="477">
        <f t="shared" si="394"/>
        <v>0</v>
      </c>
      <c r="Z1201" s="478">
        <f t="shared" si="395"/>
        <v>0</v>
      </c>
      <c r="AA1201" s="478">
        <f>Q1201*Z1201</f>
        <v>0</v>
      </c>
      <c r="AB1201" s="828">
        <v>6</v>
      </c>
      <c r="AC1201" s="475">
        <f>Z1201*AB1201</f>
        <v>0</v>
      </c>
      <c r="AD1201" s="209"/>
      <c r="AE1201" s="210"/>
      <c r="AF1201" s="210"/>
      <c r="AG1201" s="211">
        <f t="shared" si="396"/>
        <v>0.75</v>
      </c>
      <c r="AH1201" s="157">
        <f t="shared" si="397"/>
        <v>0</v>
      </c>
      <c r="AI1201" s="152">
        <f t="shared" si="398"/>
        <v>11264</v>
      </c>
      <c r="AK1201" s="156" t="s">
        <v>691</v>
      </c>
      <c r="AL1201" s="156" t="s">
        <v>689</v>
      </c>
      <c r="AM1201" s="198">
        <f t="shared" si="393"/>
        <v>0</v>
      </c>
      <c r="AN1201" s="199">
        <f t="shared" si="389"/>
        <v>45514</v>
      </c>
      <c r="AO1201" s="159" t="s">
        <v>692</v>
      </c>
      <c r="AP1201" s="783" t="s">
        <v>622</v>
      </c>
      <c r="AQ1201" s="782">
        <v>12004862</v>
      </c>
      <c r="AR1201" s="782">
        <v>12080753</v>
      </c>
      <c r="AS1201" s="782"/>
      <c r="AT1201" s="782">
        <v>12082897</v>
      </c>
      <c r="AU1201" s="781"/>
      <c r="AV1201" s="782">
        <v>12082898</v>
      </c>
      <c r="AW1201" s="782">
        <v>12082899</v>
      </c>
      <c r="AX1201" s="796" t="s">
        <v>621</v>
      </c>
      <c r="AY1201" s="782"/>
      <c r="AZ1201" s="782"/>
      <c r="BA1201" s="781"/>
    </row>
    <row r="1202" spans="1:53" ht="25" hidden="1" customHeight="1">
      <c r="B1202" s="183">
        <v>45515</v>
      </c>
      <c r="C1202" s="184"/>
      <c r="D1202" s="185">
        <f t="shared" si="387"/>
        <v>2024</v>
      </c>
      <c r="E1202" s="185" t="str">
        <f>VLOOKUP($B1202,Week!$A$1:$C$1462,2,0)</f>
        <v>Week32</v>
      </c>
      <c r="F1202" s="186" t="str">
        <f t="shared" si="388"/>
        <v>Aug</v>
      </c>
      <c r="G1202" s="185"/>
      <c r="H1202" s="185"/>
      <c r="I1202" s="185"/>
      <c r="J1202" s="187"/>
      <c r="K1202" s="188"/>
      <c r="L1202" s="300"/>
      <c r="M1202" s="187"/>
      <c r="N1202" s="185"/>
      <c r="O1202" s="185"/>
      <c r="P1202" s="189"/>
      <c r="Q1202" s="189"/>
      <c r="R1202" s="190"/>
      <c r="S1202" s="185"/>
      <c r="T1202" s="185"/>
      <c r="U1202" s="185"/>
      <c r="V1202" s="191"/>
      <c r="W1202" s="191"/>
      <c r="X1202" s="192"/>
      <c r="Y1202" s="193"/>
      <c r="Z1202" s="194"/>
      <c r="AA1202" s="194"/>
      <c r="AB1202" s="805"/>
      <c r="AC1202" s="191"/>
      <c r="AD1202" s="187"/>
      <c r="AE1202" s="195"/>
      <c r="AF1202" s="195"/>
      <c r="AG1202" s="196"/>
      <c r="AH1202" s="197"/>
      <c r="AK1202" s="156" t="s">
        <v>691</v>
      </c>
      <c r="AM1202" s="198">
        <f t="shared" si="393"/>
        <v>0</v>
      </c>
      <c r="AN1202" s="199">
        <f t="shared" si="389"/>
        <v>45515</v>
      </c>
      <c r="AO1202" s="159" t="s">
        <v>692</v>
      </c>
      <c r="AP1202" s="781"/>
      <c r="AQ1202" s="782"/>
      <c r="AR1202" s="782"/>
      <c r="AS1202" s="782"/>
      <c r="AT1202" s="782"/>
      <c r="AU1202" s="781"/>
      <c r="AV1202" s="782"/>
      <c r="AW1202" s="782"/>
      <c r="AX1202" s="782"/>
      <c r="AY1202" s="782"/>
      <c r="AZ1202" s="782"/>
      <c r="BA1202" s="781"/>
    </row>
    <row r="1203" spans="1:53" ht="25" hidden="1" customHeight="1">
      <c r="B1203" s="183">
        <v>45516</v>
      </c>
      <c r="C1203" s="184"/>
      <c r="D1203" s="185">
        <f t="shared" si="387"/>
        <v>2024</v>
      </c>
      <c r="E1203" s="185" t="str">
        <f>VLOOKUP($B1203,Week!$A$1:$C$1462,2,0)</f>
        <v>Week33</v>
      </c>
      <c r="F1203" s="186" t="str">
        <f t="shared" si="388"/>
        <v>Aug</v>
      </c>
      <c r="G1203" s="185"/>
      <c r="H1203" s="185"/>
      <c r="I1203" s="185"/>
      <c r="J1203" s="187"/>
      <c r="K1203" s="188"/>
      <c r="L1203" s="300"/>
      <c r="M1203" s="187"/>
      <c r="N1203" s="185"/>
      <c r="O1203" s="185"/>
      <c r="P1203" s="189"/>
      <c r="Q1203" s="189"/>
      <c r="R1203" s="190"/>
      <c r="S1203" s="185"/>
      <c r="T1203" s="185"/>
      <c r="U1203" s="185"/>
      <c r="V1203" s="191"/>
      <c r="W1203" s="191"/>
      <c r="X1203" s="192"/>
      <c r="Y1203" s="193"/>
      <c r="Z1203" s="194"/>
      <c r="AA1203" s="194"/>
      <c r="AB1203" s="805"/>
      <c r="AC1203" s="191"/>
      <c r="AD1203" s="187"/>
      <c r="AE1203" s="195"/>
      <c r="AF1203" s="195"/>
      <c r="AG1203" s="196"/>
      <c r="AH1203" s="197"/>
      <c r="AK1203" s="156" t="s">
        <v>691</v>
      </c>
      <c r="AM1203" s="198">
        <f t="shared" si="393"/>
        <v>0</v>
      </c>
      <c r="AN1203" s="199">
        <f t="shared" si="389"/>
        <v>45516</v>
      </c>
      <c r="AO1203" s="159" t="s">
        <v>692</v>
      </c>
      <c r="AP1203" s="781"/>
      <c r="AQ1203" s="782"/>
      <c r="AR1203" s="782"/>
      <c r="AS1203" s="782"/>
      <c r="AT1203" s="782"/>
      <c r="AU1203" s="781"/>
      <c r="AV1203" s="782"/>
      <c r="AW1203" s="782"/>
      <c r="AX1203" s="782"/>
      <c r="AY1203" s="782"/>
      <c r="AZ1203" s="782"/>
      <c r="BA1203" s="781"/>
    </row>
    <row r="1204" spans="1:53" ht="25" hidden="1" customHeight="1">
      <c r="B1204" s="213">
        <v>45517</v>
      </c>
      <c r="C1204" s="578">
        <v>45520</v>
      </c>
      <c r="D1204" s="185">
        <f t="shared" si="387"/>
        <v>2024</v>
      </c>
      <c r="E1204" s="215" t="str">
        <f>VLOOKUP($B1204,Week!$A$1:$C$1462,2,0)</f>
        <v>Week33</v>
      </c>
      <c r="F1204" s="216" t="str">
        <f t="shared" si="388"/>
        <v>Aug</v>
      </c>
      <c r="G1204" s="215" t="s">
        <v>1442</v>
      </c>
      <c r="H1204" s="215" t="s">
        <v>104</v>
      </c>
      <c r="I1204" s="215" t="s">
        <v>2772</v>
      </c>
      <c r="J1204" s="209" t="s">
        <v>105</v>
      </c>
      <c r="K1204" s="217" t="s">
        <v>107</v>
      </c>
      <c r="L1204" s="300" t="s">
        <v>2167</v>
      </c>
      <c r="M1204" s="209" t="s">
        <v>108</v>
      </c>
      <c r="N1204" s="215" t="s">
        <v>109</v>
      </c>
      <c r="O1204" s="215" t="s">
        <v>110</v>
      </c>
      <c r="P1204" s="218">
        <v>36</v>
      </c>
      <c r="Q1204" s="218">
        <v>5</v>
      </c>
      <c r="R1204" s="219">
        <v>7.4999999999999997E-3</v>
      </c>
      <c r="S1204" s="215" t="s">
        <v>111</v>
      </c>
      <c r="T1204" s="215" t="s">
        <v>112</v>
      </c>
      <c r="U1204" s="215" t="s">
        <v>113</v>
      </c>
      <c r="V1204" s="220">
        <f>792-494</f>
        <v>298</v>
      </c>
      <c r="W1204" s="220">
        <f>792-494</f>
        <v>298</v>
      </c>
      <c r="X1204" s="221"/>
      <c r="Y1204" s="222">
        <f t="shared" ref="Y1204:Y1235" si="399">(W1204+X1204)-V1204</f>
        <v>0</v>
      </c>
      <c r="Z1204" s="223">
        <f t="shared" ref="Z1204:Z1235" si="400">IF(Y1204&lt;0,((V1204*P1204)-((W1204+X1204)*P1204)),0)</f>
        <v>0</v>
      </c>
      <c r="AA1204" s="223"/>
      <c r="AB1204" s="807"/>
      <c r="AC1204" s="220"/>
      <c r="AD1204" s="209"/>
      <c r="AE1204" s="210"/>
      <c r="AF1204" s="210"/>
      <c r="AG1204" s="211">
        <f t="shared" ref="AG1204:AG1235" si="401">MID(O1204,1,3)/1000</f>
        <v>0.308</v>
      </c>
      <c r="AH1204" s="157">
        <f t="shared" ref="AH1204:AH1217" si="402">(Z1204*AG1204)/1000</f>
        <v>0</v>
      </c>
      <c r="AI1204" s="152">
        <f t="shared" ref="AI1204:AI1235" si="403">V1204*P1204</f>
        <v>10728</v>
      </c>
      <c r="AK1204" s="156" t="s">
        <v>691</v>
      </c>
      <c r="AL1204" s="574" t="s">
        <v>690</v>
      </c>
      <c r="AM1204" s="198">
        <f t="shared" si="393"/>
        <v>0</v>
      </c>
      <c r="AN1204" s="199">
        <f t="shared" si="389"/>
        <v>45517</v>
      </c>
      <c r="AO1204" s="159" t="s">
        <v>692</v>
      </c>
      <c r="AP1204" s="781"/>
      <c r="AQ1204" s="782">
        <v>12063755</v>
      </c>
      <c r="AR1204" s="782">
        <v>12061353</v>
      </c>
      <c r="AS1204" s="782">
        <v>12061354</v>
      </c>
      <c r="AT1204" s="782">
        <v>12068566</v>
      </c>
      <c r="AU1204" s="781"/>
      <c r="AV1204" s="782">
        <v>12088206</v>
      </c>
      <c r="AW1204" s="782">
        <v>12088207</v>
      </c>
      <c r="AX1204" s="782"/>
      <c r="AY1204" s="782">
        <v>12068565</v>
      </c>
      <c r="AZ1204" s="782"/>
      <c r="BA1204" s="781"/>
    </row>
    <row r="1205" spans="1:53" ht="25" hidden="1" customHeight="1">
      <c r="B1205" s="213">
        <v>45517</v>
      </c>
      <c r="C1205" s="578">
        <v>45520</v>
      </c>
      <c r="D1205" s="185">
        <f t="shared" si="387"/>
        <v>2024</v>
      </c>
      <c r="E1205" s="215" t="str">
        <f>VLOOKUP($B1205,Week!$A$1:$C$1462,2,0)</f>
        <v>Week33</v>
      </c>
      <c r="F1205" s="216" t="str">
        <f t="shared" si="388"/>
        <v>Aug</v>
      </c>
      <c r="G1205" s="215" t="s">
        <v>1443</v>
      </c>
      <c r="H1205" s="215" t="s">
        <v>104</v>
      </c>
      <c r="I1205" s="215" t="s">
        <v>2772</v>
      </c>
      <c r="J1205" s="209" t="s">
        <v>105</v>
      </c>
      <c r="K1205" s="217" t="s">
        <v>107</v>
      </c>
      <c r="L1205" s="300" t="s">
        <v>2167</v>
      </c>
      <c r="M1205" s="209" t="s">
        <v>108</v>
      </c>
      <c r="N1205" s="215" t="s">
        <v>109</v>
      </c>
      <c r="O1205" s="215" t="s">
        <v>110</v>
      </c>
      <c r="P1205" s="218">
        <v>36</v>
      </c>
      <c r="Q1205" s="218">
        <v>5</v>
      </c>
      <c r="R1205" s="219">
        <v>7.4999999999999997E-3</v>
      </c>
      <c r="S1205" s="215" t="s">
        <v>111</v>
      </c>
      <c r="T1205" s="215" t="s">
        <v>112</v>
      </c>
      <c r="U1205" s="215" t="s">
        <v>113</v>
      </c>
      <c r="V1205" s="220">
        <v>792</v>
      </c>
      <c r="W1205" s="220">
        <v>792</v>
      </c>
      <c r="X1205" s="221"/>
      <c r="Y1205" s="222">
        <f t="shared" si="399"/>
        <v>0</v>
      </c>
      <c r="Z1205" s="223">
        <f t="shared" si="400"/>
        <v>0</v>
      </c>
      <c r="AA1205" s="223"/>
      <c r="AB1205" s="807"/>
      <c r="AC1205" s="220"/>
      <c r="AD1205" s="209"/>
      <c r="AE1205" s="210"/>
      <c r="AF1205" s="210"/>
      <c r="AG1205" s="211">
        <f t="shared" si="401"/>
        <v>0.308</v>
      </c>
      <c r="AH1205" s="157">
        <f t="shared" si="402"/>
        <v>0</v>
      </c>
      <c r="AI1205" s="152">
        <f t="shared" si="403"/>
        <v>28512</v>
      </c>
      <c r="AK1205" s="156" t="s">
        <v>691</v>
      </c>
      <c r="AL1205" s="574" t="s">
        <v>690</v>
      </c>
      <c r="AM1205" s="198">
        <f t="shared" si="393"/>
        <v>0</v>
      </c>
      <c r="AN1205" s="199">
        <f t="shared" si="389"/>
        <v>45517</v>
      </c>
      <c r="AO1205" s="159" t="s">
        <v>692</v>
      </c>
      <c r="AP1205" s="781"/>
      <c r="AQ1205" s="782">
        <v>12063755</v>
      </c>
      <c r="AR1205" s="782">
        <v>12061353</v>
      </c>
      <c r="AS1205" s="782">
        <v>12061354</v>
      </c>
      <c r="AT1205" s="782">
        <v>12068566</v>
      </c>
      <c r="AU1205" s="781"/>
      <c r="AV1205" s="782">
        <v>12088206</v>
      </c>
      <c r="AW1205" s="782">
        <v>12088207</v>
      </c>
      <c r="AX1205" s="782"/>
      <c r="AY1205" s="782">
        <v>12068565</v>
      </c>
      <c r="AZ1205" s="782"/>
      <c r="BA1205" s="781"/>
    </row>
    <row r="1206" spans="1:53" ht="25" hidden="1" customHeight="1">
      <c r="B1206" s="213">
        <v>45517</v>
      </c>
      <c r="C1206" s="578">
        <v>45520</v>
      </c>
      <c r="D1206" s="185">
        <f t="shared" si="387"/>
        <v>2024</v>
      </c>
      <c r="E1206" s="215" t="str">
        <f>VLOOKUP($B1206,Week!$A$1:$C$1462,2,0)</f>
        <v>Week33</v>
      </c>
      <c r="F1206" s="216" t="str">
        <f t="shared" si="388"/>
        <v>Aug</v>
      </c>
      <c r="G1206" s="215" t="s">
        <v>1444</v>
      </c>
      <c r="H1206" s="215" t="s">
        <v>104</v>
      </c>
      <c r="I1206" s="215" t="s">
        <v>2772</v>
      </c>
      <c r="J1206" s="209" t="s">
        <v>105</v>
      </c>
      <c r="K1206" s="217" t="s">
        <v>107</v>
      </c>
      <c r="L1206" s="300" t="s">
        <v>2167</v>
      </c>
      <c r="M1206" s="209" t="s">
        <v>108</v>
      </c>
      <c r="N1206" s="215" t="s">
        <v>109</v>
      </c>
      <c r="O1206" s="215" t="s">
        <v>110</v>
      </c>
      <c r="P1206" s="218">
        <v>36</v>
      </c>
      <c r="Q1206" s="218">
        <v>5</v>
      </c>
      <c r="R1206" s="219">
        <v>7.4999999999999997E-3</v>
      </c>
      <c r="S1206" s="215" t="s">
        <v>111</v>
      </c>
      <c r="T1206" s="215" t="s">
        <v>112</v>
      </c>
      <c r="U1206" s="215" t="s">
        <v>113</v>
      </c>
      <c r="V1206" s="220">
        <v>792</v>
      </c>
      <c r="W1206" s="220">
        <v>792</v>
      </c>
      <c r="X1206" s="221"/>
      <c r="Y1206" s="222">
        <f t="shared" si="399"/>
        <v>0</v>
      </c>
      <c r="Z1206" s="223">
        <f t="shared" si="400"/>
        <v>0</v>
      </c>
      <c r="AA1206" s="223"/>
      <c r="AB1206" s="807"/>
      <c r="AC1206" s="220"/>
      <c r="AD1206" s="209"/>
      <c r="AE1206" s="210"/>
      <c r="AF1206" s="210"/>
      <c r="AG1206" s="211">
        <f t="shared" si="401"/>
        <v>0.308</v>
      </c>
      <c r="AH1206" s="157">
        <f t="shared" si="402"/>
        <v>0</v>
      </c>
      <c r="AI1206" s="152">
        <f t="shared" si="403"/>
        <v>28512</v>
      </c>
      <c r="AK1206" s="156" t="s">
        <v>691</v>
      </c>
      <c r="AL1206" s="574" t="s">
        <v>690</v>
      </c>
      <c r="AM1206" s="198">
        <f t="shared" ref="AM1206:AM1217" si="404">AG1206*Z1206</f>
        <v>0</v>
      </c>
      <c r="AN1206" s="199">
        <f t="shared" si="389"/>
        <v>45517</v>
      </c>
      <c r="AO1206" s="159" t="s">
        <v>692</v>
      </c>
      <c r="AP1206" s="781"/>
      <c r="AQ1206" s="782">
        <v>12063755</v>
      </c>
      <c r="AR1206" s="782">
        <v>12061353</v>
      </c>
      <c r="AS1206" s="782">
        <v>12061354</v>
      </c>
      <c r="AT1206" s="782">
        <v>12068566</v>
      </c>
      <c r="AU1206" s="781"/>
      <c r="AV1206" s="782">
        <v>12088206</v>
      </c>
      <c r="AW1206" s="782">
        <v>12088207</v>
      </c>
      <c r="AX1206" s="782"/>
      <c r="AY1206" s="782">
        <v>12068565</v>
      </c>
      <c r="AZ1206" s="782"/>
      <c r="BA1206" s="781"/>
    </row>
    <row r="1207" spans="1:53" ht="25" hidden="1" customHeight="1">
      <c r="B1207" s="213">
        <v>45517</v>
      </c>
      <c r="C1207" s="578">
        <v>45520</v>
      </c>
      <c r="D1207" s="185">
        <f t="shared" si="387"/>
        <v>2024</v>
      </c>
      <c r="E1207" s="215" t="str">
        <f>VLOOKUP($B1207,Week!$A$1:$C$1462,2,0)</f>
        <v>Week33</v>
      </c>
      <c r="F1207" s="216" t="str">
        <f t="shared" si="388"/>
        <v>Aug</v>
      </c>
      <c r="G1207" s="215" t="s">
        <v>1445</v>
      </c>
      <c r="H1207" s="215" t="s">
        <v>104</v>
      </c>
      <c r="I1207" s="215" t="s">
        <v>2772</v>
      </c>
      <c r="J1207" s="209" t="s">
        <v>105</v>
      </c>
      <c r="K1207" s="217" t="s">
        <v>107</v>
      </c>
      <c r="L1207" s="300" t="s">
        <v>2167</v>
      </c>
      <c r="M1207" s="209" t="s">
        <v>108</v>
      </c>
      <c r="N1207" s="215" t="s">
        <v>109</v>
      </c>
      <c r="O1207" s="215" t="s">
        <v>110</v>
      </c>
      <c r="P1207" s="218">
        <v>36</v>
      </c>
      <c r="Q1207" s="218">
        <v>5</v>
      </c>
      <c r="R1207" s="219">
        <v>7.4999999999999997E-3</v>
      </c>
      <c r="S1207" s="215" t="s">
        <v>111</v>
      </c>
      <c r="T1207" s="215" t="s">
        <v>112</v>
      </c>
      <c r="U1207" s="215" t="s">
        <v>113</v>
      </c>
      <c r="V1207" s="220">
        <f>792</f>
        <v>792</v>
      </c>
      <c r="W1207" s="220">
        <f>792</f>
        <v>792</v>
      </c>
      <c r="X1207" s="221"/>
      <c r="Y1207" s="222">
        <f t="shared" si="399"/>
        <v>0</v>
      </c>
      <c r="Z1207" s="223">
        <f t="shared" si="400"/>
        <v>0</v>
      </c>
      <c r="AA1207" s="223"/>
      <c r="AB1207" s="807"/>
      <c r="AC1207" s="220"/>
      <c r="AD1207" s="209"/>
      <c r="AE1207" s="210"/>
      <c r="AF1207" s="210"/>
      <c r="AG1207" s="211">
        <f t="shared" si="401"/>
        <v>0.308</v>
      </c>
      <c r="AH1207" s="157">
        <f t="shared" si="402"/>
        <v>0</v>
      </c>
      <c r="AI1207" s="152">
        <f t="shared" si="403"/>
        <v>28512</v>
      </c>
      <c r="AK1207" s="156" t="s">
        <v>691</v>
      </c>
      <c r="AL1207" s="574" t="s">
        <v>690</v>
      </c>
      <c r="AM1207" s="198">
        <f t="shared" si="404"/>
        <v>0</v>
      </c>
      <c r="AN1207" s="199">
        <f t="shared" si="389"/>
        <v>45517</v>
      </c>
      <c r="AO1207" s="159" t="s">
        <v>692</v>
      </c>
      <c r="AP1207" s="781"/>
      <c r="AQ1207" s="782">
        <v>12063755</v>
      </c>
      <c r="AR1207" s="782">
        <v>12061353</v>
      </c>
      <c r="AS1207" s="782">
        <v>12061354</v>
      </c>
      <c r="AT1207" s="782">
        <v>12068566</v>
      </c>
      <c r="AU1207" s="781"/>
      <c r="AV1207" s="782">
        <v>12088206</v>
      </c>
      <c r="AW1207" s="782">
        <v>12088207</v>
      </c>
      <c r="AX1207" s="782"/>
      <c r="AY1207" s="782">
        <v>12068565</v>
      </c>
      <c r="AZ1207" s="782"/>
      <c r="BA1207" s="781"/>
    </row>
    <row r="1208" spans="1:53" ht="25" hidden="1" customHeight="1">
      <c r="B1208" s="213">
        <v>45517</v>
      </c>
      <c r="C1208" s="578">
        <v>45521</v>
      </c>
      <c r="D1208" s="185">
        <f t="shared" si="387"/>
        <v>2024</v>
      </c>
      <c r="E1208" s="215" t="str">
        <f>VLOOKUP($B1208,Week!$A$1:$C$1462,2,0)</f>
        <v>Week33</v>
      </c>
      <c r="F1208" s="216" t="str">
        <f t="shared" si="388"/>
        <v>Aug</v>
      </c>
      <c r="G1208" s="215" t="s">
        <v>1446</v>
      </c>
      <c r="H1208" s="215" t="s">
        <v>104</v>
      </c>
      <c r="I1208" s="215" t="s">
        <v>2772</v>
      </c>
      <c r="J1208" s="209" t="s">
        <v>105</v>
      </c>
      <c r="K1208" s="217" t="s">
        <v>107</v>
      </c>
      <c r="L1208" s="300" t="s">
        <v>2167</v>
      </c>
      <c r="M1208" s="209" t="s">
        <v>108</v>
      </c>
      <c r="N1208" s="215" t="s">
        <v>109</v>
      </c>
      <c r="O1208" s="215" t="s">
        <v>110</v>
      </c>
      <c r="P1208" s="218">
        <v>36</v>
      </c>
      <c r="Q1208" s="218">
        <v>5</v>
      </c>
      <c r="R1208" s="219">
        <v>7.4999999999999997E-3</v>
      </c>
      <c r="S1208" s="215" t="s">
        <v>111</v>
      </c>
      <c r="T1208" s="215" t="s">
        <v>112</v>
      </c>
      <c r="U1208" s="215" t="s">
        <v>113</v>
      </c>
      <c r="V1208" s="220">
        <v>792</v>
      </c>
      <c r="W1208" s="220">
        <v>792</v>
      </c>
      <c r="X1208" s="221"/>
      <c r="Y1208" s="222">
        <f t="shared" si="399"/>
        <v>0</v>
      </c>
      <c r="Z1208" s="223">
        <f t="shared" si="400"/>
        <v>0</v>
      </c>
      <c r="AA1208" s="223"/>
      <c r="AB1208" s="807"/>
      <c r="AC1208" s="220"/>
      <c r="AD1208" s="209"/>
      <c r="AE1208" s="210"/>
      <c r="AF1208" s="210"/>
      <c r="AG1208" s="211">
        <f t="shared" si="401"/>
        <v>0.308</v>
      </c>
      <c r="AH1208" s="157">
        <f t="shared" si="402"/>
        <v>0</v>
      </c>
      <c r="AI1208" s="152">
        <f t="shared" si="403"/>
        <v>28512</v>
      </c>
      <c r="AK1208" s="156" t="s">
        <v>691</v>
      </c>
      <c r="AL1208" s="574" t="s">
        <v>690</v>
      </c>
      <c r="AM1208" s="198">
        <f t="shared" si="404"/>
        <v>0</v>
      </c>
      <c r="AN1208" s="199">
        <f t="shared" si="389"/>
        <v>45517</v>
      </c>
      <c r="AO1208" s="159" t="s">
        <v>692</v>
      </c>
      <c r="AP1208" s="781"/>
      <c r="AQ1208" s="782">
        <v>12063755</v>
      </c>
      <c r="AR1208" s="782">
        <v>12061353</v>
      </c>
      <c r="AS1208" s="782">
        <v>12061354</v>
      </c>
      <c r="AT1208" s="782">
        <v>12068566</v>
      </c>
      <c r="AU1208" s="781"/>
      <c r="AV1208" s="782">
        <v>12088206</v>
      </c>
      <c r="AW1208" s="782">
        <v>12088207</v>
      </c>
      <c r="AX1208" s="782"/>
      <c r="AY1208" s="782">
        <v>12068565</v>
      </c>
      <c r="AZ1208" s="782"/>
      <c r="BA1208" s="781"/>
    </row>
    <row r="1209" spans="1:53" ht="25" hidden="1" customHeight="1">
      <c r="B1209" s="213">
        <v>45517</v>
      </c>
      <c r="C1209" s="578">
        <v>45521</v>
      </c>
      <c r="D1209" s="185">
        <f t="shared" si="387"/>
        <v>2024</v>
      </c>
      <c r="E1209" s="215" t="str">
        <f>VLOOKUP($B1209,Week!$A$1:$C$1462,2,0)</f>
        <v>Week33</v>
      </c>
      <c r="F1209" s="216" t="str">
        <f t="shared" si="388"/>
        <v>Aug</v>
      </c>
      <c r="G1209" s="215" t="s">
        <v>1447</v>
      </c>
      <c r="H1209" s="215" t="s">
        <v>104</v>
      </c>
      <c r="I1209" s="215" t="s">
        <v>2772</v>
      </c>
      <c r="J1209" s="209" t="s">
        <v>105</v>
      </c>
      <c r="K1209" s="217" t="s">
        <v>107</v>
      </c>
      <c r="L1209" s="300" t="s">
        <v>2167</v>
      </c>
      <c r="M1209" s="209" t="s">
        <v>108</v>
      </c>
      <c r="N1209" s="215" t="s">
        <v>109</v>
      </c>
      <c r="O1209" s="215" t="s">
        <v>110</v>
      </c>
      <c r="P1209" s="218">
        <v>36</v>
      </c>
      <c r="Q1209" s="218">
        <v>5</v>
      </c>
      <c r="R1209" s="219">
        <v>7.4999999999999997E-3</v>
      </c>
      <c r="S1209" s="215" t="s">
        <v>111</v>
      </c>
      <c r="T1209" s="215" t="s">
        <v>112</v>
      </c>
      <c r="U1209" s="215" t="s">
        <v>113</v>
      </c>
      <c r="V1209" s="220">
        <f>3861-298-792-792-792-792</f>
        <v>395</v>
      </c>
      <c r="W1209" s="220">
        <f>3861-298-792-792-792-792</f>
        <v>395</v>
      </c>
      <c r="X1209" s="221"/>
      <c r="Y1209" s="222">
        <f t="shared" si="399"/>
        <v>0</v>
      </c>
      <c r="Z1209" s="223">
        <f t="shared" si="400"/>
        <v>0</v>
      </c>
      <c r="AA1209" s="223"/>
      <c r="AB1209" s="807"/>
      <c r="AC1209" s="220"/>
      <c r="AD1209" s="209"/>
      <c r="AE1209" s="210"/>
      <c r="AF1209" s="210"/>
      <c r="AG1209" s="211">
        <f t="shared" si="401"/>
        <v>0.308</v>
      </c>
      <c r="AH1209" s="157">
        <f t="shared" si="402"/>
        <v>0</v>
      </c>
      <c r="AI1209" s="152">
        <f t="shared" si="403"/>
        <v>14220</v>
      </c>
      <c r="AK1209" s="156" t="s">
        <v>691</v>
      </c>
      <c r="AL1209" s="574" t="s">
        <v>690</v>
      </c>
      <c r="AM1209" s="198">
        <f t="shared" si="404"/>
        <v>0</v>
      </c>
      <c r="AN1209" s="199">
        <f t="shared" si="389"/>
        <v>45517</v>
      </c>
      <c r="AO1209" s="159" t="s">
        <v>692</v>
      </c>
      <c r="AP1209" s="781"/>
      <c r="AQ1209" s="782">
        <v>12063755</v>
      </c>
      <c r="AR1209" s="782">
        <v>12061353</v>
      </c>
      <c r="AS1209" s="782">
        <v>12061354</v>
      </c>
      <c r="AT1209" s="782">
        <v>12068566</v>
      </c>
      <c r="AU1209" s="781"/>
      <c r="AV1209" s="782">
        <v>12088206</v>
      </c>
      <c r="AW1209" s="782">
        <v>12088207</v>
      </c>
      <c r="AX1209" s="782"/>
      <c r="AY1209" s="782">
        <v>12068565</v>
      </c>
      <c r="AZ1209" s="782"/>
      <c r="BA1209" s="781"/>
    </row>
    <row r="1210" spans="1:53" ht="25" hidden="1" customHeight="1">
      <c r="B1210" s="213">
        <v>45518</v>
      </c>
      <c r="C1210" s="578">
        <v>45521</v>
      </c>
      <c r="D1210" s="185">
        <f t="shared" si="387"/>
        <v>2024</v>
      </c>
      <c r="E1210" s="215" t="str">
        <f>VLOOKUP($B1210,Week!$A$1:$C$1462,2,0)</f>
        <v>Week33</v>
      </c>
      <c r="F1210" s="216" t="str">
        <f t="shared" si="388"/>
        <v>Aug</v>
      </c>
      <c r="G1210" s="215" t="s">
        <v>1447</v>
      </c>
      <c r="H1210" s="215" t="s">
        <v>104</v>
      </c>
      <c r="I1210" s="215" t="s">
        <v>2772</v>
      </c>
      <c r="J1210" s="209" t="s">
        <v>105</v>
      </c>
      <c r="K1210" s="217" t="s">
        <v>107</v>
      </c>
      <c r="L1210" s="300" t="s">
        <v>2167</v>
      </c>
      <c r="M1210" s="209" t="s">
        <v>108</v>
      </c>
      <c r="N1210" s="215" t="s">
        <v>109</v>
      </c>
      <c r="O1210" s="215" t="s">
        <v>110</v>
      </c>
      <c r="P1210" s="218">
        <v>36</v>
      </c>
      <c r="Q1210" s="218">
        <v>5</v>
      </c>
      <c r="R1210" s="219">
        <v>7.4999999999999997E-3</v>
      </c>
      <c r="S1210" s="215" t="s">
        <v>111</v>
      </c>
      <c r="T1210" s="215" t="s">
        <v>112</v>
      </c>
      <c r="U1210" s="215" t="s">
        <v>113</v>
      </c>
      <c r="V1210" s="220">
        <f>792-395</f>
        <v>397</v>
      </c>
      <c r="W1210" s="220">
        <f>792-395</f>
        <v>397</v>
      </c>
      <c r="X1210" s="221"/>
      <c r="Y1210" s="222">
        <f t="shared" si="399"/>
        <v>0</v>
      </c>
      <c r="Z1210" s="223">
        <f t="shared" si="400"/>
        <v>0</v>
      </c>
      <c r="AA1210" s="223"/>
      <c r="AB1210" s="807"/>
      <c r="AC1210" s="220"/>
      <c r="AD1210" s="209"/>
      <c r="AE1210" s="210"/>
      <c r="AF1210" s="210"/>
      <c r="AG1210" s="211">
        <f t="shared" si="401"/>
        <v>0.308</v>
      </c>
      <c r="AH1210" s="157">
        <f t="shared" si="402"/>
        <v>0</v>
      </c>
      <c r="AI1210" s="152">
        <f t="shared" si="403"/>
        <v>14292</v>
      </c>
      <c r="AK1210" s="156" t="s">
        <v>691</v>
      </c>
      <c r="AL1210" s="574" t="s">
        <v>690</v>
      </c>
      <c r="AM1210" s="198">
        <f t="shared" si="404"/>
        <v>0</v>
      </c>
      <c r="AN1210" s="199">
        <f t="shared" si="389"/>
        <v>45518</v>
      </c>
      <c r="AO1210" s="159" t="s">
        <v>692</v>
      </c>
      <c r="AP1210" s="781"/>
      <c r="AQ1210" s="782">
        <v>12063755</v>
      </c>
      <c r="AR1210" s="782">
        <v>12061353</v>
      </c>
      <c r="AS1210" s="782">
        <v>12061354</v>
      </c>
      <c r="AT1210" s="782">
        <v>12068566</v>
      </c>
      <c r="AU1210" s="781"/>
      <c r="AV1210" s="782">
        <v>12088206</v>
      </c>
      <c r="AW1210" s="782">
        <v>12088207</v>
      </c>
      <c r="AX1210" s="782"/>
      <c r="AY1210" s="782">
        <v>12068565</v>
      </c>
      <c r="AZ1210" s="782"/>
      <c r="BA1210" s="781"/>
    </row>
    <row r="1211" spans="1:53" ht="25" hidden="1" customHeight="1">
      <c r="B1211" s="213">
        <v>45518</v>
      </c>
      <c r="C1211" s="578">
        <v>45521</v>
      </c>
      <c r="D1211" s="185">
        <f t="shared" si="387"/>
        <v>2024</v>
      </c>
      <c r="E1211" s="215" t="str">
        <f>VLOOKUP($B1211,Week!$A$1:$C$1462,2,0)</f>
        <v>Week33</v>
      </c>
      <c r="F1211" s="216" t="str">
        <f t="shared" si="388"/>
        <v>Aug</v>
      </c>
      <c r="G1211" s="215" t="s">
        <v>1448</v>
      </c>
      <c r="H1211" s="215" t="s">
        <v>104</v>
      </c>
      <c r="I1211" s="215" t="s">
        <v>2772</v>
      </c>
      <c r="J1211" s="209" t="s">
        <v>105</v>
      </c>
      <c r="K1211" s="217" t="s">
        <v>107</v>
      </c>
      <c r="L1211" s="300" t="s">
        <v>2167</v>
      </c>
      <c r="M1211" s="209" t="s">
        <v>108</v>
      </c>
      <c r="N1211" s="215" t="s">
        <v>109</v>
      </c>
      <c r="O1211" s="215" t="s">
        <v>110</v>
      </c>
      <c r="P1211" s="218">
        <v>36</v>
      </c>
      <c r="Q1211" s="218">
        <v>5</v>
      </c>
      <c r="R1211" s="219">
        <v>7.4999999999999997E-3</v>
      </c>
      <c r="S1211" s="215" t="s">
        <v>111</v>
      </c>
      <c r="T1211" s="215" t="s">
        <v>112</v>
      </c>
      <c r="U1211" s="215" t="s">
        <v>113</v>
      </c>
      <c r="V1211" s="220">
        <v>792</v>
      </c>
      <c r="W1211" s="220">
        <v>792</v>
      </c>
      <c r="X1211" s="221"/>
      <c r="Y1211" s="222">
        <f t="shared" si="399"/>
        <v>0</v>
      </c>
      <c r="Z1211" s="223">
        <f t="shared" si="400"/>
        <v>0</v>
      </c>
      <c r="AA1211" s="223"/>
      <c r="AB1211" s="807"/>
      <c r="AC1211" s="220"/>
      <c r="AD1211" s="209"/>
      <c r="AE1211" s="210"/>
      <c r="AF1211" s="210"/>
      <c r="AG1211" s="211">
        <f t="shared" si="401"/>
        <v>0.308</v>
      </c>
      <c r="AH1211" s="157">
        <f t="shared" si="402"/>
        <v>0</v>
      </c>
      <c r="AI1211" s="152">
        <f t="shared" si="403"/>
        <v>28512</v>
      </c>
      <c r="AK1211" s="156" t="s">
        <v>691</v>
      </c>
      <c r="AL1211" s="574" t="s">
        <v>690</v>
      </c>
      <c r="AM1211" s="198">
        <f t="shared" si="404"/>
        <v>0</v>
      </c>
      <c r="AN1211" s="199">
        <f t="shared" si="389"/>
        <v>45518</v>
      </c>
      <c r="AO1211" s="159" t="s">
        <v>692</v>
      </c>
      <c r="AP1211" s="781"/>
      <c r="AQ1211" s="782">
        <v>12063755</v>
      </c>
      <c r="AR1211" s="782">
        <v>12061353</v>
      </c>
      <c r="AS1211" s="782">
        <v>12061354</v>
      </c>
      <c r="AT1211" s="782">
        <v>12068566</v>
      </c>
      <c r="AU1211" s="781"/>
      <c r="AV1211" s="782">
        <v>12088206</v>
      </c>
      <c r="AW1211" s="782">
        <v>12088207</v>
      </c>
      <c r="AX1211" s="782"/>
      <c r="AY1211" s="782">
        <v>12068565</v>
      </c>
      <c r="AZ1211" s="782"/>
      <c r="BA1211" s="781"/>
    </row>
    <row r="1212" spans="1:53" ht="25" hidden="1" customHeight="1">
      <c r="B1212" s="213">
        <v>45518</v>
      </c>
      <c r="C1212" s="578">
        <v>45521</v>
      </c>
      <c r="D1212" s="185">
        <f t="shared" si="387"/>
        <v>2024</v>
      </c>
      <c r="E1212" s="215" t="str">
        <f>VLOOKUP($B1212,Week!$A$1:$C$1462,2,0)</f>
        <v>Week33</v>
      </c>
      <c r="F1212" s="216" t="str">
        <f t="shared" si="388"/>
        <v>Aug</v>
      </c>
      <c r="G1212" s="215" t="s">
        <v>1449</v>
      </c>
      <c r="H1212" s="215" t="s">
        <v>104</v>
      </c>
      <c r="I1212" s="215" t="s">
        <v>2772</v>
      </c>
      <c r="J1212" s="209" t="s">
        <v>105</v>
      </c>
      <c r="K1212" s="217" t="s">
        <v>107</v>
      </c>
      <c r="L1212" s="300" t="s">
        <v>2167</v>
      </c>
      <c r="M1212" s="209" t="s">
        <v>108</v>
      </c>
      <c r="N1212" s="215" t="s">
        <v>109</v>
      </c>
      <c r="O1212" s="215" t="s">
        <v>110</v>
      </c>
      <c r="P1212" s="218">
        <v>36</v>
      </c>
      <c r="Q1212" s="218">
        <v>5</v>
      </c>
      <c r="R1212" s="219">
        <v>7.4999999999999997E-3</v>
      </c>
      <c r="S1212" s="215" t="s">
        <v>111</v>
      </c>
      <c r="T1212" s="215" t="s">
        <v>112</v>
      </c>
      <c r="U1212" s="215" t="s">
        <v>113</v>
      </c>
      <c r="V1212" s="220">
        <v>792</v>
      </c>
      <c r="W1212" s="220">
        <v>792</v>
      </c>
      <c r="X1212" s="221"/>
      <c r="Y1212" s="222">
        <f t="shared" si="399"/>
        <v>0</v>
      </c>
      <c r="Z1212" s="223">
        <f t="shared" si="400"/>
        <v>0</v>
      </c>
      <c r="AA1212" s="223"/>
      <c r="AB1212" s="807"/>
      <c r="AC1212" s="220"/>
      <c r="AD1212" s="209"/>
      <c r="AE1212" s="210"/>
      <c r="AF1212" s="210"/>
      <c r="AG1212" s="211">
        <f t="shared" si="401"/>
        <v>0.308</v>
      </c>
      <c r="AH1212" s="157">
        <f t="shared" si="402"/>
        <v>0</v>
      </c>
      <c r="AI1212" s="152">
        <f t="shared" si="403"/>
        <v>28512</v>
      </c>
      <c r="AK1212" s="156" t="s">
        <v>691</v>
      </c>
      <c r="AL1212" s="574" t="s">
        <v>690</v>
      </c>
      <c r="AM1212" s="198">
        <f t="shared" si="404"/>
        <v>0</v>
      </c>
      <c r="AN1212" s="199">
        <f t="shared" si="389"/>
        <v>45518</v>
      </c>
      <c r="AO1212" s="159" t="s">
        <v>692</v>
      </c>
      <c r="AP1212" s="781"/>
      <c r="AQ1212" s="782">
        <v>12063755</v>
      </c>
      <c r="AR1212" s="782">
        <v>12061353</v>
      </c>
      <c r="AS1212" s="782">
        <v>12061354</v>
      </c>
      <c r="AT1212" s="782">
        <v>12068566</v>
      </c>
      <c r="AU1212" s="781"/>
      <c r="AV1212" s="782">
        <v>12088206</v>
      </c>
      <c r="AW1212" s="782">
        <v>12088207</v>
      </c>
      <c r="AX1212" s="782"/>
      <c r="AY1212" s="782">
        <v>12068565</v>
      </c>
      <c r="AZ1212" s="782"/>
      <c r="BA1212" s="781"/>
    </row>
    <row r="1213" spans="1:53" ht="25" hidden="1" customHeight="1">
      <c r="B1213" s="213">
        <v>45518</v>
      </c>
      <c r="C1213" s="578">
        <v>45528</v>
      </c>
      <c r="D1213" s="185">
        <f t="shared" si="387"/>
        <v>2024</v>
      </c>
      <c r="E1213" s="215" t="str">
        <f>VLOOKUP($B1213,Week!$A$1:$C$1462,2,0)</f>
        <v>Week33</v>
      </c>
      <c r="F1213" s="216" t="str">
        <f t="shared" si="388"/>
        <v>Aug</v>
      </c>
      <c r="G1213" s="215" t="s">
        <v>1450</v>
      </c>
      <c r="H1213" s="215" t="s">
        <v>104</v>
      </c>
      <c r="I1213" s="215" t="s">
        <v>2772</v>
      </c>
      <c r="J1213" s="209" t="s">
        <v>105</v>
      </c>
      <c r="K1213" s="217" t="s">
        <v>107</v>
      </c>
      <c r="L1213" s="300" t="s">
        <v>2167</v>
      </c>
      <c r="M1213" s="209" t="s">
        <v>108</v>
      </c>
      <c r="N1213" s="215" t="s">
        <v>109</v>
      </c>
      <c r="O1213" s="215" t="s">
        <v>110</v>
      </c>
      <c r="P1213" s="218">
        <v>36</v>
      </c>
      <c r="Q1213" s="218">
        <v>5</v>
      </c>
      <c r="R1213" s="219">
        <v>7.4999999999999997E-3</v>
      </c>
      <c r="S1213" s="215" t="s">
        <v>111</v>
      </c>
      <c r="T1213" s="215" t="s">
        <v>112</v>
      </c>
      <c r="U1213" s="215" t="s">
        <v>113</v>
      </c>
      <c r="V1213" s="220">
        <v>792</v>
      </c>
      <c r="W1213" s="220">
        <v>792</v>
      </c>
      <c r="X1213" s="221"/>
      <c r="Y1213" s="222">
        <f t="shared" si="399"/>
        <v>0</v>
      </c>
      <c r="Z1213" s="223">
        <f t="shared" si="400"/>
        <v>0</v>
      </c>
      <c r="AA1213" s="223"/>
      <c r="AB1213" s="807"/>
      <c r="AC1213" s="220"/>
      <c r="AD1213" s="209"/>
      <c r="AE1213" s="210"/>
      <c r="AF1213" s="210"/>
      <c r="AG1213" s="211">
        <f t="shared" si="401"/>
        <v>0.308</v>
      </c>
      <c r="AH1213" s="157">
        <f t="shared" si="402"/>
        <v>0</v>
      </c>
      <c r="AI1213" s="152">
        <f t="shared" si="403"/>
        <v>28512</v>
      </c>
      <c r="AK1213" s="156" t="s">
        <v>691</v>
      </c>
      <c r="AL1213" s="574" t="s">
        <v>690</v>
      </c>
      <c r="AM1213" s="198">
        <f t="shared" si="404"/>
        <v>0</v>
      </c>
      <c r="AN1213" s="199">
        <f t="shared" si="389"/>
        <v>45518</v>
      </c>
      <c r="AO1213" s="159" t="s">
        <v>692</v>
      </c>
      <c r="AP1213" s="781"/>
      <c r="AQ1213" s="782">
        <v>12063755</v>
      </c>
      <c r="AR1213" s="782">
        <v>12061353</v>
      </c>
      <c r="AS1213" s="782">
        <v>12061354</v>
      </c>
      <c r="AT1213" s="782">
        <v>12068566</v>
      </c>
      <c r="AU1213" s="781"/>
      <c r="AV1213" s="782">
        <v>12088206</v>
      </c>
      <c r="AW1213" s="782">
        <v>12088207</v>
      </c>
      <c r="AX1213" s="782"/>
      <c r="AY1213" s="782">
        <v>12068565</v>
      </c>
      <c r="AZ1213" s="782"/>
      <c r="BA1213" s="781"/>
    </row>
    <row r="1214" spans="1:53" ht="25" hidden="1" customHeight="1">
      <c r="B1214" s="213">
        <v>45518</v>
      </c>
      <c r="C1214" s="578">
        <v>45528</v>
      </c>
      <c r="D1214" s="185">
        <f t="shared" si="387"/>
        <v>2024</v>
      </c>
      <c r="E1214" s="215" t="str">
        <f>VLOOKUP($B1214,Week!$A$1:$C$1462,2,0)</f>
        <v>Week33</v>
      </c>
      <c r="F1214" s="216" t="str">
        <f t="shared" si="388"/>
        <v>Aug</v>
      </c>
      <c r="G1214" s="215" t="s">
        <v>1451</v>
      </c>
      <c r="H1214" s="215" t="s">
        <v>104</v>
      </c>
      <c r="I1214" s="215" t="s">
        <v>2772</v>
      </c>
      <c r="J1214" s="209" t="s">
        <v>105</v>
      </c>
      <c r="K1214" s="217" t="s">
        <v>107</v>
      </c>
      <c r="L1214" s="300" t="s">
        <v>2167</v>
      </c>
      <c r="M1214" s="209" t="s">
        <v>108</v>
      </c>
      <c r="N1214" s="215" t="s">
        <v>109</v>
      </c>
      <c r="O1214" s="215" t="s">
        <v>110</v>
      </c>
      <c r="P1214" s="218">
        <v>36</v>
      </c>
      <c r="Q1214" s="218">
        <v>5</v>
      </c>
      <c r="R1214" s="219">
        <v>7.4999999999999997E-3</v>
      </c>
      <c r="S1214" s="215" t="s">
        <v>111</v>
      </c>
      <c r="T1214" s="215" t="s">
        <v>112</v>
      </c>
      <c r="U1214" s="215" t="s">
        <v>113</v>
      </c>
      <c r="V1214" s="220">
        <v>792</v>
      </c>
      <c r="W1214" s="220">
        <v>792</v>
      </c>
      <c r="X1214" s="221"/>
      <c r="Y1214" s="222">
        <f t="shared" si="399"/>
        <v>0</v>
      </c>
      <c r="Z1214" s="223">
        <f t="shared" si="400"/>
        <v>0</v>
      </c>
      <c r="AA1214" s="223"/>
      <c r="AB1214" s="807"/>
      <c r="AC1214" s="220"/>
      <c r="AD1214" s="209"/>
      <c r="AE1214" s="210"/>
      <c r="AF1214" s="210"/>
      <c r="AG1214" s="211">
        <f t="shared" si="401"/>
        <v>0.308</v>
      </c>
      <c r="AH1214" s="157">
        <f t="shared" si="402"/>
        <v>0</v>
      </c>
      <c r="AI1214" s="152">
        <f t="shared" si="403"/>
        <v>28512</v>
      </c>
      <c r="AK1214" s="156" t="s">
        <v>691</v>
      </c>
      <c r="AL1214" s="574" t="s">
        <v>690</v>
      </c>
      <c r="AM1214" s="198">
        <f t="shared" si="404"/>
        <v>0</v>
      </c>
      <c r="AN1214" s="199">
        <f t="shared" si="389"/>
        <v>45518</v>
      </c>
      <c r="AO1214" s="159" t="s">
        <v>692</v>
      </c>
      <c r="AP1214" s="781"/>
      <c r="AQ1214" s="782">
        <v>12063755</v>
      </c>
      <c r="AR1214" s="782">
        <v>12061353</v>
      </c>
      <c r="AS1214" s="782">
        <v>12061354</v>
      </c>
      <c r="AT1214" s="782">
        <v>12068566</v>
      </c>
      <c r="AU1214" s="781"/>
      <c r="AV1214" s="782">
        <v>12088206</v>
      </c>
      <c r="AW1214" s="782">
        <v>12088207</v>
      </c>
      <c r="AX1214" s="782"/>
      <c r="AY1214" s="782">
        <v>12068565</v>
      </c>
      <c r="AZ1214" s="782"/>
      <c r="BA1214" s="781"/>
    </row>
    <row r="1215" spans="1:53" ht="25" hidden="1" customHeight="1">
      <c r="B1215" s="213">
        <v>45518</v>
      </c>
      <c r="C1215" s="578">
        <v>45528</v>
      </c>
      <c r="D1215" s="185">
        <f t="shared" si="387"/>
        <v>2024</v>
      </c>
      <c r="E1215" s="215" t="str">
        <f>VLOOKUP($B1215,Week!$A$1:$C$1462,2,0)</f>
        <v>Week33</v>
      </c>
      <c r="F1215" s="216" t="str">
        <f t="shared" si="388"/>
        <v>Aug</v>
      </c>
      <c r="G1215" s="215" t="s">
        <v>1452</v>
      </c>
      <c r="H1215" s="215" t="s">
        <v>104</v>
      </c>
      <c r="I1215" s="215" t="s">
        <v>2772</v>
      </c>
      <c r="J1215" s="209" t="s">
        <v>105</v>
      </c>
      <c r="K1215" s="217" t="s">
        <v>107</v>
      </c>
      <c r="L1215" s="300" t="s">
        <v>2167</v>
      </c>
      <c r="M1215" s="209" t="s">
        <v>108</v>
      </c>
      <c r="N1215" s="215" t="s">
        <v>109</v>
      </c>
      <c r="O1215" s="215" t="s">
        <v>110</v>
      </c>
      <c r="P1215" s="218">
        <v>36</v>
      </c>
      <c r="Q1215" s="218">
        <v>5</v>
      </c>
      <c r="R1215" s="219">
        <v>7.4999999999999997E-3</v>
      </c>
      <c r="S1215" s="215" t="s">
        <v>111</v>
      </c>
      <c r="T1215" s="215" t="s">
        <v>112</v>
      </c>
      <c r="U1215" s="215" t="s">
        <v>113</v>
      </c>
      <c r="V1215" s="220">
        <f>3879-397-792-792-792-792</f>
        <v>314</v>
      </c>
      <c r="W1215" s="220">
        <f>3879-397-792-792-792-792</f>
        <v>314</v>
      </c>
      <c r="X1215" s="221"/>
      <c r="Y1215" s="222">
        <f t="shared" si="399"/>
        <v>0</v>
      </c>
      <c r="Z1215" s="223">
        <f t="shared" si="400"/>
        <v>0</v>
      </c>
      <c r="AA1215" s="223"/>
      <c r="AB1215" s="807"/>
      <c r="AC1215" s="220"/>
      <c r="AD1215" s="209"/>
      <c r="AE1215" s="210"/>
      <c r="AF1215" s="210"/>
      <c r="AG1215" s="211">
        <f t="shared" si="401"/>
        <v>0.308</v>
      </c>
      <c r="AH1215" s="157">
        <f t="shared" si="402"/>
        <v>0</v>
      </c>
      <c r="AI1215" s="152">
        <f t="shared" si="403"/>
        <v>11304</v>
      </c>
      <c r="AK1215" s="156" t="s">
        <v>691</v>
      </c>
      <c r="AL1215" s="574" t="s">
        <v>690</v>
      </c>
      <c r="AM1215" s="198">
        <f t="shared" si="404"/>
        <v>0</v>
      </c>
      <c r="AN1215" s="199">
        <f t="shared" si="389"/>
        <v>45518</v>
      </c>
      <c r="AO1215" s="159" t="s">
        <v>692</v>
      </c>
      <c r="AP1215" s="781"/>
      <c r="AQ1215" s="782">
        <v>12063755</v>
      </c>
      <c r="AR1215" s="782">
        <v>12061353</v>
      </c>
      <c r="AS1215" s="782">
        <v>12061354</v>
      </c>
      <c r="AT1215" s="782">
        <v>12068566</v>
      </c>
      <c r="AU1215" s="781"/>
      <c r="AV1215" s="782">
        <v>12088206</v>
      </c>
      <c r="AW1215" s="782">
        <v>12088207</v>
      </c>
      <c r="AX1215" s="782"/>
      <c r="AY1215" s="782">
        <v>12068565</v>
      </c>
      <c r="AZ1215" s="782"/>
      <c r="BA1215" s="781"/>
    </row>
    <row r="1216" spans="1:53" ht="25" hidden="1" customHeight="1">
      <c r="B1216" s="213">
        <v>45519</v>
      </c>
      <c r="C1216" s="578">
        <v>45528</v>
      </c>
      <c r="D1216" s="185">
        <f t="shared" si="387"/>
        <v>2024</v>
      </c>
      <c r="E1216" s="215" t="str">
        <f>VLOOKUP($B1216,Week!$A$1:$C$1462,2,0)</f>
        <v>Week33</v>
      </c>
      <c r="F1216" s="216" t="str">
        <f t="shared" si="388"/>
        <v>Aug</v>
      </c>
      <c r="G1216" s="215" t="s">
        <v>1452</v>
      </c>
      <c r="H1216" s="215" t="s">
        <v>104</v>
      </c>
      <c r="I1216" s="215" t="s">
        <v>2772</v>
      </c>
      <c r="J1216" s="209" t="s">
        <v>105</v>
      </c>
      <c r="K1216" s="217" t="s">
        <v>107</v>
      </c>
      <c r="L1216" s="300" t="s">
        <v>2167</v>
      </c>
      <c r="M1216" s="209" t="s">
        <v>108</v>
      </c>
      <c r="N1216" s="215" t="s">
        <v>109</v>
      </c>
      <c r="O1216" s="215" t="s">
        <v>110</v>
      </c>
      <c r="P1216" s="218">
        <v>36</v>
      </c>
      <c r="Q1216" s="218">
        <v>5</v>
      </c>
      <c r="R1216" s="219">
        <v>7.4999999999999997E-3</v>
      </c>
      <c r="S1216" s="215" t="s">
        <v>111</v>
      </c>
      <c r="T1216" s="215" t="s">
        <v>112</v>
      </c>
      <c r="U1216" s="215" t="s">
        <v>113</v>
      </c>
      <c r="V1216" s="220">
        <f>792-314</f>
        <v>478</v>
      </c>
      <c r="W1216" s="220">
        <f>792-314</f>
        <v>478</v>
      </c>
      <c r="X1216" s="221"/>
      <c r="Y1216" s="222">
        <f t="shared" si="399"/>
        <v>0</v>
      </c>
      <c r="Z1216" s="223">
        <f t="shared" si="400"/>
        <v>0</v>
      </c>
      <c r="AA1216" s="223"/>
      <c r="AB1216" s="807"/>
      <c r="AC1216" s="220"/>
      <c r="AD1216" s="209"/>
      <c r="AE1216" s="210"/>
      <c r="AF1216" s="210"/>
      <c r="AG1216" s="211">
        <f t="shared" si="401"/>
        <v>0.308</v>
      </c>
      <c r="AH1216" s="157">
        <f t="shared" si="402"/>
        <v>0</v>
      </c>
      <c r="AI1216" s="152">
        <f t="shared" si="403"/>
        <v>17208</v>
      </c>
      <c r="AK1216" s="156" t="s">
        <v>691</v>
      </c>
      <c r="AL1216" s="574" t="s">
        <v>690</v>
      </c>
      <c r="AM1216" s="198">
        <f t="shared" si="404"/>
        <v>0</v>
      </c>
      <c r="AN1216" s="199">
        <f t="shared" si="389"/>
        <v>45519</v>
      </c>
      <c r="AO1216" s="159" t="s">
        <v>692</v>
      </c>
      <c r="AP1216" s="781"/>
      <c r="AQ1216" s="782">
        <v>12063755</v>
      </c>
      <c r="AR1216" s="782">
        <v>12061353</v>
      </c>
      <c r="AS1216" s="782">
        <v>12061354</v>
      </c>
      <c r="AT1216" s="782">
        <v>12068566</v>
      </c>
      <c r="AU1216" s="781"/>
      <c r="AV1216" s="782">
        <v>12088206</v>
      </c>
      <c r="AW1216" s="782">
        <v>12088207</v>
      </c>
      <c r="AX1216" s="782"/>
      <c r="AY1216" s="782">
        <v>12068565</v>
      </c>
      <c r="AZ1216" s="782"/>
      <c r="BA1216" s="781"/>
    </row>
    <row r="1217" spans="1:53" ht="25" hidden="1" customHeight="1">
      <c r="B1217" s="213">
        <v>45519</v>
      </c>
      <c r="C1217" s="578">
        <v>45528</v>
      </c>
      <c r="D1217" s="185">
        <f t="shared" si="387"/>
        <v>2024</v>
      </c>
      <c r="E1217" s="215" t="str">
        <f>VLOOKUP($B1217,Week!$A$1:$C$1462,2,0)</f>
        <v>Week33</v>
      </c>
      <c r="F1217" s="216" t="str">
        <f t="shared" si="388"/>
        <v>Aug</v>
      </c>
      <c r="G1217" s="215" t="s">
        <v>1453</v>
      </c>
      <c r="H1217" s="215" t="s">
        <v>104</v>
      </c>
      <c r="I1217" s="215" t="s">
        <v>2772</v>
      </c>
      <c r="J1217" s="209" t="s">
        <v>105</v>
      </c>
      <c r="K1217" s="217" t="s">
        <v>107</v>
      </c>
      <c r="L1217" s="300" t="s">
        <v>2167</v>
      </c>
      <c r="M1217" s="209" t="s">
        <v>108</v>
      </c>
      <c r="N1217" s="215" t="s">
        <v>109</v>
      </c>
      <c r="O1217" s="215" t="s">
        <v>110</v>
      </c>
      <c r="P1217" s="218">
        <v>36</v>
      </c>
      <c r="Q1217" s="218">
        <v>5</v>
      </c>
      <c r="R1217" s="219">
        <v>7.4999999999999997E-3</v>
      </c>
      <c r="S1217" s="215" t="s">
        <v>111</v>
      </c>
      <c r="T1217" s="215" t="s">
        <v>112</v>
      </c>
      <c r="U1217" s="215" t="s">
        <v>113</v>
      </c>
      <c r="V1217" s="220">
        <v>792</v>
      </c>
      <c r="W1217" s="220">
        <v>792</v>
      </c>
      <c r="X1217" s="221"/>
      <c r="Y1217" s="222">
        <f t="shared" si="399"/>
        <v>0</v>
      </c>
      <c r="Z1217" s="223">
        <f t="shared" si="400"/>
        <v>0</v>
      </c>
      <c r="AA1217" s="223"/>
      <c r="AB1217" s="807"/>
      <c r="AC1217" s="220"/>
      <c r="AD1217" s="209"/>
      <c r="AE1217" s="210"/>
      <c r="AF1217" s="210"/>
      <c r="AG1217" s="211">
        <f t="shared" si="401"/>
        <v>0.308</v>
      </c>
      <c r="AH1217" s="157">
        <f t="shared" si="402"/>
        <v>0</v>
      </c>
      <c r="AI1217" s="152">
        <f t="shared" si="403"/>
        <v>28512</v>
      </c>
      <c r="AK1217" s="156" t="s">
        <v>691</v>
      </c>
      <c r="AL1217" s="574" t="s">
        <v>690</v>
      </c>
      <c r="AM1217" s="198">
        <f t="shared" si="404"/>
        <v>0</v>
      </c>
      <c r="AN1217" s="199">
        <f t="shared" si="389"/>
        <v>45519</v>
      </c>
      <c r="AO1217" s="159" t="s">
        <v>692</v>
      </c>
      <c r="AP1217" s="781"/>
      <c r="AQ1217" s="782">
        <v>12063755</v>
      </c>
      <c r="AR1217" s="782">
        <v>12061353</v>
      </c>
      <c r="AS1217" s="782">
        <v>12061354</v>
      </c>
      <c r="AT1217" s="782">
        <v>12068566</v>
      </c>
      <c r="AU1217" s="781"/>
      <c r="AV1217" s="782">
        <v>12088206</v>
      </c>
      <c r="AW1217" s="782">
        <v>12088207</v>
      </c>
      <c r="AX1217" s="782"/>
      <c r="AY1217" s="782">
        <v>12068565</v>
      </c>
      <c r="AZ1217" s="782"/>
      <c r="BA1217" s="781"/>
    </row>
    <row r="1218" spans="1:53" ht="25" hidden="1" customHeight="1">
      <c r="B1218" s="213">
        <v>45519</v>
      </c>
      <c r="C1218" s="578">
        <v>45528</v>
      </c>
      <c r="D1218" s="185">
        <f t="shared" si="387"/>
        <v>2024</v>
      </c>
      <c r="E1218" s="215" t="str">
        <f>VLOOKUP($B1218,Week!$A$1:$C$1462,2,0)</f>
        <v>Week33</v>
      </c>
      <c r="F1218" s="216" t="str">
        <f t="shared" si="388"/>
        <v>Aug</v>
      </c>
      <c r="G1218" s="215" t="s">
        <v>1454</v>
      </c>
      <c r="H1218" s="215" t="s">
        <v>104</v>
      </c>
      <c r="I1218" s="215" t="s">
        <v>2772</v>
      </c>
      <c r="J1218" s="209" t="s">
        <v>105</v>
      </c>
      <c r="K1218" s="217" t="s">
        <v>107</v>
      </c>
      <c r="L1218" s="300" t="s">
        <v>2167</v>
      </c>
      <c r="M1218" s="209" t="s">
        <v>108</v>
      </c>
      <c r="N1218" s="215" t="s">
        <v>109</v>
      </c>
      <c r="O1218" s="215" t="s">
        <v>110</v>
      </c>
      <c r="P1218" s="218">
        <v>36</v>
      </c>
      <c r="Q1218" s="218">
        <v>5</v>
      </c>
      <c r="R1218" s="219">
        <v>7.4999999999999997E-3</v>
      </c>
      <c r="S1218" s="215" t="s">
        <v>111</v>
      </c>
      <c r="T1218" s="215" t="s">
        <v>112</v>
      </c>
      <c r="U1218" s="215" t="s">
        <v>113</v>
      </c>
      <c r="V1218" s="220">
        <v>792</v>
      </c>
      <c r="W1218" s="220">
        <v>792</v>
      </c>
      <c r="X1218" s="221"/>
      <c r="Y1218" s="222">
        <f t="shared" si="399"/>
        <v>0</v>
      </c>
      <c r="Z1218" s="223">
        <f t="shared" si="400"/>
        <v>0</v>
      </c>
      <c r="AA1218" s="223"/>
      <c r="AB1218" s="807"/>
      <c r="AC1218" s="220"/>
      <c r="AD1218" s="209"/>
      <c r="AE1218" s="210"/>
      <c r="AF1218" s="210"/>
      <c r="AG1218" s="211">
        <f t="shared" si="401"/>
        <v>0.308</v>
      </c>
      <c r="AH1218" s="157">
        <f t="shared" ref="AH1218:AH1223" si="405">(Z1218*AG1218)/1000</f>
        <v>0</v>
      </c>
      <c r="AI1218" s="152">
        <f t="shared" si="403"/>
        <v>28512</v>
      </c>
      <c r="AK1218" s="156" t="s">
        <v>691</v>
      </c>
      <c r="AL1218" s="574" t="s">
        <v>690</v>
      </c>
      <c r="AM1218" s="198">
        <f t="shared" ref="AM1218:AM1223" si="406">AG1218*Z1218</f>
        <v>0</v>
      </c>
      <c r="AN1218" s="199">
        <f t="shared" si="389"/>
        <v>45519</v>
      </c>
      <c r="AO1218" s="159" t="s">
        <v>692</v>
      </c>
      <c r="AP1218" s="781"/>
      <c r="AQ1218" s="782">
        <v>12063755</v>
      </c>
      <c r="AR1218" s="782">
        <v>12061353</v>
      </c>
      <c r="AS1218" s="782">
        <v>12061354</v>
      </c>
      <c r="AT1218" s="782">
        <v>12068566</v>
      </c>
      <c r="AU1218" s="781"/>
      <c r="AV1218" s="782">
        <v>12088206</v>
      </c>
      <c r="AW1218" s="782">
        <v>12088207</v>
      </c>
      <c r="AX1218" s="782"/>
      <c r="AY1218" s="782">
        <v>12068565</v>
      </c>
      <c r="AZ1218" s="782"/>
      <c r="BA1218" s="781"/>
    </row>
    <row r="1219" spans="1:53" ht="25" hidden="1" customHeight="1">
      <c r="B1219" s="213">
        <v>45519</v>
      </c>
      <c r="C1219" s="578">
        <v>45528</v>
      </c>
      <c r="D1219" s="185">
        <f t="shared" si="387"/>
        <v>2024</v>
      </c>
      <c r="E1219" s="215" t="str">
        <f>VLOOKUP($B1219,Week!$A$1:$C$1462,2,0)</f>
        <v>Week33</v>
      </c>
      <c r="F1219" s="216" t="str">
        <f t="shared" si="388"/>
        <v>Aug</v>
      </c>
      <c r="G1219" s="215" t="s">
        <v>1455</v>
      </c>
      <c r="H1219" s="215" t="s">
        <v>104</v>
      </c>
      <c r="I1219" s="215" t="s">
        <v>2772</v>
      </c>
      <c r="J1219" s="209" t="s">
        <v>105</v>
      </c>
      <c r="K1219" s="217" t="s">
        <v>107</v>
      </c>
      <c r="L1219" s="300" t="s">
        <v>2167</v>
      </c>
      <c r="M1219" s="209" t="s">
        <v>108</v>
      </c>
      <c r="N1219" s="215" t="s">
        <v>109</v>
      </c>
      <c r="O1219" s="215" t="s">
        <v>110</v>
      </c>
      <c r="P1219" s="218">
        <v>36</v>
      </c>
      <c r="Q1219" s="218">
        <v>5</v>
      </c>
      <c r="R1219" s="219">
        <v>7.4999999999999997E-3</v>
      </c>
      <c r="S1219" s="215" t="s">
        <v>111</v>
      </c>
      <c r="T1219" s="215" t="s">
        <v>112</v>
      </c>
      <c r="U1219" s="215" t="s">
        <v>113</v>
      </c>
      <c r="V1219" s="220">
        <v>792</v>
      </c>
      <c r="W1219" s="220">
        <v>792</v>
      </c>
      <c r="X1219" s="221"/>
      <c r="Y1219" s="222">
        <f t="shared" si="399"/>
        <v>0</v>
      </c>
      <c r="Z1219" s="223">
        <f t="shared" si="400"/>
        <v>0</v>
      </c>
      <c r="AA1219" s="223"/>
      <c r="AB1219" s="807"/>
      <c r="AC1219" s="220"/>
      <c r="AD1219" s="209"/>
      <c r="AE1219" s="210"/>
      <c r="AF1219" s="210"/>
      <c r="AG1219" s="211">
        <f t="shared" si="401"/>
        <v>0.308</v>
      </c>
      <c r="AH1219" s="157">
        <f t="shared" si="405"/>
        <v>0</v>
      </c>
      <c r="AI1219" s="152">
        <f t="shared" si="403"/>
        <v>28512</v>
      </c>
      <c r="AK1219" s="156" t="s">
        <v>691</v>
      </c>
      <c r="AL1219" s="574" t="s">
        <v>690</v>
      </c>
      <c r="AM1219" s="198">
        <f t="shared" si="406"/>
        <v>0</v>
      </c>
      <c r="AN1219" s="199">
        <f t="shared" si="389"/>
        <v>45519</v>
      </c>
      <c r="AO1219" s="159" t="s">
        <v>692</v>
      </c>
      <c r="AP1219" s="781"/>
      <c r="AQ1219" s="782">
        <v>12063755</v>
      </c>
      <c r="AR1219" s="782">
        <v>12061353</v>
      </c>
      <c r="AS1219" s="782">
        <v>12061354</v>
      </c>
      <c r="AT1219" s="782">
        <v>12068566</v>
      </c>
      <c r="AU1219" s="781"/>
      <c r="AV1219" s="782">
        <v>12088206</v>
      </c>
      <c r="AW1219" s="782">
        <v>12088207</v>
      </c>
      <c r="AX1219" s="782"/>
      <c r="AY1219" s="782">
        <v>12068565</v>
      </c>
      <c r="AZ1219" s="782"/>
      <c r="BA1219" s="781"/>
    </row>
    <row r="1220" spans="1:53" ht="25" hidden="1" customHeight="1">
      <c r="B1220" s="213">
        <v>45519</v>
      </c>
      <c r="C1220" s="578">
        <v>45528</v>
      </c>
      <c r="D1220" s="185">
        <f t="shared" si="387"/>
        <v>2024</v>
      </c>
      <c r="E1220" s="215" t="str">
        <f>VLOOKUP($B1220,Week!$A$1:$C$1462,2,0)</f>
        <v>Week33</v>
      </c>
      <c r="F1220" s="216" t="str">
        <f t="shared" si="388"/>
        <v>Aug</v>
      </c>
      <c r="G1220" s="215" t="s">
        <v>1456</v>
      </c>
      <c r="H1220" s="215" t="s">
        <v>104</v>
      </c>
      <c r="I1220" s="215" t="s">
        <v>2772</v>
      </c>
      <c r="J1220" s="209" t="s">
        <v>105</v>
      </c>
      <c r="K1220" s="217" t="s">
        <v>107</v>
      </c>
      <c r="L1220" s="300" t="s">
        <v>2167</v>
      </c>
      <c r="M1220" s="209" t="s">
        <v>108</v>
      </c>
      <c r="N1220" s="215" t="s">
        <v>109</v>
      </c>
      <c r="O1220" s="215" t="s">
        <v>110</v>
      </c>
      <c r="P1220" s="218">
        <v>36</v>
      </c>
      <c r="Q1220" s="218">
        <v>5</v>
      </c>
      <c r="R1220" s="219">
        <v>7.4999999999999997E-3</v>
      </c>
      <c r="S1220" s="215" t="s">
        <v>111</v>
      </c>
      <c r="T1220" s="215" t="s">
        <v>112</v>
      </c>
      <c r="U1220" s="215" t="s">
        <v>113</v>
      </c>
      <c r="V1220" s="220">
        <f>541</f>
        <v>541</v>
      </c>
      <c r="W1220" s="220">
        <f>3235-478-792-792-792</f>
        <v>381</v>
      </c>
      <c r="X1220" s="221">
        <f>160</f>
        <v>160</v>
      </c>
      <c r="Y1220" s="222">
        <f t="shared" si="399"/>
        <v>0</v>
      </c>
      <c r="Z1220" s="223">
        <f t="shared" si="400"/>
        <v>0</v>
      </c>
      <c r="AA1220" s="223"/>
      <c r="AB1220" s="807"/>
      <c r="AC1220" s="220"/>
      <c r="AD1220" s="209"/>
      <c r="AE1220" s="210"/>
      <c r="AF1220" s="210"/>
      <c r="AG1220" s="211">
        <f t="shared" si="401"/>
        <v>0.308</v>
      </c>
      <c r="AH1220" s="157">
        <f t="shared" si="405"/>
        <v>0</v>
      </c>
      <c r="AI1220" s="152">
        <f t="shared" si="403"/>
        <v>19476</v>
      </c>
      <c r="AK1220" s="156" t="s">
        <v>691</v>
      </c>
      <c r="AL1220" s="574" t="s">
        <v>690</v>
      </c>
      <c r="AM1220" s="198">
        <f t="shared" si="406"/>
        <v>0</v>
      </c>
      <c r="AN1220" s="199">
        <f t="shared" si="389"/>
        <v>45519</v>
      </c>
      <c r="AO1220" s="159" t="s">
        <v>692</v>
      </c>
      <c r="AP1220" s="781"/>
      <c r="AQ1220" s="782">
        <v>12063755</v>
      </c>
      <c r="AR1220" s="782">
        <v>12061353</v>
      </c>
      <c r="AS1220" s="782">
        <v>12061354</v>
      </c>
      <c r="AT1220" s="782">
        <v>12068566</v>
      </c>
      <c r="AU1220" s="781"/>
      <c r="AV1220" s="782">
        <v>12088206</v>
      </c>
      <c r="AW1220" s="782">
        <v>12088207</v>
      </c>
      <c r="AX1220" s="782"/>
      <c r="AY1220" s="782">
        <v>12068565</v>
      </c>
      <c r="AZ1220" s="782"/>
      <c r="BA1220" s="781"/>
    </row>
    <row r="1221" spans="1:53" ht="25" hidden="1" customHeight="1">
      <c r="A1221" s="142" t="s">
        <v>120</v>
      </c>
      <c r="B1221" s="271">
        <v>45519</v>
      </c>
      <c r="C1221" s="272">
        <v>45538</v>
      </c>
      <c r="D1221" s="185">
        <f t="shared" ref="D1221:D1284" si="407">IF(B1221="","",YEAR(B1221))</f>
        <v>2024</v>
      </c>
      <c r="E1221" s="272" t="str">
        <f>VLOOKUP($B1221,Week!$A$1:$C$1462,2,0)</f>
        <v>Week33</v>
      </c>
      <c r="F1221" s="273" t="str">
        <f t="shared" ref="F1221:F1284" si="408">IF(B1221="","",TEXT(B1221,"[$-409]mmm"))</f>
        <v>Aug</v>
      </c>
      <c r="G1221" s="274" t="s">
        <v>1489</v>
      </c>
      <c r="H1221" s="274" t="s">
        <v>500</v>
      </c>
      <c r="I1221" s="274" t="s">
        <v>2772</v>
      </c>
      <c r="J1221" s="275" t="s">
        <v>285</v>
      </c>
      <c r="K1221" s="276" t="s">
        <v>153</v>
      </c>
      <c r="L1221" s="390" t="s">
        <v>2166</v>
      </c>
      <c r="M1221" s="275" t="s">
        <v>86</v>
      </c>
      <c r="N1221" s="274" t="s">
        <v>547</v>
      </c>
      <c r="O1221" s="274" t="s">
        <v>548</v>
      </c>
      <c r="P1221" s="277">
        <v>10</v>
      </c>
      <c r="Q1221" s="277">
        <v>50</v>
      </c>
      <c r="R1221" s="278">
        <v>6.8100000000000001E-3</v>
      </c>
      <c r="S1221" s="274" t="s">
        <v>76</v>
      </c>
      <c r="T1221" s="274" t="s">
        <v>56</v>
      </c>
      <c r="U1221" s="274" t="s">
        <v>89</v>
      </c>
      <c r="V1221" s="279">
        <f>456</f>
        <v>456</v>
      </c>
      <c r="W1221" s="279">
        <f>28+428</f>
        <v>456</v>
      </c>
      <c r="X1221" s="280"/>
      <c r="Y1221" s="281">
        <f t="shared" si="399"/>
        <v>0</v>
      </c>
      <c r="Z1221" s="282">
        <f t="shared" si="400"/>
        <v>0</v>
      </c>
      <c r="AA1221" s="282">
        <f>Q1221*Z1221</f>
        <v>0</v>
      </c>
      <c r="AB1221" s="812">
        <v>6</v>
      </c>
      <c r="AC1221" s="279">
        <f>Z1221*AB1221</f>
        <v>0</v>
      </c>
      <c r="AD1221" s="209"/>
      <c r="AE1221" s="210"/>
      <c r="AF1221" s="210"/>
      <c r="AG1221" s="211">
        <f t="shared" si="401"/>
        <v>0.63</v>
      </c>
      <c r="AH1221" s="157">
        <f t="shared" si="405"/>
        <v>0</v>
      </c>
      <c r="AI1221" s="152">
        <f t="shared" si="403"/>
        <v>4560</v>
      </c>
      <c r="AK1221" s="156" t="s">
        <v>691</v>
      </c>
      <c r="AL1221" s="156" t="s">
        <v>689</v>
      </c>
      <c r="AM1221" s="198">
        <f t="shared" si="406"/>
        <v>0</v>
      </c>
      <c r="AN1221" s="199">
        <f t="shared" ref="AN1221:AN1284" si="409">B1221</f>
        <v>45519</v>
      </c>
      <c r="AO1221" s="159" t="s">
        <v>692</v>
      </c>
      <c r="AP1221" s="783" t="s">
        <v>620</v>
      </c>
      <c r="AQ1221" s="782" t="s">
        <v>549</v>
      </c>
      <c r="AR1221" s="782">
        <v>12055234</v>
      </c>
      <c r="AS1221" s="781"/>
      <c r="AT1221" s="782"/>
      <c r="AU1221" s="782"/>
      <c r="AV1221" s="782">
        <v>12062809</v>
      </c>
      <c r="AW1221" s="782"/>
      <c r="AX1221" s="782" t="s">
        <v>619</v>
      </c>
      <c r="AY1221" s="781"/>
      <c r="AZ1221" s="781"/>
      <c r="BA1221" s="781"/>
    </row>
    <row r="1222" spans="1:53" ht="25" hidden="1" customHeight="1">
      <c r="B1222" s="213">
        <v>45520</v>
      </c>
      <c r="C1222" s="578">
        <v>45528</v>
      </c>
      <c r="D1222" s="185">
        <f t="shared" si="407"/>
        <v>2024</v>
      </c>
      <c r="E1222" s="215" t="str">
        <f>VLOOKUP($B1222,Week!$A$1:$C$1462,2,0)</f>
        <v>Week33</v>
      </c>
      <c r="F1222" s="216" t="str">
        <f t="shared" si="408"/>
        <v>Aug</v>
      </c>
      <c r="G1222" s="215" t="s">
        <v>1456</v>
      </c>
      <c r="H1222" s="215" t="s">
        <v>104</v>
      </c>
      <c r="I1222" s="215" t="s">
        <v>2772</v>
      </c>
      <c r="J1222" s="209" t="s">
        <v>105</v>
      </c>
      <c r="K1222" s="217" t="s">
        <v>107</v>
      </c>
      <c r="L1222" s="300" t="s">
        <v>2167</v>
      </c>
      <c r="M1222" s="209" t="s">
        <v>108</v>
      </c>
      <c r="N1222" s="215" t="s">
        <v>109</v>
      </c>
      <c r="O1222" s="215" t="s">
        <v>110</v>
      </c>
      <c r="P1222" s="218">
        <v>36</v>
      </c>
      <c r="Q1222" s="218">
        <v>5</v>
      </c>
      <c r="R1222" s="219">
        <v>7.4999999999999997E-3</v>
      </c>
      <c r="S1222" s="215" t="s">
        <v>111</v>
      </c>
      <c r="T1222" s="215" t="s">
        <v>112</v>
      </c>
      <c r="U1222" s="215" t="s">
        <v>113</v>
      </c>
      <c r="V1222" s="220">
        <f>792-541</f>
        <v>251</v>
      </c>
      <c r="W1222" s="220">
        <v>251</v>
      </c>
      <c r="X1222" s="221"/>
      <c r="Y1222" s="222">
        <f t="shared" si="399"/>
        <v>0</v>
      </c>
      <c r="Z1222" s="223">
        <f t="shared" si="400"/>
        <v>0</v>
      </c>
      <c r="AA1222" s="223"/>
      <c r="AB1222" s="807"/>
      <c r="AC1222" s="220"/>
      <c r="AD1222" s="209"/>
      <c r="AE1222" s="210"/>
      <c r="AF1222" s="210"/>
      <c r="AG1222" s="211">
        <f t="shared" si="401"/>
        <v>0.308</v>
      </c>
      <c r="AH1222" s="157">
        <f t="shared" si="405"/>
        <v>0</v>
      </c>
      <c r="AI1222" s="152">
        <f t="shared" si="403"/>
        <v>9036</v>
      </c>
      <c r="AK1222" s="156" t="s">
        <v>691</v>
      </c>
      <c r="AL1222" s="574" t="s">
        <v>690</v>
      </c>
      <c r="AM1222" s="198">
        <f t="shared" si="406"/>
        <v>0</v>
      </c>
      <c r="AN1222" s="199">
        <f t="shared" si="409"/>
        <v>45520</v>
      </c>
      <c r="AO1222" s="159" t="s">
        <v>692</v>
      </c>
      <c r="AP1222" s="781"/>
      <c r="AQ1222" s="782">
        <v>12063755</v>
      </c>
      <c r="AR1222" s="782">
        <v>12061353</v>
      </c>
      <c r="AS1222" s="782">
        <v>12061354</v>
      </c>
      <c r="AT1222" s="782">
        <v>12068566</v>
      </c>
      <c r="AU1222" s="781"/>
      <c r="AV1222" s="782">
        <v>12088206</v>
      </c>
      <c r="AW1222" s="782">
        <v>12088207</v>
      </c>
      <c r="AX1222" s="782"/>
      <c r="AY1222" s="782">
        <v>12068565</v>
      </c>
      <c r="AZ1222" s="782"/>
      <c r="BA1222" s="781"/>
    </row>
    <row r="1223" spans="1:53" ht="25" hidden="1" customHeight="1">
      <c r="B1223" s="213">
        <v>45520</v>
      </c>
      <c r="C1223" s="578">
        <v>45530</v>
      </c>
      <c r="D1223" s="185">
        <f t="shared" si="407"/>
        <v>2024</v>
      </c>
      <c r="E1223" s="215" t="str">
        <f>VLOOKUP($B1223,Week!$A$1:$C$1462,2,0)</f>
        <v>Week33</v>
      </c>
      <c r="F1223" s="216" t="str">
        <f t="shared" si="408"/>
        <v>Aug</v>
      </c>
      <c r="G1223" s="215" t="s">
        <v>1513</v>
      </c>
      <c r="H1223" s="215" t="s">
        <v>104</v>
      </c>
      <c r="I1223" s="215" t="s">
        <v>2772</v>
      </c>
      <c r="J1223" s="209" t="s">
        <v>105</v>
      </c>
      <c r="K1223" s="217" t="s">
        <v>107</v>
      </c>
      <c r="L1223" s="300" t="s">
        <v>2167</v>
      </c>
      <c r="M1223" s="209" t="s">
        <v>108</v>
      </c>
      <c r="N1223" s="215" t="s">
        <v>109</v>
      </c>
      <c r="O1223" s="215" t="s">
        <v>110</v>
      </c>
      <c r="P1223" s="218">
        <v>36</v>
      </c>
      <c r="Q1223" s="218">
        <v>5</v>
      </c>
      <c r="R1223" s="219">
        <v>7.4999999999999997E-3</v>
      </c>
      <c r="S1223" s="215" t="s">
        <v>111</v>
      </c>
      <c r="T1223" s="215" t="s">
        <v>112</v>
      </c>
      <c r="U1223" s="215" t="s">
        <v>113</v>
      </c>
      <c r="V1223" s="220">
        <v>792</v>
      </c>
      <c r="W1223" s="220">
        <v>792</v>
      </c>
      <c r="X1223" s="221"/>
      <c r="Y1223" s="222">
        <f t="shared" si="399"/>
        <v>0</v>
      </c>
      <c r="Z1223" s="223">
        <f t="shared" si="400"/>
        <v>0</v>
      </c>
      <c r="AA1223" s="223"/>
      <c r="AB1223" s="807"/>
      <c r="AC1223" s="220"/>
      <c r="AD1223" s="209"/>
      <c r="AE1223" s="210"/>
      <c r="AF1223" s="210"/>
      <c r="AG1223" s="211">
        <f t="shared" si="401"/>
        <v>0.308</v>
      </c>
      <c r="AH1223" s="157">
        <f t="shared" si="405"/>
        <v>0</v>
      </c>
      <c r="AI1223" s="152">
        <f t="shared" si="403"/>
        <v>28512</v>
      </c>
      <c r="AK1223" s="156" t="s">
        <v>691</v>
      </c>
      <c r="AL1223" s="574" t="s">
        <v>690</v>
      </c>
      <c r="AM1223" s="198">
        <f t="shared" si="406"/>
        <v>0</v>
      </c>
      <c r="AN1223" s="199">
        <f t="shared" si="409"/>
        <v>45520</v>
      </c>
      <c r="AO1223" s="159" t="s">
        <v>692</v>
      </c>
      <c r="AP1223" s="781"/>
      <c r="AQ1223" s="782">
        <v>12063755</v>
      </c>
      <c r="AR1223" s="782">
        <v>12061353</v>
      </c>
      <c r="AS1223" s="782">
        <v>12061354</v>
      </c>
      <c r="AT1223" s="782">
        <v>12068566</v>
      </c>
      <c r="AU1223" s="781"/>
      <c r="AV1223" s="782">
        <v>12088206</v>
      </c>
      <c r="AW1223" s="782">
        <v>12088207</v>
      </c>
      <c r="AX1223" s="782"/>
      <c r="AY1223" s="782">
        <v>12068565</v>
      </c>
      <c r="AZ1223" s="782"/>
      <c r="BA1223" s="781"/>
    </row>
    <row r="1224" spans="1:53" ht="25" hidden="1" customHeight="1">
      <c r="B1224" s="213">
        <v>45520</v>
      </c>
      <c r="C1224" s="578">
        <v>45530</v>
      </c>
      <c r="D1224" s="185">
        <f t="shared" si="407"/>
        <v>2024</v>
      </c>
      <c r="E1224" s="215" t="str">
        <f>VLOOKUP($B1224,Week!$A$1:$C$1462,2,0)</f>
        <v>Week33</v>
      </c>
      <c r="F1224" s="216" t="str">
        <f t="shared" si="408"/>
        <v>Aug</v>
      </c>
      <c r="G1224" s="215" t="s">
        <v>1514</v>
      </c>
      <c r="H1224" s="215" t="s">
        <v>104</v>
      </c>
      <c r="I1224" s="215" t="s">
        <v>2772</v>
      </c>
      <c r="J1224" s="209" t="s">
        <v>105</v>
      </c>
      <c r="K1224" s="217" t="s">
        <v>107</v>
      </c>
      <c r="L1224" s="300" t="s">
        <v>2167</v>
      </c>
      <c r="M1224" s="209" t="s">
        <v>108</v>
      </c>
      <c r="N1224" s="215" t="s">
        <v>109</v>
      </c>
      <c r="O1224" s="215" t="s">
        <v>110</v>
      </c>
      <c r="P1224" s="218">
        <v>36</v>
      </c>
      <c r="Q1224" s="218">
        <v>5</v>
      </c>
      <c r="R1224" s="219">
        <v>7.4999999999999997E-3</v>
      </c>
      <c r="S1224" s="215" t="s">
        <v>111</v>
      </c>
      <c r="T1224" s="215" t="s">
        <v>112</v>
      </c>
      <c r="U1224" s="215" t="s">
        <v>113</v>
      </c>
      <c r="V1224" s="220">
        <v>792</v>
      </c>
      <c r="W1224" s="220">
        <v>792</v>
      </c>
      <c r="X1224" s="221"/>
      <c r="Y1224" s="222">
        <f t="shared" si="399"/>
        <v>0</v>
      </c>
      <c r="Z1224" s="223">
        <f t="shared" si="400"/>
        <v>0</v>
      </c>
      <c r="AA1224" s="223"/>
      <c r="AB1224" s="807"/>
      <c r="AC1224" s="220"/>
      <c r="AD1224" s="209"/>
      <c r="AE1224" s="210"/>
      <c r="AF1224" s="210"/>
      <c r="AG1224" s="211">
        <f t="shared" si="401"/>
        <v>0.308</v>
      </c>
      <c r="AH1224" s="157">
        <f t="shared" ref="AH1224:AH1230" si="410">(Z1224*AG1224)/1000</f>
        <v>0</v>
      </c>
      <c r="AI1224" s="152">
        <f t="shared" si="403"/>
        <v>28512</v>
      </c>
      <c r="AK1224" s="156" t="s">
        <v>691</v>
      </c>
      <c r="AL1224" s="574" t="s">
        <v>690</v>
      </c>
      <c r="AM1224" s="198">
        <f t="shared" ref="AM1224:AM1255" si="411">AG1224*Z1224</f>
        <v>0</v>
      </c>
      <c r="AN1224" s="199">
        <f t="shared" si="409"/>
        <v>45520</v>
      </c>
      <c r="AO1224" s="159" t="s">
        <v>692</v>
      </c>
      <c r="AP1224" s="781"/>
      <c r="AQ1224" s="782">
        <v>12063755</v>
      </c>
      <c r="AR1224" s="782">
        <v>12061353</v>
      </c>
      <c r="AS1224" s="782">
        <v>12061354</v>
      </c>
      <c r="AT1224" s="782">
        <v>12068566</v>
      </c>
      <c r="AU1224" s="781"/>
      <c r="AV1224" s="782">
        <v>12088206</v>
      </c>
      <c r="AW1224" s="782">
        <v>12088207</v>
      </c>
      <c r="AX1224" s="782"/>
      <c r="AY1224" s="782">
        <v>12068565</v>
      </c>
      <c r="AZ1224" s="782"/>
      <c r="BA1224" s="781"/>
    </row>
    <row r="1225" spans="1:53" ht="25" hidden="1" customHeight="1">
      <c r="B1225" s="213">
        <v>45520</v>
      </c>
      <c r="C1225" s="578">
        <v>45535</v>
      </c>
      <c r="D1225" s="185">
        <f t="shared" si="407"/>
        <v>2024</v>
      </c>
      <c r="E1225" s="215" t="str">
        <f>VLOOKUP($B1225,Week!$A$1:$C$1462,2,0)</f>
        <v>Week33</v>
      </c>
      <c r="F1225" s="216" t="str">
        <f t="shared" si="408"/>
        <v>Aug</v>
      </c>
      <c r="G1225" s="215" t="s">
        <v>1515</v>
      </c>
      <c r="H1225" s="215" t="s">
        <v>104</v>
      </c>
      <c r="I1225" s="215" t="s">
        <v>2772</v>
      </c>
      <c r="J1225" s="209" t="s">
        <v>105</v>
      </c>
      <c r="K1225" s="217" t="s">
        <v>107</v>
      </c>
      <c r="L1225" s="300" t="s">
        <v>2167</v>
      </c>
      <c r="M1225" s="209" t="s">
        <v>108</v>
      </c>
      <c r="N1225" s="215" t="s">
        <v>109</v>
      </c>
      <c r="O1225" s="215" t="s">
        <v>110</v>
      </c>
      <c r="P1225" s="218">
        <v>36</v>
      </c>
      <c r="Q1225" s="218">
        <v>5</v>
      </c>
      <c r="R1225" s="219">
        <v>7.4999999999999997E-3</v>
      </c>
      <c r="S1225" s="215" t="s">
        <v>111</v>
      </c>
      <c r="T1225" s="215" t="s">
        <v>112</v>
      </c>
      <c r="U1225" s="215" t="s">
        <v>113</v>
      </c>
      <c r="V1225" s="220">
        <f>1984-251-792-792+160</f>
        <v>309</v>
      </c>
      <c r="W1225" s="220">
        <f>1984-251-792-792</f>
        <v>149</v>
      </c>
      <c r="X1225" s="221">
        <f>160</f>
        <v>160</v>
      </c>
      <c r="Y1225" s="222">
        <f t="shared" si="399"/>
        <v>0</v>
      </c>
      <c r="Z1225" s="223">
        <f t="shared" si="400"/>
        <v>0</v>
      </c>
      <c r="AA1225" s="223"/>
      <c r="AB1225" s="807"/>
      <c r="AC1225" s="220"/>
      <c r="AD1225" s="209"/>
      <c r="AE1225" s="210"/>
      <c r="AF1225" s="210"/>
      <c r="AG1225" s="211">
        <f t="shared" si="401"/>
        <v>0.308</v>
      </c>
      <c r="AH1225" s="157">
        <f t="shared" si="410"/>
        <v>0</v>
      </c>
      <c r="AI1225" s="152">
        <f t="shared" si="403"/>
        <v>11124</v>
      </c>
      <c r="AK1225" s="156" t="s">
        <v>691</v>
      </c>
      <c r="AL1225" s="574" t="s">
        <v>690</v>
      </c>
      <c r="AM1225" s="198">
        <f t="shared" si="411"/>
        <v>0</v>
      </c>
      <c r="AN1225" s="199">
        <f t="shared" si="409"/>
        <v>45520</v>
      </c>
      <c r="AO1225" s="159" t="s">
        <v>692</v>
      </c>
      <c r="AP1225" s="781"/>
      <c r="AQ1225" s="782">
        <v>12063755</v>
      </c>
      <c r="AR1225" s="782">
        <v>12061353</v>
      </c>
      <c r="AS1225" s="782">
        <v>12061354</v>
      </c>
      <c r="AT1225" s="782">
        <v>12068566</v>
      </c>
      <c r="AU1225" s="781"/>
      <c r="AV1225" s="782">
        <v>12088206</v>
      </c>
      <c r="AW1225" s="782">
        <v>12088207</v>
      </c>
      <c r="AX1225" s="782"/>
      <c r="AY1225" s="782">
        <v>12068565</v>
      </c>
      <c r="AZ1225" s="782"/>
      <c r="BA1225" s="781"/>
    </row>
    <row r="1226" spans="1:53" ht="24.65" hidden="1" customHeight="1">
      <c r="B1226" s="308">
        <v>45520</v>
      </c>
      <c r="C1226" s="309">
        <v>45533</v>
      </c>
      <c r="D1226" s="185">
        <f t="shared" si="407"/>
        <v>2024</v>
      </c>
      <c r="E1226" s="309" t="str">
        <f>VLOOKUP($B1226,Week!$A$1:$C$1462,2,0)</f>
        <v>Week33</v>
      </c>
      <c r="F1226" s="310" t="str">
        <f t="shared" si="408"/>
        <v>Aug</v>
      </c>
      <c r="G1226" s="311" t="s">
        <v>1542</v>
      </c>
      <c r="H1226" s="311" t="s">
        <v>311</v>
      </c>
      <c r="I1226" s="311" t="s">
        <v>2772</v>
      </c>
      <c r="J1226" s="312" t="s">
        <v>738</v>
      </c>
      <c r="K1226" s="313" t="s">
        <v>107</v>
      </c>
      <c r="L1226" s="300" t="s">
        <v>2167</v>
      </c>
      <c r="M1226" s="312" t="s">
        <v>313</v>
      </c>
      <c r="N1226" s="311" t="s">
        <v>314</v>
      </c>
      <c r="O1226" s="311" t="s">
        <v>110</v>
      </c>
      <c r="P1226" s="314">
        <v>36</v>
      </c>
      <c r="Q1226" s="314">
        <v>5</v>
      </c>
      <c r="R1226" s="315">
        <v>7.4999999999999997E-3</v>
      </c>
      <c r="S1226" s="311" t="s">
        <v>111</v>
      </c>
      <c r="T1226" s="311" t="s">
        <v>112</v>
      </c>
      <c r="U1226" s="311" t="s">
        <v>57</v>
      </c>
      <c r="V1226" s="316">
        <f>792-385</f>
        <v>407</v>
      </c>
      <c r="W1226" s="316">
        <f>407</f>
        <v>407</v>
      </c>
      <c r="X1226" s="317"/>
      <c r="Y1226" s="318">
        <f t="shared" si="399"/>
        <v>0</v>
      </c>
      <c r="Z1226" s="319">
        <f t="shared" si="400"/>
        <v>0</v>
      </c>
      <c r="AA1226" s="319"/>
      <c r="AB1226" s="815"/>
      <c r="AC1226" s="316"/>
      <c r="AD1226" s="515"/>
      <c r="AE1226" s="210"/>
      <c r="AF1226" s="210"/>
      <c r="AG1226" s="211">
        <f t="shared" si="401"/>
        <v>0.308</v>
      </c>
      <c r="AH1226" s="157">
        <f t="shared" si="410"/>
        <v>0</v>
      </c>
      <c r="AI1226" s="152">
        <f t="shared" si="403"/>
        <v>14652</v>
      </c>
      <c r="AK1226" s="156" t="s">
        <v>691</v>
      </c>
      <c r="AL1226" s="212" t="s">
        <v>690</v>
      </c>
      <c r="AM1226" s="198">
        <f t="shared" si="411"/>
        <v>0</v>
      </c>
      <c r="AN1226" s="199">
        <f t="shared" si="409"/>
        <v>45520</v>
      </c>
      <c r="AO1226" s="159" t="s">
        <v>692</v>
      </c>
      <c r="AP1226" s="783" t="s">
        <v>644</v>
      </c>
      <c r="AQ1226" s="782">
        <v>12063755</v>
      </c>
      <c r="AR1226" s="782">
        <v>12061353</v>
      </c>
      <c r="AS1226" s="782">
        <v>12061354</v>
      </c>
      <c r="AT1226" s="782">
        <v>12062266</v>
      </c>
      <c r="AU1226" s="781"/>
      <c r="AV1226" s="782">
        <v>12088159</v>
      </c>
      <c r="AW1226" s="782">
        <v>12088207</v>
      </c>
      <c r="AX1226" s="782"/>
      <c r="AY1226" s="782">
        <v>12062262</v>
      </c>
      <c r="AZ1226" s="782"/>
      <c r="BA1226" s="781"/>
    </row>
    <row r="1227" spans="1:53" ht="25" hidden="1" customHeight="1">
      <c r="B1227" s="487">
        <v>45520</v>
      </c>
      <c r="C1227" s="487">
        <v>45538</v>
      </c>
      <c r="D1227" s="185">
        <f t="shared" si="407"/>
        <v>2024</v>
      </c>
      <c r="E1227" s="488" t="str">
        <f>VLOOKUP($B1227,Week!$A$1:$C$1462,2,0)</f>
        <v>Week33</v>
      </c>
      <c r="F1227" s="489" t="str">
        <f t="shared" si="408"/>
        <v>Aug</v>
      </c>
      <c r="G1227" s="444" t="s">
        <v>1470</v>
      </c>
      <c r="H1227" s="444" t="s">
        <v>571</v>
      </c>
      <c r="I1227" s="444" t="s">
        <v>2772</v>
      </c>
      <c r="J1227" s="490" t="s">
        <v>663</v>
      </c>
      <c r="K1227" s="491" t="s">
        <v>107</v>
      </c>
      <c r="L1227" s="300" t="s">
        <v>2167</v>
      </c>
      <c r="M1227" s="490" t="s">
        <v>136</v>
      </c>
      <c r="N1227" s="444" t="s">
        <v>574</v>
      </c>
      <c r="O1227" s="444" t="s">
        <v>270</v>
      </c>
      <c r="P1227" s="492">
        <v>12</v>
      </c>
      <c r="Q1227" s="492">
        <v>3</v>
      </c>
      <c r="R1227" s="493">
        <v>7.4999999999999997E-3</v>
      </c>
      <c r="S1227" s="444" t="s">
        <v>111</v>
      </c>
      <c r="T1227" s="444" t="s">
        <v>112</v>
      </c>
      <c r="U1227" s="444" t="s">
        <v>57</v>
      </c>
      <c r="V1227" s="494">
        <v>2040</v>
      </c>
      <c r="W1227" s="494"/>
      <c r="X1227" s="495">
        <f>(1175+25284)/12</f>
        <v>2204.9166666666665</v>
      </c>
      <c r="Y1227" s="496">
        <f t="shared" si="399"/>
        <v>164.91666666666652</v>
      </c>
      <c r="Z1227" s="497">
        <f t="shared" si="400"/>
        <v>0</v>
      </c>
      <c r="AA1227" s="497"/>
      <c r="AB1227" s="829"/>
      <c r="AC1227" s="494"/>
      <c r="AD1227" s="639" t="s">
        <v>1414</v>
      </c>
      <c r="AE1227" s="210"/>
      <c r="AF1227" s="210"/>
      <c r="AG1227" s="211">
        <f t="shared" si="401"/>
        <v>0.309</v>
      </c>
      <c r="AH1227" s="157">
        <f t="shared" si="410"/>
        <v>0</v>
      </c>
      <c r="AI1227" s="152">
        <f t="shared" si="403"/>
        <v>24480</v>
      </c>
      <c r="AK1227" s="156" t="s">
        <v>691</v>
      </c>
      <c r="AL1227" s="212" t="s">
        <v>690</v>
      </c>
      <c r="AM1227" s="198">
        <f t="shared" si="411"/>
        <v>0</v>
      </c>
      <c r="AN1227" s="199">
        <f t="shared" si="409"/>
        <v>45520</v>
      </c>
      <c r="AO1227" s="159" t="s">
        <v>692</v>
      </c>
      <c r="AP1227" s="781"/>
      <c r="AQ1227" s="782">
        <v>12063755</v>
      </c>
      <c r="AR1227" s="782">
        <v>12061353</v>
      </c>
      <c r="AS1227" s="782">
        <v>12061354</v>
      </c>
      <c r="AT1227" s="782">
        <v>12090252</v>
      </c>
      <c r="AU1227" s="781"/>
      <c r="AV1227" s="782">
        <v>12090250</v>
      </c>
      <c r="AW1227" s="782"/>
      <c r="AX1227" s="782"/>
      <c r="AY1227" s="782">
        <v>12082927</v>
      </c>
      <c r="AZ1227" s="782">
        <v>12082928</v>
      </c>
      <c r="BA1227" s="782">
        <v>12082929</v>
      </c>
    </row>
    <row r="1228" spans="1:53" ht="25" hidden="1" customHeight="1">
      <c r="A1228" s="142" t="s">
        <v>120</v>
      </c>
      <c r="B1228" s="271">
        <v>45520</v>
      </c>
      <c r="C1228" s="272">
        <v>45538</v>
      </c>
      <c r="D1228" s="185">
        <f t="shared" si="407"/>
        <v>2024</v>
      </c>
      <c r="E1228" s="272" t="str">
        <f>VLOOKUP($B1228,Week!$A$1:$C$1462,2,0)</f>
        <v>Week33</v>
      </c>
      <c r="F1228" s="273" t="str">
        <f t="shared" si="408"/>
        <v>Aug</v>
      </c>
      <c r="G1228" s="274" t="s">
        <v>1489</v>
      </c>
      <c r="H1228" s="274" t="s">
        <v>500</v>
      </c>
      <c r="I1228" s="274" t="s">
        <v>2772</v>
      </c>
      <c r="J1228" s="275" t="s">
        <v>285</v>
      </c>
      <c r="K1228" s="276" t="s">
        <v>153</v>
      </c>
      <c r="L1228" s="390" t="s">
        <v>2166</v>
      </c>
      <c r="M1228" s="275" t="s">
        <v>86</v>
      </c>
      <c r="N1228" s="274" t="s">
        <v>547</v>
      </c>
      <c r="O1228" s="274" t="s">
        <v>548</v>
      </c>
      <c r="P1228" s="277">
        <v>10</v>
      </c>
      <c r="Q1228" s="277">
        <v>50</v>
      </c>
      <c r="R1228" s="278">
        <v>6.8100000000000001E-3</v>
      </c>
      <c r="S1228" s="274" t="s">
        <v>76</v>
      </c>
      <c r="T1228" s="274" t="s">
        <v>56</v>
      </c>
      <c r="U1228" s="274" t="s">
        <v>89</v>
      </c>
      <c r="V1228" s="279">
        <v>430</v>
      </c>
      <c r="W1228" s="279">
        <v>430</v>
      </c>
      <c r="X1228" s="280"/>
      <c r="Y1228" s="281">
        <f t="shared" si="399"/>
        <v>0</v>
      </c>
      <c r="Z1228" s="282">
        <f t="shared" si="400"/>
        <v>0</v>
      </c>
      <c r="AA1228" s="282">
        <f>Q1228*Z1228</f>
        <v>0</v>
      </c>
      <c r="AB1228" s="812">
        <v>6</v>
      </c>
      <c r="AC1228" s="279">
        <f>Z1228*AB1228</f>
        <v>0</v>
      </c>
      <c r="AD1228" s="209"/>
      <c r="AE1228" s="210"/>
      <c r="AF1228" s="210"/>
      <c r="AG1228" s="211">
        <f t="shared" si="401"/>
        <v>0.63</v>
      </c>
      <c r="AH1228" s="157">
        <f t="shared" si="410"/>
        <v>0</v>
      </c>
      <c r="AI1228" s="152">
        <f t="shared" si="403"/>
        <v>4300</v>
      </c>
      <c r="AK1228" s="156" t="s">
        <v>691</v>
      </c>
      <c r="AL1228" s="156" t="s">
        <v>689</v>
      </c>
      <c r="AM1228" s="198">
        <f t="shared" si="411"/>
        <v>0</v>
      </c>
      <c r="AN1228" s="199">
        <f t="shared" si="409"/>
        <v>45520</v>
      </c>
      <c r="AO1228" s="159" t="s">
        <v>692</v>
      </c>
      <c r="AP1228" s="783" t="s">
        <v>620</v>
      </c>
      <c r="AQ1228" s="782" t="s">
        <v>549</v>
      </c>
      <c r="AR1228" s="782">
        <v>12055234</v>
      </c>
      <c r="AS1228" s="781"/>
      <c r="AT1228" s="782"/>
      <c r="AU1228" s="782"/>
      <c r="AV1228" s="782">
        <v>12062809</v>
      </c>
      <c r="AW1228" s="782"/>
      <c r="AX1228" s="782" t="s">
        <v>619</v>
      </c>
      <c r="AY1228" s="781"/>
      <c r="AZ1228" s="781"/>
      <c r="BA1228" s="781"/>
    </row>
    <row r="1229" spans="1:53" ht="24.75" hidden="1" customHeight="1">
      <c r="B1229" s="320">
        <v>45521</v>
      </c>
      <c r="C1229" s="321">
        <v>45525</v>
      </c>
      <c r="D1229" s="185">
        <f t="shared" si="407"/>
        <v>2024</v>
      </c>
      <c r="E1229" s="321" t="str">
        <f>VLOOKUP($B1229,Week!$A$1:$C$1462,2,0)</f>
        <v>Week33</v>
      </c>
      <c r="F1229" s="322" t="str">
        <f t="shared" si="408"/>
        <v>Aug</v>
      </c>
      <c r="G1229" s="323" t="s">
        <v>1588</v>
      </c>
      <c r="H1229" s="323" t="s">
        <v>675</v>
      </c>
      <c r="I1229" s="323" t="s">
        <v>2772</v>
      </c>
      <c r="J1229" s="324" t="s">
        <v>709</v>
      </c>
      <c r="K1229" s="325" t="s">
        <v>107</v>
      </c>
      <c r="L1229" s="300" t="s">
        <v>2167</v>
      </c>
      <c r="M1229" s="324" t="s">
        <v>313</v>
      </c>
      <c r="N1229" s="596" t="s">
        <v>710</v>
      </c>
      <c r="O1229" s="323" t="s">
        <v>592</v>
      </c>
      <c r="P1229" s="326">
        <v>8</v>
      </c>
      <c r="Q1229" s="326">
        <v>4</v>
      </c>
      <c r="R1229" s="327">
        <v>7.4999999999999997E-3</v>
      </c>
      <c r="S1229" s="323" t="s">
        <v>111</v>
      </c>
      <c r="T1229" s="323" t="s">
        <v>112</v>
      </c>
      <c r="U1229" s="323" t="s">
        <v>57</v>
      </c>
      <c r="V1229" s="328">
        <f>610</f>
        <v>610</v>
      </c>
      <c r="W1229" s="328"/>
      <c r="X1229" s="329">
        <f>(762+4118)/8</f>
        <v>610</v>
      </c>
      <c r="Y1229" s="330">
        <f t="shared" si="399"/>
        <v>0</v>
      </c>
      <c r="Z1229" s="331">
        <f t="shared" si="400"/>
        <v>0</v>
      </c>
      <c r="AA1229" s="331"/>
      <c r="AB1229" s="816"/>
      <c r="AC1229" s="328"/>
      <c r="AD1229" s="307" t="s">
        <v>672</v>
      </c>
      <c r="AE1229" s="210"/>
      <c r="AF1229" s="210"/>
      <c r="AG1229" s="211">
        <f t="shared" si="401"/>
        <v>0.30499999999999999</v>
      </c>
      <c r="AH1229" s="157">
        <f t="shared" si="410"/>
        <v>0</v>
      </c>
      <c r="AI1229" s="152">
        <f t="shared" si="403"/>
        <v>4880</v>
      </c>
      <c r="AK1229" s="156" t="s">
        <v>691</v>
      </c>
      <c r="AL1229" s="212" t="s">
        <v>690</v>
      </c>
      <c r="AM1229" s="198">
        <f t="shared" si="411"/>
        <v>0</v>
      </c>
      <c r="AN1229" s="199">
        <f t="shared" si="409"/>
        <v>45521</v>
      </c>
      <c r="AO1229" s="159" t="s">
        <v>692</v>
      </c>
      <c r="AP1229" s="783" t="s">
        <v>643</v>
      </c>
      <c r="AQ1229" s="782">
        <v>12063755</v>
      </c>
      <c r="AR1229" s="782">
        <v>12061353</v>
      </c>
      <c r="AS1229" s="782">
        <v>12061354</v>
      </c>
      <c r="AT1229" s="782">
        <v>12089987</v>
      </c>
      <c r="AU1229" s="781"/>
      <c r="AV1229" s="782">
        <v>12089986</v>
      </c>
      <c r="AW1229" s="782"/>
      <c r="AX1229" s="782"/>
      <c r="AY1229" s="782"/>
      <c r="AZ1229" s="782"/>
      <c r="BA1229" s="781"/>
    </row>
    <row r="1230" spans="1:53" ht="24.75" hidden="1" customHeight="1">
      <c r="B1230" s="320">
        <v>45521</v>
      </c>
      <c r="C1230" s="321">
        <v>45533</v>
      </c>
      <c r="D1230" s="185">
        <f t="shared" si="407"/>
        <v>2024</v>
      </c>
      <c r="E1230" s="321" t="str">
        <f>VLOOKUP($B1230,Week!$A$1:$C$1462,2,0)</f>
        <v>Week33</v>
      </c>
      <c r="F1230" s="322" t="str">
        <f t="shared" si="408"/>
        <v>Aug</v>
      </c>
      <c r="G1230" s="323" t="s">
        <v>1589</v>
      </c>
      <c r="H1230" s="323" t="s">
        <v>675</v>
      </c>
      <c r="I1230" s="323" t="s">
        <v>2772</v>
      </c>
      <c r="J1230" s="324" t="s">
        <v>709</v>
      </c>
      <c r="K1230" s="325" t="s">
        <v>107</v>
      </c>
      <c r="L1230" s="300" t="s">
        <v>2167</v>
      </c>
      <c r="M1230" s="324" t="s">
        <v>313</v>
      </c>
      <c r="N1230" s="596" t="s">
        <v>710</v>
      </c>
      <c r="O1230" s="323" t="s">
        <v>592</v>
      </c>
      <c r="P1230" s="326">
        <v>8</v>
      </c>
      <c r="Q1230" s="326">
        <v>4</v>
      </c>
      <c r="R1230" s="327">
        <v>7.4999999999999997E-3</v>
      </c>
      <c r="S1230" s="323" t="s">
        <v>111</v>
      </c>
      <c r="T1230" s="323" t="s">
        <v>112</v>
      </c>
      <c r="U1230" s="323" t="s">
        <v>57</v>
      </c>
      <c r="V1230" s="328">
        <f>510</f>
        <v>510</v>
      </c>
      <c r="W1230" s="328"/>
      <c r="X1230" s="329">
        <f>510</f>
        <v>510</v>
      </c>
      <c r="Y1230" s="330">
        <f t="shared" si="399"/>
        <v>0</v>
      </c>
      <c r="Z1230" s="331">
        <f t="shared" si="400"/>
        <v>0</v>
      </c>
      <c r="AA1230" s="331"/>
      <c r="AB1230" s="816"/>
      <c r="AC1230" s="328"/>
      <c r="AD1230" s="307" t="s">
        <v>672</v>
      </c>
      <c r="AE1230" s="210"/>
      <c r="AF1230" s="210"/>
      <c r="AG1230" s="211">
        <f t="shared" si="401"/>
        <v>0.30499999999999999</v>
      </c>
      <c r="AH1230" s="157">
        <f t="shared" si="410"/>
        <v>0</v>
      </c>
      <c r="AI1230" s="152">
        <f t="shared" si="403"/>
        <v>4080</v>
      </c>
      <c r="AK1230" s="156" t="s">
        <v>691</v>
      </c>
      <c r="AL1230" s="212" t="s">
        <v>690</v>
      </c>
      <c r="AM1230" s="198">
        <f t="shared" si="411"/>
        <v>0</v>
      </c>
      <c r="AN1230" s="199">
        <f t="shared" si="409"/>
        <v>45521</v>
      </c>
      <c r="AO1230" s="159" t="s">
        <v>692</v>
      </c>
      <c r="AP1230" s="783" t="s">
        <v>643</v>
      </c>
      <c r="AQ1230" s="782">
        <v>12063755</v>
      </c>
      <c r="AR1230" s="782">
        <v>12061353</v>
      </c>
      <c r="AS1230" s="782">
        <v>12061354</v>
      </c>
      <c r="AT1230" s="782">
        <v>12089987</v>
      </c>
      <c r="AU1230" s="781"/>
      <c r="AV1230" s="782">
        <v>12089986</v>
      </c>
      <c r="AW1230" s="782"/>
      <c r="AX1230" s="782"/>
      <c r="AY1230" s="782"/>
      <c r="AZ1230" s="782"/>
      <c r="BA1230" s="781"/>
    </row>
    <row r="1231" spans="1:53" ht="25" hidden="1" customHeight="1">
      <c r="B1231" s="385">
        <v>45521</v>
      </c>
      <c r="C1231" s="386">
        <v>45537</v>
      </c>
      <c r="D1231" s="185">
        <f t="shared" si="407"/>
        <v>2024</v>
      </c>
      <c r="E1231" s="386" t="str">
        <f>VLOOKUP($B1231,Week!$A$1:$C$1462,2,0)</f>
        <v>Week33</v>
      </c>
      <c r="F1231" s="387" t="str">
        <f t="shared" si="408"/>
        <v>Aug</v>
      </c>
      <c r="G1231" s="388" t="s">
        <v>1697</v>
      </c>
      <c r="H1231" s="388" t="s">
        <v>600</v>
      </c>
      <c r="I1231" s="388" t="s">
        <v>2772</v>
      </c>
      <c r="J1231" s="389" t="s">
        <v>708</v>
      </c>
      <c r="K1231" s="390" t="s">
        <v>1652</v>
      </c>
      <c r="L1231" s="300" t="s">
        <v>2167</v>
      </c>
      <c r="M1231" s="389" t="s">
        <v>603</v>
      </c>
      <c r="N1231" s="637" t="s">
        <v>1404</v>
      </c>
      <c r="O1231" s="388" t="s">
        <v>602</v>
      </c>
      <c r="P1231" s="391">
        <v>8</v>
      </c>
      <c r="Q1231" s="391">
        <v>3</v>
      </c>
      <c r="R1231" s="392">
        <v>6.0000000000000001E-3</v>
      </c>
      <c r="S1231" s="388" t="s">
        <v>55</v>
      </c>
      <c r="T1231" s="388" t="s">
        <v>112</v>
      </c>
      <c r="U1231" s="601" t="s">
        <v>724</v>
      </c>
      <c r="V1231" s="393">
        <v>3500</v>
      </c>
      <c r="W1231" s="393"/>
      <c r="X1231" s="394">
        <f>(56+27944)/8</f>
        <v>3500</v>
      </c>
      <c r="Y1231" s="395">
        <f t="shared" si="399"/>
        <v>0</v>
      </c>
      <c r="Z1231" s="396">
        <f t="shared" si="400"/>
        <v>0</v>
      </c>
      <c r="AA1231" s="396"/>
      <c r="AB1231" s="823"/>
      <c r="AC1231" s="393"/>
      <c r="AD1231" s="636" t="s">
        <v>1043</v>
      </c>
      <c r="AE1231" s="210"/>
      <c r="AF1231" s="210"/>
      <c r="AG1231" s="211">
        <f t="shared" si="401"/>
        <v>0.30199999999999999</v>
      </c>
      <c r="AH1231" s="157">
        <v>0.26621999999999996</v>
      </c>
      <c r="AI1231" s="152">
        <f t="shared" si="403"/>
        <v>28000</v>
      </c>
      <c r="AK1231" s="156" t="s">
        <v>691</v>
      </c>
      <c r="AL1231" s="212" t="s">
        <v>690</v>
      </c>
      <c r="AM1231" s="198">
        <f t="shared" si="411"/>
        <v>0</v>
      </c>
      <c r="AN1231" s="199">
        <f t="shared" si="409"/>
        <v>45521</v>
      </c>
      <c r="AO1231" s="159" t="s">
        <v>692</v>
      </c>
      <c r="AP1231" s="781" t="s">
        <v>642</v>
      </c>
      <c r="AQ1231" s="782">
        <v>12063755</v>
      </c>
      <c r="AR1231" s="782">
        <v>12061353</v>
      </c>
      <c r="AS1231" s="782">
        <v>12061354</v>
      </c>
      <c r="AT1231" s="782">
        <v>12091199</v>
      </c>
      <c r="AU1231" s="781"/>
      <c r="AV1231" s="782">
        <v>12091198</v>
      </c>
      <c r="AW1231" s="781"/>
      <c r="AX1231" s="781"/>
      <c r="AY1231" s="781"/>
      <c r="AZ1231" s="782"/>
      <c r="BA1231" s="781"/>
    </row>
    <row r="1232" spans="1:53" ht="25" hidden="1" customHeight="1">
      <c r="B1232" s="385">
        <v>45521</v>
      </c>
      <c r="C1232" s="386">
        <v>45545</v>
      </c>
      <c r="D1232" s="185">
        <f t="shared" si="407"/>
        <v>2024</v>
      </c>
      <c r="E1232" s="386" t="str">
        <f>VLOOKUP($B1232,Week!$A$1:$C$1462,2,0)</f>
        <v>Week33</v>
      </c>
      <c r="F1232" s="387" t="str">
        <f t="shared" si="408"/>
        <v>Aug</v>
      </c>
      <c r="G1232" s="388" t="s">
        <v>1548</v>
      </c>
      <c r="H1232" s="388" t="s">
        <v>571</v>
      </c>
      <c r="I1232" s="388" t="s">
        <v>2772</v>
      </c>
      <c r="J1232" s="389" t="s">
        <v>663</v>
      </c>
      <c r="K1232" s="390" t="s">
        <v>1652</v>
      </c>
      <c r="L1232" s="300" t="s">
        <v>2167</v>
      </c>
      <c r="M1232" s="389" t="s">
        <v>682</v>
      </c>
      <c r="N1232" s="388" t="s">
        <v>718</v>
      </c>
      <c r="O1232" s="388" t="s">
        <v>659</v>
      </c>
      <c r="P1232" s="391">
        <v>12</v>
      </c>
      <c r="Q1232" s="391">
        <v>3</v>
      </c>
      <c r="R1232" s="392">
        <v>6.0000000000000001E-3</v>
      </c>
      <c r="S1232" s="388" t="s">
        <v>55</v>
      </c>
      <c r="T1232" s="388" t="s">
        <v>112</v>
      </c>
      <c r="U1232" s="601" t="s">
        <v>724</v>
      </c>
      <c r="V1232" s="393">
        <v>2040</v>
      </c>
      <c r="W1232" s="393"/>
      <c r="X1232" s="394">
        <f>2040</f>
        <v>2040</v>
      </c>
      <c r="Y1232" s="395">
        <f t="shared" si="399"/>
        <v>0</v>
      </c>
      <c r="Z1232" s="396">
        <f t="shared" si="400"/>
        <v>0</v>
      </c>
      <c r="AA1232" s="396"/>
      <c r="AB1232" s="823"/>
      <c r="AC1232" s="393"/>
      <c r="AD1232" s="636" t="s">
        <v>1043</v>
      </c>
      <c r="AE1232" s="210"/>
      <c r="AF1232" s="210"/>
      <c r="AG1232" s="211">
        <f t="shared" si="401"/>
        <v>0.30199999999999999</v>
      </c>
      <c r="AH1232" s="157">
        <v>0.26621999999999996</v>
      </c>
      <c r="AI1232" s="152">
        <f t="shared" si="403"/>
        <v>24480</v>
      </c>
      <c r="AK1232" s="156" t="s">
        <v>691</v>
      </c>
      <c r="AL1232" s="212" t="s">
        <v>690</v>
      </c>
      <c r="AM1232" s="198">
        <f t="shared" si="411"/>
        <v>0</v>
      </c>
      <c r="AN1232" s="199">
        <f t="shared" si="409"/>
        <v>45521</v>
      </c>
      <c r="AO1232" s="159" t="s">
        <v>692</v>
      </c>
      <c r="AP1232" s="781" t="s">
        <v>642</v>
      </c>
      <c r="AQ1232" s="782">
        <v>12063755</v>
      </c>
      <c r="AR1232" s="782">
        <v>12061353</v>
      </c>
      <c r="AS1232" s="782">
        <v>12061354</v>
      </c>
      <c r="AT1232" s="782">
        <v>12090253</v>
      </c>
      <c r="AU1232" s="781"/>
      <c r="AV1232" s="782">
        <v>12090245</v>
      </c>
      <c r="AW1232" s="781"/>
      <c r="AX1232" s="781"/>
      <c r="AY1232" s="781"/>
      <c r="AZ1232" s="782"/>
      <c r="BA1232" s="781"/>
    </row>
    <row r="1233" spans="1:53" ht="25" hidden="1" customHeight="1">
      <c r="B1233" s="332">
        <v>45521</v>
      </c>
      <c r="C1233" s="333">
        <v>45525</v>
      </c>
      <c r="D1233" s="185">
        <f t="shared" si="407"/>
        <v>2024</v>
      </c>
      <c r="E1233" s="333" t="str">
        <f>VLOOKUP($B1233,Week!$A$1:$C$1462,2,0)</f>
        <v>Week33</v>
      </c>
      <c r="F1233" s="334" t="str">
        <f t="shared" si="408"/>
        <v>Aug</v>
      </c>
      <c r="G1233" s="335" t="s">
        <v>1588</v>
      </c>
      <c r="H1233" s="335" t="s">
        <v>675</v>
      </c>
      <c r="I1233" s="335" t="s">
        <v>2772</v>
      </c>
      <c r="J1233" s="336" t="s">
        <v>709</v>
      </c>
      <c r="K1233" s="337" t="s">
        <v>1652</v>
      </c>
      <c r="L1233" s="300" t="s">
        <v>2167</v>
      </c>
      <c r="M1233" s="336" t="s">
        <v>682</v>
      </c>
      <c r="N1233" s="530" t="s">
        <v>712</v>
      </c>
      <c r="O1233" s="335" t="s">
        <v>602</v>
      </c>
      <c r="P1233" s="338">
        <v>8</v>
      </c>
      <c r="Q1233" s="338">
        <v>3</v>
      </c>
      <c r="R1233" s="339">
        <v>6.0000000000000001E-3</v>
      </c>
      <c r="S1233" s="335" t="s">
        <v>55</v>
      </c>
      <c r="T1233" s="335" t="s">
        <v>112</v>
      </c>
      <c r="U1233" s="340" t="s">
        <v>724</v>
      </c>
      <c r="V1233" s="341">
        <f>216</f>
        <v>216</v>
      </c>
      <c r="W1233" s="341"/>
      <c r="X1233" s="342">
        <f>216</f>
        <v>216</v>
      </c>
      <c r="Y1233" s="343">
        <f t="shared" si="399"/>
        <v>0</v>
      </c>
      <c r="Z1233" s="344">
        <f t="shared" si="400"/>
        <v>0</v>
      </c>
      <c r="AA1233" s="344"/>
      <c r="AB1233" s="817"/>
      <c r="AC1233" s="341"/>
      <c r="AD1233" s="443" t="s">
        <v>1504</v>
      </c>
      <c r="AE1233" s="210"/>
      <c r="AF1233" s="210"/>
      <c r="AG1233" s="211">
        <f t="shared" si="401"/>
        <v>0.30199999999999999</v>
      </c>
      <c r="AH1233" s="157">
        <v>0.26621999999999996</v>
      </c>
      <c r="AI1233" s="152">
        <f t="shared" si="403"/>
        <v>1728</v>
      </c>
      <c r="AK1233" s="156" t="s">
        <v>691</v>
      </c>
      <c r="AL1233" s="574" t="s">
        <v>690</v>
      </c>
      <c r="AM1233" s="198">
        <f t="shared" si="411"/>
        <v>0</v>
      </c>
      <c r="AN1233" s="199">
        <f t="shared" si="409"/>
        <v>45521</v>
      </c>
      <c r="AO1233" s="159" t="s">
        <v>692</v>
      </c>
      <c r="AP1233" s="781" t="s">
        <v>642</v>
      </c>
      <c r="AQ1233" s="782">
        <v>12063755</v>
      </c>
      <c r="AR1233" s="782">
        <v>12061353</v>
      </c>
      <c r="AS1233" s="782">
        <v>12061354</v>
      </c>
      <c r="AT1233" s="782">
        <v>12090030</v>
      </c>
      <c r="AU1233" s="781"/>
      <c r="AV1233" s="782">
        <v>12089992</v>
      </c>
      <c r="AW1233" s="781"/>
      <c r="AX1233" s="781"/>
      <c r="AY1233" s="781"/>
      <c r="AZ1233" s="782"/>
      <c r="BA1233" s="781"/>
    </row>
    <row r="1234" spans="1:53" ht="25" hidden="1" customHeight="1">
      <c r="B1234" s="332">
        <v>45521</v>
      </c>
      <c r="C1234" s="333">
        <v>45533</v>
      </c>
      <c r="D1234" s="185">
        <f t="shared" si="407"/>
        <v>2024</v>
      </c>
      <c r="E1234" s="333" t="str">
        <f>VLOOKUP($B1234,Week!$A$1:$C$1462,2,0)</f>
        <v>Week33</v>
      </c>
      <c r="F1234" s="334" t="str">
        <f t="shared" si="408"/>
        <v>Aug</v>
      </c>
      <c r="G1234" s="335" t="s">
        <v>1589</v>
      </c>
      <c r="H1234" s="335" t="s">
        <v>675</v>
      </c>
      <c r="I1234" s="335" t="s">
        <v>2772</v>
      </c>
      <c r="J1234" s="336" t="s">
        <v>709</v>
      </c>
      <c r="K1234" s="337" t="s">
        <v>1652</v>
      </c>
      <c r="L1234" s="300" t="s">
        <v>2167</v>
      </c>
      <c r="M1234" s="336" t="s">
        <v>682</v>
      </c>
      <c r="N1234" s="530" t="s">
        <v>712</v>
      </c>
      <c r="O1234" s="335" t="s">
        <v>602</v>
      </c>
      <c r="P1234" s="338">
        <v>8</v>
      </c>
      <c r="Q1234" s="338">
        <v>3</v>
      </c>
      <c r="R1234" s="339">
        <v>6.0000000000000001E-3</v>
      </c>
      <c r="S1234" s="335" t="s">
        <v>55</v>
      </c>
      <c r="T1234" s="335" t="s">
        <v>112</v>
      </c>
      <c r="U1234" s="340" t="s">
        <v>724</v>
      </c>
      <c r="V1234" s="341">
        <f>270</f>
        <v>270</v>
      </c>
      <c r="W1234" s="341"/>
      <c r="X1234" s="342">
        <f>270</f>
        <v>270</v>
      </c>
      <c r="Y1234" s="343">
        <f t="shared" si="399"/>
        <v>0</v>
      </c>
      <c r="Z1234" s="344">
        <f t="shared" si="400"/>
        <v>0</v>
      </c>
      <c r="AA1234" s="344"/>
      <c r="AB1234" s="817"/>
      <c r="AC1234" s="341"/>
      <c r="AD1234" s="443" t="s">
        <v>1504</v>
      </c>
      <c r="AE1234" s="210"/>
      <c r="AF1234" s="210"/>
      <c r="AG1234" s="211">
        <f t="shared" si="401"/>
        <v>0.30199999999999999</v>
      </c>
      <c r="AH1234" s="157">
        <v>0.26621999999999996</v>
      </c>
      <c r="AI1234" s="152">
        <f t="shared" si="403"/>
        <v>2160</v>
      </c>
      <c r="AK1234" s="156" t="s">
        <v>691</v>
      </c>
      <c r="AL1234" s="574" t="s">
        <v>690</v>
      </c>
      <c r="AM1234" s="198">
        <f t="shared" si="411"/>
        <v>0</v>
      </c>
      <c r="AN1234" s="199">
        <f t="shared" si="409"/>
        <v>45521</v>
      </c>
      <c r="AO1234" s="159" t="s">
        <v>692</v>
      </c>
      <c r="AP1234" s="781" t="s">
        <v>642</v>
      </c>
      <c r="AQ1234" s="782">
        <v>12063755</v>
      </c>
      <c r="AR1234" s="782">
        <v>12061353</v>
      </c>
      <c r="AS1234" s="782">
        <v>12061354</v>
      </c>
      <c r="AT1234" s="782">
        <v>12090030</v>
      </c>
      <c r="AU1234" s="781"/>
      <c r="AV1234" s="782">
        <v>12089992</v>
      </c>
      <c r="AW1234" s="781"/>
      <c r="AX1234" s="781"/>
      <c r="AY1234" s="781"/>
      <c r="AZ1234" s="782"/>
      <c r="BA1234" s="781"/>
    </row>
    <row r="1235" spans="1:53" ht="25" hidden="1" customHeight="1">
      <c r="A1235" s="142" t="s">
        <v>120</v>
      </c>
      <c r="B1235" s="271">
        <v>45521</v>
      </c>
      <c r="C1235" s="272">
        <v>45538</v>
      </c>
      <c r="D1235" s="185">
        <f t="shared" si="407"/>
        <v>2024</v>
      </c>
      <c r="E1235" s="272" t="str">
        <f>VLOOKUP($B1235,Week!$A$1:$C$1462,2,0)</f>
        <v>Week33</v>
      </c>
      <c r="F1235" s="273" t="str">
        <f t="shared" si="408"/>
        <v>Aug</v>
      </c>
      <c r="G1235" s="274" t="s">
        <v>1489</v>
      </c>
      <c r="H1235" s="274" t="s">
        <v>500</v>
      </c>
      <c r="I1235" s="274" t="s">
        <v>2772</v>
      </c>
      <c r="J1235" s="275" t="s">
        <v>285</v>
      </c>
      <c r="K1235" s="276" t="s">
        <v>153</v>
      </c>
      <c r="L1235" s="390" t="s">
        <v>2166</v>
      </c>
      <c r="M1235" s="275" t="s">
        <v>86</v>
      </c>
      <c r="N1235" s="274" t="s">
        <v>547</v>
      </c>
      <c r="O1235" s="274" t="s">
        <v>548</v>
      </c>
      <c r="P1235" s="277">
        <v>10</v>
      </c>
      <c r="Q1235" s="277">
        <v>50</v>
      </c>
      <c r="R1235" s="278">
        <v>6.8100000000000001E-3</v>
      </c>
      <c r="S1235" s="274" t="s">
        <v>76</v>
      </c>
      <c r="T1235" s="274" t="s">
        <v>56</v>
      </c>
      <c r="U1235" s="274" t="s">
        <v>89</v>
      </c>
      <c r="V1235" s="279">
        <f>865</f>
        <v>865</v>
      </c>
      <c r="W1235" s="279">
        <f>865</f>
        <v>865</v>
      </c>
      <c r="X1235" s="280"/>
      <c r="Y1235" s="281">
        <f t="shared" si="399"/>
        <v>0</v>
      </c>
      <c r="Z1235" s="282">
        <f t="shared" si="400"/>
        <v>0</v>
      </c>
      <c r="AA1235" s="282">
        <f>Q1235*Z1235</f>
        <v>0</v>
      </c>
      <c r="AB1235" s="812">
        <v>6</v>
      </c>
      <c r="AC1235" s="279">
        <f>Z1235*AB1235</f>
        <v>0</v>
      </c>
      <c r="AD1235" s="209"/>
      <c r="AE1235" s="210"/>
      <c r="AF1235" s="210"/>
      <c r="AG1235" s="211">
        <f t="shared" si="401"/>
        <v>0.63</v>
      </c>
      <c r="AH1235" s="157">
        <f>(Z1235*AG1235)/1000</f>
        <v>0</v>
      </c>
      <c r="AI1235" s="152">
        <f t="shared" si="403"/>
        <v>8650</v>
      </c>
      <c r="AK1235" s="156" t="s">
        <v>691</v>
      </c>
      <c r="AL1235" s="156" t="s">
        <v>689</v>
      </c>
      <c r="AM1235" s="198">
        <f t="shared" si="411"/>
        <v>0</v>
      </c>
      <c r="AN1235" s="199">
        <f t="shared" si="409"/>
        <v>45521</v>
      </c>
      <c r="AO1235" s="159" t="s">
        <v>692</v>
      </c>
      <c r="AP1235" s="783" t="s">
        <v>620</v>
      </c>
      <c r="AQ1235" s="782" t="s">
        <v>549</v>
      </c>
      <c r="AR1235" s="782">
        <v>12055234</v>
      </c>
      <c r="AS1235" s="781"/>
      <c r="AT1235" s="782"/>
      <c r="AU1235" s="782"/>
      <c r="AV1235" s="782">
        <v>12062809</v>
      </c>
      <c r="AW1235" s="782"/>
      <c r="AX1235" s="782" t="s">
        <v>619</v>
      </c>
      <c r="AY1235" s="781"/>
      <c r="AZ1235" s="781"/>
      <c r="BA1235" s="781"/>
    </row>
    <row r="1236" spans="1:53" ht="25" hidden="1" customHeight="1">
      <c r="B1236" s="183">
        <v>45522</v>
      </c>
      <c r="C1236" s="184"/>
      <c r="D1236" s="185">
        <f t="shared" si="407"/>
        <v>2024</v>
      </c>
      <c r="E1236" s="185" t="str">
        <f>VLOOKUP($B1236,Week!$A$1:$C$1462,2,0)</f>
        <v>Week33</v>
      </c>
      <c r="F1236" s="186" t="str">
        <f t="shared" si="408"/>
        <v>Aug</v>
      </c>
      <c r="G1236" s="185"/>
      <c r="H1236" s="185"/>
      <c r="I1236" s="185"/>
      <c r="J1236" s="187"/>
      <c r="K1236" s="188"/>
      <c r="L1236" s="300"/>
      <c r="M1236" s="187"/>
      <c r="N1236" s="185"/>
      <c r="O1236" s="185"/>
      <c r="P1236" s="189"/>
      <c r="Q1236" s="189"/>
      <c r="R1236" s="190"/>
      <c r="S1236" s="185"/>
      <c r="T1236" s="185"/>
      <c r="U1236" s="185"/>
      <c r="V1236" s="191"/>
      <c r="W1236" s="191"/>
      <c r="X1236" s="192"/>
      <c r="Y1236" s="193"/>
      <c r="Z1236" s="194"/>
      <c r="AA1236" s="194"/>
      <c r="AB1236" s="805"/>
      <c r="AC1236" s="191"/>
      <c r="AD1236" s="187"/>
      <c r="AE1236" s="195"/>
      <c r="AF1236" s="195"/>
      <c r="AG1236" s="196"/>
      <c r="AH1236" s="197"/>
      <c r="AK1236" s="156" t="s">
        <v>691</v>
      </c>
      <c r="AM1236" s="198">
        <f t="shared" si="411"/>
        <v>0</v>
      </c>
      <c r="AN1236" s="199">
        <f t="shared" si="409"/>
        <v>45522</v>
      </c>
      <c r="AO1236" s="159" t="s">
        <v>692</v>
      </c>
      <c r="AP1236" s="781"/>
      <c r="AQ1236" s="782"/>
      <c r="AR1236" s="782"/>
      <c r="AS1236" s="782"/>
      <c r="AT1236" s="782"/>
      <c r="AU1236" s="781"/>
      <c r="AV1236" s="782"/>
      <c r="AW1236" s="782"/>
      <c r="AX1236" s="782"/>
      <c r="AY1236" s="782"/>
      <c r="AZ1236" s="782"/>
      <c r="BA1236" s="781"/>
    </row>
    <row r="1237" spans="1:53" ht="24.75" hidden="1" customHeight="1">
      <c r="B1237" s="333">
        <v>45523</v>
      </c>
      <c r="C1237" s="333">
        <v>45553</v>
      </c>
      <c r="D1237" s="185">
        <f t="shared" si="407"/>
        <v>2024</v>
      </c>
      <c r="E1237" s="335" t="str">
        <f>VLOOKUP($B1237,Week!$A$1:$C$1462,2,0)</f>
        <v>Week34</v>
      </c>
      <c r="F1237" s="334" t="str">
        <f t="shared" si="408"/>
        <v>Aug</v>
      </c>
      <c r="G1237" s="335" t="s">
        <v>1694</v>
      </c>
      <c r="H1237" s="335" t="s">
        <v>363</v>
      </c>
      <c r="I1237" s="335" t="s">
        <v>2772</v>
      </c>
      <c r="J1237" s="336" t="s">
        <v>364</v>
      </c>
      <c r="K1237" s="337" t="s">
        <v>176</v>
      </c>
      <c r="L1237" s="300" t="s">
        <v>2167</v>
      </c>
      <c r="M1237" s="382" t="s">
        <v>646</v>
      </c>
      <c r="N1237" s="335" t="s">
        <v>647</v>
      </c>
      <c r="O1237" s="335" t="s">
        <v>599</v>
      </c>
      <c r="P1237" s="338">
        <v>36</v>
      </c>
      <c r="Q1237" s="338">
        <v>5</v>
      </c>
      <c r="R1237" s="339">
        <v>8.0000000000000002E-3</v>
      </c>
      <c r="S1237" s="335" t="s">
        <v>40</v>
      </c>
      <c r="T1237" s="335" t="s">
        <v>112</v>
      </c>
      <c r="U1237" s="335" t="s">
        <v>57</v>
      </c>
      <c r="V1237" s="341">
        <f>1288-762</f>
        <v>526</v>
      </c>
      <c r="W1237" s="341">
        <f>526</f>
        <v>526</v>
      </c>
      <c r="X1237" s="342"/>
      <c r="Y1237" s="343">
        <f t="shared" ref="Y1237:Y1282" si="412">(W1237+X1237)-V1237</f>
        <v>0</v>
      </c>
      <c r="Z1237" s="344">
        <f t="shared" ref="Z1237:Z1282" si="413">IF(Y1237&lt;0,((V1237*P1237)-((W1237+X1237)*P1237)),0)</f>
        <v>0</v>
      </c>
      <c r="AA1237" s="344"/>
      <c r="AB1237" s="821"/>
      <c r="AC1237" s="341"/>
      <c r="AD1237" s="209"/>
      <c r="AE1237" s="210"/>
      <c r="AF1237" s="210"/>
      <c r="AG1237" s="211">
        <f t="shared" ref="AG1237:AG1260" si="414">MID(O1237,1,3)/1000</f>
        <v>0.14799999999999999</v>
      </c>
      <c r="AH1237" s="157">
        <f t="shared" ref="AH1237:AH1258" si="415">(Z1237*AG1237)/1000</f>
        <v>0</v>
      </c>
      <c r="AI1237" s="152">
        <f t="shared" ref="AI1237:AI1282" si="416">V1237*P1237</f>
        <v>18936</v>
      </c>
      <c r="AK1237" s="156" t="s">
        <v>691</v>
      </c>
      <c r="AL1237" s="574" t="s">
        <v>690</v>
      </c>
      <c r="AM1237" s="198">
        <f t="shared" si="411"/>
        <v>0</v>
      </c>
      <c r="AN1237" s="199">
        <f t="shared" si="409"/>
        <v>45523</v>
      </c>
      <c r="AO1237" s="159" t="s">
        <v>692</v>
      </c>
      <c r="AP1237" s="781"/>
      <c r="AQ1237" s="782">
        <v>12071839</v>
      </c>
      <c r="AR1237" s="782">
        <v>12047514</v>
      </c>
      <c r="AS1237" s="782">
        <v>12047515</v>
      </c>
      <c r="AT1237" s="782">
        <v>12084374</v>
      </c>
      <c r="AU1237" s="781"/>
      <c r="AV1237" s="782">
        <v>12084372</v>
      </c>
      <c r="AW1237" s="782">
        <v>12024404</v>
      </c>
      <c r="AX1237" s="782"/>
      <c r="AY1237" s="782">
        <v>12084373</v>
      </c>
      <c r="AZ1237" s="782"/>
      <c r="BA1237" s="781"/>
    </row>
    <row r="1238" spans="1:53" ht="25" hidden="1" customHeight="1">
      <c r="B1238" s="213">
        <v>45523</v>
      </c>
      <c r="C1238" s="214">
        <v>45539</v>
      </c>
      <c r="D1238" s="185">
        <f t="shared" si="407"/>
        <v>2024</v>
      </c>
      <c r="E1238" s="215" t="str">
        <f>VLOOKUP($B1238,Week!$A$1:$C$1462,2,0)</f>
        <v>Week34</v>
      </c>
      <c r="F1238" s="216" t="str">
        <f t="shared" si="408"/>
        <v>Aug</v>
      </c>
      <c r="G1238" s="215" t="s">
        <v>1507</v>
      </c>
      <c r="H1238" s="215" t="s">
        <v>134</v>
      </c>
      <c r="I1238" s="215" t="s">
        <v>2772</v>
      </c>
      <c r="J1238" s="209" t="s">
        <v>164</v>
      </c>
      <c r="K1238" s="217" t="s">
        <v>176</v>
      </c>
      <c r="L1238" s="300" t="s">
        <v>2167</v>
      </c>
      <c r="M1238" s="209" t="s">
        <v>193</v>
      </c>
      <c r="N1238" s="215" t="s">
        <v>194</v>
      </c>
      <c r="O1238" s="215" t="s">
        <v>195</v>
      </c>
      <c r="P1238" s="218">
        <v>24</v>
      </c>
      <c r="Q1238" s="218">
        <v>5</v>
      </c>
      <c r="R1238" s="219">
        <v>8.0000000000000002E-3</v>
      </c>
      <c r="S1238" s="215" t="s">
        <v>40</v>
      </c>
      <c r="T1238" s="215" t="s">
        <v>56</v>
      </c>
      <c r="U1238" s="215" t="s">
        <v>57</v>
      </c>
      <c r="V1238" s="220">
        <v>500</v>
      </c>
      <c r="W1238" s="220">
        <f>1+499</f>
        <v>500</v>
      </c>
      <c r="X1238" s="221"/>
      <c r="Y1238" s="222">
        <f t="shared" si="412"/>
        <v>0</v>
      </c>
      <c r="Z1238" s="223">
        <f t="shared" si="413"/>
        <v>0</v>
      </c>
      <c r="AA1238" s="220"/>
      <c r="AB1238" s="807"/>
      <c r="AC1238" s="220"/>
      <c r="AD1238" s="381"/>
      <c r="AE1238" s="220"/>
      <c r="AF1238" s="220"/>
      <c r="AG1238" s="211">
        <f t="shared" si="414"/>
        <v>0.14499999999999999</v>
      </c>
      <c r="AH1238" s="157">
        <f t="shared" si="415"/>
        <v>0</v>
      </c>
      <c r="AI1238" s="152">
        <f t="shared" si="416"/>
        <v>12000</v>
      </c>
      <c r="AK1238" s="156" t="s">
        <v>691</v>
      </c>
      <c r="AL1238" s="212" t="s">
        <v>690</v>
      </c>
      <c r="AM1238" s="198">
        <f t="shared" si="411"/>
        <v>0</v>
      </c>
      <c r="AN1238" s="199">
        <f t="shared" si="409"/>
        <v>45523</v>
      </c>
      <c r="AO1238" s="159" t="s">
        <v>692</v>
      </c>
      <c r="AP1238" s="783" t="s">
        <v>610</v>
      </c>
      <c r="AQ1238" s="782">
        <v>12071839</v>
      </c>
      <c r="AR1238" s="782">
        <v>12047514</v>
      </c>
      <c r="AS1238" s="782">
        <v>12047515</v>
      </c>
      <c r="AT1238" s="782"/>
      <c r="AU1238" s="782">
        <v>12026902</v>
      </c>
      <c r="AV1238" s="782">
        <v>12054724</v>
      </c>
      <c r="AW1238" s="782">
        <v>12026904</v>
      </c>
      <c r="AX1238" s="782"/>
      <c r="AY1238" s="782">
        <v>12054436</v>
      </c>
      <c r="AZ1238" s="782">
        <v>12054433</v>
      </c>
      <c r="BA1238" s="782">
        <v>12054434</v>
      </c>
    </row>
    <row r="1239" spans="1:53" ht="24.75" hidden="1" customHeight="1">
      <c r="B1239" s="295">
        <v>45523</v>
      </c>
      <c r="C1239" s="296" t="s">
        <v>1591</v>
      </c>
      <c r="D1239" s="185">
        <f t="shared" si="407"/>
        <v>2024</v>
      </c>
      <c r="E1239" s="296" t="str">
        <f>VLOOKUP($B1239,Week!$A$1:$C$1462,2,0)</f>
        <v>Week34</v>
      </c>
      <c r="F1239" s="297" t="str">
        <f t="shared" si="408"/>
        <v>Aug</v>
      </c>
      <c r="G1239" s="635" t="s">
        <v>47</v>
      </c>
      <c r="H1239" s="298" t="s">
        <v>260</v>
      </c>
      <c r="I1239" s="298" t="s">
        <v>2702</v>
      </c>
      <c r="J1239" s="307" t="s">
        <v>904</v>
      </c>
      <c r="K1239" s="300" t="s">
        <v>176</v>
      </c>
      <c r="L1239" s="300" t="s">
        <v>2167</v>
      </c>
      <c r="M1239" s="299" t="s">
        <v>262</v>
      </c>
      <c r="N1239" s="298" t="s">
        <v>350</v>
      </c>
      <c r="O1239" s="298" t="s">
        <v>351</v>
      </c>
      <c r="P1239" s="301">
        <v>24</v>
      </c>
      <c r="Q1239" s="301">
        <v>5</v>
      </c>
      <c r="R1239" s="302">
        <v>6.1999999999999998E-3</v>
      </c>
      <c r="S1239" s="298" t="s">
        <v>352</v>
      </c>
      <c r="T1239" s="298" t="s">
        <v>56</v>
      </c>
      <c r="U1239" s="298" t="s">
        <v>57</v>
      </c>
      <c r="V1239" s="303">
        <v>4463</v>
      </c>
      <c r="W1239" s="303">
        <f>4463</f>
        <v>4463</v>
      </c>
      <c r="X1239" s="304"/>
      <c r="Y1239" s="305">
        <f t="shared" si="412"/>
        <v>0</v>
      </c>
      <c r="Z1239" s="306">
        <f t="shared" si="413"/>
        <v>0</v>
      </c>
      <c r="AA1239" s="306"/>
      <c r="AB1239" s="814"/>
      <c r="AC1239" s="303"/>
      <c r="AD1239" s="580" t="s">
        <v>672</v>
      </c>
      <c r="AE1239" s="210"/>
      <c r="AF1239" s="210"/>
      <c r="AG1239" s="211">
        <f t="shared" si="414"/>
        <v>0.13</v>
      </c>
      <c r="AH1239" s="157">
        <f t="shared" si="415"/>
        <v>0</v>
      </c>
      <c r="AI1239" s="152">
        <f t="shared" si="416"/>
        <v>107112</v>
      </c>
      <c r="AK1239" s="156" t="s">
        <v>691</v>
      </c>
      <c r="AL1239" s="574" t="s">
        <v>690</v>
      </c>
      <c r="AM1239" s="198">
        <f t="shared" si="411"/>
        <v>0</v>
      </c>
      <c r="AN1239" s="199">
        <f t="shared" si="409"/>
        <v>45523</v>
      </c>
      <c r="AO1239" s="159" t="s">
        <v>692</v>
      </c>
      <c r="AP1239" s="783" t="s">
        <v>629</v>
      </c>
      <c r="AQ1239" s="782">
        <v>12071839</v>
      </c>
      <c r="AR1239" s="782">
        <v>12078867</v>
      </c>
      <c r="AS1239" s="782">
        <v>12068233</v>
      </c>
      <c r="AT1239" s="781"/>
      <c r="AU1239" s="781"/>
      <c r="AV1239" s="782">
        <v>12062075</v>
      </c>
      <c r="AW1239" s="781"/>
      <c r="AX1239" s="781"/>
      <c r="AY1239" s="782">
        <v>12078867</v>
      </c>
      <c r="AZ1239" s="781"/>
      <c r="BA1239" s="781"/>
    </row>
    <row r="1240" spans="1:53" ht="25" hidden="1" customHeight="1">
      <c r="A1240" s="142" t="s">
        <v>120</v>
      </c>
      <c r="B1240" s="271">
        <v>45523</v>
      </c>
      <c r="C1240" s="272">
        <v>45538</v>
      </c>
      <c r="D1240" s="185">
        <f t="shared" si="407"/>
        <v>2024</v>
      </c>
      <c r="E1240" s="272" t="str">
        <f>VLOOKUP($B1240,Week!$A$1:$C$1462,2,0)</f>
        <v>Week34</v>
      </c>
      <c r="F1240" s="273" t="str">
        <f t="shared" si="408"/>
        <v>Aug</v>
      </c>
      <c r="G1240" s="274" t="s">
        <v>1489</v>
      </c>
      <c r="H1240" s="274" t="s">
        <v>500</v>
      </c>
      <c r="I1240" s="274" t="s">
        <v>2772</v>
      </c>
      <c r="J1240" s="275" t="s">
        <v>285</v>
      </c>
      <c r="K1240" s="276" t="s">
        <v>153</v>
      </c>
      <c r="L1240" s="390" t="s">
        <v>2166</v>
      </c>
      <c r="M1240" s="275" t="s">
        <v>86</v>
      </c>
      <c r="N1240" s="274" t="s">
        <v>547</v>
      </c>
      <c r="O1240" s="274" t="s">
        <v>548</v>
      </c>
      <c r="P1240" s="277">
        <v>10</v>
      </c>
      <c r="Q1240" s="277">
        <v>50</v>
      </c>
      <c r="R1240" s="278">
        <v>6.8100000000000001E-3</v>
      </c>
      <c r="S1240" s="274" t="s">
        <v>76</v>
      </c>
      <c r="T1240" s="274" t="s">
        <v>56</v>
      </c>
      <c r="U1240" s="274" t="s">
        <v>89</v>
      </c>
      <c r="V1240" s="279">
        <f>2056-456-430-865</f>
        <v>305</v>
      </c>
      <c r="W1240" s="279">
        <f>305</f>
        <v>305</v>
      </c>
      <c r="X1240" s="280"/>
      <c r="Y1240" s="281">
        <f t="shared" si="412"/>
        <v>0</v>
      </c>
      <c r="Z1240" s="282">
        <f t="shared" si="413"/>
        <v>0</v>
      </c>
      <c r="AA1240" s="282">
        <f>Q1240*Z1240</f>
        <v>0</v>
      </c>
      <c r="AB1240" s="812">
        <v>6</v>
      </c>
      <c r="AC1240" s="279">
        <f>Z1240*AB1240</f>
        <v>0</v>
      </c>
      <c r="AD1240" s="209"/>
      <c r="AE1240" s="210"/>
      <c r="AF1240" s="210"/>
      <c r="AG1240" s="211">
        <f t="shared" si="414"/>
        <v>0.63</v>
      </c>
      <c r="AH1240" s="157">
        <f t="shared" si="415"/>
        <v>0</v>
      </c>
      <c r="AI1240" s="152">
        <f t="shared" si="416"/>
        <v>3050</v>
      </c>
      <c r="AK1240" s="156" t="s">
        <v>691</v>
      </c>
      <c r="AL1240" s="156" t="s">
        <v>689</v>
      </c>
      <c r="AM1240" s="198">
        <f t="shared" si="411"/>
        <v>0</v>
      </c>
      <c r="AN1240" s="199">
        <f t="shared" si="409"/>
        <v>45523</v>
      </c>
      <c r="AO1240" s="159" t="s">
        <v>692</v>
      </c>
      <c r="AP1240" s="783" t="s">
        <v>620</v>
      </c>
      <c r="AQ1240" s="782" t="s">
        <v>549</v>
      </c>
      <c r="AR1240" s="782">
        <v>12055234</v>
      </c>
      <c r="AS1240" s="781"/>
      <c r="AT1240" s="782"/>
      <c r="AU1240" s="782"/>
      <c r="AV1240" s="782">
        <v>12062809</v>
      </c>
      <c r="AW1240" s="782"/>
      <c r="AX1240" s="782" t="s">
        <v>619</v>
      </c>
      <c r="AY1240" s="781"/>
      <c r="AZ1240" s="781"/>
      <c r="BA1240" s="781"/>
    </row>
    <row r="1241" spans="1:53" ht="25" hidden="1" customHeight="1">
      <c r="A1241" s="142" t="s">
        <v>120</v>
      </c>
      <c r="B1241" s="571">
        <v>45523</v>
      </c>
      <c r="C1241" s="235"/>
      <c r="D1241" s="185">
        <f t="shared" si="407"/>
        <v>2024</v>
      </c>
      <c r="E1241" s="236" t="str">
        <f>VLOOKUP($B1241,Week!$A$1:$C$1462,2,0)</f>
        <v>Week34</v>
      </c>
      <c r="F1241" s="237" t="str">
        <f t="shared" si="408"/>
        <v>Aug</v>
      </c>
      <c r="G1241" s="447" t="s">
        <v>657</v>
      </c>
      <c r="H1241" s="236" t="s">
        <v>47</v>
      </c>
      <c r="I1241" s="236" t="s">
        <v>2702</v>
      </c>
      <c r="J1241" s="238" t="s">
        <v>70</v>
      </c>
      <c r="K1241" s="239" t="s">
        <v>153</v>
      </c>
      <c r="L1241" s="390" t="s">
        <v>2166</v>
      </c>
      <c r="M1241" s="238" t="s">
        <v>154</v>
      </c>
      <c r="N1241" s="756" t="s">
        <v>1710</v>
      </c>
      <c r="O1241" s="236" t="s">
        <v>156</v>
      </c>
      <c r="P1241" s="240">
        <v>8</v>
      </c>
      <c r="Q1241" s="240">
        <v>50</v>
      </c>
      <c r="R1241" s="241">
        <v>8.1300000000000001E-3</v>
      </c>
      <c r="S1241" s="236" t="s">
        <v>40</v>
      </c>
      <c r="T1241" s="236" t="s">
        <v>56</v>
      </c>
      <c r="U1241" s="236"/>
      <c r="V1241" s="242">
        <f>540/8</f>
        <v>67.5</v>
      </c>
      <c r="W1241" s="242">
        <f>(9+531)/8</f>
        <v>67.5</v>
      </c>
      <c r="X1241" s="243"/>
      <c r="Y1241" s="244">
        <f t="shared" si="412"/>
        <v>0</v>
      </c>
      <c r="Z1241" s="245">
        <f t="shared" si="413"/>
        <v>0</v>
      </c>
      <c r="AA1241" s="242">
        <f>Q1241*Z1241</f>
        <v>0</v>
      </c>
      <c r="AB1241" s="809"/>
      <c r="AC1241" s="242">
        <f>Z1241*AB1241</f>
        <v>0</v>
      </c>
      <c r="AD1241" s="209"/>
      <c r="AE1241" s="220"/>
      <c r="AF1241" s="220"/>
      <c r="AG1241" s="211">
        <f t="shared" si="414"/>
        <v>0.6</v>
      </c>
      <c r="AH1241" s="157">
        <f t="shared" si="415"/>
        <v>0</v>
      </c>
      <c r="AI1241" s="152">
        <f t="shared" si="416"/>
        <v>540</v>
      </c>
      <c r="AK1241" s="156" t="s">
        <v>691</v>
      </c>
      <c r="AL1241" s="156" t="s">
        <v>689</v>
      </c>
      <c r="AM1241" s="198">
        <f t="shared" si="411"/>
        <v>0</v>
      </c>
      <c r="AN1241" s="199">
        <f t="shared" si="409"/>
        <v>45523</v>
      </c>
      <c r="AO1241" s="159" t="s">
        <v>692</v>
      </c>
      <c r="AP1241" s="781"/>
      <c r="AQ1241" s="781"/>
      <c r="AR1241" s="783" t="s">
        <v>529</v>
      </c>
      <c r="AS1241" s="781"/>
      <c r="AT1241" s="783"/>
      <c r="AU1241" s="783"/>
      <c r="AV1241" s="783" t="s">
        <v>530</v>
      </c>
      <c r="AW1241" s="781"/>
      <c r="AX1241" s="781" t="s">
        <v>93</v>
      </c>
      <c r="AY1241" s="781"/>
      <c r="AZ1241" s="782"/>
      <c r="BA1241" s="781"/>
    </row>
    <row r="1242" spans="1:53" ht="25" hidden="1" customHeight="1">
      <c r="B1242" s="488">
        <v>45524</v>
      </c>
      <c r="C1242" s="487">
        <v>45530</v>
      </c>
      <c r="D1242" s="185">
        <f t="shared" si="407"/>
        <v>2024</v>
      </c>
      <c r="E1242" s="614" t="str">
        <f>VLOOKUP($B1242,Week!$A$1:$C$1462,2,0)</f>
        <v>Week34</v>
      </c>
      <c r="F1242" s="445" t="str">
        <f t="shared" si="408"/>
        <v>Aug</v>
      </c>
      <c r="G1242" s="615" t="s">
        <v>1549</v>
      </c>
      <c r="H1242" s="444" t="s">
        <v>104</v>
      </c>
      <c r="I1242" s="444" t="s">
        <v>2772</v>
      </c>
      <c r="J1242" s="490" t="s">
        <v>105</v>
      </c>
      <c r="K1242" s="491" t="s">
        <v>1643</v>
      </c>
      <c r="L1242" s="300" t="s">
        <v>2167</v>
      </c>
      <c r="M1242" s="490" t="s">
        <v>336</v>
      </c>
      <c r="N1242" s="615" t="s">
        <v>745</v>
      </c>
      <c r="O1242" s="444" t="s">
        <v>743</v>
      </c>
      <c r="P1242" s="492">
        <v>36</v>
      </c>
      <c r="Q1242" s="492">
        <v>5</v>
      </c>
      <c r="R1242" s="493">
        <v>7.4999999999999997E-3</v>
      </c>
      <c r="S1242" s="444" t="s">
        <v>40</v>
      </c>
      <c r="T1242" s="444" t="s">
        <v>112</v>
      </c>
      <c r="U1242" s="616" t="s">
        <v>721</v>
      </c>
      <c r="V1242" s="494">
        <v>1288</v>
      </c>
      <c r="W1242" s="494">
        <v>1288</v>
      </c>
      <c r="X1242" s="495"/>
      <c r="Y1242" s="496">
        <f t="shared" si="412"/>
        <v>0</v>
      </c>
      <c r="Z1242" s="497">
        <f t="shared" si="413"/>
        <v>0</v>
      </c>
      <c r="AA1242" s="497"/>
      <c r="AB1242" s="829"/>
      <c r="AC1242" s="494"/>
      <c r="AD1242" s="307" t="s">
        <v>1468</v>
      </c>
      <c r="AE1242" s="210"/>
      <c r="AF1242" s="210"/>
      <c r="AG1242" s="211">
        <f t="shared" si="414"/>
        <v>0.14699999999999999</v>
      </c>
      <c r="AH1242" s="157">
        <f t="shared" si="415"/>
        <v>0</v>
      </c>
      <c r="AI1242" s="152">
        <f t="shared" si="416"/>
        <v>46368</v>
      </c>
      <c r="AK1242" s="156" t="s">
        <v>691</v>
      </c>
      <c r="AL1242" s="574" t="s">
        <v>690</v>
      </c>
      <c r="AM1242" s="198">
        <f t="shared" si="411"/>
        <v>0</v>
      </c>
      <c r="AN1242" s="199">
        <f t="shared" si="409"/>
        <v>45524</v>
      </c>
      <c r="AO1242" s="159" t="s">
        <v>692</v>
      </c>
      <c r="AP1242" s="783" t="s">
        <v>639</v>
      </c>
      <c r="AQ1242" s="782">
        <v>12071839</v>
      </c>
      <c r="AR1242" s="782">
        <v>12047514</v>
      </c>
      <c r="AS1242" s="782">
        <v>12047515</v>
      </c>
      <c r="AT1242" s="782">
        <v>12089764</v>
      </c>
      <c r="AU1242" s="781"/>
      <c r="AV1242" s="782">
        <v>12089763</v>
      </c>
      <c r="AW1242" s="782">
        <v>12024404</v>
      </c>
      <c r="AX1242" s="781"/>
      <c r="AY1242" s="782">
        <v>12089765</v>
      </c>
      <c r="AZ1242" s="781"/>
      <c r="BA1242" s="781"/>
    </row>
    <row r="1243" spans="1:53" ht="25" hidden="1" customHeight="1">
      <c r="B1243" s="488">
        <v>45524</v>
      </c>
      <c r="C1243" s="487">
        <v>45531</v>
      </c>
      <c r="D1243" s="185">
        <f t="shared" si="407"/>
        <v>2024</v>
      </c>
      <c r="E1243" s="614" t="str">
        <f>VLOOKUP($B1243,Week!$A$1:$C$1462,2,0)</f>
        <v>Week34</v>
      </c>
      <c r="F1243" s="445" t="str">
        <f t="shared" si="408"/>
        <v>Aug</v>
      </c>
      <c r="G1243" s="615" t="s">
        <v>1553</v>
      </c>
      <c r="H1243" s="444" t="s">
        <v>104</v>
      </c>
      <c r="I1243" s="444" t="s">
        <v>2772</v>
      </c>
      <c r="J1243" s="490" t="s">
        <v>105</v>
      </c>
      <c r="K1243" s="491" t="s">
        <v>1643</v>
      </c>
      <c r="L1243" s="300" t="s">
        <v>2167</v>
      </c>
      <c r="M1243" s="490" t="s">
        <v>336</v>
      </c>
      <c r="N1243" s="615" t="s">
        <v>745</v>
      </c>
      <c r="O1243" s="444" t="s">
        <v>743</v>
      </c>
      <c r="P1243" s="492">
        <v>36</v>
      </c>
      <c r="Q1243" s="492">
        <v>5</v>
      </c>
      <c r="R1243" s="493">
        <v>7.4999999999999997E-3</v>
      </c>
      <c r="S1243" s="444" t="s">
        <v>40</v>
      </c>
      <c r="T1243" s="444" t="s">
        <v>112</v>
      </c>
      <c r="U1243" s="616" t="s">
        <v>721</v>
      </c>
      <c r="V1243" s="494">
        <v>1288</v>
      </c>
      <c r="W1243" s="494">
        <v>1288</v>
      </c>
      <c r="X1243" s="495"/>
      <c r="Y1243" s="496">
        <f t="shared" si="412"/>
        <v>0</v>
      </c>
      <c r="Z1243" s="497">
        <f t="shared" si="413"/>
        <v>0</v>
      </c>
      <c r="AA1243" s="497"/>
      <c r="AB1243" s="829"/>
      <c r="AC1243" s="494"/>
      <c r="AD1243" s="515"/>
      <c r="AE1243" s="210"/>
      <c r="AF1243" s="210"/>
      <c r="AG1243" s="211">
        <f t="shared" si="414"/>
        <v>0.14699999999999999</v>
      </c>
      <c r="AH1243" s="157">
        <f t="shared" si="415"/>
        <v>0</v>
      </c>
      <c r="AI1243" s="152">
        <f t="shared" si="416"/>
        <v>46368</v>
      </c>
      <c r="AK1243" s="156" t="s">
        <v>691</v>
      </c>
      <c r="AL1243" s="574" t="s">
        <v>690</v>
      </c>
      <c r="AM1243" s="198">
        <f t="shared" si="411"/>
        <v>0</v>
      </c>
      <c r="AN1243" s="199">
        <f t="shared" si="409"/>
        <v>45524</v>
      </c>
      <c r="AO1243" s="159" t="s">
        <v>692</v>
      </c>
      <c r="AP1243" s="783" t="s">
        <v>639</v>
      </c>
      <c r="AQ1243" s="782">
        <v>12071839</v>
      </c>
      <c r="AR1243" s="782">
        <v>12047514</v>
      </c>
      <c r="AS1243" s="782">
        <v>12047515</v>
      </c>
      <c r="AT1243" s="782">
        <v>12089764</v>
      </c>
      <c r="AU1243" s="781"/>
      <c r="AV1243" s="782">
        <v>12089763</v>
      </c>
      <c r="AW1243" s="782">
        <v>12024404</v>
      </c>
      <c r="AX1243" s="781"/>
      <c r="AY1243" s="782">
        <v>12089765</v>
      </c>
      <c r="AZ1243" s="781"/>
      <c r="BA1243" s="781"/>
    </row>
    <row r="1244" spans="1:53" ht="25" hidden="1" customHeight="1">
      <c r="B1244" s="488">
        <v>45524</v>
      </c>
      <c r="C1244" s="487">
        <v>45537</v>
      </c>
      <c r="D1244" s="185">
        <f t="shared" si="407"/>
        <v>2024</v>
      </c>
      <c r="E1244" s="614" t="str">
        <f>VLOOKUP($B1244,Week!$A$1:$C$1462,2,0)</f>
        <v>Week34</v>
      </c>
      <c r="F1244" s="445" t="str">
        <f t="shared" si="408"/>
        <v>Aug</v>
      </c>
      <c r="G1244" s="615" t="s">
        <v>1550</v>
      </c>
      <c r="H1244" s="444" t="s">
        <v>104</v>
      </c>
      <c r="I1244" s="444" t="s">
        <v>2772</v>
      </c>
      <c r="J1244" s="490" t="s">
        <v>105</v>
      </c>
      <c r="K1244" s="491" t="s">
        <v>1643</v>
      </c>
      <c r="L1244" s="300" t="s">
        <v>2167</v>
      </c>
      <c r="M1244" s="490" t="s">
        <v>336</v>
      </c>
      <c r="N1244" s="615" t="s">
        <v>745</v>
      </c>
      <c r="O1244" s="444" t="s">
        <v>743</v>
      </c>
      <c r="P1244" s="492">
        <v>36</v>
      </c>
      <c r="Q1244" s="492">
        <v>5</v>
      </c>
      <c r="R1244" s="493">
        <v>7.4999999999999997E-3</v>
      </c>
      <c r="S1244" s="444" t="s">
        <v>40</v>
      </c>
      <c r="T1244" s="444" t="s">
        <v>112</v>
      </c>
      <c r="U1244" s="616" t="s">
        <v>721</v>
      </c>
      <c r="V1244" s="494">
        <f>2653-1288-1288+18</f>
        <v>95</v>
      </c>
      <c r="W1244" s="494">
        <f>2653-1288-1288</f>
        <v>77</v>
      </c>
      <c r="X1244" s="495">
        <v>18</v>
      </c>
      <c r="Y1244" s="496">
        <f t="shared" si="412"/>
        <v>0</v>
      </c>
      <c r="Z1244" s="497">
        <f t="shared" si="413"/>
        <v>0</v>
      </c>
      <c r="AA1244" s="497"/>
      <c r="AB1244" s="829"/>
      <c r="AC1244" s="494"/>
      <c r="AD1244" s="515"/>
      <c r="AE1244" s="210"/>
      <c r="AF1244" s="210"/>
      <c r="AG1244" s="211">
        <f t="shared" si="414"/>
        <v>0.14699999999999999</v>
      </c>
      <c r="AH1244" s="157">
        <f t="shared" si="415"/>
        <v>0</v>
      </c>
      <c r="AI1244" s="152">
        <f t="shared" si="416"/>
        <v>3420</v>
      </c>
      <c r="AK1244" s="156" t="s">
        <v>691</v>
      </c>
      <c r="AL1244" s="574" t="s">
        <v>690</v>
      </c>
      <c r="AM1244" s="198">
        <f t="shared" si="411"/>
        <v>0</v>
      </c>
      <c r="AN1244" s="199">
        <f t="shared" si="409"/>
        <v>45524</v>
      </c>
      <c r="AO1244" s="159" t="s">
        <v>692</v>
      </c>
      <c r="AP1244" s="783" t="s">
        <v>639</v>
      </c>
      <c r="AQ1244" s="782">
        <v>12071839</v>
      </c>
      <c r="AR1244" s="782">
        <v>12047514</v>
      </c>
      <c r="AS1244" s="782">
        <v>12047515</v>
      </c>
      <c r="AT1244" s="782">
        <v>12089764</v>
      </c>
      <c r="AU1244" s="781"/>
      <c r="AV1244" s="782">
        <v>12089763</v>
      </c>
      <c r="AW1244" s="782">
        <v>12024404</v>
      </c>
      <c r="AX1244" s="781"/>
      <c r="AY1244" s="782">
        <v>12089765</v>
      </c>
      <c r="AZ1244" s="781"/>
      <c r="BA1244" s="781"/>
    </row>
    <row r="1245" spans="1:53" ht="25" hidden="1" customHeight="1">
      <c r="B1245" s="498">
        <v>45524</v>
      </c>
      <c r="C1245" s="499">
        <v>45540</v>
      </c>
      <c r="D1245" s="185">
        <f t="shared" si="407"/>
        <v>2024</v>
      </c>
      <c r="E1245" s="499" t="str">
        <f>VLOOKUP($B1245,Week!$A$1:$C$1462,2,0)</f>
        <v>Week34</v>
      </c>
      <c r="F1245" s="500" t="str">
        <f t="shared" si="408"/>
        <v>Aug</v>
      </c>
      <c r="G1245" s="501" t="s">
        <v>1586</v>
      </c>
      <c r="H1245" s="501" t="s">
        <v>311</v>
      </c>
      <c r="I1245" s="501" t="s">
        <v>2772</v>
      </c>
      <c r="J1245" s="502" t="s">
        <v>738</v>
      </c>
      <c r="K1245" s="503" t="s">
        <v>1646</v>
      </c>
      <c r="L1245" s="300" t="s">
        <v>2167</v>
      </c>
      <c r="M1245" s="502" t="s">
        <v>654</v>
      </c>
      <c r="N1245" s="501" t="s">
        <v>726</v>
      </c>
      <c r="O1245" s="501" t="s">
        <v>655</v>
      </c>
      <c r="P1245" s="504">
        <v>24</v>
      </c>
      <c r="Q1245" s="504">
        <v>5</v>
      </c>
      <c r="R1245" s="505">
        <v>7.4999999999999997E-3</v>
      </c>
      <c r="S1245" s="501" t="s">
        <v>40</v>
      </c>
      <c r="T1245" s="501" t="s">
        <v>112</v>
      </c>
      <c r="U1245" s="506" t="s">
        <v>721</v>
      </c>
      <c r="V1245" s="507">
        <v>924</v>
      </c>
      <c r="W1245" s="507">
        <f>896</f>
        <v>896</v>
      </c>
      <c r="X1245" s="508">
        <f>(670+2)/24</f>
        <v>28</v>
      </c>
      <c r="Y1245" s="509">
        <f t="shared" si="412"/>
        <v>0</v>
      </c>
      <c r="Z1245" s="510">
        <f t="shared" si="413"/>
        <v>0</v>
      </c>
      <c r="AA1245" s="510"/>
      <c r="AB1245" s="830"/>
      <c r="AC1245" s="507"/>
      <c r="AD1245" s="209"/>
      <c r="AE1245" s="210"/>
      <c r="AF1245" s="210"/>
      <c r="AG1245" s="211">
        <f t="shared" si="414"/>
        <v>0.307</v>
      </c>
      <c r="AH1245" s="157">
        <f t="shared" si="415"/>
        <v>0</v>
      </c>
      <c r="AI1245" s="152">
        <f t="shared" si="416"/>
        <v>22176</v>
      </c>
      <c r="AK1245" s="156" t="s">
        <v>691</v>
      </c>
      <c r="AL1245" s="212" t="s">
        <v>690</v>
      </c>
      <c r="AM1245" s="198">
        <f t="shared" si="411"/>
        <v>0</v>
      </c>
      <c r="AN1245" s="199">
        <f t="shared" si="409"/>
        <v>45524</v>
      </c>
      <c r="AO1245" s="159" t="s">
        <v>692</v>
      </c>
      <c r="AP1245" s="781" t="s">
        <v>642</v>
      </c>
      <c r="AQ1245" s="782">
        <v>12063755</v>
      </c>
      <c r="AR1245" s="782">
        <v>12061353</v>
      </c>
      <c r="AS1245" s="782">
        <v>12061354</v>
      </c>
      <c r="AT1245" s="782">
        <v>12089274</v>
      </c>
      <c r="AU1245" s="781"/>
      <c r="AV1245" s="782">
        <v>12089275</v>
      </c>
      <c r="AW1245" s="782">
        <v>12068154</v>
      </c>
      <c r="AX1245" s="782"/>
      <c r="AY1245" s="782">
        <v>12089276</v>
      </c>
      <c r="AZ1245" s="782"/>
      <c r="BA1245" s="781"/>
    </row>
    <row r="1246" spans="1:53" ht="25" hidden="1" customHeight="1">
      <c r="B1246" s="498">
        <v>45524</v>
      </c>
      <c r="C1246" s="499">
        <v>45554</v>
      </c>
      <c r="D1246" s="185">
        <f t="shared" si="407"/>
        <v>2024</v>
      </c>
      <c r="E1246" s="499" t="str">
        <f>VLOOKUP($B1246,Week!$A$1:$C$1462,2,0)</f>
        <v>Week34</v>
      </c>
      <c r="F1246" s="500" t="str">
        <f t="shared" si="408"/>
        <v>Aug</v>
      </c>
      <c r="G1246" s="501" t="s">
        <v>1679</v>
      </c>
      <c r="H1246" s="501" t="s">
        <v>311</v>
      </c>
      <c r="I1246" s="501" t="s">
        <v>2772</v>
      </c>
      <c r="J1246" s="502" t="s">
        <v>738</v>
      </c>
      <c r="K1246" s="503" t="s">
        <v>1646</v>
      </c>
      <c r="L1246" s="300" t="s">
        <v>2167</v>
      </c>
      <c r="M1246" s="502" t="s">
        <v>654</v>
      </c>
      <c r="N1246" s="501" t="s">
        <v>726</v>
      </c>
      <c r="O1246" s="501" t="s">
        <v>655</v>
      </c>
      <c r="P1246" s="504">
        <v>24</v>
      </c>
      <c r="Q1246" s="504">
        <v>5</v>
      </c>
      <c r="R1246" s="505">
        <v>7.4999999999999997E-3</v>
      </c>
      <c r="S1246" s="501" t="s">
        <v>40</v>
      </c>
      <c r="T1246" s="501" t="s">
        <v>112</v>
      </c>
      <c r="U1246" s="506" t="s">
        <v>721</v>
      </c>
      <c r="V1246" s="507">
        <v>924</v>
      </c>
      <c r="W1246" s="507">
        <f>1532-896+107</f>
        <v>743</v>
      </c>
      <c r="X1246" s="508">
        <f>(5558-2+40-1252)/24</f>
        <v>181</v>
      </c>
      <c r="Y1246" s="509">
        <f t="shared" si="412"/>
        <v>0</v>
      </c>
      <c r="Z1246" s="510">
        <f t="shared" si="413"/>
        <v>0</v>
      </c>
      <c r="AA1246" s="510"/>
      <c r="AB1246" s="830"/>
      <c r="AC1246" s="507"/>
      <c r="AD1246" s="209"/>
      <c r="AE1246" s="210"/>
      <c r="AF1246" s="210"/>
      <c r="AG1246" s="211">
        <f t="shared" si="414"/>
        <v>0.307</v>
      </c>
      <c r="AH1246" s="157">
        <f t="shared" si="415"/>
        <v>0</v>
      </c>
      <c r="AI1246" s="152">
        <f t="shared" si="416"/>
        <v>22176</v>
      </c>
      <c r="AK1246" s="156" t="s">
        <v>691</v>
      </c>
      <c r="AL1246" s="212" t="s">
        <v>690</v>
      </c>
      <c r="AM1246" s="198">
        <f t="shared" si="411"/>
        <v>0</v>
      </c>
      <c r="AN1246" s="199">
        <f t="shared" si="409"/>
        <v>45524</v>
      </c>
      <c r="AO1246" s="159" t="s">
        <v>692</v>
      </c>
      <c r="AP1246" s="781" t="s">
        <v>642</v>
      </c>
      <c r="AQ1246" s="782">
        <v>12063755</v>
      </c>
      <c r="AR1246" s="782">
        <v>12061353</v>
      </c>
      <c r="AS1246" s="782">
        <v>12061354</v>
      </c>
      <c r="AT1246" s="782">
        <v>12089274</v>
      </c>
      <c r="AU1246" s="781"/>
      <c r="AV1246" s="782">
        <v>12089275</v>
      </c>
      <c r="AW1246" s="782">
        <v>12068154</v>
      </c>
      <c r="AX1246" s="782"/>
      <c r="AY1246" s="782">
        <v>12089276</v>
      </c>
      <c r="AZ1246" s="782"/>
      <c r="BA1246" s="781"/>
    </row>
    <row r="1247" spans="1:53" ht="24.65" hidden="1" customHeight="1">
      <c r="A1247" s="142" t="s">
        <v>120</v>
      </c>
      <c r="B1247" s="258">
        <v>45524</v>
      </c>
      <c r="C1247" s="259">
        <v>45539</v>
      </c>
      <c r="D1247" s="185">
        <f t="shared" si="407"/>
        <v>2024</v>
      </c>
      <c r="E1247" s="260" t="str">
        <f>VLOOKUP($B1247,Week!$A$1:$C$1462,2,0)</f>
        <v>Week34</v>
      </c>
      <c r="F1247" s="261" t="str">
        <f t="shared" si="408"/>
        <v>Aug</v>
      </c>
      <c r="G1247" s="262" t="s">
        <v>1425</v>
      </c>
      <c r="H1247" s="260" t="s">
        <v>134</v>
      </c>
      <c r="I1247" s="260" t="s">
        <v>2772</v>
      </c>
      <c r="J1247" s="263" t="s">
        <v>164</v>
      </c>
      <c r="K1247" s="264" t="s">
        <v>153</v>
      </c>
      <c r="L1247" s="390" t="s">
        <v>2166</v>
      </c>
      <c r="M1247" s="263" t="s">
        <v>165</v>
      </c>
      <c r="N1247" s="260" t="s">
        <v>166</v>
      </c>
      <c r="O1247" s="260" t="s">
        <v>502</v>
      </c>
      <c r="P1247" s="265">
        <v>20</v>
      </c>
      <c r="Q1247" s="265">
        <v>12</v>
      </c>
      <c r="R1247" s="266">
        <v>6.8100000000000001E-3</v>
      </c>
      <c r="S1247" s="260" t="s">
        <v>76</v>
      </c>
      <c r="T1247" s="260" t="s">
        <v>56</v>
      </c>
      <c r="U1247" s="260" t="s">
        <v>89</v>
      </c>
      <c r="V1247" s="267">
        <f>1000</f>
        <v>1000</v>
      </c>
      <c r="W1247" s="267">
        <f>628</f>
        <v>628</v>
      </c>
      <c r="X1247" s="268">
        <f>(460+6980)/20</f>
        <v>372</v>
      </c>
      <c r="Y1247" s="269">
        <f t="shared" si="412"/>
        <v>0</v>
      </c>
      <c r="Z1247" s="270">
        <f t="shared" si="413"/>
        <v>0</v>
      </c>
      <c r="AA1247" s="270">
        <f>Q1247*Z1247</f>
        <v>0</v>
      </c>
      <c r="AB1247" s="811">
        <v>2</v>
      </c>
      <c r="AC1247" s="267">
        <f>Z1247*AB1247</f>
        <v>0</v>
      </c>
      <c r="AD1247" s="209" t="s">
        <v>168</v>
      </c>
      <c r="AE1247" s="210"/>
      <c r="AF1247" s="210"/>
      <c r="AG1247" s="211">
        <f t="shared" si="414"/>
        <v>0.154</v>
      </c>
      <c r="AH1247" s="157">
        <f t="shared" si="415"/>
        <v>0</v>
      </c>
      <c r="AI1247" s="152">
        <f t="shared" si="416"/>
        <v>20000</v>
      </c>
      <c r="AK1247" s="156" t="s">
        <v>691</v>
      </c>
      <c r="AL1247" s="156" t="s">
        <v>689</v>
      </c>
      <c r="AM1247" s="198">
        <f t="shared" si="411"/>
        <v>0</v>
      </c>
      <c r="AN1247" s="199">
        <f t="shared" si="409"/>
        <v>45524</v>
      </c>
      <c r="AO1247" s="159" t="s">
        <v>692</v>
      </c>
      <c r="AP1247" s="783" t="s">
        <v>610</v>
      </c>
      <c r="AQ1247" s="783" t="s">
        <v>631</v>
      </c>
      <c r="AR1247" s="783" t="s">
        <v>523</v>
      </c>
      <c r="AS1247" s="781"/>
      <c r="AT1247" s="782">
        <v>12055919</v>
      </c>
      <c r="AU1247" s="781"/>
      <c r="AV1247" s="783" t="s">
        <v>544</v>
      </c>
      <c r="AW1247" s="781"/>
      <c r="AX1247" s="782" t="s">
        <v>398</v>
      </c>
      <c r="AY1247" s="781"/>
      <c r="AZ1247" s="781"/>
      <c r="BA1247" s="781"/>
    </row>
    <row r="1248" spans="1:53" ht="24.75" hidden="1" customHeight="1">
      <c r="B1248" s="295">
        <v>45525</v>
      </c>
      <c r="C1248" s="296" t="s">
        <v>1676</v>
      </c>
      <c r="D1248" s="185">
        <f t="shared" si="407"/>
        <v>2024</v>
      </c>
      <c r="E1248" s="296" t="str">
        <f>VLOOKUP($B1248,Week!$A$1:$C$1462,2,0)</f>
        <v>Week34</v>
      </c>
      <c r="F1248" s="297" t="str">
        <f t="shared" si="408"/>
        <v>Aug</v>
      </c>
      <c r="G1248" s="635" t="s">
        <v>47</v>
      </c>
      <c r="H1248" s="298" t="s">
        <v>260</v>
      </c>
      <c r="I1248" s="298" t="s">
        <v>2702</v>
      </c>
      <c r="J1248" s="307" t="s">
        <v>904</v>
      </c>
      <c r="K1248" s="300" t="s">
        <v>176</v>
      </c>
      <c r="L1248" s="300" t="s">
        <v>2167</v>
      </c>
      <c r="M1248" s="299" t="s">
        <v>262</v>
      </c>
      <c r="N1248" s="298" t="s">
        <v>350</v>
      </c>
      <c r="O1248" s="298" t="s">
        <v>351</v>
      </c>
      <c r="P1248" s="301">
        <v>24</v>
      </c>
      <c r="Q1248" s="301">
        <v>5</v>
      </c>
      <c r="R1248" s="302">
        <v>6.1999999999999998E-3</v>
      </c>
      <c r="S1248" s="298" t="s">
        <v>352</v>
      </c>
      <c r="T1248" s="298" t="s">
        <v>56</v>
      </c>
      <c r="U1248" s="298" t="s">
        <v>57</v>
      </c>
      <c r="V1248" s="303">
        <v>1817</v>
      </c>
      <c r="W1248" s="303">
        <f>1817</f>
        <v>1817</v>
      </c>
      <c r="X1248" s="304"/>
      <c r="Y1248" s="305">
        <f t="shared" si="412"/>
        <v>0</v>
      </c>
      <c r="Z1248" s="306">
        <f t="shared" si="413"/>
        <v>0</v>
      </c>
      <c r="AA1248" s="306"/>
      <c r="AB1248" s="814"/>
      <c r="AC1248" s="303"/>
      <c r="AD1248" s="580" t="s">
        <v>672</v>
      </c>
      <c r="AE1248" s="210"/>
      <c r="AF1248" s="210"/>
      <c r="AG1248" s="211">
        <f t="shared" si="414"/>
        <v>0.13</v>
      </c>
      <c r="AH1248" s="157">
        <f t="shared" si="415"/>
        <v>0</v>
      </c>
      <c r="AI1248" s="152">
        <f t="shared" si="416"/>
        <v>43608</v>
      </c>
      <c r="AK1248" s="156" t="s">
        <v>691</v>
      </c>
      <c r="AL1248" s="574" t="s">
        <v>690</v>
      </c>
      <c r="AM1248" s="198">
        <f t="shared" si="411"/>
        <v>0</v>
      </c>
      <c r="AN1248" s="199">
        <f t="shared" si="409"/>
        <v>45525</v>
      </c>
      <c r="AO1248" s="159" t="s">
        <v>692</v>
      </c>
      <c r="AP1248" s="783" t="s">
        <v>629</v>
      </c>
      <c r="AQ1248" s="782">
        <v>12071839</v>
      </c>
      <c r="AR1248" s="782">
        <v>12078867</v>
      </c>
      <c r="AS1248" s="782">
        <v>12068233</v>
      </c>
      <c r="AT1248" s="781"/>
      <c r="AU1248" s="781"/>
      <c r="AV1248" s="782">
        <v>12062075</v>
      </c>
      <c r="AW1248" s="781"/>
      <c r="AX1248" s="781"/>
      <c r="AY1248" s="782">
        <v>12078867</v>
      </c>
      <c r="AZ1248" s="781"/>
      <c r="BA1248" s="781"/>
    </row>
    <row r="1249" spans="1:53" ht="24.65" hidden="1" customHeight="1">
      <c r="B1249" s="411">
        <v>45525</v>
      </c>
      <c r="C1249" s="645" t="s">
        <v>1544</v>
      </c>
      <c r="D1249" s="185">
        <f t="shared" si="407"/>
        <v>2024</v>
      </c>
      <c r="E1249" s="412" t="str">
        <f>VLOOKUP($B1249,Week!$A$1:$C$1462,2,0)</f>
        <v>Week34</v>
      </c>
      <c r="F1249" s="413" t="str">
        <f t="shared" si="408"/>
        <v>Aug</v>
      </c>
      <c r="G1249" s="414" t="s">
        <v>47</v>
      </c>
      <c r="H1249" s="414" t="s">
        <v>260</v>
      </c>
      <c r="I1249" s="414" t="s">
        <v>2702</v>
      </c>
      <c r="J1249" s="415" t="s">
        <v>261</v>
      </c>
      <c r="K1249" s="416" t="s">
        <v>94</v>
      </c>
      <c r="L1249" s="300" t="s">
        <v>2167</v>
      </c>
      <c r="M1249" s="415" t="s">
        <v>1303</v>
      </c>
      <c r="N1249" s="414" t="s">
        <v>263</v>
      </c>
      <c r="O1249" s="414" t="s">
        <v>195</v>
      </c>
      <c r="P1249" s="417">
        <v>24</v>
      </c>
      <c r="Q1249" s="417">
        <v>5</v>
      </c>
      <c r="R1249" s="418">
        <v>8.0000000000000002E-3</v>
      </c>
      <c r="S1249" s="414" t="s">
        <v>40</v>
      </c>
      <c r="T1249" s="414" t="s">
        <v>56</v>
      </c>
      <c r="U1249" s="414" t="s">
        <v>57</v>
      </c>
      <c r="V1249" s="419">
        <f>3368</f>
        <v>3368</v>
      </c>
      <c r="W1249" s="419">
        <f>1+3367</f>
        <v>3368</v>
      </c>
      <c r="X1249" s="420"/>
      <c r="Y1249" s="421">
        <f t="shared" si="412"/>
        <v>0</v>
      </c>
      <c r="Z1249" s="422">
        <f t="shared" si="413"/>
        <v>0</v>
      </c>
      <c r="AA1249" s="422"/>
      <c r="AB1249" s="825"/>
      <c r="AC1249" s="419"/>
      <c r="AD1249" s="209"/>
      <c r="AE1249" s="210"/>
      <c r="AF1249" s="210"/>
      <c r="AG1249" s="211">
        <f t="shared" si="414"/>
        <v>0.14499999999999999</v>
      </c>
      <c r="AH1249" s="157">
        <f t="shared" si="415"/>
        <v>0</v>
      </c>
      <c r="AI1249" s="152">
        <f t="shared" si="416"/>
        <v>80832</v>
      </c>
      <c r="AK1249" s="156" t="s">
        <v>691</v>
      </c>
      <c r="AL1249" s="212" t="s">
        <v>690</v>
      </c>
      <c r="AM1249" s="198">
        <f t="shared" si="411"/>
        <v>0</v>
      </c>
      <c r="AN1249" s="199">
        <f t="shared" si="409"/>
        <v>45525</v>
      </c>
      <c r="AO1249" s="159" t="s">
        <v>692</v>
      </c>
      <c r="AP1249" s="783" t="s">
        <v>609</v>
      </c>
      <c r="AQ1249" s="782">
        <v>12071839</v>
      </c>
      <c r="AR1249" s="782">
        <v>12047514</v>
      </c>
      <c r="AS1249" s="782">
        <v>12047515</v>
      </c>
      <c r="AT1249" s="781"/>
      <c r="AU1249" s="781"/>
      <c r="AV1249" s="782">
        <v>12080613</v>
      </c>
      <c r="AW1249" s="781"/>
      <c r="AX1249" s="781"/>
      <c r="AY1249" s="782">
        <v>12080614</v>
      </c>
      <c r="AZ1249" s="782">
        <v>12080616</v>
      </c>
      <c r="BA1249" s="781"/>
    </row>
    <row r="1250" spans="1:53" ht="25" hidden="1" customHeight="1">
      <c r="A1250" s="142" t="s">
        <v>120</v>
      </c>
      <c r="B1250" s="571">
        <v>45525</v>
      </c>
      <c r="C1250" s="235">
        <v>45527</v>
      </c>
      <c r="D1250" s="185">
        <f t="shared" si="407"/>
        <v>2024</v>
      </c>
      <c r="E1250" s="236" t="str">
        <f>VLOOKUP($B1250,Week!$A$1:$C$1462,2,0)</f>
        <v>Week34</v>
      </c>
      <c r="F1250" s="237" t="str">
        <f t="shared" si="408"/>
        <v>Aug</v>
      </c>
      <c r="G1250" s="236" t="s">
        <v>47</v>
      </c>
      <c r="H1250" s="236" t="s">
        <v>47</v>
      </c>
      <c r="I1250" s="236" t="s">
        <v>2702</v>
      </c>
      <c r="J1250" s="238" t="s">
        <v>70</v>
      </c>
      <c r="K1250" s="239" t="s">
        <v>153</v>
      </c>
      <c r="L1250" s="390" t="s">
        <v>2166</v>
      </c>
      <c r="M1250" s="238" t="s">
        <v>154</v>
      </c>
      <c r="N1250" s="236" t="s">
        <v>155</v>
      </c>
      <c r="O1250" s="236" t="s">
        <v>156</v>
      </c>
      <c r="P1250" s="240">
        <v>8</v>
      </c>
      <c r="Q1250" s="240">
        <v>50</v>
      </c>
      <c r="R1250" s="241">
        <v>8.1300000000000001E-3</v>
      </c>
      <c r="S1250" s="236" t="s">
        <v>40</v>
      </c>
      <c r="T1250" s="236" t="s">
        <v>56</v>
      </c>
      <c r="U1250" s="236"/>
      <c r="V1250" s="242">
        <f>500</f>
        <v>500</v>
      </c>
      <c r="W1250" s="242">
        <f>13+487</f>
        <v>500</v>
      </c>
      <c r="X1250" s="243"/>
      <c r="Y1250" s="244">
        <f t="shared" si="412"/>
        <v>0</v>
      </c>
      <c r="Z1250" s="245">
        <f t="shared" si="413"/>
        <v>0</v>
      </c>
      <c r="AA1250" s="242">
        <f>Q1250*Z1250</f>
        <v>0</v>
      </c>
      <c r="AB1250" s="809"/>
      <c r="AC1250" s="242">
        <f>Z1250*AB1250</f>
        <v>0</v>
      </c>
      <c r="AD1250" s="443" t="s">
        <v>1733</v>
      </c>
      <c r="AE1250" s="220"/>
      <c r="AF1250" s="220"/>
      <c r="AG1250" s="211">
        <f t="shared" si="414"/>
        <v>0.6</v>
      </c>
      <c r="AH1250" s="157">
        <f t="shared" si="415"/>
        <v>0</v>
      </c>
      <c r="AI1250" s="152">
        <f t="shared" si="416"/>
        <v>4000</v>
      </c>
      <c r="AK1250" s="156" t="s">
        <v>691</v>
      </c>
      <c r="AL1250" s="156" t="s">
        <v>689</v>
      </c>
      <c r="AM1250" s="198">
        <f t="shared" si="411"/>
        <v>0</v>
      </c>
      <c r="AN1250" s="199">
        <f t="shared" si="409"/>
        <v>45525</v>
      </c>
      <c r="AO1250" s="159" t="s">
        <v>692</v>
      </c>
      <c r="AP1250" s="781"/>
      <c r="AQ1250" s="781"/>
      <c r="AR1250" s="783" t="s">
        <v>529</v>
      </c>
      <c r="AS1250" s="781"/>
      <c r="AT1250" s="783"/>
      <c r="AU1250" s="783"/>
      <c r="AV1250" s="783" t="s">
        <v>530</v>
      </c>
      <c r="AW1250" s="781"/>
      <c r="AX1250" s="781" t="s">
        <v>93</v>
      </c>
      <c r="AY1250" s="781"/>
      <c r="AZ1250" s="782"/>
      <c r="BA1250" s="781"/>
    </row>
    <row r="1251" spans="1:53" ht="24.75" hidden="1" customHeight="1">
      <c r="A1251" s="142" t="s">
        <v>120</v>
      </c>
      <c r="B1251" s="308">
        <v>45525</v>
      </c>
      <c r="C1251" s="644" t="s">
        <v>1591</v>
      </c>
      <c r="D1251" s="185">
        <f t="shared" si="407"/>
        <v>2024</v>
      </c>
      <c r="E1251" s="519" t="str">
        <f>VLOOKUP($B1251,Week!$A$1:$C$1462,2,0)</f>
        <v>Week34</v>
      </c>
      <c r="F1251" s="520" t="str">
        <f t="shared" si="408"/>
        <v>Aug</v>
      </c>
      <c r="G1251" s="644" t="s">
        <v>47</v>
      </c>
      <c r="H1251" s="311" t="s">
        <v>518</v>
      </c>
      <c r="I1251" s="311" t="s">
        <v>2702</v>
      </c>
      <c r="J1251" s="312" t="s">
        <v>70</v>
      </c>
      <c r="K1251" s="313" t="s">
        <v>85</v>
      </c>
      <c r="L1251" s="390" t="s">
        <v>2166</v>
      </c>
      <c r="M1251" s="312" t="s">
        <v>515</v>
      </c>
      <c r="N1251" s="311" t="s">
        <v>588</v>
      </c>
      <c r="O1251" s="311" t="s">
        <v>546</v>
      </c>
      <c r="P1251" s="314">
        <v>12</v>
      </c>
      <c r="Q1251" s="314">
        <v>20</v>
      </c>
      <c r="R1251" s="315">
        <v>6.1999999999999998E-3</v>
      </c>
      <c r="S1251" s="311" t="s">
        <v>352</v>
      </c>
      <c r="T1251" s="311" t="s">
        <v>56</v>
      </c>
      <c r="U1251" s="311"/>
      <c r="V1251" s="316">
        <f>177+59</f>
        <v>236</v>
      </c>
      <c r="W1251" s="316">
        <f>236</f>
        <v>236</v>
      </c>
      <c r="X1251" s="317"/>
      <c r="Y1251" s="318">
        <f t="shared" si="412"/>
        <v>0</v>
      </c>
      <c r="Z1251" s="319">
        <f t="shared" si="413"/>
        <v>0</v>
      </c>
      <c r="AA1251" s="319">
        <f>Q1251*Z1251</f>
        <v>0</v>
      </c>
      <c r="AB1251" s="815"/>
      <c r="AC1251" s="316">
        <f>Z1251*AB1251</f>
        <v>0</v>
      </c>
      <c r="AD1251" s="209"/>
      <c r="AE1251" s="210"/>
      <c r="AF1251" s="210"/>
      <c r="AG1251" s="211">
        <f t="shared" si="414"/>
        <v>0.22</v>
      </c>
      <c r="AH1251" s="157">
        <f t="shared" si="415"/>
        <v>0</v>
      </c>
      <c r="AI1251" s="152">
        <f t="shared" si="416"/>
        <v>2832</v>
      </c>
      <c r="AK1251" s="156" t="s">
        <v>691</v>
      </c>
      <c r="AL1251" s="156" t="s">
        <v>689</v>
      </c>
      <c r="AM1251" s="198">
        <f t="shared" si="411"/>
        <v>0</v>
      </c>
      <c r="AN1251" s="199">
        <f t="shared" si="409"/>
        <v>45525</v>
      </c>
      <c r="AO1251" s="159" t="s">
        <v>692</v>
      </c>
      <c r="AP1251" s="783" t="s">
        <v>613</v>
      </c>
      <c r="AQ1251" s="782"/>
      <c r="AR1251" s="782" t="s">
        <v>614</v>
      </c>
      <c r="AS1251" s="782"/>
      <c r="AT1251" s="782">
        <v>12083140</v>
      </c>
      <c r="AU1251" s="781"/>
      <c r="AV1251" s="782">
        <v>12083143</v>
      </c>
      <c r="AW1251" s="782"/>
      <c r="AX1251" s="782"/>
      <c r="AY1251" s="782"/>
      <c r="AZ1251" s="782"/>
      <c r="BA1251" s="781"/>
    </row>
    <row r="1252" spans="1:53" ht="25" hidden="1" customHeight="1">
      <c r="B1252" s="320">
        <v>45526</v>
      </c>
      <c r="C1252" s="321" t="s">
        <v>1544</v>
      </c>
      <c r="D1252" s="185">
        <f t="shared" si="407"/>
        <v>2024</v>
      </c>
      <c r="E1252" s="321" t="str">
        <f>VLOOKUP($B1252,Week!$A$1:$C$1462,2,0)</f>
        <v>Week34</v>
      </c>
      <c r="F1252" s="322" t="str">
        <f t="shared" si="408"/>
        <v>Aug</v>
      </c>
      <c r="G1252" s="323" t="s">
        <v>47</v>
      </c>
      <c r="H1252" s="323" t="s">
        <v>518</v>
      </c>
      <c r="I1252" s="323" t="s">
        <v>2702</v>
      </c>
      <c r="J1252" s="324" t="s">
        <v>70</v>
      </c>
      <c r="K1252" s="325" t="s">
        <v>564</v>
      </c>
      <c r="L1252" s="300" t="s">
        <v>2167</v>
      </c>
      <c r="M1252" s="324" t="s">
        <v>558</v>
      </c>
      <c r="N1252" s="323" t="s">
        <v>559</v>
      </c>
      <c r="O1252" s="323" t="s">
        <v>560</v>
      </c>
      <c r="P1252" s="326">
        <v>12</v>
      </c>
      <c r="Q1252" s="326">
        <v>3</v>
      </c>
      <c r="R1252" s="327">
        <v>8.0000000000000002E-3</v>
      </c>
      <c r="S1252" s="323" t="s">
        <v>40</v>
      </c>
      <c r="T1252" s="323" t="s">
        <v>56</v>
      </c>
      <c r="U1252" s="323" t="s">
        <v>57</v>
      </c>
      <c r="V1252" s="397">
        <f>452</f>
        <v>452</v>
      </c>
      <c r="W1252" s="328">
        <f>6+446</f>
        <v>452</v>
      </c>
      <c r="X1252" s="329"/>
      <c r="Y1252" s="330">
        <f t="shared" si="412"/>
        <v>0</v>
      </c>
      <c r="Z1252" s="331">
        <f t="shared" si="413"/>
        <v>0</v>
      </c>
      <c r="AA1252" s="331"/>
      <c r="AB1252" s="816"/>
      <c r="AC1252" s="328"/>
      <c r="AD1252" s="209"/>
      <c r="AE1252" s="210"/>
      <c r="AF1252" s="210"/>
      <c r="AG1252" s="211">
        <f t="shared" si="414"/>
        <v>0.22600000000000001</v>
      </c>
      <c r="AH1252" s="157">
        <f t="shared" si="415"/>
        <v>0</v>
      </c>
      <c r="AI1252" s="152">
        <f t="shared" si="416"/>
        <v>5424</v>
      </c>
      <c r="AK1252" s="156" t="s">
        <v>691</v>
      </c>
      <c r="AL1252" s="212" t="s">
        <v>690</v>
      </c>
      <c r="AM1252" s="198">
        <f t="shared" si="411"/>
        <v>0</v>
      </c>
      <c r="AN1252" s="199">
        <f t="shared" si="409"/>
        <v>45526</v>
      </c>
      <c r="AO1252" s="159" t="s">
        <v>692</v>
      </c>
      <c r="AP1252" s="783" t="s">
        <v>623</v>
      </c>
      <c r="AQ1252" s="782">
        <v>12071839</v>
      </c>
      <c r="AR1252" s="782">
        <v>12042650</v>
      </c>
      <c r="AS1252" s="782">
        <v>12042649</v>
      </c>
      <c r="AT1252" s="782"/>
      <c r="AU1252" s="781"/>
      <c r="AV1252" s="782">
        <v>12083156</v>
      </c>
      <c r="AW1252" s="782"/>
      <c r="AX1252" s="782"/>
      <c r="AY1252" s="782">
        <v>12083147</v>
      </c>
      <c r="AZ1252" s="782">
        <v>12083148</v>
      </c>
      <c r="BA1252" s="781"/>
    </row>
    <row r="1253" spans="1:53" ht="25" hidden="1" customHeight="1">
      <c r="B1253" s="332">
        <v>45526</v>
      </c>
      <c r="C1253" s="333" t="s">
        <v>1544</v>
      </c>
      <c r="D1253" s="185">
        <f t="shared" si="407"/>
        <v>2024</v>
      </c>
      <c r="E1253" s="333" t="str">
        <f>VLOOKUP($B1253,Week!$A$1:$C$1462,2,0)</f>
        <v>Week34</v>
      </c>
      <c r="F1253" s="334" t="str">
        <f t="shared" si="408"/>
        <v>Aug</v>
      </c>
      <c r="G1253" s="335" t="s">
        <v>47</v>
      </c>
      <c r="H1253" s="335" t="s">
        <v>518</v>
      </c>
      <c r="I1253" s="335" t="s">
        <v>2702</v>
      </c>
      <c r="J1253" s="336" t="s">
        <v>70</v>
      </c>
      <c r="K1253" s="337" t="s">
        <v>582</v>
      </c>
      <c r="L1253" s="300" t="s">
        <v>2167</v>
      </c>
      <c r="M1253" s="336" t="s">
        <v>534</v>
      </c>
      <c r="N1253" s="530" t="s">
        <v>578</v>
      </c>
      <c r="O1253" s="335" t="s">
        <v>583</v>
      </c>
      <c r="P1253" s="338">
        <v>12</v>
      </c>
      <c r="Q1253" s="338">
        <v>3</v>
      </c>
      <c r="R1253" s="339">
        <v>6.0000000000000001E-3</v>
      </c>
      <c r="S1253" s="335" t="s">
        <v>55</v>
      </c>
      <c r="T1253" s="335" t="s">
        <v>56</v>
      </c>
      <c r="U1253" s="335" t="s">
        <v>57</v>
      </c>
      <c r="V1253" s="341">
        <f>207</f>
        <v>207</v>
      </c>
      <c r="W1253" s="341">
        <f>21+1+185</f>
        <v>207</v>
      </c>
      <c r="X1253" s="342"/>
      <c r="Y1253" s="531">
        <f t="shared" si="412"/>
        <v>0</v>
      </c>
      <c r="Z1253" s="344">
        <f t="shared" si="413"/>
        <v>0</v>
      </c>
      <c r="AA1253" s="344"/>
      <c r="AB1253" s="817"/>
      <c r="AC1253" s="341"/>
      <c r="AD1253" s="209"/>
      <c r="AE1253" s="210"/>
      <c r="AF1253" s="210"/>
      <c r="AG1253" s="211">
        <f t="shared" si="414"/>
        <v>0.191</v>
      </c>
      <c r="AH1253" s="157">
        <f t="shared" si="415"/>
        <v>0</v>
      </c>
      <c r="AI1253" s="152">
        <f t="shared" si="416"/>
        <v>2484</v>
      </c>
      <c r="AK1253" s="156" t="s">
        <v>691</v>
      </c>
      <c r="AL1253" s="212" t="s">
        <v>690</v>
      </c>
      <c r="AM1253" s="198">
        <f t="shared" si="411"/>
        <v>0</v>
      </c>
      <c r="AN1253" s="199">
        <f t="shared" si="409"/>
        <v>45526</v>
      </c>
      <c r="AO1253" s="159" t="s">
        <v>692</v>
      </c>
      <c r="AP1253" s="781"/>
      <c r="AQ1253" s="782">
        <v>12071839</v>
      </c>
      <c r="AR1253" s="782">
        <v>12042650</v>
      </c>
      <c r="AS1253" s="782">
        <v>12042649</v>
      </c>
      <c r="AT1253" s="782"/>
      <c r="AU1253" s="781"/>
      <c r="AV1253" s="782">
        <v>12083313</v>
      </c>
      <c r="AW1253" s="782"/>
      <c r="AX1253" s="782"/>
      <c r="AY1253" s="782">
        <v>12083308</v>
      </c>
      <c r="AZ1253" s="782">
        <v>12083312</v>
      </c>
      <c r="BA1253" s="781"/>
    </row>
    <row r="1254" spans="1:53" ht="25" hidden="1" customHeight="1">
      <c r="B1254" s="332">
        <v>45526</v>
      </c>
      <c r="C1254" s="333" t="s">
        <v>1711</v>
      </c>
      <c r="D1254" s="185">
        <f t="shared" si="407"/>
        <v>2024</v>
      </c>
      <c r="E1254" s="333" t="str">
        <f>VLOOKUP($B1254,Week!$A$1:$C$1462,2,0)</f>
        <v>Week34</v>
      </c>
      <c r="F1254" s="334" t="str">
        <f t="shared" si="408"/>
        <v>Aug</v>
      </c>
      <c r="G1254" s="335" t="s">
        <v>47</v>
      </c>
      <c r="H1254" s="335" t="s">
        <v>518</v>
      </c>
      <c r="I1254" s="335" t="s">
        <v>2702</v>
      </c>
      <c r="J1254" s="336" t="s">
        <v>70</v>
      </c>
      <c r="K1254" s="337" t="s">
        <v>582</v>
      </c>
      <c r="L1254" s="300" t="s">
        <v>2167</v>
      </c>
      <c r="M1254" s="336" t="s">
        <v>534</v>
      </c>
      <c r="N1254" s="530" t="s">
        <v>578</v>
      </c>
      <c r="O1254" s="335" t="s">
        <v>583</v>
      </c>
      <c r="P1254" s="338">
        <v>12</v>
      </c>
      <c r="Q1254" s="338">
        <v>3</v>
      </c>
      <c r="R1254" s="339">
        <v>6.0000000000000001E-3</v>
      </c>
      <c r="S1254" s="335" t="s">
        <v>55</v>
      </c>
      <c r="T1254" s="335" t="s">
        <v>56</v>
      </c>
      <c r="U1254" s="335" t="s">
        <v>57</v>
      </c>
      <c r="V1254" s="341">
        <v>22</v>
      </c>
      <c r="W1254" s="341">
        <f>22</f>
        <v>22</v>
      </c>
      <c r="X1254" s="342"/>
      <c r="Y1254" s="531">
        <f t="shared" si="412"/>
        <v>0</v>
      </c>
      <c r="Z1254" s="344">
        <f t="shared" si="413"/>
        <v>0</v>
      </c>
      <c r="AA1254" s="344"/>
      <c r="AB1254" s="817"/>
      <c r="AC1254" s="341"/>
      <c r="AD1254" s="209"/>
      <c r="AE1254" s="210"/>
      <c r="AF1254" s="210"/>
      <c r="AG1254" s="211">
        <f t="shared" si="414"/>
        <v>0.191</v>
      </c>
      <c r="AH1254" s="157">
        <f t="shared" si="415"/>
        <v>0</v>
      </c>
      <c r="AI1254" s="152">
        <f t="shared" si="416"/>
        <v>264</v>
      </c>
      <c r="AK1254" s="156" t="s">
        <v>691</v>
      </c>
      <c r="AL1254" s="212" t="s">
        <v>690</v>
      </c>
      <c r="AM1254" s="198">
        <f t="shared" si="411"/>
        <v>0</v>
      </c>
      <c r="AN1254" s="199">
        <f t="shared" si="409"/>
        <v>45526</v>
      </c>
      <c r="AO1254" s="159" t="s">
        <v>692</v>
      </c>
      <c r="AP1254" s="781"/>
      <c r="AQ1254" s="782">
        <v>12071839</v>
      </c>
      <c r="AR1254" s="782">
        <v>12042650</v>
      </c>
      <c r="AS1254" s="782">
        <v>12042649</v>
      </c>
      <c r="AT1254" s="782"/>
      <c r="AU1254" s="781"/>
      <c r="AV1254" s="782">
        <v>12083313</v>
      </c>
      <c r="AW1254" s="782"/>
      <c r="AX1254" s="782"/>
      <c r="AY1254" s="782">
        <v>12083308</v>
      </c>
      <c r="AZ1254" s="782">
        <v>12083312</v>
      </c>
      <c r="BA1254" s="781"/>
    </row>
    <row r="1255" spans="1:53" ht="25" hidden="1" customHeight="1">
      <c r="B1255" s="271">
        <v>45526</v>
      </c>
      <c r="C1255" s="272" t="s">
        <v>1544</v>
      </c>
      <c r="D1255" s="185">
        <f t="shared" si="407"/>
        <v>2024</v>
      </c>
      <c r="E1255" s="272" t="str">
        <f>VLOOKUP($B1255,Week!$A$1:$C$1462,2,0)</f>
        <v>Week34</v>
      </c>
      <c r="F1255" s="273" t="str">
        <f t="shared" si="408"/>
        <v>Aug</v>
      </c>
      <c r="G1255" s="274" t="s">
        <v>47</v>
      </c>
      <c r="H1255" s="274" t="s">
        <v>518</v>
      </c>
      <c r="I1255" s="274" t="s">
        <v>2702</v>
      </c>
      <c r="J1255" s="275" t="s">
        <v>70</v>
      </c>
      <c r="K1255" s="276" t="s">
        <v>556</v>
      </c>
      <c r="L1255" s="300" t="s">
        <v>2167</v>
      </c>
      <c r="M1255" s="275" t="s">
        <v>520</v>
      </c>
      <c r="N1255" s="423" t="s">
        <v>586</v>
      </c>
      <c r="O1255" s="274" t="s">
        <v>585</v>
      </c>
      <c r="P1255" s="277">
        <v>12</v>
      </c>
      <c r="Q1255" s="277">
        <v>5</v>
      </c>
      <c r="R1255" s="278">
        <v>6.0000000000000001E-3</v>
      </c>
      <c r="S1255" s="274" t="s">
        <v>55</v>
      </c>
      <c r="T1255" s="274" t="s">
        <v>56</v>
      </c>
      <c r="U1255" s="274" t="s">
        <v>57</v>
      </c>
      <c r="V1255" s="279">
        <f>311</f>
        <v>311</v>
      </c>
      <c r="W1255" s="279">
        <f>582-246-311+1+285</f>
        <v>311</v>
      </c>
      <c r="X1255" s="280"/>
      <c r="Y1255" s="281">
        <f t="shared" si="412"/>
        <v>0</v>
      </c>
      <c r="Z1255" s="282">
        <f t="shared" si="413"/>
        <v>0</v>
      </c>
      <c r="AA1255" s="282"/>
      <c r="AB1255" s="812"/>
      <c r="AC1255" s="279"/>
      <c r="AD1255" s="209"/>
      <c r="AE1255" s="210"/>
      <c r="AF1255" s="210"/>
      <c r="AG1255" s="211">
        <f t="shared" si="414"/>
        <v>0.13500000000000001</v>
      </c>
      <c r="AH1255" s="157">
        <f t="shared" si="415"/>
        <v>0</v>
      </c>
      <c r="AI1255" s="152">
        <f t="shared" si="416"/>
        <v>3732</v>
      </c>
      <c r="AK1255" s="156" t="s">
        <v>691</v>
      </c>
      <c r="AL1255" s="212" t="s">
        <v>690</v>
      </c>
      <c r="AM1255" s="198">
        <f t="shared" si="411"/>
        <v>0</v>
      </c>
      <c r="AN1255" s="199">
        <f t="shared" si="409"/>
        <v>45526</v>
      </c>
      <c r="AO1255" s="159" t="s">
        <v>692</v>
      </c>
      <c r="AP1255" s="781"/>
      <c r="AQ1255" s="782">
        <v>12071839</v>
      </c>
      <c r="AR1255" s="782">
        <v>12047514</v>
      </c>
      <c r="AS1255" s="782">
        <v>12047515</v>
      </c>
      <c r="AT1255" s="782"/>
      <c r="AU1255" s="781"/>
      <c r="AV1255" s="782">
        <v>12083307</v>
      </c>
      <c r="AW1255" s="782"/>
      <c r="AX1255" s="782"/>
      <c r="AY1255" s="782">
        <v>12083305</v>
      </c>
      <c r="AZ1255" s="782">
        <v>12083306</v>
      </c>
      <c r="BA1255" s="781"/>
    </row>
    <row r="1256" spans="1:53" ht="25" hidden="1" customHeight="1">
      <c r="B1256" s="271">
        <v>45526</v>
      </c>
      <c r="C1256" s="272" t="s">
        <v>1711</v>
      </c>
      <c r="D1256" s="185">
        <f t="shared" si="407"/>
        <v>2024</v>
      </c>
      <c r="E1256" s="272" t="str">
        <f>VLOOKUP($B1256,Week!$A$1:$C$1462,2,0)</f>
        <v>Week34</v>
      </c>
      <c r="F1256" s="273" t="str">
        <f t="shared" si="408"/>
        <v>Aug</v>
      </c>
      <c r="G1256" s="274" t="s">
        <v>47</v>
      </c>
      <c r="H1256" s="274" t="s">
        <v>518</v>
      </c>
      <c r="I1256" s="274" t="s">
        <v>2702</v>
      </c>
      <c r="J1256" s="275" t="s">
        <v>70</v>
      </c>
      <c r="K1256" s="276" t="s">
        <v>556</v>
      </c>
      <c r="L1256" s="300" t="s">
        <v>2167</v>
      </c>
      <c r="M1256" s="275" t="s">
        <v>520</v>
      </c>
      <c r="N1256" s="423" t="s">
        <v>586</v>
      </c>
      <c r="O1256" s="274" t="s">
        <v>585</v>
      </c>
      <c r="P1256" s="277">
        <v>12</v>
      </c>
      <c r="Q1256" s="277">
        <v>5</v>
      </c>
      <c r="R1256" s="278">
        <v>6.0000000000000001E-3</v>
      </c>
      <c r="S1256" s="274" t="s">
        <v>55</v>
      </c>
      <c r="T1256" s="274" t="s">
        <v>56</v>
      </c>
      <c r="U1256" s="274" t="s">
        <v>57</v>
      </c>
      <c r="V1256" s="279">
        <v>20</v>
      </c>
      <c r="W1256" s="279">
        <f>20</f>
        <v>20</v>
      </c>
      <c r="X1256" s="280"/>
      <c r="Y1256" s="281">
        <f t="shared" si="412"/>
        <v>0</v>
      </c>
      <c r="Z1256" s="282">
        <f t="shared" si="413"/>
        <v>0</v>
      </c>
      <c r="AA1256" s="282"/>
      <c r="AB1256" s="812"/>
      <c r="AC1256" s="279"/>
      <c r="AD1256" s="209"/>
      <c r="AE1256" s="210"/>
      <c r="AF1256" s="210"/>
      <c r="AG1256" s="211">
        <f t="shared" si="414"/>
        <v>0.13500000000000001</v>
      </c>
      <c r="AH1256" s="157">
        <f t="shared" si="415"/>
        <v>0</v>
      </c>
      <c r="AI1256" s="152">
        <f t="shared" si="416"/>
        <v>240</v>
      </c>
      <c r="AK1256" s="156" t="s">
        <v>691</v>
      </c>
      <c r="AL1256" s="212" t="s">
        <v>690</v>
      </c>
      <c r="AM1256" s="198">
        <f t="shared" ref="AM1256:AM1273" si="417">AG1256*Z1256</f>
        <v>0</v>
      </c>
      <c r="AN1256" s="199">
        <f t="shared" si="409"/>
        <v>45526</v>
      </c>
      <c r="AO1256" s="159" t="s">
        <v>692</v>
      </c>
      <c r="AP1256" s="781"/>
      <c r="AQ1256" s="782">
        <v>12071839</v>
      </c>
      <c r="AR1256" s="782">
        <v>12047514</v>
      </c>
      <c r="AS1256" s="782">
        <v>12047515</v>
      </c>
      <c r="AT1256" s="782"/>
      <c r="AU1256" s="781"/>
      <c r="AV1256" s="782">
        <v>12083307</v>
      </c>
      <c r="AW1256" s="782"/>
      <c r="AX1256" s="782"/>
      <c r="AY1256" s="782">
        <v>12083305</v>
      </c>
      <c r="AZ1256" s="782">
        <v>12083306</v>
      </c>
      <c r="BA1256" s="781"/>
    </row>
    <row r="1257" spans="1:53" ht="25" hidden="1" customHeight="1">
      <c r="A1257" s="529" t="s">
        <v>755</v>
      </c>
      <c r="B1257" s="357">
        <v>45526</v>
      </c>
      <c r="C1257" s="358" t="s">
        <v>1544</v>
      </c>
      <c r="D1257" s="185">
        <f t="shared" si="407"/>
        <v>2024</v>
      </c>
      <c r="E1257" s="358" t="str">
        <f>VLOOKUP($B1257,Week!$A$1:$C$1462,2,0)</f>
        <v>Week34</v>
      </c>
      <c r="F1257" s="360" t="str">
        <f t="shared" si="408"/>
        <v>Aug</v>
      </c>
      <c r="G1257" s="359" t="s">
        <v>47</v>
      </c>
      <c r="H1257" s="359" t="s">
        <v>518</v>
      </c>
      <c r="I1257" s="359" t="s">
        <v>2702</v>
      </c>
      <c r="J1257" s="361" t="s">
        <v>70</v>
      </c>
      <c r="K1257" s="362" t="s">
        <v>94</v>
      </c>
      <c r="L1257" s="300" t="s">
        <v>2167</v>
      </c>
      <c r="M1257" s="361" t="s">
        <v>519</v>
      </c>
      <c r="N1257" s="436" t="s">
        <v>648</v>
      </c>
      <c r="O1257" s="359" t="s">
        <v>97</v>
      </c>
      <c r="P1257" s="363">
        <v>12</v>
      </c>
      <c r="Q1257" s="363">
        <v>5</v>
      </c>
      <c r="R1257" s="364">
        <v>8.0000000000000002E-3</v>
      </c>
      <c r="S1257" s="359" t="s">
        <v>40</v>
      </c>
      <c r="T1257" s="359" t="s">
        <v>56</v>
      </c>
      <c r="U1257" s="359" t="s">
        <v>57</v>
      </c>
      <c r="V1257" s="365">
        <v>12</v>
      </c>
      <c r="W1257" s="365">
        <v>12</v>
      </c>
      <c r="X1257" s="366"/>
      <c r="Y1257" s="367">
        <f t="shared" si="412"/>
        <v>0</v>
      </c>
      <c r="Z1257" s="368">
        <f t="shared" si="413"/>
        <v>0</v>
      </c>
      <c r="AA1257" s="368"/>
      <c r="AB1257" s="819"/>
      <c r="AC1257" s="365"/>
      <c r="AD1257" s="209"/>
      <c r="AE1257" s="210"/>
      <c r="AF1257" s="210"/>
      <c r="AG1257" s="211">
        <f t="shared" si="414"/>
        <v>0.14499999999999999</v>
      </c>
      <c r="AH1257" s="157">
        <f t="shared" si="415"/>
        <v>0</v>
      </c>
      <c r="AI1257" s="152">
        <f t="shared" si="416"/>
        <v>144</v>
      </c>
      <c r="AK1257" s="156" t="s">
        <v>691</v>
      </c>
      <c r="AL1257" s="574" t="s">
        <v>690</v>
      </c>
      <c r="AM1257" s="198">
        <f t="shared" si="417"/>
        <v>0</v>
      </c>
      <c r="AN1257" s="199">
        <f t="shared" si="409"/>
        <v>45526</v>
      </c>
      <c r="AO1257" s="159" t="s">
        <v>692</v>
      </c>
      <c r="AP1257" s="783" t="s">
        <v>628</v>
      </c>
      <c r="AQ1257" s="782">
        <v>12071839</v>
      </c>
      <c r="AR1257" s="782">
        <v>12047514</v>
      </c>
      <c r="AS1257" s="782">
        <v>12047515</v>
      </c>
      <c r="AT1257" s="782"/>
      <c r="AU1257" s="781"/>
      <c r="AV1257" s="782">
        <v>12080617</v>
      </c>
      <c r="AW1257" s="782"/>
      <c r="AX1257" s="782"/>
      <c r="AY1257" s="782">
        <v>12080618</v>
      </c>
      <c r="AZ1257" s="782">
        <v>12080619</v>
      </c>
      <c r="BA1257" s="781"/>
    </row>
    <row r="1258" spans="1:53" ht="25" hidden="1" customHeight="1">
      <c r="B1258" s="357">
        <v>45526</v>
      </c>
      <c r="C1258" s="358" t="s">
        <v>1544</v>
      </c>
      <c r="D1258" s="185">
        <f t="shared" si="407"/>
        <v>2024</v>
      </c>
      <c r="E1258" s="358" t="str">
        <f>VLOOKUP($B1258,Week!$A$1:$C$1462,2,0)</f>
        <v>Week34</v>
      </c>
      <c r="F1258" s="360" t="str">
        <f t="shared" si="408"/>
        <v>Aug</v>
      </c>
      <c r="G1258" s="359" t="s">
        <v>47</v>
      </c>
      <c r="H1258" s="359" t="s">
        <v>518</v>
      </c>
      <c r="I1258" s="359" t="s">
        <v>2702</v>
      </c>
      <c r="J1258" s="361" t="s">
        <v>70</v>
      </c>
      <c r="K1258" s="362" t="s">
        <v>94</v>
      </c>
      <c r="L1258" s="300" t="s">
        <v>2167</v>
      </c>
      <c r="M1258" s="361" t="s">
        <v>519</v>
      </c>
      <c r="N1258" s="359" t="s">
        <v>589</v>
      </c>
      <c r="O1258" s="359" t="s">
        <v>97</v>
      </c>
      <c r="P1258" s="363">
        <v>12</v>
      </c>
      <c r="Q1258" s="363">
        <v>5</v>
      </c>
      <c r="R1258" s="364">
        <v>8.0000000000000002E-3</v>
      </c>
      <c r="S1258" s="359" t="s">
        <v>40</v>
      </c>
      <c r="T1258" s="359" t="s">
        <v>56</v>
      </c>
      <c r="U1258" s="359" t="s">
        <v>57</v>
      </c>
      <c r="V1258" s="365">
        <f>2872</f>
        <v>2872</v>
      </c>
      <c r="W1258" s="365">
        <f>51+1+2820</f>
        <v>2872</v>
      </c>
      <c r="X1258" s="366"/>
      <c r="Y1258" s="367">
        <f t="shared" si="412"/>
        <v>0</v>
      </c>
      <c r="Z1258" s="368">
        <f t="shared" si="413"/>
        <v>0</v>
      </c>
      <c r="AA1258" s="368"/>
      <c r="AB1258" s="819"/>
      <c r="AC1258" s="365"/>
      <c r="AD1258" s="209"/>
      <c r="AE1258" s="210"/>
      <c r="AF1258" s="210"/>
      <c r="AG1258" s="211">
        <f t="shared" si="414"/>
        <v>0.14499999999999999</v>
      </c>
      <c r="AH1258" s="157">
        <f t="shared" si="415"/>
        <v>0</v>
      </c>
      <c r="AI1258" s="152">
        <f t="shared" si="416"/>
        <v>34464</v>
      </c>
      <c r="AK1258" s="156" t="s">
        <v>691</v>
      </c>
      <c r="AL1258" s="574" t="s">
        <v>690</v>
      </c>
      <c r="AM1258" s="198">
        <f t="shared" si="417"/>
        <v>0</v>
      </c>
      <c r="AN1258" s="199">
        <f t="shared" si="409"/>
        <v>45526</v>
      </c>
      <c r="AO1258" s="159" t="s">
        <v>692</v>
      </c>
      <c r="AP1258" s="783" t="s">
        <v>628</v>
      </c>
      <c r="AQ1258" s="782">
        <v>12071839</v>
      </c>
      <c r="AR1258" s="782">
        <v>12047514</v>
      </c>
      <c r="AS1258" s="782">
        <v>12047515</v>
      </c>
      <c r="AT1258" s="782"/>
      <c r="AU1258" s="781"/>
      <c r="AV1258" s="782">
        <v>12080617</v>
      </c>
      <c r="AW1258" s="782"/>
      <c r="AX1258" s="782"/>
      <c r="AY1258" s="782">
        <v>12080618</v>
      </c>
      <c r="AZ1258" s="782">
        <v>12080619</v>
      </c>
      <c r="BA1258" s="781"/>
    </row>
    <row r="1259" spans="1:53" ht="24.65" hidden="1" customHeight="1">
      <c r="B1259" s="411">
        <v>45526</v>
      </c>
      <c r="C1259" s="645" t="s">
        <v>1544</v>
      </c>
      <c r="D1259" s="185">
        <f t="shared" si="407"/>
        <v>2024</v>
      </c>
      <c r="E1259" s="412" t="str">
        <f>VLOOKUP($B1259,Week!$A$1:$C$1462,2,0)</f>
        <v>Week34</v>
      </c>
      <c r="F1259" s="413" t="str">
        <f t="shared" si="408"/>
        <v>Aug</v>
      </c>
      <c r="G1259" s="414" t="s">
        <v>47</v>
      </c>
      <c r="H1259" s="414" t="s">
        <v>260</v>
      </c>
      <c r="I1259" s="414" t="s">
        <v>2702</v>
      </c>
      <c r="J1259" s="415" t="s">
        <v>261</v>
      </c>
      <c r="K1259" s="416" t="s">
        <v>94</v>
      </c>
      <c r="L1259" s="300" t="s">
        <v>2167</v>
      </c>
      <c r="M1259" s="415" t="s">
        <v>1303</v>
      </c>
      <c r="N1259" s="414" t="s">
        <v>263</v>
      </c>
      <c r="O1259" s="414" t="s">
        <v>195</v>
      </c>
      <c r="P1259" s="417">
        <v>24</v>
      </c>
      <c r="Q1259" s="417">
        <v>5</v>
      </c>
      <c r="R1259" s="418">
        <v>8.0000000000000002E-3</v>
      </c>
      <c r="S1259" s="414" t="s">
        <v>40</v>
      </c>
      <c r="T1259" s="414" t="s">
        <v>56</v>
      </c>
      <c r="U1259" s="414" t="s">
        <v>57</v>
      </c>
      <c r="V1259" s="419">
        <f>7483-3368</f>
        <v>4115</v>
      </c>
      <c r="W1259" s="419">
        <f>4115</f>
        <v>4115</v>
      </c>
      <c r="X1259" s="420"/>
      <c r="Y1259" s="421">
        <f t="shared" si="412"/>
        <v>0</v>
      </c>
      <c r="Z1259" s="422">
        <f t="shared" si="413"/>
        <v>0</v>
      </c>
      <c r="AA1259" s="422"/>
      <c r="AB1259" s="825"/>
      <c r="AC1259" s="419"/>
      <c r="AD1259" s="209"/>
      <c r="AE1259" s="210"/>
      <c r="AF1259" s="210"/>
      <c r="AG1259" s="211">
        <f t="shared" si="414"/>
        <v>0.14499999999999999</v>
      </c>
      <c r="AH1259" s="157">
        <f t="shared" ref="AH1259:AH1266" si="418">(Z1259*AG1259)/1000</f>
        <v>0</v>
      </c>
      <c r="AI1259" s="152">
        <f t="shared" si="416"/>
        <v>98760</v>
      </c>
      <c r="AK1259" s="156" t="s">
        <v>691</v>
      </c>
      <c r="AL1259" s="212" t="s">
        <v>690</v>
      </c>
      <c r="AM1259" s="198">
        <f t="shared" si="417"/>
        <v>0</v>
      </c>
      <c r="AN1259" s="199">
        <f t="shared" si="409"/>
        <v>45526</v>
      </c>
      <c r="AO1259" s="159" t="s">
        <v>692</v>
      </c>
      <c r="AP1259" s="783" t="s">
        <v>609</v>
      </c>
      <c r="AQ1259" s="782">
        <v>12071839</v>
      </c>
      <c r="AR1259" s="782">
        <v>12047514</v>
      </c>
      <c r="AS1259" s="782">
        <v>12047515</v>
      </c>
      <c r="AT1259" s="781"/>
      <c r="AU1259" s="781"/>
      <c r="AV1259" s="782">
        <v>12080613</v>
      </c>
      <c r="AW1259" s="781"/>
      <c r="AX1259" s="781"/>
      <c r="AY1259" s="782">
        <v>12080614</v>
      </c>
      <c r="AZ1259" s="782">
        <v>12080616</v>
      </c>
      <c r="BA1259" s="781"/>
    </row>
    <row r="1260" spans="1:53" ht="24.65" hidden="1" customHeight="1">
      <c r="B1260" s="411">
        <v>45526</v>
      </c>
      <c r="C1260" s="645" t="s">
        <v>1711</v>
      </c>
      <c r="D1260" s="185">
        <f t="shared" si="407"/>
        <v>2024</v>
      </c>
      <c r="E1260" s="412" t="str">
        <f>VLOOKUP($B1260,Week!$A$1:$C$1462,2,0)</f>
        <v>Week34</v>
      </c>
      <c r="F1260" s="413" t="str">
        <f t="shared" si="408"/>
        <v>Aug</v>
      </c>
      <c r="G1260" s="414" t="s">
        <v>47</v>
      </c>
      <c r="H1260" s="414" t="s">
        <v>260</v>
      </c>
      <c r="I1260" s="414" t="s">
        <v>2702</v>
      </c>
      <c r="J1260" s="415" t="s">
        <v>261</v>
      </c>
      <c r="K1260" s="416" t="s">
        <v>94</v>
      </c>
      <c r="L1260" s="300" t="s">
        <v>2167</v>
      </c>
      <c r="M1260" s="415" t="s">
        <v>1303</v>
      </c>
      <c r="N1260" s="414" t="s">
        <v>263</v>
      </c>
      <c r="O1260" s="414" t="s">
        <v>195</v>
      </c>
      <c r="P1260" s="417">
        <v>24</v>
      </c>
      <c r="Q1260" s="417">
        <v>5</v>
      </c>
      <c r="R1260" s="418">
        <v>8.0000000000000002E-3</v>
      </c>
      <c r="S1260" s="414" t="s">
        <v>40</v>
      </c>
      <c r="T1260" s="414" t="s">
        <v>56</v>
      </c>
      <c r="U1260" s="414" t="s">
        <v>57</v>
      </c>
      <c r="V1260" s="419">
        <f>115</f>
        <v>115</v>
      </c>
      <c r="W1260" s="419">
        <v>115</v>
      </c>
      <c r="X1260" s="420"/>
      <c r="Y1260" s="421">
        <f t="shared" si="412"/>
        <v>0</v>
      </c>
      <c r="Z1260" s="422">
        <f t="shared" si="413"/>
        <v>0</v>
      </c>
      <c r="AA1260" s="422"/>
      <c r="AB1260" s="825"/>
      <c r="AC1260" s="419"/>
      <c r="AD1260" s="209"/>
      <c r="AE1260" s="210"/>
      <c r="AF1260" s="210"/>
      <c r="AG1260" s="211">
        <f t="shared" si="414"/>
        <v>0.14499999999999999</v>
      </c>
      <c r="AH1260" s="157">
        <f t="shared" si="418"/>
        <v>0</v>
      </c>
      <c r="AI1260" s="152">
        <f t="shared" si="416"/>
        <v>2760</v>
      </c>
      <c r="AK1260" s="156" t="s">
        <v>691</v>
      </c>
      <c r="AL1260" s="212" t="s">
        <v>690</v>
      </c>
      <c r="AM1260" s="198">
        <f t="shared" si="417"/>
        <v>0</v>
      </c>
      <c r="AN1260" s="199">
        <f t="shared" si="409"/>
        <v>45526</v>
      </c>
      <c r="AO1260" s="159" t="s">
        <v>692</v>
      </c>
      <c r="AP1260" s="783" t="s">
        <v>609</v>
      </c>
      <c r="AQ1260" s="782">
        <v>12071839</v>
      </c>
      <c r="AR1260" s="782">
        <v>12047514</v>
      </c>
      <c r="AS1260" s="782">
        <v>12047515</v>
      </c>
      <c r="AT1260" s="781"/>
      <c r="AU1260" s="781"/>
      <c r="AV1260" s="782">
        <v>12080613</v>
      </c>
      <c r="AW1260" s="781"/>
      <c r="AX1260" s="781"/>
      <c r="AY1260" s="782">
        <v>12080614</v>
      </c>
      <c r="AZ1260" s="782">
        <v>12080616</v>
      </c>
      <c r="BA1260" s="781"/>
    </row>
    <row r="1261" spans="1:53" ht="25" hidden="1" customHeight="1">
      <c r="A1261" s="142" t="s">
        <v>120</v>
      </c>
      <c r="B1261" s="559">
        <v>45526</v>
      </c>
      <c r="C1261" s="560">
        <v>45539</v>
      </c>
      <c r="D1261" s="185">
        <f t="shared" si="407"/>
        <v>2024</v>
      </c>
      <c r="E1261" s="561" t="str">
        <f>VLOOKUP($B1261,Week!$A$1:$C$1462,2,0)</f>
        <v>Week34</v>
      </c>
      <c r="F1261" s="562" t="str">
        <f t="shared" si="408"/>
        <v>Aug</v>
      </c>
      <c r="G1261" s="561" t="s">
        <v>1499</v>
      </c>
      <c r="H1261" s="561" t="s">
        <v>134</v>
      </c>
      <c r="I1261" s="561" t="s">
        <v>2772</v>
      </c>
      <c r="J1261" s="563" t="s">
        <v>164</v>
      </c>
      <c r="K1261" s="564" t="s">
        <v>355</v>
      </c>
      <c r="L1261" s="390" t="s">
        <v>2166</v>
      </c>
      <c r="M1261" s="563" t="s">
        <v>356</v>
      </c>
      <c r="N1261" s="561" t="s">
        <v>652</v>
      </c>
      <c r="O1261" s="561" t="s">
        <v>508</v>
      </c>
      <c r="P1261" s="565">
        <v>18</v>
      </c>
      <c r="Q1261" s="565">
        <v>8</v>
      </c>
      <c r="R1261" s="566">
        <v>6.0000000000000001E-3</v>
      </c>
      <c r="S1261" s="561" t="s">
        <v>55</v>
      </c>
      <c r="T1261" s="561" t="s">
        <v>56</v>
      </c>
      <c r="U1261" s="561" t="s">
        <v>89</v>
      </c>
      <c r="V1261" s="567">
        <f>550</f>
        <v>550</v>
      </c>
      <c r="W1261" s="567">
        <f>18+451+81</f>
        <v>550</v>
      </c>
      <c r="X1261" s="568"/>
      <c r="Y1261" s="569">
        <f t="shared" si="412"/>
        <v>0</v>
      </c>
      <c r="Z1261" s="570">
        <f t="shared" si="413"/>
        <v>0</v>
      </c>
      <c r="AA1261" s="570">
        <f>Q1261*Z1261</f>
        <v>0</v>
      </c>
      <c r="AB1261" s="834">
        <v>2</v>
      </c>
      <c r="AC1261" s="567">
        <f t="shared" ref="AC1261:AC1267" si="419">Z1261*AB1261</f>
        <v>0</v>
      </c>
      <c r="AD1261" s="209"/>
      <c r="AE1261" s="210"/>
      <c r="AF1261" s="210"/>
      <c r="AG1261" s="211">
        <f>MID(O1261,1,2)/1000</f>
        <v>0.09</v>
      </c>
      <c r="AH1261" s="157">
        <f>(Z1261*AG1261)/1000</f>
        <v>0</v>
      </c>
      <c r="AI1261" s="152">
        <f t="shared" si="416"/>
        <v>9900</v>
      </c>
      <c r="AK1261" s="156" t="s">
        <v>691</v>
      </c>
      <c r="AL1261" s="156" t="s">
        <v>689</v>
      </c>
      <c r="AM1261" s="198">
        <f t="shared" si="417"/>
        <v>0</v>
      </c>
      <c r="AN1261" s="199">
        <f t="shared" si="409"/>
        <v>45526</v>
      </c>
      <c r="AO1261" s="159" t="s">
        <v>692</v>
      </c>
      <c r="AP1261" s="783"/>
      <c r="AQ1261" s="782"/>
      <c r="AR1261" s="782"/>
      <c r="AS1261" s="782"/>
      <c r="AT1261" s="782"/>
      <c r="AU1261" s="782"/>
      <c r="AV1261" s="782"/>
      <c r="AW1261" s="782"/>
      <c r="AX1261" s="782"/>
      <c r="AY1261" s="782"/>
      <c r="AZ1261" s="782"/>
      <c r="BA1261" s="781"/>
    </row>
    <row r="1262" spans="1:53" ht="26.25" hidden="1" customHeight="1">
      <c r="A1262" s="142" t="s">
        <v>120</v>
      </c>
      <c r="B1262" s="235">
        <v>45526</v>
      </c>
      <c r="C1262" s="235">
        <v>45559</v>
      </c>
      <c r="D1262" s="185">
        <f t="shared" si="407"/>
        <v>2024</v>
      </c>
      <c r="E1262" s="236" t="str">
        <f>VLOOKUP($B1262,Week!$A$1:$C$1462,2,0)</f>
        <v>Week34</v>
      </c>
      <c r="F1262" s="237" t="str">
        <f t="shared" si="408"/>
        <v>Aug</v>
      </c>
      <c r="G1262" s="236" t="s">
        <v>1696</v>
      </c>
      <c r="H1262" s="236" t="s">
        <v>392</v>
      </c>
      <c r="I1262" s="236" t="s">
        <v>2772</v>
      </c>
      <c r="J1262" s="238" t="s">
        <v>393</v>
      </c>
      <c r="K1262" s="239" t="s">
        <v>153</v>
      </c>
      <c r="L1262" s="390" t="s">
        <v>2166</v>
      </c>
      <c r="M1262" s="238" t="s">
        <v>165</v>
      </c>
      <c r="N1262" s="236" t="s">
        <v>685</v>
      </c>
      <c r="O1262" s="236" t="s">
        <v>167</v>
      </c>
      <c r="P1262" s="240">
        <v>20</v>
      </c>
      <c r="Q1262" s="240">
        <v>12</v>
      </c>
      <c r="R1262" s="241">
        <v>6.8100000000000001E-3</v>
      </c>
      <c r="S1262" s="236" t="s">
        <v>76</v>
      </c>
      <c r="T1262" s="236" t="s">
        <v>56</v>
      </c>
      <c r="U1262" s="236" t="s">
        <v>89</v>
      </c>
      <c r="V1262" s="242">
        <v>400</v>
      </c>
      <c r="W1262" s="242">
        <f>15+385</f>
        <v>400</v>
      </c>
      <c r="X1262" s="243"/>
      <c r="Y1262" s="244">
        <f t="shared" si="412"/>
        <v>0</v>
      </c>
      <c r="Z1262" s="245">
        <f t="shared" si="413"/>
        <v>0</v>
      </c>
      <c r="AA1262" s="245">
        <f>Q1262*Z1262</f>
        <v>0</v>
      </c>
      <c r="AB1262" s="809">
        <v>2</v>
      </c>
      <c r="AC1262" s="242">
        <f t="shared" si="419"/>
        <v>0</v>
      </c>
      <c r="AD1262" s="209"/>
      <c r="AE1262" s="210"/>
      <c r="AF1262" s="210"/>
      <c r="AG1262" s="211">
        <f>MID(O1262,1,3)/1000</f>
        <v>0.154</v>
      </c>
      <c r="AH1262" s="157">
        <f>(Z1262*AG1262)/1000</f>
        <v>0</v>
      </c>
      <c r="AI1262" s="152">
        <f t="shared" si="416"/>
        <v>8000</v>
      </c>
      <c r="AK1262" s="156" t="s">
        <v>691</v>
      </c>
      <c r="AL1262" s="156" t="s">
        <v>689</v>
      </c>
      <c r="AM1262" s="198">
        <f t="shared" si="417"/>
        <v>0</v>
      </c>
      <c r="AN1262" s="199">
        <f t="shared" si="409"/>
        <v>45526</v>
      </c>
      <c r="AO1262" s="159" t="s">
        <v>692</v>
      </c>
      <c r="AP1262" s="783"/>
      <c r="AQ1262" s="781" t="s">
        <v>158</v>
      </c>
      <c r="AR1262" s="783" t="s">
        <v>523</v>
      </c>
      <c r="AS1262" s="781"/>
      <c r="AT1262" s="783" t="s">
        <v>607</v>
      </c>
      <c r="AU1262" s="781"/>
      <c r="AV1262" s="783" t="s">
        <v>606</v>
      </c>
      <c r="AW1262" s="781"/>
      <c r="AX1262" s="781" t="s">
        <v>398</v>
      </c>
      <c r="AY1262" s="781"/>
      <c r="AZ1262" s="781"/>
      <c r="BA1262" s="781"/>
    </row>
    <row r="1263" spans="1:53" ht="25" hidden="1" customHeight="1">
      <c r="A1263" s="142" t="s">
        <v>120</v>
      </c>
      <c r="B1263" s="385">
        <v>45526</v>
      </c>
      <c r="C1263" s="386">
        <v>45552</v>
      </c>
      <c r="D1263" s="185">
        <f t="shared" si="407"/>
        <v>2024</v>
      </c>
      <c r="E1263" s="386" t="str">
        <f>VLOOKUP($B1263,Week!$A$1:$C$1462,2,0)</f>
        <v>Week34</v>
      </c>
      <c r="F1263" s="387" t="str">
        <f t="shared" si="408"/>
        <v>Aug</v>
      </c>
      <c r="G1263" s="388" t="s">
        <v>1121</v>
      </c>
      <c r="H1263" s="388" t="s">
        <v>500</v>
      </c>
      <c r="I1263" s="388" t="s">
        <v>2772</v>
      </c>
      <c r="J1263" s="389" t="s">
        <v>285</v>
      </c>
      <c r="K1263" s="390" t="s">
        <v>153</v>
      </c>
      <c r="L1263" s="390" t="s">
        <v>2166</v>
      </c>
      <c r="M1263" s="389" t="s">
        <v>165</v>
      </c>
      <c r="N1263" s="388" t="s">
        <v>286</v>
      </c>
      <c r="O1263" s="388" t="s">
        <v>503</v>
      </c>
      <c r="P1263" s="391">
        <v>40</v>
      </c>
      <c r="Q1263" s="391">
        <v>12</v>
      </c>
      <c r="R1263" s="392">
        <v>6.8100000000000001E-3</v>
      </c>
      <c r="S1263" s="388" t="s">
        <v>76</v>
      </c>
      <c r="T1263" s="388" t="s">
        <v>56</v>
      </c>
      <c r="U1263" s="388" t="s">
        <v>89</v>
      </c>
      <c r="V1263" s="393">
        <v>130</v>
      </c>
      <c r="W1263" s="393">
        <f>3+127</f>
        <v>130</v>
      </c>
      <c r="X1263" s="394"/>
      <c r="Y1263" s="395">
        <f t="shared" si="412"/>
        <v>0</v>
      </c>
      <c r="Z1263" s="396">
        <f t="shared" si="413"/>
        <v>0</v>
      </c>
      <c r="AA1263" s="396">
        <f>Q1263*Z1263</f>
        <v>0</v>
      </c>
      <c r="AB1263" s="823">
        <v>2</v>
      </c>
      <c r="AC1263" s="393">
        <f>Z1263*AB1263</f>
        <v>0</v>
      </c>
      <c r="AD1263" s="209"/>
      <c r="AE1263" s="210"/>
      <c r="AF1263" s="210"/>
      <c r="AG1263" s="211">
        <f>MID(O1263,1,3)/1000</f>
        <v>0.154</v>
      </c>
      <c r="AH1263" s="157">
        <f>(Z1263*AG1263)/1000</f>
        <v>0</v>
      </c>
      <c r="AI1263" s="152">
        <f t="shared" si="416"/>
        <v>5200</v>
      </c>
      <c r="AK1263" s="156" t="s">
        <v>691</v>
      </c>
      <c r="AL1263" s="156" t="s">
        <v>689</v>
      </c>
      <c r="AM1263" s="198">
        <f t="shared" si="417"/>
        <v>0</v>
      </c>
      <c r="AN1263" s="199">
        <f t="shared" si="409"/>
        <v>45526</v>
      </c>
      <c r="AO1263" s="159" t="s">
        <v>692</v>
      </c>
      <c r="AP1263" s="783" t="s">
        <v>611</v>
      </c>
      <c r="AQ1263" s="782">
        <v>12028328</v>
      </c>
      <c r="AR1263" s="782">
        <v>12019692</v>
      </c>
      <c r="AS1263" s="781"/>
      <c r="AT1263" s="782">
        <v>12065371</v>
      </c>
      <c r="AU1263" s="782"/>
      <c r="AV1263" s="782">
        <v>12055895</v>
      </c>
      <c r="AW1263" s="782">
        <v>12034747</v>
      </c>
      <c r="AX1263" s="782" t="s">
        <v>398</v>
      </c>
      <c r="AY1263" s="781" t="s">
        <v>290</v>
      </c>
      <c r="AZ1263" s="781"/>
      <c r="BA1263" s="781"/>
    </row>
    <row r="1264" spans="1:53" ht="25" hidden="1" customHeight="1">
      <c r="B1264" s="295">
        <v>45527</v>
      </c>
      <c r="C1264" s="296">
        <v>45532</v>
      </c>
      <c r="D1264" s="185">
        <f t="shared" si="407"/>
        <v>2024</v>
      </c>
      <c r="E1264" s="296" t="str">
        <f>VLOOKUP($B1264,Week!$A$1:$C$1462,2,0)</f>
        <v>Week34</v>
      </c>
      <c r="F1264" s="297" t="str">
        <f t="shared" si="408"/>
        <v>Aug</v>
      </c>
      <c r="G1264" s="635" t="s">
        <v>1742</v>
      </c>
      <c r="H1264" s="298" t="s">
        <v>47</v>
      </c>
      <c r="I1264" s="298" t="s">
        <v>2702</v>
      </c>
      <c r="J1264" s="299" t="s">
        <v>1740</v>
      </c>
      <c r="K1264" s="300" t="s">
        <v>94</v>
      </c>
      <c r="L1264" s="300" t="s">
        <v>2167</v>
      </c>
      <c r="M1264" s="299" t="s">
        <v>521</v>
      </c>
      <c r="N1264" s="298" t="s">
        <v>1743</v>
      </c>
      <c r="O1264" s="298" t="s">
        <v>1741</v>
      </c>
      <c r="P1264" s="301">
        <v>100</v>
      </c>
      <c r="Q1264" s="301">
        <v>5</v>
      </c>
      <c r="R1264" s="302">
        <v>8.0000000000000002E-3</v>
      </c>
      <c r="S1264" s="298" t="s">
        <v>40</v>
      </c>
      <c r="T1264" s="298" t="s">
        <v>56</v>
      </c>
      <c r="U1264" s="298" t="s">
        <v>89</v>
      </c>
      <c r="V1264" s="303">
        <f>10</f>
        <v>10</v>
      </c>
      <c r="W1264" s="303">
        <f>10</f>
        <v>10</v>
      </c>
      <c r="X1264" s="304"/>
      <c r="Y1264" s="305">
        <f t="shared" si="412"/>
        <v>0</v>
      </c>
      <c r="Z1264" s="306">
        <f t="shared" si="413"/>
        <v>0</v>
      </c>
      <c r="AA1264" s="306"/>
      <c r="AB1264" s="814">
        <v>1</v>
      </c>
      <c r="AC1264" s="303">
        <f>Z1264*AB1264</f>
        <v>0</v>
      </c>
      <c r="AD1264" s="209"/>
      <c r="AE1264" s="210"/>
      <c r="AF1264" s="210"/>
      <c r="AG1264" s="211" t="e">
        <f>(MID(O1264,1,3)/1000)/3</f>
        <v>#VALUE!</v>
      </c>
      <c r="AH1264" s="157" t="e">
        <f>(Z1264*AG1264)/1000</f>
        <v>#VALUE!</v>
      </c>
      <c r="AI1264" s="152">
        <f t="shared" si="416"/>
        <v>1000</v>
      </c>
      <c r="AK1264" s="156" t="s">
        <v>691</v>
      </c>
      <c r="AL1264" s="212" t="s">
        <v>690</v>
      </c>
      <c r="AM1264" s="198" t="e">
        <f t="shared" si="417"/>
        <v>#VALUE!</v>
      </c>
      <c r="AN1264" s="199">
        <f t="shared" si="409"/>
        <v>45527</v>
      </c>
      <c r="AO1264" s="159" t="s">
        <v>692</v>
      </c>
      <c r="AP1264" s="783" t="s">
        <v>628</v>
      </c>
      <c r="AQ1264" s="782"/>
      <c r="AR1264" s="782"/>
      <c r="AS1264" s="782"/>
      <c r="AT1264" s="782"/>
      <c r="AU1264" s="781"/>
      <c r="AV1264" s="782">
        <v>12080791</v>
      </c>
      <c r="AW1264" s="782" t="s">
        <v>641</v>
      </c>
      <c r="AX1264" s="782" t="s">
        <v>533</v>
      </c>
      <c r="AY1264" s="782"/>
      <c r="AZ1264" s="782"/>
      <c r="BA1264" s="781"/>
    </row>
    <row r="1265" spans="1:53" ht="25" hidden="1" customHeight="1">
      <c r="B1265" s="424">
        <v>45527</v>
      </c>
      <c r="C1265" s="647">
        <v>45533</v>
      </c>
      <c r="D1265" s="185">
        <f t="shared" si="407"/>
        <v>2024</v>
      </c>
      <c r="E1265" s="425" t="str">
        <f>VLOOKUP($B1265,Week!$A$1:$C$1462,2,0)</f>
        <v>Week34</v>
      </c>
      <c r="F1265" s="426" t="str">
        <f t="shared" si="408"/>
        <v>Aug</v>
      </c>
      <c r="G1265" s="427" t="s">
        <v>47</v>
      </c>
      <c r="H1265" s="427" t="s">
        <v>518</v>
      </c>
      <c r="I1265" s="427" t="s">
        <v>2702</v>
      </c>
      <c r="J1265" s="428" t="s">
        <v>70</v>
      </c>
      <c r="K1265" s="429" t="s">
        <v>94</v>
      </c>
      <c r="L1265" s="300" t="s">
        <v>2167</v>
      </c>
      <c r="M1265" s="428" t="s">
        <v>521</v>
      </c>
      <c r="N1265" s="427" t="s">
        <v>587</v>
      </c>
      <c r="O1265" s="427" t="s">
        <v>3198</v>
      </c>
      <c r="P1265" s="430">
        <v>18</v>
      </c>
      <c r="Q1265" s="430">
        <v>5</v>
      </c>
      <c r="R1265" s="431">
        <v>8.0000000000000002E-3</v>
      </c>
      <c r="S1265" s="427" t="s">
        <v>40</v>
      </c>
      <c r="T1265" s="427" t="s">
        <v>56</v>
      </c>
      <c r="U1265" s="427" t="s">
        <v>89</v>
      </c>
      <c r="V1265" s="432">
        <f>678</f>
        <v>678</v>
      </c>
      <c r="W1265" s="432">
        <f>72+553+53</f>
        <v>678</v>
      </c>
      <c r="X1265" s="433"/>
      <c r="Y1265" s="434">
        <f t="shared" si="412"/>
        <v>0</v>
      </c>
      <c r="Z1265" s="435">
        <f t="shared" si="413"/>
        <v>0</v>
      </c>
      <c r="AA1265" s="435"/>
      <c r="AB1265" s="826">
        <v>1</v>
      </c>
      <c r="AC1265" s="432">
        <f t="shared" si="419"/>
        <v>0</v>
      </c>
      <c r="AD1265" s="209"/>
      <c r="AE1265" s="210"/>
      <c r="AF1265" s="210"/>
      <c r="AG1265" s="211" t="e">
        <f>(MID(O1265,1,3)/1000)/3</f>
        <v>#VALUE!</v>
      </c>
      <c r="AH1265" s="157" t="e">
        <f t="shared" si="418"/>
        <v>#VALUE!</v>
      </c>
      <c r="AI1265" s="152">
        <f t="shared" si="416"/>
        <v>12204</v>
      </c>
      <c r="AK1265" s="156" t="s">
        <v>691</v>
      </c>
      <c r="AL1265" s="212" t="s">
        <v>690</v>
      </c>
      <c r="AM1265" s="198" t="e">
        <f t="shared" si="417"/>
        <v>#VALUE!</v>
      </c>
      <c r="AN1265" s="199">
        <f t="shared" si="409"/>
        <v>45527</v>
      </c>
      <c r="AO1265" s="159" t="s">
        <v>692</v>
      </c>
      <c r="AP1265" s="783" t="s">
        <v>628</v>
      </c>
      <c r="AQ1265" s="782"/>
      <c r="AR1265" s="782"/>
      <c r="AS1265" s="782"/>
      <c r="AT1265" s="782"/>
      <c r="AU1265" s="781"/>
      <c r="AV1265" s="782">
        <v>12080791</v>
      </c>
      <c r="AW1265" s="782" t="s">
        <v>641</v>
      </c>
      <c r="AX1265" s="782" t="s">
        <v>533</v>
      </c>
      <c r="AY1265" s="782"/>
      <c r="AZ1265" s="782"/>
      <c r="BA1265" s="781"/>
    </row>
    <row r="1266" spans="1:53" ht="25" hidden="1" customHeight="1">
      <c r="B1266" s="424">
        <v>45527</v>
      </c>
      <c r="C1266" s="425" t="s">
        <v>1544</v>
      </c>
      <c r="D1266" s="185">
        <f t="shared" si="407"/>
        <v>2024</v>
      </c>
      <c r="E1266" s="425" t="str">
        <f>VLOOKUP($B1266,Week!$A$1:$C$1462,2,0)</f>
        <v>Week34</v>
      </c>
      <c r="F1266" s="426" t="str">
        <f t="shared" si="408"/>
        <v>Aug</v>
      </c>
      <c r="G1266" s="427" t="s">
        <v>47</v>
      </c>
      <c r="H1266" s="427" t="s">
        <v>518</v>
      </c>
      <c r="I1266" s="427" t="s">
        <v>2702</v>
      </c>
      <c r="J1266" s="428" t="s">
        <v>70</v>
      </c>
      <c r="K1266" s="429" t="s">
        <v>94</v>
      </c>
      <c r="L1266" s="300" t="s">
        <v>2167</v>
      </c>
      <c r="M1266" s="428" t="s">
        <v>521</v>
      </c>
      <c r="N1266" s="427" t="s">
        <v>587</v>
      </c>
      <c r="O1266" s="427" t="s">
        <v>3198</v>
      </c>
      <c r="P1266" s="430">
        <v>18</v>
      </c>
      <c r="Q1266" s="430">
        <v>5</v>
      </c>
      <c r="R1266" s="431">
        <v>8.0000000000000002E-3</v>
      </c>
      <c r="S1266" s="427" t="s">
        <v>40</v>
      </c>
      <c r="T1266" s="427" t="s">
        <v>56</v>
      </c>
      <c r="U1266" s="427" t="s">
        <v>89</v>
      </c>
      <c r="V1266" s="432">
        <f>365</f>
        <v>365</v>
      </c>
      <c r="W1266" s="432">
        <v>365</v>
      </c>
      <c r="X1266" s="433"/>
      <c r="Y1266" s="434">
        <f t="shared" si="412"/>
        <v>0</v>
      </c>
      <c r="Z1266" s="435">
        <f t="shared" si="413"/>
        <v>0</v>
      </c>
      <c r="AA1266" s="435"/>
      <c r="AB1266" s="826">
        <v>1</v>
      </c>
      <c r="AC1266" s="432">
        <f t="shared" si="419"/>
        <v>0</v>
      </c>
      <c r="AD1266" s="209"/>
      <c r="AE1266" s="210"/>
      <c r="AF1266" s="210"/>
      <c r="AG1266" s="211" t="e">
        <f>(MID(O1266,1,3)/1000)/3</f>
        <v>#VALUE!</v>
      </c>
      <c r="AH1266" s="157" t="e">
        <f t="shared" si="418"/>
        <v>#VALUE!</v>
      </c>
      <c r="AI1266" s="152">
        <f t="shared" si="416"/>
        <v>6570</v>
      </c>
      <c r="AK1266" s="156" t="s">
        <v>691</v>
      </c>
      <c r="AL1266" s="212" t="s">
        <v>690</v>
      </c>
      <c r="AM1266" s="198" t="e">
        <f t="shared" si="417"/>
        <v>#VALUE!</v>
      </c>
      <c r="AN1266" s="199">
        <f t="shared" si="409"/>
        <v>45527</v>
      </c>
      <c r="AO1266" s="159" t="s">
        <v>692</v>
      </c>
      <c r="AP1266" s="783" t="s">
        <v>628</v>
      </c>
      <c r="AQ1266" s="782"/>
      <c r="AR1266" s="782"/>
      <c r="AS1266" s="782"/>
      <c r="AT1266" s="782"/>
      <c r="AU1266" s="781"/>
      <c r="AV1266" s="782">
        <v>12080791</v>
      </c>
      <c r="AW1266" s="782" t="s">
        <v>641</v>
      </c>
      <c r="AX1266" s="782" t="s">
        <v>533</v>
      </c>
      <c r="AY1266" s="782"/>
      <c r="AZ1266" s="782"/>
      <c r="BA1266" s="781"/>
    </row>
    <row r="1267" spans="1:53" ht="25" hidden="1" customHeight="1">
      <c r="B1267" s="424">
        <v>45527</v>
      </c>
      <c r="C1267" s="425" t="s">
        <v>1544</v>
      </c>
      <c r="D1267" s="185">
        <f t="shared" si="407"/>
        <v>2024</v>
      </c>
      <c r="E1267" s="425" t="str">
        <f>VLOOKUP($B1267,Week!$A$1:$C$1462,2,0)</f>
        <v>Week34</v>
      </c>
      <c r="F1267" s="426" t="str">
        <f t="shared" si="408"/>
        <v>Aug</v>
      </c>
      <c r="G1267" s="427" t="s">
        <v>47</v>
      </c>
      <c r="H1267" s="427" t="s">
        <v>518</v>
      </c>
      <c r="I1267" s="427" t="s">
        <v>2702</v>
      </c>
      <c r="J1267" s="428" t="s">
        <v>70</v>
      </c>
      <c r="K1267" s="429" t="s">
        <v>94</v>
      </c>
      <c r="L1267" s="300" t="s">
        <v>2167</v>
      </c>
      <c r="M1267" s="428" t="s">
        <v>521</v>
      </c>
      <c r="N1267" s="427" t="s">
        <v>587</v>
      </c>
      <c r="O1267" s="427" t="s">
        <v>3198</v>
      </c>
      <c r="P1267" s="430">
        <v>18</v>
      </c>
      <c r="Q1267" s="430">
        <v>5</v>
      </c>
      <c r="R1267" s="431">
        <v>8.0000000000000002E-3</v>
      </c>
      <c r="S1267" s="427" t="s">
        <v>40</v>
      </c>
      <c r="T1267" s="427" t="s">
        <v>56</v>
      </c>
      <c r="U1267" s="427" t="s">
        <v>89</v>
      </c>
      <c r="V1267" s="432">
        <f>259</f>
        <v>259</v>
      </c>
      <c r="W1267" s="432">
        <f>641-53-365+36</f>
        <v>259</v>
      </c>
      <c r="X1267" s="433"/>
      <c r="Y1267" s="434">
        <f t="shared" si="412"/>
        <v>0</v>
      </c>
      <c r="Z1267" s="435">
        <f t="shared" si="413"/>
        <v>0</v>
      </c>
      <c r="AA1267" s="435"/>
      <c r="AB1267" s="826">
        <v>1</v>
      </c>
      <c r="AC1267" s="432">
        <f t="shared" si="419"/>
        <v>0</v>
      </c>
      <c r="AD1267" s="209"/>
      <c r="AE1267" s="210"/>
      <c r="AF1267" s="210"/>
      <c r="AG1267" s="211" t="e">
        <f>(MID(O1267,1,3)/1000)/3</f>
        <v>#VALUE!</v>
      </c>
      <c r="AH1267" s="157" t="e">
        <f t="shared" ref="AH1267:AH1282" si="420">(Z1267*AG1267)/1000</f>
        <v>#VALUE!</v>
      </c>
      <c r="AI1267" s="152">
        <f t="shared" si="416"/>
        <v>4662</v>
      </c>
      <c r="AK1267" s="156" t="s">
        <v>691</v>
      </c>
      <c r="AL1267" s="212" t="s">
        <v>690</v>
      </c>
      <c r="AM1267" s="198" t="e">
        <f t="shared" si="417"/>
        <v>#VALUE!</v>
      </c>
      <c r="AN1267" s="199">
        <f t="shared" si="409"/>
        <v>45527</v>
      </c>
      <c r="AO1267" s="159" t="s">
        <v>692</v>
      </c>
      <c r="AP1267" s="783" t="s">
        <v>628</v>
      </c>
      <c r="AQ1267" s="782"/>
      <c r="AR1267" s="782"/>
      <c r="AS1267" s="782"/>
      <c r="AT1267" s="782"/>
      <c r="AU1267" s="781"/>
      <c r="AV1267" s="782">
        <v>12080791</v>
      </c>
      <c r="AW1267" s="782" t="s">
        <v>641</v>
      </c>
      <c r="AX1267" s="782" t="s">
        <v>533</v>
      </c>
      <c r="AY1267" s="782"/>
      <c r="AZ1267" s="782"/>
      <c r="BA1267" s="781"/>
    </row>
    <row r="1268" spans="1:53" ht="25" hidden="1" customHeight="1">
      <c r="B1268" s="398">
        <v>45527</v>
      </c>
      <c r="C1268" s="399" t="s">
        <v>1544</v>
      </c>
      <c r="D1268" s="185">
        <f t="shared" si="407"/>
        <v>2024</v>
      </c>
      <c r="E1268" s="399" t="str">
        <f>VLOOKUP($B1268,Week!$A$1:$C$1462,2,0)</f>
        <v>Week34</v>
      </c>
      <c r="F1268" s="400" t="str">
        <f t="shared" si="408"/>
        <v>Aug</v>
      </c>
      <c r="G1268" s="401" t="s">
        <v>47</v>
      </c>
      <c r="H1268" s="401" t="s">
        <v>518</v>
      </c>
      <c r="I1268" s="401" t="s">
        <v>2702</v>
      </c>
      <c r="J1268" s="402" t="s">
        <v>70</v>
      </c>
      <c r="K1268" s="403" t="s">
        <v>1645</v>
      </c>
      <c r="L1268" s="300" t="s">
        <v>2167</v>
      </c>
      <c r="M1268" s="402" t="s">
        <v>553</v>
      </c>
      <c r="N1268" s="404" t="s">
        <v>557</v>
      </c>
      <c r="O1268" s="401" t="s">
        <v>101</v>
      </c>
      <c r="P1268" s="405">
        <v>12</v>
      </c>
      <c r="Q1268" s="405">
        <v>5</v>
      </c>
      <c r="R1268" s="406">
        <v>8.0000000000000002E-3</v>
      </c>
      <c r="S1268" s="401" t="s">
        <v>40</v>
      </c>
      <c r="T1268" s="401" t="s">
        <v>56</v>
      </c>
      <c r="U1268" s="401" t="s">
        <v>499</v>
      </c>
      <c r="V1268" s="407">
        <f>569</f>
        <v>569</v>
      </c>
      <c r="W1268" s="407">
        <f>14+555</f>
        <v>569</v>
      </c>
      <c r="X1268" s="408"/>
      <c r="Y1268" s="409">
        <f t="shared" si="412"/>
        <v>0</v>
      </c>
      <c r="Z1268" s="410">
        <f t="shared" si="413"/>
        <v>0</v>
      </c>
      <c r="AA1268" s="410"/>
      <c r="AB1268" s="824">
        <v>1</v>
      </c>
      <c r="AC1268" s="407">
        <f>Z1268*AB1268</f>
        <v>0</v>
      </c>
      <c r="AD1268" s="209"/>
      <c r="AE1268" s="210"/>
      <c r="AF1268" s="210"/>
      <c r="AG1268" s="211">
        <f t="shared" ref="AG1268:AG1282" si="421">MID(O1268,1,3)/1000</f>
        <v>0.115</v>
      </c>
      <c r="AH1268" s="157">
        <f t="shared" si="420"/>
        <v>0</v>
      </c>
      <c r="AI1268" s="152">
        <f t="shared" si="416"/>
        <v>6828</v>
      </c>
      <c r="AK1268" s="156" t="s">
        <v>691</v>
      </c>
      <c r="AL1268" s="212" t="s">
        <v>690</v>
      </c>
      <c r="AM1268" s="198">
        <f t="shared" si="417"/>
        <v>0</v>
      </c>
      <c r="AN1268" s="199">
        <f t="shared" si="409"/>
        <v>45527</v>
      </c>
      <c r="AO1268" s="159" t="s">
        <v>692</v>
      </c>
      <c r="AP1268" s="783" t="s">
        <v>623</v>
      </c>
      <c r="AQ1268" s="782">
        <v>12071839</v>
      </c>
      <c r="AR1268" s="782">
        <v>12047514</v>
      </c>
      <c r="AS1268" s="782">
        <v>12047515</v>
      </c>
      <c r="AT1268" s="782"/>
      <c r="AU1268" s="781"/>
      <c r="AV1268" s="782">
        <v>12072447</v>
      </c>
      <c r="AW1268" s="782"/>
      <c r="AX1268" s="782"/>
      <c r="AY1268" s="782">
        <v>12064574</v>
      </c>
      <c r="AZ1268" s="782">
        <v>12064576</v>
      </c>
      <c r="BA1268" s="781"/>
    </row>
    <row r="1269" spans="1:53" ht="25" hidden="1" customHeight="1">
      <c r="B1269" s="398">
        <v>45527</v>
      </c>
      <c r="C1269" s="399" t="s">
        <v>1544</v>
      </c>
      <c r="D1269" s="185">
        <f t="shared" si="407"/>
        <v>2024</v>
      </c>
      <c r="E1269" s="399" t="str">
        <f>VLOOKUP($B1269,Week!$A$1:$C$1462,2,0)</f>
        <v>Week34</v>
      </c>
      <c r="F1269" s="400" t="str">
        <f t="shared" si="408"/>
        <v>Aug</v>
      </c>
      <c r="G1269" s="401" t="s">
        <v>47</v>
      </c>
      <c r="H1269" s="401" t="s">
        <v>518</v>
      </c>
      <c r="I1269" s="401" t="s">
        <v>2702</v>
      </c>
      <c r="J1269" s="402" t="s">
        <v>70</v>
      </c>
      <c r="K1269" s="403" t="s">
        <v>1645</v>
      </c>
      <c r="L1269" s="300" t="s">
        <v>2167</v>
      </c>
      <c r="M1269" s="402" t="s">
        <v>553</v>
      </c>
      <c r="N1269" s="404" t="s">
        <v>557</v>
      </c>
      <c r="O1269" s="401" t="s">
        <v>101</v>
      </c>
      <c r="P1269" s="405">
        <v>12</v>
      </c>
      <c r="Q1269" s="405">
        <v>5</v>
      </c>
      <c r="R1269" s="406">
        <v>8.0000000000000002E-3</v>
      </c>
      <c r="S1269" s="401" t="s">
        <v>40</v>
      </c>
      <c r="T1269" s="401" t="s">
        <v>56</v>
      </c>
      <c r="U1269" s="401" t="s">
        <v>499</v>
      </c>
      <c r="V1269" s="407">
        <f>421</f>
        <v>421</v>
      </c>
      <c r="W1269" s="407">
        <f>420</f>
        <v>420</v>
      </c>
      <c r="X1269" s="408">
        <v>1</v>
      </c>
      <c r="Y1269" s="409">
        <f t="shared" si="412"/>
        <v>0</v>
      </c>
      <c r="Z1269" s="410">
        <f t="shared" si="413"/>
        <v>0</v>
      </c>
      <c r="AA1269" s="410"/>
      <c r="AB1269" s="824">
        <v>1</v>
      </c>
      <c r="AC1269" s="407">
        <f>Z1269*AB1269</f>
        <v>0</v>
      </c>
      <c r="AD1269" s="209"/>
      <c r="AE1269" s="210"/>
      <c r="AF1269" s="210"/>
      <c r="AG1269" s="211">
        <f t="shared" si="421"/>
        <v>0.115</v>
      </c>
      <c r="AH1269" s="157">
        <f t="shared" si="420"/>
        <v>0</v>
      </c>
      <c r="AI1269" s="152">
        <f t="shared" si="416"/>
        <v>5052</v>
      </c>
      <c r="AK1269" s="156" t="s">
        <v>691</v>
      </c>
      <c r="AL1269" s="212" t="s">
        <v>690</v>
      </c>
      <c r="AM1269" s="198">
        <f t="shared" si="417"/>
        <v>0</v>
      </c>
      <c r="AN1269" s="199">
        <f t="shared" si="409"/>
        <v>45527</v>
      </c>
      <c r="AO1269" s="159" t="s">
        <v>692</v>
      </c>
      <c r="AP1269" s="783" t="s">
        <v>623</v>
      </c>
      <c r="AQ1269" s="782">
        <v>12071839</v>
      </c>
      <c r="AR1269" s="782">
        <v>12047514</v>
      </c>
      <c r="AS1269" s="782">
        <v>12047515</v>
      </c>
      <c r="AT1269" s="782"/>
      <c r="AU1269" s="781"/>
      <c r="AV1269" s="782">
        <v>12072447</v>
      </c>
      <c r="AW1269" s="782"/>
      <c r="AX1269" s="782"/>
      <c r="AY1269" s="782">
        <v>12064574</v>
      </c>
      <c r="AZ1269" s="782">
        <v>12064576</v>
      </c>
      <c r="BA1269" s="781"/>
    </row>
    <row r="1270" spans="1:53" ht="24.65" hidden="1" customHeight="1">
      <c r="B1270" s="546">
        <v>45527</v>
      </c>
      <c r="C1270" s="547" t="s">
        <v>1544</v>
      </c>
      <c r="D1270" s="185">
        <f t="shared" si="407"/>
        <v>2024</v>
      </c>
      <c r="E1270" s="547" t="str">
        <f>VLOOKUP($B1270,Week!$A$1:$C$1462,2,0)</f>
        <v>Week34</v>
      </c>
      <c r="F1270" s="548" t="str">
        <f t="shared" si="408"/>
        <v>Aug</v>
      </c>
      <c r="G1270" s="549" t="s">
        <v>47</v>
      </c>
      <c r="H1270" s="549" t="s">
        <v>518</v>
      </c>
      <c r="I1270" s="549" t="s">
        <v>2702</v>
      </c>
      <c r="J1270" s="550" t="s">
        <v>70</v>
      </c>
      <c r="K1270" s="551" t="s">
        <v>1020</v>
      </c>
      <c r="L1270" s="300" t="s">
        <v>2167</v>
      </c>
      <c r="M1270" s="550" t="s">
        <v>746</v>
      </c>
      <c r="N1270" s="618" t="s">
        <v>751</v>
      </c>
      <c r="O1270" s="549" t="s">
        <v>747</v>
      </c>
      <c r="P1270" s="552">
        <v>12</v>
      </c>
      <c r="Q1270" s="552">
        <v>5</v>
      </c>
      <c r="R1270" s="549">
        <v>6.1999999999999998E-3</v>
      </c>
      <c r="S1270" s="549" t="s">
        <v>352</v>
      </c>
      <c r="T1270" s="549" t="s">
        <v>56</v>
      </c>
      <c r="U1270" s="549" t="s">
        <v>739</v>
      </c>
      <c r="V1270" s="554">
        <f>524+139</f>
        <v>663</v>
      </c>
      <c r="W1270" s="554">
        <f>13+650</f>
        <v>663</v>
      </c>
      <c r="X1270" s="555"/>
      <c r="Y1270" s="556">
        <f t="shared" si="412"/>
        <v>0</v>
      </c>
      <c r="Z1270" s="557">
        <f t="shared" si="413"/>
        <v>0</v>
      </c>
      <c r="AA1270" s="557"/>
      <c r="AB1270" s="833"/>
      <c r="AC1270" s="554"/>
      <c r="AD1270" s="209"/>
      <c r="AE1270" s="210"/>
      <c r="AF1270" s="210"/>
      <c r="AG1270" s="211">
        <f t="shared" si="421"/>
        <v>0.14299999999999999</v>
      </c>
      <c r="AH1270" s="157">
        <f t="shared" si="420"/>
        <v>0</v>
      </c>
      <c r="AI1270" s="152">
        <f t="shared" si="416"/>
        <v>7956</v>
      </c>
      <c r="AK1270" s="156" t="s">
        <v>691</v>
      </c>
      <c r="AL1270" s="212" t="s">
        <v>690</v>
      </c>
      <c r="AM1270" s="198">
        <f t="shared" si="417"/>
        <v>0</v>
      </c>
      <c r="AN1270" s="199">
        <f t="shared" si="409"/>
        <v>45527</v>
      </c>
      <c r="AO1270" s="159" t="s">
        <v>692</v>
      </c>
      <c r="AP1270" s="783" t="s">
        <v>609</v>
      </c>
      <c r="AQ1270" s="782">
        <v>12071839</v>
      </c>
      <c r="AR1270" s="782">
        <v>12047514</v>
      </c>
      <c r="AS1270" s="782">
        <v>12047515</v>
      </c>
      <c r="AT1270" s="781"/>
      <c r="AU1270" s="781"/>
      <c r="AV1270" s="782">
        <v>12080616</v>
      </c>
      <c r="AW1270" s="781"/>
      <c r="AX1270" s="781"/>
      <c r="AY1270" s="782">
        <v>12089871</v>
      </c>
      <c r="AZ1270" s="782">
        <v>12089872</v>
      </c>
      <c r="BA1270" s="781"/>
    </row>
    <row r="1271" spans="1:53" ht="24.65" hidden="1" customHeight="1">
      <c r="B1271" s="546">
        <v>45527</v>
      </c>
      <c r="C1271" s="547" t="s">
        <v>1544</v>
      </c>
      <c r="D1271" s="185">
        <f t="shared" si="407"/>
        <v>2024</v>
      </c>
      <c r="E1271" s="547" t="str">
        <f>VLOOKUP($B1271,Week!$A$1:$C$1462,2,0)</f>
        <v>Week34</v>
      </c>
      <c r="F1271" s="548" t="str">
        <f t="shared" si="408"/>
        <v>Aug</v>
      </c>
      <c r="G1271" s="549" t="s">
        <v>47</v>
      </c>
      <c r="H1271" s="549" t="s">
        <v>518</v>
      </c>
      <c r="I1271" s="549" t="s">
        <v>2702</v>
      </c>
      <c r="J1271" s="550" t="s">
        <v>70</v>
      </c>
      <c r="K1271" s="551" t="s">
        <v>1020</v>
      </c>
      <c r="L1271" s="300" t="s">
        <v>2167</v>
      </c>
      <c r="M1271" s="550" t="s">
        <v>746</v>
      </c>
      <c r="N1271" s="618" t="s">
        <v>751</v>
      </c>
      <c r="O1271" s="549" t="s">
        <v>747</v>
      </c>
      <c r="P1271" s="552">
        <v>12</v>
      </c>
      <c r="Q1271" s="552">
        <v>5</v>
      </c>
      <c r="R1271" s="549">
        <v>6.1999999999999998E-3</v>
      </c>
      <c r="S1271" s="549" t="s">
        <v>352</v>
      </c>
      <c r="T1271" s="549" t="s">
        <v>56</v>
      </c>
      <c r="U1271" s="549" t="s">
        <v>739</v>
      </c>
      <c r="V1271" s="554">
        <f>726-349</f>
        <v>377</v>
      </c>
      <c r="W1271" s="554">
        <v>377</v>
      </c>
      <c r="X1271" s="555"/>
      <c r="Y1271" s="556">
        <f t="shared" si="412"/>
        <v>0</v>
      </c>
      <c r="Z1271" s="557">
        <f t="shared" si="413"/>
        <v>0</v>
      </c>
      <c r="AA1271" s="557"/>
      <c r="AB1271" s="833"/>
      <c r="AC1271" s="554"/>
      <c r="AD1271" s="209"/>
      <c r="AE1271" s="210"/>
      <c r="AF1271" s="210"/>
      <c r="AG1271" s="211">
        <f t="shared" si="421"/>
        <v>0.14299999999999999</v>
      </c>
      <c r="AH1271" s="157">
        <f t="shared" si="420"/>
        <v>0</v>
      </c>
      <c r="AI1271" s="152">
        <f t="shared" si="416"/>
        <v>4524</v>
      </c>
      <c r="AK1271" s="156" t="s">
        <v>691</v>
      </c>
      <c r="AL1271" s="212" t="s">
        <v>690</v>
      </c>
      <c r="AM1271" s="198">
        <f t="shared" si="417"/>
        <v>0</v>
      </c>
      <c r="AN1271" s="199">
        <f t="shared" si="409"/>
        <v>45527</v>
      </c>
      <c r="AO1271" s="159" t="s">
        <v>692</v>
      </c>
      <c r="AP1271" s="783" t="s">
        <v>609</v>
      </c>
      <c r="AQ1271" s="782">
        <v>12071839</v>
      </c>
      <c r="AR1271" s="782">
        <v>12047514</v>
      </c>
      <c r="AS1271" s="782">
        <v>12047515</v>
      </c>
      <c r="AT1271" s="781"/>
      <c r="AU1271" s="781"/>
      <c r="AV1271" s="782">
        <v>12080616</v>
      </c>
      <c r="AW1271" s="781"/>
      <c r="AX1271" s="781"/>
      <c r="AY1271" s="782">
        <v>12089871</v>
      </c>
      <c r="AZ1271" s="782">
        <v>12089872</v>
      </c>
      <c r="BA1271" s="781"/>
    </row>
    <row r="1272" spans="1:53" ht="24.65" hidden="1" customHeight="1">
      <c r="B1272" s="246">
        <v>45527</v>
      </c>
      <c r="C1272" s="247" t="s">
        <v>1573</v>
      </c>
      <c r="D1272" s="185">
        <f t="shared" si="407"/>
        <v>2024</v>
      </c>
      <c r="E1272" s="247" t="str">
        <f>VLOOKUP($B1272,Week!$A$1:$C$1462,2,0)</f>
        <v>Week34</v>
      </c>
      <c r="F1272" s="248" t="str">
        <f t="shared" si="408"/>
        <v>Aug</v>
      </c>
      <c r="G1272" s="249" t="s">
        <v>47</v>
      </c>
      <c r="H1272" s="249" t="s">
        <v>260</v>
      </c>
      <c r="I1272" s="249" t="s">
        <v>2702</v>
      </c>
      <c r="J1272" s="250" t="s">
        <v>70</v>
      </c>
      <c r="K1272" s="251" t="s">
        <v>1020</v>
      </c>
      <c r="L1272" s="300" t="s">
        <v>2167</v>
      </c>
      <c r="M1272" s="250" t="s">
        <v>741</v>
      </c>
      <c r="N1272" s="249" t="s">
        <v>740</v>
      </c>
      <c r="O1272" s="249" t="s">
        <v>742</v>
      </c>
      <c r="P1272" s="252">
        <v>24</v>
      </c>
      <c r="Q1272" s="252">
        <v>5</v>
      </c>
      <c r="R1272" s="249">
        <v>6.1999999999999998E-3</v>
      </c>
      <c r="S1272" s="249" t="s">
        <v>352</v>
      </c>
      <c r="T1272" s="249" t="s">
        <v>56</v>
      </c>
      <c r="U1272" s="249" t="s">
        <v>739</v>
      </c>
      <c r="V1272" s="254">
        <f>6250-5699-491-52</f>
        <v>8</v>
      </c>
      <c r="W1272" s="254">
        <v>8</v>
      </c>
      <c r="X1272" s="255"/>
      <c r="Y1272" s="256">
        <f t="shared" si="412"/>
        <v>0</v>
      </c>
      <c r="Z1272" s="257">
        <f t="shared" si="413"/>
        <v>0</v>
      </c>
      <c r="AA1272" s="257"/>
      <c r="AB1272" s="810"/>
      <c r="AC1272" s="254"/>
      <c r="AD1272" s="209"/>
      <c r="AE1272" s="210"/>
      <c r="AF1272" s="210"/>
      <c r="AG1272" s="211">
        <f t="shared" si="421"/>
        <v>0.14299999999999999</v>
      </c>
      <c r="AH1272" s="157">
        <f t="shared" si="420"/>
        <v>0</v>
      </c>
      <c r="AI1272" s="152">
        <f t="shared" si="416"/>
        <v>192</v>
      </c>
      <c r="AK1272" s="156" t="s">
        <v>691</v>
      </c>
      <c r="AL1272" s="212" t="s">
        <v>690</v>
      </c>
      <c r="AM1272" s="198">
        <f t="shared" si="417"/>
        <v>0</v>
      </c>
      <c r="AN1272" s="199">
        <f t="shared" si="409"/>
        <v>45527</v>
      </c>
      <c r="AO1272" s="159" t="s">
        <v>692</v>
      </c>
      <c r="AP1272" s="783" t="s">
        <v>609</v>
      </c>
      <c r="AQ1272" s="782">
        <v>12071839</v>
      </c>
      <c r="AR1272" s="782">
        <v>12047514</v>
      </c>
      <c r="AS1272" s="782">
        <v>12047515</v>
      </c>
      <c r="AT1272" s="781"/>
      <c r="AU1272" s="781"/>
      <c r="AV1272" s="782">
        <v>12089668</v>
      </c>
      <c r="AW1272" s="781"/>
      <c r="AX1272" s="781"/>
      <c r="AY1272" s="782">
        <v>12088311</v>
      </c>
      <c r="AZ1272" s="782">
        <v>12088315</v>
      </c>
      <c r="BA1272" s="781"/>
    </row>
    <row r="1273" spans="1:53" ht="24.65" hidden="1" customHeight="1">
      <c r="B1273" s="246">
        <v>45527</v>
      </c>
      <c r="C1273" s="247" t="s">
        <v>1544</v>
      </c>
      <c r="D1273" s="185">
        <f t="shared" si="407"/>
        <v>2024</v>
      </c>
      <c r="E1273" s="247" t="str">
        <f>VLOOKUP($B1273,Week!$A$1:$C$1462,2,0)</f>
        <v>Week34</v>
      </c>
      <c r="F1273" s="248" t="str">
        <f t="shared" si="408"/>
        <v>Aug</v>
      </c>
      <c r="G1273" s="249" t="s">
        <v>47</v>
      </c>
      <c r="H1273" s="249" t="s">
        <v>260</v>
      </c>
      <c r="I1273" s="249" t="s">
        <v>2702</v>
      </c>
      <c r="J1273" s="250" t="s">
        <v>70</v>
      </c>
      <c r="K1273" s="251" t="s">
        <v>1020</v>
      </c>
      <c r="L1273" s="300" t="s">
        <v>2167</v>
      </c>
      <c r="M1273" s="250" t="s">
        <v>741</v>
      </c>
      <c r="N1273" s="249" t="s">
        <v>740</v>
      </c>
      <c r="O1273" s="249" t="s">
        <v>742</v>
      </c>
      <c r="P1273" s="252">
        <v>24</v>
      </c>
      <c r="Q1273" s="252">
        <v>5</v>
      </c>
      <c r="R1273" s="249">
        <v>6.1999999999999998E-3</v>
      </c>
      <c r="S1273" s="249" t="s">
        <v>352</v>
      </c>
      <c r="T1273" s="249" t="s">
        <v>56</v>
      </c>
      <c r="U1273" s="249" t="s">
        <v>739</v>
      </c>
      <c r="V1273" s="254">
        <f>4200</f>
        <v>4200</v>
      </c>
      <c r="W1273" s="254">
        <f>4200</f>
        <v>4200</v>
      </c>
      <c r="X1273" s="255"/>
      <c r="Y1273" s="256">
        <f t="shared" si="412"/>
        <v>0</v>
      </c>
      <c r="Z1273" s="257">
        <f t="shared" si="413"/>
        <v>0</v>
      </c>
      <c r="AA1273" s="257"/>
      <c r="AB1273" s="810"/>
      <c r="AC1273" s="254"/>
      <c r="AD1273" s="209"/>
      <c r="AE1273" s="210"/>
      <c r="AF1273" s="210"/>
      <c r="AG1273" s="211">
        <f t="shared" si="421"/>
        <v>0.14299999999999999</v>
      </c>
      <c r="AH1273" s="157">
        <f t="shared" si="420"/>
        <v>0</v>
      </c>
      <c r="AI1273" s="152">
        <f t="shared" si="416"/>
        <v>100800</v>
      </c>
      <c r="AK1273" s="156" t="s">
        <v>691</v>
      </c>
      <c r="AL1273" s="212" t="s">
        <v>690</v>
      </c>
      <c r="AM1273" s="198">
        <f t="shared" si="417"/>
        <v>0</v>
      </c>
      <c r="AN1273" s="199">
        <f t="shared" si="409"/>
        <v>45527</v>
      </c>
      <c r="AO1273" s="159" t="s">
        <v>692</v>
      </c>
      <c r="AP1273" s="783" t="s">
        <v>609</v>
      </c>
      <c r="AQ1273" s="782">
        <v>12071839</v>
      </c>
      <c r="AR1273" s="782">
        <v>12047514</v>
      </c>
      <c r="AS1273" s="782">
        <v>12047515</v>
      </c>
      <c r="AT1273" s="781"/>
      <c r="AU1273" s="781"/>
      <c r="AV1273" s="782">
        <v>12089668</v>
      </c>
      <c r="AW1273" s="781"/>
      <c r="AX1273" s="781"/>
      <c r="AY1273" s="782">
        <v>12088311</v>
      </c>
      <c r="AZ1273" s="782">
        <v>12088315</v>
      </c>
      <c r="BA1273" s="781"/>
    </row>
    <row r="1274" spans="1:53" ht="25" hidden="1" customHeight="1">
      <c r="A1274" s="142" t="s">
        <v>120</v>
      </c>
      <c r="B1274" s="385">
        <v>45527</v>
      </c>
      <c r="C1274" s="386">
        <v>45552</v>
      </c>
      <c r="D1274" s="185">
        <f t="shared" si="407"/>
        <v>2024</v>
      </c>
      <c r="E1274" s="386" t="str">
        <f>VLOOKUP($B1274,Week!$A$1:$C$1462,2,0)</f>
        <v>Week34</v>
      </c>
      <c r="F1274" s="387" t="str">
        <f t="shared" si="408"/>
        <v>Aug</v>
      </c>
      <c r="G1274" s="388" t="s">
        <v>1121</v>
      </c>
      <c r="H1274" s="388" t="s">
        <v>500</v>
      </c>
      <c r="I1274" s="388" t="s">
        <v>2772</v>
      </c>
      <c r="J1274" s="389" t="s">
        <v>285</v>
      </c>
      <c r="K1274" s="390" t="s">
        <v>153</v>
      </c>
      <c r="L1274" s="390" t="s">
        <v>2166</v>
      </c>
      <c r="M1274" s="389" t="s">
        <v>165</v>
      </c>
      <c r="N1274" s="388" t="s">
        <v>286</v>
      </c>
      <c r="O1274" s="388" t="s">
        <v>503</v>
      </c>
      <c r="P1274" s="391">
        <v>40</v>
      </c>
      <c r="Q1274" s="391">
        <v>12</v>
      </c>
      <c r="R1274" s="392">
        <v>6.8100000000000001E-3</v>
      </c>
      <c r="S1274" s="388" t="s">
        <v>76</v>
      </c>
      <c r="T1274" s="388" t="s">
        <v>56</v>
      </c>
      <c r="U1274" s="388" t="s">
        <v>89</v>
      </c>
      <c r="V1274" s="393">
        <v>528</v>
      </c>
      <c r="W1274" s="393">
        <f>528</f>
        <v>528</v>
      </c>
      <c r="X1274" s="394"/>
      <c r="Y1274" s="395">
        <f t="shared" si="412"/>
        <v>0</v>
      </c>
      <c r="Z1274" s="396">
        <f t="shared" si="413"/>
        <v>0</v>
      </c>
      <c r="AA1274" s="396">
        <f>Q1274*Z1274</f>
        <v>0</v>
      </c>
      <c r="AB1274" s="823">
        <v>2</v>
      </c>
      <c r="AC1274" s="393">
        <f>Z1274*AB1274</f>
        <v>0</v>
      </c>
      <c r="AD1274" s="209"/>
      <c r="AE1274" s="210"/>
      <c r="AF1274" s="210"/>
      <c r="AG1274" s="211">
        <f t="shared" si="421"/>
        <v>0.154</v>
      </c>
      <c r="AH1274" s="157">
        <f t="shared" si="420"/>
        <v>0</v>
      </c>
      <c r="AI1274" s="152">
        <f t="shared" si="416"/>
        <v>21120</v>
      </c>
      <c r="AK1274" s="156" t="s">
        <v>691</v>
      </c>
      <c r="AL1274" s="156" t="s">
        <v>689</v>
      </c>
      <c r="AM1274" s="198">
        <f t="shared" ref="AM1274:AM1279" si="422">AG1274*Z1274</f>
        <v>0</v>
      </c>
      <c r="AN1274" s="199">
        <f t="shared" si="409"/>
        <v>45527</v>
      </c>
      <c r="AO1274" s="159" t="s">
        <v>692</v>
      </c>
      <c r="AP1274" s="783" t="s">
        <v>611</v>
      </c>
      <c r="AQ1274" s="782">
        <v>12028328</v>
      </c>
      <c r="AR1274" s="782">
        <v>12019692</v>
      </c>
      <c r="AS1274" s="781"/>
      <c r="AT1274" s="782">
        <v>12065371</v>
      </c>
      <c r="AU1274" s="782"/>
      <c r="AV1274" s="782">
        <v>12055895</v>
      </c>
      <c r="AW1274" s="782">
        <v>12034747</v>
      </c>
      <c r="AX1274" s="782" t="s">
        <v>398</v>
      </c>
      <c r="AY1274" s="781" t="s">
        <v>290</v>
      </c>
      <c r="AZ1274" s="781"/>
      <c r="BA1274" s="781"/>
    </row>
    <row r="1275" spans="1:53" ht="25" hidden="1" customHeight="1">
      <c r="B1275" s="345">
        <v>45528</v>
      </c>
      <c r="C1275" s="464">
        <v>45539</v>
      </c>
      <c r="D1275" s="185">
        <f t="shared" si="407"/>
        <v>2024</v>
      </c>
      <c r="E1275" s="464" t="str">
        <f>VLOOKUP($B1275,Week!$A$1:$C$1462,2,0)</f>
        <v>Week34</v>
      </c>
      <c r="F1275" s="465" t="str">
        <f t="shared" si="408"/>
        <v>Aug</v>
      </c>
      <c r="G1275" s="347" t="s">
        <v>1425</v>
      </c>
      <c r="H1275" s="347" t="s">
        <v>134</v>
      </c>
      <c r="I1275" s="347" t="s">
        <v>2772</v>
      </c>
      <c r="J1275" s="349" t="s">
        <v>135</v>
      </c>
      <c r="K1275" s="350" t="s">
        <v>107</v>
      </c>
      <c r="L1275" s="300" t="s">
        <v>2167</v>
      </c>
      <c r="M1275" s="349" t="s">
        <v>136</v>
      </c>
      <c r="N1275" s="347" t="s">
        <v>137</v>
      </c>
      <c r="O1275" s="347" t="s">
        <v>138</v>
      </c>
      <c r="P1275" s="351">
        <v>24</v>
      </c>
      <c r="Q1275" s="351">
        <v>3</v>
      </c>
      <c r="R1275" s="352">
        <v>7.4999999999999997E-3</v>
      </c>
      <c r="S1275" s="347" t="s">
        <v>111</v>
      </c>
      <c r="T1275" s="347" t="s">
        <v>56</v>
      </c>
      <c r="U1275" s="347" t="s">
        <v>572</v>
      </c>
      <c r="V1275" s="353">
        <v>250</v>
      </c>
      <c r="W1275" s="353">
        <f>1+249</f>
        <v>250</v>
      </c>
      <c r="X1275" s="354"/>
      <c r="Y1275" s="355">
        <f t="shared" si="412"/>
        <v>0</v>
      </c>
      <c r="Z1275" s="356">
        <f t="shared" si="413"/>
        <v>0</v>
      </c>
      <c r="AA1275" s="356"/>
      <c r="AB1275" s="818"/>
      <c r="AC1275" s="353"/>
      <c r="AD1275" s="443"/>
      <c r="AE1275" s="210"/>
      <c r="AF1275" s="210"/>
      <c r="AG1275" s="211">
        <f t="shared" si="421"/>
        <v>0.219</v>
      </c>
      <c r="AH1275" s="157">
        <f t="shared" si="420"/>
        <v>0</v>
      </c>
      <c r="AI1275" s="152">
        <f t="shared" si="416"/>
        <v>6000</v>
      </c>
      <c r="AK1275" s="156" t="s">
        <v>691</v>
      </c>
      <c r="AL1275" s="212" t="s">
        <v>690</v>
      </c>
      <c r="AM1275" s="198">
        <f t="shared" si="422"/>
        <v>0</v>
      </c>
      <c r="AN1275" s="199">
        <f t="shared" si="409"/>
        <v>45528</v>
      </c>
      <c r="AO1275" s="159" t="s">
        <v>692</v>
      </c>
      <c r="AP1275" s="783" t="s">
        <v>610</v>
      </c>
      <c r="AQ1275" s="796" t="s">
        <v>1500</v>
      </c>
      <c r="AR1275" s="782" t="s">
        <v>140</v>
      </c>
      <c r="AS1275" s="782" t="s">
        <v>141</v>
      </c>
      <c r="AT1275" s="782"/>
      <c r="AU1275" s="783" t="s">
        <v>568</v>
      </c>
      <c r="AV1275" s="796" t="s">
        <v>569</v>
      </c>
      <c r="AW1275" s="796" t="s">
        <v>570</v>
      </c>
      <c r="AX1275" s="782"/>
      <c r="AY1275" s="782">
        <v>12061259</v>
      </c>
      <c r="AZ1275" s="782">
        <v>12064123</v>
      </c>
      <c r="BA1275" s="782">
        <v>12064127</v>
      </c>
    </row>
    <row r="1276" spans="1:53" ht="24.65" hidden="1" customHeight="1">
      <c r="B1276" s="466">
        <v>45528</v>
      </c>
      <c r="C1276" s="467">
        <v>45533</v>
      </c>
      <c r="D1276" s="185">
        <f t="shared" si="407"/>
        <v>2024</v>
      </c>
      <c r="E1276" s="467" t="str">
        <f>VLOOKUP($B1276,Week!$A$1:$C$1462,2,0)</f>
        <v>Week34</v>
      </c>
      <c r="F1276" s="469" t="str">
        <f t="shared" si="408"/>
        <v>Aug</v>
      </c>
      <c r="G1276" s="468" t="s">
        <v>1579</v>
      </c>
      <c r="H1276" s="468" t="s">
        <v>675</v>
      </c>
      <c r="I1276" s="468" t="s">
        <v>2772</v>
      </c>
      <c r="J1276" s="471" t="s">
        <v>709</v>
      </c>
      <c r="K1276" s="472" t="s">
        <v>107</v>
      </c>
      <c r="L1276" s="300" t="s">
        <v>2167</v>
      </c>
      <c r="M1276" s="471" t="s">
        <v>313</v>
      </c>
      <c r="N1276" s="617" t="s">
        <v>696</v>
      </c>
      <c r="O1276" s="468" t="s">
        <v>110</v>
      </c>
      <c r="P1276" s="473">
        <v>36</v>
      </c>
      <c r="Q1276" s="473">
        <v>5</v>
      </c>
      <c r="R1276" s="474">
        <v>7.4999999999999997E-3</v>
      </c>
      <c r="S1276" s="468" t="s">
        <v>111</v>
      </c>
      <c r="T1276" s="468" t="s">
        <v>112</v>
      </c>
      <c r="U1276" s="468" t="s">
        <v>57</v>
      </c>
      <c r="V1276" s="475">
        <v>320</v>
      </c>
      <c r="W1276" s="475">
        <f>320</f>
        <v>320</v>
      </c>
      <c r="X1276" s="476"/>
      <c r="Y1276" s="477">
        <f t="shared" si="412"/>
        <v>0</v>
      </c>
      <c r="Z1276" s="478">
        <f t="shared" si="413"/>
        <v>0</v>
      </c>
      <c r="AA1276" s="478"/>
      <c r="AB1276" s="828"/>
      <c r="AC1276" s="475"/>
      <c r="AD1276" s="515"/>
      <c r="AE1276" s="210"/>
      <c r="AF1276" s="210"/>
      <c r="AG1276" s="211">
        <f t="shared" si="421"/>
        <v>0.308</v>
      </c>
      <c r="AH1276" s="157">
        <f t="shared" si="420"/>
        <v>0</v>
      </c>
      <c r="AI1276" s="152">
        <f t="shared" si="416"/>
        <v>11520</v>
      </c>
      <c r="AK1276" s="156" t="s">
        <v>691</v>
      </c>
      <c r="AL1276" s="212" t="s">
        <v>690</v>
      </c>
      <c r="AM1276" s="198">
        <f t="shared" si="422"/>
        <v>0</v>
      </c>
      <c r="AN1276" s="199">
        <f t="shared" si="409"/>
        <v>45528</v>
      </c>
      <c r="AO1276" s="159" t="s">
        <v>692</v>
      </c>
      <c r="AP1276" s="783" t="s">
        <v>644</v>
      </c>
      <c r="AQ1276" s="782">
        <v>12063755</v>
      </c>
      <c r="AR1276" s="782">
        <v>12061353</v>
      </c>
      <c r="AS1276" s="782">
        <v>12061354</v>
      </c>
      <c r="AT1276" s="782">
        <v>12089990</v>
      </c>
      <c r="AU1276" s="781"/>
      <c r="AV1276" s="782">
        <v>12089997</v>
      </c>
      <c r="AW1276" s="782">
        <v>12088207</v>
      </c>
      <c r="AX1276" s="782"/>
      <c r="AY1276" s="782">
        <v>12089998</v>
      </c>
      <c r="AZ1276" s="782"/>
      <c r="BA1276" s="781"/>
    </row>
    <row r="1277" spans="1:53" ht="24.65" hidden="1" customHeight="1">
      <c r="B1277" s="466">
        <v>45528</v>
      </c>
      <c r="C1277" s="467">
        <v>45540</v>
      </c>
      <c r="D1277" s="185">
        <f t="shared" si="407"/>
        <v>2024</v>
      </c>
      <c r="E1277" s="467" t="str">
        <f>VLOOKUP($B1277,Week!$A$1:$C$1462,2,0)</f>
        <v>Week34</v>
      </c>
      <c r="F1277" s="469" t="str">
        <f t="shared" si="408"/>
        <v>Aug</v>
      </c>
      <c r="G1277" s="468" t="s">
        <v>1587</v>
      </c>
      <c r="H1277" s="468" t="s">
        <v>675</v>
      </c>
      <c r="I1277" s="468" t="s">
        <v>2772</v>
      </c>
      <c r="J1277" s="471" t="s">
        <v>709</v>
      </c>
      <c r="K1277" s="472" t="s">
        <v>107</v>
      </c>
      <c r="L1277" s="300" t="s">
        <v>2167</v>
      </c>
      <c r="M1277" s="471" t="s">
        <v>313</v>
      </c>
      <c r="N1277" s="617" t="s">
        <v>696</v>
      </c>
      <c r="O1277" s="468" t="s">
        <v>110</v>
      </c>
      <c r="P1277" s="473">
        <v>36</v>
      </c>
      <c r="Q1277" s="473">
        <v>5</v>
      </c>
      <c r="R1277" s="474">
        <v>7.4999999999999997E-3</v>
      </c>
      <c r="S1277" s="468" t="s">
        <v>111</v>
      </c>
      <c r="T1277" s="468" t="s">
        <v>112</v>
      </c>
      <c r="U1277" s="468" t="s">
        <v>57</v>
      </c>
      <c r="V1277" s="475">
        <v>320</v>
      </c>
      <c r="W1277" s="475">
        <f>568-320</f>
        <v>248</v>
      </c>
      <c r="X1277" s="476">
        <f>(2592)/36</f>
        <v>72</v>
      </c>
      <c r="Y1277" s="477">
        <f t="shared" si="412"/>
        <v>0</v>
      </c>
      <c r="Z1277" s="478">
        <f t="shared" si="413"/>
        <v>0</v>
      </c>
      <c r="AA1277" s="478"/>
      <c r="AB1277" s="828"/>
      <c r="AC1277" s="475"/>
      <c r="AD1277" s="515"/>
      <c r="AE1277" s="210"/>
      <c r="AF1277" s="210"/>
      <c r="AG1277" s="211">
        <f t="shared" si="421"/>
        <v>0.308</v>
      </c>
      <c r="AH1277" s="157">
        <f t="shared" si="420"/>
        <v>0</v>
      </c>
      <c r="AI1277" s="152">
        <f t="shared" si="416"/>
        <v>11520</v>
      </c>
      <c r="AK1277" s="156" t="s">
        <v>691</v>
      </c>
      <c r="AL1277" s="212" t="s">
        <v>690</v>
      </c>
      <c r="AM1277" s="198">
        <f t="shared" si="422"/>
        <v>0</v>
      </c>
      <c r="AN1277" s="199">
        <f t="shared" si="409"/>
        <v>45528</v>
      </c>
      <c r="AO1277" s="159" t="s">
        <v>692</v>
      </c>
      <c r="AP1277" s="783" t="s">
        <v>644</v>
      </c>
      <c r="AQ1277" s="782">
        <v>12063755</v>
      </c>
      <c r="AR1277" s="782">
        <v>12061353</v>
      </c>
      <c r="AS1277" s="782">
        <v>12061354</v>
      </c>
      <c r="AT1277" s="782">
        <v>12089990</v>
      </c>
      <c r="AU1277" s="781"/>
      <c r="AV1277" s="782">
        <v>12089997</v>
      </c>
      <c r="AW1277" s="782">
        <v>12088207</v>
      </c>
      <c r="AX1277" s="782"/>
      <c r="AY1277" s="782">
        <v>12089998</v>
      </c>
      <c r="AZ1277" s="782"/>
      <c r="BA1277" s="781"/>
    </row>
    <row r="1278" spans="1:53" ht="24.65" hidden="1" customHeight="1">
      <c r="B1278" s="308">
        <v>45528</v>
      </c>
      <c r="C1278" s="309">
        <v>45547</v>
      </c>
      <c r="D1278" s="185">
        <f t="shared" si="407"/>
        <v>2024</v>
      </c>
      <c r="E1278" s="309" t="str">
        <f>VLOOKUP($B1278,Week!$A$1:$C$1462,2,0)</f>
        <v>Week34</v>
      </c>
      <c r="F1278" s="310" t="str">
        <f t="shared" si="408"/>
        <v>Aug</v>
      </c>
      <c r="G1278" s="311" t="s">
        <v>1584</v>
      </c>
      <c r="H1278" s="311" t="s">
        <v>311</v>
      </c>
      <c r="I1278" s="311" t="s">
        <v>2772</v>
      </c>
      <c r="J1278" s="312" t="s">
        <v>738</v>
      </c>
      <c r="K1278" s="313" t="s">
        <v>107</v>
      </c>
      <c r="L1278" s="300" t="s">
        <v>2167</v>
      </c>
      <c r="M1278" s="312" t="s">
        <v>313</v>
      </c>
      <c r="N1278" s="311" t="s">
        <v>314</v>
      </c>
      <c r="O1278" s="311" t="s">
        <v>110</v>
      </c>
      <c r="P1278" s="314">
        <v>36</v>
      </c>
      <c r="Q1278" s="314">
        <v>5</v>
      </c>
      <c r="R1278" s="315">
        <v>7.4999999999999997E-3</v>
      </c>
      <c r="S1278" s="311" t="s">
        <v>111</v>
      </c>
      <c r="T1278" s="311" t="s">
        <v>112</v>
      </c>
      <c r="U1278" s="311" t="s">
        <v>57</v>
      </c>
      <c r="V1278" s="316">
        <v>792</v>
      </c>
      <c r="W1278" s="316">
        <f>779</f>
        <v>779</v>
      </c>
      <c r="X1278" s="317">
        <f>(483)/36</f>
        <v>13.416666666666666</v>
      </c>
      <c r="Y1278" s="318">
        <f t="shared" si="412"/>
        <v>0.41666666666662877</v>
      </c>
      <c r="Z1278" s="319">
        <f t="shared" si="413"/>
        <v>0</v>
      </c>
      <c r="AA1278" s="319"/>
      <c r="AB1278" s="815"/>
      <c r="AC1278" s="316"/>
      <c r="AD1278" s="515"/>
      <c r="AE1278" s="210"/>
      <c r="AF1278" s="210"/>
      <c r="AG1278" s="211">
        <f t="shared" si="421"/>
        <v>0.308</v>
      </c>
      <c r="AH1278" s="157">
        <f t="shared" si="420"/>
        <v>0</v>
      </c>
      <c r="AI1278" s="152">
        <f t="shared" si="416"/>
        <v>28512</v>
      </c>
      <c r="AK1278" s="156" t="s">
        <v>691</v>
      </c>
      <c r="AL1278" s="212" t="s">
        <v>690</v>
      </c>
      <c r="AM1278" s="198">
        <f t="shared" si="422"/>
        <v>0</v>
      </c>
      <c r="AN1278" s="199">
        <f t="shared" si="409"/>
        <v>45528</v>
      </c>
      <c r="AO1278" s="159" t="s">
        <v>692</v>
      </c>
      <c r="AP1278" s="783" t="s">
        <v>644</v>
      </c>
      <c r="AQ1278" s="782">
        <v>12063755</v>
      </c>
      <c r="AR1278" s="782">
        <v>12061353</v>
      </c>
      <c r="AS1278" s="782">
        <v>12061354</v>
      </c>
      <c r="AT1278" s="782">
        <v>12062266</v>
      </c>
      <c r="AU1278" s="781"/>
      <c r="AV1278" s="782">
        <v>12088159</v>
      </c>
      <c r="AW1278" s="782">
        <v>12088207</v>
      </c>
      <c r="AX1278" s="782"/>
      <c r="AY1278" s="782">
        <v>12062262</v>
      </c>
      <c r="AZ1278" s="782"/>
      <c r="BA1278" s="781"/>
    </row>
    <row r="1279" spans="1:53" ht="24.65" hidden="1" customHeight="1">
      <c r="B1279" s="308">
        <v>45528</v>
      </c>
      <c r="C1279" s="309">
        <v>45554</v>
      </c>
      <c r="D1279" s="185">
        <f t="shared" si="407"/>
        <v>2024</v>
      </c>
      <c r="E1279" s="309" t="str">
        <f>VLOOKUP($B1279,Week!$A$1:$C$1462,2,0)</f>
        <v>Week34</v>
      </c>
      <c r="F1279" s="310" t="str">
        <f t="shared" si="408"/>
        <v>Aug</v>
      </c>
      <c r="G1279" s="311" t="s">
        <v>1585</v>
      </c>
      <c r="H1279" s="311" t="s">
        <v>311</v>
      </c>
      <c r="I1279" s="311" t="s">
        <v>2772</v>
      </c>
      <c r="J1279" s="312" t="s">
        <v>738</v>
      </c>
      <c r="K1279" s="313" t="s">
        <v>107</v>
      </c>
      <c r="L1279" s="300" t="s">
        <v>2167</v>
      </c>
      <c r="M1279" s="312" t="s">
        <v>313</v>
      </c>
      <c r="N1279" s="311" t="s">
        <v>314</v>
      </c>
      <c r="O1279" s="311" t="s">
        <v>110</v>
      </c>
      <c r="P1279" s="314">
        <v>36</v>
      </c>
      <c r="Q1279" s="314">
        <v>5</v>
      </c>
      <c r="R1279" s="315">
        <v>7.4999999999999997E-3</v>
      </c>
      <c r="S1279" s="311" t="s">
        <v>111</v>
      </c>
      <c r="T1279" s="311" t="s">
        <v>112</v>
      </c>
      <c r="U1279" s="311" t="s">
        <v>57</v>
      </c>
      <c r="V1279" s="316">
        <v>792</v>
      </c>
      <c r="W1279" s="316">
        <f>1401-779</f>
        <v>622</v>
      </c>
      <c r="X1279" s="317">
        <f>(6120)/36</f>
        <v>170</v>
      </c>
      <c r="Y1279" s="318">
        <f t="shared" si="412"/>
        <v>0</v>
      </c>
      <c r="Z1279" s="319">
        <f t="shared" si="413"/>
        <v>0</v>
      </c>
      <c r="AA1279" s="319"/>
      <c r="AB1279" s="815"/>
      <c r="AC1279" s="316"/>
      <c r="AD1279" s="515"/>
      <c r="AE1279" s="210"/>
      <c r="AF1279" s="210"/>
      <c r="AG1279" s="211">
        <f t="shared" si="421"/>
        <v>0.308</v>
      </c>
      <c r="AH1279" s="157">
        <f t="shared" si="420"/>
        <v>0</v>
      </c>
      <c r="AI1279" s="152">
        <f t="shared" si="416"/>
        <v>28512</v>
      </c>
      <c r="AK1279" s="156" t="s">
        <v>691</v>
      </c>
      <c r="AL1279" s="212" t="s">
        <v>690</v>
      </c>
      <c r="AM1279" s="198">
        <f t="shared" si="422"/>
        <v>0</v>
      </c>
      <c r="AN1279" s="199">
        <f t="shared" si="409"/>
        <v>45528</v>
      </c>
      <c r="AO1279" s="159" t="s">
        <v>692</v>
      </c>
      <c r="AP1279" s="783" t="s">
        <v>644</v>
      </c>
      <c r="AQ1279" s="782">
        <v>12063755</v>
      </c>
      <c r="AR1279" s="782">
        <v>12061353</v>
      </c>
      <c r="AS1279" s="782">
        <v>12061354</v>
      </c>
      <c r="AT1279" s="782">
        <v>12062266</v>
      </c>
      <c r="AU1279" s="781"/>
      <c r="AV1279" s="782">
        <v>12088159</v>
      </c>
      <c r="AW1279" s="782">
        <v>12088207</v>
      </c>
      <c r="AX1279" s="782"/>
      <c r="AY1279" s="782">
        <v>12062262</v>
      </c>
      <c r="AZ1279" s="782"/>
      <c r="BA1279" s="781"/>
    </row>
    <row r="1280" spans="1:53" ht="25" hidden="1" customHeight="1">
      <c r="A1280" s="440"/>
      <c r="B1280" s="271">
        <v>45528</v>
      </c>
      <c r="C1280" s="271">
        <v>45547</v>
      </c>
      <c r="D1280" s="185">
        <f t="shared" si="407"/>
        <v>2024</v>
      </c>
      <c r="E1280" s="441" t="str">
        <f>VLOOKUP($B1280,Week!$A$1:$C$1462,2,0)</f>
        <v>Week34</v>
      </c>
      <c r="F1280" s="442" t="str">
        <f t="shared" si="408"/>
        <v>Aug</v>
      </c>
      <c r="G1280" s="423" t="s">
        <v>1162</v>
      </c>
      <c r="H1280" s="274" t="s">
        <v>267</v>
      </c>
      <c r="I1280" s="274" t="s">
        <v>2772</v>
      </c>
      <c r="J1280" s="275" t="s">
        <v>699</v>
      </c>
      <c r="K1280" s="276" t="s">
        <v>107</v>
      </c>
      <c r="L1280" s="300" t="s">
        <v>2167</v>
      </c>
      <c r="M1280" s="275" t="s">
        <v>136</v>
      </c>
      <c r="N1280" s="274" t="s">
        <v>269</v>
      </c>
      <c r="O1280" s="274" t="s">
        <v>270</v>
      </c>
      <c r="P1280" s="277">
        <v>12</v>
      </c>
      <c r="Q1280" s="277">
        <v>3</v>
      </c>
      <c r="R1280" s="278">
        <v>7.4999999999999997E-3</v>
      </c>
      <c r="S1280" s="274" t="s">
        <v>111</v>
      </c>
      <c r="T1280" s="274" t="s">
        <v>112</v>
      </c>
      <c r="U1280" s="274" t="s">
        <v>57</v>
      </c>
      <c r="V1280" s="279">
        <v>2520</v>
      </c>
      <c r="W1280" s="279">
        <f>21+2499</f>
        <v>2520</v>
      </c>
      <c r="X1280" s="280"/>
      <c r="Y1280" s="281">
        <f t="shared" si="412"/>
        <v>0</v>
      </c>
      <c r="Z1280" s="282">
        <f t="shared" si="413"/>
        <v>0</v>
      </c>
      <c r="AA1280" s="282"/>
      <c r="AB1280" s="812"/>
      <c r="AC1280" s="279"/>
      <c r="AD1280" s="443" t="s">
        <v>737</v>
      </c>
      <c r="AE1280" s="210"/>
      <c r="AF1280" s="210"/>
      <c r="AG1280" s="211">
        <f t="shared" si="421"/>
        <v>0.309</v>
      </c>
      <c r="AH1280" s="157">
        <f t="shared" si="420"/>
        <v>0</v>
      </c>
      <c r="AI1280" s="152">
        <f t="shared" si="416"/>
        <v>30240</v>
      </c>
      <c r="AK1280" s="156" t="s">
        <v>691</v>
      </c>
      <c r="AL1280" s="212" t="s">
        <v>690</v>
      </c>
      <c r="AM1280" s="198">
        <f t="shared" ref="AM1280:AM1311" si="423">AG1280*Z1280</f>
        <v>0</v>
      </c>
      <c r="AN1280" s="199">
        <f t="shared" si="409"/>
        <v>45528</v>
      </c>
      <c r="AO1280" s="159" t="s">
        <v>692</v>
      </c>
      <c r="AP1280" s="781"/>
      <c r="AQ1280" s="782">
        <v>12063755</v>
      </c>
      <c r="AR1280" s="782">
        <v>12081257</v>
      </c>
      <c r="AS1280" s="782">
        <v>12081260</v>
      </c>
      <c r="AT1280" s="782"/>
      <c r="AU1280" s="781"/>
      <c r="AV1280" s="782">
        <v>12073316</v>
      </c>
      <c r="AW1280" s="782"/>
      <c r="AX1280" s="782"/>
      <c r="AY1280" s="782">
        <v>12073342</v>
      </c>
      <c r="AZ1280" s="782">
        <v>12073344</v>
      </c>
      <c r="BA1280" s="782">
        <v>12073343</v>
      </c>
    </row>
    <row r="1281" spans="1:53" ht="25" hidden="1" customHeight="1">
      <c r="B1281" s="332">
        <v>45528</v>
      </c>
      <c r="C1281" s="333">
        <v>45552</v>
      </c>
      <c r="D1281" s="185">
        <f t="shared" si="407"/>
        <v>2024</v>
      </c>
      <c r="E1281" s="333" t="str">
        <f>VLOOKUP($B1281,Week!$A$1:$C$1462,2,0)</f>
        <v>Week34</v>
      </c>
      <c r="F1281" s="334" t="str">
        <f t="shared" si="408"/>
        <v>Aug</v>
      </c>
      <c r="G1281" s="335" t="s">
        <v>1570</v>
      </c>
      <c r="H1281" s="335" t="s">
        <v>600</v>
      </c>
      <c r="I1281" s="335" t="s">
        <v>2772</v>
      </c>
      <c r="J1281" s="336" t="s">
        <v>708</v>
      </c>
      <c r="K1281" s="337" t="s">
        <v>1646</v>
      </c>
      <c r="L1281" s="300" t="s">
        <v>2167</v>
      </c>
      <c r="M1281" s="336" t="s">
        <v>601</v>
      </c>
      <c r="N1281" s="335" t="s">
        <v>604</v>
      </c>
      <c r="O1281" s="335" t="s">
        <v>543</v>
      </c>
      <c r="P1281" s="338">
        <v>8</v>
      </c>
      <c r="Q1281" s="338">
        <v>3</v>
      </c>
      <c r="R1281" s="339">
        <v>7.4999999999999997E-3</v>
      </c>
      <c r="S1281" s="335" t="s">
        <v>40</v>
      </c>
      <c r="T1281" s="335" t="s">
        <v>112</v>
      </c>
      <c r="U1281" s="340" t="s">
        <v>722</v>
      </c>
      <c r="V1281" s="341">
        <v>3500</v>
      </c>
      <c r="W1281" s="341"/>
      <c r="X1281" s="342">
        <f>(54+27946)/8</f>
        <v>3500</v>
      </c>
      <c r="Y1281" s="343">
        <f t="shared" si="412"/>
        <v>0</v>
      </c>
      <c r="Z1281" s="344">
        <f t="shared" si="413"/>
        <v>0</v>
      </c>
      <c r="AA1281" s="344"/>
      <c r="AB1281" s="817"/>
      <c r="AC1281" s="341"/>
      <c r="AD1281" s="307" t="s">
        <v>673</v>
      </c>
      <c r="AE1281" s="210"/>
      <c r="AF1281" s="210"/>
      <c r="AG1281" s="211">
        <f t="shared" si="421"/>
        <v>0.309</v>
      </c>
      <c r="AH1281" s="157">
        <f t="shared" si="420"/>
        <v>0</v>
      </c>
      <c r="AI1281" s="152">
        <f t="shared" si="416"/>
        <v>28000</v>
      </c>
      <c r="AK1281" s="156" t="s">
        <v>691</v>
      </c>
      <c r="AL1281" s="574" t="s">
        <v>690</v>
      </c>
      <c r="AM1281" s="198">
        <f t="shared" si="423"/>
        <v>0</v>
      </c>
      <c r="AN1281" s="199">
        <f t="shared" si="409"/>
        <v>45528</v>
      </c>
      <c r="AO1281" s="159" t="s">
        <v>692</v>
      </c>
      <c r="AP1281" s="781"/>
      <c r="AQ1281" s="782">
        <v>12063755</v>
      </c>
      <c r="AR1281" s="782">
        <v>12061353</v>
      </c>
      <c r="AS1281" s="782">
        <v>12061354</v>
      </c>
      <c r="AT1281" s="782">
        <v>12084023</v>
      </c>
      <c r="AU1281" s="781"/>
      <c r="AV1281" s="782">
        <v>12084228</v>
      </c>
      <c r="AW1281" s="782"/>
      <c r="AX1281" s="782"/>
      <c r="AY1281" s="782"/>
      <c r="AZ1281" s="782"/>
      <c r="BA1281" s="781"/>
    </row>
    <row r="1282" spans="1:53" ht="25" hidden="1" customHeight="1">
      <c r="A1282" s="142" t="s">
        <v>120</v>
      </c>
      <c r="B1282" s="385">
        <v>45528</v>
      </c>
      <c r="C1282" s="386">
        <v>45552</v>
      </c>
      <c r="D1282" s="185">
        <f t="shared" si="407"/>
        <v>2024</v>
      </c>
      <c r="E1282" s="386" t="str">
        <f>VLOOKUP($B1282,Week!$A$1:$C$1462,2,0)</f>
        <v>Week34</v>
      </c>
      <c r="F1282" s="387" t="str">
        <f t="shared" si="408"/>
        <v>Aug</v>
      </c>
      <c r="G1282" s="388" t="s">
        <v>1121</v>
      </c>
      <c r="H1282" s="388" t="s">
        <v>500</v>
      </c>
      <c r="I1282" s="388" t="s">
        <v>2772</v>
      </c>
      <c r="J1282" s="389" t="s">
        <v>285</v>
      </c>
      <c r="K1282" s="390" t="s">
        <v>153</v>
      </c>
      <c r="L1282" s="390" t="s">
        <v>2166</v>
      </c>
      <c r="M1282" s="389" t="s">
        <v>165</v>
      </c>
      <c r="N1282" s="388" t="s">
        <v>286</v>
      </c>
      <c r="O1282" s="388" t="s">
        <v>503</v>
      </c>
      <c r="P1282" s="391">
        <v>40</v>
      </c>
      <c r="Q1282" s="391">
        <v>12</v>
      </c>
      <c r="R1282" s="392">
        <v>6.8100000000000001E-3</v>
      </c>
      <c r="S1282" s="388" t="s">
        <v>76</v>
      </c>
      <c r="T1282" s="388" t="s">
        <v>56</v>
      </c>
      <c r="U1282" s="388" t="s">
        <v>89</v>
      </c>
      <c r="V1282" s="393">
        <v>513</v>
      </c>
      <c r="W1282" s="393">
        <f>401</f>
        <v>401</v>
      </c>
      <c r="X1282" s="394">
        <f>(4480)/40</f>
        <v>112</v>
      </c>
      <c r="Y1282" s="395">
        <f t="shared" si="412"/>
        <v>0</v>
      </c>
      <c r="Z1282" s="396">
        <f t="shared" si="413"/>
        <v>0</v>
      </c>
      <c r="AA1282" s="396">
        <f>Q1282*Z1282</f>
        <v>0</v>
      </c>
      <c r="AB1282" s="823">
        <v>2</v>
      </c>
      <c r="AC1282" s="393">
        <f>Z1282*AB1282</f>
        <v>0</v>
      </c>
      <c r="AD1282" s="209"/>
      <c r="AE1282" s="210"/>
      <c r="AF1282" s="210"/>
      <c r="AG1282" s="211">
        <f t="shared" si="421"/>
        <v>0.154</v>
      </c>
      <c r="AH1282" s="157">
        <f t="shared" si="420"/>
        <v>0</v>
      </c>
      <c r="AI1282" s="152">
        <f t="shared" si="416"/>
        <v>20520</v>
      </c>
      <c r="AK1282" s="156" t="s">
        <v>691</v>
      </c>
      <c r="AL1282" s="156" t="s">
        <v>689</v>
      </c>
      <c r="AM1282" s="198">
        <f t="shared" si="423"/>
        <v>0</v>
      </c>
      <c r="AN1282" s="199">
        <f t="shared" si="409"/>
        <v>45528</v>
      </c>
      <c r="AO1282" s="159" t="s">
        <v>692</v>
      </c>
      <c r="AP1282" s="783" t="s">
        <v>611</v>
      </c>
      <c r="AQ1282" s="782">
        <v>12028328</v>
      </c>
      <c r="AR1282" s="782">
        <v>12019692</v>
      </c>
      <c r="AS1282" s="781"/>
      <c r="AT1282" s="782">
        <v>12065371</v>
      </c>
      <c r="AU1282" s="782"/>
      <c r="AV1282" s="782">
        <v>12055895</v>
      </c>
      <c r="AW1282" s="782">
        <v>12034747</v>
      </c>
      <c r="AX1282" s="782" t="s">
        <v>398</v>
      </c>
      <c r="AY1282" s="781" t="s">
        <v>290</v>
      </c>
      <c r="AZ1282" s="781"/>
      <c r="BA1282" s="781"/>
    </row>
    <row r="1283" spans="1:53" ht="25" hidden="1" customHeight="1">
      <c r="B1283" s="183">
        <v>45529</v>
      </c>
      <c r="C1283" s="184"/>
      <c r="D1283" s="185">
        <f t="shared" si="407"/>
        <v>2024</v>
      </c>
      <c r="E1283" s="185" t="str">
        <f>VLOOKUP($B1283,Week!$A$1:$C$1462,2,0)</f>
        <v>Week34</v>
      </c>
      <c r="F1283" s="186" t="str">
        <f t="shared" si="408"/>
        <v>Aug</v>
      </c>
      <c r="G1283" s="185"/>
      <c r="H1283" s="185"/>
      <c r="I1283" s="185"/>
      <c r="J1283" s="187"/>
      <c r="K1283" s="188"/>
      <c r="L1283" s="300"/>
      <c r="M1283" s="187"/>
      <c r="N1283" s="185"/>
      <c r="O1283" s="185"/>
      <c r="P1283" s="189"/>
      <c r="Q1283" s="189"/>
      <c r="R1283" s="190"/>
      <c r="S1283" s="185"/>
      <c r="T1283" s="185"/>
      <c r="U1283" s="185"/>
      <c r="V1283" s="191"/>
      <c r="W1283" s="191"/>
      <c r="X1283" s="192"/>
      <c r="Y1283" s="193"/>
      <c r="Z1283" s="194"/>
      <c r="AA1283" s="194"/>
      <c r="AB1283" s="805"/>
      <c r="AC1283" s="191"/>
      <c r="AD1283" s="187"/>
      <c r="AE1283" s="195"/>
      <c r="AF1283" s="195"/>
      <c r="AG1283" s="196"/>
      <c r="AH1283" s="197"/>
      <c r="AK1283" s="156" t="s">
        <v>691</v>
      </c>
      <c r="AM1283" s="198">
        <f t="shared" si="423"/>
        <v>0</v>
      </c>
      <c r="AN1283" s="199">
        <f t="shared" si="409"/>
        <v>45529</v>
      </c>
      <c r="AO1283" s="159" t="s">
        <v>692</v>
      </c>
      <c r="AP1283" s="781"/>
      <c r="AQ1283" s="782"/>
      <c r="AR1283" s="782"/>
      <c r="AS1283" s="782"/>
      <c r="AT1283" s="782"/>
      <c r="AU1283" s="781"/>
      <c r="AV1283" s="782"/>
      <c r="AW1283" s="782"/>
      <c r="AX1283" s="782"/>
      <c r="AY1283" s="782"/>
      <c r="AZ1283" s="782"/>
      <c r="BA1283" s="781"/>
    </row>
    <row r="1284" spans="1:53" ht="25" hidden="1" customHeight="1">
      <c r="B1284" s="213">
        <v>45530</v>
      </c>
      <c r="C1284" s="578">
        <v>45535</v>
      </c>
      <c r="D1284" s="185">
        <f t="shared" si="407"/>
        <v>2024</v>
      </c>
      <c r="E1284" s="215" t="str">
        <f>VLOOKUP($B1284,Week!$A$1:$C$1462,2,0)</f>
        <v>Week35</v>
      </c>
      <c r="F1284" s="216" t="str">
        <f t="shared" si="408"/>
        <v>Aug</v>
      </c>
      <c r="G1284" s="215" t="s">
        <v>1515</v>
      </c>
      <c r="H1284" s="215" t="s">
        <v>104</v>
      </c>
      <c r="I1284" s="215" t="s">
        <v>2772</v>
      </c>
      <c r="J1284" s="209" t="s">
        <v>105</v>
      </c>
      <c r="K1284" s="217" t="s">
        <v>107</v>
      </c>
      <c r="L1284" s="300" t="s">
        <v>2167</v>
      </c>
      <c r="M1284" s="209" t="s">
        <v>108</v>
      </c>
      <c r="N1284" s="215" t="s">
        <v>109</v>
      </c>
      <c r="O1284" s="215" t="s">
        <v>110</v>
      </c>
      <c r="P1284" s="218">
        <v>36</v>
      </c>
      <c r="Q1284" s="218">
        <v>5</v>
      </c>
      <c r="R1284" s="219">
        <v>7.4999999999999997E-3</v>
      </c>
      <c r="S1284" s="215" t="s">
        <v>111</v>
      </c>
      <c r="T1284" s="215" t="s">
        <v>112</v>
      </c>
      <c r="U1284" s="215" t="s">
        <v>113</v>
      </c>
      <c r="V1284" s="220">
        <f>792-309</f>
        <v>483</v>
      </c>
      <c r="W1284" s="220">
        <f>1+482</f>
        <v>483</v>
      </c>
      <c r="X1284" s="221"/>
      <c r="Y1284" s="222">
        <f t="shared" ref="Y1284:Y1326" si="424">(W1284+X1284)-V1284</f>
        <v>0</v>
      </c>
      <c r="Z1284" s="223">
        <f t="shared" ref="Z1284:Z1326" si="425">IF(Y1284&lt;0,((V1284*P1284)-((W1284+X1284)*P1284)),0)</f>
        <v>0</v>
      </c>
      <c r="AA1284" s="223"/>
      <c r="AB1284" s="807"/>
      <c r="AC1284" s="220"/>
      <c r="AD1284" s="209"/>
      <c r="AE1284" s="210"/>
      <c r="AF1284" s="210"/>
      <c r="AG1284" s="211">
        <f t="shared" ref="AG1284:AG1315" si="426">MID(O1284,1,3)/1000</f>
        <v>0.308</v>
      </c>
      <c r="AH1284" s="157">
        <f t="shared" ref="AH1284:AH1326" si="427">(Z1284*AG1284)/1000</f>
        <v>0</v>
      </c>
      <c r="AI1284" s="152">
        <f t="shared" ref="AI1284:AI1326" si="428">V1284*P1284</f>
        <v>17388</v>
      </c>
      <c r="AK1284" s="156" t="s">
        <v>691</v>
      </c>
      <c r="AL1284" s="574" t="s">
        <v>690</v>
      </c>
      <c r="AM1284" s="198">
        <f t="shared" si="423"/>
        <v>0</v>
      </c>
      <c r="AN1284" s="199">
        <f t="shared" si="409"/>
        <v>45530</v>
      </c>
      <c r="AO1284" s="159" t="s">
        <v>692</v>
      </c>
      <c r="AP1284" s="781"/>
      <c r="AQ1284" s="782">
        <v>12063755</v>
      </c>
      <c r="AR1284" s="782">
        <v>12061353</v>
      </c>
      <c r="AS1284" s="782">
        <v>12061354</v>
      </c>
      <c r="AT1284" s="782">
        <v>12068566</v>
      </c>
      <c r="AU1284" s="781"/>
      <c r="AV1284" s="782">
        <v>12088206</v>
      </c>
      <c r="AW1284" s="782">
        <v>12088207</v>
      </c>
      <c r="AX1284" s="782"/>
      <c r="AY1284" s="782">
        <v>12068565</v>
      </c>
      <c r="AZ1284" s="782"/>
      <c r="BA1284" s="781"/>
    </row>
    <row r="1285" spans="1:53" ht="25" hidden="1" customHeight="1">
      <c r="B1285" s="213">
        <v>45530</v>
      </c>
      <c r="C1285" s="578">
        <v>45535</v>
      </c>
      <c r="D1285" s="185">
        <f t="shared" ref="D1285:D1348" si="429">IF(B1285="","",YEAR(B1285))</f>
        <v>2024</v>
      </c>
      <c r="E1285" s="215" t="str">
        <f>VLOOKUP($B1285,Week!$A$1:$C$1462,2,0)</f>
        <v>Week35</v>
      </c>
      <c r="F1285" s="216" t="str">
        <f t="shared" ref="F1285:F1348" si="430">IF(B1285="","",TEXT(B1285,"[$-409]mmm"))</f>
        <v>Aug</v>
      </c>
      <c r="G1285" s="215" t="s">
        <v>1516</v>
      </c>
      <c r="H1285" s="215" t="s">
        <v>104</v>
      </c>
      <c r="I1285" s="215" t="s">
        <v>2772</v>
      </c>
      <c r="J1285" s="209" t="s">
        <v>105</v>
      </c>
      <c r="K1285" s="217" t="s">
        <v>107</v>
      </c>
      <c r="L1285" s="300" t="s">
        <v>2167</v>
      </c>
      <c r="M1285" s="209" t="s">
        <v>108</v>
      </c>
      <c r="N1285" s="215" t="s">
        <v>109</v>
      </c>
      <c r="O1285" s="215" t="s">
        <v>110</v>
      </c>
      <c r="P1285" s="218">
        <v>36</v>
      </c>
      <c r="Q1285" s="218">
        <v>5</v>
      </c>
      <c r="R1285" s="219">
        <v>7.4999999999999997E-3</v>
      </c>
      <c r="S1285" s="215" t="s">
        <v>111</v>
      </c>
      <c r="T1285" s="215" t="s">
        <v>112</v>
      </c>
      <c r="U1285" s="215" t="s">
        <v>113</v>
      </c>
      <c r="V1285" s="220">
        <v>792</v>
      </c>
      <c r="W1285" s="220">
        <v>632</v>
      </c>
      <c r="X1285" s="221">
        <f>160</f>
        <v>160</v>
      </c>
      <c r="Y1285" s="222">
        <f t="shared" si="424"/>
        <v>0</v>
      </c>
      <c r="Z1285" s="223">
        <f t="shared" si="425"/>
        <v>0</v>
      </c>
      <c r="AA1285" s="223"/>
      <c r="AB1285" s="807"/>
      <c r="AC1285" s="220"/>
      <c r="AD1285" s="209"/>
      <c r="AE1285" s="210"/>
      <c r="AF1285" s="210"/>
      <c r="AG1285" s="211">
        <f t="shared" si="426"/>
        <v>0.308</v>
      </c>
      <c r="AH1285" s="157">
        <f t="shared" si="427"/>
        <v>0</v>
      </c>
      <c r="AI1285" s="152">
        <f t="shared" si="428"/>
        <v>28512</v>
      </c>
      <c r="AK1285" s="156" t="s">
        <v>691</v>
      </c>
      <c r="AL1285" s="574" t="s">
        <v>690</v>
      </c>
      <c r="AM1285" s="198">
        <f t="shared" si="423"/>
        <v>0</v>
      </c>
      <c r="AN1285" s="199">
        <f t="shared" ref="AN1285:AN1348" si="431">B1285</f>
        <v>45530</v>
      </c>
      <c r="AO1285" s="159" t="s">
        <v>692</v>
      </c>
      <c r="AP1285" s="781"/>
      <c r="AQ1285" s="782">
        <v>12063755</v>
      </c>
      <c r="AR1285" s="782">
        <v>12061353</v>
      </c>
      <c r="AS1285" s="782">
        <v>12061354</v>
      </c>
      <c r="AT1285" s="782">
        <v>12068566</v>
      </c>
      <c r="AU1285" s="781"/>
      <c r="AV1285" s="782">
        <v>12088206</v>
      </c>
      <c r="AW1285" s="782">
        <v>12088207</v>
      </c>
      <c r="AX1285" s="782"/>
      <c r="AY1285" s="782">
        <v>12068565</v>
      </c>
      <c r="AZ1285" s="782"/>
      <c r="BA1285" s="781"/>
    </row>
    <row r="1286" spans="1:53" ht="25" hidden="1" customHeight="1">
      <c r="B1286" s="213">
        <v>45530</v>
      </c>
      <c r="C1286" s="578">
        <v>45535</v>
      </c>
      <c r="D1286" s="185">
        <f t="shared" si="429"/>
        <v>2024</v>
      </c>
      <c r="E1286" s="215" t="str">
        <f>VLOOKUP($B1286,Week!$A$1:$C$1462,2,0)</f>
        <v>Week35</v>
      </c>
      <c r="F1286" s="216" t="str">
        <f t="shared" si="430"/>
        <v>Aug</v>
      </c>
      <c r="G1286" s="215" t="s">
        <v>1517</v>
      </c>
      <c r="H1286" s="215" t="s">
        <v>104</v>
      </c>
      <c r="I1286" s="215" t="s">
        <v>2772</v>
      </c>
      <c r="J1286" s="209" t="s">
        <v>105</v>
      </c>
      <c r="K1286" s="217" t="s">
        <v>107</v>
      </c>
      <c r="L1286" s="300" t="s">
        <v>2167</v>
      </c>
      <c r="M1286" s="209" t="s">
        <v>108</v>
      </c>
      <c r="N1286" s="215" t="s">
        <v>109</v>
      </c>
      <c r="O1286" s="215" t="s">
        <v>110</v>
      </c>
      <c r="P1286" s="218">
        <v>36</v>
      </c>
      <c r="Q1286" s="218">
        <v>5</v>
      </c>
      <c r="R1286" s="219">
        <v>7.4999999999999997E-3</v>
      </c>
      <c r="S1286" s="215" t="s">
        <v>111</v>
      </c>
      <c r="T1286" s="215" t="s">
        <v>112</v>
      </c>
      <c r="U1286" s="215" t="s">
        <v>113</v>
      </c>
      <c r="V1286" s="220">
        <v>792</v>
      </c>
      <c r="W1286" s="220">
        <v>792</v>
      </c>
      <c r="X1286" s="221"/>
      <c r="Y1286" s="222">
        <f t="shared" si="424"/>
        <v>0</v>
      </c>
      <c r="Z1286" s="223">
        <f t="shared" si="425"/>
        <v>0</v>
      </c>
      <c r="AA1286" s="223"/>
      <c r="AB1286" s="807"/>
      <c r="AC1286" s="220"/>
      <c r="AD1286" s="209"/>
      <c r="AE1286" s="210"/>
      <c r="AF1286" s="210"/>
      <c r="AG1286" s="211">
        <f t="shared" si="426"/>
        <v>0.308</v>
      </c>
      <c r="AH1286" s="157">
        <f t="shared" si="427"/>
        <v>0</v>
      </c>
      <c r="AI1286" s="152">
        <f t="shared" si="428"/>
        <v>28512</v>
      </c>
      <c r="AK1286" s="156" t="s">
        <v>691</v>
      </c>
      <c r="AL1286" s="574" t="s">
        <v>690</v>
      </c>
      <c r="AM1286" s="198">
        <f t="shared" si="423"/>
        <v>0</v>
      </c>
      <c r="AN1286" s="199">
        <f t="shared" si="431"/>
        <v>45530</v>
      </c>
      <c r="AO1286" s="159" t="s">
        <v>692</v>
      </c>
      <c r="AP1286" s="781"/>
      <c r="AQ1286" s="782">
        <v>12063755</v>
      </c>
      <c r="AR1286" s="782">
        <v>12061353</v>
      </c>
      <c r="AS1286" s="782">
        <v>12061354</v>
      </c>
      <c r="AT1286" s="782">
        <v>12068566</v>
      </c>
      <c r="AU1286" s="781"/>
      <c r="AV1286" s="782">
        <v>12088206</v>
      </c>
      <c r="AW1286" s="782">
        <v>12088207</v>
      </c>
      <c r="AX1286" s="782"/>
      <c r="AY1286" s="782">
        <v>12068565</v>
      </c>
      <c r="AZ1286" s="782"/>
      <c r="BA1286" s="781"/>
    </row>
    <row r="1287" spans="1:53" ht="25" hidden="1" customHeight="1">
      <c r="B1287" s="213">
        <v>45530</v>
      </c>
      <c r="C1287" s="578">
        <v>45535</v>
      </c>
      <c r="D1287" s="185">
        <f t="shared" si="429"/>
        <v>2024</v>
      </c>
      <c r="E1287" s="215" t="str">
        <f>VLOOKUP($B1287,Week!$A$1:$C$1462,2,0)</f>
        <v>Week35</v>
      </c>
      <c r="F1287" s="216" t="str">
        <f t="shared" si="430"/>
        <v>Aug</v>
      </c>
      <c r="G1287" s="215" t="s">
        <v>1518</v>
      </c>
      <c r="H1287" s="215" t="s">
        <v>104</v>
      </c>
      <c r="I1287" s="215" t="s">
        <v>2772</v>
      </c>
      <c r="J1287" s="209" t="s">
        <v>105</v>
      </c>
      <c r="K1287" s="217" t="s">
        <v>107</v>
      </c>
      <c r="L1287" s="300" t="s">
        <v>2167</v>
      </c>
      <c r="M1287" s="209" t="s">
        <v>108</v>
      </c>
      <c r="N1287" s="215" t="s">
        <v>109</v>
      </c>
      <c r="O1287" s="215" t="s">
        <v>110</v>
      </c>
      <c r="P1287" s="218">
        <v>36</v>
      </c>
      <c r="Q1287" s="218">
        <v>5</v>
      </c>
      <c r="R1287" s="219">
        <v>7.4999999999999997E-3</v>
      </c>
      <c r="S1287" s="215" t="s">
        <v>111</v>
      </c>
      <c r="T1287" s="215" t="s">
        <v>112</v>
      </c>
      <c r="U1287" s="215" t="s">
        <v>113</v>
      </c>
      <c r="V1287" s="220">
        <v>792</v>
      </c>
      <c r="W1287" s="220">
        <v>632</v>
      </c>
      <c r="X1287" s="221">
        <f>160</f>
        <v>160</v>
      </c>
      <c r="Y1287" s="222">
        <f t="shared" si="424"/>
        <v>0</v>
      </c>
      <c r="Z1287" s="223">
        <f t="shared" si="425"/>
        <v>0</v>
      </c>
      <c r="AA1287" s="223"/>
      <c r="AB1287" s="807"/>
      <c r="AC1287" s="220"/>
      <c r="AD1287" s="209"/>
      <c r="AE1287" s="210"/>
      <c r="AF1287" s="210"/>
      <c r="AG1287" s="211">
        <f t="shared" si="426"/>
        <v>0.308</v>
      </c>
      <c r="AH1287" s="157">
        <f t="shared" si="427"/>
        <v>0</v>
      </c>
      <c r="AI1287" s="152">
        <f t="shared" si="428"/>
        <v>28512</v>
      </c>
      <c r="AK1287" s="156" t="s">
        <v>691</v>
      </c>
      <c r="AL1287" s="574" t="s">
        <v>690</v>
      </c>
      <c r="AM1287" s="198">
        <f t="shared" si="423"/>
        <v>0</v>
      </c>
      <c r="AN1287" s="199">
        <f t="shared" si="431"/>
        <v>45530</v>
      </c>
      <c r="AO1287" s="159" t="s">
        <v>692</v>
      </c>
      <c r="AP1287" s="781"/>
      <c r="AQ1287" s="782">
        <v>12063755</v>
      </c>
      <c r="AR1287" s="782">
        <v>12061353</v>
      </c>
      <c r="AS1287" s="782">
        <v>12061354</v>
      </c>
      <c r="AT1287" s="782">
        <v>12068566</v>
      </c>
      <c r="AU1287" s="781"/>
      <c r="AV1287" s="782">
        <v>12088206</v>
      </c>
      <c r="AW1287" s="782">
        <v>12088207</v>
      </c>
      <c r="AX1287" s="782"/>
      <c r="AY1287" s="782">
        <v>12068565</v>
      </c>
      <c r="AZ1287" s="782"/>
      <c r="BA1287" s="781"/>
    </row>
    <row r="1288" spans="1:53" ht="25" hidden="1" customHeight="1">
      <c r="B1288" s="213">
        <v>45530</v>
      </c>
      <c r="C1288" s="578">
        <v>45535</v>
      </c>
      <c r="D1288" s="185">
        <f t="shared" si="429"/>
        <v>2024</v>
      </c>
      <c r="E1288" s="215" t="str">
        <f>VLOOKUP($B1288,Week!$A$1:$C$1462,2,0)</f>
        <v>Week35</v>
      </c>
      <c r="F1288" s="216" t="str">
        <f t="shared" si="430"/>
        <v>Aug</v>
      </c>
      <c r="G1288" s="215" t="s">
        <v>1519</v>
      </c>
      <c r="H1288" s="215" t="s">
        <v>104</v>
      </c>
      <c r="I1288" s="215" t="s">
        <v>2772</v>
      </c>
      <c r="J1288" s="209" t="s">
        <v>105</v>
      </c>
      <c r="K1288" s="217" t="s">
        <v>107</v>
      </c>
      <c r="L1288" s="300" t="s">
        <v>2167</v>
      </c>
      <c r="M1288" s="209" t="s">
        <v>108</v>
      </c>
      <c r="N1288" s="215" t="s">
        <v>109</v>
      </c>
      <c r="O1288" s="215" t="s">
        <v>110</v>
      </c>
      <c r="P1288" s="218">
        <v>36</v>
      </c>
      <c r="Q1288" s="218">
        <v>5</v>
      </c>
      <c r="R1288" s="219">
        <v>7.4999999999999997E-3</v>
      </c>
      <c r="S1288" s="215" t="s">
        <v>111</v>
      </c>
      <c r="T1288" s="215" t="s">
        <v>112</v>
      </c>
      <c r="U1288" s="215" t="s">
        <v>113</v>
      </c>
      <c r="V1288" s="220">
        <v>792</v>
      </c>
      <c r="W1288" s="220">
        <v>792</v>
      </c>
      <c r="X1288" s="221"/>
      <c r="Y1288" s="222">
        <f t="shared" si="424"/>
        <v>0</v>
      </c>
      <c r="Z1288" s="223">
        <f t="shared" si="425"/>
        <v>0</v>
      </c>
      <c r="AA1288" s="223"/>
      <c r="AB1288" s="807"/>
      <c r="AC1288" s="220"/>
      <c r="AD1288" s="209"/>
      <c r="AE1288" s="210"/>
      <c r="AF1288" s="210"/>
      <c r="AG1288" s="211">
        <f t="shared" si="426"/>
        <v>0.308</v>
      </c>
      <c r="AH1288" s="157">
        <f t="shared" si="427"/>
        <v>0</v>
      </c>
      <c r="AI1288" s="152">
        <f t="shared" si="428"/>
        <v>28512</v>
      </c>
      <c r="AK1288" s="156" t="s">
        <v>691</v>
      </c>
      <c r="AL1288" s="574" t="s">
        <v>690</v>
      </c>
      <c r="AM1288" s="198">
        <f t="shared" si="423"/>
        <v>0</v>
      </c>
      <c r="AN1288" s="199">
        <f t="shared" si="431"/>
        <v>45530</v>
      </c>
      <c r="AO1288" s="159" t="s">
        <v>692</v>
      </c>
      <c r="AP1288" s="781"/>
      <c r="AQ1288" s="782">
        <v>12063755</v>
      </c>
      <c r="AR1288" s="782">
        <v>12061353</v>
      </c>
      <c r="AS1288" s="782">
        <v>12061354</v>
      </c>
      <c r="AT1288" s="782">
        <v>12068566</v>
      </c>
      <c r="AU1288" s="781"/>
      <c r="AV1288" s="782">
        <v>12088206</v>
      </c>
      <c r="AW1288" s="782">
        <v>12088207</v>
      </c>
      <c r="AX1288" s="782"/>
      <c r="AY1288" s="782">
        <v>12068565</v>
      </c>
      <c r="AZ1288" s="782"/>
      <c r="BA1288" s="781"/>
    </row>
    <row r="1289" spans="1:53" ht="25" hidden="1" customHeight="1">
      <c r="B1289" s="213">
        <v>45530</v>
      </c>
      <c r="C1289" s="578">
        <v>45537</v>
      </c>
      <c r="D1289" s="185">
        <f t="shared" si="429"/>
        <v>2024</v>
      </c>
      <c r="E1289" s="215" t="str">
        <f>VLOOKUP($B1289,Week!$A$1:$C$1462,2,0)</f>
        <v>Week35</v>
      </c>
      <c r="F1289" s="216" t="str">
        <f t="shared" si="430"/>
        <v>Aug</v>
      </c>
      <c r="G1289" s="215" t="s">
        <v>1520</v>
      </c>
      <c r="H1289" s="215" t="s">
        <v>104</v>
      </c>
      <c r="I1289" s="215" t="s">
        <v>2772</v>
      </c>
      <c r="J1289" s="209" t="s">
        <v>105</v>
      </c>
      <c r="K1289" s="217" t="s">
        <v>107</v>
      </c>
      <c r="L1289" s="300" t="s">
        <v>2167</v>
      </c>
      <c r="M1289" s="209" t="s">
        <v>108</v>
      </c>
      <c r="N1289" s="215" t="s">
        <v>109</v>
      </c>
      <c r="O1289" s="215" t="s">
        <v>110</v>
      </c>
      <c r="P1289" s="218">
        <v>36</v>
      </c>
      <c r="Q1289" s="218">
        <v>5</v>
      </c>
      <c r="R1289" s="219">
        <v>7.4999999999999997E-3</v>
      </c>
      <c r="S1289" s="215" t="s">
        <v>111</v>
      </c>
      <c r="T1289" s="215" t="s">
        <v>112</v>
      </c>
      <c r="U1289" s="215" t="s">
        <v>113</v>
      </c>
      <c r="V1289" s="220">
        <v>792</v>
      </c>
      <c r="W1289" s="220">
        <f>3516-482-632-792-632-792</f>
        <v>186</v>
      </c>
      <c r="X1289" s="221">
        <f>160+((16056)/36)</f>
        <v>606</v>
      </c>
      <c r="Y1289" s="222">
        <f t="shared" si="424"/>
        <v>0</v>
      </c>
      <c r="Z1289" s="223">
        <f t="shared" si="425"/>
        <v>0</v>
      </c>
      <c r="AA1289" s="223"/>
      <c r="AB1289" s="807"/>
      <c r="AC1289" s="220"/>
      <c r="AD1289" s="209"/>
      <c r="AE1289" s="210"/>
      <c r="AF1289" s="210"/>
      <c r="AG1289" s="211">
        <f t="shared" si="426"/>
        <v>0.308</v>
      </c>
      <c r="AH1289" s="157">
        <f t="shared" si="427"/>
        <v>0</v>
      </c>
      <c r="AI1289" s="152">
        <f t="shared" si="428"/>
        <v>28512</v>
      </c>
      <c r="AK1289" s="156" t="s">
        <v>691</v>
      </c>
      <c r="AL1289" s="574" t="s">
        <v>690</v>
      </c>
      <c r="AM1289" s="198">
        <f t="shared" si="423"/>
        <v>0</v>
      </c>
      <c r="AN1289" s="199">
        <f t="shared" si="431"/>
        <v>45530</v>
      </c>
      <c r="AO1289" s="159" t="s">
        <v>692</v>
      </c>
      <c r="AP1289" s="781"/>
      <c r="AQ1289" s="782">
        <v>12063755</v>
      </c>
      <c r="AR1289" s="782">
        <v>12061353</v>
      </c>
      <c r="AS1289" s="782">
        <v>12061354</v>
      </c>
      <c r="AT1289" s="782">
        <v>12068566</v>
      </c>
      <c r="AU1289" s="781"/>
      <c r="AV1289" s="782">
        <v>12088206</v>
      </c>
      <c r="AW1289" s="782">
        <v>12088207</v>
      </c>
      <c r="AX1289" s="782"/>
      <c r="AY1289" s="782">
        <v>12068565</v>
      </c>
      <c r="AZ1289" s="782"/>
      <c r="BA1289" s="781"/>
    </row>
    <row r="1290" spans="1:53" ht="25" hidden="1" customHeight="1">
      <c r="B1290" s="213">
        <v>45530</v>
      </c>
      <c r="C1290" s="578">
        <v>45537</v>
      </c>
      <c r="D1290" s="185">
        <f t="shared" si="429"/>
        <v>2024</v>
      </c>
      <c r="E1290" s="215" t="str">
        <f>VLOOKUP($B1290,Week!$A$1:$C$1462,2,0)</f>
        <v>Week35</v>
      </c>
      <c r="F1290" s="216" t="str">
        <f t="shared" si="430"/>
        <v>Aug</v>
      </c>
      <c r="G1290" s="215" t="s">
        <v>1521</v>
      </c>
      <c r="H1290" s="215" t="s">
        <v>104</v>
      </c>
      <c r="I1290" s="215" t="s">
        <v>2772</v>
      </c>
      <c r="J1290" s="209" t="s">
        <v>105</v>
      </c>
      <c r="K1290" s="217" t="s">
        <v>107</v>
      </c>
      <c r="L1290" s="300" t="s">
        <v>2167</v>
      </c>
      <c r="M1290" s="209" t="s">
        <v>108</v>
      </c>
      <c r="N1290" s="215" t="s">
        <v>109</v>
      </c>
      <c r="O1290" s="215" t="s">
        <v>110</v>
      </c>
      <c r="P1290" s="218">
        <v>36</v>
      </c>
      <c r="Q1290" s="218">
        <v>5</v>
      </c>
      <c r="R1290" s="219">
        <v>7.4999999999999997E-3</v>
      </c>
      <c r="S1290" s="215" t="s">
        <v>111</v>
      </c>
      <c r="T1290" s="215" t="s">
        <v>112</v>
      </c>
      <c r="U1290" s="215" t="s">
        <v>113</v>
      </c>
      <c r="V1290" s="220">
        <v>58</v>
      </c>
      <c r="W1290" s="220"/>
      <c r="X1290" s="221">
        <v>58</v>
      </c>
      <c r="Y1290" s="222">
        <f t="shared" si="424"/>
        <v>0</v>
      </c>
      <c r="Z1290" s="223">
        <f t="shared" si="425"/>
        <v>0</v>
      </c>
      <c r="AA1290" s="223"/>
      <c r="AB1290" s="807"/>
      <c r="AC1290" s="220"/>
      <c r="AD1290" s="209"/>
      <c r="AE1290" s="210"/>
      <c r="AF1290" s="210"/>
      <c r="AG1290" s="211">
        <f t="shared" si="426"/>
        <v>0.308</v>
      </c>
      <c r="AH1290" s="157">
        <f t="shared" si="427"/>
        <v>0</v>
      </c>
      <c r="AI1290" s="152">
        <f t="shared" si="428"/>
        <v>2088</v>
      </c>
      <c r="AK1290" s="156" t="s">
        <v>691</v>
      </c>
      <c r="AL1290" s="574" t="s">
        <v>690</v>
      </c>
      <c r="AM1290" s="198">
        <f t="shared" si="423"/>
        <v>0</v>
      </c>
      <c r="AN1290" s="199">
        <f t="shared" si="431"/>
        <v>45530</v>
      </c>
      <c r="AO1290" s="159" t="s">
        <v>692</v>
      </c>
      <c r="AP1290" s="781"/>
      <c r="AQ1290" s="782">
        <v>12063755</v>
      </c>
      <c r="AR1290" s="782">
        <v>12061353</v>
      </c>
      <c r="AS1290" s="782">
        <v>12061354</v>
      </c>
      <c r="AT1290" s="782">
        <v>12068566</v>
      </c>
      <c r="AU1290" s="781"/>
      <c r="AV1290" s="782">
        <v>12088206</v>
      </c>
      <c r="AW1290" s="782">
        <v>12088207</v>
      </c>
      <c r="AX1290" s="782"/>
      <c r="AY1290" s="782">
        <v>12068565</v>
      </c>
      <c r="AZ1290" s="782"/>
      <c r="BA1290" s="781"/>
    </row>
    <row r="1291" spans="1:53" ht="25" hidden="1" customHeight="1">
      <c r="A1291" s="142" t="s">
        <v>120</v>
      </c>
      <c r="B1291" s="385">
        <v>45530</v>
      </c>
      <c r="C1291" s="386">
        <v>45552</v>
      </c>
      <c r="D1291" s="185">
        <f t="shared" si="429"/>
        <v>2024</v>
      </c>
      <c r="E1291" s="386" t="str">
        <f>VLOOKUP($B1291,Week!$A$1:$C$1462,2,0)</f>
        <v>Week35</v>
      </c>
      <c r="F1291" s="387" t="str">
        <f t="shared" si="430"/>
        <v>Aug</v>
      </c>
      <c r="G1291" s="388" t="s">
        <v>1121</v>
      </c>
      <c r="H1291" s="388" t="s">
        <v>500</v>
      </c>
      <c r="I1291" s="388" t="s">
        <v>2772</v>
      </c>
      <c r="J1291" s="389" t="s">
        <v>285</v>
      </c>
      <c r="K1291" s="390" t="s">
        <v>153</v>
      </c>
      <c r="L1291" s="390" t="s">
        <v>2166</v>
      </c>
      <c r="M1291" s="389" t="s">
        <v>165</v>
      </c>
      <c r="N1291" s="388" t="s">
        <v>286</v>
      </c>
      <c r="O1291" s="388" t="s">
        <v>503</v>
      </c>
      <c r="P1291" s="391">
        <v>40</v>
      </c>
      <c r="Q1291" s="391">
        <v>12</v>
      </c>
      <c r="R1291" s="392">
        <v>6.8100000000000001E-3</v>
      </c>
      <c r="S1291" s="388" t="s">
        <v>76</v>
      </c>
      <c r="T1291" s="388" t="s">
        <v>56</v>
      </c>
      <c r="U1291" s="388" t="s">
        <v>89</v>
      </c>
      <c r="V1291" s="393">
        <f>1624-130-528-513</f>
        <v>453</v>
      </c>
      <c r="W1291" s="393">
        <f>453</f>
        <v>453</v>
      </c>
      <c r="X1291" s="394">
        <f>(960)/40</f>
        <v>24</v>
      </c>
      <c r="Y1291" s="395">
        <f t="shared" si="424"/>
        <v>24</v>
      </c>
      <c r="Z1291" s="396">
        <f t="shared" si="425"/>
        <v>0</v>
      </c>
      <c r="AA1291" s="396">
        <f>Q1291*Z1291</f>
        <v>0</v>
      </c>
      <c r="AB1291" s="823">
        <v>2</v>
      </c>
      <c r="AC1291" s="393">
        <f>Z1291*AB1291</f>
        <v>0</v>
      </c>
      <c r="AD1291" s="209"/>
      <c r="AE1291" s="210"/>
      <c r="AF1291" s="210"/>
      <c r="AG1291" s="211">
        <f t="shared" si="426"/>
        <v>0.154</v>
      </c>
      <c r="AH1291" s="157">
        <f t="shared" si="427"/>
        <v>0</v>
      </c>
      <c r="AI1291" s="152">
        <f t="shared" si="428"/>
        <v>18120</v>
      </c>
      <c r="AK1291" s="156" t="s">
        <v>691</v>
      </c>
      <c r="AL1291" s="156" t="s">
        <v>689</v>
      </c>
      <c r="AM1291" s="198">
        <f t="shared" si="423"/>
        <v>0</v>
      </c>
      <c r="AN1291" s="199">
        <f t="shared" si="431"/>
        <v>45530</v>
      </c>
      <c r="AO1291" s="159" t="s">
        <v>692</v>
      </c>
      <c r="AP1291" s="783" t="s">
        <v>611</v>
      </c>
      <c r="AQ1291" s="782">
        <v>12028328</v>
      </c>
      <c r="AR1291" s="782">
        <v>12019692</v>
      </c>
      <c r="AS1291" s="781"/>
      <c r="AT1291" s="782">
        <v>12065371</v>
      </c>
      <c r="AU1291" s="782"/>
      <c r="AV1291" s="782">
        <v>12055895</v>
      </c>
      <c r="AW1291" s="782">
        <v>12034747</v>
      </c>
      <c r="AX1291" s="782" t="s">
        <v>398</v>
      </c>
      <c r="AY1291" s="781" t="s">
        <v>290</v>
      </c>
      <c r="AZ1291" s="781"/>
      <c r="BA1291" s="781"/>
    </row>
    <row r="1292" spans="1:53" ht="25" hidden="1" customHeight="1">
      <c r="B1292" s="213">
        <v>45531</v>
      </c>
      <c r="C1292" s="578">
        <v>45537</v>
      </c>
      <c r="D1292" s="185">
        <f t="shared" si="429"/>
        <v>2024</v>
      </c>
      <c r="E1292" s="215" t="str">
        <f>VLOOKUP($B1292,Week!$A$1:$C$1462,2,0)</f>
        <v>Week35</v>
      </c>
      <c r="F1292" s="216" t="str">
        <f t="shared" si="430"/>
        <v>Aug</v>
      </c>
      <c r="G1292" s="215" t="s">
        <v>1521</v>
      </c>
      <c r="H1292" s="215" t="s">
        <v>104</v>
      </c>
      <c r="I1292" s="215" t="s">
        <v>2772</v>
      </c>
      <c r="J1292" s="209" t="s">
        <v>105</v>
      </c>
      <c r="K1292" s="217" t="s">
        <v>107</v>
      </c>
      <c r="L1292" s="300" t="s">
        <v>2167</v>
      </c>
      <c r="M1292" s="209" t="s">
        <v>108</v>
      </c>
      <c r="N1292" s="215" t="s">
        <v>109</v>
      </c>
      <c r="O1292" s="215" t="s">
        <v>110</v>
      </c>
      <c r="P1292" s="218">
        <v>36</v>
      </c>
      <c r="Q1292" s="218">
        <v>5</v>
      </c>
      <c r="R1292" s="219">
        <v>7.4999999999999997E-3</v>
      </c>
      <c r="S1292" s="215" t="s">
        <v>111</v>
      </c>
      <c r="T1292" s="215" t="s">
        <v>112</v>
      </c>
      <c r="U1292" s="215" t="s">
        <v>113</v>
      </c>
      <c r="V1292" s="220">
        <f>792-58</f>
        <v>734</v>
      </c>
      <c r="W1292" s="220">
        <f>734</f>
        <v>734</v>
      </c>
      <c r="X1292" s="221"/>
      <c r="Y1292" s="222">
        <f t="shared" si="424"/>
        <v>0</v>
      </c>
      <c r="Z1292" s="223">
        <f t="shared" si="425"/>
        <v>0</v>
      </c>
      <c r="AA1292" s="223"/>
      <c r="AB1292" s="807"/>
      <c r="AC1292" s="220"/>
      <c r="AD1292" s="209"/>
      <c r="AE1292" s="210"/>
      <c r="AF1292" s="210"/>
      <c r="AG1292" s="211">
        <f t="shared" si="426"/>
        <v>0.308</v>
      </c>
      <c r="AH1292" s="157">
        <f t="shared" si="427"/>
        <v>0</v>
      </c>
      <c r="AI1292" s="152">
        <f t="shared" si="428"/>
        <v>26424</v>
      </c>
      <c r="AK1292" s="156" t="s">
        <v>691</v>
      </c>
      <c r="AL1292" s="574" t="s">
        <v>690</v>
      </c>
      <c r="AM1292" s="198">
        <f t="shared" si="423"/>
        <v>0</v>
      </c>
      <c r="AN1292" s="199">
        <f t="shared" si="431"/>
        <v>45531</v>
      </c>
      <c r="AO1292" s="159" t="s">
        <v>692</v>
      </c>
      <c r="AP1292" s="781"/>
      <c r="AQ1292" s="782">
        <v>12063755</v>
      </c>
      <c r="AR1292" s="782">
        <v>12061353</v>
      </c>
      <c r="AS1292" s="782">
        <v>12061354</v>
      </c>
      <c r="AT1292" s="782">
        <v>12068566</v>
      </c>
      <c r="AU1292" s="781"/>
      <c r="AV1292" s="782">
        <v>12088206</v>
      </c>
      <c r="AW1292" s="782">
        <v>12088207</v>
      </c>
      <c r="AX1292" s="782"/>
      <c r="AY1292" s="782">
        <v>12068565</v>
      </c>
      <c r="AZ1292" s="782"/>
      <c r="BA1292" s="781"/>
    </row>
    <row r="1293" spans="1:53" ht="25" hidden="1" customHeight="1">
      <c r="B1293" s="213">
        <v>45531</v>
      </c>
      <c r="C1293" s="578">
        <v>45541</v>
      </c>
      <c r="D1293" s="185">
        <f t="shared" si="429"/>
        <v>2024</v>
      </c>
      <c r="E1293" s="215" t="str">
        <f>VLOOKUP($B1293,Week!$A$1:$C$1462,2,0)</f>
        <v>Week35</v>
      </c>
      <c r="F1293" s="216" t="str">
        <f t="shared" si="430"/>
        <v>Aug</v>
      </c>
      <c r="G1293" s="215" t="s">
        <v>1522</v>
      </c>
      <c r="H1293" s="215" t="s">
        <v>104</v>
      </c>
      <c r="I1293" s="215" t="s">
        <v>2772</v>
      </c>
      <c r="J1293" s="209" t="s">
        <v>105</v>
      </c>
      <c r="K1293" s="217" t="s">
        <v>107</v>
      </c>
      <c r="L1293" s="300" t="s">
        <v>2167</v>
      </c>
      <c r="M1293" s="209" t="s">
        <v>108</v>
      </c>
      <c r="N1293" s="215" t="s">
        <v>109</v>
      </c>
      <c r="O1293" s="215" t="s">
        <v>110</v>
      </c>
      <c r="P1293" s="218">
        <v>36</v>
      </c>
      <c r="Q1293" s="218">
        <v>5</v>
      </c>
      <c r="R1293" s="219">
        <v>7.4999999999999997E-3</v>
      </c>
      <c r="S1293" s="215" t="s">
        <v>111</v>
      </c>
      <c r="T1293" s="215" t="s">
        <v>112</v>
      </c>
      <c r="U1293" s="215" t="s">
        <v>113</v>
      </c>
      <c r="V1293" s="220">
        <v>792</v>
      </c>
      <c r="W1293" s="220">
        <f>632</f>
        <v>632</v>
      </c>
      <c r="X1293" s="221">
        <f>160</f>
        <v>160</v>
      </c>
      <c r="Y1293" s="222">
        <f t="shared" si="424"/>
        <v>0</v>
      </c>
      <c r="Z1293" s="223">
        <f t="shared" si="425"/>
        <v>0</v>
      </c>
      <c r="AA1293" s="223"/>
      <c r="AB1293" s="807"/>
      <c r="AC1293" s="220"/>
      <c r="AD1293" s="209"/>
      <c r="AE1293" s="210"/>
      <c r="AF1293" s="210"/>
      <c r="AG1293" s="211">
        <f t="shared" si="426"/>
        <v>0.308</v>
      </c>
      <c r="AH1293" s="157">
        <f t="shared" si="427"/>
        <v>0</v>
      </c>
      <c r="AI1293" s="152">
        <f t="shared" si="428"/>
        <v>28512</v>
      </c>
      <c r="AK1293" s="156" t="s">
        <v>691</v>
      </c>
      <c r="AL1293" s="574" t="s">
        <v>690</v>
      </c>
      <c r="AM1293" s="198">
        <f t="shared" si="423"/>
        <v>0</v>
      </c>
      <c r="AN1293" s="199">
        <f t="shared" si="431"/>
        <v>45531</v>
      </c>
      <c r="AO1293" s="159" t="s">
        <v>692</v>
      </c>
      <c r="AP1293" s="781"/>
      <c r="AQ1293" s="782">
        <v>12063755</v>
      </c>
      <c r="AR1293" s="782">
        <v>12061353</v>
      </c>
      <c r="AS1293" s="782">
        <v>12061354</v>
      </c>
      <c r="AT1293" s="782">
        <v>12068566</v>
      </c>
      <c r="AU1293" s="781"/>
      <c r="AV1293" s="782">
        <v>12088206</v>
      </c>
      <c r="AW1293" s="782">
        <v>12088207</v>
      </c>
      <c r="AX1293" s="782"/>
      <c r="AY1293" s="782">
        <v>12068565</v>
      </c>
      <c r="AZ1293" s="782"/>
      <c r="BA1293" s="781"/>
    </row>
    <row r="1294" spans="1:53" ht="25" hidden="1" customHeight="1">
      <c r="B1294" s="213">
        <v>45531</v>
      </c>
      <c r="C1294" s="578">
        <v>45541</v>
      </c>
      <c r="D1294" s="185">
        <f t="shared" si="429"/>
        <v>2024</v>
      </c>
      <c r="E1294" s="215" t="str">
        <f>VLOOKUP($B1294,Week!$A$1:$C$1462,2,0)</f>
        <v>Week35</v>
      </c>
      <c r="F1294" s="216" t="str">
        <f t="shared" si="430"/>
        <v>Aug</v>
      </c>
      <c r="G1294" s="215" t="s">
        <v>1523</v>
      </c>
      <c r="H1294" s="215" t="s">
        <v>104</v>
      </c>
      <c r="I1294" s="215" t="s">
        <v>2772</v>
      </c>
      <c r="J1294" s="209" t="s">
        <v>105</v>
      </c>
      <c r="K1294" s="217" t="s">
        <v>107</v>
      </c>
      <c r="L1294" s="300" t="s">
        <v>2167</v>
      </c>
      <c r="M1294" s="209" t="s">
        <v>108</v>
      </c>
      <c r="N1294" s="215" t="s">
        <v>109</v>
      </c>
      <c r="O1294" s="215" t="s">
        <v>110</v>
      </c>
      <c r="P1294" s="218">
        <v>36</v>
      </c>
      <c r="Q1294" s="218">
        <v>5</v>
      </c>
      <c r="R1294" s="219">
        <v>7.4999999999999997E-3</v>
      </c>
      <c r="S1294" s="215" t="s">
        <v>111</v>
      </c>
      <c r="T1294" s="215" t="s">
        <v>112</v>
      </c>
      <c r="U1294" s="215" t="s">
        <v>113</v>
      </c>
      <c r="V1294" s="220">
        <v>792</v>
      </c>
      <c r="W1294" s="220">
        <v>792</v>
      </c>
      <c r="X1294" s="221"/>
      <c r="Y1294" s="222">
        <f t="shared" si="424"/>
        <v>0</v>
      </c>
      <c r="Z1294" s="223">
        <f t="shared" si="425"/>
        <v>0</v>
      </c>
      <c r="AA1294" s="223"/>
      <c r="AB1294" s="807"/>
      <c r="AC1294" s="220"/>
      <c r="AD1294" s="209"/>
      <c r="AE1294" s="210"/>
      <c r="AF1294" s="210"/>
      <c r="AG1294" s="211">
        <f t="shared" si="426"/>
        <v>0.308</v>
      </c>
      <c r="AH1294" s="157">
        <f t="shared" si="427"/>
        <v>0</v>
      </c>
      <c r="AI1294" s="152">
        <f t="shared" si="428"/>
        <v>28512</v>
      </c>
      <c r="AK1294" s="156" t="s">
        <v>691</v>
      </c>
      <c r="AL1294" s="574" t="s">
        <v>690</v>
      </c>
      <c r="AM1294" s="198">
        <f t="shared" si="423"/>
        <v>0</v>
      </c>
      <c r="AN1294" s="199">
        <f t="shared" si="431"/>
        <v>45531</v>
      </c>
      <c r="AO1294" s="159" t="s">
        <v>692</v>
      </c>
      <c r="AP1294" s="781"/>
      <c r="AQ1294" s="782">
        <v>12063755</v>
      </c>
      <c r="AR1294" s="782">
        <v>12061353</v>
      </c>
      <c r="AS1294" s="782">
        <v>12061354</v>
      </c>
      <c r="AT1294" s="782">
        <v>12068566</v>
      </c>
      <c r="AU1294" s="781"/>
      <c r="AV1294" s="782">
        <v>12088206</v>
      </c>
      <c r="AW1294" s="782">
        <v>12088207</v>
      </c>
      <c r="AX1294" s="782"/>
      <c r="AY1294" s="782">
        <v>12068565</v>
      </c>
      <c r="AZ1294" s="782"/>
      <c r="BA1294" s="781"/>
    </row>
    <row r="1295" spans="1:53" ht="25" hidden="1" customHeight="1">
      <c r="B1295" s="213">
        <v>45531</v>
      </c>
      <c r="C1295" s="578">
        <v>45541</v>
      </c>
      <c r="D1295" s="185">
        <f t="shared" si="429"/>
        <v>2024</v>
      </c>
      <c r="E1295" s="215" t="str">
        <f>VLOOKUP($B1295,Week!$A$1:$C$1462,2,0)</f>
        <v>Week35</v>
      </c>
      <c r="F1295" s="216" t="str">
        <f t="shared" si="430"/>
        <v>Aug</v>
      </c>
      <c r="G1295" s="215" t="s">
        <v>1524</v>
      </c>
      <c r="H1295" s="215" t="s">
        <v>104</v>
      </c>
      <c r="I1295" s="215" t="s">
        <v>2772</v>
      </c>
      <c r="J1295" s="209" t="s">
        <v>105</v>
      </c>
      <c r="K1295" s="217" t="s">
        <v>107</v>
      </c>
      <c r="L1295" s="300" t="s">
        <v>2167</v>
      </c>
      <c r="M1295" s="209" t="s">
        <v>108</v>
      </c>
      <c r="N1295" s="215" t="s">
        <v>109</v>
      </c>
      <c r="O1295" s="215" t="s">
        <v>110</v>
      </c>
      <c r="P1295" s="218">
        <v>36</v>
      </c>
      <c r="Q1295" s="218">
        <v>5</v>
      </c>
      <c r="R1295" s="219">
        <v>7.4999999999999997E-3</v>
      </c>
      <c r="S1295" s="215" t="s">
        <v>111</v>
      </c>
      <c r="T1295" s="215" t="s">
        <v>112</v>
      </c>
      <c r="U1295" s="215" t="s">
        <v>113</v>
      </c>
      <c r="V1295" s="220">
        <v>792</v>
      </c>
      <c r="W1295" s="220">
        <v>632</v>
      </c>
      <c r="X1295" s="221">
        <f>160</f>
        <v>160</v>
      </c>
      <c r="Y1295" s="222">
        <f t="shared" si="424"/>
        <v>0</v>
      </c>
      <c r="Z1295" s="223">
        <f t="shared" si="425"/>
        <v>0</v>
      </c>
      <c r="AA1295" s="223"/>
      <c r="AB1295" s="807"/>
      <c r="AC1295" s="220"/>
      <c r="AD1295" s="209"/>
      <c r="AE1295" s="210"/>
      <c r="AF1295" s="210"/>
      <c r="AG1295" s="211">
        <f t="shared" si="426"/>
        <v>0.308</v>
      </c>
      <c r="AH1295" s="157">
        <f t="shared" si="427"/>
        <v>0</v>
      </c>
      <c r="AI1295" s="152">
        <f t="shared" si="428"/>
        <v>28512</v>
      </c>
      <c r="AK1295" s="156" t="s">
        <v>691</v>
      </c>
      <c r="AL1295" s="574" t="s">
        <v>690</v>
      </c>
      <c r="AM1295" s="198">
        <f t="shared" si="423"/>
        <v>0</v>
      </c>
      <c r="AN1295" s="199">
        <f t="shared" si="431"/>
        <v>45531</v>
      </c>
      <c r="AO1295" s="159" t="s">
        <v>692</v>
      </c>
      <c r="AP1295" s="781"/>
      <c r="AQ1295" s="782">
        <v>12063755</v>
      </c>
      <c r="AR1295" s="782">
        <v>12061353</v>
      </c>
      <c r="AS1295" s="782">
        <v>12061354</v>
      </c>
      <c r="AT1295" s="782">
        <v>12068566</v>
      </c>
      <c r="AU1295" s="781"/>
      <c r="AV1295" s="782">
        <v>12088206</v>
      </c>
      <c r="AW1295" s="782">
        <v>12088207</v>
      </c>
      <c r="AX1295" s="782"/>
      <c r="AY1295" s="782">
        <v>12068565</v>
      </c>
      <c r="AZ1295" s="782"/>
      <c r="BA1295" s="781"/>
    </row>
    <row r="1296" spans="1:53" ht="25" hidden="1" customHeight="1">
      <c r="B1296" s="213">
        <v>45531</v>
      </c>
      <c r="C1296" s="578">
        <v>45541</v>
      </c>
      <c r="D1296" s="185">
        <f t="shared" si="429"/>
        <v>2024</v>
      </c>
      <c r="E1296" s="215" t="str">
        <f>VLOOKUP($B1296,Week!$A$1:$C$1462,2,0)</f>
        <v>Week35</v>
      </c>
      <c r="F1296" s="216" t="str">
        <f t="shared" si="430"/>
        <v>Aug</v>
      </c>
      <c r="G1296" s="215" t="s">
        <v>1525</v>
      </c>
      <c r="H1296" s="215" t="s">
        <v>104</v>
      </c>
      <c r="I1296" s="215" t="s">
        <v>2772</v>
      </c>
      <c r="J1296" s="209" t="s">
        <v>105</v>
      </c>
      <c r="K1296" s="217" t="s">
        <v>107</v>
      </c>
      <c r="L1296" s="300" t="s">
        <v>2167</v>
      </c>
      <c r="M1296" s="209" t="s">
        <v>108</v>
      </c>
      <c r="N1296" s="215" t="s">
        <v>109</v>
      </c>
      <c r="O1296" s="215" t="s">
        <v>110</v>
      </c>
      <c r="P1296" s="218">
        <v>36</v>
      </c>
      <c r="Q1296" s="218">
        <v>5</v>
      </c>
      <c r="R1296" s="219">
        <v>7.4999999999999997E-3</v>
      </c>
      <c r="S1296" s="215" t="s">
        <v>111</v>
      </c>
      <c r="T1296" s="215" t="s">
        <v>112</v>
      </c>
      <c r="U1296" s="215" t="s">
        <v>113</v>
      </c>
      <c r="V1296" s="220">
        <v>792</v>
      </c>
      <c r="W1296" s="220">
        <v>792</v>
      </c>
      <c r="X1296" s="221"/>
      <c r="Y1296" s="222">
        <f t="shared" si="424"/>
        <v>0</v>
      </c>
      <c r="Z1296" s="223">
        <f t="shared" si="425"/>
        <v>0</v>
      </c>
      <c r="AA1296" s="223"/>
      <c r="AB1296" s="807"/>
      <c r="AC1296" s="220"/>
      <c r="AD1296" s="209"/>
      <c r="AE1296" s="210"/>
      <c r="AF1296" s="210"/>
      <c r="AG1296" s="211">
        <f t="shared" si="426"/>
        <v>0.308</v>
      </c>
      <c r="AH1296" s="157">
        <f t="shared" si="427"/>
        <v>0</v>
      </c>
      <c r="AI1296" s="152">
        <f t="shared" si="428"/>
        <v>28512</v>
      </c>
      <c r="AK1296" s="156" t="s">
        <v>691</v>
      </c>
      <c r="AL1296" s="574" t="s">
        <v>690</v>
      </c>
      <c r="AM1296" s="198">
        <f t="shared" si="423"/>
        <v>0</v>
      </c>
      <c r="AN1296" s="199">
        <f t="shared" si="431"/>
        <v>45531</v>
      </c>
      <c r="AO1296" s="159" t="s">
        <v>692</v>
      </c>
      <c r="AP1296" s="781"/>
      <c r="AQ1296" s="782">
        <v>12063755</v>
      </c>
      <c r="AR1296" s="782">
        <v>12061353</v>
      </c>
      <c r="AS1296" s="782">
        <v>12061354</v>
      </c>
      <c r="AT1296" s="782">
        <v>12068566</v>
      </c>
      <c r="AU1296" s="781"/>
      <c r="AV1296" s="782">
        <v>12088206</v>
      </c>
      <c r="AW1296" s="782">
        <v>12088207</v>
      </c>
      <c r="AX1296" s="782"/>
      <c r="AY1296" s="782">
        <v>12068565</v>
      </c>
      <c r="AZ1296" s="782"/>
      <c r="BA1296" s="781"/>
    </row>
    <row r="1297" spans="1:53" ht="25" hidden="1" customHeight="1">
      <c r="B1297" s="213">
        <v>45531</v>
      </c>
      <c r="C1297" s="578">
        <v>45542</v>
      </c>
      <c r="D1297" s="185">
        <f t="shared" si="429"/>
        <v>2024</v>
      </c>
      <c r="E1297" s="215" t="str">
        <f>VLOOKUP($B1297,Week!$A$1:$C$1462,2,0)</f>
        <v>Week35</v>
      </c>
      <c r="F1297" s="216" t="str">
        <f t="shared" si="430"/>
        <v>Aug</v>
      </c>
      <c r="G1297" s="215" t="s">
        <v>1526</v>
      </c>
      <c r="H1297" s="215" t="s">
        <v>104</v>
      </c>
      <c r="I1297" s="215" t="s">
        <v>2772</v>
      </c>
      <c r="J1297" s="209" t="s">
        <v>105</v>
      </c>
      <c r="K1297" s="217" t="s">
        <v>107</v>
      </c>
      <c r="L1297" s="300" t="s">
        <v>2167</v>
      </c>
      <c r="M1297" s="209" t="s">
        <v>108</v>
      </c>
      <c r="N1297" s="215" t="s">
        <v>109</v>
      </c>
      <c r="O1297" s="215" t="s">
        <v>110</v>
      </c>
      <c r="P1297" s="218">
        <v>36</v>
      </c>
      <c r="Q1297" s="218">
        <v>5</v>
      </c>
      <c r="R1297" s="219">
        <v>7.4999999999999997E-3</v>
      </c>
      <c r="S1297" s="215" t="s">
        <v>111</v>
      </c>
      <c r="T1297" s="215" t="s">
        <v>112</v>
      </c>
      <c r="U1297" s="215" t="s">
        <v>113</v>
      </c>
      <c r="V1297" s="220">
        <f>616</f>
        <v>616</v>
      </c>
      <c r="W1297" s="220">
        <f>4038-734-632-792-632-792</f>
        <v>456</v>
      </c>
      <c r="X1297" s="221">
        <f>160</f>
        <v>160</v>
      </c>
      <c r="Y1297" s="222">
        <f t="shared" si="424"/>
        <v>0</v>
      </c>
      <c r="Z1297" s="223">
        <f t="shared" si="425"/>
        <v>0</v>
      </c>
      <c r="AA1297" s="223"/>
      <c r="AB1297" s="807"/>
      <c r="AC1297" s="220"/>
      <c r="AD1297" s="209"/>
      <c r="AE1297" s="210"/>
      <c r="AF1297" s="210"/>
      <c r="AG1297" s="211">
        <f t="shared" si="426"/>
        <v>0.308</v>
      </c>
      <c r="AH1297" s="157">
        <f t="shared" si="427"/>
        <v>0</v>
      </c>
      <c r="AI1297" s="152">
        <f t="shared" si="428"/>
        <v>22176</v>
      </c>
      <c r="AK1297" s="156" t="s">
        <v>691</v>
      </c>
      <c r="AL1297" s="574" t="s">
        <v>690</v>
      </c>
      <c r="AM1297" s="198">
        <f t="shared" si="423"/>
        <v>0</v>
      </c>
      <c r="AN1297" s="199">
        <f t="shared" si="431"/>
        <v>45531</v>
      </c>
      <c r="AO1297" s="159" t="s">
        <v>692</v>
      </c>
      <c r="AP1297" s="781"/>
      <c r="AQ1297" s="782">
        <v>12063755</v>
      </c>
      <c r="AR1297" s="782">
        <v>12061353</v>
      </c>
      <c r="AS1297" s="782">
        <v>12061354</v>
      </c>
      <c r="AT1297" s="782">
        <v>12068566</v>
      </c>
      <c r="AU1297" s="781"/>
      <c r="AV1297" s="782">
        <v>12088206</v>
      </c>
      <c r="AW1297" s="782">
        <v>12088207</v>
      </c>
      <c r="AX1297" s="782"/>
      <c r="AY1297" s="782">
        <v>12068565</v>
      </c>
      <c r="AZ1297" s="782"/>
      <c r="BA1297" s="781"/>
    </row>
    <row r="1298" spans="1:53" ht="24.65" hidden="1" customHeight="1">
      <c r="A1298" s="142" t="s">
        <v>120</v>
      </c>
      <c r="B1298" s="383">
        <v>45531</v>
      </c>
      <c r="C1298" s="224">
        <v>45558</v>
      </c>
      <c r="D1298" s="185">
        <f t="shared" si="429"/>
        <v>2024</v>
      </c>
      <c r="E1298" s="224" t="str">
        <f>VLOOKUP($B1298,Week!$A$1:$C$1462,2,0)</f>
        <v>Week35</v>
      </c>
      <c r="F1298" s="226" t="str">
        <f t="shared" si="430"/>
        <v>Aug</v>
      </c>
      <c r="G1298" s="225" t="s">
        <v>1693</v>
      </c>
      <c r="H1298" s="225" t="s">
        <v>1259</v>
      </c>
      <c r="I1298" s="225" t="s">
        <v>2772</v>
      </c>
      <c r="J1298" s="227" t="s">
        <v>512</v>
      </c>
      <c r="K1298" s="228" t="s">
        <v>85</v>
      </c>
      <c r="L1298" s="390" t="s">
        <v>2166</v>
      </c>
      <c r="M1298" s="227" t="s">
        <v>165</v>
      </c>
      <c r="N1298" s="225" t="s">
        <v>700</v>
      </c>
      <c r="O1298" s="225" t="s">
        <v>287</v>
      </c>
      <c r="P1298" s="229">
        <v>40</v>
      </c>
      <c r="Q1298" s="229">
        <v>12</v>
      </c>
      <c r="R1298" s="230">
        <v>8.1300000000000001E-3</v>
      </c>
      <c r="S1298" s="225" t="s">
        <v>40</v>
      </c>
      <c r="T1298" s="225" t="s">
        <v>112</v>
      </c>
      <c r="U1298" s="225" t="s">
        <v>89</v>
      </c>
      <c r="V1298" s="231">
        <v>533</v>
      </c>
      <c r="W1298" s="231">
        <f>533</f>
        <v>533</v>
      </c>
      <c r="X1298" s="232"/>
      <c r="Y1298" s="233">
        <f t="shared" si="424"/>
        <v>0</v>
      </c>
      <c r="Z1298" s="234">
        <f t="shared" si="425"/>
        <v>0</v>
      </c>
      <c r="AA1298" s="234">
        <f>Q1298*Z1298</f>
        <v>0</v>
      </c>
      <c r="AB1298" s="822">
        <v>2</v>
      </c>
      <c r="AC1298" s="231">
        <f>Z1298*AB1298</f>
        <v>0</v>
      </c>
      <c r="AD1298" s="307" t="s">
        <v>729</v>
      </c>
      <c r="AE1298" s="210"/>
      <c r="AF1298" s="210"/>
      <c r="AG1298" s="211">
        <f t="shared" si="426"/>
        <v>0.154</v>
      </c>
      <c r="AH1298" s="157">
        <f t="shared" si="427"/>
        <v>0</v>
      </c>
      <c r="AI1298" s="152">
        <f t="shared" si="428"/>
        <v>21320</v>
      </c>
      <c r="AK1298" s="156" t="s">
        <v>691</v>
      </c>
      <c r="AL1298" s="156" t="s">
        <v>689</v>
      </c>
      <c r="AM1298" s="198">
        <f t="shared" si="423"/>
        <v>0</v>
      </c>
      <c r="AN1298" s="199">
        <f t="shared" si="431"/>
        <v>45531</v>
      </c>
      <c r="AO1298" s="159" t="s">
        <v>692</v>
      </c>
      <c r="AP1298" s="781"/>
      <c r="AQ1298" s="782">
        <v>12028328</v>
      </c>
      <c r="AR1298" s="782">
        <v>12019692</v>
      </c>
      <c r="AS1298" s="782"/>
      <c r="AT1298" s="782">
        <v>12056457</v>
      </c>
      <c r="AU1298" s="782"/>
      <c r="AV1298" s="782">
        <v>12056565</v>
      </c>
      <c r="AW1298" s="782">
        <v>12034747</v>
      </c>
      <c r="AX1298" s="782" t="s">
        <v>398</v>
      </c>
      <c r="AY1298" s="782" t="s">
        <v>513</v>
      </c>
      <c r="AZ1298" s="782"/>
      <c r="BA1298" s="781"/>
    </row>
    <row r="1299" spans="1:53" ht="25" hidden="1" customHeight="1">
      <c r="B1299" s="619">
        <v>45532</v>
      </c>
      <c r="C1299" s="466">
        <v>45535</v>
      </c>
      <c r="D1299" s="185">
        <f t="shared" si="429"/>
        <v>2024</v>
      </c>
      <c r="E1299" s="467" t="str">
        <f>VLOOKUP($B1299,Week!$A$1:$C$1462,2,0)</f>
        <v>Week35</v>
      </c>
      <c r="F1299" s="469" t="str">
        <f t="shared" si="430"/>
        <v>Aug</v>
      </c>
      <c r="G1299" s="468" t="s">
        <v>1485</v>
      </c>
      <c r="H1299" s="468" t="s">
        <v>225</v>
      </c>
      <c r="I1299" s="468" t="s">
        <v>2773</v>
      </c>
      <c r="J1299" s="471" t="s">
        <v>335</v>
      </c>
      <c r="K1299" s="472" t="s">
        <v>1643</v>
      </c>
      <c r="L1299" s="300" t="s">
        <v>2167</v>
      </c>
      <c r="M1299" s="471" t="s">
        <v>336</v>
      </c>
      <c r="N1299" s="468" t="s">
        <v>748</v>
      </c>
      <c r="O1299" s="468" t="s">
        <v>743</v>
      </c>
      <c r="P1299" s="473">
        <v>36</v>
      </c>
      <c r="Q1299" s="473">
        <v>5</v>
      </c>
      <c r="R1299" s="474">
        <v>7.4999999999999997E-3</v>
      </c>
      <c r="S1299" s="468" t="s">
        <v>40</v>
      </c>
      <c r="T1299" s="468" t="s">
        <v>112</v>
      </c>
      <c r="U1299" s="620" t="s">
        <v>721</v>
      </c>
      <c r="V1299" s="475">
        <f>1288-690</f>
        <v>598</v>
      </c>
      <c r="W1299" s="475">
        <v>598</v>
      </c>
      <c r="X1299" s="476"/>
      <c r="Y1299" s="477">
        <f t="shared" si="424"/>
        <v>0</v>
      </c>
      <c r="Z1299" s="478">
        <f t="shared" si="425"/>
        <v>0</v>
      </c>
      <c r="AA1299" s="478"/>
      <c r="AB1299" s="828"/>
      <c r="AC1299" s="475"/>
      <c r="AD1299" s="515"/>
      <c r="AE1299" s="210"/>
      <c r="AF1299" s="210"/>
      <c r="AG1299" s="211">
        <f t="shared" si="426"/>
        <v>0.14699999999999999</v>
      </c>
      <c r="AH1299" s="157">
        <f t="shared" si="427"/>
        <v>0</v>
      </c>
      <c r="AI1299" s="152">
        <f t="shared" si="428"/>
        <v>21528</v>
      </c>
      <c r="AK1299" s="156" t="s">
        <v>691</v>
      </c>
      <c r="AL1299" s="574" t="s">
        <v>690</v>
      </c>
      <c r="AM1299" s="198">
        <f t="shared" si="423"/>
        <v>0</v>
      </c>
      <c r="AN1299" s="199">
        <f t="shared" si="431"/>
        <v>45532</v>
      </c>
      <c r="AO1299" s="159" t="s">
        <v>692</v>
      </c>
      <c r="AP1299" s="783" t="s">
        <v>639</v>
      </c>
      <c r="AQ1299" s="782">
        <v>12071839</v>
      </c>
      <c r="AR1299" s="782">
        <v>12047514</v>
      </c>
      <c r="AS1299" s="782">
        <v>12047515</v>
      </c>
      <c r="AT1299" s="782">
        <v>12089769</v>
      </c>
      <c r="AU1299" s="781"/>
      <c r="AV1299" s="782">
        <v>12089766</v>
      </c>
      <c r="AW1299" s="782">
        <v>12024404</v>
      </c>
      <c r="AX1299" s="781"/>
      <c r="AY1299" s="782">
        <v>12089770</v>
      </c>
      <c r="AZ1299" s="781"/>
      <c r="BA1299" s="781"/>
    </row>
    <row r="1300" spans="1:53" ht="25" hidden="1" customHeight="1">
      <c r="B1300" s="619">
        <v>45532</v>
      </c>
      <c r="C1300" s="466">
        <v>45547</v>
      </c>
      <c r="D1300" s="185">
        <f t="shared" si="429"/>
        <v>2024</v>
      </c>
      <c r="E1300" s="467" t="str">
        <f>VLOOKUP($B1300,Week!$A$1:$C$1462,2,0)</f>
        <v>Week35</v>
      </c>
      <c r="F1300" s="469" t="str">
        <f t="shared" si="430"/>
        <v>Aug</v>
      </c>
      <c r="G1300" s="468" t="s">
        <v>1486</v>
      </c>
      <c r="H1300" s="468" t="s">
        <v>225</v>
      </c>
      <c r="I1300" s="468" t="s">
        <v>2773</v>
      </c>
      <c r="J1300" s="471" t="s">
        <v>335</v>
      </c>
      <c r="K1300" s="472" t="s">
        <v>1643</v>
      </c>
      <c r="L1300" s="300" t="s">
        <v>2167</v>
      </c>
      <c r="M1300" s="471" t="s">
        <v>336</v>
      </c>
      <c r="N1300" s="468" t="s">
        <v>748</v>
      </c>
      <c r="O1300" s="468" t="s">
        <v>743</v>
      </c>
      <c r="P1300" s="473">
        <v>36</v>
      </c>
      <c r="Q1300" s="473">
        <v>5</v>
      </c>
      <c r="R1300" s="474">
        <v>7.4999999999999997E-3</v>
      </c>
      <c r="S1300" s="468" t="s">
        <v>40</v>
      </c>
      <c r="T1300" s="468" t="s">
        <v>112</v>
      </c>
      <c r="U1300" s="620" t="s">
        <v>721</v>
      </c>
      <c r="V1300" s="475">
        <v>1288</v>
      </c>
      <c r="W1300" s="475">
        <v>1288</v>
      </c>
      <c r="X1300" s="476"/>
      <c r="Y1300" s="477">
        <f t="shared" si="424"/>
        <v>0</v>
      </c>
      <c r="Z1300" s="478">
        <f t="shared" si="425"/>
        <v>0</v>
      </c>
      <c r="AA1300" s="478"/>
      <c r="AB1300" s="828"/>
      <c r="AC1300" s="475"/>
      <c r="AD1300" s="515"/>
      <c r="AE1300" s="210"/>
      <c r="AF1300" s="210"/>
      <c r="AG1300" s="211">
        <f t="shared" si="426"/>
        <v>0.14699999999999999</v>
      </c>
      <c r="AH1300" s="157">
        <f t="shared" si="427"/>
        <v>0</v>
      </c>
      <c r="AI1300" s="152">
        <f t="shared" si="428"/>
        <v>46368</v>
      </c>
      <c r="AK1300" s="156" t="s">
        <v>691</v>
      </c>
      <c r="AL1300" s="574" t="s">
        <v>690</v>
      </c>
      <c r="AM1300" s="198">
        <f t="shared" si="423"/>
        <v>0</v>
      </c>
      <c r="AN1300" s="199">
        <f t="shared" si="431"/>
        <v>45532</v>
      </c>
      <c r="AO1300" s="159" t="s">
        <v>692</v>
      </c>
      <c r="AP1300" s="783" t="s">
        <v>639</v>
      </c>
      <c r="AQ1300" s="782">
        <v>12071839</v>
      </c>
      <c r="AR1300" s="782">
        <v>12047514</v>
      </c>
      <c r="AS1300" s="782">
        <v>12047515</v>
      </c>
      <c r="AT1300" s="782">
        <v>12089769</v>
      </c>
      <c r="AU1300" s="781"/>
      <c r="AV1300" s="782">
        <v>12089766</v>
      </c>
      <c r="AW1300" s="782">
        <v>12024404</v>
      </c>
      <c r="AX1300" s="781"/>
      <c r="AY1300" s="782">
        <v>12089770</v>
      </c>
      <c r="AZ1300" s="781"/>
      <c r="BA1300" s="781"/>
    </row>
    <row r="1301" spans="1:53" ht="25" hidden="1" customHeight="1">
      <c r="B1301" s="619">
        <v>45532</v>
      </c>
      <c r="C1301" s="466">
        <v>45547</v>
      </c>
      <c r="D1301" s="185">
        <f t="shared" si="429"/>
        <v>2024</v>
      </c>
      <c r="E1301" s="467" t="str">
        <f>VLOOKUP($B1301,Week!$A$1:$C$1462,2,0)</f>
        <v>Week35</v>
      </c>
      <c r="F1301" s="469" t="str">
        <f t="shared" si="430"/>
        <v>Aug</v>
      </c>
      <c r="G1301" s="468" t="s">
        <v>1465</v>
      </c>
      <c r="H1301" s="468" t="s">
        <v>225</v>
      </c>
      <c r="I1301" s="468" t="s">
        <v>2773</v>
      </c>
      <c r="J1301" s="471" t="s">
        <v>335</v>
      </c>
      <c r="K1301" s="472" t="s">
        <v>1643</v>
      </c>
      <c r="L1301" s="300" t="s">
        <v>2167</v>
      </c>
      <c r="M1301" s="471" t="s">
        <v>336</v>
      </c>
      <c r="N1301" s="468" t="s">
        <v>748</v>
      </c>
      <c r="O1301" s="468" t="s">
        <v>743</v>
      </c>
      <c r="P1301" s="473">
        <v>36</v>
      </c>
      <c r="Q1301" s="473">
        <v>5</v>
      </c>
      <c r="R1301" s="474">
        <v>7.4999999999999997E-3</v>
      </c>
      <c r="S1301" s="468" t="s">
        <v>40</v>
      </c>
      <c r="T1301" s="468" t="s">
        <v>112</v>
      </c>
      <c r="U1301" s="620" t="s">
        <v>721</v>
      </c>
      <c r="V1301" s="475">
        <f>1288</f>
        <v>1288</v>
      </c>
      <c r="W1301" s="475">
        <v>1288</v>
      </c>
      <c r="X1301" s="476"/>
      <c r="Y1301" s="477">
        <f t="shared" si="424"/>
        <v>0</v>
      </c>
      <c r="Z1301" s="478">
        <f t="shared" si="425"/>
        <v>0</v>
      </c>
      <c r="AA1301" s="478"/>
      <c r="AB1301" s="828"/>
      <c r="AC1301" s="475"/>
      <c r="AD1301" s="515"/>
      <c r="AE1301" s="210"/>
      <c r="AF1301" s="210"/>
      <c r="AG1301" s="211">
        <f t="shared" si="426"/>
        <v>0.14699999999999999</v>
      </c>
      <c r="AH1301" s="157">
        <f t="shared" si="427"/>
        <v>0</v>
      </c>
      <c r="AI1301" s="152">
        <f t="shared" si="428"/>
        <v>46368</v>
      </c>
      <c r="AK1301" s="156" t="s">
        <v>691</v>
      </c>
      <c r="AL1301" s="574" t="s">
        <v>690</v>
      </c>
      <c r="AM1301" s="198">
        <f t="shared" si="423"/>
        <v>0</v>
      </c>
      <c r="AN1301" s="199">
        <f t="shared" si="431"/>
        <v>45532</v>
      </c>
      <c r="AO1301" s="159" t="s">
        <v>692</v>
      </c>
      <c r="AP1301" s="783" t="s">
        <v>639</v>
      </c>
      <c r="AQ1301" s="782">
        <v>12071839</v>
      </c>
      <c r="AR1301" s="782">
        <v>12047514</v>
      </c>
      <c r="AS1301" s="782">
        <v>12047515</v>
      </c>
      <c r="AT1301" s="782">
        <v>12089769</v>
      </c>
      <c r="AU1301" s="781"/>
      <c r="AV1301" s="782">
        <v>12089766</v>
      </c>
      <c r="AW1301" s="782">
        <v>12024404</v>
      </c>
      <c r="AX1301" s="781"/>
      <c r="AY1301" s="782">
        <v>12089770</v>
      </c>
      <c r="AZ1301" s="781"/>
      <c r="BA1301" s="781"/>
    </row>
    <row r="1302" spans="1:53" ht="25" hidden="1" customHeight="1">
      <c r="B1302" s="488">
        <v>45532</v>
      </c>
      <c r="C1302" s="487">
        <v>45537</v>
      </c>
      <c r="D1302" s="185">
        <f t="shared" si="429"/>
        <v>2024</v>
      </c>
      <c r="E1302" s="614" t="str">
        <f>VLOOKUP($B1302,Week!$A$1:$C$1462,2,0)</f>
        <v>Week35</v>
      </c>
      <c r="F1302" s="445" t="str">
        <f t="shared" si="430"/>
        <v>Aug</v>
      </c>
      <c r="G1302" s="615" t="s">
        <v>1550</v>
      </c>
      <c r="H1302" s="444" t="s">
        <v>104</v>
      </c>
      <c r="I1302" s="444" t="s">
        <v>2772</v>
      </c>
      <c r="J1302" s="490" t="s">
        <v>105</v>
      </c>
      <c r="K1302" s="491" t="s">
        <v>1643</v>
      </c>
      <c r="L1302" s="300" t="s">
        <v>2167</v>
      </c>
      <c r="M1302" s="490" t="s">
        <v>336</v>
      </c>
      <c r="N1302" s="615" t="s">
        <v>745</v>
      </c>
      <c r="O1302" s="444" t="s">
        <v>743</v>
      </c>
      <c r="P1302" s="492">
        <v>36</v>
      </c>
      <c r="Q1302" s="492">
        <v>5</v>
      </c>
      <c r="R1302" s="493">
        <v>7.4999999999999997E-3</v>
      </c>
      <c r="S1302" s="444" t="s">
        <v>40</v>
      </c>
      <c r="T1302" s="444" t="s">
        <v>112</v>
      </c>
      <c r="U1302" s="616" t="s">
        <v>721</v>
      </c>
      <c r="V1302" s="494">
        <v>815</v>
      </c>
      <c r="W1302" s="494">
        <f>815</f>
        <v>815</v>
      </c>
      <c r="X1302" s="495"/>
      <c r="Y1302" s="496">
        <f t="shared" si="424"/>
        <v>0</v>
      </c>
      <c r="Z1302" s="497">
        <f t="shared" si="425"/>
        <v>0</v>
      </c>
      <c r="AA1302" s="497"/>
      <c r="AB1302" s="829"/>
      <c r="AC1302" s="494"/>
      <c r="AD1302" s="515"/>
      <c r="AE1302" s="210"/>
      <c r="AF1302" s="210"/>
      <c r="AG1302" s="211">
        <f t="shared" si="426"/>
        <v>0.14699999999999999</v>
      </c>
      <c r="AH1302" s="157">
        <f t="shared" si="427"/>
        <v>0</v>
      </c>
      <c r="AI1302" s="152">
        <f t="shared" si="428"/>
        <v>29340</v>
      </c>
      <c r="AK1302" s="156" t="s">
        <v>691</v>
      </c>
      <c r="AL1302" s="574" t="s">
        <v>690</v>
      </c>
      <c r="AM1302" s="198">
        <f t="shared" si="423"/>
        <v>0</v>
      </c>
      <c r="AN1302" s="199">
        <f t="shared" si="431"/>
        <v>45532</v>
      </c>
      <c r="AO1302" s="159" t="s">
        <v>692</v>
      </c>
      <c r="AP1302" s="783" t="s">
        <v>639</v>
      </c>
      <c r="AQ1302" s="782">
        <v>12071839</v>
      </c>
      <c r="AR1302" s="782">
        <v>12047514</v>
      </c>
      <c r="AS1302" s="782">
        <v>12047515</v>
      </c>
      <c r="AT1302" s="782">
        <v>12089764</v>
      </c>
      <c r="AU1302" s="781"/>
      <c r="AV1302" s="782">
        <v>12089763</v>
      </c>
      <c r="AW1302" s="782">
        <v>12024404</v>
      </c>
      <c r="AX1302" s="781"/>
      <c r="AY1302" s="782">
        <v>12089765</v>
      </c>
      <c r="AZ1302" s="781"/>
      <c r="BA1302" s="781"/>
    </row>
    <row r="1303" spans="1:53" ht="24.65" hidden="1" customHeight="1">
      <c r="A1303" s="142" t="s">
        <v>120</v>
      </c>
      <c r="B1303" s="383">
        <v>45532</v>
      </c>
      <c r="C1303" s="224">
        <v>45558</v>
      </c>
      <c r="D1303" s="185">
        <f t="shared" si="429"/>
        <v>2024</v>
      </c>
      <c r="E1303" s="224" t="str">
        <f>VLOOKUP($B1303,Week!$A$1:$C$1462,2,0)</f>
        <v>Week35</v>
      </c>
      <c r="F1303" s="226" t="str">
        <f t="shared" si="430"/>
        <v>Aug</v>
      </c>
      <c r="G1303" s="225" t="s">
        <v>1693</v>
      </c>
      <c r="H1303" s="225" t="s">
        <v>1259</v>
      </c>
      <c r="I1303" s="225" t="s">
        <v>2772</v>
      </c>
      <c r="J1303" s="227" t="s">
        <v>512</v>
      </c>
      <c r="K1303" s="228" t="s">
        <v>85</v>
      </c>
      <c r="L1303" s="390" t="s">
        <v>2166</v>
      </c>
      <c r="M1303" s="227" t="s">
        <v>165</v>
      </c>
      <c r="N1303" s="225" t="s">
        <v>700</v>
      </c>
      <c r="O1303" s="225" t="s">
        <v>287</v>
      </c>
      <c r="P1303" s="229">
        <v>40</v>
      </c>
      <c r="Q1303" s="229">
        <v>12</v>
      </c>
      <c r="R1303" s="230">
        <v>8.1300000000000001E-3</v>
      </c>
      <c r="S1303" s="225" t="s">
        <v>40</v>
      </c>
      <c r="T1303" s="225" t="s">
        <v>112</v>
      </c>
      <c r="U1303" s="225" t="s">
        <v>89</v>
      </c>
      <c r="V1303" s="231">
        <v>524</v>
      </c>
      <c r="W1303" s="231">
        <v>524</v>
      </c>
      <c r="X1303" s="232"/>
      <c r="Y1303" s="233">
        <f t="shared" si="424"/>
        <v>0</v>
      </c>
      <c r="Z1303" s="234">
        <f t="shared" si="425"/>
        <v>0</v>
      </c>
      <c r="AA1303" s="234">
        <f>Q1303*Z1303</f>
        <v>0</v>
      </c>
      <c r="AB1303" s="822">
        <v>2</v>
      </c>
      <c r="AC1303" s="231">
        <f>Z1303*AB1303</f>
        <v>0</v>
      </c>
      <c r="AD1303" s="307" t="s">
        <v>729</v>
      </c>
      <c r="AE1303" s="210"/>
      <c r="AF1303" s="210"/>
      <c r="AG1303" s="211">
        <f t="shared" si="426"/>
        <v>0.154</v>
      </c>
      <c r="AH1303" s="157">
        <f t="shared" si="427"/>
        <v>0</v>
      </c>
      <c r="AI1303" s="152">
        <f t="shared" si="428"/>
        <v>20960</v>
      </c>
      <c r="AK1303" s="156" t="s">
        <v>691</v>
      </c>
      <c r="AL1303" s="156" t="s">
        <v>689</v>
      </c>
      <c r="AM1303" s="198">
        <f t="shared" si="423"/>
        <v>0</v>
      </c>
      <c r="AN1303" s="199">
        <f t="shared" si="431"/>
        <v>45532</v>
      </c>
      <c r="AO1303" s="159" t="s">
        <v>692</v>
      </c>
      <c r="AP1303" s="781"/>
      <c r="AQ1303" s="782">
        <v>12028328</v>
      </c>
      <c r="AR1303" s="782">
        <v>12019692</v>
      </c>
      <c r="AS1303" s="782"/>
      <c r="AT1303" s="782">
        <v>12056457</v>
      </c>
      <c r="AU1303" s="782"/>
      <c r="AV1303" s="782">
        <v>12056565</v>
      </c>
      <c r="AW1303" s="782">
        <v>12034747</v>
      </c>
      <c r="AX1303" s="782" t="s">
        <v>398</v>
      </c>
      <c r="AY1303" s="782" t="s">
        <v>513</v>
      </c>
      <c r="AZ1303" s="782"/>
      <c r="BA1303" s="781"/>
    </row>
    <row r="1304" spans="1:53" ht="25" hidden="1" customHeight="1">
      <c r="B1304" s="488">
        <v>45533</v>
      </c>
      <c r="C1304" s="487">
        <v>45537</v>
      </c>
      <c r="D1304" s="185">
        <f t="shared" si="429"/>
        <v>2024</v>
      </c>
      <c r="E1304" s="614" t="str">
        <f>VLOOKUP($B1304,Week!$A$1:$C$1462,2,0)</f>
        <v>Week35</v>
      </c>
      <c r="F1304" s="445" t="str">
        <f t="shared" si="430"/>
        <v>Aug</v>
      </c>
      <c r="G1304" s="615" t="s">
        <v>1550</v>
      </c>
      <c r="H1304" s="444" t="s">
        <v>104</v>
      </c>
      <c r="I1304" s="444" t="s">
        <v>2772</v>
      </c>
      <c r="J1304" s="490" t="s">
        <v>105</v>
      </c>
      <c r="K1304" s="491" t="s">
        <v>1643</v>
      </c>
      <c r="L1304" s="300" t="s">
        <v>2167</v>
      </c>
      <c r="M1304" s="490" t="s">
        <v>336</v>
      </c>
      <c r="N1304" s="615" t="s">
        <v>745</v>
      </c>
      <c r="O1304" s="444" t="s">
        <v>743</v>
      </c>
      <c r="P1304" s="492">
        <v>36</v>
      </c>
      <c r="Q1304" s="492">
        <v>5</v>
      </c>
      <c r="R1304" s="493">
        <v>7.4999999999999997E-3</v>
      </c>
      <c r="S1304" s="444" t="s">
        <v>40</v>
      </c>
      <c r="T1304" s="444" t="s">
        <v>112</v>
      </c>
      <c r="U1304" s="616" t="s">
        <v>721</v>
      </c>
      <c r="V1304" s="494">
        <f>1288-95-815</f>
        <v>378</v>
      </c>
      <c r="W1304" s="494">
        <f>1288-95-815</f>
        <v>378</v>
      </c>
      <c r="X1304" s="495"/>
      <c r="Y1304" s="496">
        <f t="shared" si="424"/>
        <v>0</v>
      </c>
      <c r="Z1304" s="497">
        <f t="shared" si="425"/>
        <v>0</v>
      </c>
      <c r="AA1304" s="497"/>
      <c r="AB1304" s="829"/>
      <c r="AC1304" s="494"/>
      <c r="AD1304" s="515"/>
      <c r="AE1304" s="210"/>
      <c r="AF1304" s="210"/>
      <c r="AG1304" s="211">
        <f t="shared" si="426"/>
        <v>0.14699999999999999</v>
      </c>
      <c r="AH1304" s="157">
        <f t="shared" si="427"/>
        <v>0</v>
      </c>
      <c r="AI1304" s="152">
        <f t="shared" si="428"/>
        <v>13608</v>
      </c>
      <c r="AK1304" s="156" t="s">
        <v>691</v>
      </c>
      <c r="AL1304" s="574" t="s">
        <v>690</v>
      </c>
      <c r="AM1304" s="198">
        <f t="shared" si="423"/>
        <v>0</v>
      </c>
      <c r="AN1304" s="199">
        <f t="shared" si="431"/>
        <v>45533</v>
      </c>
      <c r="AO1304" s="159" t="s">
        <v>692</v>
      </c>
      <c r="AP1304" s="783" t="s">
        <v>639</v>
      </c>
      <c r="AQ1304" s="782">
        <v>12071839</v>
      </c>
      <c r="AR1304" s="782">
        <v>12047514</v>
      </c>
      <c r="AS1304" s="782">
        <v>12047515</v>
      </c>
      <c r="AT1304" s="782">
        <v>12089764</v>
      </c>
      <c r="AU1304" s="781"/>
      <c r="AV1304" s="782">
        <v>12089763</v>
      </c>
      <c r="AW1304" s="782">
        <v>12024404</v>
      </c>
      <c r="AX1304" s="781"/>
      <c r="AY1304" s="782">
        <v>12089765</v>
      </c>
      <c r="AZ1304" s="781"/>
      <c r="BA1304" s="781"/>
    </row>
    <row r="1305" spans="1:53" ht="25" hidden="1" customHeight="1">
      <c r="B1305" s="488">
        <v>45533</v>
      </c>
      <c r="C1305" s="487">
        <v>45538</v>
      </c>
      <c r="D1305" s="185">
        <f t="shared" si="429"/>
        <v>2024</v>
      </c>
      <c r="E1305" s="614" t="str">
        <f>VLOOKUP($B1305,Week!$A$1:$C$1462,2,0)</f>
        <v>Week35</v>
      </c>
      <c r="F1305" s="445" t="str">
        <f t="shared" si="430"/>
        <v>Aug</v>
      </c>
      <c r="G1305" s="615" t="s">
        <v>1551</v>
      </c>
      <c r="H1305" s="444" t="s">
        <v>104</v>
      </c>
      <c r="I1305" s="444" t="s">
        <v>2772</v>
      </c>
      <c r="J1305" s="490" t="s">
        <v>105</v>
      </c>
      <c r="K1305" s="491" t="s">
        <v>1643</v>
      </c>
      <c r="L1305" s="300" t="s">
        <v>2167</v>
      </c>
      <c r="M1305" s="490" t="s">
        <v>336</v>
      </c>
      <c r="N1305" s="615" t="s">
        <v>745</v>
      </c>
      <c r="O1305" s="444" t="s">
        <v>743</v>
      </c>
      <c r="P1305" s="492">
        <v>36</v>
      </c>
      <c r="Q1305" s="492">
        <v>5</v>
      </c>
      <c r="R1305" s="493">
        <v>7.4999999999999997E-3</v>
      </c>
      <c r="S1305" s="444" t="s">
        <v>40</v>
      </c>
      <c r="T1305" s="444" t="s">
        <v>112</v>
      </c>
      <c r="U1305" s="616" t="s">
        <v>721</v>
      </c>
      <c r="V1305" s="494">
        <v>1288</v>
      </c>
      <c r="W1305" s="494">
        <v>1288</v>
      </c>
      <c r="X1305" s="495"/>
      <c r="Y1305" s="496">
        <f t="shared" si="424"/>
        <v>0</v>
      </c>
      <c r="Z1305" s="497">
        <f t="shared" si="425"/>
        <v>0</v>
      </c>
      <c r="AA1305" s="497"/>
      <c r="AB1305" s="829"/>
      <c r="AC1305" s="494"/>
      <c r="AD1305" s="515"/>
      <c r="AE1305" s="210"/>
      <c r="AF1305" s="210"/>
      <c r="AG1305" s="211">
        <f t="shared" si="426"/>
        <v>0.14699999999999999</v>
      </c>
      <c r="AH1305" s="157">
        <f t="shared" si="427"/>
        <v>0</v>
      </c>
      <c r="AI1305" s="152">
        <f t="shared" si="428"/>
        <v>46368</v>
      </c>
      <c r="AK1305" s="156" t="s">
        <v>691</v>
      </c>
      <c r="AL1305" s="574" t="s">
        <v>690</v>
      </c>
      <c r="AM1305" s="198">
        <f t="shared" si="423"/>
        <v>0</v>
      </c>
      <c r="AN1305" s="199">
        <f t="shared" si="431"/>
        <v>45533</v>
      </c>
      <c r="AO1305" s="159" t="s">
        <v>692</v>
      </c>
      <c r="AP1305" s="783" t="s">
        <v>639</v>
      </c>
      <c r="AQ1305" s="782">
        <v>12071839</v>
      </c>
      <c r="AR1305" s="782">
        <v>12047514</v>
      </c>
      <c r="AS1305" s="782">
        <v>12047515</v>
      </c>
      <c r="AT1305" s="782">
        <v>12089764</v>
      </c>
      <c r="AU1305" s="781"/>
      <c r="AV1305" s="782">
        <v>12089763</v>
      </c>
      <c r="AW1305" s="782">
        <v>12024404</v>
      </c>
      <c r="AX1305" s="781"/>
      <c r="AY1305" s="782">
        <v>12089765</v>
      </c>
      <c r="AZ1305" s="781"/>
      <c r="BA1305" s="781"/>
    </row>
    <row r="1306" spans="1:53" ht="25" hidden="1" customHeight="1">
      <c r="B1306" s="488">
        <v>45533</v>
      </c>
      <c r="C1306" s="487">
        <v>45544</v>
      </c>
      <c r="D1306" s="185">
        <f t="shared" si="429"/>
        <v>2024</v>
      </c>
      <c r="E1306" s="614" t="str">
        <f>VLOOKUP($B1306,Week!$A$1:$C$1462,2,0)</f>
        <v>Week35</v>
      </c>
      <c r="F1306" s="445" t="str">
        <f t="shared" si="430"/>
        <v>Aug</v>
      </c>
      <c r="G1306" s="615" t="s">
        <v>1555</v>
      </c>
      <c r="H1306" s="444" t="s">
        <v>104</v>
      </c>
      <c r="I1306" s="444" t="s">
        <v>2772</v>
      </c>
      <c r="J1306" s="490" t="s">
        <v>105</v>
      </c>
      <c r="K1306" s="491" t="s">
        <v>1643</v>
      </c>
      <c r="L1306" s="300" t="s">
        <v>2167</v>
      </c>
      <c r="M1306" s="490" t="s">
        <v>336</v>
      </c>
      <c r="N1306" s="615" t="s">
        <v>745</v>
      </c>
      <c r="O1306" s="444" t="s">
        <v>743</v>
      </c>
      <c r="P1306" s="492">
        <v>36</v>
      </c>
      <c r="Q1306" s="492">
        <v>5</v>
      </c>
      <c r="R1306" s="493">
        <v>7.4999999999999997E-3</v>
      </c>
      <c r="S1306" s="444" t="s">
        <v>40</v>
      </c>
      <c r="T1306" s="444" t="s">
        <v>112</v>
      </c>
      <c r="U1306" s="616" t="s">
        <v>721</v>
      </c>
      <c r="V1306" s="494">
        <v>1288</v>
      </c>
      <c r="W1306" s="494">
        <v>1288</v>
      </c>
      <c r="X1306" s="495"/>
      <c r="Y1306" s="496">
        <f t="shared" si="424"/>
        <v>0</v>
      </c>
      <c r="Z1306" s="497">
        <f t="shared" si="425"/>
        <v>0</v>
      </c>
      <c r="AA1306" s="497"/>
      <c r="AB1306" s="829"/>
      <c r="AC1306" s="494"/>
      <c r="AD1306" s="515"/>
      <c r="AE1306" s="210"/>
      <c r="AF1306" s="210"/>
      <c r="AG1306" s="211">
        <f t="shared" si="426"/>
        <v>0.14699999999999999</v>
      </c>
      <c r="AH1306" s="157">
        <f t="shared" si="427"/>
        <v>0</v>
      </c>
      <c r="AI1306" s="152">
        <f t="shared" si="428"/>
        <v>46368</v>
      </c>
      <c r="AK1306" s="156" t="s">
        <v>691</v>
      </c>
      <c r="AL1306" s="574" t="s">
        <v>690</v>
      </c>
      <c r="AM1306" s="198">
        <f t="shared" si="423"/>
        <v>0</v>
      </c>
      <c r="AN1306" s="199">
        <f t="shared" si="431"/>
        <v>45533</v>
      </c>
      <c r="AO1306" s="159" t="s">
        <v>692</v>
      </c>
      <c r="AP1306" s="783" t="s">
        <v>639</v>
      </c>
      <c r="AQ1306" s="782">
        <v>12071839</v>
      </c>
      <c r="AR1306" s="782">
        <v>12047514</v>
      </c>
      <c r="AS1306" s="782">
        <v>12047515</v>
      </c>
      <c r="AT1306" s="782">
        <v>12089764</v>
      </c>
      <c r="AU1306" s="781"/>
      <c r="AV1306" s="782">
        <v>12089763</v>
      </c>
      <c r="AW1306" s="782">
        <v>12024404</v>
      </c>
      <c r="AX1306" s="781"/>
      <c r="AY1306" s="782">
        <v>12089765</v>
      </c>
      <c r="AZ1306" s="781"/>
      <c r="BA1306" s="781"/>
    </row>
    <row r="1307" spans="1:53" ht="25" hidden="1" customHeight="1">
      <c r="B1307" s="488">
        <v>45533</v>
      </c>
      <c r="C1307" s="487">
        <v>45544</v>
      </c>
      <c r="D1307" s="185">
        <f t="shared" si="429"/>
        <v>2024</v>
      </c>
      <c r="E1307" s="614" t="str">
        <f>VLOOKUP($B1307,Week!$A$1:$C$1462,2,0)</f>
        <v>Week35</v>
      </c>
      <c r="F1307" s="445" t="str">
        <f t="shared" si="430"/>
        <v>Aug</v>
      </c>
      <c r="G1307" s="615" t="s">
        <v>1559</v>
      </c>
      <c r="H1307" s="444" t="s">
        <v>104</v>
      </c>
      <c r="I1307" s="444" t="s">
        <v>2772</v>
      </c>
      <c r="J1307" s="490" t="s">
        <v>105</v>
      </c>
      <c r="K1307" s="491" t="s">
        <v>1643</v>
      </c>
      <c r="L1307" s="300" t="s">
        <v>2167</v>
      </c>
      <c r="M1307" s="490" t="s">
        <v>336</v>
      </c>
      <c r="N1307" s="615" t="s">
        <v>745</v>
      </c>
      <c r="O1307" s="444" t="s">
        <v>743</v>
      </c>
      <c r="P1307" s="492">
        <v>36</v>
      </c>
      <c r="Q1307" s="492">
        <v>5</v>
      </c>
      <c r="R1307" s="493">
        <v>7.4999999999999997E-3</v>
      </c>
      <c r="S1307" s="444" t="s">
        <v>40</v>
      </c>
      <c r="T1307" s="444" t="s">
        <v>112</v>
      </c>
      <c r="U1307" s="616" t="s">
        <v>721</v>
      </c>
      <c r="V1307" s="494">
        <f>3973-378-1288-1288</f>
        <v>1019</v>
      </c>
      <c r="W1307" s="494">
        <f>3973-378-1288-1288</f>
        <v>1019</v>
      </c>
      <c r="X1307" s="495"/>
      <c r="Y1307" s="496">
        <f t="shared" si="424"/>
        <v>0</v>
      </c>
      <c r="Z1307" s="497">
        <f t="shared" si="425"/>
        <v>0</v>
      </c>
      <c r="AA1307" s="497"/>
      <c r="AB1307" s="829"/>
      <c r="AC1307" s="494"/>
      <c r="AD1307" s="515"/>
      <c r="AE1307" s="210"/>
      <c r="AF1307" s="210"/>
      <c r="AG1307" s="211">
        <f t="shared" si="426"/>
        <v>0.14699999999999999</v>
      </c>
      <c r="AH1307" s="157">
        <f t="shared" si="427"/>
        <v>0</v>
      </c>
      <c r="AI1307" s="152">
        <f t="shared" si="428"/>
        <v>36684</v>
      </c>
      <c r="AK1307" s="156" t="s">
        <v>691</v>
      </c>
      <c r="AL1307" s="574" t="s">
        <v>690</v>
      </c>
      <c r="AM1307" s="198">
        <f t="shared" si="423"/>
        <v>0</v>
      </c>
      <c r="AN1307" s="199">
        <f t="shared" si="431"/>
        <v>45533</v>
      </c>
      <c r="AO1307" s="159" t="s">
        <v>692</v>
      </c>
      <c r="AP1307" s="783" t="s">
        <v>639</v>
      </c>
      <c r="AQ1307" s="782">
        <v>12071839</v>
      </c>
      <c r="AR1307" s="782">
        <v>12047514</v>
      </c>
      <c r="AS1307" s="782">
        <v>12047515</v>
      </c>
      <c r="AT1307" s="782">
        <v>12089764</v>
      </c>
      <c r="AU1307" s="781"/>
      <c r="AV1307" s="782">
        <v>12089763</v>
      </c>
      <c r="AW1307" s="782">
        <v>12024404</v>
      </c>
      <c r="AX1307" s="781"/>
      <c r="AY1307" s="782">
        <v>12089765</v>
      </c>
      <c r="AZ1307" s="781"/>
      <c r="BA1307" s="781"/>
    </row>
    <row r="1308" spans="1:53" ht="24.65" hidden="1" customHeight="1">
      <c r="A1308" s="142" t="s">
        <v>120</v>
      </c>
      <c r="B1308" s="383">
        <v>45533</v>
      </c>
      <c r="C1308" s="224">
        <v>45558</v>
      </c>
      <c r="D1308" s="185">
        <f t="shared" si="429"/>
        <v>2024</v>
      </c>
      <c r="E1308" s="224" t="str">
        <f>VLOOKUP($B1308,Week!$A$1:$C$1462,2,0)</f>
        <v>Week35</v>
      </c>
      <c r="F1308" s="226" t="str">
        <f t="shared" si="430"/>
        <v>Aug</v>
      </c>
      <c r="G1308" s="225" t="s">
        <v>1693</v>
      </c>
      <c r="H1308" s="225" t="s">
        <v>1259</v>
      </c>
      <c r="I1308" s="225" t="s">
        <v>2772</v>
      </c>
      <c r="J1308" s="227" t="s">
        <v>512</v>
      </c>
      <c r="K1308" s="228" t="s">
        <v>85</v>
      </c>
      <c r="L1308" s="390" t="s">
        <v>2166</v>
      </c>
      <c r="M1308" s="227" t="s">
        <v>165</v>
      </c>
      <c r="N1308" s="225" t="s">
        <v>700</v>
      </c>
      <c r="O1308" s="225" t="s">
        <v>287</v>
      </c>
      <c r="P1308" s="229">
        <v>40</v>
      </c>
      <c r="Q1308" s="229">
        <v>12</v>
      </c>
      <c r="R1308" s="230">
        <v>8.1300000000000001E-3</v>
      </c>
      <c r="S1308" s="225" t="s">
        <v>40</v>
      </c>
      <c r="T1308" s="225" t="s">
        <v>112</v>
      </c>
      <c r="U1308" s="225" t="s">
        <v>89</v>
      </c>
      <c r="V1308" s="231">
        <f>1624-533-524</f>
        <v>567</v>
      </c>
      <c r="W1308" s="231">
        <f>565</f>
        <v>565</v>
      </c>
      <c r="X1308" s="232">
        <v>2</v>
      </c>
      <c r="Y1308" s="233">
        <f t="shared" si="424"/>
        <v>0</v>
      </c>
      <c r="Z1308" s="234">
        <f t="shared" si="425"/>
        <v>0</v>
      </c>
      <c r="AA1308" s="234">
        <f>Q1308*Z1308</f>
        <v>0</v>
      </c>
      <c r="AB1308" s="822">
        <v>2</v>
      </c>
      <c r="AC1308" s="231">
        <f>Z1308*AB1308</f>
        <v>0</v>
      </c>
      <c r="AD1308" s="307" t="s">
        <v>729</v>
      </c>
      <c r="AE1308" s="210"/>
      <c r="AF1308" s="210"/>
      <c r="AG1308" s="211">
        <f t="shared" si="426"/>
        <v>0.154</v>
      </c>
      <c r="AH1308" s="157">
        <f t="shared" si="427"/>
        <v>0</v>
      </c>
      <c r="AI1308" s="152">
        <f t="shared" si="428"/>
        <v>22680</v>
      </c>
      <c r="AK1308" s="156" t="s">
        <v>691</v>
      </c>
      <c r="AL1308" s="156" t="s">
        <v>689</v>
      </c>
      <c r="AM1308" s="198">
        <f t="shared" si="423"/>
        <v>0</v>
      </c>
      <c r="AN1308" s="199">
        <f t="shared" si="431"/>
        <v>45533</v>
      </c>
      <c r="AO1308" s="159" t="s">
        <v>692</v>
      </c>
      <c r="AP1308" s="781"/>
      <c r="AQ1308" s="782">
        <v>12028328</v>
      </c>
      <c r="AR1308" s="782">
        <v>12019692</v>
      </c>
      <c r="AS1308" s="782"/>
      <c r="AT1308" s="782">
        <v>12056457</v>
      </c>
      <c r="AU1308" s="782"/>
      <c r="AV1308" s="782">
        <v>12056565</v>
      </c>
      <c r="AW1308" s="782">
        <v>12034747</v>
      </c>
      <c r="AX1308" s="782" t="s">
        <v>398</v>
      </c>
      <c r="AY1308" s="782" t="s">
        <v>513</v>
      </c>
      <c r="AZ1308" s="782"/>
      <c r="BA1308" s="781"/>
    </row>
    <row r="1309" spans="1:53" ht="25" hidden="1" customHeight="1">
      <c r="B1309" s="213">
        <v>45534</v>
      </c>
      <c r="C1309" s="578">
        <v>45542</v>
      </c>
      <c r="D1309" s="185">
        <f t="shared" si="429"/>
        <v>2024</v>
      </c>
      <c r="E1309" s="215" t="str">
        <f>VLOOKUP($B1309,Week!$A$1:$C$1462,2,0)</f>
        <v>Week35</v>
      </c>
      <c r="F1309" s="216" t="str">
        <f t="shared" si="430"/>
        <v>Aug</v>
      </c>
      <c r="G1309" s="215" t="s">
        <v>1526</v>
      </c>
      <c r="H1309" s="215" t="s">
        <v>104</v>
      </c>
      <c r="I1309" s="215" t="s">
        <v>2772</v>
      </c>
      <c r="J1309" s="209" t="s">
        <v>105</v>
      </c>
      <c r="K1309" s="217" t="s">
        <v>107</v>
      </c>
      <c r="L1309" s="300" t="s">
        <v>2167</v>
      </c>
      <c r="M1309" s="209" t="s">
        <v>108</v>
      </c>
      <c r="N1309" s="215" t="s">
        <v>109</v>
      </c>
      <c r="O1309" s="215" t="s">
        <v>110</v>
      </c>
      <c r="P1309" s="218">
        <v>36</v>
      </c>
      <c r="Q1309" s="218">
        <v>5</v>
      </c>
      <c r="R1309" s="219">
        <v>7.4999999999999997E-3</v>
      </c>
      <c r="S1309" s="215" t="s">
        <v>111</v>
      </c>
      <c r="T1309" s="215" t="s">
        <v>112</v>
      </c>
      <c r="U1309" s="215" t="s">
        <v>113</v>
      </c>
      <c r="V1309" s="220">
        <f>792-616</f>
        <v>176</v>
      </c>
      <c r="W1309" s="220">
        <f>176</f>
        <v>176</v>
      </c>
      <c r="X1309" s="221"/>
      <c r="Y1309" s="222">
        <f t="shared" si="424"/>
        <v>0</v>
      </c>
      <c r="Z1309" s="223">
        <f t="shared" si="425"/>
        <v>0</v>
      </c>
      <c r="AA1309" s="223"/>
      <c r="AB1309" s="807"/>
      <c r="AC1309" s="220"/>
      <c r="AD1309" s="209"/>
      <c r="AE1309" s="210"/>
      <c r="AF1309" s="210"/>
      <c r="AG1309" s="211">
        <f t="shared" si="426"/>
        <v>0.308</v>
      </c>
      <c r="AH1309" s="157">
        <f t="shared" si="427"/>
        <v>0</v>
      </c>
      <c r="AI1309" s="152">
        <f t="shared" si="428"/>
        <v>6336</v>
      </c>
      <c r="AK1309" s="156" t="s">
        <v>691</v>
      </c>
      <c r="AL1309" s="574" t="s">
        <v>690</v>
      </c>
      <c r="AM1309" s="198">
        <f t="shared" si="423"/>
        <v>0</v>
      </c>
      <c r="AN1309" s="199">
        <f t="shared" si="431"/>
        <v>45534</v>
      </c>
      <c r="AO1309" s="159" t="s">
        <v>692</v>
      </c>
      <c r="AP1309" s="781"/>
      <c r="AQ1309" s="782">
        <v>12063755</v>
      </c>
      <c r="AR1309" s="782">
        <v>12061353</v>
      </c>
      <c r="AS1309" s="782">
        <v>12061354</v>
      </c>
      <c r="AT1309" s="782">
        <v>12068566</v>
      </c>
      <c r="AU1309" s="781"/>
      <c r="AV1309" s="782">
        <v>12088206</v>
      </c>
      <c r="AW1309" s="782">
        <v>12088207</v>
      </c>
      <c r="AX1309" s="782"/>
      <c r="AY1309" s="782">
        <v>12068565</v>
      </c>
      <c r="AZ1309" s="782"/>
      <c r="BA1309" s="781"/>
    </row>
    <row r="1310" spans="1:53" ht="25" hidden="1" customHeight="1">
      <c r="B1310" s="213">
        <v>45534</v>
      </c>
      <c r="C1310" s="578">
        <v>45544</v>
      </c>
      <c r="D1310" s="185">
        <f t="shared" si="429"/>
        <v>2024</v>
      </c>
      <c r="E1310" s="215" t="str">
        <f>VLOOKUP($B1310,Week!$A$1:$C$1462,2,0)</f>
        <v>Week35</v>
      </c>
      <c r="F1310" s="216" t="str">
        <f t="shared" si="430"/>
        <v>Aug</v>
      </c>
      <c r="G1310" s="215" t="s">
        <v>1527</v>
      </c>
      <c r="H1310" s="215" t="s">
        <v>104</v>
      </c>
      <c r="I1310" s="215" t="s">
        <v>2772</v>
      </c>
      <c r="J1310" s="209" t="s">
        <v>105</v>
      </c>
      <c r="K1310" s="217" t="s">
        <v>107</v>
      </c>
      <c r="L1310" s="300" t="s">
        <v>2167</v>
      </c>
      <c r="M1310" s="209" t="s">
        <v>108</v>
      </c>
      <c r="N1310" s="215" t="s">
        <v>109</v>
      </c>
      <c r="O1310" s="215" t="s">
        <v>110</v>
      </c>
      <c r="P1310" s="218">
        <v>36</v>
      </c>
      <c r="Q1310" s="218">
        <v>5</v>
      </c>
      <c r="R1310" s="219">
        <v>7.4999999999999997E-3</v>
      </c>
      <c r="S1310" s="215" t="s">
        <v>111</v>
      </c>
      <c r="T1310" s="215" t="s">
        <v>112</v>
      </c>
      <c r="U1310" s="215" t="s">
        <v>113</v>
      </c>
      <c r="V1310" s="220">
        <v>792</v>
      </c>
      <c r="W1310" s="220">
        <v>632</v>
      </c>
      <c r="X1310" s="221">
        <f>160</f>
        <v>160</v>
      </c>
      <c r="Y1310" s="222">
        <f t="shared" si="424"/>
        <v>0</v>
      </c>
      <c r="Z1310" s="223">
        <f t="shared" si="425"/>
        <v>0</v>
      </c>
      <c r="AA1310" s="223"/>
      <c r="AB1310" s="807"/>
      <c r="AC1310" s="220"/>
      <c r="AD1310" s="209"/>
      <c r="AE1310" s="210"/>
      <c r="AF1310" s="210"/>
      <c r="AG1310" s="211">
        <f t="shared" si="426"/>
        <v>0.308</v>
      </c>
      <c r="AH1310" s="157">
        <f t="shared" si="427"/>
        <v>0</v>
      </c>
      <c r="AI1310" s="152">
        <f t="shared" si="428"/>
        <v>28512</v>
      </c>
      <c r="AK1310" s="156" t="s">
        <v>691</v>
      </c>
      <c r="AL1310" s="574" t="s">
        <v>690</v>
      </c>
      <c r="AM1310" s="198">
        <f t="shared" si="423"/>
        <v>0</v>
      </c>
      <c r="AN1310" s="199">
        <f t="shared" si="431"/>
        <v>45534</v>
      </c>
      <c r="AO1310" s="159" t="s">
        <v>692</v>
      </c>
      <c r="AP1310" s="781"/>
      <c r="AQ1310" s="782">
        <v>12063755</v>
      </c>
      <c r="AR1310" s="782">
        <v>12061353</v>
      </c>
      <c r="AS1310" s="782">
        <v>12061354</v>
      </c>
      <c r="AT1310" s="782">
        <v>12068566</v>
      </c>
      <c r="AU1310" s="781"/>
      <c r="AV1310" s="782">
        <v>12088206</v>
      </c>
      <c r="AW1310" s="782">
        <v>12088207</v>
      </c>
      <c r="AX1310" s="782"/>
      <c r="AY1310" s="782">
        <v>12068565</v>
      </c>
      <c r="AZ1310" s="782"/>
      <c r="BA1310" s="781"/>
    </row>
    <row r="1311" spans="1:53" ht="25" hidden="1" customHeight="1">
      <c r="B1311" s="213">
        <v>45534</v>
      </c>
      <c r="C1311" s="578">
        <v>45544</v>
      </c>
      <c r="D1311" s="185">
        <f t="shared" si="429"/>
        <v>2024</v>
      </c>
      <c r="E1311" s="215" t="str">
        <f>VLOOKUP($B1311,Week!$A$1:$C$1462,2,0)</f>
        <v>Week35</v>
      </c>
      <c r="F1311" s="216" t="str">
        <f t="shared" si="430"/>
        <v>Aug</v>
      </c>
      <c r="G1311" s="215" t="s">
        <v>1528</v>
      </c>
      <c r="H1311" s="215" t="s">
        <v>104</v>
      </c>
      <c r="I1311" s="215" t="s">
        <v>2772</v>
      </c>
      <c r="J1311" s="209" t="s">
        <v>105</v>
      </c>
      <c r="K1311" s="217" t="s">
        <v>107</v>
      </c>
      <c r="L1311" s="300" t="s">
        <v>2167</v>
      </c>
      <c r="M1311" s="209" t="s">
        <v>108</v>
      </c>
      <c r="N1311" s="215" t="s">
        <v>109</v>
      </c>
      <c r="O1311" s="215" t="s">
        <v>110</v>
      </c>
      <c r="P1311" s="218">
        <v>36</v>
      </c>
      <c r="Q1311" s="218">
        <v>5</v>
      </c>
      <c r="R1311" s="219">
        <v>7.4999999999999997E-3</v>
      </c>
      <c r="S1311" s="215" t="s">
        <v>111</v>
      </c>
      <c r="T1311" s="215" t="s">
        <v>112</v>
      </c>
      <c r="U1311" s="215" t="s">
        <v>113</v>
      </c>
      <c r="V1311" s="220">
        <v>792</v>
      </c>
      <c r="W1311" s="220">
        <v>792</v>
      </c>
      <c r="X1311" s="221"/>
      <c r="Y1311" s="222">
        <f t="shared" si="424"/>
        <v>0</v>
      </c>
      <c r="Z1311" s="223">
        <f t="shared" si="425"/>
        <v>0</v>
      </c>
      <c r="AA1311" s="223"/>
      <c r="AB1311" s="807"/>
      <c r="AC1311" s="220"/>
      <c r="AD1311" s="209"/>
      <c r="AE1311" s="210"/>
      <c r="AF1311" s="210"/>
      <c r="AG1311" s="211">
        <f t="shared" si="426"/>
        <v>0.308</v>
      </c>
      <c r="AH1311" s="157">
        <f t="shared" si="427"/>
        <v>0</v>
      </c>
      <c r="AI1311" s="152">
        <f t="shared" si="428"/>
        <v>28512</v>
      </c>
      <c r="AK1311" s="156" t="s">
        <v>691</v>
      </c>
      <c r="AL1311" s="574" t="s">
        <v>690</v>
      </c>
      <c r="AM1311" s="198">
        <f t="shared" si="423"/>
        <v>0</v>
      </c>
      <c r="AN1311" s="199">
        <f t="shared" si="431"/>
        <v>45534</v>
      </c>
      <c r="AO1311" s="159" t="s">
        <v>692</v>
      </c>
      <c r="AP1311" s="781"/>
      <c r="AQ1311" s="782">
        <v>12063755</v>
      </c>
      <c r="AR1311" s="782">
        <v>12061353</v>
      </c>
      <c r="AS1311" s="782">
        <v>12061354</v>
      </c>
      <c r="AT1311" s="782">
        <v>12068566</v>
      </c>
      <c r="AU1311" s="781"/>
      <c r="AV1311" s="782">
        <v>12088206</v>
      </c>
      <c r="AW1311" s="782">
        <v>12088207</v>
      </c>
      <c r="AX1311" s="782"/>
      <c r="AY1311" s="782">
        <v>12068565</v>
      </c>
      <c r="AZ1311" s="782"/>
      <c r="BA1311" s="781"/>
    </row>
    <row r="1312" spans="1:53" ht="25" hidden="1" customHeight="1">
      <c r="B1312" s="213">
        <v>45534</v>
      </c>
      <c r="C1312" s="578">
        <v>45547</v>
      </c>
      <c r="D1312" s="185">
        <f t="shared" si="429"/>
        <v>2024</v>
      </c>
      <c r="E1312" s="215" t="str">
        <f>VLOOKUP($B1312,Week!$A$1:$C$1462,2,0)</f>
        <v>Week35</v>
      </c>
      <c r="F1312" s="216" t="str">
        <f t="shared" si="430"/>
        <v>Aug</v>
      </c>
      <c r="G1312" s="215" t="s">
        <v>1529</v>
      </c>
      <c r="H1312" s="215" t="s">
        <v>104</v>
      </c>
      <c r="I1312" s="215" t="s">
        <v>2772</v>
      </c>
      <c r="J1312" s="209" t="s">
        <v>105</v>
      </c>
      <c r="K1312" s="217" t="s">
        <v>107</v>
      </c>
      <c r="L1312" s="300" t="s">
        <v>2167</v>
      </c>
      <c r="M1312" s="209" t="s">
        <v>108</v>
      </c>
      <c r="N1312" s="215" t="s">
        <v>109</v>
      </c>
      <c r="O1312" s="215" t="s">
        <v>110</v>
      </c>
      <c r="P1312" s="218">
        <v>36</v>
      </c>
      <c r="Q1312" s="218">
        <v>5</v>
      </c>
      <c r="R1312" s="219">
        <v>7.4999999999999997E-3</v>
      </c>
      <c r="S1312" s="215" t="s">
        <v>111</v>
      </c>
      <c r="T1312" s="215" t="s">
        <v>112</v>
      </c>
      <c r="U1312" s="215" t="s">
        <v>113</v>
      </c>
      <c r="V1312" s="220">
        <v>792</v>
      </c>
      <c r="W1312" s="220">
        <v>632</v>
      </c>
      <c r="X1312" s="221">
        <f>160</f>
        <v>160</v>
      </c>
      <c r="Y1312" s="222">
        <f t="shared" si="424"/>
        <v>0</v>
      </c>
      <c r="Z1312" s="223">
        <f t="shared" si="425"/>
        <v>0</v>
      </c>
      <c r="AA1312" s="223"/>
      <c r="AB1312" s="807"/>
      <c r="AC1312" s="220"/>
      <c r="AD1312" s="209"/>
      <c r="AE1312" s="210"/>
      <c r="AF1312" s="210"/>
      <c r="AG1312" s="211">
        <f t="shared" si="426"/>
        <v>0.308</v>
      </c>
      <c r="AH1312" s="157">
        <f t="shared" si="427"/>
        <v>0</v>
      </c>
      <c r="AI1312" s="152">
        <f t="shared" si="428"/>
        <v>28512</v>
      </c>
      <c r="AK1312" s="156" t="s">
        <v>691</v>
      </c>
      <c r="AL1312" s="574" t="s">
        <v>690</v>
      </c>
      <c r="AM1312" s="198">
        <f t="shared" ref="AM1312:AM1343" si="432">AG1312*Z1312</f>
        <v>0</v>
      </c>
      <c r="AN1312" s="199">
        <f t="shared" si="431"/>
        <v>45534</v>
      </c>
      <c r="AO1312" s="159" t="s">
        <v>692</v>
      </c>
      <c r="AP1312" s="781"/>
      <c r="AQ1312" s="782">
        <v>12063755</v>
      </c>
      <c r="AR1312" s="782">
        <v>12061353</v>
      </c>
      <c r="AS1312" s="782">
        <v>12061354</v>
      </c>
      <c r="AT1312" s="782">
        <v>12068566</v>
      </c>
      <c r="AU1312" s="781"/>
      <c r="AV1312" s="782">
        <v>12088206</v>
      </c>
      <c r="AW1312" s="782">
        <v>12088207</v>
      </c>
      <c r="AX1312" s="782"/>
      <c r="AY1312" s="782">
        <v>12068565</v>
      </c>
      <c r="AZ1312" s="782"/>
      <c r="BA1312" s="781"/>
    </row>
    <row r="1313" spans="1:53" ht="25" hidden="1" customHeight="1">
      <c r="B1313" s="213">
        <v>45534</v>
      </c>
      <c r="C1313" s="578">
        <v>45547</v>
      </c>
      <c r="D1313" s="185">
        <f t="shared" si="429"/>
        <v>2024</v>
      </c>
      <c r="E1313" s="215" t="str">
        <f>VLOOKUP($B1313,Week!$A$1:$C$1462,2,0)</f>
        <v>Week35</v>
      </c>
      <c r="F1313" s="216" t="str">
        <f t="shared" si="430"/>
        <v>Aug</v>
      </c>
      <c r="G1313" s="215" t="s">
        <v>1530</v>
      </c>
      <c r="H1313" s="215" t="s">
        <v>104</v>
      </c>
      <c r="I1313" s="215" t="s">
        <v>2772</v>
      </c>
      <c r="J1313" s="209" t="s">
        <v>105</v>
      </c>
      <c r="K1313" s="217" t="s">
        <v>107</v>
      </c>
      <c r="L1313" s="300" t="s">
        <v>2167</v>
      </c>
      <c r="M1313" s="209" t="s">
        <v>108</v>
      </c>
      <c r="N1313" s="215" t="s">
        <v>109</v>
      </c>
      <c r="O1313" s="215" t="s">
        <v>110</v>
      </c>
      <c r="P1313" s="218">
        <v>36</v>
      </c>
      <c r="Q1313" s="218">
        <v>5</v>
      </c>
      <c r="R1313" s="219">
        <v>7.4999999999999997E-3</v>
      </c>
      <c r="S1313" s="215" t="s">
        <v>111</v>
      </c>
      <c r="T1313" s="215" t="s">
        <v>112</v>
      </c>
      <c r="U1313" s="215" t="s">
        <v>113</v>
      </c>
      <c r="V1313" s="220">
        <v>792</v>
      </c>
      <c r="W1313" s="220">
        <v>792</v>
      </c>
      <c r="X1313" s="221"/>
      <c r="Y1313" s="222">
        <f t="shared" si="424"/>
        <v>0</v>
      </c>
      <c r="Z1313" s="223">
        <f t="shared" si="425"/>
        <v>0</v>
      </c>
      <c r="AA1313" s="223"/>
      <c r="AB1313" s="807"/>
      <c r="AC1313" s="220"/>
      <c r="AD1313" s="209"/>
      <c r="AE1313" s="210"/>
      <c r="AF1313" s="210"/>
      <c r="AG1313" s="211">
        <f t="shared" si="426"/>
        <v>0.308</v>
      </c>
      <c r="AH1313" s="157">
        <f t="shared" si="427"/>
        <v>0</v>
      </c>
      <c r="AI1313" s="152">
        <f t="shared" si="428"/>
        <v>28512</v>
      </c>
      <c r="AK1313" s="156" t="s">
        <v>691</v>
      </c>
      <c r="AL1313" s="574" t="s">
        <v>690</v>
      </c>
      <c r="AM1313" s="198">
        <f t="shared" si="432"/>
        <v>0</v>
      </c>
      <c r="AN1313" s="199">
        <f t="shared" si="431"/>
        <v>45534</v>
      </c>
      <c r="AO1313" s="159" t="s">
        <v>692</v>
      </c>
      <c r="AP1313" s="781"/>
      <c r="AQ1313" s="782">
        <v>12063755</v>
      </c>
      <c r="AR1313" s="782">
        <v>12061353</v>
      </c>
      <c r="AS1313" s="782">
        <v>12061354</v>
      </c>
      <c r="AT1313" s="782">
        <v>12068566</v>
      </c>
      <c r="AU1313" s="781"/>
      <c r="AV1313" s="782">
        <v>12088206</v>
      </c>
      <c r="AW1313" s="782">
        <v>12088207</v>
      </c>
      <c r="AX1313" s="782"/>
      <c r="AY1313" s="782">
        <v>12068565</v>
      </c>
      <c r="AZ1313" s="782"/>
      <c r="BA1313" s="781"/>
    </row>
    <row r="1314" spans="1:53" ht="25" hidden="1" customHeight="1">
      <c r="B1314" s="213">
        <v>45534</v>
      </c>
      <c r="C1314" s="578">
        <v>45551</v>
      </c>
      <c r="D1314" s="185">
        <f t="shared" si="429"/>
        <v>2024</v>
      </c>
      <c r="E1314" s="215" t="str">
        <f>VLOOKUP($B1314,Week!$A$1:$C$1462,2,0)</f>
        <v>Week35</v>
      </c>
      <c r="F1314" s="216" t="str">
        <f t="shared" si="430"/>
        <v>Aug</v>
      </c>
      <c r="G1314" s="215" t="s">
        <v>1531</v>
      </c>
      <c r="H1314" s="215" t="s">
        <v>104</v>
      </c>
      <c r="I1314" s="215" t="s">
        <v>2772</v>
      </c>
      <c r="J1314" s="209" t="s">
        <v>105</v>
      </c>
      <c r="K1314" s="217" t="s">
        <v>107</v>
      </c>
      <c r="L1314" s="300" t="s">
        <v>2167</v>
      </c>
      <c r="M1314" s="209" t="s">
        <v>108</v>
      </c>
      <c r="N1314" s="215" t="s">
        <v>109</v>
      </c>
      <c r="O1314" s="215" t="s">
        <v>110</v>
      </c>
      <c r="P1314" s="218">
        <v>36</v>
      </c>
      <c r="Q1314" s="218">
        <v>5</v>
      </c>
      <c r="R1314" s="219">
        <v>7.4999999999999997E-3</v>
      </c>
      <c r="S1314" s="215" t="s">
        <v>111</v>
      </c>
      <c r="T1314" s="215" t="s">
        <v>112</v>
      </c>
      <c r="U1314" s="215" t="s">
        <v>113</v>
      </c>
      <c r="V1314" s="220">
        <v>792</v>
      </c>
      <c r="W1314" s="220">
        <v>632</v>
      </c>
      <c r="X1314" s="221">
        <f>129+31</f>
        <v>160</v>
      </c>
      <c r="Y1314" s="222">
        <f t="shared" si="424"/>
        <v>0</v>
      </c>
      <c r="Z1314" s="223">
        <f t="shared" si="425"/>
        <v>0</v>
      </c>
      <c r="AA1314" s="223"/>
      <c r="AB1314" s="807"/>
      <c r="AC1314" s="220"/>
      <c r="AD1314" s="209"/>
      <c r="AE1314" s="210"/>
      <c r="AF1314" s="210"/>
      <c r="AG1314" s="211">
        <f t="shared" si="426"/>
        <v>0.308</v>
      </c>
      <c r="AH1314" s="157">
        <f t="shared" si="427"/>
        <v>0</v>
      </c>
      <c r="AI1314" s="152">
        <f t="shared" si="428"/>
        <v>28512</v>
      </c>
      <c r="AK1314" s="156" t="s">
        <v>691</v>
      </c>
      <c r="AL1314" s="574" t="s">
        <v>690</v>
      </c>
      <c r="AM1314" s="198">
        <f t="shared" si="432"/>
        <v>0</v>
      </c>
      <c r="AN1314" s="199">
        <f t="shared" si="431"/>
        <v>45534</v>
      </c>
      <c r="AO1314" s="159" t="s">
        <v>692</v>
      </c>
      <c r="AP1314" s="781"/>
      <c r="AQ1314" s="782">
        <v>12063755</v>
      </c>
      <c r="AR1314" s="782">
        <v>12061353</v>
      </c>
      <c r="AS1314" s="782">
        <v>12061354</v>
      </c>
      <c r="AT1314" s="782">
        <v>12068566</v>
      </c>
      <c r="AU1314" s="781"/>
      <c r="AV1314" s="782">
        <v>12088206</v>
      </c>
      <c r="AW1314" s="782">
        <v>12088207</v>
      </c>
      <c r="AX1314" s="782"/>
      <c r="AY1314" s="782">
        <v>12068565</v>
      </c>
      <c r="AZ1314" s="782"/>
      <c r="BA1314" s="781"/>
    </row>
    <row r="1315" spans="1:53" ht="25" hidden="1" customHeight="1">
      <c r="B1315" s="213">
        <v>45534</v>
      </c>
      <c r="C1315" s="578">
        <v>45555</v>
      </c>
      <c r="D1315" s="185">
        <f t="shared" si="429"/>
        <v>2024</v>
      </c>
      <c r="E1315" s="215" t="str">
        <f>VLOOKUP($B1315,Week!$A$1:$C$1462,2,0)</f>
        <v>Week35</v>
      </c>
      <c r="F1315" s="216" t="str">
        <f t="shared" si="430"/>
        <v>Aug</v>
      </c>
      <c r="G1315" s="215" t="s">
        <v>1532</v>
      </c>
      <c r="H1315" s="215" t="s">
        <v>104</v>
      </c>
      <c r="I1315" s="215" t="s">
        <v>2772</v>
      </c>
      <c r="J1315" s="209" t="s">
        <v>105</v>
      </c>
      <c r="K1315" s="217" t="s">
        <v>107</v>
      </c>
      <c r="L1315" s="300" t="s">
        <v>2167</v>
      </c>
      <c r="M1315" s="209" t="s">
        <v>108</v>
      </c>
      <c r="N1315" s="215" t="s">
        <v>109</v>
      </c>
      <c r="O1315" s="215" t="s">
        <v>110</v>
      </c>
      <c r="P1315" s="218">
        <v>36</v>
      </c>
      <c r="Q1315" s="218">
        <v>5</v>
      </c>
      <c r="R1315" s="219">
        <v>7.4999999999999997E-3</v>
      </c>
      <c r="S1315" s="215" t="s">
        <v>111</v>
      </c>
      <c r="T1315" s="215" t="s">
        <v>112</v>
      </c>
      <c r="U1315" s="215" t="s">
        <v>113</v>
      </c>
      <c r="V1315" s="220">
        <f>3949-176-632-792-632-792-632-60</f>
        <v>233</v>
      </c>
      <c r="W1315" s="220">
        <f>3949-176-632-792-632-792-632-60</f>
        <v>233</v>
      </c>
      <c r="X1315" s="221"/>
      <c r="Y1315" s="222">
        <f t="shared" si="424"/>
        <v>0</v>
      </c>
      <c r="Z1315" s="223">
        <f t="shared" si="425"/>
        <v>0</v>
      </c>
      <c r="AA1315" s="223"/>
      <c r="AB1315" s="807"/>
      <c r="AC1315" s="220"/>
      <c r="AD1315" s="209"/>
      <c r="AE1315" s="210"/>
      <c r="AF1315" s="210"/>
      <c r="AG1315" s="211">
        <f t="shared" si="426"/>
        <v>0.308</v>
      </c>
      <c r="AH1315" s="157">
        <f t="shared" si="427"/>
        <v>0</v>
      </c>
      <c r="AI1315" s="152">
        <f t="shared" si="428"/>
        <v>8388</v>
      </c>
      <c r="AK1315" s="156" t="s">
        <v>691</v>
      </c>
      <c r="AL1315" s="574" t="s">
        <v>690</v>
      </c>
      <c r="AM1315" s="198">
        <f t="shared" si="432"/>
        <v>0</v>
      </c>
      <c r="AN1315" s="199">
        <f t="shared" si="431"/>
        <v>45534</v>
      </c>
      <c r="AO1315" s="159" t="s">
        <v>692</v>
      </c>
      <c r="AP1315" s="781"/>
      <c r="AQ1315" s="782">
        <v>12063755</v>
      </c>
      <c r="AR1315" s="782">
        <v>12061353</v>
      </c>
      <c r="AS1315" s="782">
        <v>12061354</v>
      </c>
      <c r="AT1315" s="782">
        <v>12068566</v>
      </c>
      <c r="AU1315" s="781"/>
      <c r="AV1315" s="782">
        <v>12088206</v>
      </c>
      <c r="AW1315" s="782">
        <v>12088207</v>
      </c>
      <c r="AX1315" s="782"/>
      <c r="AY1315" s="782">
        <v>12068565</v>
      </c>
      <c r="AZ1315" s="782"/>
      <c r="BA1315" s="781"/>
    </row>
    <row r="1316" spans="1:53" ht="24.65" hidden="1" customHeight="1">
      <c r="A1316" s="142" t="s">
        <v>120</v>
      </c>
      <c r="B1316" s="357">
        <v>45534</v>
      </c>
      <c r="C1316" s="358">
        <v>45565</v>
      </c>
      <c r="D1316" s="185">
        <f t="shared" si="429"/>
        <v>2024</v>
      </c>
      <c r="E1316" s="359" t="str">
        <f>VLOOKUP($B1316,Week!$A$1:$C$1462,2,0)</f>
        <v>Week35</v>
      </c>
      <c r="F1316" s="360" t="str">
        <f t="shared" si="430"/>
        <v>Aug</v>
      </c>
      <c r="G1316" s="359" t="s">
        <v>1668</v>
      </c>
      <c r="H1316" s="359" t="s">
        <v>344</v>
      </c>
      <c r="I1316" s="359" t="s">
        <v>2772</v>
      </c>
      <c r="J1316" s="361" t="s">
        <v>345</v>
      </c>
      <c r="K1316" s="362" t="s">
        <v>355</v>
      </c>
      <c r="L1316" s="390" t="s">
        <v>2166</v>
      </c>
      <c r="M1316" s="361" t="s">
        <v>356</v>
      </c>
      <c r="N1316" s="359" t="s">
        <v>357</v>
      </c>
      <c r="O1316" s="359" t="s">
        <v>508</v>
      </c>
      <c r="P1316" s="363">
        <v>18</v>
      </c>
      <c r="Q1316" s="363">
        <v>8</v>
      </c>
      <c r="R1316" s="364">
        <v>6.0000000000000001E-3</v>
      </c>
      <c r="S1316" s="359" t="s">
        <v>55</v>
      </c>
      <c r="T1316" s="359" t="s">
        <v>56</v>
      </c>
      <c r="U1316" s="359" t="s">
        <v>89</v>
      </c>
      <c r="V1316" s="365">
        <f>300</f>
        <v>300</v>
      </c>
      <c r="W1316" s="365">
        <f>5+295</f>
        <v>300</v>
      </c>
      <c r="X1316" s="366"/>
      <c r="Y1316" s="367">
        <f t="shared" si="424"/>
        <v>0</v>
      </c>
      <c r="Z1316" s="368">
        <f t="shared" si="425"/>
        <v>0</v>
      </c>
      <c r="AA1316" s="368">
        <f>Q1316*Z1316</f>
        <v>0</v>
      </c>
      <c r="AB1316" s="819">
        <v>2</v>
      </c>
      <c r="AC1316" s="365">
        <f>Z1316*AB1316</f>
        <v>0</v>
      </c>
      <c r="AD1316" s="443"/>
      <c r="AE1316" s="210"/>
      <c r="AF1316" s="210"/>
      <c r="AG1316" s="211">
        <f>MID(O1316,1,2)/1000</f>
        <v>0.09</v>
      </c>
      <c r="AH1316" s="157">
        <f t="shared" si="427"/>
        <v>0</v>
      </c>
      <c r="AI1316" s="152">
        <f t="shared" si="428"/>
        <v>5400</v>
      </c>
      <c r="AK1316" s="156" t="s">
        <v>691</v>
      </c>
      <c r="AL1316" s="156" t="s">
        <v>689</v>
      </c>
      <c r="AM1316" s="198">
        <f t="shared" si="432"/>
        <v>0</v>
      </c>
      <c r="AN1316" s="199">
        <f t="shared" si="431"/>
        <v>45534</v>
      </c>
      <c r="AO1316" s="159" t="s">
        <v>692</v>
      </c>
      <c r="AP1316" s="781"/>
      <c r="AQ1316" s="782"/>
      <c r="AR1316" s="782" t="s">
        <v>531</v>
      </c>
      <c r="AS1316" s="782"/>
      <c r="AT1316" s="782"/>
      <c r="AU1316" s="782">
        <v>12054219</v>
      </c>
      <c r="AV1316" s="782">
        <v>12054239</v>
      </c>
      <c r="AW1316" s="782"/>
      <c r="AX1316" s="782" t="s">
        <v>532</v>
      </c>
      <c r="AY1316" s="782"/>
      <c r="AZ1316" s="782"/>
      <c r="BA1316" s="781"/>
    </row>
    <row r="1317" spans="1:53" ht="25" hidden="1" customHeight="1">
      <c r="A1317" s="142" t="s">
        <v>120</v>
      </c>
      <c r="B1317" s="369">
        <v>45534</v>
      </c>
      <c r="C1317" s="370">
        <v>45565</v>
      </c>
      <c r="D1317" s="185">
        <f t="shared" si="429"/>
        <v>2024</v>
      </c>
      <c r="E1317" s="371" t="str">
        <f>VLOOKUP($B1317,Week!$A$1:$C$1462,2,0)</f>
        <v>Week35</v>
      </c>
      <c r="F1317" s="372" t="str">
        <f t="shared" si="430"/>
        <v>Aug</v>
      </c>
      <c r="G1317" s="371" t="s">
        <v>1668</v>
      </c>
      <c r="H1317" s="371" t="s">
        <v>344</v>
      </c>
      <c r="I1317" s="371" t="s">
        <v>2772</v>
      </c>
      <c r="J1317" s="373" t="s">
        <v>345</v>
      </c>
      <c r="K1317" s="374" t="s">
        <v>153</v>
      </c>
      <c r="L1317" s="390" t="s">
        <v>2166</v>
      </c>
      <c r="M1317" s="373" t="s">
        <v>214</v>
      </c>
      <c r="N1317" s="371" t="s">
        <v>346</v>
      </c>
      <c r="O1317" s="371" t="s">
        <v>509</v>
      </c>
      <c r="P1317" s="375">
        <v>18</v>
      </c>
      <c r="Q1317" s="375">
        <v>8</v>
      </c>
      <c r="R1317" s="376">
        <v>6.8100000000000001E-3</v>
      </c>
      <c r="S1317" s="371" t="s">
        <v>76</v>
      </c>
      <c r="T1317" s="371" t="s">
        <v>56</v>
      </c>
      <c r="U1317" s="371" t="s">
        <v>89</v>
      </c>
      <c r="V1317" s="377">
        <v>1126</v>
      </c>
      <c r="W1317" s="377">
        <f>933+34</f>
        <v>967</v>
      </c>
      <c r="X1317" s="378">
        <f>(2862)/18</f>
        <v>159</v>
      </c>
      <c r="Y1317" s="379">
        <f t="shared" si="424"/>
        <v>0</v>
      </c>
      <c r="Z1317" s="380">
        <f t="shared" si="425"/>
        <v>0</v>
      </c>
      <c r="AA1317" s="380">
        <f>Q1317*Z1317</f>
        <v>0</v>
      </c>
      <c r="AB1317" s="820">
        <v>1</v>
      </c>
      <c r="AC1317" s="377">
        <f>Z1317*AB1317</f>
        <v>0</v>
      </c>
      <c r="AD1317" s="443"/>
      <c r="AE1317" s="210"/>
      <c r="AF1317" s="210"/>
      <c r="AG1317" s="211">
        <f t="shared" ref="AG1317:AG1326" si="433">MID(O1317,1,3)/1000</f>
        <v>0.10100000000000001</v>
      </c>
      <c r="AH1317" s="157">
        <f t="shared" si="427"/>
        <v>0</v>
      </c>
      <c r="AI1317" s="152">
        <f t="shared" si="428"/>
        <v>20268</v>
      </c>
      <c r="AK1317" s="156" t="s">
        <v>691</v>
      </c>
      <c r="AL1317" s="156" t="s">
        <v>689</v>
      </c>
      <c r="AM1317" s="198">
        <f t="shared" si="432"/>
        <v>0</v>
      </c>
      <c r="AN1317" s="199">
        <f t="shared" si="431"/>
        <v>45534</v>
      </c>
      <c r="AO1317" s="159" t="s">
        <v>692</v>
      </c>
      <c r="AP1317" s="781"/>
      <c r="AQ1317" s="781" t="s">
        <v>158</v>
      </c>
      <c r="AR1317" s="782">
        <v>12038019</v>
      </c>
      <c r="AS1317" s="781"/>
      <c r="AT1317" s="800">
        <v>12055751</v>
      </c>
      <c r="AU1317" s="781"/>
      <c r="AV1317" s="800">
        <v>12049471</v>
      </c>
      <c r="AW1317" s="781"/>
      <c r="AX1317" s="781" t="s">
        <v>162</v>
      </c>
      <c r="AY1317" s="781"/>
      <c r="AZ1317" s="781"/>
      <c r="BA1317" s="781"/>
    </row>
    <row r="1318" spans="1:53" ht="25" hidden="1" customHeight="1">
      <c r="B1318" s="213">
        <v>45535</v>
      </c>
      <c r="C1318" s="578">
        <v>45555</v>
      </c>
      <c r="D1318" s="185">
        <f t="shared" si="429"/>
        <v>2024</v>
      </c>
      <c r="E1318" s="215" t="str">
        <f>VLOOKUP($B1318,Week!$A$1:$C$1462,2,0)</f>
        <v>Week35</v>
      </c>
      <c r="F1318" s="216" t="str">
        <f t="shared" si="430"/>
        <v>Aug</v>
      </c>
      <c r="G1318" s="215" t="s">
        <v>1532</v>
      </c>
      <c r="H1318" s="215" t="s">
        <v>104</v>
      </c>
      <c r="I1318" s="215" t="s">
        <v>2772</v>
      </c>
      <c r="J1318" s="209" t="s">
        <v>105</v>
      </c>
      <c r="K1318" s="217" t="s">
        <v>107</v>
      </c>
      <c r="L1318" s="300" t="s">
        <v>2167</v>
      </c>
      <c r="M1318" s="209" t="s">
        <v>108</v>
      </c>
      <c r="N1318" s="215" t="s">
        <v>109</v>
      </c>
      <c r="O1318" s="215" t="s">
        <v>110</v>
      </c>
      <c r="P1318" s="218">
        <v>36</v>
      </c>
      <c r="Q1318" s="218">
        <v>5</v>
      </c>
      <c r="R1318" s="219">
        <v>7.4999999999999997E-3</v>
      </c>
      <c r="S1318" s="215" t="s">
        <v>111</v>
      </c>
      <c r="T1318" s="215" t="s">
        <v>112</v>
      </c>
      <c r="U1318" s="215" t="s">
        <v>113</v>
      </c>
      <c r="V1318" s="220">
        <f>792-233</f>
        <v>559</v>
      </c>
      <c r="W1318" s="220">
        <v>559</v>
      </c>
      <c r="X1318" s="221"/>
      <c r="Y1318" s="222">
        <f t="shared" si="424"/>
        <v>0</v>
      </c>
      <c r="Z1318" s="223">
        <f t="shared" si="425"/>
        <v>0</v>
      </c>
      <c r="AA1318" s="223"/>
      <c r="AB1318" s="807"/>
      <c r="AC1318" s="220"/>
      <c r="AD1318" s="209"/>
      <c r="AE1318" s="210"/>
      <c r="AF1318" s="210"/>
      <c r="AG1318" s="211">
        <f t="shared" si="433"/>
        <v>0.308</v>
      </c>
      <c r="AH1318" s="157">
        <f t="shared" si="427"/>
        <v>0</v>
      </c>
      <c r="AI1318" s="152">
        <f t="shared" si="428"/>
        <v>20124</v>
      </c>
      <c r="AK1318" s="156" t="s">
        <v>691</v>
      </c>
      <c r="AL1318" s="574" t="s">
        <v>690</v>
      </c>
      <c r="AM1318" s="198">
        <f t="shared" si="432"/>
        <v>0</v>
      </c>
      <c r="AN1318" s="199">
        <f t="shared" si="431"/>
        <v>45535</v>
      </c>
      <c r="AO1318" s="159" t="s">
        <v>692</v>
      </c>
      <c r="AP1318" s="781"/>
      <c r="AQ1318" s="782">
        <v>12063755</v>
      </c>
      <c r="AR1318" s="782">
        <v>12061353</v>
      </c>
      <c r="AS1318" s="782">
        <v>12061354</v>
      </c>
      <c r="AT1318" s="782">
        <v>12068566</v>
      </c>
      <c r="AU1318" s="781"/>
      <c r="AV1318" s="782">
        <v>12088206</v>
      </c>
      <c r="AW1318" s="782">
        <v>12088207</v>
      </c>
      <c r="AX1318" s="782"/>
      <c r="AY1318" s="782">
        <v>12068565</v>
      </c>
      <c r="AZ1318" s="782"/>
      <c r="BA1318" s="781"/>
    </row>
    <row r="1319" spans="1:53" ht="25" hidden="1" customHeight="1">
      <c r="B1319" s="213">
        <v>45535</v>
      </c>
      <c r="C1319" s="578">
        <v>45556</v>
      </c>
      <c r="D1319" s="185">
        <f t="shared" si="429"/>
        <v>2024</v>
      </c>
      <c r="E1319" s="215" t="str">
        <f>VLOOKUP($B1319,Week!$A$1:$C$1462,2,0)</f>
        <v>Week35</v>
      </c>
      <c r="F1319" s="216" t="str">
        <f t="shared" si="430"/>
        <v>Aug</v>
      </c>
      <c r="G1319" s="215" t="s">
        <v>1533</v>
      </c>
      <c r="H1319" s="215" t="s">
        <v>104</v>
      </c>
      <c r="I1319" s="215" t="s">
        <v>2772</v>
      </c>
      <c r="J1319" s="209" t="s">
        <v>105</v>
      </c>
      <c r="K1319" s="217" t="s">
        <v>107</v>
      </c>
      <c r="L1319" s="300" t="s">
        <v>2167</v>
      </c>
      <c r="M1319" s="209" t="s">
        <v>108</v>
      </c>
      <c r="N1319" s="215" t="s">
        <v>109</v>
      </c>
      <c r="O1319" s="215" t="s">
        <v>110</v>
      </c>
      <c r="P1319" s="218">
        <v>36</v>
      </c>
      <c r="Q1319" s="218">
        <v>5</v>
      </c>
      <c r="R1319" s="219">
        <v>7.4999999999999997E-3</v>
      </c>
      <c r="S1319" s="215" t="s">
        <v>111</v>
      </c>
      <c r="T1319" s="215" t="s">
        <v>112</v>
      </c>
      <c r="U1319" s="215" t="s">
        <v>113</v>
      </c>
      <c r="V1319" s="220">
        <v>792</v>
      </c>
      <c r="W1319" s="220">
        <v>792</v>
      </c>
      <c r="X1319" s="221"/>
      <c r="Y1319" s="222">
        <f t="shared" si="424"/>
        <v>0</v>
      </c>
      <c r="Z1319" s="223">
        <f t="shared" si="425"/>
        <v>0</v>
      </c>
      <c r="AA1319" s="223"/>
      <c r="AB1319" s="807"/>
      <c r="AC1319" s="220"/>
      <c r="AD1319" s="209"/>
      <c r="AE1319" s="210"/>
      <c r="AF1319" s="210"/>
      <c r="AG1319" s="211">
        <f t="shared" si="433"/>
        <v>0.308</v>
      </c>
      <c r="AH1319" s="157">
        <f t="shared" si="427"/>
        <v>0</v>
      </c>
      <c r="AI1319" s="152">
        <f t="shared" si="428"/>
        <v>28512</v>
      </c>
      <c r="AK1319" s="156" t="s">
        <v>691</v>
      </c>
      <c r="AL1319" s="574" t="s">
        <v>690</v>
      </c>
      <c r="AM1319" s="198">
        <f t="shared" si="432"/>
        <v>0</v>
      </c>
      <c r="AN1319" s="199">
        <f t="shared" si="431"/>
        <v>45535</v>
      </c>
      <c r="AO1319" s="159" t="s">
        <v>692</v>
      </c>
      <c r="AP1319" s="781"/>
      <c r="AQ1319" s="782">
        <v>12063755</v>
      </c>
      <c r="AR1319" s="782">
        <v>12061353</v>
      </c>
      <c r="AS1319" s="782">
        <v>12061354</v>
      </c>
      <c r="AT1319" s="782">
        <v>12068566</v>
      </c>
      <c r="AU1319" s="781"/>
      <c r="AV1319" s="782">
        <v>12088206</v>
      </c>
      <c r="AW1319" s="782">
        <v>12088207</v>
      </c>
      <c r="AX1319" s="782"/>
      <c r="AY1319" s="782">
        <v>12068565</v>
      </c>
      <c r="AZ1319" s="782"/>
      <c r="BA1319" s="781"/>
    </row>
    <row r="1320" spans="1:53" ht="25" hidden="1" customHeight="1">
      <c r="B1320" s="213">
        <v>45535</v>
      </c>
      <c r="C1320" s="578">
        <v>45556</v>
      </c>
      <c r="D1320" s="185">
        <f t="shared" si="429"/>
        <v>2024</v>
      </c>
      <c r="E1320" s="215" t="str">
        <f>VLOOKUP($B1320,Week!$A$1:$C$1462,2,0)</f>
        <v>Week35</v>
      </c>
      <c r="F1320" s="216" t="str">
        <f t="shared" si="430"/>
        <v>Aug</v>
      </c>
      <c r="G1320" s="215" t="s">
        <v>1534</v>
      </c>
      <c r="H1320" s="215" t="s">
        <v>104</v>
      </c>
      <c r="I1320" s="215" t="s">
        <v>2772</v>
      </c>
      <c r="J1320" s="209" t="s">
        <v>105</v>
      </c>
      <c r="K1320" s="217" t="s">
        <v>107</v>
      </c>
      <c r="L1320" s="300" t="s">
        <v>2167</v>
      </c>
      <c r="M1320" s="209" t="s">
        <v>108</v>
      </c>
      <c r="N1320" s="215" t="s">
        <v>109</v>
      </c>
      <c r="O1320" s="215" t="s">
        <v>110</v>
      </c>
      <c r="P1320" s="218">
        <v>36</v>
      </c>
      <c r="Q1320" s="218">
        <v>5</v>
      </c>
      <c r="R1320" s="219">
        <v>7.4999999999999997E-3</v>
      </c>
      <c r="S1320" s="215" t="s">
        <v>111</v>
      </c>
      <c r="T1320" s="215" t="s">
        <v>112</v>
      </c>
      <c r="U1320" s="215" t="s">
        <v>113</v>
      </c>
      <c r="V1320" s="220">
        <v>792</v>
      </c>
      <c r="W1320" s="220">
        <v>792</v>
      </c>
      <c r="X1320" s="221"/>
      <c r="Y1320" s="222">
        <f t="shared" si="424"/>
        <v>0</v>
      </c>
      <c r="Z1320" s="223">
        <f t="shared" si="425"/>
        <v>0</v>
      </c>
      <c r="AA1320" s="223"/>
      <c r="AB1320" s="807"/>
      <c r="AC1320" s="220"/>
      <c r="AD1320" s="209"/>
      <c r="AE1320" s="210"/>
      <c r="AF1320" s="210"/>
      <c r="AG1320" s="211">
        <f t="shared" si="433"/>
        <v>0.308</v>
      </c>
      <c r="AH1320" s="157">
        <f t="shared" si="427"/>
        <v>0</v>
      </c>
      <c r="AI1320" s="152">
        <f t="shared" si="428"/>
        <v>28512</v>
      </c>
      <c r="AK1320" s="156" t="s">
        <v>691</v>
      </c>
      <c r="AL1320" s="574" t="s">
        <v>690</v>
      </c>
      <c r="AM1320" s="198">
        <f t="shared" si="432"/>
        <v>0</v>
      </c>
      <c r="AN1320" s="199">
        <f t="shared" si="431"/>
        <v>45535</v>
      </c>
      <c r="AO1320" s="159" t="s">
        <v>692</v>
      </c>
      <c r="AP1320" s="781"/>
      <c r="AQ1320" s="782">
        <v>12063755</v>
      </c>
      <c r="AR1320" s="782">
        <v>12061353</v>
      </c>
      <c r="AS1320" s="782">
        <v>12061354</v>
      </c>
      <c r="AT1320" s="782">
        <v>12068566</v>
      </c>
      <c r="AU1320" s="781"/>
      <c r="AV1320" s="782">
        <v>12088206</v>
      </c>
      <c r="AW1320" s="782">
        <v>12088207</v>
      </c>
      <c r="AX1320" s="782"/>
      <c r="AY1320" s="782">
        <v>12068565</v>
      </c>
      <c r="AZ1320" s="782"/>
      <c r="BA1320" s="781"/>
    </row>
    <row r="1321" spans="1:53" ht="25" hidden="1" customHeight="1">
      <c r="B1321" s="213">
        <v>45535</v>
      </c>
      <c r="C1321" s="578">
        <v>45558</v>
      </c>
      <c r="D1321" s="185">
        <f t="shared" si="429"/>
        <v>2024</v>
      </c>
      <c r="E1321" s="215" t="str">
        <f>VLOOKUP($B1321,Week!$A$1:$C$1462,2,0)</f>
        <v>Week35</v>
      </c>
      <c r="F1321" s="216" t="str">
        <f t="shared" si="430"/>
        <v>Aug</v>
      </c>
      <c r="G1321" s="215" t="s">
        <v>1535</v>
      </c>
      <c r="H1321" s="215" t="s">
        <v>104</v>
      </c>
      <c r="I1321" s="215" t="s">
        <v>2772</v>
      </c>
      <c r="J1321" s="209" t="s">
        <v>105</v>
      </c>
      <c r="K1321" s="217" t="s">
        <v>107</v>
      </c>
      <c r="L1321" s="300" t="s">
        <v>2167</v>
      </c>
      <c r="M1321" s="209" t="s">
        <v>108</v>
      </c>
      <c r="N1321" s="215" t="s">
        <v>109</v>
      </c>
      <c r="O1321" s="215" t="s">
        <v>110</v>
      </c>
      <c r="P1321" s="218">
        <v>36</v>
      </c>
      <c r="Q1321" s="218">
        <v>5</v>
      </c>
      <c r="R1321" s="219">
        <v>7.4999999999999997E-3</v>
      </c>
      <c r="S1321" s="215" t="s">
        <v>111</v>
      </c>
      <c r="T1321" s="215" t="s">
        <v>112</v>
      </c>
      <c r="U1321" s="215" t="s">
        <v>113</v>
      </c>
      <c r="V1321" s="220">
        <v>792</v>
      </c>
      <c r="W1321" s="220">
        <v>792</v>
      </c>
      <c r="X1321" s="221"/>
      <c r="Y1321" s="222">
        <f t="shared" si="424"/>
        <v>0</v>
      </c>
      <c r="Z1321" s="223">
        <f t="shared" si="425"/>
        <v>0</v>
      </c>
      <c r="AA1321" s="223"/>
      <c r="AB1321" s="807"/>
      <c r="AC1321" s="220"/>
      <c r="AD1321" s="209"/>
      <c r="AE1321" s="210"/>
      <c r="AF1321" s="210"/>
      <c r="AG1321" s="211">
        <f t="shared" si="433"/>
        <v>0.308</v>
      </c>
      <c r="AH1321" s="157">
        <f t="shared" si="427"/>
        <v>0</v>
      </c>
      <c r="AI1321" s="152">
        <f t="shared" si="428"/>
        <v>28512</v>
      </c>
      <c r="AK1321" s="156" t="s">
        <v>691</v>
      </c>
      <c r="AL1321" s="574" t="s">
        <v>690</v>
      </c>
      <c r="AM1321" s="198">
        <f t="shared" si="432"/>
        <v>0</v>
      </c>
      <c r="AN1321" s="199">
        <f t="shared" si="431"/>
        <v>45535</v>
      </c>
      <c r="AO1321" s="159" t="s">
        <v>692</v>
      </c>
      <c r="AP1321" s="781"/>
      <c r="AQ1321" s="782">
        <v>12063755</v>
      </c>
      <c r="AR1321" s="782">
        <v>12061353</v>
      </c>
      <c r="AS1321" s="782">
        <v>12061354</v>
      </c>
      <c r="AT1321" s="782">
        <v>12068566</v>
      </c>
      <c r="AU1321" s="781"/>
      <c r="AV1321" s="782">
        <v>12088206</v>
      </c>
      <c r="AW1321" s="782">
        <v>12088207</v>
      </c>
      <c r="AX1321" s="782"/>
      <c r="AY1321" s="782">
        <v>12068565</v>
      </c>
      <c r="AZ1321" s="782"/>
      <c r="BA1321" s="781"/>
    </row>
    <row r="1322" spans="1:53" ht="25" hidden="1" customHeight="1">
      <c r="B1322" s="213">
        <v>45535</v>
      </c>
      <c r="C1322" s="578">
        <v>45558</v>
      </c>
      <c r="D1322" s="185">
        <f t="shared" si="429"/>
        <v>2024</v>
      </c>
      <c r="E1322" s="215" t="str">
        <f>VLOOKUP($B1322,Week!$A$1:$C$1462,2,0)</f>
        <v>Week35</v>
      </c>
      <c r="F1322" s="216" t="str">
        <f t="shared" si="430"/>
        <v>Aug</v>
      </c>
      <c r="G1322" s="215" t="s">
        <v>1536</v>
      </c>
      <c r="H1322" s="215" t="s">
        <v>104</v>
      </c>
      <c r="I1322" s="215" t="s">
        <v>2772</v>
      </c>
      <c r="J1322" s="209" t="s">
        <v>105</v>
      </c>
      <c r="K1322" s="217" t="s">
        <v>107</v>
      </c>
      <c r="L1322" s="300" t="s">
        <v>2167</v>
      </c>
      <c r="M1322" s="209" t="s">
        <v>108</v>
      </c>
      <c r="N1322" s="215" t="s">
        <v>109</v>
      </c>
      <c r="O1322" s="215" t="s">
        <v>110</v>
      </c>
      <c r="P1322" s="218">
        <v>36</v>
      </c>
      <c r="Q1322" s="218">
        <v>5</v>
      </c>
      <c r="R1322" s="219">
        <v>7.4999999999999997E-3</v>
      </c>
      <c r="S1322" s="215" t="s">
        <v>111</v>
      </c>
      <c r="T1322" s="215" t="s">
        <v>112</v>
      </c>
      <c r="U1322" s="215" t="s">
        <v>113</v>
      </c>
      <c r="V1322" s="220">
        <f>613+55+48</f>
        <v>716</v>
      </c>
      <c r="W1322" s="220">
        <f>3276-559-792-792-792+55</f>
        <v>396</v>
      </c>
      <c r="X1322" s="221">
        <f>160+112+48</f>
        <v>320</v>
      </c>
      <c r="Y1322" s="222">
        <f t="shared" si="424"/>
        <v>0</v>
      </c>
      <c r="Z1322" s="223">
        <f t="shared" si="425"/>
        <v>0</v>
      </c>
      <c r="AA1322" s="223"/>
      <c r="AB1322" s="807"/>
      <c r="AC1322" s="220"/>
      <c r="AD1322" s="209"/>
      <c r="AE1322" s="210"/>
      <c r="AF1322" s="210"/>
      <c r="AG1322" s="211">
        <f t="shared" si="433"/>
        <v>0.308</v>
      </c>
      <c r="AH1322" s="157">
        <f t="shared" si="427"/>
        <v>0</v>
      </c>
      <c r="AI1322" s="152">
        <f t="shared" si="428"/>
        <v>25776</v>
      </c>
      <c r="AK1322" s="156" t="s">
        <v>691</v>
      </c>
      <c r="AL1322" s="574" t="s">
        <v>690</v>
      </c>
      <c r="AM1322" s="198">
        <f t="shared" si="432"/>
        <v>0</v>
      </c>
      <c r="AN1322" s="199">
        <f t="shared" si="431"/>
        <v>45535</v>
      </c>
      <c r="AO1322" s="159" t="s">
        <v>692</v>
      </c>
      <c r="AP1322" s="781"/>
      <c r="AQ1322" s="782">
        <v>12063755</v>
      </c>
      <c r="AR1322" s="782">
        <v>12061353</v>
      </c>
      <c r="AS1322" s="782">
        <v>12061354</v>
      </c>
      <c r="AT1322" s="782">
        <v>12068566</v>
      </c>
      <c r="AU1322" s="781"/>
      <c r="AV1322" s="782">
        <v>12088206</v>
      </c>
      <c r="AW1322" s="782">
        <v>12088207</v>
      </c>
      <c r="AX1322" s="782"/>
      <c r="AY1322" s="782">
        <v>12068565</v>
      </c>
      <c r="AZ1322" s="782"/>
      <c r="BA1322" s="781"/>
    </row>
    <row r="1323" spans="1:53" ht="24.65" hidden="1" customHeight="1">
      <c r="B1323" s="466">
        <v>45535</v>
      </c>
      <c r="C1323" s="467">
        <v>45547</v>
      </c>
      <c r="D1323" s="185">
        <f t="shared" si="429"/>
        <v>2024</v>
      </c>
      <c r="E1323" s="467" t="str">
        <f>VLOOKUP($B1323,Week!$A$1:$C$1462,2,0)</f>
        <v>Week35</v>
      </c>
      <c r="F1323" s="469" t="str">
        <f t="shared" si="430"/>
        <v>Aug</v>
      </c>
      <c r="G1323" s="468" t="s">
        <v>1580</v>
      </c>
      <c r="H1323" s="468" t="s">
        <v>675</v>
      </c>
      <c r="I1323" s="468" t="s">
        <v>2772</v>
      </c>
      <c r="J1323" s="471" t="s">
        <v>709</v>
      </c>
      <c r="K1323" s="472" t="s">
        <v>107</v>
      </c>
      <c r="L1323" s="300" t="s">
        <v>2167</v>
      </c>
      <c r="M1323" s="471" t="s">
        <v>313</v>
      </c>
      <c r="N1323" s="617" t="s">
        <v>696</v>
      </c>
      <c r="O1323" s="468" t="s">
        <v>110</v>
      </c>
      <c r="P1323" s="473">
        <v>36</v>
      </c>
      <c r="Q1323" s="473">
        <v>5</v>
      </c>
      <c r="R1323" s="474">
        <v>7.4999999999999997E-3</v>
      </c>
      <c r="S1323" s="468" t="s">
        <v>111</v>
      </c>
      <c r="T1323" s="468" t="s">
        <v>112</v>
      </c>
      <c r="U1323" s="468" t="s">
        <v>57</v>
      </c>
      <c r="V1323" s="475">
        <v>320</v>
      </c>
      <c r="W1323" s="475">
        <f>311</f>
        <v>311</v>
      </c>
      <c r="X1323" s="476">
        <f>(306+18)/36</f>
        <v>9</v>
      </c>
      <c r="Y1323" s="477">
        <f t="shared" si="424"/>
        <v>0</v>
      </c>
      <c r="Z1323" s="478">
        <f t="shared" si="425"/>
        <v>0</v>
      </c>
      <c r="AA1323" s="478"/>
      <c r="AB1323" s="828"/>
      <c r="AC1323" s="475"/>
      <c r="AD1323" s="515"/>
      <c r="AE1323" s="210"/>
      <c r="AF1323" s="210"/>
      <c r="AG1323" s="211">
        <f t="shared" si="433"/>
        <v>0.308</v>
      </c>
      <c r="AH1323" s="157">
        <f t="shared" si="427"/>
        <v>0</v>
      </c>
      <c r="AI1323" s="152">
        <f t="shared" si="428"/>
        <v>11520</v>
      </c>
      <c r="AK1323" s="156" t="s">
        <v>691</v>
      </c>
      <c r="AL1323" s="212" t="s">
        <v>690</v>
      </c>
      <c r="AM1323" s="198">
        <f t="shared" si="432"/>
        <v>0</v>
      </c>
      <c r="AN1323" s="199">
        <f t="shared" si="431"/>
        <v>45535</v>
      </c>
      <c r="AO1323" s="159" t="s">
        <v>692</v>
      </c>
      <c r="AP1323" s="783" t="s">
        <v>644</v>
      </c>
      <c r="AQ1323" s="782">
        <v>12063755</v>
      </c>
      <c r="AR1323" s="782">
        <v>12061353</v>
      </c>
      <c r="AS1323" s="782">
        <v>12061354</v>
      </c>
      <c r="AT1323" s="782">
        <v>12089990</v>
      </c>
      <c r="AU1323" s="781"/>
      <c r="AV1323" s="782">
        <v>12089997</v>
      </c>
      <c r="AW1323" s="782">
        <v>12088207</v>
      </c>
      <c r="AX1323" s="782"/>
      <c r="AY1323" s="782">
        <v>12089998</v>
      </c>
      <c r="AZ1323" s="782"/>
      <c r="BA1323" s="781"/>
    </row>
    <row r="1324" spans="1:53" ht="24.65" hidden="1" customHeight="1">
      <c r="B1324" s="466">
        <v>45535</v>
      </c>
      <c r="C1324" s="467">
        <v>45554</v>
      </c>
      <c r="D1324" s="185">
        <f t="shared" si="429"/>
        <v>2024</v>
      </c>
      <c r="E1324" s="467" t="str">
        <f>VLOOKUP($B1324,Week!$A$1:$C$1462,2,0)</f>
        <v>Week35</v>
      </c>
      <c r="F1324" s="469" t="str">
        <f t="shared" si="430"/>
        <v>Aug</v>
      </c>
      <c r="G1324" s="468" t="s">
        <v>1581</v>
      </c>
      <c r="H1324" s="468" t="s">
        <v>675</v>
      </c>
      <c r="I1324" s="468" t="s">
        <v>2772</v>
      </c>
      <c r="J1324" s="471" t="s">
        <v>709</v>
      </c>
      <c r="K1324" s="472" t="s">
        <v>107</v>
      </c>
      <c r="L1324" s="300" t="s">
        <v>2167</v>
      </c>
      <c r="M1324" s="471" t="s">
        <v>313</v>
      </c>
      <c r="N1324" s="617" t="s">
        <v>696</v>
      </c>
      <c r="O1324" s="468" t="s">
        <v>110</v>
      </c>
      <c r="P1324" s="473">
        <v>36</v>
      </c>
      <c r="Q1324" s="473">
        <v>5</v>
      </c>
      <c r="R1324" s="474">
        <v>7.4999999999999997E-3</v>
      </c>
      <c r="S1324" s="468" t="s">
        <v>111</v>
      </c>
      <c r="T1324" s="468" t="s">
        <v>112</v>
      </c>
      <c r="U1324" s="468" t="s">
        <v>57</v>
      </c>
      <c r="V1324" s="475">
        <v>320</v>
      </c>
      <c r="W1324" s="475">
        <f>631-311</f>
        <v>320</v>
      </c>
      <c r="X1324" s="476"/>
      <c r="Y1324" s="477">
        <f t="shared" si="424"/>
        <v>0</v>
      </c>
      <c r="Z1324" s="478">
        <f t="shared" si="425"/>
        <v>0</v>
      </c>
      <c r="AA1324" s="478"/>
      <c r="AB1324" s="828"/>
      <c r="AC1324" s="475"/>
      <c r="AD1324" s="515"/>
      <c r="AE1324" s="210"/>
      <c r="AF1324" s="210"/>
      <c r="AG1324" s="211">
        <f t="shared" si="433"/>
        <v>0.308</v>
      </c>
      <c r="AH1324" s="157">
        <f t="shared" si="427"/>
        <v>0</v>
      </c>
      <c r="AI1324" s="152">
        <f t="shared" si="428"/>
        <v>11520</v>
      </c>
      <c r="AK1324" s="156" t="s">
        <v>691</v>
      </c>
      <c r="AL1324" s="212" t="s">
        <v>690</v>
      </c>
      <c r="AM1324" s="198">
        <f t="shared" si="432"/>
        <v>0</v>
      </c>
      <c r="AN1324" s="199">
        <f t="shared" si="431"/>
        <v>45535</v>
      </c>
      <c r="AO1324" s="159" t="s">
        <v>692</v>
      </c>
      <c r="AP1324" s="783" t="s">
        <v>644</v>
      </c>
      <c r="AQ1324" s="782">
        <v>12063755</v>
      </c>
      <c r="AR1324" s="782">
        <v>12061353</v>
      </c>
      <c r="AS1324" s="782">
        <v>12061354</v>
      </c>
      <c r="AT1324" s="782">
        <v>12089990</v>
      </c>
      <c r="AU1324" s="781"/>
      <c r="AV1324" s="782">
        <v>12089997</v>
      </c>
      <c r="AW1324" s="782">
        <v>12088207</v>
      </c>
      <c r="AX1324" s="782"/>
      <c r="AY1324" s="782">
        <v>12089998</v>
      </c>
      <c r="AZ1324" s="782"/>
      <c r="BA1324" s="781"/>
    </row>
    <row r="1325" spans="1:53" ht="25" hidden="1" customHeight="1">
      <c r="A1325" s="142" t="s">
        <v>120</v>
      </c>
      <c r="B1325" s="581">
        <v>45535</v>
      </c>
      <c r="C1325" s="333">
        <v>45542</v>
      </c>
      <c r="D1325" s="185">
        <f t="shared" si="429"/>
        <v>2024</v>
      </c>
      <c r="E1325" s="335" t="str">
        <f>VLOOKUP($B1325,Week!$A$1:$C$1462,2,0)</f>
        <v>Week35</v>
      </c>
      <c r="F1325" s="334" t="str">
        <f t="shared" si="430"/>
        <v>Aug</v>
      </c>
      <c r="G1325" s="530" t="s">
        <v>1735</v>
      </c>
      <c r="H1325" s="335" t="s">
        <v>82</v>
      </c>
      <c r="I1325" s="335" t="s">
        <v>82</v>
      </c>
      <c r="J1325" s="336" t="s">
        <v>235</v>
      </c>
      <c r="K1325" s="337" t="s">
        <v>85</v>
      </c>
      <c r="L1325" s="390" t="s">
        <v>2166</v>
      </c>
      <c r="M1325" s="336" t="s">
        <v>86</v>
      </c>
      <c r="N1325" s="335" t="s">
        <v>273</v>
      </c>
      <c r="O1325" s="335" t="s">
        <v>507</v>
      </c>
      <c r="P1325" s="338">
        <v>8</v>
      </c>
      <c r="Q1325" s="338">
        <v>50</v>
      </c>
      <c r="R1325" s="339">
        <v>6.8100000000000001E-3</v>
      </c>
      <c r="S1325" s="335" t="s">
        <v>76</v>
      </c>
      <c r="T1325" s="335" t="s">
        <v>56</v>
      </c>
      <c r="U1325" s="335" t="s">
        <v>89</v>
      </c>
      <c r="V1325" s="341">
        <f>350</f>
        <v>350</v>
      </c>
      <c r="W1325" s="341">
        <f>350</f>
        <v>350</v>
      </c>
      <c r="X1325" s="342"/>
      <c r="Y1325" s="343">
        <f t="shared" si="424"/>
        <v>0</v>
      </c>
      <c r="Z1325" s="344">
        <f t="shared" si="425"/>
        <v>0</v>
      </c>
      <c r="AA1325" s="344">
        <f>Q1325*Z1325</f>
        <v>0</v>
      </c>
      <c r="AB1325" s="817">
        <v>6</v>
      </c>
      <c r="AC1325" s="341">
        <f>Z1325*AB1325</f>
        <v>0</v>
      </c>
      <c r="AD1325" s="443"/>
      <c r="AE1325" s="210"/>
      <c r="AF1325" s="210"/>
      <c r="AG1325" s="211">
        <f t="shared" si="433"/>
        <v>0.63</v>
      </c>
      <c r="AH1325" s="157">
        <f t="shared" si="427"/>
        <v>0</v>
      </c>
      <c r="AI1325" s="152">
        <f t="shared" si="428"/>
        <v>2800</v>
      </c>
      <c r="AK1325" s="156" t="s">
        <v>691</v>
      </c>
      <c r="AL1325" s="156" t="s">
        <v>689</v>
      </c>
      <c r="AM1325" s="198">
        <f t="shared" si="432"/>
        <v>0</v>
      </c>
      <c r="AN1325" s="199">
        <f t="shared" si="431"/>
        <v>45535</v>
      </c>
      <c r="AO1325" s="159" t="s">
        <v>692</v>
      </c>
      <c r="AP1325" s="781"/>
      <c r="AQ1325" s="782">
        <v>12004862</v>
      </c>
      <c r="AR1325" s="782">
        <v>12055234</v>
      </c>
      <c r="AS1325" s="782"/>
      <c r="AT1325" s="782">
        <v>12056345</v>
      </c>
      <c r="AU1325" s="781"/>
      <c r="AV1325" s="782">
        <v>12056200</v>
      </c>
      <c r="AW1325" s="782"/>
      <c r="AX1325" s="782" t="s">
        <v>93</v>
      </c>
      <c r="AY1325" s="782"/>
      <c r="AZ1325" s="782"/>
      <c r="BA1325" s="781"/>
    </row>
    <row r="1326" spans="1:53" ht="25" hidden="1" customHeight="1">
      <c r="A1326" s="142" t="s">
        <v>120</v>
      </c>
      <c r="B1326" s="369">
        <v>45535</v>
      </c>
      <c r="C1326" s="370">
        <v>45565</v>
      </c>
      <c r="D1326" s="185">
        <f t="shared" si="429"/>
        <v>2024</v>
      </c>
      <c r="E1326" s="371" t="str">
        <f>VLOOKUP($B1326,Week!$A$1:$C$1462,2,0)</f>
        <v>Week35</v>
      </c>
      <c r="F1326" s="372" t="str">
        <f t="shared" si="430"/>
        <v>Aug</v>
      </c>
      <c r="G1326" s="371" t="s">
        <v>1668</v>
      </c>
      <c r="H1326" s="371" t="s">
        <v>344</v>
      </c>
      <c r="I1326" s="371" t="s">
        <v>2772</v>
      </c>
      <c r="J1326" s="373" t="s">
        <v>345</v>
      </c>
      <c r="K1326" s="374" t="s">
        <v>153</v>
      </c>
      <c r="L1326" s="390" t="s">
        <v>2166</v>
      </c>
      <c r="M1326" s="373" t="s">
        <v>214</v>
      </c>
      <c r="N1326" s="371" t="s">
        <v>346</v>
      </c>
      <c r="O1326" s="371" t="s">
        <v>509</v>
      </c>
      <c r="P1326" s="375">
        <v>18</v>
      </c>
      <c r="Q1326" s="375">
        <v>8</v>
      </c>
      <c r="R1326" s="376">
        <v>6.8100000000000001E-3</v>
      </c>
      <c r="S1326" s="371" t="s">
        <v>76</v>
      </c>
      <c r="T1326" s="371" t="s">
        <v>56</v>
      </c>
      <c r="U1326" s="371" t="s">
        <v>89</v>
      </c>
      <c r="V1326" s="377">
        <f>1600-1126</f>
        <v>474</v>
      </c>
      <c r="W1326" s="377">
        <f>474</f>
        <v>474</v>
      </c>
      <c r="X1326" s="378"/>
      <c r="Y1326" s="379">
        <f t="shared" si="424"/>
        <v>0</v>
      </c>
      <c r="Z1326" s="380">
        <f t="shared" si="425"/>
        <v>0</v>
      </c>
      <c r="AA1326" s="380">
        <f>Q1326*Z1326</f>
        <v>0</v>
      </c>
      <c r="AB1326" s="820">
        <v>1</v>
      </c>
      <c r="AC1326" s="377">
        <f>Z1326*AB1326</f>
        <v>0</v>
      </c>
      <c r="AD1326" s="443"/>
      <c r="AE1326" s="210"/>
      <c r="AF1326" s="210"/>
      <c r="AG1326" s="211">
        <f t="shared" si="433"/>
        <v>0.10100000000000001</v>
      </c>
      <c r="AH1326" s="157">
        <f t="shared" si="427"/>
        <v>0</v>
      </c>
      <c r="AI1326" s="152">
        <f t="shared" si="428"/>
        <v>8532</v>
      </c>
      <c r="AK1326" s="156" t="s">
        <v>691</v>
      </c>
      <c r="AL1326" s="156" t="s">
        <v>689</v>
      </c>
      <c r="AM1326" s="198">
        <f t="shared" si="432"/>
        <v>0</v>
      </c>
      <c r="AN1326" s="199">
        <f t="shared" si="431"/>
        <v>45535</v>
      </c>
      <c r="AO1326" s="159" t="s">
        <v>692</v>
      </c>
      <c r="AP1326" s="781"/>
      <c r="AQ1326" s="781" t="s">
        <v>158</v>
      </c>
      <c r="AR1326" s="782">
        <v>12038019</v>
      </c>
      <c r="AS1326" s="781"/>
      <c r="AT1326" s="800">
        <v>12055751</v>
      </c>
      <c r="AU1326" s="781"/>
      <c r="AV1326" s="800">
        <v>12049471</v>
      </c>
      <c r="AW1326" s="781"/>
      <c r="AX1326" s="781" t="s">
        <v>162</v>
      </c>
      <c r="AY1326" s="781"/>
      <c r="AZ1326" s="781"/>
      <c r="BA1326" s="781"/>
    </row>
    <row r="1327" spans="1:53" ht="25" hidden="1" customHeight="1">
      <c r="B1327" s="183">
        <v>45536</v>
      </c>
      <c r="C1327" s="184"/>
      <c r="D1327" s="185">
        <f t="shared" si="429"/>
        <v>2024</v>
      </c>
      <c r="E1327" s="185" t="str">
        <f>VLOOKUP($B1327,Week!$A$1:$C$1462,2,0)</f>
        <v>Week35</v>
      </c>
      <c r="F1327" s="186" t="str">
        <f t="shared" si="430"/>
        <v>Sep</v>
      </c>
      <c r="G1327" s="185"/>
      <c r="H1327" s="185"/>
      <c r="I1327" s="185"/>
      <c r="J1327" s="187"/>
      <c r="K1327" s="188"/>
      <c r="L1327" s="300"/>
      <c r="M1327" s="187"/>
      <c r="N1327" s="185"/>
      <c r="O1327" s="185"/>
      <c r="P1327" s="189"/>
      <c r="Q1327" s="189"/>
      <c r="R1327" s="190"/>
      <c r="S1327" s="185"/>
      <c r="T1327" s="185"/>
      <c r="U1327" s="185"/>
      <c r="V1327" s="191"/>
      <c r="W1327" s="191"/>
      <c r="X1327" s="192"/>
      <c r="Y1327" s="193"/>
      <c r="Z1327" s="194"/>
      <c r="AA1327" s="194"/>
      <c r="AB1327" s="805"/>
      <c r="AC1327" s="191"/>
      <c r="AD1327" s="187"/>
      <c r="AE1327" s="195"/>
      <c r="AF1327" s="195"/>
      <c r="AG1327" s="196"/>
      <c r="AH1327" s="197"/>
      <c r="AK1327" s="156" t="s">
        <v>691</v>
      </c>
      <c r="AM1327" s="198">
        <f t="shared" si="432"/>
        <v>0</v>
      </c>
      <c r="AN1327" s="199">
        <f t="shared" si="431"/>
        <v>45536</v>
      </c>
      <c r="AO1327" s="159" t="s">
        <v>692</v>
      </c>
      <c r="AP1327" s="781"/>
      <c r="AQ1327" s="782"/>
      <c r="AR1327" s="782"/>
      <c r="AS1327" s="782"/>
      <c r="AT1327" s="782"/>
      <c r="AU1327" s="781"/>
      <c r="AV1327" s="782"/>
      <c r="AW1327" s="782"/>
      <c r="AX1327" s="782"/>
      <c r="AY1327" s="782"/>
      <c r="AZ1327" s="782"/>
      <c r="BA1327" s="781"/>
    </row>
    <row r="1328" spans="1:53" ht="25" hidden="1" customHeight="1">
      <c r="A1328" s="142" t="s">
        <v>120</v>
      </c>
      <c r="B1328" s="466">
        <v>45537</v>
      </c>
      <c r="C1328" s="467">
        <v>45552</v>
      </c>
      <c r="D1328" s="185">
        <f t="shared" si="429"/>
        <v>2024</v>
      </c>
      <c r="E1328" s="468" t="str">
        <f>VLOOKUP($B1328,Week!$A$1:$C$1462,2,0)</f>
        <v>Week36</v>
      </c>
      <c r="F1328" s="469" t="str">
        <f t="shared" si="430"/>
        <v>Sep</v>
      </c>
      <c r="G1328" s="470" t="s">
        <v>1624</v>
      </c>
      <c r="H1328" s="468" t="s">
        <v>82</v>
      </c>
      <c r="I1328" s="468" t="s">
        <v>82</v>
      </c>
      <c r="J1328" s="471" t="s">
        <v>720</v>
      </c>
      <c r="K1328" s="472" t="s">
        <v>85</v>
      </c>
      <c r="L1328" s="390" t="s">
        <v>2166</v>
      </c>
      <c r="M1328" s="471" t="s">
        <v>579</v>
      </c>
      <c r="N1328" s="468" t="s">
        <v>580</v>
      </c>
      <c r="O1328" s="468" t="s">
        <v>581</v>
      </c>
      <c r="P1328" s="473">
        <v>8</v>
      </c>
      <c r="Q1328" s="473">
        <v>60</v>
      </c>
      <c r="R1328" s="474">
        <v>6.8100000000000001E-3</v>
      </c>
      <c r="S1328" s="468" t="s">
        <v>76</v>
      </c>
      <c r="T1328" s="468" t="s">
        <v>56</v>
      </c>
      <c r="U1328" s="468" t="s">
        <v>89</v>
      </c>
      <c r="V1328" s="475">
        <f>1408</f>
        <v>1408</v>
      </c>
      <c r="W1328" s="475">
        <f>35+1373</f>
        <v>1408</v>
      </c>
      <c r="X1328" s="476"/>
      <c r="Y1328" s="477">
        <f t="shared" ref="Y1328:Y1351" si="434">(W1328+X1328)-V1328</f>
        <v>0</v>
      </c>
      <c r="Z1328" s="478">
        <f t="shared" ref="Z1328:Z1351" si="435">IF(Y1328&lt;0,((V1328*P1328)-((W1328+X1328)*P1328)),0)</f>
        <v>0</v>
      </c>
      <c r="AA1328" s="478">
        <f>Q1328*Z1328</f>
        <v>0</v>
      </c>
      <c r="AB1328" s="828">
        <v>6</v>
      </c>
      <c r="AC1328" s="475">
        <f>Z1328*AB1328</f>
        <v>0</v>
      </c>
      <c r="AD1328" s="209"/>
      <c r="AE1328" s="210"/>
      <c r="AF1328" s="210"/>
      <c r="AG1328" s="211">
        <f t="shared" ref="AG1328:AG1351" si="436">MID(O1328,1,3)/1000</f>
        <v>0.75</v>
      </c>
      <c r="AH1328" s="157">
        <f t="shared" ref="AH1328:AH1333" si="437">(Z1328*AG1328)/1000</f>
        <v>0</v>
      </c>
      <c r="AI1328" s="152">
        <f t="shared" ref="AI1328:AI1351" si="438">V1328*P1328</f>
        <v>11264</v>
      </c>
      <c r="AK1328" s="156" t="s">
        <v>691</v>
      </c>
      <c r="AL1328" s="156" t="s">
        <v>689</v>
      </c>
      <c r="AM1328" s="198">
        <f t="shared" si="432"/>
        <v>0</v>
      </c>
      <c r="AN1328" s="199">
        <f t="shared" si="431"/>
        <v>45537</v>
      </c>
      <c r="AO1328" s="159" t="s">
        <v>692</v>
      </c>
      <c r="AP1328" s="783" t="s">
        <v>622</v>
      </c>
      <c r="AQ1328" s="782">
        <v>12004862</v>
      </c>
      <c r="AR1328" s="782">
        <v>12080753</v>
      </c>
      <c r="AS1328" s="782"/>
      <c r="AT1328" s="782">
        <v>12082897</v>
      </c>
      <c r="AU1328" s="781"/>
      <c r="AV1328" s="782">
        <v>12082898</v>
      </c>
      <c r="AW1328" s="782">
        <v>12082899</v>
      </c>
      <c r="AX1328" s="796" t="s">
        <v>621</v>
      </c>
      <c r="AY1328" s="782"/>
      <c r="AZ1328" s="782"/>
      <c r="BA1328" s="781"/>
    </row>
    <row r="1329" spans="1:53" ht="25" hidden="1" customHeight="1">
      <c r="A1329" s="142" t="s">
        <v>120</v>
      </c>
      <c r="B1329" s="466">
        <v>45538</v>
      </c>
      <c r="C1329" s="467">
        <v>45552</v>
      </c>
      <c r="D1329" s="185">
        <f t="shared" si="429"/>
        <v>2024</v>
      </c>
      <c r="E1329" s="468" t="str">
        <f>VLOOKUP($B1329,Week!$A$1:$C$1462,2,0)</f>
        <v>Week36</v>
      </c>
      <c r="F1329" s="469" t="str">
        <f t="shared" si="430"/>
        <v>Sep</v>
      </c>
      <c r="G1329" s="470" t="s">
        <v>1625</v>
      </c>
      <c r="H1329" s="468" t="s">
        <v>82</v>
      </c>
      <c r="I1329" s="468" t="s">
        <v>82</v>
      </c>
      <c r="J1329" s="471" t="s">
        <v>720</v>
      </c>
      <c r="K1329" s="472" t="s">
        <v>85</v>
      </c>
      <c r="L1329" s="390" t="s">
        <v>2166</v>
      </c>
      <c r="M1329" s="471" t="s">
        <v>579</v>
      </c>
      <c r="N1329" s="468" t="s">
        <v>580</v>
      </c>
      <c r="O1329" s="468" t="s">
        <v>581</v>
      </c>
      <c r="P1329" s="473">
        <v>8</v>
      </c>
      <c r="Q1329" s="473">
        <v>60</v>
      </c>
      <c r="R1329" s="474">
        <v>6.8100000000000001E-3</v>
      </c>
      <c r="S1329" s="468" t="s">
        <v>76</v>
      </c>
      <c r="T1329" s="468" t="s">
        <v>56</v>
      </c>
      <c r="U1329" s="468" t="s">
        <v>89</v>
      </c>
      <c r="V1329" s="475">
        <f>1408</f>
        <v>1408</v>
      </c>
      <c r="W1329" s="475">
        <f>18+84+760</f>
        <v>862</v>
      </c>
      <c r="X1329" s="476">
        <f>(4368)/8</f>
        <v>546</v>
      </c>
      <c r="Y1329" s="477">
        <f t="shared" si="434"/>
        <v>0</v>
      </c>
      <c r="Z1329" s="478">
        <f t="shared" si="435"/>
        <v>0</v>
      </c>
      <c r="AA1329" s="478">
        <f>Q1329*Z1329</f>
        <v>0</v>
      </c>
      <c r="AB1329" s="828">
        <v>6</v>
      </c>
      <c r="AC1329" s="475">
        <f>Z1329*AB1329</f>
        <v>0</v>
      </c>
      <c r="AD1329" s="209"/>
      <c r="AE1329" s="210"/>
      <c r="AF1329" s="210"/>
      <c r="AG1329" s="211">
        <f t="shared" si="436"/>
        <v>0.75</v>
      </c>
      <c r="AH1329" s="157">
        <f t="shared" si="437"/>
        <v>0</v>
      </c>
      <c r="AI1329" s="152">
        <f t="shared" si="438"/>
        <v>11264</v>
      </c>
      <c r="AK1329" s="156" t="s">
        <v>691</v>
      </c>
      <c r="AL1329" s="156" t="s">
        <v>689</v>
      </c>
      <c r="AM1329" s="198">
        <f t="shared" si="432"/>
        <v>0</v>
      </c>
      <c r="AN1329" s="199">
        <f t="shared" si="431"/>
        <v>45538</v>
      </c>
      <c r="AO1329" s="159" t="s">
        <v>692</v>
      </c>
      <c r="AP1329" s="783" t="s">
        <v>622</v>
      </c>
      <c r="AQ1329" s="782">
        <v>12004862</v>
      </c>
      <c r="AR1329" s="782">
        <v>12080753</v>
      </c>
      <c r="AS1329" s="782"/>
      <c r="AT1329" s="782">
        <v>12082897</v>
      </c>
      <c r="AU1329" s="781"/>
      <c r="AV1329" s="782">
        <v>12082898</v>
      </c>
      <c r="AW1329" s="782">
        <v>12082899</v>
      </c>
      <c r="AX1329" s="796" t="s">
        <v>621</v>
      </c>
      <c r="AY1329" s="782"/>
      <c r="AZ1329" s="782"/>
      <c r="BA1329" s="781"/>
    </row>
    <row r="1330" spans="1:53" ht="25" hidden="1" customHeight="1">
      <c r="B1330" s="383">
        <v>45539</v>
      </c>
      <c r="C1330" s="383">
        <v>45554</v>
      </c>
      <c r="D1330" s="185">
        <f t="shared" si="429"/>
        <v>2024</v>
      </c>
      <c r="E1330" s="224" t="str">
        <f>VLOOKUP($B1330,Week!$A$1:$C$1462,2,0)</f>
        <v>Week36</v>
      </c>
      <c r="F1330" s="226" t="str">
        <f t="shared" si="430"/>
        <v>Sep</v>
      </c>
      <c r="G1330" s="225" t="s">
        <v>1608</v>
      </c>
      <c r="H1330" s="225" t="s">
        <v>225</v>
      </c>
      <c r="I1330" s="225" t="s">
        <v>2773</v>
      </c>
      <c r="J1330" s="227" t="s">
        <v>335</v>
      </c>
      <c r="K1330" s="228" t="s">
        <v>176</v>
      </c>
      <c r="L1330" s="300" t="s">
        <v>2167</v>
      </c>
      <c r="M1330" s="227" t="s">
        <v>336</v>
      </c>
      <c r="N1330" s="225" t="s">
        <v>337</v>
      </c>
      <c r="O1330" s="225" t="s">
        <v>179</v>
      </c>
      <c r="P1330" s="229">
        <v>36</v>
      </c>
      <c r="Q1330" s="229">
        <v>5</v>
      </c>
      <c r="R1330" s="230">
        <v>7.4999999999999997E-3</v>
      </c>
      <c r="S1330" s="225" t="s">
        <v>111</v>
      </c>
      <c r="T1330" s="225" t="s">
        <v>112</v>
      </c>
      <c r="U1330" s="225" t="s">
        <v>113</v>
      </c>
      <c r="V1330" s="231">
        <f>1288-1064</f>
        <v>224</v>
      </c>
      <c r="W1330" s="231">
        <f>1288-1064</f>
        <v>224</v>
      </c>
      <c r="X1330" s="232"/>
      <c r="Y1330" s="233">
        <f t="shared" si="434"/>
        <v>0</v>
      </c>
      <c r="Z1330" s="234">
        <f t="shared" si="435"/>
        <v>0</v>
      </c>
      <c r="AA1330" s="234"/>
      <c r="AB1330" s="822"/>
      <c r="AC1330" s="231"/>
      <c r="AD1330" s="209"/>
      <c r="AE1330" s="210"/>
      <c r="AF1330" s="210"/>
      <c r="AG1330" s="211">
        <f t="shared" si="436"/>
        <v>0.14499999999999999</v>
      </c>
      <c r="AH1330" s="157">
        <f t="shared" si="437"/>
        <v>0</v>
      </c>
      <c r="AI1330" s="152">
        <f t="shared" si="438"/>
        <v>8064</v>
      </c>
      <c r="AK1330" s="156" t="s">
        <v>691</v>
      </c>
      <c r="AL1330" s="574" t="s">
        <v>690</v>
      </c>
      <c r="AM1330" s="198">
        <f t="shared" si="432"/>
        <v>0</v>
      </c>
      <c r="AN1330" s="199">
        <f t="shared" si="431"/>
        <v>45539</v>
      </c>
      <c r="AO1330" s="159" t="s">
        <v>692</v>
      </c>
      <c r="AP1330" s="783" t="s">
        <v>639</v>
      </c>
      <c r="AQ1330" s="782">
        <v>12071839</v>
      </c>
      <c r="AR1330" s="782">
        <v>12047514</v>
      </c>
      <c r="AS1330" s="782">
        <v>12047515</v>
      </c>
      <c r="AT1330" s="782">
        <v>12054919</v>
      </c>
      <c r="AU1330" s="781"/>
      <c r="AV1330" s="782">
        <v>12054869</v>
      </c>
      <c r="AW1330" s="782">
        <v>12024404</v>
      </c>
      <c r="AX1330" s="781"/>
      <c r="AY1330" s="782">
        <v>12054815</v>
      </c>
      <c r="AZ1330" s="781"/>
      <c r="BA1330" s="781"/>
    </row>
    <row r="1331" spans="1:53" ht="25" hidden="1" customHeight="1">
      <c r="B1331" s="383">
        <v>45539</v>
      </c>
      <c r="C1331" s="383">
        <v>45554</v>
      </c>
      <c r="D1331" s="185">
        <f t="shared" si="429"/>
        <v>2024</v>
      </c>
      <c r="E1331" s="224" t="str">
        <f>VLOOKUP($B1331,Week!$A$1:$C$1462,2,0)</f>
        <v>Week36</v>
      </c>
      <c r="F1331" s="226" t="str">
        <f t="shared" si="430"/>
        <v>Sep</v>
      </c>
      <c r="G1331" s="225" t="s">
        <v>1609</v>
      </c>
      <c r="H1331" s="225" t="s">
        <v>225</v>
      </c>
      <c r="I1331" s="225" t="s">
        <v>2773</v>
      </c>
      <c r="J1331" s="227" t="s">
        <v>335</v>
      </c>
      <c r="K1331" s="228" t="s">
        <v>176</v>
      </c>
      <c r="L1331" s="300" t="s">
        <v>2167</v>
      </c>
      <c r="M1331" s="227" t="s">
        <v>336</v>
      </c>
      <c r="N1331" s="225" t="s">
        <v>337</v>
      </c>
      <c r="O1331" s="225" t="s">
        <v>179</v>
      </c>
      <c r="P1331" s="229">
        <v>36</v>
      </c>
      <c r="Q1331" s="229">
        <v>5</v>
      </c>
      <c r="R1331" s="230">
        <v>7.4999999999999997E-3</v>
      </c>
      <c r="S1331" s="225" t="s">
        <v>111</v>
      </c>
      <c r="T1331" s="225" t="s">
        <v>112</v>
      </c>
      <c r="U1331" s="225" t="s">
        <v>113</v>
      </c>
      <c r="V1331" s="231">
        <v>1288</v>
      </c>
      <c r="W1331" s="231">
        <v>1288</v>
      </c>
      <c r="X1331" s="232"/>
      <c r="Y1331" s="233">
        <f t="shared" si="434"/>
        <v>0</v>
      </c>
      <c r="Z1331" s="234">
        <f t="shared" si="435"/>
        <v>0</v>
      </c>
      <c r="AA1331" s="234"/>
      <c r="AB1331" s="822"/>
      <c r="AC1331" s="231"/>
      <c r="AD1331" s="209"/>
      <c r="AE1331" s="210"/>
      <c r="AF1331" s="210"/>
      <c r="AG1331" s="211">
        <f t="shared" si="436"/>
        <v>0.14499999999999999</v>
      </c>
      <c r="AH1331" s="157">
        <f t="shared" si="437"/>
        <v>0</v>
      </c>
      <c r="AI1331" s="152">
        <f t="shared" si="438"/>
        <v>46368</v>
      </c>
      <c r="AK1331" s="156" t="s">
        <v>691</v>
      </c>
      <c r="AL1331" s="574" t="s">
        <v>690</v>
      </c>
      <c r="AM1331" s="198">
        <f t="shared" si="432"/>
        <v>0</v>
      </c>
      <c r="AN1331" s="199">
        <f t="shared" si="431"/>
        <v>45539</v>
      </c>
      <c r="AO1331" s="159" t="s">
        <v>692</v>
      </c>
      <c r="AP1331" s="783" t="s">
        <v>639</v>
      </c>
      <c r="AQ1331" s="782">
        <v>12071839</v>
      </c>
      <c r="AR1331" s="782">
        <v>12047514</v>
      </c>
      <c r="AS1331" s="782">
        <v>12047515</v>
      </c>
      <c r="AT1331" s="782">
        <v>12054919</v>
      </c>
      <c r="AU1331" s="781"/>
      <c r="AV1331" s="782">
        <v>12054869</v>
      </c>
      <c r="AW1331" s="782">
        <v>12024404</v>
      </c>
      <c r="AX1331" s="781"/>
      <c r="AY1331" s="782">
        <v>12054815</v>
      </c>
      <c r="AZ1331" s="781"/>
      <c r="BA1331" s="781"/>
    </row>
    <row r="1332" spans="1:53" ht="25" hidden="1" customHeight="1">
      <c r="B1332" s="383">
        <v>45539</v>
      </c>
      <c r="C1332" s="383">
        <v>45561</v>
      </c>
      <c r="D1332" s="185">
        <f t="shared" si="429"/>
        <v>2024</v>
      </c>
      <c r="E1332" s="224" t="str">
        <f>VLOOKUP($B1332,Week!$A$1:$C$1462,2,0)</f>
        <v>Week36</v>
      </c>
      <c r="F1332" s="226" t="str">
        <f t="shared" si="430"/>
        <v>Sep</v>
      </c>
      <c r="G1332" s="225" t="s">
        <v>1610</v>
      </c>
      <c r="H1332" s="225" t="s">
        <v>225</v>
      </c>
      <c r="I1332" s="225" t="s">
        <v>2773</v>
      </c>
      <c r="J1332" s="227" t="s">
        <v>335</v>
      </c>
      <c r="K1332" s="228" t="s">
        <v>176</v>
      </c>
      <c r="L1332" s="300" t="s">
        <v>2167</v>
      </c>
      <c r="M1332" s="227" t="s">
        <v>336</v>
      </c>
      <c r="N1332" s="225" t="s">
        <v>337</v>
      </c>
      <c r="O1332" s="225" t="s">
        <v>179</v>
      </c>
      <c r="P1332" s="229">
        <v>36</v>
      </c>
      <c r="Q1332" s="229">
        <v>5</v>
      </c>
      <c r="R1332" s="230">
        <v>7.4999999999999997E-3</v>
      </c>
      <c r="S1332" s="225" t="s">
        <v>111</v>
      </c>
      <c r="T1332" s="225" t="s">
        <v>112</v>
      </c>
      <c r="U1332" s="225" t="s">
        <v>113</v>
      </c>
      <c r="V1332" s="231">
        <v>1288</v>
      </c>
      <c r="W1332" s="231">
        <v>1288</v>
      </c>
      <c r="X1332" s="232"/>
      <c r="Y1332" s="233">
        <f t="shared" si="434"/>
        <v>0</v>
      </c>
      <c r="Z1332" s="234">
        <f t="shared" si="435"/>
        <v>0</v>
      </c>
      <c r="AA1332" s="234"/>
      <c r="AB1332" s="822"/>
      <c r="AC1332" s="231"/>
      <c r="AD1332" s="209"/>
      <c r="AE1332" s="210"/>
      <c r="AF1332" s="210"/>
      <c r="AG1332" s="211">
        <f t="shared" si="436"/>
        <v>0.14499999999999999</v>
      </c>
      <c r="AH1332" s="157">
        <f t="shared" si="437"/>
        <v>0</v>
      </c>
      <c r="AI1332" s="152">
        <f t="shared" si="438"/>
        <v>46368</v>
      </c>
      <c r="AK1332" s="156" t="s">
        <v>691</v>
      </c>
      <c r="AL1332" s="574" t="s">
        <v>690</v>
      </c>
      <c r="AM1332" s="198">
        <f t="shared" si="432"/>
        <v>0</v>
      </c>
      <c r="AN1332" s="199">
        <f t="shared" si="431"/>
        <v>45539</v>
      </c>
      <c r="AO1332" s="159" t="s">
        <v>692</v>
      </c>
      <c r="AP1332" s="783" t="s">
        <v>639</v>
      </c>
      <c r="AQ1332" s="782">
        <v>12071839</v>
      </c>
      <c r="AR1332" s="782">
        <v>12047514</v>
      </c>
      <c r="AS1332" s="782">
        <v>12047515</v>
      </c>
      <c r="AT1332" s="782">
        <v>12054919</v>
      </c>
      <c r="AU1332" s="781"/>
      <c r="AV1332" s="782">
        <v>12054869</v>
      </c>
      <c r="AW1332" s="782">
        <v>12024404</v>
      </c>
      <c r="AX1332" s="781"/>
      <c r="AY1332" s="782">
        <v>12054815</v>
      </c>
      <c r="AZ1332" s="781"/>
      <c r="BA1332" s="781"/>
    </row>
    <row r="1333" spans="1:53" ht="25" hidden="1" customHeight="1">
      <c r="B1333" s="383">
        <v>45539</v>
      </c>
      <c r="C1333" s="383">
        <v>45575</v>
      </c>
      <c r="D1333" s="185">
        <f t="shared" si="429"/>
        <v>2024</v>
      </c>
      <c r="E1333" s="224" t="str">
        <f>VLOOKUP($B1333,Week!$A$1:$C$1462,2,0)</f>
        <v>Week36</v>
      </c>
      <c r="F1333" s="226" t="str">
        <f t="shared" si="430"/>
        <v>Sep</v>
      </c>
      <c r="G1333" s="225" t="s">
        <v>1611</v>
      </c>
      <c r="H1333" s="225" t="s">
        <v>225</v>
      </c>
      <c r="I1333" s="225" t="s">
        <v>2773</v>
      </c>
      <c r="J1333" s="227" t="s">
        <v>335</v>
      </c>
      <c r="K1333" s="228" t="s">
        <v>176</v>
      </c>
      <c r="L1333" s="300" t="s">
        <v>2167</v>
      </c>
      <c r="M1333" s="227" t="s">
        <v>336</v>
      </c>
      <c r="N1333" s="225" t="s">
        <v>337</v>
      </c>
      <c r="O1333" s="225" t="s">
        <v>179</v>
      </c>
      <c r="P1333" s="229">
        <v>36</v>
      </c>
      <c r="Q1333" s="229">
        <v>5</v>
      </c>
      <c r="R1333" s="230">
        <v>7.4999999999999997E-3</v>
      </c>
      <c r="S1333" s="225" t="s">
        <v>111</v>
      </c>
      <c r="T1333" s="225" t="s">
        <v>112</v>
      </c>
      <c r="U1333" s="225" t="s">
        <v>113</v>
      </c>
      <c r="V1333" s="231">
        <f>3002-224-1288-1288</f>
        <v>202</v>
      </c>
      <c r="W1333" s="231">
        <f>3002-224-1288-1288</f>
        <v>202</v>
      </c>
      <c r="X1333" s="232"/>
      <c r="Y1333" s="233">
        <f t="shared" si="434"/>
        <v>0</v>
      </c>
      <c r="Z1333" s="234">
        <f t="shared" si="435"/>
        <v>0</v>
      </c>
      <c r="AA1333" s="234"/>
      <c r="AB1333" s="822"/>
      <c r="AC1333" s="231"/>
      <c r="AD1333" s="209"/>
      <c r="AE1333" s="210"/>
      <c r="AF1333" s="210"/>
      <c r="AG1333" s="211">
        <f t="shared" si="436"/>
        <v>0.14499999999999999</v>
      </c>
      <c r="AH1333" s="157">
        <f t="shared" si="437"/>
        <v>0</v>
      </c>
      <c r="AI1333" s="152">
        <f t="shared" si="438"/>
        <v>7272</v>
      </c>
      <c r="AK1333" s="156" t="s">
        <v>691</v>
      </c>
      <c r="AL1333" s="574" t="s">
        <v>690</v>
      </c>
      <c r="AM1333" s="198">
        <f t="shared" si="432"/>
        <v>0</v>
      </c>
      <c r="AN1333" s="199">
        <f t="shared" si="431"/>
        <v>45539</v>
      </c>
      <c r="AO1333" s="159" t="s">
        <v>692</v>
      </c>
      <c r="AP1333" s="783" t="s">
        <v>639</v>
      </c>
      <c r="AQ1333" s="782">
        <v>12071839</v>
      </c>
      <c r="AR1333" s="782">
        <v>12047514</v>
      </c>
      <c r="AS1333" s="782">
        <v>12047515</v>
      </c>
      <c r="AT1333" s="782">
        <v>12054919</v>
      </c>
      <c r="AU1333" s="781"/>
      <c r="AV1333" s="782">
        <v>12054869</v>
      </c>
      <c r="AW1333" s="782">
        <v>12024404</v>
      </c>
      <c r="AX1333" s="781"/>
      <c r="AY1333" s="782">
        <v>12054815</v>
      </c>
      <c r="AZ1333" s="781"/>
      <c r="BA1333" s="781"/>
    </row>
    <row r="1334" spans="1:53" ht="25" hidden="1" customHeight="1">
      <c r="B1334" s="581">
        <v>45539</v>
      </c>
      <c r="C1334" s="332">
        <v>45542</v>
      </c>
      <c r="D1334" s="185">
        <f t="shared" si="429"/>
        <v>2024</v>
      </c>
      <c r="E1334" s="333" t="str">
        <f>VLOOKUP($B1334,Week!$A$1:$C$1462,2,0)</f>
        <v>Week36</v>
      </c>
      <c r="F1334" s="334" t="str">
        <f t="shared" si="430"/>
        <v>Sep</v>
      </c>
      <c r="G1334" s="530" t="s">
        <v>1734</v>
      </c>
      <c r="H1334" s="335" t="s">
        <v>82</v>
      </c>
      <c r="I1334" s="335" t="s">
        <v>82</v>
      </c>
      <c r="J1334" s="336" t="s">
        <v>235</v>
      </c>
      <c r="K1334" s="337" t="s">
        <v>1643</v>
      </c>
      <c r="L1334" s="300" t="s">
        <v>2167</v>
      </c>
      <c r="M1334" s="336" t="s">
        <v>336</v>
      </c>
      <c r="N1334" s="530" t="s">
        <v>1018</v>
      </c>
      <c r="O1334" s="335" t="s">
        <v>743</v>
      </c>
      <c r="P1334" s="338">
        <v>36</v>
      </c>
      <c r="Q1334" s="338">
        <v>5</v>
      </c>
      <c r="R1334" s="339">
        <v>7.4999999999999997E-3</v>
      </c>
      <c r="S1334" s="335" t="s">
        <v>40</v>
      </c>
      <c r="T1334" s="335" t="s">
        <v>112</v>
      </c>
      <c r="U1334" s="340" t="s">
        <v>721</v>
      </c>
      <c r="V1334" s="341">
        <v>1080</v>
      </c>
      <c r="W1334" s="341">
        <f>48+998+34</f>
        <v>1080</v>
      </c>
      <c r="X1334" s="342"/>
      <c r="Y1334" s="343">
        <f t="shared" si="434"/>
        <v>0</v>
      </c>
      <c r="Z1334" s="344">
        <f t="shared" si="435"/>
        <v>0</v>
      </c>
      <c r="AA1334" s="344"/>
      <c r="AB1334" s="817"/>
      <c r="AC1334" s="341"/>
      <c r="AD1334" s="209"/>
      <c r="AE1334" s="210"/>
      <c r="AF1334" s="210"/>
      <c r="AG1334" s="211">
        <f t="shared" si="436"/>
        <v>0.14699999999999999</v>
      </c>
      <c r="AH1334" s="157">
        <f t="shared" ref="AH1334:AH1351" si="439">(Z1334*AG1334)/1000</f>
        <v>0</v>
      </c>
      <c r="AI1334" s="152">
        <f t="shared" si="438"/>
        <v>38880</v>
      </c>
      <c r="AK1334" s="156" t="s">
        <v>691</v>
      </c>
      <c r="AL1334" s="574" t="s">
        <v>690</v>
      </c>
      <c r="AM1334" s="198">
        <f t="shared" si="432"/>
        <v>0</v>
      </c>
      <c r="AN1334" s="199">
        <f t="shared" si="431"/>
        <v>45539</v>
      </c>
      <c r="AO1334" s="159" t="s">
        <v>692</v>
      </c>
      <c r="AP1334" s="783" t="s">
        <v>639</v>
      </c>
      <c r="AQ1334" s="782">
        <v>12071839</v>
      </c>
      <c r="AR1334" s="782">
        <v>12047514</v>
      </c>
      <c r="AS1334" s="782">
        <v>12047515</v>
      </c>
      <c r="AT1334" s="782">
        <v>12090591</v>
      </c>
      <c r="AU1334" s="781"/>
      <c r="AV1334" s="782">
        <v>12090590</v>
      </c>
      <c r="AW1334" s="782">
        <v>12024404</v>
      </c>
      <c r="AX1334" s="781"/>
      <c r="AY1334" s="782">
        <v>12090589</v>
      </c>
      <c r="AZ1334" s="781"/>
      <c r="BA1334" s="781"/>
    </row>
    <row r="1335" spans="1:53" ht="25" hidden="1" customHeight="1">
      <c r="B1335" s="488">
        <v>45540</v>
      </c>
      <c r="C1335" s="487">
        <v>45544</v>
      </c>
      <c r="D1335" s="185">
        <f t="shared" si="429"/>
        <v>2024</v>
      </c>
      <c r="E1335" s="614" t="str">
        <f>VLOOKUP($B1335,Week!$A$1:$C$1462,2,0)</f>
        <v>Week36</v>
      </c>
      <c r="F1335" s="445" t="str">
        <f t="shared" si="430"/>
        <v>Sep</v>
      </c>
      <c r="G1335" s="615" t="s">
        <v>1559</v>
      </c>
      <c r="H1335" s="444" t="s">
        <v>104</v>
      </c>
      <c r="I1335" s="444" t="s">
        <v>2772</v>
      </c>
      <c r="J1335" s="490" t="s">
        <v>105</v>
      </c>
      <c r="K1335" s="491" t="s">
        <v>1643</v>
      </c>
      <c r="L1335" s="300" t="s">
        <v>2167</v>
      </c>
      <c r="M1335" s="490" t="s">
        <v>336</v>
      </c>
      <c r="N1335" s="615" t="s">
        <v>745</v>
      </c>
      <c r="O1335" s="444" t="s">
        <v>743</v>
      </c>
      <c r="P1335" s="492">
        <v>36</v>
      </c>
      <c r="Q1335" s="492">
        <v>5</v>
      </c>
      <c r="R1335" s="493">
        <v>7.4999999999999997E-3</v>
      </c>
      <c r="S1335" s="444" t="s">
        <v>40</v>
      </c>
      <c r="T1335" s="444" t="s">
        <v>112</v>
      </c>
      <c r="U1335" s="616" t="s">
        <v>721</v>
      </c>
      <c r="V1335" s="494">
        <f>1288-1019</f>
        <v>269</v>
      </c>
      <c r="W1335" s="494">
        <f>1288-1019</f>
        <v>269</v>
      </c>
      <c r="X1335" s="495"/>
      <c r="Y1335" s="496">
        <f t="shared" si="434"/>
        <v>0</v>
      </c>
      <c r="Z1335" s="497">
        <f t="shared" si="435"/>
        <v>0</v>
      </c>
      <c r="AA1335" s="497"/>
      <c r="AB1335" s="829"/>
      <c r="AC1335" s="494"/>
      <c r="AD1335" s="515"/>
      <c r="AE1335" s="210"/>
      <c r="AF1335" s="210"/>
      <c r="AG1335" s="211">
        <f t="shared" si="436"/>
        <v>0.14699999999999999</v>
      </c>
      <c r="AH1335" s="157">
        <f t="shared" si="439"/>
        <v>0</v>
      </c>
      <c r="AI1335" s="152">
        <f t="shared" si="438"/>
        <v>9684</v>
      </c>
      <c r="AK1335" s="156" t="s">
        <v>691</v>
      </c>
      <c r="AL1335" s="574" t="s">
        <v>690</v>
      </c>
      <c r="AM1335" s="198">
        <f t="shared" si="432"/>
        <v>0</v>
      </c>
      <c r="AN1335" s="199">
        <f t="shared" si="431"/>
        <v>45540</v>
      </c>
      <c r="AO1335" s="159" t="s">
        <v>692</v>
      </c>
      <c r="AP1335" s="783" t="s">
        <v>639</v>
      </c>
      <c r="AQ1335" s="782">
        <v>12071839</v>
      </c>
      <c r="AR1335" s="782">
        <v>12047514</v>
      </c>
      <c r="AS1335" s="782">
        <v>12047515</v>
      </c>
      <c r="AT1335" s="782">
        <v>12089764</v>
      </c>
      <c r="AU1335" s="781"/>
      <c r="AV1335" s="782">
        <v>12089763</v>
      </c>
      <c r="AW1335" s="782">
        <v>12024404</v>
      </c>
      <c r="AX1335" s="781"/>
      <c r="AY1335" s="782">
        <v>12089765</v>
      </c>
      <c r="AZ1335" s="781"/>
      <c r="BA1335" s="781"/>
    </row>
    <row r="1336" spans="1:53" ht="25" hidden="1" customHeight="1">
      <c r="B1336" s="488">
        <v>45540</v>
      </c>
      <c r="C1336" s="487">
        <v>45555</v>
      </c>
      <c r="D1336" s="185">
        <f t="shared" si="429"/>
        <v>2024</v>
      </c>
      <c r="E1336" s="614" t="str">
        <f>VLOOKUP($B1336,Week!$A$1:$C$1462,2,0)</f>
        <v>Week36</v>
      </c>
      <c r="F1336" s="445" t="str">
        <f t="shared" si="430"/>
        <v>Sep</v>
      </c>
      <c r="G1336" s="615" t="s">
        <v>1554</v>
      </c>
      <c r="H1336" s="444" t="s">
        <v>104</v>
      </c>
      <c r="I1336" s="444" t="s">
        <v>2772</v>
      </c>
      <c r="J1336" s="490" t="s">
        <v>105</v>
      </c>
      <c r="K1336" s="491" t="s">
        <v>1643</v>
      </c>
      <c r="L1336" s="300" t="s">
        <v>2167</v>
      </c>
      <c r="M1336" s="490" t="s">
        <v>336</v>
      </c>
      <c r="N1336" s="615" t="s">
        <v>745</v>
      </c>
      <c r="O1336" s="444" t="s">
        <v>743</v>
      </c>
      <c r="P1336" s="492">
        <v>36</v>
      </c>
      <c r="Q1336" s="492">
        <v>5</v>
      </c>
      <c r="R1336" s="493">
        <v>7.4999999999999997E-3</v>
      </c>
      <c r="S1336" s="444" t="s">
        <v>40</v>
      </c>
      <c r="T1336" s="444" t="s">
        <v>112</v>
      </c>
      <c r="U1336" s="616" t="s">
        <v>721</v>
      </c>
      <c r="V1336" s="494">
        <v>1288</v>
      </c>
      <c r="W1336" s="494">
        <v>1288</v>
      </c>
      <c r="X1336" s="495"/>
      <c r="Y1336" s="496">
        <f t="shared" si="434"/>
        <v>0</v>
      </c>
      <c r="Z1336" s="497">
        <f t="shared" si="435"/>
        <v>0</v>
      </c>
      <c r="AA1336" s="497"/>
      <c r="AB1336" s="829"/>
      <c r="AC1336" s="494"/>
      <c r="AD1336" s="515"/>
      <c r="AE1336" s="210"/>
      <c r="AF1336" s="210"/>
      <c r="AG1336" s="211">
        <f t="shared" si="436"/>
        <v>0.14699999999999999</v>
      </c>
      <c r="AH1336" s="157">
        <f t="shared" si="439"/>
        <v>0</v>
      </c>
      <c r="AI1336" s="152">
        <f t="shared" si="438"/>
        <v>46368</v>
      </c>
      <c r="AK1336" s="156" t="s">
        <v>691</v>
      </c>
      <c r="AL1336" s="574" t="s">
        <v>690</v>
      </c>
      <c r="AM1336" s="198">
        <f t="shared" si="432"/>
        <v>0</v>
      </c>
      <c r="AN1336" s="199">
        <f t="shared" si="431"/>
        <v>45540</v>
      </c>
      <c r="AO1336" s="159" t="s">
        <v>692</v>
      </c>
      <c r="AP1336" s="783" t="s">
        <v>639</v>
      </c>
      <c r="AQ1336" s="782">
        <v>12071839</v>
      </c>
      <c r="AR1336" s="782">
        <v>12047514</v>
      </c>
      <c r="AS1336" s="782">
        <v>12047515</v>
      </c>
      <c r="AT1336" s="782">
        <v>12089764</v>
      </c>
      <c r="AU1336" s="781"/>
      <c r="AV1336" s="782">
        <v>12089763</v>
      </c>
      <c r="AW1336" s="782">
        <v>12024404</v>
      </c>
      <c r="AX1336" s="781"/>
      <c r="AY1336" s="782">
        <v>12089765</v>
      </c>
      <c r="AZ1336" s="781"/>
      <c r="BA1336" s="781"/>
    </row>
    <row r="1337" spans="1:53" ht="25" hidden="1" customHeight="1">
      <c r="B1337" s="488">
        <v>45540</v>
      </c>
      <c r="C1337" s="487">
        <v>45555</v>
      </c>
      <c r="D1337" s="185">
        <f t="shared" si="429"/>
        <v>2024</v>
      </c>
      <c r="E1337" s="614" t="str">
        <f>VLOOKUP($B1337,Week!$A$1:$C$1462,2,0)</f>
        <v>Week36</v>
      </c>
      <c r="F1337" s="445" t="str">
        <f t="shared" si="430"/>
        <v>Sep</v>
      </c>
      <c r="G1337" s="615" t="s">
        <v>1558</v>
      </c>
      <c r="H1337" s="444" t="s">
        <v>104</v>
      </c>
      <c r="I1337" s="444" t="s">
        <v>2772</v>
      </c>
      <c r="J1337" s="490" t="s">
        <v>105</v>
      </c>
      <c r="K1337" s="491" t="s">
        <v>1643</v>
      </c>
      <c r="L1337" s="300" t="s">
        <v>2167</v>
      </c>
      <c r="M1337" s="490" t="s">
        <v>336</v>
      </c>
      <c r="N1337" s="615" t="s">
        <v>745</v>
      </c>
      <c r="O1337" s="444" t="s">
        <v>743</v>
      </c>
      <c r="P1337" s="492">
        <v>36</v>
      </c>
      <c r="Q1337" s="492">
        <v>5</v>
      </c>
      <c r="R1337" s="493">
        <v>7.4999999999999997E-3</v>
      </c>
      <c r="S1337" s="444" t="s">
        <v>40</v>
      </c>
      <c r="T1337" s="444" t="s">
        <v>112</v>
      </c>
      <c r="U1337" s="616" t="s">
        <v>721</v>
      </c>
      <c r="V1337" s="494">
        <f>1288</f>
        <v>1288</v>
      </c>
      <c r="W1337" s="494">
        <f>1288</f>
        <v>1288</v>
      </c>
      <c r="X1337" s="495"/>
      <c r="Y1337" s="496">
        <f t="shared" si="434"/>
        <v>0</v>
      </c>
      <c r="Z1337" s="497">
        <f t="shared" si="435"/>
        <v>0</v>
      </c>
      <c r="AA1337" s="497"/>
      <c r="AB1337" s="829"/>
      <c r="AC1337" s="494"/>
      <c r="AD1337" s="515"/>
      <c r="AE1337" s="210"/>
      <c r="AF1337" s="210"/>
      <c r="AG1337" s="211">
        <f t="shared" si="436"/>
        <v>0.14699999999999999</v>
      </c>
      <c r="AH1337" s="157">
        <f t="shared" si="439"/>
        <v>0</v>
      </c>
      <c r="AI1337" s="152">
        <f t="shared" si="438"/>
        <v>46368</v>
      </c>
      <c r="AK1337" s="156" t="s">
        <v>691</v>
      </c>
      <c r="AL1337" s="574" t="s">
        <v>690</v>
      </c>
      <c r="AM1337" s="198">
        <f t="shared" si="432"/>
        <v>0</v>
      </c>
      <c r="AN1337" s="199">
        <f t="shared" si="431"/>
        <v>45540</v>
      </c>
      <c r="AO1337" s="159" t="s">
        <v>692</v>
      </c>
      <c r="AP1337" s="783" t="s">
        <v>639</v>
      </c>
      <c r="AQ1337" s="782">
        <v>12071839</v>
      </c>
      <c r="AR1337" s="782">
        <v>12047514</v>
      </c>
      <c r="AS1337" s="782">
        <v>12047515</v>
      </c>
      <c r="AT1337" s="782">
        <v>12089764</v>
      </c>
      <c r="AU1337" s="781"/>
      <c r="AV1337" s="782">
        <v>12089763</v>
      </c>
      <c r="AW1337" s="782">
        <v>12024404</v>
      </c>
      <c r="AX1337" s="781"/>
      <c r="AY1337" s="782">
        <v>12089765</v>
      </c>
      <c r="AZ1337" s="781"/>
      <c r="BA1337" s="781"/>
    </row>
    <row r="1338" spans="1:53" ht="25" hidden="1" customHeight="1">
      <c r="B1338" s="488">
        <v>45540</v>
      </c>
      <c r="C1338" s="487">
        <v>45555</v>
      </c>
      <c r="D1338" s="185">
        <f t="shared" si="429"/>
        <v>2024</v>
      </c>
      <c r="E1338" s="614" t="str">
        <f>VLOOKUP($B1338,Week!$A$1:$C$1462,2,0)</f>
        <v>Week36</v>
      </c>
      <c r="F1338" s="445" t="str">
        <f t="shared" si="430"/>
        <v>Sep</v>
      </c>
      <c r="G1338" s="615" t="s">
        <v>1556</v>
      </c>
      <c r="H1338" s="444" t="s">
        <v>104</v>
      </c>
      <c r="I1338" s="444" t="s">
        <v>2772</v>
      </c>
      <c r="J1338" s="490" t="s">
        <v>105</v>
      </c>
      <c r="K1338" s="491" t="s">
        <v>1643</v>
      </c>
      <c r="L1338" s="300" t="s">
        <v>2167</v>
      </c>
      <c r="M1338" s="490" t="s">
        <v>336</v>
      </c>
      <c r="N1338" s="615" t="s">
        <v>745</v>
      </c>
      <c r="O1338" s="444" t="s">
        <v>743</v>
      </c>
      <c r="P1338" s="492">
        <v>36</v>
      </c>
      <c r="Q1338" s="492">
        <v>5</v>
      </c>
      <c r="R1338" s="493">
        <v>7.4999999999999997E-3</v>
      </c>
      <c r="S1338" s="444" t="s">
        <v>40</v>
      </c>
      <c r="T1338" s="444" t="s">
        <v>112</v>
      </c>
      <c r="U1338" s="616" t="s">
        <v>721</v>
      </c>
      <c r="V1338" s="494">
        <f>3897-269-1288-1288</f>
        <v>1052</v>
      </c>
      <c r="W1338" s="494">
        <f>3897-269-1288-1288</f>
        <v>1052</v>
      </c>
      <c r="X1338" s="495"/>
      <c r="Y1338" s="496">
        <f t="shared" si="434"/>
        <v>0</v>
      </c>
      <c r="Z1338" s="497">
        <f t="shared" si="435"/>
        <v>0</v>
      </c>
      <c r="AA1338" s="497"/>
      <c r="AB1338" s="829"/>
      <c r="AC1338" s="494"/>
      <c r="AD1338" s="515"/>
      <c r="AE1338" s="210"/>
      <c r="AF1338" s="210"/>
      <c r="AG1338" s="211">
        <f t="shared" si="436"/>
        <v>0.14699999999999999</v>
      </c>
      <c r="AH1338" s="157">
        <f t="shared" si="439"/>
        <v>0</v>
      </c>
      <c r="AI1338" s="152">
        <f t="shared" si="438"/>
        <v>37872</v>
      </c>
      <c r="AK1338" s="156" t="s">
        <v>691</v>
      </c>
      <c r="AL1338" s="574" t="s">
        <v>690</v>
      </c>
      <c r="AM1338" s="198">
        <f t="shared" si="432"/>
        <v>0</v>
      </c>
      <c r="AN1338" s="199">
        <f t="shared" si="431"/>
        <v>45540</v>
      </c>
      <c r="AO1338" s="159" t="s">
        <v>692</v>
      </c>
      <c r="AP1338" s="783" t="s">
        <v>639</v>
      </c>
      <c r="AQ1338" s="782">
        <v>12071839</v>
      </c>
      <c r="AR1338" s="782">
        <v>12047514</v>
      </c>
      <c r="AS1338" s="782">
        <v>12047515</v>
      </c>
      <c r="AT1338" s="782">
        <v>12089764</v>
      </c>
      <c r="AU1338" s="781"/>
      <c r="AV1338" s="782">
        <v>12089763</v>
      </c>
      <c r="AW1338" s="782">
        <v>12024404</v>
      </c>
      <c r="AX1338" s="781"/>
      <c r="AY1338" s="782">
        <v>12089765</v>
      </c>
      <c r="AZ1338" s="781"/>
      <c r="BA1338" s="781"/>
    </row>
    <row r="1339" spans="1:53" ht="25" hidden="1" customHeight="1">
      <c r="A1339" s="440"/>
      <c r="B1339" s="583">
        <v>45541</v>
      </c>
      <c r="C1339" s="583">
        <v>45548</v>
      </c>
      <c r="D1339" s="185">
        <f t="shared" si="429"/>
        <v>2024</v>
      </c>
      <c r="E1339" s="584" t="str">
        <f>VLOOKUP($B1339,Week!$A$1:$C$1462,2,0)</f>
        <v>Week36</v>
      </c>
      <c r="F1339" s="585" t="str">
        <f t="shared" si="430"/>
        <v>Sep</v>
      </c>
      <c r="G1339" s="586" t="s">
        <v>1637</v>
      </c>
      <c r="H1339" s="586" t="s">
        <v>134</v>
      </c>
      <c r="I1339" s="586" t="s">
        <v>2772</v>
      </c>
      <c r="J1339" s="587" t="s">
        <v>164</v>
      </c>
      <c r="K1339" s="588" t="s">
        <v>707</v>
      </c>
      <c r="L1339" s="300" t="s">
        <v>2167</v>
      </c>
      <c r="M1339" s="587" t="s">
        <v>1636</v>
      </c>
      <c r="N1339" s="586" t="s">
        <v>1634</v>
      </c>
      <c r="O1339" s="586" t="s">
        <v>1635</v>
      </c>
      <c r="P1339" s="589">
        <v>24</v>
      </c>
      <c r="Q1339" s="589">
        <v>3</v>
      </c>
      <c r="R1339" s="590">
        <v>8.0000000000000002E-3</v>
      </c>
      <c r="S1339" s="586" t="s">
        <v>40</v>
      </c>
      <c r="T1339" s="586" t="s">
        <v>112</v>
      </c>
      <c r="U1339" s="591" t="s">
        <v>1633</v>
      </c>
      <c r="V1339" s="592">
        <f>420</f>
        <v>420</v>
      </c>
      <c r="W1339" s="592">
        <f>420</f>
        <v>420</v>
      </c>
      <c r="X1339" s="593"/>
      <c r="Y1339" s="594">
        <f t="shared" si="434"/>
        <v>0</v>
      </c>
      <c r="Z1339" s="595">
        <f t="shared" si="435"/>
        <v>0</v>
      </c>
      <c r="AA1339" s="595"/>
      <c r="AB1339" s="835"/>
      <c r="AC1339" s="592"/>
      <c r="AD1339" s="443"/>
      <c r="AE1339" s="210"/>
      <c r="AF1339" s="210"/>
      <c r="AG1339" s="211">
        <f t="shared" si="436"/>
        <v>0.25</v>
      </c>
      <c r="AH1339" s="157">
        <f t="shared" si="439"/>
        <v>0</v>
      </c>
      <c r="AI1339" s="152">
        <f t="shared" si="438"/>
        <v>10080</v>
      </c>
      <c r="AK1339" s="156" t="s">
        <v>691</v>
      </c>
      <c r="AL1339" s="212" t="s">
        <v>690</v>
      </c>
      <c r="AM1339" s="198">
        <f t="shared" si="432"/>
        <v>0</v>
      </c>
      <c r="AN1339" s="199">
        <f t="shared" si="431"/>
        <v>45541</v>
      </c>
      <c r="AO1339" s="159" t="s">
        <v>692</v>
      </c>
      <c r="AP1339" s="781"/>
      <c r="AQ1339" s="782">
        <v>12071839</v>
      </c>
      <c r="AR1339" s="782">
        <v>12042650</v>
      </c>
      <c r="AS1339" s="782">
        <v>12042649</v>
      </c>
      <c r="AT1339" s="782"/>
      <c r="AU1339" s="781"/>
      <c r="AV1339" s="782">
        <v>12073316</v>
      </c>
      <c r="AW1339" s="782"/>
      <c r="AX1339" s="782"/>
      <c r="AY1339" s="782">
        <v>12073342</v>
      </c>
      <c r="AZ1339" s="782">
        <v>12073344</v>
      </c>
      <c r="BA1339" s="782">
        <v>12073343</v>
      </c>
    </row>
    <row r="1340" spans="1:53" ht="24.75" hidden="1" customHeight="1">
      <c r="B1340" s="295">
        <v>45541</v>
      </c>
      <c r="C1340" s="296" t="s">
        <v>1676</v>
      </c>
      <c r="D1340" s="185">
        <f t="shared" si="429"/>
        <v>2024</v>
      </c>
      <c r="E1340" s="296" t="str">
        <f>VLOOKUP($B1340,Week!$A$1:$C$1462,2,0)</f>
        <v>Week36</v>
      </c>
      <c r="F1340" s="297" t="str">
        <f t="shared" si="430"/>
        <v>Sep</v>
      </c>
      <c r="G1340" s="648" t="s">
        <v>47</v>
      </c>
      <c r="H1340" s="298" t="s">
        <v>260</v>
      </c>
      <c r="I1340" s="298" t="s">
        <v>2702</v>
      </c>
      <c r="J1340" s="307" t="s">
        <v>904</v>
      </c>
      <c r="K1340" s="300" t="s">
        <v>176</v>
      </c>
      <c r="L1340" s="300" t="s">
        <v>2167</v>
      </c>
      <c r="M1340" s="299" t="s">
        <v>262</v>
      </c>
      <c r="N1340" s="298" t="s">
        <v>350</v>
      </c>
      <c r="O1340" s="298" t="s">
        <v>351</v>
      </c>
      <c r="P1340" s="301">
        <v>24</v>
      </c>
      <c r="Q1340" s="301">
        <v>5</v>
      </c>
      <c r="R1340" s="302">
        <v>6.1999999999999998E-3</v>
      </c>
      <c r="S1340" s="298" t="s">
        <v>352</v>
      </c>
      <c r="T1340" s="298" t="s">
        <v>56</v>
      </c>
      <c r="U1340" s="298" t="s">
        <v>57</v>
      </c>
      <c r="V1340" s="303">
        <v>3024</v>
      </c>
      <c r="W1340" s="303">
        <f>3024</f>
        <v>3024</v>
      </c>
      <c r="X1340" s="304"/>
      <c r="Y1340" s="305">
        <f t="shared" si="434"/>
        <v>0</v>
      </c>
      <c r="Z1340" s="306">
        <f t="shared" si="435"/>
        <v>0</v>
      </c>
      <c r="AA1340" s="306"/>
      <c r="AB1340" s="814"/>
      <c r="AC1340" s="303"/>
      <c r="AD1340" s="580" t="s">
        <v>672</v>
      </c>
      <c r="AE1340" s="210"/>
      <c r="AF1340" s="210"/>
      <c r="AG1340" s="211">
        <f t="shared" si="436"/>
        <v>0.13</v>
      </c>
      <c r="AH1340" s="157">
        <f t="shared" si="439"/>
        <v>0</v>
      </c>
      <c r="AI1340" s="152">
        <f t="shared" si="438"/>
        <v>72576</v>
      </c>
      <c r="AK1340" s="156" t="s">
        <v>691</v>
      </c>
      <c r="AL1340" s="574" t="s">
        <v>690</v>
      </c>
      <c r="AM1340" s="198">
        <f t="shared" si="432"/>
        <v>0</v>
      </c>
      <c r="AN1340" s="199">
        <f t="shared" si="431"/>
        <v>45541</v>
      </c>
      <c r="AO1340" s="159" t="s">
        <v>692</v>
      </c>
      <c r="AP1340" s="783" t="s">
        <v>629</v>
      </c>
      <c r="AQ1340" s="782">
        <v>12071839</v>
      </c>
      <c r="AR1340" s="782">
        <v>12078867</v>
      </c>
      <c r="AS1340" s="782">
        <v>12068233</v>
      </c>
      <c r="AT1340" s="781"/>
      <c r="AU1340" s="781"/>
      <c r="AV1340" s="782">
        <v>12062075</v>
      </c>
      <c r="AW1340" s="781"/>
      <c r="AX1340" s="781"/>
      <c r="AY1340" s="782">
        <v>12078867</v>
      </c>
      <c r="AZ1340" s="781"/>
      <c r="BA1340" s="781"/>
    </row>
    <row r="1341" spans="1:53" ht="24.65" hidden="1" customHeight="1">
      <c r="B1341" s="224">
        <v>45541</v>
      </c>
      <c r="C1341" s="224">
        <v>45559</v>
      </c>
      <c r="D1341" s="185">
        <f t="shared" si="429"/>
        <v>2024</v>
      </c>
      <c r="E1341" s="225" t="str">
        <f>VLOOKUP($B1341,Week!$A$1:$C$1462,2,0)</f>
        <v>Week36</v>
      </c>
      <c r="F1341" s="226" t="str">
        <f t="shared" si="430"/>
        <v>Sep</v>
      </c>
      <c r="G1341" s="225" t="s">
        <v>1696</v>
      </c>
      <c r="H1341" s="225" t="s">
        <v>392</v>
      </c>
      <c r="I1341" s="225" t="s">
        <v>2772</v>
      </c>
      <c r="J1341" s="227" t="s">
        <v>393</v>
      </c>
      <c r="K1341" s="228" t="s">
        <v>176</v>
      </c>
      <c r="L1341" s="300" t="s">
        <v>2167</v>
      </c>
      <c r="M1341" s="228" t="s">
        <v>399</v>
      </c>
      <c r="N1341" s="225" t="s">
        <v>400</v>
      </c>
      <c r="O1341" s="225" t="s">
        <v>195</v>
      </c>
      <c r="P1341" s="229">
        <v>24</v>
      </c>
      <c r="Q1341" s="229">
        <v>5</v>
      </c>
      <c r="R1341" s="230">
        <v>8.0000000000000002E-3</v>
      </c>
      <c r="S1341" s="225" t="s">
        <v>40</v>
      </c>
      <c r="T1341" s="225" t="s">
        <v>56</v>
      </c>
      <c r="U1341" s="225" t="s">
        <v>57</v>
      </c>
      <c r="V1341" s="231">
        <v>900</v>
      </c>
      <c r="W1341" s="231">
        <f>900</f>
        <v>900</v>
      </c>
      <c r="X1341" s="232"/>
      <c r="Y1341" s="233">
        <f t="shared" si="434"/>
        <v>0</v>
      </c>
      <c r="Z1341" s="234">
        <f t="shared" si="435"/>
        <v>0</v>
      </c>
      <c r="AA1341" s="234"/>
      <c r="AB1341" s="808"/>
      <c r="AC1341" s="231"/>
      <c r="AD1341" s="220"/>
      <c r="AE1341" s="210"/>
      <c r="AF1341" s="210"/>
      <c r="AG1341" s="211">
        <f t="shared" si="436"/>
        <v>0.14499999999999999</v>
      </c>
      <c r="AH1341" s="157">
        <f t="shared" si="439"/>
        <v>0</v>
      </c>
      <c r="AI1341" s="152">
        <f t="shared" si="438"/>
        <v>21600</v>
      </c>
      <c r="AK1341" s="156" t="s">
        <v>691</v>
      </c>
      <c r="AL1341" s="574" t="s">
        <v>690</v>
      </c>
      <c r="AM1341" s="198">
        <f t="shared" si="432"/>
        <v>0</v>
      </c>
      <c r="AN1341" s="199">
        <f t="shared" si="431"/>
        <v>45541</v>
      </c>
      <c r="AO1341" s="159" t="s">
        <v>692</v>
      </c>
      <c r="AP1341" s="783" t="s">
        <v>638</v>
      </c>
      <c r="AQ1341" s="783" t="s">
        <v>631</v>
      </c>
      <c r="AR1341" s="783" t="s">
        <v>632</v>
      </c>
      <c r="AS1341" s="783" t="s">
        <v>633</v>
      </c>
      <c r="AT1341" s="781"/>
      <c r="AU1341" s="783" t="s">
        <v>626</v>
      </c>
      <c r="AV1341" s="783" t="s">
        <v>630</v>
      </c>
      <c r="AW1341" s="783" t="s">
        <v>634</v>
      </c>
      <c r="AX1341" s="781"/>
      <c r="AY1341" s="783" t="s">
        <v>635</v>
      </c>
      <c r="AZ1341" s="783" t="s">
        <v>636</v>
      </c>
      <c r="BA1341" s="783" t="s">
        <v>637</v>
      </c>
    </row>
    <row r="1342" spans="1:53" ht="25" hidden="1" customHeight="1">
      <c r="B1342" s="546">
        <v>45541</v>
      </c>
      <c r="C1342" s="547">
        <v>45560</v>
      </c>
      <c r="D1342" s="185">
        <f t="shared" si="429"/>
        <v>2024</v>
      </c>
      <c r="E1342" s="549" t="str">
        <f>VLOOKUP($B1342,Week!$A$1:$C$1462,2,0)</f>
        <v>Week36</v>
      </c>
      <c r="F1342" s="548" t="str">
        <f t="shared" si="430"/>
        <v>Sep</v>
      </c>
      <c r="G1342" s="549" t="s">
        <v>1716</v>
      </c>
      <c r="H1342" s="549" t="s">
        <v>831</v>
      </c>
      <c r="I1342" s="549" t="s">
        <v>2772</v>
      </c>
      <c r="J1342" s="550" t="s">
        <v>1130</v>
      </c>
      <c r="K1342" s="551" t="s">
        <v>176</v>
      </c>
      <c r="L1342" s="300" t="s">
        <v>2167</v>
      </c>
      <c r="M1342" s="550" t="s">
        <v>193</v>
      </c>
      <c r="N1342" s="549" t="s">
        <v>833</v>
      </c>
      <c r="O1342" s="549" t="s">
        <v>195</v>
      </c>
      <c r="P1342" s="552">
        <v>24</v>
      </c>
      <c r="Q1342" s="552">
        <v>5</v>
      </c>
      <c r="R1342" s="553">
        <v>8.0000000000000002E-3</v>
      </c>
      <c r="S1342" s="549" t="s">
        <v>40</v>
      </c>
      <c r="T1342" s="549" t="s">
        <v>56</v>
      </c>
      <c r="U1342" s="549" t="s">
        <v>57</v>
      </c>
      <c r="V1342" s="554">
        <f>200</f>
        <v>200</v>
      </c>
      <c r="W1342" s="554">
        <f>1+199</f>
        <v>200</v>
      </c>
      <c r="X1342" s="555">
        <f>(34)/24</f>
        <v>1.4166666666666667</v>
      </c>
      <c r="Y1342" s="556">
        <f t="shared" si="434"/>
        <v>1.4166666666666572</v>
      </c>
      <c r="Z1342" s="557">
        <f t="shared" si="435"/>
        <v>0</v>
      </c>
      <c r="AA1342" s="554"/>
      <c r="AB1342" s="833"/>
      <c r="AC1342" s="554"/>
      <c r="AD1342" s="381"/>
      <c r="AE1342" s="220"/>
      <c r="AF1342" s="220"/>
      <c r="AG1342" s="211">
        <f t="shared" si="436"/>
        <v>0.14499999999999999</v>
      </c>
      <c r="AH1342" s="157">
        <f t="shared" si="439"/>
        <v>0</v>
      </c>
      <c r="AI1342" s="152">
        <f t="shared" si="438"/>
        <v>4800</v>
      </c>
      <c r="AK1342" s="156" t="s">
        <v>691</v>
      </c>
      <c r="AL1342" s="212" t="s">
        <v>690</v>
      </c>
      <c r="AM1342" s="198">
        <f t="shared" si="432"/>
        <v>0</v>
      </c>
      <c r="AN1342" s="199">
        <f t="shared" si="431"/>
        <v>45541</v>
      </c>
      <c r="AO1342" s="159" t="s">
        <v>692</v>
      </c>
      <c r="AP1342" s="783" t="s">
        <v>610</v>
      </c>
      <c r="AQ1342" s="782">
        <v>12071839</v>
      </c>
      <c r="AR1342" s="782">
        <v>12047514</v>
      </c>
      <c r="AS1342" s="782">
        <v>12047515</v>
      </c>
      <c r="AT1342" s="782"/>
      <c r="AU1342" s="782">
        <v>12026902</v>
      </c>
      <c r="AV1342" s="782">
        <v>12054724</v>
      </c>
      <c r="AW1342" s="782">
        <v>12026904</v>
      </c>
      <c r="AX1342" s="782"/>
      <c r="AY1342" s="782">
        <v>12054436</v>
      </c>
      <c r="AZ1342" s="782">
        <v>12054433</v>
      </c>
      <c r="BA1342" s="782">
        <v>12054434</v>
      </c>
    </row>
    <row r="1343" spans="1:53" ht="26.25" hidden="1" customHeight="1">
      <c r="B1343" s="235">
        <v>45541</v>
      </c>
      <c r="C1343" s="235">
        <v>45559</v>
      </c>
      <c r="D1343" s="185">
        <f t="shared" si="429"/>
        <v>2024</v>
      </c>
      <c r="E1343" s="236" t="str">
        <f>VLOOKUP($B1343,Week!$A$1:$C$1462,2,0)</f>
        <v>Week36</v>
      </c>
      <c r="F1343" s="237" t="str">
        <f t="shared" si="430"/>
        <v>Sep</v>
      </c>
      <c r="G1343" s="236" t="s">
        <v>1696</v>
      </c>
      <c r="H1343" s="236" t="s">
        <v>392</v>
      </c>
      <c r="I1343" s="236" t="s">
        <v>2772</v>
      </c>
      <c r="J1343" s="238" t="s">
        <v>393</v>
      </c>
      <c r="K1343" s="239" t="s">
        <v>1643</v>
      </c>
      <c r="L1343" s="300" t="s">
        <v>2167</v>
      </c>
      <c r="M1343" s="238" t="s">
        <v>406</v>
      </c>
      <c r="N1343" s="236" t="s">
        <v>407</v>
      </c>
      <c r="O1343" s="236" t="s">
        <v>206</v>
      </c>
      <c r="P1343" s="240">
        <v>24</v>
      </c>
      <c r="Q1343" s="240">
        <v>5</v>
      </c>
      <c r="R1343" s="241">
        <v>8.0000000000000002E-3</v>
      </c>
      <c r="S1343" s="236" t="s">
        <v>40</v>
      </c>
      <c r="T1343" s="236" t="s">
        <v>56</v>
      </c>
      <c r="U1343" s="640" t="s">
        <v>499</v>
      </c>
      <c r="V1343" s="242">
        <f>850</f>
        <v>850</v>
      </c>
      <c r="W1343" s="242">
        <f>1+849</f>
        <v>850</v>
      </c>
      <c r="X1343" s="243"/>
      <c r="Y1343" s="244">
        <f t="shared" si="434"/>
        <v>0</v>
      </c>
      <c r="Z1343" s="245">
        <f t="shared" si="435"/>
        <v>0</v>
      </c>
      <c r="AA1343" s="245"/>
      <c r="AB1343" s="809">
        <v>1</v>
      </c>
      <c r="AC1343" s="242">
        <f>Z1343*AB1343</f>
        <v>0</v>
      </c>
      <c r="AD1343" s="209"/>
      <c r="AE1343" s="210"/>
      <c r="AF1343" s="210"/>
      <c r="AG1343" s="211">
        <f t="shared" si="436"/>
        <v>0.115</v>
      </c>
      <c r="AH1343" s="157">
        <f t="shared" si="439"/>
        <v>0</v>
      </c>
      <c r="AI1343" s="152">
        <f t="shared" si="438"/>
        <v>20400</v>
      </c>
      <c r="AK1343" s="156" t="s">
        <v>691</v>
      </c>
      <c r="AL1343" s="574" t="s">
        <v>690</v>
      </c>
      <c r="AM1343" s="198">
        <f t="shared" si="432"/>
        <v>0</v>
      </c>
      <c r="AN1343" s="199">
        <f t="shared" si="431"/>
        <v>45541</v>
      </c>
      <c r="AO1343" s="159" t="s">
        <v>692</v>
      </c>
      <c r="AP1343" s="783" t="s">
        <v>608</v>
      </c>
      <c r="AQ1343" s="782">
        <v>12071839</v>
      </c>
      <c r="AR1343" s="782">
        <v>12047514</v>
      </c>
      <c r="AS1343" s="782">
        <v>12047515</v>
      </c>
      <c r="AT1343" s="781"/>
      <c r="AU1343" s="782">
        <v>12026902</v>
      </c>
      <c r="AV1343" s="782">
        <v>12081781</v>
      </c>
      <c r="AW1343" s="782">
        <v>12026904</v>
      </c>
      <c r="AX1343" s="781"/>
      <c r="AY1343" s="783" t="s">
        <v>625</v>
      </c>
      <c r="AZ1343" s="783" t="s">
        <v>1640</v>
      </c>
      <c r="BA1343" s="783" t="s">
        <v>624</v>
      </c>
    </row>
    <row r="1344" spans="1:53" ht="25" hidden="1" customHeight="1">
      <c r="B1344" s="546">
        <v>45541</v>
      </c>
      <c r="C1344" s="547">
        <v>45560</v>
      </c>
      <c r="D1344" s="185">
        <f t="shared" si="429"/>
        <v>2024</v>
      </c>
      <c r="E1344" s="549" t="str">
        <f>VLOOKUP($B1344,Week!$A$1:$C$1462,2,0)</f>
        <v>Week36</v>
      </c>
      <c r="F1344" s="548" t="str">
        <f t="shared" si="430"/>
        <v>Sep</v>
      </c>
      <c r="G1344" s="549" t="s">
        <v>1716</v>
      </c>
      <c r="H1344" s="549" t="s">
        <v>831</v>
      </c>
      <c r="I1344" s="549" t="s">
        <v>2772</v>
      </c>
      <c r="J1344" s="550" t="s">
        <v>1130</v>
      </c>
      <c r="K1344" s="551" t="s">
        <v>744</v>
      </c>
      <c r="L1344" s="300" t="s">
        <v>2167</v>
      </c>
      <c r="M1344" s="550" t="s">
        <v>193</v>
      </c>
      <c r="N1344" s="549" t="s">
        <v>832</v>
      </c>
      <c r="O1344" s="549" t="s">
        <v>206</v>
      </c>
      <c r="P1344" s="552">
        <v>24</v>
      </c>
      <c r="Q1344" s="552">
        <v>5</v>
      </c>
      <c r="R1344" s="553">
        <v>8.0000000000000002E-3</v>
      </c>
      <c r="S1344" s="549" t="s">
        <v>40</v>
      </c>
      <c r="T1344" s="549" t="s">
        <v>56</v>
      </c>
      <c r="U1344" s="618" t="s">
        <v>499</v>
      </c>
      <c r="V1344" s="554">
        <f>405</f>
        <v>405</v>
      </c>
      <c r="W1344" s="554">
        <f>1+404</f>
        <v>405</v>
      </c>
      <c r="X1344" s="555">
        <f>(34)/24</f>
        <v>1.4166666666666667</v>
      </c>
      <c r="Y1344" s="556">
        <f t="shared" si="434"/>
        <v>1.4166666666666856</v>
      </c>
      <c r="Z1344" s="557">
        <f t="shared" si="435"/>
        <v>0</v>
      </c>
      <c r="AA1344" s="554"/>
      <c r="AB1344" s="833">
        <v>1</v>
      </c>
      <c r="AC1344" s="554">
        <f>Z1344*AB1344</f>
        <v>0</v>
      </c>
      <c r="AD1344" s="381"/>
      <c r="AE1344" s="220"/>
      <c r="AF1344" s="220"/>
      <c r="AG1344" s="211">
        <f t="shared" si="436"/>
        <v>0.115</v>
      </c>
      <c r="AH1344" s="157">
        <f t="shared" si="439"/>
        <v>0</v>
      </c>
      <c r="AI1344" s="152">
        <f t="shared" si="438"/>
        <v>9720</v>
      </c>
      <c r="AK1344" s="156" t="s">
        <v>691</v>
      </c>
      <c r="AL1344" s="212" t="s">
        <v>690</v>
      </c>
      <c r="AM1344" s="198">
        <f t="shared" ref="AM1344:AM1375" si="440">AG1344*Z1344</f>
        <v>0</v>
      </c>
      <c r="AN1344" s="199">
        <f t="shared" si="431"/>
        <v>45541</v>
      </c>
      <c r="AO1344" s="159" t="s">
        <v>692</v>
      </c>
      <c r="AP1344" s="783" t="s">
        <v>610</v>
      </c>
      <c r="AQ1344" s="782">
        <v>12071839</v>
      </c>
      <c r="AR1344" s="782">
        <v>12047514</v>
      </c>
      <c r="AS1344" s="782">
        <v>12047515</v>
      </c>
      <c r="AT1344" s="782"/>
      <c r="AU1344" s="782">
        <v>12026902</v>
      </c>
      <c r="AV1344" s="782">
        <v>12054722</v>
      </c>
      <c r="AW1344" s="782">
        <v>12026904</v>
      </c>
      <c r="AX1344" s="782"/>
      <c r="AY1344" s="782">
        <v>12061939</v>
      </c>
      <c r="AZ1344" s="782">
        <v>12061940</v>
      </c>
      <c r="BA1344" s="782">
        <v>12061938</v>
      </c>
    </row>
    <row r="1345" spans="1:53" ht="25" hidden="1" customHeight="1">
      <c r="B1345" s="213">
        <v>45542</v>
      </c>
      <c r="C1345" s="578">
        <v>45558</v>
      </c>
      <c r="D1345" s="185">
        <f t="shared" si="429"/>
        <v>2024</v>
      </c>
      <c r="E1345" s="215" t="str">
        <f>VLOOKUP($B1345,Week!$A$1:$C$1462,2,0)</f>
        <v>Week36</v>
      </c>
      <c r="F1345" s="216" t="str">
        <f t="shared" si="430"/>
        <v>Sep</v>
      </c>
      <c r="G1345" s="215" t="s">
        <v>1536</v>
      </c>
      <c r="H1345" s="215" t="s">
        <v>104</v>
      </c>
      <c r="I1345" s="215" t="s">
        <v>2772</v>
      </c>
      <c r="J1345" s="209" t="s">
        <v>105</v>
      </c>
      <c r="K1345" s="217" t="s">
        <v>107</v>
      </c>
      <c r="L1345" s="300" t="s">
        <v>2167</v>
      </c>
      <c r="M1345" s="209" t="s">
        <v>108</v>
      </c>
      <c r="N1345" s="215" t="s">
        <v>109</v>
      </c>
      <c r="O1345" s="215" t="s">
        <v>110</v>
      </c>
      <c r="P1345" s="218">
        <v>36</v>
      </c>
      <c r="Q1345" s="218">
        <v>5</v>
      </c>
      <c r="R1345" s="219">
        <v>7.4999999999999997E-3</v>
      </c>
      <c r="S1345" s="215" t="s">
        <v>111</v>
      </c>
      <c r="T1345" s="215" t="s">
        <v>112</v>
      </c>
      <c r="U1345" s="215" t="s">
        <v>113</v>
      </c>
      <c r="V1345" s="220">
        <f>792-716</f>
        <v>76</v>
      </c>
      <c r="W1345" s="220">
        <f>792-716</f>
        <v>76</v>
      </c>
      <c r="X1345" s="221"/>
      <c r="Y1345" s="222">
        <f t="shared" si="434"/>
        <v>0</v>
      </c>
      <c r="Z1345" s="223">
        <f t="shared" si="435"/>
        <v>0</v>
      </c>
      <c r="AA1345" s="223"/>
      <c r="AB1345" s="807"/>
      <c r="AC1345" s="220"/>
      <c r="AD1345" s="209"/>
      <c r="AE1345" s="210"/>
      <c r="AF1345" s="210"/>
      <c r="AG1345" s="211">
        <f t="shared" si="436"/>
        <v>0.308</v>
      </c>
      <c r="AH1345" s="157">
        <f t="shared" si="439"/>
        <v>0</v>
      </c>
      <c r="AI1345" s="152">
        <f t="shared" si="438"/>
        <v>2736</v>
      </c>
      <c r="AK1345" s="156" t="s">
        <v>691</v>
      </c>
      <c r="AL1345" s="574" t="s">
        <v>690</v>
      </c>
      <c r="AM1345" s="198">
        <f t="shared" si="440"/>
        <v>0</v>
      </c>
      <c r="AN1345" s="199">
        <f t="shared" si="431"/>
        <v>45542</v>
      </c>
      <c r="AO1345" s="159" t="s">
        <v>692</v>
      </c>
      <c r="AP1345" s="781"/>
      <c r="AQ1345" s="782">
        <v>12063755</v>
      </c>
      <c r="AR1345" s="782">
        <v>12061353</v>
      </c>
      <c r="AS1345" s="782">
        <v>12061354</v>
      </c>
      <c r="AT1345" s="782">
        <v>12068566</v>
      </c>
      <c r="AU1345" s="781"/>
      <c r="AV1345" s="782">
        <v>12088206</v>
      </c>
      <c r="AW1345" s="782">
        <v>12088207</v>
      </c>
      <c r="AX1345" s="782"/>
      <c r="AY1345" s="782">
        <v>12068565</v>
      </c>
      <c r="AZ1345" s="782"/>
      <c r="BA1345" s="781"/>
    </row>
    <row r="1346" spans="1:53" ht="25" hidden="1" customHeight="1">
      <c r="B1346" s="213">
        <v>45542</v>
      </c>
      <c r="C1346" s="578">
        <v>45563</v>
      </c>
      <c r="D1346" s="185">
        <f t="shared" si="429"/>
        <v>2024</v>
      </c>
      <c r="E1346" s="215" t="str">
        <f>VLOOKUP($B1346,Week!$A$1:$C$1462,2,0)</f>
        <v>Week36</v>
      </c>
      <c r="F1346" s="216" t="str">
        <f t="shared" si="430"/>
        <v>Sep</v>
      </c>
      <c r="G1346" s="215" t="s">
        <v>1537</v>
      </c>
      <c r="H1346" s="215" t="s">
        <v>104</v>
      </c>
      <c r="I1346" s="215" t="s">
        <v>2772</v>
      </c>
      <c r="J1346" s="209" t="s">
        <v>105</v>
      </c>
      <c r="K1346" s="217" t="s">
        <v>107</v>
      </c>
      <c r="L1346" s="300" t="s">
        <v>2167</v>
      </c>
      <c r="M1346" s="209" t="s">
        <v>108</v>
      </c>
      <c r="N1346" s="215" t="s">
        <v>109</v>
      </c>
      <c r="O1346" s="215" t="s">
        <v>110</v>
      </c>
      <c r="P1346" s="218">
        <v>36</v>
      </c>
      <c r="Q1346" s="218">
        <v>5</v>
      </c>
      <c r="R1346" s="219">
        <v>7.4999999999999997E-3</v>
      </c>
      <c r="S1346" s="215" t="s">
        <v>111</v>
      </c>
      <c r="T1346" s="215" t="s">
        <v>112</v>
      </c>
      <c r="U1346" s="215" t="s">
        <v>113</v>
      </c>
      <c r="V1346" s="220">
        <v>792</v>
      </c>
      <c r="W1346" s="220">
        <v>792</v>
      </c>
      <c r="X1346" s="221"/>
      <c r="Y1346" s="222">
        <f t="shared" si="434"/>
        <v>0</v>
      </c>
      <c r="Z1346" s="223">
        <f t="shared" si="435"/>
        <v>0</v>
      </c>
      <c r="AA1346" s="223"/>
      <c r="AB1346" s="807"/>
      <c r="AC1346" s="220"/>
      <c r="AD1346" s="209"/>
      <c r="AE1346" s="210"/>
      <c r="AF1346" s="210"/>
      <c r="AG1346" s="211">
        <f t="shared" si="436"/>
        <v>0.308</v>
      </c>
      <c r="AH1346" s="157">
        <f t="shared" si="439"/>
        <v>0</v>
      </c>
      <c r="AI1346" s="152">
        <f t="shared" si="438"/>
        <v>28512</v>
      </c>
      <c r="AK1346" s="156" t="s">
        <v>691</v>
      </c>
      <c r="AL1346" s="574" t="s">
        <v>690</v>
      </c>
      <c r="AM1346" s="198">
        <f t="shared" si="440"/>
        <v>0</v>
      </c>
      <c r="AN1346" s="199">
        <f t="shared" si="431"/>
        <v>45542</v>
      </c>
      <c r="AO1346" s="159" t="s">
        <v>692</v>
      </c>
      <c r="AP1346" s="781"/>
      <c r="AQ1346" s="782">
        <v>12063755</v>
      </c>
      <c r="AR1346" s="782">
        <v>12061353</v>
      </c>
      <c r="AS1346" s="782">
        <v>12061354</v>
      </c>
      <c r="AT1346" s="782">
        <v>12068566</v>
      </c>
      <c r="AU1346" s="781"/>
      <c r="AV1346" s="782">
        <v>12088206</v>
      </c>
      <c r="AW1346" s="782">
        <v>12088207</v>
      </c>
      <c r="AX1346" s="782"/>
      <c r="AY1346" s="782">
        <v>12068565</v>
      </c>
      <c r="AZ1346" s="782"/>
      <c r="BA1346" s="781"/>
    </row>
    <row r="1347" spans="1:53" ht="25" hidden="1" customHeight="1">
      <c r="B1347" s="213">
        <v>45542</v>
      </c>
      <c r="C1347" s="578">
        <v>45563</v>
      </c>
      <c r="D1347" s="185">
        <f t="shared" si="429"/>
        <v>2024</v>
      </c>
      <c r="E1347" s="215" t="str">
        <f>VLOOKUP($B1347,Week!$A$1:$C$1462,2,0)</f>
        <v>Week36</v>
      </c>
      <c r="F1347" s="216" t="str">
        <f t="shared" si="430"/>
        <v>Sep</v>
      </c>
      <c r="G1347" s="215" t="s">
        <v>1538</v>
      </c>
      <c r="H1347" s="215" t="s">
        <v>104</v>
      </c>
      <c r="I1347" s="215" t="s">
        <v>2772</v>
      </c>
      <c r="J1347" s="209" t="s">
        <v>105</v>
      </c>
      <c r="K1347" s="217" t="s">
        <v>107</v>
      </c>
      <c r="L1347" s="300" t="s">
        <v>2167</v>
      </c>
      <c r="M1347" s="209" t="s">
        <v>108</v>
      </c>
      <c r="N1347" s="215" t="s">
        <v>109</v>
      </c>
      <c r="O1347" s="215" t="s">
        <v>110</v>
      </c>
      <c r="P1347" s="218">
        <v>36</v>
      </c>
      <c r="Q1347" s="218">
        <v>5</v>
      </c>
      <c r="R1347" s="219">
        <v>7.4999999999999997E-3</v>
      </c>
      <c r="S1347" s="215" t="s">
        <v>111</v>
      </c>
      <c r="T1347" s="215" t="s">
        <v>112</v>
      </c>
      <c r="U1347" s="215" t="s">
        <v>113</v>
      </c>
      <c r="V1347" s="220">
        <v>792</v>
      </c>
      <c r="W1347" s="220">
        <v>792</v>
      </c>
      <c r="X1347" s="221"/>
      <c r="Y1347" s="222">
        <f t="shared" si="434"/>
        <v>0</v>
      </c>
      <c r="Z1347" s="223">
        <f t="shared" si="435"/>
        <v>0</v>
      </c>
      <c r="AA1347" s="223"/>
      <c r="AB1347" s="807"/>
      <c r="AC1347" s="220"/>
      <c r="AD1347" s="209"/>
      <c r="AE1347" s="210"/>
      <c r="AF1347" s="210"/>
      <c r="AG1347" s="211">
        <f t="shared" si="436"/>
        <v>0.308</v>
      </c>
      <c r="AH1347" s="157">
        <f t="shared" si="439"/>
        <v>0</v>
      </c>
      <c r="AI1347" s="152">
        <f t="shared" si="438"/>
        <v>28512</v>
      </c>
      <c r="AK1347" s="156" t="s">
        <v>691</v>
      </c>
      <c r="AL1347" s="574" t="s">
        <v>690</v>
      </c>
      <c r="AM1347" s="198">
        <f t="shared" si="440"/>
        <v>0</v>
      </c>
      <c r="AN1347" s="199">
        <f t="shared" si="431"/>
        <v>45542</v>
      </c>
      <c r="AO1347" s="159" t="s">
        <v>692</v>
      </c>
      <c r="AP1347" s="781"/>
      <c r="AQ1347" s="782">
        <v>12063755</v>
      </c>
      <c r="AR1347" s="782">
        <v>12061353</v>
      </c>
      <c r="AS1347" s="782">
        <v>12061354</v>
      </c>
      <c r="AT1347" s="782">
        <v>12068566</v>
      </c>
      <c r="AU1347" s="781"/>
      <c r="AV1347" s="782">
        <v>12088206</v>
      </c>
      <c r="AW1347" s="782">
        <v>12088207</v>
      </c>
      <c r="AX1347" s="782"/>
      <c r="AY1347" s="782">
        <v>12068565</v>
      </c>
      <c r="AZ1347" s="782"/>
      <c r="BA1347" s="781"/>
    </row>
    <row r="1348" spans="1:53" ht="25" hidden="1" customHeight="1">
      <c r="B1348" s="213">
        <v>45542</v>
      </c>
      <c r="C1348" s="578">
        <v>45321</v>
      </c>
      <c r="D1348" s="185">
        <f t="shared" si="429"/>
        <v>2024</v>
      </c>
      <c r="E1348" s="215" t="str">
        <f>VLOOKUP($B1348,Week!$A$1:$C$1462,2,0)</f>
        <v>Week36</v>
      </c>
      <c r="F1348" s="216" t="str">
        <f t="shared" si="430"/>
        <v>Sep</v>
      </c>
      <c r="G1348" s="215" t="s">
        <v>1539</v>
      </c>
      <c r="H1348" s="215" t="s">
        <v>104</v>
      </c>
      <c r="I1348" s="215" t="s">
        <v>2772</v>
      </c>
      <c r="J1348" s="209" t="s">
        <v>105</v>
      </c>
      <c r="K1348" s="217" t="s">
        <v>107</v>
      </c>
      <c r="L1348" s="300" t="s">
        <v>2167</v>
      </c>
      <c r="M1348" s="209" t="s">
        <v>108</v>
      </c>
      <c r="N1348" s="215" t="s">
        <v>109</v>
      </c>
      <c r="O1348" s="215" t="s">
        <v>110</v>
      </c>
      <c r="P1348" s="218">
        <v>36</v>
      </c>
      <c r="Q1348" s="218">
        <v>5</v>
      </c>
      <c r="R1348" s="219">
        <v>7.4999999999999997E-3</v>
      </c>
      <c r="S1348" s="215" t="s">
        <v>111</v>
      </c>
      <c r="T1348" s="215" t="s">
        <v>112</v>
      </c>
      <c r="U1348" s="215" t="s">
        <v>113</v>
      </c>
      <c r="V1348" s="220">
        <v>792</v>
      </c>
      <c r="W1348" s="220">
        <v>792</v>
      </c>
      <c r="X1348" s="221"/>
      <c r="Y1348" s="222">
        <f t="shared" si="434"/>
        <v>0</v>
      </c>
      <c r="Z1348" s="223">
        <f t="shared" si="435"/>
        <v>0</v>
      </c>
      <c r="AA1348" s="223"/>
      <c r="AB1348" s="807"/>
      <c r="AC1348" s="220"/>
      <c r="AD1348" s="209"/>
      <c r="AE1348" s="210"/>
      <c r="AF1348" s="210"/>
      <c r="AG1348" s="211">
        <f t="shared" si="436"/>
        <v>0.308</v>
      </c>
      <c r="AH1348" s="157">
        <f t="shared" si="439"/>
        <v>0</v>
      </c>
      <c r="AI1348" s="152">
        <f t="shared" si="438"/>
        <v>28512</v>
      </c>
      <c r="AK1348" s="156" t="s">
        <v>691</v>
      </c>
      <c r="AL1348" s="574" t="s">
        <v>690</v>
      </c>
      <c r="AM1348" s="198">
        <f t="shared" si="440"/>
        <v>0</v>
      </c>
      <c r="AN1348" s="199">
        <f t="shared" si="431"/>
        <v>45542</v>
      </c>
      <c r="AO1348" s="159" t="s">
        <v>692</v>
      </c>
      <c r="AP1348" s="781"/>
      <c r="AQ1348" s="782">
        <v>12063755</v>
      </c>
      <c r="AR1348" s="782">
        <v>12061353</v>
      </c>
      <c r="AS1348" s="782">
        <v>12061354</v>
      </c>
      <c r="AT1348" s="782">
        <v>12068566</v>
      </c>
      <c r="AU1348" s="781"/>
      <c r="AV1348" s="782">
        <v>12088206</v>
      </c>
      <c r="AW1348" s="782">
        <v>12088207</v>
      </c>
      <c r="AX1348" s="782"/>
      <c r="AY1348" s="782">
        <v>12068565</v>
      </c>
      <c r="AZ1348" s="782"/>
      <c r="BA1348" s="781"/>
    </row>
    <row r="1349" spans="1:53" ht="25" hidden="1" customHeight="1">
      <c r="B1349" s="213">
        <v>45542</v>
      </c>
      <c r="C1349" s="578">
        <v>45572</v>
      </c>
      <c r="D1349" s="185">
        <f t="shared" ref="D1349:D1412" si="441">IF(B1349="","",YEAR(B1349))</f>
        <v>2024</v>
      </c>
      <c r="E1349" s="215" t="str">
        <f>VLOOKUP($B1349,Week!$A$1:$C$1462,2,0)</f>
        <v>Week36</v>
      </c>
      <c r="F1349" s="216" t="str">
        <f t="shared" ref="F1349:F1412" si="442">IF(B1349="","",TEXT(B1349,"[$-409]mmm"))</f>
        <v>Sep</v>
      </c>
      <c r="G1349" s="215" t="s">
        <v>1540</v>
      </c>
      <c r="H1349" s="215" t="s">
        <v>104</v>
      </c>
      <c r="I1349" s="215" t="s">
        <v>2772</v>
      </c>
      <c r="J1349" s="209" t="s">
        <v>105</v>
      </c>
      <c r="K1349" s="217" t="s">
        <v>107</v>
      </c>
      <c r="L1349" s="300" t="s">
        <v>2167</v>
      </c>
      <c r="M1349" s="209" t="s">
        <v>108</v>
      </c>
      <c r="N1349" s="215" t="s">
        <v>109</v>
      </c>
      <c r="O1349" s="215" t="s">
        <v>110</v>
      </c>
      <c r="P1349" s="218">
        <v>36</v>
      </c>
      <c r="Q1349" s="218">
        <v>5</v>
      </c>
      <c r="R1349" s="219">
        <v>7.4999999999999997E-3</v>
      </c>
      <c r="S1349" s="215" t="s">
        <v>111</v>
      </c>
      <c r="T1349" s="215" t="s">
        <v>112</v>
      </c>
      <c r="U1349" s="215" t="s">
        <v>113</v>
      </c>
      <c r="V1349" s="220">
        <v>792</v>
      </c>
      <c r="W1349" s="220">
        <v>792</v>
      </c>
      <c r="X1349" s="221"/>
      <c r="Y1349" s="222">
        <f t="shared" si="434"/>
        <v>0</v>
      </c>
      <c r="Z1349" s="223">
        <f t="shared" si="435"/>
        <v>0</v>
      </c>
      <c r="AA1349" s="223"/>
      <c r="AB1349" s="807"/>
      <c r="AC1349" s="220"/>
      <c r="AD1349" s="209"/>
      <c r="AE1349" s="210"/>
      <c r="AF1349" s="210"/>
      <c r="AG1349" s="211">
        <f t="shared" si="436"/>
        <v>0.308</v>
      </c>
      <c r="AH1349" s="157">
        <f t="shared" si="439"/>
        <v>0</v>
      </c>
      <c r="AI1349" s="152">
        <f t="shared" si="438"/>
        <v>28512</v>
      </c>
      <c r="AK1349" s="156" t="s">
        <v>691</v>
      </c>
      <c r="AL1349" s="574" t="s">
        <v>690</v>
      </c>
      <c r="AM1349" s="198">
        <f t="shared" si="440"/>
        <v>0</v>
      </c>
      <c r="AN1349" s="199">
        <f t="shared" ref="AN1349:AN1412" si="443">B1349</f>
        <v>45542</v>
      </c>
      <c r="AO1349" s="159" t="s">
        <v>692</v>
      </c>
      <c r="AP1349" s="781"/>
      <c r="AQ1349" s="782">
        <v>12063755</v>
      </c>
      <c r="AR1349" s="782">
        <v>12061353</v>
      </c>
      <c r="AS1349" s="782">
        <v>12061354</v>
      </c>
      <c r="AT1349" s="782">
        <v>12068566</v>
      </c>
      <c r="AU1349" s="781"/>
      <c r="AV1349" s="782">
        <v>12088206</v>
      </c>
      <c r="AW1349" s="782">
        <v>12088207</v>
      </c>
      <c r="AX1349" s="782"/>
      <c r="AY1349" s="782">
        <v>12068565</v>
      </c>
      <c r="AZ1349" s="782"/>
      <c r="BA1349" s="781"/>
    </row>
    <row r="1350" spans="1:53" ht="25" hidden="1" customHeight="1">
      <c r="B1350" s="213">
        <v>45542</v>
      </c>
      <c r="C1350" s="578">
        <v>45572</v>
      </c>
      <c r="D1350" s="185">
        <f t="shared" si="441"/>
        <v>2024</v>
      </c>
      <c r="E1350" s="215" t="str">
        <f>VLOOKUP($B1350,Week!$A$1:$C$1462,2,0)</f>
        <v>Week36</v>
      </c>
      <c r="F1350" s="216" t="str">
        <f t="shared" si="442"/>
        <v>Sep</v>
      </c>
      <c r="G1350" s="215" t="s">
        <v>1593</v>
      </c>
      <c r="H1350" s="215" t="s">
        <v>104</v>
      </c>
      <c r="I1350" s="215" t="s">
        <v>2772</v>
      </c>
      <c r="J1350" s="209" t="s">
        <v>105</v>
      </c>
      <c r="K1350" s="217" t="s">
        <v>107</v>
      </c>
      <c r="L1350" s="300" t="s">
        <v>2167</v>
      </c>
      <c r="M1350" s="209" t="s">
        <v>108</v>
      </c>
      <c r="N1350" s="215" t="s">
        <v>109</v>
      </c>
      <c r="O1350" s="215" t="s">
        <v>110</v>
      </c>
      <c r="P1350" s="218">
        <v>36</v>
      </c>
      <c r="Q1350" s="218">
        <v>5</v>
      </c>
      <c r="R1350" s="219">
        <v>7.4999999999999997E-3</v>
      </c>
      <c r="S1350" s="215" t="s">
        <v>111</v>
      </c>
      <c r="T1350" s="215" t="s">
        <v>112</v>
      </c>
      <c r="U1350" s="215" t="s">
        <v>113</v>
      </c>
      <c r="V1350" s="220">
        <v>792</v>
      </c>
      <c r="W1350" s="220">
        <v>792</v>
      </c>
      <c r="X1350" s="221"/>
      <c r="Y1350" s="222">
        <f t="shared" si="434"/>
        <v>0</v>
      </c>
      <c r="Z1350" s="223">
        <f t="shared" si="435"/>
        <v>0</v>
      </c>
      <c r="AA1350" s="223"/>
      <c r="AB1350" s="807"/>
      <c r="AC1350" s="220"/>
      <c r="AD1350" s="209"/>
      <c r="AE1350" s="210"/>
      <c r="AF1350" s="210"/>
      <c r="AG1350" s="211">
        <f t="shared" si="436"/>
        <v>0.308</v>
      </c>
      <c r="AH1350" s="157">
        <f t="shared" si="439"/>
        <v>0</v>
      </c>
      <c r="AI1350" s="152">
        <f t="shared" si="438"/>
        <v>28512</v>
      </c>
      <c r="AK1350" s="156" t="s">
        <v>691</v>
      </c>
      <c r="AL1350" s="574" t="s">
        <v>690</v>
      </c>
      <c r="AM1350" s="198">
        <f t="shared" si="440"/>
        <v>0</v>
      </c>
      <c r="AN1350" s="199">
        <f t="shared" si="443"/>
        <v>45542</v>
      </c>
      <c r="AO1350" s="159" t="s">
        <v>692</v>
      </c>
      <c r="AP1350" s="781"/>
      <c r="AQ1350" s="782">
        <v>12063755</v>
      </c>
      <c r="AR1350" s="782">
        <v>12061353</v>
      </c>
      <c r="AS1350" s="782">
        <v>12061354</v>
      </c>
      <c r="AT1350" s="782">
        <v>12068566</v>
      </c>
      <c r="AU1350" s="781"/>
      <c r="AV1350" s="782">
        <v>12088206</v>
      </c>
      <c r="AW1350" s="782">
        <v>12088207</v>
      </c>
      <c r="AX1350" s="782"/>
      <c r="AY1350" s="782">
        <v>12068565</v>
      </c>
      <c r="AZ1350" s="782"/>
      <c r="BA1350" s="781"/>
    </row>
    <row r="1351" spans="1:53" ht="25" hidden="1" customHeight="1">
      <c r="B1351" s="213">
        <v>45542</v>
      </c>
      <c r="C1351" s="578">
        <v>45576</v>
      </c>
      <c r="D1351" s="185">
        <f t="shared" si="441"/>
        <v>2024</v>
      </c>
      <c r="E1351" s="215" t="str">
        <f>VLOOKUP($B1351,Week!$A$1:$C$1462,2,0)</f>
        <v>Week36</v>
      </c>
      <c r="F1351" s="216" t="str">
        <f t="shared" si="442"/>
        <v>Sep</v>
      </c>
      <c r="G1351" s="215" t="s">
        <v>1547</v>
      </c>
      <c r="H1351" s="215" t="s">
        <v>104</v>
      </c>
      <c r="I1351" s="215" t="s">
        <v>2772</v>
      </c>
      <c r="J1351" s="209" t="s">
        <v>105</v>
      </c>
      <c r="K1351" s="217" t="s">
        <v>107</v>
      </c>
      <c r="L1351" s="300" t="s">
        <v>2167</v>
      </c>
      <c r="M1351" s="209" t="s">
        <v>108</v>
      </c>
      <c r="N1351" s="215" t="s">
        <v>109</v>
      </c>
      <c r="O1351" s="215" t="s">
        <v>110</v>
      </c>
      <c r="P1351" s="218">
        <v>36</v>
      </c>
      <c r="Q1351" s="218">
        <v>5</v>
      </c>
      <c r="R1351" s="219">
        <v>7.4999999999999997E-3</v>
      </c>
      <c r="S1351" s="215" t="s">
        <v>111</v>
      </c>
      <c r="T1351" s="215" t="s">
        <v>112</v>
      </c>
      <c r="U1351" s="215" t="s">
        <v>113</v>
      </c>
      <c r="V1351" s="220">
        <f>4098-76-792-792-792-792-792</f>
        <v>62</v>
      </c>
      <c r="W1351" s="220">
        <f>4098-76-792-792-792-792-792</f>
        <v>62</v>
      </c>
      <c r="X1351" s="221"/>
      <c r="Y1351" s="222">
        <f t="shared" si="434"/>
        <v>0</v>
      </c>
      <c r="Z1351" s="223">
        <f t="shared" si="435"/>
        <v>0</v>
      </c>
      <c r="AA1351" s="223"/>
      <c r="AB1351" s="807"/>
      <c r="AC1351" s="220"/>
      <c r="AD1351" s="209"/>
      <c r="AE1351" s="210"/>
      <c r="AF1351" s="210"/>
      <c r="AG1351" s="211">
        <f t="shared" si="436"/>
        <v>0.308</v>
      </c>
      <c r="AH1351" s="157">
        <f t="shared" si="439"/>
        <v>0</v>
      </c>
      <c r="AI1351" s="152">
        <f t="shared" si="438"/>
        <v>2232</v>
      </c>
      <c r="AK1351" s="156" t="s">
        <v>691</v>
      </c>
      <c r="AL1351" s="574" t="s">
        <v>690</v>
      </c>
      <c r="AM1351" s="198">
        <f t="shared" si="440"/>
        <v>0</v>
      </c>
      <c r="AN1351" s="199">
        <f t="shared" si="443"/>
        <v>45542</v>
      </c>
      <c r="AO1351" s="159" t="s">
        <v>692</v>
      </c>
      <c r="AP1351" s="781"/>
      <c r="AQ1351" s="782">
        <v>12063755</v>
      </c>
      <c r="AR1351" s="782">
        <v>12061353</v>
      </c>
      <c r="AS1351" s="782">
        <v>12061354</v>
      </c>
      <c r="AT1351" s="782">
        <v>12068566</v>
      </c>
      <c r="AU1351" s="781"/>
      <c r="AV1351" s="782">
        <v>12088206</v>
      </c>
      <c r="AW1351" s="782">
        <v>12088207</v>
      </c>
      <c r="AX1351" s="782"/>
      <c r="AY1351" s="782">
        <v>12068565</v>
      </c>
      <c r="AZ1351" s="782"/>
      <c r="BA1351" s="781"/>
    </row>
    <row r="1352" spans="1:53" ht="25" hidden="1" customHeight="1">
      <c r="B1352" s="183">
        <v>45543</v>
      </c>
      <c r="C1352" s="184"/>
      <c r="D1352" s="185">
        <f t="shared" si="441"/>
        <v>2024</v>
      </c>
      <c r="E1352" s="185" t="str">
        <f>VLOOKUP($B1352,Week!$A$1:$C$1462,2,0)</f>
        <v>Week36</v>
      </c>
      <c r="F1352" s="186" t="str">
        <f t="shared" si="442"/>
        <v>Sep</v>
      </c>
      <c r="G1352" s="185"/>
      <c r="H1352" s="185"/>
      <c r="I1352" s="185"/>
      <c r="J1352" s="187"/>
      <c r="K1352" s="188"/>
      <c r="L1352" s="300"/>
      <c r="M1352" s="187"/>
      <c r="N1352" s="185"/>
      <c r="O1352" s="185"/>
      <c r="P1352" s="189"/>
      <c r="Q1352" s="189"/>
      <c r="R1352" s="190"/>
      <c r="S1352" s="185"/>
      <c r="T1352" s="185"/>
      <c r="U1352" s="185"/>
      <c r="V1352" s="191"/>
      <c r="W1352" s="191"/>
      <c r="X1352" s="192"/>
      <c r="Y1352" s="193"/>
      <c r="Z1352" s="194"/>
      <c r="AA1352" s="194"/>
      <c r="AB1352" s="805"/>
      <c r="AC1352" s="191"/>
      <c r="AD1352" s="187"/>
      <c r="AE1352" s="195"/>
      <c r="AF1352" s="195"/>
      <c r="AG1352" s="196"/>
      <c r="AH1352" s="197"/>
      <c r="AK1352" s="156" t="s">
        <v>691</v>
      </c>
      <c r="AM1352" s="198">
        <f t="shared" si="440"/>
        <v>0</v>
      </c>
      <c r="AN1352" s="199">
        <f t="shared" si="443"/>
        <v>45543</v>
      </c>
      <c r="AO1352" s="159" t="s">
        <v>692</v>
      </c>
      <c r="AP1352" s="781"/>
      <c r="AQ1352" s="782"/>
      <c r="AR1352" s="782"/>
      <c r="AS1352" s="782"/>
      <c r="AT1352" s="782"/>
      <c r="AU1352" s="781"/>
      <c r="AV1352" s="782"/>
      <c r="AW1352" s="782"/>
      <c r="AX1352" s="782"/>
      <c r="AY1352" s="782"/>
      <c r="AZ1352" s="782"/>
      <c r="BA1352" s="781"/>
    </row>
    <row r="1353" spans="1:53" ht="25" hidden="1" customHeight="1">
      <c r="A1353" s="142" t="s">
        <v>120</v>
      </c>
      <c r="B1353" s="271">
        <v>45544</v>
      </c>
      <c r="C1353" s="272">
        <v>45566</v>
      </c>
      <c r="D1353" s="185">
        <f t="shared" si="441"/>
        <v>2024</v>
      </c>
      <c r="E1353" s="272" t="str">
        <f>VLOOKUP($B1353,Week!$A$1:$C$1462,2,0)</f>
        <v>Week37</v>
      </c>
      <c r="F1353" s="273" t="str">
        <f t="shared" si="442"/>
        <v>Sep</v>
      </c>
      <c r="G1353" s="274" t="s">
        <v>1730</v>
      </c>
      <c r="H1353" s="274" t="s">
        <v>500</v>
      </c>
      <c r="I1353" s="274" t="s">
        <v>2772</v>
      </c>
      <c r="J1353" s="275" t="s">
        <v>285</v>
      </c>
      <c r="K1353" s="276" t="s">
        <v>153</v>
      </c>
      <c r="L1353" s="390" t="s">
        <v>2166</v>
      </c>
      <c r="M1353" s="275" t="s">
        <v>86</v>
      </c>
      <c r="N1353" s="274" t="s">
        <v>547</v>
      </c>
      <c r="O1353" s="274" t="s">
        <v>548</v>
      </c>
      <c r="P1353" s="277">
        <v>10</v>
      </c>
      <c r="Q1353" s="277">
        <v>50</v>
      </c>
      <c r="R1353" s="278">
        <v>6.8100000000000001E-3</v>
      </c>
      <c r="S1353" s="274" t="s">
        <v>76</v>
      </c>
      <c r="T1353" s="274" t="s">
        <v>56</v>
      </c>
      <c r="U1353" s="274" t="s">
        <v>89</v>
      </c>
      <c r="V1353" s="279">
        <v>1436</v>
      </c>
      <c r="W1353" s="279">
        <f>1396+40</f>
        <v>1436</v>
      </c>
      <c r="X1353" s="280"/>
      <c r="Y1353" s="281">
        <f t="shared" ref="Y1353:Y1378" si="444">(W1353+X1353)-V1353</f>
        <v>0</v>
      </c>
      <c r="Z1353" s="282">
        <f t="shared" ref="Z1353:Z1378" si="445">IF(Y1353&lt;0,((V1353*P1353)-((W1353+X1353)*P1353)),0)</f>
        <v>0</v>
      </c>
      <c r="AA1353" s="282">
        <f>Q1353*Z1353</f>
        <v>0</v>
      </c>
      <c r="AB1353" s="812">
        <v>6</v>
      </c>
      <c r="AC1353" s="279">
        <f>Z1353*AB1353</f>
        <v>0</v>
      </c>
      <c r="AD1353" s="209"/>
      <c r="AE1353" s="210"/>
      <c r="AF1353" s="210"/>
      <c r="AG1353" s="211">
        <f>MID(O1353,1,3)/1000</f>
        <v>0.63</v>
      </c>
      <c r="AH1353" s="157">
        <f t="shared" ref="AH1353:AH1363" si="446">(Z1353*AG1353)/1000</f>
        <v>0</v>
      </c>
      <c r="AI1353" s="152">
        <f t="shared" ref="AI1353:AI1378" si="447">V1353*P1353</f>
        <v>14360</v>
      </c>
      <c r="AK1353" s="156" t="s">
        <v>691</v>
      </c>
      <c r="AL1353" s="156" t="s">
        <v>689</v>
      </c>
      <c r="AM1353" s="198">
        <f t="shared" si="440"/>
        <v>0</v>
      </c>
      <c r="AN1353" s="199">
        <f t="shared" si="443"/>
        <v>45544</v>
      </c>
      <c r="AO1353" s="159" t="s">
        <v>692</v>
      </c>
      <c r="AP1353" s="783" t="s">
        <v>620</v>
      </c>
      <c r="AQ1353" s="782" t="s">
        <v>549</v>
      </c>
      <c r="AR1353" s="782">
        <v>12055234</v>
      </c>
      <c r="AS1353" s="781"/>
      <c r="AT1353" s="782"/>
      <c r="AU1353" s="782"/>
      <c r="AV1353" s="782">
        <v>12062809</v>
      </c>
      <c r="AW1353" s="782"/>
      <c r="AX1353" s="782" t="s">
        <v>619</v>
      </c>
      <c r="AY1353" s="781"/>
      <c r="AZ1353" s="781"/>
      <c r="BA1353" s="781"/>
    </row>
    <row r="1354" spans="1:53" ht="25" hidden="1" customHeight="1">
      <c r="A1354" s="142" t="s">
        <v>120</v>
      </c>
      <c r="B1354" s="271">
        <v>45545</v>
      </c>
      <c r="C1354" s="272">
        <v>45566</v>
      </c>
      <c r="D1354" s="185">
        <f t="shared" si="441"/>
        <v>2024</v>
      </c>
      <c r="E1354" s="272" t="str">
        <f>VLOOKUP($B1354,Week!$A$1:$C$1462,2,0)</f>
        <v>Week37</v>
      </c>
      <c r="F1354" s="273" t="str">
        <f t="shared" si="442"/>
        <v>Sep</v>
      </c>
      <c r="G1354" s="274" t="s">
        <v>1730</v>
      </c>
      <c r="H1354" s="274" t="s">
        <v>500</v>
      </c>
      <c r="I1354" s="274" t="s">
        <v>2772</v>
      </c>
      <c r="J1354" s="275" t="s">
        <v>285</v>
      </c>
      <c r="K1354" s="276" t="s">
        <v>153</v>
      </c>
      <c r="L1354" s="390" t="s">
        <v>2166</v>
      </c>
      <c r="M1354" s="275" t="s">
        <v>86</v>
      </c>
      <c r="N1354" s="274" t="s">
        <v>547</v>
      </c>
      <c r="O1354" s="274" t="s">
        <v>548</v>
      </c>
      <c r="P1354" s="277">
        <v>10</v>
      </c>
      <c r="Q1354" s="277">
        <v>50</v>
      </c>
      <c r="R1354" s="278">
        <v>6.8100000000000001E-3</v>
      </c>
      <c r="S1354" s="274" t="s">
        <v>76</v>
      </c>
      <c r="T1354" s="274" t="s">
        <v>56</v>
      </c>
      <c r="U1354" s="274" t="s">
        <v>89</v>
      </c>
      <c r="V1354" s="279">
        <f>2056-1436</f>
        <v>620</v>
      </c>
      <c r="W1354" s="279">
        <f>609+11</f>
        <v>620</v>
      </c>
      <c r="X1354" s="280"/>
      <c r="Y1354" s="281">
        <f t="shared" si="444"/>
        <v>0</v>
      </c>
      <c r="Z1354" s="282">
        <f t="shared" si="445"/>
        <v>0</v>
      </c>
      <c r="AA1354" s="282">
        <f>Q1354*Z1354</f>
        <v>0</v>
      </c>
      <c r="AB1354" s="812">
        <v>6</v>
      </c>
      <c r="AC1354" s="279">
        <f>Z1354*AB1354</f>
        <v>0</v>
      </c>
      <c r="AD1354" s="209"/>
      <c r="AE1354" s="210"/>
      <c r="AF1354" s="210"/>
      <c r="AG1354" s="211">
        <f>MID(O1354,1,3)/1000</f>
        <v>0.63</v>
      </c>
      <c r="AH1354" s="157">
        <f t="shared" si="446"/>
        <v>0</v>
      </c>
      <c r="AI1354" s="152">
        <f t="shared" si="447"/>
        <v>6200</v>
      </c>
      <c r="AK1354" s="156" t="s">
        <v>691</v>
      </c>
      <c r="AL1354" s="156" t="s">
        <v>689</v>
      </c>
      <c r="AM1354" s="198">
        <f t="shared" si="440"/>
        <v>0</v>
      </c>
      <c r="AN1354" s="199">
        <f t="shared" si="443"/>
        <v>45545</v>
      </c>
      <c r="AO1354" s="159" t="s">
        <v>692</v>
      </c>
      <c r="AP1354" s="783" t="s">
        <v>620</v>
      </c>
      <c r="AQ1354" s="782" t="s">
        <v>549</v>
      </c>
      <c r="AR1354" s="782">
        <v>12055234</v>
      </c>
      <c r="AS1354" s="781"/>
      <c r="AT1354" s="782"/>
      <c r="AU1354" s="782"/>
      <c r="AV1354" s="782">
        <v>12062809</v>
      </c>
      <c r="AW1354" s="782"/>
      <c r="AX1354" s="782" t="s">
        <v>619</v>
      </c>
      <c r="AY1354" s="781"/>
      <c r="AZ1354" s="781"/>
      <c r="BA1354" s="781"/>
    </row>
    <row r="1355" spans="1:53" ht="24.65" hidden="1" customHeight="1">
      <c r="A1355" s="142" t="s">
        <v>120</v>
      </c>
      <c r="B1355" s="258">
        <v>45545</v>
      </c>
      <c r="C1355" s="259">
        <v>45567</v>
      </c>
      <c r="D1355" s="185">
        <f t="shared" si="441"/>
        <v>2024</v>
      </c>
      <c r="E1355" s="260" t="str">
        <f>VLOOKUP($B1355,Week!$A$1:$C$1462,2,0)</f>
        <v>Week37</v>
      </c>
      <c r="F1355" s="261" t="str">
        <f t="shared" si="442"/>
        <v>Sep</v>
      </c>
      <c r="G1355" s="262" t="s">
        <v>1715</v>
      </c>
      <c r="H1355" s="260" t="s">
        <v>134</v>
      </c>
      <c r="I1355" s="260" t="s">
        <v>2772</v>
      </c>
      <c r="J1355" s="263" t="s">
        <v>164</v>
      </c>
      <c r="K1355" s="264" t="s">
        <v>153</v>
      </c>
      <c r="L1355" s="390" t="s">
        <v>2166</v>
      </c>
      <c r="M1355" s="263" t="s">
        <v>165</v>
      </c>
      <c r="N1355" s="260" t="s">
        <v>166</v>
      </c>
      <c r="O1355" s="260" t="s">
        <v>502</v>
      </c>
      <c r="P1355" s="265">
        <v>20</v>
      </c>
      <c r="Q1355" s="265">
        <v>12</v>
      </c>
      <c r="R1355" s="266">
        <v>6.8100000000000001E-3</v>
      </c>
      <c r="S1355" s="260" t="s">
        <v>76</v>
      </c>
      <c r="T1355" s="260" t="s">
        <v>56</v>
      </c>
      <c r="U1355" s="260" t="s">
        <v>89</v>
      </c>
      <c r="V1355" s="267">
        <f>1000</f>
        <v>1000</v>
      </c>
      <c r="W1355" s="267">
        <f>566</f>
        <v>566</v>
      </c>
      <c r="X1355" s="268">
        <f>(357+8400)/20</f>
        <v>437.85</v>
      </c>
      <c r="Y1355" s="269">
        <f t="shared" si="444"/>
        <v>3.8500000000000227</v>
      </c>
      <c r="Z1355" s="270">
        <f t="shared" si="445"/>
        <v>0</v>
      </c>
      <c r="AA1355" s="270">
        <f>Q1355*Z1355</f>
        <v>0</v>
      </c>
      <c r="AB1355" s="811">
        <v>2</v>
      </c>
      <c r="AC1355" s="267">
        <f>Z1355*AB1355</f>
        <v>0</v>
      </c>
      <c r="AD1355" s="209" t="s">
        <v>168</v>
      </c>
      <c r="AE1355" s="210"/>
      <c r="AF1355" s="210"/>
      <c r="AG1355" s="211">
        <f>MID(O1355,1,3)/1000</f>
        <v>0.154</v>
      </c>
      <c r="AH1355" s="157">
        <f t="shared" si="446"/>
        <v>0</v>
      </c>
      <c r="AI1355" s="152">
        <f t="shared" si="447"/>
        <v>20000</v>
      </c>
      <c r="AK1355" s="156" t="s">
        <v>691</v>
      </c>
      <c r="AL1355" s="156" t="s">
        <v>689</v>
      </c>
      <c r="AM1355" s="198">
        <f t="shared" si="440"/>
        <v>0</v>
      </c>
      <c r="AN1355" s="199">
        <f t="shared" si="443"/>
        <v>45545</v>
      </c>
      <c r="AO1355" s="159" t="s">
        <v>692</v>
      </c>
      <c r="AP1355" s="783" t="s">
        <v>610</v>
      </c>
      <c r="AQ1355" s="783" t="s">
        <v>631</v>
      </c>
      <c r="AR1355" s="783" t="s">
        <v>523</v>
      </c>
      <c r="AS1355" s="781"/>
      <c r="AT1355" s="782">
        <v>12055919</v>
      </c>
      <c r="AU1355" s="781"/>
      <c r="AV1355" s="783" t="s">
        <v>544</v>
      </c>
      <c r="AW1355" s="781"/>
      <c r="AX1355" s="782" t="s">
        <v>398</v>
      </c>
      <c r="AY1355" s="781"/>
      <c r="AZ1355" s="781"/>
      <c r="BA1355" s="781"/>
    </row>
    <row r="1356" spans="1:53" ht="25" hidden="1" customHeight="1">
      <c r="A1356" s="529" t="s">
        <v>1749</v>
      </c>
      <c r="B1356" s="295">
        <v>45546</v>
      </c>
      <c r="C1356" s="296">
        <v>45547</v>
      </c>
      <c r="D1356" s="185">
        <f t="shared" si="441"/>
        <v>2024</v>
      </c>
      <c r="E1356" s="296" t="str">
        <f>VLOOKUP($B1356,Week!$A$1:$C$1462,2,0)</f>
        <v>Week37</v>
      </c>
      <c r="F1356" s="297" t="str">
        <f t="shared" si="442"/>
        <v>Sep</v>
      </c>
      <c r="G1356" s="635" t="s">
        <v>1750</v>
      </c>
      <c r="H1356" s="298" t="s">
        <v>47</v>
      </c>
      <c r="I1356" s="298" t="s">
        <v>2702</v>
      </c>
      <c r="J1356" s="299" t="s">
        <v>1740</v>
      </c>
      <c r="K1356" s="300" t="s">
        <v>94</v>
      </c>
      <c r="L1356" s="300" t="s">
        <v>2167</v>
      </c>
      <c r="M1356" s="299" t="s">
        <v>521</v>
      </c>
      <c r="N1356" s="298" t="s">
        <v>1743</v>
      </c>
      <c r="O1356" s="298" t="s">
        <v>1741</v>
      </c>
      <c r="P1356" s="301">
        <v>100</v>
      </c>
      <c r="Q1356" s="301">
        <v>5</v>
      </c>
      <c r="R1356" s="302">
        <v>8.0000000000000002E-3</v>
      </c>
      <c r="S1356" s="298" t="s">
        <v>40</v>
      </c>
      <c r="T1356" s="298" t="s">
        <v>56</v>
      </c>
      <c r="U1356" s="298" t="s">
        <v>89</v>
      </c>
      <c r="V1356" s="303">
        <f>27</f>
        <v>27</v>
      </c>
      <c r="W1356" s="303">
        <f>27</f>
        <v>27</v>
      </c>
      <c r="X1356" s="304"/>
      <c r="Y1356" s="305">
        <f t="shared" si="444"/>
        <v>0</v>
      </c>
      <c r="Z1356" s="306">
        <f t="shared" si="445"/>
        <v>0</v>
      </c>
      <c r="AA1356" s="306"/>
      <c r="AB1356" s="814">
        <v>1</v>
      </c>
      <c r="AC1356" s="303">
        <f>Z1356*AB1356</f>
        <v>0</v>
      </c>
      <c r="AD1356" s="209"/>
      <c r="AE1356" s="210"/>
      <c r="AF1356" s="210"/>
      <c r="AG1356" s="211">
        <f>(MID(O1356,1,2)/1000)/3</f>
        <v>0.03</v>
      </c>
      <c r="AH1356" s="157">
        <f t="shared" si="446"/>
        <v>0</v>
      </c>
      <c r="AI1356" s="152">
        <f t="shared" si="447"/>
        <v>2700</v>
      </c>
      <c r="AK1356" s="156" t="s">
        <v>691</v>
      </c>
      <c r="AL1356" s="212" t="s">
        <v>690</v>
      </c>
      <c r="AM1356" s="198">
        <f t="shared" si="440"/>
        <v>0</v>
      </c>
      <c r="AN1356" s="199">
        <f t="shared" si="443"/>
        <v>45546</v>
      </c>
      <c r="AO1356" s="159" t="s">
        <v>692</v>
      </c>
      <c r="AP1356" s="783" t="s">
        <v>628</v>
      </c>
      <c r="AQ1356" s="782"/>
      <c r="AR1356" s="782"/>
      <c r="AS1356" s="782"/>
      <c r="AT1356" s="782"/>
      <c r="AU1356" s="781"/>
      <c r="AV1356" s="782">
        <v>12080791</v>
      </c>
      <c r="AW1356" s="782" t="s">
        <v>641</v>
      </c>
      <c r="AX1356" s="782" t="s">
        <v>533</v>
      </c>
      <c r="AY1356" s="782"/>
      <c r="AZ1356" s="782"/>
      <c r="BA1356" s="781"/>
    </row>
    <row r="1357" spans="1:53" ht="25" hidden="1" customHeight="1">
      <c r="B1357" s="488">
        <v>45546</v>
      </c>
      <c r="C1357" s="487">
        <v>45555</v>
      </c>
      <c r="D1357" s="185">
        <f t="shared" si="441"/>
        <v>2024</v>
      </c>
      <c r="E1357" s="614" t="str">
        <f>VLOOKUP($B1357,Week!$A$1:$C$1462,2,0)</f>
        <v>Week37</v>
      </c>
      <c r="F1357" s="445" t="str">
        <f t="shared" si="442"/>
        <v>Sep</v>
      </c>
      <c r="G1357" s="615" t="s">
        <v>1556</v>
      </c>
      <c r="H1357" s="444" t="s">
        <v>104</v>
      </c>
      <c r="I1357" s="444" t="s">
        <v>2772</v>
      </c>
      <c r="J1357" s="490" t="s">
        <v>105</v>
      </c>
      <c r="K1357" s="491" t="s">
        <v>1643</v>
      </c>
      <c r="L1357" s="300" t="s">
        <v>2167</v>
      </c>
      <c r="M1357" s="490" t="s">
        <v>336</v>
      </c>
      <c r="N1357" s="615" t="s">
        <v>745</v>
      </c>
      <c r="O1357" s="444" t="s">
        <v>743</v>
      </c>
      <c r="P1357" s="492">
        <v>36</v>
      </c>
      <c r="Q1357" s="492">
        <v>5</v>
      </c>
      <c r="R1357" s="493">
        <v>7.4999999999999997E-3</v>
      </c>
      <c r="S1357" s="444" t="s">
        <v>40</v>
      </c>
      <c r="T1357" s="444" t="s">
        <v>112</v>
      </c>
      <c r="U1357" s="616" t="s">
        <v>721</v>
      </c>
      <c r="V1357" s="494">
        <f>1288-1052</f>
        <v>236</v>
      </c>
      <c r="W1357" s="494">
        <f>74+162</f>
        <v>236</v>
      </c>
      <c r="X1357" s="495"/>
      <c r="Y1357" s="496">
        <f t="shared" si="444"/>
        <v>0</v>
      </c>
      <c r="Z1357" s="497">
        <f t="shared" si="445"/>
        <v>0</v>
      </c>
      <c r="AA1357" s="497"/>
      <c r="AB1357" s="829"/>
      <c r="AC1357" s="494"/>
      <c r="AD1357" s="515"/>
      <c r="AE1357" s="210"/>
      <c r="AF1357" s="210"/>
      <c r="AG1357" s="211">
        <f t="shared" ref="AG1357:AG1378" si="448">MID(O1357,1,3)/1000</f>
        <v>0.14699999999999999</v>
      </c>
      <c r="AH1357" s="157">
        <f t="shared" si="446"/>
        <v>0</v>
      </c>
      <c r="AI1357" s="152">
        <f t="shared" si="447"/>
        <v>8496</v>
      </c>
      <c r="AK1357" s="156" t="s">
        <v>691</v>
      </c>
      <c r="AL1357" s="574" t="s">
        <v>690</v>
      </c>
      <c r="AM1357" s="198">
        <f t="shared" si="440"/>
        <v>0</v>
      </c>
      <c r="AN1357" s="199">
        <f t="shared" si="443"/>
        <v>45546</v>
      </c>
      <c r="AO1357" s="159" t="s">
        <v>692</v>
      </c>
      <c r="AP1357" s="783" t="s">
        <v>639</v>
      </c>
      <c r="AQ1357" s="782">
        <v>12071839</v>
      </c>
      <c r="AR1357" s="782">
        <v>12047514</v>
      </c>
      <c r="AS1357" s="782">
        <v>12047515</v>
      </c>
      <c r="AT1357" s="782">
        <v>12089764</v>
      </c>
      <c r="AU1357" s="781"/>
      <c r="AV1357" s="782">
        <v>12089763</v>
      </c>
      <c r="AW1357" s="782">
        <v>12024404</v>
      </c>
      <c r="AX1357" s="781"/>
      <c r="AY1357" s="782">
        <v>12089765</v>
      </c>
      <c r="AZ1357" s="781"/>
      <c r="BA1357" s="781"/>
    </row>
    <row r="1358" spans="1:53" ht="25" hidden="1" customHeight="1">
      <c r="B1358" s="488">
        <v>45546</v>
      </c>
      <c r="C1358" s="487">
        <v>45556</v>
      </c>
      <c r="D1358" s="185">
        <f t="shared" si="441"/>
        <v>2024</v>
      </c>
      <c r="E1358" s="614" t="str">
        <f>VLOOKUP($B1358,Week!$A$1:$C$1462,2,0)</f>
        <v>Week37</v>
      </c>
      <c r="F1358" s="445" t="str">
        <f t="shared" si="442"/>
        <v>Sep</v>
      </c>
      <c r="G1358" s="615" t="s">
        <v>1563</v>
      </c>
      <c r="H1358" s="444" t="s">
        <v>104</v>
      </c>
      <c r="I1358" s="444" t="s">
        <v>2772</v>
      </c>
      <c r="J1358" s="490" t="s">
        <v>105</v>
      </c>
      <c r="K1358" s="491" t="s">
        <v>1643</v>
      </c>
      <c r="L1358" s="300" t="s">
        <v>2167</v>
      </c>
      <c r="M1358" s="490" t="s">
        <v>336</v>
      </c>
      <c r="N1358" s="615" t="s">
        <v>745</v>
      </c>
      <c r="O1358" s="444" t="s">
        <v>743</v>
      </c>
      <c r="P1358" s="492">
        <v>36</v>
      </c>
      <c r="Q1358" s="492">
        <v>5</v>
      </c>
      <c r="R1358" s="493">
        <v>7.4999999999999997E-3</v>
      </c>
      <c r="S1358" s="444" t="s">
        <v>40</v>
      </c>
      <c r="T1358" s="444" t="s">
        <v>112</v>
      </c>
      <c r="U1358" s="616" t="s">
        <v>721</v>
      </c>
      <c r="V1358" s="494">
        <v>1288</v>
      </c>
      <c r="W1358" s="494">
        <v>1288</v>
      </c>
      <c r="X1358" s="495"/>
      <c r="Y1358" s="496">
        <f t="shared" si="444"/>
        <v>0</v>
      </c>
      <c r="Z1358" s="497">
        <f t="shared" si="445"/>
        <v>0</v>
      </c>
      <c r="AA1358" s="497"/>
      <c r="AB1358" s="829"/>
      <c r="AC1358" s="494"/>
      <c r="AD1358" s="515"/>
      <c r="AE1358" s="210"/>
      <c r="AF1358" s="210"/>
      <c r="AG1358" s="211">
        <f t="shared" si="448"/>
        <v>0.14699999999999999</v>
      </c>
      <c r="AH1358" s="157">
        <f t="shared" si="446"/>
        <v>0</v>
      </c>
      <c r="AI1358" s="152">
        <f t="shared" si="447"/>
        <v>46368</v>
      </c>
      <c r="AK1358" s="156" t="s">
        <v>691</v>
      </c>
      <c r="AL1358" s="574" t="s">
        <v>690</v>
      </c>
      <c r="AM1358" s="198">
        <f t="shared" si="440"/>
        <v>0</v>
      </c>
      <c r="AN1358" s="199">
        <f t="shared" si="443"/>
        <v>45546</v>
      </c>
      <c r="AO1358" s="159" t="s">
        <v>692</v>
      </c>
      <c r="AP1358" s="783" t="s">
        <v>639</v>
      </c>
      <c r="AQ1358" s="782">
        <v>12071839</v>
      </c>
      <c r="AR1358" s="782">
        <v>12047514</v>
      </c>
      <c r="AS1358" s="782">
        <v>12047515</v>
      </c>
      <c r="AT1358" s="782">
        <v>12089764</v>
      </c>
      <c r="AU1358" s="781"/>
      <c r="AV1358" s="782">
        <v>12089763</v>
      </c>
      <c r="AW1358" s="782">
        <v>12024404</v>
      </c>
      <c r="AX1358" s="781"/>
      <c r="AY1358" s="782">
        <v>12089765</v>
      </c>
      <c r="AZ1358" s="781"/>
      <c r="BA1358" s="781"/>
    </row>
    <row r="1359" spans="1:53" ht="25" hidden="1" customHeight="1">
      <c r="B1359" s="488">
        <v>45546</v>
      </c>
      <c r="C1359" s="487">
        <v>45562</v>
      </c>
      <c r="D1359" s="185">
        <f t="shared" si="441"/>
        <v>2024</v>
      </c>
      <c r="E1359" s="614" t="str">
        <f>VLOOKUP($B1359,Week!$A$1:$C$1462,2,0)</f>
        <v>Week37</v>
      </c>
      <c r="F1359" s="445" t="str">
        <f t="shared" si="442"/>
        <v>Sep</v>
      </c>
      <c r="G1359" s="615" t="s">
        <v>1557</v>
      </c>
      <c r="H1359" s="444" t="s">
        <v>104</v>
      </c>
      <c r="I1359" s="444" t="s">
        <v>2772</v>
      </c>
      <c r="J1359" s="490" t="s">
        <v>105</v>
      </c>
      <c r="K1359" s="491" t="s">
        <v>1643</v>
      </c>
      <c r="L1359" s="300" t="s">
        <v>2167</v>
      </c>
      <c r="M1359" s="490" t="s">
        <v>336</v>
      </c>
      <c r="N1359" s="615" t="s">
        <v>745</v>
      </c>
      <c r="O1359" s="444" t="s">
        <v>743</v>
      </c>
      <c r="P1359" s="492">
        <v>36</v>
      </c>
      <c r="Q1359" s="492">
        <v>5</v>
      </c>
      <c r="R1359" s="493">
        <v>7.4999999999999997E-3</v>
      </c>
      <c r="S1359" s="444" t="s">
        <v>40</v>
      </c>
      <c r="T1359" s="444" t="s">
        <v>112</v>
      </c>
      <c r="U1359" s="616" t="s">
        <v>721</v>
      </c>
      <c r="V1359" s="494">
        <v>1288</v>
      </c>
      <c r="W1359" s="494">
        <v>1288</v>
      </c>
      <c r="X1359" s="495"/>
      <c r="Y1359" s="496">
        <f t="shared" si="444"/>
        <v>0</v>
      </c>
      <c r="Z1359" s="497">
        <f t="shared" si="445"/>
        <v>0</v>
      </c>
      <c r="AA1359" s="497"/>
      <c r="AB1359" s="829"/>
      <c r="AC1359" s="494"/>
      <c r="AD1359" s="515"/>
      <c r="AE1359" s="210"/>
      <c r="AF1359" s="210"/>
      <c r="AG1359" s="211">
        <f t="shared" si="448"/>
        <v>0.14699999999999999</v>
      </c>
      <c r="AH1359" s="157">
        <f t="shared" si="446"/>
        <v>0</v>
      </c>
      <c r="AI1359" s="152">
        <f t="shared" si="447"/>
        <v>46368</v>
      </c>
      <c r="AK1359" s="156" t="s">
        <v>691</v>
      </c>
      <c r="AL1359" s="574" t="s">
        <v>690</v>
      </c>
      <c r="AM1359" s="198">
        <f t="shared" si="440"/>
        <v>0</v>
      </c>
      <c r="AN1359" s="199">
        <f t="shared" si="443"/>
        <v>45546</v>
      </c>
      <c r="AO1359" s="159" t="s">
        <v>692</v>
      </c>
      <c r="AP1359" s="783" t="s">
        <v>639</v>
      </c>
      <c r="AQ1359" s="782">
        <v>12071839</v>
      </c>
      <c r="AR1359" s="782">
        <v>12047514</v>
      </c>
      <c r="AS1359" s="782">
        <v>12047515</v>
      </c>
      <c r="AT1359" s="782">
        <v>12089764</v>
      </c>
      <c r="AU1359" s="781"/>
      <c r="AV1359" s="782">
        <v>12089763</v>
      </c>
      <c r="AW1359" s="782">
        <v>12024404</v>
      </c>
      <c r="AX1359" s="781"/>
      <c r="AY1359" s="782">
        <v>12089765</v>
      </c>
      <c r="AZ1359" s="781"/>
      <c r="BA1359" s="781"/>
    </row>
    <row r="1360" spans="1:53" ht="25" hidden="1" customHeight="1">
      <c r="B1360" s="488">
        <v>45546</v>
      </c>
      <c r="C1360" s="487">
        <v>45562</v>
      </c>
      <c r="D1360" s="185">
        <f t="shared" si="441"/>
        <v>2024</v>
      </c>
      <c r="E1360" s="614" t="str">
        <f>VLOOKUP($B1360,Week!$A$1:$C$1462,2,0)</f>
        <v>Week37</v>
      </c>
      <c r="F1360" s="445" t="str">
        <f t="shared" si="442"/>
        <v>Sep</v>
      </c>
      <c r="G1360" s="615" t="s">
        <v>1627</v>
      </c>
      <c r="H1360" s="444" t="s">
        <v>104</v>
      </c>
      <c r="I1360" s="444" t="s">
        <v>2772</v>
      </c>
      <c r="J1360" s="490" t="s">
        <v>105</v>
      </c>
      <c r="K1360" s="491" t="s">
        <v>1643</v>
      </c>
      <c r="L1360" s="300" t="s">
        <v>2167</v>
      </c>
      <c r="M1360" s="490" t="s">
        <v>336</v>
      </c>
      <c r="N1360" s="615" t="s">
        <v>745</v>
      </c>
      <c r="O1360" s="444" t="s">
        <v>743</v>
      </c>
      <c r="P1360" s="492">
        <v>36</v>
      </c>
      <c r="Q1360" s="492">
        <v>5</v>
      </c>
      <c r="R1360" s="493">
        <v>7.4999999999999997E-3</v>
      </c>
      <c r="S1360" s="444" t="s">
        <v>40</v>
      </c>
      <c r="T1360" s="444" t="s">
        <v>112</v>
      </c>
      <c r="U1360" s="616" t="s">
        <v>721</v>
      </c>
      <c r="V1360" s="494">
        <f>1114+52+1</f>
        <v>1167</v>
      </c>
      <c r="W1360" s="494">
        <f>3850-162-1288-1288+52+3</f>
        <v>1167</v>
      </c>
      <c r="X1360" s="495"/>
      <c r="Y1360" s="496">
        <f t="shared" si="444"/>
        <v>0</v>
      </c>
      <c r="Z1360" s="497">
        <f t="shared" si="445"/>
        <v>0</v>
      </c>
      <c r="AA1360" s="497"/>
      <c r="AB1360" s="829"/>
      <c r="AC1360" s="494"/>
      <c r="AD1360" s="515"/>
      <c r="AE1360" s="210"/>
      <c r="AF1360" s="210"/>
      <c r="AG1360" s="211">
        <f t="shared" si="448"/>
        <v>0.14699999999999999</v>
      </c>
      <c r="AH1360" s="157">
        <f t="shared" si="446"/>
        <v>0</v>
      </c>
      <c r="AI1360" s="152">
        <f t="shared" si="447"/>
        <v>42012</v>
      </c>
      <c r="AK1360" s="156" t="s">
        <v>691</v>
      </c>
      <c r="AL1360" s="574" t="s">
        <v>690</v>
      </c>
      <c r="AM1360" s="198">
        <f t="shared" si="440"/>
        <v>0</v>
      </c>
      <c r="AN1360" s="199">
        <f t="shared" si="443"/>
        <v>45546</v>
      </c>
      <c r="AO1360" s="159" t="s">
        <v>692</v>
      </c>
      <c r="AP1360" s="783" t="s">
        <v>639</v>
      </c>
      <c r="AQ1360" s="782">
        <v>12071839</v>
      </c>
      <c r="AR1360" s="782">
        <v>12047514</v>
      </c>
      <c r="AS1360" s="782">
        <v>12047515</v>
      </c>
      <c r="AT1360" s="782">
        <v>12089764</v>
      </c>
      <c r="AU1360" s="781"/>
      <c r="AV1360" s="782">
        <v>12089763</v>
      </c>
      <c r="AW1360" s="782">
        <v>12024404</v>
      </c>
      <c r="AX1360" s="781"/>
      <c r="AY1360" s="782">
        <v>12089765</v>
      </c>
      <c r="AZ1360" s="781"/>
      <c r="BA1360" s="781"/>
    </row>
    <row r="1361" spans="1:53" ht="25" hidden="1" customHeight="1">
      <c r="B1361" s="358">
        <v>45546</v>
      </c>
      <c r="C1361" s="358">
        <v>45575</v>
      </c>
      <c r="D1361" s="185">
        <f t="shared" si="441"/>
        <v>2024</v>
      </c>
      <c r="E1361" s="358" t="str">
        <f>VLOOKUP($B1361,Week!$A$1:$C$1462,2,0)</f>
        <v>Week37</v>
      </c>
      <c r="F1361" s="360" t="str">
        <f t="shared" si="442"/>
        <v>Sep</v>
      </c>
      <c r="G1361" s="358" t="s">
        <v>1674</v>
      </c>
      <c r="H1361" s="359" t="s">
        <v>431</v>
      </c>
      <c r="I1361" s="359" t="s">
        <v>2772</v>
      </c>
      <c r="J1361" s="361" t="s">
        <v>432</v>
      </c>
      <c r="K1361" s="362" t="s">
        <v>365</v>
      </c>
      <c r="L1361" s="300" t="s">
        <v>2167</v>
      </c>
      <c r="M1361" s="361" t="s">
        <v>561</v>
      </c>
      <c r="N1361" s="359" t="s">
        <v>562</v>
      </c>
      <c r="O1361" s="359" t="s">
        <v>187</v>
      </c>
      <c r="P1361" s="363">
        <v>8</v>
      </c>
      <c r="Q1361" s="363">
        <v>4</v>
      </c>
      <c r="R1361" s="364">
        <v>7.4999999999999997E-3</v>
      </c>
      <c r="S1361" s="359" t="s">
        <v>111</v>
      </c>
      <c r="T1361" s="359" t="s">
        <v>112</v>
      </c>
      <c r="U1361" s="359" t="s">
        <v>57</v>
      </c>
      <c r="V1361" s="365">
        <f>2100</f>
        <v>2100</v>
      </c>
      <c r="W1361" s="365"/>
      <c r="X1361" s="366">
        <f>(29+17061)/8</f>
        <v>2136.25</v>
      </c>
      <c r="Y1361" s="367">
        <f t="shared" si="444"/>
        <v>36.25</v>
      </c>
      <c r="Z1361" s="368">
        <f t="shared" si="445"/>
        <v>0</v>
      </c>
      <c r="AA1361" s="368"/>
      <c r="AB1361" s="819"/>
      <c r="AC1361" s="365"/>
      <c r="AD1361" s="209"/>
      <c r="AE1361" s="210"/>
      <c r="AF1361" s="210"/>
      <c r="AG1361" s="211">
        <f t="shared" si="448"/>
        <v>0.14499999999999999</v>
      </c>
      <c r="AH1361" s="157">
        <f t="shared" si="446"/>
        <v>0</v>
      </c>
      <c r="AI1361" s="152">
        <f t="shared" si="447"/>
        <v>16800</v>
      </c>
      <c r="AK1361" s="156" t="s">
        <v>691</v>
      </c>
      <c r="AL1361" s="212" t="s">
        <v>690</v>
      </c>
      <c r="AM1361" s="198">
        <f t="shared" si="440"/>
        <v>0</v>
      </c>
      <c r="AN1361" s="199">
        <f t="shared" si="443"/>
        <v>45546</v>
      </c>
      <c r="AO1361" s="159" t="s">
        <v>692</v>
      </c>
      <c r="AP1361" s="783" t="s">
        <v>613</v>
      </c>
      <c r="AQ1361" s="782">
        <v>12071839</v>
      </c>
      <c r="AR1361" s="782">
        <v>12047514</v>
      </c>
      <c r="AS1361" s="782">
        <v>12047515</v>
      </c>
      <c r="AT1361" s="782">
        <v>12062626</v>
      </c>
      <c r="AU1361" s="782" t="s">
        <v>563</v>
      </c>
      <c r="AV1361" s="782">
        <v>12062625</v>
      </c>
      <c r="AW1361" s="782"/>
      <c r="AX1361" s="782"/>
      <c r="AY1361" s="782"/>
      <c r="AZ1361" s="782"/>
      <c r="BA1361" s="781"/>
    </row>
    <row r="1362" spans="1:53" ht="24.65" hidden="1" customHeight="1">
      <c r="B1362" s="308">
        <v>45547</v>
      </c>
      <c r="C1362" s="309">
        <v>45561</v>
      </c>
      <c r="D1362" s="185">
        <f t="shared" si="441"/>
        <v>2024</v>
      </c>
      <c r="E1362" s="309" t="str">
        <f>VLOOKUP($B1362,Week!$A$1:$C$1462,2,0)</f>
        <v>Week37</v>
      </c>
      <c r="F1362" s="310" t="str">
        <f t="shared" si="442"/>
        <v>Sep</v>
      </c>
      <c r="G1362" s="311" t="s">
        <v>1639</v>
      </c>
      <c r="H1362" s="311" t="s">
        <v>311</v>
      </c>
      <c r="I1362" s="311" t="s">
        <v>2772</v>
      </c>
      <c r="J1362" s="312" t="s">
        <v>738</v>
      </c>
      <c r="K1362" s="313" t="s">
        <v>107</v>
      </c>
      <c r="L1362" s="300" t="s">
        <v>2167</v>
      </c>
      <c r="M1362" s="312" t="s">
        <v>313</v>
      </c>
      <c r="N1362" s="311" t="s">
        <v>314</v>
      </c>
      <c r="O1362" s="311" t="s">
        <v>110</v>
      </c>
      <c r="P1362" s="314">
        <v>36</v>
      </c>
      <c r="Q1362" s="314">
        <v>5</v>
      </c>
      <c r="R1362" s="315">
        <v>7.4999999999999997E-3</v>
      </c>
      <c r="S1362" s="311" t="s">
        <v>111</v>
      </c>
      <c r="T1362" s="311" t="s">
        <v>112</v>
      </c>
      <c r="U1362" s="311" t="s">
        <v>57</v>
      </c>
      <c r="V1362" s="316">
        <v>792</v>
      </c>
      <c r="W1362" s="316">
        <f>41+707+44</f>
        <v>792</v>
      </c>
      <c r="X1362" s="317"/>
      <c r="Y1362" s="318">
        <f t="shared" si="444"/>
        <v>0</v>
      </c>
      <c r="Z1362" s="319">
        <f t="shared" si="445"/>
        <v>0</v>
      </c>
      <c r="AA1362" s="319"/>
      <c r="AB1362" s="815"/>
      <c r="AC1362" s="316"/>
      <c r="AD1362" s="515"/>
      <c r="AE1362" s="210"/>
      <c r="AF1362" s="210"/>
      <c r="AG1362" s="211">
        <f t="shared" si="448"/>
        <v>0.308</v>
      </c>
      <c r="AH1362" s="157">
        <f t="shared" si="446"/>
        <v>0</v>
      </c>
      <c r="AI1362" s="152">
        <f t="shared" si="447"/>
        <v>28512</v>
      </c>
      <c r="AK1362" s="156" t="s">
        <v>691</v>
      </c>
      <c r="AL1362" s="212" t="s">
        <v>690</v>
      </c>
      <c r="AM1362" s="198">
        <f t="shared" si="440"/>
        <v>0</v>
      </c>
      <c r="AN1362" s="199">
        <f t="shared" si="443"/>
        <v>45547</v>
      </c>
      <c r="AO1362" s="159" t="s">
        <v>692</v>
      </c>
      <c r="AP1362" s="783" t="s">
        <v>644</v>
      </c>
      <c r="AQ1362" s="782">
        <v>12063755</v>
      </c>
      <c r="AR1362" s="782">
        <v>12061353</v>
      </c>
      <c r="AS1362" s="782">
        <v>12061354</v>
      </c>
      <c r="AT1362" s="782">
        <v>12062266</v>
      </c>
      <c r="AU1362" s="781"/>
      <c r="AV1362" s="782">
        <v>12088159</v>
      </c>
      <c r="AW1362" s="782">
        <v>12088207</v>
      </c>
      <c r="AX1362" s="782"/>
      <c r="AY1362" s="782">
        <v>12062262</v>
      </c>
      <c r="AZ1362" s="782"/>
      <c r="BA1362" s="781"/>
    </row>
    <row r="1363" spans="1:53" ht="25" hidden="1" customHeight="1">
      <c r="A1363" s="440"/>
      <c r="B1363" s="271">
        <v>45547</v>
      </c>
      <c r="C1363" s="271">
        <v>45575</v>
      </c>
      <c r="D1363" s="185">
        <f t="shared" si="441"/>
        <v>2024</v>
      </c>
      <c r="E1363" s="441" t="str">
        <f>VLOOKUP($B1363,Week!$A$1:$C$1462,2,0)</f>
        <v>Week37</v>
      </c>
      <c r="F1363" s="442" t="str">
        <f t="shared" si="442"/>
        <v>Sep</v>
      </c>
      <c r="G1363" s="423" t="s">
        <v>1163</v>
      </c>
      <c r="H1363" s="274" t="s">
        <v>267</v>
      </c>
      <c r="I1363" s="274" t="s">
        <v>2772</v>
      </c>
      <c r="J1363" s="275" t="s">
        <v>699</v>
      </c>
      <c r="K1363" s="276" t="s">
        <v>107</v>
      </c>
      <c r="L1363" s="300" t="s">
        <v>2167</v>
      </c>
      <c r="M1363" s="275" t="s">
        <v>136</v>
      </c>
      <c r="N1363" s="274" t="s">
        <v>269</v>
      </c>
      <c r="O1363" s="274" t="s">
        <v>270</v>
      </c>
      <c r="P1363" s="277">
        <v>12</v>
      </c>
      <c r="Q1363" s="277">
        <v>3</v>
      </c>
      <c r="R1363" s="278">
        <v>7.4999999999999997E-3</v>
      </c>
      <c r="S1363" s="274" t="s">
        <v>111</v>
      </c>
      <c r="T1363" s="274" t="s">
        <v>112</v>
      </c>
      <c r="U1363" s="274" t="s">
        <v>57</v>
      </c>
      <c r="V1363" s="279">
        <v>2520</v>
      </c>
      <c r="W1363" s="279">
        <f>113+2407</f>
        <v>2520</v>
      </c>
      <c r="X1363" s="280"/>
      <c r="Y1363" s="281">
        <f t="shared" si="444"/>
        <v>0</v>
      </c>
      <c r="Z1363" s="282">
        <f t="shared" si="445"/>
        <v>0</v>
      </c>
      <c r="AA1363" s="282"/>
      <c r="AB1363" s="812"/>
      <c r="AC1363" s="279"/>
      <c r="AD1363" s="443" t="s">
        <v>737</v>
      </c>
      <c r="AE1363" s="210"/>
      <c r="AF1363" s="210"/>
      <c r="AG1363" s="211">
        <f t="shared" si="448"/>
        <v>0.309</v>
      </c>
      <c r="AH1363" s="157">
        <f t="shared" si="446"/>
        <v>0</v>
      </c>
      <c r="AI1363" s="152">
        <f t="shared" si="447"/>
        <v>30240</v>
      </c>
      <c r="AK1363" s="156" t="s">
        <v>691</v>
      </c>
      <c r="AL1363" s="212" t="s">
        <v>690</v>
      </c>
      <c r="AM1363" s="198">
        <f t="shared" si="440"/>
        <v>0</v>
      </c>
      <c r="AN1363" s="199">
        <f t="shared" si="443"/>
        <v>45547</v>
      </c>
      <c r="AO1363" s="159" t="s">
        <v>692</v>
      </c>
      <c r="AP1363" s="781"/>
      <c r="AQ1363" s="782">
        <v>12063755</v>
      </c>
      <c r="AR1363" s="782">
        <v>12081257</v>
      </c>
      <c r="AS1363" s="782">
        <v>12081260</v>
      </c>
      <c r="AT1363" s="782"/>
      <c r="AU1363" s="781"/>
      <c r="AV1363" s="782">
        <v>12073316</v>
      </c>
      <c r="AW1363" s="782"/>
      <c r="AX1363" s="782"/>
      <c r="AY1363" s="782">
        <v>12073342</v>
      </c>
      <c r="AZ1363" s="782">
        <v>12073344</v>
      </c>
      <c r="BA1363" s="782">
        <v>12073343</v>
      </c>
    </row>
    <row r="1364" spans="1:53" ht="25" hidden="1" customHeight="1">
      <c r="B1364" s="385">
        <v>45547</v>
      </c>
      <c r="C1364" s="386">
        <v>45559</v>
      </c>
      <c r="D1364" s="185">
        <f t="shared" si="441"/>
        <v>2024</v>
      </c>
      <c r="E1364" s="386" t="str">
        <f>VLOOKUP($B1364,Week!$A$1:$C$1462,2,0)</f>
        <v>Week37</v>
      </c>
      <c r="F1364" s="387" t="str">
        <f t="shared" si="442"/>
        <v>Sep</v>
      </c>
      <c r="G1364" s="388" t="s">
        <v>1698</v>
      </c>
      <c r="H1364" s="388" t="s">
        <v>600</v>
      </c>
      <c r="I1364" s="388" t="s">
        <v>2772</v>
      </c>
      <c r="J1364" s="389" t="s">
        <v>708</v>
      </c>
      <c r="K1364" s="390" t="s">
        <v>1652</v>
      </c>
      <c r="L1364" s="300" t="s">
        <v>2167</v>
      </c>
      <c r="M1364" s="389" t="s">
        <v>603</v>
      </c>
      <c r="N1364" s="637" t="s">
        <v>1404</v>
      </c>
      <c r="O1364" s="388" t="s">
        <v>602</v>
      </c>
      <c r="P1364" s="391">
        <v>8</v>
      </c>
      <c r="Q1364" s="391">
        <v>3</v>
      </c>
      <c r="R1364" s="392">
        <v>6.0000000000000001E-3</v>
      </c>
      <c r="S1364" s="388" t="s">
        <v>55</v>
      </c>
      <c r="T1364" s="388" t="s">
        <v>112</v>
      </c>
      <c r="U1364" s="601" t="s">
        <v>724</v>
      </c>
      <c r="V1364" s="393">
        <v>3500</v>
      </c>
      <c r="W1364" s="393"/>
      <c r="X1364" s="394">
        <f>(1822+26178)/8</f>
        <v>3500</v>
      </c>
      <c r="Y1364" s="395">
        <f t="shared" si="444"/>
        <v>0</v>
      </c>
      <c r="Z1364" s="396">
        <f t="shared" si="445"/>
        <v>0</v>
      </c>
      <c r="AA1364" s="396"/>
      <c r="AB1364" s="823"/>
      <c r="AC1364" s="393"/>
      <c r="AD1364" s="636" t="s">
        <v>1043</v>
      </c>
      <c r="AE1364" s="210"/>
      <c r="AF1364" s="210"/>
      <c r="AG1364" s="211">
        <f t="shared" si="448"/>
        <v>0.30199999999999999</v>
      </c>
      <c r="AH1364" s="157">
        <v>0.26621999999999996</v>
      </c>
      <c r="AI1364" s="152">
        <f t="shared" si="447"/>
        <v>28000</v>
      </c>
      <c r="AK1364" s="156" t="s">
        <v>691</v>
      </c>
      <c r="AL1364" s="212" t="s">
        <v>690</v>
      </c>
      <c r="AM1364" s="198">
        <f t="shared" si="440"/>
        <v>0</v>
      </c>
      <c r="AN1364" s="199">
        <f t="shared" si="443"/>
        <v>45547</v>
      </c>
      <c r="AO1364" s="159" t="s">
        <v>692</v>
      </c>
      <c r="AP1364" s="781" t="s">
        <v>642</v>
      </c>
      <c r="AQ1364" s="782">
        <v>12063755</v>
      </c>
      <c r="AR1364" s="782">
        <v>12061353</v>
      </c>
      <c r="AS1364" s="782">
        <v>12061354</v>
      </c>
      <c r="AT1364" s="782">
        <v>12091199</v>
      </c>
      <c r="AU1364" s="781"/>
      <c r="AV1364" s="782">
        <v>12091198</v>
      </c>
      <c r="AW1364" s="781"/>
      <c r="AX1364" s="781"/>
      <c r="AY1364" s="781"/>
      <c r="AZ1364" s="782"/>
      <c r="BA1364" s="781"/>
    </row>
    <row r="1365" spans="1:53" ht="25" hidden="1" customHeight="1">
      <c r="B1365" s="385">
        <v>45547</v>
      </c>
      <c r="C1365" s="386">
        <v>45566</v>
      </c>
      <c r="D1365" s="185">
        <f t="shared" si="441"/>
        <v>2024</v>
      </c>
      <c r="E1365" s="386" t="str">
        <f>VLOOKUP($B1365,Week!$A$1:$C$1462,2,0)</f>
        <v>Week37</v>
      </c>
      <c r="F1365" s="387" t="str">
        <f t="shared" si="442"/>
        <v>Sep</v>
      </c>
      <c r="G1365" s="388" t="s">
        <v>1702</v>
      </c>
      <c r="H1365" s="388" t="s">
        <v>571</v>
      </c>
      <c r="I1365" s="388" t="s">
        <v>2772</v>
      </c>
      <c r="J1365" s="389" t="s">
        <v>663</v>
      </c>
      <c r="K1365" s="390" t="s">
        <v>1652</v>
      </c>
      <c r="L1365" s="300" t="s">
        <v>2167</v>
      </c>
      <c r="M1365" s="389" t="s">
        <v>682</v>
      </c>
      <c r="N1365" s="388" t="s">
        <v>718</v>
      </c>
      <c r="O1365" s="388" t="s">
        <v>659</v>
      </c>
      <c r="P1365" s="391">
        <v>12</v>
      </c>
      <c r="Q1365" s="391">
        <v>3</v>
      </c>
      <c r="R1365" s="392">
        <v>6.0000000000000001E-3</v>
      </c>
      <c r="S1365" s="388" t="s">
        <v>55</v>
      </c>
      <c r="T1365" s="388" t="s">
        <v>112</v>
      </c>
      <c r="U1365" s="601" t="s">
        <v>724</v>
      </c>
      <c r="V1365" s="393">
        <v>2040</v>
      </c>
      <c r="W1365" s="393"/>
      <c r="X1365" s="394">
        <f>(394+23233+113+740)/12</f>
        <v>2040</v>
      </c>
      <c r="Y1365" s="395">
        <f t="shared" si="444"/>
        <v>0</v>
      </c>
      <c r="Z1365" s="396">
        <f t="shared" si="445"/>
        <v>0</v>
      </c>
      <c r="AA1365" s="396"/>
      <c r="AB1365" s="823"/>
      <c r="AC1365" s="393"/>
      <c r="AD1365" s="636" t="s">
        <v>1043</v>
      </c>
      <c r="AE1365" s="210"/>
      <c r="AF1365" s="210"/>
      <c r="AG1365" s="211">
        <f t="shared" si="448"/>
        <v>0.30199999999999999</v>
      </c>
      <c r="AH1365" s="157">
        <v>0.26621999999999996</v>
      </c>
      <c r="AI1365" s="152">
        <f t="shared" si="447"/>
        <v>24480</v>
      </c>
      <c r="AK1365" s="156" t="s">
        <v>691</v>
      </c>
      <c r="AL1365" s="212" t="s">
        <v>690</v>
      </c>
      <c r="AM1365" s="198">
        <f t="shared" si="440"/>
        <v>0</v>
      </c>
      <c r="AN1365" s="199">
        <f t="shared" si="443"/>
        <v>45547</v>
      </c>
      <c r="AO1365" s="159" t="s">
        <v>692</v>
      </c>
      <c r="AP1365" s="781" t="s">
        <v>642</v>
      </c>
      <c r="AQ1365" s="782">
        <v>12063755</v>
      </c>
      <c r="AR1365" s="782">
        <v>12061353</v>
      </c>
      <c r="AS1365" s="782">
        <v>12061354</v>
      </c>
      <c r="AT1365" s="782">
        <v>12090253</v>
      </c>
      <c r="AU1365" s="781"/>
      <c r="AV1365" s="782">
        <v>12090245</v>
      </c>
      <c r="AW1365" s="781"/>
      <c r="AX1365" s="781"/>
      <c r="AY1365" s="781"/>
      <c r="AZ1365" s="782"/>
      <c r="BA1365" s="781"/>
    </row>
    <row r="1366" spans="1:53" ht="25" hidden="1" customHeight="1">
      <c r="B1366" s="332">
        <v>45547</v>
      </c>
      <c r="C1366" s="333">
        <v>45558</v>
      </c>
      <c r="D1366" s="185">
        <f t="shared" si="441"/>
        <v>2024</v>
      </c>
      <c r="E1366" s="333" t="str">
        <f>VLOOKUP($B1366,Week!$A$1:$C$1462,2,0)</f>
        <v>Week37</v>
      </c>
      <c r="F1366" s="334" t="str">
        <f t="shared" si="442"/>
        <v>Sep</v>
      </c>
      <c r="G1366" s="335" t="s">
        <v>1706</v>
      </c>
      <c r="H1366" s="335" t="s">
        <v>675</v>
      </c>
      <c r="I1366" s="335" t="s">
        <v>2772</v>
      </c>
      <c r="J1366" s="336" t="s">
        <v>709</v>
      </c>
      <c r="K1366" s="337" t="s">
        <v>1652</v>
      </c>
      <c r="L1366" s="300" t="s">
        <v>2167</v>
      </c>
      <c r="M1366" s="336" t="s">
        <v>682</v>
      </c>
      <c r="N1366" s="530" t="s">
        <v>712</v>
      </c>
      <c r="O1366" s="335" t="s">
        <v>602</v>
      </c>
      <c r="P1366" s="338">
        <v>8</v>
      </c>
      <c r="Q1366" s="338">
        <v>3</v>
      </c>
      <c r="R1366" s="339">
        <v>6.0000000000000001E-3</v>
      </c>
      <c r="S1366" s="335" t="s">
        <v>55</v>
      </c>
      <c r="T1366" s="335" t="s">
        <v>112</v>
      </c>
      <c r="U1366" s="340" t="s">
        <v>724</v>
      </c>
      <c r="V1366" s="341">
        <f>325</f>
        <v>325</v>
      </c>
      <c r="W1366" s="341"/>
      <c r="X1366" s="342">
        <f>(393+2207)/8</f>
        <v>325</v>
      </c>
      <c r="Y1366" s="343">
        <f t="shared" si="444"/>
        <v>0</v>
      </c>
      <c r="Z1366" s="344">
        <f t="shared" si="445"/>
        <v>0</v>
      </c>
      <c r="AA1366" s="344"/>
      <c r="AB1366" s="817"/>
      <c r="AC1366" s="341"/>
      <c r="AD1366" s="443" t="s">
        <v>1504</v>
      </c>
      <c r="AE1366" s="210"/>
      <c r="AF1366" s="210"/>
      <c r="AG1366" s="211">
        <f t="shared" si="448"/>
        <v>0.30199999999999999</v>
      </c>
      <c r="AH1366" s="157">
        <v>0.26621999999999996</v>
      </c>
      <c r="AI1366" s="152">
        <f t="shared" si="447"/>
        <v>2600</v>
      </c>
      <c r="AK1366" s="156" t="s">
        <v>691</v>
      </c>
      <c r="AL1366" s="574" t="s">
        <v>690</v>
      </c>
      <c r="AM1366" s="198">
        <f t="shared" si="440"/>
        <v>0</v>
      </c>
      <c r="AN1366" s="199">
        <f t="shared" si="443"/>
        <v>45547</v>
      </c>
      <c r="AO1366" s="159" t="s">
        <v>692</v>
      </c>
      <c r="AP1366" s="781" t="s">
        <v>642</v>
      </c>
      <c r="AQ1366" s="782">
        <v>12063755</v>
      </c>
      <c r="AR1366" s="782">
        <v>12061353</v>
      </c>
      <c r="AS1366" s="782">
        <v>12061354</v>
      </c>
      <c r="AT1366" s="782">
        <v>12090030</v>
      </c>
      <c r="AU1366" s="781"/>
      <c r="AV1366" s="782">
        <v>12089992</v>
      </c>
      <c r="AW1366" s="781"/>
      <c r="AX1366" s="781"/>
      <c r="AY1366" s="781"/>
      <c r="AZ1366" s="782"/>
      <c r="BA1366" s="781"/>
    </row>
    <row r="1367" spans="1:53" ht="24.75" hidden="1" customHeight="1">
      <c r="B1367" s="320">
        <v>45548</v>
      </c>
      <c r="C1367" s="321">
        <v>45558</v>
      </c>
      <c r="D1367" s="185">
        <f t="shared" si="441"/>
        <v>2024</v>
      </c>
      <c r="E1367" s="321" t="str">
        <f>VLOOKUP($B1367,Week!$A$1:$C$1462,2,0)</f>
        <v>Week37</v>
      </c>
      <c r="F1367" s="322" t="str">
        <f t="shared" si="442"/>
        <v>Sep</v>
      </c>
      <c r="G1367" s="323" t="s">
        <v>1706</v>
      </c>
      <c r="H1367" s="323" t="s">
        <v>675</v>
      </c>
      <c r="I1367" s="323" t="s">
        <v>2772</v>
      </c>
      <c r="J1367" s="324" t="s">
        <v>709</v>
      </c>
      <c r="K1367" s="325" t="s">
        <v>107</v>
      </c>
      <c r="L1367" s="300" t="s">
        <v>2167</v>
      </c>
      <c r="M1367" s="324" t="s">
        <v>313</v>
      </c>
      <c r="N1367" s="596" t="s">
        <v>710</v>
      </c>
      <c r="O1367" s="323" t="s">
        <v>592</v>
      </c>
      <c r="P1367" s="326">
        <v>8</v>
      </c>
      <c r="Q1367" s="326">
        <v>4</v>
      </c>
      <c r="R1367" s="327">
        <v>7.4999999999999997E-3</v>
      </c>
      <c r="S1367" s="323" t="s">
        <v>111</v>
      </c>
      <c r="T1367" s="323" t="s">
        <v>112</v>
      </c>
      <c r="U1367" s="323" t="s">
        <v>57</v>
      </c>
      <c r="V1367" s="328">
        <f>756</f>
        <v>756</v>
      </c>
      <c r="W1367" s="328"/>
      <c r="X1367" s="329">
        <f>(1384+4664)/8</f>
        <v>756</v>
      </c>
      <c r="Y1367" s="330">
        <f t="shared" si="444"/>
        <v>0</v>
      </c>
      <c r="Z1367" s="331">
        <f t="shared" si="445"/>
        <v>0</v>
      </c>
      <c r="AA1367" s="331"/>
      <c r="AB1367" s="816"/>
      <c r="AC1367" s="328"/>
      <c r="AD1367" s="307" t="s">
        <v>672</v>
      </c>
      <c r="AE1367" s="210"/>
      <c r="AF1367" s="210"/>
      <c r="AG1367" s="211">
        <f t="shared" si="448"/>
        <v>0.30499999999999999</v>
      </c>
      <c r="AH1367" s="157">
        <f t="shared" ref="AH1367:AH1378" si="449">(Z1367*AG1367)/1000</f>
        <v>0</v>
      </c>
      <c r="AI1367" s="152">
        <f t="shared" si="447"/>
        <v>6048</v>
      </c>
      <c r="AK1367" s="156" t="s">
        <v>691</v>
      </c>
      <c r="AL1367" s="212" t="s">
        <v>690</v>
      </c>
      <c r="AM1367" s="198">
        <f t="shared" si="440"/>
        <v>0</v>
      </c>
      <c r="AN1367" s="199">
        <f t="shared" si="443"/>
        <v>45548</v>
      </c>
      <c r="AO1367" s="159" t="s">
        <v>692</v>
      </c>
      <c r="AP1367" s="783" t="s">
        <v>643</v>
      </c>
      <c r="AQ1367" s="782">
        <v>12063755</v>
      </c>
      <c r="AR1367" s="782">
        <v>12061353</v>
      </c>
      <c r="AS1367" s="782">
        <v>12061354</v>
      </c>
      <c r="AT1367" s="782">
        <v>12089987</v>
      </c>
      <c r="AU1367" s="781"/>
      <c r="AV1367" s="782">
        <v>12089986</v>
      </c>
      <c r="AW1367" s="782"/>
      <c r="AX1367" s="782"/>
      <c r="AY1367" s="782"/>
      <c r="AZ1367" s="782"/>
      <c r="BA1367" s="781"/>
    </row>
    <row r="1368" spans="1:53" ht="25" hidden="1" customHeight="1">
      <c r="B1368" s="308">
        <v>45548</v>
      </c>
      <c r="C1368" s="309">
        <v>45575</v>
      </c>
      <c r="D1368" s="185">
        <f t="shared" si="441"/>
        <v>2024</v>
      </c>
      <c r="E1368" s="309" t="str">
        <f>VLOOKUP($B1368,Week!$A$1:$C$1462,2,0)</f>
        <v>Week37</v>
      </c>
      <c r="F1368" s="310" t="str">
        <f t="shared" si="442"/>
        <v>Sep</v>
      </c>
      <c r="G1368" s="311" t="s">
        <v>1674</v>
      </c>
      <c r="H1368" s="311" t="s">
        <v>431</v>
      </c>
      <c r="I1368" s="311" t="s">
        <v>2772</v>
      </c>
      <c r="J1368" s="312" t="s">
        <v>432</v>
      </c>
      <c r="K1368" s="313" t="s">
        <v>107</v>
      </c>
      <c r="L1368" s="300" t="s">
        <v>2167</v>
      </c>
      <c r="M1368" s="312" t="s">
        <v>136</v>
      </c>
      <c r="N1368" s="311" t="s">
        <v>542</v>
      </c>
      <c r="O1368" s="311" t="s">
        <v>543</v>
      </c>
      <c r="P1368" s="314">
        <v>8</v>
      </c>
      <c r="Q1368" s="314">
        <v>3</v>
      </c>
      <c r="R1368" s="315">
        <v>7.4999999999999997E-3</v>
      </c>
      <c r="S1368" s="311" t="s">
        <v>111</v>
      </c>
      <c r="T1368" s="311" t="s">
        <v>112</v>
      </c>
      <c r="U1368" s="311" t="s">
        <v>57</v>
      </c>
      <c r="V1368" s="316">
        <f>800</f>
        <v>800</v>
      </c>
      <c r="W1368" s="316"/>
      <c r="X1368" s="317">
        <f>(190-96+6629)/8</f>
        <v>840.375</v>
      </c>
      <c r="Y1368" s="318">
        <f t="shared" si="444"/>
        <v>40.375</v>
      </c>
      <c r="Z1368" s="319">
        <f t="shared" si="445"/>
        <v>0</v>
      </c>
      <c r="AA1368" s="319"/>
      <c r="AB1368" s="815"/>
      <c r="AC1368" s="316"/>
      <c r="AD1368" s="209"/>
      <c r="AE1368" s="210"/>
      <c r="AF1368" s="210"/>
      <c r="AG1368" s="211">
        <f t="shared" si="448"/>
        <v>0.309</v>
      </c>
      <c r="AH1368" s="157">
        <f t="shared" si="449"/>
        <v>0</v>
      </c>
      <c r="AI1368" s="152">
        <f t="shared" si="447"/>
        <v>6400</v>
      </c>
      <c r="AK1368" s="156" t="s">
        <v>691</v>
      </c>
      <c r="AL1368" s="212" t="s">
        <v>690</v>
      </c>
      <c r="AM1368" s="198">
        <f t="shared" si="440"/>
        <v>0</v>
      </c>
      <c r="AN1368" s="199">
        <f t="shared" si="443"/>
        <v>45548</v>
      </c>
      <c r="AO1368" s="159" t="s">
        <v>692</v>
      </c>
      <c r="AP1368" s="781"/>
      <c r="AQ1368" s="782">
        <v>12063755</v>
      </c>
      <c r="AR1368" s="782">
        <v>12061353</v>
      </c>
      <c r="AS1368" s="782">
        <v>12061354</v>
      </c>
      <c r="AT1368" s="782">
        <v>12083615</v>
      </c>
      <c r="AU1368" s="781"/>
      <c r="AV1368" s="782">
        <v>12062186</v>
      </c>
      <c r="AW1368" s="782"/>
      <c r="AX1368" s="782"/>
      <c r="AY1368" s="782"/>
      <c r="AZ1368" s="782"/>
      <c r="BA1368" s="781"/>
    </row>
    <row r="1369" spans="1:53" ht="24.65" hidden="1" customHeight="1">
      <c r="B1369" s="308">
        <v>45548</v>
      </c>
      <c r="C1369" s="309">
        <v>45561</v>
      </c>
      <c r="D1369" s="185">
        <f t="shared" si="441"/>
        <v>2024</v>
      </c>
      <c r="E1369" s="309" t="str">
        <f>VLOOKUP($B1369,Week!$A$1:$C$1462,2,0)</f>
        <v>Week37</v>
      </c>
      <c r="F1369" s="310" t="str">
        <f t="shared" si="442"/>
        <v>Sep</v>
      </c>
      <c r="G1369" s="311" t="s">
        <v>1680</v>
      </c>
      <c r="H1369" s="311" t="s">
        <v>311</v>
      </c>
      <c r="I1369" s="311" t="s">
        <v>2772</v>
      </c>
      <c r="J1369" s="312" t="s">
        <v>738</v>
      </c>
      <c r="K1369" s="313" t="s">
        <v>107</v>
      </c>
      <c r="L1369" s="300" t="s">
        <v>2167</v>
      </c>
      <c r="M1369" s="312" t="s">
        <v>313</v>
      </c>
      <c r="N1369" s="311" t="s">
        <v>314</v>
      </c>
      <c r="O1369" s="311" t="s">
        <v>110</v>
      </c>
      <c r="P1369" s="314">
        <v>36</v>
      </c>
      <c r="Q1369" s="314">
        <v>5</v>
      </c>
      <c r="R1369" s="315">
        <v>7.4999999999999997E-3</v>
      </c>
      <c r="S1369" s="311" t="s">
        <v>111</v>
      </c>
      <c r="T1369" s="311" t="s">
        <v>112</v>
      </c>
      <c r="U1369" s="311" t="s">
        <v>57</v>
      </c>
      <c r="V1369" s="316">
        <v>792</v>
      </c>
      <c r="W1369" s="316">
        <f>11+781</f>
        <v>792</v>
      </c>
      <c r="X1369" s="317"/>
      <c r="Y1369" s="318">
        <f t="shared" si="444"/>
        <v>0</v>
      </c>
      <c r="Z1369" s="319">
        <f t="shared" si="445"/>
        <v>0</v>
      </c>
      <c r="AA1369" s="319"/>
      <c r="AB1369" s="815"/>
      <c r="AC1369" s="316"/>
      <c r="AD1369" s="515"/>
      <c r="AE1369" s="210"/>
      <c r="AF1369" s="210"/>
      <c r="AG1369" s="211">
        <f t="shared" si="448"/>
        <v>0.308</v>
      </c>
      <c r="AH1369" s="157">
        <f t="shared" si="449"/>
        <v>0</v>
      </c>
      <c r="AI1369" s="152">
        <f t="shared" si="447"/>
        <v>28512</v>
      </c>
      <c r="AK1369" s="156" t="s">
        <v>691</v>
      </c>
      <c r="AL1369" s="212" t="s">
        <v>690</v>
      </c>
      <c r="AM1369" s="198">
        <f t="shared" si="440"/>
        <v>0</v>
      </c>
      <c r="AN1369" s="199">
        <f t="shared" si="443"/>
        <v>45548</v>
      </c>
      <c r="AO1369" s="159" t="s">
        <v>692</v>
      </c>
      <c r="AP1369" s="783" t="s">
        <v>644</v>
      </c>
      <c r="AQ1369" s="782">
        <v>12063755</v>
      </c>
      <c r="AR1369" s="782">
        <v>12061353</v>
      </c>
      <c r="AS1369" s="782">
        <v>12061354</v>
      </c>
      <c r="AT1369" s="782">
        <v>12062266</v>
      </c>
      <c r="AU1369" s="781"/>
      <c r="AV1369" s="782">
        <v>12088159</v>
      </c>
      <c r="AW1369" s="782">
        <v>12088207</v>
      </c>
      <c r="AX1369" s="782"/>
      <c r="AY1369" s="782">
        <v>12062262</v>
      </c>
      <c r="AZ1369" s="782"/>
      <c r="BA1369" s="781"/>
    </row>
    <row r="1370" spans="1:53" ht="24.65" hidden="1" customHeight="1">
      <c r="B1370" s="308">
        <v>45548</v>
      </c>
      <c r="C1370" s="309">
        <v>45568</v>
      </c>
      <c r="D1370" s="185">
        <f t="shared" si="441"/>
        <v>2024</v>
      </c>
      <c r="E1370" s="309" t="str">
        <f>VLOOKUP($B1370,Week!$A$1:$C$1462,2,0)</f>
        <v>Week37</v>
      </c>
      <c r="F1370" s="310" t="str">
        <f t="shared" si="442"/>
        <v>Sep</v>
      </c>
      <c r="G1370" s="311" t="s">
        <v>1681</v>
      </c>
      <c r="H1370" s="311" t="s">
        <v>311</v>
      </c>
      <c r="I1370" s="311" t="s">
        <v>2772</v>
      </c>
      <c r="J1370" s="312" t="s">
        <v>738</v>
      </c>
      <c r="K1370" s="313" t="s">
        <v>107</v>
      </c>
      <c r="L1370" s="300" t="s">
        <v>2167</v>
      </c>
      <c r="M1370" s="312" t="s">
        <v>313</v>
      </c>
      <c r="N1370" s="311" t="s">
        <v>314</v>
      </c>
      <c r="O1370" s="311" t="s">
        <v>110</v>
      </c>
      <c r="P1370" s="314">
        <v>36</v>
      </c>
      <c r="Q1370" s="314">
        <v>5</v>
      </c>
      <c r="R1370" s="315">
        <v>7.4999999999999997E-3</v>
      </c>
      <c r="S1370" s="311" t="s">
        <v>111</v>
      </c>
      <c r="T1370" s="311" t="s">
        <v>112</v>
      </c>
      <c r="U1370" s="311" t="s">
        <v>57</v>
      </c>
      <c r="V1370" s="316">
        <v>792</v>
      </c>
      <c r="W1370" s="316">
        <v>792</v>
      </c>
      <c r="X1370" s="317"/>
      <c r="Y1370" s="318">
        <f t="shared" si="444"/>
        <v>0</v>
      </c>
      <c r="Z1370" s="319">
        <f t="shared" si="445"/>
        <v>0</v>
      </c>
      <c r="AA1370" s="319"/>
      <c r="AB1370" s="815"/>
      <c r="AC1370" s="316"/>
      <c r="AD1370" s="515"/>
      <c r="AE1370" s="210"/>
      <c r="AF1370" s="210"/>
      <c r="AG1370" s="211">
        <f t="shared" si="448"/>
        <v>0.308</v>
      </c>
      <c r="AH1370" s="157">
        <f t="shared" si="449"/>
        <v>0</v>
      </c>
      <c r="AI1370" s="152">
        <f t="shared" si="447"/>
        <v>28512</v>
      </c>
      <c r="AK1370" s="156" t="s">
        <v>691</v>
      </c>
      <c r="AL1370" s="212" t="s">
        <v>690</v>
      </c>
      <c r="AM1370" s="198">
        <f t="shared" si="440"/>
        <v>0</v>
      </c>
      <c r="AN1370" s="199">
        <f t="shared" si="443"/>
        <v>45548</v>
      </c>
      <c r="AO1370" s="159" t="s">
        <v>692</v>
      </c>
      <c r="AP1370" s="783" t="s">
        <v>644</v>
      </c>
      <c r="AQ1370" s="782">
        <v>12063755</v>
      </c>
      <c r="AR1370" s="782">
        <v>12061353</v>
      </c>
      <c r="AS1370" s="782">
        <v>12061354</v>
      </c>
      <c r="AT1370" s="782">
        <v>12062266</v>
      </c>
      <c r="AU1370" s="781"/>
      <c r="AV1370" s="782">
        <v>12088159</v>
      </c>
      <c r="AW1370" s="782">
        <v>12088207</v>
      </c>
      <c r="AX1370" s="782"/>
      <c r="AY1370" s="782">
        <v>12062262</v>
      </c>
      <c r="AZ1370" s="782"/>
      <c r="BA1370" s="781"/>
    </row>
    <row r="1371" spans="1:53" ht="24.65" hidden="1" customHeight="1">
      <c r="B1371" s="308">
        <v>45548</v>
      </c>
      <c r="C1371" s="309">
        <v>45568</v>
      </c>
      <c r="D1371" s="185">
        <f t="shared" si="441"/>
        <v>2024</v>
      </c>
      <c r="E1371" s="309" t="str">
        <f>VLOOKUP($B1371,Week!$A$1:$C$1462,2,0)</f>
        <v>Week37</v>
      </c>
      <c r="F1371" s="310" t="str">
        <f t="shared" si="442"/>
        <v>Sep</v>
      </c>
      <c r="G1371" s="311" t="s">
        <v>1682</v>
      </c>
      <c r="H1371" s="311" t="s">
        <v>311</v>
      </c>
      <c r="I1371" s="311" t="s">
        <v>2772</v>
      </c>
      <c r="J1371" s="312" t="s">
        <v>738</v>
      </c>
      <c r="K1371" s="313" t="s">
        <v>107</v>
      </c>
      <c r="L1371" s="300" t="s">
        <v>2167</v>
      </c>
      <c r="M1371" s="312" t="s">
        <v>313</v>
      </c>
      <c r="N1371" s="311" t="s">
        <v>314</v>
      </c>
      <c r="O1371" s="311" t="s">
        <v>110</v>
      </c>
      <c r="P1371" s="314">
        <v>36</v>
      </c>
      <c r="Q1371" s="314">
        <v>5</v>
      </c>
      <c r="R1371" s="315">
        <v>7.4999999999999997E-3</v>
      </c>
      <c r="S1371" s="311" t="s">
        <v>111</v>
      </c>
      <c r="T1371" s="311" t="s">
        <v>112</v>
      </c>
      <c r="U1371" s="311" t="s">
        <v>57</v>
      </c>
      <c r="V1371" s="316">
        <v>792</v>
      </c>
      <c r="W1371" s="316">
        <v>792</v>
      </c>
      <c r="X1371" s="317"/>
      <c r="Y1371" s="318">
        <f t="shared" si="444"/>
        <v>0</v>
      </c>
      <c r="Z1371" s="319">
        <f t="shared" si="445"/>
        <v>0</v>
      </c>
      <c r="AA1371" s="319"/>
      <c r="AB1371" s="815"/>
      <c r="AC1371" s="316"/>
      <c r="AD1371" s="515"/>
      <c r="AE1371" s="210"/>
      <c r="AF1371" s="210"/>
      <c r="AG1371" s="211">
        <f t="shared" si="448"/>
        <v>0.308</v>
      </c>
      <c r="AH1371" s="157">
        <f t="shared" si="449"/>
        <v>0</v>
      </c>
      <c r="AI1371" s="152">
        <f t="shared" si="447"/>
        <v>28512</v>
      </c>
      <c r="AK1371" s="156" t="s">
        <v>691</v>
      </c>
      <c r="AL1371" s="212" t="s">
        <v>690</v>
      </c>
      <c r="AM1371" s="198">
        <f t="shared" si="440"/>
        <v>0</v>
      </c>
      <c r="AN1371" s="199">
        <f t="shared" si="443"/>
        <v>45548</v>
      </c>
      <c r="AO1371" s="159" t="s">
        <v>692</v>
      </c>
      <c r="AP1371" s="783" t="s">
        <v>644</v>
      </c>
      <c r="AQ1371" s="782">
        <v>12063755</v>
      </c>
      <c r="AR1371" s="782">
        <v>12061353</v>
      </c>
      <c r="AS1371" s="782">
        <v>12061354</v>
      </c>
      <c r="AT1371" s="782">
        <v>12062266</v>
      </c>
      <c r="AU1371" s="781"/>
      <c r="AV1371" s="782">
        <v>12088159</v>
      </c>
      <c r="AW1371" s="782">
        <v>12088207</v>
      </c>
      <c r="AX1371" s="782"/>
      <c r="AY1371" s="782">
        <v>12062262</v>
      </c>
      <c r="AZ1371" s="782"/>
      <c r="BA1371" s="781"/>
    </row>
    <row r="1372" spans="1:53" ht="24.65" hidden="1" customHeight="1">
      <c r="B1372" s="308">
        <v>45548</v>
      </c>
      <c r="C1372" s="309">
        <v>45575</v>
      </c>
      <c r="D1372" s="185">
        <f t="shared" si="441"/>
        <v>2024</v>
      </c>
      <c r="E1372" s="309" t="str">
        <f>VLOOKUP($B1372,Week!$A$1:$C$1462,2,0)</f>
        <v>Week37</v>
      </c>
      <c r="F1372" s="310" t="str">
        <f t="shared" si="442"/>
        <v>Sep</v>
      </c>
      <c r="G1372" s="311" t="s">
        <v>1683</v>
      </c>
      <c r="H1372" s="311" t="s">
        <v>311</v>
      </c>
      <c r="I1372" s="311" t="s">
        <v>2772</v>
      </c>
      <c r="J1372" s="312" t="s">
        <v>738</v>
      </c>
      <c r="K1372" s="313" t="s">
        <v>107</v>
      </c>
      <c r="L1372" s="300" t="s">
        <v>2167</v>
      </c>
      <c r="M1372" s="312" t="s">
        <v>313</v>
      </c>
      <c r="N1372" s="311" t="s">
        <v>314</v>
      </c>
      <c r="O1372" s="311" t="s">
        <v>110</v>
      </c>
      <c r="P1372" s="314">
        <v>36</v>
      </c>
      <c r="Q1372" s="314">
        <v>5</v>
      </c>
      <c r="R1372" s="315">
        <v>7.4999999999999997E-3</v>
      </c>
      <c r="S1372" s="311" t="s">
        <v>111</v>
      </c>
      <c r="T1372" s="311" t="s">
        <v>112</v>
      </c>
      <c r="U1372" s="311" t="s">
        <v>57</v>
      </c>
      <c r="V1372" s="316">
        <v>792</v>
      </c>
      <c r="W1372" s="316">
        <v>792</v>
      </c>
      <c r="X1372" s="317"/>
      <c r="Y1372" s="318">
        <f t="shared" si="444"/>
        <v>0</v>
      </c>
      <c r="Z1372" s="319">
        <f t="shared" si="445"/>
        <v>0</v>
      </c>
      <c r="AA1372" s="319"/>
      <c r="AB1372" s="815"/>
      <c r="AC1372" s="316"/>
      <c r="AD1372" s="515"/>
      <c r="AE1372" s="210"/>
      <c r="AF1372" s="210"/>
      <c r="AG1372" s="211">
        <f t="shared" si="448"/>
        <v>0.308</v>
      </c>
      <c r="AH1372" s="157">
        <f t="shared" si="449"/>
        <v>0</v>
      </c>
      <c r="AI1372" s="152">
        <f t="shared" si="447"/>
        <v>28512</v>
      </c>
      <c r="AK1372" s="156" t="s">
        <v>691</v>
      </c>
      <c r="AL1372" s="212" t="s">
        <v>690</v>
      </c>
      <c r="AM1372" s="198">
        <f t="shared" si="440"/>
        <v>0</v>
      </c>
      <c r="AN1372" s="199">
        <f t="shared" si="443"/>
        <v>45548</v>
      </c>
      <c r="AO1372" s="159" t="s">
        <v>692</v>
      </c>
      <c r="AP1372" s="783" t="s">
        <v>644</v>
      </c>
      <c r="AQ1372" s="782">
        <v>12063755</v>
      </c>
      <c r="AR1372" s="782">
        <v>12061353</v>
      </c>
      <c r="AS1372" s="782">
        <v>12061354</v>
      </c>
      <c r="AT1372" s="782">
        <v>12062266</v>
      </c>
      <c r="AU1372" s="781"/>
      <c r="AV1372" s="782">
        <v>12088159</v>
      </c>
      <c r="AW1372" s="782">
        <v>12088207</v>
      </c>
      <c r="AX1372" s="782"/>
      <c r="AY1372" s="782">
        <v>12062262</v>
      </c>
      <c r="AZ1372" s="782"/>
      <c r="BA1372" s="781"/>
    </row>
    <row r="1373" spans="1:53" ht="24.65" hidden="1" customHeight="1">
      <c r="B1373" s="308">
        <v>45548</v>
      </c>
      <c r="C1373" s="309">
        <v>45575</v>
      </c>
      <c r="D1373" s="185">
        <f t="shared" si="441"/>
        <v>2024</v>
      </c>
      <c r="E1373" s="309" t="str">
        <f>VLOOKUP($B1373,Week!$A$1:$C$1462,2,0)</f>
        <v>Week37</v>
      </c>
      <c r="F1373" s="310" t="str">
        <f t="shared" si="442"/>
        <v>Sep</v>
      </c>
      <c r="G1373" s="311" t="s">
        <v>1684</v>
      </c>
      <c r="H1373" s="311" t="s">
        <v>311</v>
      </c>
      <c r="I1373" s="311" t="s">
        <v>2772</v>
      </c>
      <c r="J1373" s="312" t="s">
        <v>738</v>
      </c>
      <c r="K1373" s="313" t="s">
        <v>107</v>
      </c>
      <c r="L1373" s="300" t="s">
        <v>2167</v>
      </c>
      <c r="M1373" s="312" t="s">
        <v>313</v>
      </c>
      <c r="N1373" s="311" t="s">
        <v>314</v>
      </c>
      <c r="O1373" s="311" t="s">
        <v>110</v>
      </c>
      <c r="P1373" s="314">
        <v>36</v>
      </c>
      <c r="Q1373" s="314">
        <v>5</v>
      </c>
      <c r="R1373" s="315">
        <v>7.4999999999999997E-3</v>
      </c>
      <c r="S1373" s="311" t="s">
        <v>111</v>
      </c>
      <c r="T1373" s="311" t="s">
        <v>112</v>
      </c>
      <c r="U1373" s="311" t="s">
        <v>57</v>
      </c>
      <c r="V1373" s="316">
        <f>3381-781-792-792-792</f>
        <v>224</v>
      </c>
      <c r="W1373" s="316">
        <f>3381-781-792-792-792</f>
        <v>224</v>
      </c>
      <c r="X1373" s="317"/>
      <c r="Y1373" s="318">
        <f t="shared" si="444"/>
        <v>0</v>
      </c>
      <c r="Z1373" s="319">
        <f t="shared" si="445"/>
        <v>0</v>
      </c>
      <c r="AA1373" s="319"/>
      <c r="AB1373" s="815"/>
      <c r="AC1373" s="316"/>
      <c r="AD1373" s="515"/>
      <c r="AE1373" s="210"/>
      <c r="AF1373" s="210"/>
      <c r="AG1373" s="211">
        <f t="shared" si="448"/>
        <v>0.308</v>
      </c>
      <c r="AH1373" s="157">
        <f t="shared" si="449"/>
        <v>0</v>
      </c>
      <c r="AI1373" s="152">
        <f t="shared" si="447"/>
        <v>8064</v>
      </c>
      <c r="AK1373" s="156" t="s">
        <v>691</v>
      </c>
      <c r="AL1373" s="212" t="s">
        <v>690</v>
      </c>
      <c r="AM1373" s="198">
        <f t="shared" si="440"/>
        <v>0</v>
      </c>
      <c r="AN1373" s="199">
        <f t="shared" si="443"/>
        <v>45548</v>
      </c>
      <c r="AO1373" s="159" t="s">
        <v>692</v>
      </c>
      <c r="AP1373" s="783" t="s">
        <v>644</v>
      </c>
      <c r="AQ1373" s="782">
        <v>12063755</v>
      </c>
      <c r="AR1373" s="782">
        <v>12061353</v>
      </c>
      <c r="AS1373" s="782">
        <v>12061354</v>
      </c>
      <c r="AT1373" s="782">
        <v>12062266</v>
      </c>
      <c r="AU1373" s="781"/>
      <c r="AV1373" s="782">
        <v>12088159</v>
      </c>
      <c r="AW1373" s="782">
        <v>12088207</v>
      </c>
      <c r="AX1373" s="782"/>
      <c r="AY1373" s="782">
        <v>12062262</v>
      </c>
      <c r="AZ1373" s="782"/>
      <c r="BA1373" s="781"/>
    </row>
    <row r="1374" spans="1:53" ht="25" hidden="1" customHeight="1">
      <c r="A1374" s="529" t="s">
        <v>1738</v>
      </c>
      <c r="B1374" s="271">
        <v>45549</v>
      </c>
      <c r="C1374" s="271">
        <v>45575</v>
      </c>
      <c r="D1374" s="185">
        <f t="shared" si="441"/>
        <v>2024</v>
      </c>
      <c r="E1374" s="441" t="str">
        <f>VLOOKUP($B1374,Week!$A$1:$C$1462,2,0)</f>
        <v>Week37</v>
      </c>
      <c r="F1374" s="442" t="str">
        <f t="shared" si="442"/>
        <v>Sep</v>
      </c>
      <c r="G1374" s="423" t="s">
        <v>1164</v>
      </c>
      <c r="H1374" s="274" t="s">
        <v>267</v>
      </c>
      <c r="I1374" s="274" t="s">
        <v>2772</v>
      </c>
      <c r="J1374" s="275" t="s">
        <v>699</v>
      </c>
      <c r="K1374" s="276" t="s">
        <v>107</v>
      </c>
      <c r="L1374" s="300" t="s">
        <v>2167</v>
      </c>
      <c r="M1374" s="275" t="s">
        <v>136</v>
      </c>
      <c r="N1374" s="274" t="s">
        <v>269</v>
      </c>
      <c r="O1374" s="274" t="s">
        <v>270</v>
      </c>
      <c r="P1374" s="277">
        <v>12</v>
      </c>
      <c r="Q1374" s="277">
        <v>3</v>
      </c>
      <c r="R1374" s="278">
        <v>7.4999999999999997E-3</v>
      </c>
      <c r="S1374" s="274" t="s">
        <v>111</v>
      </c>
      <c r="T1374" s="274" t="s">
        <v>112</v>
      </c>
      <c r="U1374" s="274" t="s">
        <v>57</v>
      </c>
      <c r="V1374" s="279">
        <v>2520</v>
      </c>
      <c r="W1374" s="279">
        <f>203+2317</f>
        <v>2520</v>
      </c>
      <c r="X1374" s="280"/>
      <c r="Y1374" s="281">
        <f t="shared" si="444"/>
        <v>0</v>
      </c>
      <c r="Z1374" s="282">
        <f t="shared" si="445"/>
        <v>0</v>
      </c>
      <c r="AA1374" s="282"/>
      <c r="AB1374" s="812"/>
      <c r="AC1374" s="279"/>
      <c r="AD1374" s="443" t="s">
        <v>737</v>
      </c>
      <c r="AE1374" s="210"/>
      <c r="AF1374" s="210"/>
      <c r="AG1374" s="211">
        <f t="shared" si="448"/>
        <v>0.309</v>
      </c>
      <c r="AH1374" s="157">
        <f t="shared" si="449"/>
        <v>0</v>
      </c>
      <c r="AI1374" s="152">
        <f t="shared" si="447"/>
        <v>30240</v>
      </c>
      <c r="AK1374" s="156" t="s">
        <v>691</v>
      </c>
      <c r="AL1374" s="212" t="s">
        <v>690</v>
      </c>
      <c r="AM1374" s="198">
        <f t="shared" si="440"/>
        <v>0</v>
      </c>
      <c r="AN1374" s="199">
        <f t="shared" si="443"/>
        <v>45549</v>
      </c>
      <c r="AO1374" s="159" t="s">
        <v>692</v>
      </c>
      <c r="AP1374" s="781"/>
      <c r="AQ1374" s="782">
        <v>12063755</v>
      </c>
      <c r="AR1374" s="782">
        <v>12081257</v>
      </c>
      <c r="AS1374" s="782">
        <v>12081260</v>
      </c>
      <c r="AT1374" s="782"/>
      <c r="AU1374" s="781"/>
      <c r="AV1374" s="782">
        <v>12073316</v>
      </c>
      <c r="AW1374" s="782"/>
      <c r="AX1374" s="782"/>
      <c r="AY1374" s="782">
        <v>12073342</v>
      </c>
      <c r="AZ1374" s="782">
        <v>12073344</v>
      </c>
      <c r="BA1374" s="782">
        <v>12073343</v>
      </c>
    </row>
    <row r="1375" spans="1:53" ht="24.65" hidden="1" customHeight="1">
      <c r="B1375" s="308">
        <v>45549</v>
      </c>
      <c r="C1375" s="309">
        <v>45575</v>
      </c>
      <c r="D1375" s="185">
        <f t="shared" si="441"/>
        <v>2024</v>
      </c>
      <c r="E1375" s="309" t="str">
        <f>VLOOKUP($B1375,Week!$A$1:$C$1462,2,0)</f>
        <v>Week37</v>
      </c>
      <c r="F1375" s="310" t="str">
        <f t="shared" si="442"/>
        <v>Sep</v>
      </c>
      <c r="G1375" s="311" t="s">
        <v>1684</v>
      </c>
      <c r="H1375" s="311" t="s">
        <v>311</v>
      </c>
      <c r="I1375" s="311" t="s">
        <v>2772</v>
      </c>
      <c r="J1375" s="312" t="s">
        <v>738</v>
      </c>
      <c r="K1375" s="313" t="s">
        <v>107</v>
      </c>
      <c r="L1375" s="300" t="s">
        <v>2167</v>
      </c>
      <c r="M1375" s="312" t="s">
        <v>313</v>
      </c>
      <c r="N1375" s="311" t="s">
        <v>314</v>
      </c>
      <c r="O1375" s="311" t="s">
        <v>110</v>
      </c>
      <c r="P1375" s="314">
        <v>36</v>
      </c>
      <c r="Q1375" s="314">
        <v>5</v>
      </c>
      <c r="R1375" s="315">
        <v>7.4999999999999997E-3</v>
      </c>
      <c r="S1375" s="311" t="s">
        <v>111</v>
      </c>
      <c r="T1375" s="311" t="s">
        <v>112</v>
      </c>
      <c r="U1375" s="311" t="s">
        <v>57</v>
      </c>
      <c r="V1375" s="316">
        <f>792-224</f>
        <v>568</v>
      </c>
      <c r="W1375" s="316">
        <f>792-224</f>
        <v>568</v>
      </c>
      <c r="X1375" s="317"/>
      <c r="Y1375" s="318">
        <f t="shared" si="444"/>
        <v>0</v>
      </c>
      <c r="Z1375" s="319">
        <f t="shared" si="445"/>
        <v>0</v>
      </c>
      <c r="AA1375" s="319"/>
      <c r="AB1375" s="815"/>
      <c r="AC1375" s="316"/>
      <c r="AD1375" s="515"/>
      <c r="AE1375" s="210"/>
      <c r="AF1375" s="210"/>
      <c r="AG1375" s="211">
        <f t="shared" si="448"/>
        <v>0.308</v>
      </c>
      <c r="AH1375" s="157">
        <f t="shared" si="449"/>
        <v>0</v>
      </c>
      <c r="AI1375" s="152">
        <f t="shared" si="447"/>
        <v>20448</v>
      </c>
      <c r="AK1375" s="156" t="s">
        <v>691</v>
      </c>
      <c r="AL1375" s="212" t="s">
        <v>690</v>
      </c>
      <c r="AM1375" s="198">
        <f t="shared" si="440"/>
        <v>0</v>
      </c>
      <c r="AN1375" s="199">
        <f t="shared" si="443"/>
        <v>45549</v>
      </c>
      <c r="AO1375" s="159" t="s">
        <v>692</v>
      </c>
      <c r="AP1375" s="783" t="s">
        <v>644</v>
      </c>
      <c r="AQ1375" s="782">
        <v>12063755</v>
      </c>
      <c r="AR1375" s="782">
        <v>12061353</v>
      </c>
      <c r="AS1375" s="782">
        <v>12061354</v>
      </c>
      <c r="AT1375" s="782">
        <v>12062266</v>
      </c>
      <c r="AU1375" s="781"/>
      <c r="AV1375" s="782">
        <v>12088159</v>
      </c>
      <c r="AW1375" s="782">
        <v>12088207</v>
      </c>
      <c r="AX1375" s="782"/>
      <c r="AY1375" s="782">
        <v>12062262</v>
      </c>
      <c r="AZ1375" s="782"/>
      <c r="BA1375" s="781"/>
    </row>
    <row r="1376" spans="1:53" ht="24.65" hidden="1" customHeight="1">
      <c r="B1376" s="308">
        <v>45549</v>
      </c>
      <c r="C1376" s="309">
        <v>45581</v>
      </c>
      <c r="D1376" s="185">
        <f t="shared" si="441"/>
        <v>2024</v>
      </c>
      <c r="E1376" s="309" t="str">
        <f>VLOOKUP($B1376,Week!$A$1:$C$1462,2,0)</f>
        <v>Week37</v>
      </c>
      <c r="F1376" s="310" t="str">
        <f t="shared" si="442"/>
        <v>Sep</v>
      </c>
      <c r="G1376" s="311" t="s">
        <v>1685</v>
      </c>
      <c r="H1376" s="311" t="s">
        <v>311</v>
      </c>
      <c r="I1376" s="311" t="s">
        <v>2772</v>
      </c>
      <c r="J1376" s="312" t="s">
        <v>738</v>
      </c>
      <c r="K1376" s="313" t="s">
        <v>107</v>
      </c>
      <c r="L1376" s="300" t="s">
        <v>2167</v>
      </c>
      <c r="M1376" s="312" t="s">
        <v>313</v>
      </c>
      <c r="N1376" s="311" t="s">
        <v>314</v>
      </c>
      <c r="O1376" s="311" t="s">
        <v>110</v>
      </c>
      <c r="P1376" s="314">
        <v>36</v>
      </c>
      <c r="Q1376" s="314">
        <v>5</v>
      </c>
      <c r="R1376" s="315">
        <v>7.4999999999999997E-3</v>
      </c>
      <c r="S1376" s="311" t="s">
        <v>111</v>
      </c>
      <c r="T1376" s="311" t="s">
        <v>112</v>
      </c>
      <c r="U1376" s="311" t="s">
        <v>57</v>
      </c>
      <c r="V1376" s="316">
        <v>792</v>
      </c>
      <c r="W1376" s="316">
        <v>792</v>
      </c>
      <c r="X1376" s="317"/>
      <c r="Y1376" s="318">
        <f t="shared" si="444"/>
        <v>0</v>
      </c>
      <c r="Z1376" s="319">
        <f t="shared" si="445"/>
        <v>0</v>
      </c>
      <c r="AA1376" s="319"/>
      <c r="AB1376" s="815"/>
      <c r="AC1376" s="316"/>
      <c r="AD1376" s="515"/>
      <c r="AE1376" s="210"/>
      <c r="AF1376" s="210"/>
      <c r="AG1376" s="211">
        <f t="shared" si="448"/>
        <v>0.308</v>
      </c>
      <c r="AH1376" s="157">
        <f t="shared" si="449"/>
        <v>0</v>
      </c>
      <c r="AI1376" s="152">
        <f t="shared" si="447"/>
        <v>28512</v>
      </c>
      <c r="AK1376" s="156" t="s">
        <v>691</v>
      </c>
      <c r="AL1376" s="212" t="s">
        <v>690</v>
      </c>
      <c r="AM1376" s="198">
        <f t="shared" ref="AM1376:AM1384" si="450">AG1376*Z1376</f>
        <v>0</v>
      </c>
      <c r="AN1376" s="199">
        <f t="shared" si="443"/>
        <v>45549</v>
      </c>
      <c r="AO1376" s="159" t="s">
        <v>692</v>
      </c>
      <c r="AP1376" s="783" t="s">
        <v>644</v>
      </c>
      <c r="AQ1376" s="782">
        <v>12063755</v>
      </c>
      <c r="AR1376" s="782">
        <v>12061353</v>
      </c>
      <c r="AS1376" s="782">
        <v>12061354</v>
      </c>
      <c r="AT1376" s="782">
        <v>12062266</v>
      </c>
      <c r="AU1376" s="781"/>
      <c r="AV1376" s="782">
        <v>12088159</v>
      </c>
      <c r="AW1376" s="782">
        <v>12088207</v>
      </c>
      <c r="AX1376" s="782"/>
      <c r="AY1376" s="782">
        <v>12062262</v>
      </c>
      <c r="AZ1376" s="782"/>
      <c r="BA1376" s="781"/>
    </row>
    <row r="1377" spans="1:53" ht="24.65" hidden="1" customHeight="1">
      <c r="B1377" s="308">
        <v>45549</v>
      </c>
      <c r="C1377" s="309">
        <v>45581</v>
      </c>
      <c r="D1377" s="185">
        <f t="shared" si="441"/>
        <v>2024</v>
      </c>
      <c r="E1377" s="309" t="str">
        <f>VLOOKUP($B1377,Week!$A$1:$C$1462,2,0)</f>
        <v>Week37</v>
      </c>
      <c r="F1377" s="310" t="str">
        <f t="shared" si="442"/>
        <v>Sep</v>
      </c>
      <c r="G1377" s="311" t="s">
        <v>1686</v>
      </c>
      <c r="H1377" s="311" t="s">
        <v>311</v>
      </c>
      <c r="I1377" s="311" t="s">
        <v>2772</v>
      </c>
      <c r="J1377" s="312" t="s">
        <v>738</v>
      </c>
      <c r="K1377" s="313" t="s">
        <v>107</v>
      </c>
      <c r="L1377" s="300" t="s">
        <v>2167</v>
      </c>
      <c r="M1377" s="312" t="s">
        <v>313</v>
      </c>
      <c r="N1377" s="311" t="s">
        <v>314</v>
      </c>
      <c r="O1377" s="311" t="s">
        <v>110</v>
      </c>
      <c r="P1377" s="314">
        <v>36</v>
      </c>
      <c r="Q1377" s="314">
        <v>5</v>
      </c>
      <c r="R1377" s="315">
        <v>7.4999999999999997E-3</v>
      </c>
      <c r="S1377" s="311" t="s">
        <v>111</v>
      </c>
      <c r="T1377" s="311" t="s">
        <v>112</v>
      </c>
      <c r="U1377" s="311" t="s">
        <v>57</v>
      </c>
      <c r="V1377" s="316">
        <v>792</v>
      </c>
      <c r="W1377" s="316">
        <v>792</v>
      </c>
      <c r="X1377" s="317"/>
      <c r="Y1377" s="318">
        <f t="shared" si="444"/>
        <v>0</v>
      </c>
      <c r="Z1377" s="319">
        <f t="shared" si="445"/>
        <v>0</v>
      </c>
      <c r="AA1377" s="319"/>
      <c r="AB1377" s="815"/>
      <c r="AC1377" s="316"/>
      <c r="AD1377" s="515"/>
      <c r="AE1377" s="210"/>
      <c r="AF1377" s="210"/>
      <c r="AG1377" s="211">
        <f t="shared" si="448"/>
        <v>0.308</v>
      </c>
      <c r="AH1377" s="157">
        <f t="shared" si="449"/>
        <v>0</v>
      </c>
      <c r="AI1377" s="152">
        <f t="shared" si="447"/>
        <v>28512</v>
      </c>
      <c r="AK1377" s="156" t="s">
        <v>691</v>
      </c>
      <c r="AL1377" s="212" t="s">
        <v>690</v>
      </c>
      <c r="AM1377" s="198">
        <f t="shared" si="450"/>
        <v>0</v>
      </c>
      <c r="AN1377" s="199">
        <f t="shared" si="443"/>
        <v>45549</v>
      </c>
      <c r="AO1377" s="159" t="s">
        <v>692</v>
      </c>
      <c r="AP1377" s="783" t="s">
        <v>644</v>
      </c>
      <c r="AQ1377" s="782">
        <v>12063755</v>
      </c>
      <c r="AR1377" s="782">
        <v>12061353</v>
      </c>
      <c r="AS1377" s="782">
        <v>12061354</v>
      </c>
      <c r="AT1377" s="782">
        <v>12062266</v>
      </c>
      <c r="AU1377" s="781"/>
      <c r="AV1377" s="782">
        <v>12088159</v>
      </c>
      <c r="AW1377" s="782">
        <v>12088207</v>
      </c>
      <c r="AX1377" s="782"/>
      <c r="AY1377" s="782">
        <v>12062262</v>
      </c>
      <c r="AZ1377" s="782"/>
      <c r="BA1377" s="781"/>
    </row>
    <row r="1378" spans="1:53" ht="24.65" hidden="1" customHeight="1">
      <c r="B1378" s="308">
        <v>45549</v>
      </c>
      <c r="C1378" s="309">
        <v>45589</v>
      </c>
      <c r="D1378" s="185">
        <f t="shared" si="441"/>
        <v>2024</v>
      </c>
      <c r="E1378" s="309" t="str">
        <f>VLOOKUP($B1378,Week!$A$1:$C$1462,2,0)</f>
        <v>Week37</v>
      </c>
      <c r="F1378" s="310" t="str">
        <f t="shared" si="442"/>
        <v>Sep</v>
      </c>
      <c r="G1378" s="311" t="s">
        <v>1687</v>
      </c>
      <c r="H1378" s="311" t="s">
        <v>311</v>
      </c>
      <c r="I1378" s="311" t="s">
        <v>2772</v>
      </c>
      <c r="J1378" s="312" t="s">
        <v>738</v>
      </c>
      <c r="K1378" s="313" t="s">
        <v>107</v>
      </c>
      <c r="L1378" s="300" t="s">
        <v>2167</v>
      </c>
      <c r="M1378" s="312" t="s">
        <v>313</v>
      </c>
      <c r="N1378" s="311" t="s">
        <v>314</v>
      </c>
      <c r="O1378" s="311" t="s">
        <v>110</v>
      </c>
      <c r="P1378" s="314">
        <v>36</v>
      </c>
      <c r="Q1378" s="314">
        <v>5</v>
      </c>
      <c r="R1378" s="315">
        <v>7.4999999999999997E-3</v>
      </c>
      <c r="S1378" s="311" t="s">
        <v>111</v>
      </c>
      <c r="T1378" s="311" t="s">
        <v>112</v>
      </c>
      <c r="U1378" s="311" t="s">
        <v>57</v>
      </c>
      <c r="V1378" s="316">
        <f>2865-568-792-792</f>
        <v>713</v>
      </c>
      <c r="W1378" s="316">
        <f>2865-568-792-792</f>
        <v>713</v>
      </c>
      <c r="X1378" s="317"/>
      <c r="Y1378" s="318">
        <f t="shared" si="444"/>
        <v>0</v>
      </c>
      <c r="Z1378" s="319">
        <f t="shared" si="445"/>
        <v>0</v>
      </c>
      <c r="AA1378" s="319"/>
      <c r="AB1378" s="815"/>
      <c r="AC1378" s="316"/>
      <c r="AD1378" s="515"/>
      <c r="AE1378" s="210"/>
      <c r="AF1378" s="210"/>
      <c r="AG1378" s="211">
        <f t="shared" si="448"/>
        <v>0.308</v>
      </c>
      <c r="AH1378" s="157">
        <f t="shared" si="449"/>
        <v>0</v>
      </c>
      <c r="AI1378" s="152">
        <f t="shared" si="447"/>
        <v>25668</v>
      </c>
      <c r="AK1378" s="156" t="s">
        <v>691</v>
      </c>
      <c r="AL1378" s="212" t="s">
        <v>690</v>
      </c>
      <c r="AM1378" s="198">
        <f t="shared" si="450"/>
        <v>0</v>
      </c>
      <c r="AN1378" s="199">
        <f t="shared" si="443"/>
        <v>45549</v>
      </c>
      <c r="AO1378" s="159" t="s">
        <v>692</v>
      </c>
      <c r="AP1378" s="783" t="s">
        <v>644</v>
      </c>
      <c r="AQ1378" s="782">
        <v>12063755</v>
      </c>
      <c r="AR1378" s="782">
        <v>12061353</v>
      </c>
      <c r="AS1378" s="782">
        <v>12061354</v>
      </c>
      <c r="AT1378" s="782">
        <v>12062266</v>
      </c>
      <c r="AU1378" s="781"/>
      <c r="AV1378" s="782">
        <v>12088159</v>
      </c>
      <c r="AW1378" s="782">
        <v>12088207</v>
      </c>
      <c r="AX1378" s="782"/>
      <c r="AY1378" s="782">
        <v>12062262</v>
      </c>
      <c r="AZ1378" s="782"/>
      <c r="BA1378" s="781"/>
    </row>
    <row r="1379" spans="1:53" ht="25" hidden="1" customHeight="1">
      <c r="B1379" s="183">
        <v>45550</v>
      </c>
      <c r="C1379" s="184"/>
      <c r="D1379" s="185">
        <f t="shared" si="441"/>
        <v>2024</v>
      </c>
      <c r="E1379" s="185" t="str">
        <f>VLOOKUP($B1379,Week!$A$1:$C$1462,2,0)</f>
        <v>Week37</v>
      </c>
      <c r="F1379" s="186" t="str">
        <f t="shared" si="442"/>
        <v>Sep</v>
      </c>
      <c r="G1379" s="185"/>
      <c r="H1379" s="185"/>
      <c r="I1379" s="185"/>
      <c r="J1379" s="187"/>
      <c r="K1379" s="188"/>
      <c r="L1379" s="300"/>
      <c r="M1379" s="187"/>
      <c r="N1379" s="185"/>
      <c r="O1379" s="185"/>
      <c r="P1379" s="189"/>
      <c r="Q1379" s="189"/>
      <c r="R1379" s="190"/>
      <c r="S1379" s="185"/>
      <c r="T1379" s="185"/>
      <c r="U1379" s="185"/>
      <c r="V1379" s="191"/>
      <c r="W1379" s="191"/>
      <c r="X1379" s="192"/>
      <c r="Y1379" s="193"/>
      <c r="Z1379" s="194"/>
      <c r="AA1379" s="194"/>
      <c r="AB1379" s="805"/>
      <c r="AC1379" s="191"/>
      <c r="AD1379" s="187"/>
      <c r="AE1379" s="195"/>
      <c r="AF1379" s="195"/>
      <c r="AG1379" s="196"/>
      <c r="AH1379" s="197"/>
      <c r="AK1379" s="156" t="s">
        <v>691</v>
      </c>
      <c r="AM1379" s="198">
        <f t="shared" si="450"/>
        <v>0</v>
      </c>
      <c r="AN1379" s="199">
        <f t="shared" si="443"/>
        <v>45550</v>
      </c>
      <c r="AO1379" s="159" t="s">
        <v>692</v>
      </c>
      <c r="AP1379" s="781"/>
      <c r="AQ1379" s="782"/>
      <c r="AR1379" s="782"/>
      <c r="AS1379" s="782"/>
      <c r="AT1379" s="782"/>
      <c r="AU1379" s="781"/>
      <c r="AV1379" s="782"/>
      <c r="AW1379" s="782"/>
      <c r="AX1379" s="782"/>
      <c r="AY1379" s="782"/>
      <c r="AZ1379" s="782"/>
      <c r="BA1379" s="781"/>
    </row>
    <row r="1380" spans="1:53" ht="25" hidden="1" customHeight="1">
      <c r="B1380" s="258">
        <v>45551</v>
      </c>
      <c r="C1380" s="259">
        <v>45555</v>
      </c>
      <c r="D1380" s="185">
        <f t="shared" si="441"/>
        <v>2024</v>
      </c>
      <c r="E1380" s="260" t="str">
        <f>VLOOKUP($B1380,Week!$A$1:$C$1462,2,0)</f>
        <v>Week38</v>
      </c>
      <c r="F1380" s="261" t="str">
        <f t="shared" si="442"/>
        <v>Sep</v>
      </c>
      <c r="G1380" s="260" t="s">
        <v>47</v>
      </c>
      <c r="H1380" s="260" t="s">
        <v>554</v>
      </c>
      <c r="I1380" s="260" t="s">
        <v>554</v>
      </c>
      <c r="J1380" s="263" t="s">
        <v>555</v>
      </c>
      <c r="K1380" s="264" t="s">
        <v>72</v>
      </c>
      <c r="L1380" s="300" t="s">
        <v>2167</v>
      </c>
      <c r="M1380" s="263" t="s">
        <v>73</v>
      </c>
      <c r="N1380" s="260" t="s">
        <v>74</v>
      </c>
      <c r="O1380" s="260" t="s">
        <v>75</v>
      </c>
      <c r="P1380" s="265">
        <v>64</v>
      </c>
      <c r="Q1380" s="265">
        <v>5</v>
      </c>
      <c r="R1380" s="266">
        <v>7.0000000000000001E-3</v>
      </c>
      <c r="S1380" s="260" t="s">
        <v>76</v>
      </c>
      <c r="T1380" s="260" t="s">
        <v>56</v>
      </c>
      <c r="U1380" s="260"/>
      <c r="V1380" s="267">
        <f>100</f>
        <v>100</v>
      </c>
      <c r="W1380" s="267">
        <f>100</f>
        <v>100</v>
      </c>
      <c r="X1380" s="268">
        <f>177/16</f>
        <v>11.0625</v>
      </c>
      <c r="Y1380" s="269">
        <f t="shared" ref="Y1380:Y1413" si="451">(W1380+X1380)-V1380</f>
        <v>11.0625</v>
      </c>
      <c r="Z1380" s="270">
        <f t="shared" ref="Z1380:Z1413" si="452">IF(Y1380&lt;0,((V1380*P1380)-((W1380+X1380)*P1380)),0)</f>
        <v>0</v>
      </c>
      <c r="AA1380" s="270"/>
      <c r="AB1380" s="811"/>
      <c r="AC1380" s="267"/>
      <c r="AD1380" s="263"/>
      <c r="AE1380" s="461"/>
      <c r="AF1380" s="461"/>
      <c r="AG1380" s="211">
        <f t="shared" ref="AG1380:AG1413" si="453">MID(O1380,1,3)/1000</f>
        <v>0.02</v>
      </c>
      <c r="AK1380" s="156" t="s">
        <v>691</v>
      </c>
      <c r="AM1380" s="198">
        <f t="shared" si="450"/>
        <v>0</v>
      </c>
      <c r="AN1380" s="199">
        <f t="shared" si="443"/>
        <v>45551</v>
      </c>
      <c r="AO1380" s="159" t="s">
        <v>692</v>
      </c>
      <c r="AP1380" s="781"/>
      <c r="AQ1380" s="782"/>
      <c r="AR1380" s="782"/>
      <c r="AS1380" s="782"/>
      <c r="AT1380" s="782"/>
      <c r="AU1380" s="781"/>
      <c r="AV1380" s="782">
        <v>12054050</v>
      </c>
      <c r="AW1380" s="782"/>
      <c r="AX1380" s="782" t="s">
        <v>79</v>
      </c>
      <c r="AY1380" s="782">
        <v>12054140</v>
      </c>
      <c r="AZ1380" s="782"/>
      <c r="BA1380" s="781"/>
    </row>
    <row r="1381" spans="1:53" ht="25.15" hidden="1" customHeight="1">
      <c r="B1381" s="345">
        <v>45551</v>
      </c>
      <c r="C1381" s="346">
        <v>45580</v>
      </c>
      <c r="D1381" s="185">
        <f t="shared" si="441"/>
        <v>2024</v>
      </c>
      <c r="E1381" s="347" t="str">
        <f>VLOOKUP($B1381,Week!$A$1:$C$1462,2,0)</f>
        <v>Week38</v>
      </c>
      <c r="F1381" s="348" t="str">
        <f t="shared" si="442"/>
        <v>Sep</v>
      </c>
      <c r="G1381" s="347" t="s">
        <v>1409</v>
      </c>
      <c r="H1381" s="347" t="s">
        <v>424</v>
      </c>
      <c r="I1381" s="347" t="s">
        <v>2772</v>
      </c>
      <c r="J1381" s="438" t="s">
        <v>425</v>
      </c>
      <c r="K1381" s="350" t="s">
        <v>176</v>
      </c>
      <c r="L1381" s="300" t="s">
        <v>2167</v>
      </c>
      <c r="M1381" s="349" t="s">
        <v>426</v>
      </c>
      <c r="N1381" s="347" t="s">
        <v>427</v>
      </c>
      <c r="O1381" s="347" t="s">
        <v>599</v>
      </c>
      <c r="P1381" s="351">
        <v>36</v>
      </c>
      <c r="Q1381" s="351">
        <v>5</v>
      </c>
      <c r="R1381" s="352">
        <v>7.4999999999999997E-3</v>
      </c>
      <c r="S1381" s="347" t="s">
        <v>111</v>
      </c>
      <c r="T1381" s="347" t="s">
        <v>112</v>
      </c>
      <c r="U1381" s="347" t="s">
        <v>57</v>
      </c>
      <c r="V1381" s="353">
        <v>1288</v>
      </c>
      <c r="W1381" s="353">
        <f>34+1254</f>
        <v>1288</v>
      </c>
      <c r="X1381" s="354"/>
      <c r="Y1381" s="355">
        <f t="shared" si="451"/>
        <v>0</v>
      </c>
      <c r="Z1381" s="356">
        <f t="shared" si="452"/>
        <v>0</v>
      </c>
      <c r="AA1381" s="353"/>
      <c r="AB1381" s="818"/>
      <c r="AC1381" s="353"/>
      <c r="AD1381" s="307" t="s">
        <v>728</v>
      </c>
      <c r="AE1381" s="210"/>
      <c r="AF1381" s="210"/>
      <c r="AG1381" s="211">
        <f t="shared" si="453"/>
        <v>0.14799999999999999</v>
      </c>
      <c r="AH1381" s="157">
        <f>(Z1381*AG1381)/1000</f>
        <v>0</v>
      </c>
      <c r="AI1381" s="152">
        <f t="shared" ref="AI1381:AI1413" si="454">V1381*P1381</f>
        <v>46368</v>
      </c>
      <c r="AK1381" s="156" t="s">
        <v>691</v>
      </c>
      <c r="AL1381" s="574" t="s">
        <v>690</v>
      </c>
      <c r="AM1381" s="198">
        <f t="shared" si="450"/>
        <v>0</v>
      </c>
      <c r="AN1381" s="199">
        <f t="shared" si="443"/>
        <v>45551</v>
      </c>
      <c r="AO1381" s="159" t="s">
        <v>692</v>
      </c>
      <c r="AP1381" s="783" t="s">
        <v>609</v>
      </c>
      <c r="AQ1381" s="782">
        <v>12071839</v>
      </c>
      <c r="AR1381" s="782">
        <v>12047514</v>
      </c>
      <c r="AS1381" s="782">
        <v>12047515</v>
      </c>
      <c r="AT1381" s="782">
        <v>12062098</v>
      </c>
      <c r="AU1381" s="782"/>
      <c r="AV1381" s="782">
        <v>12062100</v>
      </c>
      <c r="AW1381" s="782">
        <v>12024404</v>
      </c>
      <c r="AX1381" s="781"/>
      <c r="AY1381" s="782">
        <v>12062116</v>
      </c>
      <c r="AZ1381" s="782"/>
      <c r="BA1381" s="781"/>
    </row>
    <row r="1382" spans="1:53" ht="25" hidden="1" customHeight="1">
      <c r="B1382" s="383">
        <v>45551</v>
      </c>
      <c r="C1382" s="383">
        <v>45575</v>
      </c>
      <c r="D1382" s="185">
        <f t="shared" si="441"/>
        <v>2024</v>
      </c>
      <c r="E1382" s="224" t="str">
        <f>VLOOKUP($B1382,Week!$A$1:$C$1462,2,0)</f>
        <v>Week38</v>
      </c>
      <c r="F1382" s="226" t="str">
        <f t="shared" si="442"/>
        <v>Sep</v>
      </c>
      <c r="G1382" s="225" t="s">
        <v>1611</v>
      </c>
      <c r="H1382" s="225" t="s">
        <v>225</v>
      </c>
      <c r="I1382" s="225" t="s">
        <v>2773</v>
      </c>
      <c r="J1382" s="227" t="s">
        <v>335</v>
      </c>
      <c r="K1382" s="228" t="s">
        <v>176</v>
      </c>
      <c r="L1382" s="300" t="s">
        <v>2167</v>
      </c>
      <c r="M1382" s="227" t="s">
        <v>336</v>
      </c>
      <c r="N1382" s="225" t="s">
        <v>337</v>
      </c>
      <c r="O1382" s="225" t="s">
        <v>179</v>
      </c>
      <c r="P1382" s="229">
        <v>36</v>
      </c>
      <c r="Q1382" s="229">
        <v>5</v>
      </c>
      <c r="R1382" s="230">
        <v>7.4999999999999997E-3</v>
      </c>
      <c r="S1382" s="225" t="s">
        <v>111</v>
      </c>
      <c r="T1382" s="225" t="s">
        <v>112</v>
      </c>
      <c r="U1382" s="225" t="s">
        <v>113</v>
      </c>
      <c r="V1382" s="231">
        <f>1288-202</f>
        <v>1086</v>
      </c>
      <c r="W1382" s="231">
        <v>1086</v>
      </c>
      <c r="X1382" s="232"/>
      <c r="Y1382" s="233">
        <f t="shared" si="451"/>
        <v>0</v>
      </c>
      <c r="Z1382" s="234">
        <f t="shared" si="452"/>
        <v>0</v>
      </c>
      <c r="AA1382" s="234"/>
      <c r="AB1382" s="822"/>
      <c r="AC1382" s="231"/>
      <c r="AD1382" s="209"/>
      <c r="AE1382" s="210"/>
      <c r="AF1382" s="210"/>
      <c r="AG1382" s="211">
        <f t="shared" si="453"/>
        <v>0.14499999999999999</v>
      </c>
      <c r="AH1382" s="157">
        <f>(Z1382*AG1382)/1000</f>
        <v>0</v>
      </c>
      <c r="AI1382" s="152">
        <f t="shared" si="454"/>
        <v>39096</v>
      </c>
      <c r="AK1382" s="156" t="s">
        <v>691</v>
      </c>
      <c r="AL1382" s="574" t="s">
        <v>690</v>
      </c>
      <c r="AM1382" s="198">
        <f t="shared" si="450"/>
        <v>0</v>
      </c>
      <c r="AN1382" s="199">
        <f t="shared" si="443"/>
        <v>45551</v>
      </c>
      <c r="AO1382" s="159" t="s">
        <v>692</v>
      </c>
      <c r="AP1382" s="783" t="s">
        <v>639</v>
      </c>
      <c r="AQ1382" s="782">
        <v>12071839</v>
      </c>
      <c r="AR1382" s="782">
        <v>12047514</v>
      </c>
      <c r="AS1382" s="782">
        <v>12047515</v>
      </c>
      <c r="AT1382" s="782">
        <v>12054919</v>
      </c>
      <c r="AU1382" s="781"/>
      <c r="AV1382" s="782">
        <v>12054869</v>
      </c>
      <c r="AW1382" s="782">
        <v>12024404</v>
      </c>
      <c r="AX1382" s="781"/>
      <c r="AY1382" s="782">
        <v>12054815</v>
      </c>
      <c r="AZ1382" s="781"/>
      <c r="BA1382" s="781"/>
    </row>
    <row r="1383" spans="1:53" ht="25" hidden="1" customHeight="1">
      <c r="B1383" s="383">
        <v>45551</v>
      </c>
      <c r="C1383" s="383">
        <v>45575</v>
      </c>
      <c r="D1383" s="185">
        <f t="shared" si="441"/>
        <v>2024</v>
      </c>
      <c r="E1383" s="224" t="str">
        <f>VLOOKUP($B1383,Week!$A$1:$C$1462,2,0)</f>
        <v>Week38</v>
      </c>
      <c r="F1383" s="226" t="str">
        <f t="shared" si="442"/>
        <v>Sep</v>
      </c>
      <c r="G1383" s="225" t="s">
        <v>1612</v>
      </c>
      <c r="H1383" s="225" t="s">
        <v>225</v>
      </c>
      <c r="I1383" s="225" t="s">
        <v>2773</v>
      </c>
      <c r="J1383" s="227" t="s">
        <v>335</v>
      </c>
      <c r="K1383" s="228" t="s">
        <v>176</v>
      </c>
      <c r="L1383" s="300" t="s">
        <v>2167</v>
      </c>
      <c r="M1383" s="227" t="s">
        <v>336</v>
      </c>
      <c r="N1383" s="225" t="s">
        <v>337</v>
      </c>
      <c r="O1383" s="225" t="s">
        <v>179</v>
      </c>
      <c r="P1383" s="229">
        <v>36</v>
      </c>
      <c r="Q1383" s="229">
        <v>5</v>
      </c>
      <c r="R1383" s="230">
        <v>7.4999999999999997E-3</v>
      </c>
      <c r="S1383" s="225" t="s">
        <v>111</v>
      </c>
      <c r="T1383" s="225" t="s">
        <v>112</v>
      </c>
      <c r="U1383" s="225" t="s">
        <v>113</v>
      </c>
      <c r="V1383" s="231">
        <f>60</f>
        <v>60</v>
      </c>
      <c r="W1383" s="231">
        <f>1+1145-1086</f>
        <v>60</v>
      </c>
      <c r="X1383" s="232"/>
      <c r="Y1383" s="233">
        <f t="shared" si="451"/>
        <v>0</v>
      </c>
      <c r="Z1383" s="234">
        <f t="shared" si="452"/>
        <v>0</v>
      </c>
      <c r="AA1383" s="234"/>
      <c r="AB1383" s="822"/>
      <c r="AC1383" s="231"/>
      <c r="AD1383" s="515"/>
      <c r="AE1383" s="210"/>
      <c r="AF1383" s="210"/>
      <c r="AG1383" s="211">
        <f t="shared" si="453"/>
        <v>0.14499999999999999</v>
      </c>
      <c r="AH1383" s="157">
        <f>(Z1383*AG1383)/1000</f>
        <v>0</v>
      </c>
      <c r="AI1383" s="152">
        <f t="shared" si="454"/>
        <v>2160</v>
      </c>
      <c r="AK1383" s="156" t="s">
        <v>691</v>
      </c>
      <c r="AL1383" s="574" t="s">
        <v>690</v>
      </c>
      <c r="AM1383" s="198">
        <f t="shared" si="450"/>
        <v>0</v>
      </c>
      <c r="AN1383" s="199">
        <f t="shared" si="443"/>
        <v>45551</v>
      </c>
      <c r="AO1383" s="159" t="s">
        <v>692</v>
      </c>
      <c r="AP1383" s="783" t="s">
        <v>639</v>
      </c>
      <c r="AQ1383" s="782">
        <v>12071839</v>
      </c>
      <c r="AR1383" s="782">
        <v>12047514</v>
      </c>
      <c r="AS1383" s="782">
        <v>12047515</v>
      </c>
      <c r="AT1383" s="782">
        <v>12054919</v>
      </c>
      <c r="AU1383" s="781"/>
      <c r="AV1383" s="782">
        <v>12054869</v>
      </c>
      <c r="AW1383" s="782">
        <v>12024404</v>
      </c>
      <c r="AX1383" s="781"/>
      <c r="AY1383" s="782">
        <v>12054815</v>
      </c>
      <c r="AZ1383" s="781"/>
      <c r="BA1383" s="781"/>
    </row>
    <row r="1384" spans="1:53" ht="25" hidden="1" customHeight="1">
      <c r="B1384" s="488">
        <v>45551</v>
      </c>
      <c r="C1384" s="487">
        <v>45595</v>
      </c>
      <c r="D1384" s="185">
        <f t="shared" si="441"/>
        <v>2024</v>
      </c>
      <c r="E1384" s="614" t="str">
        <f>VLOOKUP($B1384,Week!$A$1:$C$1462,2,0)</f>
        <v>Week38</v>
      </c>
      <c r="F1384" s="445" t="str">
        <f t="shared" si="442"/>
        <v>Sep</v>
      </c>
      <c r="G1384" s="615" t="s">
        <v>1627</v>
      </c>
      <c r="H1384" s="444" t="s">
        <v>104</v>
      </c>
      <c r="I1384" s="444" t="s">
        <v>2772</v>
      </c>
      <c r="J1384" s="490" t="s">
        <v>105</v>
      </c>
      <c r="K1384" s="491" t="s">
        <v>1643</v>
      </c>
      <c r="L1384" s="300" t="s">
        <v>2167</v>
      </c>
      <c r="M1384" s="490" t="s">
        <v>336</v>
      </c>
      <c r="N1384" s="615" t="s">
        <v>745</v>
      </c>
      <c r="O1384" s="444" t="s">
        <v>743</v>
      </c>
      <c r="P1384" s="492">
        <v>36</v>
      </c>
      <c r="Q1384" s="492">
        <v>5</v>
      </c>
      <c r="R1384" s="493">
        <v>7.4999999999999997E-3</v>
      </c>
      <c r="S1384" s="444" t="s">
        <v>40</v>
      </c>
      <c r="T1384" s="444" t="s">
        <v>112</v>
      </c>
      <c r="U1384" s="616" t="s">
        <v>721</v>
      </c>
      <c r="V1384" s="494">
        <f>1288-1167</f>
        <v>121</v>
      </c>
      <c r="W1384" s="494">
        <v>121</v>
      </c>
      <c r="X1384" s="495"/>
      <c r="Y1384" s="496">
        <f t="shared" si="451"/>
        <v>0</v>
      </c>
      <c r="Z1384" s="497">
        <f t="shared" si="452"/>
        <v>0</v>
      </c>
      <c r="AA1384" s="497"/>
      <c r="AB1384" s="829"/>
      <c r="AC1384" s="494"/>
      <c r="AD1384" s="515"/>
      <c r="AE1384" s="210"/>
      <c r="AF1384" s="210"/>
      <c r="AG1384" s="211">
        <f t="shared" si="453"/>
        <v>0.14699999999999999</v>
      </c>
      <c r="AH1384" s="157">
        <f>(Z1384*AG1384)/1000</f>
        <v>0</v>
      </c>
      <c r="AI1384" s="152">
        <f t="shared" si="454"/>
        <v>4356</v>
      </c>
      <c r="AK1384" s="156" t="s">
        <v>691</v>
      </c>
      <c r="AL1384" s="574" t="s">
        <v>690</v>
      </c>
      <c r="AM1384" s="198">
        <f t="shared" si="450"/>
        <v>0</v>
      </c>
      <c r="AN1384" s="199">
        <f t="shared" si="443"/>
        <v>45551</v>
      </c>
      <c r="AO1384" s="159" t="s">
        <v>692</v>
      </c>
      <c r="AP1384" s="783" t="s">
        <v>639</v>
      </c>
      <c r="AQ1384" s="782">
        <v>12071839</v>
      </c>
      <c r="AR1384" s="782">
        <v>12047514</v>
      </c>
      <c r="AS1384" s="782">
        <v>12047515</v>
      </c>
      <c r="AT1384" s="782">
        <v>12089764</v>
      </c>
      <c r="AU1384" s="781"/>
      <c r="AV1384" s="782">
        <v>12089763</v>
      </c>
      <c r="AW1384" s="782">
        <v>12024404</v>
      </c>
      <c r="AX1384" s="781"/>
      <c r="AY1384" s="782">
        <v>12089765</v>
      </c>
      <c r="AZ1384" s="781"/>
      <c r="BA1384" s="781"/>
    </row>
    <row r="1385" spans="1:53" ht="25" hidden="1" customHeight="1">
      <c r="B1385" s="488">
        <v>45551</v>
      </c>
      <c r="C1385" s="487">
        <v>45565</v>
      </c>
      <c r="D1385" s="185">
        <f t="shared" si="441"/>
        <v>2024</v>
      </c>
      <c r="E1385" s="614" t="str">
        <f>VLOOKUP($B1385,Week!$A$1:$C$1462,2,0)</f>
        <v>Week38</v>
      </c>
      <c r="F1385" s="445" t="str">
        <f t="shared" si="442"/>
        <v>Sep</v>
      </c>
      <c r="G1385" s="615" t="s">
        <v>1628</v>
      </c>
      <c r="H1385" s="444" t="s">
        <v>104</v>
      </c>
      <c r="I1385" s="444" t="s">
        <v>2772</v>
      </c>
      <c r="J1385" s="490" t="s">
        <v>105</v>
      </c>
      <c r="K1385" s="491" t="s">
        <v>1643</v>
      </c>
      <c r="L1385" s="300" t="s">
        <v>2167</v>
      </c>
      <c r="M1385" s="490" t="s">
        <v>336</v>
      </c>
      <c r="N1385" s="615" t="s">
        <v>745</v>
      </c>
      <c r="O1385" s="444" t="s">
        <v>743</v>
      </c>
      <c r="P1385" s="492">
        <v>36</v>
      </c>
      <c r="Q1385" s="492">
        <v>5</v>
      </c>
      <c r="R1385" s="493">
        <v>7.4999999999999997E-3</v>
      </c>
      <c r="S1385" s="444" t="s">
        <v>40</v>
      </c>
      <c r="T1385" s="444" t="s">
        <v>112</v>
      </c>
      <c r="U1385" s="616" t="s">
        <v>721</v>
      </c>
      <c r="V1385" s="494">
        <v>1148</v>
      </c>
      <c r="W1385" s="494">
        <f>1269-121</f>
        <v>1148</v>
      </c>
      <c r="X1385" s="495"/>
      <c r="Y1385" s="496">
        <f t="shared" si="451"/>
        <v>0</v>
      </c>
      <c r="Z1385" s="497">
        <f t="shared" si="452"/>
        <v>0</v>
      </c>
      <c r="AA1385" s="497"/>
      <c r="AB1385" s="829"/>
      <c r="AC1385" s="494"/>
      <c r="AD1385" s="515"/>
      <c r="AE1385" s="210"/>
      <c r="AF1385" s="210"/>
      <c r="AG1385" s="211">
        <f t="shared" si="453"/>
        <v>0.14699999999999999</v>
      </c>
      <c r="AH1385" s="157">
        <f t="shared" ref="AH1385:AH1392" si="455">(Z1385*AG1385)/1000</f>
        <v>0</v>
      </c>
      <c r="AI1385" s="152">
        <f t="shared" si="454"/>
        <v>41328</v>
      </c>
      <c r="AK1385" s="156" t="s">
        <v>691</v>
      </c>
      <c r="AL1385" s="574" t="s">
        <v>690</v>
      </c>
      <c r="AM1385" s="198">
        <f t="shared" ref="AM1385:AM1392" si="456">AG1385*Z1385</f>
        <v>0</v>
      </c>
      <c r="AN1385" s="199">
        <f t="shared" si="443"/>
        <v>45551</v>
      </c>
      <c r="AO1385" s="159" t="s">
        <v>692</v>
      </c>
      <c r="AP1385" s="783" t="s">
        <v>639</v>
      </c>
      <c r="AQ1385" s="782">
        <v>12071839</v>
      </c>
      <c r="AR1385" s="782">
        <v>12047514</v>
      </c>
      <c r="AS1385" s="782">
        <v>12047515</v>
      </c>
      <c r="AT1385" s="782">
        <v>12089764</v>
      </c>
      <c r="AU1385" s="781"/>
      <c r="AV1385" s="782">
        <v>12089763</v>
      </c>
      <c r="AW1385" s="782">
        <v>12024404</v>
      </c>
      <c r="AX1385" s="781"/>
      <c r="AY1385" s="782">
        <v>12089765</v>
      </c>
      <c r="AZ1385" s="781"/>
      <c r="BA1385" s="781"/>
    </row>
    <row r="1386" spans="1:53" ht="24.65" hidden="1" customHeight="1">
      <c r="B1386" s="308">
        <v>45552</v>
      </c>
      <c r="C1386" s="309">
        <v>45589</v>
      </c>
      <c r="D1386" s="185">
        <f t="shared" si="441"/>
        <v>2024</v>
      </c>
      <c r="E1386" s="309" t="str">
        <f>VLOOKUP($B1386,Week!$A$1:$C$1462,2,0)</f>
        <v>Week38</v>
      </c>
      <c r="F1386" s="310" t="str">
        <f t="shared" si="442"/>
        <v>Sep</v>
      </c>
      <c r="G1386" s="311" t="s">
        <v>1687</v>
      </c>
      <c r="H1386" s="311" t="s">
        <v>311</v>
      </c>
      <c r="I1386" s="311" t="s">
        <v>2772</v>
      </c>
      <c r="J1386" s="312" t="s">
        <v>738</v>
      </c>
      <c r="K1386" s="313" t="s">
        <v>107</v>
      </c>
      <c r="L1386" s="300" t="s">
        <v>2167</v>
      </c>
      <c r="M1386" s="312" t="s">
        <v>313</v>
      </c>
      <c r="N1386" s="311" t="s">
        <v>314</v>
      </c>
      <c r="O1386" s="311" t="s">
        <v>110</v>
      </c>
      <c r="P1386" s="314">
        <v>36</v>
      </c>
      <c r="Q1386" s="314">
        <v>5</v>
      </c>
      <c r="R1386" s="315">
        <v>7.4999999999999997E-3</v>
      </c>
      <c r="S1386" s="311" t="s">
        <v>111</v>
      </c>
      <c r="T1386" s="311" t="s">
        <v>112</v>
      </c>
      <c r="U1386" s="311" t="s">
        <v>57</v>
      </c>
      <c r="V1386" s="316">
        <f>792-713</f>
        <v>79</v>
      </c>
      <c r="W1386" s="316">
        <v>79</v>
      </c>
      <c r="X1386" s="317"/>
      <c r="Y1386" s="318">
        <f t="shared" si="451"/>
        <v>0</v>
      </c>
      <c r="Z1386" s="319">
        <f t="shared" si="452"/>
        <v>0</v>
      </c>
      <c r="AA1386" s="319"/>
      <c r="AB1386" s="815"/>
      <c r="AC1386" s="316"/>
      <c r="AD1386" s="515"/>
      <c r="AE1386" s="210"/>
      <c r="AF1386" s="210"/>
      <c r="AG1386" s="211">
        <f t="shared" si="453"/>
        <v>0.308</v>
      </c>
      <c r="AH1386" s="157">
        <f t="shared" si="455"/>
        <v>0</v>
      </c>
      <c r="AI1386" s="152">
        <f t="shared" si="454"/>
        <v>2844</v>
      </c>
      <c r="AK1386" s="156" t="s">
        <v>691</v>
      </c>
      <c r="AL1386" s="212" t="s">
        <v>690</v>
      </c>
      <c r="AM1386" s="198">
        <f t="shared" si="456"/>
        <v>0</v>
      </c>
      <c r="AN1386" s="199">
        <f t="shared" si="443"/>
        <v>45552</v>
      </c>
      <c r="AO1386" s="159" t="s">
        <v>692</v>
      </c>
      <c r="AP1386" s="783" t="s">
        <v>644</v>
      </c>
      <c r="AQ1386" s="782">
        <v>12063755</v>
      </c>
      <c r="AR1386" s="782">
        <v>12061353</v>
      </c>
      <c r="AS1386" s="782">
        <v>12061354</v>
      </c>
      <c r="AT1386" s="782">
        <v>12062266</v>
      </c>
      <c r="AU1386" s="781"/>
      <c r="AV1386" s="782">
        <v>12088159</v>
      </c>
      <c r="AW1386" s="782">
        <v>12088207</v>
      </c>
      <c r="AX1386" s="782"/>
      <c r="AY1386" s="782">
        <v>12062262</v>
      </c>
      <c r="AZ1386" s="782"/>
      <c r="BA1386" s="781"/>
    </row>
    <row r="1387" spans="1:53" ht="24.65" hidden="1" customHeight="1">
      <c r="B1387" s="308">
        <v>45552</v>
      </c>
      <c r="C1387" s="309">
        <v>45589</v>
      </c>
      <c r="D1387" s="185">
        <f t="shared" si="441"/>
        <v>2024</v>
      </c>
      <c r="E1387" s="309" t="str">
        <f>VLOOKUP($B1387,Week!$A$1:$C$1462,2,0)</f>
        <v>Week38</v>
      </c>
      <c r="F1387" s="310" t="str">
        <f t="shared" si="442"/>
        <v>Sep</v>
      </c>
      <c r="G1387" s="311" t="s">
        <v>1688</v>
      </c>
      <c r="H1387" s="311" t="s">
        <v>311</v>
      </c>
      <c r="I1387" s="311" t="s">
        <v>2772</v>
      </c>
      <c r="J1387" s="312" t="s">
        <v>738</v>
      </c>
      <c r="K1387" s="313" t="s">
        <v>107</v>
      </c>
      <c r="L1387" s="300" t="s">
        <v>2167</v>
      </c>
      <c r="M1387" s="312" t="s">
        <v>313</v>
      </c>
      <c r="N1387" s="311" t="s">
        <v>314</v>
      </c>
      <c r="O1387" s="311" t="s">
        <v>110</v>
      </c>
      <c r="P1387" s="314">
        <v>36</v>
      </c>
      <c r="Q1387" s="314">
        <v>5</v>
      </c>
      <c r="R1387" s="315">
        <v>7.4999999999999997E-3</v>
      </c>
      <c r="S1387" s="311" t="s">
        <v>111</v>
      </c>
      <c r="T1387" s="311" t="s">
        <v>112</v>
      </c>
      <c r="U1387" s="311" t="s">
        <v>57</v>
      </c>
      <c r="V1387" s="316">
        <v>792</v>
      </c>
      <c r="W1387" s="316">
        <f>827-79</f>
        <v>748</v>
      </c>
      <c r="X1387" s="317">
        <f>44</f>
        <v>44</v>
      </c>
      <c r="Y1387" s="318">
        <f t="shared" si="451"/>
        <v>0</v>
      </c>
      <c r="Z1387" s="319">
        <f t="shared" si="452"/>
        <v>0</v>
      </c>
      <c r="AA1387" s="319"/>
      <c r="AB1387" s="815"/>
      <c r="AC1387" s="316"/>
      <c r="AD1387" s="515"/>
      <c r="AE1387" s="210"/>
      <c r="AF1387" s="210"/>
      <c r="AG1387" s="211">
        <f t="shared" si="453"/>
        <v>0.308</v>
      </c>
      <c r="AH1387" s="157">
        <f t="shared" si="455"/>
        <v>0</v>
      </c>
      <c r="AI1387" s="152">
        <f t="shared" si="454"/>
        <v>28512</v>
      </c>
      <c r="AK1387" s="156" t="s">
        <v>691</v>
      </c>
      <c r="AL1387" s="212" t="s">
        <v>690</v>
      </c>
      <c r="AM1387" s="198">
        <f t="shared" si="456"/>
        <v>0</v>
      </c>
      <c r="AN1387" s="199">
        <f t="shared" si="443"/>
        <v>45552</v>
      </c>
      <c r="AO1387" s="159" t="s">
        <v>692</v>
      </c>
      <c r="AP1387" s="783" t="s">
        <v>644</v>
      </c>
      <c r="AQ1387" s="782">
        <v>12063755</v>
      </c>
      <c r="AR1387" s="782">
        <v>12061353</v>
      </c>
      <c r="AS1387" s="782">
        <v>12061354</v>
      </c>
      <c r="AT1387" s="782">
        <v>12062266</v>
      </c>
      <c r="AU1387" s="781"/>
      <c r="AV1387" s="782">
        <v>12088159</v>
      </c>
      <c r="AW1387" s="782">
        <v>12088207</v>
      </c>
      <c r="AX1387" s="782"/>
      <c r="AY1387" s="782">
        <v>12062262</v>
      </c>
      <c r="AZ1387" s="782"/>
      <c r="BA1387" s="781"/>
    </row>
    <row r="1388" spans="1:53" ht="25" hidden="1" customHeight="1">
      <c r="B1388" s="488">
        <v>45552</v>
      </c>
      <c r="C1388" s="487">
        <v>45565</v>
      </c>
      <c r="D1388" s="185">
        <f t="shared" si="441"/>
        <v>2024</v>
      </c>
      <c r="E1388" s="614" t="str">
        <f>VLOOKUP($B1388,Week!$A$1:$C$1462,2,0)</f>
        <v>Week38</v>
      </c>
      <c r="F1388" s="445" t="str">
        <f t="shared" si="442"/>
        <v>Sep</v>
      </c>
      <c r="G1388" s="615" t="s">
        <v>1628</v>
      </c>
      <c r="H1388" s="444" t="s">
        <v>104</v>
      </c>
      <c r="I1388" s="444" t="s">
        <v>2772</v>
      </c>
      <c r="J1388" s="490" t="s">
        <v>105</v>
      </c>
      <c r="K1388" s="491" t="s">
        <v>1643</v>
      </c>
      <c r="L1388" s="300" t="s">
        <v>2167</v>
      </c>
      <c r="M1388" s="490" t="s">
        <v>336</v>
      </c>
      <c r="N1388" s="615" t="s">
        <v>745</v>
      </c>
      <c r="O1388" s="444" t="s">
        <v>743</v>
      </c>
      <c r="P1388" s="492">
        <v>36</v>
      </c>
      <c r="Q1388" s="492">
        <v>5</v>
      </c>
      <c r="R1388" s="493">
        <v>7.4999999999999997E-3</v>
      </c>
      <c r="S1388" s="444" t="s">
        <v>40</v>
      </c>
      <c r="T1388" s="444" t="s">
        <v>112</v>
      </c>
      <c r="U1388" s="616" t="s">
        <v>721</v>
      </c>
      <c r="V1388" s="494">
        <f>1288-1148</f>
        <v>140</v>
      </c>
      <c r="W1388" s="494">
        <f>1288-1148</f>
        <v>140</v>
      </c>
      <c r="X1388" s="495"/>
      <c r="Y1388" s="496">
        <f t="shared" si="451"/>
        <v>0</v>
      </c>
      <c r="Z1388" s="497">
        <f t="shared" si="452"/>
        <v>0</v>
      </c>
      <c r="AA1388" s="497"/>
      <c r="AB1388" s="829"/>
      <c r="AC1388" s="494"/>
      <c r="AD1388" s="515"/>
      <c r="AE1388" s="210"/>
      <c r="AF1388" s="210"/>
      <c r="AG1388" s="211">
        <f t="shared" si="453"/>
        <v>0.14699999999999999</v>
      </c>
      <c r="AH1388" s="157">
        <f t="shared" si="455"/>
        <v>0</v>
      </c>
      <c r="AI1388" s="152">
        <f t="shared" si="454"/>
        <v>5040</v>
      </c>
      <c r="AK1388" s="156" t="s">
        <v>691</v>
      </c>
      <c r="AL1388" s="574" t="s">
        <v>690</v>
      </c>
      <c r="AM1388" s="198">
        <f t="shared" si="456"/>
        <v>0</v>
      </c>
      <c r="AN1388" s="199">
        <f t="shared" si="443"/>
        <v>45552</v>
      </c>
      <c r="AO1388" s="159" t="s">
        <v>692</v>
      </c>
      <c r="AP1388" s="783" t="s">
        <v>639</v>
      </c>
      <c r="AQ1388" s="782">
        <v>12071839</v>
      </c>
      <c r="AR1388" s="782">
        <v>12047514</v>
      </c>
      <c r="AS1388" s="782">
        <v>12047515</v>
      </c>
      <c r="AT1388" s="782">
        <v>12089764</v>
      </c>
      <c r="AU1388" s="781"/>
      <c r="AV1388" s="782">
        <v>12089763</v>
      </c>
      <c r="AW1388" s="782">
        <v>12024404</v>
      </c>
      <c r="AX1388" s="781"/>
      <c r="AY1388" s="782">
        <v>12089765</v>
      </c>
      <c r="AZ1388" s="781"/>
      <c r="BA1388" s="781"/>
    </row>
    <row r="1389" spans="1:53" ht="25" hidden="1" customHeight="1">
      <c r="B1389" s="488">
        <v>45552</v>
      </c>
      <c r="C1389" s="487">
        <v>45570</v>
      </c>
      <c r="D1389" s="185">
        <f t="shared" si="441"/>
        <v>2024</v>
      </c>
      <c r="E1389" s="614" t="str">
        <f>VLOOKUP($B1389,Week!$A$1:$C$1462,2,0)</f>
        <v>Week38</v>
      </c>
      <c r="F1389" s="445" t="str">
        <f t="shared" si="442"/>
        <v>Sep</v>
      </c>
      <c r="G1389" s="615" t="s">
        <v>1562</v>
      </c>
      <c r="H1389" s="444" t="s">
        <v>104</v>
      </c>
      <c r="I1389" s="444" t="s">
        <v>2772</v>
      </c>
      <c r="J1389" s="490" t="s">
        <v>105</v>
      </c>
      <c r="K1389" s="491" t="s">
        <v>1643</v>
      </c>
      <c r="L1389" s="300" t="s">
        <v>2167</v>
      </c>
      <c r="M1389" s="490" t="s">
        <v>336</v>
      </c>
      <c r="N1389" s="615" t="s">
        <v>745</v>
      </c>
      <c r="O1389" s="444" t="s">
        <v>743</v>
      </c>
      <c r="P1389" s="492">
        <v>36</v>
      </c>
      <c r="Q1389" s="492">
        <v>5</v>
      </c>
      <c r="R1389" s="493">
        <v>7.4999999999999997E-3</v>
      </c>
      <c r="S1389" s="444" t="s">
        <v>40</v>
      </c>
      <c r="T1389" s="444" t="s">
        <v>112</v>
      </c>
      <c r="U1389" s="616" t="s">
        <v>721</v>
      </c>
      <c r="V1389" s="494">
        <v>1288</v>
      </c>
      <c r="W1389" s="494">
        <v>1288</v>
      </c>
      <c r="X1389" s="495"/>
      <c r="Y1389" s="496">
        <f t="shared" si="451"/>
        <v>0</v>
      </c>
      <c r="Z1389" s="497">
        <f t="shared" si="452"/>
        <v>0</v>
      </c>
      <c r="AA1389" s="497"/>
      <c r="AB1389" s="829"/>
      <c r="AC1389" s="494"/>
      <c r="AD1389" s="515"/>
      <c r="AE1389" s="210"/>
      <c r="AF1389" s="210"/>
      <c r="AG1389" s="211">
        <f t="shared" si="453"/>
        <v>0.14699999999999999</v>
      </c>
      <c r="AH1389" s="157">
        <f t="shared" si="455"/>
        <v>0</v>
      </c>
      <c r="AI1389" s="152">
        <f t="shared" si="454"/>
        <v>46368</v>
      </c>
      <c r="AK1389" s="156" t="s">
        <v>691</v>
      </c>
      <c r="AL1389" s="574" t="s">
        <v>690</v>
      </c>
      <c r="AM1389" s="198">
        <f t="shared" si="456"/>
        <v>0</v>
      </c>
      <c r="AN1389" s="199">
        <f t="shared" si="443"/>
        <v>45552</v>
      </c>
      <c r="AO1389" s="159" t="s">
        <v>692</v>
      </c>
      <c r="AP1389" s="783" t="s">
        <v>639</v>
      </c>
      <c r="AQ1389" s="782">
        <v>12071839</v>
      </c>
      <c r="AR1389" s="782">
        <v>12047514</v>
      </c>
      <c r="AS1389" s="782">
        <v>12047515</v>
      </c>
      <c r="AT1389" s="782">
        <v>12089764</v>
      </c>
      <c r="AU1389" s="781"/>
      <c r="AV1389" s="782">
        <v>12089763</v>
      </c>
      <c r="AW1389" s="782">
        <v>12024404</v>
      </c>
      <c r="AX1389" s="781"/>
      <c r="AY1389" s="782">
        <v>12089765</v>
      </c>
      <c r="AZ1389" s="781"/>
      <c r="BA1389" s="781"/>
    </row>
    <row r="1390" spans="1:53" ht="25" hidden="1" customHeight="1">
      <c r="B1390" s="488">
        <v>45552</v>
      </c>
      <c r="C1390" s="487">
        <v>45570</v>
      </c>
      <c r="D1390" s="185">
        <f t="shared" si="441"/>
        <v>2024</v>
      </c>
      <c r="E1390" s="614" t="str">
        <f>VLOOKUP($B1390,Week!$A$1:$C$1462,2,0)</f>
        <v>Week38</v>
      </c>
      <c r="F1390" s="445" t="str">
        <f t="shared" si="442"/>
        <v>Sep</v>
      </c>
      <c r="G1390" s="615" t="s">
        <v>1552</v>
      </c>
      <c r="H1390" s="444" t="s">
        <v>104</v>
      </c>
      <c r="I1390" s="444" t="s">
        <v>2772</v>
      </c>
      <c r="J1390" s="490" t="s">
        <v>105</v>
      </c>
      <c r="K1390" s="491" t="s">
        <v>1643</v>
      </c>
      <c r="L1390" s="300" t="s">
        <v>2167</v>
      </c>
      <c r="M1390" s="490" t="s">
        <v>336</v>
      </c>
      <c r="N1390" s="615" t="s">
        <v>745</v>
      </c>
      <c r="O1390" s="444" t="s">
        <v>743</v>
      </c>
      <c r="P1390" s="492">
        <v>36</v>
      </c>
      <c r="Q1390" s="492">
        <v>5</v>
      </c>
      <c r="R1390" s="493">
        <v>7.4999999999999997E-3</v>
      </c>
      <c r="S1390" s="444" t="s">
        <v>40</v>
      </c>
      <c r="T1390" s="444" t="s">
        <v>112</v>
      </c>
      <c r="U1390" s="616" t="s">
        <v>721</v>
      </c>
      <c r="V1390" s="494">
        <v>1288</v>
      </c>
      <c r="W1390" s="494">
        <v>1288</v>
      </c>
      <c r="X1390" s="495"/>
      <c r="Y1390" s="496">
        <f t="shared" si="451"/>
        <v>0</v>
      </c>
      <c r="Z1390" s="497">
        <f t="shared" si="452"/>
        <v>0</v>
      </c>
      <c r="AA1390" s="497"/>
      <c r="AB1390" s="829"/>
      <c r="AC1390" s="494"/>
      <c r="AD1390" s="515"/>
      <c r="AE1390" s="210"/>
      <c r="AF1390" s="210"/>
      <c r="AG1390" s="211">
        <f t="shared" si="453"/>
        <v>0.14699999999999999</v>
      </c>
      <c r="AH1390" s="157">
        <f t="shared" si="455"/>
        <v>0</v>
      </c>
      <c r="AI1390" s="152">
        <f t="shared" si="454"/>
        <v>46368</v>
      </c>
      <c r="AK1390" s="156" t="s">
        <v>691</v>
      </c>
      <c r="AL1390" s="574" t="s">
        <v>690</v>
      </c>
      <c r="AM1390" s="198">
        <f t="shared" si="456"/>
        <v>0</v>
      </c>
      <c r="AN1390" s="199">
        <f t="shared" si="443"/>
        <v>45552</v>
      </c>
      <c r="AO1390" s="159" t="s">
        <v>692</v>
      </c>
      <c r="AP1390" s="783" t="s">
        <v>639</v>
      </c>
      <c r="AQ1390" s="782">
        <v>12071839</v>
      </c>
      <c r="AR1390" s="782">
        <v>12047514</v>
      </c>
      <c r="AS1390" s="782">
        <v>12047515</v>
      </c>
      <c r="AT1390" s="782">
        <v>12089764</v>
      </c>
      <c r="AU1390" s="781"/>
      <c r="AV1390" s="782">
        <v>12089763</v>
      </c>
      <c r="AW1390" s="782">
        <v>12024404</v>
      </c>
      <c r="AX1390" s="781"/>
      <c r="AY1390" s="782">
        <v>12089765</v>
      </c>
      <c r="AZ1390" s="781"/>
      <c r="BA1390" s="781"/>
    </row>
    <row r="1391" spans="1:53" ht="24.65" hidden="1" customHeight="1">
      <c r="B1391" s="488">
        <v>45552</v>
      </c>
      <c r="C1391" s="487">
        <v>45572</v>
      </c>
      <c r="D1391" s="185">
        <f t="shared" si="441"/>
        <v>2024</v>
      </c>
      <c r="E1391" s="614" t="str">
        <f>VLOOKUP($B1391,Week!$A$1:$C$1462,2,0)</f>
        <v>Week38</v>
      </c>
      <c r="F1391" s="445" t="str">
        <f t="shared" si="442"/>
        <v>Sep</v>
      </c>
      <c r="G1391" s="615" t="s">
        <v>1629</v>
      </c>
      <c r="H1391" s="444" t="s">
        <v>104</v>
      </c>
      <c r="I1391" s="444" t="s">
        <v>2772</v>
      </c>
      <c r="J1391" s="490" t="s">
        <v>105</v>
      </c>
      <c r="K1391" s="491" t="s">
        <v>1643</v>
      </c>
      <c r="L1391" s="300" t="s">
        <v>2167</v>
      </c>
      <c r="M1391" s="490" t="s">
        <v>336</v>
      </c>
      <c r="N1391" s="615" t="s">
        <v>745</v>
      </c>
      <c r="O1391" s="444" t="s">
        <v>743</v>
      </c>
      <c r="P1391" s="492">
        <v>36</v>
      </c>
      <c r="Q1391" s="492">
        <v>5</v>
      </c>
      <c r="R1391" s="493">
        <v>7.4999999999999997E-3</v>
      </c>
      <c r="S1391" s="444" t="s">
        <v>40</v>
      </c>
      <c r="T1391" s="444" t="s">
        <v>112</v>
      </c>
      <c r="U1391" s="616" t="s">
        <v>721</v>
      </c>
      <c r="V1391" s="494">
        <f>2820-140-1288-1288</f>
        <v>104</v>
      </c>
      <c r="W1391" s="494">
        <f>2820-140-1288-1288</f>
        <v>104</v>
      </c>
      <c r="X1391" s="495"/>
      <c r="Y1391" s="496">
        <f t="shared" si="451"/>
        <v>0</v>
      </c>
      <c r="Z1391" s="497">
        <f t="shared" si="452"/>
        <v>0</v>
      </c>
      <c r="AA1391" s="497"/>
      <c r="AB1391" s="829"/>
      <c r="AC1391" s="494"/>
      <c r="AD1391" s="515"/>
      <c r="AE1391" s="210"/>
      <c r="AF1391" s="210"/>
      <c r="AG1391" s="211">
        <f t="shared" si="453"/>
        <v>0.14699999999999999</v>
      </c>
      <c r="AH1391" s="157">
        <f t="shared" si="455"/>
        <v>0</v>
      </c>
      <c r="AI1391" s="152">
        <f t="shared" si="454"/>
        <v>3744</v>
      </c>
      <c r="AK1391" s="156" t="s">
        <v>691</v>
      </c>
      <c r="AL1391" s="574" t="s">
        <v>690</v>
      </c>
      <c r="AM1391" s="198">
        <f t="shared" si="456"/>
        <v>0</v>
      </c>
      <c r="AN1391" s="199">
        <f t="shared" si="443"/>
        <v>45552</v>
      </c>
      <c r="AO1391" s="159" t="s">
        <v>692</v>
      </c>
      <c r="AP1391" s="783" t="s">
        <v>639</v>
      </c>
      <c r="AQ1391" s="782">
        <v>12071839</v>
      </c>
      <c r="AR1391" s="782">
        <v>12047514</v>
      </c>
      <c r="AS1391" s="782">
        <v>12047515</v>
      </c>
      <c r="AT1391" s="782">
        <v>12089764</v>
      </c>
      <c r="AU1391" s="781"/>
      <c r="AV1391" s="782">
        <v>12089763</v>
      </c>
      <c r="AW1391" s="782">
        <v>12024404</v>
      </c>
      <c r="AX1391" s="781"/>
      <c r="AY1391" s="782">
        <v>12089765</v>
      </c>
      <c r="AZ1391" s="781"/>
      <c r="BA1391" s="781"/>
    </row>
    <row r="1392" spans="1:53" ht="25" hidden="1" customHeight="1">
      <c r="A1392" s="142" t="s">
        <v>120</v>
      </c>
      <c r="B1392" s="581">
        <v>45553</v>
      </c>
      <c r="C1392" s="333">
        <v>45561</v>
      </c>
      <c r="D1392" s="185">
        <f t="shared" si="441"/>
        <v>2024</v>
      </c>
      <c r="E1392" s="335" t="str">
        <f>VLOOKUP($B1392,Week!$A$1:$C$1462,2,0)</f>
        <v>Week38</v>
      </c>
      <c r="F1392" s="334" t="str">
        <f t="shared" si="442"/>
        <v>Sep</v>
      </c>
      <c r="G1392" s="530" t="s">
        <v>1747</v>
      </c>
      <c r="H1392" s="335" t="s">
        <v>82</v>
      </c>
      <c r="I1392" s="335" t="s">
        <v>82</v>
      </c>
      <c r="J1392" s="336" t="s">
        <v>235</v>
      </c>
      <c r="K1392" s="337" t="s">
        <v>85</v>
      </c>
      <c r="L1392" s="390" t="s">
        <v>2166</v>
      </c>
      <c r="M1392" s="336" t="s">
        <v>86</v>
      </c>
      <c r="N1392" s="335" t="s">
        <v>273</v>
      </c>
      <c r="O1392" s="335" t="s">
        <v>507</v>
      </c>
      <c r="P1392" s="338">
        <v>8</v>
      </c>
      <c r="Q1392" s="338">
        <v>50</v>
      </c>
      <c r="R1392" s="339">
        <v>6.8100000000000001E-3</v>
      </c>
      <c r="S1392" s="335" t="s">
        <v>76</v>
      </c>
      <c r="T1392" s="335" t="s">
        <v>56</v>
      </c>
      <c r="U1392" s="335" t="s">
        <v>89</v>
      </c>
      <c r="V1392" s="341">
        <f>400</f>
        <v>400</v>
      </c>
      <c r="W1392" s="341">
        <f>4+396</f>
        <v>400</v>
      </c>
      <c r="X1392" s="342"/>
      <c r="Y1392" s="343">
        <f t="shared" si="451"/>
        <v>0</v>
      </c>
      <c r="Z1392" s="344">
        <f t="shared" si="452"/>
        <v>0</v>
      </c>
      <c r="AA1392" s="344">
        <f>Q1392*Z1392</f>
        <v>0</v>
      </c>
      <c r="AB1392" s="817">
        <v>6</v>
      </c>
      <c r="AC1392" s="341">
        <f>Z1392*AB1392</f>
        <v>0</v>
      </c>
      <c r="AD1392" s="443"/>
      <c r="AE1392" s="210"/>
      <c r="AF1392" s="210"/>
      <c r="AG1392" s="211">
        <f t="shared" si="453"/>
        <v>0.63</v>
      </c>
      <c r="AH1392" s="157">
        <f t="shared" si="455"/>
        <v>0</v>
      </c>
      <c r="AI1392" s="152">
        <f t="shared" si="454"/>
        <v>3200</v>
      </c>
      <c r="AK1392" s="156" t="s">
        <v>691</v>
      </c>
      <c r="AL1392" s="156" t="s">
        <v>689</v>
      </c>
      <c r="AM1392" s="198">
        <f t="shared" si="456"/>
        <v>0</v>
      </c>
      <c r="AN1392" s="199">
        <f t="shared" si="443"/>
        <v>45553</v>
      </c>
      <c r="AO1392" s="159" t="s">
        <v>692</v>
      </c>
      <c r="AP1392" s="781"/>
      <c r="AQ1392" s="782">
        <v>12004862</v>
      </c>
      <c r="AR1392" s="782">
        <v>12055234</v>
      </c>
      <c r="AS1392" s="782"/>
      <c r="AT1392" s="782">
        <v>12056345</v>
      </c>
      <c r="AU1392" s="781"/>
      <c r="AV1392" s="782">
        <v>12056200</v>
      </c>
      <c r="AW1392" s="782"/>
      <c r="AX1392" s="782" t="s">
        <v>93</v>
      </c>
      <c r="AY1392" s="782"/>
      <c r="AZ1392" s="782"/>
      <c r="BA1392" s="781"/>
    </row>
    <row r="1393" spans="1:53" ht="25" hidden="1" customHeight="1">
      <c r="A1393" s="142" t="s">
        <v>120</v>
      </c>
      <c r="B1393" s="582">
        <v>45553</v>
      </c>
      <c r="C1393" s="535">
        <v>45561</v>
      </c>
      <c r="D1393" s="185">
        <f t="shared" si="441"/>
        <v>2024</v>
      </c>
      <c r="E1393" s="535" t="str">
        <f>VLOOKUP($B1393,Week!$A$1:$C$1462,2,0)</f>
        <v>Week38</v>
      </c>
      <c r="F1393" s="536" t="str">
        <f t="shared" si="442"/>
        <v>Sep</v>
      </c>
      <c r="G1393" s="537" t="s">
        <v>1747</v>
      </c>
      <c r="H1393" s="537" t="s">
        <v>82</v>
      </c>
      <c r="I1393" s="537" t="s">
        <v>82</v>
      </c>
      <c r="J1393" s="538" t="s">
        <v>235</v>
      </c>
      <c r="K1393" s="539" t="s">
        <v>85</v>
      </c>
      <c r="L1393" s="390" t="s">
        <v>2166</v>
      </c>
      <c r="M1393" s="538" t="s">
        <v>165</v>
      </c>
      <c r="N1393" s="537" t="s">
        <v>258</v>
      </c>
      <c r="O1393" s="537" t="s">
        <v>705</v>
      </c>
      <c r="P1393" s="540">
        <v>20</v>
      </c>
      <c r="Q1393" s="540">
        <v>12</v>
      </c>
      <c r="R1393" s="541">
        <v>6.8100000000000001E-3</v>
      </c>
      <c r="S1393" s="537" t="s">
        <v>76</v>
      </c>
      <c r="T1393" s="537" t="s">
        <v>56</v>
      </c>
      <c r="U1393" s="537" t="s">
        <v>89</v>
      </c>
      <c r="V1393" s="542">
        <f>780</f>
        <v>780</v>
      </c>
      <c r="W1393" s="542">
        <f>280</f>
        <v>280</v>
      </c>
      <c r="X1393" s="543">
        <f>(10000)/20</f>
        <v>500</v>
      </c>
      <c r="Y1393" s="544">
        <f t="shared" si="451"/>
        <v>0</v>
      </c>
      <c r="Z1393" s="545">
        <f t="shared" si="452"/>
        <v>0</v>
      </c>
      <c r="AA1393" s="545">
        <f>Q1393*Z1393</f>
        <v>0</v>
      </c>
      <c r="AB1393" s="832">
        <v>2</v>
      </c>
      <c r="AC1393" s="542">
        <f>Z1393*AB1393</f>
        <v>0</v>
      </c>
      <c r="AD1393" s="209"/>
      <c r="AE1393" s="210"/>
      <c r="AF1393" s="210"/>
      <c r="AG1393" s="211">
        <f t="shared" si="453"/>
        <v>0.14399999999999999</v>
      </c>
      <c r="AH1393" s="157">
        <f t="shared" ref="AH1393:AH1411" si="457">(Z1393*AG1393)/1000</f>
        <v>0</v>
      </c>
      <c r="AI1393" s="152">
        <f t="shared" si="454"/>
        <v>15600</v>
      </c>
      <c r="AK1393" s="156" t="s">
        <v>691</v>
      </c>
      <c r="AL1393" s="156" t="s">
        <v>689</v>
      </c>
      <c r="AM1393" s="198">
        <f t="shared" ref="AM1393:AM1420" si="458">AG1393*Z1393</f>
        <v>0</v>
      </c>
      <c r="AN1393" s="199">
        <f t="shared" si="443"/>
        <v>45553</v>
      </c>
      <c r="AO1393" s="159" t="s">
        <v>692</v>
      </c>
      <c r="AP1393" s="781"/>
      <c r="AQ1393" s="782">
        <v>12071839</v>
      </c>
      <c r="AR1393" s="783" t="s">
        <v>523</v>
      </c>
      <c r="AS1393" s="781"/>
      <c r="AT1393" s="783" t="s">
        <v>524</v>
      </c>
      <c r="AU1393" s="781"/>
      <c r="AV1393" s="782">
        <v>12027007</v>
      </c>
      <c r="AW1393" s="782"/>
      <c r="AX1393" s="782" t="s">
        <v>398</v>
      </c>
      <c r="AY1393" s="782"/>
      <c r="AZ1393" s="782"/>
      <c r="BA1393" s="781"/>
    </row>
    <row r="1394" spans="1:53" ht="25" hidden="1" customHeight="1">
      <c r="A1394" s="142" t="s">
        <v>120</v>
      </c>
      <c r="B1394" s="546">
        <v>45553</v>
      </c>
      <c r="C1394" s="547">
        <v>45575</v>
      </c>
      <c r="D1394" s="185">
        <f t="shared" si="441"/>
        <v>2024</v>
      </c>
      <c r="E1394" s="547" t="str">
        <f>VLOOKUP($B1394,Week!$A$1:$C$1462,2,0)</f>
        <v>Week38</v>
      </c>
      <c r="F1394" s="548" t="str">
        <f t="shared" si="442"/>
        <v>Sep</v>
      </c>
      <c r="G1394" s="549" t="s">
        <v>1674</v>
      </c>
      <c r="H1394" s="549" t="s">
        <v>431</v>
      </c>
      <c r="I1394" s="549" t="s">
        <v>2772</v>
      </c>
      <c r="J1394" s="550" t="s">
        <v>432</v>
      </c>
      <c r="K1394" s="551" t="s">
        <v>85</v>
      </c>
      <c r="L1394" s="390" t="s">
        <v>2166</v>
      </c>
      <c r="M1394" s="550" t="s">
        <v>86</v>
      </c>
      <c r="N1394" s="549" t="s">
        <v>550</v>
      </c>
      <c r="O1394" s="549" t="s">
        <v>548</v>
      </c>
      <c r="P1394" s="552">
        <v>10</v>
      </c>
      <c r="Q1394" s="552">
        <v>50</v>
      </c>
      <c r="R1394" s="553">
        <v>8.1300000000000001E-3</v>
      </c>
      <c r="S1394" s="549" t="s">
        <v>40</v>
      </c>
      <c r="T1394" s="549" t="s">
        <v>112</v>
      </c>
      <c r="U1394" s="549" t="s">
        <v>89</v>
      </c>
      <c r="V1394" s="554">
        <v>300</v>
      </c>
      <c r="W1394" s="554">
        <f>300</f>
        <v>300</v>
      </c>
      <c r="X1394" s="555"/>
      <c r="Y1394" s="556">
        <f>(W1394+X1394)-V1394</f>
        <v>0</v>
      </c>
      <c r="Z1394" s="557">
        <f t="shared" si="452"/>
        <v>0</v>
      </c>
      <c r="AA1394" s="557">
        <f>Q1394*Z1394</f>
        <v>0</v>
      </c>
      <c r="AB1394" s="833">
        <v>6</v>
      </c>
      <c r="AC1394" s="554">
        <f>Z1394*AB1394</f>
        <v>0</v>
      </c>
      <c r="AD1394" s="209"/>
      <c r="AE1394" s="210"/>
      <c r="AF1394" s="210"/>
      <c r="AG1394" s="211">
        <f t="shared" si="453"/>
        <v>0.63</v>
      </c>
      <c r="AH1394" s="157">
        <f t="shared" si="457"/>
        <v>0</v>
      </c>
      <c r="AI1394" s="152">
        <f t="shared" si="454"/>
        <v>3000</v>
      </c>
      <c r="AK1394" s="156" t="s">
        <v>691</v>
      </c>
      <c r="AL1394" s="156" t="s">
        <v>689</v>
      </c>
      <c r="AM1394" s="198">
        <f t="shared" si="458"/>
        <v>0</v>
      </c>
      <c r="AN1394" s="199">
        <f t="shared" si="443"/>
        <v>45553</v>
      </c>
      <c r="AO1394" s="159" t="s">
        <v>692</v>
      </c>
      <c r="AP1394" s="783" t="s">
        <v>618</v>
      </c>
      <c r="AQ1394" s="782" t="s">
        <v>549</v>
      </c>
      <c r="AR1394" s="796" t="s">
        <v>529</v>
      </c>
      <c r="AS1394" s="782"/>
      <c r="AT1394" s="796" t="s">
        <v>551</v>
      </c>
      <c r="AU1394" s="781"/>
      <c r="AV1394" s="796" t="s">
        <v>552</v>
      </c>
      <c r="AW1394" s="782"/>
      <c r="AX1394" s="782" t="s">
        <v>93</v>
      </c>
      <c r="AY1394" s="782"/>
      <c r="AZ1394" s="782"/>
      <c r="BA1394" s="781"/>
    </row>
    <row r="1395" spans="1:53" ht="24.75" hidden="1" customHeight="1">
      <c r="A1395" s="142" t="s">
        <v>120</v>
      </c>
      <c r="B1395" s="308">
        <v>45553</v>
      </c>
      <c r="C1395" s="644" t="s">
        <v>1591</v>
      </c>
      <c r="D1395" s="185">
        <f t="shared" si="441"/>
        <v>2024</v>
      </c>
      <c r="E1395" s="519" t="str">
        <f>VLOOKUP($B1395,Week!$A$1:$C$1462,2,0)</f>
        <v>Week38</v>
      </c>
      <c r="F1395" s="520" t="str">
        <f t="shared" si="442"/>
        <v>Sep</v>
      </c>
      <c r="G1395" s="644" t="s">
        <v>47</v>
      </c>
      <c r="H1395" s="311" t="s">
        <v>518</v>
      </c>
      <c r="I1395" s="311" t="s">
        <v>2702</v>
      </c>
      <c r="J1395" s="312" t="s">
        <v>70</v>
      </c>
      <c r="K1395" s="313" t="s">
        <v>85</v>
      </c>
      <c r="L1395" s="390" t="s">
        <v>2166</v>
      </c>
      <c r="M1395" s="312" t="s">
        <v>515</v>
      </c>
      <c r="N1395" s="311" t="s">
        <v>588</v>
      </c>
      <c r="O1395" s="311" t="s">
        <v>546</v>
      </c>
      <c r="P1395" s="314">
        <v>12</v>
      </c>
      <c r="Q1395" s="314">
        <v>20</v>
      </c>
      <c r="R1395" s="315">
        <v>6.1999999999999998E-3</v>
      </c>
      <c r="S1395" s="311" t="s">
        <v>352</v>
      </c>
      <c r="T1395" s="311" t="s">
        <v>56</v>
      </c>
      <c r="U1395" s="311"/>
      <c r="V1395" s="316">
        <f>363</f>
        <v>363</v>
      </c>
      <c r="W1395" s="316">
        <f>6+357</f>
        <v>363</v>
      </c>
      <c r="X1395" s="317"/>
      <c r="Y1395" s="318">
        <f t="shared" si="451"/>
        <v>0</v>
      </c>
      <c r="Z1395" s="319">
        <f t="shared" si="452"/>
        <v>0</v>
      </c>
      <c r="AA1395" s="319">
        <f>Q1395*Z1395</f>
        <v>0</v>
      </c>
      <c r="AB1395" s="815"/>
      <c r="AC1395" s="316">
        <f>Z1395*AB1395</f>
        <v>0</v>
      </c>
      <c r="AD1395" s="209"/>
      <c r="AE1395" s="210"/>
      <c r="AF1395" s="210"/>
      <c r="AG1395" s="211">
        <f t="shared" si="453"/>
        <v>0.22</v>
      </c>
      <c r="AH1395" s="157">
        <f t="shared" si="457"/>
        <v>0</v>
      </c>
      <c r="AI1395" s="152">
        <f t="shared" si="454"/>
        <v>4356</v>
      </c>
      <c r="AK1395" s="156" t="s">
        <v>691</v>
      </c>
      <c r="AL1395" s="156" t="s">
        <v>689</v>
      </c>
      <c r="AM1395" s="198">
        <f t="shared" si="458"/>
        <v>0</v>
      </c>
      <c r="AN1395" s="199">
        <f t="shared" si="443"/>
        <v>45553</v>
      </c>
      <c r="AO1395" s="159" t="s">
        <v>692</v>
      </c>
      <c r="AP1395" s="783" t="s">
        <v>613</v>
      </c>
      <c r="AQ1395" s="782"/>
      <c r="AR1395" s="782" t="s">
        <v>614</v>
      </c>
      <c r="AS1395" s="782"/>
      <c r="AT1395" s="782">
        <v>12083140</v>
      </c>
      <c r="AU1395" s="781"/>
      <c r="AV1395" s="782">
        <v>12083143</v>
      </c>
      <c r="AW1395" s="782"/>
      <c r="AX1395" s="782"/>
      <c r="AY1395" s="782"/>
      <c r="AZ1395" s="782"/>
      <c r="BA1395" s="781"/>
    </row>
    <row r="1396" spans="1:53" ht="24.65" hidden="1" customHeight="1">
      <c r="B1396" s="488">
        <v>45554</v>
      </c>
      <c r="C1396" s="487">
        <v>45572</v>
      </c>
      <c r="D1396" s="185">
        <f t="shared" si="441"/>
        <v>2024</v>
      </c>
      <c r="E1396" s="614" t="str">
        <f>VLOOKUP($B1396,Week!$A$1:$C$1462,2,0)</f>
        <v>Week38</v>
      </c>
      <c r="F1396" s="445" t="str">
        <f t="shared" si="442"/>
        <v>Sep</v>
      </c>
      <c r="G1396" s="615" t="s">
        <v>1629</v>
      </c>
      <c r="H1396" s="444" t="s">
        <v>104</v>
      </c>
      <c r="I1396" s="444" t="s">
        <v>2772</v>
      </c>
      <c r="J1396" s="490" t="s">
        <v>105</v>
      </c>
      <c r="K1396" s="491" t="s">
        <v>1643</v>
      </c>
      <c r="L1396" s="300" t="s">
        <v>2167</v>
      </c>
      <c r="M1396" s="490" t="s">
        <v>336</v>
      </c>
      <c r="N1396" s="615" t="s">
        <v>745</v>
      </c>
      <c r="O1396" s="444" t="s">
        <v>743</v>
      </c>
      <c r="P1396" s="492">
        <v>36</v>
      </c>
      <c r="Q1396" s="492">
        <v>5</v>
      </c>
      <c r="R1396" s="493">
        <v>7.4999999999999997E-3</v>
      </c>
      <c r="S1396" s="444" t="s">
        <v>40</v>
      </c>
      <c r="T1396" s="444" t="s">
        <v>112</v>
      </c>
      <c r="U1396" s="616" t="s">
        <v>721</v>
      </c>
      <c r="V1396" s="494">
        <f>1288-104</f>
        <v>1184</v>
      </c>
      <c r="W1396" s="494">
        <v>1184</v>
      </c>
      <c r="X1396" s="495"/>
      <c r="Y1396" s="496">
        <f t="shared" si="451"/>
        <v>0</v>
      </c>
      <c r="Z1396" s="497">
        <f t="shared" si="452"/>
        <v>0</v>
      </c>
      <c r="AA1396" s="497"/>
      <c r="AB1396" s="829"/>
      <c r="AC1396" s="494"/>
      <c r="AD1396" s="515"/>
      <c r="AE1396" s="210"/>
      <c r="AF1396" s="210"/>
      <c r="AG1396" s="211">
        <f t="shared" si="453"/>
        <v>0.14699999999999999</v>
      </c>
      <c r="AH1396" s="157">
        <f t="shared" si="457"/>
        <v>0</v>
      </c>
      <c r="AI1396" s="152">
        <f t="shared" si="454"/>
        <v>42624</v>
      </c>
      <c r="AK1396" s="156" t="s">
        <v>691</v>
      </c>
      <c r="AL1396" s="574" t="s">
        <v>690</v>
      </c>
      <c r="AM1396" s="198">
        <f t="shared" si="458"/>
        <v>0</v>
      </c>
      <c r="AN1396" s="199">
        <f t="shared" si="443"/>
        <v>45554</v>
      </c>
      <c r="AO1396" s="159" t="s">
        <v>692</v>
      </c>
      <c r="AP1396" s="783" t="s">
        <v>639</v>
      </c>
      <c r="AQ1396" s="782">
        <v>12071839</v>
      </c>
      <c r="AR1396" s="782">
        <v>12047514</v>
      </c>
      <c r="AS1396" s="782">
        <v>12047515</v>
      </c>
      <c r="AT1396" s="782">
        <v>12089764</v>
      </c>
      <c r="AU1396" s="781"/>
      <c r="AV1396" s="782">
        <v>12089763</v>
      </c>
      <c r="AW1396" s="782">
        <v>12024404</v>
      </c>
      <c r="AX1396" s="781"/>
      <c r="AY1396" s="782">
        <v>12089765</v>
      </c>
      <c r="AZ1396" s="781"/>
      <c r="BA1396" s="781"/>
    </row>
    <row r="1397" spans="1:53" ht="25" hidden="1" customHeight="1">
      <c r="B1397" s="488">
        <v>45554</v>
      </c>
      <c r="C1397" s="487">
        <v>45573</v>
      </c>
      <c r="D1397" s="185">
        <f t="shared" si="441"/>
        <v>2024</v>
      </c>
      <c r="E1397" s="614" t="str">
        <f>VLOOKUP($B1397,Week!$A$1:$C$1462,2,0)</f>
        <v>Week38</v>
      </c>
      <c r="F1397" s="445" t="str">
        <f t="shared" si="442"/>
        <v>Sep</v>
      </c>
      <c r="G1397" s="615" t="s">
        <v>1565</v>
      </c>
      <c r="H1397" s="444" t="s">
        <v>104</v>
      </c>
      <c r="I1397" s="444" t="s">
        <v>2772</v>
      </c>
      <c r="J1397" s="490" t="s">
        <v>105</v>
      </c>
      <c r="K1397" s="491" t="s">
        <v>1643</v>
      </c>
      <c r="L1397" s="300" t="s">
        <v>2167</v>
      </c>
      <c r="M1397" s="490" t="s">
        <v>336</v>
      </c>
      <c r="N1397" s="615" t="s">
        <v>745</v>
      </c>
      <c r="O1397" s="444" t="s">
        <v>743</v>
      </c>
      <c r="P1397" s="492">
        <v>36</v>
      </c>
      <c r="Q1397" s="492">
        <v>5</v>
      </c>
      <c r="R1397" s="493">
        <v>7.4999999999999997E-3</v>
      </c>
      <c r="S1397" s="444" t="s">
        <v>40</v>
      </c>
      <c r="T1397" s="444" t="s">
        <v>112</v>
      </c>
      <c r="U1397" s="616" t="s">
        <v>721</v>
      </c>
      <c r="V1397" s="494">
        <v>1288</v>
      </c>
      <c r="W1397" s="494">
        <v>1288</v>
      </c>
      <c r="X1397" s="495"/>
      <c r="Y1397" s="496">
        <f t="shared" si="451"/>
        <v>0</v>
      </c>
      <c r="Z1397" s="497">
        <f t="shared" si="452"/>
        <v>0</v>
      </c>
      <c r="AA1397" s="497"/>
      <c r="AB1397" s="829"/>
      <c r="AC1397" s="494"/>
      <c r="AD1397" s="515"/>
      <c r="AE1397" s="210"/>
      <c r="AF1397" s="210"/>
      <c r="AG1397" s="211">
        <f t="shared" si="453"/>
        <v>0.14699999999999999</v>
      </c>
      <c r="AH1397" s="157">
        <f t="shared" si="457"/>
        <v>0</v>
      </c>
      <c r="AI1397" s="152">
        <f t="shared" si="454"/>
        <v>46368</v>
      </c>
      <c r="AK1397" s="156" t="s">
        <v>691</v>
      </c>
      <c r="AL1397" s="574" t="s">
        <v>690</v>
      </c>
      <c r="AM1397" s="198">
        <f t="shared" si="458"/>
        <v>0</v>
      </c>
      <c r="AN1397" s="199">
        <f t="shared" si="443"/>
        <v>45554</v>
      </c>
      <c r="AO1397" s="159" t="s">
        <v>692</v>
      </c>
      <c r="AP1397" s="783" t="s">
        <v>639</v>
      </c>
      <c r="AQ1397" s="782">
        <v>12071839</v>
      </c>
      <c r="AR1397" s="782">
        <v>12047514</v>
      </c>
      <c r="AS1397" s="782">
        <v>12047515</v>
      </c>
      <c r="AT1397" s="782">
        <v>12089764</v>
      </c>
      <c r="AU1397" s="781"/>
      <c r="AV1397" s="782">
        <v>12089763</v>
      </c>
      <c r="AW1397" s="782">
        <v>12024404</v>
      </c>
      <c r="AX1397" s="781"/>
      <c r="AY1397" s="782">
        <v>12089765</v>
      </c>
      <c r="AZ1397" s="781"/>
      <c r="BA1397" s="781"/>
    </row>
    <row r="1398" spans="1:53" ht="25" hidden="1" customHeight="1">
      <c r="B1398" s="619">
        <v>45554</v>
      </c>
      <c r="C1398" s="466">
        <v>45568</v>
      </c>
      <c r="D1398" s="185">
        <f t="shared" si="441"/>
        <v>2024</v>
      </c>
      <c r="E1398" s="467" t="str">
        <f>VLOOKUP($B1398,Week!$A$1:$C$1462,2,0)</f>
        <v>Week38</v>
      </c>
      <c r="F1398" s="469" t="str">
        <f t="shared" si="442"/>
        <v>Sep</v>
      </c>
      <c r="G1398" s="468" t="s">
        <v>1463</v>
      </c>
      <c r="H1398" s="468" t="s">
        <v>225</v>
      </c>
      <c r="I1398" s="468" t="s">
        <v>2773</v>
      </c>
      <c r="J1398" s="471" t="s">
        <v>335</v>
      </c>
      <c r="K1398" s="472" t="s">
        <v>1643</v>
      </c>
      <c r="L1398" s="300" t="s">
        <v>2167</v>
      </c>
      <c r="M1398" s="471" t="s">
        <v>336</v>
      </c>
      <c r="N1398" s="468" t="s">
        <v>748</v>
      </c>
      <c r="O1398" s="468" t="s">
        <v>743</v>
      </c>
      <c r="P1398" s="473">
        <v>36</v>
      </c>
      <c r="Q1398" s="473">
        <v>5</v>
      </c>
      <c r="R1398" s="474">
        <v>7.4999999999999997E-3</v>
      </c>
      <c r="S1398" s="468" t="s">
        <v>40</v>
      </c>
      <c r="T1398" s="468" t="s">
        <v>112</v>
      </c>
      <c r="U1398" s="620" t="s">
        <v>721</v>
      </c>
      <c r="V1398" s="475">
        <f>1288</f>
        <v>1288</v>
      </c>
      <c r="W1398" s="475">
        <f>8+1280</f>
        <v>1288</v>
      </c>
      <c r="X1398" s="476"/>
      <c r="Y1398" s="477">
        <f t="shared" si="451"/>
        <v>0</v>
      </c>
      <c r="Z1398" s="478">
        <f t="shared" si="452"/>
        <v>0</v>
      </c>
      <c r="AA1398" s="478"/>
      <c r="AB1398" s="828"/>
      <c r="AC1398" s="475"/>
      <c r="AD1398" s="515"/>
      <c r="AE1398" s="210"/>
      <c r="AF1398" s="210"/>
      <c r="AG1398" s="211">
        <f t="shared" si="453"/>
        <v>0.14699999999999999</v>
      </c>
      <c r="AH1398" s="157">
        <f t="shared" si="457"/>
        <v>0</v>
      </c>
      <c r="AI1398" s="152">
        <f t="shared" si="454"/>
        <v>46368</v>
      </c>
      <c r="AK1398" s="156" t="s">
        <v>691</v>
      </c>
      <c r="AL1398" s="574" t="s">
        <v>690</v>
      </c>
      <c r="AM1398" s="198">
        <f t="shared" si="458"/>
        <v>0</v>
      </c>
      <c r="AN1398" s="199">
        <f t="shared" si="443"/>
        <v>45554</v>
      </c>
      <c r="AO1398" s="159" t="s">
        <v>692</v>
      </c>
      <c r="AP1398" s="783" t="s">
        <v>639</v>
      </c>
      <c r="AQ1398" s="782">
        <v>12071839</v>
      </c>
      <c r="AR1398" s="782">
        <v>12047514</v>
      </c>
      <c r="AS1398" s="782">
        <v>12047515</v>
      </c>
      <c r="AT1398" s="782">
        <v>12089769</v>
      </c>
      <c r="AU1398" s="781"/>
      <c r="AV1398" s="782">
        <v>12089766</v>
      </c>
      <c r="AW1398" s="782">
        <v>12024404</v>
      </c>
      <c r="AX1398" s="781"/>
      <c r="AY1398" s="782">
        <v>12089770</v>
      </c>
      <c r="AZ1398" s="781"/>
      <c r="BA1398" s="781"/>
    </row>
    <row r="1399" spans="1:53" ht="25" hidden="1" customHeight="1">
      <c r="B1399" s="619">
        <v>45554</v>
      </c>
      <c r="C1399" s="466">
        <v>45602</v>
      </c>
      <c r="D1399" s="185">
        <f t="shared" si="441"/>
        <v>2024</v>
      </c>
      <c r="E1399" s="467" t="str">
        <f>VLOOKUP($B1399,Week!$A$1:$C$1462,2,0)</f>
        <v>Week38</v>
      </c>
      <c r="F1399" s="469" t="str">
        <f t="shared" si="442"/>
        <v>Sep</v>
      </c>
      <c r="G1399" s="468" t="s">
        <v>1464</v>
      </c>
      <c r="H1399" s="468" t="s">
        <v>225</v>
      </c>
      <c r="I1399" s="468" t="s">
        <v>2773</v>
      </c>
      <c r="J1399" s="471" t="s">
        <v>335</v>
      </c>
      <c r="K1399" s="472" t="s">
        <v>1643</v>
      </c>
      <c r="L1399" s="300" t="s">
        <v>2167</v>
      </c>
      <c r="M1399" s="471" t="s">
        <v>336</v>
      </c>
      <c r="N1399" s="468" t="s">
        <v>748</v>
      </c>
      <c r="O1399" s="468" t="s">
        <v>743</v>
      </c>
      <c r="P1399" s="473">
        <v>36</v>
      </c>
      <c r="Q1399" s="473">
        <v>5</v>
      </c>
      <c r="R1399" s="474">
        <v>7.4999999999999997E-3</v>
      </c>
      <c r="S1399" s="468" t="s">
        <v>40</v>
      </c>
      <c r="T1399" s="468" t="s">
        <v>112</v>
      </c>
      <c r="U1399" s="620" t="s">
        <v>721</v>
      </c>
      <c r="V1399" s="475">
        <v>39</v>
      </c>
      <c r="W1399" s="475">
        <f>1319-1280</f>
        <v>39</v>
      </c>
      <c r="X1399" s="476"/>
      <c r="Y1399" s="477">
        <f t="shared" si="451"/>
        <v>0</v>
      </c>
      <c r="Z1399" s="478">
        <f t="shared" si="452"/>
        <v>0</v>
      </c>
      <c r="AA1399" s="478"/>
      <c r="AB1399" s="828"/>
      <c r="AC1399" s="475"/>
      <c r="AD1399" s="515"/>
      <c r="AE1399" s="210"/>
      <c r="AF1399" s="210"/>
      <c r="AG1399" s="211">
        <f t="shared" si="453"/>
        <v>0.14699999999999999</v>
      </c>
      <c r="AH1399" s="157">
        <f t="shared" si="457"/>
        <v>0</v>
      </c>
      <c r="AI1399" s="152">
        <f t="shared" si="454"/>
        <v>1404</v>
      </c>
      <c r="AK1399" s="156" t="s">
        <v>691</v>
      </c>
      <c r="AL1399" s="574" t="s">
        <v>690</v>
      </c>
      <c r="AM1399" s="198">
        <f t="shared" si="458"/>
        <v>0</v>
      </c>
      <c r="AN1399" s="199">
        <f t="shared" si="443"/>
        <v>45554</v>
      </c>
      <c r="AO1399" s="159" t="s">
        <v>692</v>
      </c>
      <c r="AP1399" s="783" t="s">
        <v>639</v>
      </c>
      <c r="AQ1399" s="782">
        <v>12071839</v>
      </c>
      <c r="AR1399" s="782">
        <v>12047514</v>
      </c>
      <c r="AS1399" s="782">
        <v>12047515</v>
      </c>
      <c r="AT1399" s="782">
        <v>12089769</v>
      </c>
      <c r="AU1399" s="781"/>
      <c r="AV1399" s="782">
        <v>12089766</v>
      </c>
      <c r="AW1399" s="782">
        <v>12024404</v>
      </c>
      <c r="AX1399" s="781"/>
      <c r="AY1399" s="782">
        <v>12089770</v>
      </c>
      <c r="AZ1399" s="781"/>
      <c r="BA1399" s="781"/>
    </row>
    <row r="1400" spans="1:53" ht="25" hidden="1" customHeight="1">
      <c r="B1400" s="272">
        <v>45554</v>
      </c>
      <c r="C1400" s="272">
        <v>45575</v>
      </c>
      <c r="D1400" s="185">
        <f t="shared" si="441"/>
        <v>2024</v>
      </c>
      <c r="E1400" s="272" t="str">
        <f>VLOOKUP($B1400,Week!$A$1:$C$1462,2,0)</f>
        <v>Week38</v>
      </c>
      <c r="F1400" s="273" t="str">
        <f t="shared" si="442"/>
        <v>Sep</v>
      </c>
      <c r="G1400" s="272" t="s">
        <v>1674</v>
      </c>
      <c r="H1400" s="274" t="s">
        <v>431</v>
      </c>
      <c r="I1400" s="274" t="s">
        <v>2772</v>
      </c>
      <c r="J1400" s="275" t="s">
        <v>432</v>
      </c>
      <c r="K1400" s="276" t="s">
        <v>1643</v>
      </c>
      <c r="L1400" s="300" t="s">
        <v>2167</v>
      </c>
      <c r="M1400" s="276" t="s">
        <v>1672</v>
      </c>
      <c r="N1400" s="274" t="s">
        <v>1692</v>
      </c>
      <c r="O1400" s="274" t="s">
        <v>1673</v>
      </c>
      <c r="P1400" s="277">
        <v>8</v>
      </c>
      <c r="Q1400" s="277">
        <v>4</v>
      </c>
      <c r="R1400" s="278">
        <v>8.1300000000000001E-3</v>
      </c>
      <c r="S1400" s="274" t="s">
        <v>40</v>
      </c>
      <c r="T1400" s="274" t="s">
        <v>112</v>
      </c>
      <c r="U1400" s="423" t="s">
        <v>721</v>
      </c>
      <c r="V1400" s="279">
        <f>600</f>
        <v>600</v>
      </c>
      <c r="W1400" s="279"/>
      <c r="X1400" s="280">
        <f>4861/8</f>
        <v>607.625</v>
      </c>
      <c r="Y1400" s="281">
        <f t="shared" si="451"/>
        <v>7.625</v>
      </c>
      <c r="Z1400" s="282">
        <f t="shared" si="452"/>
        <v>0</v>
      </c>
      <c r="AA1400" s="282"/>
      <c r="AB1400" s="812"/>
      <c r="AC1400" s="279"/>
      <c r="AD1400" s="209"/>
      <c r="AE1400" s="210"/>
      <c r="AF1400" s="210"/>
      <c r="AG1400" s="211">
        <f t="shared" si="453"/>
        <v>0.129</v>
      </c>
      <c r="AH1400" s="157">
        <f t="shared" si="457"/>
        <v>0</v>
      </c>
      <c r="AI1400" s="152">
        <f t="shared" si="454"/>
        <v>4800</v>
      </c>
      <c r="AK1400" s="156" t="s">
        <v>691</v>
      </c>
      <c r="AL1400" s="212" t="s">
        <v>690</v>
      </c>
      <c r="AM1400" s="198">
        <f t="shared" si="458"/>
        <v>0</v>
      </c>
      <c r="AN1400" s="199">
        <f t="shared" si="443"/>
        <v>45554</v>
      </c>
      <c r="AO1400" s="159" t="s">
        <v>692</v>
      </c>
      <c r="AP1400" s="783" t="s">
        <v>613</v>
      </c>
      <c r="AQ1400" s="782">
        <v>12071839</v>
      </c>
      <c r="AR1400" s="782">
        <v>12047514</v>
      </c>
      <c r="AS1400" s="782">
        <v>12047515</v>
      </c>
      <c r="AT1400" s="782">
        <v>12062626</v>
      </c>
      <c r="AU1400" s="782" t="s">
        <v>563</v>
      </c>
      <c r="AV1400" s="782">
        <v>12062625</v>
      </c>
      <c r="AW1400" s="782"/>
      <c r="AX1400" s="782"/>
      <c r="AY1400" s="782"/>
      <c r="AZ1400" s="782"/>
      <c r="BA1400" s="781"/>
    </row>
    <row r="1401" spans="1:53" ht="25" hidden="1" customHeight="1">
      <c r="B1401" s="213">
        <v>45555</v>
      </c>
      <c r="C1401" s="578">
        <v>45576</v>
      </c>
      <c r="D1401" s="185">
        <f t="shared" si="441"/>
        <v>2024</v>
      </c>
      <c r="E1401" s="215" t="str">
        <f>VLOOKUP($B1401,Week!$A$1:$C$1462,2,0)</f>
        <v>Week38</v>
      </c>
      <c r="F1401" s="216" t="str">
        <f t="shared" si="442"/>
        <v>Sep</v>
      </c>
      <c r="G1401" s="215" t="s">
        <v>1547</v>
      </c>
      <c r="H1401" s="215" t="s">
        <v>104</v>
      </c>
      <c r="I1401" s="215" t="s">
        <v>2772</v>
      </c>
      <c r="J1401" s="209" t="s">
        <v>105</v>
      </c>
      <c r="K1401" s="217" t="s">
        <v>107</v>
      </c>
      <c r="L1401" s="300" t="s">
        <v>2167</v>
      </c>
      <c r="M1401" s="209" t="s">
        <v>108</v>
      </c>
      <c r="N1401" s="215" t="s">
        <v>109</v>
      </c>
      <c r="O1401" s="215" t="s">
        <v>110</v>
      </c>
      <c r="P1401" s="218">
        <v>36</v>
      </c>
      <c r="Q1401" s="218">
        <v>5</v>
      </c>
      <c r="R1401" s="219">
        <v>7.4999999999999997E-3</v>
      </c>
      <c r="S1401" s="215" t="s">
        <v>111</v>
      </c>
      <c r="T1401" s="215" t="s">
        <v>112</v>
      </c>
      <c r="U1401" s="215" t="s">
        <v>113</v>
      </c>
      <c r="V1401" s="220">
        <f>570-62</f>
        <v>508</v>
      </c>
      <c r="W1401" s="220">
        <f>570-62</f>
        <v>508</v>
      </c>
      <c r="X1401" s="221"/>
      <c r="Y1401" s="222">
        <f t="shared" si="451"/>
        <v>0</v>
      </c>
      <c r="Z1401" s="223">
        <f t="shared" si="452"/>
        <v>0</v>
      </c>
      <c r="AA1401" s="223"/>
      <c r="AB1401" s="807"/>
      <c r="AC1401" s="220"/>
      <c r="AD1401" s="209"/>
      <c r="AE1401" s="210"/>
      <c r="AF1401" s="210"/>
      <c r="AG1401" s="211">
        <f t="shared" si="453"/>
        <v>0.308</v>
      </c>
      <c r="AH1401" s="157">
        <f t="shared" si="457"/>
        <v>0</v>
      </c>
      <c r="AI1401" s="152">
        <f t="shared" si="454"/>
        <v>18288</v>
      </c>
      <c r="AK1401" s="156" t="s">
        <v>691</v>
      </c>
      <c r="AL1401" s="574" t="s">
        <v>690</v>
      </c>
      <c r="AM1401" s="198">
        <f t="shared" si="458"/>
        <v>0</v>
      </c>
      <c r="AN1401" s="199">
        <f t="shared" si="443"/>
        <v>45555</v>
      </c>
      <c r="AO1401" s="159" t="s">
        <v>692</v>
      </c>
      <c r="AP1401" s="781"/>
      <c r="AQ1401" s="782">
        <v>12063755</v>
      </c>
      <c r="AR1401" s="782">
        <v>12061353</v>
      </c>
      <c r="AS1401" s="782">
        <v>12061354</v>
      </c>
      <c r="AT1401" s="782">
        <v>12068566</v>
      </c>
      <c r="AU1401" s="781"/>
      <c r="AV1401" s="782">
        <v>12088206</v>
      </c>
      <c r="AW1401" s="782">
        <v>12088207</v>
      </c>
      <c r="AX1401" s="782"/>
      <c r="AY1401" s="782">
        <v>12068565</v>
      </c>
      <c r="AZ1401" s="782"/>
      <c r="BA1401" s="781"/>
    </row>
    <row r="1402" spans="1:53" ht="25" hidden="1" customHeight="1">
      <c r="B1402" s="213">
        <v>45555</v>
      </c>
      <c r="C1402" s="578">
        <v>45576</v>
      </c>
      <c r="D1402" s="185">
        <f t="shared" si="441"/>
        <v>2024</v>
      </c>
      <c r="E1402" s="215" t="str">
        <f>VLOOKUP($B1402,Week!$A$1:$C$1462,2,0)</f>
        <v>Week38</v>
      </c>
      <c r="F1402" s="216" t="str">
        <f t="shared" si="442"/>
        <v>Sep</v>
      </c>
      <c r="G1402" s="215" t="s">
        <v>1594</v>
      </c>
      <c r="H1402" s="215" t="s">
        <v>104</v>
      </c>
      <c r="I1402" s="215" t="s">
        <v>2772</v>
      </c>
      <c r="J1402" s="209" t="s">
        <v>105</v>
      </c>
      <c r="K1402" s="217" t="s">
        <v>107</v>
      </c>
      <c r="L1402" s="300" t="s">
        <v>2167</v>
      </c>
      <c r="M1402" s="209" t="s">
        <v>108</v>
      </c>
      <c r="N1402" s="215" t="s">
        <v>109</v>
      </c>
      <c r="O1402" s="215" t="s">
        <v>110</v>
      </c>
      <c r="P1402" s="218">
        <v>36</v>
      </c>
      <c r="Q1402" s="218">
        <v>5</v>
      </c>
      <c r="R1402" s="219">
        <v>7.4999999999999997E-3</v>
      </c>
      <c r="S1402" s="215" t="s">
        <v>111</v>
      </c>
      <c r="T1402" s="215" t="s">
        <v>112</v>
      </c>
      <c r="U1402" s="215" t="s">
        <v>113</v>
      </c>
      <c r="V1402" s="220">
        <v>792</v>
      </c>
      <c r="W1402" s="220">
        <v>792</v>
      </c>
      <c r="X1402" s="221"/>
      <c r="Y1402" s="222">
        <f t="shared" si="451"/>
        <v>0</v>
      </c>
      <c r="Z1402" s="223">
        <f t="shared" si="452"/>
        <v>0</v>
      </c>
      <c r="AA1402" s="223"/>
      <c r="AB1402" s="807"/>
      <c r="AC1402" s="220"/>
      <c r="AD1402" s="209"/>
      <c r="AE1402" s="210"/>
      <c r="AF1402" s="210"/>
      <c r="AG1402" s="211">
        <f t="shared" si="453"/>
        <v>0.308</v>
      </c>
      <c r="AH1402" s="157">
        <f t="shared" si="457"/>
        <v>0</v>
      </c>
      <c r="AI1402" s="152">
        <f t="shared" si="454"/>
        <v>28512</v>
      </c>
      <c r="AK1402" s="156" t="s">
        <v>691</v>
      </c>
      <c r="AL1402" s="574" t="s">
        <v>690</v>
      </c>
      <c r="AM1402" s="198">
        <f t="shared" si="458"/>
        <v>0</v>
      </c>
      <c r="AN1402" s="199">
        <f t="shared" si="443"/>
        <v>45555</v>
      </c>
      <c r="AO1402" s="159" t="s">
        <v>692</v>
      </c>
      <c r="AP1402" s="781"/>
      <c r="AQ1402" s="782">
        <v>12063755</v>
      </c>
      <c r="AR1402" s="782">
        <v>12061353</v>
      </c>
      <c r="AS1402" s="782">
        <v>12061354</v>
      </c>
      <c r="AT1402" s="782">
        <v>12068566</v>
      </c>
      <c r="AU1402" s="781"/>
      <c r="AV1402" s="782">
        <v>12088206</v>
      </c>
      <c r="AW1402" s="782">
        <v>12088207</v>
      </c>
      <c r="AX1402" s="782"/>
      <c r="AY1402" s="782">
        <v>12068565</v>
      </c>
      <c r="AZ1402" s="782"/>
      <c r="BA1402" s="781"/>
    </row>
    <row r="1403" spans="1:53" ht="25" hidden="1" customHeight="1">
      <c r="B1403" s="213">
        <v>45555</v>
      </c>
      <c r="C1403" s="578">
        <v>45576</v>
      </c>
      <c r="D1403" s="185">
        <f t="shared" si="441"/>
        <v>2024</v>
      </c>
      <c r="E1403" s="215" t="str">
        <f>VLOOKUP($B1403,Week!$A$1:$C$1462,2,0)</f>
        <v>Week38</v>
      </c>
      <c r="F1403" s="216" t="str">
        <f t="shared" si="442"/>
        <v>Sep</v>
      </c>
      <c r="G1403" s="215" t="s">
        <v>1595</v>
      </c>
      <c r="H1403" s="215" t="s">
        <v>104</v>
      </c>
      <c r="I1403" s="215" t="s">
        <v>2772</v>
      </c>
      <c r="J1403" s="209" t="s">
        <v>105</v>
      </c>
      <c r="K1403" s="217" t="s">
        <v>107</v>
      </c>
      <c r="L1403" s="300" t="s">
        <v>2167</v>
      </c>
      <c r="M1403" s="209" t="s">
        <v>108</v>
      </c>
      <c r="N1403" s="215" t="s">
        <v>109</v>
      </c>
      <c r="O1403" s="215" t="s">
        <v>110</v>
      </c>
      <c r="P1403" s="218">
        <v>36</v>
      </c>
      <c r="Q1403" s="218">
        <v>5</v>
      </c>
      <c r="R1403" s="219">
        <v>7.4999999999999997E-3</v>
      </c>
      <c r="S1403" s="215" t="s">
        <v>111</v>
      </c>
      <c r="T1403" s="215" t="s">
        <v>112</v>
      </c>
      <c r="U1403" s="215" t="s">
        <v>113</v>
      </c>
      <c r="V1403" s="220">
        <v>792</v>
      </c>
      <c r="W1403" s="220">
        <v>792</v>
      </c>
      <c r="X1403" s="221"/>
      <c r="Y1403" s="222">
        <f t="shared" si="451"/>
        <v>0</v>
      </c>
      <c r="Z1403" s="223">
        <f t="shared" si="452"/>
        <v>0</v>
      </c>
      <c r="AA1403" s="223"/>
      <c r="AB1403" s="807"/>
      <c r="AC1403" s="220"/>
      <c r="AD1403" s="209"/>
      <c r="AE1403" s="210"/>
      <c r="AF1403" s="210"/>
      <c r="AG1403" s="211">
        <f t="shared" si="453"/>
        <v>0.308</v>
      </c>
      <c r="AH1403" s="157">
        <f t="shared" si="457"/>
        <v>0</v>
      </c>
      <c r="AI1403" s="152">
        <f t="shared" si="454"/>
        <v>28512</v>
      </c>
      <c r="AK1403" s="156" t="s">
        <v>691</v>
      </c>
      <c r="AL1403" s="574" t="s">
        <v>690</v>
      </c>
      <c r="AM1403" s="198">
        <f t="shared" si="458"/>
        <v>0</v>
      </c>
      <c r="AN1403" s="199">
        <f t="shared" si="443"/>
        <v>45555</v>
      </c>
      <c r="AO1403" s="159" t="s">
        <v>692</v>
      </c>
      <c r="AP1403" s="781"/>
      <c r="AQ1403" s="782">
        <v>12063755</v>
      </c>
      <c r="AR1403" s="782">
        <v>12061353</v>
      </c>
      <c r="AS1403" s="782">
        <v>12061354</v>
      </c>
      <c r="AT1403" s="782">
        <v>12068566</v>
      </c>
      <c r="AU1403" s="781"/>
      <c r="AV1403" s="782">
        <v>12088206</v>
      </c>
      <c r="AW1403" s="782">
        <v>12088207</v>
      </c>
      <c r="AX1403" s="782"/>
      <c r="AY1403" s="782">
        <v>12068565</v>
      </c>
      <c r="AZ1403" s="782"/>
      <c r="BA1403" s="781"/>
    </row>
    <row r="1404" spans="1:53" ht="25" hidden="1" customHeight="1">
      <c r="B1404" s="213">
        <v>45555</v>
      </c>
      <c r="C1404" s="578">
        <v>45576</v>
      </c>
      <c r="D1404" s="185">
        <f t="shared" si="441"/>
        <v>2024</v>
      </c>
      <c r="E1404" s="215" t="str">
        <f>VLOOKUP($B1404,Week!$A$1:$C$1462,2,0)</f>
        <v>Week38</v>
      </c>
      <c r="F1404" s="216" t="str">
        <f t="shared" si="442"/>
        <v>Sep</v>
      </c>
      <c r="G1404" s="215" t="s">
        <v>1596</v>
      </c>
      <c r="H1404" s="215" t="s">
        <v>104</v>
      </c>
      <c r="I1404" s="215" t="s">
        <v>2772</v>
      </c>
      <c r="J1404" s="209" t="s">
        <v>105</v>
      </c>
      <c r="K1404" s="217" t="s">
        <v>107</v>
      </c>
      <c r="L1404" s="300" t="s">
        <v>2167</v>
      </c>
      <c r="M1404" s="209" t="s">
        <v>108</v>
      </c>
      <c r="N1404" s="215" t="s">
        <v>109</v>
      </c>
      <c r="O1404" s="215" t="s">
        <v>110</v>
      </c>
      <c r="P1404" s="218">
        <v>36</v>
      </c>
      <c r="Q1404" s="218">
        <v>5</v>
      </c>
      <c r="R1404" s="219">
        <v>7.4999999999999997E-3</v>
      </c>
      <c r="S1404" s="215" t="s">
        <v>111</v>
      </c>
      <c r="T1404" s="215" t="s">
        <v>112</v>
      </c>
      <c r="U1404" s="215" t="s">
        <v>113</v>
      </c>
      <c r="V1404" s="220">
        <v>792</v>
      </c>
      <c r="W1404" s="220">
        <v>792</v>
      </c>
      <c r="X1404" s="221"/>
      <c r="Y1404" s="222">
        <f t="shared" si="451"/>
        <v>0</v>
      </c>
      <c r="Z1404" s="223">
        <f t="shared" si="452"/>
        <v>0</v>
      </c>
      <c r="AA1404" s="223"/>
      <c r="AB1404" s="807"/>
      <c r="AC1404" s="220"/>
      <c r="AD1404" s="209"/>
      <c r="AE1404" s="210"/>
      <c r="AF1404" s="210"/>
      <c r="AG1404" s="211">
        <f t="shared" si="453"/>
        <v>0.308</v>
      </c>
      <c r="AH1404" s="157">
        <f t="shared" si="457"/>
        <v>0</v>
      </c>
      <c r="AI1404" s="152">
        <f t="shared" si="454"/>
        <v>28512</v>
      </c>
      <c r="AK1404" s="156" t="s">
        <v>691</v>
      </c>
      <c r="AL1404" s="574" t="s">
        <v>690</v>
      </c>
      <c r="AM1404" s="198">
        <f t="shared" si="458"/>
        <v>0</v>
      </c>
      <c r="AN1404" s="199">
        <f t="shared" si="443"/>
        <v>45555</v>
      </c>
      <c r="AO1404" s="159" t="s">
        <v>692</v>
      </c>
      <c r="AP1404" s="781"/>
      <c r="AQ1404" s="782">
        <v>12063755</v>
      </c>
      <c r="AR1404" s="782">
        <v>12061353</v>
      </c>
      <c r="AS1404" s="782">
        <v>12061354</v>
      </c>
      <c r="AT1404" s="782">
        <v>12068566</v>
      </c>
      <c r="AU1404" s="781"/>
      <c r="AV1404" s="782">
        <v>12088206</v>
      </c>
      <c r="AW1404" s="782">
        <v>12088207</v>
      </c>
      <c r="AX1404" s="782"/>
      <c r="AY1404" s="782">
        <v>12068565</v>
      </c>
      <c r="AZ1404" s="782"/>
      <c r="BA1404" s="781"/>
    </row>
    <row r="1405" spans="1:53" ht="25" hidden="1" customHeight="1">
      <c r="B1405" s="213">
        <v>45555</v>
      </c>
      <c r="C1405" s="578">
        <v>45576</v>
      </c>
      <c r="D1405" s="185">
        <f t="shared" si="441"/>
        <v>2024</v>
      </c>
      <c r="E1405" s="215" t="str">
        <f>VLOOKUP($B1405,Week!$A$1:$C$1462,2,0)</f>
        <v>Week38</v>
      </c>
      <c r="F1405" s="216" t="str">
        <f t="shared" si="442"/>
        <v>Sep</v>
      </c>
      <c r="G1405" s="215" t="s">
        <v>1597</v>
      </c>
      <c r="H1405" s="215" t="s">
        <v>104</v>
      </c>
      <c r="I1405" s="215" t="s">
        <v>2772</v>
      </c>
      <c r="J1405" s="209" t="s">
        <v>105</v>
      </c>
      <c r="K1405" s="217" t="s">
        <v>107</v>
      </c>
      <c r="L1405" s="300" t="s">
        <v>2167</v>
      </c>
      <c r="M1405" s="209" t="s">
        <v>108</v>
      </c>
      <c r="N1405" s="215" t="s">
        <v>109</v>
      </c>
      <c r="O1405" s="215" t="s">
        <v>110</v>
      </c>
      <c r="P1405" s="218">
        <v>36</v>
      </c>
      <c r="Q1405" s="218">
        <v>5</v>
      </c>
      <c r="R1405" s="219">
        <v>7.4999999999999997E-3</v>
      </c>
      <c r="S1405" s="215" t="s">
        <v>111</v>
      </c>
      <c r="T1405" s="215" t="s">
        <v>112</v>
      </c>
      <c r="U1405" s="215" t="s">
        <v>113</v>
      </c>
      <c r="V1405" s="220">
        <f>3045-508-792-792-792</f>
        <v>161</v>
      </c>
      <c r="W1405" s="220">
        <f>3045-508-792-792-792</f>
        <v>161</v>
      </c>
      <c r="X1405" s="221"/>
      <c r="Y1405" s="222">
        <f t="shared" si="451"/>
        <v>0</v>
      </c>
      <c r="Z1405" s="223">
        <f t="shared" si="452"/>
        <v>0</v>
      </c>
      <c r="AA1405" s="223"/>
      <c r="AB1405" s="807"/>
      <c r="AC1405" s="220"/>
      <c r="AD1405" s="209"/>
      <c r="AE1405" s="210"/>
      <c r="AF1405" s="210"/>
      <c r="AG1405" s="211">
        <f t="shared" si="453"/>
        <v>0.308</v>
      </c>
      <c r="AH1405" s="157">
        <f t="shared" si="457"/>
        <v>0</v>
      </c>
      <c r="AI1405" s="152">
        <f t="shared" si="454"/>
        <v>5796</v>
      </c>
      <c r="AK1405" s="156" t="s">
        <v>691</v>
      </c>
      <c r="AL1405" s="574" t="s">
        <v>690</v>
      </c>
      <c r="AM1405" s="198">
        <f t="shared" si="458"/>
        <v>0</v>
      </c>
      <c r="AN1405" s="199">
        <f t="shared" si="443"/>
        <v>45555</v>
      </c>
      <c r="AO1405" s="159" t="s">
        <v>692</v>
      </c>
      <c r="AP1405" s="781"/>
      <c r="AQ1405" s="782">
        <v>12063755</v>
      </c>
      <c r="AR1405" s="782">
        <v>12061353</v>
      </c>
      <c r="AS1405" s="782">
        <v>12061354</v>
      </c>
      <c r="AT1405" s="782">
        <v>12068566</v>
      </c>
      <c r="AU1405" s="781"/>
      <c r="AV1405" s="782">
        <v>12088206</v>
      </c>
      <c r="AW1405" s="782">
        <v>12088207</v>
      </c>
      <c r="AX1405" s="782"/>
      <c r="AY1405" s="782">
        <v>12068565</v>
      </c>
      <c r="AZ1405" s="782"/>
      <c r="BA1405" s="781"/>
    </row>
    <row r="1406" spans="1:53" ht="25" hidden="1" customHeight="1">
      <c r="B1406" s="332">
        <v>45555</v>
      </c>
      <c r="C1406" s="333">
        <v>45573</v>
      </c>
      <c r="D1406" s="185">
        <f t="shared" si="441"/>
        <v>2024</v>
      </c>
      <c r="E1406" s="333" t="str">
        <f>VLOOKUP($B1406,Week!$A$1:$C$1462,2,0)</f>
        <v>Week38</v>
      </c>
      <c r="F1406" s="334" t="str">
        <f t="shared" si="442"/>
        <v>Sep</v>
      </c>
      <c r="G1406" s="335" t="s">
        <v>1726</v>
      </c>
      <c r="H1406" s="335" t="s">
        <v>600</v>
      </c>
      <c r="I1406" s="335" t="s">
        <v>2772</v>
      </c>
      <c r="J1406" s="336" t="s">
        <v>708</v>
      </c>
      <c r="K1406" s="337" t="s">
        <v>1646</v>
      </c>
      <c r="L1406" s="300" t="s">
        <v>2167</v>
      </c>
      <c r="M1406" s="336" t="s">
        <v>601</v>
      </c>
      <c r="N1406" s="335" t="s">
        <v>604</v>
      </c>
      <c r="O1406" s="335" t="s">
        <v>543</v>
      </c>
      <c r="P1406" s="338">
        <v>8</v>
      </c>
      <c r="Q1406" s="338">
        <v>3</v>
      </c>
      <c r="R1406" s="339">
        <v>7.4999999999999997E-3</v>
      </c>
      <c r="S1406" s="335" t="s">
        <v>40</v>
      </c>
      <c r="T1406" s="335" t="s">
        <v>112</v>
      </c>
      <c r="U1406" s="340" t="s">
        <v>722</v>
      </c>
      <c r="V1406" s="341">
        <v>3500</v>
      </c>
      <c r="W1406" s="341"/>
      <c r="X1406" s="342">
        <v>3500</v>
      </c>
      <c r="Y1406" s="343">
        <f t="shared" si="451"/>
        <v>0</v>
      </c>
      <c r="Z1406" s="344">
        <f t="shared" si="452"/>
        <v>0</v>
      </c>
      <c r="AA1406" s="344"/>
      <c r="AB1406" s="817"/>
      <c r="AC1406" s="341"/>
      <c r="AD1406" s="307" t="s">
        <v>673</v>
      </c>
      <c r="AE1406" s="210"/>
      <c r="AF1406" s="210"/>
      <c r="AG1406" s="211">
        <f t="shared" si="453"/>
        <v>0.309</v>
      </c>
      <c r="AH1406" s="157">
        <f t="shared" si="457"/>
        <v>0</v>
      </c>
      <c r="AI1406" s="152">
        <f t="shared" si="454"/>
        <v>28000</v>
      </c>
      <c r="AK1406" s="156" t="s">
        <v>691</v>
      </c>
      <c r="AL1406" s="574" t="s">
        <v>690</v>
      </c>
      <c r="AM1406" s="198">
        <f t="shared" si="458"/>
        <v>0</v>
      </c>
      <c r="AN1406" s="199">
        <f t="shared" si="443"/>
        <v>45555</v>
      </c>
      <c r="AO1406" s="159" t="s">
        <v>692</v>
      </c>
      <c r="AP1406" s="781"/>
      <c r="AQ1406" s="782">
        <v>12063755</v>
      </c>
      <c r="AR1406" s="782">
        <v>12061353</v>
      </c>
      <c r="AS1406" s="782">
        <v>12061354</v>
      </c>
      <c r="AT1406" s="782">
        <v>12084023</v>
      </c>
      <c r="AU1406" s="781"/>
      <c r="AV1406" s="782">
        <v>12084228</v>
      </c>
      <c r="AW1406" s="782"/>
      <c r="AX1406" s="782"/>
      <c r="AY1406" s="782"/>
      <c r="AZ1406" s="782"/>
      <c r="BA1406" s="781"/>
    </row>
    <row r="1407" spans="1:53" ht="24.65" hidden="1" customHeight="1">
      <c r="A1407" s="529" t="s">
        <v>657</v>
      </c>
      <c r="B1407" s="757">
        <v>45556</v>
      </c>
      <c r="C1407" s="758">
        <v>45566</v>
      </c>
      <c r="D1407" s="185">
        <f t="shared" si="441"/>
        <v>2024</v>
      </c>
      <c r="E1407" s="758" t="str">
        <f>VLOOKUP($B1407,Week!$A$1:$C$1462,2,0)</f>
        <v>Week38</v>
      </c>
      <c r="F1407" s="759" t="str">
        <f t="shared" si="442"/>
        <v>Sep</v>
      </c>
      <c r="G1407" s="760" t="s">
        <v>1670</v>
      </c>
      <c r="H1407" s="761" t="s">
        <v>424</v>
      </c>
      <c r="I1407" s="761" t="s">
        <v>2772</v>
      </c>
      <c r="J1407" s="762" t="s">
        <v>425</v>
      </c>
      <c r="K1407" s="763" t="s">
        <v>593</v>
      </c>
      <c r="L1407" s="300" t="s">
        <v>2167</v>
      </c>
      <c r="M1407" s="762" t="s">
        <v>594</v>
      </c>
      <c r="N1407" s="761" t="s">
        <v>1671</v>
      </c>
      <c r="O1407" s="761" t="s">
        <v>415</v>
      </c>
      <c r="P1407" s="764">
        <v>24</v>
      </c>
      <c r="Q1407" s="764">
        <v>5</v>
      </c>
      <c r="R1407" s="765">
        <v>6.0000000000000001E-3</v>
      </c>
      <c r="S1407" s="761" t="s">
        <v>55</v>
      </c>
      <c r="T1407" s="761" t="s">
        <v>112</v>
      </c>
      <c r="U1407" s="761" t="s">
        <v>57</v>
      </c>
      <c r="V1407" s="766">
        <v>4</v>
      </c>
      <c r="W1407" s="766"/>
      <c r="X1407" s="767">
        <v>4</v>
      </c>
      <c r="Y1407" s="768">
        <f t="shared" si="451"/>
        <v>0</v>
      </c>
      <c r="Z1407" s="769">
        <f t="shared" si="452"/>
        <v>0</v>
      </c>
      <c r="AA1407" s="769"/>
      <c r="AB1407" s="837"/>
      <c r="AC1407" s="766"/>
      <c r="AD1407" s="486"/>
      <c r="AE1407" s="210"/>
      <c r="AF1407" s="210"/>
      <c r="AG1407" s="211">
        <f t="shared" si="453"/>
        <v>0.25800000000000001</v>
      </c>
      <c r="AH1407" s="157">
        <f t="shared" si="457"/>
        <v>0</v>
      </c>
      <c r="AI1407" s="152">
        <f t="shared" si="454"/>
        <v>96</v>
      </c>
      <c r="AK1407" s="156" t="s">
        <v>691</v>
      </c>
      <c r="AL1407" s="212" t="s">
        <v>690</v>
      </c>
      <c r="AM1407" s="198">
        <f t="shared" si="458"/>
        <v>0</v>
      </c>
      <c r="AN1407" s="199">
        <f t="shared" si="443"/>
        <v>45556</v>
      </c>
      <c r="AO1407" s="159" t="s">
        <v>692</v>
      </c>
      <c r="AP1407" s="783"/>
      <c r="AQ1407" s="782">
        <v>12071839</v>
      </c>
      <c r="AR1407" s="782">
        <v>12042650</v>
      </c>
      <c r="AS1407" s="782">
        <v>12042649</v>
      </c>
      <c r="AT1407" s="782">
        <v>12085742</v>
      </c>
      <c r="AU1407" s="781"/>
      <c r="AV1407" s="782">
        <v>12085744</v>
      </c>
      <c r="AW1407" s="782">
        <v>12049607</v>
      </c>
      <c r="AX1407" s="782"/>
      <c r="AY1407" s="782">
        <v>12085747</v>
      </c>
      <c r="AZ1407" s="782"/>
      <c r="BA1407" s="781"/>
    </row>
    <row r="1408" spans="1:53" ht="24.65" hidden="1" customHeight="1">
      <c r="B1408" s="757">
        <v>45556</v>
      </c>
      <c r="C1408" s="758">
        <v>45566</v>
      </c>
      <c r="D1408" s="185">
        <f t="shared" si="441"/>
        <v>2024</v>
      </c>
      <c r="E1408" s="758" t="str">
        <f>VLOOKUP($B1408,Week!$A$1:$C$1462,2,0)</f>
        <v>Week38</v>
      </c>
      <c r="F1408" s="759" t="str">
        <f t="shared" si="442"/>
        <v>Sep</v>
      </c>
      <c r="G1408" s="760" t="s">
        <v>1670</v>
      </c>
      <c r="H1408" s="761" t="s">
        <v>424</v>
      </c>
      <c r="I1408" s="761" t="s">
        <v>2772</v>
      </c>
      <c r="J1408" s="762" t="s">
        <v>425</v>
      </c>
      <c r="K1408" s="763" t="s">
        <v>593</v>
      </c>
      <c r="L1408" s="300" t="s">
        <v>2167</v>
      </c>
      <c r="M1408" s="762" t="s">
        <v>594</v>
      </c>
      <c r="N1408" s="761" t="s">
        <v>1671</v>
      </c>
      <c r="O1408" s="761" t="s">
        <v>415</v>
      </c>
      <c r="P1408" s="764">
        <v>24</v>
      </c>
      <c r="Q1408" s="764">
        <v>5</v>
      </c>
      <c r="R1408" s="765">
        <v>6.0000000000000001E-3</v>
      </c>
      <c r="S1408" s="761" t="s">
        <v>55</v>
      </c>
      <c r="T1408" s="761" t="s">
        <v>112</v>
      </c>
      <c r="U1408" s="761" t="s">
        <v>57</v>
      </c>
      <c r="V1408" s="766">
        <f>1176</f>
        <v>1176</v>
      </c>
      <c r="W1408" s="766">
        <f>1174</f>
        <v>1174</v>
      </c>
      <c r="X1408" s="767">
        <f>825/24</f>
        <v>34.375</v>
      </c>
      <c r="Y1408" s="768">
        <f t="shared" si="451"/>
        <v>32.375</v>
      </c>
      <c r="Z1408" s="769">
        <f t="shared" si="452"/>
        <v>0</v>
      </c>
      <c r="AA1408" s="769"/>
      <c r="AB1408" s="837"/>
      <c r="AC1408" s="766"/>
      <c r="AD1408" s="486"/>
      <c r="AE1408" s="210"/>
      <c r="AF1408" s="210"/>
      <c r="AG1408" s="211">
        <f t="shared" si="453"/>
        <v>0.25800000000000001</v>
      </c>
      <c r="AH1408" s="157">
        <f t="shared" si="457"/>
        <v>0</v>
      </c>
      <c r="AI1408" s="152">
        <f t="shared" si="454"/>
        <v>28224</v>
      </c>
      <c r="AK1408" s="156" t="s">
        <v>691</v>
      </c>
      <c r="AL1408" s="212" t="s">
        <v>690</v>
      </c>
      <c r="AM1408" s="198">
        <f t="shared" si="458"/>
        <v>0</v>
      </c>
      <c r="AN1408" s="199">
        <f t="shared" si="443"/>
        <v>45556</v>
      </c>
      <c r="AO1408" s="159" t="s">
        <v>692</v>
      </c>
      <c r="AP1408" s="783"/>
      <c r="AQ1408" s="782">
        <v>12071839</v>
      </c>
      <c r="AR1408" s="782">
        <v>12042650</v>
      </c>
      <c r="AS1408" s="782">
        <v>12042649</v>
      </c>
      <c r="AT1408" s="782">
        <v>12085742</v>
      </c>
      <c r="AU1408" s="781"/>
      <c r="AV1408" s="782">
        <v>12085744</v>
      </c>
      <c r="AW1408" s="782">
        <v>12049607</v>
      </c>
      <c r="AX1408" s="782"/>
      <c r="AY1408" s="782">
        <v>12085747</v>
      </c>
      <c r="AZ1408" s="782"/>
      <c r="BA1408" s="781"/>
    </row>
    <row r="1409" spans="1:53" ht="24.65" hidden="1" customHeight="1">
      <c r="B1409" s="466">
        <v>45556</v>
      </c>
      <c r="C1409" s="467">
        <v>45568</v>
      </c>
      <c r="D1409" s="185">
        <f t="shared" si="441"/>
        <v>2024</v>
      </c>
      <c r="E1409" s="467" t="str">
        <f>VLOOKUP($B1409,Week!$A$1:$C$1462,2,0)</f>
        <v>Week38</v>
      </c>
      <c r="F1409" s="469" t="str">
        <f t="shared" si="442"/>
        <v>Sep</v>
      </c>
      <c r="G1409" s="468" t="s">
        <v>1582</v>
      </c>
      <c r="H1409" s="468" t="s">
        <v>675</v>
      </c>
      <c r="I1409" s="468" t="s">
        <v>2772</v>
      </c>
      <c r="J1409" s="471" t="s">
        <v>709</v>
      </c>
      <c r="K1409" s="472" t="s">
        <v>107</v>
      </c>
      <c r="L1409" s="300" t="s">
        <v>2167</v>
      </c>
      <c r="M1409" s="471" t="s">
        <v>313</v>
      </c>
      <c r="N1409" s="617" t="s">
        <v>696</v>
      </c>
      <c r="O1409" s="468" t="s">
        <v>110</v>
      </c>
      <c r="P1409" s="473">
        <v>36</v>
      </c>
      <c r="Q1409" s="473">
        <v>5</v>
      </c>
      <c r="R1409" s="474">
        <v>7.4999999999999997E-3</v>
      </c>
      <c r="S1409" s="468" t="s">
        <v>111</v>
      </c>
      <c r="T1409" s="468" t="s">
        <v>112</v>
      </c>
      <c r="U1409" s="468" t="s">
        <v>57</v>
      </c>
      <c r="V1409" s="475">
        <v>320</v>
      </c>
      <c r="W1409" s="475">
        <f>5+315</f>
        <v>320</v>
      </c>
      <c r="X1409" s="476"/>
      <c r="Y1409" s="477">
        <f t="shared" si="451"/>
        <v>0</v>
      </c>
      <c r="Z1409" s="478">
        <f t="shared" si="452"/>
        <v>0</v>
      </c>
      <c r="AA1409" s="478"/>
      <c r="AB1409" s="828"/>
      <c r="AC1409" s="475"/>
      <c r="AD1409" s="515"/>
      <c r="AE1409" s="210"/>
      <c r="AF1409" s="210"/>
      <c r="AG1409" s="211">
        <f t="shared" si="453"/>
        <v>0.308</v>
      </c>
      <c r="AH1409" s="157">
        <f t="shared" si="457"/>
        <v>0</v>
      </c>
      <c r="AI1409" s="152">
        <f t="shared" si="454"/>
        <v>11520</v>
      </c>
      <c r="AK1409" s="156" t="s">
        <v>691</v>
      </c>
      <c r="AL1409" s="212" t="s">
        <v>690</v>
      </c>
      <c r="AM1409" s="198">
        <f t="shared" si="458"/>
        <v>0</v>
      </c>
      <c r="AN1409" s="199">
        <f t="shared" si="443"/>
        <v>45556</v>
      </c>
      <c r="AO1409" s="159" t="s">
        <v>692</v>
      </c>
      <c r="AP1409" s="783" t="s">
        <v>644</v>
      </c>
      <c r="AQ1409" s="782">
        <v>12063755</v>
      </c>
      <c r="AR1409" s="782">
        <v>12061353</v>
      </c>
      <c r="AS1409" s="782">
        <v>12061354</v>
      </c>
      <c r="AT1409" s="782">
        <v>12089990</v>
      </c>
      <c r="AU1409" s="781"/>
      <c r="AV1409" s="782">
        <v>12089997</v>
      </c>
      <c r="AW1409" s="782">
        <v>12088207</v>
      </c>
      <c r="AX1409" s="782"/>
      <c r="AY1409" s="782">
        <v>12089998</v>
      </c>
      <c r="AZ1409" s="782"/>
      <c r="BA1409" s="781"/>
    </row>
    <row r="1410" spans="1:53" ht="24.65" hidden="1" customHeight="1">
      <c r="B1410" s="466">
        <v>45556</v>
      </c>
      <c r="C1410" s="467">
        <v>45617</v>
      </c>
      <c r="D1410" s="185">
        <f t="shared" si="441"/>
        <v>2024</v>
      </c>
      <c r="E1410" s="467" t="str">
        <f>VLOOKUP($B1410,Week!$A$1:$C$1462,2,0)</f>
        <v>Week38</v>
      </c>
      <c r="F1410" s="469" t="str">
        <f t="shared" si="442"/>
        <v>Sep</v>
      </c>
      <c r="G1410" s="468" t="s">
        <v>1748</v>
      </c>
      <c r="H1410" s="468" t="s">
        <v>675</v>
      </c>
      <c r="I1410" s="468" t="s">
        <v>2772</v>
      </c>
      <c r="J1410" s="471" t="s">
        <v>709</v>
      </c>
      <c r="K1410" s="472" t="s">
        <v>107</v>
      </c>
      <c r="L1410" s="300" t="s">
        <v>2167</v>
      </c>
      <c r="M1410" s="471" t="s">
        <v>313</v>
      </c>
      <c r="N1410" s="617" t="s">
        <v>696</v>
      </c>
      <c r="O1410" s="468" t="s">
        <v>110</v>
      </c>
      <c r="P1410" s="473">
        <v>36</v>
      </c>
      <c r="Q1410" s="473">
        <v>5</v>
      </c>
      <c r="R1410" s="474">
        <v>7.4999999999999997E-3</v>
      </c>
      <c r="S1410" s="468" t="s">
        <v>111</v>
      </c>
      <c r="T1410" s="468" t="s">
        <v>112</v>
      </c>
      <c r="U1410" s="468" t="s">
        <v>57</v>
      </c>
      <c r="V1410" s="475">
        <v>320</v>
      </c>
      <c r="W1410" s="475">
        <f>606-315</f>
        <v>291</v>
      </c>
      <c r="X1410" s="476">
        <f>(1044)/36</f>
        <v>29</v>
      </c>
      <c r="Y1410" s="477">
        <f t="shared" si="451"/>
        <v>0</v>
      </c>
      <c r="Z1410" s="478">
        <f t="shared" si="452"/>
        <v>0</v>
      </c>
      <c r="AA1410" s="478"/>
      <c r="AB1410" s="828"/>
      <c r="AC1410" s="475"/>
      <c r="AD1410" s="443" t="s">
        <v>1815</v>
      </c>
      <c r="AE1410" s="210"/>
      <c r="AF1410" s="210"/>
      <c r="AG1410" s="211">
        <f t="shared" si="453"/>
        <v>0.308</v>
      </c>
      <c r="AH1410" s="157">
        <f t="shared" si="457"/>
        <v>0</v>
      </c>
      <c r="AI1410" s="152">
        <f t="shared" si="454"/>
        <v>11520</v>
      </c>
      <c r="AK1410" s="156" t="s">
        <v>691</v>
      </c>
      <c r="AL1410" s="212" t="s">
        <v>690</v>
      </c>
      <c r="AM1410" s="198">
        <f t="shared" si="458"/>
        <v>0</v>
      </c>
      <c r="AN1410" s="199">
        <f t="shared" si="443"/>
        <v>45556</v>
      </c>
      <c r="AO1410" s="159" t="s">
        <v>692</v>
      </c>
      <c r="AP1410" s="783" t="s">
        <v>644</v>
      </c>
      <c r="AQ1410" s="782">
        <v>12063755</v>
      </c>
      <c r="AR1410" s="782">
        <v>12061353</v>
      </c>
      <c r="AS1410" s="782">
        <v>12061354</v>
      </c>
      <c r="AT1410" s="782">
        <v>12089990</v>
      </c>
      <c r="AU1410" s="781"/>
      <c r="AV1410" s="782">
        <v>12089997</v>
      </c>
      <c r="AW1410" s="782">
        <v>12088207</v>
      </c>
      <c r="AX1410" s="782"/>
      <c r="AY1410" s="782">
        <v>12089998</v>
      </c>
      <c r="AZ1410" s="782"/>
      <c r="BA1410" s="781"/>
    </row>
    <row r="1411" spans="1:53" ht="25" hidden="1" customHeight="1">
      <c r="B1411" s="498">
        <v>45556</v>
      </c>
      <c r="C1411" s="499">
        <v>45575</v>
      </c>
      <c r="D1411" s="185">
        <f t="shared" si="441"/>
        <v>2024</v>
      </c>
      <c r="E1411" s="499" t="str">
        <f>VLOOKUP($B1411,Week!$A$1:$C$1462,2,0)</f>
        <v>Week38</v>
      </c>
      <c r="F1411" s="500" t="str">
        <f t="shared" si="442"/>
        <v>Sep</v>
      </c>
      <c r="G1411" s="501" t="s">
        <v>1709</v>
      </c>
      <c r="H1411" s="501" t="s">
        <v>311</v>
      </c>
      <c r="I1411" s="501" t="s">
        <v>2772</v>
      </c>
      <c r="J1411" s="502" t="s">
        <v>738</v>
      </c>
      <c r="K1411" s="503" t="s">
        <v>1646</v>
      </c>
      <c r="L1411" s="300" t="s">
        <v>2167</v>
      </c>
      <c r="M1411" s="502" t="s">
        <v>654</v>
      </c>
      <c r="N1411" s="501" t="s">
        <v>726</v>
      </c>
      <c r="O1411" s="501" t="s">
        <v>655</v>
      </c>
      <c r="P1411" s="504">
        <v>24</v>
      </c>
      <c r="Q1411" s="504">
        <v>5</v>
      </c>
      <c r="R1411" s="505">
        <v>7.4999999999999997E-3</v>
      </c>
      <c r="S1411" s="501" t="s">
        <v>40</v>
      </c>
      <c r="T1411" s="501" t="s">
        <v>112</v>
      </c>
      <c r="U1411" s="506" t="s">
        <v>721</v>
      </c>
      <c r="V1411" s="507">
        <v>924</v>
      </c>
      <c r="W1411" s="507">
        <f>24+900</f>
        <v>924</v>
      </c>
      <c r="X1411" s="508"/>
      <c r="Y1411" s="509">
        <f t="shared" si="451"/>
        <v>0</v>
      </c>
      <c r="Z1411" s="510">
        <f t="shared" si="452"/>
        <v>0</v>
      </c>
      <c r="AA1411" s="510"/>
      <c r="AB1411" s="830"/>
      <c r="AC1411" s="507"/>
      <c r="AD1411" s="209"/>
      <c r="AE1411" s="210"/>
      <c r="AF1411" s="210"/>
      <c r="AG1411" s="211">
        <f t="shared" si="453"/>
        <v>0.307</v>
      </c>
      <c r="AH1411" s="157">
        <f t="shared" si="457"/>
        <v>0</v>
      </c>
      <c r="AI1411" s="152">
        <f t="shared" si="454"/>
        <v>22176</v>
      </c>
      <c r="AK1411" s="156" t="s">
        <v>691</v>
      </c>
      <c r="AL1411" s="212" t="s">
        <v>690</v>
      </c>
      <c r="AM1411" s="198">
        <f t="shared" si="458"/>
        <v>0</v>
      </c>
      <c r="AN1411" s="199">
        <f t="shared" si="443"/>
        <v>45556</v>
      </c>
      <c r="AO1411" s="159" t="s">
        <v>692</v>
      </c>
      <c r="AP1411" s="781" t="s">
        <v>642</v>
      </c>
      <c r="AQ1411" s="782">
        <v>12063755</v>
      </c>
      <c r="AR1411" s="782">
        <v>12061353</v>
      </c>
      <c r="AS1411" s="782">
        <v>12061354</v>
      </c>
      <c r="AT1411" s="782">
        <v>12089274</v>
      </c>
      <c r="AU1411" s="781"/>
      <c r="AV1411" s="782">
        <v>12089275</v>
      </c>
      <c r="AW1411" s="782">
        <v>12068154</v>
      </c>
      <c r="AX1411" s="782"/>
      <c r="AY1411" s="782">
        <v>12089276</v>
      </c>
      <c r="AZ1411" s="782"/>
      <c r="BA1411" s="781"/>
    </row>
    <row r="1412" spans="1:53" ht="25" hidden="1" customHeight="1">
      <c r="B1412" s="425">
        <v>45556</v>
      </c>
      <c r="C1412" s="425">
        <v>45566</v>
      </c>
      <c r="D1412" s="185">
        <f t="shared" si="441"/>
        <v>2024</v>
      </c>
      <c r="E1412" s="425" t="str">
        <f>VLOOKUP($B1412,Week!$A$1:$C$1462,2,0)</f>
        <v>Week38</v>
      </c>
      <c r="F1412" s="426" t="str">
        <f t="shared" si="442"/>
        <v>Sep</v>
      </c>
      <c r="G1412" s="427" t="s">
        <v>1725</v>
      </c>
      <c r="H1412" s="427" t="s">
        <v>600</v>
      </c>
      <c r="I1412" s="427" t="s">
        <v>2772</v>
      </c>
      <c r="J1412" s="428" t="s">
        <v>708</v>
      </c>
      <c r="K1412" s="429" t="s">
        <v>1650</v>
      </c>
      <c r="L1412" s="300" t="s">
        <v>2167</v>
      </c>
      <c r="M1412" s="428" t="s">
        <v>603</v>
      </c>
      <c r="N1412" s="427" t="s">
        <v>1256</v>
      </c>
      <c r="O1412" s="427" t="s">
        <v>659</v>
      </c>
      <c r="P1412" s="430">
        <v>12</v>
      </c>
      <c r="Q1412" s="430">
        <v>3</v>
      </c>
      <c r="R1412" s="431">
        <v>6.0000000000000001E-3</v>
      </c>
      <c r="S1412" s="427" t="s">
        <v>55</v>
      </c>
      <c r="T1412" s="427" t="s">
        <v>112</v>
      </c>
      <c r="U1412" s="632" t="s">
        <v>721</v>
      </c>
      <c r="V1412" s="432">
        <v>2520</v>
      </c>
      <c r="W1412" s="432">
        <f>16+2504</f>
        <v>2520</v>
      </c>
      <c r="X1412" s="433"/>
      <c r="Y1412" s="434">
        <f t="shared" si="451"/>
        <v>0</v>
      </c>
      <c r="Z1412" s="435">
        <f t="shared" si="452"/>
        <v>0</v>
      </c>
      <c r="AA1412" s="435"/>
      <c r="AB1412" s="826"/>
      <c r="AC1412" s="432"/>
      <c r="AD1412" s="307" t="s">
        <v>1509</v>
      </c>
      <c r="AE1412" s="210"/>
      <c r="AF1412" s="210"/>
      <c r="AG1412" s="211">
        <f t="shared" si="453"/>
        <v>0.30199999999999999</v>
      </c>
      <c r="AH1412" s="157">
        <v>0.26621999999999996</v>
      </c>
      <c r="AI1412" s="152">
        <f t="shared" si="454"/>
        <v>30240</v>
      </c>
      <c r="AK1412" s="156" t="s">
        <v>691</v>
      </c>
      <c r="AL1412" s="212" t="s">
        <v>690</v>
      </c>
      <c r="AM1412" s="198">
        <f t="shared" si="458"/>
        <v>0</v>
      </c>
      <c r="AN1412" s="199">
        <f t="shared" si="443"/>
        <v>45556</v>
      </c>
      <c r="AO1412" s="159" t="s">
        <v>692</v>
      </c>
      <c r="AP1412" s="781" t="s">
        <v>642</v>
      </c>
      <c r="AQ1412" s="782">
        <v>12063755</v>
      </c>
      <c r="AR1412" s="782">
        <v>12061353</v>
      </c>
      <c r="AS1412" s="782">
        <v>12061354</v>
      </c>
      <c r="AT1412" s="782"/>
      <c r="AU1412" s="781"/>
      <c r="AV1412" s="782">
        <v>12089687</v>
      </c>
      <c r="AW1412" s="781"/>
      <c r="AX1412" s="782"/>
      <c r="AY1412" s="782">
        <v>12089688</v>
      </c>
      <c r="AZ1412" s="782">
        <v>12089686</v>
      </c>
      <c r="BA1412" s="781">
        <v>12089685</v>
      </c>
    </row>
    <row r="1413" spans="1:53" ht="25" hidden="1" customHeight="1">
      <c r="B1413" s="332">
        <v>45556</v>
      </c>
      <c r="C1413" s="333">
        <v>45573</v>
      </c>
      <c r="D1413" s="185">
        <f t="shared" ref="D1413:D1476" si="459">IF(B1413="","",YEAR(B1413))</f>
        <v>2024</v>
      </c>
      <c r="E1413" s="333" t="str">
        <f>VLOOKUP($B1413,Week!$A$1:$C$1462,2,0)</f>
        <v>Week38</v>
      </c>
      <c r="F1413" s="334" t="str">
        <f t="shared" ref="F1413:F1476" si="460">IF(B1413="","",TEXT(B1413,"[$-409]mmm"))</f>
        <v>Sep</v>
      </c>
      <c r="G1413" s="335" t="s">
        <v>1469</v>
      </c>
      <c r="H1413" s="335" t="s">
        <v>571</v>
      </c>
      <c r="I1413" s="335" t="s">
        <v>2772</v>
      </c>
      <c r="J1413" s="336" t="s">
        <v>663</v>
      </c>
      <c r="K1413" s="337" t="s">
        <v>1649</v>
      </c>
      <c r="L1413" s="300" t="s">
        <v>2167</v>
      </c>
      <c r="M1413" s="336" t="s">
        <v>603</v>
      </c>
      <c r="N1413" s="335" t="s">
        <v>658</v>
      </c>
      <c r="O1413" s="335" t="s">
        <v>659</v>
      </c>
      <c r="P1413" s="338">
        <v>12</v>
      </c>
      <c r="Q1413" s="338">
        <v>3</v>
      </c>
      <c r="R1413" s="339">
        <v>6.0000000000000001E-3</v>
      </c>
      <c r="S1413" s="335" t="s">
        <v>55</v>
      </c>
      <c r="T1413" s="335" t="s">
        <v>112</v>
      </c>
      <c r="U1413" s="340" t="s">
        <v>721</v>
      </c>
      <c r="V1413" s="341">
        <v>2040</v>
      </c>
      <c r="W1413" s="341"/>
      <c r="X1413" s="342">
        <f>(24949)/12</f>
        <v>2079.0833333333335</v>
      </c>
      <c r="Y1413" s="343">
        <f t="shared" si="451"/>
        <v>39.083333333333485</v>
      </c>
      <c r="Z1413" s="344">
        <f t="shared" si="452"/>
        <v>0</v>
      </c>
      <c r="AA1413" s="344"/>
      <c r="AB1413" s="817"/>
      <c r="AC1413" s="341"/>
      <c r="AD1413" s="636"/>
      <c r="AE1413" s="210"/>
      <c r="AF1413" s="210"/>
      <c r="AG1413" s="211">
        <f t="shared" si="453"/>
        <v>0.30199999999999999</v>
      </c>
      <c r="AH1413" s="157">
        <v>0.26621999999999996</v>
      </c>
      <c r="AI1413" s="152">
        <f t="shared" si="454"/>
        <v>24480</v>
      </c>
      <c r="AK1413" s="156" t="s">
        <v>691</v>
      </c>
      <c r="AL1413" s="212" t="s">
        <v>690</v>
      </c>
      <c r="AM1413" s="198">
        <f t="shared" si="458"/>
        <v>0</v>
      </c>
      <c r="AN1413" s="199">
        <f t="shared" ref="AN1413:AN1476" si="461">B1413</f>
        <v>45556</v>
      </c>
      <c r="AO1413" s="159" t="s">
        <v>692</v>
      </c>
      <c r="AP1413" s="781" t="s">
        <v>642</v>
      </c>
      <c r="AQ1413" s="782">
        <v>12063755</v>
      </c>
      <c r="AR1413" s="782">
        <v>12061353</v>
      </c>
      <c r="AS1413" s="782">
        <v>12061354</v>
      </c>
      <c r="AT1413" s="782"/>
      <c r="AU1413" s="781"/>
      <c r="AV1413" s="782">
        <v>12084863</v>
      </c>
      <c r="AW1413" s="781"/>
      <c r="AX1413" s="781"/>
      <c r="AY1413" s="782">
        <v>12084273</v>
      </c>
      <c r="AZ1413" s="782">
        <v>12084272</v>
      </c>
      <c r="BA1413" s="782">
        <v>12084271</v>
      </c>
    </row>
    <row r="1414" spans="1:53" ht="25" hidden="1" customHeight="1">
      <c r="B1414" s="183">
        <v>45557</v>
      </c>
      <c r="C1414" s="184"/>
      <c r="D1414" s="185">
        <f t="shared" si="459"/>
        <v>2024</v>
      </c>
      <c r="E1414" s="185" t="str">
        <f>VLOOKUP($B1414,Week!$A$1:$C$1462,2,0)</f>
        <v>Week38</v>
      </c>
      <c r="F1414" s="186" t="str">
        <f t="shared" si="460"/>
        <v>Sep</v>
      </c>
      <c r="G1414" s="185"/>
      <c r="H1414" s="185"/>
      <c r="I1414" s="185"/>
      <c r="J1414" s="187"/>
      <c r="K1414" s="188"/>
      <c r="L1414" s="300"/>
      <c r="M1414" s="187"/>
      <c r="N1414" s="185"/>
      <c r="O1414" s="185"/>
      <c r="P1414" s="189"/>
      <c r="Q1414" s="189"/>
      <c r="R1414" s="190"/>
      <c r="S1414" s="185"/>
      <c r="T1414" s="185"/>
      <c r="U1414" s="185"/>
      <c r="V1414" s="191"/>
      <c r="W1414" s="191"/>
      <c r="X1414" s="192"/>
      <c r="Y1414" s="193"/>
      <c r="Z1414" s="194"/>
      <c r="AA1414" s="194"/>
      <c r="AB1414" s="805"/>
      <c r="AC1414" s="191"/>
      <c r="AD1414" s="187"/>
      <c r="AE1414" s="195"/>
      <c r="AF1414" s="195"/>
      <c r="AG1414" s="196"/>
      <c r="AH1414" s="197"/>
      <c r="AK1414" s="156" t="s">
        <v>691</v>
      </c>
      <c r="AM1414" s="198">
        <f t="shared" si="458"/>
        <v>0</v>
      </c>
      <c r="AN1414" s="199">
        <f t="shared" si="461"/>
        <v>45557</v>
      </c>
      <c r="AO1414" s="159" t="s">
        <v>692</v>
      </c>
      <c r="AP1414" s="781"/>
      <c r="AQ1414" s="782"/>
      <c r="AR1414" s="782"/>
      <c r="AS1414" s="782"/>
      <c r="AT1414" s="782"/>
      <c r="AU1414" s="781"/>
      <c r="AV1414" s="782"/>
      <c r="AW1414" s="782"/>
      <c r="AX1414" s="782"/>
      <c r="AY1414" s="782"/>
      <c r="AZ1414" s="782"/>
      <c r="BA1414" s="781"/>
    </row>
    <row r="1415" spans="1:53" ht="24.75" hidden="1" customHeight="1">
      <c r="A1415" s="142" t="s">
        <v>120</v>
      </c>
      <c r="B1415" s="308">
        <v>45558</v>
      </c>
      <c r="C1415" s="644" t="s">
        <v>1676</v>
      </c>
      <c r="D1415" s="185">
        <f t="shared" si="459"/>
        <v>2024</v>
      </c>
      <c r="E1415" s="519" t="str">
        <f>VLOOKUP($B1415,Week!$A$1:$C$1462,2,0)</f>
        <v>Week39</v>
      </c>
      <c r="F1415" s="520" t="str">
        <f t="shared" si="460"/>
        <v>Sep</v>
      </c>
      <c r="G1415" s="644" t="s">
        <v>47</v>
      </c>
      <c r="H1415" s="311" t="s">
        <v>518</v>
      </c>
      <c r="I1415" s="311" t="s">
        <v>2702</v>
      </c>
      <c r="J1415" s="312" t="s">
        <v>70</v>
      </c>
      <c r="K1415" s="313" t="s">
        <v>85</v>
      </c>
      <c r="L1415" s="390" t="s">
        <v>2166</v>
      </c>
      <c r="M1415" s="312" t="s">
        <v>515</v>
      </c>
      <c r="N1415" s="311" t="s">
        <v>588</v>
      </c>
      <c r="O1415" s="311" t="s">
        <v>546</v>
      </c>
      <c r="P1415" s="314">
        <v>12</v>
      </c>
      <c r="Q1415" s="314">
        <v>20</v>
      </c>
      <c r="R1415" s="315">
        <v>6.1999999999999998E-3</v>
      </c>
      <c r="S1415" s="311" t="s">
        <v>352</v>
      </c>
      <c r="T1415" s="311" t="s">
        <v>56</v>
      </c>
      <c r="U1415" s="311"/>
      <c r="V1415" s="316">
        <f>211</f>
        <v>211</v>
      </c>
      <c r="W1415" s="316">
        <f>393-357+175</f>
        <v>211</v>
      </c>
      <c r="X1415" s="317"/>
      <c r="Y1415" s="318">
        <f t="shared" ref="Y1415:Y1447" si="462">(W1415+X1415)-V1415</f>
        <v>0</v>
      </c>
      <c r="Z1415" s="319">
        <f t="shared" ref="Z1415:Z1447" si="463">IF(Y1415&lt;0,((V1415*P1415)-((W1415+X1415)*P1415)),0)</f>
        <v>0</v>
      </c>
      <c r="AA1415" s="319">
        <f t="shared" ref="AA1415:AA1420" si="464">Q1415*Z1415</f>
        <v>0</v>
      </c>
      <c r="AB1415" s="815"/>
      <c r="AC1415" s="316">
        <f t="shared" ref="AC1415:AC1420" si="465">Z1415*AB1415</f>
        <v>0</v>
      </c>
      <c r="AD1415" s="209"/>
      <c r="AE1415" s="210"/>
      <c r="AF1415" s="210"/>
      <c r="AG1415" s="211">
        <f>MID(O1415,1,3)/1000</f>
        <v>0.22</v>
      </c>
      <c r="AH1415" s="157">
        <f>(Z1415*AG1415)/1000</f>
        <v>0</v>
      </c>
      <c r="AI1415" s="152">
        <f t="shared" ref="AI1415:AI1447" si="466">V1415*P1415</f>
        <v>2532</v>
      </c>
      <c r="AK1415" s="156" t="s">
        <v>691</v>
      </c>
      <c r="AL1415" s="156" t="s">
        <v>689</v>
      </c>
      <c r="AM1415" s="198">
        <f t="shared" si="458"/>
        <v>0</v>
      </c>
      <c r="AN1415" s="199">
        <f t="shared" si="461"/>
        <v>45558</v>
      </c>
      <c r="AO1415" s="159" t="s">
        <v>692</v>
      </c>
      <c r="AP1415" s="783" t="s">
        <v>613</v>
      </c>
      <c r="AQ1415" s="782"/>
      <c r="AR1415" s="782" t="s">
        <v>614</v>
      </c>
      <c r="AS1415" s="782"/>
      <c r="AT1415" s="782">
        <v>12083140</v>
      </c>
      <c r="AU1415" s="781"/>
      <c r="AV1415" s="782">
        <v>12083143</v>
      </c>
      <c r="AW1415" s="782"/>
      <c r="AX1415" s="782"/>
      <c r="AY1415" s="782"/>
      <c r="AZ1415" s="782"/>
      <c r="BA1415" s="781"/>
    </row>
    <row r="1416" spans="1:53" ht="24.75" hidden="1" customHeight="1">
      <c r="A1416" s="142" t="s">
        <v>120</v>
      </c>
      <c r="B1416" s="308">
        <v>45558</v>
      </c>
      <c r="C1416" s="644" t="s">
        <v>1676</v>
      </c>
      <c r="D1416" s="185">
        <f t="shared" si="459"/>
        <v>2024</v>
      </c>
      <c r="E1416" s="519" t="str">
        <f>VLOOKUP($B1416,Week!$A$1:$C$1462,2,0)</f>
        <v>Week39</v>
      </c>
      <c r="F1416" s="520" t="str">
        <f t="shared" si="460"/>
        <v>Sep</v>
      </c>
      <c r="G1416" s="644" t="s">
        <v>47</v>
      </c>
      <c r="H1416" s="311" t="s">
        <v>518</v>
      </c>
      <c r="I1416" s="311" t="s">
        <v>2702</v>
      </c>
      <c r="J1416" s="312" t="s">
        <v>70</v>
      </c>
      <c r="K1416" s="313" t="s">
        <v>85</v>
      </c>
      <c r="L1416" s="390" t="s">
        <v>2166</v>
      </c>
      <c r="M1416" s="312" t="s">
        <v>515</v>
      </c>
      <c r="N1416" s="311" t="s">
        <v>588</v>
      </c>
      <c r="O1416" s="311" t="s">
        <v>546</v>
      </c>
      <c r="P1416" s="314">
        <v>12</v>
      </c>
      <c r="Q1416" s="314">
        <v>20</v>
      </c>
      <c r="R1416" s="315">
        <v>6.1999999999999998E-3</v>
      </c>
      <c r="S1416" s="311" t="s">
        <v>352</v>
      </c>
      <c r="T1416" s="311" t="s">
        <v>56</v>
      </c>
      <c r="U1416" s="311"/>
      <c r="V1416" s="316">
        <f>519-211</f>
        <v>308</v>
      </c>
      <c r="W1416" s="316">
        <v>308</v>
      </c>
      <c r="X1416" s="317"/>
      <c r="Y1416" s="318">
        <f t="shared" si="462"/>
        <v>0</v>
      </c>
      <c r="Z1416" s="319">
        <f t="shared" si="463"/>
        <v>0</v>
      </c>
      <c r="AA1416" s="319">
        <f t="shared" si="464"/>
        <v>0</v>
      </c>
      <c r="AB1416" s="815"/>
      <c r="AC1416" s="316">
        <f t="shared" si="465"/>
        <v>0</v>
      </c>
      <c r="AD1416" s="209"/>
      <c r="AE1416" s="210"/>
      <c r="AF1416" s="210"/>
      <c r="AG1416" s="211">
        <f>MID(O1416,1,3)/1000</f>
        <v>0.22</v>
      </c>
      <c r="AH1416" s="157">
        <f>(Z1416*AG1416)/1000</f>
        <v>0</v>
      </c>
      <c r="AI1416" s="152">
        <f t="shared" si="466"/>
        <v>3696</v>
      </c>
      <c r="AK1416" s="156" t="s">
        <v>691</v>
      </c>
      <c r="AL1416" s="156" t="s">
        <v>689</v>
      </c>
      <c r="AM1416" s="198">
        <f t="shared" si="458"/>
        <v>0</v>
      </c>
      <c r="AN1416" s="199">
        <f t="shared" si="461"/>
        <v>45558</v>
      </c>
      <c r="AO1416" s="159" t="s">
        <v>692</v>
      </c>
      <c r="AP1416" s="783" t="s">
        <v>613</v>
      </c>
      <c r="AQ1416" s="782"/>
      <c r="AR1416" s="782" t="s">
        <v>614</v>
      </c>
      <c r="AS1416" s="782"/>
      <c r="AT1416" s="782">
        <v>12083140</v>
      </c>
      <c r="AU1416" s="781"/>
      <c r="AV1416" s="782">
        <v>12083143</v>
      </c>
      <c r="AW1416" s="782"/>
      <c r="AX1416" s="782"/>
      <c r="AY1416" s="782"/>
      <c r="AZ1416" s="782"/>
      <c r="BA1416" s="781"/>
    </row>
    <row r="1417" spans="1:53" ht="25" hidden="1" customHeight="1">
      <c r="A1417" s="142" t="s">
        <v>120</v>
      </c>
      <c r="B1417" s="559">
        <v>45558</v>
      </c>
      <c r="C1417" s="560">
        <v>45567</v>
      </c>
      <c r="D1417" s="185">
        <f t="shared" si="459"/>
        <v>2024</v>
      </c>
      <c r="E1417" s="561" t="str">
        <f>VLOOKUP($B1417,Week!$A$1:$C$1462,2,0)</f>
        <v>Week39</v>
      </c>
      <c r="F1417" s="562" t="str">
        <f t="shared" si="460"/>
        <v>Sep</v>
      </c>
      <c r="G1417" s="561" t="s">
        <v>1715</v>
      </c>
      <c r="H1417" s="561" t="s">
        <v>134</v>
      </c>
      <c r="I1417" s="561" t="s">
        <v>2772</v>
      </c>
      <c r="J1417" s="563" t="s">
        <v>164</v>
      </c>
      <c r="K1417" s="564" t="s">
        <v>355</v>
      </c>
      <c r="L1417" s="390" t="s">
        <v>2166</v>
      </c>
      <c r="M1417" s="563" t="s">
        <v>356</v>
      </c>
      <c r="N1417" s="561" t="s">
        <v>652</v>
      </c>
      <c r="O1417" s="561" t="s">
        <v>508</v>
      </c>
      <c r="P1417" s="565">
        <v>18</v>
      </c>
      <c r="Q1417" s="565">
        <v>8</v>
      </c>
      <c r="R1417" s="566">
        <v>6.0000000000000001E-3</v>
      </c>
      <c r="S1417" s="561" t="s">
        <v>55</v>
      </c>
      <c r="T1417" s="561" t="s">
        <v>56</v>
      </c>
      <c r="U1417" s="561" t="s">
        <v>89</v>
      </c>
      <c r="V1417" s="567">
        <f>600</f>
        <v>600</v>
      </c>
      <c r="W1417" s="567">
        <f>34+566</f>
        <v>600</v>
      </c>
      <c r="X1417" s="568"/>
      <c r="Y1417" s="569">
        <f t="shared" si="462"/>
        <v>0</v>
      </c>
      <c r="Z1417" s="570">
        <f t="shared" si="463"/>
        <v>0</v>
      </c>
      <c r="AA1417" s="570">
        <f t="shared" si="464"/>
        <v>0</v>
      </c>
      <c r="AB1417" s="834">
        <v>2</v>
      </c>
      <c r="AC1417" s="567">
        <f t="shared" si="465"/>
        <v>0</v>
      </c>
      <c r="AD1417" s="209"/>
      <c r="AE1417" s="210"/>
      <c r="AF1417" s="210"/>
      <c r="AG1417" s="211">
        <f>MID(O1417,1,2)/1000</f>
        <v>0.09</v>
      </c>
      <c r="AH1417" s="157">
        <f>(Z1417*AG1417)/1000</f>
        <v>0</v>
      </c>
      <c r="AI1417" s="152">
        <f t="shared" si="466"/>
        <v>10800</v>
      </c>
      <c r="AK1417" s="156" t="s">
        <v>691</v>
      </c>
      <c r="AL1417" s="156" t="s">
        <v>689</v>
      </c>
      <c r="AM1417" s="198">
        <f t="shared" si="458"/>
        <v>0</v>
      </c>
      <c r="AN1417" s="199">
        <f t="shared" si="461"/>
        <v>45558</v>
      </c>
      <c r="AO1417" s="159" t="s">
        <v>692</v>
      </c>
      <c r="AP1417" s="783"/>
      <c r="AQ1417" s="782"/>
      <c r="AR1417" s="782"/>
      <c r="AS1417" s="782"/>
      <c r="AT1417" s="782"/>
      <c r="AU1417" s="782"/>
      <c r="AV1417" s="782"/>
      <c r="AW1417" s="782"/>
      <c r="AX1417" s="782"/>
      <c r="AY1417" s="782"/>
      <c r="AZ1417" s="782"/>
      <c r="BA1417" s="781"/>
    </row>
    <row r="1418" spans="1:53" ht="26.25" hidden="1" customHeight="1">
      <c r="A1418" s="142" t="s">
        <v>120</v>
      </c>
      <c r="B1418" s="235">
        <v>45558</v>
      </c>
      <c r="C1418" s="235">
        <v>45594</v>
      </c>
      <c r="D1418" s="185">
        <f t="shared" si="459"/>
        <v>2024</v>
      </c>
      <c r="E1418" s="236" t="str">
        <f>VLOOKUP($B1418,Week!$A$1:$C$1462,2,0)</f>
        <v>Week39</v>
      </c>
      <c r="F1418" s="237" t="str">
        <f t="shared" si="460"/>
        <v>Sep</v>
      </c>
      <c r="G1418" s="236" t="s">
        <v>1729</v>
      </c>
      <c r="H1418" s="236" t="s">
        <v>392</v>
      </c>
      <c r="I1418" s="236" t="s">
        <v>2772</v>
      </c>
      <c r="J1418" s="238" t="s">
        <v>393</v>
      </c>
      <c r="K1418" s="239" t="s">
        <v>153</v>
      </c>
      <c r="L1418" s="390" t="s">
        <v>2166</v>
      </c>
      <c r="M1418" s="238" t="s">
        <v>165</v>
      </c>
      <c r="N1418" s="236" t="s">
        <v>685</v>
      </c>
      <c r="O1418" s="236" t="s">
        <v>167</v>
      </c>
      <c r="P1418" s="240">
        <v>20</v>
      </c>
      <c r="Q1418" s="240">
        <v>12</v>
      </c>
      <c r="R1418" s="241">
        <v>6.8100000000000001E-3</v>
      </c>
      <c r="S1418" s="236" t="s">
        <v>76</v>
      </c>
      <c r="T1418" s="236" t="s">
        <v>56</v>
      </c>
      <c r="U1418" s="236" t="s">
        <v>89</v>
      </c>
      <c r="V1418" s="242">
        <f>350</f>
        <v>350</v>
      </c>
      <c r="W1418" s="242">
        <f>350</f>
        <v>350</v>
      </c>
      <c r="X1418" s="243"/>
      <c r="Y1418" s="244">
        <f t="shared" si="462"/>
        <v>0</v>
      </c>
      <c r="Z1418" s="245">
        <f t="shared" si="463"/>
        <v>0</v>
      </c>
      <c r="AA1418" s="245">
        <f t="shared" si="464"/>
        <v>0</v>
      </c>
      <c r="AB1418" s="809">
        <v>2</v>
      </c>
      <c r="AC1418" s="242">
        <f t="shared" si="465"/>
        <v>0</v>
      </c>
      <c r="AD1418" s="209"/>
      <c r="AE1418" s="210"/>
      <c r="AF1418" s="210"/>
      <c r="AG1418" s="211">
        <f>MID(O1418,1,3)/1000</f>
        <v>0.154</v>
      </c>
      <c r="AH1418" s="157">
        <f>(Z1418*AG1418)/1000</f>
        <v>0</v>
      </c>
      <c r="AI1418" s="152">
        <f t="shared" si="466"/>
        <v>7000</v>
      </c>
      <c r="AK1418" s="156" t="s">
        <v>691</v>
      </c>
      <c r="AL1418" s="156" t="s">
        <v>689</v>
      </c>
      <c r="AM1418" s="198">
        <f t="shared" si="458"/>
        <v>0</v>
      </c>
      <c r="AN1418" s="199">
        <f t="shared" si="461"/>
        <v>45558</v>
      </c>
      <c r="AO1418" s="159" t="s">
        <v>692</v>
      </c>
      <c r="AP1418" s="783"/>
      <c r="AQ1418" s="781" t="s">
        <v>158</v>
      </c>
      <c r="AR1418" s="783" t="s">
        <v>523</v>
      </c>
      <c r="AS1418" s="781"/>
      <c r="AT1418" s="783" t="s">
        <v>607</v>
      </c>
      <c r="AU1418" s="781"/>
      <c r="AV1418" s="783" t="s">
        <v>606</v>
      </c>
      <c r="AW1418" s="781"/>
      <c r="AX1418" s="781" t="s">
        <v>398</v>
      </c>
      <c r="AY1418" s="781"/>
      <c r="AZ1418" s="781"/>
      <c r="BA1418" s="781"/>
    </row>
    <row r="1419" spans="1:53" ht="25" hidden="1" customHeight="1">
      <c r="A1419" s="142" t="s">
        <v>120</v>
      </c>
      <c r="B1419" s="369">
        <v>45558</v>
      </c>
      <c r="C1419" s="370">
        <v>45593</v>
      </c>
      <c r="D1419" s="185">
        <f t="shared" si="459"/>
        <v>2024</v>
      </c>
      <c r="E1419" s="371" t="str">
        <f>VLOOKUP($B1419,Week!$A$1:$C$1462,2,0)</f>
        <v>Week39</v>
      </c>
      <c r="F1419" s="372" t="str">
        <f t="shared" si="460"/>
        <v>Sep</v>
      </c>
      <c r="G1419" s="371" t="s">
        <v>1723</v>
      </c>
      <c r="H1419" s="371" t="s">
        <v>344</v>
      </c>
      <c r="I1419" s="371" t="s">
        <v>2772</v>
      </c>
      <c r="J1419" s="373" t="s">
        <v>345</v>
      </c>
      <c r="K1419" s="374" t="s">
        <v>153</v>
      </c>
      <c r="L1419" s="390" t="s">
        <v>2166</v>
      </c>
      <c r="M1419" s="373" t="s">
        <v>214</v>
      </c>
      <c r="N1419" s="371" t="s">
        <v>346</v>
      </c>
      <c r="O1419" s="371" t="s">
        <v>509</v>
      </c>
      <c r="P1419" s="375">
        <v>18</v>
      </c>
      <c r="Q1419" s="375">
        <v>8</v>
      </c>
      <c r="R1419" s="376">
        <v>6.8100000000000001E-3</v>
      </c>
      <c r="S1419" s="371" t="s">
        <v>76</v>
      </c>
      <c r="T1419" s="371" t="s">
        <v>56</v>
      </c>
      <c r="U1419" s="371" t="s">
        <v>89</v>
      </c>
      <c r="V1419" s="377">
        <f>1350</f>
        <v>1350</v>
      </c>
      <c r="W1419" s="377">
        <f>373</f>
        <v>373</v>
      </c>
      <c r="X1419" s="378">
        <f>(630+990+15966)/18</f>
        <v>977</v>
      </c>
      <c r="Y1419" s="379">
        <f t="shared" si="462"/>
        <v>0</v>
      </c>
      <c r="Z1419" s="380">
        <f t="shared" si="463"/>
        <v>0</v>
      </c>
      <c r="AA1419" s="380">
        <f t="shared" si="464"/>
        <v>0</v>
      </c>
      <c r="AB1419" s="820">
        <v>1</v>
      </c>
      <c r="AC1419" s="377">
        <f t="shared" si="465"/>
        <v>0</v>
      </c>
      <c r="AD1419" s="443"/>
      <c r="AE1419" s="210"/>
      <c r="AF1419" s="210"/>
      <c r="AG1419" s="211">
        <f>MID(O1419,1,3)/1000</f>
        <v>0.10100000000000001</v>
      </c>
      <c r="AH1419" s="157">
        <f>(Z1419*AG1419)/1000</f>
        <v>0</v>
      </c>
      <c r="AI1419" s="152">
        <f t="shared" si="466"/>
        <v>24300</v>
      </c>
      <c r="AK1419" s="156" t="s">
        <v>691</v>
      </c>
      <c r="AL1419" s="156" t="s">
        <v>689</v>
      </c>
      <c r="AM1419" s="198">
        <f t="shared" si="458"/>
        <v>0</v>
      </c>
      <c r="AN1419" s="199">
        <f t="shared" si="461"/>
        <v>45558</v>
      </c>
      <c r="AO1419" s="159" t="s">
        <v>692</v>
      </c>
      <c r="AP1419" s="781"/>
      <c r="AQ1419" s="781" t="s">
        <v>158</v>
      </c>
      <c r="AR1419" s="782">
        <v>12038019</v>
      </c>
      <c r="AS1419" s="781"/>
      <c r="AT1419" s="800">
        <v>12055751</v>
      </c>
      <c r="AU1419" s="781"/>
      <c r="AV1419" s="800">
        <v>12049471</v>
      </c>
      <c r="AW1419" s="781"/>
      <c r="AX1419" s="781" t="s">
        <v>162</v>
      </c>
      <c r="AY1419" s="781"/>
      <c r="AZ1419" s="781"/>
      <c r="BA1419" s="781"/>
    </row>
    <row r="1420" spans="1:53" ht="24.65" hidden="1" customHeight="1">
      <c r="A1420" s="142" t="s">
        <v>120</v>
      </c>
      <c r="B1420" s="357">
        <v>45558</v>
      </c>
      <c r="C1420" s="358">
        <v>45593</v>
      </c>
      <c r="D1420" s="185">
        <f t="shared" si="459"/>
        <v>2024</v>
      </c>
      <c r="E1420" s="359" t="str">
        <f>VLOOKUP($B1420,Week!$A$1:$C$1462,2,0)</f>
        <v>Week39</v>
      </c>
      <c r="F1420" s="360" t="str">
        <f t="shared" si="460"/>
        <v>Sep</v>
      </c>
      <c r="G1420" s="359" t="s">
        <v>1723</v>
      </c>
      <c r="H1420" s="359" t="s">
        <v>344</v>
      </c>
      <c r="I1420" s="359" t="s">
        <v>2772</v>
      </c>
      <c r="J1420" s="361" t="s">
        <v>345</v>
      </c>
      <c r="K1420" s="362" t="s">
        <v>355</v>
      </c>
      <c r="L1420" s="390" t="s">
        <v>2166</v>
      </c>
      <c r="M1420" s="361" t="s">
        <v>356</v>
      </c>
      <c r="N1420" s="359" t="s">
        <v>357</v>
      </c>
      <c r="O1420" s="359" t="s">
        <v>508</v>
      </c>
      <c r="P1420" s="363">
        <v>18</v>
      </c>
      <c r="Q1420" s="363">
        <v>8</v>
      </c>
      <c r="R1420" s="364">
        <v>6.0000000000000001E-3</v>
      </c>
      <c r="S1420" s="359" t="s">
        <v>55</v>
      </c>
      <c r="T1420" s="359" t="s">
        <v>56</v>
      </c>
      <c r="U1420" s="359" t="s">
        <v>89</v>
      </c>
      <c r="V1420" s="365">
        <f>550</f>
        <v>550</v>
      </c>
      <c r="W1420" s="365">
        <f>2+542+6</f>
        <v>550</v>
      </c>
      <c r="X1420" s="366"/>
      <c r="Y1420" s="367">
        <f t="shared" si="462"/>
        <v>0</v>
      </c>
      <c r="Z1420" s="368">
        <f t="shared" si="463"/>
        <v>0</v>
      </c>
      <c r="AA1420" s="368">
        <f t="shared" si="464"/>
        <v>0</v>
      </c>
      <c r="AB1420" s="819">
        <v>2</v>
      </c>
      <c r="AC1420" s="365">
        <f t="shared" si="465"/>
        <v>0</v>
      </c>
      <c r="AD1420" s="443"/>
      <c r="AE1420" s="210"/>
      <c r="AF1420" s="210"/>
      <c r="AG1420" s="211">
        <f>MID(O1420,1,2)/1000</f>
        <v>0.09</v>
      </c>
      <c r="AH1420" s="157">
        <f t="shared" ref="AH1420:AH1426" si="467">(Z1420*AG1420)/1000</f>
        <v>0</v>
      </c>
      <c r="AI1420" s="152">
        <f t="shared" si="466"/>
        <v>9900</v>
      </c>
      <c r="AK1420" s="156" t="s">
        <v>691</v>
      </c>
      <c r="AL1420" s="156" t="s">
        <v>689</v>
      </c>
      <c r="AM1420" s="198">
        <f t="shared" si="458"/>
        <v>0</v>
      </c>
      <c r="AN1420" s="199">
        <f t="shared" si="461"/>
        <v>45558</v>
      </c>
      <c r="AO1420" s="159" t="s">
        <v>692</v>
      </c>
      <c r="AP1420" s="781"/>
      <c r="AQ1420" s="782"/>
      <c r="AR1420" s="782" t="s">
        <v>531</v>
      </c>
      <c r="AS1420" s="782"/>
      <c r="AT1420" s="782"/>
      <c r="AU1420" s="782">
        <v>12054219</v>
      </c>
      <c r="AV1420" s="782">
        <v>12054239</v>
      </c>
      <c r="AW1420" s="782"/>
      <c r="AX1420" s="782" t="s">
        <v>532</v>
      </c>
      <c r="AY1420" s="782"/>
      <c r="AZ1420" s="782"/>
      <c r="BA1420" s="781"/>
    </row>
    <row r="1421" spans="1:53" ht="24.65" hidden="1" customHeight="1">
      <c r="A1421" s="529" t="s">
        <v>1786</v>
      </c>
      <c r="B1421" s="743">
        <v>45558</v>
      </c>
      <c r="C1421" s="744" t="s">
        <v>1711</v>
      </c>
      <c r="D1421" s="185">
        <f t="shared" si="459"/>
        <v>2024</v>
      </c>
      <c r="E1421" s="744" t="str">
        <f>VLOOKUP($B1421,Week!$A$1:$C$1462,2,0)</f>
        <v>Week39</v>
      </c>
      <c r="F1421" s="745" t="str">
        <f t="shared" si="460"/>
        <v>Sep</v>
      </c>
      <c r="G1421" s="746" t="s">
        <v>47</v>
      </c>
      <c r="H1421" s="746" t="s">
        <v>260</v>
      </c>
      <c r="I1421" s="746" t="s">
        <v>2702</v>
      </c>
      <c r="J1421" s="747" t="s">
        <v>70</v>
      </c>
      <c r="K1421" s="748" t="s">
        <v>176</v>
      </c>
      <c r="L1421" s="300" t="s">
        <v>2167</v>
      </c>
      <c r="M1421" s="747" t="s">
        <v>1713</v>
      </c>
      <c r="N1421" s="746" t="s">
        <v>1728</v>
      </c>
      <c r="O1421" s="746" t="s">
        <v>742</v>
      </c>
      <c r="P1421" s="749">
        <v>24</v>
      </c>
      <c r="Q1421" s="749">
        <v>5</v>
      </c>
      <c r="R1421" s="746">
        <v>6.1999999999999998E-3</v>
      </c>
      <c r="S1421" s="746" t="s">
        <v>352</v>
      </c>
      <c r="T1421" s="746" t="s">
        <v>56</v>
      </c>
      <c r="U1421" s="746" t="s">
        <v>1714</v>
      </c>
      <c r="V1421" s="750"/>
      <c r="W1421" s="750"/>
      <c r="X1421" s="751"/>
      <c r="Y1421" s="752">
        <f t="shared" si="462"/>
        <v>0</v>
      </c>
      <c r="Z1421" s="753">
        <f t="shared" si="463"/>
        <v>0</v>
      </c>
      <c r="AA1421" s="753"/>
      <c r="AB1421" s="838"/>
      <c r="AC1421" s="750"/>
      <c r="AD1421" s="209"/>
      <c r="AE1421" s="210"/>
      <c r="AF1421" s="210"/>
      <c r="AG1421" s="211">
        <f t="shared" ref="AG1421:AG1426" si="468">MID(O1421,1,3)/1000</f>
        <v>0.14299999999999999</v>
      </c>
      <c r="AH1421" s="157">
        <f t="shared" si="467"/>
        <v>0</v>
      </c>
      <c r="AI1421" s="152">
        <f t="shared" si="466"/>
        <v>0</v>
      </c>
      <c r="AK1421" s="156" t="s">
        <v>691</v>
      </c>
      <c r="AL1421" s="212" t="s">
        <v>690</v>
      </c>
      <c r="AM1421" s="198">
        <f t="shared" ref="AM1421:AM1426" si="469">AG1421*Z1421</f>
        <v>0</v>
      </c>
      <c r="AN1421" s="199">
        <f t="shared" si="461"/>
        <v>45558</v>
      </c>
      <c r="AO1421" s="159" t="s">
        <v>692</v>
      </c>
      <c r="AP1421" s="783" t="s">
        <v>609</v>
      </c>
      <c r="AQ1421" s="782">
        <v>12071839</v>
      </c>
      <c r="AR1421" s="782">
        <v>12047514</v>
      </c>
      <c r="AS1421" s="782">
        <v>12047515</v>
      </c>
      <c r="AT1421" s="781"/>
      <c r="AU1421" s="781"/>
      <c r="AV1421" s="782">
        <v>12089668</v>
      </c>
      <c r="AW1421" s="781"/>
      <c r="AX1421" s="781"/>
      <c r="AY1421" s="782">
        <v>12088311</v>
      </c>
      <c r="AZ1421" s="782">
        <v>12088315</v>
      </c>
      <c r="BA1421" s="781"/>
    </row>
    <row r="1422" spans="1:53" ht="25" hidden="1" customHeight="1">
      <c r="A1422" s="529" t="s">
        <v>755</v>
      </c>
      <c r="B1422" s="357">
        <v>45559</v>
      </c>
      <c r="C1422" s="358" t="s">
        <v>1711</v>
      </c>
      <c r="D1422" s="185">
        <f t="shared" si="459"/>
        <v>2024</v>
      </c>
      <c r="E1422" s="358" t="str">
        <f>VLOOKUP($B1422,Week!$A$1:$C$1462,2,0)</f>
        <v>Week39</v>
      </c>
      <c r="F1422" s="360" t="str">
        <f t="shared" si="460"/>
        <v>Sep</v>
      </c>
      <c r="G1422" s="359" t="s">
        <v>47</v>
      </c>
      <c r="H1422" s="359" t="s">
        <v>518</v>
      </c>
      <c r="I1422" s="359" t="s">
        <v>2702</v>
      </c>
      <c r="J1422" s="361" t="s">
        <v>70</v>
      </c>
      <c r="K1422" s="362" t="s">
        <v>94</v>
      </c>
      <c r="L1422" s="300" t="s">
        <v>2167</v>
      </c>
      <c r="M1422" s="361" t="s">
        <v>519</v>
      </c>
      <c r="N1422" s="436" t="s">
        <v>648</v>
      </c>
      <c r="O1422" s="359" t="s">
        <v>97</v>
      </c>
      <c r="P1422" s="363">
        <v>12</v>
      </c>
      <c r="Q1422" s="363">
        <v>5</v>
      </c>
      <c r="R1422" s="364">
        <v>8.0000000000000002E-3</v>
      </c>
      <c r="S1422" s="359" t="s">
        <v>40</v>
      </c>
      <c r="T1422" s="359" t="s">
        <v>56</v>
      </c>
      <c r="U1422" s="359" t="s">
        <v>57</v>
      </c>
      <c r="V1422" s="365">
        <v>12</v>
      </c>
      <c r="W1422" s="365">
        <v>12</v>
      </c>
      <c r="X1422" s="366"/>
      <c r="Y1422" s="367">
        <f t="shared" si="462"/>
        <v>0</v>
      </c>
      <c r="Z1422" s="368">
        <f t="shared" si="463"/>
        <v>0</v>
      </c>
      <c r="AA1422" s="368"/>
      <c r="AB1422" s="819"/>
      <c r="AC1422" s="365"/>
      <c r="AD1422" s="209"/>
      <c r="AE1422" s="210"/>
      <c r="AF1422" s="210"/>
      <c r="AG1422" s="211">
        <f t="shared" si="468"/>
        <v>0.14499999999999999</v>
      </c>
      <c r="AH1422" s="157">
        <f t="shared" si="467"/>
        <v>0</v>
      </c>
      <c r="AI1422" s="152">
        <f t="shared" si="466"/>
        <v>144</v>
      </c>
      <c r="AK1422" s="156" t="s">
        <v>691</v>
      </c>
      <c r="AL1422" s="574" t="s">
        <v>690</v>
      </c>
      <c r="AM1422" s="198">
        <f t="shared" si="469"/>
        <v>0</v>
      </c>
      <c r="AN1422" s="199">
        <f t="shared" si="461"/>
        <v>45559</v>
      </c>
      <c r="AO1422" s="159" t="s">
        <v>692</v>
      </c>
      <c r="AP1422" s="783" t="s">
        <v>628</v>
      </c>
      <c r="AQ1422" s="782">
        <v>12071839</v>
      </c>
      <c r="AR1422" s="782">
        <v>12047514</v>
      </c>
      <c r="AS1422" s="782">
        <v>12047515</v>
      </c>
      <c r="AT1422" s="782"/>
      <c r="AU1422" s="781"/>
      <c r="AV1422" s="782">
        <v>12080617</v>
      </c>
      <c r="AW1422" s="782"/>
      <c r="AX1422" s="782"/>
      <c r="AY1422" s="782">
        <v>12080618</v>
      </c>
      <c r="AZ1422" s="782">
        <v>12080619</v>
      </c>
      <c r="BA1422" s="781"/>
    </row>
    <row r="1423" spans="1:53" ht="25" hidden="1" customHeight="1">
      <c r="B1423" s="357">
        <v>45559</v>
      </c>
      <c r="C1423" s="358" t="s">
        <v>1711</v>
      </c>
      <c r="D1423" s="185">
        <f t="shared" si="459"/>
        <v>2024</v>
      </c>
      <c r="E1423" s="358" t="str">
        <f>VLOOKUP($B1423,Week!$A$1:$C$1462,2,0)</f>
        <v>Week39</v>
      </c>
      <c r="F1423" s="360" t="str">
        <f t="shared" si="460"/>
        <v>Sep</v>
      </c>
      <c r="G1423" s="359" t="s">
        <v>47</v>
      </c>
      <c r="H1423" s="359" t="s">
        <v>518</v>
      </c>
      <c r="I1423" s="359" t="s">
        <v>2702</v>
      </c>
      <c r="J1423" s="361" t="s">
        <v>70</v>
      </c>
      <c r="K1423" s="362" t="s">
        <v>94</v>
      </c>
      <c r="L1423" s="300" t="s">
        <v>2167</v>
      </c>
      <c r="M1423" s="361" t="s">
        <v>519</v>
      </c>
      <c r="N1423" s="359" t="s">
        <v>589</v>
      </c>
      <c r="O1423" s="359" t="s">
        <v>97</v>
      </c>
      <c r="P1423" s="363">
        <v>12</v>
      </c>
      <c r="Q1423" s="363">
        <v>5</v>
      </c>
      <c r="R1423" s="364">
        <v>8.0000000000000002E-3</v>
      </c>
      <c r="S1423" s="359" t="s">
        <v>40</v>
      </c>
      <c r="T1423" s="359" t="s">
        <v>56</v>
      </c>
      <c r="U1423" s="359" t="s">
        <v>57</v>
      </c>
      <c r="V1423" s="365">
        <f>4378</f>
        <v>4378</v>
      </c>
      <c r="W1423" s="365">
        <f>100-17+4295</f>
        <v>4378</v>
      </c>
      <c r="X1423" s="366"/>
      <c r="Y1423" s="367">
        <f t="shared" si="462"/>
        <v>0</v>
      </c>
      <c r="Z1423" s="368">
        <f t="shared" si="463"/>
        <v>0</v>
      </c>
      <c r="AA1423" s="368"/>
      <c r="AB1423" s="819"/>
      <c r="AC1423" s="365"/>
      <c r="AD1423" s="209"/>
      <c r="AE1423" s="210"/>
      <c r="AF1423" s="210"/>
      <c r="AG1423" s="211">
        <f t="shared" si="468"/>
        <v>0.14499999999999999</v>
      </c>
      <c r="AH1423" s="157">
        <f t="shared" si="467"/>
        <v>0</v>
      </c>
      <c r="AI1423" s="152">
        <f t="shared" si="466"/>
        <v>52536</v>
      </c>
      <c r="AK1423" s="156" t="s">
        <v>691</v>
      </c>
      <c r="AL1423" s="574" t="s">
        <v>690</v>
      </c>
      <c r="AM1423" s="198">
        <f t="shared" si="469"/>
        <v>0</v>
      </c>
      <c r="AN1423" s="199">
        <f t="shared" si="461"/>
        <v>45559</v>
      </c>
      <c r="AO1423" s="159" t="s">
        <v>692</v>
      </c>
      <c r="AP1423" s="783" t="s">
        <v>628</v>
      </c>
      <c r="AQ1423" s="782">
        <v>12071839</v>
      </c>
      <c r="AR1423" s="782">
        <v>12047514</v>
      </c>
      <c r="AS1423" s="782">
        <v>12047515</v>
      </c>
      <c r="AT1423" s="782"/>
      <c r="AU1423" s="781"/>
      <c r="AV1423" s="782">
        <v>12080617</v>
      </c>
      <c r="AW1423" s="782"/>
      <c r="AX1423" s="782"/>
      <c r="AY1423" s="782">
        <v>12080618</v>
      </c>
      <c r="AZ1423" s="782">
        <v>12080619</v>
      </c>
      <c r="BA1423" s="781"/>
    </row>
    <row r="1424" spans="1:53" ht="24.65" hidden="1" customHeight="1">
      <c r="B1424" s="546">
        <v>45559</v>
      </c>
      <c r="C1424" s="547" t="s">
        <v>1711</v>
      </c>
      <c r="D1424" s="185">
        <f t="shared" si="459"/>
        <v>2024</v>
      </c>
      <c r="E1424" s="547" t="str">
        <f>VLOOKUP($B1424,Week!$A$1:$C$1462,2,0)</f>
        <v>Week39</v>
      </c>
      <c r="F1424" s="548" t="str">
        <f t="shared" si="460"/>
        <v>Sep</v>
      </c>
      <c r="G1424" s="549" t="s">
        <v>47</v>
      </c>
      <c r="H1424" s="549" t="s">
        <v>518</v>
      </c>
      <c r="I1424" s="549" t="s">
        <v>2702</v>
      </c>
      <c r="J1424" s="550" t="s">
        <v>70</v>
      </c>
      <c r="K1424" s="551" t="s">
        <v>1020</v>
      </c>
      <c r="L1424" s="300" t="s">
        <v>2167</v>
      </c>
      <c r="M1424" s="550" t="s">
        <v>746</v>
      </c>
      <c r="N1424" s="618" t="s">
        <v>751</v>
      </c>
      <c r="O1424" s="549" t="s">
        <v>747</v>
      </c>
      <c r="P1424" s="552">
        <v>12</v>
      </c>
      <c r="Q1424" s="552">
        <v>5</v>
      </c>
      <c r="R1424" s="549">
        <v>6.1999999999999998E-3</v>
      </c>
      <c r="S1424" s="549" t="s">
        <v>352</v>
      </c>
      <c r="T1424" s="549" t="s">
        <v>56</v>
      </c>
      <c r="U1424" s="549" t="s">
        <v>739</v>
      </c>
      <c r="V1424" s="554">
        <f>1044-261</f>
        <v>783</v>
      </c>
      <c r="W1424" s="554">
        <f>21+762</f>
        <v>783</v>
      </c>
      <c r="X1424" s="555"/>
      <c r="Y1424" s="556">
        <f t="shared" si="462"/>
        <v>0</v>
      </c>
      <c r="Z1424" s="557">
        <f t="shared" si="463"/>
        <v>0</v>
      </c>
      <c r="AA1424" s="557"/>
      <c r="AB1424" s="833"/>
      <c r="AC1424" s="554"/>
      <c r="AD1424" s="209"/>
      <c r="AE1424" s="210"/>
      <c r="AF1424" s="210"/>
      <c r="AG1424" s="211">
        <f t="shared" si="468"/>
        <v>0.14299999999999999</v>
      </c>
      <c r="AH1424" s="157">
        <f t="shared" si="467"/>
        <v>0</v>
      </c>
      <c r="AI1424" s="152">
        <f t="shared" si="466"/>
        <v>9396</v>
      </c>
      <c r="AK1424" s="156" t="s">
        <v>691</v>
      </c>
      <c r="AL1424" s="212" t="s">
        <v>690</v>
      </c>
      <c r="AM1424" s="198">
        <f t="shared" si="469"/>
        <v>0</v>
      </c>
      <c r="AN1424" s="199">
        <f t="shared" si="461"/>
        <v>45559</v>
      </c>
      <c r="AO1424" s="159" t="s">
        <v>692</v>
      </c>
      <c r="AP1424" s="783" t="s">
        <v>609</v>
      </c>
      <c r="AQ1424" s="782">
        <v>12071839</v>
      </c>
      <c r="AR1424" s="782">
        <v>12047514</v>
      </c>
      <c r="AS1424" s="782">
        <v>12047515</v>
      </c>
      <c r="AT1424" s="781"/>
      <c r="AU1424" s="781"/>
      <c r="AV1424" s="782">
        <v>12080616</v>
      </c>
      <c r="AW1424" s="781"/>
      <c r="AX1424" s="781"/>
      <c r="AY1424" s="782">
        <v>12089871</v>
      </c>
      <c r="AZ1424" s="782">
        <v>12089872</v>
      </c>
      <c r="BA1424" s="781"/>
    </row>
    <row r="1425" spans="2:53" ht="24.65" hidden="1" customHeight="1">
      <c r="B1425" s="546">
        <v>45559</v>
      </c>
      <c r="C1425" s="547" t="s">
        <v>1711</v>
      </c>
      <c r="D1425" s="185">
        <f t="shared" si="459"/>
        <v>2024</v>
      </c>
      <c r="E1425" s="547" t="str">
        <f>VLOOKUP($B1425,Week!$A$1:$C$1462,2,0)</f>
        <v>Week39</v>
      </c>
      <c r="F1425" s="548" t="str">
        <f t="shared" si="460"/>
        <v>Sep</v>
      </c>
      <c r="G1425" s="549" t="s">
        <v>47</v>
      </c>
      <c r="H1425" s="549" t="s">
        <v>518</v>
      </c>
      <c r="I1425" s="549" t="s">
        <v>2702</v>
      </c>
      <c r="J1425" s="550" t="s">
        <v>70</v>
      </c>
      <c r="K1425" s="551" t="s">
        <v>1020</v>
      </c>
      <c r="L1425" s="300" t="s">
        <v>2167</v>
      </c>
      <c r="M1425" s="550" t="s">
        <v>746</v>
      </c>
      <c r="N1425" s="618" t="s">
        <v>751</v>
      </c>
      <c r="O1425" s="549" t="s">
        <v>747</v>
      </c>
      <c r="P1425" s="552">
        <v>12</v>
      </c>
      <c r="Q1425" s="552">
        <v>5</v>
      </c>
      <c r="R1425" s="549">
        <v>6.1999999999999998E-3</v>
      </c>
      <c r="S1425" s="549" t="s">
        <v>352</v>
      </c>
      <c r="T1425" s="549" t="s">
        <v>56</v>
      </c>
      <c r="U1425" s="549" t="s">
        <v>739</v>
      </c>
      <c r="V1425" s="554">
        <v>447</v>
      </c>
      <c r="W1425" s="554">
        <f>1209-762</f>
        <v>447</v>
      </c>
      <c r="X1425" s="555"/>
      <c r="Y1425" s="556">
        <f t="shared" si="462"/>
        <v>0</v>
      </c>
      <c r="Z1425" s="557">
        <f t="shared" si="463"/>
        <v>0</v>
      </c>
      <c r="AA1425" s="557"/>
      <c r="AB1425" s="833"/>
      <c r="AC1425" s="554"/>
      <c r="AD1425" s="209"/>
      <c r="AE1425" s="210"/>
      <c r="AF1425" s="210"/>
      <c r="AG1425" s="211">
        <f t="shared" si="468"/>
        <v>0.14299999999999999</v>
      </c>
      <c r="AH1425" s="157">
        <f t="shared" si="467"/>
        <v>0</v>
      </c>
      <c r="AI1425" s="152">
        <f t="shared" si="466"/>
        <v>5364</v>
      </c>
      <c r="AK1425" s="156" t="s">
        <v>691</v>
      </c>
      <c r="AL1425" s="212" t="s">
        <v>690</v>
      </c>
      <c r="AM1425" s="198">
        <f t="shared" si="469"/>
        <v>0</v>
      </c>
      <c r="AN1425" s="199">
        <f t="shared" si="461"/>
        <v>45559</v>
      </c>
      <c r="AO1425" s="159" t="s">
        <v>692</v>
      </c>
      <c r="AP1425" s="783" t="s">
        <v>609</v>
      </c>
      <c r="AQ1425" s="782">
        <v>12071839</v>
      </c>
      <c r="AR1425" s="782">
        <v>12047514</v>
      </c>
      <c r="AS1425" s="782">
        <v>12047515</v>
      </c>
      <c r="AT1425" s="781"/>
      <c r="AU1425" s="781"/>
      <c r="AV1425" s="782">
        <v>12080616</v>
      </c>
      <c r="AW1425" s="781"/>
      <c r="AX1425" s="781"/>
      <c r="AY1425" s="782">
        <v>12089871</v>
      </c>
      <c r="AZ1425" s="782">
        <v>12089872</v>
      </c>
      <c r="BA1425" s="781"/>
    </row>
    <row r="1426" spans="2:53" ht="25" hidden="1" customHeight="1">
      <c r="B1426" s="398">
        <v>45559</v>
      </c>
      <c r="C1426" s="399" t="s">
        <v>1711</v>
      </c>
      <c r="D1426" s="185">
        <f t="shared" si="459"/>
        <v>2024</v>
      </c>
      <c r="E1426" s="399" t="str">
        <f>VLOOKUP($B1426,Week!$A$1:$C$1462,2,0)</f>
        <v>Week39</v>
      </c>
      <c r="F1426" s="400" t="str">
        <f t="shared" si="460"/>
        <v>Sep</v>
      </c>
      <c r="G1426" s="401" t="s">
        <v>47</v>
      </c>
      <c r="H1426" s="401" t="s">
        <v>518</v>
      </c>
      <c r="I1426" s="401" t="s">
        <v>2702</v>
      </c>
      <c r="J1426" s="402" t="s">
        <v>70</v>
      </c>
      <c r="K1426" s="403" t="s">
        <v>1645</v>
      </c>
      <c r="L1426" s="300" t="s">
        <v>2167</v>
      </c>
      <c r="M1426" s="402" t="s">
        <v>553</v>
      </c>
      <c r="N1426" s="404" t="s">
        <v>557</v>
      </c>
      <c r="O1426" s="401" t="s">
        <v>101</v>
      </c>
      <c r="P1426" s="405">
        <v>12</v>
      </c>
      <c r="Q1426" s="405">
        <v>5</v>
      </c>
      <c r="R1426" s="406">
        <v>8.0000000000000002E-3</v>
      </c>
      <c r="S1426" s="401" t="s">
        <v>40</v>
      </c>
      <c r="T1426" s="401" t="s">
        <v>56</v>
      </c>
      <c r="U1426" s="401" t="s">
        <v>499</v>
      </c>
      <c r="V1426" s="407">
        <f>767</f>
        <v>767</v>
      </c>
      <c r="W1426" s="407">
        <f>13+754</f>
        <v>767</v>
      </c>
      <c r="X1426" s="408"/>
      <c r="Y1426" s="409">
        <f t="shared" si="462"/>
        <v>0</v>
      </c>
      <c r="Z1426" s="410">
        <f t="shared" si="463"/>
        <v>0</v>
      </c>
      <c r="AA1426" s="410"/>
      <c r="AB1426" s="824">
        <v>1</v>
      </c>
      <c r="AC1426" s="407">
        <f>Z1426*AB1426</f>
        <v>0</v>
      </c>
      <c r="AD1426" s="209"/>
      <c r="AE1426" s="210"/>
      <c r="AF1426" s="210"/>
      <c r="AG1426" s="211">
        <f t="shared" si="468"/>
        <v>0.115</v>
      </c>
      <c r="AH1426" s="157">
        <f t="shared" si="467"/>
        <v>0</v>
      </c>
      <c r="AI1426" s="152">
        <f t="shared" si="466"/>
        <v>9204</v>
      </c>
      <c r="AK1426" s="156" t="s">
        <v>691</v>
      </c>
      <c r="AL1426" s="212" t="s">
        <v>690</v>
      </c>
      <c r="AM1426" s="198">
        <f t="shared" si="469"/>
        <v>0</v>
      </c>
      <c r="AN1426" s="199">
        <f t="shared" si="461"/>
        <v>45559</v>
      </c>
      <c r="AO1426" s="159" t="s">
        <v>692</v>
      </c>
      <c r="AP1426" s="783" t="s">
        <v>623</v>
      </c>
      <c r="AQ1426" s="782">
        <v>12071839</v>
      </c>
      <c r="AR1426" s="782">
        <v>12047514</v>
      </c>
      <c r="AS1426" s="782">
        <v>12047515</v>
      </c>
      <c r="AT1426" s="782"/>
      <c r="AU1426" s="781"/>
      <c r="AV1426" s="782">
        <v>12072447</v>
      </c>
      <c r="AW1426" s="782"/>
      <c r="AX1426" s="782"/>
      <c r="AY1426" s="782">
        <v>12064574</v>
      </c>
      <c r="AZ1426" s="782">
        <v>12064576</v>
      </c>
      <c r="BA1426" s="781"/>
    </row>
    <row r="1427" spans="2:53" ht="25" hidden="1" customHeight="1">
      <c r="B1427" s="424">
        <v>45559</v>
      </c>
      <c r="C1427" s="425" t="s">
        <v>1711</v>
      </c>
      <c r="D1427" s="185">
        <f t="shared" si="459"/>
        <v>2024</v>
      </c>
      <c r="E1427" s="425" t="str">
        <f>VLOOKUP($B1427,Week!$A$1:$C$1462,2,0)</f>
        <v>Week39</v>
      </c>
      <c r="F1427" s="426" t="str">
        <f t="shared" si="460"/>
        <v>Sep</v>
      </c>
      <c r="G1427" s="427" t="s">
        <v>47</v>
      </c>
      <c r="H1427" s="427" t="s">
        <v>518</v>
      </c>
      <c r="I1427" s="427" t="s">
        <v>2702</v>
      </c>
      <c r="J1427" s="428" t="s">
        <v>70</v>
      </c>
      <c r="K1427" s="429" t="s">
        <v>94</v>
      </c>
      <c r="L1427" s="300" t="s">
        <v>2167</v>
      </c>
      <c r="M1427" s="428" t="s">
        <v>521</v>
      </c>
      <c r="N1427" s="427" t="s">
        <v>587</v>
      </c>
      <c r="O1427" s="427" t="s">
        <v>3198</v>
      </c>
      <c r="P1427" s="430">
        <v>18</v>
      </c>
      <c r="Q1427" s="430">
        <v>5</v>
      </c>
      <c r="R1427" s="431">
        <v>8.0000000000000002E-3</v>
      </c>
      <c r="S1427" s="427" t="s">
        <v>40</v>
      </c>
      <c r="T1427" s="427" t="s">
        <v>56</v>
      </c>
      <c r="U1427" s="427" t="s">
        <v>89</v>
      </c>
      <c r="V1427" s="432">
        <f>972</f>
        <v>972</v>
      </c>
      <c r="W1427" s="432">
        <f>971</f>
        <v>971</v>
      </c>
      <c r="X1427" s="433">
        <f>1</f>
        <v>1</v>
      </c>
      <c r="Y1427" s="434">
        <f t="shared" si="462"/>
        <v>0</v>
      </c>
      <c r="Z1427" s="435">
        <f t="shared" si="463"/>
        <v>0</v>
      </c>
      <c r="AA1427" s="435"/>
      <c r="AB1427" s="826">
        <v>1</v>
      </c>
      <c r="AC1427" s="432">
        <f>Z1427*AB1427</f>
        <v>0</v>
      </c>
      <c r="AD1427" s="209"/>
      <c r="AE1427" s="210"/>
      <c r="AF1427" s="210"/>
      <c r="AG1427" s="211" t="e">
        <f>(MID(O1427,1,3)/1000)/3</f>
        <v>#VALUE!</v>
      </c>
      <c r="AH1427" s="157" t="e">
        <f t="shared" ref="AH1427:AH1437" si="470">(Z1427*AG1427)/1000</f>
        <v>#VALUE!</v>
      </c>
      <c r="AI1427" s="152">
        <f t="shared" si="466"/>
        <v>17496</v>
      </c>
      <c r="AK1427" s="156" t="s">
        <v>691</v>
      </c>
      <c r="AL1427" s="212" t="s">
        <v>690</v>
      </c>
      <c r="AM1427" s="198" t="e">
        <f t="shared" ref="AM1427:AM1458" si="471">AG1427*Z1427</f>
        <v>#VALUE!</v>
      </c>
      <c r="AN1427" s="199">
        <f t="shared" si="461"/>
        <v>45559</v>
      </c>
      <c r="AO1427" s="159" t="s">
        <v>692</v>
      </c>
      <c r="AP1427" s="783" t="s">
        <v>628</v>
      </c>
      <c r="AQ1427" s="782"/>
      <c r="AR1427" s="782"/>
      <c r="AS1427" s="782"/>
      <c r="AT1427" s="782"/>
      <c r="AU1427" s="781"/>
      <c r="AV1427" s="782">
        <v>12080791</v>
      </c>
      <c r="AW1427" s="782" t="s">
        <v>641</v>
      </c>
      <c r="AX1427" s="782" t="s">
        <v>533</v>
      </c>
      <c r="AY1427" s="782"/>
      <c r="AZ1427" s="782"/>
      <c r="BA1427" s="781"/>
    </row>
    <row r="1428" spans="2:53" ht="24.65" hidden="1" customHeight="1">
      <c r="B1428" s="411">
        <v>45559</v>
      </c>
      <c r="C1428" s="645" t="s">
        <v>1711</v>
      </c>
      <c r="D1428" s="185">
        <f t="shared" si="459"/>
        <v>2024</v>
      </c>
      <c r="E1428" s="412" t="str">
        <f>VLOOKUP($B1428,Week!$A$1:$C$1462,2,0)</f>
        <v>Week39</v>
      </c>
      <c r="F1428" s="413" t="str">
        <f t="shared" si="460"/>
        <v>Sep</v>
      </c>
      <c r="G1428" s="414" t="s">
        <v>47</v>
      </c>
      <c r="H1428" s="414" t="s">
        <v>260</v>
      </c>
      <c r="I1428" s="414" t="s">
        <v>2702</v>
      </c>
      <c r="J1428" s="415" t="s">
        <v>261</v>
      </c>
      <c r="K1428" s="416" t="s">
        <v>94</v>
      </c>
      <c r="L1428" s="300" t="s">
        <v>2167</v>
      </c>
      <c r="M1428" s="415" t="s">
        <v>1303</v>
      </c>
      <c r="N1428" s="414" t="s">
        <v>263</v>
      </c>
      <c r="O1428" s="414" t="s">
        <v>195</v>
      </c>
      <c r="P1428" s="417">
        <v>24</v>
      </c>
      <c r="Q1428" s="417">
        <v>5</v>
      </c>
      <c r="R1428" s="418">
        <v>8.0000000000000002E-3</v>
      </c>
      <c r="S1428" s="414" t="s">
        <v>40</v>
      </c>
      <c r="T1428" s="414" t="s">
        <v>56</v>
      </c>
      <c r="U1428" s="414" t="s">
        <v>57</v>
      </c>
      <c r="V1428" s="419">
        <v>1719</v>
      </c>
      <c r="W1428" s="419">
        <f>1719</f>
        <v>1719</v>
      </c>
      <c r="X1428" s="420"/>
      <c r="Y1428" s="421">
        <f t="shared" si="462"/>
        <v>0</v>
      </c>
      <c r="Z1428" s="422">
        <f t="shared" si="463"/>
        <v>0</v>
      </c>
      <c r="AA1428" s="422"/>
      <c r="AB1428" s="825"/>
      <c r="AC1428" s="419"/>
      <c r="AD1428" s="209"/>
      <c r="AE1428" s="210"/>
      <c r="AF1428" s="210"/>
      <c r="AG1428" s="211">
        <f>MID(O1428,1,3)/1000</f>
        <v>0.14499999999999999</v>
      </c>
      <c r="AH1428" s="157">
        <f t="shared" si="470"/>
        <v>0</v>
      </c>
      <c r="AI1428" s="152">
        <f t="shared" si="466"/>
        <v>41256</v>
      </c>
      <c r="AK1428" s="156" t="s">
        <v>691</v>
      </c>
      <c r="AL1428" s="212" t="s">
        <v>690</v>
      </c>
      <c r="AM1428" s="198">
        <f t="shared" si="471"/>
        <v>0</v>
      </c>
      <c r="AN1428" s="199">
        <f t="shared" si="461"/>
        <v>45559</v>
      </c>
      <c r="AO1428" s="159" t="s">
        <v>692</v>
      </c>
      <c r="AP1428" s="783" t="s">
        <v>609</v>
      </c>
      <c r="AQ1428" s="782">
        <v>12071839</v>
      </c>
      <c r="AR1428" s="782">
        <v>12047514</v>
      </c>
      <c r="AS1428" s="782">
        <v>12047515</v>
      </c>
      <c r="AT1428" s="781"/>
      <c r="AU1428" s="781"/>
      <c r="AV1428" s="782">
        <v>12080613</v>
      </c>
      <c r="AW1428" s="781"/>
      <c r="AX1428" s="781"/>
      <c r="AY1428" s="782">
        <v>12080614</v>
      </c>
      <c r="AZ1428" s="782">
        <v>12080616</v>
      </c>
      <c r="BA1428" s="781"/>
    </row>
    <row r="1429" spans="2:53" ht="25" hidden="1" customHeight="1">
      <c r="B1429" s="320">
        <v>45560</v>
      </c>
      <c r="C1429" s="321" t="s">
        <v>1711</v>
      </c>
      <c r="D1429" s="185">
        <f t="shared" si="459"/>
        <v>2024</v>
      </c>
      <c r="E1429" s="321" t="str">
        <f>VLOOKUP($B1429,Week!$A$1:$C$1462,2,0)</f>
        <v>Week39</v>
      </c>
      <c r="F1429" s="322" t="str">
        <f t="shared" si="460"/>
        <v>Sep</v>
      </c>
      <c r="G1429" s="323" t="s">
        <v>47</v>
      </c>
      <c r="H1429" s="323" t="s">
        <v>518</v>
      </c>
      <c r="I1429" s="323" t="s">
        <v>2702</v>
      </c>
      <c r="J1429" s="324" t="s">
        <v>70</v>
      </c>
      <c r="K1429" s="325" t="s">
        <v>564</v>
      </c>
      <c r="L1429" s="300" t="s">
        <v>2167</v>
      </c>
      <c r="M1429" s="324" t="s">
        <v>558</v>
      </c>
      <c r="N1429" s="323" t="s">
        <v>559</v>
      </c>
      <c r="O1429" s="323" t="s">
        <v>560</v>
      </c>
      <c r="P1429" s="326">
        <v>12</v>
      </c>
      <c r="Q1429" s="326">
        <v>3</v>
      </c>
      <c r="R1429" s="327">
        <v>8.0000000000000002E-3</v>
      </c>
      <c r="S1429" s="323" t="s">
        <v>40</v>
      </c>
      <c r="T1429" s="323" t="s">
        <v>56</v>
      </c>
      <c r="U1429" s="323" t="s">
        <v>57</v>
      </c>
      <c r="V1429" s="397">
        <f>791</f>
        <v>791</v>
      </c>
      <c r="W1429" s="328">
        <f>10+781</f>
        <v>791</v>
      </c>
      <c r="X1429" s="329"/>
      <c r="Y1429" s="330">
        <f t="shared" si="462"/>
        <v>0</v>
      </c>
      <c r="Z1429" s="331">
        <f t="shared" si="463"/>
        <v>0</v>
      </c>
      <c r="AA1429" s="331"/>
      <c r="AB1429" s="816"/>
      <c r="AC1429" s="328"/>
      <c r="AD1429" s="209"/>
      <c r="AE1429" s="210"/>
      <c r="AF1429" s="210"/>
      <c r="AG1429" s="211">
        <f>MID(O1429,1,3)/1000</f>
        <v>0.22600000000000001</v>
      </c>
      <c r="AH1429" s="157">
        <f t="shared" si="470"/>
        <v>0</v>
      </c>
      <c r="AI1429" s="152">
        <f t="shared" si="466"/>
        <v>9492</v>
      </c>
      <c r="AK1429" s="156" t="s">
        <v>691</v>
      </c>
      <c r="AL1429" s="212" t="s">
        <v>690</v>
      </c>
      <c r="AM1429" s="198">
        <f t="shared" si="471"/>
        <v>0</v>
      </c>
      <c r="AN1429" s="199">
        <f t="shared" si="461"/>
        <v>45560</v>
      </c>
      <c r="AO1429" s="159" t="s">
        <v>692</v>
      </c>
      <c r="AP1429" s="783" t="s">
        <v>623</v>
      </c>
      <c r="AQ1429" s="782">
        <v>12071839</v>
      </c>
      <c r="AR1429" s="782">
        <v>12042650</v>
      </c>
      <c r="AS1429" s="782">
        <v>12042649</v>
      </c>
      <c r="AT1429" s="782"/>
      <c r="AU1429" s="781"/>
      <c r="AV1429" s="782">
        <v>12083156</v>
      </c>
      <c r="AW1429" s="782"/>
      <c r="AX1429" s="782"/>
      <c r="AY1429" s="782">
        <v>12083147</v>
      </c>
      <c r="AZ1429" s="782">
        <v>12083148</v>
      </c>
      <c r="BA1429" s="781"/>
    </row>
    <row r="1430" spans="2:53" ht="24.65" hidden="1" customHeight="1">
      <c r="B1430" s="411">
        <v>45560</v>
      </c>
      <c r="C1430" s="645" t="s">
        <v>1711</v>
      </c>
      <c r="D1430" s="185">
        <f t="shared" si="459"/>
        <v>2024</v>
      </c>
      <c r="E1430" s="412" t="str">
        <f>VLOOKUP($B1430,Week!$A$1:$C$1462,2,0)</f>
        <v>Week39</v>
      </c>
      <c r="F1430" s="413" t="str">
        <f t="shared" si="460"/>
        <v>Sep</v>
      </c>
      <c r="G1430" s="414" t="s">
        <v>47</v>
      </c>
      <c r="H1430" s="414" t="s">
        <v>260</v>
      </c>
      <c r="I1430" s="414" t="s">
        <v>2702</v>
      </c>
      <c r="J1430" s="415" t="s">
        <v>261</v>
      </c>
      <c r="K1430" s="416" t="s">
        <v>94</v>
      </c>
      <c r="L1430" s="300" t="s">
        <v>2167</v>
      </c>
      <c r="M1430" s="415" t="s">
        <v>1303</v>
      </c>
      <c r="N1430" s="414" t="s">
        <v>263</v>
      </c>
      <c r="O1430" s="414" t="s">
        <v>195</v>
      </c>
      <c r="P1430" s="417">
        <v>24</v>
      </c>
      <c r="Q1430" s="417">
        <v>5</v>
      </c>
      <c r="R1430" s="418">
        <v>8.0000000000000002E-3</v>
      </c>
      <c r="S1430" s="414" t="s">
        <v>40</v>
      </c>
      <c r="T1430" s="414" t="s">
        <v>56</v>
      </c>
      <c r="U1430" s="414" t="s">
        <v>57</v>
      </c>
      <c r="V1430" s="419">
        <f>7385-1719</f>
        <v>5666</v>
      </c>
      <c r="W1430" s="419">
        <f>5666</f>
        <v>5666</v>
      </c>
      <c r="X1430" s="420"/>
      <c r="Y1430" s="421">
        <f t="shared" si="462"/>
        <v>0</v>
      </c>
      <c r="Z1430" s="422">
        <f t="shared" si="463"/>
        <v>0</v>
      </c>
      <c r="AA1430" s="422"/>
      <c r="AB1430" s="825"/>
      <c r="AC1430" s="419"/>
      <c r="AD1430" s="209"/>
      <c r="AE1430" s="210"/>
      <c r="AF1430" s="210"/>
      <c r="AG1430" s="211">
        <f>MID(O1430,1,3)/1000</f>
        <v>0.14499999999999999</v>
      </c>
      <c r="AH1430" s="157">
        <f t="shared" si="470"/>
        <v>0</v>
      </c>
      <c r="AI1430" s="152">
        <f t="shared" si="466"/>
        <v>135984</v>
      </c>
      <c r="AK1430" s="156" t="s">
        <v>691</v>
      </c>
      <c r="AL1430" s="212" t="s">
        <v>690</v>
      </c>
      <c r="AM1430" s="198">
        <f t="shared" si="471"/>
        <v>0</v>
      </c>
      <c r="AN1430" s="199">
        <f t="shared" si="461"/>
        <v>45560</v>
      </c>
      <c r="AO1430" s="159" t="s">
        <v>692</v>
      </c>
      <c r="AP1430" s="783" t="s">
        <v>609</v>
      </c>
      <c r="AQ1430" s="782">
        <v>12071839</v>
      </c>
      <c r="AR1430" s="782">
        <v>12047514</v>
      </c>
      <c r="AS1430" s="782">
        <v>12047515</v>
      </c>
      <c r="AT1430" s="781"/>
      <c r="AU1430" s="781"/>
      <c r="AV1430" s="782">
        <v>12080613</v>
      </c>
      <c r="AW1430" s="781"/>
      <c r="AX1430" s="781"/>
      <c r="AY1430" s="782">
        <v>12080614</v>
      </c>
      <c r="AZ1430" s="782">
        <v>12080616</v>
      </c>
      <c r="BA1430" s="781"/>
    </row>
    <row r="1431" spans="2:53" ht="24.65" hidden="1" customHeight="1">
      <c r="B1431" s="411">
        <v>45560</v>
      </c>
      <c r="C1431" s="645" t="s">
        <v>1712</v>
      </c>
      <c r="D1431" s="185">
        <f t="shared" si="459"/>
        <v>2024</v>
      </c>
      <c r="E1431" s="412" t="str">
        <f>VLOOKUP($B1431,Week!$A$1:$C$1462,2,0)</f>
        <v>Week39</v>
      </c>
      <c r="F1431" s="413" t="str">
        <f t="shared" si="460"/>
        <v>Sep</v>
      </c>
      <c r="G1431" s="414" t="s">
        <v>47</v>
      </c>
      <c r="H1431" s="414" t="s">
        <v>260</v>
      </c>
      <c r="I1431" s="414" t="s">
        <v>2702</v>
      </c>
      <c r="J1431" s="415" t="s">
        <v>261</v>
      </c>
      <c r="K1431" s="416" t="s">
        <v>94</v>
      </c>
      <c r="L1431" s="300" t="s">
        <v>2167</v>
      </c>
      <c r="M1431" s="415" t="s">
        <v>1303</v>
      </c>
      <c r="N1431" s="414" t="s">
        <v>263</v>
      </c>
      <c r="O1431" s="414" t="s">
        <v>195</v>
      </c>
      <c r="P1431" s="417">
        <v>24</v>
      </c>
      <c r="Q1431" s="417">
        <v>5</v>
      </c>
      <c r="R1431" s="418">
        <v>8.0000000000000002E-3</v>
      </c>
      <c r="S1431" s="414" t="s">
        <v>40</v>
      </c>
      <c r="T1431" s="414" t="s">
        <v>56</v>
      </c>
      <c r="U1431" s="414" t="s">
        <v>57</v>
      </c>
      <c r="V1431" s="419">
        <v>102</v>
      </c>
      <c r="W1431" s="419">
        <f>5768-5666</f>
        <v>102</v>
      </c>
      <c r="X1431" s="420"/>
      <c r="Y1431" s="421">
        <f t="shared" si="462"/>
        <v>0</v>
      </c>
      <c r="Z1431" s="422">
        <f t="shared" si="463"/>
        <v>0</v>
      </c>
      <c r="AA1431" s="422"/>
      <c r="AB1431" s="825"/>
      <c r="AC1431" s="419"/>
      <c r="AD1431" s="209"/>
      <c r="AE1431" s="210"/>
      <c r="AF1431" s="210"/>
      <c r="AG1431" s="211">
        <f>MID(O1431,1,3)/1000</f>
        <v>0.14499999999999999</v>
      </c>
      <c r="AH1431" s="157">
        <f t="shared" si="470"/>
        <v>0</v>
      </c>
      <c r="AI1431" s="152">
        <f t="shared" si="466"/>
        <v>2448</v>
      </c>
      <c r="AK1431" s="156" t="s">
        <v>691</v>
      </c>
      <c r="AL1431" s="212" t="s">
        <v>690</v>
      </c>
      <c r="AM1431" s="198">
        <f t="shared" si="471"/>
        <v>0</v>
      </c>
      <c r="AN1431" s="199">
        <f t="shared" si="461"/>
        <v>45560</v>
      </c>
      <c r="AO1431" s="159" t="s">
        <v>692</v>
      </c>
      <c r="AP1431" s="783" t="s">
        <v>609</v>
      </c>
      <c r="AQ1431" s="782">
        <v>12071839</v>
      </c>
      <c r="AR1431" s="782">
        <v>12047514</v>
      </c>
      <c r="AS1431" s="782">
        <v>12047515</v>
      </c>
      <c r="AT1431" s="781"/>
      <c r="AU1431" s="781"/>
      <c r="AV1431" s="782">
        <v>12080613</v>
      </c>
      <c r="AW1431" s="781"/>
      <c r="AX1431" s="781"/>
      <c r="AY1431" s="782">
        <v>12080614</v>
      </c>
      <c r="AZ1431" s="782">
        <v>12080616</v>
      </c>
      <c r="BA1431" s="781"/>
    </row>
    <row r="1432" spans="2:53" ht="25" hidden="1" customHeight="1">
      <c r="B1432" s="424">
        <v>45560</v>
      </c>
      <c r="C1432" s="425" t="s">
        <v>1711</v>
      </c>
      <c r="D1432" s="185">
        <f t="shared" si="459"/>
        <v>2024</v>
      </c>
      <c r="E1432" s="425" t="str">
        <f>VLOOKUP($B1432,Week!$A$1:$C$1462,2,0)</f>
        <v>Week39</v>
      </c>
      <c r="F1432" s="426" t="str">
        <f t="shared" si="460"/>
        <v>Sep</v>
      </c>
      <c r="G1432" s="427" t="s">
        <v>47</v>
      </c>
      <c r="H1432" s="427" t="s">
        <v>518</v>
      </c>
      <c r="I1432" s="427" t="s">
        <v>2702</v>
      </c>
      <c r="J1432" s="428" t="s">
        <v>70</v>
      </c>
      <c r="K1432" s="429" t="s">
        <v>94</v>
      </c>
      <c r="L1432" s="300" t="s">
        <v>2167</v>
      </c>
      <c r="M1432" s="428" t="s">
        <v>521</v>
      </c>
      <c r="N1432" s="427" t="s">
        <v>587</v>
      </c>
      <c r="O1432" s="427" t="s">
        <v>3198</v>
      </c>
      <c r="P1432" s="430">
        <v>18</v>
      </c>
      <c r="Q1432" s="430">
        <v>5</v>
      </c>
      <c r="R1432" s="431">
        <v>8.0000000000000002E-3</v>
      </c>
      <c r="S1432" s="427" t="s">
        <v>40</v>
      </c>
      <c r="T1432" s="427" t="s">
        <v>56</v>
      </c>
      <c r="U1432" s="427" t="s">
        <v>89</v>
      </c>
      <c r="V1432" s="432">
        <f>1329-972</f>
        <v>357</v>
      </c>
      <c r="W1432" s="432"/>
      <c r="X1432" s="433">
        <f>357</f>
        <v>357</v>
      </c>
      <c r="Y1432" s="434">
        <f t="shared" si="462"/>
        <v>0</v>
      </c>
      <c r="Z1432" s="435">
        <f t="shared" si="463"/>
        <v>0</v>
      </c>
      <c r="AA1432" s="435"/>
      <c r="AB1432" s="826">
        <v>1</v>
      </c>
      <c r="AC1432" s="432">
        <f>Z1432*AB1432</f>
        <v>0</v>
      </c>
      <c r="AD1432" s="443" t="s">
        <v>1791</v>
      </c>
      <c r="AE1432" s="210"/>
      <c r="AF1432" s="210"/>
      <c r="AG1432" s="211" t="e">
        <f>(MID(O1432,1,3)/1000)/3</f>
        <v>#VALUE!</v>
      </c>
      <c r="AH1432" s="157" t="e">
        <f t="shared" si="470"/>
        <v>#VALUE!</v>
      </c>
      <c r="AI1432" s="152">
        <f t="shared" si="466"/>
        <v>6426</v>
      </c>
      <c r="AK1432" s="156" t="s">
        <v>691</v>
      </c>
      <c r="AL1432" s="212" t="s">
        <v>690</v>
      </c>
      <c r="AM1432" s="198" t="e">
        <f t="shared" si="471"/>
        <v>#VALUE!</v>
      </c>
      <c r="AN1432" s="199">
        <f t="shared" si="461"/>
        <v>45560</v>
      </c>
      <c r="AO1432" s="159" t="s">
        <v>692</v>
      </c>
      <c r="AP1432" s="783" t="s">
        <v>628</v>
      </c>
      <c r="AQ1432" s="782"/>
      <c r="AR1432" s="782"/>
      <c r="AS1432" s="782"/>
      <c r="AT1432" s="782"/>
      <c r="AU1432" s="781"/>
      <c r="AV1432" s="782">
        <v>12080791</v>
      </c>
      <c r="AW1432" s="782" t="s">
        <v>641</v>
      </c>
      <c r="AX1432" s="782" t="s">
        <v>533</v>
      </c>
      <c r="AY1432" s="782"/>
      <c r="AZ1432" s="782"/>
      <c r="BA1432" s="781"/>
    </row>
    <row r="1433" spans="2:53" ht="24.75" hidden="1" customHeight="1">
      <c r="B1433" s="333">
        <v>45561</v>
      </c>
      <c r="C1433" s="333">
        <v>45581</v>
      </c>
      <c r="D1433" s="185">
        <f t="shared" si="459"/>
        <v>2024</v>
      </c>
      <c r="E1433" s="335" t="str">
        <f>VLOOKUP($B1433,Week!$A$1:$C$1462,2,0)</f>
        <v>Week39</v>
      </c>
      <c r="F1433" s="334" t="str">
        <f t="shared" si="460"/>
        <v>Sep</v>
      </c>
      <c r="G1433" s="335" t="s">
        <v>1739</v>
      </c>
      <c r="H1433" s="335" t="s">
        <v>363</v>
      </c>
      <c r="I1433" s="335" t="s">
        <v>2772</v>
      </c>
      <c r="J1433" s="336" t="s">
        <v>364</v>
      </c>
      <c r="K1433" s="337" t="s">
        <v>176</v>
      </c>
      <c r="L1433" s="300" t="s">
        <v>2167</v>
      </c>
      <c r="M1433" s="382" t="s">
        <v>646</v>
      </c>
      <c r="N1433" s="335" t="s">
        <v>647</v>
      </c>
      <c r="O1433" s="335" t="s">
        <v>599</v>
      </c>
      <c r="P1433" s="338">
        <v>36</v>
      </c>
      <c r="Q1433" s="338">
        <v>5</v>
      </c>
      <c r="R1433" s="339">
        <v>8.0000000000000002E-3</v>
      </c>
      <c r="S1433" s="335" t="s">
        <v>40</v>
      </c>
      <c r="T1433" s="335" t="s">
        <v>112</v>
      </c>
      <c r="U1433" s="335" t="s">
        <v>57</v>
      </c>
      <c r="V1433" s="341">
        <v>1288</v>
      </c>
      <c r="W1433" s="341">
        <f>5+1265</f>
        <v>1270</v>
      </c>
      <c r="X1433" s="342">
        <v>18</v>
      </c>
      <c r="Y1433" s="343">
        <f t="shared" si="462"/>
        <v>0</v>
      </c>
      <c r="Z1433" s="344">
        <f t="shared" si="463"/>
        <v>0</v>
      </c>
      <c r="AA1433" s="344"/>
      <c r="AB1433" s="821"/>
      <c r="AC1433" s="341"/>
      <c r="AD1433" s="209"/>
      <c r="AE1433" s="210"/>
      <c r="AF1433" s="210"/>
      <c r="AG1433" s="211">
        <f t="shared" ref="AG1433:AG1447" si="472">MID(O1433,1,3)/1000</f>
        <v>0.14799999999999999</v>
      </c>
      <c r="AH1433" s="157">
        <f t="shared" si="470"/>
        <v>0</v>
      </c>
      <c r="AI1433" s="152">
        <f t="shared" si="466"/>
        <v>46368</v>
      </c>
      <c r="AK1433" s="156" t="s">
        <v>691</v>
      </c>
      <c r="AL1433" s="574" t="s">
        <v>690</v>
      </c>
      <c r="AM1433" s="198">
        <f t="shared" si="471"/>
        <v>0</v>
      </c>
      <c r="AN1433" s="199">
        <f t="shared" si="461"/>
        <v>45561</v>
      </c>
      <c r="AO1433" s="159" t="s">
        <v>692</v>
      </c>
      <c r="AP1433" s="781"/>
      <c r="AQ1433" s="782">
        <v>12071839</v>
      </c>
      <c r="AR1433" s="782">
        <v>12047514</v>
      </c>
      <c r="AS1433" s="782">
        <v>12047515</v>
      </c>
      <c r="AT1433" s="782">
        <v>12084374</v>
      </c>
      <c r="AU1433" s="781"/>
      <c r="AV1433" s="782">
        <v>12084372</v>
      </c>
      <c r="AW1433" s="782">
        <v>12024404</v>
      </c>
      <c r="AX1433" s="782"/>
      <c r="AY1433" s="782">
        <v>12084373</v>
      </c>
      <c r="AZ1433" s="782"/>
      <c r="BA1433" s="781"/>
    </row>
    <row r="1434" spans="2:53" ht="25" hidden="1" customHeight="1">
      <c r="B1434" s="488">
        <v>45561</v>
      </c>
      <c r="C1434" s="487">
        <v>45576</v>
      </c>
      <c r="D1434" s="185">
        <f t="shared" si="459"/>
        <v>2024</v>
      </c>
      <c r="E1434" s="614" t="str">
        <f>VLOOKUP($B1434,Week!$A$1:$C$1462,2,0)</f>
        <v>Week39</v>
      </c>
      <c r="F1434" s="445" t="str">
        <f t="shared" si="460"/>
        <v>Sep</v>
      </c>
      <c r="G1434" s="615" t="s">
        <v>1560</v>
      </c>
      <c r="H1434" s="444" t="s">
        <v>104</v>
      </c>
      <c r="I1434" s="444" t="s">
        <v>2772</v>
      </c>
      <c r="J1434" s="490" t="s">
        <v>105</v>
      </c>
      <c r="K1434" s="491" t="s">
        <v>1643</v>
      </c>
      <c r="L1434" s="300" t="s">
        <v>2167</v>
      </c>
      <c r="M1434" s="490" t="s">
        <v>336</v>
      </c>
      <c r="N1434" s="615" t="s">
        <v>745</v>
      </c>
      <c r="O1434" s="444" t="s">
        <v>743</v>
      </c>
      <c r="P1434" s="492">
        <v>36</v>
      </c>
      <c r="Q1434" s="492">
        <v>5</v>
      </c>
      <c r="R1434" s="493">
        <v>7.4999999999999997E-3</v>
      </c>
      <c r="S1434" s="444" t="s">
        <v>40</v>
      </c>
      <c r="T1434" s="444" t="s">
        <v>112</v>
      </c>
      <c r="U1434" s="616" t="s">
        <v>721</v>
      </c>
      <c r="V1434" s="494">
        <v>1288</v>
      </c>
      <c r="W1434" s="494">
        <f>2489-1184-1288+1271</f>
        <v>1288</v>
      </c>
      <c r="X1434" s="495"/>
      <c r="Y1434" s="496">
        <f t="shared" si="462"/>
        <v>0</v>
      </c>
      <c r="Z1434" s="497">
        <f t="shared" si="463"/>
        <v>0</v>
      </c>
      <c r="AA1434" s="497"/>
      <c r="AB1434" s="829"/>
      <c r="AC1434" s="494"/>
      <c r="AD1434" s="515"/>
      <c r="AE1434" s="210"/>
      <c r="AF1434" s="210"/>
      <c r="AG1434" s="211">
        <f t="shared" si="472"/>
        <v>0.14699999999999999</v>
      </c>
      <c r="AH1434" s="157">
        <f t="shared" si="470"/>
        <v>0</v>
      </c>
      <c r="AI1434" s="152">
        <f t="shared" si="466"/>
        <v>46368</v>
      </c>
      <c r="AK1434" s="156" t="s">
        <v>691</v>
      </c>
      <c r="AL1434" s="574" t="s">
        <v>690</v>
      </c>
      <c r="AM1434" s="198">
        <f t="shared" si="471"/>
        <v>0</v>
      </c>
      <c r="AN1434" s="199">
        <f t="shared" si="461"/>
        <v>45561</v>
      </c>
      <c r="AO1434" s="159" t="s">
        <v>692</v>
      </c>
      <c r="AP1434" s="783" t="s">
        <v>639</v>
      </c>
      <c r="AQ1434" s="782">
        <v>12071839</v>
      </c>
      <c r="AR1434" s="782">
        <v>12047514</v>
      </c>
      <c r="AS1434" s="782">
        <v>12047515</v>
      </c>
      <c r="AT1434" s="782">
        <v>12089764</v>
      </c>
      <c r="AU1434" s="781"/>
      <c r="AV1434" s="782">
        <v>12089763</v>
      </c>
      <c r="AW1434" s="782">
        <v>12024404</v>
      </c>
      <c r="AX1434" s="781"/>
      <c r="AY1434" s="782">
        <v>12089765</v>
      </c>
      <c r="AZ1434" s="781"/>
      <c r="BA1434" s="781"/>
    </row>
    <row r="1435" spans="2:53" ht="25" hidden="1" customHeight="1">
      <c r="B1435" s="488">
        <v>45561</v>
      </c>
      <c r="C1435" s="487">
        <v>45583</v>
      </c>
      <c r="D1435" s="185">
        <f t="shared" si="459"/>
        <v>2024</v>
      </c>
      <c r="E1435" s="614" t="str">
        <f>VLOOKUP($B1435,Week!$A$1:$C$1462,2,0)</f>
        <v>Week39</v>
      </c>
      <c r="F1435" s="445" t="str">
        <f t="shared" si="460"/>
        <v>Sep</v>
      </c>
      <c r="G1435" s="615" t="s">
        <v>1561</v>
      </c>
      <c r="H1435" s="444" t="s">
        <v>104</v>
      </c>
      <c r="I1435" s="444" t="s">
        <v>2772</v>
      </c>
      <c r="J1435" s="490" t="s">
        <v>105</v>
      </c>
      <c r="K1435" s="491" t="s">
        <v>1643</v>
      </c>
      <c r="L1435" s="300" t="s">
        <v>2167</v>
      </c>
      <c r="M1435" s="490" t="s">
        <v>336</v>
      </c>
      <c r="N1435" s="615" t="s">
        <v>745</v>
      </c>
      <c r="O1435" s="444" t="s">
        <v>743</v>
      </c>
      <c r="P1435" s="492">
        <v>36</v>
      </c>
      <c r="Q1435" s="492">
        <v>5</v>
      </c>
      <c r="R1435" s="493">
        <v>7.4999999999999997E-3</v>
      </c>
      <c r="S1435" s="444" t="s">
        <v>40</v>
      </c>
      <c r="T1435" s="444" t="s">
        <v>112</v>
      </c>
      <c r="U1435" s="616" t="s">
        <v>721</v>
      </c>
      <c r="V1435" s="494">
        <v>1288</v>
      </c>
      <c r="W1435" s="494">
        <v>1288</v>
      </c>
      <c r="X1435" s="495"/>
      <c r="Y1435" s="496">
        <f t="shared" si="462"/>
        <v>0</v>
      </c>
      <c r="Z1435" s="497">
        <f t="shared" si="463"/>
        <v>0</v>
      </c>
      <c r="AA1435" s="497"/>
      <c r="AB1435" s="829"/>
      <c r="AC1435" s="494"/>
      <c r="AD1435" s="515"/>
      <c r="AE1435" s="210"/>
      <c r="AF1435" s="210"/>
      <c r="AG1435" s="211">
        <f t="shared" si="472"/>
        <v>0.14699999999999999</v>
      </c>
      <c r="AH1435" s="157">
        <f t="shared" si="470"/>
        <v>0</v>
      </c>
      <c r="AI1435" s="152">
        <f t="shared" si="466"/>
        <v>46368</v>
      </c>
      <c r="AK1435" s="156" t="s">
        <v>691</v>
      </c>
      <c r="AL1435" s="574" t="s">
        <v>690</v>
      </c>
      <c r="AM1435" s="198">
        <f t="shared" si="471"/>
        <v>0</v>
      </c>
      <c r="AN1435" s="199">
        <f t="shared" si="461"/>
        <v>45561</v>
      </c>
      <c r="AO1435" s="159" t="s">
        <v>692</v>
      </c>
      <c r="AP1435" s="783" t="s">
        <v>639</v>
      </c>
      <c r="AQ1435" s="782">
        <v>12071839</v>
      </c>
      <c r="AR1435" s="782">
        <v>12047514</v>
      </c>
      <c r="AS1435" s="782">
        <v>12047515</v>
      </c>
      <c r="AT1435" s="782">
        <v>12089764</v>
      </c>
      <c r="AU1435" s="781"/>
      <c r="AV1435" s="782">
        <v>12089763</v>
      </c>
      <c r="AW1435" s="782">
        <v>12024404</v>
      </c>
      <c r="AX1435" s="781"/>
      <c r="AY1435" s="782">
        <v>12089765</v>
      </c>
      <c r="AZ1435" s="781"/>
      <c r="BA1435" s="781"/>
    </row>
    <row r="1436" spans="2:53" ht="25" hidden="1" customHeight="1">
      <c r="B1436" s="488">
        <v>45561</v>
      </c>
      <c r="C1436" s="487">
        <v>45583</v>
      </c>
      <c r="D1436" s="185">
        <f t="shared" si="459"/>
        <v>2024</v>
      </c>
      <c r="E1436" s="614" t="str">
        <f>VLOOKUP($B1436,Week!$A$1:$C$1462,2,0)</f>
        <v>Week39</v>
      </c>
      <c r="F1436" s="445" t="str">
        <f t="shared" si="460"/>
        <v>Sep</v>
      </c>
      <c r="G1436" s="615" t="s">
        <v>1564</v>
      </c>
      <c r="H1436" s="444" t="s">
        <v>104</v>
      </c>
      <c r="I1436" s="444" t="s">
        <v>2772</v>
      </c>
      <c r="J1436" s="490" t="s">
        <v>105</v>
      </c>
      <c r="K1436" s="491" t="s">
        <v>1643</v>
      </c>
      <c r="L1436" s="300" t="s">
        <v>2167</v>
      </c>
      <c r="M1436" s="490" t="s">
        <v>336</v>
      </c>
      <c r="N1436" s="615" t="s">
        <v>745</v>
      </c>
      <c r="O1436" s="444" t="s">
        <v>743</v>
      </c>
      <c r="P1436" s="492">
        <v>36</v>
      </c>
      <c r="Q1436" s="492">
        <v>5</v>
      </c>
      <c r="R1436" s="493">
        <v>7.4999999999999997E-3</v>
      </c>
      <c r="S1436" s="444" t="s">
        <v>40</v>
      </c>
      <c r="T1436" s="444" t="s">
        <v>112</v>
      </c>
      <c r="U1436" s="616" t="s">
        <v>721</v>
      </c>
      <c r="V1436" s="494">
        <f>2602-1271-1288</f>
        <v>43</v>
      </c>
      <c r="W1436" s="494">
        <v>43</v>
      </c>
      <c r="X1436" s="495"/>
      <c r="Y1436" s="496">
        <f t="shared" si="462"/>
        <v>0</v>
      </c>
      <c r="Z1436" s="497">
        <f t="shared" si="463"/>
        <v>0</v>
      </c>
      <c r="AA1436" s="497"/>
      <c r="AB1436" s="829"/>
      <c r="AC1436" s="494"/>
      <c r="AD1436" s="515"/>
      <c r="AE1436" s="210"/>
      <c r="AF1436" s="210"/>
      <c r="AG1436" s="211">
        <f t="shared" si="472"/>
        <v>0.14699999999999999</v>
      </c>
      <c r="AH1436" s="157">
        <f t="shared" si="470"/>
        <v>0</v>
      </c>
      <c r="AI1436" s="152">
        <f t="shared" si="466"/>
        <v>1548</v>
      </c>
      <c r="AK1436" s="156" t="s">
        <v>691</v>
      </c>
      <c r="AL1436" s="574" t="s">
        <v>690</v>
      </c>
      <c r="AM1436" s="198">
        <f t="shared" si="471"/>
        <v>0</v>
      </c>
      <c r="AN1436" s="199">
        <f t="shared" si="461"/>
        <v>45561</v>
      </c>
      <c r="AO1436" s="159" t="s">
        <v>692</v>
      </c>
      <c r="AP1436" s="783" t="s">
        <v>639</v>
      </c>
      <c r="AQ1436" s="782">
        <v>12071839</v>
      </c>
      <c r="AR1436" s="782">
        <v>12047514</v>
      </c>
      <c r="AS1436" s="782">
        <v>12047515</v>
      </c>
      <c r="AT1436" s="782">
        <v>12089764</v>
      </c>
      <c r="AU1436" s="781"/>
      <c r="AV1436" s="782">
        <v>12089763</v>
      </c>
      <c r="AW1436" s="782">
        <v>12024404</v>
      </c>
      <c r="AX1436" s="781"/>
      <c r="AY1436" s="782">
        <v>12089765</v>
      </c>
      <c r="AZ1436" s="781"/>
      <c r="BA1436" s="781"/>
    </row>
    <row r="1437" spans="2:53" ht="25" hidden="1" customHeight="1">
      <c r="B1437" s="357">
        <v>45562</v>
      </c>
      <c r="C1437" s="358">
        <v>45596</v>
      </c>
      <c r="D1437" s="185">
        <f t="shared" si="459"/>
        <v>2024</v>
      </c>
      <c r="E1437" s="358" t="str">
        <f>VLOOKUP($B1437,Week!$A$1:$C$1462,2,0)</f>
        <v>Week39</v>
      </c>
      <c r="F1437" s="360" t="str">
        <f t="shared" si="460"/>
        <v>Sep</v>
      </c>
      <c r="G1437" s="436" t="s">
        <v>1604</v>
      </c>
      <c r="H1437" s="359" t="s">
        <v>225</v>
      </c>
      <c r="I1437" s="359" t="s">
        <v>2773</v>
      </c>
      <c r="J1437" s="361" t="s">
        <v>650</v>
      </c>
      <c r="K1437" s="362" t="s">
        <v>593</v>
      </c>
      <c r="L1437" s="300" t="s">
        <v>2167</v>
      </c>
      <c r="M1437" s="361" t="s">
        <v>717</v>
      </c>
      <c r="N1437" s="359" t="s">
        <v>719</v>
      </c>
      <c r="O1437" s="359" t="s">
        <v>230</v>
      </c>
      <c r="P1437" s="363">
        <v>12</v>
      </c>
      <c r="Q1437" s="363">
        <v>5</v>
      </c>
      <c r="R1437" s="364">
        <v>6.0000000000000001E-3</v>
      </c>
      <c r="S1437" s="359" t="s">
        <v>55</v>
      </c>
      <c r="T1437" s="359" t="s">
        <v>112</v>
      </c>
      <c r="U1437" s="359" t="s">
        <v>57</v>
      </c>
      <c r="V1437" s="365">
        <v>2600</v>
      </c>
      <c r="W1437" s="365"/>
      <c r="X1437" s="366">
        <f>(1821+29379)/12</f>
        <v>2600</v>
      </c>
      <c r="Y1437" s="367">
        <f t="shared" si="462"/>
        <v>0</v>
      </c>
      <c r="Z1437" s="368">
        <f t="shared" si="463"/>
        <v>0</v>
      </c>
      <c r="AA1437" s="368"/>
      <c r="AB1437" s="819"/>
      <c r="AC1437" s="365"/>
      <c r="AD1437" s="209"/>
      <c r="AE1437" s="210"/>
      <c r="AF1437" s="210"/>
      <c r="AG1437" s="211">
        <f t="shared" si="472"/>
        <v>0.25800000000000001</v>
      </c>
      <c r="AH1437" s="157">
        <f t="shared" si="470"/>
        <v>0</v>
      </c>
      <c r="AI1437" s="152">
        <f t="shared" si="466"/>
        <v>31200</v>
      </c>
      <c r="AK1437" s="156" t="s">
        <v>691</v>
      </c>
      <c r="AL1437" s="574" t="s">
        <v>690</v>
      </c>
      <c r="AM1437" s="198">
        <f t="shared" si="471"/>
        <v>0</v>
      </c>
      <c r="AN1437" s="199">
        <f t="shared" si="461"/>
        <v>45562</v>
      </c>
      <c r="AO1437" s="159" t="s">
        <v>692</v>
      </c>
      <c r="AP1437" s="783" t="s">
        <v>612</v>
      </c>
      <c r="AQ1437" s="782">
        <v>12071839</v>
      </c>
      <c r="AR1437" s="782">
        <v>12042650</v>
      </c>
      <c r="AS1437" s="782">
        <v>12042649</v>
      </c>
      <c r="AT1437" s="782">
        <v>12088423</v>
      </c>
      <c r="AU1437" s="781"/>
      <c r="AV1437" s="782">
        <v>12088422</v>
      </c>
      <c r="AW1437" s="782"/>
      <c r="AX1437" s="782"/>
      <c r="AY1437" s="782"/>
      <c r="AZ1437" s="782"/>
      <c r="BA1437" s="781"/>
    </row>
    <row r="1438" spans="2:53" ht="25" hidden="1" customHeight="1">
      <c r="B1438" s="246">
        <v>45562</v>
      </c>
      <c r="C1438" s="247">
        <v>45572</v>
      </c>
      <c r="D1438" s="185">
        <f t="shared" si="459"/>
        <v>2024</v>
      </c>
      <c r="E1438" s="247" t="str">
        <f>VLOOKUP($B1438,Week!$A$1:$C$1462,2,0)</f>
        <v>Week39</v>
      </c>
      <c r="F1438" s="248" t="str">
        <f t="shared" si="460"/>
        <v>Sep</v>
      </c>
      <c r="G1438" s="599" t="s">
        <v>1457</v>
      </c>
      <c r="H1438" s="249" t="s">
        <v>104</v>
      </c>
      <c r="I1438" s="249" t="s">
        <v>2772</v>
      </c>
      <c r="J1438" s="250" t="s">
        <v>105</v>
      </c>
      <c r="K1438" s="251" t="s">
        <v>593</v>
      </c>
      <c r="L1438" s="300" t="s">
        <v>2167</v>
      </c>
      <c r="M1438" s="250" t="s">
        <v>594</v>
      </c>
      <c r="N1438" s="249" t="s">
        <v>596</v>
      </c>
      <c r="O1438" s="249" t="s">
        <v>304</v>
      </c>
      <c r="P1438" s="252">
        <v>8</v>
      </c>
      <c r="Q1438" s="252">
        <v>5</v>
      </c>
      <c r="R1438" s="253">
        <v>6.0000000000000001E-3</v>
      </c>
      <c r="S1438" s="249" t="s">
        <v>55</v>
      </c>
      <c r="T1438" s="249" t="s">
        <v>112</v>
      </c>
      <c r="U1438" s="249" t="s">
        <v>57</v>
      </c>
      <c r="V1438" s="254">
        <f>1400-1237</f>
        <v>163</v>
      </c>
      <c r="W1438" s="254"/>
      <c r="X1438" s="255">
        <f>(104+1200)/8</f>
        <v>163</v>
      </c>
      <c r="Y1438" s="256">
        <f t="shared" si="462"/>
        <v>0</v>
      </c>
      <c r="Z1438" s="257">
        <f t="shared" si="463"/>
        <v>0</v>
      </c>
      <c r="AA1438" s="257"/>
      <c r="AB1438" s="810"/>
      <c r="AC1438" s="254"/>
      <c r="AD1438" s="209"/>
      <c r="AE1438" s="210"/>
      <c r="AF1438" s="210"/>
      <c r="AG1438" s="211">
        <f t="shared" si="472"/>
        <v>0.25800000000000001</v>
      </c>
      <c r="AH1438" s="157">
        <v>0.26621999999999996</v>
      </c>
      <c r="AI1438" s="152">
        <f t="shared" si="466"/>
        <v>1304</v>
      </c>
      <c r="AK1438" s="156" t="s">
        <v>691</v>
      </c>
      <c r="AL1438" s="574" t="s">
        <v>690</v>
      </c>
      <c r="AM1438" s="198">
        <f t="shared" si="471"/>
        <v>0</v>
      </c>
      <c r="AN1438" s="199">
        <f t="shared" si="461"/>
        <v>45562</v>
      </c>
      <c r="AO1438" s="159" t="s">
        <v>692</v>
      </c>
      <c r="AP1438" s="781"/>
      <c r="AQ1438" s="782">
        <v>12071839</v>
      </c>
      <c r="AR1438" s="782">
        <v>12042650</v>
      </c>
      <c r="AS1438" s="782">
        <v>12042649</v>
      </c>
      <c r="AT1438" s="782">
        <v>12084100</v>
      </c>
      <c r="AU1438" s="781"/>
      <c r="AV1438" s="782">
        <v>12084001</v>
      </c>
      <c r="AW1438" s="781"/>
      <c r="AX1438" s="781"/>
      <c r="AY1438" s="781"/>
      <c r="AZ1438" s="782"/>
      <c r="BA1438" s="781"/>
    </row>
    <row r="1439" spans="2:53" ht="25" hidden="1" customHeight="1">
      <c r="B1439" s="246">
        <v>45562</v>
      </c>
      <c r="C1439" s="247">
        <v>45600</v>
      </c>
      <c r="D1439" s="185">
        <f t="shared" si="459"/>
        <v>2024</v>
      </c>
      <c r="E1439" s="247" t="str">
        <f>VLOOKUP($B1439,Week!$A$1:$C$1462,2,0)</f>
        <v>Week39</v>
      </c>
      <c r="F1439" s="248" t="str">
        <f t="shared" si="460"/>
        <v>Sep</v>
      </c>
      <c r="G1439" s="599" t="s">
        <v>1458</v>
      </c>
      <c r="H1439" s="249" t="s">
        <v>104</v>
      </c>
      <c r="I1439" s="249" t="s">
        <v>2772</v>
      </c>
      <c r="J1439" s="250" t="s">
        <v>105</v>
      </c>
      <c r="K1439" s="251" t="s">
        <v>593</v>
      </c>
      <c r="L1439" s="300" t="s">
        <v>2167</v>
      </c>
      <c r="M1439" s="250" t="s">
        <v>594</v>
      </c>
      <c r="N1439" s="249" t="s">
        <v>596</v>
      </c>
      <c r="O1439" s="249" t="s">
        <v>304</v>
      </c>
      <c r="P1439" s="252">
        <v>8</v>
      </c>
      <c r="Q1439" s="252">
        <v>5</v>
      </c>
      <c r="R1439" s="253">
        <v>6.0000000000000001E-3</v>
      </c>
      <c r="S1439" s="249" t="s">
        <v>55</v>
      </c>
      <c r="T1439" s="249" t="s">
        <v>112</v>
      </c>
      <c r="U1439" s="249" t="s">
        <v>57</v>
      </c>
      <c r="V1439" s="254">
        <v>1332</v>
      </c>
      <c r="W1439" s="254"/>
      <c r="X1439" s="255">
        <f>((11963+3815)/8)-163</f>
        <v>1809.25</v>
      </c>
      <c r="Y1439" s="256">
        <f t="shared" si="462"/>
        <v>477.25</v>
      </c>
      <c r="Z1439" s="257">
        <f t="shared" si="463"/>
        <v>0</v>
      </c>
      <c r="AA1439" s="257"/>
      <c r="AB1439" s="810"/>
      <c r="AC1439" s="254"/>
      <c r="AD1439" s="209"/>
      <c r="AE1439" s="210"/>
      <c r="AF1439" s="210"/>
      <c r="AG1439" s="211">
        <f t="shared" si="472"/>
        <v>0.25800000000000001</v>
      </c>
      <c r="AH1439" s="157">
        <v>0.26621999999999996</v>
      </c>
      <c r="AI1439" s="152">
        <f t="shared" si="466"/>
        <v>10656</v>
      </c>
      <c r="AK1439" s="156" t="s">
        <v>691</v>
      </c>
      <c r="AL1439" s="574" t="s">
        <v>690</v>
      </c>
      <c r="AM1439" s="198">
        <f t="shared" si="471"/>
        <v>0</v>
      </c>
      <c r="AN1439" s="199">
        <f t="shared" si="461"/>
        <v>45562</v>
      </c>
      <c r="AO1439" s="159" t="s">
        <v>692</v>
      </c>
      <c r="AP1439" s="781"/>
      <c r="AQ1439" s="782">
        <v>12071839</v>
      </c>
      <c r="AR1439" s="782">
        <v>12042650</v>
      </c>
      <c r="AS1439" s="782">
        <v>12042649</v>
      </c>
      <c r="AT1439" s="782">
        <v>12084100</v>
      </c>
      <c r="AU1439" s="781"/>
      <c r="AV1439" s="782">
        <v>12084001</v>
      </c>
      <c r="AW1439" s="781"/>
      <c r="AX1439" s="781"/>
      <c r="AY1439" s="781"/>
      <c r="AZ1439" s="782"/>
      <c r="BA1439" s="781"/>
    </row>
    <row r="1440" spans="2:53" ht="26.25" hidden="1" customHeight="1">
      <c r="B1440" s="235">
        <v>45562</v>
      </c>
      <c r="C1440" s="235">
        <v>45594</v>
      </c>
      <c r="D1440" s="185">
        <f t="shared" si="459"/>
        <v>2024</v>
      </c>
      <c r="E1440" s="236" t="str">
        <f>VLOOKUP($B1440,Week!$A$1:$C$1462,2,0)</f>
        <v>Week39</v>
      </c>
      <c r="F1440" s="237" t="str">
        <f t="shared" si="460"/>
        <v>Sep</v>
      </c>
      <c r="G1440" s="236" t="s">
        <v>1729</v>
      </c>
      <c r="H1440" s="236" t="s">
        <v>392</v>
      </c>
      <c r="I1440" s="236" t="s">
        <v>2772</v>
      </c>
      <c r="J1440" s="238" t="s">
        <v>393</v>
      </c>
      <c r="K1440" s="239" t="s">
        <v>1643</v>
      </c>
      <c r="L1440" s="300" t="s">
        <v>2167</v>
      </c>
      <c r="M1440" s="238" t="s">
        <v>406</v>
      </c>
      <c r="N1440" s="236" t="s">
        <v>407</v>
      </c>
      <c r="O1440" s="236" t="s">
        <v>206</v>
      </c>
      <c r="P1440" s="240">
        <v>24</v>
      </c>
      <c r="Q1440" s="240">
        <v>5</v>
      </c>
      <c r="R1440" s="241">
        <v>8.0000000000000002E-3</v>
      </c>
      <c r="S1440" s="236" t="s">
        <v>40</v>
      </c>
      <c r="T1440" s="236" t="s">
        <v>56</v>
      </c>
      <c r="U1440" s="640" t="s">
        <v>499</v>
      </c>
      <c r="V1440" s="242">
        <f>900</f>
        <v>900</v>
      </c>
      <c r="W1440" s="242">
        <f>11+889</f>
        <v>900</v>
      </c>
      <c r="X1440" s="243"/>
      <c r="Y1440" s="244">
        <f t="shared" si="462"/>
        <v>0</v>
      </c>
      <c r="Z1440" s="245">
        <f t="shared" si="463"/>
        <v>0</v>
      </c>
      <c r="AA1440" s="245"/>
      <c r="AB1440" s="809">
        <v>1</v>
      </c>
      <c r="AC1440" s="242">
        <f>Z1440*AB1440</f>
        <v>0</v>
      </c>
      <c r="AD1440" s="209"/>
      <c r="AE1440" s="210"/>
      <c r="AF1440" s="210"/>
      <c r="AG1440" s="211">
        <f t="shared" si="472"/>
        <v>0.115</v>
      </c>
      <c r="AH1440" s="157">
        <f t="shared" ref="AH1440:AH1446" si="473">(Z1440*AG1440)/1000</f>
        <v>0</v>
      </c>
      <c r="AI1440" s="152">
        <f t="shared" si="466"/>
        <v>21600</v>
      </c>
      <c r="AK1440" s="156" t="s">
        <v>691</v>
      </c>
      <c r="AL1440" s="574" t="s">
        <v>690</v>
      </c>
      <c r="AM1440" s="198">
        <f t="shared" si="471"/>
        <v>0</v>
      </c>
      <c r="AN1440" s="199">
        <f t="shared" si="461"/>
        <v>45562</v>
      </c>
      <c r="AO1440" s="159" t="s">
        <v>692</v>
      </c>
      <c r="AP1440" s="783" t="s">
        <v>608</v>
      </c>
      <c r="AQ1440" s="782">
        <v>12071839</v>
      </c>
      <c r="AR1440" s="782">
        <v>12047514</v>
      </c>
      <c r="AS1440" s="782">
        <v>12047515</v>
      </c>
      <c r="AT1440" s="781"/>
      <c r="AU1440" s="782">
        <v>12026902</v>
      </c>
      <c r="AV1440" s="782">
        <v>12081781</v>
      </c>
      <c r="AW1440" s="782">
        <v>12026904</v>
      </c>
      <c r="AX1440" s="781"/>
      <c r="AY1440" s="783" t="s">
        <v>625</v>
      </c>
      <c r="AZ1440" s="783" t="s">
        <v>1640</v>
      </c>
      <c r="BA1440" s="783" t="s">
        <v>624</v>
      </c>
    </row>
    <row r="1441" spans="1:53" ht="24.65" hidden="1" customHeight="1">
      <c r="B1441" s="224">
        <v>45562</v>
      </c>
      <c r="C1441" s="224">
        <v>45594</v>
      </c>
      <c r="D1441" s="185">
        <f t="shared" si="459"/>
        <v>2024</v>
      </c>
      <c r="E1441" s="225" t="str">
        <f>VLOOKUP($B1441,Week!$A$1:$C$1462,2,0)</f>
        <v>Week39</v>
      </c>
      <c r="F1441" s="226" t="str">
        <f t="shared" si="460"/>
        <v>Sep</v>
      </c>
      <c r="G1441" s="225" t="s">
        <v>1729</v>
      </c>
      <c r="H1441" s="225" t="s">
        <v>392</v>
      </c>
      <c r="I1441" s="225" t="s">
        <v>2772</v>
      </c>
      <c r="J1441" s="227" t="s">
        <v>393</v>
      </c>
      <c r="K1441" s="228" t="s">
        <v>176</v>
      </c>
      <c r="L1441" s="300" t="s">
        <v>2167</v>
      </c>
      <c r="M1441" s="228" t="s">
        <v>399</v>
      </c>
      <c r="N1441" s="225" t="s">
        <v>400</v>
      </c>
      <c r="O1441" s="225" t="s">
        <v>195</v>
      </c>
      <c r="P1441" s="229">
        <v>24</v>
      </c>
      <c r="Q1441" s="229">
        <v>5</v>
      </c>
      <c r="R1441" s="230">
        <v>8.0000000000000002E-3</v>
      </c>
      <c r="S1441" s="225" t="s">
        <v>40</v>
      </c>
      <c r="T1441" s="225" t="s">
        <v>56</v>
      </c>
      <c r="U1441" s="225" t="s">
        <v>57</v>
      </c>
      <c r="V1441" s="231">
        <v>900</v>
      </c>
      <c r="W1441" s="231">
        <f>15+885</f>
        <v>900</v>
      </c>
      <c r="X1441" s="232"/>
      <c r="Y1441" s="233">
        <f t="shared" si="462"/>
        <v>0</v>
      </c>
      <c r="Z1441" s="234">
        <f t="shared" si="463"/>
        <v>0</v>
      </c>
      <c r="AA1441" s="234"/>
      <c r="AB1441" s="808"/>
      <c r="AC1441" s="231"/>
      <c r="AD1441" s="220"/>
      <c r="AE1441" s="210"/>
      <c r="AF1441" s="210"/>
      <c r="AG1441" s="211">
        <f t="shared" si="472"/>
        <v>0.14499999999999999</v>
      </c>
      <c r="AH1441" s="157">
        <f t="shared" si="473"/>
        <v>0</v>
      </c>
      <c r="AI1441" s="152">
        <f t="shared" si="466"/>
        <v>21600</v>
      </c>
      <c r="AK1441" s="156" t="s">
        <v>691</v>
      </c>
      <c r="AL1441" s="574" t="s">
        <v>690</v>
      </c>
      <c r="AM1441" s="198">
        <f t="shared" si="471"/>
        <v>0</v>
      </c>
      <c r="AN1441" s="199">
        <f t="shared" si="461"/>
        <v>45562</v>
      </c>
      <c r="AO1441" s="159" t="s">
        <v>692</v>
      </c>
      <c r="AP1441" s="783" t="s">
        <v>638</v>
      </c>
      <c r="AQ1441" s="783" t="s">
        <v>631</v>
      </c>
      <c r="AR1441" s="783" t="s">
        <v>632</v>
      </c>
      <c r="AS1441" s="783" t="s">
        <v>633</v>
      </c>
      <c r="AT1441" s="781"/>
      <c r="AU1441" s="783" t="s">
        <v>626</v>
      </c>
      <c r="AV1441" s="783" t="s">
        <v>630</v>
      </c>
      <c r="AW1441" s="783" t="s">
        <v>634</v>
      </c>
      <c r="AX1441" s="781"/>
      <c r="AY1441" s="783" t="s">
        <v>635</v>
      </c>
      <c r="AZ1441" s="783" t="s">
        <v>636</v>
      </c>
      <c r="BA1441" s="783" t="s">
        <v>637</v>
      </c>
    </row>
    <row r="1442" spans="1:53" ht="24.75" hidden="1" customHeight="1">
      <c r="B1442" s="295">
        <v>45562</v>
      </c>
      <c r="C1442" s="296" t="s">
        <v>1676</v>
      </c>
      <c r="D1442" s="185">
        <f t="shared" si="459"/>
        <v>2024</v>
      </c>
      <c r="E1442" s="296" t="str">
        <f>VLOOKUP($B1442,Week!$A$1:$C$1462,2,0)</f>
        <v>Week39</v>
      </c>
      <c r="F1442" s="297" t="str">
        <f t="shared" si="460"/>
        <v>Sep</v>
      </c>
      <c r="G1442" s="648" t="s">
        <v>47</v>
      </c>
      <c r="H1442" s="298" t="s">
        <v>260</v>
      </c>
      <c r="I1442" s="298" t="s">
        <v>2702</v>
      </c>
      <c r="J1442" s="307" t="s">
        <v>904</v>
      </c>
      <c r="K1442" s="300" t="s">
        <v>176</v>
      </c>
      <c r="L1442" s="300" t="s">
        <v>2167</v>
      </c>
      <c r="M1442" s="299" t="s">
        <v>262</v>
      </c>
      <c r="N1442" s="298" t="s">
        <v>350</v>
      </c>
      <c r="O1442" s="298" t="s">
        <v>351</v>
      </c>
      <c r="P1442" s="301">
        <v>24</v>
      </c>
      <c r="Q1442" s="301">
        <v>5</v>
      </c>
      <c r="R1442" s="302">
        <v>6.1999999999999998E-3</v>
      </c>
      <c r="S1442" s="298" t="s">
        <v>352</v>
      </c>
      <c r="T1442" s="298" t="s">
        <v>56</v>
      </c>
      <c r="U1442" s="298" t="s">
        <v>57</v>
      </c>
      <c r="V1442" s="303">
        <v>2243</v>
      </c>
      <c r="W1442" s="303">
        <f>2243</f>
        <v>2243</v>
      </c>
      <c r="X1442" s="304"/>
      <c r="Y1442" s="305">
        <f t="shared" si="462"/>
        <v>0</v>
      </c>
      <c r="Z1442" s="306">
        <f t="shared" si="463"/>
        <v>0</v>
      </c>
      <c r="AA1442" s="306"/>
      <c r="AB1442" s="814"/>
      <c r="AC1442" s="303"/>
      <c r="AD1442" s="580" t="s">
        <v>672</v>
      </c>
      <c r="AE1442" s="210"/>
      <c r="AF1442" s="210"/>
      <c r="AG1442" s="211">
        <f t="shared" si="472"/>
        <v>0.13</v>
      </c>
      <c r="AH1442" s="157">
        <f t="shared" si="473"/>
        <v>0</v>
      </c>
      <c r="AI1442" s="152">
        <f t="shared" si="466"/>
        <v>53832</v>
      </c>
      <c r="AK1442" s="156" t="s">
        <v>691</v>
      </c>
      <c r="AL1442" s="574" t="s">
        <v>690</v>
      </c>
      <c r="AM1442" s="198">
        <f t="shared" si="471"/>
        <v>0</v>
      </c>
      <c r="AN1442" s="199">
        <f t="shared" si="461"/>
        <v>45562</v>
      </c>
      <c r="AO1442" s="159" t="s">
        <v>692</v>
      </c>
      <c r="AP1442" s="783" t="s">
        <v>629</v>
      </c>
      <c r="AQ1442" s="782">
        <v>12071839</v>
      </c>
      <c r="AR1442" s="782">
        <v>12078867</v>
      </c>
      <c r="AS1442" s="782">
        <v>12068233</v>
      </c>
      <c r="AT1442" s="781"/>
      <c r="AU1442" s="781"/>
      <c r="AV1442" s="782">
        <v>12062075</v>
      </c>
      <c r="AW1442" s="781"/>
      <c r="AX1442" s="781"/>
      <c r="AY1442" s="782">
        <v>12078867</v>
      </c>
      <c r="AZ1442" s="781"/>
      <c r="BA1442" s="781"/>
    </row>
    <row r="1443" spans="1:53" ht="24.65" hidden="1" customHeight="1">
      <c r="B1443" s="308">
        <v>45563</v>
      </c>
      <c r="C1443" s="309">
        <v>45596</v>
      </c>
      <c r="D1443" s="185">
        <f t="shared" si="459"/>
        <v>2024</v>
      </c>
      <c r="E1443" s="309" t="str">
        <f>VLOOKUP($B1443,Week!$A$1:$C$1462,2,0)</f>
        <v>Week39</v>
      </c>
      <c r="F1443" s="310" t="str">
        <f t="shared" si="460"/>
        <v>Sep</v>
      </c>
      <c r="G1443" s="311" t="s">
        <v>1689</v>
      </c>
      <c r="H1443" s="311" t="s">
        <v>311</v>
      </c>
      <c r="I1443" s="311" t="s">
        <v>2772</v>
      </c>
      <c r="J1443" s="312" t="s">
        <v>738</v>
      </c>
      <c r="K1443" s="313" t="s">
        <v>107</v>
      </c>
      <c r="L1443" s="300" t="s">
        <v>2167</v>
      </c>
      <c r="M1443" s="312" t="s">
        <v>313</v>
      </c>
      <c r="N1443" s="311" t="s">
        <v>314</v>
      </c>
      <c r="O1443" s="311" t="s">
        <v>110</v>
      </c>
      <c r="P1443" s="314">
        <v>36</v>
      </c>
      <c r="Q1443" s="314">
        <v>5</v>
      </c>
      <c r="R1443" s="315">
        <v>7.4999999999999997E-3</v>
      </c>
      <c r="S1443" s="311" t="s">
        <v>111</v>
      </c>
      <c r="T1443" s="311" t="s">
        <v>112</v>
      </c>
      <c r="U1443" s="311" t="s">
        <v>57</v>
      </c>
      <c r="V1443" s="316">
        <v>792</v>
      </c>
      <c r="W1443" s="316">
        <f>724</f>
        <v>724</v>
      </c>
      <c r="X1443" s="317">
        <f>(2460)/36</f>
        <v>68.333333333333329</v>
      </c>
      <c r="Y1443" s="318">
        <f t="shared" si="462"/>
        <v>0.33333333333337123</v>
      </c>
      <c r="Z1443" s="319">
        <f t="shared" si="463"/>
        <v>0</v>
      </c>
      <c r="AA1443" s="319"/>
      <c r="AB1443" s="815"/>
      <c r="AC1443" s="316"/>
      <c r="AD1443" s="515"/>
      <c r="AE1443" s="210"/>
      <c r="AF1443" s="210"/>
      <c r="AG1443" s="211">
        <f t="shared" si="472"/>
        <v>0.308</v>
      </c>
      <c r="AH1443" s="157">
        <f t="shared" si="473"/>
        <v>0</v>
      </c>
      <c r="AI1443" s="152">
        <f t="shared" si="466"/>
        <v>28512</v>
      </c>
      <c r="AK1443" s="156" t="s">
        <v>691</v>
      </c>
      <c r="AL1443" s="212" t="s">
        <v>690</v>
      </c>
      <c r="AM1443" s="198">
        <f t="shared" si="471"/>
        <v>0</v>
      </c>
      <c r="AN1443" s="199">
        <f t="shared" si="461"/>
        <v>45563</v>
      </c>
      <c r="AO1443" s="159" t="s">
        <v>692</v>
      </c>
      <c r="AP1443" s="783" t="s">
        <v>644</v>
      </c>
      <c r="AQ1443" s="782">
        <v>12063755</v>
      </c>
      <c r="AR1443" s="782">
        <v>12061353</v>
      </c>
      <c r="AS1443" s="782">
        <v>12061354</v>
      </c>
      <c r="AT1443" s="782">
        <v>12062266</v>
      </c>
      <c r="AU1443" s="781"/>
      <c r="AV1443" s="782">
        <v>12088159</v>
      </c>
      <c r="AW1443" s="782">
        <v>12088207</v>
      </c>
      <c r="AX1443" s="782"/>
      <c r="AY1443" s="782">
        <v>12062262</v>
      </c>
      <c r="AZ1443" s="782"/>
      <c r="BA1443" s="781"/>
    </row>
    <row r="1444" spans="1:53" ht="24.65" hidden="1" customHeight="1">
      <c r="B1444" s="308">
        <v>45563</v>
      </c>
      <c r="C1444" s="309">
        <v>45596</v>
      </c>
      <c r="D1444" s="185">
        <f t="shared" si="459"/>
        <v>2024</v>
      </c>
      <c r="E1444" s="309" t="str">
        <f>VLOOKUP($B1444,Week!$A$1:$C$1462,2,0)</f>
        <v>Week39</v>
      </c>
      <c r="F1444" s="310" t="str">
        <f t="shared" si="460"/>
        <v>Sep</v>
      </c>
      <c r="G1444" s="311" t="s">
        <v>1690</v>
      </c>
      <c r="H1444" s="311" t="s">
        <v>311</v>
      </c>
      <c r="I1444" s="311" t="s">
        <v>2772</v>
      </c>
      <c r="J1444" s="312" t="s">
        <v>738</v>
      </c>
      <c r="K1444" s="313" t="s">
        <v>107</v>
      </c>
      <c r="L1444" s="300" t="s">
        <v>2167</v>
      </c>
      <c r="M1444" s="312" t="s">
        <v>313</v>
      </c>
      <c r="N1444" s="311" t="s">
        <v>314</v>
      </c>
      <c r="O1444" s="311" t="s">
        <v>110</v>
      </c>
      <c r="P1444" s="314">
        <v>36</v>
      </c>
      <c r="Q1444" s="314">
        <v>5</v>
      </c>
      <c r="R1444" s="315">
        <v>7.4999999999999997E-3</v>
      </c>
      <c r="S1444" s="311" t="s">
        <v>111</v>
      </c>
      <c r="T1444" s="311" t="s">
        <v>112</v>
      </c>
      <c r="U1444" s="311" t="s">
        <v>57</v>
      </c>
      <c r="V1444" s="316">
        <v>792</v>
      </c>
      <c r="W1444" s="316">
        <v>792</v>
      </c>
      <c r="X1444" s="317"/>
      <c r="Y1444" s="318">
        <f t="shared" si="462"/>
        <v>0</v>
      </c>
      <c r="Z1444" s="319">
        <f t="shared" si="463"/>
        <v>0</v>
      </c>
      <c r="AA1444" s="319"/>
      <c r="AB1444" s="815"/>
      <c r="AC1444" s="316"/>
      <c r="AD1444" s="515"/>
      <c r="AE1444" s="210"/>
      <c r="AF1444" s="210"/>
      <c r="AG1444" s="211">
        <f t="shared" si="472"/>
        <v>0.308</v>
      </c>
      <c r="AH1444" s="157">
        <f t="shared" si="473"/>
        <v>0</v>
      </c>
      <c r="AI1444" s="152">
        <f t="shared" si="466"/>
        <v>28512</v>
      </c>
      <c r="AK1444" s="156" t="s">
        <v>691</v>
      </c>
      <c r="AL1444" s="212" t="s">
        <v>690</v>
      </c>
      <c r="AM1444" s="198">
        <f t="shared" si="471"/>
        <v>0</v>
      </c>
      <c r="AN1444" s="199">
        <f t="shared" si="461"/>
        <v>45563</v>
      </c>
      <c r="AO1444" s="159" t="s">
        <v>692</v>
      </c>
      <c r="AP1444" s="783" t="s">
        <v>644</v>
      </c>
      <c r="AQ1444" s="782">
        <v>12063755</v>
      </c>
      <c r="AR1444" s="782">
        <v>12061353</v>
      </c>
      <c r="AS1444" s="782">
        <v>12061354</v>
      </c>
      <c r="AT1444" s="782">
        <v>12062266</v>
      </c>
      <c r="AU1444" s="781"/>
      <c r="AV1444" s="782">
        <v>12088159</v>
      </c>
      <c r="AW1444" s="782">
        <v>12088207</v>
      </c>
      <c r="AX1444" s="782"/>
      <c r="AY1444" s="782">
        <v>12062262</v>
      </c>
      <c r="AZ1444" s="782"/>
      <c r="BA1444" s="781"/>
    </row>
    <row r="1445" spans="1:53" ht="24.65" hidden="1" customHeight="1">
      <c r="B1445" s="308">
        <v>45563</v>
      </c>
      <c r="C1445" s="309">
        <v>45596</v>
      </c>
      <c r="D1445" s="185">
        <f t="shared" si="459"/>
        <v>2024</v>
      </c>
      <c r="E1445" s="309" t="str">
        <f>VLOOKUP($B1445,Week!$A$1:$C$1462,2,0)</f>
        <v>Week39</v>
      </c>
      <c r="F1445" s="310" t="str">
        <f t="shared" si="460"/>
        <v>Sep</v>
      </c>
      <c r="G1445" s="311" t="s">
        <v>1691</v>
      </c>
      <c r="H1445" s="311" t="s">
        <v>311</v>
      </c>
      <c r="I1445" s="311" t="s">
        <v>2772</v>
      </c>
      <c r="J1445" s="312" t="s">
        <v>738</v>
      </c>
      <c r="K1445" s="313" t="s">
        <v>107</v>
      </c>
      <c r="L1445" s="300" t="s">
        <v>2167</v>
      </c>
      <c r="M1445" s="312" t="s">
        <v>313</v>
      </c>
      <c r="N1445" s="311" t="s">
        <v>314</v>
      </c>
      <c r="O1445" s="311" t="s">
        <v>110</v>
      </c>
      <c r="P1445" s="314">
        <v>36</v>
      </c>
      <c r="Q1445" s="314">
        <v>5</v>
      </c>
      <c r="R1445" s="315">
        <v>7.4999999999999997E-3</v>
      </c>
      <c r="S1445" s="311" t="s">
        <v>111</v>
      </c>
      <c r="T1445" s="311" t="s">
        <v>112</v>
      </c>
      <c r="U1445" s="311" t="s">
        <v>57</v>
      </c>
      <c r="V1445" s="316">
        <v>792</v>
      </c>
      <c r="W1445" s="316">
        <v>792</v>
      </c>
      <c r="X1445" s="317"/>
      <c r="Y1445" s="318">
        <f t="shared" si="462"/>
        <v>0</v>
      </c>
      <c r="Z1445" s="319">
        <f t="shared" si="463"/>
        <v>0</v>
      </c>
      <c r="AA1445" s="319"/>
      <c r="AB1445" s="815"/>
      <c r="AC1445" s="316"/>
      <c r="AD1445" s="515"/>
      <c r="AE1445" s="210"/>
      <c r="AF1445" s="210"/>
      <c r="AG1445" s="211">
        <f t="shared" si="472"/>
        <v>0.308</v>
      </c>
      <c r="AH1445" s="157">
        <f t="shared" si="473"/>
        <v>0</v>
      </c>
      <c r="AI1445" s="152">
        <f t="shared" si="466"/>
        <v>28512</v>
      </c>
      <c r="AK1445" s="156" t="s">
        <v>691</v>
      </c>
      <c r="AL1445" s="212" t="s">
        <v>690</v>
      </c>
      <c r="AM1445" s="198">
        <f t="shared" si="471"/>
        <v>0</v>
      </c>
      <c r="AN1445" s="199">
        <f t="shared" si="461"/>
        <v>45563</v>
      </c>
      <c r="AO1445" s="159" t="s">
        <v>692</v>
      </c>
      <c r="AP1445" s="783" t="s">
        <v>644</v>
      </c>
      <c r="AQ1445" s="782">
        <v>12063755</v>
      </c>
      <c r="AR1445" s="782">
        <v>12061353</v>
      </c>
      <c r="AS1445" s="782">
        <v>12061354</v>
      </c>
      <c r="AT1445" s="782">
        <v>12062266</v>
      </c>
      <c r="AU1445" s="781"/>
      <c r="AV1445" s="782">
        <v>12088159</v>
      </c>
      <c r="AW1445" s="782">
        <v>12088207</v>
      </c>
      <c r="AX1445" s="782"/>
      <c r="AY1445" s="782">
        <v>12062262</v>
      </c>
      <c r="AZ1445" s="782"/>
      <c r="BA1445" s="781"/>
    </row>
    <row r="1446" spans="1:53" ht="24.65" hidden="1" customHeight="1">
      <c r="B1446" s="308">
        <v>45563</v>
      </c>
      <c r="C1446" s="309">
        <v>45603</v>
      </c>
      <c r="D1446" s="185">
        <f t="shared" si="459"/>
        <v>2024</v>
      </c>
      <c r="E1446" s="309" t="str">
        <f>VLOOKUP($B1446,Week!$A$1:$C$1462,2,0)</f>
        <v>Week39</v>
      </c>
      <c r="F1446" s="310" t="str">
        <f t="shared" si="460"/>
        <v>Sep</v>
      </c>
      <c r="G1446" s="311" t="s">
        <v>1736</v>
      </c>
      <c r="H1446" s="311" t="s">
        <v>311</v>
      </c>
      <c r="I1446" s="311" t="s">
        <v>2772</v>
      </c>
      <c r="J1446" s="312" t="s">
        <v>738</v>
      </c>
      <c r="K1446" s="313" t="s">
        <v>107</v>
      </c>
      <c r="L1446" s="300" t="s">
        <v>2167</v>
      </c>
      <c r="M1446" s="312" t="s">
        <v>313</v>
      </c>
      <c r="N1446" s="311" t="s">
        <v>314</v>
      </c>
      <c r="O1446" s="311" t="s">
        <v>110</v>
      </c>
      <c r="P1446" s="314">
        <v>36</v>
      </c>
      <c r="Q1446" s="314">
        <v>5</v>
      </c>
      <c r="R1446" s="315">
        <v>7.4999999999999997E-3</v>
      </c>
      <c r="S1446" s="311" t="s">
        <v>111</v>
      </c>
      <c r="T1446" s="311" t="s">
        <v>112</v>
      </c>
      <c r="U1446" s="311" t="s">
        <v>57</v>
      </c>
      <c r="V1446" s="316">
        <f>161+44</f>
        <v>205</v>
      </c>
      <c r="W1446" s="316">
        <f>2469-724-792-792+44</f>
        <v>205</v>
      </c>
      <c r="X1446" s="317"/>
      <c r="Y1446" s="318">
        <f t="shared" si="462"/>
        <v>0</v>
      </c>
      <c r="Z1446" s="319">
        <f t="shared" si="463"/>
        <v>0</v>
      </c>
      <c r="AA1446" s="319"/>
      <c r="AB1446" s="815"/>
      <c r="AC1446" s="316"/>
      <c r="AD1446" s="515"/>
      <c r="AE1446" s="210"/>
      <c r="AF1446" s="210"/>
      <c r="AG1446" s="211">
        <f t="shared" si="472"/>
        <v>0.308</v>
      </c>
      <c r="AH1446" s="157">
        <f t="shared" si="473"/>
        <v>0</v>
      </c>
      <c r="AI1446" s="152">
        <f t="shared" si="466"/>
        <v>7380</v>
      </c>
      <c r="AK1446" s="156" t="s">
        <v>691</v>
      </c>
      <c r="AL1446" s="212" t="s">
        <v>690</v>
      </c>
      <c r="AM1446" s="198">
        <f t="shared" si="471"/>
        <v>0</v>
      </c>
      <c r="AN1446" s="199">
        <f t="shared" si="461"/>
        <v>45563</v>
      </c>
      <c r="AO1446" s="159" t="s">
        <v>692</v>
      </c>
      <c r="AP1446" s="783" t="s">
        <v>644</v>
      </c>
      <c r="AQ1446" s="782">
        <v>12063755</v>
      </c>
      <c r="AR1446" s="782">
        <v>12061353</v>
      </c>
      <c r="AS1446" s="782">
        <v>12061354</v>
      </c>
      <c r="AT1446" s="782">
        <v>12062266</v>
      </c>
      <c r="AU1446" s="781"/>
      <c r="AV1446" s="782">
        <v>12088159</v>
      </c>
      <c r="AW1446" s="782">
        <v>12088207</v>
      </c>
      <c r="AX1446" s="782"/>
      <c r="AY1446" s="782">
        <v>12062262</v>
      </c>
      <c r="AZ1446" s="782"/>
      <c r="BA1446" s="781"/>
    </row>
    <row r="1447" spans="1:53" ht="25" hidden="1" customHeight="1">
      <c r="B1447" s="385">
        <v>45563</v>
      </c>
      <c r="C1447" s="386">
        <v>45587</v>
      </c>
      <c r="D1447" s="185">
        <f t="shared" si="459"/>
        <v>2024</v>
      </c>
      <c r="E1447" s="386" t="str">
        <f>VLOOKUP($B1447,Week!$A$1:$C$1462,2,0)</f>
        <v>Week39</v>
      </c>
      <c r="F1447" s="387" t="str">
        <f t="shared" si="460"/>
        <v>Sep</v>
      </c>
      <c r="G1447" s="388" t="s">
        <v>1699</v>
      </c>
      <c r="H1447" s="388" t="s">
        <v>600</v>
      </c>
      <c r="I1447" s="388" t="s">
        <v>2772</v>
      </c>
      <c r="J1447" s="389" t="s">
        <v>708</v>
      </c>
      <c r="K1447" s="390" t="s">
        <v>1652</v>
      </c>
      <c r="L1447" s="300" t="s">
        <v>2167</v>
      </c>
      <c r="M1447" s="389" t="s">
        <v>603</v>
      </c>
      <c r="N1447" s="637" t="s">
        <v>1404</v>
      </c>
      <c r="O1447" s="388" t="s">
        <v>602</v>
      </c>
      <c r="P1447" s="391">
        <v>8</v>
      </c>
      <c r="Q1447" s="391">
        <v>3</v>
      </c>
      <c r="R1447" s="392">
        <v>6.0000000000000001E-3</v>
      </c>
      <c r="S1447" s="388" t="s">
        <v>55</v>
      </c>
      <c r="T1447" s="388" t="s">
        <v>112</v>
      </c>
      <c r="U1447" s="601" t="s">
        <v>724</v>
      </c>
      <c r="V1447" s="393">
        <v>3500</v>
      </c>
      <c r="W1447" s="393"/>
      <c r="X1447" s="394">
        <f>(722+27278)/8</f>
        <v>3500</v>
      </c>
      <c r="Y1447" s="395">
        <f t="shared" si="462"/>
        <v>0</v>
      </c>
      <c r="Z1447" s="396">
        <f t="shared" si="463"/>
        <v>0</v>
      </c>
      <c r="AA1447" s="396"/>
      <c r="AB1447" s="823"/>
      <c r="AC1447" s="393"/>
      <c r="AD1447" s="636"/>
      <c r="AE1447" s="210"/>
      <c r="AF1447" s="210"/>
      <c r="AG1447" s="211">
        <f t="shared" si="472"/>
        <v>0.30199999999999999</v>
      </c>
      <c r="AH1447" s="157">
        <v>0.26621999999999996</v>
      </c>
      <c r="AI1447" s="152">
        <f t="shared" si="466"/>
        <v>28000</v>
      </c>
      <c r="AK1447" s="156" t="s">
        <v>691</v>
      </c>
      <c r="AL1447" s="212" t="s">
        <v>690</v>
      </c>
      <c r="AM1447" s="198">
        <f t="shared" si="471"/>
        <v>0</v>
      </c>
      <c r="AN1447" s="199">
        <f t="shared" si="461"/>
        <v>45563</v>
      </c>
      <c r="AO1447" s="159" t="s">
        <v>692</v>
      </c>
      <c r="AP1447" s="781" t="s">
        <v>642</v>
      </c>
      <c r="AQ1447" s="782">
        <v>12063755</v>
      </c>
      <c r="AR1447" s="782">
        <v>12061353</v>
      </c>
      <c r="AS1447" s="782">
        <v>12061354</v>
      </c>
      <c r="AT1447" s="782">
        <v>12091199</v>
      </c>
      <c r="AU1447" s="781"/>
      <c r="AV1447" s="782">
        <v>12091198</v>
      </c>
      <c r="AW1447" s="781"/>
      <c r="AX1447" s="781"/>
      <c r="AY1447" s="781"/>
      <c r="AZ1447" s="782"/>
      <c r="BA1447" s="781"/>
    </row>
    <row r="1448" spans="1:53" ht="25" hidden="1" customHeight="1">
      <c r="B1448" s="183">
        <v>45564</v>
      </c>
      <c r="C1448" s="184"/>
      <c r="D1448" s="185">
        <f t="shared" si="459"/>
        <v>2024</v>
      </c>
      <c r="E1448" s="185" t="str">
        <f>VLOOKUP($B1448,Week!$A$1:$C$1462,2,0)</f>
        <v>Week39</v>
      </c>
      <c r="F1448" s="186" t="str">
        <f t="shared" si="460"/>
        <v>Sep</v>
      </c>
      <c r="G1448" s="185"/>
      <c r="H1448" s="185"/>
      <c r="I1448" s="185"/>
      <c r="J1448" s="187"/>
      <c r="K1448" s="188"/>
      <c r="L1448" s="300"/>
      <c r="M1448" s="187"/>
      <c r="N1448" s="185"/>
      <c r="O1448" s="185"/>
      <c r="P1448" s="189"/>
      <c r="Q1448" s="189"/>
      <c r="R1448" s="190"/>
      <c r="S1448" s="185"/>
      <c r="T1448" s="185"/>
      <c r="U1448" s="185"/>
      <c r="V1448" s="191"/>
      <c r="W1448" s="191"/>
      <c r="X1448" s="192"/>
      <c r="Y1448" s="193"/>
      <c r="Z1448" s="194"/>
      <c r="AA1448" s="194"/>
      <c r="AB1448" s="805"/>
      <c r="AC1448" s="191"/>
      <c r="AD1448" s="187"/>
      <c r="AE1448" s="195"/>
      <c r="AF1448" s="195"/>
      <c r="AG1448" s="196"/>
      <c r="AH1448" s="197"/>
      <c r="AK1448" s="156" t="s">
        <v>691</v>
      </c>
      <c r="AM1448" s="198">
        <f t="shared" si="471"/>
        <v>0</v>
      </c>
      <c r="AN1448" s="199">
        <f t="shared" si="461"/>
        <v>45564</v>
      </c>
      <c r="AO1448" s="159" t="s">
        <v>692</v>
      </c>
      <c r="AP1448" s="781"/>
      <c r="AQ1448" s="782"/>
      <c r="AR1448" s="782"/>
      <c r="AS1448" s="782"/>
      <c r="AT1448" s="782"/>
      <c r="AU1448" s="781"/>
      <c r="AV1448" s="782"/>
      <c r="AW1448" s="782"/>
      <c r="AX1448" s="782"/>
      <c r="AY1448" s="782"/>
      <c r="AZ1448" s="782"/>
      <c r="BA1448" s="781"/>
    </row>
    <row r="1449" spans="1:53" ht="25" hidden="1" customHeight="1">
      <c r="A1449" s="142" t="s">
        <v>120</v>
      </c>
      <c r="B1449" s="466">
        <v>45565</v>
      </c>
      <c r="C1449" s="467">
        <v>45581</v>
      </c>
      <c r="D1449" s="185">
        <f t="shared" si="459"/>
        <v>2024</v>
      </c>
      <c r="E1449" s="468" t="str">
        <f>VLOOKUP($B1449,Week!$A$1:$C$1462,2,0)</f>
        <v>Week40</v>
      </c>
      <c r="F1449" s="469" t="str">
        <f t="shared" si="460"/>
        <v>Sep</v>
      </c>
      <c r="G1449" s="470" t="s">
        <v>1701</v>
      </c>
      <c r="H1449" s="468" t="s">
        <v>82</v>
      </c>
      <c r="I1449" s="468" t="s">
        <v>82</v>
      </c>
      <c r="J1449" s="471" t="s">
        <v>720</v>
      </c>
      <c r="K1449" s="472" t="s">
        <v>85</v>
      </c>
      <c r="L1449" s="390" t="s">
        <v>2166</v>
      </c>
      <c r="M1449" s="471" t="s">
        <v>579</v>
      </c>
      <c r="N1449" s="468" t="s">
        <v>580</v>
      </c>
      <c r="O1449" s="468" t="s">
        <v>581</v>
      </c>
      <c r="P1449" s="473">
        <v>8</v>
      </c>
      <c r="Q1449" s="473">
        <v>60</v>
      </c>
      <c r="R1449" s="474">
        <v>6.8100000000000001E-3</v>
      </c>
      <c r="S1449" s="468" t="s">
        <v>76</v>
      </c>
      <c r="T1449" s="468" t="s">
        <v>56</v>
      </c>
      <c r="U1449" s="468" t="s">
        <v>89</v>
      </c>
      <c r="V1449" s="475">
        <f>1408</f>
        <v>1408</v>
      </c>
      <c r="W1449" s="475">
        <f>57+1351</f>
        <v>1408</v>
      </c>
      <c r="X1449" s="476"/>
      <c r="Y1449" s="477">
        <f t="shared" ref="Y1449:Y1474" si="474">(W1449+X1449)-V1449</f>
        <v>0</v>
      </c>
      <c r="Z1449" s="478">
        <f t="shared" ref="Z1449:Z1474" si="475">IF(Y1449&lt;0,((V1449*P1449)-((W1449+X1449)*P1449)),0)</f>
        <v>0</v>
      </c>
      <c r="AA1449" s="478">
        <f>Q1449*Z1449</f>
        <v>0</v>
      </c>
      <c r="AB1449" s="828">
        <v>6</v>
      </c>
      <c r="AC1449" s="475">
        <f>Z1449*AB1449</f>
        <v>0</v>
      </c>
      <c r="AD1449" s="209"/>
      <c r="AE1449" s="210"/>
      <c r="AF1449" s="210"/>
      <c r="AG1449" s="211">
        <f t="shared" ref="AG1449:AG1474" si="476">MID(O1449,1,3)/1000</f>
        <v>0.75</v>
      </c>
      <c r="AH1449" s="157">
        <f t="shared" ref="AH1449:AH1474" si="477">(Z1449*AG1449)/1000</f>
        <v>0</v>
      </c>
      <c r="AI1449" s="152">
        <f t="shared" ref="AI1449:AI1474" si="478">V1449*P1449</f>
        <v>11264</v>
      </c>
      <c r="AK1449" s="156" t="s">
        <v>691</v>
      </c>
      <c r="AL1449" s="156" t="s">
        <v>689</v>
      </c>
      <c r="AM1449" s="198">
        <f t="shared" si="471"/>
        <v>0</v>
      </c>
      <c r="AN1449" s="199">
        <f t="shared" si="461"/>
        <v>45565</v>
      </c>
      <c r="AO1449" s="159" t="s">
        <v>692</v>
      </c>
      <c r="AP1449" s="783" t="s">
        <v>622</v>
      </c>
      <c r="AQ1449" s="782">
        <v>12004862</v>
      </c>
      <c r="AR1449" s="782">
        <v>12080753</v>
      </c>
      <c r="AS1449" s="782"/>
      <c r="AT1449" s="782">
        <v>12082897</v>
      </c>
      <c r="AU1449" s="781"/>
      <c r="AV1449" s="782">
        <v>12082898</v>
      </c>
      <c r="AW1449" s="782">
        <v>12082899</v>
      </c>
      <c r="AX1449" s="796" t="s">
        <v>621</v>
      </c>
      <c r="AY1449" s="782"/>
      <c r="AZ1449" s="782"/>
      <c r="BA1449" s="781"/>
    </row>
    <row r="1450" spans="1:53" ht="24.75" hidden="1" customHeight="1">
      <c r="B1450" s="295">
        <v>45566</v>
      </c>
      <c r="C1450" s="296" t="s">
        <v>1676</v>
      </c>
      <c r="D1450" s="185">
        <f t="shared" si="459"/>
        <v>2024</v>
      </c>
      <c r="E1450" s="296" t="str">
        <f>VLOOKUP($B1450,Week!$A$1:$C$1462,2,0)</f>
        <v>Week40</v>
      </c>
      <c r="F1450" s="297" t="str">
        <f t="shared" si="460"/>
        <v>Oct</v>
      </c>
      <c r="G1450" s="648" t="s">
        <v>47</v>
      </c>
      <c r="H1450" s="298" t="s">
        <v>260</v>
      </c>
      <c r="I1450" s="298" t="s">
        <v>2702</v>
      </c>
      <c r="J1450" s="307" t="s">
        <v>904</v>
      </c>
      <c r="K1450" s="300" t="s">
        <v>176</v>
      </c>
      <c r="L1450" s="300" t="s">
        <v>2167</v>
      </c>
      <c r="M1450" s="299" t="s">
        <v>262</v>
      </c>
      <c r="N1450" s="298" t="s">
        <v>350</v>
      </c>
      <c r="O1450" s="298" t="s">
        <v>351</v>
      </c>
      <c r="P1450" s="301">
        <v>24</v>
      </c>
      <c r="Q1450" s="301">
        <v>5</v>
      </c>
      <c r="R1450" s="302">
        <v>6.1999999999999998E-3</v>
      </c>
      <c r="S1450" s="298" t="s">
        <v>352</v>
      </c>
      <c r="T1450" s="298" t="s">
        <v>56</v>
      </c>
      <c r="U1450" s="298" t="s">
        <v>57</v>
      </c>
      <c r="V1450" s="303">
        <v>785</v>
      </c>
      <c r="W1450" s="303">
        <f>785</f>
        <v>785</v>
      </c>
      <c r="X1450" s="304"/>
      <c r="Y1450" s="305">
        <f t="shared" si="474"/>
        <v>0</v>
      </c>
      <c r="Z1450" s="306">
        <f t="shared" si="475"/>
        <v>0</v>
      </c>
      <c r="AA1450" s="306"/>
      <c r="AB1450" s="814"/>
      <c r="AC1450" s="303"/>
      <c r="AD1450" s="580" t="s">
        <v>672</v>
      </c>
      <c r="AE1450" s="210"/>
      <c r="AF1450" s="210"/>
      <c r="AG1450" s="211">
        <f t="shared" si="476"/>
        <v>0.13</v>
      </c>
      <c r="AH1450" s="157">
        <f t="shared" si="477"/>
        <v>0</v>
      </c>
      <c r="AI1450" s="152">
        <f t="shared" si="478"/>
        <v>18840</v>
      </c>
      <c r="AK1450" s="156" t="s">
        <v>691</v>
      </c>
      <c r="AL1450" s="574" t="s">
        <v>690</v>
      </c>
      <c r="AM1450" s="198">
        <f t="shared" si="471"/>
        <v>0</v>
      </c>
      <c r="AN1450" s="199">
        <f t="shared" si="461"/>
        <v>45566</v>
      </c>
      <c r="AO1450" s="159" t="s">
        <v>692</v>
      </c>
      <c r="AP1450" s="783" t="s">
        <v>629</v>
      </c>
      <c r="AQ1450" s="782">
        <v>12071839</v>
      </c>
      <c r="AR1450" s="782">
        <v>12078867</v>
      </c>
      <c r="AS1450" s="782">
        <v>12068233</v>
      </c>
      <c r="AT1450" s="781"/>
      <c r="AU1450" s="781"/>
      <c r="AV1450" s="782">
        <v>12062075</v>
      </c>
      <c r="AW1450" s="781"/>
      <c r="AX1450" s="781"/>
      <c r="AY1450" s="782">
        <v>12078867</v>
      </c>
      <c r="AZ1450" s="781"/>
      <c r="BA1450" s="781"/>
    </row>
    <row r="1451" spans="1:53" ht="24.65" hidden="1" customHeight="1">
      <c r="B1451" s="743">
        <v>45566</v>
      </c>
      <c r="C1451" s="744" t="s">
        <v>1711</v>
      </c>
      <c r="D1451" s="185">
        <f t="shared" si="459"/>
        <v>2024</v>
      </c>
      <c r="E1451" s="744" t="str">
        <f>VLOOKUP($B1451,Week!$A$1:$C$1462,2,0)</f>
        <v>Week40</v>
      </c>
      <c r="F1451" s="745" t="str">
        <f t="shared" si="460"/>
        <v>Oct</v>
      </c>
      <c r="G1451" s="746" t="s">
        <v>47</v>
      </c>
      <c r="H1451" s="746" t="s">
        <v>260</v>
      </c>
      <c r="I1451" s="746" t="s">
        <v>2702</v>
      </c>
      <c r="J1451" s="747" t="s">
        <v>70</v>
      </c>
      <c r="K1451" s="748" t="s">
        <v>176</v>
      </c>
      <c r="L1451" s="300" t="s">
        <v>2167</v>
      </c>
      <c r="M1451" s="747" t="s">
        <v>1713</v>
      </c>
      <c r="N1451" s="746" t="s">
        <v>1728</v>
      </c>
      <c r="O1451" s="746" t="s">
        <v>742</v>
      </c>
      <c r="P1451" s="749">
        <v>24</v>
      </c>
      <c r="Q1451" s="749">
        <v>5</v>
      </c>
      <c r="R1451" s="746">
        <v>6.1999999999999998E-3</v>
      </c>
      <c r="S1451" s="746" t="s">
        <v>352</v>
      </c>
      <c r="T1451" s="746" t="s">
        <v>56</v>
      </c>
      <c r="U1451" s="746" t="s">
        <v>1714</v>
      </c>
      <c r="V1451" s="750">
        <v>4649</v>
      </c>
      <c r="W1451" s="750">
        <f>4476</f>
        <v>4476</v>
      </c>
      <c r="X1451" s="751">
        <v>173</v>
      </c>
      <c r="Y1451" s="752">
        <f t="shared" si="474"/>
        <v>0</v>
      </c>
      <c r="Z1451" s="753">
        <f t="shared" si="475"/>
        <v>0</v>
      </c>
      <c r="AA1451" s="753"/>
      <c r="AB1451" s="838"/>
      <c r="AC1451" s="750"/>
      <c r="AD1451" s="209"/>
      <c r="AE1451" s="210"/>
      <c r="AF1451" s="210"/>
      <c r="AG1451" s="211">
        <f t="shared" si="476"/>
        <v>0.14299999999999999</v>
      </c>
      <c r="AH1451" s="157">
        <f t="shared" si="477"/>
        <v>0</v>
      </c>
      <c r="AI1451" s="152">
        <f t="shared" si="478"/>
        <v>111576</v>
      </c>
      <c r="AK1451" s="156" t="s">
        <v>691</v>
      </c>
      <c r="AL1451" s="212" t="s">
        <v>690</v>
      </c>
      <c r="AM1451" s="198">
        <f t="shared" si="471"/>
        <v>0</v>
      </c>
      <c r="AN1451" s="199">
        <f t="shared" si="461"/>
        <v>45566</v>
      </c>
      <c r="AO1451" s="159" t="s">
        <v>692</v>
      </c>
      <c r="AP1451" s="783" t="s">
        <v>609</v>
      </c>
      <c r="AQ1451" s="782">
        <v>12071839</v>
      </c>
      <c r="AR1451" s="782">
        <v>12047514</v>
      </c>
      <c r="AS1451" s="782">
        <v>12047515</v>
      </c>
      <c r="AT1451" s="781"/>
      <c r="AU1451" s="781"/>
      <c r="AV1451" s="782">
        <v>12089668</v>
      </c>
      <c r="AW1451" s="781"/>
      <c r="AX1451" s="781"/>
      <c r="AY1451" s="782">
        <v>12088311</v>
      </c>
      <c r="AZ1451" s="782">
        <v>12088315</v>
      </c>
      <c r="BA1451" s="781"/>
    </row>
    <row r="1452" spans="1:53" ht="24.65" hidden="1" customHeight="1">
      <c r="B1452" s="332">
        <v>45566</v>
      </c>
      <c r="C1452" s="333" t="s">
        <v>1711</v>
      </c>
      <c r="D1452" s="185">
        <f t="shared" si="459"/>
        <v>2024</v>
      </c>
      <c r="E1452" s="333" t="str">
        <f>VLOOKUP($B1452,Week!$A$1:$C$1462,2,0)</f>
        <v>Week40</v>
      </c>
      <c r="F1452" s="334" t="str">
        <f t="shared" si="460"/>
        <v>Oct</v>
      </c>
      <c r="G1452" s="335" t="s">
        <v>47</v>
      </c>
      <c r="H1452" s="335" t="s">
        <v>518</v>
      </c>
      <c r="I1452" s="335" t="s">
        <v>2702</v>
      </c>
      <c r="J1452" s="336" t="s">
        <v>70</v>
      </c>
      <c r="K1452" s="337" t="s">
        <v>176</v>
      </c>
      <c r="L1452" s="300" t="s">
        <v>2167</v>
      </c>
      <c r="M1452" s="336" t="s">
        <v>1785</v>
      </c>
      <c r="N1452" s="335" t="s">
        <v>1784</v>
      </c>
      <c r="O1452" s="335" t="s">
        <v>747</v>
      </c>
      <c r="P1452" s="338">
        <v>12</v>
      </c>
      <c r="Q1452" s="338">
        <v>5</v>
      </c>
      <c r="R1452" s="335">
        <v>6.1999999999999998E-3</v>
      </c>
      <c r="S1452" s="335" t="s">
        <v>352</v>
      </c>
      <c r="T1452" s="335" t="s">
        <v>56</v>
      </c>
      <c r="U1452" s="335" t="s">
        <v>1714</v>
      </c>
      <c r="V1452" s="341">
        <v>1673</v>
      </c>
      <c r="W1452" s="341">
        <f>1673</f>
        <v>1673</v>
      </c>
      <c r="X1452" s="342"/>
      <c r="Y1452" s="343">
        <f t="shared" si="474"/>
        <v>0</v>
      </c>
      <c r="Z1452" s="344">
        <f t="shared" si="475"/>
        <v>0</v>
      </c>
      <c r="AA1452" s="344"/>
      <c r="AB1452" s="817"/>
      <c r="AC1452" s="341"/>
      <c r="AD1452" s="209"/>
      <c r="AE1452" s="210"/>
      <c r="AF1452" s="210"/>
      <c r="AG1452" s="211">
        <f t="shared" si="476"/>
        <v>0.14299999999999999</v>
      </c>
      <c r="AH1452" s="157">
        <f t="shared" si="477"/>
        <v>0</v>
      </c>
      <c r="AI1452" s="152">
        <f t="shared" si="478"/>
        <v>20076</v>
      </c>
      <c r="AK1452" s="156" t="s">
        <v>691</v>
      </c>
      <c r="AL1452" s="212" t="s">
        <v>690</v>
      </c>
      <c r="AM1452" s="198">
        <f t="shared" si="471"/>
        <v>0</v>
      </c>
      <c r="AN1452" s="199">
        <f t="shared" si="461"/>
        <v>45566</v>
      </c>
      <c r="AO1452" s="159" t="s">
        <v>692</v>
      </c>
      <c r="AP1452" s="783" t="s">
        <v>609</v>
      </c>
      <c r="AQ1452" s="782">
        <v>12071839</v>
      </c>
      <c r="AR1452" s="782">
        <v>12047514</v>
      </c>
      <c r="AS1452" s="782">
        <v>12047515</v>
      </c>
      <c r="AT1452" s="781"/>
      <c r="AU1452" s="781"/>
      <c r="AV1452" s="782">
        <v>12089668</v>
      </c>
      <c r="AW1452" s="781"/>
      <c r="AX1452" s="781"/>
      <c r="AY1452" s="782">
        <v>12088311</v>
      </c>
      <c r="AZ1452" s="782">
        <v>12088315</v>
      </c>
      <c r="BA1452" s="781"/>
    </row>
    <row r="1453" spans="1:53" ht="25" hidden="1" customHeight="1">
      <c r="B1453" s="213">
        <v>45567</v>
      </c>
      <c r="C1453" s="578">
        <v>45576</v>
      </c>
      <c r="D1453" s="185">
        <f t="shared" si="459"/>
        <v>2024</v>
      </c>
      <c r="E1453" s="215" t="str">
        <f>VLOOKUP($B1453,Week!$A$1:$C$1462,2,0)</f>
        <v>Week40</v>
      </c>
      <c r="F1453" s="216" t="str">
        <f t="shared" si="460"/>
        <v>Oct</v>
      </c>
      <c r="G1453" s="215" t="s">
        <v>1597</v>
      </c>
      <c r="H1453" s="215" t="s">
        <v>104</v>
      </c>
      <c r="I1453" s="215" t="s">
        <v>2772</v>
      </c>
      <c r="J1453" s="209" t="s">
        <v>105</v>
      </c>
      <c r="K1453" s="217" t="s">
        <v>107</v>
      </c>
      <c r="L1453" s="300" t="s">
        <v>2167</v>
      </c>
      <c r="M1453" s="209" t="s">
        <v>108</v>
      </c>
      <c r="N1453" s="215" t="s">
        <v>109</v>
      </c>
      <c r="O1453" s="215" t="s">
        <v>110</v>
      </c>
      <c r="P1453" s="218">
        <v>36</v>
      </c>
      <c r="Q1453" s="218">
        <v>5</v>
      </c>
      <c r="R1453" s="219">
        <v>7.4999999999999997E-3</v>
      </c>
      <c r="S1453" s="215" t="s">
        <v>111</v>
      </c>
      <c r="T1453" s="215" t="s">
        <v>112</v>
      </c>
      <c r="U1453" s="215" t="s">
        <v>113</v>
      </c>
      <c r="V1453" s="220">
        <f>792-161</f>
        <v>631</v>
      </c>
      <c r="W1453" s="220">
        <f>471</f>
        <v>471</v>
      </c>
      <c r="X1453" s="221">
        <v>160</v>
      </c>
      <c r="Y1453" s="222">
        <f t="shared" si="474"/>
        <v>0</v>
      </c>
      <c r="Z1453" s="223">
        <f t="shared" si="475"/>
        <v>0</v>
      </c>
      <c r="AA1453" s="223"/>
      <c r="AB1453" s="807"/>
      <c r="AC1453" s="220"/>
      <c r="AD1453" s="209"/>
      <c r="AE1453" s="210"/>
      <c r="AF1453" s="210"/>
      <c r="AG1453" s="211">
        <f t="shared" si="476"/>
        <v>0.308</v>
      </c>
      <c r="AH1453" s="157">
        <f t="shared" si="477"/>
        <v>0</v>
      </c>
      <c r="AI1453" s="152">
        <f t="shared" si="478"/>
        <v>22716</v>
      </c>
      <c r="AK1453" s="156" t="s">
        <v>691</v>
      </c>
      <c r="AL1453" s="574" t="s">
        <v>690</v>
      </c>
      <c r="AM1453" s="198">
        <f t="shared" si="471"/>
        <v>0</v>
      </c>
      <c r="AN1453" s="199">
        <f t="shared" si="461"/>
        <v>45567</v>
      </c>
      <c r="AO1453" s="159" t="s">
        <v>692</v>
      </c>
      <c r="AP1453" s="781"/>
      <c r="AQ1453" s="782">
        <v>12063755</v>
      </c>
      <c r="AR1453" s="782">
        <v>12061353</v>
      </c>
      <c r="AS1453" s="782">
        <v>12061354</v>
      </c>
      <c r="AT1453" s="782">
        <v>12068566</v>
      </c>
      <c r="AU1453" s="781"/>
      <c r="AV1453" s="782">
        <v>12088206</v>
      </c>
      <c r="AW1453" s="782">
        <v>12088207</v>
      </c>
      <c r="AX1453" s="782"/>
      <c r="AY1453" s="782">
        <v>12068565</v>
      </c>
      <c r="AZ1453" s="782"/>
      <c r="BA1453" s="781"/>
    </row>
    <row r="1454" spans="1:53" ht="25" hidden="1" customHeight="1">
      <c r="B1454" s="213">
        <v>45567</v>
      </c>
      <c r="C1454" s="578">
        <v>45583</v>
      </c>
      <c r="D1454" s="185">
        <f t="shared" si="459"/>
        <v>2024</v>
      </c>
      <c r="E1454" s="215" t="str">
        <f>VLOOKUP($B1454,Week!$A$1:$C$1462,2,0)</f>
        <v>Week40</v>
      </c>
      <c r="F1454" s="216" t="str">
        <f t="shared" si="460"/>
        <v>Oct</v>
      </c>
      <c r="G1454" s="215" t="s">
        <v>1598</v>
      </c>
      <c r="H1454" s="215" t="s">
        <v>104</v>
      </c>
      <c r="I1454" s="215" t="s">
        <v>2772</v>
      </c>
      <c r="J1454" s="209" t="s">
        <v>105</v>
      </c>
      <c r="K1454" s="217" t="s">
        <v>107</v>
      </c>
      <c r="L1454" s="300" t="s">
        <v>2167</v>
      </c>
      <c r="M1454" s="209" t="s">
        <v>108</v>
      </c>
      <c r="N1454" s="215" t="s">
        <v>109</v>
      </c>
      <c r="O1454" s="215" t="s">
        <v>110</v>
      </c>
      <c r="P1454" s="218">
        <v>36</v>
      </c>
      <c r="Q1454" s="218">
        <v>5</v>
      </c>
      <c r="R1454" s="219">
        <v>7.4999999999999997E-3</v>
      </c>
      <c r="S1454" s="215" t="s">
        <v>111</v>
      </c>
      <c r="T1454" s="215" t="s">
        <v>112</v>
      </c>
      <c r="U1454" s="215" t="s">
        <v>113</v>
      </c>
      <c r="V1454" s="220">
        <v>792</v>
      </c>
      <c r="W1454" s="220">
        <v>792</v>
      </c>
      <c r="X1454" s="221"/>
      <c r="Y1454" s="222">
        <f t="shared" si="474"/>
        <v>0</v>
      </c>
      <c r="Z1454" s="223">
        <f t="shared" si="475"/>
        <v>0</v>
      </c>
      <c r="AA1454" s="223"/>
      <c r="AB1454" s="807"/>
      <c r="AC1454" s="220"/>
      <c r="AD1454" s="209"/>
      <c r="AE1454" s="210"/>
      <c r="AF1454" s="210"/>
      <c r="AG1454" s="211">
        <f t="shared" si="476"/>
        <v>0.308</v>
      </c>
      <c r="AH1454" s="157">
        <f t="shared" si="477"/>
        <v>0</v>
      </c>
      <c r="AI1454" s="152">
        <f t="shared" si="478"/>
        <v>28512</v>
      </c>
      <c r="AK1454" s="156" t="s">
        <v>691</v>
      </c>
      <c r="AL1454" s="574" t="s">
        <v>690</v>
      </c>
      <c r="AM1454" s="198">
        <f t="shared" si="471"/>
        <v>0</v>
      </c>
      <c r="AN1454" s="199">
        <f t="shared" si="461"/>
        <v>45567</v>
      </c>
      <c r="AO1454" s="159" t="s">
        <v>692</v>
      </c>
      <c r="AP1454" s="781"/>
      <c r="AQ1454" s="782">
        <v>12063755</v>
      </c>
      <c r="AR1454" s="782">
        <v>12061353</v>
      </c>
      <c r="AS1454" s="782">
        <v>12061354</v>
      </c>
      <c r="AT1454" s="782">
        <v>12068566</v>
      </c>
      <c r="AU1454" s="781"/>
      <c r="AV1454" s="782">
        <v>12088206</v>
      </c>
      <c r="AW1454" s="782">
        <v>12088207</v>
      </c>
      <c r="AX1454" s="782"/>
      <c r="AY1454" s="782">
        <v>12068565</v>
      </c>
      <c r="AZ1454" s="782"/>
      <c r="BA1454" s="781"/>
    </row>
    <row r="1455" spans="1:53" ht="25" hidden="1" customHeight="1">
      <c r="B1455" s="213">
        <v>45567</v>
      </c>
      <c r="C1455" s="578">
        <v>45583</v>
      </c>
      <c r="D1455" s="185">
        <f t="shared" si="459"/>
        <v>2024</v>
      </c>
      <c r="E1455" s="215" t="str">
        <f>VLOOKUP($B1455,Week!$A$1:$C$1462,2,0)</f>
        <v>Week40</v>
      </c>
      <c r="F1455" s="216" t="str">
        <f t="shared" si="460"/>
        <v>Oct</v>
      </c>
      <c r="G1455" s="215" t="s">
        <v>1599</v>
      </c>
      <c r="H1455" s="215" t="s">
        <v>104</v>
      </c>
      <c r="I1455" s="215" t="s">
        <v>2772</v>
      </c>
      <c r="J1455" s="209" t="s">
        <v>105</v>
      </c>
      <c r="K1455" s="217" t="s">
        <v>107</v>
      </c>
      <c r="L1455" s="300" t="s">
        <v>2167</v>
      </c>
      <c r="M1455" s="209" t="s">
        <v>108</v>
      </c>
      <c r="N1455" s="215" t="s">
        <v>109</v>
      </c>
      <c r="O1455" s="215" t="s">
        <v>110</v>
      </c>
      <c r="P1455" s="218">
        <v>36</v>
      </c>
      <c r="Q1455" s="218">
        <v>5</v>
      </c>
      <c r="R1455" s="219">
        <v>7.4999999999999997E-3</v>
      </c>
      <c r="S1455" s="215" t="s">
        <v>111</v>
      </c>
      <c r="T1455" s="215" t="s">
        <v>112</v>
      </c>
      <c r="U1455" s="215" t="s">
        <v>113</v>
      </c>
      <c r="V1455" s="220">
        <v>792</v>
      </c>
      <c r="W1455" s="220">
        <v>632</v>
      </c>
      <c r="X1455" s="221">
        <v>160</v>
      </c>
      <c r="Y1455" s="222">
        <f t="shared" si="474"/>
        <v>0</v>
      </c>
      <c r="Z1455" s="223">
        <f t="shared" si="475"/>
        <v>0</v>
      </c>
      <c r="AA1455" s="223"/>
      <c r="AB1455" s="807"/>
      <c r="AC1455" s="220"/>
      <c r="AD1455" s="209"/>
      <c r="AE1455" s="210"/>
      <c r="AF1455" s="210"/>
      <c r="AG1455" s="211">
        <f t="shared" si="476"/>
        <v>0.308</v>
      </c>
      <c r="AH1455" s="157">
        <f t="shared" si="477"/>
        <v>0</v>
      </c>
      <c r="AI1455" s="152">
        <f t="shared" si="478"/>
        <v>28512</v>
      </c>
      <c r="AK1455" s="156" t="s">
        <v>691</v>
      </c>
      <c r="AL1455" s="574" t="s">
        <v>690</v>
      </c>
      <c r="AM1455" s="198">
        <f t="shared" si="471"/>
        <v>0</v>
      </c>
      <c r="AN1455" s="199">
        <f t="shared" si="461"/>
        <v>45567</v>
      </c>
      <c r="AO1455" s="159" t="s">
        <v>692</v>
      </c>
      <c r="AP1455" s="781"/>
      <c r="AQ1455" s="782">
        <v>12063755</v>
      </c>
      <c r="AR1455" s="782">
        <v>12061353</v>
      </c>
      <c r="AS1455" s="782">
        <v>12061354</v>
      </c>
      <c r="AT1455" s="782">
        <v>12068566</v>
      </c>
      <c r="AU1455" s="781"/>
      <c r="AV1455" s="782">
        <v>12088206</v>
      </c>
      <c r="AW1455" s="782">
        <v>12088207</v>
      </c>
      <c r="AX1455" s="782"/>
      <c r="AY1455" s="782">
        <v>12068565</v>
      </c>
      <c r="AZ1455" s="782"/>
      <c r="BA1455" s="781"/>
    </row>
    <row r="1456" spans="1:53" ht="25" hidden="1" customHeight="1">
      <c r="B1456" s="213">
        <v>45567</v>
      </c>
      <c r="C1456" s="578">
        <v>45583</v>
      </c>
      <c r="D1456" s="185">
        <f t="shared" si="459"/>
        <v>2024</v>
      </c>
      <c r="E1456" s="215" t="str">
        <f>VLOOKUP($B1456,Week!$A$1:$C$1462,2,0)</f>
        <v>Week40</v>
      </c>
      <c r="F1456" s="216" t="str">
        <f t="shared" si="460"/>
        <v>Oct</v>
      </c>
      <c r="G1456" s="215" t="s">
        <v>1600</v>
      </c>
      <c r="H1456" s="215" t="s">
        <v>104</v>
      </c>
      <c r="I1456" s="215" t="s">
        <v>2772</v>
      </c>
      <c r="J1456" s="209" t="s">
        <v>105</v>
      </c>
      <c r="K1456" s="217" t="s">
        <v>107</v>
      </c>
      <c r="L1456" s="300" t="s">
        <v>2167</v>
      </c>
      <c r="M1456" s="209" t="s">
        <v>108</v>
      </c>
      <c r="N1456" s="215" t="s">
        <v>109</v>
      </c>
      <c r="O1456" s="215" t="s">
        <v>110</v>
      </c>
      <c r="P1456" s="218">
        <v>36</v>
      </c>
      <c r="Q1456" s="218">
        <v>5</v>
      </c>
      <c r="R1456" s="219">
        <v>7.4999999999999997E-3</v>
      </c>
      <c r="S1456" s="215" t="s">
        <v>111</v>
      </c>
      <c r="T1456" s="215" t="s">
        <v>112</v>
      </c>
      <c r="U1456" s="215" t="s">
        <v>113</v>
      </c>
      <c r="V1456" s="220">
        <v>792</v>
      </c>
      <c r="W1456" s="220">
        <v>792</v>
      </c>
      <c r="X1456" s="221"/>
      <c r="Y1456" s="222">
        <f t="shared" si="474"/>
        <v>0</v>
      </c>
      <c r="Z1456" s="223">
        <f t="shared" si="475"/>
        <v>0</v>
      </c>
      <c r="AA1456" s="223"/>
      <c r="AB1456" s="807"/>
      <c r="AC1456" s="220"/>
      <c r="AD1456" s="209"/>
      <c r="AE1456" s="210"/>
      <c r="AF1456" s="210"/>
      <c r="AG1456" s="211">
        <f t="shared" si="476"/>
        <v>0.308</v>
      </c>
      <c r="AH1456" s="157">
        <f t="shared" si="477"/>
        <v>0</v>
      </c>
      <c r="AI1456" s="152">
        <f t="shared" si="478"/>
        <v>28512</v>
      </c>
      <c r="AK1456" s="156" t="s">
        <v>691</v>
      </c>
      <c r="AL1456" s="574" t="s">
        <v>690</v>
      </c>
      <c r="AM1456" s="198">
        <f t="shared" si="471"/>
        <v>0</v>
      </c>
      <c r="AN1456" s="199">
        <f t="shared" si="461"/>
        <v>45567</v>
      </c>
      <c r="AO1456" s="159" t="s">
        <v>692</v>
      </c>
      <c r="AP1456" s="781"/>
      <c r="AQ1456" s="782">
        <v>12063755</v>
      </c>
      <c r="AR1456" s="782">
        <v>12061353</v>
      </c>
      <c r="AS1456" s="782">
        <v>12061354</v>
      </c>
      <c r="AT1456" s="782">
        <v>12068566</v>
      </c>
      <c r="AU1456" s="781"/>
      <c r="AV1456" s="782">
        <v>12088206</v>
      </c>
      <c r="AW1456" s="782">
        <v>12088207</v>
      </c>
      <c r="AX1456" s="782"/>
      <c r="AY1456" s="782">
        <v>12068565</v>
      </c>
      <c r="AZ1456" s="782"/>
      <c r="BA1456" s="781"/>
    </row>
    <row r="1457" spans="2:53" ht="25" hidden="1" customHeight="1">
      <c r="B1457" s="213">
        <v>45567</v>
      </c>
      <c r="C1457" s="578">
        <v>45590</v>
      </c>
      <c r="D1457" s="185">
        <f t="shared" si="459"/>
        <v>2024</v>
      </c>
      <c r="E1457" s="215" t="str">
        <f>VLOOKUP($B1457,Week!$A$1:$C$1462,2,0)</f>
        <v>Week40</v>
      </c>
      <c r="F1457" s="216" t="str">
        <f t="shared" si="460"/>
        <v>Oct</v>
      </c>
      <c r="G1457" s="215" t="s">
        <v>1601</v>
      </c>
      <c r="H1457" s="215" t="s">
        <v>104</v>
      </c>
      <c r="I1457" s="215" t="s">
        <v>2772</v>
      </c>
      <c r="J1457" s="209" t="s">
        <v>105</v>
      </c>
      <c r="K1457" s="217" t="s">
        <v>107</v>
      </c>
      <c r="L1457" s="300" t="s">
        <v>2167</v>
      </c>
      <c r="M1457" s="209" t="s">
        <v>108</v>
      </c>
      <c r="N1457" s="215" t="s">
        <v>109</v>
      </c>
      <c r="O1457" s="215" t="s">
        <v>110</v>
      </c>
      <c r="P1457" s="218">
        <v>36</v>
      </c>
      <c r="Q1457" s="218">
        <v>5</v>
      </c>
      <c r="R1457" s="219">
        <v>7.4999999999999997E-3</v>
      </c>
      <c r="S1457" s="215" t="s">
        <v>111</v>
      </c>
      <c r="T1457" s="215" t="s">
        <v>112</v>
      </c>
      <c r="U1457" s="215" t="s">
        <v>113</v>
      </c>
      <c r="V1457" s="220">
        <v>792</v>
      </c>
      <c r="W1457" s="220">
        <v>632</v>
      </c>
      <c r="X1457" s="221">
        <v>160</v>
      </c>
      <c r="Y1457" s="222">
        <f t="shared" si="474"/>
        <v>0</v>
      </c>
      <c r="Z1457" s="223">
        <f t="shared" si="475"/>
        <v>0</v>
      </c>
      <c r="AA1457" s="223"/>
      <c r="AB1457" s="807"/>
      <c r="AC1457" s="220"/>
      <c r="AD1457" s="209"/>
      <c r="AE1457" s="210"/>
      <c r="AF1457" s="210"/>
      <c r="AG1457" s="211">
        <f t="shared" si="476"/>
        <v>0.308</v>
      </c>
      <c r="AH1457" s="157">
        <f t="shared" si="477"/>
        <v>0</v>
      </c>
      <c r="AI1457" s="152">
        <f t="shared" si="478"/>
        <v>28512</v>
      </c>
      <c r="AK1457" s="156" t="s">
        <v>691</v>
      </c>
      <c r="AL1457" s="574" t="s">
        <v>690</v>
      </c>
      <c r="AM1457" s="198">
        <f t="shared" si="471"/>
        <v>0</v>
      </c>
      <c r="AN1457" s="199">
        <f t="shared" si="461"/>
        <v>45567</v>
      </c>
      <c r="AO1457" s="159" t="s">
        <v>692</v>
      </c>
      <c r="AP1457" s="781"/>
      <c r="AQ1457" s="782">
        <v>12063755</v>
      </c>
      <c r="AR1457" s="782">
        <v>12061353</v>
      </c>
      <c r="AS1457" s="782">
        <v>12061354</v>
      </c>
      <c r="AT1457" s="782">
        <v>12068566</v>
      </c>
      <c r="AU1457" s="781"/>
      <c r="AV1457" s="782">
        <v>12088206</v>
      </c>
      <c r="AW1457" s="782">
        <v>12088207</v>
      </c>
      <c r="AX1457" s="782"/>
      <c r="AY1457" s="782">
        <v>12068565</v>
      </c>
      <c r="AZ1457" s="782"/>
      <c r="BA1457" s="781"/>
    </row>
    <row r="1458" spans="2:53" ht="25" hidden="1" customHeight="1">
      <c r="B1458" s="213">
        <v>45567</v>
      </c>
      <c r="C1458" s="578">
        <v>45590</v>
      </c>
      <c r="D1458" s="185">
        <f t="shared" si="459"/>
        <v>2024</v>
      </c>
      <c r="E1458" s="215" t="str">
        <f>VLOOKUP($B1458,Week!$A$1:$C$1462,2,0)</f>
        <v>Week40</v>
      </c>
      <c r="F1458" s="216" t="str">
        <f t="shared" si="460"/>
        <v>Oct</v>
      </c>
      <c r="G1458" s="215" t="s">
        <v>1602</v>
      </c>
      <c r="H1458" s="215" t="s">
        <v>104</v>
      </c>
      <c r="I1458" s="215" t="s">
        <v>2772</v>
      </c>
      <c r="J1458" s="209" t="s">
        <v>105</v>
      </c>
      <c r="K1458" s="217" t="s">
        <v>107</v>
      </c>
      <c r="L1458" s="300" t="s">
        <v>2167</v>
      </c>
      <c r="M1458" s="209" t="s">
        <v>108</v>
      </c>
      <c r="N1458" s="215" t="s">
        <v>109</v>
      </c>
      <c r="O1458" s="215" t="s">
        <v>110</v>
      </c>
      <c r="P1458" s="218">
        <v>36</v>
      </c>
      <c r="Q1458" s="218">
        <v>5</v>
      </c>
      <c r="R1458" s="219">
        <v>7.4999999999999997E-3</v>
      </c>
      <c r="S1458" s="215" t="s">
        <v>111</v>
      </c>
      <c r="T1458" s="215" t="s">
        <v>112</v>
      </c>
      <c r="U1458" s="215" t="s">
        <v>113</v>
      </c>
      <c r="V1458" s="220">
        <f>620+39+27+106</f>
        <v>792</v>
      </c>
      <c r="W1458" s="220">
        <f>3779-471-792-632-792-632+39+27+106</f>
        <v>632</v>
      </c>
      <c r="X1458" s="221">
        <v>160</v>
      </c>
      <c r="Y1458" s="222">
        <f t="shared" si="474"/>
        <v>0</v>
      </c>
      <c r="Z1458" s="223">
        <f t="shared" si="475"/>
        <v>0</v>
      </c>
      <c r="AA1458" s="223"/>
      <c r="AB1458" s="807"/>
      <c r="AC1458" s="220"/>
      <c r="AD1458" s="209"/>
      <c r="AE1458" s="210"/>
      <c r="AF1458" s="210"/>
      <c r="AG1458" s="211">
        <f t="shared" si="476"/>
        <v>0.308</v>
      </c>
      <c r="AH1458" s="157">
        <f t="shared" si="477"/>
        <v>0</v>
      </c>
      <c r="AI1458" s="152">
        <f t="shared" si="478"/>
        <v>28512</v>
      </c>
      <c r="AK1458" s="156" t="s">
        <v>691</v>
      </c>
      <c r="AL1458" s="574" t="s">
        <v>690</v>
      </c>
      <c r="AM1458" s="198">
        <f t="shared" si="471"/>
        <v>0</v>
      </c>
      <c r="AN1458" s="199">
        <f t="shared" si="461"/>
        <v>45567</v>
      </c>
      <c r="AO1458" s="159" t="s">
        <v>692</v>
      </c>
      <c r="AP1458" s="781"/>
      <c r="AQ1458" s="782">
        <v>12063755</v>
      </c>
      <c r="AR1458" s="782">
        <v>12061353</v>
      </c>
      <c r="AS1458" s="782">
        <v>12061354</v>
      </c>
      <c r="AT1458" s="782">
        <v>12068566</v>
      </c>
      <c r="AU1458" s="781"/>
      <c r="AV1458" s="782">
        <v>12088206</v>
      </c>
      <c r="AW1458" s="782">
        <v>12088207</v>
      </c>
      <c r="AX1458" s="782"/>
      <c r="AY1458" s="782">
        <v>12068565</v>
      </c>
      <c r="AZ1458" s="782"/>
      <c r="BA1458" s="781"/>
    </row>
    <row r="1459" spans="2:53" ht="25" hidden="1" customHeight="1">
      <c r="B1459" s="213">
        <v>45567</v>
      </c>
      <c r="C1459" s="578">
        <v>45597</v>
      </c>
      <c r="D1459" s="185">
        <f t="shared" si="459"/>
        <v>2024</v>
      </c>
      <c r="E1459" s="215" t="str">
        <f>VLOOKUP($B1459,Week!$A$1:$C$1462,2,0)</f>
        <v>Week40</v>
      </c>
      <c r="F1459" s="216" t="str">
        <f t="shared" si="460"/>
        <v>Oct</v>
      </c>
      <c r="G1459" s="215" t="s">
        <v>1659</v>
      </c>
      <c r="H1459" s="215" t="s">
        <v>104</v>
      </c>
      <c r="I1459" s="215" t="s">
        <v>2772</v>
      </c>
      <c r="J1459" s="209" t="s">
        <v>105</v>
      </c>
      <c r="K1459" s="217" t="s">
        <v>107</v>
      </c>
      <c r="L1459" s="300" t="s">
        <v>2167</v>
      </c>
      <c r="M1459" s="209" t="s">
        <v>108</v>
      </c>
      <c r="N1459" s="215" t="s">
        <v>109</v>
      </c>
      <c r="O1459" s="215" t="s">
        <v>110</v>
      </c>
      <c r="P1459" s="218">
        <v>36</v>
      </c>
      <c r="Q1459" s="218">
        <v>5</v>
      </c>
      <c r="R1459" s="219">
        <v>7.4999999999999997E-3</v>
      </c>
      <c r="S1459" s="215" t="s">
        <v>111</v>
      </c>
      <c r="T1459" s="215" t="s">
        <v>112</v>
      </c>
      <c r="U1459" s="215" t="s">
        <v>113</v>
      </c>
      <c r="V1459" s="220">
        <f>171-106</f>
        <v>65</v>
      </c>
      <c r="W1459" s="220">
        <f>65</f>
        <v>65</v>
      </c>
      <c r="X1459" s="221"/>
      <c r="Y1459" s="222">
        <f t="shared" si="474"/>
        <v>0</v>
      </c>
      <c r="Z1459" s="223">
        <f t="shared" si="475"/>
        <v>0</v>
      </c>
      <c r="AA1459" s="223"/>
      <c r="AB1459" s="807"/>
      <c r="AC1459" s="220"/>
      <c r="AD1459" s="209"/>
      <c r="AE1459" s="210"/>
      <c r="AF1459" s="210"/>
      <c r="AG1459" s="211">
        <f t="shared" si="476"/>
        <v>0.308</v>
      </c>
      <c r="AH1459" s="157">
        <f t="shared" si="477"/>
        <v>0</v>
      </c>
      <c r="AI1459" s="152">
        <f t="shared" si="478"/>
        <v>2340</v>
      </c>
      <c r="AK1459" s="156" t="s">
        <v>691</v>
      </c>
      <c r="AL1459" s="574" t="s">
        <v>690</v>
      </c>
      <c r="AM1459" s="198">
        <f t="shared" ref="AM1459:AM1490" si="479">AG1459*Z1459</f>
        <v>0</v>
      </c>
      <c r="AN1459" s="199">
        <f t="shared" si="461"/>
        <v>45567</v>
      </c>
      <c r="AO1459" s="159" t="s">
        <v>692</v>
      </c>
      <c r="AP1459" s="781"/>
      <c r="AQ1459" s="782">
        <v>12063755</v>
      </c>
      <c r="AR1459" s="782">
        <v>12061353</v>
      </c>
      <c r="AS1459" s="782">
        <v>12061354</v>
      </c>
      <c r="AT1459" s="782">
        <v>12068566</v>
      </c>
      <c r="AU1459" s="781"/>
      <c r="AV1459" s="782">
        <v>12088206</v>
      </c>
      <c r="AW1459" s="782">
        <v>12088207</v>
      </c>
      <c r="AX1459" s="782"/>
      <c r="AY1459" s="782">
        <v>12068565</v>
      </c>
      <c r="AZ1459" s="782"/>
      <c r="BA1459" s="781"/>
    </row>
    <row r="1460" spans="2:53" ht="25" hidden="1" customHeight="1">
      <c r="B1460" s="383">
        <v>45568</v>
      </c>
      <c r="C1460" s="383">
        <v>45575</v>
      </c>
      <c r="D1460" s="185">
        <f t="shared" si="459"/>
        <v>2024</v>
      </c>
      <c r="E1460" s="224" t="str">
        <f>VLOOKUP($B1460,Week!$A$1:$C$1462,2,0)</f>
        <v>Week40</v>
      </c>
      <c r="F1460" s="226" t="str">
        <f t="shared" si="460"/>
        <v>Oct</v>
      </c>
      <c r="G1460" s="225" t="s">
        <v>1612</v>
      </c>
      <c r="H1460" s="225" t="s">
        <v>225</v>
      </c>
      <c r="I1460" s="225" t="s">
        <v>2773</v>
      </c>
      <c r="J1460" s="227" t="s">
        <v>335</v>
      </c>
      <c r="K1460" s="228" t="s">
        <v>176</v>
      </c>
      <c r="L1460" s="300" t="s">
        <v>2167</v>
      </c>
      <c r="M1460" s="227" t="s">
        <v>336</v>
      </c>
      <c r="N1460" s="225" t="s">
        <v>337</v>
      </c>
      <c r="O1460" s="225" t="s">
        <v>179</v>
      </c>
      <c r="P1460" s="229">
        <v>36</v>
      </c>
      <c r="Q1460" s="229">
        <v>5</v>
      </c>
      <c r="R1460" s="230">
        <v>7.4999999999999997E-3</v>
      </c>
      <c r="S1460" s="225" t="s">
        <v>111</v>
      </c>
      <c r="T1460" s="225" t="s">
        <v>112</v>
      </c>
      <c r="U1460" s="225" t="s">
        <v>113</v>
      </c>
      <c r="V1460" s="231">
        <f>1288-60</f>
        <v>1228</v>
      </c>
      <c r="W1460" s="231">
        <f>26+1202</f>
        <v>1228</v>
      </c>
      <c r="X1460" s="232"/>
      <c r="Y1460" s="233">
        <f t="shared" si="474"/>
        <v>0</v>
      </c>
      <c r="Z1460" s="234">
        <f t="shared" si="475"/>
        <v>0</v>
      </c>
      <c r="AA1460" s="234"/>
      <c r="AB1460" s="822"/>
      <c r="AC1460" s="231"/>
      <c r="AD1460" s="515"/>
      <c r="AE1460" s="210"/>
      <c r="AF1460" s="210"/>
      <c r="AG1460" s="211">
        <f t="shared" si="476"/>
        <v>0.14499999999999999</v>
      </c>
      <c r="AH1460" s="157">
        <f t="shared" si="477"/>
        <v>0</v>
      </c>
      <c r="AI1460" s="152">
        <f t="shared" si="478"/>
        <v>44208</v>
      </c>
      <c r="AK1460" s="156" t="s">
        <v>691</v>
      </c>
      <c r="AL1460" s="574" t="s">
        <v>690</v>
      </c>
      <c r="AM1460" s="198">
        <f t="shared" si="479"/>
        <v>0</v>
      </c>
      <c r="AN1460" s="199">
        <f t="shared" si="461"/>
        <v>45568</v>
      </c>
      <c r="AO1460" s="159" t="s">
        <v>692</v>
      </c>
      <c r="AP1460" s="783" t="s">
        <v>639</v>
      </c>
      <c r="AQ1460" s="782">
        <v>12071839</v>
      </c>
      <c r="AR1460" s="782">
        <v>12047514</v>
      </c>
      <c r="AS1460" s="782">
        <v>12047515</v>
      </c>
      <c r="AT1460" s="782">
        <v>12054919</v>
      </c>
      <c r="AU1460" s="781"/>
      <c r="AV1460" s="782">
        <v>12054869</v>
      </c>
      <c r="AW1460" s="782">
        <v>12024404</v>
      </c>
      <c r="AX1460" s="781"/>
      <c r="AY1460" s="782">
        <v>12054815</v>
      </c>
      <c r="AZ1460" s="781"/>
      <c r="BA1460" s="781"/>
    </row>
    <row r="1461" spans="2:53" ht="25" hidden="1" customHeight="1">
      <c r="B1461" s="383">
        <v>45568</v>
      </c>
      <c r="C1461" s="383">
        <v>45589</v>
      </c>
      <c r="D1461" s="185">
        <f t="shared" si="459"/>
        <v>2024</v>
      </c>
      <c r="E1461" s="224" t="str">
        <f>VLOOKUP($B1461,Week!$A$1:$C$1462,2,0)</f>
        <v>Week40</v>
      </c>
      <c r="F1461" s="226" t="str">
        <f t="shared" si="460"/>
        <v>Oct</v>
      </c>
      <c r="G1461" s="225" t="s">
        <v>1613</v>
      </c>
      <c r="H1461" s="225" t="s">
        <v>225</v>
      </c>
      <c r="I1461" s="225" t="s">
        <v>2773</v>
      </c>
      <c r="J1461" s="227" t="s">
        <v>335</v>
      </c>
      <c r="K1461" s="228" t="s">
        <v>176</v>
      </c>
      <c r="L1461" s="300" t="s">
        <v>2167</v>
      </c>
      <c r="M1461" s="227" t="s">
        <v>336</v>
      </c>
      <c r="N1461" s="225" t="s">
        <v>337</v>
      </c>
      <c r="O1461" s="225" t="s">
        <v>179</v>
      </c>
      <c r="P1461" s="229">
        <v>36</v>
      </c>
      <c r="Q1461" s="229">
        <v>5</v>
      </c>
      <c r="R1461" s="230">
        <v>7.4999999999999997E-3</v>
      </c>
      <c r="S1461" s="225" t="s">
        <v>111</v>
      </c>
      <c r="T1461" s="225" t="s">
        <v>112</v>
      </c>
      <c r="U1461" s="225" t="s">
        <v>113</v>
      </c>
      <c r="V1461" s="231">
        <v>62</v>
      </c>
      <c r="W1461" s="231">
        <f>26+1264-1228</f>
        <v>62</v>
      </c>
      <c r="X1461" s="232"/>
      <c r="Y1461" s="233">
        <f t="shared" si="474"/>
        <v>0</v>
      </c>
      <c r="Z1461" s="234">
        <f t="shared" si="475"/>
        <v>0</v>
      </c>
      <c r="AA1461" s="234"/>
      <c r="AB1461" s="822"/>
      <c r="AC1461" s="231"/>
      <c r="AD1461" s="515"/>
      <c r="AE1461" s="210"/>
      <c r="AF1461" s="210"/>
      <c r="AG1461" s="211">
        <f t="shared" si="476"/>
        <v>0.14499999999999999</v>
      </c>
      <c r="AH1461" s="157">
        <f t="shared" si="477"/>
        <v>0</v>
      </c>
      <c r="AI1461" s="152">
        <f t="shared" si="478"/>
        <v>2232</v>
      </c>
      <c r="AK1461" s="156" t="s">
        <v>691</v>
      </c>
      <c r="AL1461" s="574" t="s">
        <v>690</v>
      </c>
      <c r="AM1461" s="198">
        <f t="shared" si="479"/>
        <v>0</v>
      </c>
      <c r="AN1461" s="199">
        <f t="shared" si="461"/>
        <v>45568</v>
      </c>
      <c r="AO1461" s="159" t="s">
        <v>692</v>
      </c>
      <c r="AP1461" s="783" t="s">
        <v>639</v>
      </c>
      <c r="AQ1461" s="782">
        <v>12071839</v>
      </c>
      <c r="AR1461" s="782">
        <v>12047514</v>
      </c>
      <c r="AS1461" s="782">
        <v>12047515</v>
      </c>
      <c r="AT1461" s="782">
        <v>12054919</v>
      </c>
      <c r="AU1461" s="781"/>
      <c r="AV1461" s="782">
        <v>12054869</v>
      </c>
      <c r="AW1461" s="782">
        <v>12024404</v>
      </c>
      <c r="AX1461" s="781"/>
      <c r="AY1461" s="782">
        <v>12054815</v>
      </c>
      <c r="AZ1461" s="781"/>
      <c r="BA1461" s="781"/>
    </row>
    <row r="1462" spans="2:53" ht="25" hidden="1" customHeight="1">
      <c r="B1462" s="488">
        <v>45568</v>
      </c>
      <c r="C1462" s="487">
        <v>45583</v>
      </c>
      <c r="D1462" s="185">
        <f t="shared" si="459"/>
        <v>2024</v>
      </c>
      <c r="E1462" s="614" t="str">
        <f>VLOOKUP($B1462,Week!$A$1:$C$1462,2,0)</f>
        <v>Week40</v>
      </c>
      <c r="F1462" s="445" t="str">
        <f t="shared" si="460"/>
        <v>Oct</v>
      </c>
      <c r="G1462" s="615" t="s">
        <v>1564</v>
      </c>
      <c r="H1462" s="444" t="s">
        <v>104</v>
      </c>
      <c r="I1462" s="444" t="s">
        <v>2772</v>
      </c>
      <c r="J1462" s="490" t="s">
        <v>105</v>
      </c>
      <c r="K1462" s="491" t="s">
        <v>1643</v>
      </c>
      <c r="L1462" s="300" t="s">
        <v>2167</v>
      </c>
      <c r="M1462" s="490" t="s">
        <v>336</v>
      </c>
      <c r="N1462" s="615" t="s">
        <v>745</v>
      </c>
      <c r="O1462" s="444" t="s">
        <v>743</v>
      </c>
      <c r="P1462" s="492">
        <v>36</v>
      </c>
      <c r="Q1462" s="492">
        <v>5</v>
      </c>
      <c r="R1462" s="493">
        <v>7.4999999999999997E-3</v>
      </c>
      <c r="S1462" s="444" t="s">
        <v>40</v>
      </c>
      <c r="T1462" s="444" t="s">
        <v>112</v>
      </c>
      <c r="U1462" s="616" t="s">
        <v>721</v>
      </c>
      <c r="V1462" s="494">
        <f>1288-43</f>
        <v>1245</v>
      </c>
      <c r="W1462" s="494">
        <f>31+1214</f>
        <v>1245</v>
      </c>
      <c r="X1462" s="495"/>
      <c r="Y1462" s="496">
        <f t="shared" si="474"/>
        <v>0</v>
      </c>
      <c r="Z1462" s="497">
        <f t="shared" si="475"/>
        <v>0</v>
      </c>
      <c r="AA1462" s="497"/>
      <c r="AB1462" s="829"/>
      <c r="AC1462" s="494"/>
      <c r="AD1462" s="515"/>
      <c r="AE1462" s="210"/>
      <c r="AF1462" s="210"/>
      <c r="AG1462" s="211">
        <f t="shared" si="476"/>
        <v>0.14699999999999999</v>
      </c>
      <c r="AH1462" s="157">
        <f t="shared" si="477"/>
        <v>0</v>
      </c>
      <c r="AI1462" s="152">
        <f t="shared" si="478"/>
        <v>44820</v>
      </c>
      <c r="AK1462" s="156" t="s">
        <v>691</v>
      </c>
      <c r="AL1462" s="574" t="s">
        <v>690</v>
      </c>
      <c r="AM1462" s="198">
        <f t="shared" si="479"/>
        <v>0</v>
      </c>
      <c r="AN1462" s="199">
        <f t="shared" si="461"/>
        <v>45568</v>
      </c>
      <c r="AO1462" s="159" t="s">
        <v>692</v>
      </c>
      <c r="AP1462" s="783" t="s">
        <v>639</v>
      </c>
      <c r="AQ1462" s="782">
        <v>12071839</v>
      </c>
      <c r="AR1462" s="782">
        <v>12047514</v>
      </c>
      <c r="AS1462" s="782">
        <v>12047515</v>
      </c>
      <c r="AT1462" s="782">
        <v>12089764</v>
      </c>
      <c r="AU1462" s="781"/>
      <c r="AV1462" s="782">
        <v>12089763</v>
      </c>
      <c r="AW1462" s="782">
        <v>12024404</v>
      </c>
      <c r="AX1462" s="781"/>
      <c r="AY1462" s="782">
        <v>12089765</v>
      </c>
      <c r="AZ1462" s="781"/>
      <c r="BA1462" s="781"/>
    </row>
    <row r="1463" spans="2:53" ht="25" hidden="1" customHeight="1">
      <c r="B1463" s="488">
        <v>45568</v>
      </c>
      <c r="C1463" s="487">
        <v>45590</v>
      </c>
      <c r="D1463" s="185">
        <f t="shared" si="459"/>
        <v>2024</v>
      </c>
      <c r="E1463" s="614" t="str">
        <f>VLOOKUP($B1463,Week!$A$1:$C$1462,2,0)</f>
        <v>Week40</v>
      </c>
      <c r="F1463" s="445" t="str">
        <f t="shared" si="460"/>
        <v>Oct</v>
      </c>
      <c r="G1463" s="615" t="s">
        <v>1566</v>
      </c>
      <c r="H1463" s="444" t="s">
        <v>104</v>
      </c>
      <c r="I1463" s="444" t="s">
        <v>2772</v>
      </c>
      <c r="J1463" s="490" t="s">
        <v>105</v>
      </c>
      <c r="K1463" s="491" t="s">
        <v>1643</v>
      </c>
      <c r="L1463" s="300" t="s">
        <v>2167</v>
      </c>
      <c r="M1463" s="490" t="s">
        <v>336</v>
      </c>
      <c r="N1463" s="615" t="s">
        <v>745</v>
      </c>
      <c r="O1463" s="444" t="s">
        <v>743</v>
      </c>
      <c r="P1463" s="492">
        <v>36</v>
      </c>
      <c r="Q1463" s="492">
        <v>5</v>
      </c>
      <c r="R1463" s="493">
        <v>7.4999999999999997E-3</v>
      </c>
      <c r="S1463" s="444" t="s">
        <v>40</v>
      </c>
      <c r="T1463" s="444" t="s">
        <v>112</v>
      </c>
      <c r="U1463" s="616" t="s">
        <v>721</v>
      </c>
      <c r="V1463" s="494">
        <v>1288</v>
      </c>
      <c r="W1463" s="494">
        <v>1288</v>
      </c>
      <c r="X1463" s="495"/>
      <c r="Y1463" s="496">
        <f t="shared" si="474"/>
        <v>0</v>
      </c>
      <c r="Z1463" s="497">
        <f t="shared" si="475"/>
        <v>0</v>
      </c>
      <c r="AA1463" s="497"/>
      <c r="AB1463" s="829"/>
      <c r="AC1463" s="494"/>
      <c r="AD1463" s="515"/>
      <c r="AE1463" s="210"/>
      <c r="AF1463" s="210"/>
      <c r="AG1463" s="211">
        <f t="shared" si="476"/>
        <v>0.14699999999999999</v>
      </c>
      <c r="AH1463" s="157">
        <f t="shared" si="477"/>
        <v>0</v>
      </c>
      <c r="AI1463" s="152">
        <f t="shared" si="478"/>
        <v>46368</v>
      </c>
      <c r="AK1463" s="156" t="s">
        <v>691</v>
      </c>
      <c r="AL1463" s="574" t="s">
        <v>690</v>
      </c>
      <c r="AM1463" s="198">
        <f t="shared" si="479"/>
        <v>0</v>
      </c>
      <c r="AN1463" s="199">
        <f t="shared" si="461"/>
        <v>45568</v>
      </c>
      <c r="AO1463" s="159" t="s">
        <v>692</v>
      </c>
      <c r="AP1463" s="783" t="s">
        <v>639</v>
      </c>
      <c r="AQ1463" s="782">
        <v>12071839</v>
      </c>
      <c r="AR1463" s="782">
        <v>12047514</v>
      </c>
      <c r="AS1463" s="782">
        <v>12047515</v>
      </c>
      <c r="AT1463" s="782">
        <v>12089764</v>
      </c>
      <c r="AU1463" s="781"/>
      <c r="AV1463" s="782">
        <v>12089763</v>
      </c>
      <c r="AW1463" s="782">
        <v>12024404</v>
      </c>
      <c r="AX1463" s="781"/>
      <c r="AY1463" s="782">
        <v>12089765</v>
      </c>
      <c r="AZ1463" s="781"/>
      <c r="BA1463" s="781"/>
    </row>
    <row r="1464" spans="2:53" ht="25" hidden="1" customHeight="1">
      <c r="B1464" s="488">
        <v>45568</v>
      </c>
      <c r="C1464" s="487">
        <v>45590</v>
      </c>
      <c r="D1464" s="185">
        <f t="shared" si="459"/>
        <v>2024</v>
      </c>
      <c r="E1464" s="614" t="str">
        <f>VLOOKUP($B1464,Week!$A$1:$C$1462,2,0)</f>
        <v>Week40</v>
      </c>
      <c r="F1464" s="445" t="str">
        <f t="shared" si="460"/>
        <v>Oct</v>
      </c>
      <c r="G1464" s="615" t="s">
        <v>1567</v>
      </c>
      <c r="H1464" s="444" t="s">
        <v>104</v>
      </c>
      <c r="I1464" s="444" t="s">
        <v>2772</v>
      </c>
      <c r="J1464" s="490" t="s">
        <v>105</v>
      </c>
      <c r="K1464" s="491" t="s">
        <v>1643</v>
      </c>
      <c r="L1464" s="300" t="s">
        <v>2167</v>
      </c>
      <c r="M1464" s="490" t="s">
        <v>336</v>
      </c>
      <c r="N1464" s="615" t="s">
        <v>745</v>
      </c>
      <c r="O1464" s="444" t="s">
        <v>743</v>
      </c>
      <c r="P1464" s="492">
        <v>36</v>
      </c>
      <c r="Q1464" s="492">
        <v>5</v>
      </c>
      <c r="R1464" s="493">
        <v>7.4999999999999997E-3</v>
      </c>
      <c r="S1464" s="444" t="s">
        <v>40</v>
      </c>
      <c r="T1464" s="444" t="s">
        <v>112</v>
      </c>
      <c r="U1464" s="616" t="s">
        <v>721</v>
      </c>
      <c r="V1464" s="494">
        <f>90</f>
        <v>90</v>
      </c>
      <c r="W1464" s="494">
        <f>2592-1214-1288</f>
        <v>90</v>
      </c>
      <c r="X1464" s="495"/>
      <c r="Y1464" s="496">
        <f t="shared" si="474"/>
        <v>0</v>
      </c>
      <c r="Z1464" s="497">
        <f t="shared" si="475"/>
        <v>0</v>
      </c>
      <c r="AA1464" s="497"/>
      <c r="AB1464" s="829"/>
      <c r="AC1464" s="494"/>
      <c r="AD1464" s="515"/>
      <c r="AE1464" s="210"/>
      <c r="AF1464" s="210"/>
      <c r="AG1464" s="211">
        <f t="shared" si="476"/>
        <v>0.14699999999999999</v>
      </c>
      <c r="AH1464" s="157">
        <f t="shared" si="477"/>
        <v>0</v>
      </c>
      <c r="AI1464" s="152">
        <f t="shared" si="478"/>
        <v>3240</v>
      </c>
      <c r="AK1464" s="156" t="s">
        <v>691</v>
      </c>
      <c r="AL1464" s="574" t="s">
        <v>690</v>
      </c>
      <c r="AM1464" s="198">
        <f t="shared" si="479"/>
        <v>0</v>
      </c>
      <c r="AN1464" s="199">
        <f t="shared" si="461"/>
        <v>45568</v>
      </c>
      <c r="AO1464" s="159" t="s">
        <v>692</v>
      </c>
      <c r="AP1464" s="783" t="s">
        <v>639</v>
      </c>
      <c r="AQ1464" s="782">
        <v>12071839</v>
      </c>
      <c r="AR1464" s="782">
        <v>12047514</v>
      </c>
      <c r="AS1464" s="782">
        <v>12047515</v>
      </c>
      <c r="AT1464" s="782">
        <v>12089764</v>
      </c>
      <c r="AU1464" s="781"/>
      <c r="AV1464" s="782">
        <v>12089763</v>
      </c>
      <c r="AW1464" s="782">
        <v>12024404</v>
      </c>
      <c r="AX1464" s="781"/>
      <c r="AY1464" s="782">
        <v>12089765</v>
      </c>
      <c r="AZ1464" s="781"/>
      <c r="BA1464" s="781"/>
    </row>
    <row r="1465" spans="2:53" ht="25" hidden="1" customHeight="1">
      <c r="B1465" s="488">
        <v>45569</v>
      </c>
      <c r="C1465" s="487">
        <v>45590</v>
      </c>
      <c r="D1465" s="185">
        <f t="shared" si="459"/>
        <v>2024</v>
      </c>
      <c r="E1465" s="614" t="str">
        <f>VLOOKUP($B1465,Week!$A$1:$C$1462,2,0)</f>
        <v>Week40</v>
      </c>
      <c r="F1465" s="445" t="str">
        <f t="shared" si="460"/>
        <v>Oct</v>
      </c>
      <c r="G1465" s="615" t="s">
        <v>1567</v>
      </c>
      <c r="H1465" s="444" t="s">
        <v>104</v>
      </c>
      <c r="I1465" s="444" t="s">
        <v>2772</v>
      </c>
      <c r="J1465" s="490" t="s">
        <v>105</v>
      </c>
      <c r="K1465" s="491" t="s">
        <v>1643</v>
      </c>
      <c r="L1465" s="300" t="s">
        <v>2167</v>
      </c>
      <c r="M1465" s="490" t="s">
        <v>336</v>
      </c>
      <c r="N1465" s="615" t="s">
        <v>745</v>
      </c>
      <c r="O1465" s="444" t="s">
        <v>743</v>
      </c>
      <c r="P1465" s="492">
        <v>36</v>
      </c>
      <c r="Q1465" s="492">
        <v>5</v>
      </c>
      <c r="R1465" s="493">
        <v>7.4999999999999997E-3</v>
      </c>
      <c r="S1465" s="444" t="s">
        <v>40</v>
      </c>
      <c r="T1465" s="444" t="s">
        <v>112</v>
      </c>
      <c r="U1465" s="616" t="s">
        <v>721</v>
      </c>
      <c r="V1465" s="494">
        <f>1288-90</f>
        <v>1198</v>
      </c>
      <c r="W1465" s="494">
        <f>1198</f>
        <v>1198</v>
      </c>
      <c r="X1465" s="495"/>
      <c r="Y1465" s="496">
        <f t="shared" si="474"/>
        <v>0</v>
      </c>
      <c r="Z1465" s="497">
        <f t="shared" si="475"/>
        <v>0</v>
      </c>
      <c r="AA1465" s="497"/>
      <c r="AB1465" s="829"/>
      <c r="AC1465" s="494"/>
      <c r="AD1465" s="515"/>
      <c r="AE1465" s="210"/>
      <c r="AF1465" s="210"/>
      <c r="AG1465" s="211">
        <f t="shared" si="476"/>
        <v>0.14699999999999999</v>
      </c>
      <c r="AH1465" s="157">
        <f t="shared" si="477"/>
        <v>0</v>
      </c>
      <c r="AI1465" s="152">
        <f t="shared" si="478"/>
        <v>43128</v>
      </c>
      <c r="AK1465" s="156" t="s">
        <v>691</v>
      </c>
      <c r="AL1465" s="574" t="s">
        <v>690</v>
      </c>
      <c r="AM1465" s="198">
        <f t="shared" si="479"/>
        <v>0</v>
      </c>
      <c r="AN1465" s="199">
        <f t="shared" si="461"/>
        <v>45569</v>
      </c>
      <c r="AO1465" s="159" t="s">
        <v>692</v>
      </c>
      <c r="AP1465" s="783" t="s">
        <v>639</v>
      </c>
      <c r="AQ1465" s="782">
        <v>12071839</v>
      </c>
      <c r="AR1465" s="782">
        <v>12047514</v>
      </c>
      <c r="AS1465" s="782">
        <v>12047515</v>
      </c>
      <c r="AT1465" s="782">
        <v>12089764</v>
      </c>
      <c r="AU1465" s="781"/>
      <c r="AV1465" s="782">
        <v>12089763</v>
      </c>
      <c r="AW1465" s="782">
        <v>12024404</v>
      </c>
      <c r="AX1465" s="781"/>
      <c r="AY1465" s="782">
        <v>12089765</v>
      </c>
      <c r="AZ1465" s="781"/>
      <c r="BA1465" s="781"/>
    </row>
    <row r="1466" spans="2:53" ht="25" hidden="1" customHeight="1">
      <c r="B1466" s="488">
        <v>45569</v>
      </c>
      <c r="C1466" s="487">
        <v>45597</v>
      </c>
      <c r="D1466" s="185">
        <f t="shared" si="459"/>
        <v>2024</v>
      </c>
      <c r="E1466" s="614" t="str">
        <f>VLOOKUP($B1466,Week!$A$1:$C$1462,2,0)</f>
        <v>Week40</v>
      </c>
      <c r="F1466" s="445" t="str">
        <f t="shared" si="460"/>
        <v>Oct</v>
      </c>
      <c r="G1466" s="615" t="s">
        <v>1568</v>
      </c>
      <c r="H1466" s="444" t="s">
        <v>104</v>
      </c>
      <c r="I1466" s="444" t="s">
        <v>2772</v>
      </c>
      <c r="J1466" s="490" t="s">
        <v>105</v>
      </c>
      <c r="K1466" s="491" t="s">
        <v>1643</v>
      </c>
      <c r="L1466" s="300" t="s">
        <v>2167</v>
      </c>
      <c r="M1466" s="490" t="s">
        <v>336</v>
      </c>
      <c r="N1466" s="615" t="s">
        <v>745</v>
      </c>
      <c r="O1466" s="444" t="s">
        <v>743</v>
      </c>
      <c r="P1466" s="492">
        <v>36</v>
      </c>
      <c r="Q1466" s="492">
        <v>5</v>
      </c>
      <c r="R1466" s="493">
        <v>7.4999999999999997E-3</v>
      </c>
      <c r="S1466" s="444" t="s">
        <v>40</v>
      </c>
      <c r="T1466" s="444" t="s">
        <v>112</v>
      </c>
      <c r="U1466" s="616" t="s">
        <v>721</v>
      </c>
      <c r="V1466" s="494">
        <v>1288</v>
      </c>
      <c r="W1466" s="494">
        <f>2162-1198</f>
        <v>964</v>
      </c>
      <c r="X1466" s="495">
        <f>(14092)/36</f>
        <v>391.44444444444446</v>
      </c>
      <c r="Y1466" s="496">
        <f t="shared" si="474"/>
        <v>67.444444444444343</v>
      </c>
      <c r="Z1466" s="497">
        <f t="shared" si="475"/>
        <v>0</v>
      </c>
      <c r="AA1466" s="497"/>
      <c r="AB1466" s="829"/>
      <c r="AC1466" s="494"/>
      <c r="AD1466" s="515"/>
      <c r="AE1466" s="210"/>
      <c r="AF1466" s="210"/>
      <c r="AG1466" s="211">
        <f t="shared" si="476"/>
        <v>0.14699999999999999</v>
      </c>
      <c r="AH1466" s="157">
        <f t="shared" si="477"/>
        <v>0</v>
      </c>
      <c r="AI1466" s="152">
        <f t="shared" si="478"/>
        <v>46368</v>
      </c>
      <c r="AK1466" s="156" t="s">
        <v>691</v>
      </c>
      <c r="AL1466" s="574" t="s">
        <v>690</v>
      </c>
      <c r="AM1466" s="198">
        <f t="shared" si="479"/>
        <v>0</v>
      </c>
      <c r="AN1466" s="199">
        <f t="shared" si="461"/>
        <v>45569</v>
      </c>
      <c r="AO1466" s="159" t="s">
        <v>692</v>
      </c>
      <c r="AP1466" s="783" t="s">
        <v>639</v>
      </c>
      <c r="AQ1466" s="782">
        <v>12071839</v>
      </c>
      <c r="AR1466" s="782">
        <v>12047514</v>
      </c>
      <c r="AS1466" s="782">
        <v>12047515</v>
      </c>
      <c r="AT1466" s="782">
        <v>12089764</v>
      </c>
      <c r="AU1466" s="781"/>
      <c r="AV1466" s="782">
        <v>12089763</v>
      </c>
      <c r="AW1466" s="782">
        <v>12024404</v>
      </c>
      <c r="AX1466" s="781"/>
      <c r="AY1466" s="782">
        <v>12089765</v>
      </c>
      <c r="AZ1466" s="781"/>
      <c r="BA1466" s="781"/>
    </row>
    <row r="1467" spans="2:53" ht="25" hidden="1" customHeight="1">
      <c r="B1467" s="619">
        <v>45569</v>
      </c>
      <c r="C1467" s="466">
        <v>45596</v>
      </c>
      <c r="D1467" s="185">
        <f t="shared" si="459"/>
        <v>2024</v>
      </c>
      <c r="E1467" s="467" t="str">
        <f>VLOOKUP($B1467,Week!$A$1:$C$1462,2,0)</f>
        <v>Week40</v>
      </c>
      <c r="F1467" s="469" t="str">
        <f t="shared" si="460"/>
        <v>Oct</v>
      </c>
      <c r="G1467" s="468" t="s">
        <v>1464</v>
      </c>
      <c r="H1467" s="468" t="s">
        <v>225</v>
      </c>
      <c r="I1467" s="468" t="s">
        <v>2773</v>
      </c>
      <c r="J1467" s="471" t="s">
        <v>335</v>
      </c>
      <c r="K1467" s="472" t="s">
        <v>1643</v>
      </c>
      <c r="L1467" s="300" t="s">
        <v>2167</v>
      </c>
      <c r="M1467" s="471" t="s">
        <v>336</v>
      </c>
      <c r="N1467" s="468" t="s">
        <v>748</v>
      </c>
      <c r="O1467" s="468" t="s">
        <v>743</v>
      </c>
      <c r="P1467" s="473">
        <v>36</v>
      </c>
      <c r="Q1467" s="473">
        <v>5</v>
      </c>
      <c r="R1467" s="474">
        <v>7.4999999999999997E-3</v>
      </c>
      <c r="S1467" s="468" t="s">
        <v>40</v>
      </c>
      <c r="T1467" s="468" t="s">
        <v>112</v>
      </c>
      <c r="U1467" s="620" t="s">
        <v>721</v>
      </c>
      <c r="V1467" s="475">
        <f>1288-39</f>
        <v>1249</v>
      </c>
      <c r="W1467" s="475">
        <f>1048</f>
        <v>1048</v>
      </c>
      <c r="X1467" s="476">
        <v>201</v>
      </c>
      <c r="Y1467" s="477">
        <f t="shared" si="474"/>
        <v>0</v>
      </c>
      <c r="Z1467" s="478">
        <f t="shared" si="475"/>
        <v>0</v>
      </c>
      <c r="AA1467" s="478"/>
      <c r="AB1467" s="828"/>
      <c r="AC1467" s="475"/>
      <c r="AD1467" s="515"/>
      <c r="AE1467" s="210"/>
      <c r="AF1467" s="210"/>
      <c r="AG1467" s="211">
        <f t="shared" si="476"/>
        <v>0.14699999999999999</v>
      </c>
      <c r="AH1467" s="157">
        <f t="shared" si="477"/>
        <v>0</v>
      </c>
      <c r="AI1467" s="152">
        <f t="shared" si="478"/>
        <v>44964</v>
      </c>
      <c r="AK1467" s="156" t="s">
        <v>691</v>
      </c>
      <c r="AL1467" s="574" t="s">
        <v>690</v>
      </c>
      <c r="AM1467" s="198">
        <f t="shared" si="479"/>
        <v>0</v>
      </c>
      <c r="AN1467" s="199">
        <f t="shared" si="461"/>
        <v>45569</v>
      </c>
      <c r="AO1467" s="159" t="s">
        <v>692</v>
      </c>
      <c r="AP1467" s="783" t="s">
        <v>639</v>
      </c>
      <c r="AQ1467" s="782">
        <v>12071839</v>
      </c>
      <c r="AR1467" s="782">
        <v>12047514</v>
      </c>
      <c r="AS1467" s="782">
        <v>12047515</v>
      </c>
      <c r="AT1467" s="782">
        <v>12089769</v>
      </c>
      <c r="AU1467" s="781"/>
      <c r="AV1467" s="782">
        <v>12089766</v>
      </c>
      <c r="AW1467" s="782">
        <v>12024404</v>
      </c>
      <c r="AX1467" s="781"/>
      <c r="AY1467" s="782">
        <v>12089770</v>
      </c>
      <c r="AZ1467" s="781"/>
      <c r="BA1467" s="781"/>
    </row>
    <row r="1468" spans="2:53" ht="24.65" hidden="1" customHeight="1">
      <c r="B1468" s="308">
        <v>45570</v>
      </c>
      <c r="C1468" s="309">
        <v>45603</v>
      </c>
      <c r="D1468" s="185">
        <f t="shared" si="459"/>
        <v>2024</v>
      </c>
      <c r="E1468" s="309" t="str">
        <f>VLOOKUP($B1468,Week!$A$1:$C$1462,2,0)</f>
        <v>Week40</v>
      </c>
      <c r="F1468" s="310" t="str">
        <f t="shared" si="460"/>
        <v>Oct</v>
      </c>
      <c r="G1468" s="311" t="s">
        <v>1736</v>
      </c>
      <c r="H1468" s="311" t="s">
        <v>311</v>
      </c>
      <c r="I1468" s="311" t="s">
        <v>2772</v>
      </c>
      <c r="J1468" s="312" t="s">
        <v>738</v>
      </c>
      <c r="K1468" s="313" t="s">
        <v>107</v>
      </c>
      <c r="L1468" s="300" t="s">
        <v>2167</v>
      </c>
      <c r="M1468" s="312" t="s">
        <v>313</v>
      </c>
      <c r="N1468" s="311" t="s">
        <v>314</v>
      </c>
      <c r="O1468" s="311" t="s">
        <v>110</v>
      </c>
      <c r="P1468" s="314">
        <v>36</v>
      </c>
      <c r="Q1468" s="314">
        <v>5</v>
      </c>
      <c r="R1468" s="315">
        <v>7.4999999999999997E-3</v>
      </c>
      <c r="S1468" s="311" t="s">
        <v>111</v>
      </c>
      <c r="T1468" s="311" t="s">
        <v>112</v>
      </c>
      <c r="U1468" s="311" t="s">
        <v>57</v>
      </c>
      <c r="V1468" s="316">
        <f>792-205</f>
        <v>587</v>
      </c>
      <c r="W1468" s="316">
        <v>587</v>
      </c>
      <c r="X1468" s="317"/>
      <c r="Y1468" s="318">
        <f t="shared" si="474"/>
        <v>0</v>
      </c>
      <c r="Z1468" s="319">
        <f t="shared" si="475"/>
        <v>0</v>
      </c>
      <c r="AA1468" s="319"/>
      <c r="AB1468" s="815"/>
      <c r="AC1468" s="316"/>
      <c r="AD1468" s="515"/>
      <c r="AE1468" s="210"/>
      <c r="AF1468" s="210"/>
      <c r="AG1468" s="211">
        <f t="shared" si="476"/>
        <v>0.308</v>
      </c>
      <c r="AH1468" s="157">
        <f t="shared" si="477"/>
        <v>0</v>
      </c>
      <c r="AI1468" s="152">
        <f t="shared" si="478"/>
        <v>21132</v>
      </c>
      <c r="AK1468" s="156" t="s">
        <v>691</v>
      </c>
      <c r="AL1468" s="212" t="s">
        <v>690</v>
      </c>
      <c r="AM1468" s="198">
        <f t="shared" si="479"/>
        <v>0</v>
      </c>
      <c r="AN1468" s="199">
        <f t="shared" si="461"/>
        <v>45570</v>
      </c>
      <c r="AO1468" s="159" t="s">
        <v>692</v>
      </c>
      <c r="AP1468" s="783" t="s">
        <v>644</v>
      </c>
      <c r="AQ1468" s="782">
        <v>12063755</v>
      </c>
      <c r="AR1468" s="782">
        <v>12061353</v>
      </c>
      <c r="AS1468" s="782">
        <v>12061354</v>
      </c>
      <c r="AT1468" s="782">
        <v>12062266</v>
      </c>
      <c r="AU1468" s="781"/>
      <c r="AV1468" s="782">
        <v>12088159</v>
      </c>
      <c r="AW1468" s="782">
        <v>12088207</v>
      </c>
      <c r="AX1468" s="782"/>
      <c r="AY1468" s="782">
        <v>12062262</v>
      </c>
      <c r="AZ1468" s="782"/>
      <c r="BA1468" s="781"/>
    </row>
    <row r="1469" spans="2:53" ht="24.65" hidden="1" customHeight="1">
      <c r="B1469" s="308">
        <v>45570</v>
      </c>
      <c r="C1469" s="309">
        <v>45603</v>
      </c>
      <c r="D1469" s="185">
        <f t="shared" si="459"/>
        <v>2024</v>
      </c>
      <c r="E1469" s="309" t="str">
        <f>VLOOKUP($B1469,Week!$A$1:$C$1462,2,0)</f>
        <v>Week40</v>
      </c>
      <c r="F1469" s="310" t="str">
        <f t="shared" si="460"/>
        <v>Oct</v>
      </c>
      <c r="G1469" s="311" t="s">
        <v>1737</v>
      </c>
      <c r="H1469" s="311" t="s">
        <v>311</v>
      </c>
      <c r="I1469" s="311" t="s">
        <v>2772</v>
      </c>
      <c r="J1469" s="312" t="s">
        <v>738</v>
      </c>
      <c r="K1469" s="313" t="s">
        <v>107</v>
      </c>
      <c r="L1469" s="300" t="s">
        <v>2167</v>
      </c>
      <c r="M1469" s="312" t="s">
        <v>313</v>
      </c>
      <c r="N1469" s="311" t="s">
        <v>314</v>
      </c>
      <c r="O1469" s="311" t="s">
        <v>110</v>
      </c>
      <c r="P1469" s="314">
        <v>36</v>
      </c>
      <c r="Q1469" s="314">
        <v>5</v>
      </c>
      <c r="R1469" s="315">
        <v>7.4999999999999997E-3</v>
      </c>
      <c r="S1469" s="311" t="s">
        <v>111</v>
      </c>
      <c r="T1469" s="311" t="s">
        <v>112</v>
      </c>
      <c r="U1469" s="311" t="s">
        <v>57</v>
      </c>
      <c r="V1469" s="316">
        <v>792</v>
      </c>
      <c r="W1469" s="316">
        <v>792</v>
      </c>
      <c r="X1469" s="317"/>
      <c r="Y1469" s="318">
        <f t="shared" si="474"/>
        <v>0</v>
      </c>
      <c r="Z1469" s="319">
        <f t="shared" si="475"/>
        <v>0</v>
      </c>
      <c r="AA1469" s="319"/>
      <c r="AB1469" s="815"/>
      <c r="AC1469" s="316"/>
      <c r="AD1469" s="515"/>
      <c r="AE1469" s="210"/>
      <c r="AF1469" s="210"/>
      <c r="AG1469" s="211">
        <f t="shared" si="476"/>
        <v>0.308</v>
      </c>
      <c r="AH1469" s="157">
        <f t="shared" si="477"/>
        <v>0</v>
      </c>
      <c r="AI1469" s="152">
        <f t="shared" si="478"/>
        <v>28512</v>
      </c>
      <c r="AK1469" s="156" t="s">
        <v>691</v>
      </c>
      <c r="AL1469" s="212" t="s">
        <v>690</v>
      </c>
      <c r="AM1469" s="198">
        <f t="shared" si="479"/>
        <v>0</v>
      </c>
      <c r="AN1469" s="199">
        <f t="shared" si="461"/>
        <v>45570</v>
      </c>
      <c r="AO1469" s="159" t="s">
        <v>692</v>
      </c>
      <c r="AP1469" s="783" t="s">
        <v>644</v>
      </c>
      <c r="AQ1469" s="782">
        <v>12063755</v>
      </c>
      <c r="AR1469" s="782">
        <v>12061353</v>
      </c>
      <c r="AS1469" s="782">
        <v>12061354</v>
      </c>
      <c r="AT1469" s="782">
        <v>12062266</v>
      </c>
      <c r="AU1469" s="781"/>
      <c r="AV1469" s="782">
        <v>12088159</v>
      </c>
      <c r="AW1469" s="782">
        <v>12088207</v>
      </c>
      <c r="AX1469" s="782"/>
      <c r="AY1469" s="782">
        <v>12062262</v>
      </c>
      <c r="AZ1469" s="782"/>
      <c r="BA1469" s="781"/>
    </row>
    <row r="1470" spans="2:53" ht="24.65" hidden="1" customHeight="1">
      <c r="B1470" s="308">
        <v>45570</v>
      </c>
      <c r="C1470" s="309">
        <v>45610</v>
      </c>
      <c r="D1470" s="185">
        <f t="shared" si="459"/>
        <v>2024</v>
      </c>
      <c r="E1470" s="309" t="str">
        <f>VLOOKUP($B1470,Week!$A$1:$C$1462,2,0)</f>
        <v>Week40</v>
      </c>
      <c r="F1470" s="310" t="str">
        <f t="shared" si="460"/>
        <v>Oct</v>
      </c>
      <c r="G1470" s="311" t="s">
        <v>1744</v>
      </c>
      <c r="H1470" s="311" t="s">
        <v>311</v>
      </c>
      <c r="I1470" s="311" t="s">
        <v>2772</v>
      </c>
      <c r="J1470" s="312" t="s">
        <v>738</v>
      </c>
      <c r="K1470" s="313" t="s">
        <v>107</v>
      </c>
      <c r="L1470" s="300" t="s">
        <v>2167</v>
      </c>
      <c r="M1470" s="312" t="s">
        <v>313</v>
      </c>
      <c r="N1470" s="311" t="s">
        <v>314</v>
      </c>
      <c r="O1470" s="311" t="s">
        <v>110</v>
      </c>
      <c r="P1470" s="314">
        <v>36</v>
      </c>
      <c r="Q1470" s="314">
        <v>5</v>
      </c>
      <c r="R1470" s="315">
        <v>7.4999999999999997E-3</v>
      </c>
      <c r="S1470" s="311" t="s">
        <v>111</v>
      </c>
      <c r="T1470" s="311" t="s">
        <v>112</v>
      </c>
      <c r="U1470" s="311" t="s">
        <v>57</v>
      </c>
      <c r="V1470" s="316">
        <v>792</v>
      </c>
      <c r="W1470" s="316">
        <v>792</v>
      </c>
      <c r="X1470" s="317"/>
      <c r="Y1470" s="318">
        <f t="shared" si="474"/>
        <v>0</v>
      </c>
      <c r="Z1470" s="319">
        <f t="shared" si="475"/>
        <v>0</v>
      </c>
      <c r="AA1470" s="319"/>
      <c r="AB1470" s="815"/>
      <c r="AC1470" s="316"/>
      <c r="AD1470" s="515"/>
      <c r="AE1470" s="210"/>
      <c r="AF1470" s="210"/>
      <c r="AG1470" s="211">
        <f t="shared" si="476"/>
        <v>0.308</v>
      </c>
      <c r="AH1470" s="157">
        <f t="shared" si="477"/>
        <v>0</v>
      </c>
      <c r="AI1470" s="152">
        <f t="shared" si="478"/>
        <v>28512</v>
      </c>
      <c r="AK1470" s="156" t="s">
        <v>691</v>
      </c>
      <c r="AL1470" s="212" t="s">
        <v>690</v>
      </c>
      <c r="AM1470" s="198">
        <f t="shared" si="479"/>
        <v>0</v>
      </c>
      <c r="AN1470" s="199">
        <f t="shared" si="461"/>
        <v>45570</v>
      </c>
      <c r="AO1470" s="159" t="s">
        <v>692</v>
      </c>
      <c r="AP1470" s="783" t="s">
        <v>644</v>
      </c>
      <c r="AQ1470" s="782">
        <v>12063755</v>
      </c>
      <c r="AR1470" s="782">
        <v>12061353</v>
      </c>
      <c r="AS1470" s="782">
        <v>12061354</v>
      </c>
      <c r="AT1470" s="782">
        <v>12062266</v>
      </c>
      <c r="AU1470" s="781"/>
      <c r="AV1470" s="782">
        <v>12088159</v>
      </c>
      <c r="AW1470" s="782">
        <v>12088207</v>
      </c>
      <c r="AX1470" s="782"/>
      <c r="AY1470" s="782">
        <v>12062262</v>
      </c>
      <c r="AZ1470" s="782"/>
      <c r="BA1470" s="781"/>
    </row>
    <row r="1471" spans="2:53" ht="24.65" hidden="1" customHeight="1">
      <c r="B1471" s="308">
        <v>45570</v>
      </c>
      <c r="C1471" s="309">
        <v>45610</v>
      </c>
      <c r="D1471" s="185">
        <f t="shared" si="459"/>
        <v>2024</v>
      </c>
      <c r="E1471" s="309" t="str">
        <f>VLOOKUP($B1471,Week!$A$1:$C$1462,2,0)</f>
        <v>Week40</v>
      </c>
      <c r="F1471" s="310" t="str">
        <f t="shared" si="460"/>
        <v>Oct</v>
      </c>
      <c r="G1471" s="311" t="s">
        <v>1745</v>
      </c>
      <c r="H1471" s="311" t="s">
        <v>311</v>
      </c>
      <c r="I1471" s="311" t="s">
        <v>2772</v>
      </c>
      <c r="J1471" s="312" t="s">
        <v>738</v>
      </c>
      <c r="K1471" s="313" t="s">
        <v>107</v>
      </c>
      <c r="L1471" s="300" t="s">
        <v>2167</v>
      </c>
      <c r="M1471" s="312" t="s">
        <v>313</v>
      </c>
      <c r="N1471" s="311" t="s">
        <v>314</v>
      </c>
      <c r="O1471" s="311" t="s">
        <v>110</v>
      </c>
      <c r="P1471" s="314">
        <v>36</v>
      </c>
      <c r="Q1471" s="314">
        <v>5</v>
      </c>
      <c r="R1471" s="315">
        <v>7.4999999999999997E-3</v>
      </c>
      <c r="S1471" s="311" t="s">
        <v>111</v>
      </c>
      <c r="T1471" s="311" t="s">
        <v>112</v>
      </c>
      <c r="U1471" s="311" t="s">
        <v>57</v>
      </c>
      <c r="V1471" s="316">
        <v>792</v>
      </c>
      <c r="W1471" s="316">
        <f>2787-587-792-792</f>
        <v>616</v>
      </c>
      <c r="X1471" s="317">
        <f>(6336)/36</f>
        <v>176</v>
      </c>
      <c r="Y1471" s="318">
        <f t="shared" si="474"/>
        <v>0</v>
      </c>
      <c r="Z1471" s="319">
        <f t="shared" si="475"/>
        <v>0</v>
      </c>
      <c r="AA1471" s="319"/>
      <c r="AB1471" s="815"/>
      <c r="AC1471" s="316"/>
      <c r="AD1471" s="515"/>
      <c r="AE1471" s="210"/>
      <c r="AF1471" s="210"/>
      <c r="AG1471" s="211">
        <f t="shared" si="476"/>
        <v>0.308</v>
      </c>
      <c r="AH1471" s="157">
        <f t="shared" si="477"/>
        <v>0</v>
      </c>
      <c r="AI1471" s="152">
        <f t="shared" si="478"/>
        <v>28512</v>
      </c>
      <c r="AK1471" s="156" t="s">
        <v>691</v>
      </c>
      <c r="AL1471" s="212" t="s">
        <v>690</v>
      </c>
      <c r="AM1471" s="198">
        <f t="shared" si="479"/>
        <v>0</v>
      </c>
      <c r="AN1471" s="199">
        <f t="shared" si="461"/>
        <v>45570</v>
      </c>
      <c r="AO1471" s="159" t="s">
        <v>692</v>
      </c>
      <c r="AP1471" s="783" t="s">
        <v>644</v>
      </c>
      <c r="AQ1471" s="782">
        <v>12063755</v>
      </c>
      <c r="AR1471" s="782">
        <v>12061353</v>
      </c>
      <c r="AS1471" s="782">
        <v>12061354</v>
      </c>
      <c r="AT1471" s="782">
        <v>12062266</v>
      </c>
      <c r="AU1471" s="781"/>
      <c r="AV1471" s="782">
        <v>12088159</v>
      </c>
      <c r="AW1471" s="782">
        <v>12088207</v>
      </c>
      <c r="AX1471" s="782"/>
      <c r="AY1471" s="782">
        <v>12062262</v>
      </c>
      <c r="AZ1471" s="782"/>
      <c r="BA1471" s="781"/>
    </row>
    <row r="1472" spans="2:53" ht="24.75" hidden="1" customHeight="1">
      <c r="B1472" s="320">
        <v>45570</v>
      </c>
      <c r="C1472" s="321">
        <v>45596</v>
      </c>
      <c r="D1472" s="185">
        <f t="shared" si="459"/>
        <v>2024</v>
      </c>
      <c r="E1472" s="321" t="str">
        <f>VLOOKUP($B1472,Week!$A$1:$C$1462,2,0)</f>
        <v>Week40</v>
      </c>
      <c r="F1472" s="322" t="str">
        <f t="shared" si="460"/>
        <v>Oct</v>
      </c>
      <c r="G1472" s="323" t="s">
        <v>1776</v>
      </c>
      <c r="H1472" s="323" t="s">
        <v>675</v>
      </c>
      <c r="I1472" s="323" t="s">
        <v>2772</v>
      </c>
      <c r="J1472" s="324" t="s">
        <v>709</v>
      </c>
      <c r="K1472" s="325" t="s">
        <v>107</v>
      </c>
      <c r="L1472" s="300" t="s">
        <v>2167</v>
      </c>
      <c r="M1472" s="324" t="s">
        <v>313</v>
      </c>
      <c r="N1472" s="596" t="s">
        <v>710</v>
      </c>
      <c r="O1472" s="323" t="s">
        <v>592</v>
      </c>
      <c r="P1472" s="326">
        <v>8</v>
      </c>
      <c r="Q1472" s="326">
        <v>4</v>
      </c>
      <c r="R1472" s="327">
        <v>7.4999999999999997E-3</v>
      </c>
      <c r="S1472" s="323" t="s">
        <v>111</v>
      </c>
      <c r="T1472" s="323" t="s">
        <v>112</v>
      </c>
      <c r="U1472" s="323" t="s">
        <v>57</v>
      </c>
      <c r="V1472" s="328">
        <f>300</f>
        <v>300</v>
      </c>
      <c r="W1472" s="328"/>
      <c r="X1472" s="329">
        <f>(293+2112)/8</f>
        <v>300.625</v>
      </c>
      <c r="Y1472" s="330">
        <f t="shared" si="474"/>
        <v>0.625</v>
      </c>
      <c r="Z1472" s="331">
        <f t="shared" si="475"/>
        <v>0</v>
      </c>
      <c r="AA1472" s="331"/>
      <c r="AB1472" s="816"/>
      <c r="AC1472" s="328"/>
      <c r="AD1472" s="307" t="s">
        <v>672</v>
      </c>
      <c r="AE1472" s="210"/>
      <c r="AF1472" s="210"/>
      <c r="AG1472" s="211">
        <f t="shared" si="476"/>
        <v>0.30499999999999999</v>
      </c>
      <c r="AH1472" s="157">
        <f t="shared" si="477"/>
        <v>0</v>
      </c>
      <c r="AI1472" s="152">
        <f t="shared" si="478"/>
        <v>2400</v>
      </c>
      <c r="AK1472" s="156" t="s">
        <v>691</v>
      </c>
      <c r="AL1472" s="212" t="s">
        <v>690</v>
      </c>
      <c r="AM1472" s="198">
        <f t="shared" si="479"/>
        <v>0</v>
      </c>
      <c r="AN1472" s="199">
        <f t="shared" si="461"/>
        <v>45570</v>
      </c>
      <c r="AO1472" s="159" t="s">
        <v>692</v>
      </c>
      <c r="AP1472" s="783" t="s">
        <v>643</v>
      </c>
      <c r="AQ1472" s="782">
        <v>12063755</v>
      </c>
      <c r="AR1472" s="782">
        <v>12061353</v>
      </c>
      <c r="AS1472" s="782">
        <v>12061354</v>
      </c>
      <c r="AT1472" s="782">
        <v>12089987</v>
      </c>
      <c r="AU1472" s="781"/>
      <c r="AV1472" s="782">
        <v>12089986</v>
      </c>
      <c r="AW1472" s="782"/>
      <c r="AX1472" s="782"/>
      <c r="AY1472" s="782"/>
      <c r="AZ1472" s="782"/>
      <c r="BA1472" s="781"/>
    </row>
    <row r="1473" spans="1:53" ht="25" hidden="1" customHeight="1">
      <c r="B1473" s="345">
        <v>45570</v>
      </c>
      <c r="C1473" s="464">
        <v>45602</v>
      </c>
      <c r="D1473" s="185">
        <f t="shared" si="459"/>
        <v>2024</v>
      </c>
      <c r="E1473" s="464" t="str">
        <f>VLOOKUP($B1473,Week!$A$1:$C$1462,2,0)</f>
        <v>Week40</v>
      </c>
      <c r="F1473" s="465" t="str">
        <f t="shared" si="460"/>
        <v>Oct</v>
      </c>
      <c r="G1473" s="347" t="s">
        <v>1717</v>
      </c>
      <c r="H1473" s="347" t="s">
        <v>134</v>
      </c>
      <c r="I1473" s="347" t="s">
        <v>2772</v>
      </c>
      <c r="J1473" s="349" t="s">
        <v>135</v>
      </c>
      <c r="K1473" s="350" t="s">
        <v>107</v>
      </c>
      <c r="L1473" s="300" t="s">
        <v>2167</v>
      </c>
      <c r="M1473" s="349" t="s">
        <v>136</v>
      </c>
      <c r="N1473" s="347" t="s">
        <v>137</v>
      </c>
      <c r="O1473" s="347" t="s">
        <v>138</v>
      </c>
      <c r="P1473" s="351">
        <v>24</v>
      </c>
      <c r="Q1473" s="351">
        <v>3</v>
      </c>
      <c r="R1473" s="352">
        <v>7.4999999999999997E-3</v>
      </c>
      <c r="S1473" s="347" t="s">
        <v>111</v>
      </c>
      <c r="T1473" s="347" t="s">
        <v>56</v>
      </c>
      <c r="U1473" s="347" t="s">
        <v>572</v>
      </c>
      <c r="V1473" s="353">
        <f>500</f>
        <v>500</v>
      </c>
      <c r="W1473" s="353">
        <f>21+479</f>
        <v>500</v>
      </c>
      <c r="X1473" s="354"/>
      <c r="Y1473" s="355">
        <f t="shared" si="474"/>
        <v>0</v>
      </c>
      <c r="Z1473" s="356">
        <f t="shared" si="475"/>
        <v>0</v>
      </c>
      <c r="AA1473" s="356"/>
      <c r="AB1473" s="818"/>
      <c r="AC1473" s="353"/>
      <c r="AD1473" s="443"/>
      <c r="AE1473" s="210"/>
      <c r="AF1473" s="210"/>
      <c r="AG1473" s="211">
        <f t="shared" si="476"/>
        <v>0.219</v>
      </c>
      <c r="AH1473" s="157">
        <f t="shared" si="477"/>
        <v>0</v>
      </c>
      <c r="AI1473" s="152">
        <f t="shared" si="478"/>
        <v>12000</v>
      </c>
      <c r="AK1473" s="156" t="s">
        <v>691</v>
      </c>
      <c r="AL1473" s="212" t="s">
        <v>690</v>
      </c>
      <c r="AM1473" s="198">
        <f t="shared" si="479"/>
        <v>0</v>
      </c>
      <c r="AN1473" s="199">
        <f t="shared" si="461"/>
        <v>45570</v>
      </c>
      <c r="AO1473" s="159" t="s">
        <v>692</v>
      </c>
      <c r="AP1473" s="783" t="s">
        <v>610</v>
      </c>
      <c r="AQ1473" s="796" t="s">
        <v>1500</v>
      </c>
      <c r="AR1473" s="782" t="s">
        <v>140</v>
      </c>
      <c r="AS1473" s="782" t="s">
        <v>141</v>
      </c>
      <c r="AT1473" s="782"/>
      <c r="AU1473" s="783" t="s">
        <v>568</v>
      </c>
      <c r="AV1473" s="796" t="s">
        <v>569</v>
      </c>
      <c r="AW1473" s="796" t="s">
        <v>570</v>
      </c>
      <c r="AX1473" s="782"/>
      <c r="AY1473" s="782">
        <v>12061259</v>
      </c>
      <c r="AZ1473" s="782">
        <v>12064123</v>
      </c>
      <c r="BA1473" s="782">
        <v>12064127</v>
      </c>
    </row>
    <row r="1474" spans="1:53" ht="25" hidden="1" customHeight="1">
      <c r="B1474" s="399">
        <v>45570</v>
      </c>
      <c r="C1474" s="399">
        <v>45583</v>
      </c>
      <c r="D1474" s="185">
        <f t="shared" si="459"/>
        <v>2024</v>
      </c>
      <c r="E1474" s="399" t="str">
        <f>VLOOKUP($B1474,Week!$A$1:$C$1462,2,0)</f>
        <v>Week40</v>
      </c>
      <c r="F1474" s="400" t="str">
        <f t="shared" si="460"/>
        <v>Oct</v>
      </c>
      <c r="G1474" s="401" t="s">
        <v>1746</v>
      </c>
      <c r="H1474" s="401" t="s">
        <v>675</v>
      </c>
      <c r="I1474" s="401" t="s">
        <v>2772</v>
      </c>
      <c r="J1474" s="402" t="s">
        <v>709</v>
      </c>
      <c r="K1474" s="403" t="s">
        <v>1646</v>
      </c>
      <c r="L1474" s="300" t="s">
        <v>2167</v>
      </c>
      <c r="M1474" s="402" t="s">
        <v>654</v>
      </c>
      <c r="N1474" s="401" t="s">
        <v>750</v>
      </c>
      <c r="O1474" s="401" t="s">
        <v>655</v>
      </c>
      <c r="P1474" s="405">
        <v>24</v>
      </c>
      <c r="Q1474" s="405">
        <v>5</v>
      </c>
      <c r="R1474" s="406">
        <v>7.4999999999999997E-3</v>
      </c>
      <c r="S1474" s="401" t="s">
        <v>40</v>
      </c>
      <c r="T1474" s="401" t="s">
        <v>112</v>
      </c>
      <c r="U1474" s="622" t="s">
        <v>721</v>
      </c>
      <c r="V1474" s="407">
        <v>390</v>
      </c>
      <c r="W1474" s="407">
        <f>384</f>
        <v>384</v>
      </c>
      <c r="X1474" s="408">
        <f>(660)/24</f>
        <v>27.5</v>
      </c>
      <c r="Y1474" s="409">
        <f t="shared" si="474"/>
        <v>21.5</v>
      </c>
      <c r="Z1474" s="410">
        <f t="shared" si="475"/>
        <v>0</v>
      </c>
      <c r="AA1474" s="410"/>
      <c r="AB1474" s="824"/>
      <c r="AC1474" s="407"/>
      <c r="AD1474" s="209"/>
      <c r="AE1474" s="210"/>
      <c r="AF1474" s="210"/>
      <c r="AG1474" s="211">
        <f t="shared" si="476"/>
        <v>0.307</v>
      </c>
      <c r="AH1474" s="157">
        <f t="shared" si="477"/>
        <v>0</v>
      </c>
      <c r="AI1474" s="152">
        <f t="shared" si="478"/>
        <v>9360</v>
      </c>
      <c r="AK1474" s="156" t="s">
        <v>691</v>
      </c>
      <c r="AL1474" s="212" t="s">
        <v>690</v>
      </c>
      <c r="AM1474" s="198">
        <f t="shared" si="479"/>
        <v>0</v>
      </c>
      <c r="AN1474" s="199">
        <f t="shared" si="461"/>
        <v>45570</v>
      </c>
      <c r="AO1474" s="159" t="s">
        <v>692</v>
      </c>
      <c r="AP1474" s="781" t="s">
        <v>642</v>
      </c>
      <c r="AQ1474" s="782">
        <v>12063755</v>
      </c>
      <c r="AR1474" s="782">
        <v>12061353</v>
      </c>
      <c r="AS1474" s="782">
        <v>12061354</v>
      </c>
      <c r="AT1474" s="782">
        <v>12090189</v>
      </c>
      <c r="AU1474" s="781"/>
      <c r="AV1474" s="782">
        <v>12090188</v>
      </c>
      <c r="AW1474" s="782">
        <v>12068154</v>
      </c>
      <c r="AX1474" s="782"/>
      <c r="AY1474" s="782">
        <v>12090190</v>
      </c>
      <c r="AZ1474" s="782"/>
      <c r="BA1474" s="781"/>
    </row>
    <row r="1475" spans="1:53" ht="25" hidden="1" customHeight="1">
      <c r="B1475" s="183">
        <v>45571</v>
      </c>
      <c r="C1475" s="184"/>
      <c r="D1475" s="185">
        <f t="shared" si="459"/>
        <v>2024</v>
      </c>
      <c r="E1475" s="185" t="str">
        <f>VLOOKUP($B1475,Week!$A$1:$C$1462,2,0)</f>
        <v>Week40</v>
      </c>
      <c r="F1475" s="186" t="str">
        <f t="shared" si="460"/>
        <v>Oct</v>
      </c>
      <c r="G1475" s="185"/>
      <c r="H1475" s="185"/>
      <c r="I1475" s="185"/>
      <c r="J1475" s="187"/>
      <c r="K1475" s="188"/>
      <c r="L1475" s="300"/>
      <c r="M1475" s="187"/>
      <c r="N1475" s="185"/>
      <c r="O1475" s="185"/>
      <c r="P1475" s="189"/>
      <c r="Q1475" s="189"/>
      <c r="R1475" s="190"/>
      <c r="S1475" s="185"/>
      <c r="T1475" s="185"/>
      <c r="U1475" s="185"/>
      <c r="V1475" s="191"/>
      <c r="W1475" s="191"/>
      <c r="X1475" s="192"/>
      <c r="Y1475" s="193"/>
      <c r="Z1475" s="194"/>
      <c r="AA1475" s="194"/>
      <c r="AB1475" s="805"/>
      <c r="AC1475" s="191"/>
      <c r="AD1475" s="187"/>
      <c r="AE1475" s="195"/>
      <c r="AF1475" s="195"/>
      <c r="AG1475" s="196"/>
      <c r="AH1475" s="197"/>
      <c r="AK1475" s="156" t="s">
        <v>691</v>
      </c>
      <c r="AM1475" s="198">
        <f t="shared" si="479"/>
        <v>0</v>
      </c>
      <c r="AN1475" s="199">
        <f t="shared" si="461"/>
        <v>45571</v>
      </c>
      <c r="AO1475" s="159" t="s">
        <v>692</v>
      </c>
      <c r="AP1475" s="781"/>
      <c r="AQ1475" s="782"/>
      <c r="AR1475" s="782"/>
      <c r="AS1475" s="782"/>
      <c r="AT1475" s="782"/>
      <c r="AU1475" s="781"/>
      <c r="AV1475" s="782"/>
      <c r="AW1475" s="782"/>
      <c r="AX1475" s="782"/>
      <c r="AY1475" s="782"/>
      <c r="AZ1475" s="782"/>
      <c r="BA1475" s="781"/>
    </row>
    <row r="1476" spans="1:53" ht="25" hidden="1" customHeight="1">
      <c r="A1476" s="142" t="s">
        <v>120</v>
      </c>
      <c r="B1476" s="466">
        <v>45572</v>
      </c>
      <c r="C1476" s="467">
        <v>45586</v>
      </c>
      <c r="D1476" s="185">
        <f t="shared" si="459"/>
        <v>2024</v>
      </c>
      <c r="E1476" s="468" t="str">
        <f>VLOOKUP($B1476,Week!$A$1:$C$1462,2,0)</f>
        <v>Week41</v>
      </c>
      <c r="F1476" s="469" t="str">
        <f t="shared" si="460"/>
        <v>Oct</v>
      </c>
      <c r="G1476" s="470" t="s">
        <v>1700</v>
      </c>
      <c r="H1476" s="468" t="s">
        <v>82</v>
      </c>
      <c r="I1476" s="468" t="s">
        <v>82</v>
      </c>
      <c r="J1476" s="471" t="s">
        <v>720</v>
      </c>
      <c r="K1476" s="472" t="s">
        <v>85</v>
      </c>
      <c r="L1476" s="390" t="s">
        <v>2166</v>
      </c>
      <c r="M1476" s="471" t="s">
        <v>579</v>
      </c>
      <c r="N1476" s="468" t="s">
        <v>580</v>
      </c>
      <c r="O1476" s="468" t="s">
        <v>581</v>
      </c>
      <c r="P1476" s="473">
        <v>8</v>
      </c>
      <c r="Q1476" s="473">
        <v>60</v>
      </c>
      <c r="R1476" s="474">
        <v>6.8100000000000001E-3</v>
      </c>
      <c r="S1476" s="468" t="s">
        <v>76</v>
      </c>
      <c r="T1476" s="468" t="s">
        <v>56</v>
      </c>
      <c r="U1476" s="468" t="s">
        <v>89</v>
      </c>
      <c r="V1476" s="475">
        <f>1408</f>
        <v>1408</v>
      </c>
      <c r="W1476" s="475">
        <f>42+1366</f>
        <v>1408</v>
      </c>
      <c r="X1476" s="476"/>
      <c r="Y1476" s="477">
        <f t="shared" ref="Y1476:Y1499" si="480">(W1476+X1476)-V1476</f>
        <v>0</v>
      </c>
      <c r="Z1476" s="478">
        <f t="shared" ref="Z1476:Z1499" si="481">IF(Y1476&lt;0,((V1476*P1476)-((W1476+X1476)*P1476)),0)</f>
        <v>0</v>
      </c>
      <c r="AA1476" s="478">
        <f>Q1476*Z1476</f>
        <v>0</v>
      </c>
      <c r="AB1476" s="828">
        <v>6</v>
      </c>
      <c r="AC1476" s="475">
        <f>Z1476*AB1476</f>
        <v>0</v>
      </c>
      <c r="AD1476" s="209"/>
      <c r="AE1476" s="210"/>
      <c r="AF1476" s="210"/>
      <c r="AG1476" s="211">
        <f t="shared" ref="AG1476:AG1490" si="482">MID(O1476,1,3)/1000</f>
        <v>0.75</v>
      </c>
      <c r="AH1476" s="157">
        <f t="shared" ref="AH1476:AH1499" si="483">(Z1476*AG1476)/1000</f>
        <v>0</v>
      </c>
      <c r="AI1476" s="152">
        <f t="shared" ref="AI1476:AI1499" si="484">V1476*P1476</f>
        <v>11264</v>
      </c>
      <c r="AK1476" s="156" t="s">
        <v>691</v>
      </c>
      <c r="AL1476" s="156" t="s">
        <v>689</v>
      </c>
      <c r="AM1476" s="198">
        <f t="shared" si="479"/>
        <v>0</v>
      </c>
      <c r="AN1476" s="199">
        <f t="shared" si="461"/>
        <v>45572</v>
      </c>
      <c r="AO1476" s="159" t="s">
        <v>692</v>
      </c>
      <c r="AP1476" s="783" t="s">
        <v>622</v>
      </c>
      <c r="AQ1476" s="782">
        <v>12004862</v>
      </c>
      <c r="AR1476" s="782">
        <v>12080753</v>
      </c>
      <c r="AS1476" s="782"/>
      <c r="AT1476" s="782">
        <v>12082897</v>
      </c>
      <c r="AU1476" s="781"/>
      <c r="AV1476" s="782">
        <v>12082898</v>
      </c>
      <c r="AW1476" s="782">
        <v>12082899</v>
      </c>
      <c r="AX1476" s="796" t="s">
        <v>621</v>
      </c>
      <c r="AY1476" s="782"/>
      <c r="AZ1476" s="782"/>
      <c r="BA1476" s="781"/>
    </row>
    <row r="1477" spans="1:53" ht="25" hidden="1" customHeight="1">
      <c r="A1477" s="142" t="s">
        <v>120</v>
      </c>
      <c r="B1477" s="271">
        <v>45573</v>
      </c>
      <c r="C1477" s="272">
        <v>45600</v>
      </c>
      <c r="D1477" s="185">
        <f t="shared" ref="D1477:D1540" si="485">IF(B1477="","",YEAR(B1477))</f>
        <v>2024</v>
      </c>
      <c r="E1477" s="272" t="str">
        <f>VLOOKUP($B1477,Week!$A$1:$C$1462,2,0)</f>
        <v>Week41</v>
      </c>
      <c r="F1477" s="273" t="str">
        <f t="shared" ref="F1477:F1540" si="486">IF(B1477="","",TEXT(B1477,"[$-409]mmm"))</f>
        <v>Oct</v>
      </c>
      <c r="G1477" s="274" t="s">
        <v>1731</v>
      </c>
      <c r="H1477" s="274" t="s">
        <v>500</v>
      </c>
      <c r="I1477" s="274" t="s">
        <v>2772</v>
      </c>
      <c r="J1477" s="275" t="s">
        <v>285</v>
      </c>
      <c r="K1477" s="276" t="s">
        <v>153</v>
      </c>
      <c r="L1477" s="390" t="s">
        <v>2166</v>
      </c>
      <c r="M1477" s="275" t="s">
        <v>86</v>
      </c>
      <c r="N1477" s="274" t="s">
        <v>547</v>
      </c>
      <c r="O1477" s="274" t="s">
        <v>548</v>
      </c>
      <c r="P1477" s="277">
        <v>10</v>
      </c>
      <c r="Q1477" s="277">
        <v>50</v>
      </c>
      <c r="R1477" s="278">
        <v>6.8100000000000001E-3</v>
      </c>
      <c r="S1477" s="274" t="s">
        <v>76</v>
      </c>
      <c r="T1477" s="274" t="s">
        <v>56</v>
      </c>
      <c r="U1477" s="274" t="s">
        <v>89</v>
      </c>
      <c r="V1477" s="279">
        <v>1349</v>
      </c>
      <c r="W1477" s="279">
        <f>42+1307</f>
        <v>1349</v>
      </c>
      <c r="X1477" s="280"/>
      <c r="Y1477" s="281">
        <f t="shared" si="480"/>
        <v>0</v>
      </c>
      <c r="Z1477" s="282">
        <f t="shared" si="481"/>
        <v>0</v>
      </c>
      <c r="AA1477" s="282">
        <f>Q1477*Z1477</f>
        <v>0</v>
      </c>
      <c r="AB1477" s="812">
        <v>6</v>
      </c>
      <c r="AC1477" s="279">
        <f>Z1477*AB1477</f>
        <v>0</v>
      </c>
      <c r="AD1477" s="209"/>
      <c r="AE1477" s="210"/>
      <c r="AF1477" s="210"/>
      <c r="AG1477" s="211">
        <f t="shared" si="482"/>
        <v>0.63</v>
      </c>
      <c r="AH1477" s="157">
        <f t="shared" si="483"/>
        <v>0</v>
      </c>
      <c r="AI1477" s="152">
        <f t="shared" si="484"/>
        <v>13490</v>
      </c>
      <c r="AK1477" s="156" t="s">
        <v>691</v>
      </c>
      <c r="AL1477" s="156" t="s">
        <v>689</v>
      </c>
      <c r="AM1477" s="198">
        <f t="shared" si="479"/>
        <v>0</v>
      </c>
      <c r="AN1477" s="199">
        <f t="shared" ref="AN1477:AN1540" si="487">B1477</f>
        <v>45573</v>
      </c>
      <c r="AO1477" s="159" t="s">
        <v>692</v>
      </c>
      <c r="AP1477" s="783" t="s">
        <v>620</v>
      </c>
      <c r="AQ1477" s="782" t="s">
        <v>549</v>
      </c>
      <c r="AR1477" s="782">
        <v>12055234</v>
      </c>
      <c r="AS1477" s="781"/>
      <c r="AT1477" s="782"/>
      <c r="AU1477" s="782"/>
      <c r="AV1477" s="782">
        <v>12062809</v>
      </c>
      <c r="AW1477" s="782"/>
      <c r="AX1477" s="782" t="s">
        <v>619</v>
      </c>
      <c r="AY1477" s="781"/>
      <c r="AZ1477" s="781"/>
      <c r="BA1477" s="781"/>
    </row>
    <row r="1478" spans="1:53" ht="25" hidden="1" customHeight="1">
      <c r="B1478" s="320">
        <v>45574</v>
      </c>
      <c r="C1478" s="321" t="s">
        <v>1711</v>
      </c>
      <c r="D1478" s="185">
        <f t="shared" si="485"/>
        <v>2024</v>
      </c>
      <c r="E1478" s="321" t="str">
        <f>VLOOKUP($B1478,Week!$A$1:$C$1462,2,0)</f>
        <v>Week41</v>
      </c>
      <c r="F1478" s="322" t="str">
        <f t="shared" si="486"/>
        <v>Oct</v>
      </c>
      <c r="G1478" s="323" t="s">
        <v>47</v>
      </c>
      <c r="H1478" s="323" t="s">
        <v>518</v>
      </c>
      <c r="I1478" s="323" t="s">
        <v>2702</v>
      </c>
      <c r="J1478" s="324" t="s">
        <v>70</v>
      </c>
      <c r="K1478" s="325" t="s">
        <v>564</v>
      </c>
      <c r="L1478" s="300" t="s">
        <v>2167</v>
      </c>
      <c r="M1478" s="324" t="s">
        <v>558</v>
      </c>
      <c r="N1478" s="323" t="s">
        <v>559</v>
      </c>
      <c r="O1478" s="323" t="s">
        <v>560</v>
      </c>
      <c r="P1478" s="326">
        <v>12</v>
      </c>
      <c r="Q1478" s="326">
        <v>3</v>
      </c>
      <c r="R1478" s="327">
        <v>8.0000000000000002E-3</v>
      </c>
      <c r="S1478" s="323" t="s">
        <v>40</v>
      </c>
      <c r="T1478" s="323" t="s">
        <v>56</v>
      </c>
      <c r="U1478" s="323" t="s">
        <v>57</v>
      </c>
      <c r="V1478" s="397">
        <f>418</f>
        <v>418</v>
      </c>
      <c r="W1478" s="328">
        <f>418</f>
        <v>418</v>
      </c>
      <c r="X1478" s="329"/>
      <c r="Y1478" s="330">
        <f t="shared" si="480"/>
        <v>0</v>
      </c>
      <c r="Z1478" s="331">
        <f t="shared" si="481"/>
        <v>0</v>
      </c>
      <c r="AA1478" s="331"/>
      <c r="AB1478" s="816"/>
      <c r="AC1478" s="328"/>
      <c r="AD1478" s="209"/>
      <c r="AE1478" s="210"/>
      <c r="AF1478" s="210"/>
      <c r="AG1478" s="211">
        <f t="shared" si="482"/>
        <v>0.22600000000000001</v>
      </c>
      <c r="AH1478" s="157">
        <f t="shared" si="483"/>
        <v>0</v>
      </c>
      <c r="AI1478" s="152">
        <f t="shared" si="484"/>
        <v>5016</v>
      </c>
      <c r="AK1478" s="156" t="s">
        <v>691</v>
      </c>
      <c r="AL1478" s="212" t="s">
        <v>690</v>
      </c>
      <c r="AM1478" s="198">
        <f t="shared" si="479"/>
        <v>0</v>
      </c>
      <c r="AN1478" s="199">
        <f t="shared" si="487"/>
        <v>45574</v>
      </c>
      <c r="AO1478" s="159" t="s">
        <v>692</v>
      </c>
      <c r="AP1478" s="783" t="s">
        <v>623</v>
      </c>
      <c r="AQ1478" s="782">
        <v>12071839</v>
      </c>
      <c r="AR1478" s="782">
        <v>12042650</v>
      </c>
      <c r="AS1478" s="782">
        <v>12042649</v>
      </c>
      <c r="AT1478" s="782"/>
      <c r="AU1478" s="781"/>
      <c r="AV1478" s="782">
        <v>12083156</v>
      </c>
      <c r="AW1478" s="782"/>
      <c r="AX1478" s="782"/>
      <c r="AY1478" s="782">
        <v>12083147</v>
      </c>
      <c r="AZ1478" s="782">
        <v>12083148</v>
      </c>
      <c r="BA1478" s="781"/>
    </row>
    <row r="1479" spans="1:53" ht="25" hidden="1" customHeight="1">
      <c r="B1479" s="320">
        <v>45574</v>
      </c>
      <c r="C1479" s="321" t="s">
        <v>1712</v>
      </c>
      <c r="D1479" s="185">
        <f t="shared" si="485"/>
        <v>2024</v>
      </c>
      <c r="E1479" s="321" t="str">
        <f>VLOOKUP($B1479,Week!$A$1:$C$1462,2,0)</f>
        <v>Week41</v>
      </c>
      <c r="F1479" s="322" t="str">
        <f t="shared" si="486"/>
        <v>Oct</v>
      </c>
      <c r="G1479" s="323" t="s">
        <v>47</v>
      </c>
      <c r="H1479" s="323" t="s">
        <v>518</v>
      </c>
      <c r="I1479" s="323" t="s">
        <v>2702</v>
      </c>
      <c r="J1479" s="324" t="s">
        <v>70</v>
      </c>
      <c r="K1479" s="325" t="s">
        <v>564</v>
      </c>
      <c r="L1479" s="300" t="s">
        <v>2167</v>
      </c>
      <c r="M1479" s="324" t="s">
        <v>558</v>
      </c>
      <c r="N1479" s="323" t="s">
        <v>559</v>
      </c>
      <c r="O1479" s="323" t="s">
        <v>560</v>
      </c>
      <c r="P1479" s="326">
        <v>12</v>
      </c>
      <c r="Q1479" s="326">
        <v>3</v>
      </c>
      <c r="R1479" s="327">
        <v>8.0000000000000002E-3</v>
      </c>
      <c r="S1479" s="323" t="s">
        <v>40</v>
      </c>
      <c r="T1479" s="323" t="s">
        <v>56</v>
      </c>
      <c r="U1479" s="323" t="s">
        <v>57</v>
      </c>
      <c r="V1479" s="397">
        <f>488+10</f>
        <v>498</v>
      </c>
      <c r="W1479" s="328">
        <f>902-418+14</f>
        <v>498</v>
      </c>
      <c r="X1479" s="329"/>
      <c r="Y1479" s="330">
        <f t="shared" si="480"/>
        <v>0</v>
      </c>
      <c r="Z1479" s="331">
        <f t="shared" si="481"/>
        <v>0</v>
      </c>
      <c r="AA1479" s="331"/>
      <c r="AB1479" s="816"/>
      <c r="AC1479" s="328"/>
      <c r="AD1479" s="209"/>
      <c r="AE1479" s="210"/>
      <c r="AF1479" s="210"/>
      <c r="AG1479" s="211">
        <f t="shared" si="482"/>
        <v>0.22600000000000001</v>
      </c>
      <c r="AH1479" s="157">
        <f t="shared" si="483"/>
        <v>0</v>
      </c>
      <c r="AI1479" s="152">
        <f t="shared" si="484"/>
        <v>5976</v>
      </c>
      <c r="AK1479" s="156" t="s">
        <v>691</v>
      </c>
      <c r="AL1479" s="212" t="s">
        <v>690</v>
      </c>
      <c r="AM1479" s="198">
        <f t="shared" si="479"/>
        <v>0</v>
      </c>
      <c r="AN1479" s="199">
        <f t="shared" si="487"/>
        <v>45574</v>
      </c>
      <c r="AO1479" s="159" t="s">
        <v>692</v>
      </c>
      <c r="AP1479" s="783" t="s">
        <v>623</v>
      </c>
      <c r="AQ1479" s="782">
        <v>12071839</v>
      </c>
      <c r="AR1479" s="782">
        <v>12042650</v>
      </c>
      <c r="AS1479" s="782">
        <v>12042649</v>
      </c>
      <c r="AT1479" s="782"/>
      <c r="AU1479" s="781"/>
      <c r="AV1479" s="782">
        <v>12083156</v>
      </c>
      <c r="AW1479" s="782"/>
      <c r="AX1479" s="782"/>
      <c r="AY1479" s="782">
        <v>12083147</v>
      </c>
      <c r="AZ1479" s="782">
        <v>12083148</v>
      </c>
      <c r="BA1479" s="781"/>
    </row>
    <row r="1480" spans="1:53" ht="25" hidden="1" customHeight="1">
      <c r="B1480" s="332">
        <v>45574</v>
      </c>
      <c r="C1480" s="333" t="s">
        <v>1712</v>
      </c>
      <c r="D1480" s="185">
        <f t="shared" si="485"/>
        <v>2024</v>
      </c>
      <c r="E1480" s="333" t="str">
        <f>VLOOKUP($B1480,Week!$A$1:$C$1462,2,0)</f>
        <v>Week41</v>
      </c>
      <c r="F1480" s="334" t="str">
        <f t="shared" si="486"/>
        <v>Oct</v>
      </c>
      <c r="G1480" s="335" t="s">
        <v>47</v>
      </c>
      <c r="H1480" s="335" t="s">
        <v>518</v>
      </c>
      <c r="I1480" s="335" t="s">
        <v>2702</v>
      </c>
      <c r="J1480" s="336" t="s">
        <v>70</v>
      </c>
      <c r="K1480" s="337" t="s">
        <v>582</v>
      </c>
      <c r="L1480" s="300" t="s">
        <v>2167</v>
      </c>
      <c r="M1480" s="336" t="s">
        <v>534</v>
      </c>
      <c r="N1480" s="530" t="s">
        <v>578</v>
      </c>
      <c r="O1480" s="335" t="s">
        <v>583</v>
      </c>
      <c r="P1480" s="338">
        <v>12</v>
      </c>
      <c r="Q1480" s="338">
        <v>3</v>
      </c>
      <c r="R1480" s="339">
        <v>6.0000000000000001E-3</v>
      </c>
      <c r="S1480" s="335" t="s">
        <v>55</v>
      </c>
      <c r="T1480" s="335" t="s">
        <v>56</v>
      </c>
      <c r="U1480" s="335" t="s">
        <v>57</v>
      </c>
      <c r="V1480" s="341">
        <f>24</f>
        <v>24</v>
      </c>
      <c r="W1480" s="341">
        <v>24</v>
      </c>
      <c r="X1480" s="342"/>
      <c r="Y1480" s="531">
        <f t="shared" si="480"/>
        <v>0</v>
      </c>
      <c r="Z1480" s="344">
        <f t="shared" si="481"/>
        <v>0</v>
      </c>
      <c r="AA1480" s="344"/>
      <c r="AB1480" s="817"/>
      <c r="AC1480" s="341"/>
      <c r="AD1480" s="209"/>
      <c r="AE1480" s="210"/>
      <c r="AF1480" s="210"/>
      <c r="AG1480" s="211">
        <f t="shared" si="482"/>
        <v>0.191</v>
      </c>
      <c r="AH1480" s="157">
        <f t="shared" si="483"/>
        <v>0</v>
      </c>
      <c r="AI1480" s="152">
        <f t="shared" si="484"/>
        <v>288</v>
      </c>
      <c r="AK1480" s="156" t="s">
        <v>691</v>
      </c>
      <c r="AL1480" s="212" t="s">
        <v>690</v>
      </c>
      <c r="AM1480" s="198">
        <f t="shared" si="479"/>
        <v>0</v>
      </c>
      <c r="AN1480" s="199">
        <f t="shared" si="487"/>
        <v>45574</v>
      </c>
      <c r="AO1480" s="159" t="s">
        <v>692</v>
      </c>
      <c r="AP1480" s="781"/>
      <c r="AQ1480" s="782">
        <v>12071839</v>
      </c>
      <c r="AR1480" s="782">
        <v>12042650</v>
      </c>
      <c r="AS1480" s="782">
        <v>12042649</v>
      </c>
      <c r="AT1480" s="782"/>
      <c r="AU1480" s="781"/>
      <c r="AV1480" s="782">
        <v>12083313</v>
      </c>
      <c r="AW1480" s="782"/>
      <c r="AX1480" s="782"/>
      <c r="AY1480" s="782">
        <v>12083308</v>
      </c>
      <c r="AZ1480" s="782">
        <v>12083312</v>
      </c>
      <c r="BA1480" s="781"/>
    </row>
    <row r="1481" spans="1:53" ht="25" hidden="1" customHeight="1">
      <c r="B1481" s="332">
        <v>45574</v>
      </c>
      <c r="C1481" s="333" t="s">
        <v>1712</v>
      </c>
      <c r="D1481" s="185">
        <f t="shared" si="485"/>
        <v>2024</v>
      </c>
      <c r="E1481" s="333" t="str">
        <f>VLOOKUP($B1481,Week!$A$1:$C$1462,2,0)</f>
        <v>Week41</v>
      </c>
      <c r="F1481" s="334" t="str">
        <f t="shared" si="486"/>
        <v>Oct</v>
      </c>
      <c r="G1481" s="335" t="s">
        <v>47</v>
      </c>
      <c r="H1481" s="335" t="s">
        <v>518</v>
      </c>
      <c r="I1481" s="335" t="s">
        <v>2702</v>
      </c>
      <c r="J1481" s="336" t="s">
        <v>70</v>
      </c>
      <c r="K1481" s="337" t="s">
        <v>582</v>
      </c>
      <c r="L1481" s="300" t="s">
        <v>2167</v>
      </c>
      <c r="M1481" s="336" t="s">
        <v>534</v>
      </c>
      <c r="N1481" s="530" t="s">
        <v>578</v>
      </c>
      <c r="O1481" s="335" t="s">
        <v>583</v>
      </c>
      <c r="P1481" s="338">
        <v>12</v>
      </c>
      <c r="Q1481" s="338">
        <v>3</v>
      </c>
      <c r="R1481" s="339">
        <v>6.0000000000000001E-3</v>
      </c>
      <c r="S1481" s="335" t="s">
        <v>55</v>
      </c>
      <c r="T1481" s="335" t="s">
        <v>56</v>
      </c>
      <c r="U1481" s="335" t="s">
        <v>57</v>
      </c>
      <c r="V1481" s="341">
        <f>218-24+9</f>
        <v>203</v>
      </c>
      <c r="W1481" s="341">
        <f>227-24</f>
        <v>203</v>
      </c>
      <c r="X1481" s="342"/>
      <c r="Y1481" s="531">
        <f t="shared" si="480"/>
        <v>0</v>
      </c>
      <c r="Z1481" s="344">
        <f t="shared" si="481"/>
        <v>0</v>
      </c>
      <c r="AA1481" s="344"/>
      <c r="AB1481" s="817"/>
      <c r="AC1481" s="341"/>
      <c r="AD1481" s="209"/>
      <c r="AE1481" s="210"/>
      <c r="AF1481" s="210"/>
      <c r="AG1481" s="211">
        <f t="shared" si="482"/>
        <v>0.191</v>
      </c>
      <c r="AH1481" s="157">
        <f t="shared" si="483"/>
        <v>0</v>
      </c>
      <c r="AI1481" s="152">
        <f t="shared" si="484"/>
        <v>2436</v>
      </c>
      <c r="AK1481" s="156" t="s">
        <v>691</v>
      </c>
      <c r="AL1481" s="212" t="s">
        <v>690</v>
      </c>
      <c r="AM1481" s="198">
        <f t="shared" si="479"/>
        <v>0</v>
      </c>
      <c r="AN1481" s="199">
        <f t="shared" si="487"/>
        <v>45574</v>
      </c>
      <c r="AO1481" s="159" t="s">
        <v>692</v>
      </c>
      <c r="AP1481" s="781"/>
      <c r="AQ1481" s="782">
        <v>12071839</v>
      </c>
      <c r="AR1481" s="782">
        <v>12042650</v>
      </c>
      <c r="AS1481" s="782">
        <v>12042649</v>
      </c>
      <c r="AT1481" s="782"/>
      <c r="AU1481" s="781"/>
      <c r="AV1481" s="782">
        <v>12083313</v>
      </c>
      <c r="AW1481" s="782"/>
      <c r="AX1481" s="782"/>
      <c r="AY1481" s="782">
        <v>12083308</v>
      </c>
      <c r="AZ1481" s="782">
        <v>12083312</v>
      </c>
      <c r="BA1481" s="781"/>
    </row>
    <row r="1482" spans="1:53" ht="25" hidden="1" customHeight="1">
      <c r="B1482" s="271">
        <v>45574</v>
      </c>
      <c r="C1482" s="272" t="s">
        <v>1712</v>
      </c>
      <c r="D1482" s="185">
        <f t="shared" si="485"/>
        <v>2024</v>
      </c>
      <c r="E1482" s="272" t="str">
        <f>VLOOKUP($B1482,Week!$A$1:$C$1462,2,0)</f>
        <v>Week41</v>
      </c>
      <c r="F1482" s="273" t="str">
        <f t="shared" si="486"/>
        <v>Oct</v>
      </c>
      <c r="G1482" s="274" t="s">
        <v>47</v>
      </c>
      <c r="H1482" s="274" t="s">
        <v>518</v>
      </c>
      <c r="I1482" s="274" t="s">
        <v>2702</v>
      </c>
      <c r="J1482" s="275" t="s">
        <v>70</v>
      </c>
      <c r="K1482" s="276" t="s">
        <v>556</v>
      </c>
      <c r="L1482" s="300" t="s">
        <v>2167</v>
      </c>
      <c r="M1482" s="275" t="s">
        <v>520</v>
      </c>
      <c r="N1482" s="423" t="s">
        <v>586</v>
      </c>
      <c r="O1482" s="274" t="s">
        <v>585</v>
      </c>
      <c r="P1482" s="277">
        <v>12</v>
      </c>
      <c r="Q1482" s="277">
        <v>5</v>
      </c>
      <c r="R1482" s="278">
        <v>6.0000000000000001E-3</v>
      </c>
      <c r="S1482" s="274" t="s">
        <v>55</v>
      </c>
      <c r="T1482" s="274" t="s">
        <v>56</v>
      </c>
      <c r="U1482" s="274" t="s">
        <v>57</v>
      </c>
      <c r="V1482" s="279">
        <f>286-26</f>
        <v>260</v>
      </c>
      <c r="W1482" s="279">
        <f>260</f>
        <v>260</v>
      </c>
      <c r="X1482" s="280"/>
      <c r="Y1482" s="281">
        <f t="shared" si="480"/>
        <v>0</v>
      </c>
      <c r="Z1482" s="282">
        <f t="shared" si="481"/>
        <v>0</v>
      </c>
      <c r="AA1482" s="282"/>
      <c r="AB1482" s="812"/>
      <c r="AC1482" s="279"/>
      <c r="AD1482" s="209"/>
      <c r="AE1482" s="210"/>
      <c r="AF1482" s="210"/>
      <c r="AG1482" s="211">
        <f t="shared" si="482"/>
        <v>0.13500000000000001</v>
      </c>
      <c r="AH1482" s="157">
        <f t="shared" si="483"/>
        <v>0</v>
      </c>
      <c r="AI1482" s="152">
        <f t="shared" si="484"/>
        <v>3120</v>
      </c>
      <c r="AK1482" s="156" t="s">
        <v>691</v>
      </c>
      <c r="AL1482" s="212" t="s">
        <v>690</v>
      </c>
      <c r="AM1482" s="198">
        <f t="shared" si="479"/>
        <v>0</v>
      </c>
      <c r="AN1482" s="199">
        <f t="shared" si="487"/>
        <v>45574</v>
      </c>
      <c r="AO1482" s="159" t="s">
        <v>692</v>
      </c>
      <c r="AP1482" s="781"/>
      <c r="AQ1482" s="782">
        <v>12071839</v>
      </c>
      <c r="AR1482" s="782">
        <v>12047514</v>
      </c>
      <c r="AS1482" s="782">
        <v>12047515</v>
      </c>
      <c r="AT1482" s="782"/>
      <c r="AU1482" s="781"/>
      <c r="AV1482" s="782">
        <v>12083307</v>
      </c>
      <c r="AW1482" s="782"/>
      <c r="AX1482" s="782"/>
      <c r="AY1482" s="782">
        <v>12083305</v>
      </c>
      <c r="AZ1482" s="782">
        <v>12083306</v>
      </c>
      <c r="BA1482" s="781"/>
    </row>
    <row r="1483" spans="1:53" ht="24.65" hidden="1" customHeight="1">
      <c r="A1483" s="529" t="s">
        <v>1812</v>
      </c>
      <c r="B1483" s="546">
        <v>45574</v>
      </c>
      <c r="C1483" s="547">
        <v>45597</v>
      </c>
      <c r="D1483" s="185">
        <f t="shared" si="485"/>
        <v>2024</v>
      </c>
      <c r="E1483" s="547" t="str">
        <f>VLOOKUP($B1483,Week!$A$1:$C$1462,2,0)</f>
        <v>Week41</v>
      </c>
      <c r="F1483" s="548" t="str">
        <f t="shared" si="486"/>
        <v>Oct</v>
      </c>
      <c r="G1483" s="549" t="s">
        <v>1819</v>
      </c>
      <c r="H1483" s="618" t="s">
        <v>1820</v>
      </c>
      <c r="I1483" s="618" t="s">
        <v>1820</v>
      </c>
      <c r="J1483" s="772" t="s">
        <v>1821</v>
      </c>
      <c r="K1483" s="551" t="s">
        <v>1020</v>
      </c>
      <c r="L1483" s="300" t="s">
        <v>2167</v>
      </c>
      <c r="M1483" s="550" t="s">
        <v>1824</v>
      </c>
      <c r="N1483" s="618" t="s">
        <v>1817</v>
      </c>
      <c r="O1483" s="549" t="s">
        <v>747</v>
      </c>
      <c r="P1483" s="552">
        <v>12</v>
      </c>
      <c r="Q1483" s="552">
        <v>5</v>
      </c>
      <c r="R1483" s="549">
        <v>6.1999999999999998E-3</v>
      </c>
      <c r="S1483" s="549" t="s">
        <v>352</v>
      </c>
      <c r="T1483" s="549" t="s">
        <v>56</v>
      </c>
      <c r="U1483" s="549" t="s">
        <v>739</v>
      </c>
      <c r="V1483" s="554">
        <f>70</f>
        <v>70</v>
      </c>
      <c r="W1483" s="554"/>
      <c r="X1483" s="555">
        <f>70</f>
        <v>70</v>
      </c>
      <c r="Y1483" s="556">
        <f t="shared" si="480"/>
        <v>0</v>
      </c>
      <c r="Z1483" s="557">
        <f t="shared" si="481"/>
        <v>0</v>
      </c>
      <c r="AA1483" s="557"/>
      <c r="AB1483" s="833"/>
      <c r="AC1483" s="554"/>
      <c r="AD1483" s="209"/>
      <c r="AE1483" s="210"/>
      <c r="AF1483" s="210"/>
      <c r="AG1483" s="211">
        <f t="shared" si="482"/>
        <v>0.14299999999999999</v>
      </c>
      <c r="AH1483" s="157">
        <f t="shared" si="483"/>
        <v>0</v>
      </c>
      <c r="AI1483" s="152">
        <f t="shared" si="484"/>
        <v>840</v>
      </c>
      <c r="AK1483" s="156" t="s">
        <v>691</v>
      </c>
      <c r="AL1483" s="212" t="s">
        <v>690</v>
      </c>
      <c r="AM1483" s="198">
        <f t="shared" si="479"/>
        <v>0</v>
      </c>
      <c r="AN1483" s="199">
        <f t="shared" si="487"/>
        <v>45574</v>
      </c>
      <c r="AO1483" s="159" t="s">
        <v>692</v>
      </c>
      <c r="AP1483" s="783" t="s">
        <v>609</v>
      </c>
      <c r="AQ1483" s="782">
        <v>12071839</v>
      </c>
      <c r="AR1483" s="782">
        <v>12047514</v>
      </c>
      <c r="AS1483" s="782">
        <v>12047515</v>
      </c>
      <c r="AT1483" s="781"/>
      <c r="AU1483" s="781"/>
      <c r="AV1483" s="782">
        <v>12080616</v>
      </c>
      <c r="AW1483" s="781"/>
      <c r="AX1483" s="781"/>
      <c r="AY1483" s="782">
        <v>12089871</v>
      </c>
      <c r="AZ1483" s="782">
        <v>12089872</v>
      </c>
      <c r="BA1483" s="781"/>
    </row>
    <row r="1484" spans="1:53" ht="24.65" hidden="1" customHeight="1">
      <c r="A1484" s="529" t="s">
        <v>1827</v>
      </c>
      <c r="B1484" s="571">
        <v>45574</v>
      </c>
      <c r="C1484" s="235">
        <v>45590</v>
      </c>
      <c r="D1484" s="185">
        <f t="shared" si="485"/>
        <v>2024</v>
      </c>
      <c r="E1484" s="235" t="str">
        <f>VLOOKUP($B1484,Week!$A$1:$C$1462,2,0)</f>
        <v>Week41</v>
      </c>
      <c r="F1484" s="237" t="str">
        <f t="shared" si="486"/>
        <v>Oct</v>
      </c>
      <c r="G1484" s="236" t="s">
        <v>1826</v>
      </c>
      <c r="H1484" s="756" t="s">
        <v>1827</v>
      </c>
      <c r="I1484" s="756" t="s">
        <v>1827</v>
      </c>
      <c r="J1484" s="774" t="s">
        <v>1828</v>
      </c>
      <c r="K1484" s="239" t="s">
        <v>1020</v>
      </c>
      <c r="L1484" s="300" t="s">
        <v>2167</v>
      </c>
      <c r="M1484" s="238" t="s">
        <v>741</v>
      </c>
      <c r="N1484" s="756" t="s">
        <v>740</v>
      </c>
      <c r="O1484" s="236" t="s">
        <v>742</v>
      </c>
      <c r="P1484" s="240">
        <v>24</v>
      </c>
      <c r="Q1484" s="240">
        <v>5</v>
      </c>
      <c r="R1484" s="236">
        <v>6.1999999999999998E-3</v>
      </c>
      <c r="S1484" s="236" t="s">
        <v>352</v>
      </c>
      <c r="T1484" s="236" t="s">
        <v>56</v>
      </c>
      <c r="U1484" s="236" t="s">
        <v>739</v>
      </c>
      <c r="V1484" s="242">
        <f>40</f>
        <v>40</v>
      </c>
      <c r="W1484" s="242">
        <f>40</f>
        <v>40</v>
      </c>
      <c r="X1484" s="243"/>
      <c r="Y1484" s="244">
        <f t="shared" si="480"/>
        <v>0</v>
      </c>
      <c r="Z1484" s="245">
        <f t="shared" si="481"/>
        <v>0</v>
      </c>
      <c r="AA1484" s="245"/>
      <c r="AB1484" s="809"/>
      <c r="AC1484" s="242"/>
      <c r="AD1484" s="209"/>
      <c r="AE1484" s="210"/>
      <c r="AF1484" s="210"/>
      <c r="AG1484" s="211">
        <f t="shared" si="482"/>
        <v>0.14299999999999999</v>
      </c>
      <c r="AH1484" s="157">
        <f t="shared" si="483"/>
        <v>0</v>
      </c>
      <c r="AI1484" s="152">
        <f t="shared" si="484"/>
        <v>960</v>
      </c>
      <c r="AK1484" s="156" t="s">
        <v>691</v>
      </c>
      <c r="AL1484" s="212" t="s">
        <v>690</v>
      </c>
      <c r="AM1484" s="198">
        <f t="shared" si="479"/>
        <v>0</v>
      </c>
      <c r="AN1484" s="199">
        <f t="shared" si="487"/>
        <v>45574</v>
      </c>
      <c r="AO1484" s="159" t="s">
        <v>692</v>
      </c>
      <c r="AP1484" s="783" t="s">
        <v>609</v>
      </c>
      <c r="AQ1484" s="782">
        <v>12071839</v>
      </c>
      <c r="AR1484" s="782">
        <v>12047514</v>
      </c>
      <c r="AS1484" s="782">
        <v>12047515</v>
      </c>
      <c r="AT1484" s="781"/>
      <c r="AU1484" s="781"/>
      <c r="AV1484" s="782">
        <v>12080616</v>
      </c>
      <c r="AW1484" s="781"/>
      <c r="AX1484" s="781"/>
      <c r="AY1484" s="782">
        <v>12089871</v>
      </c>
      <c r="AZ1484" s="782">
        <v>12089872</v>
      </c>
      <c r="BA1484" s="781"/>
    </row>
    <row r="1485" spans="1:53" ht="24.65" hidden="1" customHeight="1">
      <c r="B1485" s="546">
        <v>45574</v>
      </c>
      <c r="C1485" s="547" t="s">
        <v>1711</v>
      </c>
      <c r="D1485" s="185">
        <f t="shared" si="485"/>
        <v>2024</v>
      </c>
      <c r="E1485" s="547" t="str">
        <f>VLOOKUP($B1485,Week!$A$1:$C$1462,2,0)</f>
        <v>Week41</v>
      </c>
      <c r="F1485" s="548" t="str">
        <f t="shared" si="486"/>
        <v>Oct</v>
      </c>
      <c r="G1485" s="549" t="s">
        <v>47</v>
      </c>
      <c r="H1485" s="549" t="s">
        <v>518</v>
      </c>
      <c r="I1485" s="549" t="s">
        <v>2702</v>
      </c>
      <c r="J1485" s="550" t="s">
        <v>70</v>
      </c>
      <c r="K1485" s="551" t="s">
        <v>1020</v>
      </c>
      <c r="L1485" s="300" t="s">
        <v>2167</v>
      </c>
      <c r="M1485" s="550" t="s">
        <v>746</v>
      </c>
      <c r="N1485" s="618" t="s">
        <v>751</v>
      </c>
      <c r="O1485" s="549" t="s">
        <v>747</v>
      </c>
      <c r="P1485" s="552">
        <v>12</v>
      </c>
      <c r="Q1485" s="552">
        <v>5</v>
      </c>
      <c r="R1485" s="549">
        <v>6.1999999999999998E-3</v>
      </c>
      <c r="S1485" s="549" t="s">
        <v>352</v>
      </c>
      <c r="T1485" s="549" t="s">
        <v>56</v>
      </c>
      <c r="U1485" s="549" t="s">
        <v>739</v>
      </c>
      <c r="V1485" s="554">
        <f>1344-783-447</f>
        <v>114</v>
      </c>
      <c r="W1485" s="554">
        <f>114</f>
        <v>114</v>
      </c>
      <c r="X1485" s="555"/>
      <c r="Y1485" s="556">
        <f t="shared" si="480"/>
        <v>0</v>
      </c>
      <c r="Z1485" s="557">
        <f t="shared" si="481"/>
        <v>0</v>
      </c>
      <c r="AA1485" s="557"/>
      <c r="AB1485" s="833"/>
      <c r="AC1485" s="554"/>
      <c r="AD1485" s="209"/>
      <c r="AE1485" s="210"/>
      <c r="AF1485" s="210"/>
      <c r="AG1485" s="211">
        <f t="shared" si="482"/>
        <v>0.14299999999999999</v>
      </c>
      <c r="AH1485" s="157">
        <f t="shared" si="483"/>
        <v>0</v>
      </c>
      <c r="AI1485" s="152">
        <f t="shared" si="484"/>
        <v>1368</v>
      </c>
      <c r="AK1485" s="156" t="s">
        <v>691</v>
      </c>
      <c r="AL1485" s="212" t="s">
        <v>690</v>
      </c>
      <c r="AM1485" s="198">
        <f t="shared" si="479"/>
        <v>0</v>
      </c>
      <c r="AN1485" s="199">
        <f t="shared" si="487"/>
        <v>45574</v>
      </c>
      <c r="AO1485" s="159" t="s">
        <v>692</v>
      </c>
      <c r="AP1485" s="783" t="s">
        <v>609</v>
      </c>
      <c r="AQ1485" s="782">
        <v>12071839</v>
      </c>
      <c r="AR1485" s="782">
        <v>12047514</v>
      </c>
      <c r="AS1485" s="782">
        <v>12047515</v>
      </c>
      <c r="AT1485" s="781"/>
      <c r="AU1485" s="781"/>
      <c r="AV1485" s="782">
        <v>12080616</v>
      </c>
      <c r="AW1485" s="781"/>
      <c r="AX1485" s="781"/>
      <c r="AY1485" s="782">
        <v>12089871</v>
      </c>
      <c r="AZ1485" s="782">
        <v>12089872</v>
      </c>
      <c r="BA1485" s="781"/>
    </row>
    <row r="1486" spans="1:53" ht="24.65" hidden="1" customHeight="1">
      <c r="B1486" s="546">
        <v>45574</v>
      </c>
      <c r="C1486" s="547" t="s">
        <v>1712</v>
      </c>
      <c r="D1486" s="185">
        <f t="shared" si="485"/>
        <v>2024</v>
      </c>
      <c r="E1486" s="547" t="str">
        <f>VLOOKUP($B1486,Week!$A$1:$C$1462,2,0)</f>
        <v>Week41</v>
      </c>
      <c r="F1486" s="548" t="str">
        <f t="shared" si="486"/>
        <v>Oct</v>
      </c>
      <c r="G1486" s="549" t="s">
        <v>47</v>
      </c>
      <c r="H1486" s="549" t="s">
        <v>518</v>
      </c>
      <c r="I1486" s="549" t="s">
        <v>2702</v>
      </c>
      <c r="J1486" s="550" t="s">
        <v>70</v>
      </c>
      <c r="K1486" s="551" t="s">
        <v>1020</v>
      </c>
      <c r="L1486" s="300" t="s">
        <v>2167</v>
      </c>
      <c r="M1486" s="550" t="s">
        <v>746</v>
      </c>
      <c r="N1486" s="618" t="s">
        <v>751</v>
      </c>
      <c r="O1486" s="549" t="s">
        <v>747</v>
      </c>
      <c r="P1486" s="552">
        <v>12</v>
      </c>
      <c r="Q1486" s="552">
        <v>5</v>
      </c>
      <c r="R1486" s="549">
        <v>6.1999999999999998E-3</v>
      </c>
      <c r="S1486" s="549" t="s">
        <v>352</v>
      </c>
      <c r="T1486" s="549" t="s">
        <v>56</v>
      </c>
      <c r="U1486" s="549" t="s">
        <v>739</v>
      </c>
      <c r="V1486" s="554">
        <f>798-269+24+80</f>
        <v>633</v>
      </c>
      <c r="W1486" s="554">
        <f>667-114+80</f>
        <v>633</v>
      </c>
      <c r="X1486" s="555"/>
      <c r="Y1486" s="556">
        <f t="shared" si="480"/>
        <v>0</v>
      </c>
      <c r="Z1486" s="557">
        <f t="shared" si="481"/>
        <v>0</v>
      </c>
      <c r="AA1486" s="557"/>
      <c r="AB1486" s="833"/>
      <c r="AC1486" s="554"/>
      <c r="AD1486" s="209"/>
      <c r="AE1486" s="210"/>
      <c r="AF1486" s="210"/>
      <c r="AG1486" s="211">
        <f t="shared" si="482"/>
        <v>0.14299999999999999</v>
      </c>
      <c r="AH1486" s="157">
        <f t="shared" si="483"/>
        <v>0</v>
      </c>
      <c r="AI1486" s="152">
        <f t="shared" si="484"/>
        <v>7596</v>
      </c>
      <c r="AK1486" s="156" t="s">
        <v>691</v>
      </c>
      <c r="AL1486" s="212" t="s">
        <v>690</v>
      </c>
      <c r="AM1486" s="198">
        <f t="shared" si="479"/>
        <v>0</v>
      </c>
      <c r="AN1486" s="199">
        <f t="shared" si="487"/>
        <v>45574</v>
      </c>
      <c r="AO1486" s="159" t="s">
        <v>692</v>
      </c>
      <c r="AP1486" s="783" t="s">
        <v>609</v>
      </c>
      <c r="AQ1486" s="782">
        <v>12071839</v>
      </c>
      <c r="AR1486" s="782">
        <v>12047514</v>
      </c>
      <c r="AS1486" s="782">
        <v>12047515</v>
      </c>
      <c r="AT1486" s="781"/>
      <c r="AU1486" s="781"/>
      <c r="AV1486" s="782">
        <v>12080616</v>
      </c>
      <c r="AW1486" s="781"/>
      <c r="AX1486" s="781"/>
      <c r="AY1486" s="782">
        <v>12089871</v>
      </c>
      <c r="AZ1486" s="782">
        <v>12089872</v>
      </c>
      <c r="BA1486" s="781"/>
    </row>
    <row r="1487" spans="1:53" ht="24.65" hidden="1" customHeight="1">
      <c r="B1487" s="246">
        <v>45574</v>
      </c>
      <c r="C1487" s="247" t="s">
        <v>1712</v>
      </c>
      <c r="D1487" s="185">
        <f t="shared" si="485"/>
        <v>2024</v>
      </c>
      <c r="E1487" s="247" t="str">
        <f>VLOOKUP($B1487,Week!$A$1:$C$1462,2,0)</f>
        <v>Week41</v>
      </c>
      <c r="F1487" s="248" t="str">
        <f t="shared" si="486"/>
        <v>Oct</v>
      </c>
      <c r="G1487" s="249" t="s">
        <v>47</v>
      </c>
      <c r="H1487" s="249" t="s">
        <v>260</v>
      </c>
      <c r="I1487" s="249" t="s">
        <v>2702</v>
      </c>
      <c r="J1487" s="250" t="s">
        <v>70</v>
      </c>
      <c r="K1487" s="251" t="s">
        <v>1020</v>
      </c>
      <c r="L1487" s="300" t="s">
        <v>2167</v>
      </c>
      <c r="M1487" s="250" t="s">
        <v>741</v>
      </c>
      <c r="N1487" s="249" t="s">
        <v>740</v>
      </c>
      <c r="O1487" s="249" t="s">
        <v>742</v>
      </c>
      <c r="P1487" s="252">
        <v>24</v>
      </c>
      <c r="Q1487" s="252">
        <v>5</v>
      </c>
      <c r="R1487" s="249">
        <v>6.1999999999999998E-3</v>
      </c>
      <c r="S1487" s="249" t="s">
        <v>352</v>
      </c>
      <c r="T1487" s="249" t="s">
        <v>56</v>
      </c>
      <c r="U1487" s="249" t="s">
        <v>739</v>
      </c>
      <c r="V1487" s="254">
        <f>4975</f>
        <v>4975</v>
      </c>
      <c r="W1487" s="254">
        <f>12+4950-40</f>
        <v>4922</v>
      </c>
      <c r="X1487" s="255">
        <v>53</v>
      </c>
      <c r="Y1487" s="256">
        <f t="shared" si="480"/>
        <v>0</v>
      </c>
      <c r="Z1487" s="257">
        <f t="shared" si="481"/>
        <v>0</v>
      </c>
      <c r="AA1487" s="257"/>
      <c r="AB1487" s="810"/>
      <c r="AC1487" s="254"/>
      <c r="AD1487" s="209"/>
      <c r="AE1487" s="210"/>
      <c r="AF1487" s="210"/>
      <c r="AG1487" s="211">
        <f t="shared" si="482"/>
        <v>0.14299999999999999</v>
      </c>
      <c r="AH1487" s="157">
        <f t="shared" si="483"/>
        <v>0</v>
      </c>
      <c r="AI1487" s="152">
        <f t="shared" si="484"/>
        <v>119400</v>
      </c>
      <c r="AK1487" s="156" t="s">
        <v>691</v>
      </c>
      <c r="AL1487" s="212" t="s">
        <v>690</v>
      </c>
      <c r="AM1487" s="198">
        <f t="shared" si="479"/>
        <v>0</v>
      </c>
      <c r="AN1487" s="199">
        <f t="shared" si="487"/>
        <v>45574</v>
      </c>
      <c r="AO1487" s="159" t="s">
        <v>692</v>
      </c>
      <c r="AP1487" s="783" t="s">
        <v>609</v>
      </c>
      <c r="AQ1487" s="782">
        <v>12071839</v>
      </c>
      <c r="AR1487" s="782">
        <v>12047514</v>
      </c>
      <c r="AS1487" s="782">
        <v>12047515</v>
      </c>
      <c r="AT1487" s="781"/>
      <c r="AU1487" s="781"/>
      <c r="AV1487" s="782">
        <v>12089668</v>
      </c>
      <c r="AW1487" s="781"/>
      <c r="AX1487" s="781"/>
      <c r="AY1487" s="782">
        <v>12088311</v>
      </c>
      <c r="AZ1487" s="782">
        <v>12088315</v>
      </c>
      <c r="BA1487" s="781"/>
    </row>
    <row r="1488" spans="1:53" ht="25" hidden="1" customHeight="1">
      <c r="A1488" s="529" t="s">
        <v>755</v>
      </c>
      <c r="B1488" s="357">
        <v>45575</v>
      </c>
      <c r="C1488" s="358" t="s">
        <v>1712</v>
      </c>
      <c r="D1488" s="185">
        <f t="shared" si="485"/>
        <v>2024</v>
      </c>
      <c r="E1488" s="358" t="str">
        <f>VLOOKUP($B1488,Week!$A$1:$C$1462,2,0)</f>
        <v>Week41</v>
      </c>
      <c r="F1488" s="360" t="str">
        <f t="shared" si="486"/>
        <v>Oct</v>
      </c>
      <c r="G1488" s="359" t="s">
        <v>47</v>
      </c>
      <c r="H1488" s="359" t="s">
        <v>518</v>
      </c>
      <c r="I1488" s="359" t="s">
        <v>2702</v>
      </c>
      <c r="J1488" s="361" t="s">
        <v>70</v>
      </c>
      <c r="K1488" s="362" t="s">
        <v>94</v>
      </c>
      <c r="L1488" s="300" t="s">
        <v>2167</v>
      </c>
      <c r="M1488" s="361" t="s">
        <v>519</v>
      </c>
      <c r="N1488" s="436" t="s">
        <v>648</v>
      </c>
      <c r="O1488" s="359" t="s">
        <v>97</v>
      </c>
      <c r="P1488" s="363">
        <v>12</v>
      </c>
      <c r="Q1488" s="363">
        <v>5</v>
      </c>
      <c r="R1488" s="364">
        <v>8.0000000000000002E-3</v>
      </c>
      <c r="S1488" s="359" t="s">
        <v>40</v>
      </c>
      <c r="T1488" s="359" t="s">
        <v>56</v>
      </c>
      <c r="U1488" s="359" t="s">
        <v>57</v>
      </c>
      <c r="V1488" s="365">
        <v>12</v>
      </c>
      <c r="W1488" s="365">
        <v>12</v>
      </c>
      <c r="X1488" s="366"/>
      <c r="Y1488" s="367">
        <f t="shared" si="480"/>
        <v>0</v>
      </c>
      <c r="Z1488" s="368">
        <f t="shared" si="481"/>
        <v>0</v>
      </c>
      <c r="AA1488" s="368"/>
      <c r="AB1488" s="819"/>
      <c r="AC1488" s="365"/>
      <c r="AD1488" s="209"/>
      <c r="AE1488" s="210"/>
      <c r="AF1488" s="210"/>
      <c r="AG1488" s="211">
        <f t="shared" si="482"/>
        <v>0.14499999999999999</v>
      </c>
      <c r="AH1488" s="157">
        <f t="shared" si="483"/>
        <v>0</v>
      </c>
      <c r="AI1488" s="152">
        <f t="shared" si="484"/>
        <v>144</v>
      </c>
      <c r="AK1488" s="156" t="s">
        <v>691</v>
      </c>
      <c r="AL1488" s="574" t="s">
        <v>690</v>
      </c>
      <c r="AM1488" s="198">
        <f t="shared" si="479"/>
        <v>0</v>
      </c>
      <c r="AN1488" s="199">
        <f t="shared" si="487"/>
        <v>45575</v>
      </c>
      <c r="AO1488" s="159" t="s">
        <v>692</v>
      </c>
      <c r="AP1488" s="783" t="s">
        <v>628</v>
      </c>
      <c r="AQ1488" s="782">
        <v>12071839</v>
      </c>
      <c r="AR1488" s="782">
        <v>12047514</v>
      </c>
      <c r="AS1488" s="782">
        <v>12047515</v>
      </c>
      <c r="AT1488" s="782"/>
      <c r="AU1488" s="781"/>
      <c r="AV1488" s="782">
        <v>12080617</v>
      </c>
      <c r="AW1488" s="782"/>
      <c r="AX1488" s="782"/>
      <c r="AY1488" s="782">
        <v>12080618</v>
      </c>
      <c r="AZ1488" s="782">
        <v>12080619</v>
      </c>
      <c r="BA1488" s="781"/>
    </row>
    <row r="1489" spans="1:53" ht="25" hidden="1" customHeight="1">
      <c r="A1489" s="529" t="s">
        <v>1812</v>
      </c>
      <c r="B1489" s="357">
        <v>45575</v>
      </c>
      <c r="C1489" s="358">
        <v>45597</v>
      </c>
      <c r="D1489" s="185">
        <f t="shared" si="485"/>
        <v>2024</v>
      </c>
      <c r="E1489" s="358" t="str">
        <f>VLOOKUP($B1489,Week!$A$1:$C$1462,2,0)</f>
        <v>Week41</v>
      </c>
      <c r="F1489" s="360" t="str">
        <f t="shared" si="486"/>
        <v>Oct</v>
      </c>
      <c r="G1489" s="359" t="s">
        <v>1819</v>
      </c>
      <c r="H1489" s="436" t="s">
        <v>1820</v>
      </c>
      <c r="I1489" s="436" t="s">
        <v>1820</v>
      </c>
      <c r="J1489" s="437" t="s">
        <v>1821</v>
      </c>
      <c r="K1489" s="362" t="s">
        <v>94</v>
      </c>
      <c r="L1489" s="300" t="s">
        <v>2167</v>
      </c>
      <c r="M1489" s="361" t="s">
        <v>1823</v>
      </c>
      <c r="N1489" s="436" t="s">
        <v>1818</v>
      </c>
      <c r="O1489" s="359" t="s">
        <v>97</v>
      </c>
      <c r="P1489" s="363">
        <v>12</v>
      </c>
      <c r="Q1489" s="363">
        <v>5</v>
      </c>
      <c r="R1489" s="364">
        <v>8.0000000000000002E-3</v>
      </c>
      <c r="S1489" s="359" t="s">
        <v>40</v>
      </c>
      <c r="T1489" s="359" t="s">
        <v>56</v>
      </c>
      <c r="U1489" s="359" t="s">
        <v>57</v>
      </c>
      <c r="V1489" s="365">
        <f>70</f>
        <v>70</v>
      </c>
      <c r="W1489" s="365"/>
      <c r="X1489" s="366">
        <f>1002/12</f>
        <v>83.5</v>
      </c>
      <c r="Y1489" s="367">
        <f t="shared" si="480"/>
        <v>13.5</v>
      </c>
      <c r="Z1489" s="368">
        <f t="shared" si="481"/>
        <v>0</v>
      </c>
      <c r="AA1489" s="368"/>
      <c r="AB1489" s="819"/>
      <c r="AC1489" s="365"/>
      <c r="AD1489" s="209"/>
      <c r="AE1489" s="210"/>
      <c r="AF1489" s="210"/>
      <c r="AG1489" s="211">
        <f t="shared" si="482"/>
        <v>0.14499999999999999</v>
      </c>
      <c r="AH1489" s="157">
        <f t="shared" si="483"/>
        <v>0</v>
      </c>
      <c r="AI1489" s="152">
        <f t="shared" si="484"/>
        <v>840</v>
      </c>
      <c r="AK1489" s="156" t="s">
        <v>691</v>
      </c>
      <c r="AL1489" s="574" t="s">
        <v>690</v>
      </c>
      <c r="AM1489" s="198">
        <f t="shared" si="479"/>
        <v>0</v>
      </c>
      <c r="AN1489" s="199">
        <f t="shared" si="487"/>
        <v>45575</v>
      </c>
      <c r="AO1489" s="159" t="s">
        <v>692</v>
      </c>
      <c r="AP1489" s="783" t="s">
        <v>628</v>
      </c>
      <c r="AQ1489" s="782">
        <v>12071839</v>
      </c>
      <c r="AR1489" s="782">
        <v>12047514</v>
      </c>
      <c r="AS1489" s="782">
        <v>12047515</v>
      </c>
      <c r="AT1489" s="782"/>
      <c r="AU1489" s="781"/>
      <c r="AV1489" s="782">
        <v>12080617</v>
      </c>
      <c r="AW1489" s="782"/>
      <c r="AX1489" s="782"/>
      <c r="AY1489" s="782">
        <v>12080618</v>
      </c>
      <c r="AZ1489" s="782">
        <v>12080619</v>
      </c>
      <c r="BA1489" s="781"/>
    </row>
    <row r="1490" spans="1:53" ht="25" hidden="1" customHeight="1">
      <c r="B1490" s="357">
        <v>45575</v>
      </c>
      <c r="C1490" s="358" t="s">
        <v>1712</v>
      </c>
      <c r="D1490" s="185">
        <f t="shared" si="485"/>
        <v>2024</v>
      </c>
      <c r="E1490" s="358" t="str">
        <f>VLOOKUP($B1490,Week!$A$1:$C$1462,2,0)</f>
        <v>Week41</v>
      </c>
      <c r="F1490" s="360" t="str">
        <f t="shared" si="486"/>
        <v>Oct</v>
      </c>
      <c r="G1490" s="359" t="s">
        <v>47</v>
      </c>
      <c r="H1490" s="359" t="s">
        <v>518</v>
      </c>
      <c r="I1490" s="359" t="s">
        <v>2702</v>
      </c>
      <c r="J1490" s="361" t="s">
        <v>70</v>
      </c>
      <c r="K1490" s="362" t="s">
        <v>94</v>
      </c>
      <c r="L1490" s="300" t="s">
        <v>2167</v>
      </c>
      <c r="M1490" s="361" t="s">
        <v>519</v>
      </c>
      <c r="N1490" s="359" t="s">
        <v>589</v>
      </c>
      <c r="O1490" s="359" t="s">
        <v>97</v>
      </c>
      <c r="P1490" s="363">
        <v>12</v>
      </c>
      <c r="Q1490" s="363">
        <v>5</v>
      </c>
      <c r="R1490" s="364">
        <v>8.0000000000000002E-3</v>
      </c>
      <c r="S1490" s="359" t="s">
        <v>40</v>
      </c>
      <c r="T1490" s="359" t="s">
        <v>56</v>
      </c>
      <c r="U1490" s="359" t="s">
        <v>57</v>
      </c>
      <c r="V1490" s="365">
        <f>3249+183</f>
        <v>3432</v>
      </c>
      <c r="W1490" s="365">
        <f>4324-4295+1+3402</f>
        <v>3432</v>
      </c>
      <c r="X1490" s="366"/>
      <c r="Y1490" s="367">
        <f t="shared" si="480"/>
        <v>0</v>
      </c>
      <c r="Z1490" s="368">
        <f t="shared" si="481"/>
        <v>0</v>
      </c>
      <c r="AA1490" s="368"/>
      <c r="AB1490" s="819"/>
      <c r="AC1490" s="365"/>
      <c r="AD1490" s="209"/>
      <c r="AE1490" s="210"/>
      <c r="AF1490" s="210"/>
      <c r="AG1490" s="211">
        <f t="shared" si="482"/>
        <v>0.14499999999999999</v>
      </c>
      <c r="AH1490" s="157">
        <f t="shared" si="483"/>
        <v>0</v>
      </c>
      <c r="AI1490" s="152">
        <f t="shared" si="484"/>
        <v>41184</v>
      </c>
      <c r="AK1490" s="156" t="s">
        <v>691</v>
      </c>
      <c r="AL1490" s="574" t="s">
        <v>690</v>
      </c>
      <c r="AM1490" s="198">
        <f t="shared" si="479"/>
        <v>0</v>
      </c>
      <c r="AN1490" s="199">
        <f t="shared" si="487"/>
        <v>45575</v>
      </c>
      <c r="AO1490" s="159" t="s">
        <v>692</v>
      </c>
      <c r="AP1490" s="783" t="s">
        <v>628</v>
      </c>
      <c r="AQ1490" s="782">
        <v>12071839</v>
      </c>
      <c r="AR1490" s="782">
        <v>12047514</v>
      </c>
      <c r="AS1490" s="782">
        <v>12047515</v>
      </c>
      <c r="AT1490" s="782"/>
      <c r="AU1490" s="781"/>
      <c r="AV1490" s="782">
        <v>12080617</v>
      </c>
      <c r="AW1490" s="782"/>
      <c r="AX1490" s="782"/>
      <c r="AY1490" s="782">
        <v>12080618</v>
      </c>
      <c r="AZ1490" s="782">
        <v>12080619</v>
      </c>
      <c r="BA1490" s="781"/>
    </row>
    <row r="1491" spans="1:53" ht="25" hidden="1" customHeight="1">
      <c r="B1491" s="424">
        <v>45575</v>
      </c>
      <c r="C1491" s="425" t="s">
        <v>1712</v>
      </c>
      <c r="D1491" s="185">
        <f t="shared" si="485"/>
        <v>2024</v>
      </c>
      <c r="E1491" s="425" t="str">
        <f>VLOOKUP($B1491,Week!$A$1:$C$1462,2,0)</f>
        <v>Week41</v>
      </c>
      <c r="F1491" s="426" t="str">
        <f t="shared" si="486"/>
        <v>Oct</v>
      </c>
      <c r="G1491" s="427" t="s">
        <v>47</v>
      </c>
      <c r="H1491" s="427" t="s">
        <v>518</v>
      </c>
      <c r="I1491" s="427" t="s">
        <v>2702</v>
      </c>
      <c r="J1491" s="428" t="s">
        <v>70</v>
      </c>
      <c r="K1491" s="429" t="s">
        <v>94</v>
      </c>
      <c r="L1491" s="300" t="s">
        <v>2167</v>
      </c>
      <c r="M1491" s="428" t="s">
        <v>521</v>
      </c>
      <c r="N1491" s="427" t="s">
        <v>587</v>
      </c>
      <c r="O1491" s="427" t="s">
        <v>3198</v>
      </c>
      <c r="P1491" s="430">
        <v>18</v>
      </c>
      <c r="Q1491" s="430">
        <v>5</v>
      </c>
      <c r="R1491" s="431">
        <v>8.0000000000000002E-3</v>
      </c>
      <c r="S1491" s="427" t="s">
        <v>40</v>
      </c>
      <c r="T1491" s="427" t="s">
        <v>56</v>
      </c>
      <c r="U1491" s="427" t="s">
        <v>89</v>
      </c>
      <c r="V1491" s="432">
        <f>1148</f>
        <v>1148</v>
      </c>
      <c r="W1491" s="432"/>
      <c r="X1491" s="433">
        <f>(5126+1756+18)/6</f>
        <v>1150</v>
      </c>
      <c r="Y1491" s="434">
        <f t="shared" si="480"/>
        <v>2</v>
      </c>
      <c r="Z1491" s="435">
        <f t="shared" si="481"/>
        <v>0</v>
      </c>
      <c r="AA1491" s="435"/>
      <c r="AB1491" s="826">
        <v>1</v>
      </c>
      <c r="AC1491" s="432">
        <f>Z1491*AB1491</f>
        <v>0</v>
      </c>
      <c r="AD1491" s="209"/>
      <c r="AE1491" s="210"/>
      <c r="AF1491" s="210"/>
      <c r="AG1491" s="211" t="e">
        <f>(MID(O1491,1,3)/1000)/3</f>
        <v>#VALUE!</v>
      </c>
      <c r="AH1491" s="157" t="e">
        <f t="shared" si="483"/>
        <v>#VALUE!</v>
      </c>
      <c r="AI1491" s="152">
        <f t="shared" si="484"/>
        <v>20664</v>
      </c>
      <c r="AK1491" s="156" t="s">
        <v>691</v>
      </c>
      <c r="AL1491" s="212" t="s">
        <v>690</v>
      </c>
      <c r="AM1491" s="198" t="e">
        <f t="shared" ref="AM1491:AM1522" si="488">AG1491*Z1491</f>
        <v>#VALUE!</v>
      </c>
      <c r="AN1491" s="199">
        <f t="shared" si="487"/>
        <v>45575</v>
      </c>
      <c r="AO1491" s="159" t="s">
        <v>692</v>
      </c>
      <c r="AP1491" s="783" t="s">
        <v>628</v>
      </c>
      <c r="AQ1491" s="782"/>
      <c r="AR1491" s="782"/>
      <c r="AS1491" s="782"/>
      <c r="AT1491" s="782"/>
      <c r="AU1491" s="781"/>
      <c r="AV1491" s="782">
        <v>12080791</v>
      </c>
      <c r="AW1491" s="782" t="s">
        <v>641</v>
      </c>
      <c r="AX1491" s="782" t="s">
        <v>533</v>
      </c>
      <c r="AY1491" s="782"/>
      <c r="AZ1491" s="782"/>
      <c r="BA1491" s="781"/>
    </row>
    <row r="1492" spans="1:53" ht="25" hidden="1" customHeight="1">
      <c r="B1492" s="398">
        <v>45575</v>
      </c>
      <c r="C1492" s="399" t="s">
        <v>1712</v>
      </c>
      <c r="D1492" s="185">
        <f t="shared" si="485"/>
        <v>2024</v>
      </c>
      <c r="E1492" s="399" t="str">
        <f>VLOOKUP($B1492,Week!$A$1:$C$1462,2,0)</f>
        <v>Week41</v>
      </c>
      <c r="F1492" s="400" t="str">
        <f t="shared" si="486"/>
        <v>Oct</v>
      </c>
      <c r="G1492" s="401" t="s">
        <v>47</v>
      </c>
      <c r="H1492" s="401" t="s">
        <v>518</v>
      </c>
      <c r="I1492" s="401" t="s">
        <v>2702</v>
      </c>
      <c r="J1492" s="402" t="s">
        <v>70</v>
      </c>
      <c r="K1492" s="403" t="s">
        <v>1645</v>
      </c>
      <c r="L1492" s="300" t="s">
        <v>2167</v>
      </c>
      <c r="M1492" s="402" t="s">
        <v>553</v>
      </c>
      <c r="N1492" s="404" t="s">
        <v>557</v>
      </c>
      <c r="O1492" s="401" t="s">
        <v>101</v>
      </c>
      <c r="P1492" s="405">
        <v>12</v>
      </c>
      <c r="Q1492" s="405">
        <v>5</v>
      </c>
      <c r="R1492" s="406">
        <v>8.0000000000000002E-3</v>
      </c>
      <c r="S1492" s="401" t="s">
        <v>40</v>
      </c>
      <c r="T1492" s="401" t="s">
        <v>56</v>
      </c>
      <c r="U1492" s="770" t="s">
        <v>499</v>
      </c>
      <c r="V1492" s="407">
        <f>772+11</f>
        <v>783</v>
      </c>
      <c r="W1492" s="407">
        <f>3+1+779</f>
        <v>783</v>
      </c>
      <c r="X1492" s="408"/>
      <c r="Y1492" s="409">
        <f t="shared" si="480"/>
        <v>0</v>
      </c>
      <c r="Z1492" s="410">
        <f t="shared" si="481"/>
        <v>0</v>
      </c>
      <c r="AA1492" s="410"/>
      <c r="AB1492" s="824">
        <v>1</v>
      </c>
      <c r="AC1492" s="407">
        <f>Z1492*AB1492</f>
        <v>0</v>
      </c>
      <c r="AD1492" s="209"/>
      <c r="AE1492" s="210"/>
      <c r="AF1492" s="210"/>
      <c r="AG1492" s="211">
        <f t="shared" ref="AG1492:AG1499" si="489">MID(O1492,1,3)/1000</f>
        <v>0.115</v>
      </c>
      <c r="AH1492" s="157">
        <f t="shared" si="483"/>
        <v>0</v>
      </c>
      <c r="AI1492" s="152">
        <f t="shared" si="484"/>
        <v>9396</v>
      </c>
      <c r="AK1492" s="156" t="s">
        <v>691</v>
      </c>
      <c r="AL1492" s="212" t="s">
        <v>690</v>
      </c>
      <c r="AM1492" s="198">
        <f t="shared" si="488"/>
        <v>0</v>
      </c>
      <c r="AN1492" s="199">
        <f t="shared" si="487"/>
        <v>45575</v>
      </c>
      <c r="AO1492" s="159" t="s">
        <v>692</v>
      </c>
      <c r="AP1492" s="783" t="s">
        <v>623</v>
      </c>
      <c r="AQ1492" s="782">
        <v>12071839</v>
      </c>
      <c r="AR1492" s="782">
        <v>12047514</v>
      </c>
      <c r="AS1492" s="782">
        <v>12047515</v>
      </c>
      <c r="AT1492" s="782"/>
      <c r="AU1492" s="781"/>
      <c r="AV1492" s="782">
        <v>12072447</v>
      </c>
      <c r="AW1492" s="782"/>
      <c r="AX1492" s="782"/>
      <c r="AY1492" s="782">
        <v>12064574</v>
      </c>
      <c r="AZ1492" s="782">
        <v>12064576</v>
      </c>
      <c r="BA1492" s="781"/>
    </row>
    <row r="1493" spans="1:53" ht="25" hidden="1" customHeight="1">
      <c r="A1493" s="529" t="s">
        <v>1827</v>
      </c>
      <c r="B1493" s="571">
        <v>45575</v>
      </c>
      <c r="C1493" s="235">
        <v>45590</v>
      </c>
      <c r="D1493" s="185">
        <f t="shared" si="485"/>
        <v>2024</v>
      </c>
      <c r="E1493" s="235" t="str">
        <f>VLOOKUP($B1493,Week!$A$1:$C$1462,2,0)</f>
        <v>Week41</v>
      </c>
      <c r="F1493" s="237" t="str">
        <f t="shared" si="486"/>
        <v>Oct</v>
      </c>
      <c r="G1493" s="236" t="s">
        <v>1826</v>
      </c>
      <c r="H1493" s="756" t="s">
        <v>1827</v>
      </c>
      <c r="I1493" s="756" t="s">
        <v>1827</v>
      </c>
      <c r="J1493" s="774" t="s">
        <v>1828</v>
      </c>
      <c r="K1493" s="239" t="s">
        <v>94</v>
      </c>
      <c r="L1493" s="300" t="s">
        <v>2167</v>
      </c>
      <c r="M1493" s="238" t="s">
        <v>1303</v>
      </c>
      <c r="N1493" s="236" t="s">
        <v>263</v>
      </c>
      <c r="O1493" s="236" t="s">
        <v>195</v>
      </c>
      <c r="P1493" s="240">
        <v>24</v>
      </c>
      <c r="Q1493" s="240">
        <v>5</v>
      </c>
      <c r="R1493" s="241">
        <v>8.0000000000000002E-3</v>
      </c>
      <c r="S1493" s="236" t="s">
        <v>40</v>
      </c>
      <c r="T1493" s="236" t="s">
        <v>56</v>
      </c>
      <c r="U1493" s="236" t="s">
        <v>57</v>
      </c>
      <c r="V1493" s="242">
        <f>30</f>
        <v>30</v>
      </c>
      <c r="W1493" s="242">
        <f>30</f>
        <v>30</v>
      </c>
      <c r="X1493" s="243"/>
      <c r="Y1493" s="244">
        <f t="shared" si="480"/>
        <v>0</v>
      </c>
      <c r="Z1493" s="245">
        <f t="shared" si="481"/>
        <v>0</v>
      </c>
      <c r="AA1493" s="245"/>
      <c r="AB1493" s="809"/>
      <c r="AC1493" s="242"/>
      <c r="AD1493" s="209"/>
      <c r="AE1493" s="210"/>
      <c r="AF1493" s="210"/>
      <c r="AG1493" s="211">
        <f t="shared" si="489"/>
        <v>0.14499999999999999</v>
      </c>
      <c r="AH1493" s="157">
        <f t="shared" si="483"/>
        <v>0</v>
      </c>
      <c r="AI1493" s="152">
        <f t="shared" si="484"/>
        <v>720</v>
      </c>
      <c r="AK1493" s="156" t="s">
        <v>691</v>
      </c>
      <c r="AL1493" s="574" t="s">
        <v>690</v>
      </c>
      <c r="AM1493" s="198">
        <f t="shared" si="488"/>
        <v>0</v>
      </c>
      <c r="AN1493" s="199">
        <f t="shared" si="487"/>
        <v>45575</v>
      </c>
      <c r="AO1493" s="159" t="s">
        <v>692</v>
      </c>
      <c r="AP1493" s="783" t="s">
        <v>628</v>
      </c>
      <c r="AQ1493" s="782">
        <v>12071839</v>
      </c>
      <c r="AR1493" s="782">
        <v>12047514</v>
      </c>
      <c r="AS1493" s="782">
        <v>12047515</v>
      </c>
      <c r="AT1493" s="782"/>
      <c r="AU1493" s="781"/>
      <c r="AV1493" s="782">
        <v>12080617</v>
      </c>
      <c r="AW1493" s="782"/>
      <c r="AX1493" s="782"/>
      <c r="AY1493" s="782">
        <v>12080618</v>
      </c>
      <c r="AZ1493" s="782">
        <v>12080619</v>
      </c>
      <c r="BA1493" s="781"/>
    </row>
    <row r="1494" spans="1:53" ht="24.65" hidden="1" customHeight="1">
      <c r="B1494" s="411">
        <v>45575</v>
      </c>
      <c r="C1494" s="645" t="s">
        <v>1712</v>
      </c>
      <c r="D1494" s="185">
        <f t="shared" si="485"/>
        <v>2024</v>
      </c>
      <c r="E1494" s="412" t="str">
        <f>VLOOKUP($B1494,Week!$A$1:$C$1462,2,0)</f>
        <v>Week41</v>
      </c>
      <c r="F1494" s="413" t="str">
        <f t="shared" si="486"/>
        <v>Oct</v>
      </c>
      <c r="G1494" s="414" t="s">
        <v>47</v>
      </c>
      <c r="H1494" s="414" t="s">
        <v>260</v>
      </c>
      <c r="I1494" s="414" t="s">
        <v>2702</v>
      </c>
      <c r="J1494" s="415" t="s">
        <v>261</v>
      </c>
      <c r="K1494" s="416" t="s">
        <v>94</v>
      </c>
      <c r="L1494" s="300" t="s">
        <v>2167</v>
      </c>
      <c r="M1494" s="415" t="s">
        <v>1303</v>
      </c>
      <c r="N1494" s="414" t="s">
        <v>263</v>
      </c>
      <c r="O1494" s="414" t="s">
        <v>195</v>
      </c>
      <c r="P1494" s="417">
        <v>24</v>
      </c>
      <c r="Q1494" s="417">
        <v>5</v>
      </c>
      <c r="R1494" s="418">
        <v>8.0000000000000002E-3</v>
      </c>
      <c r="S1494" s="414" t="s">
        <v>40</v>
      </c>
      <c r="T1494" s="414" t="s">
        <v>56</v>
      </c>
      <c r="U1494" s="414" t="s">
        <v>57</v>
      </c>
      <c r="V1494" s="419">
        <v>3722</v>
      </c>
      <c r="W1494" s="419">
        <f>3722</f>
        <v>3722</v>
      </c>
      <c r="X1494" s="420"/>
      <c r="Y1494" s="421">
        <f t="shared" si="480"/>
        <v>0</v>
      </c>
      <c r="Z1494" s="422">
        <f t="shared" si="481"/>
        <v>0</v>
      </c>
      <c r="AA1494" s="422"/>
      <c r="AB1494" s="825"/>
      <c r="AC1494" s="419"/>
      <c r="AD1494" s="209"/>
      <c r="AE1494" s="210"/>
      <c r="AF1494" s="210"/>
      <c r="AG1494" s="211">
        <f t="shared" si="489"/>
        <v>0.14499999999999999</v>
      </c>
      <c r="AH1494" s="157">
        <f t="shared" si="483"/>
        <v>0</v>
      </c>
      <c r="AI1494" s="152">
        <f t="shared" si="484"/>
        <v>89328</v>
      </c>
      <c r="AK1494" s="156" t="s">
        <v>691</v>
      </c>
      <c r="AL1494" s="212" t="s">
        <v>690</v>
      </c>
      <c r="AM1494" s="198">
        <f t="shared" si="488"/>
        <v>0</v>
      </c>
      <c r="AN1494" s="199">
        <f t="shared" si="487"/>
        <v>45575</v>
      </c>
      <c r="AO1494" s="159" t="s">
        <v>692</v>
      </c>
      <c r="AP1494" s="783" t="s">
        <v>609</v>
      </c>
      <c r="AQ1494" s="782">
        <v>12071839</v>
      </c>
      <c r="AR1494" s="782">
        <v>12047514</v>
      </c>
      <c r="AS1494" s="782">
        <v>12047515</v>
      </c>
      <c r="AT1494" s="781"/>
      <c r="AU1494" s="781"/>
      <c r="AV1494" s="782">
        <v>12080613</v>
      </c>
      <c r="AW1494" s="781"/>
      <c r="AX1494" s="781"/>
      <c r="AY1494" s="782">
        <v>12080614</v>
      </c>
      <c r="AZ1494" s="782">
        <v>12080616</v>
      </c>
      <c r="BA1494" s="781"/>
    </row>
    <row r="1495" spans="1:53" ht="24.65" hidden="1" customHeight="1">
      <c r="B1495" s="411">
        <v>45576</v>
      </c>
      <c r="C1495" s="645" t="s">
        <v>1712</v>
      </c>
      <c r="D1495" s="185">
        <f t="shared" si="485"/>
        <v>2024</v>
      </c>
      <c r="E1495" s="412" t="str">
        <f>VLOOKUP($B1495,Week!$A$1:$C$1462,2,0)</f>
        <v>Week41</v>
      </c>
      <c r="F1495" s="413" t="str">
        <f t="shared" si="486"/>
        <v>Oct</v>
      </c>
      <c r="G1495" s="414" t="s">
        <v>47</v>
      </c>
      <c r="H1495" s="414" t="s">
        <v>260</v>
      </c>
      <c r="I1495" s="414" t="s">
        <v>2702</v>
      </c>
      <c r="J1495" s="415" t="s">
        <v>261</v>
      </c>
      <c r="K1495" s="416" t="s">
        <v>94</v>
      </c>
      <c r="L1495" s="300" t="s">
        <v>2167</v>
      </c>
      <c r="M1495" s="415" t="s">
        <v>1303</v>
      </c>
      <c r="N1495" s="414" t="s">
        <v>263</v>
      </c>
      <c r="O1495" s="414" t="s">
        <v>195</v>
      </c>
      <c r="P1495" s="417">
        <v>24</v>
      </c>
      <c r="Q1495" s="417">
        <v>5</v>
      </c>
      <c r="R1495" s="418">
        <v>8.0000000000000002E-3</v>
      </c>
      <c r="S1495" s="414" t="s">
        <v>40</v>
      </c>
      <c r="T1495" s="414" t="s">
        <v>56</v>
      </c>
      <c r="U1495" s="414" t="s">
        <v>57</v>
      </c>
      <c r="V1495" s="419">
        <f>6033</f>
        <v>6033</v>
      </c>
      <c r="W1495" s="419">
        <f>5812</f>
        <v>5812</v>
      </c>
      <c r="X1495" s="420">
        <f>(5304)/24</f>
        <v>221</v>
      </c>
      <c r="Y1495" s="421">
        <f t="shared" si="480"/>
        <v>0</v>
      </c>
      <c r="Z1495" s="422">
        <f t="shared" si="481"/>
        <v>0</v>
      </c>
      <c r="AA1495" s="422"/>
      <c r="AB1495" s="825"/>
      <c r="AC1495" s="419"/>
      <c r="AD1495" s="209"/>
      <c r="AE1495" s="210"/>
      <c r="AF1495" s="210"/>
      <c r="AG1495" s="211">
        <f t="shared" si="489"/>
        <v>0.14499999999999999</v>
      </c>
      <c r="AH1495" s="157">
        <f t="shared" si="483"/>
        <v>0</v>
      </c>
      <c r="AI1495" s="152">
        <f t="shared" si="484"/>
        <v>144792</v>
      </c>
      <c r="AK1495" s="156" t="s">
        <v>691</v>
      </c>
      <c r="AL1495" s="212" t="s">
        <v>690</v>
      </c>
      <c r="AM1495" s="198">
        <f t="shared" si="488"/>
        <v>0</v>
      </c>
      <c r="AN1495" s="199">
        <f t="shared" si="487"/>
        <v>45576</v>
      </c>
      <c r="AO1495" s="159" t="s">
        <v>692</v>
      </c>
      <c r="AP1495" s="783" t="s">
        <v>609</v>
      </c>
      <c r="AQ1495" s="782">
        <v>12071839</v>
      </c>
      <c r="AR1495" s="782">
        <v>12047514</v>
      </c>
      <c r="AS1495" s="782">
        <v>12047515</v>
      </c>
      <c r="AT1495" s="781"/>
      <c r="AU1495" s="781"/>
      <c r="AV1495" s="782">
        <v>12080613</v>
      </c>
      <c r="AW1495" s="781"/>
      <c r="AX1495" s="781"/>
      <c r="AY1495" s="782">
        <v>12080614</v>
      </c>
      <c r="AZ1495" s="782">
        <v>12080616</v>
      </c>
      <c r="BA1495" s="781"/>
    </row>
    <row r="1496" spans="1:53" ht="25.15" hidden="1" customHeight="1">
      <c r="B1496" s="345">
        <v>45577</v>
      </c>
      <c r="C1496" s="346">
        <v>45601</v>
      </c>
      <c r="D1496" s="185">
        <f t="shared" si="485"/>
        <v>2024</v>
      </c>
      <c r="E1496" s="347" t="str">
        <f>VLOOKUP($B1496,Week!$A$1:$C$1462,2,0)</f>
        <v>Week41</v>
      </c>
      <c r="F1496" s="348" t="str">
        <f t="shared" si="486"/>
        <v>Oct</v>
      </c>
      <c r="G1496" s="347" t="s">
        <v>1410</v>
      </c>
      <c r="H1496" s="347" t="s">
        <v>424</v>
      </c>
      <c r="I1496" s="347" t="s">
        <v>2772</v>
      </c>
      <c r="J1496" s="438" t="s">
        <v>425</v>
      </c>
      <c r="K1496" s="350" t="s">
        <v>176</v>
      </c>
      <c r="L1496" s="300" t="s">
        <v>2167</v>
      </c>
      <c r="M1496" s="349" t="s">
        <v>426</v>
      </c>
      <c r="N1496" s="347" t="s">
        <v>427</v>
      </c>
      <c r="O1496" s="347" t="s">
        <v>599</v>
      </c>
      <c r="P1496" s="351">
        <v>36</v>
      </c>
      <c r="Q1496" s="351">
        <v>5</v>
      </c>
      <c r="R1496" s="352">
        <v>7.4999999999999997E-3</v>
      </c>
      <c r="S1496" s="347" t="s">
        <v>111</v>
      </c>
      <c r="T1496" s="347" t="s">
        <v>112</v>
      </c>
      <c r="U1496" s="347" t="s">
        <v>57</v>
      </c>
      <c r="V1496" s="353">
        <v>1288</v>
      </c>
      <c r="W1496" s="353">
        <f>23+1265</f>
        <v>1288</v>
      </c>
      <c r="X1496" s="354"/>
      <c r="Y1496" s="355">
        <f t="shared" si="480"/>
        <v>0</v>
      </c>
      <c r="Z1496" s="356">
        <f t="shared" si="481"/>
        <v>0</v>
      </c>
      <c r="AA1496" s="353"/>
      <c r="AB1496" s="818"/>
      <c r="AC1496" s="353"/>
      <c r="AD1496" s="307" t="s">
        <v>728</v>
      </c>
      <c r="AE1496" s="210"/>
      <c r="AF1496" s="210"/>
      <c r="AG1496" s="211">
        <f t="shared" si="489"/>
        <v>0.14799999999999999</v>
      </c>
      <c r="AH1496" s="157">
        <f t="shared" si="483"/>
        <v>0</v>
      </c>
      <c r="AI1496" s="152">
        <f t="shared" si="484"/>
        <v>46368</v>
      </c>
      <c r="AK1496" s="156" t="s">
        <v>691</v>
      </c>
      <c r="AL1496" s="574" t="s">
        <v>690</v>
      </c>
      <c r="AM1496" s="198">
        <f t="shared" si="488"/>
        <v>0</v>
      </c>
      <c r="AN1496" s="199">
        <f t="shared" si="487"/>
        <v>45577</v>
      </c>
      <c r="AO1496" s="159" t="s">
        <v>692</v>
      </c>
      <c r="AP1496" s="783" t="s">
        <v>609</v>
      </c>
      <c r="AQ1496" s="782">
        <v>12071839</v>
      </c>
      <c r="AR1496" s="782">
        <v>12047514</v>
      </c>
      <c r="AS1496" s="782">
        <v>12047515</v>
      </c>
      <c r="AT1496" s="782">
        <v>12062098</v>
      </c>
      <c r="AU1496" s="782"/>
      <c r="AV1496" s="782">
        <v>12062100</v>
      </c>
      <c r="AW1496" s="782">
        <v>12024404</v>
      </c>
      <c r="AX1496" s="781"/>
      <c r="AY1496" s="782">
        <v>12062116</v>
      </c>
      <c r="AZ1496" s="782"/>
      <c r="BA1496" s="781"/>
    </row>
    <row r="1497" spans="1:53" ht="25" hidden="1" customHeight="1">
      <c r="B1497" s="383">
        <v>45577</v>
      </c>
      <c r="C1497" s="383">
        <v>45589</v>
      </c>
      <c r="D1497" s="185">
        <f t="shared" si="485"/>
        <v>2024</v>
      </c>
      <c r="E1497" s="224" t="str">
        <f>VLOOKUP($B1497,Week!$A$1:$C$1462,2,0)</f>
        <v>Week41</v>
      </c>
      <c r="F1497" s="226" t="str">
        <f t="shared" si="486"/>
        <v>Oct</v>
      </c>
      <c r="G1497" s="225" t="s">
        <v>1613</v>
      </c>
      <c r="H1497" s="225" t="s">
        <v>225</v>
      </c>
      <c r="I1497" s="225" t="s">
        <v>2773</v>
      </c>
      <c r="J1497" s="227" t="s">
        <v>335</v>
      </c>
      <c r="K1497" s="228" t="s">
        <v>176</v>
      </c>
      <c r="L1497" s="300" t="s">
        <v>2167</v>
      </c>
      <c r="M1497" s="227" t="s">
        <v>336</v>
      </c>
      <c r="N1497" s="225" t="s">
        <v>337</v>
      </c>
      <c r="O1497" s="225" t="s">
        <v>179</v>
      </c>
      <c r="P1497" s="229">
        <v>36</v>
      </c>
      <c r="Q1497" s="229">
        <v>5</v>
      </c>
      <c r="R1497" s="230">
        <v>7.4999999999999997E-3</v>
      </c>
      <c r="S1497" s="225" t="s">
        <v>111</v>
      </c>
      <c r="T1497" s="225" t="s">
        <v>112</v>
      </c>
      <c r="U1497" s="225" t="s">
        <v>113</v>
      </c>
      <c r="V1497" s="231">
        <f>1288-62</f>
        <v>1226</v>
      </c>
      <c r="W1497" s="231">
        <f>1288-62</f>
        <v>1226</v>
      </c>
      <c r="X1497" s="232"/>
      <c r="Y1497" s="233">
        <f t="shared" si="480"/>
        <v>0</v>
      </c>
      <c r="Z1497" s="234">
        <f t="shared" si="481"/>
        <v>0</v>
      </c>
      <c r="AA1497" s="234"/>
      <c r="AB1497" s="822"/>
      <c r="AC1497" s="231"/>
      <c r="AD1497" s="515"/>
      <c r="AE1497" s="210"/>
      <c r="AF1497" s="210"/>
      <c r="AG1497" s="211">
        <f t="shared" si="489"/>
        <v>0.14499999999999999</v>
      </c>
      <c r="AH1497" s="157">
        <f t="shared" si="483"/>
        <v>0</v>
      </c>
      <c r="AI1497" s="152">
        <f t="shared" si="484"/>
        <v>44136</v>
      </c>
      <c r="AK1497" s="156" t="s">
        <v>691</v>
      </c>
      <c r="AL1497" s="574" t="s">
        <v>690</v>
      </c>
      <c r="AM1497" s="198">
        <f t="shared" si="488"/>
        <v>0</v>
      </c>
      <c r="AN1497" s="199">
        <f t="shared" si="487"/>
        <v>45577</v>
      </c>
      <c r="AO1497" s="159" t="s">
        <v>692</v>
      </c>
      <c r="AP1497" s="783" t="s">
        <v>639</v>
      </c>
      <c r="AQ1497" s="782">
        <v>12071839</v>
      </c>
      <c r="AR1497" s="782">
        <v>12047514</v>
      </c>
      <c r="AS1497" s="782">
        <v>12047515</v>
      </c>
      <c r="AT1497" s="782">
        <v>12054919</v>
      </c>
      <c r="AU1497" s="781"/>
      <c r="AV1497" s="782">
        <v>12054869</v>
      </c>
      <c r="AW1497" s="782">
        <v>12024404</v>
      </c>
      <c r="AX1497" s="781"/>
      <c r="AY1497" s="782">
        <v>12054815</v>
      </c>
      <c r="AZ1497" s="781"/>
      <c r="BA1497" s="781"/>
    </row>
    <row r="1498" spans="1:53" ht="25" hidden="1" customHeight="1">
      <c r="B1498" s="383">
        <v>45577</v>
      </c>
      <c r="C1498" s="383">
        <v>45596</v>
      </c>
      <c r="D1498" s="185">
        <f t="shared" si="485"/>
        <v>2024</v>
      </c>
      <c r="E1498" s="224" t="str">
        <f>VLOOKUP($B1498,Week!$A$1:$C$1462,2,0)</f>
        <v>Week41</v>
      </c>
      <c r="F1498" s="226" t="str">
        <f t="shared" si="486"/>
        <v>Oct</v>
      </c>
      <c r="G1498" s="225" t="s">
        <v>1614</v>
      </c>
      <c r="H1498" s="225" t="s">
        <v>225</v>
      </c>
      <c r="I1498" s="225" t="s">
        <v>2773</v>
      </c>
      <c r="J1498" s="227" t="s">
        <v>335</v>
      </c>
      <c r="K1498" s="228" t="s">
        <v>176</v>
      </c>
      <c r="L1498" s="300" t="s">
        <v>2167</v>
      </c>
      <c r="M1498" s="227" t="s">
        <v>336</v>
      </c>
      <c r="N1498" s="225" t="s">
        <v>337</v>
      </c>
      <c r="O1498" s="225" t="s">
        <v>179</v>
      </c>
      <c r="P1498" s="229">
        <v>36</v>
      </c>
      <c r="Q1498" s="229">
        <v>5</v>
      </c>
      <c r="R1498" s="230">
        <v>7.4999999999999997E-3</v>
      </c>
      <c r="S1498" s="225" t="s">
        <v>111</v>
      </c>
      <c r="T1498" s="225" t="s">
        <v>112</v>
      </c>
      <c r="U1498" s="225" t="s">
        <v>113</v>
      </c>
      <c r="V1498" s="231">
        <v>1288</v>
      </c>
      <c r="W1498" s="231">
        <v>1288</v>
      </c>
      <c r="X1498" s="232"/>
      <c r="Y1498" s="233">
        <f t="shared" si="480"/>
        <v>0</v>
      </c>
      <c r="Z1498" s="234">
        <f t="shared" si="481"/>
        <v>0</v>
      </c>
      <c r="AA1498" s="234"/>
      <c r="AB1498" s="822"/>
      <c r="AC1498" s="231"/>
      <c r="AD1498" s="515"/>
      <c r="AE1498" s="210"/>
      <c r="AF1498" s="210"/>
      <c r="AG1498" s="211">
        <f t="shared" si="489"/>
        <v>0.14499999999999999</v>
      </c>
      <c r="AH1498" s="157">
        <f t="shared" si="483"/>
        <v>0</v>
      </c>
      <c r="AI1498" s="152">
        <f t="shared" si="484"/>
        <v>46368</v>
      </c>
      <c r="AK1498" s="156" t="s">
        <v>691</v>
      </c>
      <c r="AL1498" s="574" t="s">
        <v>690</v>
      </c>
      <c r="AM1498" s="198">
        <f t="shared" si="488"/>
        <v>0</v>
      </c>
      <c r="AN1498" s="199">
        <f t="shared" si="487"/>
        <v>45577</v>
      </c>
      <c r="AO1498" s="159" t="s">
        <v>692</v>
      </c>
      <c r="AP1498" s="783" t="s">
        <v>639</v>
      </c>
      <c r="AQ1498" s="782">
        <v>12071839</v>
      </c>
      <c r="AR1498" s="782">
        <v>12047514</v>
      </c>
      <c r="AS1498" s="782">
        <v>12047515</v>
      </c>
      <c r="AT1498" s="782">
        <v>12054919</v>
      </c>
      <c r="AU1498" s="781"/>
      <c r="AV1498" s="782">
        <v>12054869</v>
      </c>
      <c r="AW1498" s="782">
        <v>12024404</v>
      </c>
      <c r="AX1498" s="781"/>
      <c r="AY1498" s="782">
        <v>12054815</v>
      </c>
      <c r="AZ1498" s="781"/>
      <c r="BA1498" s="781"/>
    </row>
    <row r="1499" spans="1:53" ht="25" hidden="1" customHeight="1">
      <c r="B1499" s="383">
        <v>45577</v>
      </c>
      <c r="C1499" s="383">
        <v>45595</v>
      </c>
      <c r="D1499" s="185">
        <f t="shared" si="485"/>
        <v>2024</v>
      </c>
      <c r="E1499" s="224" t="str">
        <f>VLOOKUP($B1499,Week!$A$1:$C$1462,2,0)</f>
        <v>Week41</v>
      </c>
      <c r="F1499" s="226" t="str">
        <f t="shared" si="486"/>
        <v>Oct</v>
      </c>
      <c r="G1499" s="225" t="s">
        <v>1615</v>
      </c>
      <c r="H1499" s="225" t="s">
        <v>225</v>
      </c>
      <c r="I1499" s="225" t="s">
        <v>2773</v>
      </c>
      <c r="J1499" s="227" t="s">
        <v>335</v>
      </c>
      <c r="K1499" s="228" t="s">
        <v>176</v>
      </c>
      <c r="L1499" s="300" t="s">
        <v>2167</v>
      </c>
      <c r="M1499" s="227" t="s">
        <v>336</v>
      </c>
      <c r="N1499" s="225" t="s">
        <v>337</v>
      </c>
      <c r="O1499" s="225" t="s">
        <v>179</v>
      </c>
      <c r="P1499" s="229">
        <v>36</v>
      </c>
      <c r="Q1499" s="229">
        <v>5</v>
      </c>
      <c r="R1499" s="230">
        <v>7.4999999999999997E-3</v>
      </c>
      <c r="S1499" s="225" t="s">
        <v>111</v>
      </c>
      <c r="T1499" s="225" t="s">
        <v>112</v>
      </c>
      <c r="U1499" s="225" t="s">
        <v>113</v>
      </c>
      <c r="V1499" s="231">
        <f>2598-1226-1288</f>
        <v>84</v>
      </c>
      <c r="W1499" s="231">
        <f>2598-1226-1288</f>
        <v>84</v>
      </c>
      <c r="X1499" s="232"/>
      <c r="Y1499" s="233">
        <f t="shared" si="480"/>
        <v>0</v>
      </c>
      <c r="Z1499" s="234">
        <f t="shared" si="481"/>
        <v>0</v>
      </c>
      <c r="AA1499" s="234"/>
      <c r="AB1499" s="822"/>
      <c r="AC1499" s="231"/>
      <c r="AD1499" s="515"/>
      <c r="AE1499" s="210"/>
      <c r="AF1499" s="210"/>
      <c r="AG1499" s="211">
        <f t="shared" si="489"/>
        <v>0.14499999999999999</v>
      </c>
      <c r="AH1499" s="157">
        <f t="shared" si="483"/>
        <v>0</v>
      </c>
      <c r="AI1499" s="152">
        <f t="shared" si="484"/>
        <v>3024</v>
      </c>
      <c r="AK1499" s="156" t="s">
        <v>691</v>
      </c>
      <c r="AL1499" s="574" t="s">
        <v>690</v>
      </c>
      <c r="AM1499" s="198">
        <f t="shared" si="488"/>
        <v>0</v>
      </c>
      <c r="AN1499" s="199">
        <f t="shared" si="487"/>
        <v>45577</v>
      </c>
      <c r="AO1499" s="159" t="s">
        <v>692</v>
      </c>
      <c r="AP1499" s="783" t="s">
        <v>639</v>
      </c>
      <c r="AQ1499" s="782">
        <v>12071839</v>
      </c>
      <c r="AR1499" s="782">
        <v>12047514</v>
      </c>
      <c r="AS1499" s="782">
        <v>12047515</v>
      </c>
      <c r="AT1499" s="782">
        <v>12054919</v>
      </c>
      <c r="AU1499" s="781"/>
      <c r="AV1499" s="782">
        <v>12054869</v>
      </c>
      <c r="AW1499" s="782">
        <v>12024404</v>
      </c>
      <c r="AX1499" s="781"/>
      <c r="AY1499" s="782">
        <v>12054815</v>
      </c>
      <c r="AZ1499" s="781"/>
      <c r="BA1499" s="781"/>
    </row>
    <row r="1500" spans="1:53" ht="25" hidden="1" customHeight="1">
      <c r="B1500" s="183">
        <v>45578</v>
      </c>
      <c r="C1500" s="184"/>
      <c r="D1500" s="185">
        <f t="shared" si="485"/>
        <v>2024</v>
      </c>
      <c r="E1500" s="185" t="str">
        <f>VLOOKUP($B1500,Week!$A$1:$C$1462,2,0)</f>
        <v>Week41</v>
      </c>
      <c r="F1500" s="186" t="str">
        <f t="shared" si="486"/>
        <v>Oct</v>
      </c>
      <c r="G1500" s="185"/>
      <c r="H1500" s="185"/>
      <c r="I1500" s="185"/>
      <c r="J1500" s="187"/>
      <c r="K1500" s="188"/>
      <c r="L1500" s="300"/>
      <c r="M1500" s="187"/>
      <c r="N1500" s="185"/>
      <c r="O1500" s="185"/>
      <c r="P1500" s="189"/>
      <c r="Q1500" s="189"/>
      <c r="R1500" s="190"/>
      <c r="S1500" s="185"/>
      <c r="T1500" s="185"/>
      <c r="U1500" s="185"/>
      <c r="V1500" s="191"/>
      <c r="W1500" s="191"/>
      <c r="X1500" s="192"/>
      <c r="Y1500" s="193"/>
      <c r="Z1500" s="194"/>
      <c r="AA1500" s="194"/>
      <c r="AB1500" s="805"/>
      <c r="AC1500" s="191"/>
      <c r="AD1500" s="187"/>
      <c r="AE1500" s="195"/>
      <c r="AF1500" s="195"/>
      <c r="AG1500" s="196"/>
      <c r="AH1500" s="197"/>
      <c r="AK1500" s="156" t="s">
        <v>691</v>
      </c>
      <c r="AM1500" s="198">
        <f t="shared" si="488"/>
        <v>0</v>
      </c>
      <c r="AN1500" s="199">
        <f t="shared" si="487"/>
        <v>45578</v>
      </c>
      <c r="AO1500" s="159" t="s">
        <v>692</v>
      </c>
      <c r="AP1500" s="781"/>
      <c r="AQ1500" s="782"/>
      <c r="AR1500" s="782"/>
      <c r="AS1500" s="782"/>
      <c r="AT1500" s="782"/>
      <c r="AU1500" s="781"/>
      <c r="AV1500" s="782"/>
      <c r="AW1500" s="782"/>
      <c r="AX1500" s="782"/>
      <c r="AY1500" s="782"/>
      <c r="AZ1500" s="782"/>
      <c r="BA1500" s="781"/>
    </row>
    <row r="1501" spans="1:53" ht="25" hidden="1" customHeight="1">
      <c r="B1501" s="183">
        <v>45579</v>
      </c>
      <c r="C1501" s="184"/>
      <c r="D1501" s="185">
        <f t="shared" si="485"/>
        <v>2024</v>
      </c>
      <c r="E1501" s="185" t="str">
        <f>VLOOKUP($B1501,Week!$A$1:$C$1462,2,0)</f>
        <v>Week42</v>
      </c>
      <c r="F1501" s="186" t="str">
        <f t="shared" si="486"/>
        <v>Oct</v>
      </c>
      <c r="G1501" s="185"/>
      <c r="H1501" s="185"/>
      <c r="I1501" s="185"/>
      <c r="J1501" s="187"/>
      <c r="K1501" s="188"/>
      <c r="L1501" s="300"/>
      <c r="M1501" s="187"/>
      <c r="N1501" s="185"/>
      <c r="O1501" s="185"/>
      <c r="P1501" s="189"/>
      <c r="Q1501" s="189"/>
      <c r="R1501" s="190"/>
      <c r="S1501" s="185"/>
      <c r="T1501" s="185"/>
      <c r="U1501" s="185"/>
      <c r="V1501" s="191"/>
      <c r="W1501" s="191"/>
      <c r="X1501" s="192"/>
      <c r="Y1501" s="193"/>
      <c r="Z1501" s="194"/>
      <c r="AA1501" s="194"/>
      <c r="AB1501" s="805"/>
      <c r="AC1501" s="191"/>
      <c r="AD1501" s="187"/>
      <c r="AE1501" s="195"/>
      <c r="AF1501" s="195"/>
      <c r="AG1501" s="196"/>
      <c r="AH1501" s="197"/>
      <c r="AK1501" s="156" t="s">
        <v>691</v>
      </c>
      <c r="AM1501" s="198">
        <f t="shared" si="488"/>
        <v>0</v>
      </c>
      <c r="AN1501" s="199">
        <f t="shared" si="487"/>
        <v>45579</v>
      </c>
      <c r="AO1501" s="159" t="s">
        <v>692</v>
      </c>
      <c r="AP1501" s="781"/>
      <c r="AQ1501" s="782"/>
      <c r="AR1501" s="782"/>
      <c r="AS1501" s="782"/>
      <c r="AT1501" s="782"/>
      <c r="AU1501" s="781"/>
      <c r="AV1501" s="782"/>
      <c r="AW1501" s="782"/>
      <c r="AX1501" s="782"/>
      <c r="AY1501" s="782"/>
      <c r="AZ1501" s="782"/>
      <c r="BA1501" s="781"/>
    </row>
    <row r="1502" spans="1:53" ht="25" hidden="1" customHeight="1">
      <c r="A1502" s="754" t="s">
        <v>438</v>
      </c>
      <c r="B1502" s="332">
        <v>45580</v>
      </c>
      <c r="C1502" s="333">
        <v>45596</v>
      </c>
      <c r="D1502" s="185">
        <f t="shared" si="485"/>
        <v>2024</v>
      </c>
      <c r="E1502" s="335" t="str">
        <f>VLOOKUP($B1502,Week!$A$1:$C$1462,2,0)</f>
        <v>Week42</v>
      </c>
      <c r="F1502" s="334" t="str">
        <f t="shared" si="486"/>
        <v>Oct</v>
      </c>
      <c r="G1502" s="530" t="s">
        <v>1776</v>
      </c>
      <c r="H1502" s="335" t="s">
        <v>675</v>
      </c>
      <c r="I1502" s="335" t="s">
        <v>2772</v>
      </c>
      <c r="J1502" s="336" t="s">
        <v>709</v>
      </c>
      <c r="K1502" s="337" t="s">
        <v>671</v>
      </c>
      <c r="L1502" s="300" t="s">
        <v>2167</v>
      </c>
      <c r="M1502" s="336" t="s">
        <v>661</v>
      </c>
      <c r="N1502" s="335" t="s">
        <v>714</v>
      </c>
      <c r="O1502" s="335" t="s">
        <v>566</v>
      </c>
      <c r="P1502" s="338">
        <v>16</v>
      </c>
      <c r="Q1502" s="338">
        <v>6</v>
      </c>
      <c r="R1502" s="339">
        <v>6.0000000000000001E-3</v>
      </c>
      <c r="S1502" s="335" t="s">
        <v>55</v>
      </c>
      <c r="T1502" s="335" t="s">
        <v>112</v>
      </c>
      <c r="U1502" s="335" t="s">
        <v>662</v>
      </c>
      <c r="V1502" s="341">
        <f>288</f>
        <v>288</v>
      </c>
      <c r="W1502" s="341">
        <f>288</f>
        <v>288</v>
      </c>
      <c r="X1502" s="342">
        <f>116/16</f>
        <v>7.25</v>
      </c>
      <c r="Y1502" s="343">
        <f t="shared" ref="Y1502:Y1518" si="490">(W1502+X1502)-V1502</f>
        <v>7.25</v>
      </c>
      <c r="Z1502" s="344">
        <f t="shared" ref="Z1502:Z1518" si="491">IF(Y1502&lt;0,((V1502*P1502)-((W1502+X1502)*P1502)),0)</f>
        <v>0</v>
      </c>
      <c r="AA1502" s="344"/>
      <c r="AB1502" s="817">
        <v>1</v>
      </c>
      <c r="AC1502" s="341">
        <f>AB1502*V1502*P1502</f>
        <v>4608</v>
      </c>
      <c r="AD1502" s="336" t="s">
        <v>2295</v>
      </c>
      <c r="AE1502" s="533"/>
      <c r="AF1502" s="533"/>
      <c r="AG1502" s="211">
        <f t="shared" ref="AG1502:AG1518" si="492">MID(O1502,1,3)/1000</f>
        <v>0.11700000000000001</v>
      </c>
      <c r="AH1502" s="157">
        <f t="shared" ref="AH1502:AH1507" si="493">(Z1502*AG1502)/1000</f>
        <v>0</v>
      </c>
      <c r="AI1502" s="152">
        <f t="shared" ref="AI1502:AI1518" si="494">V1502*P1502</f>
        <v>4608</v>
      </c>
      <c r="AK1502" s="156" t="s">
        <v>691</v>
      </c>
      <c r="AL1502" s="212" t="s">
        <v>690</v>
      </c>
      <c r="AM1502" s="198">
        <f t="shared" si="488"/>
        <v>0</v>
      </c>
      <c r="AN1502" s="199">
        <f t="shared" si="487"/>
        <v>45580</v>
      </c>
      <c r="AO1502" s="159" t="s">
        <v>692</v>
      </c>
      <c r="AP1502" s="797"/>
      <c r="AQ1502" s="798"/>
      <c r="AR1502" s="798">
        <v>12080450</v>
      </c>
      <c r="AS1502" s="798"/>
      <c r="AT1502" s="798">
        <v>12083198</v>
      </c>
      <c r="AU1502" s="799"/>
      <c r="AV1502" s="798">
        <v>12080491</v>
      </c>
      <c r="AW1502" s="798"/>
      <c r="AX1502" s="798" t="s">
        <v>627</v>
      </c>
      <c r="AY1502" s="798"/>
      <c r="AZ1502" s="798"/>
      <c r="BA1502" s="799"/>
    </row>
    <row r="1503" spans="1:53" ht="25" hidden="1" customHeight="1">
      <c r="B1503" s="213">
        <v>45580</v>
      </c>
      <c r="C1503" s="578">
        <v>45597</v>
      </c>
      <c r="D1503" s="185">
        <f t="shared" si="485"/>
        <v>2024</v>
      </c>
      <c r="E1503" s="215" t="str">
        <f>VLOOKUP($B1503,Week!$A$1:$C$1462,2,0)</f>
        <v>Week42</v>
      </c>
      <c r="F1503" s="216" t="str">
        <f t="shared" si="486"/>
        <v>Oct</v>
      </c>
      <c r="G1503" s="215" t="s">
        <v>1659</v>
      </c>
      <c r="H1503" s="215" t="s">
        <v>104</v>
      </c>
      <c r="I1503" s="215" t="s">
        <v>2772</v>
      </c>
      <c r="J1503" s="209" t="s">
        <v>105</v>
      </c>
      <c r="K1503" s="217" t="s">
        <v>107</v>
      </c>
      <c r="L1503" s="300" t="s">
        <v>2167</v>
      </c>
      <c r="M1503" s="209" t="s">
        <v>108</v>
      </c>
      <c r="N1503" s="215" t="s">
        <v>109</v>
      </c>
      <c r="O1503" s="215" t="s">
        <v>110</v>
      </c>
      <c r="P1503" s="218">
        <v>36</v>
      </c>
      <c r="Q1503" s="218">
        <v>5</v>
      </c>
      <c r="R1503" s="219">
        <v>7.4999999999999997E-3</v>
      </c>
      <c r="S1503" s="215" t="s">
        <v>111</v>
      </c>
      <c r="T1503" s="215" t="s">
        <v>112</v>
      </c>
      <c r="U1503" s="215" t="s">
        <v>113</v>
      </c>
      <c r="V1503" s="220">
        <f>792-65</f>
        <v>727</v>
      </c>
      <c r="W1503" s="220">
        <f>792-65</f>
        <v>727</v>
      </c>
      <c r="X1503" s="221"/>
      <c r="Y1503" s="222">
        <f t="shared" si="490"/>
        <v>0</v>
      </c>
      <c r="Z1503" s="223">
        <f t="shared" si="491"/>
        <v>0</v>
      </c>
      <c r="AA1503" s="223"/>
      <c r="AB1503" s="807"/>
      <c r="AC1503" s="220"/>
      <c r="AD1503" s="209"/>
      <c r="AE1503" s="210"/>
      <c r="AF1503" s="210"/>
      <c r="AG1503" s="211">
        <f t="shared" si="492"/>
        <v>0.308</v>
      </c>
      <c r="AH1503" s="157">
        <f t="shared" si="493"/>
        <v>0</v>
      </c>
      <c r="AI1503" s="152">
        <f t="shared" si="494"/>
        <v>26172</v>
      </c>
      <c r="AK1503" s="156" t="s">
        <v>691</v>
      </c>
      <c r="AL1503" s="574" t="s">
        <v>690</v>
      </c>
      <c r="AM1503" s="198">
        <f t="shared" si="488"/>
        <v>0</v>
      </c>
      <c r="AN1503" s="199">
        <f t="shared" si="487"/>
        <v>45580</v>
      </c>
      <c r="AO1503" s="159" t="s">
        <v>692</v>
      </c>
      <c r="AP1503" s="781"/>
      <c r="AQ1503" s="782">
        <v>12063755</v>
      </c>
      <c r="AR1503" s="782">
        <v>12061353</v>
      </c>
      <c r="AS1503" s="782">
        <v>12061354</v>
      </c>
      <c r="AT1503" s="782">
        <v>12068566</v>
      </c>
      <c r="AU1503" s="781"/>
      <c r="AV1503" s="782">
        <v>12088206</v>
      </c>
      <c r="AW1503" s="782">
        <v>12088207</v>
      </c>
      <c r="AX1503" s="782"/>
      <c r="AY1503" s="782">
        <v>12068565</v>
      </c>
      <c r="AZ1503" s="782"/>
      <c r="BA1503" s="781"/>
    </row>
    <row r="1504" spans="1:53" ht="25" hidden="1" customHeight="1">
      <c r="B1504" s="213">
        <v>45580</v>
      </c>
      <c r="C1504" s="578">
        <v>45597</v>
      </c>
      <c r="D1504" s="185">
        <f t="shared" si="485"/>
        <v>2024</v>
      </c>
      <c r="E1504" s="215" t="str">
        <f>VLOOKUP($B1504,Week!$A$1:$C$1462,2,0)</f>
        <v>Week42</v>
      </c>
      <c r="F1504" s="216" t="str">
        <f t="shared" si="486"/>
        <v>Oct</v>
      </c>
      <c r="G1504" s="215" t="s">
        <v>1660</v>
      </c>
      <c r="H1504" s="215" t="s">
        <v>104</v>
      </c>
      <c r="I1504" s="215" t="s">
        <v>2772</v>
      </c>
      <c r="J1504" s="209" t="s">
        <v>105</v>
      </c>
      <c r="K1504" s="217" t="s">
        <v>107</v>
      </c>
      <c r="L1504" s="300" t="s">
        <v>2167</v>
      </c>
      <c r="M1504" s="209" t="s">
        <v>108</v>
      </c>
      <c r="N1504" s="215" t="s">
        <v>109</v>
      </c>
      <c r="O1504" s="215" t="s">
        <v>110</v>
      </c>
      <c r="P1504" s="218">
        <v>36</v>
      </c>
      <c r="Q1504" s="218">
        <v>5</v>
      </c>
      <c r="R1504" s="219">
        <v>7.4999999999999997E-3</v>
      </c>
      <c r="S1504" s="215" t="s">
        <v>111</v>
      </c>
      <c r="T1504" s="215" t="s">
        <v>112</v>
      </c>
      <c r="U1504" s="215" t="s">
        <v>113</v>
      </c>
      <c r="V1504" s="220">
        <v>592</v>
      </c>
      <c r="W1504" s="220">
        <v>592</v>
      </c>
      <c r="X1504" s="221"/>
      <c r="Y1504" s="222">
        <f t="shared" si="490"/>
        <v>0</v>
      </c>
      <c r="Z1504" s="223">
        <f t="shared" si="491"/>
        <v>0</v>
      </c>
      <c r="AA1504" s="223"/>
      <c r="AB1504" s="807"/>
      <c r="AC1504" s="220"/>
      <c r="AD1504" s="209"/>
      <c r="AE1504" s="210"/>
      <c r="AF1504" s="210"/>
      <c r="AG1504" s="211">
        <f t="shared" si="492"/>
        <v>0.308</v>
      </c>
      <c r="AH1504" s="157">
        <f t="shared" si="493"/>
        <v>0</v>
      </c>
      <c r="AI1504" s="152">
        <f t="shared" si="494"/>
        <v>21312</v>
      </c>
      <c r="AK1504" s="156" t="s">
        <v>691</v>
      </c>
      <c r="AL1504" s="574" t="s">
        <v>690</v>
      </c>
      <c r="AM1504" s="198">
        <f t="shared" si="488"/>
        <v>0</v>
      </c>
      <c r="AN1504" s="199">
        <f t="shared" si="487"/>
        <v>45580</v>
      </c>
      <c r="AO1504" s="159" t="s">
        <v>692</v>
      </c>
      <c r="AP1504" s="781"/>
      <c r="AQ1504" s="782">
        <v>12063755</v>
      </c>
      <c r="AR1504" s="782">
        <v>12061353</v>
      </c>
      <c r="AS1504" s="782">
        <v>12061354</v>
      </c>
      <c r="AT1504" s="782">
        <v>12068566</v>
      </c>
      <c r="AU1504" s="781"/>
      <c r="AV1504" s="782">
        <v>12088206</v>
      </c>
      <c r="AW1504" s="782">
        <v>12088207</v>
      </c>
      <c r="AX1504" s="782"/>
      <c r="AY1504" s="782">
        <v>12068565</v>
      </c>
      <c r="AZ1504" s="782"/>
      <c r="BA1504" s="781"/>
    </row>
    <row r="1505" spans="1:53" ht="25" hidden="1" customHeight="1">
      <c r="B1505" s="213">
        <v>45580</v>
      </c>
      <c r="C1505" s="578">
        <v>45597</v>
      </c>
      <c r="D1505" s="185">
        <f t="shared" si="485"/>
        <v>2024</v>
      </c>
      <c r="E1505" s="215" t="str">
        <f>VLOOKUP($B1505,Week!$A$1:$C$1462,2,0)</f>
        <v>Week42</v>
      </c>
      <c r="F1505" s="216" t="str">
        <f t="shared" si="486"/>
        <v>Oct</v>
      </c>
      <c r="G1505" s="215" t="s">
        <v>1661</v>
      </c>
      <c r="H1505" s="215" t="s">
        <v>104</v>
      </c>
      <c r="I1505" s="215" t="s">
        <v>2772</v>
      </c>
      <c r="J1505" s="209" t="s">
        <v>105</v>
      </c>
      <c r="K1505" s="217" t="s">
        <v>107</v>
      </c>
      <c r="L1505" s="300" t="s">
        <v>2167</v>
      </c>
      <c r="M1505" s="209" t="s">
        <v>108</v>
      </c>
      <c r="N1505" s="215" t="s">
        <v>109</v>
      </c>
      <c r="O1505" s="215" t="s">
        <v>110</v>
      </c>
      <c r="P1505" s="218">
        <v>36</v>
      </c>
      <c r="Q1505" s="218">
        <v>5</v>
      </c>
      <c r="R1505" s="219">
        <v>7.4999999999999997E-3</v>
      </c>
      <c r="S1505" s="215" t="s">
        <v>111</v>
      </c>
      <c r="T1505" s="215" t="s">
        <v>112</v>
      </c>
      <c r="U1505" s="215" t="s">
        <v>113</v>
      </c>
      <c r="V1505" s="220">
        <f>151</f>
        <v>151</v>
      </c>
      <c r="W1505" s="220">
        <v>151</v>
      </c>
      <c r="X1505" s="221"/>
      <c r="Y1505" s="222">
        <f t="shared" si="490"/>
        <v>0</v>
      </c>
      <c r="Z1505" s="223">
        <f t="shared" si="491"/>
        <v>0</v>
      </c>
      <c r="AA1505" s="223"/>
      <c r="AB1505" s="807"/>
      <c r="AC1505" s="220"/>
      <c r="AD1505" s="209"/>
      <c r="AE1505" s="210"/>
      <c r="AF1505" s="210"/>
      <c r="AG1505" s="211">
        <f t="shared" si="492"/>
        <v>0.308</v>
      </c>
      <c r="AH1505" s="157">
        <f t="shared" si="493"/>
        <v>0</v>
      </c>
      <c r="AI1505" s="152">
        <f t="shared" si="494"/>
        <v>5436</v>
      </c>
      <c r="AK1505" s="156" t="s">
        <v>691</v>
      </c>
      <c r="AL1505" s="574" t="s">
        <v>690</v>
      </c>
      <c r="AM1505" s="198">
        <f t="shared" si="488"/>
        <v>0</v>
      </c>
      <c r="AN1505" s="199">
        <f t="shared" si="487"/>
        <v>45580</v>
      </c>
      <c r="AO1505" s="159" t="s">
        <v>692</v>
      </c>
      <c r="AP1505" s="781"/>
      <c r="AQ1505" s="782">
        <v>12063755</v>
      </c>
      <c r="AR1505" s="782">
        <v>12061353</v>
      </c>
      <c r="AS1505" s="782">
        <v>12061354</v>
      </c>
      <c r="AT1505" s="782">
        <v>12068566</v>
      </c>
      <c r="AU1505" s="781"/>
      <c r="AV1505" s="782">
        <v>12088206</v>
      </c>
      <c r="AW1505" s="782">
        <v>12088207</v>
      </c>
      <c r="AX1505" s="782"/>
      <c r="AY1505" s="782">
        <v>12068565</v>
      </c>
      <c r="AZ1505" s="782"/>
      <c r="BA1505" s="781"/>
    </row>
    <row r="1506" spans="1:53" ht="25" hidden="1" customHeight="1">
      <c r="B1506" s="308">
        <v>45580</v>
      </c>
      <c r="C1506" s="309">
        <v>45607</v>
      </c>
      <c r="D1506" s="185">
        <f t="shared" si="485"/>
        <v>2024</v>
      </c>
      <c r="E1506" s="309" t="str">
        <f>VLOOKUP($B1506,Week!$A$1:$C$1462,2,0)</f>
        <v>Week42</v>
      </c>
      <c r="F1506" s="310" t="str">
        <f t="shared" si="486"/>
        <v>Oct</v>
      </c>
      <c r="G1506" s="311" t="s">
        <v>1675</v>
      </c>
      <c r="H1506" s="311" t="s">
        <v>431</v>
      </c>
      <c r="I1506" s="311" t="s">
        <v>2772</v>
      </c>
      <c r="J1506" s="312" t="s">
        <v>432</v>
      </c>
      <c r="K1506" s="313" t="s">
        <v>107</v>
      </c>
      <c r="L1506" s="300" t="s">
        <v>2167</v>
      </c>
      <c r="M1506" s="312" t="s">
        <v>136</v>
      </c>
      <c r="N1506" s="311" t="s">
        <v>542</v>
      </c>
      <c r="O1506" s="311" t="s">
        <v>543</v>
      </c>
      <c r="P1506" s="314">
        <v>8</v>
      </c>
      <c r="Q1506" s="314">
        <v>3</v>
      </c>
      <c r="R1506" s="315">
        <v>7.4999999999999997E-3</v>
      </c>
      <c r="S1506" s="311" t="s">
        <v>111</v>
      </c>
      <c r="T1506" s="311" t="s">
        <v>112</v>
      </c>
      <c r="U1506" s="311" t="s">
        <v>57</v>
      </c>
      <c r="V1506" s="316">
        <f>600</f>
        <v>600</v>
      </c>
      <c r="W1506" s="316"/>
      <c r="X1506" s="317">
        <f>(323+4688)/8</f>
        <v>626.375</v>
      </c>
      <c r="Y1506" s="318">
        <f t="shared" si="490"/>
        <v>26.375</v>
      </c>
      <c r="Z1506" s="319">
        <f t="shared" si="491"/>
        <v>0</v>
      </c>
      <c r="AA1506" s="319"/>
      <c r="AB1506" s="815"/>
      <c r="AC1506" s="316"/>
      <c r="AD1506" s="209"/>
      <c r="AE1506" s="210"/>
      <c r="AF1506" s="210"/>
      <c r="AG1506" s="211">
        <f t="shared" si="492"/>
        <v>0.309</v>
      </c>
      <c r="AH1506" s="157">
        <f t="shared" si="493"/>
        <v>0</v>
      </c>
      <c r="AI1506" s="152">
        <f t="shared" si="494"/>
        <v>4800</v>
      </c>
      <c r="AK1506" s="156" t="s">
        <v>691</v>
      </c>
      <c r="AL1506" s="212" t="s">
        <v>690</v>
      </c>
      <c r="AM1506" s="198">
        <f t="shared" si="488"/>
        <v>0</v>
      </c>
      <c r="AN1506" s="199">
        <f t="shared" si="487"/>
        <v>45580</v>
      </c>
      <c r="AO1506" s="159" t="s">
        <v>692</v>
      </c>
      <c r="AP1506" s="781"/>
      <c r="AQ1506" s="782">
        <v>12063755</v>
      </c>
      <c r="AR1506" s="782">
        <v>12061353</v>
      </c>
      <c r="AS1506" s="782">
        <v>12061354</v>
      </c>
      <c r="AT1506" s="782">
        <v>12083615</v>
      </c>
      <c r="AU1506" s="781"/>
      <c r="AV1506" s="782">
        <v>12062186</v>
      </c>
      <c r="AW1506" s="782"/>
      <c r="AX1506" s="782"/>
      <c r="AY1506" s="782"/>
      <c r="AZ1506" s="782"/>
      <c r="BA1506" s="781"/>
    </row>
    <row r="1507" spans="1:53" ht="25" hidden="1" customHeight="1">
      <c r="A1507" s="440"/>
      <c r="B1507" s="271">
        <v>45580</v>
      </c>
      <c r="C1507" s="271">
        <v>45590</v>
      </c>
      <c r="D1507" s="185">
        <f t="shared" si="485"/>
        <v>2024</v>
      </c>
      <c r="E1507" s="441" t="str">
        <f>VLOOKUP($B1507,Week!$A$1:$C$1462,2,0)</f>
        <v>Week42</v>
      </c>
      <c r="F1507" s="442" t="str">
        <f t="shared" si="486"/>
        <v>Oct</v>
      </c>
      <c r="G1507" s="423" t="s">
        <v>1165</v>
      </c>
      <c r="H1507" s="274" t="s">
        <v>267</v>
      </c>
      <c r="I1507" s="274" t="s">
        <v>2772</v>
      </c>
      <c r="J1507" s="275" t="s">
        <v>699</v>
      </c>
      <c r="K1507" s="276" t="s">
        <v>107</v>
      </c>
      <c r="L1507" s="300" t="s">
        <v>2167</v>
      </c>
      <c r="M1507" s="275" t="s">
        <v>136</v>
      </c>
      <c r="N1507" s="274" t="s">
        <v>269</v>
      </c>
      <c r="O1507" s="274" t="s">
        <v>270</v>
      </c>
      <c r="P1507" s="277">
        <v>12</v>
      </c>
      <c r="Q1507" s="277">
        <v>3</v>
      </c>
      <c r="R1507" s="278">
        <v>7.4999999999999997E-3</v>
      </c>
      <c r="S1507" s="274" t="s">
        <v>111</v>
      </c>
      <c r="T1507" s="274" t="s">
        <v>112</v>
      </c>
      <c r="U1507" s="274" t="s">
        <v>57</v>
      </c>
      <c r="V1507" s="279">
        <v>2520</v>
      </c>
      <c r="W1507" s="279">
        <f>167+2353</f>
        <v>2520</v>
      </c>
      <c r="X1507" s="280"/>
      <c r="Y1507" s="281">
        <f t="shared" si="490"/>
        <v>0</v>
      </c>
      <c r="Z1507" s="282">
        <f t="shared" si="491"/>
        <v>0</v>
      </c>
      <c r="AA1507" s="282"/>
      <c r="AB1507" s="812"/>
      <c r="AC1507" s="279"/>
      <c r="AD1507" s="443" t="s">
        <v>737</v>
      </c>
      <c r="AE1507" s="210"/>
      <c r="AF1507" s="210"/>
      <c r="AG1507" s="211">
        <f t="shared" si="492"/>
        <v>0.309</v>
      </c>
      <c r="AH1507" s="157">
        <f t="shared" si="493"/>
        <v>0</v>
      </c>
      <c r="AI1507" s="152">
        <f t="shared" si="494"/>
        <v>30240</v>
      </c>
      <c r="AK1507" s="156" t="s">
        <v>691</v>
      </c>
      <c r="AL1507" s="212" t="s">
        <v>690</v>
      </c>
      <c r="AM1507" s="198">
        <f t="shared" si="488"/>
        <v>0</v>
      </c>
      <c r="AN1507" s="199">
        <f t="shared" si="487"/>
        <v>45580</v>
      </c>
      <c r="AO1507" s="159" t="s">
        <v>692</v>
      </c>
      <c r="AP1507" s="781"/>
      <c r="AQ1507" s="782">
        <v>12063755</v>
      </c>
      <c r="AR1507" s="782">
        <v>12081257</v>
      </c>
      <c r="AS1507" s="782">
        <v>12081260</v>
      </c>
      <c r="AT1507" s="782"/>
      <c r="AU1507" s="781"/>
      <c r="AV1507" s="782">
        <v>12073316</v>
      </c>
      <c r="AW1507" s="782"/>
      <c r="AX1507" s="782"/>
      <c r="AY1507" s="782">
        <v>12073342</v>
      </c>
      <c r="AZ1507" s="782">
        <v>12073344</v>
      </c>
      <c r="BA1507" s="782">
        <v>12073343</v>
      </c>
    </row>
    <row r="1508" spans="1:53" ht="25" hidden="1" customHeight="1">
      <c r="B1508" s="332">
        <v>45580</v>
      </c>
      <c r="C1508" s="333">
        <v>45596</v>
      </c>
      <c r="D1508" s="185">
        <f t="shared" si="485"/>
        <v>2024</v>
      </c>
      <c r="E1508" s="333" t="str">
        <f>VLOOKUP($B1508,Week!$A$1:$C$1462,2,0)</f>
        <v>Week42</v>
      </c>
      <c r="F1508" s="334" t="str">
        <f t="shared" si="486"/>
        <v>Oct</v>
      </c>
      <c r="G1508" s="335" t="s">
        <v>1776</v>
      </c>
      <c r="H1508" s="335" t="s">
        <v>675</v>
      </c>
      <c r="I1508" s="335" t="s">
        <v>2772</v>
      </c>
      <c r="J1508" s="336" t="s">
        <v>709</v>
      </c>
      <c r="K1508" s="337" t="s">
        <v>1652</v>
      </c>
      <c r="L1508" s="300" t="s">
        <v>2167</v>
      </c>
      <c r="M1508" s="336" t="s">
        <v>682</v>
      </c>
      <c r="N1508" s="530" t="s">
        <v>712</v>
      </c>
      <c r="O1508" s="335" t="s">
        <v>602</v>
      </c>
      <c r="P1508" s="338">
        <v>8</v>
      </c>
      <c r="Q1508" s="338">
        <v>3</v>
      </c>
      <c r="R1508" s="339">
        <v>6.0000000000000001E-3</v>
      </c>
      <c r="S1508" s="335" t="s">
        <v>55</v>
      </c>
      <c r="T1508" s="335" t="s">
        <v>112</v>
      </c>
      <c r="U1508" s="340" t="s">
        <v>724</v>
      </c>
      <c r="V1508" s="341">
        <f>648</f>
        <v>648</v>
      </c>
      <c r="W1508" s="341"/>
      <c r="X1508" s="342">
        <f>(793+4410)/8</f>
        <v>650.375</v>
      </c>
      <c r="Y1508" s="343">
        <f t="shared" si="490"/>
        <v>2.375</v>
      </c>
      <c r="Z1508" s="344">
        <f t="shared" si="491"/>
        <v>0</v>
      </c>
      <c r="AA1508" s="344"/>
      <c r="AB1508" s="817"/>
      <c r="AC1508" s="341"/>
      <c r="AD1508" s="443" t="s">
        <v>1504</v>
      </c>
      <c r="AE1508" s="210"/>
      <c r="AF1508" s="210"/>
      <c r="AG1508" s="211">
        <f t="shared" si="492"/>
        <v>0.30199999999999999</v>
      </c>
      <c r="AH1508" s="157">
        <v>0.26621999999999996</v>
      </c>
      <c r="AI1508" s="152">
        <f t="shared" si="494"/>
        <v>5184</v>
      </c>
      <c r="AK1508" s="156" t="s">
        <v>691</v>
      </c>
      <c r="AL1508" s="574" t="s">
        <v>690</v>
      </c>
      <c r="AM1508" s="198">
        <f t="shared" si="488"/>
        <v>0</v>
      </c>
      <c r="AN1508" s="199">
        <f t="shared" si="487"/>
        <v>45580</v>
      </c>
      <c r="AO1508" s="159" t="s">
        <v>692</v>
      </c>
      <c r="AP1508" s="781" t="s">
        <v>642</v>
      </c>
      <c r="AQ1508" s="782">
        <v>12063755</v>
      </c>
      <c r="AR1508" s="782">
        <v>12061353</v>
      </c>
      <c r="AS1508" s="782">
        <v>12061354</v>
      </c>
      <c r="AT1508" s="782">
        <v>12090030</v>
      </c>
      <c r="AU1508" s="781"/>
      <c r="AV1508" s="782">
        <v>12089992</v>
      </c>
      <c r="AW1508" s="781"/>
      <c r="AX1508" s="781"/>
      <c r="AY1508" s="781"/>
      <c r="AZ1508" s="782"/>
      <c r="BA1508" s="781"/>
    </row>
    <row r="1509" spans="1:53" ht="25" hidden="1" customHeight="1">
      <c r="B1509" s="385">
        <v>45580</v>
      </c>
      <c r="C1509" s="386">
        <v>45608</v>
      </c>
      <c r="D1509" s="185">
        <f t="shared" si="485"/>
        <v>2024</v>
      </c>
      <c r="E1509" s="386" t="str">
        <f>VLOOKUP($B1509,Week!$A$1:$C$1462,2,0)</f>
        <v>Week42</v>
      </c>
      <c r="F1509" s="387" t="str">
        <f t="shared" si="486"/>
        <v>Oct</v>
      </c>
      <c r="G1509" s="388" t="s">
        <v>1779</v>
      </c>
      <c r="H1509" s="388" t="s">
        <v>600</v>
      </c>
      <c r="I1509" s="388" t="s">
        <v>2772</v>
      </c>
      <c r="J1509" s="389" t="s">
        <v>708</v>
      </c>
      <c r="K1509" s="390" t="s">
        <v>1652</v>
      </c>
      <c r="L1509" s="300" t="s">
        <v>2167</v>
      </c>
      <c r="M1509" s="389" t="s">
        <v>603</v>
      </c>
      <c r="N1509" s="637" t="s">
        <v>1404</v>
      </c>
      <c r="O1509" s="388" t="s">
        <v>602</v>
      </c>
      <c r="P1509" s="391">
        <v>8</v>
      </c>
      <c r="Q1509" s="391">
        <v>3</v>
      </c>
      <c r="R1509" s="392">
        <v>6.0000000000000001E-3</v>
      </c>
      <c r="S1509" s="388" t="s">
        <v>55</v>
      </c>
      <c r="T1509" s="388" t="s">
        <v>112</v>
      </c>
      <c r="U1509" s="601" t="s">
        <v>724</v>
      </c>
      <c r="V1509" s="393">
        <v>3500</v>
      </c>
      <c r="W1509" s="393"/>
      <c r="X1509" s="394">
        <f>(958+27082)/8</f>
        <v>3505</v>
      </c>
      <c r="Y1509" s="395">
        <f t="shared" si="490"/>
        <v>5</v>
      </c>
      <c r="Z1509" s="396">
        <f t="shared" si="491"/>
        <v>0</v>
      </c>
      <c r="AA1509" s="396"/>
      <c r="AB1509" s="823"/>
      <c r="AC1509" s="393"/>
      <c r="AD1509" s="636" t="s">
        <v>1043</v>
      </c>
      <c r="AE1509" s="210"/>
      <c r="AF1509" s="210"/>
      <c r="AG1509" s="211">
        <f t="shared" si="492"/>
        <v>0.30199999999999999</v>
      </c>
      <c r="AH1509" s="157">
        <v>0.26621999999999996</v>
      </c>
      <c r="AI1509" s="152">
        <f t="shared" si="494"/>
        <v>28000</v>
      </c>
      <c r="AK1509" s="156" t="s">
        <v>691</v>
      </c>
      <c r="AL1509" s="212" t="s">
        <v>690</v>
      </c>
      <c r="AM1509" s="198">
        <f t="shared" si="488"/>
        <v>0</v>
      </c>
      <c r="AN1509" s="199">
        <f t="shared" si="487"/>
        <v>45580</v>
      </c>
      <c r="AO1509" s="159" t="s">
        <v>692</v>
      </c>
      <c r="AP1509" s="781" t="s">
        <v>642</v>
      </c>
      <c r="AQ1509" s="782">
        <v>12063755</v>
      </c>
      <c r="AR1509" s="782">
        <v>12061353</v>
      </c>
      <c r="AS1509" s="782">
        <v>12061354</v>
      </c>
      <c r="AT1509" s="782">
        <v>12091199</v>
      </c>
      <c r="AU1509" s="781"/>
      <c r="AV1509" s="782">
        <v>12091198</v>
      </c>
      <c r="AW1509" s="781"/>
      <c r="AX1509" s="781"/>
      <c r="AY1509" s="781"/>
      <c r="AZ1509" s="782"/>
      <c r="BA1509" s="781"/>
    </row>
    <row r="1510" spans="1:53" ht="25" hidden="1" customHeight="1">
      <c r="A1510" s="623"/>
      <c r="B1510" s="332">
        <v>45580</v>
      </c>
      <c r="C1510" s="333">
        <v>45621</v>
      </c>
      <c r="D1510" s="185">
        <f t="shared" si="485"/>
        <v>2024</v>
      </c>
      <c r="E1510" s="333" t="str">
        <f>VLOOKUP($B1510,Week!$A$1:$C$1462,2,0)</f>
        <v>Week42</v>
      </c>
      <c r="F1510" s="334" t="str">
        <f t="shared" si="486"/>
        <v>Oct</v>
      </c>
      <c r="G1510" s="335" t="s">
        <v>1782</v>
      </c>
      <c r="H1510" s="335" t="s">
        <v>831</v>
      </c>
      <c r="I1510" s="335" t="s">
        <v>2772</v>
      </c>
      <c r="J1510" s="336" t="s">
        <v>1130</v>
      </c>
      <c r="K1510" s="337" t="s">
        <v>680</v>
      </c>
      <c r="L1510" s="300" t="s">
        <v>2167</v>
      </c>
      <c r="M1510" s="336" t="s">
        <v>682</v>
      </c>
      <c r="N1510" s="530" t="s">
        <v>1131</v>
      </c>
      <c r="O1510" s="335" t="s">
        <v>602</v>
      </c>
      <c r="P1510" s="338">
        <v>8</v>
      </c>
      <c r="Q1510" s="338">
        <v>3</v>
      </c>
      <c r="R1510" s="339">
        <v>6.0000000000000001E-3</v>
      </c>
      <c r="S1510" s="335" t="s">
        <v>55</v>
      </c>
      <c r="T1510" s="335" t="s">
        <v>112</v>
      </c>
      <c r="U1510" s="340" t="s">
        <v>724</v>
      </c>
      <c r="V1510" s="341">
        <f>180</f>
        <v>180</v>
      </c>
      <c r="W1510" s="341"/>
      <c r="X1510" s="342">
        <f>1578/8</f>
        <v>197.25</v>
      </c>
      <c r="Y1510" s="343">
        <f t="shared" si="490"/>
        <v>17.25</v>
      </c>
      <c r="Z1510" s="344">
        <f t="shared" si="491"/>
        <v>0</v>
      </c>
      <c r="AA1510" s="344"/>
      <c r="AB1510" s="817"/>
      <c r="AC1510" s="341"/>
      <c r="AD1510" s="307" t="s">
        <v>672</v>
      </c>
      <c r="AE1510" s="210"/>
      <c r="AF1510" s="210"/>
      <c r="AG1510" s="211">
        <f t="shared" si="492"/>
        <v>0.30199999999999999</v>
      </c>
      <c r="AH1510" s="157">
        <v>0.26621999999999996</v>
      </c>
      <c r="AI1510" s="152">
        <f t="shared" si="494"/>
        <v>1440</v>
      </c>
      <c r="AK1510" s="156" t="s">
        <v>691</v>
      </c>
      <c r="AL1510" s="574" t="s">
        <v>690</v>
      </c>
      <c r="AM1510" s="198">
        <f t="shared" si="488"/>
        <v>0</v>
      </c>
      <c r="AN1510" s="199">
        <f t="shared" si="487"/>
        <v>45580</v>
      </c>
      <c r="AO1510" s="159" t="s">
        <v>692</v>
      </c>
      <c r="AP1510" s="781" t="s">
        <v>642</v>
      </c>
      <c r="AQ1510" s="782"/>
      <c r="AR1510" s="782"/>
      <c r="AS1510" s="782"/>
      <c r="AT1510" s="782"/>
      <c r="AU1510" s="781"/>
      <c r="AV1510" s="782"/>
      <c r="AW1510" s="781"/>
      <c r="AX1510" s="781"/>
      <c r="AY1510" s="781"/>
      <c r="AZ1510" s="782"/>
      <c r="BA1510" s="781"/>
    </row>
    <row r="1511" spans="1:53" ht="24.75" hidden="1" customHeight="1">
      <c r="B1511" s="295">
        <v>45581</v>
      </c>
      <c r="C1511" s="296" t="s">
        <v>1676</v>
      </c>
      <c r="D1511" s="185">
        <f t="shared" si="485"/>
        <v>2024</v>
      </c>
      <c r="E1511" s="296" t="str">
        <f>VLOOKUP($B1511,Week!$A$1:$C$1462,2,0)</f>
        <v>Week42</v>
      </c>
      <c r="F1511" s="297" t="str">
        <f t="shared" si="486"/>
        <v>Oct</v>
      </c>
      <c r="G1511" s="648" t="s">
        <v>47</v>
      </c>
      <c r="H1511" s="298" t="s">
        <v>260</v>
      </c>
      <c r="I1511" s="298" t="s">
        <v>2702</v>
      </c>
      <c r="J1511" s="307" t="s">
        <v>904</v>
      </c>
      <c r="K1511" s="300" t="s">
        <v>176</v>
      </c>
      <c r="L1511" s="300" t="s">
        <v>2167</v>
      </c>
      <c r="M1511" s="299" t="s">
        <v>262</v>
      </c>
      <c r="N1511" s="298" t="s">
        <v>350</v>
      </c>
      <c r="O1511" s="298" t="s">
        <v>351</v>
      </c>
      <c r="P1511" s="301">
        <v>24</v>
      </c>
      <c r="Q1511" s="301">
        <v>5</v>
      </c>
      <c r="R1511" s="302">
        <v>6.1999999999999998E-3</v>
      </c>
      <c r="S1511" s="298" t="s">
        <v>352</v>
      </c>
      <c r="T1511" s="298" t="s">
        <v>56</v>
      </c>
      <c r="U1511" s="298" t="s">
        <v>57</v>
      </c>
      <c r="V1511" s="303">
        <f>6513-2243-785</f>
        <v>3485</v>
      </c>
      <c r="W1511" s="303">
        <v>3485</v>
      </c>
      <c r="X1511" s="304"/>
      <c r="Y1511" s="305">
        <f t="shared" si="490"/>
        <v>0</v>
      </c>
      <c r="Z1511" s="306">
        <f t="shared" si="491"/>
        <v>0</v>
      </c>
      <c r="AA1511" s="306"/>
      <c r="AB1511" s="814"/>
      <c r="AC1511" s="303"/>
      <c r="AD1511" s="580" t="s">
        <v>672</v>
      </c>
      <c r="AE1511" s="210"/>
      <c r="AF1511" s="210"/>
      <c r="AG1511" s="211">
        <f t="shared" si="492"/>
        <v>0.13</v>
      </c>
      <c r="AH1511" s="157">
        <f>(Z1511*AG1511)/1000</f>
        <v>0</v>
      </c>
      <c r="AI1511" s="152">
        <f t="shared" si="494"/>
        <v>83640</v>
      </c>
      <c r="AK1511" s="156" t="s">
        <v>691</v>
      </c>
      <c r="AL1511" s="574" t="s">
        <v>690</v>
      </c>
      <c r="AM1511" s="198">
        <f t="shared" si="488"/>
        <v>0</v>
      </c>
      <c r="AN1511" s="199">
        <f t="shared" si="487"/>
        <v>45581</v>
      </c>
      <c r="AO1511" s="159" t="s">
        <v>692</v>
      </c>
      <c r="AP1511" s="783" t="s">
        <v>629</v>
      </c>
      <c r="AQ1511" s="782">
        <v>12071839</v>
      </c>
      <c r="AR1511" s="782">
        <v>12078867</v>
      </c>
      <c r="AS1511" s="782">
        <v>12068233</v>
      </c>
      <c r="AT1511" s="781"/>
      <c r="AU1511" s="781"/>
      <c r="AV1511" s="782">
        <v>12062075</v>
      </c>
      <c r="AW1511" s="781"/>
      <c r="AX1511" s="781"/>
      <c r="AY1511" s="782">
        <v>12078867</v>
      </c>
      <c r="AZ1511" s="781"/>
      <c r="BA1511" s="781"/>
    </row>
    <row r="1512" spans="1:53" ht="24.75" hidden="1" customHeight="1">
      <c r="B1512" s="295">
        <v>45581</v>
      </c>
      <c r="C1512" s="296" t="s">
        <v>1677</v>
      </c>
      <c r="D1512" s="185">
        <f t="shared" si="485"/>
        <v>2024</v>
      </c>
      <c r="E1512" s="296" t="str">
        <f>VLOOKUP($B1512,Week!$A$1:$C$1462,2,0)</f>
        <v>Week42</v>
      </c>
      <c r="F1512" s="297" t="str">
        <f t="shared" si="486"/>
        <v>Oct</v>
      </c>
      <c r="G1512" s="648" t="s">
        <v>47</v>
      </c>
      <c r="H1512" s="298" t="s">
        <v>260</v>
      </c>
      <c r="I1512" s="298" t="s">
        <v>2702</v>
      </c>
      <c r="J1512" s="307" t="s">
        <v>904</v>
      </c>
      <c r="K1512" s="300" t="s">
        <v>176</v>
      </c>
      <c r="L1512" s="300" t="s">
        <v>2167</v>
      </c>
      <c r="M1512" s="299" t="s">
        <v>262</v>
      </c>
      <c r="N1512" s="298" t="s">
        <v>350</v>
      </c>
      <c r="O1512" s="298" t="s">
        <v>351</v>
      </c>
      <c r="P1512" s="301">
        <v>24</v>
      </c>
      <c r="Q1512" s="301">
        <v>5</v>
      </c>
      <c r="R1512" s="302">
        <v>6.1999999999999998E-3</v>
      </c>
      <c r="S1512" s="298" t="s">
        <v>352</v>
      </c>
      <c r="T1512" s="298" t="s">
        <v>56</v>
      </c>
      <c r="U1512" s="298" t="s">
        <v>57</v>
      </c>
      <c r="V1512" s="303">
        <f>52</f>
        <v>52</v>
      </c>
      <c r="W1512" s="303">
        <f>3537-3485</f>
        <v>52</v>
      </c>
      <c r="X1512" s="304"/>
      <c r="Y1512" s="305">
        <f t="shared" si="490"/>
        <v>0</v>
      </c>
      <c r="Z1512" s="306">
        <f t="shared" si="491"/>
        <v>0</v>
      </c>
      <c r="AA1512" s="306"/>
      <c r="AB1512" s="814"/>
      <c r="AC1512" s="303"/>
      <c r="AD1512" s="580" t="s">
        <v>672</v>
      </c>
      <c r="AE1512" s="210"/>
      <c r="AF1512" s="210"/>
      <c r="AG1512" s="211">
        <f t="shared" si="492"/>
        <v>0.13</v>
      </c>
      <c r="AH1512" s="157">
        <f>(Z1512*AG1512)/1000</f>
        <v>0</v>
      </c>
      <c r="AI1512" s="152">
        <f t="shared" si="494"/>
        <v>1248</v>
      </c>
      <c r="AK1512" s="156" t="s">
        <v>691</v>
      </c>
      <c r="AL1512" s="574" t="s">
        <v>690</v>
      </c>
      <c r="AM1512" s="198">
        <f t="shared" si="488"/>
        <v>0</v>
      </c>
      <c r="AN1512" s="199">
        <f t="shared" si="487"/>
        <v>45581</v>
      </c>
      <c r="AO1512" s="159" t="s">
        <v>692</v>
      </c>
      <c r="AP1512" s="783" t="s">
        <v>629</v>
      </c>
      <c r="AQ1512" s="782">
        <v>12071839</v>
      </c>
      <c r="AR1512" s="782">
        <v>12078867</v>
      </c>
      <c r="AS1512" s="782">
        <v>12068233</v>
      </c>
      <c r="AT1512" s="781"/>
      <c r="AU1512" s="781"/>
      <c r="AV1512" s="782">
        <v>12062075</v>
      </c>
      <c r="AW1512" s="781"/>
      <c r="AX1512" s="781"/>
      <c r="AY1512" s="782">
        <v>12078867</v>
      </c>
      <c r="AZ1512" s="781"/>
      <c r="BA1512" s="781"/>
    </row>
    <row r="1513" spans="1:53" ht="25" hidden="1" customHeight="1">
      <c r="B1513" s="213">
        <v>45581</v>
      </c>
      <c r="C1513" s="214">
        <v>45602</v>
      </c>
      <c r="D1513" s="185">
        <f t="shared" si="485"/>
        <v>2024</v>
      </c>
      <c r="E1513" s="215" t="str">
        <f>VLOOKUP($B1513,Week!$A$1:$C$1462,2,0)</f>
        <v>Week42</v>
      </c>
      <c r="F1513" s="216" t="str">
        <f t="shared" si="486"/>
        <v>Oct</v>
      </c>
      <c r="G1513" s="215" t="s">
        <v>1717</v>
      </c>
      <c r="H1513" s="215" t="s">
        <v>134</v>
      </c>
      <c r="I1513" s="215" t="s">
        <v>2772</v>
      </c>
      <c r="J1513" s="209" t="s">
        <v>164</v>
      </c>
      <c r="K1513" s="217" t="s">
        <v>176</v>
      </c>
      <c r="L1513" s="300" t="s">
        <v>2167</v>
      </c>
      <c r="M1513" s="209" t="s">
        <v>193</v>
      </c>
      <c r="N1513" s="215" t="s">
        <v>194</v>
      </c>
      <c r="O1513" s="215" t="s">
        <v>195</v>
      </c>
      <c r="P1513" s="218">
        <v>24</v>
      </c>
      <c r="Q1513" s="218">
        <v>5</v>
      </c>
      <c r="R1513" s="219">
        <v>8.0000000000000002E-3</v>
      </c>
      <c r="S1513" s="215" t="s">
        <v>40</v>
      </c>
      <c r="T1513" s="215" t="s">
        <v>56</v>
      </c>
      <c r="U1513" s="215" t="s">
        <v>57</v>
      </c>
      <c r="V1513" s="220">
        <f>500</f>
        <v>500</v>
      </c>
      <c r="W1513" s="220">
        <f>7+493</f>
        <v>500</v>
      </c>
      <c r="X1513" s="221"/>
      <c r="Y1513" s="222">
        <f t="shared" si="490"/>
        <v>0</v>
      </c>
      <c r="Z1513" s="223">
        <f t="shared" si="491"/>
        <v>0</v>
      </c>
      <c r="AA1513" s="220"/>
      <c r="AB1513" s="807"/>
      <c r="AC1513" s="220"/>
      <c r="AD1513" s="381"/>
      <c r="AE1513" s="220"/>
      <c r="AF1513" s="220"/>
      <c r="AG1513" s="211">
        <f t="shared" si="492"/>
        <v>0.14499999999999999</v>
      </c>
      <c r="AH1513" s="157">
        <f>(Z1513*AG1513)/1000</f>
        <v>0</v>
      </c>
      <c r="AI1513" s="152">
        <f t="shared" si="494"/>
        <v>12000</v>
      </c>
      <c r="AK1513" s="156" t="s">
        <v>691</v>
      </c>
      <c r="AL1513" s="212" t="s">
        <v>690</v>
      </c>
      <c r="AM1513" s="198">
        <f t="shared" si="488"/>
        <v>0</v>
      </c>
      <c r="AN1513" s="199">
        <f t="shared" si="487"/>
        <v>45581</v>
      </c>
      <c r="AO1513" s="159" t="s">
        <v>692</v>
      </c>
      <c r="AP1513" s="783" t="s">
        <v>610</v>
      </c>
      <c r="AQ1513" s="782">
        <v>12071839</v>
      </c>
      <c r="AR1513" s="782">
        <v>12047514</v>
      </c>
      <c r="AS1513" s="782">
        <v>12047515</v>
      </c>
      <c r="AT1513" s="782"/>
      <c r="AU1513" s="782">
        <v>12026902</v>
      </c>
      <c r="AV1513" s="782">
        <v>12054724</v>
      </c>
      <c r="AW1513" s="782">
        <v>12026904</v>
      </c>
      <c r="AX1513" s="782"/>
      <c r="AY1513" s="782">
        <v>12054436</v>
      </c>
      <c r="AZ1513" s="782">
        <v>12054433</v>
      </c>
      <c r="BA1513" s="782">
        <v>12054434</v>
      </c>
    </row>
    <row r="1514" spans="1:53" ht="25" hidden="1" customHeight="1">
      <c r="B1514" s="358">
        <v>45581</v>
      </c>
      <c r="C1514" s="358">
        <v>45607</v>
      </c>
      <c r="D1514" s="185">
        <f t="shared" si="485"/>
        <v>2024</v>
      </c>
      <c r="E1514" s="358" t="str">
        <f>VLOOKUP($B1514,Week!$A$1:$C$1462,2,0)</f>
        <v>Week42</v>
      </c>
      <c r="F1514" s="360" t="str">
        <f t="shared" si="486"/>
        <v>Oct</v>
      </c>
      <c r="G1514" s="358" t="s">
        <v>1675</v>
      </c>
      <c r="H1514" s="359" t="s">
        <v>431</v>
      </c>
      <c r="I1514" s="359" t="s">
        <v>2772</v>
      </c>
      <c r="J1514" s="361" t="s">
        <v>432</v>
      </c>
      <c r="K1514" s="362" t="s">
        <v>365</v>
      </c>
      <c r="L1514" s="300" t="s">
        <v>2167</v>
      </c>
      <c r="M1514" s="361" t="s">
        <v>561</v>
      </c>
      <c r="N1514" s="359" t="s">
        <v>562</v>
      </c>
      <c r="O1514" s="359" t="s">
        <v>187</v>
      </c>
      <c r="P1514" s="363">
        <v>8</v>
      </c>
      <c r="Q1514" s="363">
        <v>4</v>
      </c>
      <c r="R1514" s="364">
        <v>7.4999999999999997E-3</v>
      </c>
      <c r="S1514" s="359" t="s">
        <v>111</v>
      </c>
      <c r="T1514" s="359" t="s">
        <v>112</v>
      </c>
      <c r="U1514" s="359" t="s">
        <v>57</v>
      </c>
      <c r="V1514" s="365">
        <f>2300</f>
        <v>2300</v>
      </c>
      <c r="W1514" s="365"/>
      <c r="X1514" s="366">
        <f>(290+17942+168)/8</f>
        <v>2300</v>
      </c>
      <c r="Y1514" s="367">
        <f t="shared" si="490"/>
        <v>0</v>
      </c>
      <c r="Z1514" s="368">
        <f t="shared" si="491"/>
        <v>0</v>
      </c>
      <c r="AA1514" s="368"/>
      <c r="AB1514" s="819"/>
      <c r="AC1514" s="365"/>
      <c r="AD1514" s="209"/>
      <c r="AE1514" s="210"/>
      <c r="AF1514" s="210"/>
      <c r="AG1514" s="211">
        <f t="shared" si="492"/>
        <v>0.14499999999999999</v>
      </c>
      <c r="AH1514" s="157">
        <f>(Z1514*AG1514)/1000</f>
        <v>0</v>
      </c>
      <c r="AI1514" s="152">
        <f t="shared" si="494"/>
        <v>18400</v>
      </c>
      <c r="AK1514" s="156" t="s">
        <v>691</v>
      </c>
      <c r="AL1514" s="212" t="s">
        <v>690</v>
      </c>
      <c r="AM1514" s="198">
        <f t="shared" si="488"/>
        <v>0</v>
      </c>
      <c r="AN1514" s="199">
        <f t="shared" si="487"/>
        <v>45581</v>
      </c>
      <c r="AO1514" s="159" t="s">
        <v>692</v>
      </c>
      <c r="AP1514" s="783" t="s">
        <v>613</v>
      </c>
      <c r="AQ1514" s="782">
        <v>12071839</v>
      </c>
      <c r="AR1514" s="782">
        <v>12047514</v>
      </c>
      <c r="AS1514" s="782">
        <v>12047515</v>
      </c>
      <c r="AT1514" s="782">
        <v>12062626</v>
      </c>
      <c r="AU1514" s="782" t="s">
        <v>563</v>
      </c>
      <c r="AV1514" s="782">
        <v>12062625</v>
      </c>
      <c r="AW1514" s="782"/>
      <c r="AX1514" s="782"/>
      <c r="AY1514" s="782"/>
      <c r="AZ1514" s="782"/>
      <c r="BA1514" s="781"/>
    </row>
    <row r="1515" spans="1:53" ht="25" hidden="1" customHeight="1">
      <c r="A1515" s="529" t="s">
        <v>1707</v>
      </c>
      <c r="B1515" s="332">
        <v>45581</v>
      </c>
      <c r="C1515" s="333">
        <v>45596</v>
      </c>
      <c r="D1515" s="185">
        <f t="shared" si="485"/>
        <v>2024</v>
      </c>
      <c r="E1515" s="333" t="str">
        <f>VLOOKUP($B1515,Week!$A$1:$C$1462,2,0)</f>
        <v>Week42</v>
      </c>
      <c r="F1515" s="334" t="str">
        <f t="shared" si="486"/>
        <v>Oct</v>
      </c>
      <c r="G1515" s="335" t="s">
        <v>1776</v>
      </c>
      <c r="H1515" s="335" t="s">
        <v>675</v>
      </c>
      <c r="I1515" s="335" t="s">
        <v>2772</v>
      </c>
      <c r="J1515" s="336" t="s">
        <v>709</v>
      </c>
      <c r="K1515" s="337" t="s">
        <v>1649</v>
      </c>
      <c r="L1515" s="300" t="s">
        <v>2167</v>
      </c>
      <c r="M1515" s="336" t="s">
        <v>603</v>
      </c>
      <c r="N1515" s="530" t="s">
        <v>711</v>
      </c>
      <c r="O1515" s="335" t="s">
        <v>602</v>
      </c>
      <c r="P1515" s="338">
        <v>8</v>
      </c>
      <c r="Q1515" s="338">
        <v>3</v>
      </c>
      <c r="R1515" s="339">
        <v>6.0000000000000001E-3</v>
      </c>
      <c r="S1515" s="335" t="s">
        <v>55</v>
      </c>
      <c r="T1515" s="335" t="s">
        <v>112</v>
      </c>
      <c r="U1515" s="340" t="s">
        <v>723</v>
      </c>
      <c r="V1515" s="341">
        <f>97</f>
        <v>97</v>
      </c>
      <c r="W1515" s="341"/>
      <c r="X1515" s="342">
        <v>97</v>
      </c>
      <c r="Y1515" s="343">
        <f t="shared" si="490"/>
        <v>0</v>
      </c>
      <c r="Z1515" s="344">
        <f t="shared" si="491"/>
        <v>0</v>
      </c>
      <c r="AA1515" s="344"/>
      <c r="AB1515" s="817"/>
      <c r="AC1515" s="341"/>
      <c r="AD1515" s="307" t="s">
        <v>1834</v>
      </c>
      <c r="AE1515" s="210"/>
      <c r="AF1515" s="210"/>
      <c r="AG1515" s="211">
        <f t="shared" si="492"/>
        <v>0.30199999999999999</v>
      </c>
      <c r="AH1515" s="157">
        <v>0.26621999999999996</v>
      </c>
      <c r="AI1515" s="152">
        <f t="shared" si="494"/>
        <v>776</v>
      </c>
      <c r="AK1515" s="156" t="s">
        <v>691</v>
      </c>
      <c r="AL1515" s="212" t="s">
        <v>690</v>
      </c>
      <c r="AM1515" s="198">
        <f t="shared" si="488"/>
        <v>0</v>
      </c>
      <c r="AN1515" s="199">
        <f t="shared" si="487"/>
        <v>45581</v>
      </c>
      <c r="AO1515" s="159" t="s">
        <v>692</v>
      </c>
      <c r="AP1515" s="781" t="s">
        <v>642</v>
      </c>
      <c r="AQ1515" s="782">
        <v>12063755</v>
      </c>
      <c r="AR1515" s="782">
        <v>12061353</v>
      </c>
      <c r="AS1515" s="782">
        <v>12061354</v>
      </c>
      <c r="AT1515" s="782">
        <v>12089985</v>
      </c>
      <c r="AU1515" s="781"/>
      <c r="AV1515" s="782">
        <v>12089988</v>
      </c>
      <c r="AW1515" s="781"/>
      <c r="AX1515" s="781"/>
      <c r="AY1515" s="781"/>
      <c r="AZ1515" s="782"/>
      <c r="BA1515" s="781"/>
    </row>
    <row r="1516" spans="1:53" ht="25" hidden="1" customHeight="1">
      <c r="B1516" s="332">
        <v>45581</v>
      </c>
      <c r="C1516" s="333">
        <v>45596</v>
      </c>
      <c r="D1516" s="185">
        <f t="shared" si="485"/>
        <v>2024</v>
      </c>
      <c r="E1516" s="333" t="str">
        <f>VLOOKUP($B1516,Week!$A$1:$C$1462,2,0)</f>
        <v>Week42</v>
      </c>
      <c r="F1516" s="334" t="str">
        <f t="shared" si="486"/>
        <v>Oct</v>
      </c>
      <c r="G1516" s="335" t="s">
        <v>1776</v>
      </c>
      <c r="H1516" s="335" t="s">
        <v>675</v>
      </c>
      <c r="I1516" s="335" t="s">
        <v>2772</v>
      </c>
      <c r="J1516" s="336" t="s">
        <v>709</v>
      </c>
      <c r="K1516" s="337" t="s">
        <v>1649</v>
      </c>
      <c r="L1516" s="300" t="s">
        <v>2167</v>
      </c>
      <c r="M1516" s="336" t="s">
        <v>603</v>
      </c>
      <c r="N1516" s="530" t="s">
        <v>711</v>
      </c>
      <c r="O1516" s="335" t="s">
        <v>602</v>
      </c>
      <c r="P1516" s="338">
        <v>8</v>
      </c>
      <c r="Q1516" s="338">
        <v>3</v>
      </c>
      <c r="R1516" s="339">
        <v>6.0000000000000001E-3</v>
      </c>
      <c r="S1516" s="335" t="s">
        <v>55</v>
      </c>
      <c r="T1516" s="335" t="s">
        <v>112</v>
      </c>
      <c r="U1516" s="340" t="s">
        <v>721</v>
      </c>
      <c r="V1516" s="341">
        <f>216-97</f>
        <v>119</v>
      </c>
      <c r="W1516" s="341"/>
      <c r="X1516" s="342">
        <f>989/8</f>
        <v>123.625</v>
      </c>
      <c r="Y1516" s="343">
        <f t="shared" si="490"/>
        <v>4.625</v>
      </c>
      <c r="Z1516" s="344">
        <f t="shared" si="491"/>
        <v>0</v>
      </c>
      <c r="AA1516" s="344"/>
      <c r="AB1516" s="817"/>
      <c r="AC1516" s="341"/>
      <c r="AD1516" s="307" t="s">
        <v>1835</v>
      </c>
      <c r="AE1516" s="210"/>
      <c r="AF1516" s="210"/>
      <c r="AG1516" s="211">
        <f t="shared" si="492"/>
        <v>0.30199999999999999</v>
      </c>
      <c r="AH1516" s="157">
        <v>0.26621999999999996</v>
      </c>
      <c r="AI1516" s="152">
        <f t="shared" si="494"/>
        <v>952</v>
      </c>
      <c r="AK1516" s="156" t="s">
        <v>691</v>
      </c>
      <c r="AL1516" s="212" t="s">
        <v>690</v>
      </c>
      <c r="AM1516" s="198">
        <f t="shared" si="488"/>
        <v>0</v>
      </c>
      <c r="AN1516" s="199">
        <f t="shared" si="487"/>
        <v>45581</v>
      </c>
      <c r="AO1516" s="159" t="s">
        <v>692</v>
      </c>
      <c r="AP1516" s="781" t="s">
        <v>642</v>
      </c>
      <c r="AQ1516" s="782">
        <v>12063755</v>
      </c>
      <c r="AR1516" s="782">
        <v>12061353</v>
      </c>
      <c r="AS1516" s="782">
        <v>12061354</v>
      </c>
      <c r="AT1516" s="782">
        <v>12089985</v>
      </c>
      <c r="AU1516" s="781"/>
      <c r="AV1516" s="782">
        <v>12089988</v>
      </c>
      <c r="AW1516" s="781"/>
      <c r="AX1516" s="781"/>
      <c r="AY1516" s="781"/>
      <c r="AZ1516" s="782"/>
      <c r="BA1516" s="781"/>
    </row>
    <row r="1517" spans="1:53" ht="25" hidden="1" customHeight="1">
      <c r="B1517" s="332">
        <v>45581</v>
      </c>
      <c r="C1517" s="333">
        <v>45621</v>
      </c>
      <c r="D1517" s="185">
        <f t="shared" si="485"/>
        <v>2024</v>
      </c>
      <c r="E1517" s="333" t="str">
        <f>VLOOKUP($B1517,Week!$A$1:$C$1462,2,0)</f>
        <v>Week42</v>
      </c>
      <c r="F1517" s="334" t="str">
        <f t="shared" si="486"/>
        <v>Oct</v>
      </c>
      <c r="G1517" s="335" t="s">
        <v>1782</v>
      </c>
      <c r="H1517" s="335" t="s">
        <v>831</v>
      </c>
      <c r="I1517" s="335" t="s">
        <v>2772</v>
      </c>
      <c r="J1517" s="336" t="s">
        <v>1130</v>
      </c>
      <c r="K1517" s="337" t="s">
        <v>1649</v>
      </c>
      <c r="L1517" s="300" t="s">
        <v>2167</v>
      </c>
      <c r="M1517" s="336" t="s">
        <v>603</v>
      </c>
      <c r="N1517" s="530" t="s">
        <v>1783</v>
      </c>
      <c r="O1517" s="335" t="s">
        <v>602</v>
      </c>
      <c r="P1517" s="338">
        <v>8</v>
      </c>
      <c r="Q1517" s="338">
        <v>3</v>
      </c>
      <c r="R1517" s="339">
        <v>6.0000000000000001E-3</v>
      </c>
      <c r="S1517" s="335" t="s">
        <v>55</v>
      </c>
      <c r="T1517" s="335" t="s">
        <v>112</v>
      </c>
      <c r="U1517" s="340" t="s">
        <v>721</v>
      </c>
      <c r="V1517" s="341">
        <f>280</f>
        <v>280</v>
      </c>
      <c r="W1517" s="341"/>
      <c r="X1517" s="342">
        <f>2445/8</f>
        <v>305.625</v>
      </c>
      <c r="Y1517" s="343">
        <f t="shared" si="490"/>
        <v>25.625</v>
      </c>
      <c r="Z1517" s="344">
        <f t="shared" si="491"/>
        <v>0</v>
      </c>
      <c r="AA1517" s="344"/>
      <c r="AB1517" s="817"/>
      <c r="AC1517" s="341"/>
      <c r="AD1517" s="307"/>
      <c r="AE1517" s="210"/>
      <c r="AF1517" s="210"/>
      <c r="AG1517" s="211">
        <f t="shared" si="492"/>
        <v>0.30199999999999999</v>
      </c>
      <c r="AH1517" s="157">
        <v>0.26621999999999996</v>
      </c>
      <c r="AI1517" s="152">
        <f t="shared" si="494"/>
        <v>2240</v>
      </c>
      <c r="AK1517" s="156" t="s">
        <v>691</v>
      </c>
      <c r="AL1517" s="212" t="s">
        <v>690</v>
      </c>
      <c r="AM1517" s="198">
        <f t="shared" si="488"/>
        <v>0</v>
      </c>
      <c r="AN1517" s="199">
        <f t="shared" si="487"/>
        <v>45581</v>
      </c>
      <c r="AO1517" s="159" t="s">
        <v>692</v>
      </c>
      <c r="AP1517" s="781" t="s">
        <v>642</v>
      </c>
      <c r="AQ1517" s="782">
        <v>12063755</v>
      </c>
      <c r="AR1517" s="782">
        <v>12061353</v>
      </c>
      <c r="AS1517" s="782">
        <v>12061354</v>
      </c>
      <c r="AT1517" s="782">
        <v>12089985</v>
      </c>
      <c r="AU1517" s="781"/>
      <c r="AV1517" s="782">
        <v>12089988</v>
      </c>
      <c r="AW1517" s="781"/>
      <c r="AX1517" s="781"/>
      <c r="AY1517" s="781"/>
      <c r="AZ1517" s="782"/>
      <c r="BA1517" s="781"/>
    </row>
    <row r="1518" spans="1:53" ht="25" hidden="1" customHeight="1">
      <c r="B1518" s="425">
        <v>45581</v>
      </c>
      <c r="C1518" s="425">
        <v>45594</v>
      </c>
      <c r="D1518" s="185">
        <f t="shared" si="485"/>
        <v>2024</v>
      </c>
      <c r="E1518" s="425" t="str">
        <f>VLOOKUP($B1518,Week!$A$1:$C$1462,2,0)</f>
        <v>Week42</v>
      </c>
      <c r="F1518" s="426" t="str">
        <f t="shared" si="486"/>
        <v>Oct</v>
      </c>
      <c r="G1518" s="427" t="s">
        <v>1780</v>
      </c>
      <c r="H1518" s="427" t="s">
        <v>600</v>
      </c>
      <c r="I1518" s="427" t="s">
        <v>2772</v>
      </c>
      <c r="J1518" s="428" t="s">
        <v>708</v>
      </c>
      <c r="K1518" s="429" t="s">
        <v>1650</v>
      </c>
      <c r="L1518" s="300" t="s">
        <v>2167</v>
      </c>
      <c r="M1518" s="428" t="s">
        <v>603</v>
      </c>
      <c r="N1518" s="427" t="s">
        <v>1256</v>
      </c>
      <c r="O1518" s="427" t="s">
        <v>659</v>
      </c>
      <c r="P1518" s="430">
        <v>12</v>
      </c>
      <c r="Q1518" s="430">
        <v>3</v>
      </c>
      <c r="R1518" s="431">
        <v>6.0000000000000001E-3</v>
      </c>
      <c r="S1518" s="427" t="s">
        <v>55</v>
      </c>
      <c r="T1518" s="427" t="s">
        <v>112</v>
      </c>
      <c r="U1518" s="632" t="s">
        <v>721</v>
      </c>
      <c r="V1518" s="432">
        <v>2520</v>
      </c>
      <c r="W1518" s="432">
        <f>33+2471</f>
        <v>2504</v>
      </c>
      <c r="X1518" s="433">
        <f>(107+85)/12</f>
        <v>16</v>
      </c>
      <c r="Y1518" s="434">
        <f t="shared" si="490"/>
        <v>0</v>
      </c>
      <c r="Z1518" s="435">
        <f t="shared" si="491"/>
        <v>0</v>
      </c>
      <c r="AA1518" s="435"/>
      <c r="AB1518" s="826"/>
      <c r="AC1518" s="432"/>
      <c r="AD1518" s="307" t="s">
        <v>1509</v>
      </c>
      <c r="AE1518" s="210"/>
      <c r="AF1518" s="210"/>
      <c r="AG1518" s="211">
        <f t="shared" si="492"/>
        <v>0.30199999999999999</v>
      </c>
      <c r="AH1518" s="157">
        <v>0.26621999999999996</v>
      </c>
      <c r="AI1518" s="152">
        <f t="shared" si="494"/>
        <v>30240</v>
      </c>
      <c r="AK1518" s="156" t="s">
        <v>691</v>
      </c>
      <c r="AL1518" s="212" t="s">
        <v>690</v>
      </c>
      <c r="AM1518" s="198">
        <f t="shared" si="488"/>
        <v>0</v>
      </c>
      <c r="AN1518" s="199">
        <f t="shared" si="487"/>
        <v>45581</v>
      </c>
      <c r="AO1518" s="159" t="s">
        <v>692</v>
      </c>
      <c r="AP1518" s="781" t="s">
        <v>642</v>
      </c>
      <c r="AQ1518" s="782">
        <v>12063755</v>
      </c>
      <c r="AR1518" s="782">
        <v>12061353</v>
      </c>
      <c r="AS1518" s="782">
        <v>12061354</v>
      </c>
      <c r="AT1518" s="782"/>
      <c r="AU1518" s="781"/>
      <c r="AV1518" s="782">
        <v>12089687</v>
      </c>
      <c r="AW1518" s="781"/>
      <c r="AX1518" s="782"/>
      <c r="AY1518" s="782">
        <v>12089688</v>
      </c>
      <c r="AZ1518" s="782">
        <v>12089686</v>
      </c>
      <c r="BA1518" s="781">
        <v>12089685</v>
      </c>
    </row>
    <row r="1519" spans="1:53" ht="25" hidden="1" customHeight="1">
      <c r="B1519" s="183">
        <v>45582</v>
      </c>
      <c r="C1519" s="184"/>
      <c r="D1519" s="185">
        <f t="shared" si="485"/>
        <v>2024</v>
      </c>
      <c r="E1519" s="185" t="str">
        <f>VLOOKUP($B1519,Week!$A$1:$C$1462,2,0)</f>
        <v>Week42</v>
      </c>
      <c r="F1519" s="186" t="str">
        <f t="shared" si="486"/>
        <v>Oct</v>
      </c>
      <c r="G1519" s="185"/>
      <c r="H1519" s="185"/>
      <c r="I1519" s="185"/>
      <c r="J1519" s="187"/>
      <c r="K1519" s="188"/>
      <c r="L1519" s="300"/>
      <c r="M1519" s="187"/>
      <c r="N1519" s="185"/>
      <c r="O1519" s="185"/>
      <c r="P1519" s="189"/>
      <c r="Q1519" s="189"/>
      <c r="R1519" s="190"/>
      <c r="S1519" s="185"/>
      <c r="T1519" s="185"/>
      <c r="U1519" s="185"/>
      <c r="V1519" s="191"/>
      <c r="W1519" s="191"/>
      <c r="X1519" s="192"/>
      <c r="Y1519" s="193"/>
      <c r="Z1519" s="194"/>
      <c r="AA1519" s="194"/>
      <c r="AB1519" s="805"/>
      <c r="AC1519" s="191"/>
      <c r="AD1519" s="187"/>
      <c r="AE1519" s="195"/>
      <c r="AF1519" s="195"/>
      <c r="AG1519" s="196"/>
      <c r="AH1519" s="197"/>
      <c r="AK1519" s="156" t="s">
        <v>691</v>
      </c>
      <c r="AM1519" s="198">
        <f t="shared" si="488"/>
        <v>0</v>
      </c>
      <c r="AN1519" s="199">
        <f t="shared" si="487"/>
        <v>45582</v>
      </c>
      <c r="AO1519" s="159" t="s">
        <v>692</v>
      </c>
      <c r="AP1519" s="781"/>
      <c r="AQ1519" s="782"/>
      <c r="AR1519" s="782"/>
      <c r="AS1519" s="782"/>
      <c r="AT1519" s="782"/>
      <c r="AU1519" s="781"/>
      <c r="AV1519" s="782"/>
      <c r="AW1519" s="782"/>
      <c r="AX1519" s="782"/>
      <c r="AY1519" s="782"/>
      <c r="AZ1519" s="782"/>
      <c r="BA1519" s="781"/>
    </row>
    <row r="1520" spans="1:53" ht="25" hidden="1" customHeight="1">
      <c r="B1520" s="213">
        <v>45583</v>
      </c>
      <c r="C1520" s="578">
        <v>45597</v>
      </c>
      <c r="D1520" s="185">
        <f t="shared" si="485"/>
        <v>2024</v>
      </c>
      <c r="E1520" s="215" t="str">
        <f>VLOOKUP($B1520,Week!$A$1:$C$1462,2,0)</f>
        <v>Week42</v>
      </c>
      <c r="F1520" s="216" t="str">
        <f t="shared" si="486"/>
        <v>Oct</v>
      </c>
      <c r="G1520" s="215" t="s">
        <v>1661</v>
      </c>
      <c r="H1520" s="215" t="s">
        <v>104</v>
      </c>
      <c r="I1520" s="215" t="s">
        <v>2772</v>
      </c>
      <c r="J1520" s="209" t="s">
        <v>105</v>
      </c>
      <c r="K1520" s="217" t="s">
        <v>107</v>
      </c>
      <c r="L1520" s="300" t="s">
        <v>2167</v>
      </c>
      <c r="M1520" s="209" t="s">
        <v>108</v>
      </c>
      <c r="N1520" s="215" t="s">
        <v>109</v>
      </c>
      <c r="O1520" s="215" t="s">
        <v>110</v>
      </c>
      <c r="P1520" s="218">
        <v>36</v>
      </c>
      <c r="Q1520" s="218">
        <v>5</v>
      </c>
      <c r="R1520" s="219">
        <v>7.4999999999999997E-3</v>
      </c>
      <c r="S1520" s="215" t="s">
        <v>111</v>
      </c>
      <c r="T1520" s="215" t="s">
        <v>112</v>
      </c>
      <c r="U1520" s="215" t="s">
        <v>113</v>
      </c>
      <c r="V1520" s="220">
        <f>792-151</f>
        <v>641</v>
      </c>
      <c r="W1520" s="220">
        <f>481</f>
        <v>481</v>
      </c>
      <c r="X1520" s="221">
        <v>160</v>
      </c>
      <c r="Y1520" s="222">
        <f t="shared" ref="Y1520:Y1530" si="495">(W1520+X1520)-V1520</f>
        <v>0</v>
      </c>
      <c r="Z1520" s="223">
        <f t="shared" ref="Z1520:Z1530" si="496">IF(Y1520&lt;0,((V1520*P1520)-((W1520+X1520)*P1520)),0)</f>
        <v>0</v>
      </c>
      <c r="AA1520" s="223"/>
      <c r="AB1520" s="807"/>
      <c r="AC1520" s="220"/>
      <c r="AD1520" s="209"/>
      <c r="AE1520" s="210"/>
      <c r="AF1520" s="210"/>
      <c r="AG1520" s="211">
        <f t="shared" ref="AG1520:AG1526" si="497">MID(O1520,1,3)/1000</f>
        <v>0.308</v>
      </c>
      <c r="AH1520" s="157">
        <f t="shared" ref="AH1520:AH1530" si="498">(Z1520*AG1520)/1000</f>
        <v>0</v>
      </c>
      <c r="AI1520" s="152">
        <f t="shared" ref="AI1520:AI1526" si="499">V1520*P1520</f>
        <v>23076</v>
      </c>
      <c r="AK1520" s="156" t="s">
        <v>691</v>
      </c>
      <c r="AL1520" s="574" t="s">
        <v>690</v>
      </c>
      <c r="AM1520" s="198">
        <f t="shared" si="488"/>
        <v>0</v>
      </c>
      <c r="AN1520" s="199">
        <f t="shared" si="487"/>
        <v>45583</v>
      </c>
      <c r="AO1520" s="159" t="s">
        <v>692</v>
      </c>
      <c r="AP1520" s="781"/>
      <c r="AQ1520" s="782">
        <v>12063755</v>
      </c>
      <c r="AR1520" s="782">
        <v>12061353</v>
      </c>
      <c r="AS1520" s="782">
        <v>12061354</v>
      </c>
      <c r="AT1520" s="782">
        <v>12068566</v>
      </c>
      <c r="AU1520" s="781"/>
      <c r="AV1520" s="782">
        <v>12088206</v>
      </c>
      <c r="AW1520" s="782">
        <v>12088207</v>
      </c>
      <c r="AX1520" s="782"/>
      <c r="AY1520" s="782">
        <v>12068565</v>
      </c>
      <c r="AZ1520" s="782"/>
      <c r="BA1520" s="781"/>
    </row>
    <row r="1521" spans="1:53" ht="25" hidden="1" customHeight="1">
      <c r="B1521" s="213">
        <v>45583</v>
      </c>
      <c r="C1521" s="578">
        <v>45597</v>
      </c>
      <c r="D1521" s="185">
        <f t="shared" si="485"/>
        <v>2024</v>
      </c>
      <c r="E1521" s="215" t="str">
        <f>VLOOKUP($B1521,Week!$A$1:$C$1462,2,0)</f>
        <v>Week42</v>
      </c>
      <c r="F1521" s="216" t="str">
        <f t="shared" si="486"/>
        <v>Oct</v>
      </c>
      <c r="G1521" s="215" t="s">
        <v>1662</v>
      </c>
      <c r="H1521" s="215" t="s">
        <v>104</v>
      </c>
      <c r="I1521" s="215" t="s">
        <v>2772</v>
      </c>
      <c r="J1521" s="209" t="s">
        <v>105</v>
      </c>
      <c r="K1521" s="217" t="s">
        <v>107</v>
      </c>
      <c r="L1521" s="300" t="s">
        <v>2167</v>
      </c>
      <c r="M1521" s="209" t="s">
        <v>108</v>
      </c>
      <c r="N1521" s="215" t="s">
        <v>109</v>
      </c>
      <c r="O1521" s="215" t="s">
        <v>110</v>
      </c>
      <c r="P1521" s="218">
        <v>36</v>
      </c>
      <c r="Q1521" s="218">
        <v>5</v>
      </c>
      <c r="R1521" s="219">
        <v>7.4999999999999997E-3</v>
      </c>
      <c r="S1521" s="215" t="s">
        <v>111</v>
      </c>
      <c r="T1521" s="215" t="s">
        <v>112</v>
      </c>
      <c r="U1521" s="215" t="s">
        <v>113</v>
      </c>
      <c r="V1521" s="220">
        <v>792</v>
      </c>
      <c r="W1521" s="220">
        <f>632</f>
        <v>632</v>
      </c>
      <c r="X1521" s="221">
        <v>160</v>
      </c>
      <c r="Y1521" s="222">
        <f t="shared" si="495"/>
        <v>0</v>
      </c>
      <c r="Z1521" s="223">
        <f t="shared" si="496"/>
        <v>0</v>
      </c>
      <c r="AA1521" s="223"/>
      <c r="AB1521" s="807"/>
      <c r="AC1521" s="220"/>
      <c r="AD1521" s="209"/>
      <c r="AE1521" s="210"/>
      <c r="AF1521" s="210"/>
      <c r="AG1521" s="211">
        <f t="shared" si="497"/>
        <v>0.308</v>
      </c>
      <c r="AH1521" s="157">
        <f t="shared" si="498"/>
        <v>0</v>
      </c>
      <c r="AI1521" s="152">
        <f t="shared" si="499"/>
        <v>28512</v>
      </c>
      <c r="AK1521" s="156" t="s">
        <v>691</v>
      </c>
      <c r="AL1521" s="574" t="s">
        <v>690</v>
      </c>
      <c r="AM1521" s="198">
        <f t="shared" si="488"/>
        <v>0</v>
      </c>
      <c r="AN1521" s="199">
        <f t="shared" si="487"/>
        <v>45583</v>
      </c>
      <c r="AO1521" s="159" t="s">
        <v>692</v>
      </c>
      <c r="AP1521" s="781"/>
      <c r="AQ1521" s="782">
        <v>12063755</v>
      </c>
      <c r="AR1521" s="782">
        <v>12061353</v>
      </c>
      <c r="AS1521" s="782">
        <v>12061354</v>
      </c>
      <c r="AT1521" s="782">
        <v>12068566</v>
      </c>
      <c r="AU1521" s="781"/>
      <c r="AV1521" s="782">
        <v>12088206</v>
      </c>
      <c r="AW1521" s="782">
        <v>12088207</v>
      </c>
      <c r="AX1521" s="782"/>
      <c r="AY1521" s="782">
        <v>12068565</v>
      </c>
      <c r="AZ1521" s="782"/>
      <c r="BA1521" s="781"/>
    </row>
    <row r="1522" spans="1:53" ht="25" hidden="1" customHeight="1">
      <c r="B1522" s="213">
        <v>45583</v>
      </c>
      <c r="C1522" s="578">
        <v>45597</v>
      </c>
      <c r="D1522" s="185">
        <f t="shared" si="485"/>
        <v>2024</v>
      </c>
      <c r="E1522" s="215" t="str">
        <f>VLOOKUP($B1522,Week!$A$1:$C$1462,2,0)</f>
        <v>Week42</v>
      </c>
      <c r="F1522" s="216" t="str">
        <f t="shared" si="486"/>
        <v>Oct</v>
      </c>
      <c r="G1522" s="215" t="s">
        <v>1663</v>
      </c>
      <c r="H1522" s="215" t="s">
        <v>104</v>
      </c>
      <c r="I1522" s="215" t="s">
        <v>2772</v>
      </c>
      <c r="J1522" s="209" t="s">
        <v>105</v>
      </c>
      <c r="K1522" s="217" t="s">
        <v>107</v>
      </c>
      <c r="L1522" s="300" t="s">
        <v>2167</v>
      </c>
      <c r="M1522" s="209" t="s">
        <v>108</v>
      </c>
      <c r="N1522" s="215" t="s">
        <v>109</v>
      </c>
      <c r="O1522" s="215" t="s">
        <v>110</v>
      </c>
      <c r="P1522" s="218">
        <v>36</v>
      </c>
      <c r="Q1522" s="218">
        <v>5</v>
      </c>
      <c r="R1522" s="219">
        <v>7.4999999999999997E-3</v>
      </c>
      <c r="S1522" s="215" t="s">
        <v>111</v>
      </c>
      <c r="T1522" s="215" t="s">
        <v>112</v>
      </c>
      <c r="U1522" s="215" t="s">
        <v>113</v>
      </c>
      <c r="V1522" s="220">
        <v>792</v>
      </c>
      <c r="W1522" s="220">
        <v>792</v>
      </c>
      <c r="X1522" s="221"/>
      <c r="Y1522" s="222">
        <f t="shared" si="495"/>
        <v>0</v>
      </c>
      <c r="Z1522" s="223">
        <f t="shared" si="496"/>
        <v>0</v>
      </c>
      <c r="AA1522" s="223"/>
      <c r="AB1522" s="807"/>
      <c r="AC1522" s="220"/>
      <c r="AD1522" s="209"/>
      <c r="AE1522" s="210"/>
      <c r="AF1522" s="210"/>
      <c r="AG1522" s="211">
        <f t="shared" si="497"/>
        <v>0.308</v>
      </c>
      <c r="AH1522" s="157">
        <f t="shared" si="498"/>
        <v>0</v>
      </c>
      <c r="AI1522" s="152">
        <f t="shared" si="499"/>
        <v>28512</v>
      </c>
      <c r="AK1522" s="156" t="s">
        <v>691</v>
      </c>
      <c r="AL1522" s="574" t="s">
        <v>690</v>
      </c>
      <c r="AM1522" s="198">
        <f t="shared" si="488"/>
        <v>0</v>
      </c>
      <c r="AN1522" s="199">
        <f t="shared" si="487"/>
        <v>45583</v>
      </c>
      <c r="AO1522" s="159" t="s">
        <v>692</v>
      </c>
      <c r="AP1522" s="781"/>
      <c r="AQ1522" s="782">
        <v>12063755</v>
      </c>
      <c r="AR1522" s="782">
        <v>12061353</v>
      </c>
      <c r="AS1522" s="782">
        <v>12061354</v>
      </c>
      <c r="AT1522" s="782">
        <v>12068566</v>
      </c>
      <c r="AU1522" s="781"/>
      <c r="AV1522" s="782">
        <v>12088206</v>
      </c>
      <c r="AW1522" s="782">
        <v>12088207</v>
      </c>
      <c r="AX1522" s="782"/>
      <c r="AY1522" s="782">
        <v>12068565</v>
      </c>
      <c r="AZ1522" s="782"/>
      <c r="BA1522" s="781"/>
    </row>
    <row r="1523" spans="1:53" ht="25" hidden="1" customHeight="1">
      <c r="B1523" s="213">
        <v>45583</v>
      </c>
      <c r="C1523" s="578">
        <v>45597</v>
      </c>
      <c r="D1523" s="185">
        <f t="shared" si="485"/>
        <v>2024</v>
      </c>
      <c r="E1523" s="215" t="str">
        <f>VLOOKUP($B1523,Week!$A$1:$C$1462,2,0)</f>
        <v>Week42</v>
      </c>
      <c r="F1523" s="216" t="str">
        <f t="shared" si="486"/>
        <v>Oct</v>
      </c>
      <c r="G1523" s="215" t="s">
        <v>1664</v>
      </c>
      <c r="H1523" s="215" t="s">
        <v>104</v>
      </c>
      <c r="I1523" s="215" t="s">
        <v>2772</v>
      </c>
      <c r="J1523" s="209" t="s">
        <v>105</v>
      </c>
      <c r="K1523" s="217" t="s">
        <v>107</v>
      </c>
      <c r="L1523" s="300" t="s">
        <v>2167</v>
      </c>
      <c r="M1523" s="209" t="s">
        <v>108</v>
      </c>
      <c r="N1523" s="215" t="s">
        <v>109</v>
      </c>
      <c r="O1523" s="215" t="s">
        <v>110</v>
      </c>
      <c r="P1523" s="218">
        <v>36</v>
      </c>
      <c r="Q1523" s="218">
        <v>5</v>
      </c>
      <c r="R1523" s="219">
        <v>7.4999999999999997E-3</v>
      </c>
      <c r="S1523" s="215" t="s">
        <v>111</v>
      </c>
      <c r="T1523" s="215" t="s">
        <v>112</v>
      </c>
      <c r="U1523" s="215" t="s">
        <v>113</v>
      </c>
      <c r="V1523" s="220">
        <v>792</v>
      </c>
      <c r="W1523" s="220">
        <v>632</v>
      </c>
      <c r="X1523" s="221">
        <v>160</v>
      </c>
      <c r="Y1523" s="222">
        <f t="shared" si="495"/>
        <v>0</v>
      </c>
      <c r="Z1523" s="223">
        <f t="shared" si="496"/>
        <v>0</v>
      </c>
      <c r="AA1523" s="223"/>
      <c r="AB1523" s="807"/>
      <c r="AC1523" s="220"/>
      <c r="AD1523" s="209"/>
      <c r="AE1523" s="210"/>
      <c r="AF1523" s="210"/>
      <c r="AG1523" s="211">
        <f t="shared" si="497"/>
        <v>0.308</v>
      </c>
      <c r="AH1523" s="157">
        <f t="shared" si="498"/>
        <v>0</v>
      </c>
      <c r="AI1523" s="152">
        <f t="shared" si="499"/>
        <v>28512</v>
      </c>
      <c r="AK1523" s="156" t="s">
        <v>691</v>
      </c>
      <c r="AL1523" s="574" t="s">
        <v>690</v>
      </c>
      <c r="AM1523" s="198">
        <f t="shared" ref="AM1523:AM1548" si="500">AG1523*Z1523</f>
        <v>0</v>
      </c>
      <c r="AN1523" s="199">
        <f t="shared" si="487"/>
        <v>45583</v>
      </c>
      <c r="AO1523" s="159" t="s">
        <v>692</v>
      </c>
      <c r="AP1523" s="781"/>
      <c r="AQ1523" s="782">
        <v>12063755</v>
      </c>
      <c r="AR1523" s="782">
        <v>12061353</v>
      </c>
      <c r="AS1523" s="782">
        <v>12061354</v>
      </c>
      <c r="AT1523" s="782">
        <v>12068566</v>
      </c>
      <c r="AU1523" s="781"/>
      <c r="AV1523" s="782">
        <v>12088206</v>
      </c>
      <c r="AW1523" s="782">
        <v>12088207</v>
      </c>
      <c r="AX1523" s="782"/>
      <c r="AY1523" s="782">
        <v>12068565</v>
      </c>
      <c r="AZ1523" s="782"/>
      <c r="BA1523" s="781"/>
    </row>
    <row r="1524" spans="1:53" ht="25" hidden="1" customHeight="1">
      <c r="B1524" s="213">
        <v>45583</v>
      </c>
      <c r="C1524" s="578">
        <v>45600</v>
      </c>
      <c r="D1524" s="185">
        <f t="shared" si="485"/>
        <v>2024</v>
      </c>
      <c r="E1524" s="215" t="str">
        <f>VLOOKUP($B1524,Week!$A$1:$C$1462,2,0)</f>
        <v>Week42</v>
      </c>
      <c r="F1524" s="216" t="str">
        <f t="shared" si="486"/>
        <v>Oct</v>
      </c>
      <c r="G1524" s="215" t="s">
        <v>1665</v>
      </c>
      <c r="H1524" s="215" t="s">
        <v>104</v>
      </c>
      <c r="I1524" s="215" t="s">
        <v>2772</v>
      </c>
      <c r="J1524" s="209" t="s">
        <v>105</v>
      </c>
      <c r="K1524" s="217" t="s">
        <v>107</v>
      </c>
      <c r="L1524" s="300" t="s">
        <v>2167</v>
      </c>
      <c r="M1524" s="209" t="s">
        <v>108</v>
      </c>
      <c r="N1524" s="215" t="s">
        <v>109</v>
      </c>
      <c r="O1524" s="215" t="s">
        <v>110</v>
      </c>
      <c r="P1524" s="218">
        <v>36</v>
      </c>
      <c r="Q1524" s="218">
        <v>5</v>
      </c>
      <c r="R1524" s="219">
        <v>7.4999999999999997E-3</v>
      </c>
      <c r="S1524" s="215" t="s">
        <v>111</v>
      </c>
      <c r="T1524" s="215" t="s">
        <v>112</v>
      </c>
      <c r="U1524" s="215" t="s">
        <v>113</v>
      </c>
      <c r="V1524" s="220">
        <v>792</v>
      </c>
      <c r="W1524" s="220">
        <v>792</v>
      </c>
      <c r="X1524" s="221"/>
      <c r="Y1524" s="222">
        <f t="shared" si="495"/>
        <v>0</v>
      </c>
      <c r="Z1524" s="223">
        <f t="shared" si="496"/>
        <v>0</v>
      </c>
      <c r="AA1524" s="223"/>
      <c r="AB1524" s="807"/>
      <c r="AC1524" s="220"/>
      <c r="AD1524" s="209"/>
      <c r="AE1524" s="210"/>
      <c r="AF1524" s="210"/>
      <c r="AG1524" s="211">
        <f t="shared" si="497"/>
        <v>0.308</v>
      </c>
      <c r="AH1524" s="157">
        <f t="shared" si="498"/>
        <v>0</v>
      </c>
      <c r="AI1524" s="152">
        <f t="shared" si="499"/>
        <v>28512</v>
      </c>
      <c r="AK1524" s="156" t="s">
        <v>691</v>
      </c>
      <c r="AL1524" s="574" t="s">
        <v>690</v>
      </c>
      <c r="AM1524" s="198">
        <f t="shared" si="500"/>
        <v>0</v>
      </c>
      <c r="AN1524" s="199">
        <f t="shared" si="487"/>
        <v>45583</v>
      </c>
      <c r="AO1524" s="159" t="s">
        <v>692</v>
      </c>
      <c r="AP1524" s="781"/>
      <c r="AQ1524" s="782">
        <v>12063755</v>
      </c>
      <c r="AR1524" s="782">
        <v>12061353</v>
      </c>
      <c r="AS1524" s="782">
        <v>12061354</v>
      </c>
      <c r="AT1524" s="782">
        <v>12068566</v>
      </c>
      <c r="AU1524" s="781"/>
      <c r="AV1524" s="782">
        <v>12088206</v>
      </c>
      <c r="AW1524" s="782">
        <v>12088207</v>
      </c>
      <c r="AX1524" s="782"/>
      <c r="AY1524" s="782">
        <v>12068565</v>
      </c>
      <c r="AZ1524" s="782"/>
      <c r="BA1524" s="781"/>
    </row>
    <row r="1525" spans="1:53" ht="25" hidden="1" customHeight="1">
      <c r="B1525" s="213">
        <v>45583</v>
      </c>
      <c r="C1525" s="578">
        <v>45600</v>
      </c>
      <c r="D1525" s="185">
        <f t="shared" si="485"/>
        <v>2024</v>
      </c>
      <c r="E1525" s="215" t="str">
        <f>VLOOKUP($B1525,Week!$A$1:$C$1462,2,0)</f>
        <v>Week42</v>
      </c>
      <c r="F1525" s="216" t="str">
        <f t="shared" si="486"/>
        <v>Oct</v>
      </c>
      <c r="G1525" s="215" t="s">
        <v>1666</v>
      </c>
      <c r="H1525" s="215" t="s">
        <v>104</v>
      </c>
      <c r="I1525" s="215" t="s">
        <v>2772</v>
      </c>
      <c r="J1525" s="209" t="s">
        <v>105</v>
      </c>
      <c r="K1525" s="217" t="s">
        <v>107</v>
      </c>
      <c r="L1525" s="300" t="s">
        <v>2167</v>
      </c>
      <c r="M1525" s="209" t="s">
        <v>108</v>
      </c>
      <c r="N1525" s="215" t="s">
        <v>109</v>
      </c>
      <c r="O1525" s="215" t="s">
        <v>110</v>
      </c>
      <c r="P1525" s="218">
        <v>36</v>
      </c>
      <c r="Q1525" s="218">
        <v>5</v>
      </c>
      <c r="R1525" s="219">
        <v>7.4999999999999997E-3</v>
      </c>
      <c r="S1525" s="215" t="s">
        <v>111</v>
      </c>
      <c r="T1525" s="215" t="s">
        <v>112</v>
      </c>
      <c r="U1525" s="215" t="s">
        <v>113</v>
      </c>
      <c r="V1525" s="220">
        <f>784</f>
        <v>784</v>
      </c>
      <c r="W1525" s="220">
        <f>3909-481-632-797-632-792+60</f>
        <v>635</v>
      </c>
      <c r="X1525" s="221">
        <f>586-160-160-160+43</f>
        <v>149</v>
      </c>
      <c r="Y1525" s="222">
        <f t="shared" si="495"/>
        <v>0</v>
      </c>
      <c r="Z1525" s="223">
        <f t="shared" si="496"/>
        <v>0</v>
      </c>
      <c r="AA1525" s="223"/>
      <c r="AB1525" s="807"/>
      <c r="AC1525" s="220"/>
      <c r="AD1525" s="209"/>
      <c r="AE1525" s="210"/>
      <c r="AF1525" s="210"/>
      <c r="AG1525" s="211">
        <f t="shared" si="497"/>
        <v>0.308</v>
      </c>
      <c r="AH1525" s="157">
        <f t="shared" si="498"/>
        <v>0</v>
      </c>
      <c r="AI1525" s="152">
        <f t="shared" si="499"/>
        <v>28224</v>
      </c>
      <c r="AK1525" s="156" t="s">
        <v>691</v>
      </c>
      <c r="AL1525" s="574" t="s">
        <v>690</v>
      </c>
      <c r="AM1525" s="198">
        <f t="shared" si="500"/>
        <v>0</v>
      </c>
      <c r="AN1525" s="199">
        <f t="shared" si="487"/>
        <v>45583</v>
      </c>
      <c r="AO1525" s="159" t="s">
        <v>692</v>
      </c>
      <c r="AP1525" s="781"/>
      <c r="AQ1525" s="782">
        <v>12063755</v>
      </c>
      <c r="AR1525" s="782">
        <v>12061353</v>
      </c>
      <c r="AS1525" s="782">
        <v>12061354</v>
      </c>
      <c r="AT1525" s="782">
        <v>12068566</v>
      </c>
      <c r="AU1525" s="781"/>
      <c r="AV1525" s="782">
        <v>12088206</v>
      </c>
      <c r="AW1525" s="782">
        <v>12088207</v>
      </c>
      <c r="AX1525" s="782"/>
      <c r="AY1525" s="782">
        <v>12068565</v>
      </c>
      <c r="AZ1525" s="782"/>
      <c r="BA1525" s="781"/>
    </row>
    <row r="1526" spans="1:53" ht="25" hidden="1" customHeight="1">
      <c r="A1526" s="440"/>
      <c r="B1526" s="583">
        <v>45584</v>
      </c>
      <c r="C1526" s="583">
        <v>45602</v>
      </c>
      <c r="D1526" s="185">
        <f t="shared" si="485"/>
        <v>2024</v>
      </c>
      <c r="E1526" s="584" t="str">
        <f>VLOOKUP($B1526,Week!$A$1:$C$1462,2,0)</f>
        <v>Week42</v>
      </c>
      <c r="F1526" s="585" t="str">
        <f t="shared" si="486"/>
        <v>Oct</v>
      </c>
      <c r="G1526" s="586" t="s">
        <v>1638</v>
      </c>
      <c r="H1526" s="586" t="s">
        <v>134</v>
      </c>
      <c r="I1526" s="586" t="s">
        <v>2772</v>
      </c>
      <c r="J1526" s="587" t="s">
        <v>164</v>
      </c>
      <c r="K1526" s="588" t="s">
        <v>707</v>
      </c>
      <c r="L1526" s="300" t="s">
        <v>2167</v>
      </c>
      <c r="M1526" s="587" t="s">
        <v>1636</v>
      </c>
      <c r="N1526" s="586" t="s">
        <v>1634</v>
      </c>
      <c r="O1526" s="586" t="s">
        <v>1635</v>
      </c>
      <c r="P1526" s="589">
        <v>24</v>
      </c>
      <c r="Q1526" s="589">
        <v>3</v>
      </c>
      <c r="R1526" s="590">
        <v>8.0000000000000002E-3</v>
      </c>
      <c r="S1526" s="586" t="s">
        <v>40</v>
      </c>
      <c r="T1526" s="586" t="s">
        <v>112</v>
      </c>
      <c r="U1526" s="591" t="s">
        <v>1633</v>
      </c>
      <c r="V1526" s="592">
        <f>420</f>
        <v>420</v>
      </c>
      <c r="W1526" s="592">
        <f>3+417</f>
        <v>420</v>
      </c>
      <c r="X1526" s="593"/>
      <c r="Y1526" s="594">
        <f t="shared" si="495"/>
        <v>0</v>
      </c>
      <c r="Z1526" s="595">
        <f t="shared" si="496"/>
        <v>0</v>
      </c>
      <c r="AA1526" s="595"/>
      <c r="AB1526" s="835"/>
      <c r="AC1526" s="592"/>
      <c r="AD1526" s="443"/>
      <c r="AE1526" s="210"/>
      <c r="AF1526" s="210"/>
      <c r="AG1526" s="211">
        <f t="shared" si="497"/>
        <v>0.25</v>
      </c>
      <c r="AH1526" s="157">
        <f t="shared" si="498"/>
        <v>0</v>
      </c>
      <c r="AI1526" s="152">
        <f t="shared" si="499"/>
        <v>10080</v>
      </c>
      <c r="AK1526" s="156" t="s">
        <v>691</v>
      </c>
      <c r="AL1526" s="212" t="s">
        <v>690</v>
      </c>
      <c r="AM1526" s="198">
        <f t="shared" si="500"/>
        <v>0</v>
      </c>
      <c r="AN1526" s="199">
        <f t="shared" si="487"/>
        <v>45584</v>
      </c>
      <c r="AO1526" s="159" t="s">
        <v>692</v>
      </c>
      <c r="AP1526" s="781"/>
      <c r="AQ1526" s="782">
        <v>12071839</v>
      </c>
      <c r="AR1526" s="782">
        <v>12042650</v>
      </c>
      <c r="AS1526" s="782">
        <v>12042649</v>
      </c>
      <c r="AT1526" s="782"/>
      <c r="AU1526" s="781"/>
      <c r="AV1526" s="782">
        <v>12073316</v>
      </c>
      <c r="AW1526" s="782"/>
      <c r="AX1526" s="782"/>
      <c r="AY1526" s="782">
        <v>12073342</v>
      </c>
      <c r="AZ1526" s="782">
        <v>12073344</v>
      </c>
      <c r="BA1526" s="782">
        <v>12073343</v>
      </c>
    </row>
    <row r="1527" spans="1:53" ht="24.65" hidden="1" customHeight="1">
      <c r="B1527" s="283">
        <v>45584</v>
      </c>
      <c r="C1527" s="284">
        <v>45600</v>
      </c>
      <c r="D1527" s="185">
        <f t="shared" si="485"/>
        <v>2024</v>
      </c>
      <c r="E1527" s="284" t="str">
        <f>VLOOKUP($B1527,Week!$A$1:$C$1462,2,0)</f>
        <v>Week42</v>
      </c>
      <c r="F1527" s="285" t="str">
        <f t="shared" si="486"/>
        <v>Oct</v>
      </c>
      <c r="G1527" s="631" t="s">
        <v>1458</v>
      </c>
      <c r="H1527" s="624" t="s">
        <v>104</v>
      </c>
      <c r="I1527" s="624" t="s">
        <v>2772</v>
      </c>
      <c r="J1527" s="625" t="s">
        <v>105</v>
      </c>
      <c r="K1527" s="288" t="s">
        <v>51</v>
      </c>
      <c r="L1527" s="300" t="s">
        <v>2167</v>
      </c>
      <c r="M1527" s="287" t="s">
        <v>595</v>
      </c>
      <c r="N1527" s="286" t="s">
        <v>597</v>
      </c>
      <c r="O1527" s="286" t="s">
        <v>187</v>
      </c>
      <c r="P1527" s="289">
        <v>8</v>
      </c>
      <c r="Q1527" s="289">
        <v>5</v>
      </c>
      <c r="R1527" s="290">
        <v>6.0000000000000001E-3</v>
      </c>
      <c r="S1527" s="286" t="s">
        <v>55</v>
      </c>
      <c r="T1527" s="286" t="s">
        <v>112</v>
      </c>
      <c r="U1527" s="286" t="s">
        <v>57</v>
      </c>
      <c r="V1527" s="291">
        <f>2700-1200</f>
        <v>1500</v>
      </c>
      <c r="W1527" s="291"/>
      <c r="X1527" s="292">
        <f>(2469+9531)/8</f>
        <v>1500</v>
      </c>
      <c r="Y1527" s="293">
        <f t="shared" si="495"/>
        <v>0</v>
      </c>
      <c r="Z1527" s="294">
        <f t="shared" si="496"/>
        <v>0</v>
      </c>
      <c r="AA1527" s="294"/>
      <c r="AB1527" s="813"/>
      <c r="AC1527" s="291"/>
      <c r="AD1527" s="486"/>
      <c r="AE1527" s="210"/>
      <c r="AF1527" s="210"/>
      <c r="AG1527" s="211">
        <v>0.14499999999999999</v>
      </c>
      <c r="AH1527" s="157">
        <f t="shared" si="498"/>
        <v>0</v>
      </c>
      <c r="AI1527" s="152">
        <v>19800</v>
      </c>
      <c r="AK1527" s="156" t="s">
        <v>691</v>
      </c>
      <c r="AL1527" s="212" t="s">
        <v>690</v>
      </c>
      <c r="AM1527" s="198">
        <f t="shared" si="500"/>
        <v>0</v>
      </c>
      <c r="AN1527" s="199">
        <f t="shared" si="487"/>
        <v>45584</v>
      </c>
      <c r="AO1527" s="159" t="s">
        <v>692</v>
      </c>
      <c r="AP1527" s="781"/>
      <c r="AQ1527" s="782">
        <v>12071839</v>
      </c>
      <c r="AR1527" s="782">
        <v>12047514</v>
      </c>
      <c r="AS1527" s="782">
        <v>12047515</v>
      </c>
      <c r="AT1527" s="782">
        <v>12083107</v>
      </c>
      <c r="AU1527" s="781"/>
      <c r="AV1527" s="782">
        <v>12084002</v>
      </c>
      <c r="AW1527" s="782"/>
      <c r="AX1527" s="782"/>
      <c r="AY1527" s="782"/>
      <c r="AZ1527" s="782"/>
      <c r="BA1527" s="781"/>
    </row>
    <row r="1528" spans="1:53" ht="24.65" hidden="1" customHeight="1">
      <c r="B1528" s="283">
        <v>45584</v>
      </c>
      <c r="C1528" s="284">
        <v>45615</v>
      </c>
      <c r="D1528" s="185">
        <f t="shared" si="485"/>
        <v>2024</v>
      </c>
      <c r="E1528" s="284" t="str">
        <f>VLOOKUP($B1528,Week!$A$1:$C$1462,2,0)</f>
        <v>Week42</v>
      </c>
      <c r="F1528" s="285" t="str">
        <f t="shared" si="486"/>
        <v>Oct</v>
      </c>
      <c r="G1528" s="631" t="s">
        <v>1829</v>
      </c>
      <c r="H1528" s="624" t="s">
        <v>104</v>
      </c>
      <c r="I1528" s="624" t="s">
        <v>2772</v>
      </c>
      <c r="J1528" s="625" t="s">
        <v>105</v>
      </c>
      <c r="K1528" s="288" t="s">
        <v>51</v>
      </c>
      <c r="L1528" s="300" t="s">
        <v>2167</v>
      </c>
      <c r="M1528" s="287" t="s">
        <v>595</v>
      </c>
      <c r="N1528" s="286" t="s">
        <v>597</v>
      </c>
      <c r="O1528" s="286" t="s">
        <v>187</v>
      </c>
      <c r="P1528" s="289">
        <v>8</v>
      </c>
      <c r="Q1528" s="289">
        <v>5</v>
      </c>
      <c r="R1528" s="290">
        <v>6.0000000000000001E-3</v>
      </c>
      <c r="S1528" s="286" t="s">
        <v>55</v>
      </c>
      <c r="T1528" s="286" t="s">
        <v>112</v>
      </c>
      <c r="U1528" s="286" t="s">
        <v>57</v>
      </c>
      <c r="V1528" s="291">
        <f>400</f>
        <v>400</v>
      </c>
      <c r="W1528" s="291"/>
      <c r="X1528" s="292">
        <f>400</f>
        <v>400</v>
      </c>
      <c r="Y1528" s="293">
        <f t="shared" si="495"/>
        <v>0</v>
      </c>
      <c r="Z1528" s="294">
        <f t="shared" si="496"/>
        <v>0</v>
      </c>
      <c r="AA1528" s="294"/>
      <c r="AB1528" s="813"/>
      <c r="AC1528" s="291"/>
      <c r="AD1528" s="486"/>
      <c r="AE1528" s="210"/>
      <c r="AF1528" s="210"/>
      <c r="AG1528" s="211">
        <v>0.14499999999999999</v>
      </c>
      <c r="AH1528" s="157">
        <f t="shared" si="498"/>
        <v>0</v>
      </c>
      <c r="AI1528" s="152">
        <v>19800</v>
      </c>
      <c r="AK1528" s="156" t="s">
        <v>691</v>
      </c>
      <c r="AL1528" s="212" t="s">
        <v>690</v>
      </c>
      <c r="AM1528" s="198">
        <f t="shared" si="500"/>
        <v>0</v>
      </c>
      <c r="AN1528" s="199">
        <f t="shared" si="487"/>
        <v>45584</v>
      </c>
      <c r="AO1528" s="159" t="s">
        <v>692</v>
      </c>
      <c r="AP1528" s="781"/>
      <c r="AQ1528" s="782">
        <v>12071839</v>
      </c>
      <c r="AR1528" s="782">
        <v>12047514</v>
      </c>
      <c r="AS1528" s="782">
        <v>12047515</v>
      </c>
      <c r="AT1528" s="782">
        <v>12083107</v>
      </c>
      <c r="AU1528" s="781"/>
      <c r="AV1528" s="782">
        <v>12084002</v>
      </c>
      <c r="AW1528" s="782"/>
      <c r="AX1528" s="782"/>
      <c r="AY1528" s="782"/>
      <c r="AZ1528" s="782"/>
      <c r="BA1528" s="781"/>
    </row>
    <row r="1529" spans="1:53" ht="24.75" hidden="1" customHeight="1">
      <c r="B1529" s="295">
        <v>45584</v>
      </c>
      <c r="C1529" s="296" t="s">
        <v>1677</v>
      </c>
      <c r="D1529" s="185">
        <f t="shared" si="485"/>
        <v>2024</v>
      </c>
      <c r="E1529" s="296" t="str">
        <f>VLOOKUP($B1529,Week!$A$1:$C$1462,2,0)</f>
        <v>Week42</v>
      </c>
      <c r="F1529" s="297" t="str">
        <f t="shared" si="486"/>
        <v>Oct</v>
      </c>
      <c r="G1529" s="648" t="s">
        <v>47</v>
      </c>
      <c r="H1529" s="298" t="s">
        <v>260</v>
      </c>
      <c r="I1529" s="298" t="s">
        <v>2702</v>
      </c>
      <c r="J1529" s="307" t="s">
        <v>904</v>
      </c>
      <c r="K1529" s="300" t="s">
        <v>176</v>
      </c>
      <c r="L1529" s="300" t="s">
        <v>2167</v>
      </c>
      <c r="M1529" s="299" t="s">
        <v>262</v>
      </c>
      <c r="N1529" s="298" t="s">
        <v>350</v>
      </c>
      <c r="O1529" s="298" t="s">
        <v>351</v>
      </c>
      <c r="P1529" s="301">
        <v>24</v>
      </c>
      <c r="Q1529" s="301">
        <v>5</v>
      </c>
      <c r="R1529" s="302">
        <v>6.1999999999999998E-3</v>
      </c>
      <c r="S1529" s="298" t="s">
        <v>352</v>
      </c>
      <c r="T1529" s="298" t="s">
        <v>56</v>
      </c>
      <c r="U1529" s="298" t="s">
        <v>57</v>
      </c>
      <c r="V1529" s="303">
        <v>2911</v>
      </c>
      <c r="W1529" s="303">
        <f>2911</f>
        <v>2911</v>
      </c>
      <c r="X1529" s="304"/>
      <c r="Y1529" s="305">
        <f t="shared" si="495"/>
        <v>0</v>
      </c>
      <c r="Z1529" s="306">
        <f t="shared" si="496"/>
        <v>0</v>
      </c>
      <c r="AA1529" s="306"/>
      <c r="AB1529" s="814"/>
      <c r="AC1529" s="303"/>
      <c r="AD1529" s="580" t="s">
        <v>672</v>
      </c>
      <c r="AE1529" s="210"/>
      <c r="AF1529" s="210"/>
      <c r="AG1529" s="211">
        <f>MID(O1529,1,3)/1000</f>
        <v>0.13</v>
      </c>
      <c r="AH1529" s="157">
        <f t="shared" si="498"/>
        <v>0</v>
      </c>
      <c r="AI1529" s="152">
        <f>V1529*P1529</f>
        <v>69864</v>
      </c>
      <c r="AK1529" s="156" t="s">
        <v>691</v>
      </c>
      <c r="AL1529" s="574" t="s">
        <v>690</v>
      </c>
      <c r="AM1529" s="198">
        <f t="shared" si="500"/>
        <v>0</v>
      </c>
      <c r="AN1529" s="199">
        <f t="shared" si="487"/>
        <v>45584</v>
      </c>
      <c r="AO1529" s="159" t="s">
        <v>692</v>
      </c>
      <c r="AP1529" s="783" t="s">
        <v>629</v>
      </c>
      <c r="AQ1529" s="782">
        <v>12071839</v>
      </c>
      <c r="AR1529" s="782">
        <v>12078867</v>
      </c>
      <c r="AS1529" s="782">
        <v>12068233</v>
      </c>
      <c r="AT1529" s="781"/>
      <c r="AU1529" s="781"/>
      <c r="AV1529" s="782">
        <v>12062075</v>
      </c>
      <c r="AW1529" s="781"/>
      <c r="AX1529" s="781"/>
      <c r="AY1529" s="782">
        <v>12078867</v>
      </c>
      <c r="AZ1529" s="781"/>
      <c r="BA1529" s="781"/>
    </row>
    <row r="1530" spans="1:53" ht="24.65" hidden="1" customHeight="1">
      <c r="B1530" s="743">
        <v>45584</v>
      </c>
      <c r="C1530" s="744" t="s">
        <v>1712</v>
      </c>
      <c r="D1530" s="185">
        <f t="shared" si="485"/>
        <v>2024</v>
      </c>
      <c r="E1530" s="744" t="str">
        <f>VLOOKUP($B1530,Week!$A$1:$C$1462,2,0)</f>
        <v>Week42</v>
      </c>
      <c r="F1530" s="745" t="str">
        <f t="shared" si="486"/>
        <v>Oct</v>
      </c>
      <c r="G1530" s="746" t="s">
        <v>47</v>
      </c>
      <c r="H1530" s="746" t="s">
        <v>260</v>
      </c>
      <c r="I1530" s="746" t="s">
        <v>2702</v>
      </c>
      <c r="J1530" s="747" t="s">
        <v>70</v>
      </c>
      <c r="K1530" s="748" t="s">
        <v>176</v>
      </c>
      <c r="L1530" s="300" t="s">
        <v>2167</v>
      </c>
      <c r="M1530" s="747" t="s">
        <v>1713</v>
      </c>
      <c r="N1530" s="746" t="s">
        <v>1728</v>
      </c>
      <c r="O1530" s="746" t="s">
        <v>742</v>
      </c>
      <c r="P1530" s="749">
        <v>24</v>
      </c>
      <c r="Q1530" s="749">
        <v>5</v>
      </c>
      <c r="R1530" s="746">
        <v>6.1999999999999998E-3</v>
      </c>
      <c r="S1530" s="746" t="s">
        <v>352</v>
      </c>
      <c r="T1530" s="746" t="s">
        <v>56</v>
      </c>
      <c r="U1530" s="746" t="s">
        <v>1714</v>
      </c>
      <c r="V1530" s="750">
        <f>2120-41</f>
        <v>2079</v>
      </c>
      <c r="W1530" s="750">
        <f>2079</f>
        <v>2079</v>
      </c>
      <c r="X1530" s="751"/>
      <c r="Y1530" s="752">
        <f t="shared" si="495"/>
        <v>0</v>
      </c>
      <c r="Z1530" s="753">
        <f t="shared" si="496"/>
        <v>0</v>
      </c>
      <c r="AA1530" s="753"/>
      <c r="AB1530" s="838"/>
      <c r="AC1530" s="750"/>
      <c r="AD1530" s="307" t="s">
        <v>1816</v>
      </c>
      <c r="AE1530" s="210"/>
      <c r="AF1530" s="210"/>
      <c r="AG1530" s="211">
        <f>MID(O1530,1,3)/1000</f>
        <v>0.14299999999999999</v>
      </c>
      <c r="AH1530" s="157">
        <f t="shared" si="498"/>
        <v>0</v>
      </c>
      <c r="AI1530" s="152">
        <f>V1530*P1530</f>
        <v>49896</v>
      </c>
      <c r="AK1530" s="156" t="s">
        <v>691</v>
      </c>
      <c r="AL1530" s="212" t="s">
        <v>690</v>
      </c>
      <c r="AM1530" s="198">
        <f t="shared" si="500"/>
        <v>0</v>
      </c>
      <c r="AN1530" s="199">
        <f t="shared" si="487"/>
        <v>45584</v>
      </c>
      <c r="AO1530" s="159" t="s">
        <v>692</v>
      </c>
      <c r="AP1530" s="783" t="s">
        <v>609</v>
      </c>
      <c r="AQ1530" s="782">
        <v>12071839</v>
      </c>
      <c r="AR1530" s="782">
        <v>12047514</v>
      </c>
      <c r="AS1530" s="782">
        <v>12047515</v>
      </c>
      <c r="AT1530" s="781"/>
      <c r="AU1530" s="781"/>
      <c r="AV1530" s="782">
        <v>12089668</v>
      </c>
      <c r="AW1530" s="781"/>
      <c r="AX1530" s="781"/>
      <c r="AY1530" s="782">
        <v>12088311</v>
      </c>
      <c r="AZ1530" s="782">
        <v>12088315</v>
      </c>
      <c r="BA1530" s="781"/>
    </row>
    <row r="1531" spans="1:53" ht="25" hidden="1" customHeight="1">
      <c r="B1531" s="183">
        <v>45585</v>
      </c>
      <c r="C1531" s="184"/>
      <c r="D1531" s="185">
        <f t="shared" si="485"/>
        <v>2024</v>
      </c>
      <c r="E1531" s="185" t="str">
        <f>VLOOKUP($B1531,Week!$A$1:$C$1462,2,0)</f>
        <v>Week42</v>
      </c>
      <c r="F1531" s="186" t="str">
        <f t="shared" si="486"/>
        <v>Oct</v>
      </c>
      <c r="G1531" s="185"/>
      <c r="H1531" s="185"/>
      <c r="I1531" s="185"/>
      <c r="J1531" s="187"/>
      <c r="K1531" s="188"/>
      <c r="L1531" s="300"/>
      <c r="M1531" s="187"/>
      <c r="N1531" s="185"/>
      <c r="O1531" s="185"/>
      <c r="P1531" s="189"/>
      <c r="Q1531" s="189"/>
      <c r="R1531" s="190"/>
      <c r="S1531" s="185"/>
      <c r="T1531" s="185"/>
      <c r="U1531" s="185"/>
      <c r="V1531" s="191"/>
      <c r="W1531" s="191"/>
      <c r="X1531" s="192"/>
      <c r="Y1531" s="193"/>
      <c r="Z1531" s="194"/>
      <c r="AA1531" s="194"/>
      <c r="AB1531" s="805"/>
      <c r="AC1531" s="191"/>
      <c r="AD1531" s="187"/>
      <c r="AE1531" s="195"/>
      <c r="AF1531" s="195"/>
      <c r="AG1531" s="196"/>
      <c r="AH1531" s="197"/>
      <c r="AK1531" s="156" t="s">
        <v>691</v>
      </c>
      <c r="AM1531" s="198">
        <f t="shared" si="500"/>
        <v>0</v>
      </c>
      <c r="AN1531" s="199">
        <f t="shared" si="487"/>
        <v>45585</v>
      </c>
      <c r="AO1531" s="159" t="s">
        <v>692</v>
      </c>
      <c r="AP1531" s="781"/>
      <c r="AQ1531" s="782"/>
      <c r="AR1531" s="782"/>
      <c r="AS1531" s="782"/>
      <c r="AT1531" s="782"/>
      <c r="AU1531" s="781"/>
      <c r="AV1531" s="782"/>
      <c r="AW1531" s="782"/>
      <c r="AX1531" s="782"/>
      <c r="AY1531" s="782"/>
      <c r="AZ1531" s="782"/>
      <c r="BA1531" s="781"/>
    </row>
    <row r="1532" spans="1:53" ht="24.75" hidden="1" customHeight="1">
      <c r="A1532" s="142" t="s">
        <v>120</v>
      </c>
      <c r="B1532" s="308">
        <v>45586</v>
      </c>
      <c r="C1532" s="644" t="s">
        <v>1677</v>
      </c>
      <c r="D1532" s="185">
        <f t="shared" si="485"/>
        <v>2024</v>
      </c>
      <c r="E1532" s="519" t="str">
        <f>VLOOKUP($B1532,Week!$A$1:$C$1462,2,0)</f>
        <v>Week43</v>
      </c>
      <c r="F1532" s="520" t="str">
        <f t="shared" si="486"/>
        <v>Oct</v>
      </c>
      <c r="G1532" s="644" t="s">
        <v>47</v>
      </c>
      <c r="H1532" s="311" t="s">
        <v>518</v>
      </c>
      <c r="I1532" s="311" t="s">
        <v>2702</v>
      </c>
      <c r="J1532" s="312" t="s">
        <v>70</v>
      </c>
      <c r="K1532" s="313" t="s">
        <v>85</v>
      </c>
      <c r="L1532" s="390" t="s">
        <v>2166</v>
      </c>
      <c r="M1532" s="312" t="s">
        <v>515</v>
      </c>
      <c r="N1532" s="311" t="s">
        <v>588</v>
      </c>
      <c r="O1532" s="311" t="s">
        <v>546</v>
      </c>
      <c r="P1532" s="314">
        <v>12</v>
      </c>
      <c r="Q1532" s="314">
        <v>20</v>
      </c>
      <c r="R1532" s="315">
        <v>6.1999999999999998E-3</v>
      </c>
      <c r="S1532" s="311" t="s">
        <v>352</v>
      </c>
      <c r="T1532" s="311" t="s">
        <v>56</v>
      </c>
      <c r="U1532" s="311"/>
      <c r="V1532" s="316">
        <f>184</f>
        <v>184</v>
      </c>
      <c r="W1532" s="316">
        <f>30+154</f>
        <v>184</v>
      </c>
      <c r="X1532" s="317"/>
      <c r="Y1532" s="318">
        <f t="shared" ref="Y1532:Y1539" si="501">(W1532+X1532)-V1532</f>
        <v>0</v>
      </c>
      <c r="Z1532" s="319">
        <f t="shared" ref="Z1532:Z1539" si="502">IF(Y1532&lt;0,((V1532*P1532)-((W1532+X1532)*P1532)),0)</f>
        <v>0</v>
      </c>
      <c r="AA1532" s="319">
        <f t="shared" ref="AA1532:AA1539" si="503">Q1532*Z1532</f>
        <v>0</v>
      </c>
      <c r="AB1532" s="815"/>
      <c r="AC1532" s="316">
        <f t="shared" ref="AC1532:AC1539" si="504">Z1532*AB1532</f>
        <v>0</v>
      </c>
      <c r="AD1532" s="209"/>
      <c r="AE1532" s="210"/>
      <c r="AF1532" s="210"/>
      <c r="AG1532" s="211">
        <f>MID(O1532,1,3)/1000</f>
        <v>0.22</v>
      </c>
      <c r="AH1532" s="157">
        <f t="shared" ref="AH1532:AH1539" si="505">(Z1532*AG1532)/1000</f>
        <v>0</v>
      </c>
      <c r="AI1532" s="152">
        <f t="shared" ref="AI1532:AI1539" si="506">V1532*P1532</f>
        <v>2208</v>
      </c>
      <c r="AK1532" s="156" t="s">
        <v>691</v>
      </c>
      <c r="AL1532" s="156" t="s">
        <v>689</v>
      </c>
      <c r="AM1532" s="198">
        <f t="shared" si="500"/>
        <v>0</v>
      </c>
      <c r="AN1532" s="199">
        <f t="shared" si="487"/>
        <v>45586</v>
      </c>
      <c r="AO1532" s="159" t="s">
        <v>692</v>
      </c>
      <c r="AP1532" s="783" t="s">
        <v>613</v>
      </c>
      <c r="AQ1532" s="782"/>
      <c r="AR1532" s="782" t="s">
        <v>614</v>
      </c>
      <c r="AS1532" s="782"/>
      <c r="AT1532" s="782">
        <v>12083140</v>
      </c>
      <c r="AU1532" s="781"/>
      <c r="AV1532" s="782">
        <v>12083143</v>
      </c>
      <c r="AW1532" s="782"/>
      <c r="AX1532" s="782"/>
      <c r="AY1532" s="782"/>
      <c r="AZ1532" s="782"/>
      <c r="BA1532" s="781"/>
    </row>
    <row r="1533" spans="1:53" ht="24.75" hidden="1" customHeight="1">
      <c r="A1533" s="142" t="s">
        <v>120</v>
      </c>
      <c r="B1533" s="308">
        <v>45586</v>
      </c>
      <c r="C1533" s="644" t="s">
        <v>1677</v>
      </c>
      <c r="D1533" s="185">
        <f t="shared" si="485"/>
        <v>2024</v>
      </c>
      <c r="E1533" s="519" t="str">
        <f>VLOOKUP($B1533,Week!$A$1:$C$1462,2,0)</f>
        <v>Week43</v>
      </c>
      <c r="F1533" s="520" t="str">
        <f t="shared" si="486"/>
        <v>Oct</v>
      </c>
      <c r="G1533" s="644" t="s">
        <v>47</v>
      </c>
      <c r="H1533" s="311" t="s">
        <v>518</v>
      </c>
      <c r="I1533" s="311" t="s">
        <v>2702</v>
      </c>
      <c r="J1533" s="312" t="s">
        <v>70</v>
      </c>
      <c r="K1533" s="313" t="s">
        <v>85</v>
      </c>
      <c r="L1533" s="390" t="s">
        <v>2166</v>
      </c>
      <c r="M1533" s="312" t="s">
        <v>515</v>
      </c>
      <c r="N1533" s="311" t="s">
        <v>588</v>
      </c>
      <c r="O1533" s="311" t="s">
        <v>546</v>
      </c>
      <c r="P1533" s="314">
        <v>12</v>
      </c>
      <c r="Q1533" s="314">
        <v>20</v>
      </c>
      <c r="R1533" s="315">
        <v>6.1999999999999998E-3</v>
      </c>
      <c r="S1533" s="311" t="s">
        <v>352</v>
      </c>
      <c r="T1533" s="311" t="s">
        <v>56</v>
      </c>
      <c r="U1533" s="311"/>
      <c r="V1533" s="316">
        <f>265-184</f>
        <v>81</v>
      </c>
      <c r="W1533" s="316">
        <f>81</f>
        <v>81</v>
      </c>
      <c r="X1533" s="317"/>
      <c r="Y1533" s="318">
        <f t="shared" si="501"/>
        <v>0</v>
      </c>
      <c r="Z1533" s="319">
        <f t="shared" si="502"/>
        <v>0</v>
      </c>
      <c r="AA1533" s="319">
        <f t="shared" si="503"/>
        <v>0</v>
      </c>
      <c r="AB1533" s="815"/>
      <c r="AC1533" s="316">
        <f t="shared" si="504"/>
        <v>0</v>
      </c>
      <c r="AD1533" s="209"/>
      <c r="AE1533" s="210"/>
      <c r="AF1533" s="210"/>
      <c r="AG1533" s="211">
        <f>MID(O1533,1,3)/1000</f>
        <v>0.22</v>
      </c>
      <c r="AH1533" s="157">
        <f t="shared" si="505"/>
        <v>0</v>
      </c>
      <c r="AI1533" s="152">
        <f t="shared" si="506"/>
        <v>972</v>
      </c>
      <c r="AK1533" s="156" t="s">
        <v>691</v>
      </c>
      <c r="AL1533" s="156" t="s">
        <v>689</v>
      </c>
      <c r="AM1533" s="198">
        <f t="shared" si="500"/>
        <v>0</v>
      </c>
      <c r="AN1533" s="199">
        <f t="shared" si="487"/>
        <v>45586</v>
      </c>
      <c r="AO1533" s="159" t="s">
        <v>692</v>
      </c>
      <c r="AP1533" s="783" t="s">
        <v>613</v>
      </c>
      <c r="AQ1533" s="782"/>
      <c r="AR1533" s="782" t="s">
        <v>614</v>
      </c>
      <c r="AS1533" s="782"/>
      <c r="AT1533" s="782">
        <v>12083140</v>
      </c>
      <c r="AU1533" s="781"/>
      <c r="AV1533" s="782">
        <v>12083143</v>
      </c>
      <c r="AW1533" s="782"/>
      <c r="AX1533" s="782"/>
      <c r="AY1533" s="782"/>
      <c r="AZ1533" s="782"/>
      <c r="BA1533" s="781"/>
    </row>
    <row r="1534" spans="1:53" ht="24.75" hidden="1" customHeight="1">
      <c r="A1534" s="142" t="s">
        <v>120</v>
      </c>
      <c r="B1534" s="308">
        <v>45586</v>
      </c>
      <c r="C1534" s="644" t="s">
        <v>1677</v>
      </c>
      <c r="D1534" s="185">
        <f t="shared" si="485"/>
        <v>2024</v>
      </c>
      <c r="E1534" s="519" t="str">
        <f>VLOOKUP($B1534,Week!$A$1:$C$1462,2,0)</f>
        <v>Week43</v>
      </c>
      <c r="F1534" s="520" t="str">
        <f t="shared" si="486"/>
        <v>Oct</v>
      </c>
      <c r="G1534" s="644" t="s">
        <v>47</v>
      </c>
      <c r="H1534" s="311" t="s">
        <v>518</v>
      </c>
      <c r="I1534" s="311" t="s">
        <v>2702</v>
      </c>
      <c r="J1534" s="312" t="s">
        <v>70</v>
      </c>
      <c r="K1534" s="313" t="s">
        <v>85</v>
      </c>
      <c r="L1534" s="390" t="s">
        <v>2166</v>
      </c>
      <c r="M1534" s="312" t="s">
        <v>515</v>
      </c>
      <c r="N1534" s="311" t="s">
        <v>588</v>
      </c>
      <c r="O1534" s="311" t="s">
        <v>546</v>
      </c>
      <c r="P1534" s="314">
        <v>12</v>
      </c>
      <c r="Q1534" s="314">
        <v>20</v>
      </c>
      <c r="R1534" s="315">
        <v>6.1999999999999998E-3</v>
      </c>
      <c r="S1534" s="311" t="s">
        <v>352</v>
      </c>
      <c r="T1534" s="311" t="s">
        <v>56</v>
      </c>
      <c r="U1534" s="311"/>
      <c r="V1534" s="316">
        <f>347-184-81</f>
        <v>82</v>
      </c>
      <c r="W1534" s="316">
        <f>82</f>
        <v>82</v>
      </c>
      <c r="X1534" s="317"/>
      <c r="Y1534" s="318">
        <f t="shared" si="501"/>
        <v>0</v>
      </c>
      <c r="Z1534" s="319">
        <f t="shared" si="502"/>
        <v>0</v>
      </c>
      <c r="AA1534" s="319">
        <f t="shared" si="503"/>
        <v>0</v>
      </c>
      <c r="AB1534" s="815"/>
      <c r="AC1534" s="316">
        <f t="shared" si="504"/>
        <v>0</v>
      </c>
      <c r="AD1534" s="209"/>
      <c r="AE1534" s="210"/>
      <c r="AF1534" s="210"/>
      <c r="AG1534" s="211">
        <f>MID(O1534,1,3)/1000</f>
        <v>0.22</v>
      </c>
      <c r="AH1534" s="157">
        <f t="shared" si="505"/>
        <v>0</v>
      </c>
      <c r="AI1534" s="152">
        <f t="shared" si="506"/>
        <v>984</v>
      </c>
      <c r="AK1534" s="156" t="s">
        <v>691</v>
      </c>
      <c r="AL1534" s="156" t="s">
        <v>689</v>
      </c>
      <c r="AM1534" s="198">
        <f t="shared" si="500"/>
        <v>0</v>
      </c>
      <c r="AN1534" s="199">
        <f t="shared" si="487"/>
        <v>45586</v>
      </c>
      <c r="AO1534" s="159" t="s">
        <v>692</v>
      </c>
      <c r="AP1534" s="783" t="s">
        <v>613</v>
      </c>
      <c r="AQ1534" s="782"/>
      <c r="AR1534" s="782" t="s">
        <v>614</v>
      </c>
      <c r="AS1534" s="782"/>
      <c r="AT1534" s="782">
        <v>12083140</v>
      </c>
      <c r="AU1534" s="781"/>
      <c r="AV1534" s="782">
        <v>12083143</v>
      </c>
      <c r="AW1534" s="782"/>
      <c r="AX1534" s="782"/>
      <c r="AY1534" s="782"/>
      <c r="AZ1534" s="782"/>
      <c r="BA1534" s="781"/>
    </row>
    <row r="1535" spans="1:53" ht="25" hidden="1" customHeight="1">
      <c r="A1535" s="142" t="s">
        <v>120</v>
      </c>
      <c r="B1535" s="546">
        <v>45586</v>
      </c>
      <c r="C1535" s="547">
        <v>45607</v>
      </c>
      <c r="D1535" s="185">
        <f t="shared" si="485"/>
        <v>2024</v>
      </c>
      <c r="E1535" s="547" t="str">
        <f>VLOOKUP($B1535,Week!$A$1:$C$1462,2,0)</f>
        <v>Week43</v>
      </c>
      <c r="F1535" s="548" t="str">
        <f t="shared" si="486"/>
        <v>Oct</v>
      </c>
      <c r="G1535" s="549" t="s">
        <v>1675</v>
      </c>
      <c r="H1535" s="549" t="s">
        <v>431</v>
      </c>
      <c r="I1535" s="549" t="s">
        <v>2772</v>
      </c>
      <c r="J1535" s="550" t="s">
        <v>432</v>
      </c>
      <c r="K1535" s="551" t="s">
        <v>85</v>
      </c>
      <c r="L1535" s="390" t="s">
        <v>2166</v>
      </c>
      <c r="M1535" s="550" t="s">
        <v>86</v>
      </c>
      <c r="N1535" s="549" t="s">
        <v>550</v>
      </c>
      <c r="O1535" s="549" t="s">
        <v>548</v>
      </c>
      <c r="P1535" s="552">
        <v>10</v>
      </c>
      <c r="Q1535" s="552">
        <v>50</v>
      </c>
      <c r="R1535" s="553">
        <v>8.1300000000000001E-3</v>
      </c>
      <c r="S1535" s="549" t="s">
        <v>40</v>
      </c>
      <c r="T1535" s="549" t="s">
        <v>112</v>
      </c>
      <c r="U1535" s="549" t="s">
        <v>89</v>
      </c>
      <c r="V1535" s="554">
        <f>400</f>
        <v>400</v>
      </c>
      <c r="W1535" s="554">
        <f>15+385</f>
        <v>400</v>
      </c>
      <c r="X1535" s="555"/>
      <c r="Y1535" s="556">
        <f t="shared" si="501"/>
        <v>0</v>
      </c>
      <c r="Z1535" s="557">
        <f t="shared" si="502"/>
        <v>0</v>
      </c>
      <c r="AA1535" s="557">
        <f t="shared" si="503"/>
        <v>0</v>
      </c>
      <c r="AB1535" s="833">
        <v>6</v>
      </c>
      <c r="AC1535" s="554">
        <f t="shared" si="504"/>
        <v>0</v>
      </c>
      <c r="AD1535" s="209"/>
      <c r="AE1535" s="210"/>
      <c r="AF1535" s="210"/>
      <c r="AG1535" s="211">
        <f>MID(O1535,1,3)/1000</f>
        <v>0.63</v>
      </c>
      <c r="AH1535" s="157">
        <f t="shared" si="505"/>
        <v>0</v>
      </c>
      <c r="AI1535" s="152">
        <f t="shared" si="506"/>
        <v>4000</v>
      </c>
      <c r="AK1535" s="156" t="s">
        <v>691</v>
      </c>
      <c r="AL1535" s="156" t="s">
        <v>689</v>
      </c>
      <c r="AM1535" s="198">
        <f t="shared" si="500"/>
        <v>0</v>
      </c>
      <c r="AN1535" s="199">
        <f t="shared" si="487"/>
        <v>45586</v>
      </c>
      <c r="AO1535" s="159" t="s">
        <v>692</v>
      </c>
      <c r="AP1535" s="783" t="s">
        <v>618</v>
      </c>
      <c r="AQ1535" s="782" t="s">
        <v>549</v>
      </c>
      <c r="AR1535" s="796" t="s">
        <v>529</v>
      </c>
      <c r="AS1535" s="782"/>
      <c r="AT1535" s="796" t="s">
        <v>551</v>
      </c>
      <c r="AU1535" s="781"/>
      <c r="AV1535" s="796" t="s">
        <v>552</v>
      </c>
      <c r="AW1535" s="782"/>
      <c r="AX1535" s="782" t="s">
        <v>93</v>
      </c>
      <c r="AY1535" s="782"/>
      <c r="AZ1535" s="782"/>
      <c r="BA1535" s="781"/>
    </row>
    <row r="1536" spans="1:53" ht="25" hidden="1" customHeight="1">
      <c r="A1536" s="142" t="s">
        <v>120</v>
      </c>
      <c r="B1536" s="271">
        <v>45586</v>
      </c>
      <c r="C1536" s="272">
        <v>45600</v>
      </c>
      <c r="D1536" s="185">
        <f t="shared" si="485"/>
        <v>2024</v>
      </c>
      <c r="E1536" s="272" t="str">
        <f>VLOOKUP($B1536,Week!$A$1:$C$1462,2,0)</f>
        <v>Week43</v>
      </c>
      <c r="F1536" s="273" t="str">
        <f t="shared" si="486"/>
        <v>Oct</v>
      </c>
      <c r="G1536" s="274" t="s">
        <v>1731</v>
      </c>
      <c r="H1536" s="274" t="s">
        <v>500</v>
      </c>
      <c r="I1536" s="274" t="s">
        <v>2772</v>
      </c>
      <c r="J1536" s="275" t="s">
        <v>285</v>
      </c>
      <c r="K1536" s="276" t="s">
        <v>153</v>
      </c>
      <c r="L1536" s="390" t="s">
        <v>2166</v>
      </c>
      <c r="M1536" s="275" t="s">
        <v>86</v>
      </c>
      <c r="N1536" s="274" t="s">
        <v>547</v>
      </c>
      <c r="O1536" s="274" t="s">
        <v>548</v>
      </c>
      <c r="P1536" s="277">
        <v>10</v>
      </c>
      <c r="Q1536" s="277">
        <v>50</v>
      </c>
      <c r="R1536" s="278">
        <v>6.8100000000000001E-3</v>
      </c>
      <c r="S1536" s="274" t="s">
        <v>76</v>
      </c>
      <c r="T1536" s="274" t="s">
        <v>56</v>
      </c>
      <c r="U1536" s="274" t="s">
        <v>89</v>
      </c>
      <c r="V1536" s="279">
        <f>2056-1349</f>
        <v>707</v>
      </c>
      <c r="W1536" s="279">
        <f>707</f>
        <v>707</v>
      </c>
      <c r="X1536" s="280"/>
      <c r="Y1536" s="281">
        <f t="shared" si="501"/>
        <v>0</v>
      </c>
      <c r="Z1536" s="282">
        <f t="shared" si="502"/>
        <v>0</v>
      </c>
      <c r="AA1536" s="282">
        <f t="shared" si="503"/>
        <v>0</v>
      </c>
      <c r="AB1536" s="812">
        <v>6</v>
      </c>
      <c r="AC1536" s="279">
        <f t="shared" si="504"/>
        <v>0</v>
      </c>
      <c r="AD1536" s="209"/>
      <c r="AE1536" s="210"/>
      <c r="AF1536" s="210"/>
      <c r="AG1536" s="211">
        <f>MID(O1536,1,3)/1000</f>
        <v>0.63</v>
      </c>
      <c r="AH1536" s="157">
        <f t="shared" si="505"/>
        <v>0</v>
      </c>
      <c r="AI1536" s="152">
        <f t="shared" si="506"/>
        <v>7070</v>
      </c>
      <c r="AK1536" s="156" t="s">
        <v>691</v>
      </c>
      <c r="AL1536" s="156" t="s">
        <v>689</v>
      </c>
      <c r="AM1536" s="198">
        <f t="shared" si="500"/>
        <v>0</v>
      </c>
      <c r="AN1536" s="199">
        <f t="shared" si="487"/>
        <v>45586</v>
      </c>
      <c r="AO1536" s="159" t="s">
        <v>692</v>
      </c>
      <c r="AP1536" s="783" t="s">
        <v>620</v>
      </c>
      <c r="AQ1536" s="782" t="s">
        <v>549</v>
      </c>
      <c r="AR1536" s="782">
        <v>12055234</v>
      </c>
      <c r="AS1536" s="781"/>
      <c r="AT1536" s="782"/>
      <c r="AU1536" s="782"/>
      <c r="AV1536" s="782">
        <v>12062809</v>
      </c>
      <c r="AW1536" s="782"/>
      <c r="AX1536" s="782" t="s">
        <v>619</v>
      </c>
      <c r="AY1536" s="781"/>
      <c r="AZ1536" s="781"/>
      <c r="BA1536" s="781"/>
    </row>
    <row r="1537" spans="1:53" ht="25" hidden="1" customHeight="1">
      <c r="A1537" s="142" t="s">
        <v>120</v>
      </c>
      <c r="B1537" s="559">
        <v>45587</v>
      </c>
      <c r="C1537" s="560">
        <v>45602</v>
      </c>
      <c r="D1537" s="185">
        <f t="shared" si="485"/>
        <v>2024</v>
      </c>
      <c r="E1537" s="561" t="str">
        <f>VLOOKUP($B1537,Week!$A$1:$C$1462,2,0)</f>
        <v>Week43</v>
      </c>
      <c r="F1537" s="562" t="str">
        <f t="shared" si="486"/>
        <v>Oct</v>
      </c>
      <c r="G1537" s="561" t="s">
        <v>1717</v>
      </c>
      <c r="H1537" s="561" t="s">
        <v>134</v>
      </c>
      <c r="I1537" s="561" t="s">
        <v>2772</v>
      </c>
      <c r="J1537" s="563" t="s">
        <v>164</v>
      </c>
      <c r="K1537" s="564" t="s">
        <v>355</v>
      </c>
      <c r="L1537" s="390" t="s">
        <v>2166</v>
      </c>
      <c r="M1537" s="563" t="s">
        <v>356</v>
      </c>
      <c r="N1537" s="561" t="s">
        <v>652</v>
      </c>
      <c r="O1537" s="561" t="s">
        <v>508</v>
      </c>
      <c r="P1537" s="565">
        <v>18</v>
      </c>
      <c r="Q1537" s="565">
        <v>8</v>
      </c>
      <c r="R1537" s="566">
        <v>6.0000000000000001E-3</v>
      </c>
      <c r="S1537" s="561" t="s">
        <v>55</v>
      </c>
      <c r="T1537" s="561" t="s">
        <v>56</v>
      </c>
      <c r="U1537" s="561" t="s">
        <v>89</v>
      </c>
      <c r="V1537" s="567">
        <f>800</f>
        <v>800</v>
      </c>
      <c r="W1537" s="567">
        <f>54+746</f>
        <v>800</v>
      </c>
      <c r="X1537" s="568"/>
      <c r="Y1537" s="569">
        <f t="shared" si="501"/>
        <v>0</v>
      </c>
      <c r="Z1537" s="570">
        <f t="shared" si="502"/>
        <v>0</v>
      </c>
      <c r="AA1537" s="570">
        <f t="shared" si="503"/>
        <v>0</v>
      </c>
      <c r="AB1537" s="834">
        <v>2</v>
      </c>
      <c r="AC1537" s="567">
        <f t="shared" si="504"/>
        <v>0</v>
      </c>
      <c r="AD1537" s="209"/>
      <c r="AE1537" s="210"/>
      <c r="AF1537" s="210"/>
      <c r="AG1537" s="211">
        <f>MID(O1537,1,2)/1000</f>
        <v>0.09</v>
      </c>
      <c r="AH1537" s="157">
        <f t="shared" si="505"/>
        <v>0</v>
      </c>
      <c r="AI1537" s="152">
        <f t="shared" si="506"/>
        <v>14400</v>
      </c>
      <c r="AK1537" s="156" t="s">
        <v>691</v>
      </c>
      <c r="AL1537" s="156" t="s">
        <v>689</v>
      </c>
      <c r="AM1537" s="198">
        <f t="shared" si="500"/>
        <v>0</v>
      </c>
      <c r="AN1537" s="199">
        <f t="shared" si="487"/>
        <v>45587</v>
      </c>
      <c r="AO1537" s="159" t="s">
        <v>692</v>
      </c>
      <c r="AP1537" s="783"/>
      <c r="AQ1537" s="782"/>
      <c r="AR1537" s="782"/>
      <c r="AS1537" s="782"/>
      <c r="AT1537" s="782"/>
      <c r="AU1537" s="782"/>
      <c r="AV1537" s="782"/>
      <c r="AW1537" s="782"/>
      <c r="AX1537" s="782"/>
      <c r="AY1537" s="782"/>
      <c r="AZ1537" s="782"/>
      <c r="BA1537" s="781"/>
    </row>
    <row r="1538" spans="1:53" ht="25" hidden="1" customHeight="1">
      <c r="A1538" s="142" t="s">
        <v>120</v>
      </c>
      <c r="B1538" s="283">
        <v>45587</v>
      </c>
      <c r="C1538" s="284">
        <v>45602</v>
      </c>
      <c r="D1538" s="185">
        <f t="shared" si="485"/>
        <v>2024</v>
      </c>
      <c r="E1538" s="286" t="str">
        <f>VLOOKUP($B1538,Week!$A$1:$C$1462,2,0)</f>
        <v>Week43</v>
      </c>
      <c r="F1538" s="285" t="str">
        <f t="shared" si="486"/>
        <v>Oct</v>
      </c>
      <c r="G1538" s="286" t="s">
        <v>1717</v>
      </c>
      <c r="H1538" s="286" t="s">
        <v>134</v>
      </c>
      <c r="I1538" s="286" t="s">
        <v>2772</v>
      </c>
      <c r="J1538" s="287" t="s">
        <v>164</v>
      </c>
      <c r="K1538" s="288" t="s">
        <v>153</v>
      </c>
      <c r="L1538" s="390" t="s">
        <v>2166</v>
      </c>
      <c r="M1538" s="287" t="s">
        <v>214</v>
      </c>
      <c r="N1538" s="286" t="s">
        <v>215</v>
      </c>
      <c r="O1538" s="286" t="s">
        <v>504</v>
      </c>
      <c r="P1538" s="289">
        <v>20</v>
      </c>
      <c r="Q1538" s="289">
        <v>8</v>
      </c>
      <c r="R1538" s="290">
        <v>1.4999999999999999E-2</v>
      </c>
      <c r="S1538" s="286" t="s">
        <v>217</v>
      </c>
      <c r="T1538" s="286" t="s">
        <v>56</v>
      </c>
      <c r="U1538" s="286" t="s">
        <v>89</v>
      </c>
      <c r="V1538" s="291">
        <f>1000</f>
        <v>1000</v>
      </c>
      <c r="W1538" s="291">
        <f>32+968</f>
        <v>1000</v>
      </c>
      <c r="X1538" s="292"/>
      <c r="Y1538" s="293">
        <f t="shared" si="501"/>
        <v>0</v>
      </c>
      <c r="Z1538" s="294">
        <f t="shared" si="502"/>
        <v>0</v>
      </c>
      <c r="AA1538" s="291">
        <f t="shared" si="503"/>
        <v>0</v>
      </c>
      <c r="AB1538" s="813">
        <v>2</v>
      </c>
      <c r="AC1538" s="291">
        <f t="shared" si="504"/>
        <v>0</v>
      </c>
      <c r="AD1538" s="209" t="s">
        <v>218</v>
      </c>
      <c r="AE1538" s="210"/>
      <c r="AF1538" s="210"/>
      <c r="AG1538" s="211">
        <f>MID(O1538,1,3)/1000</f>
        <v>0.19400000000000001</v>
      </c>
      <c r="AH1538" s="157">
        <f t="shared" si="505"/>
        <v>0</v>
      </c>
      <c r="AI1538" s="152">
        <f t="shared" si="506"/>
        <v>20000</v>
      </c>
      <c r="AK1538" s="156" t="s">
        <v>691</v>
      </c>
      <c r="AL1538" s="156" t="s">
        <v>689</v>
      </c>
      <c r="AM1538" s="198">
        <f t="shared" si="500"/>
        <v>0</v>
      </c>
      <c r="AN1538" s="199">
        <f t="shared" si="487"/>
        <v>45587</v>
      </c>
      <c r="AO1538" s="159" t="s">
        <v>692</v>
      </c>
      <c r="AP1538" s="783" t="s">
        <v>610</v>
      </c>
      <c r="AQ1538" s="782"/>
      <c r="AR1538" s="782">
        <v>12064528</v>
      </c>
      <c r="AS1538" s="782"/>
      <c r="AT1538" s="782">
        <v>12064478</v>
      </c>
      <c r="AU1538" s="781"/>
      <c r="AV1538" s="782">
        <v>12064493</v>
      </c>
      <c r="AW1538" s="782"/>
      <c r="AX1538" s="782" t="s">
        <v>545</v>
      </c>
      <c r="AY1538" s="782"/>
      <c r="AZ1538" s="782"/>
      <c r="BA1538" s="781"/>
    </row>
    <row r="1539" spans="1:53" ht="24.65" hidden="1" customHeight="1">
      <c r="A1539" s="142" t="s">
        <v>120</v>
      </c>
      <c r="B1539" s="258">
        <v>45587</v>
      </c>
      <c r="C1539" s="259">
        <v>45602</v>
      </c>
      <c r="D1539" s="185">
        <f t="shared" si="485"/>
        <v>2024</v>
      </c>
      <c r="E1539" s="260" t="str">
        <f>VLOOKUP($B1539,Week!$A$1:$C$1462,2,0)</f>
        <v>Week43</v>
      </c>
      <c r="F1539" s="261" t="str">
        <f t="shared" si="486"/>
        <v>Oct</v>
      </c>
      <c r="G1539" s="262" t="s">
        <v>1717</v>
      </c>
      <c r="H1539" s="260" t="s">
        <v>134</v>
      </c>
      <c r="I1539" s="260" t="s">
        <v>2772</v>
      </c>
      <c r="J1539" s="263" t="s">
        <v>164</v>
      </c>
      <c r="K1539" s="264" t="s">
        <v>153</v>
      </c>
      <c r="L1539" s="390" t="s">
        <v>2166</v>
      </c>
      <c r="M1539" s="263" t="s">
        <v>165</v>
      </c>
      <c r="N1539" s="260" t="s">
        <v>166</v>
      </c>
      <c r="O1539" s="260" t="s">
        <v>502</v>
      </c>
      <c r="P1539" s="265">
        <v>20</v>
      </c>
      <c r="Q1539" s="265">
        <v>12</v>
      </c>
      <c r="R1539" s="266">
        <v>6.8100000000000001E-3</v>
      </c>
      <c r="S1539" s="260" t="s">
        <v>76</v>
      </c>
      <c r="T1539" s="260" t="s">
        <v>56</v>
      </c>
      <c r="U1539" s="260" t="s">
        <v>89</v>
      </c>
      <c r="V1539" s="267">
        <f>1200</f>
        <v>1200</v>
      </c>
      <c r="W1539" s="267"/>
      <c r="X1539" s="268">
        <f>(23620+380)/20</f>
        <v>1200</v>
      </c>
      <c r="Y1539" s="269">
        <f t="shared" si="501"/>
        <v>0</v>
      </c>
      <c r="Z1539" s="270">
        <f t="shared" si="502"/>
        <v>0</v>
      </c>
      <c r="AA1539" s="270">
        <f t="shared" si="503"/>
        <v>0</v>
      </c>
      <c r="AB1539" s="811">
        <v>2</v>
      </c>
      <c r="AC1539" s="267">
        <f t="shared" si="504"/>
        <v>0</v>
      </c>
      <c r="AD1539" s="209" t="s">
        <v>168</v>
      </c>
      <c r="AE1539" s="210"/>
      <c r="AF1539" s="210"/>
      <c r="AG1539" s="211">
        <f>MID(O1539,1,3)/1000</f>
        <v>0.154</v>
      </c>
      <c r="AH1539" s="157">
        <f t="shared" si="505"/>
        <v>0</v>
      </c>
      <c r="AI1539" s="152">
        <f t="shared" si="506"/>
        <v>24000</v>
      </c>
      <c r="AK1539" s="156" t="s">
        <v>691</v>
      </c>
      <c r="AL1539" s="156" t="s">
        <v>689</v>
      </c>
      <c r="AM1539" s="198">
        <f t="shared" si="500"/>
        <v>0</v>
      </c>
      <c r="AN1539" s="199">
        <f t="shared" si="487"/>
        <v>45587</v>
      </c>
      <c r="AO1539" s="159" t="s">
        <v>692</v>
      </c>
      <c r="AP1539" s="783" t="s">
        <v>610</v>
      </c>
      <c r="AQ1539" s="783" t="s">
        <v>631</v>
      </c>
      <c r="AR1539" s="783" t="s">
        <v>523</v>
      </c>
      <c r="AS1539" s="781"/>
      <c r="AT1539" s="782">
        <v>12055919</v>
      </c>
      <c r="AU1539" s="781"/>
      <c r="AV1539" s="783" t="s">
        <v>544</v>
      </c>
      <c r="AW1539" s="781"/>
      <c r="AX1539" s="782" t="s">
        <v>398</v>
      </c>
      <c r="AY1539" s="781"/>
      <c r="AZ1539" s="781"/>
      <c r="BA1539" s="781"/>
    </row>
    <row r="1540" spans="1:53" ht="25" hidden="1" customHeight="1">
      <c r="B1540" s="183">
        <v>45588</v>
      </c>
      <c r="C1540" s="184"/>
      <c r="D1540" s="185">
        <f t="shared" si="485"/>
        <v>2024</v>
      </c>
      <c r="E1540" s="185" t="str">
        <f>VLOOKUP($B1540,Week!$A$1:$C$1462,2,0)</f>
        <v>Week43</v>
      </c>
      <c r="F1540" s="186" t="str">
        <f t="shared" si="486"/>
        <v>Oct</v>
      </c>
      <c r="G1540" s="185"/>
      <c r="H1540" s="185"/>
      <c r="I1540" s="185"/>
      <c r="J1540" s="187"/>
      <c r="K1540" s="188"/>
      <c r="L1540" s="300"/>
      <c r="M1540" s="187"/>
      <c r="N1540" s="185"/>
      <c r="O1540" s="185"/>
      <c r="P1540" s="189"/>
      <c r="Q1540" s="189"/>
      <c r="R1540" s="190"/>
      <c r="S1540" s="185"/>
      <c r="T1540" s="185"/>
      <c r="U1540" s="185"/>
      <c r="V1540" s="191"/>
      <c r="W1540" s="191"/>
      <c r="X1540" s="192"/>
      <c r="Y1540" s="193"/>
      <c r="Z1540" s="194"/>
      <c r="AA1540" s="194"/>
      <c r="AB1540" s="805"/>
      <c r="AC1540" s="191"/>
      <c r="AD1540" s="187"/>
      <c r="AE1540" s="195"/>
      <c r="AF1540" s="195"/>
      <c r="AG1540" s="196"/>
      <c r="AH1540" s="197"/>
      <c r="AK1540" s="156" t="s">
        <v>691</v>
      </c>
      <c r="AM1540" s="198">
        <f t="shared" si="500"/>
        <v>0</v>
      </c>
      <c r="AN1540" s="199">
        <f t="shared" si="487"/>
        <v>45588</v>
      </c>
      <c r="AO1540" s="159" t="s">
        <v>692</v>
      </c>
      <c r="AP1540" s="781"/>
      <c r="AQ1540" s="782"/>
      <c r="AR1540" s="782"/>
      <c r="AS1540" s="782"/>
      <c r="AT1540" s="782"/>
      <c r="AU1540" s="781"/>
      <c r="AV1540" s="782"/>
      <c r="AW1540" s="782"/>
      <c r="AX1540" s="782"/>
      <c r="AY1540" s="782"/>
      <c r="AZ1540" s="782"/>
      <c r="BA1540" s="781"/>
    </row>
    <row r="1541" spans="1:53" ht="24.75" hidden="1" customHeight="1">
      <c r="B1541" s="295">
        <v>45589</v>
      </c>
      <c r="C1541" s="296" t="s">
        <v>1677</v>
      </c>
      <c r="D1541" s="185">
        <f t="shared" ref="D1541:D1604" si="507">IF(B1541="","",YEAR(B1541))</f>
        <v>2024</v>
      </c>
      <c r="E1541" s="296" t="str">
        <f>VLOOKUP($B1541,Week!$A$1:$C$1462,2,0)</f>
        <v>Week43</v>
      </c>
      <c r="F1541" s="297" t="str">
        <f t="shared" ref="F1541:F1604" si="508">IF(B1541="","",TEXT(B1541,"[$-409]mmm"))</f>
        <v>Oct</v>
      </c>
      <c r="G1541" s="648" t="s">
        <v>47</v>
      </c>
      <c r="H1541" s="298" t="s">
        <v>260</v>
      </c>
      <c r="I1541" s="298" t="s">
        <v>2702</v>
      </c>
      <c r="J1541" s="307" t="s">
        <v>904</v>
      </c>
      <c r="K1541" s="300" t="s">
        <v>176</v>
      </c>
      <c r="L1541" s="300" t="s">
        <v>2167</v>
      </c>
      <c r="M1541" s="299" t="s">
        <v>262</v>
      </c>
      <c r="N1541" s="298" t="s">
        <v>350</v>
      </c>
      <c r="O1541" s="298" t="s">
        <v>351</v>
      </c>
      <c r="P1541" s="301">
        <v>24</v>
      </c>
      <c r="Q1541" s="301">
        <v>5</v>
      </c>
      <c r="R1541" s="302">
        <v>6.1999999999999998E-3</v>
      </c>
      <c r="S1541" s="298" t="s">
        <v>352</v>
      </c>
      <c r="T1541" s="298" t="s">
        <v>56</v>
      </c>
      <c r="U1541" s="298" t="s">
        <v>57</v>
      </c>
      <c r="V1541" s="303">
        <v>4712</v>
      </c>
      <c r="W1541" s="303">
        <f>4712</f>
        <v>4712</v>
      </c>
      <c r="X1541" s="304"/>
      <c r="Y1541" s="305">
        <f t="shared" ref="Y1541:Y1555" si="509">(W1541+X1541)-V1541</f>
        <v>0</v>
      </c>
      <c r="Z1541" s="306">
        <f t="shared" ref="Z1541:Z1555" si="510">IF(Y1541&lt;0,((V1541*P1541)-((W1541+X1541)*P1541)),0)</f>
        <v>0</v>
      </c>
      <c r="AA1541" s="306"/>
      <c r="AB1541" s="814"/>
      <c r="AC1541" s="303"/>
      <c r="AD1541" s="580" t="s">
        <v>672</v>
      </c>
      <c r="AE1541" s="210"/>
      <c r="AF1541" s="210"/>
      <c r="AG1541" s="211">
        <f t="shared" ref="AG1541:AG1555" si="511">MID(O1541,1,3)/1000</f>
        <v>0.13</v>
      </c>
      <c r="AH1541" s="157">
        <f t="shared" ref="AH1541:AH1548" si="512">(Z1541*AG1541)/1000</f>
        <v>0</v>
      </c>
      <c r="AI1541" s="152">
        <f t="shared" ref="AI1541:AI1555" si="513">V1541*P1541</f>
        <v>113088</v>
      </c>
      <c r="AK1541" s="156" t="s">
        <v>691</v>
      </c>
      <c r="AL1541" s="574" t="s">
        <v>690</v>
      </c>
      <c r="AM1541" s="198">
        <f t="shared" si="500"/>
        <v>0</v>
      </c>
      <c r="AN1541" s="199">
        <f t="shared" ref="AN1541:AN1604" si="514">B1541</f>
        <v>45589</v>
      </c>
      <c r="AO1541" s="159" t="s">
        <v>692</v>
      </c>
      <c r="AP1541" s="783" t="s">
        <v>629</v>
      </c>
      <c r="AQ1541" s="782">
        <v>12071839</v>
      </c>
      <c r="AR1541" s="782">
        <v>12078867</v>
      </c>
      <c r="AS1541" s="782">
        <v>12068233</v>
      </c>
      <c r="AT1541" s="781"/>
      <c r="AU1541" s="781"/>
      <c r="AV1541" s="782">
        <v>12062075</v>
      </c>
      <c r="AW1541" s="781"/>
      <c r="AX1541" s="781"/>
      <c r="AY1541" s="782">
        <v>12078867</v>
      </c>
      <c r="AZ1541" s="781"/>
      <c r="BA1541" s="781"/>
    </row>
    <row r="1542" spans="1:53" ht="25" hidden="1" customHeight="1">
      <c r="B1542" s="357">
        <v>45589</v>
      </c>
      <c r="C1542" s="358">
        <v>45616</v>
      </c>
      <c r="D1542" s="185">
        <f t="shared" si="507"/>
        <v>2024</v>
      </c>
      <c r="E1542" s="358" t="str">
        <f>VLOOKUP($B1542,Week!$A$1:$C$1462,2,0)</f>
        <v>Week43</v>
      </c>
      <c r="F1542" s="360" t="str">
        <f t="shared" si="508"/>
        <v>Oct</v>
      </c>
      <c r="G1542" s="436" t="s">
        <v>1605</v>
      </c>
      <c r="H1542" s="359" t="s">
        <v>225</v>
      </c>
      <c r="I1542" s="359" t="s">
        <v>2773</v>
      </c>
      <c r="J1542" s="361" t="s">
        <v>650</v>
      </c>
      <c r="K1542" s="362" t="s">
        <v>593</v>
      </c>
      <c r="L1542" s="300" t="s">
        <v>2167</v>
      </c>
      <c r="M1542" s="361" t="s">
        <v>717</v>
      </c>
      <c r="N1542" s="359" t="s">
        <v>719</v>
      </c>
      <c r="O1542" s="359" t="s">
        <v>230</v>
      </c>
      <c r="P1542" s="363">
        <v>12</v>
      </c>
      <c r="Q1542" s="363">
        <v>5</v>
      </c>
      <c r="R1542" s="364">
        <v>6.0000000000000001E-3</v>
      </c>
      <c r="S1542" s="359" t="s">
        <v>55</v>
      </c>
      <c r="T1542" s="359" t="s">
        <v>112</v>
      </c>
      <c r="U1542" s="359" t="s">
        <v>57</v>
      </c>
      <c r="V1542" s="365">
        <v>2579</v>
      </c>
      <c r="W1542" s="365"/>
      <c r="X1542" s="366">
        <v>2579</v>
      </c>
      <c r="Y1542" s="367">
        <f t="shared" si="509"/>
        <v>0</v>
      </c>
      <c r="Z1542" s="368">
        <f t="shared" si="510"/>
        <v>0</v>
      </c>
      <c r="AA1542" s="368"/>
      <c r="AB1542" s="819"/>
      <c r="AC1542" s="365"/>
      <c r="AD1542" s="515"/>
      <c r="AE1542" s="210"/>
      <c r="AF1542" s="210"/>
      <c r="AG1542" s="211">
        <f t="shared" si="511"/>
        <v>0.25800000000000001</v>
      </c>
      <c r="AH1542" s="157">
        <f t="shared" si="512"/>
        <v>0</v>
      </c>
      <c r="AI1542" s="152">
        <f t="shared" si="513"/>
        <v>30948</v>
      </c>
      <c r="AK1542" s="156" t="s">
        <v>691</v>
      </c>
      <c r="AL1542" s="574" t="s">
        <v>690</v>
      </c>
      <c r="AM1542" s="198">
        <f t="shared" si="500"/>
        <v>0</v>
      </c>
      <c r="AN1542" s="199">
        <f t="shared" si="514"/>
        <v>45589</v>
      </c>
      <c r="AO1542" s="159" t="s">
        <v>692</v>
      </c>
      <c r="AP1542" s="783" t="s">
        <v>612</v>
      </c>
      <c r="AQ1542" s="782">
        <v>12071839</v>
      </c>
      <c r="AR1542" s="782">
        <v>12042650</v>
      </c>
      <c r="AS1542" s="782">
        <v>12042649</v>
      </c>
      <c r="AT1542" s="782">
        <v>12088423</v>
      </c>
      <c r="AU1542" s="781"/>
      <c r="AV1542" s="782">
        <v>12088422</v>
      </c>
      <c r="AW1542" s="782"/>
      <c r="AX1542" s="782"/>
      <c r="AY1542" s="782"/>
      <c r="AZ1542" s="782"/>
      <c r="BA1542" s="781"/>
    </row>
    <row r="1543" spans="1:53" ht="25" hidden="1" customHeight="1">
      <c r="B1543" s="383">
        <v>45590</v>
      </c>
      <c r="C1543" s="383">
        <v>45595</v>
      </c>
      <c r="D1543" s="185">
        <f t="shared" si="507"/>
        <v>2024</v>
      </c>
      <c r="E1543" s="224" t="str">
        <f>VLOOKUP($B1543,Week!$A$1:$C$1462,2,0)</f>
        <v>Week43</v>
      </c>
      <c r="F1543" s="226" t="str">
        <f t="shared" si="508"/>
        <v>Oct</v>
      </c>
      <c r="G1543" s="225" t="s">
        <v>1615</v>
      </c>
      <c r="H1543" s="225" t="s">
        <v>225</v>
      </c>
      <c r="I1543" s="225" t="s">
        <v>2773</v>
      </c>
      <c r="J1543" s="227" t="s">
        <v>335</v>
      </c>
      <c r="K1543" s="228" t="s">
        <v>176</v>
      </c>
      <c r="L1543" s="300" t="s">
        <v>2167</v>
      </c>
      <c r="M1543" s="227" t="s">
        <v>336</v>
      </c>
      <c r="N1543" s="225" t="s">
        <v>337</v>
      </c>
      <c r="O1543" s="225" t="s">
        <v>179</v>
      </c>
      <c r="P1543" s="229">
        <v>36</v>
      </c>
      <c r="Q1543" s="229">
        <v>5</v>
      </c>
      <c r="R1543" s="230">
        <v>7.4999999999999997E-3</v>
      </c>
      <c r="S1543" s="225" t="s">
        <v>111</v>
      </c>
      <c r="T1543" s="225" t="s">
        <v>112</v>
      </c>
      <c r="U1543" s="225" t="s">
        <v>113</v>
      </c>
      <c r="V1543" s="231">
        <f>1288-84</f>
        <v>1204</v>
      </c>
      <c r="W1543" s="231">
        <f>1288-84</f>
        <v>1204</v>
      </c>
      <c r="X1543" s="232"/>
      <c r="Y1543" s="233">
        <f t="shared" si="509"/>
        <v>0</v>
      </c>
      <c r="Z1543" s="234">
        <f t="shared" si="510"/>
        <v>0</v>
      </c>
      <c r="AA1543" s="234"/>
      <c r="AB1543" s="822"/>
      <c r="AC1543" s="231"/>
      <c r="AD1543" s="515"/>
      <c r="AE1543" s="210"/>
      <c r="AF1543" s="210"/>
      <c r="AG1543" s="211">
        <f t="shared" si="511"/>
        <v>0.14499999999999999</v>
      </c>
      <c r="AH1543" s="157">
        <f t="shared" si="512"/>
        <v>0</v>
      </c>
      <c r="AI1543" s="152">
        <f t="shared" si="513"/>
        <v>43344</v>
      </c>
      <c r="AK1543" s="156" t="s">
        <v>691</v>
      </c>
      <c r="AL1543" s="574" t="s">
        <v>690</v>
      </c>
      <c r="AM1543" s="198">
        <f t="shared" si="500"/>
        <v>0</v>
      </c>
      <c r="AN1543" s="199">
        <f t="shared" si="514"/>
        <v>45590</v>
      </c>
      <c r="AO1543" s="159" t="s">
        <v>692</v>
      </c>
      <c r="AP1543" s="783" t="s">
        <v>639</v>
      </c>
      <c r="AQ1543" s="782">
        <v>12071839</v>
      </c>
      <c r="AR1543" s="782">
        <v>12047514</v>
      </c>
      <c r="AS1543" s="782">
        <v>12047515</v>
      </c>
      <c r="AT1543" s="782">
        <v>12054919</v>
      </c>
      <c r="AU1543" s="781"/>
      <c r="AV1543" s="782">
        <v>12054869</v>
      </c>
      <c r="AW1543" s="782">
        <v>12024404</v>
      </c>
      <c r="AX1543" s="781"/>
      <c r="AY1543" s="782">
        <v>12054815</v>
      </c>
      <c r="AZ1543" s="781"/>
      <c r="BA1543" s="781"/>
    </row>
    <row r="1544" spans="1:53" ht="25" hidden="1" customHeight="1">
      <c r="B1544" s="383">
        <v>45590</v>
      </c>
      <c r="C1544" s="383">
        <v>45610</v>
      </c>
      <c r="D1544" s="185">
        <f t="shared" si="507"/>
        <v>2024</v>
      </c>
      <c r="E1544" s="224" t="str">
        <f>VLOOKUP($B1544,Week!$A$1:$C$1462,2,0)</f>
        <v>Week43</v>
      </c>
      <c r="F1544" s="226" t="str">
        <f t="shared" si="508"/>
        <v>Oct</v>
      </c>
      <c r="G1544" s="225" t="s">
        <v>1616</v>
      </c>
      <c r="H1544" s="225" t="s">
        <v>225</v>
      </c>
      <c r="I1544" s="225" t="s">
        <v>2773</v>
      </c>
      <c r="J1544" s="227" t="s">
        <v>335</v>
      </c>
      <c r="K1544" s="228" t="s">
        <v>176</v>
      </c>
      <c r="L1544" s="300" t="s">
        <v>2167</v>
      </c>
      <c r="M1544" s="227" t="s">
        <v>336</v>
      </c>
      <c r="N1544" s="225" t="s">
        <v>337</v>
      </c>
      <c r="O1544" s="225" t="s">
        <v>179</v>
      </c>
      <c r="P1544" s="229">
        <v>36</v>
      </c>
      <c r="Q1544" s="229">
        <v>5</v>
      </c>
      <c r="R1544" s="230">
        <v>7.4999999999999997E-3</v>
      </c>
      <c r="S1544" s="225" t="s">
        <v>111</v>
      </c>
      <c r="T1544" s="225" t="s">
        <v>112</v>
      </c>
      <c r="U1544" s="225" t="s">
        <v>113</v>
      </c>
      <c r="V1544" s="231">
        <v>1288</v>
      </c>
      <c r="W1544" s="231">
        <v>1288</v>
      </c>
      <c r="X1544" s="232"/>
      <c r="Y1544" s="233">
        <f t="shared" si="509"/>
        <v>0</v>
      </c>
      <c r="Z1544" s="234">
        <f t="shared" si="510"/>
        <v>0</v>
      </c>
      <c r="AA1544" s="234"/>
      <c r="AB1544" s="822"/>
      <c r="AC1544" s="231"/>
      <c r="AD1544" s="515"/>
      <c r="AE1544" s="210"/>
      <c r="AF1544" s="210"/>
      <c r="AG1544" s="211">
        <f t="shared" si="511"/>
        <v>0.14499999999999999</v>
      </c>
      <c r="AH1544" s="157">
        <f t="shared" si="512"/>
        <v>0</v>
      </c>
      <c r="AI1544" s="152">
        <f t="shared" si="513"/>
        <v>46368</v>
      </c>
      <c r="AK1544" s="156" t="s">
        <v>691</v>
      </c>
      <c r="AL1544" s="574" t="s">
        <v>690</v>
      </c>
      <c r="AM1544" s="198">
        <f t="shared" si="500"/>
        <v>0</v>
      </c>
      <c r="AN1544" s="199">
        <f t="shared" si="514"/>
        <v>45590</v>
      </c>
      <c r="AO1544" s="159" t="s">
        <v>692</v>
      </c>
      <c r="AP1544" s="783" t="s">
        <v>639</v>
      </c>
      <c r="AQ1544" s="782">
        <v>12071839</v>
      </c>
      <c r="AR1544" s="782">
        <v>12047514</v>
      </c>
      <c r="AS1544" s="782">
        <v>12047515</v>
      </c>
      <c r="AT1544" s="782">
        <v>12054919</v>
      </c>
      <c r="AU1544" s="781"/>
      <c r="AV1544" s="782">
        <v>12054869</v>
      </c>
      <c r="AW1544" s="782">
        <v>12024404</v>
      </c>
      <c r="AX1544" s="781"/>
      <c r="AY1544" s="782">
        <v>12054815</v>
      </c>
      <c r="AZ1544" s="781"/>
      <c r="BA1544" s="781"/>
    </row>
    <row r="1545" spans="1:53" ht="25" hidden="1" customHeight="1">
      <c r="B1545" s="383">
        <v>45590</v>
      </c>
      <c r="C1545" s="383">
        <v>45610</v>
      </c>
      <c r="D1545" s="185">
        <f t="shared" si="507"/>
        <v>2024</v>
      </c>
      <c r="E1545" s="224" t="str">
        <f>VLOOKUP($B1545,Week!$A$1:$C$1462,2,0)</f>
        <v>Week43</v>
      </c>
      <c r="F1545" s="226" t="str">
        <f t="shared" si="508"/>
        <v>Oct</v>
      </c>
      <c r="G1545" s="225" t="s">
        <v>1618</v>
      </c>
      <c r="H1545" s="225" t="s">
        <v>225</v>
      </c>
      <c r="I1545" s="225" t="s">
        <v>2773</v>
      </c>
      <c r="J1545" s="227" t="s">
        <v>335</v>
      </c>
      <c r="K1545" s="228" t="s">
        <v>176</v>
      </c>
      <c r="L1545" s="300" t="s">
        <v>2167</v>
      </c>
      <c r="M1545" s="227" t="s">
        <v>336</v>
      </c>
      <c r="N1545" s="225" t="s">
        <v>337</v>
      </c>
      <c r="O1545" s="225" t="s">
        <v>179</v>
      </c>
      <c r="P1545" s="229">
        <v>36</v>
      </c>
      <c r="Q1545" s="229">
        <v>5</v>
      </c>
      <c r="R1545" s="230">
        <v>7.4999999999999997E-3</v>
      </c>
      <c r="S1545" s="225" t="s">
        <v>111</v>
      </c>
      <c r="T1545" s="225" t="s">
        <v>112</v>
      </c>
      <c r="U1545" s="225" t="s">
        <v>113</v>
      </c>
      <c r="V1545" s="231">
        <v>1288</v>
      </c>
      <c r="W1545" s="231">
        <v>1288</v>
      </c>
      <c r="X1545" s="232"/>
      <c r="Y1545" s="233">
        <f t="shared" si="509"/>
        <v>0</v>
      </c>
      <c r="Z1545" s="234">
        <f t="shared" si="510"/>
        <v>0</v>
      </c>
      <c r="AA1545" s="234"/>
      <c r="AB1545" s="822"/>
      <c r="AC1545" s="231"/>
      <c r="AD1545" s="515"/>
      <c r="AE1545" s="210"/>
      <c r="AF1545" s="210"/>
      <c r="AG1545" s="211">
        <f t="shared" si="511"/>
        <v>0.14499999999999999</v>
      </c>
      <c r="AH1545" s="157">
        <f t="shared" si="512"/>
        <v>0</v>
      </c>
      <c r="AI1545" s="152">
        <f t="shared" si="513"/>
        <v>46368</v>
      </c>
      <c r="AK1545" s="156" t="s">
        <v>691</v>
      </c>
      <c r="AL1545" s="574" t="s">
        <v>690</v>
      </c>
      <c r="AM1545" s="198">
        <f t="shared" si="500"/>
        <v>0</v>
      </c>
      <c r="AN1545" s="199">
        <f t="shared" si="514"/>
        <v>45590</v>
      </c>
      <c r="AO1545" s="159" t="s">
        <v>692</v>
      </c>
      <c r="AP1545" s="783" t="s">
        <v>639</v>
      </c>
      <c r="AQ1545" s="782">
        <v>12071839</v>
      </c>
      <c r="AR1545" s="782">
        <v>12047514</v>
      </c>
      <c r="AS1545" s="782">
        <v>12047515</v>
      </c>
      <c r="AT1545" s="782">
        <v>12054919</v>
      </c>
      <c r="AU1545" s="781"/>
      <c r="AV1545" s="782">
        <v>12054869</v>
      </c>
      <c r="AW1545" s="782">
        <v>12024404</v>
      </c>
      <c r="AX1545" s="781"/>
      <c r="AY1545" s="782">
        <v>12054815</v>
      </c>
      <c r="AZ1545" s="781"/>
      <c r="BA1545" s="781"/>
    </row>
    <row r="1546" spans="1:53" ht="25" hidden="1" customHeight="1">
      <c r="B1546" s="383">
        <v>45590</v>
      </c>
      <c r="C1546" s="383">
        <v>45617</v>
      </c>
      <c r="D1546" s="185">
        <f t="shared" si="507"/>
        <v>2024</v>
      </c>
      <c r="E1546" s="224" t="str">
        <f>VLOOKUP($B1546,Week!$A$1:$C$1462,2,0)</f>
        <v>Week43</v>
      </c>
      <c r="F1546" s="226" t="str">
        <f t="shared" si="508"/>
        <v>Oct</v>
      </c>
      <c r="G1546" s="225" t="s">
        <v>1617</v>
      </c>
      <c r="H1546" s="225" t="s">
        <v>225</v>
      </c>
      <c r="I1546" s="225" t="s">
        <v>2773</v>
      </c>
      <c r="J1546" s="227" t="s">
        <v>335</v>
      </c>
      <c r="K1546" s="228" t="s">
        <v>176</v>
      </c>
      <c r="L1546" s="300" t="s">
        <v>2167</v>
      </c>
      <c r="M1546" s="227" t="s">
        <v>336</v>
      </c>
      <c r="N1546" s="225" t="s">
        <v>337</v>
      </c>
      <c r="O1546" s="225" t="s">
        <v>179</v>
      </c>
      <c r="P1546" s="229">
        <v>36</v>
      </c>
      <c r="Q1546" s="229">
        <v>5</v>
      </c>
      <c r="R1546" s="230">
        <v>7.4999999999999997E-3</v>
      </c>
      <c r="S1546" s="225" t="s">
        <v>111</v>
      </c>
      <c r="T1546" s="225" t="s">
        <v>112</v>
      </c>
      <c r="U1546" s="225" t="s">
        <v>113</v>
      </c>
      <c r="V1546" s="231">
        <f>19</f>
        <v>19</v>
      </c>
      <c r="W1546" s="231">
        <f>19</f>
        <v>19</v>
      </c>
      <c r="X1546" s="232"/>
      <c r="Y1546" s="233">
        <f t="shared" si="509"/>
        <v>0</v>
      </c>
      <c r="Z1546" s="234">
        <f t="shared" si="510"/>
        <v>0</v>
      </c>
      <c r="AA1546" s="234"/>
      <c r="AB1546" s="822"/>
      <c r="AC1546" s="231"/>
      <c r="AD1546" s="515"/>
      <c r="AE1546" s="210"/>
      <c r="AF1546" s="210"/>
      <c r="AG1546" s="211">
        <f t="shared" si="511"/>
        <v>0.14499999999999999</v>
      </c>
      <c r="AH1546" s="157">
        <f t="shared" si="512"/>
        <v>0</v>
      </c>
      <c r="AI1546" s="152">
        <f t="shared" si="513"/>
        <v>684</v>
      </c>
      <c r="AK1546" s="156" t="s">
        <v>691</v>
      </c>
      <c r="AL1546" s="574" t="s">
        <v>690</v>
      </c>
      <c r="AM1546" s="198">
        <f t="shared" si="500"/>
        <v>0</v>
      </c>
      <c r="AN1546" s="199">
        <f t="shared" si="514"/>
        <v>45590</v>
      </c>
      <c r="AO1546" s="159" t="s">
        <v>692</v>
      </c>
      <c r="AP1546" s="783" t="s">
        <v>639</v>
      </c>
      <c r="AQ1546" s="782">
        <v>12071839</v>
      </c>
      <c r="AR1546" s="782">
        <v>12047514</v>
      </c>
      <c r="AS1546" s="782">
        <v>12047515</v>
      </c>
      <c r="AT1546" s="782">
        <v>12054919</v>
      </c>
      <c r="AU1546" s="781"/>
      <c r="AV1546" s="782">
        <v>12054869</v>
      </c>
      <c r="AW1546" s="782">
        <v>12024404</v>
      </c>
      <c r="AX1546" s="781"/>
      <c r="AY1546" s="782">
        <v>12054815</v>
      </c>
      <c r="AZ1546" s="781"/>
      <c r="BA1546" s="781"/>
    </row>
    <row r="1547" spans="1:53" ht="24.65" hidden="1" customHeight="1">
      <c r="B1547" s="424">
        <v>45590</v>
      </c>
      <c r="C1547" s="647" t="s">
        <v>1677</v>
      </c>
      <c r="D1547" s="185">
        <f t="shared" si="507"/>
        <v>2024</v>
      </c>
      <c r="E1547" s="425" t="str">
        <f>VLOOKUP($B1547,Week!$A$1:$C$1462,2,0)</f>
        <v>Week43</v>
      </c>
      <c r="F1547" s="426" t="str">
        <f t="shared" si="508"/>
        <v>Oct</v>
      </c>
      <c r="G1547" s="427" t="s">
        <v>47</v>
      </c>
      <c r="H1547" s="427" t="s">
        <v>260</v>
      </c>
      <c r="I1547" s="427" t="s">
        <v>2702</v>
      </c>
      <c r="J1547" s="428" t="s">
        <v>70</v>
      </c>
      <c r="K1547" s="429" t="s">
        <v>1646</v>
      </c>
      <c r="L1547" s="300" t="s">
        <v>2167</v>
      </c>
      <c r="M1547" s="428" t="s">
        <v>1116</v>
      </c>
      <c r="N1547" s="427" t="s">
        <v>1302</v>
      </c>
      <c r="O1547" s="427" t="s">
        <v>668</v>
      </c>
      <c r="P1547" s="430">
        <v>12</v>
      </c>
      <c r="Q1547" s="430">
        <v>3</v>
      </c>
      <c r="R1547" s="431">
        <v>6.1999999999999998E-3</v>
      </c>
      <c r="S1547" s="427" t="s">
        <v>352</v>
      </c>
      <c r="T1547" s="427" t="s">
        <v>56</v>
      </c>
      <c r="U1547" s="427" t="s">
        <v>669</v>
      </c>
      <c r="V1547" s="628">
        <f>686</f>
        <v>686</v>
      </c>
      <c r="W1547" s="432">
        <f>1+666</f>
        <v>667</v>
      </c>
      <c r="X1547" s="433">
        <f>373/12</f>
        <v>31.083333333333332</v>
      </c>
      <c r="Y1547" s="434">
        <f t="shared" si="509"/>
        <v>12.083333333333371</v>
      </c>
      <c r="Z1547" s="435">
        <f t="shared" si="510"/>
        <v>0</v>
      </c>
      <c r="AA1547" s="435"/>
      <c r="AB1547" s="826"/>
      <c r="AC1547" s="432"/>
      <c r="AD1547" s="209" t="s">
        <v>1508</v>
      </c>
      <c r="AE1547" s="210"/>
      <c r="AF1547" s="210"/>
      <c r="AG1547" s="211">
        <f t="shared" si="511"/>
        <v>0.21099999999999999</v>
      </c>
      <c r="AH1547" s="157">
        <f t="shared" si="512"/>
        <v>0</v>
      </c>
      <c r="AI1547" s="152">
        <f t="shared" si="513"/>
        <v>8232</v>
      </c>
      <c r="AK1547" s="156" t="s">
        <v>691</v>
      </c>
      <c r="AL1547" s="212" t="s">
        <v>690</v>
      </c>
      <c r="AM1547" s="198">
        <f t="shared" si="500"/>
        <v>0</v>
      </c>
      <c r="AN1547" s="199">
        <f t="shared" si="514"/>
        <v>45590</v>
      </c>
      <c r="AO1547" s="159" t="s">
        <v>692</v>
      </c>
      <c r="AP1547" s="783" t="s">
        <v>623</v>
      </c>
      <c r="AQ1547" s="782">
        <v>12071839</v>
      </c>
      <c r="AR1547" s="782">
        <v>12042650</v>
      </c>
      <c r="AS1547" s="782">
        <v>12042649</v>
      </c>
      <c r="AT1547" s="782"/>
      <c r="AU1547" s="781"/>
      <c r="AV1547" s="782">
        <v>12090991</v>
      </c>
      <c r="AW1547" s="782"/>
      <c r="AX1547" s="782"/>
      <c r="AY1547" s="782">
        <v>12090992</v>
      </c>
      <c r="AZ1547" s="782">
        <v>12090990</v>
      </c>
      <c r="BA1547" s="781"/>
    </row>
    <row r="1548" spans="1:53" ht="25" hidden="1" customHeight="1">
      <c r="B1548" s="213">
        <v>45591</v>
      </c>
      <c r="C1548" s="578">
        <v>45600</v>
      </c>
      <c r="D1548" s="185">
        <f t="shared" si="507"/>
        <v>2024</v>
      </c>
      <c r="E1548" s="215" t="str">
        <f>VLOOKUP($B1548,Week!$A$1:$C$1462,2,0)</f>
        <v>Week43</v>
      </c>
      <c r="F1548" s="216" t="str">
        <f t="shared" si="508"/>
        <v>Oct</v>
      </c>
      <c r="G1548" s="215" t="s">
        <v>1666</v>
      </c>
      <c r="H1548" s="215" t="s">
        <v>104</v>
      </c>
      <c r="I1548" s="215" t="s">
        <v>2772</v>
      </c>
      <c r="J1548" s="209" t="s">
        <v>105</v>
      </c>
      <c r="K1548" s="217" t="s">
        <v>107</v>
      </c>
      <c r="L1548" s="300" t="s">
        <v>2167</v>
      </c>
      <c r="M1548" s="209" t="s">
        <v>108</v>
      </c>
      <c r="N1548" s="215" t="s">
        <v>109</v>
      </c>
      <c r="O1548" s="215" t="s">
        <v>110</v>
      </c>
      <c r="P1548" s="218">
        <v>36</v>
      </c>
      <c r="Q1548" s="218">
        <v>5</v>
      </c>
      <c r="R1548" s="219">
        <v>7.4999999999999997E-3</v>
      </c>
      <c r="S1548" s="215" t="s">
        <v>111</v>
      </c>
      <c r="T1548" s="215" t="s">
        <v>112</v>
      </c>
      <c r="U1548" s="215" t="s">
        <v>113</v>
      </c>
      <c r="V1548" s="220">
        <f>8</f>
        <v>8</v>
      </c>
      <c r="W1548" s="220">
        <v>8</v>
      </c>
      <c r="X1548" s="221"/>
      <c r="Y1548" s="222">
        <f t="shared" si="509"/>
        <v>0</v>
      </c>
      <c r="Z1548" s="223">
        <f t="shared" si="510"/>
        <v>0</v>
      </c>
      <c r="AA1548" s="223"/>
      <c r="AB1548" s="807"/>
      <c r="AC1548" s="220"/>
      <c r="AD1548" s="209"/>
      <c r="AE1548" s="210"/>
      <c r="AF1548" s="210"/>
      <c r="AG1548" s="211">
        <f t="shared" si="511"/>
        <v>0.308</v>
      </c>
      <c r="AH1548" s="157">
        <f t="shared" si="512"/>
        <v>0</v>
      </c>
      <c r="AI1548" s="152">
        <f t="shared" si="513"/>
        <v>288</v>
      </c>
      <c r="AK1548" s="156" t="s">
        <v>691</v>
      </c>
      <c r="AL1548" s="574" t="s">
        <v>690</v>
      </c>
      <c r="AM1548" s="198">
        <f t="shared" si="500"/>
        <v>0</v>
      </c>
      <c r="AN1548" s="199">
        <f t="shared" si="514"/>
        <v>45591</v>
      </c>
      <c r="AO1548" s="159" t="s">
        <v>692</v>
      </c>
      <c r="AP1548" s="781"/>
      <c r="AQ1548" s="782">
        <v>12063755</v>
      </c>
      <c r="AR1548" s="782">
        <v>12061353</v>
      </c>
      <c r="AS1548" s="782">
        <v>12061354</v>
      </c>
      <c r="AT1548" s="782">
        <v>12068566</v>
      </c>
      <c r="AU1548" s="781"/>
      <c r="AV1548" s="782">
        <v>12088206</v>
      </c>
      <c r="AW1548" s="782">
        <v>12088207</v>
      </c>
      <c r="AX1548" s="782"/>
      <c r="AY1548" s="782">
        <v>12068565</v>
      </c>
      <c r="AZ1548" s="782"/>
      <c r="BA1548" s="781"/>
    </row>
    <row r="1549" spans="1:53" ht="25" hidden="1" customHeight="1">
      <c r="B1549" s="213">
        <v>45591</v>
      </c>
      <c r="C1549" s="578">
        <v>45600</v>
      </c>
      <c r="D1549" s="185">
        <f t="shared" si="507"/>
        <v>2024</v>
      </c>
      <c r="E1549" s="215" t="str">
        <f>VLOOKUP($B1549,Week!$A$1:$C$1462,2,0)</f>
        <v>Week43</v>
      </c>
      <c r="F1549" s="216" t="str">
        <f t="shared" si="508"/>
        <v>Oct</v>
      </c>
      <c r="G1549" s="215" t="s">
        <v>1667</v>
      </c>
      <c r="H1549" s="215" t="s">
        <v>104</v>
      </c>
      <c r="I1549" s="215" t="s">
        <v>2772</v>
      </c>
      <c r="J1549" s="209" t="s">
        <v>105</v>
      </c>
      <c r="K1549" s="217" t="s">
        <v>107</v>
      </c>
      <c r="L1549" s="300" t="s">
        <v>2167</v>
      </c>
      <c r="M1549" s="209" t="s">
        <v>108</v>
      </c>
      <c r="N1549" s="215" t="s">
        <v>109</v>
      </c>
      <c r="O1549" s="215" t="s">
        <v>110</v>
      </c>
      <c r="P1549" s="218">
        <v>36</v>
      </c>
      <c r="Q1549" s="218">
        <v>5</v>
      </c>
      <c r="R1549" s="219">
        <v>7.4999999999999997E-3</v>
      </c>
      <c r="S1549" s="215" t="s">
        <v>111</v>
      </c>
      <c r="T1549" s="215" t="s">
        <v>112</v>
      </c>
      <c r="U1549" s="215" t="s">
        <v>113</v>
      </c>
      <c r="V1549" s="220">
        <v>792</v>
      </c>
      <c r="W1549" s="220">
        <v>632</v>
      </c>
      <c r="X1549" s="221">
        <v>160</v>
      </c>
      <c r="Y1549" s="222">
        <f t="shared" si="509"/>
        <v>0</v>
      </c>
      <c r="Z1549" s="223">
        <f t="shared" si="510"/>
        <v>0</v>
      </c>
      <c r="AA1549" s="223"/>
      <c r="AB1549" s="807"/>
      <c r="AC1549" s="220"/>
      <c r="AD1549" s="209"/>
      <c r="AE1549" s="210"/>
      <c r="AF1549" s="210"/>
      <c r="AG1549" s="211">
        <f t="shared" si="511"/>
        <v>0.308</v>
      </c>
      <c r="AH1549" s="157">
        <f t="shared" ref="AH1549:AH1555" si="515">(Z1549*AG1549)/1000</f>
        <v>0</v>
      </c>
      <c r="AI1549" s="152">
        <f t="shared" si="513"/>
        <v>28512</v>
      </c>
      <c r="AK1549" s="156" t="s">
        <v>691</v>
      </c>
      <c r="AL1549" s="574" t="s">
        <v>690</v>
      </c>
      <c r="AM1549" s="198">
        <f t="shared" ref="AM1549:AM1555" si="516">AG1549*Z1549</f>
        <v>0</v>
      </c>
      <c r="AN1549" s="199">
        <f t="shared" si="514"/>
        <v>45591</v>
      </c>
      <c r="AO1549" s="159" t="s">
        <v>692</v>
      </c>
      <c r="AP1549" s="781"/>
      <c r="AQ1549" s="782">
        <v>12063755</v>
      </c>
      <c r="AR1549" s="782">
        <v>12061353</v>
      </c>
      <c r="AS1549" s="782">
        <v>12061354</v>
      </c>
      <c r="AT1549" s="782">
        <v>12068566</v>
      </c>
      <c r="AU1549" s="781"/>
      <c r="AV1549" s="782">
        <v>12088206</v>
      </c>
      <c r="AW1549" s="782">
        <v>12088207</v>
      </c>
      <c r="AX1549" s="782"/>
      <c r="AY1549" s="782">
        <v>12068565</v>
      </c>
      <c r="AZ1549" s="782"/>
      <c r="BA1549" s="781"/>
    </row>
    <row r="1550" spans="1:53" ht="25" hidden="1" customHeight="1">
      <c r="B1550" s="213">
        <v>45591</v>
      </c>
      <c r="C1550" s="578">
        <v>45602</v>
      </c>
      <c r="D1550" s="185">
        <f t="shared" si="507"/>
        <v>2024</v>
      </c>
      <c r="E1550" s="215" t="str">
        <f>VLOOKUP($B1550,Week!$A$1:$C$1462,2,0)</f>
        <v>Week43</v>
      </c>
      <c r="F1550" s="216" t="str">
        <f t="shared" si="508"/>
        <v>Oct</v>
      </c>
      <c r="G1550" s="215" t="s">
        <v>1754</v>
      </c>
      <c r="H1550" s="215" t="s">
        <v>104</v>
      </c>
      <c r="I1550" s="215" t="s">
        <v>2772</v>
      </c>
      <c r="J1550" s="209" t="s">
        <v>105</v>
      </c>
      <c r="K1550" s="217" t="s">
        <v>107</v>
      </c>
      <c r="L1550" s="300" t="s">
        <v>2167</v>
      </c>
      <c r="M1550" s="209" t="s">
        <v>108</v>
      </c>
      <c r="N1550" s="215" t="s">
        <v>109</v>
      </c>
      <c r="O1550" s="215" t="s">
        <v>110</v>
      </c>
      <c r="P1550" s="218">
        <v>36</v>
      </c>
      <c r="Q1550" s="218">
        <v>5</v>
      </c>
      <c r="R1550" s="219">
        <v>7.4999999999999997E-3</v>
      </c>
      <c r="S1550" s="215" t="s">
        <v>111</v>
      </c>
      <c r="T1550" s="215" t="s">
        <v>112</v>
      </c>
      <c r="U1550" s="215" t="s">
        <v>113</v>
      </c>
      <c r="V1550" s="220">
        <v>792</v>
      </c>
      <c r="W1550" s="220">
        <v>632</v>
      </c>
      <c r="X1550" s="221">
        <v>160</v>
      </c>
      <c r="Y1550" s="222">
        <f t="shared" si="509"/>
        <v>0</v>
      </c>
      <c r="Z1550" s="223">
        <f t="shared" si="510"/>
        <v>0</v>
      </c>
      <c r="AA1550" s="223"/>
      <c r="AB1550" s="807"/>
      <c r="AC1550" s="220"/>
      <c r="AD1550" s="209"/>
      <c r="AE1550" s="210"/>
      <c r="AF1550" s="210"/>
      <c r="AG1550" s="211">
        <f t="shared" si="511"/>
        <v>0.308</v>
      </c>
      <c r="AH1550" s="157">
        <f t="shared" si="515"/>
        <v>0</v>
      </c>
      <c r="AI1550" s="152">
        <f t="shared" si="513"/>
        <v>28512</v>
      </c>
      <c r="AK1550" s="156" t="s">
        <v>691</v>
      </c>
      <c r="AL1550" s="574" t="s">
        <v>690</v>
      </c>
      <c r="AM1550" s="198">
        <f t="shared" si="516"/>
        <v>0</v>
      </c>
      <c r="AN1550" s="199">
        <f t="shared" si="514"/>
        <v>45591</v>
      </c>
      <c r="AO1550" s="159" t="s">
        <v>692</v>
      </c>
      <c r="AP1550" s="781"/>
      <c r="AQ1550" s="782">
        <v>12063755</v>
      </c>
      <c r="AR1550" s="782">
        <v>12061353</v>
      </c>
      <c r="AS1550" s="782">
        <v>12061354</v>
      </c>
      <c r="AT1550" s="782">
        <v>12068566</v>
      </c>
      <c r="AU1550" s="781"/>
      <c r="AV1550" s="782">
        <v>12088206</v>
      </c>
      <c r="AW1550" s="782">
        <v>12088207</v>
      </c>
      <c r="AX1550" s="782"/>
      <c r="AY1550" s="782">
        <v>12068565</v>
      </c>
      <c r="AZ1550" s="782"/>
      <c r="BA1550" s="781"/>
    </row>
    <row r="1551" spans="1:53" ht="25" hidden="1" customHeight="1">
      <c r="B1551" s="213">
        <v>45591</v>
      </c>
      <c r="C1551" s="578">
        <v>45602</v>
      </c>
      <c r="D1551" s="185">
        <f t="shared" si="507"/>
        <v>2024</v>
      </c>
      <c r="E1551" s="215" t="str">
        <f>VLOOKUP($B1551,Week!$A$1:$C$1462,2,0)</f>
        <v>Week43</v>
      </c>
      <c r="F1551" s="216" t="str">
        <f t="shared" si="508"/>
        <v>Oct</v>
      </c>
      <c r="G1551" s="215" t="s">
        <v>1755</v>
      </c>
      <c r="H1551" s="215" t="s">
        <v>104</v>
      </c>
      <c r="I1551" s="215" t="s">
        <v>2772</v>
      </c>
      <c r="J1551" s="209" t="s">
        <v>105</v>
      </c>
      <c r="K1551" s="217" t="s">
        <v>107</v>
      </c>
      <c r="L1551" s="300" t="s">
        <v>2167</v>
      </c>
      <c r="M1551" s="209" t="s">
        <v>108</v>
      </c>
      <c r="N1551" s="215" t="s">
        <v>109</v>
      </c>
      <c r="O1551" s="215" t="s">
        <v>110</v>
      </c>
      <c r="P1551" s="218">
        <v>36</v>
      </c>
      <c r="Q1551" s="218">
        <v>5</v>
      </c>
      <c r="R1551" s="219">
        <v>7.4999999999999997E-3</v>
      </c>
      <c r="S1551" s="215" t="s">
        <v>111</v>
      </c>
      <c r="T1551" s="215" t="s">
        <v>112</v>
      </c>
      <c r="U1551" s="215" t="s">
        <v>113</v>
      </c>
      <c r="V1551" s="220">
        <v>792</v>
      </c>
      <c r="W1551" s="220">
        <v>792</v>
      </c>
      <c r="X1551" s="221"/>
      <c r="Y1551" s="222">
        <f t="shared" si="509"/>
        <v>0</v>
      </c>
      <c r="Z1551" s="223">
        <f t="shared" si="510"/>
        <v>0</v>
      </c>
      <c r="AA1551" s="223"/>
      <c r="AB1551" s="807"/>
      <c r="AC1551" s="220"/>
      <c r="AD1551" s="209"/>
      <c r="AE1551" s="210"/>
      <c r="AF1551" s="210"/>
      <c r="AG1551" s="211">
        <f t="shared" si="511"/>
        <v>0.308</v>
      </c>
      <c r="AH1551" s="157">
        <f t="shared" si="515"/>
        <v>0</v>
      </c>
      <c r="AI1551" s="152">
        <f t="shared" si="513"/>
        <v>28512</v>
      </c>
      <c r="AK1551" s="156" t="s">
        <v>691</v>
      </c>
      <c r="AL1551" s="574" t="s">
        <v>690</v>
      </c>
      <c r="AM1551" s="198">
        <f t="shared" si="516"/>
        <v>0</v>
      </c>
      <c r="AN1551" s="199">
        <f t="shared" si="514"/>
        <v>45591</v>
      </c>
      <c r="AO1551" s="159" t="s">
        <v>692</v>
      </c>
      <c r="AP1551" s="781"/>
      <c r="AQ1551" s="782">
        <v>12063755</v>
      </c>
      <c r="AR1551" s="782">
        <v>12061353</v>
      </c>
      <c r="AS1551" s="782">
        <v>12061354</v>
      </c>
      <c r="AT1551" s="782">
        <v>12068566</v>
      </c>
      <c r="AU1551" s="781"/>
      <c r="AV1551" s="782">
        <v>12088206</v>
      </c>
      <c r="AW1551" s="782">
        <v>12088207</v>
      </c>
      <c r="AX1551" s="782"/>
      <c r="AY1551" s="782">
        <v>12068565</v>
      </c>
      <c r="AZ1551" s="782"/>
      <c r="BA1551" s="781"/>
    </row>
    <row r="1552" spans="1:53" ht="25" hidden="1" customHeight="1">
      <c r="B1552" s="213">
        <v>45591</v>
      </c>
      <c r="C1552" s="578">
        <v>45609</v>
      </c>
      <c r="D1552" s="185">
        <f t="shared" si="507"/>
        <v>2024</v>
      </c>
      <c r="E1552" s="215" t="str">
        <f>VLOOKUP($B1552,Week!$A$1:$C$1462,2,0)</f>
        <v>Week43</v>
      </c>
      <c r="F1552" s="216" t="str">
        <f t="shared" si="508"/>
        <v>Oct</v>
      </c>
      <c r="G1552" s="215" t="s">
        <v>1756</v>
      </c>
      <c r="H1552" s="215" t="s">
        <v>104</v>
      </c>
      <c r="I1552" s="215" t="s">
        <v>2772</v>
      </c>
      <c r="J1552" s="209" t="s">
        <v>105</v>
      </c>
      <c r="K1552" s="217" t="s">
        <v>107</v>
      </c>
      <c r="L1552" s="300" t="s">
        <v>2167</v>
      </c>
      <c r="M1552" s="209" t="s">
        <v>108</v>
      </c>
      <c r="N1552" s="215" t="s">
        <v>109</v>
      </c>
      <c r="O1552" s="215" t="s">
        <v>110</v>
      </c>
      <c r="P1552" s="218">
        <v>36</v>
      </c>
      <c r="Q1552" s="218">
        <v>5</v>
      </c>
      <c r="R1552" s="219">
        <v>7.4999999999999997E-3</v>
      </c>
      <c r="S1552" s="215" t="s">
        <v>111</v>
      </c>
      <c r="T1552" s="215" t="s">
        <v>112</v>
      </c>
      <c r="U1552" s="215" t="s">
        <v>113</v>
      </c>
      <c r="V1552" s="220">
        <v>792</v>
      </c>
      <c r="W1552" s="220">
        <v>632</v>
      </c>
      <c r="X1552" s="221">
        <v>160</v>
      </c>
      <c r="Y1552" s="222">
        <f t="shared" si="509"/>
        <v>0</v>
      </c>
      <c r="Z1552" s="223">
        <f t="shared" si="510"/>
        <v>0</v>
      </c>
      <c r="AA1552" s="223"/>
      <c r="AB1552" s="807"/>
      <c r="AC1552" s="220"/>
      <c r="AD1552" s="209"/>
      <c r="AE1552" s="210"/>
      <c r="AF1552" s="210"/>
      <c r="AG1552" s="211">
        <f t="shared" si="511"/>
        <v>0.308</v>
      </c>
      <c r="AH1552" s="157">
        <f t="shared" si="515"/>
        <v>0</v>
      </c>
      <c r="AI1552" s="152">
        <f t="shared" si="513"/>
        <v>28512</v>
      </c>
      <c r="AK1552" s="156" t="s">
        <v>691</v>
      </c>
      <c r="AL1552" s="574" t="s">
        <v>690</v>
      </c>
      <c r="AM1552" s="198">
        <f t="shared" si="516"/>
        <v>0</v>
      </c>
      <c r="AN1552" s="199">
        <f t="shared" si="514"/>
        <v>45591</v>
      </c>
      <c r="AO1552" s="159" t="s">
        <v>692</v>
      </c>
      <c r="AP1552" s="781"/>
      <c r="AQ1552" s="782">
        <v>12063755</v>
      </c>
      <c r="AR1552" s="782">
        <v>12061353</v>
      </c>
      <c r="AS1552" s="782">
        <v>12061354</v>
      </c>
      <c r="AT1552" s="782">
        <v>12068566</v>
      </c>
      <c r="AU1552" s="781"/>
      <c r="AV1552" s="782">
        <v>12088206</v>
      </c>
      <c r="AW1552" s="782">
        <v>12088207</v>
      </c>
      <c r="AX1552" s="782"/>
      <c r="AY1552" s="782">
        <v>12068565</v>
      </c>
      <c r="AZ1552" s="782"/>
      <c r="BA1552" s="781"/>
    </row>
    <row r="1553" spans="2:53" ht="25" hidden="1" customHeight="1">
      <c r="B1553" s="213">
        <v>45591</v>
      </c>
      <c r="C1553" s="578">
        <v>45609</v>
      </c>
      <c r="D1553" s="185">
        <f t="shared" si="507"/>
        <v>2024</v>
      </c>
      <c r="E1553" s="215" t="str">
        <f>VLOOKUP($B1553,Week!$A$1:$C$1462,2,0)</f>
        <v>Week43</v>
      </c>
      <c r="F1553" s="216" t="str">
        <f t="shared" si="508"/>
        <v>Oct</v>
      </c>
      <c r="G1553" s="215" t="s">
        <v>1757</v>
      </c>
      <c r="H1553" s="215" t="s">
        <v>104</v>
      </c>
      <c r="I1553" s="215" t="s">
        <v>2772</v>
      </c>
      <c r="J1553" s="209" t="s">
        <v>105</v>
      </c>
      <c r="K1553" s="217" t="s">
        <v>107</v>
      </c>
      <c r="L1553" s="300" t="s">
        <v>2167</v>
      </c>
      <c r="M1553" s="209" t="s">
        <v>108</v>
      </c>
      <c r="N1553" s="215" t="s">
        <v>109</v>
      </c>
      <c r="O1553" s="215" t="s">
        <v>110</v>
      </c>
      <c r="P1553" s="218">
        <v>36</v>
      </c>
      <c r="Q1553" s="218">
        <v>5</v>
      </c>
      <c r="R1553" s="219">
        <v>7.4999999999999997E-3</v>
      </c>
      <c r="S1553" s="215" t="s">
        <v>111</v>
      </c>
      <c r="T1553" s="215" t="s">
        <v>112</v>
      </c>
      <c r="U1553" s="215" t="s">
        <v>113</v>
      </c>
      <c r="V1553" s="220">
        <v>792</v>
      </c>
      <c r="W1553" s="220">
        <v>792</v>
      </c>
      <c r="X1553" s="221"/>
      <c r="Y1553" s="222">
        <f t="shared" si="509"/>
        <v>0</v>
      </c>
      <c r="Z1553" s="223">
        <f t="shared" si="510"/>
        <v>0</v>
      </c>
      <c r="AA1553" s="223"/>
      <c r="AB1553" s="807"/>
      <c r="AC1553" s="220"/>
      <c r="AD1553" s="209"/>
      <c r="AE1553" s="210"/>
      <c r="AF1553" s="210"/>
      <c r="AG1553" s="211">
        <f t="shared" si="511"/>
        <v>0.308</v>
      </c>
      <c r="AH1553" s="157">
        <f t="shared" si="515"/>
        <v>0</v>
      </c>
      <c r="AI1553" s="152">
        <f t="shared" si="513"/>
        <v>28512</v>
      </c>
      <c r="AK1553" s="156" t="s">
        <v>691</v>
      </c>
      <c r="AL1553" s="574" t="s">
        <v>690</v>
      </c>
      <c r="AM1553" s="198">
        <f t="shared" si="516"/>
        <v>0</v>
      </c>
      <c r="AN1553" s="199">
        <f t="shared" si="514"/>
        <v>45591</v>
      </c>
      <c r="AO1553" s="159" t="s">
        <v>692</v>
      </c>
      <c r="AP1553" s="781"/>
      <c r="AQ1553" s="782">
        <v>12063755</v>
      </c>
      <c r="AR1553" s="782">
        <v>12061353</v>
      </c>
      <c r="AS1553" s="782">
        <v>12061354</v>
      </c>
      <c r="AT1553" s="782">
        <v>12068566</v>
      </c>
      <c r="AU1553" s="781"/>
      <c r="AV1553" s="782">
        <v>12088206</v>
      </c>
      <c r="AW1553" s="782">
        <v>12088207</v>
      </c>
      <c r="AX1553" s="782"/>
      <c r="AY1553" s="782">
        <v>12068565</v>
      </c>
      <c r="AZ1553" s="782"/>
      <c r="BA1553" s="781"/>
    </row>
    <row r="1554" spans="2:53" ht="25" hidden="1" customHeight="1">
      <c r="B1554" s="213">
        <v>45591</v>
      </c>
      <c r="C1554" s="578">
        <v>45609</v>
      </c>
      <c r="D1554" s="185">
        <f t="shared" si="507"/>
        <v>2024</v>
      </c>
      <c r="E1554" s="215" t="str">
        <f>VLOOKUP($B1554,Week!$A$1:$C$1462,2,0)</f>
        <v>Week43</v>
      </c>
      <c r="F1554" s="216" t="str">
        <f t="shared" si="508"/>
        <v>Oct</v>
      </c>
      <c r="G1554" s="215" t="s">
        <v>1758</v>
      </c>
      <c r="H1554" s="215" t="s">
        <v>104</v>
      </c>
      <c r="I1554" s="215" t="s">
        <v>2772</v>
      </c>
      <c r="J1554" s="209" t="s">
        <v>105</v>
      </c>
      <c r="K1554" s="217" t="s">
        <v>107</v>
      </c>
      <c r="L1554" s="300" t="s">
        <v>2167</v>
      </c>
      <c r="M1554" s="209" t="s">
        <v>108</v>
      </c>
      <c r="N1554" s="215" t="s">
        <v>109</v>
      </c>
      <c r="O1554" s="215" t="s">
        <v>110</v>
      </c>
      <c r="P1554" s="218">
        <v>36</v>
      </c>
      <c r="Q1554" s="218">
        <v>5</v>
      </c>
      <c r="R1554" s="219">
        <v>7.4999999999999997E-3</v>
      </c>
      <c r="S1554" s="215" t="s">
        <v>111</v>
      </c>
      <c r="T1554" s="215" t="s">
        <v>112</v>
      </c>
      <c r="U1554" s="215" t="s">
        <v>113</v>
      </c>
      <c r="V1554" s="220">
        <v>792</v>
      </c>
      <c r="W1554" s="220">
        <f>3637-8-632-632-792-632-792+1+472+10</f>
        <v>632</v>
      </c>
      <c r="X1554" s="221">
        <f>160</f>
        <v>160</v>
      </c>
      <c r="Y1554" s="222">
        <f t="shared" si="509"/>
        <v>0</v>
      </c>
      <c r="Z1554" s="223">
        <f t="shared" si="510"/>
        <v>0</v>
      </c>
      <c r="AA1554" s="223"/>
      <c r="AB1554" s="807"/>
      <c r="AC1554" s="220"/>
      <c r="AD1554" s="209"/>
      <c r="AE1554" s="210"/>
      <c r="AF1554" s="210"/>
      <c r="AG1554" s="211">
        <f t="shared" si="511"/>
        <v>0.308</v>
      </c>
      <c r="AH1554" s="157">
        <f t="shared" si="515"/>
        <v>0</v>
      </c>
      <c r="AI1554" s="152">
        <f t="shared" si="513"/>
        <v>28512</v>
      </c>
      <c r="AK1554" s="156" t="s">
        <v>691</v>
      </c>
      <c r="AL1554" s="574" t="s">
        <v>690</v>
      </c>
      <c r="AM1554" s="198">
        <f t="shared" si="516"/>
        <v>0</v>
      </c>
      <c r="AN1554" s="199">
        <f t="shared" si="514"/>
        <v>45591</v>
      </c>
      <c r="AO1554" s="159" t="s">
        <v>692</v>
      </c>
      <c r="AP1554" s="781"/>
      <c r="AQ1554" s="782">
        <v>12063755</v>
      </c>
      <c r="AR1554" s="782">
        <v>12061353</v>
      </c>
      <c r="AS1554" s="782">
        <v>12061354</v>
      </c>
      <c r="AT1554" s="782">
        <v>12068566</v>
      </c>
      <c r="AU1554" s="781"/>
      <c r="AV1554" s="782">
        <v>12088206</v>
      </c>
      <c r="AW1554" s="782">
        <v>12088207</v>
      </c>
      <c r="AX1554" s="782"/>
      <c r="AY1554" s="782">
        <v>12068565</v>
      </c>
      <c r="AZ1554" s="782"/>
      <c r="BA1554" s="781"/>
    </row>
    <row r="1555" spans="2:53" ht="25" hidden="1" customHeight="1">
      <c r="B1555" s="213">
        <v>45591</v>
      </c>
      <c r="C1555" s="578">
        <v>45609</v>
      </c>
      <c r="D1555" s="185">
        <f t="shared" si="507"/>
        <v>2024</v>
      </c>
      <c r="E1555" s="215" t="str">
        <f>VLOOKUP($B1555,Week!$A$1:$C$1462,2,0)</f>
        <v>Week43</v>
      </c>
      <c r="F1555" s="216" t="str">
        <f t="shared" si="508"/>
        <v>Oct</v>
      </c>
      <c r="G1555" s="215" t="s">
        <v>1759</v>
      </c>
      <c r="H1555" s="215" t="s">
        <v>104</v>
      </c>
      <c r="I1555" s="215" t="s">
        <v>2772</v>
      </c>
      <c r="J1555" s="209" t="s">
        <v>105</v>
      </c>
      <c r="K1555" s="217" t="s">
        <v>107</v>
      </c>
      <c r="L1555" s="300" t="s">
        <v>2167</v>
      </c>
      <c r="M1555" s="209" t="s">
        <v>108</v>
      </c>
      <c r="N1555" s="215" t="s">
        <v>109</v>
      </c>
      <c r="O1555" s="215" t="s">
        <v>110</v>
      </c>
      <c r="P1555" s="218">
        <v>36</v>
      </c>
      <c r="Q1555" s="218">
        <v>5</v>
      </c>
      <c r="R1555" s="219">
        <v>7.4999999999999997E-3</v>
      </c>
      <c r="S1555" s="215" t="s">
        <v>111</v>
      </c>
      <c r="T1555" s="215" t="s">
        <v>112</v>
      </c>
      <c r="U1555" s="215" t="s">
        <v>113</v>
      </c>
      <c r="V1555" s="220">
        <f>108</f>
        <v>108</v>
      </c>
      <c r="W1555" s="220">
        <f>108</f>
        <v>108</v>
      </c>
      <c r="X1555" s="221"/>
      <c r="Y1555" s="222">
        <f t="shared" si="509"/>
        <v>0</v>
      </c>
      <c r="Z1555" s="223">
        <f t="shared" si="510"/>
        <v>0</v>
      </c>
      <c r="AA1555" s="223"/>
      <c r="AB1555" s="807"/>
      <c r="AC1555" s="220"/>
      <c r="AD1555" s="209"/>
      <c r="AE1555" s="210"/>
      <c r="AF1555" s="210"/>
      <c r="AG1555" s="211">
        <f t="shared" si="511"/>
        <v>0.308</v>
      </c>
      <c r="AH1555" s="157">
        <f t="shared" si="515"/>
        <v>0</v>
      </c>
      <c r="AI1555" s="152">
        <f t="shared" si="513"/>
        <v>3888</v>
      </c>
      <c r="AK1555" s="156" t="s">
        <v>691</v>
      </c>
      <c r="AL1555" s="574" t="s">
        <v>690</v>
      </c>
      <c r="AM1555" s="198">
        <f t="shared" si="516"/>
        <v>0</v>
      </c>
      <c r="AN1555" s="199">
        <f t="shared" si="514"/>
        <v>45591</v>
      </c>
      <c r="AO1555" s="159" t="s">
        <v>692</v>
      </c>
      <c r="AP1555" s="781"/>
      <c r="AQ1555" s="782">
        <v>12063755</v>
      </c>
      <c r="AR1555" s="782">
        <v>12061353</v>
      </c>
      <c r="AS1555" s="782">
        <v>12061354</v>
      </c>
      <c r="AT1555" s="782">
        <v>12068566</v>
      </c>
      <c r="AU1555" s="781"/>
      <c r="AV1555" s="782">
        <v>12088206</v>
      </c>
      <c r="AW1555" s="782">
        <v>12088207</v>
      </c>
      <c r="AX1555" s="782"/>
      <c r="AY1555" s="782">
        <v>12068565</v>
      </c>
      <c r="AZ1555" s="782"/>
      <c r="BA1555" s="781"/>
    </row>
    <row r="1556" spans="2:53" ht="25" hidden="1" customHeight="1">
      <c r="B1556" s="183">
        <v>45592</v>
      </c>
      <c r="C1556" s="184"/>
      <c r="D1556" s="185">
        <f t="shared" si="507"/>
        <v>2024</v>
      </c>
      <c r="E1556" s="185" t="str">
        <f>VLOOKUP($B1556,Week!$A$1:$C$1462,2,0)</f>
        <v>Week43</v>
      </c>
      <c r="F1556" s="186" t="str">
        <f t="shared" si="508"/>
        <v>Oct</v>
      </c>
      <c r="G1556" s="185"/>
      <c r="H1556" s="185"/>
      <c r="I1556" s="185"/>
      <c r="J1556" s="187"/>
      <c r="K1556" s="188"/>
      <c r="L1556" s="300"/>
      <c r="M1556" s="187"/>
      <c r="N1556" s="185"/>
      <c r="O1556" s="185"/>
      <c r="P1556" s="189"/>
      <c r="Q1556" s="189"/>
      <c r="R1556" s="190"/>
      <c r="S1556" s="185"/>
      <c r="T1556" s="185"/>
      <c r="U1556" s="185"/>
      <c r="V1556" s="191"/>
      <c r="W1556" s="191"/>
      <c r="X1556" s="192"/>
      <c r="Y1556" s="193"/>
      <c r="Z1556" s="194"/>
      <c r="AA1556" s="194"/>
      <c r="AB1556" s="805"/>
      <c r="AC1556" s="191"/>
      <c r="AD1556" s="187"/>
      <c r="AE1556" s="195"/>
      <c r="AF1556" s="195"/>
      <c r="AG1556" s="196"/>
      <c r="AH1556" s="197"/>
      <c r="AK1556" s="156" t="s">
        <v>691</v>
      </c>
      <c r="AM1556" s="198">
        <f t="shared" ref="AM1556:AM1577" si="517">AG1556*Z1556</f>
        <v>0</v>
      </c>
      <c r="AN1556" s="199">
        <f t="shared" si="514"/>
        <v>45592</v>
      </c>
      <c r="AO1556" s="159" t="s">
        <v>692</v>
      </c>
      <c r="AP1556" s="781"/>
      <c r="AQ1556" s="782"/>
      <c r="AR1556" s="782"/>
      <c r="AS1556" s="782"/>
      <c r="AT1556" s="782"/>
      <c r="AU1556" s="781"/>
      <c r="AV1556" s="782"/>
      <c r="AW1556" s="782"/>
      <c r="AX1556" s="782"/>
      <c r="AY1556" s="782"/>
      <c r="AZ1556" s="782"/>
      <c r="BA1556" s="781"/>
    </row>
    <row r="1557" spans="2:53" ht="25" hidden="1" customHeight="1">
      <c r="B1557" s="383">
        <v>45593</v>
      </c>
      <c r="C1557" s="383">
        <v>45617</v>
      </c>
      <c r="D1557" s="185">
        <f t="shared" si="507"/>
        <v>2024</v>
      </c>
      <c r="E1557" s="224" t="str">
        <f>VLOOKUP($B1557,Week!$A$1:$C$1462,2,0)</f>
        <v>Week44</v>
      </c>
      <c r="F1557" s="226" t="str">
        <f t="shared" si="508"/>
        <v>Oct</v>
      </c>
      <c r="G1557" s="225" t="s">
        <v>1617</v>
      </c>
      <c r="H1557" s="225" t="s">
        <v>225</v>
      </c>
      <c r="I1557" s="225" t="s">
        <v>2773</v>
      </c>
      <c r="J1557" s="227" t="s">
        <v>335</v>
      </c>
      <c r="K1557" s="228" t="s">
        <v>176</v>
      </c>
      <c r="L1557" s="300" t="s">
        <v>2167</v>
      </c>
      <c r="M1557" s="227" t="s">
        <v>336</v>
      </c>
      <c r="N1557" s="225" t="s">
        <v>337</v>
      </c>
      <c r="O1557" s="225" t="s">
        <v>179</v>
      </c>
      <c r="P1557" s="229">
        <v>36</v>
      </c>
      <c r="Q1557" s="229">
        <v>5</v>
      </c>
      <c r="R1557" s="230">
        <v>7.4999999999999997E-3</v>
      </c>
      <c r="S1557" s="225" t="s">
        <v>111</v>
      </c>
      <c r="T1557" s="225" t="s">
        <v>112</v>
      </c>
      <c r="U1557" s="225" t="s">
        <v>113</v>
      </c>
      <c r="V1557" s="231">
        <f>1288-19</f>
        <v>1269</v>
      </c>
      <c r="W1557" s="231">
        <f>1031</f>
        <v>1031</v>
      </c>
      <c r="X1557" s="232">
        <f>(8568)/36</f>
        <v>238</v>
      </c>
      <c r="Y1557" s="233">
        <f t="shared" ref="Y1557:Y1574" si="518">(W1557+X1557)-V1557</f>
        <v>0</v>
      </c>
      <c r="Z1557" s="234">
        <f t="shared" ref="Z1557:Z1574" si="519">IF(Y1557&lt;0,((V1557*P1557)-((W1557+X1557)*P1557)),0)</f>
        <v>0</v>
      </c>
      <c r="AA1557" s="234"/>
      <c r="AB1557" s="822"/>
      <c r="AC1557" s="231"/>
      <c r="AD1557" s="515"/>
      <c r="AE1557" s="210"/>
      <c r="AF1557" s="210"/>
      <c r="AG1557" s="211">
        <f t="shared" ref="AG1557:AG1574" si="520">MID(O1557,1,3)/1000</f>
        <v>0.14499999999999999</v>
      </c>
      <c r="AH1557" s="157">
        <f t="shared" ref="AH1557:AH1574" si="521">(Z1557*AG1557)/1000</f>
        <v>0</v>
      </c>
      <c r="AI1557" s="152">
        <f t="shared" ref="AI1557:AI1574" si="522">V1557*P1557</f>
        <v>45684</v>
      </c>
      <c r="AK1557" s="156" t="s">
        <v>691</v>
      </c>
      <c r="AL1557" s="574" t="s">
        <v>690</v>
      </c>
      <c r="AM1557" s="198">
        <f t="shared" si="517"/>
        <v>0</v>
      </c>
      <c r="AN1557" s="199">
        <f t="shared" si="514"/>
        <v>45593</v>
      </c>
      <c r="AO1557" s="159" t="s">
        <v>692</v>
      </c>
      <c r="AP1557" s="783" t="s">
        <v>639</v>
      </c>
      <c r="AQ1557" s="782">
        <v>12071839</v>
      </c>
      <c r="AR1557" s="782">
        <v>12047514</v>
      </c>
      <c r="AS1557" s="782">
        <v>12047515</v>
      </c>
      <c r="AT1557" s="782">
        <v>12054919</v>
      </c>
      <c r="AU1557" s="781"/>
      <c r="AV1557" s="782">
        <v>12054869</v>
      </c>
      <c r="AW1557" s="782">
        <v>12024404</v>
      </c>
      <c r="AX1557" s="781"/>
      <c r="AY1557" s="782">
        <v>12054815</v>
      </c>
      <c r="AZ1557" s="781"/>
      <c r="BA1557" s="781"/>
    </row>
    <row r="1558" spans="2:53" ht="24.75" hidden="1" customHeight="1">
      <c r="B1558" s="333">
        <v>45593</v>
      </c>
      <c r="C1558" s="333">
        <v>45603</v>
      </c>
      <c r="D1558" s="185">
        <f t="shared" si="507"/>
        <v>2024</v>
      </c>
      <c r="E1558" s="335" t="str">
        <f>VLOOKUP($B1558,Week!$A$1:$C$1462,2,0)</f>
        <v>Week44</v>
      </c>
      <c r="F1558" s="334" t="str">
        <f t="shared" si="508"/>
        <v>Oct</v>
      </c>
      <c r="G1558" s="335" t="s">
        <v>1752</v>
      </c>
      <c r="H1558" s="335" t="s">
        <v>363</v>
      </c>
      <c r="I1558" s="335" t="s">
        <v>2772</v>
      </c>
      <c r="J1558" s="336" t="s">
        <v>364</v>
      </c>
      <c r="K1558" s="337" t="s">
        <v>176</v>
      </c>
      <c r="L1558" s="300" t="s">
        <v>2167</v>
      </c>
      <c r="M1558" s="382" t="s">
        <v>646</v>
      </c>
      <c r="N1558" s="335" t="s">
        <v>647</v>
      </c>
      <c r="O1558" s="335" t="s">
        <v>599</v>
      </c>
      <c r="P1558" s="338">
        <v>36</v>
      </c>
      <c r="Q1558" s="338">
        <v>5</v>
      </c>
      <c r="R1558" s="339">
        <v>8.0000000000000002E-3</v>
      </c>
      <c r="S1558" s="335" t="s">
        <v>40</v>
      </c>
      <c r="T1558" s="335" t="s">
        <v>112</v>
      </c>
      <c r="U1558" s="335" t="s">
        <v>57</v>
      </c>
      <c r="V1558" s="341">
        <v>1288</v>
      </c>
      <c r="W1558" s="341">
        <f>1288</f>
        <v>1288</v>
      </c>
      <c r="X1558" s="342"/>
      <c r="Y1558" s="343">
        <f t="shared" si="518"/>
        <v>0</v>
      </c>
      <c r="Z1558" s="344">
        <f t="shared" si="519"/>
        <v>0</v>
      </c>
      <c r="AA1558" s="344"/>
      <c r="AB1558" s="821"/>
      <c r="AC1558" s="341"/>
      <c r="AD1558" s="209"/>
      <c r="AE1558" s="210"/>
      <c r="AF1558" s="210"/>
      <c r="AG1558" s="211">
        <f t="shared" si="520"/>
        <v>0.14799999999999999</v>
      </c>
      <c r="AH1558" s="157">
        <f t="shared" si="521"/>
        <v>0</v>
      </c>
      <c r="AI1558" s="152">
        <f t="shared" si="522"/>
        <v>46368</v>
      </c>
      <c r="AK1558" s="156" t="s">
        <v>691</v>
      </c>
      <c r="AL1558" s="574" t="s">
        <v>690</v>
      </c>
      <c r="AM1558" s="198">
        <f t="shared" si="517"/>
        <v>0</v>
      </c>
      <c r="AN1558" s="199">
        <f t="shared" si="514"/>
        <v>45593</v>
      </c>
      <c r="AO1558" s="159" t="s">
        <v>692</v>
      </c>
      <c r="AP1558" s="781"/>
      <c r="AQ1558" s="782">
        <v>12071839</v>
      </c>
      <c r="AR1558" s="782">
        <v>12047514</v>
      </c>
      <c r="AS1558" s="782">
        <v>12047515</v>
      </c>
      <c r="AT1558" s="782">
        <v>12084374</v>
      </c>
      <c r="AU1558" s="781"/>
      <c r="AV1558" s="782">
        <v>12084372</v>
      </c>
      <c r="AW1558" s="782">
        <v>12024404</v>
      </c>
      <c r="AX1558" s="782"/>
      <c r="AY1558" s="782">
        <v>12084373</v>
      </c>
      <c r="AZ1558" s="782"/>
      <c r="BA1558" s="781"/>
    </row>
    <row r="1559" spans="2:53" ht="24.75" hidden="1" customHeight="1">
      <c r="B1559" s="333">
        <v>45593</v>
      </c>
      <c r="C1559" s="333">
        <v>45610</v>
      </c>
      <c r="D1559" s="185">
        <f t="shared" si="507"/>
        <v>2024</v>
      </c>
      <c r="E1559" s="335" t="str">
        <f>VLOOKUP($B1559,Week!$A$1:$C$1462,2,0)</f>
        <v>Week44</v>
      </c>
      <c r="F1559" s="334" t="str">
        <f t="shared" si="508"/>
        <v>Oct</v>
      </c>
      <c r="G1559" s="335" t="s">
        <v>1753</v>
      </c>
      <c r="H1559" s="335" t="s">
        <v>363</v>
      </c>
      <c r="I1559" s="335" t="s">
        <v>2772</v>
      </c>
      <c r="J1559" s="336" t="s">
        <v>364</v>
      </c>
      <c r="K1559" s="337" t="s">
        <v>176</v>
      </c>
      <c r="L1559" s="300" t="s">
        <v>2167</v>
      </c>
      <c r="M1559" s="382" t="s">
        <v>646</v>
      </c>
      <c r="N1559" s="335" t="s">
        <v>647</v>
      </c>
      <c r="O1559" s="335" t="s">
        <v>599</v>
      </c>
      <c r="P1559" s="338">
        <v>36</v>
      </c>
      <c r="Q1559" s="338">
        <v>5</v>
      </c>
      <c r="R1559" s="339">
        <v>8.0000000000000002E-3</v>
      </c>
      <c r="S1559" s="335" t="s">
        <v>40</v>
      </c>
      <c r="T1559" s="335" t="s">
        <v>112</v>
      </c>
      <c r="U1559" s="335" t="s">
        <v>57</v>
      </c>
      <c r="V1559" s="341">
        <f>1242</f>
        <v>1242</v>
      </c>
      <c r="W1559" s="341">
        <f>1242</f>
        <v>1242</v>
      </c>
      <c r="X1559" s="342"/>
      <c r="Y1559" s="343">
        <f t="shared" si="518"/>
        <v>0</v>
      </c>
      <c r="Z1559" s="344">
        <f t="shared" si="519"/>
        <v>0</v>
      </c>
      <c r="AA1559" s="344"/>
      <c r="AB1559" s="821"/>
      <c r="AC1559" s="341"/>
      <c r="AD1559" s="209"/>
      <c r="AE1559" s="210"/>
      <c r="AF1559" s="210"/>
      <c r="AG1559" s="211">
        <f t="shared" si="520"/>
        <v>0.14799999999999999</v>
      </c>
      <c r="AH1559" s="157">
        <f t="shared" si="521"/>
        <v>0</v>
      </c>
      <c r="AI1559" s="152">
        <f t="shared" si="522"/>
        <v>44712</v>
      </c>
      <c r="AK1559" s="156" t="s">
        <v>691</v>
      </c>
      <c r="AL1559" s="574" t="s">
        <v>690</v>
      </c>
      <c r="AM1559" s="198">
        <f t="shared" si="517"/>
        <v>0</v>
      </c>
      <c r="AN1559" s="199">
        <f t="shared" si="514"/>
        <v>45593</v>
      </c>
      <c r="AO1559" s="159" t="s">
        <v>692</v>
      </c>
      <c r="AP1559" s="781"/>
      <c r="AQ1559" s="782">
        <v>12071839</v>
      </c>
      <c r="AR1559" s="782">
        <v>12047514</v>
      </c>
      <c r="AS1559" s="782">
        <v>12047515</v>
      </c>
      <c r="AT1559" s="782">
        <v>12084374</v>
      </c>
      <c r="AU1559" s="781"/>
      <c r="AV1559" s="782">
        <v>12084372</v>
      </c>
      <c r="AW1559" s="782">
        <v>12024404</v>
      </c>
      <c r="AX1559" s="782"/>
      <c r="AY1559" s="782">
        <v>12084373</v>
      </c>
      <c r="AZ1559" s="782"/>
      <c r="BA1559" s="781"/>
    </row>
    <row r="1560" spans="2:53" ht="25.15" hidden="1" customHeight="1">
      <c r="B1560" s="345">
        <v>45594</v>
      </c>
      <c r="C1560" s="346">
        <v>45608</v>
      </c>
      <c r="D1560" s="185">
        <f t="shared" si="507"/>
        <v>2024</v>
      </c>
      <c r="E1560" s="347" t="str">
        <f>VLOOKUP($B1560,Week!$A$1:$C$1462,2,0)</f>
        <v>Week44</v>
      </c>
      <c r="F1560" s="348" t="str">
        <f t="shared" si="508"/>
        <v>Oct</v>
      </c>
      <c r="G1560" s="347" t="s">
        <v>1411</v>
      </c>
      <c r="H1560" s="347" t="s">
        <v>424</v>
      </c>
      <c r="I1560" s="347" t="s">
        <v>2772</v>
      </c>
      <c r="J1560" s="438" t="s">
        <v>425</v>
      </c>
      <c r="K1560" s="350" t="s">
        <v>176</v>
      </c>
      <c r="L1560" s="300" t="s">
        <v>2167</v>
      </c>
      <c r="M1560" s="349" t="s">
        <v>426</v>
      </c>
      <c r="N1560" s="347" t="s">
        <v>427</v>
      </c>
      <c r="O1560" s="347" t="s">
        <v>599</v>
      </c>
      <c r="P1560" s="351">
        <v>36</v>
      </c>
      <c r="Q1560" s="351">
        <v>5</v>
      </c>
      <c r="R1560" s="352">
        <v>7.4999999999999997E-3</v>
      </c>
      <c r="S1560" s="347" t="s">
        <v>111</v>
      </c>
      <c r="T1560" s="347" t="s">
        <v>112</v>
      </c>
      <c r="U1560" s="347" t="s">
        <v>57</v>
      </c>
      <c r="V1560" s="353">
        <v>1288</v>
      </c>
      <c r="W1560" s="353">
        <f>97+1191</f>
        <v>1288</v>
      </c>
      <c r="X1560" s="354"/>
      <c r="Y1560" s="355">
        <f t="shared" si="518"/>
        <v>0</v>
      </c>
      <c r="Z1560" s="356">
        <f t="shared" si="519"/>
        <v>0</v>
      </c>
      <c r="AA1560" s="353"/>
      <c r="AB1560" s="818"/>
      <c r="AC1560" s="353"/>
      <c r="AD1560" s="307" t="s">
        <v>728</v>
      </c>
      <c r="AE1560" s="210"/>
      <c r="AF1560" s="210"/>
      <c r="AG1560" s="211">
        <f t="shared" si="520"/>
        <v>0.14799999999999999</v>
      </c>
      <c r="AH1560" s="157">
        <f t="shared" si="521"/>
        <v>0</v>
      </c>
      <c r="AI1560" s="152">
        <f t="shared" si="522"/>
        <v>46368</v>
      </c>
      <c r="AK1560" s="156" t="s">
        <v>691</v>
      </c>
      <c r="AL1560" s="574" t="s">
        <v>690</v>
      </c>
      <c r="AM1560" s="198">
        <f t="shared" si="517"/>
        <v>0</v>
      </c>
      <c r="AN1560" s="199">
        <f t="shared" si="514"/>
        <v>45594</v>
      </c>
      <c r="AO1560" s="159" t="s">
        <v>692</v>
      </c>
      <c r="AP1560" s="783" t="s">
        <v>609</v>
      </c>
      <c r="AQ1560" s="782">
        <v>12071839</v>
      </c>
      <c r="AR1560" s="782">
        <v>12047514</v>
      </c>
      <c r="AS1560" s="782">
        <v>12047515</v>
      </c>
      <c r="AT1560" s="782">
        <v>12062098</v>
      </c>
      <c r="AU1560" s="782"/>
      <c r="AV1560" s="782">
        <v>12062100</v>
      </c>
      <c r="AW1560" s="782">
        <v>12024404</v>
      </c>
      <c r="AX1560" s="781"/>
      <c r="AY1560" s="782">
        <v>12062116</v>
      </c>
      <c r="AZ1560" s="782"/>
      <c r="BA1560" s="781"/>
    </row>
    <row r="1561" spans="2:53" ht="25.15" hidden="1" customHeight="1">
      <c r="B1561" s="345">
        <v>45594</v>
      </c>
      <c r="C1561" s="346">
        <v>45608</v>
      </c>
      <c r="D1561" s="185">
        <f t="shared" si="507"/>
        <v>2024</v>
      </c>
      <c r="E1561" s="347" t="str">
        <f>VLOOKUP($B1561,Week!$A$1:$C$1462,2,0)</f>
        <v>Week44</v>
      </c>
      <c r="F1561" s="348" t="str">
        <f t="shared" si="508"/>
        <v>Oct</v>
      </c>
      <c r="G1561" s="347" t="s">
        <v>1412</v>
      </c>
      <c r="H1561" s="347" t="s">
        <v>424</v>
      </c>
      <c r="I1561" s="347" t="s">
        <v>2772</v>
      </c>
      <c r="J1561" s="438" t="s">
        <v>425</v>
      </c>
      <c r="K1561" s="350" t="s">
        <v>176</v>
      </c>
      <c r="L1561" s="300" t="s">
        <v>2167</v>
      </c>
      <c r="M1561" s="349" t="s">
        <v>426</v>
      </c>
      <c r="N1561" s="347" t="s">
        <v>427</v>
      </c>
      <c r="O1561" s="347" t="s">
        <v>599</v>
      </c>
      <c r="P1561" s="351">
        <v>36</v>
      </c>
      <c r="Q1561" s="351">
        <v>5</v>
      </c>
      <c r="R1561" s="352">
        <v>7.4999999999999997E-3</v>
      </c>
      <c r="S1561" s="347" t="s">
        <v>111</v>
      </c>
      <c r="T1561" s="347" t="s">
        <v>112</v>
      </c>
      <c r="U1561" s="347" t="s">
        <v>57</v>
      </c>
      <c r="V1561" s="353">
        <v>1288</v>
      </c>
      <c r="W1561" s="353">
        <v>1288</v>
      </c>
      <c r="X1561" s="354"/>
      <c r="Y1561" s="355">
        <f t="shared" si="518"/>
        <v>0</v>
      </c>
      <c r="Z1561" s="356">
        <f t="shared" si="519"/>
        <v>0</v>
      </c>
      <c r="AA1561" s="353"/>
      <c r="AB1561" s="818"/>
      <c r="AC1561" s="353"/>
      <c r="AD1561" s="307" t="s">
        <v>728</v>
      </c>
      <c r="AE1561" s="210"/>
      <c r="AF1561" s="210"/>
      <c r="AG1561" s="211">
        <f t="shared" si="520"/>
        <v>0.14799999999999999</v>
      </c>
      <c r="AH1561" s="157">
        <f t="shared" si="521"/>
        <v>0</v>
      </c>
      <c r="AI1561" s="152">
        <f t="shared" si="522"/>
        <v>46368</v>
      </c>
      <c r="AK1561" s="156" t="s">
        <v>691</v>
      </c>
      <c r="AL1561" s="574" t="s">
        <v>690</v>
      </c>
      <c r="AM1561" s="198">
        <f t="shared" si="517"/>
        <v>0</v>
      </c>
      <c r="AN1561" s="199">
        <f t="shared" si="514"/>
        <v>45594</v>
      </c>
      <c r="AO1561" s="159" t="s">
        <v>692</v>
      </c>
      <c r="AP1561" s="783" t="s">
        <v>609</v>
      </c>
      <c r="AQ1561" s="782">
        <v>12071839</v>
      </c>
      <c r="AR1561" s="782">
        <v>12047514</v>
      </c>
      <c r="AS1561" s="782">
        <v>12047515</v>
      </c>
      <c r="AT1561" s="782">
        <v>12062098</v>
      </c>
      <c r="AU1561" s="782"/>
      <c r="AV1561" s="782">
        <v>12062100</v>
      </c>
      <c r="AW1561" s="782">
        <v>12024404</v>
      </c>
      <c r="AX1561" s="781"/>
      <c r="AY1561" s="782">
        <v>12062116</v>
      </c>
      <c r="AZ1561" s="782"/>
      <c r="BA1561" s="781"/>
    </row>
    <row r="1562" spans="2:53" ht="25.15" hidden="1" customHeight="1">
      <c r="B1562" s="345">
        <v>45594</v>
      </c>
      <c r="C1562" s="346">
        <v>45615</v>
      </c>
      <c r="D1562" s="185">
        <f t="shared" si="507"/>
        <v>2024</v>
      </c>
      <c r="E1562" s="347" t="str">
        <f>VLOOKUP($B1562,Week!$A$1:$C$1462,2,0)</f>
        <v>Week44</v>
      </c>
      <c r="F1562" s="348" t="str">
        <f t="shared" si="508"/>
        <v>Oct</v>
      </c>
      <c r="G1562" s="347" t="s">
        <v>1792</v>
      </c>
      <c r="H1562" s="347" t="s">
        <v>424</v>
      </c>
      <c r="I1562" s="347" t="s">
        <v>2772</v>
      </c>
      <c r="J1562" s="438" t="s">
        <v>425</v>
      </c>
      <c r="K1562" s="350" t="s">
        <v>176</v>
      </c>
      <c r="L1562" s="300" t="s">
        <v>2167</v>
      </c>
      <c r="M1562" s="349" t="s">
        <v>426</v>
      </c>
      <c r="N1562" s="347" t="s">
        <v>427</v>
      </c>
      <c r="O1562" s="347" t="s">
        <v>599</v>
      </c>
      <c r="P1562" s="351">
        <v>36</v>
      </c>
      <c r="Q1562" s="351">
        <v>5</v>
      </c>
      <c r="R1562" s="352">
        <v>7.4999999999999997E-3</v>
      </c>
      <c r="S1562" s="347" t="s">
        <v>111</v>
      </c>
      <c r="T1562" s="347" t="s">
        <v>112</v>
      </c>
      <c r="U1562" s="347" t="s">
        <v>57</v>
      </c>
      <c r="V1562" s="353">
        <v>1288</v>
      </c>
      <c r="W1562" s="353">
        <f>3767-1191-1288</f>
        <v>1288</v>
      </c>
      <c r="X1562" s="354"/>
      <c r="Y1562" s="355">
        <f t="shared" si="518"/>
        <v>0</v>
      </c>
      <c r="Z1562" s="356">
        <f t="shared" si="519"/>
        <v>0</v>
      </c>
      <c r="AA1562" s="353"/>
      <c r="AB1562" s="818"/>
      <c r="AC1562" s="353"/>
      <c r="AD1562" s="307" t="s">
        <v>728</v>
      </c>
      <c r="AE1562" s="210"/>
      <c r="AF1562" s="210"/>
      <c r="AG1562" s="211">
        <f t="shared" si="520"/>
        <v>0.14799999999999999</v>
      </c>
      <c r="AH1562" s="157">
        <f t="shared" si="521"/>
        <v>0</v>
      </c>
      <c r="AI1562" s="152">
        <f t="shared" si="522"/>
        <v>46368</v>
      </c>
      <c r="AK1562" s="156" t="s">
        <v>691</v>
      </c>
      <c r="AL1562" s="574" t="s">
        <v>690</v>
      </c>
      <c r="AM1562" s="198">
        <f t="shared" si="517"/>
        <v>0</v>
      </c>
      <c r="AN1562" s="199">
        <f t="shared" si="514"/>
        <v>45594</v>
      </c>
      <c r="AO1562" s="159" t="s">
        <v>692</v>
      </c>
      <c r="AP1562" s="783" t="s">
        <v>609</v>
      </c>
      <c r="AQ1562" s="782">
        <v>12071839</v>
      </c>
      <c r="AR1562" s="782">
        <v>12047514</v>
      </c>
      <c r="AS1562" s="782">
        <v>12047515</v>
      </c>
      <c r="AT1562" s="782">
        <v>12062098</v>
      </c>
      <c r="AU1562" s="782"/>
      <c r="AV1562" s="782">
        <v>12062100</v>
      </c>
      <c r="AW1562" s="782">
        <v>12024404</v>
      </c>
      <c r="AX1562" s="781"/>
      <c r="AY1562" s="782">
        <v>12062116</v>
      </c>
      <c r="AZ1562" s="782"/>
      <c r="BA1562" s="781"/>
    </row>
    <row r="1563" spans="2:53" ht="24.65" hidden="1" customHeight="1">
      <c r="B1563" s="224">
        <v>45595</v>
      </c>
      <c r="C1563" s="224">
        <v>45615</v>
      </c>
      <c r="D1563" s="185">
        <f t="shared" si="507"/>
        <v>2024</v>
      </c>
      <c r="E1563" s="225" t="str">
        <f>VLOOKUP($B1563,Week!$A$1:$C$1462,2,0)</f>
        <v>Week44</v>
      </c>
      <c r="F1563" s="226" t="str">
        <f t="shared" si="508"/>
        <v>Oct</v>
      </c>
      <c r="G1563" s="225" t="s">
        <v>1777</v>
      </c>
      <c r="H1563" s="225" t="s">
        <v>392</v>
      </c>
      <c r="I1563" s="225" t="s">
        <v>2772</v>
      </c>
      <c r="J1563" s="227" t="s">
        <v>393</v>
      </c>
      <c r="K1563" s="228" t="s">
        <v>176</v>
      </c>
      <c r="L1563" s="300" t="s">
        <v>2167</v>
      </c>
      <c r="M1563" s="228" t="s">
        <v>399</v>
      </c>
      <c r="N1563" s="225" t="s">
        <v>400</v>
      </c>
      <c r="O1563" s="225" t="s">
        <v>195</v>
      </c>
      <c r="P1563" s="229">
        <v>24</v>
      </c>
      <c r="Q1563" s="229">
        <v>5</v>
      </c>
      <c r="R1563" s="230">
        <v>8.0000000000000002E-3</v>
      </c>
      <c r="S1563" s="225" t="s">
        <v>40</v>
      </c>
      <c r="T1563" s="225" t="s">
        <v>56</v>
      </c>
      <c r="U1563" s="225" t="s">
        <v>57</v>
      </c>
      <c r="V1563" s="231">
        <f>1000</f>
        <v>1000</v>
      </c>
      <c r="W1563" s="231">
        <f>18+982</f>
        <v>1000</v>
      </c>
      <c r="X1563" s="232"/>
      <c r="Y1563" s="233">
        <f t="shared" si="518"/>
        <v>0</v>
      </c>
      <c r="Z1563" s="234">
        <f t="shared" si="519"/>
        <v>0</v>
      </c>
      <c r="AA1563" s="234"/>
      <c r="AB1563" s="808"/>
      <c r="AC1563" s="231"/>
      <c r="AD1563" s="220"/>
      <c r="AE1563" s="210"/>
      <c r="AF1563" s="210"/>
      <c r="AG1563" s="211">
        <f t="shared" si="520"/>
        <v>0.14499999999999999</v>
      </c>
      <c r="AH1563" s="157">
        <f t="shared" si="521"/>
        <v>0</v>
      </c>
      <c r="AI1563" s="152">
        <f t="shared" si="522"/>
        <v>24000</v>
      </c>
      <c r="AK1563" s="156" t="s">
        <v>691</v>
      </c>
      <c r="AL1563" s="574" t="s">
        <v>690</v>
      </c>
      <c r="AM1563" s="198">
        <f t="shared" si="517"/>
        <v>0</v>
      </c>
      <c r="AN1563" s="199">
        <f t="shared" si="514"/>
        <v>45595</v>
      </c>
      <c r="AO1563" s="159" t="s">
        <v>692</v>
      </c>
      <c r="AP1563" s="783" t="s">
        <v>638</v>
      </c>
      <c r="AQ1563" s="783" t="s">
        <v>631</v>
      </c>
      <c r="AR1563" s="783" t="s">
        <v>632</v>
      </c>
      <c r="AS1563" s="783" t="s">
        <v>633</v>
      </c>
      <c r="AT1563" s="781"/>
      <c r="AU1563" s="783" t="s">
        <v>626</v>
      </c>
      <c r="AV1563" s="783" t="s">
        <v>630</v>
      </c>
      <c r="AW1563" s="783" t="s">
        <v>634</v>
      </c>
      <c r="AX1563" s="781"/>
      <c r="AY1563" s="783" t="s">
        <v>635</v>
      </c>
      <c r="AZ1563" s="783" t="s">
        <v>636</v>
      </c>
      <c r="BA1563" s="783" t="s">
        <v>637</v>
      </c>
    </row>
    <row r="1564" spans="2:53" ht="26.25" hidden="1" customHeight="1">
      <c r="B1564" s="235">
        <v>45595</v>
      </c>
      <c r="C1564" s="235">
        <v>45615</v>
      </c>
      <c r="D1564" s="185">
        <f t="shared" si="507"/>
        <v>2024</v>
      </c>
      <c r="E1564" s="236" t="str">
        <f>VLOOKUP($B1564,Week!$A$1:$C$1462,2,0)</f>
        <v>Week44</v>
      </c>
      <c r="F1564" s="237" t="str">
        <f t="shared" si="508"/>
        <v>Oct</v>
      </c>
      <c r="G1564" s="236" t="s">
        <v>1777</v>
      </c>
      <c r="H1564" s="236" t="s">
        <v>392</v>
      </c>
      <c r="I1564" s="236" t="s">
        <v>2772</v>
      </c>
      <c r="J1564" s="238" t="s">
        <v>393</v>
      </c>
      <c r="K1564" s="239" t="s">
        <v>1643</v>
      </c>
      <c r="L1564" s="300" t="s">
        <v>2167</v>
      </c>
      <c r="M1564" s="238" t="s">
        <v>406</v>
      </c>
      <c r="N1564" s="236" t="s">
        <v>407</v>
      </c>
      <c r="O1564" s="236" t="s">
        <v>206</v>
      </c>
      <c r="P1564" s="240">
        <v>24</v>
      </c>
      <c r="Q1564" s="240">
        <v>5</v>
      </c>
      <c r="R1564" s="241">
        <v>8.0000000000000002E-3</v>
      </c>
      <c r="S1564" s="236" t="s">
        <v>40</v>
      </c>
      <c r="T1564" s="236" t="s">
        <v>56</v>
      </c>
      <c r="U1564" s="640" t="s">
        <v>499</v>
      </c>
      <c r="V1564" s="242">
        <v>1150</v>
      </c>
      <c r="W1564" s="242">
        <f>14+1136</f>
        <v>1150</v>
      </c>
      <c r="X1564" s="243"/>
      <c r="Y1564" s="244">
        <f t="shared" si="518"/>
        <v>0</v>
      </c>
      <c r="Z1564" s="245">
        <f t="shared" si="519"/>
        <v>0</v>
      </c>
      <c r="AA1564" s="245"/>
      <c r="AB1564" s="809">
        <v>1</v>
      </c>
      <c r="AC1564" s="242">
        <f>Z1564*AB1564</f>
        <v>0</v>
      </c>
      <c r="AD1564" s="209"/>
      <c r="AE1564" s="210"/>
      <c r="AF1564" s="210"/>
      <c r="AG1564" s="211">
        <f t="shared" si="520"/>
        <v>0.115</v>
      </c>
      <c r="AH1564" s="157">
        <f t="shared" si="521"/>
        <v>0</v>
      </c>
      <c r="AI1564" s="152">
        <f t="shared" si="522"/>
        <v>27600</v>
      </c>
      <c r="AK1564" s="156" t="s">
        <v>691</v>
      </c>
      <c r="AL1564" s="574" t="s">
        <v>690</v>
      </c>
      <c r="AM1564" s="198">
        <f t="shared" si="517"/>
        <v>0</v>
      </c>
      <c r="AN1564" s="199">
        <f t="shared" si="514"/>
        <v>45595</v>
      </c>
      <c r="AO1564" s="159" t="s">
        <v>692</v>
      </c>
      <c r="AP1564" s="783" t="s">
        <v>608</v>
      </c>
      <c r="AQ1564" s="782">
        <v>12071839</v>
      </c>
      <c r="AR1564" s="782">
        <v>12047514</v>
      </c>
      <c r="AS1564" s="782">
        <v>12047515</v>
      </c>
      <c r="AT1564" s="781"/>
      <c r="AU1564" s="782">
        <v>12026902</v>
      </c>
      <c r="AV1564" s="782">
        <v>12081781</v>
      </c>
      <c r="AW1564" s="782">
        <v>12026904</v>
      </c>
      <c r="AX1564" s="781"/>
      <c r="AY1564" s="783" t="s">
        <v>625</v>
      </c>
      <c r="AZ1564" s="783" t="s">
        <v>1640</v>
      </c>
      <c r="BA1564" s="783" t="s">
        <v>624</v>
      </c>
    </row>
    <row r="1565" spans="2:53" ht="24.75" hidden="1" customHeight="1">
      <c r="B1565" s="295">
        <v>45595</v>
      </c>
      <c r="C1565" s="296" t="s">
        <v>1677</v>
      </c>
      <c r="D1565" s="185">
        <f t="shared" si="507"/>
        <v>2024</v>
      </c>
      <c r="E1565" s="296" t="str">
        <f>VLOOKUP($B1565,Week!$A$1:$C$1462,2,0)</f>
        <v>Week44</v>
      </c>
      <c r="F1565" s="297" t="str">
        <f t="shared" si="508"/>
        <v>Oct</v>
      </c>
      <c r="G1565" s="648" t="s">
        <v>47</v>
      </c>
      <c r="H1565" s="298" t="s">
        <v>260</v>
      </c>
      <c r="I1565" s="298" t="s">
        <v>2702</v>
      </c>
      <c r="J1565" s="307" t="s">
        <v>904</v>
      </c>
      <c r="K1565" s="300" t="s">
        <v>176</v>
      </c>
      <c r="L1565" s="300" t="s">
        <v>2167</v>
      </c>
      <c r="M1565" s="299" t="s">
        <v>262</v>
      </c>
      <c r="N1565" s="298" t="s">
        <v>350</v>
      </c>
      <c r="O1565" s="298" t="s">
        <v>351</v>
      </c>
      <c r="P1565" s="301">
        <v>24</v>
      </c>
      <c r="Q1565" s="301">
        <v>5</v>
      </c>
      <c r="R1565" s="302">
        <v>6.1999999999999998E-3</v>
      </c>
      <c r="S1565" s="298" t="s">
        <v>352</v>
      </c>
      <c r="T1565" s="298" t="s">
        <v>56</v>
      </c>
      <c r="U1565" s="298" t="s">
        <v>57</v>
      </c>
      <c r="V1565" s="303">
        <f>2362</f>
        <v>2362</v>
      </c>
      <c r="W1565" s="303">
        <f>2362</f>
        <v>2362</v>
      </c>
      <c r="X1565" s="304"/>
      <c r="Y1565" s="305">
        <f t="shared" si="518"/>
        <v>0</v>
      </c>
      <c r="Z1565" s="306">
        <f t="shared" si="519"/>
        <v>0</v>
      </c>
      <c r="AA1565" s="306"/>
      <c r="AB1565" s="814"/>
      <c r="AC1565" s="303"/>
      <c r="AD1565" s="580" t="s">
        <v>672</v>
      </c>
      <c r="AE1565" s="210"/>
      <c r="AF1565" s="210"/>
      <c r="AG1565" s="211">
        <f t="shared" si="520"/>
        <v>0.13</v>
      </c>
      <c r="AH1565" s="157">
        <f t="shared" si="521"/>
        <v>0</v>
      </c>
      <c r="AI1565" s="152">
        <f t="shared" si="522"/>
        <v>56688</v>
      </c>
      <c r="AK1565" s="156" t="s">
        <v>691</v>
      </c>
      <c r="AL1565" s="574" t="s">
        <v>690</v>
      </c>
      <c r="AM1565" s="198">
        <f t="shared" si="517"/>
        <v>0</v>
      </c>
      <c r="AN1565" s="199">
        <f t="shared" si="514"/>
        <v>45595</v>
      </c>
      <c r="AO1565" s="159" t="s">
        <v>692</v>
      </c>
      <c r="AP1565" s="783" t="s">
        <v>629</v>
      </c>
      <c r="AQ1565" s="782">
        <v>12071839</v>
      </c>
      <c r="AR1565" s="782">
        <v>12078867</v>
      </c>
      <c r="AS1565" s="782">
        <v>12068233</v>
      </c>
      <c r="AT1565" s="781"/>
      <c r="AU1565" s="781"/>
      <c r="AV1565" s="782">
        <v>12062075</v>
      </c>
      <c r="AW1565" s="781"/>
      <c r="AX1565" s="781"/>
      <c r="AY1565" s="782">
        <v>12078867</v>
      </c>
      <c r="AZ1565" s="781"/>
      <c r="BA1565" s="781"/>
    </row>
    <row r="1566" spans="2:53" ht="24.65" hidden="1" customHeight="1">
      <c r="B1566" s="320">
        <v>45595</v>
      </c>
      <c r="C1566" s="321" t="s">
        <v>1677</v>
      </c>
      <c r="D1566" s="185">
        <f t="shared" si="507"/>
        <v>2024</v>
      </c>
      <c r="E1566" s="321" t="str">
        <f>VLOOKUP($B1566,Week!$A$1:$C$1462,2,0)</f>
        <v>Week44</v>
      </c>
      <c r="F1566" s="322" t="str">
        <f t="shared" si="508"/>
        <v>Oct</v>
      </c>
      <c r="G1566" s="323" t="s">
        <v>47</v>
      </c>
      <c r="H1566" s="323" t="s">
        <v>518</v>
      </c>
      <c r="I1566" s="323" t="s">
        <v>2702</v>
      </c>
      <c r="J1566" s="324" t="s">
        <v>70</v>
      </c>
      <c r="K1566" s="325" t="s">
        <v>176</v>
      </c>
      <c r="L1566" s="300" t="s">
        <v>2167</v>
      </c>
      <c r="M1566" s="324" t="s">
        <v>1785</v>
      </c>
      <c r="N1566" s="323" t="s">
        <v>1787</v>
      </c>
      <c r="O1566" s="323" t="s">
        <v>1128</v>
      </c>
      <c r="P1566" s="326">
        <v>18</v>
      </c>
      <c r="Q1566" s="326">
        <v>5</v>
      </c>
      <c r="R1566" s="323">
        <v>6.1999999999999998E-3</v>
      </c>
      <c r="S1566" s="323" t="s">
        <v>352</v>
      </c>
      <c r="T1566" s="323" t="s">
        <v>56</v>
      </c>
      <c r="U1566" s="323" t="s">
        <v>1714</v>
      </c>
      <c r="V1566" s="328">
        <f>556</f>
        <v>556</v>
      </c>
      <c r="W1566" s="328">
        <f>494</f>
        <v>494</v>
      </c>
      <c r="X1566" s="329">
        <f>1225/18</f>
        <v>68.055555555555557</v>
      </c>
      <c r="Y1566" s="330">
        <f t="shared" si="518"/>
        <v>6.0555555555555429</v>
      </c>
      <c r="Z1566" s="331">
        <f t="shared" si="519"/>
        <v>0</v>
      </c>
      <c r="AA1566" s="331"/>
      <c r="AB1566" s="816"/>
      <c r="AC1566" s="328"/>
      <c r="AD1566" s="307" t="s">
        <v>1832</v>
      </c>
      <c r="AE1566" s="210"/>
      <c r="AF1566" s="210"/>
      <c r="AG1566" s="211">
        <f t="shared" si="520"/>
        <v>0.14299999999999999</v>
      </c>
      <c r="AH1566" s="157">
        <f t="shared" si="521"/>
        <v>0</v>
      </c>
      <c r="AI1566" s="152">
        <f t="shared" si="522"/>
        <v>10008</v>
      </c>
      <c r="AK1566" s="156" t="s">
        <v>691</v>
      </c>
      <c r="AL1566" s="212" t="s">
        <v>690</v>
      </c>
      <c r="AM1566" s="198">
        <f t="shared" si="517"/>
        <v>0</v>
      </c>
      <c r="AN1566" s="199">
        <f t="shared" si="514"/>
        <v>45595</v>
      </c>
      <c r="AO1566" s="159" t="s">
        <v>692</v>
      </c>
      <c r="AP1566" s="783" t="s">
        <v>609</v>
      </c>
      <c r="AQ1566" s="782">
        <v>12071839</v>
      </c>
      <c r="AR1566" s="782">
        <v>12047514</v>
      </c>
      <c r="AS1566" s="782">
        <v>12047515</v>
      </c>
      <c r="AT1566" s="781"/>
      <c r="AU1566" s="781"/>
      <c r="AV1566" s="782">
        <v>12089668</v>
      </c>
      <c r="AW1566" s="781"/>
      <c r="AX1566" s="781"/>
      <c r="AY1566" s="782">
        <v>12088311</v>
      </c>
      <c r="AZ1566" s="782">
        <v>12088315</v>
      </c>
      <c r="BA1566" s="781"/>
    </row>
    <row r="1567" spans="2:53" ht="24.65" hidden="1" customHeight="1">
      <c r="B1567" s="743">
        <v>45595</v>
      </c>
      <c r="C1567" s="744" t="s">
        <v>1712</v>
      </c>
      <c r="D1567" s="185">
        <f t="shared" si="507"/>
        <v>2024</v>
      </c>
      <c r="E1567" s="744" t="str">
        <f>VLOOKUP($B1567,Week!$A$1:$C$1462,2,0)</f>
        <v>Week44</v>
      </c>
      <c r="F1567" s="745" t="str">
        <f t="shared" si="508"/>
        <v>Oct</v>
      </c>
      <c r="G1567" s="746" t="s">
        <v>47</v>
      </c>
      <c r="H1567" s="746" t="s">
        <v>260</v>
      </c>
      <c r="I1567" s="746" t="s">
        <v>2702</v>
      </c>
      <c r="J1567" s="747" t="s">
        <v>70</v>
      </c>
      <c r="K1567" s="748" t="s">
        <v>176</v>
      </c>
      <c r="L1567" s="300" t="s">
        <v>2167</v>
      </c>
      <c r="M1567" s="747" t="s">
        <v>1713</v>
      </c>
      <c r="N1567" s="746" t="s">
        <v>1728</v>
      </c>
      <c r="O1567" s="746" t="s">
        <v>742</v>
      </c>
      <c r="P1567" s="749">
        <v>24</v>
      </c>
      <c r="Q1567" s="749">
        <v>5</v>
      </c>
      <c r="R1567" s="746">
        <v>6.1999999999999998E-3</v>
      </c>
      <c r="S1567" s="746" t="s">
        <v>352</v>
      </c>
      <c r="T1567" s="746" t="s">
        <v>56</v>
      </c>
      <c r="U1567" s="746" t="s">
        <v>1714</v>
      </c>
      <c r="V1567" s="750">
        <f>42</f>
        <v>42</v>
      </c>
      <c r="W1567" s="750">
        <f>42</f>
        <v>42</v>
      </c>
      <c r="X1567" s="751"/>
      <c r="Y1567" s="752">
        <f t="shared" si="518"/>
        <v>0</v>
      </c>
      <c r="Z1567" s="753">
        <f t="shared" si="519"/>
        <v>0</v>
      </c>
      <c r="AA1567" s="753"/>
      <c r="AB1567" s="838"/>
      <c r="AC1567" s="750"/>
      <c r="AD1567" s="307" t="s">
        <v>1816</v>
      </c>
      <c r="AE1567" s="210"/>
      <c r="AF1567" s="210"/>
      <c r="AG1567" s="211">
        <f t="shared" si="520"/>
        <v>0.14299999999999999</v>
      </c>
      <c r="AH1567" s="157">
        <f t="shared" si="521"/>
        <v>0</v>
      </c>
      <c r="AI1567" s="152">
        <f t="shared" si="522"/>
        <v>1008</v>
      </c>
      <c r="AK1567" s="156" t="s">
        <v>691</v>
      </c>
      <c r="AL1567" s="212" t="s">
        <v>690</v>
      </c>
      <c r="AM1567" s="198">
        <f t="shared" si="517"/>
        <v>0</v>
      </c>
      <c r="AN1567" s="199">
        <f t="shared" si="514"/>
        <v>45595</v>
      </c>
      <c r="AO1567" s="159" t="s">
        <v>692</v>
      </c>
      <c r="AP1567" s="783" t="s">
        <v>609</v>
      </c>
      <c r="AQ1567" s="782">
        <v>12071839</v>
      </c>
      <c r="AR1567" s="782">
        <v>12047514</v>
      </c>
      <c r="AS1567" s="782">
        <v>12047515</v>
      </c>
      <c r="AT1567" s="781"/>
      <c r="AU1567" s="781"/>
      <c r="AV1567" s="782">
        <v>12089668</v>
      </c>
      <c r="AW1567" s="781"/>
      <c r="AX1567" s="781"/>
      <c r="AY1567" s="782">
        <v>12088311</v>
      </c>
      <c r="AZ1567" s="782">
        <v>12088315</v>
      </c>
      <c r="BA1567" s="781"/>
    </row>
    <row r="1568" spans="2:53" ht="24.65" hidden="1" customHeight="1">
      <c r="B1568" s="743">
        <v>45595</v>
      </c>
      <c r="C1568" s="744" t="s">
        <v>1677</v>
      </c>
      <c r="D1568" s="185">
        <f t="shared" si="507"/>
        <v>2024</v>
      </c>
      <c r="E1568" s="744" t="str">
        <f>VLOOKUP($B1568,Week!$A$1:$C$1462,2,0)</f>
        <v>Week44</v>
      </c>
      <c r="F1568" s="745" t="str">
        <f t="shared" si="508"/>
        <v>Oct</v>
      </c>
      <c r="G1568" s="746" t="s">
        <v>47</v>
      </c>
      <c r="H1568" s="746" t="s">
        <v>260</v>
      </c>
      <c r="I1568" s="746" t="s">
        <v>2702</v>
      </c>
      <c r="J1568" s="747" t="s">
        <v>70</v>
      </c>
      <c r="K1568" s="748" t="s">
        <v>176</v>
      </c>
      <c r="L1568" s="300" t="s">
        <v>2167</v>
      </c>
      <c r="M1568" s="747" t="s">
        <v>1713</v>
      </c>
      <c r="N1568" s="746" t="s">
        <v>1728</v>
      </c>
      <c r="O1568" s="746" t="s">
        <v>742</v>
      </c>
      <c r="P1568" s="749">
        <v>24</v>
      </c>
      <c r="Q1568" s="749">
        <v>5</v>
      </c>
      <c r="R1568" s="746">
        <v>6.1999999999999998E-3</v>
      </c>
      <c r="S1568" s="746" t="s">
        <v>352</v>
      </c>
      <c r="T1568" s="746" t="s">
        <v>56</v>
      </c>
      <c r="U1568" s="746" t="s">
        <v>1714</v>
      </c>
      <c r="V1568" s="750">
        <f>935</f>
        <v>935</v>
      </c>
      <c r="W1568" s="750">
        <v>935</v>
      </c>
      <c r="X1568" s="751"/>
      <c r="Y1568" s="752">
        <f t="shared" si="518"/>
        <v>0</v>
      </c>
      <c r="Z1568" s="753">
        <f t="shared" si="519"/>
        <v>0</v>
      </c>
      <c r="AA1568" s="753"/>
      <c r="AB1568" s="838"/>
      <c r="AC1568" s="750"/>
      <c r="AD1568" s="209"/>
      <c r="AE1568" s="210"/>
      <c r="AF1568" s="210"/>
      <c r="AG1568" s="211">
        <f t="shared" si="520"/>
        <v>0.14299999999999999</v>
      </c>
      <c r="AH1568" s="157">
        <f t="shared" si="521"/>
        <v>0</v>
      </c>
      <c r="AI1568" s="152">
        <f t="shared" si="522"/>
        <v>22440</v>
      </c>
      <c r="AK1568" s="156" t="s">
        <v>691</v>
      </c>
      <c r="AL1568" s="212" t="s">
        <v>690</v>
      </c>
      <c r="AM1568" s="198">
        <f t="shared" si="517"/>
        <v>0</v>
      </c>
      <c r="AN1568" s="199">
        <f t="shared" si="514"/>
        <v>45595</v>
      </c>
      <c r="AO1568" s="159" t="s">
        <v>692</v>
      </c>
      <c r="AP1568" s="783" t="s">
        <v>609</v>
      </c>
      <c r="AQ1568" s="782">
        <v>12071839</v>
      </c>
      <c r="AR1568" s="782">
        <v>12047514</v>
      </c>
      <c r="AS1568" s="782">
        <v>12047515</v>
      </c>
      <c r="AT1568" s="781"/>
      <c r="AU1568" s="781"/>
      <c r="AV1568" s="782">
        <v>12089668</v>
      </c>
      <c r="AW1568" s="781"/>
      <c r="AX1568" s="781"/>
      <c r="AY1568" s="782">
        <v>12088311</v>
      </c>
      <c r="AZ1568" s="782">
        <v>12088315</v>
      </c>
      <c r="BA1568" s="781"/>
    </row>
    <row r="1569" spans="1:53" ht="25" hidden="1" customHeight="1">
      <c r="A1569" s="142" t="s">
        <v>120</v>
      </c>
      <c r="B1569" s="466">
        <v>45596</v>
      </c>
      <c r="C1569" s="467">
        <v>45606</v>
      </c>
      <c r="D1569" s="185">
        <f t="shared" si="507"/>
        <v>2024</v>
      </c>
      <c r="E1569" s="468" t="str">
        <f>VLOOKUP($B1569,Week!$A$1:$C$1462,2,0)</f>
        <v>Week44</v>
      </c>
      <c r="F1569" s="469" t="str">
        <f t="shared" si="508"/>
        <v>Oct</v>
      </c>
      <c r="G1569" s="470" t="s">
        <v>1703</v>
      </c>
      <c r="H1569" s="468" t="s">
        <v>82</v>
      </c>
      <c r="I1569" s="468" t="s">
        <v>82</v>
      </c>
      <c r="J1569" s="471" t="s">
        <v>720</v>
      </c>
      <c r="K1569" s="472" t="s">
        <v>85</v>
      </c>
      <c r="L1569" s="390" t="s">
        <v>2166</v>
      </c>
      <c r="M1569" s="471" t="s">
        <v>579</v>
      </c>
      <c r="N1569" s="468" t="s">
        <v>580</v>
      </c>
      <c r="O1569" s="468" t="s">
        <v>581</v>
      </c>
      <c r="P1569" s="473">
        <v>8</v>
      </c>
      <c r="Q1569" s="473">
        <v>60</v>
      </c>
      <c r="R1569" s="474">
        <v>6.8100000000000001E-3</v>
      </c>
      <c r="S1569" s="468" t="s">
        <v>76</v>
      </c>
      <c r="T1569" s="468" t="s">
        <v>56</v>
      </c>
      <c r="U1569" s="468" t="s">
        <v>89</v>
      </c>
      <c r="V1569" s="475">
        <f>1408</f>
        <v>1408</v>
      </c>
      <c r="W1569" s="475">
        <f>41+1121</f>
        <v>1162</v>
      </c>
      <c r="X1569" s="476">
        <f>1968/8</f>
        <v>246</v>
      </c>
      <c r="Y1569" s="477">
        <f t="shared" si="518"/>
        <v>0</v>
      </c>
      <c r="Z1569" s="478">
        <f t="shared" si="519"/>
        <v>0</v>
      </c>
      <c r="AA1569" s="478">
        <f t="shared" ref="AA1569:AA1574" si="523">Q1569*Z1569</f>
        <v>0</v>
      </c>
      <c r="AB1569" s="828">
        <v>6</v>
      </c>
      <c r="AC1569" s="475">
        <f t="shared" ref="AC1569:AC1574" si="524">Z1569*AB1569</f>
        <v>0</v>
      </c>
      <c r="AD1569" s="209"/>
      <c r="AE1569" s="210"/>
      <c r="AF1569" s="210"/>
      <c r="AG1569" s="211">
        <f t="shared" si="520"/>
        <v>0.75</v>
      </c>
      <c r="AH1569" s="157">
        <f t="shared" si="521"/>
        <v>0</v>
      </c>
      <c r="AI1569" s="152">
        <f t="shared" si="522"/>
        <v>11264</v>
      </c>
      <c r="AK1569" s="156" t="s">
        <v>691</v>
      </c>
      <c r="AL1569" s="156" t="s">
        <v>689</v>
      </c>
      <c r="AM1569" s="198">
        <f t="shared" si="517"/>
        <v>0</v>
      </c>
      <c r="AN1569" s="199">
        <f t="shared" si="514"/>
        <v>45596</v>
      </c>
      <c r="AO1569" s="159" t="s">
        <v>692</v>
      </c>
      <c r="AP1569" s="783" t="s">
        <v>622</v>
      </c>
      <c r="AQ1569" s="782">
        <v>12004862</v>
      </c>
      <c r="AR1569" s="782">
        <v>12080753</v>
      </c>
      <c r="AS1569" s="782"/>
      <c r="AT1569" s="782">
        <v>12082897</v>
      </c>
      <c r="AU1569" s="781"/>
      <c r="AV1569" s="782">
        <v>12082898</v>
      </c>
      <c r="AW1569" s="782">
        <v>12082899</v>
      </c>
      <c r="AX1569" s="796" t="s">
        <v>621</v>
      </c>
      <c r="AY1569" s="782"/>
      <c r="AZ1569" s="782"/>
      <c r="BA1569" s="781"/>
    </row>
    <row r="1570" spans="1:53" ht="25" hidden="1" customHeight="1">
      <c r="A1570" s="142" t="s">
        <v>120</v>
      </c>
      <c r="B1570" s="308">
        <v>45596</v>
      </c>
      <c r="C1570" s="309">
        <v>45615</v>
      </c>
      <c r="D1570" s="185">
        <f t="shared" si="507"/>
        <v>2024</v>
      </c>
      <c r="E1570" s="309" t="str">
        <f>VLOOKUP($B1570,Week!$A$1:$C$1462,2,0)</f>
        <v>Week44</v>
      </c>
      <c r="F1570" s="310" t="str">
        <f t="shared" si="508"/>
        <v>Oct</v>
      </c>
      <c r="G1570" s="579" t="s">
        <v>1829</v>
      </c>
      <c r="H1570" s="311" t="s">
        <v>104</v>
      </c>
      <c r="I1570" s="311" t="s">
        <v>2772</v>
      </c>
      <c r="J1570" s="312" t="s">
        <v>105</v>
      </c>
      <c r="K1570" s="313" t="s">
        <v>85</v>
      </c>
      <c r="L1570" s="390" t="s">
        <v>2166</v>
      </c>
      <c r="M1570" s="312" t="s">
        <v>86</v>
      </c>
      <c r="N1570" s="311" t="s">
        <v>421</v>
      </c>
      <c r="O1570" s="311" t="s">
        <v>506</v>
      </c>
      <c r="P1570" s="314">
        <v>10</v>
      </c>
      <c r="Q1570" s="314">
        <v>50</v>
      </c>
      <c r="R1570" s="315">
        <v>6.8100000000000001E-3</v>
      </c>
      <c r="S1570" s="311" t="s">
        <v>76</v>
      </c>
      <c r="T1570" s="311" t="s">
        <v>112</v>
      </c>
      <c r="U1570" s="311" t="s">
        <v>89</v>
      </c>
      <c r="V1570" s="316">
        <f>100</f>
        <v>100</v>
      </c>
      <c r="W1570" s="316">
        <f>100</f>
        <v>100</v>
      </c>
      <c r="X1570" s="317"/>
      <c r="Y1570" s="318">
        <f t="shared" si="518"/>
        <v>0</v>
      </c>
      <c r="Z1570" s="319">
        <f t="shared" si="519"/>
        <v>0</v>
      </c>
      <c r="AA1570" s="319">
        <f t="shared" si="523"/>
        <v>0</v>
      </c>
      <c r="AB1570" s="815">
        <v>6</v>
      </c>
      <c r="AC1570" s="316">
        <f t="shared" si="524"/>
        <v>0</v>
      </c>
      <c r="AD1570" s="381"/>
      <c r="AE1570" s="210"/>
      <c r="AF1570" s="210"/>
      <c r="AG1570" s="211">
        <f t="shared" si="520"/>
        <v>0.57999999999999996</v>
      </c>
      <c r="AH1570" s="157">
        <f t="shared" si="521"/>
        <v>0</v>
      </c>
      <c r="AI1570" s="152">
        <f t="shared" si="522"/>
        <v>1000</v>
      </c>
      <c r="AJ1570" s="156">
        <f>AI1570*Q1570</f>
        <v>50000</v>
      </c>
      <c r="AK1570" s="156" t="s">
        <v>691</v>
      </c>
      <c r="AL1570" s="156" t="s">
        <v>689</v>
      </c>
      <c r="AM1570" s="198">
        <f t="shared" si="517"/>
        <v>0</v>
      </c>
      <c r="AN1570" s="199">
        <f t="shared" si="514"/>
        <v>45596</v>
      </c>
      <c r="AO1570" s="159" t="s">
        <v>692</v>
      </c>
      <c r="AP1570" s="781" t="s">
        <v>423</v>
      </c>
      <c r="AQ1570" s="781" t="s">
        <v>422</v>
      </c>
      <c r="AR1570" s="782">
        <v>12055234</v>
      </c>
      <c r="AS1570" s="781"/>
      <c r="AT1570" s="782">
        <v>12069432</v>
      </c>
      <c r="AU1570" s="781"/>
      <c r="AV1570" s="782">
        <v>12069433</v>
      </c>
      <c r="AW1570" s="781"/>
      <c r="AX1570" s="781" t="s">
        <v>93</v>
      </c>
      <c r="AY1570" s="781"/>
      <c r="AZ1570" s="782"/>
      <c r="BA1570" s="781"/>
    </row>
    <row r="1571" spans="1:53" ht="25" hidden="1" customHeight="1">
      <c r="A1571" s="142" t="s">
        <v>120</v>
      </c>
      <c r="B1571" s="466">
        <v>45597</v>
      </c>
      <c r="C1571" s="467">
        <v>45609</v>
      </c>
      <c r="D1571" s="185">
        <f t="shared" si="507"/>
        <v>2024</v>
      </c>
      <c r="E1571" s="468" t="str">
        <f>VLOOKUP($B1571,Week!$A$1:$C$1462,2,0)</f>
        <v>Week44</v>
      </c>
      <c r="F1571" s="469" t="str">
        <f t="shared" si="508"/>
        <v>Nov</v>
      </c>
      <c r="G1571" s="470" t="s">
        <v>1705</v>
      </c>
      <c r="H1571" s="468" t="s">
        <v>82</v>
      </c>
      <c r="I1571" s="468" t="s">
        <v>82</v>
      </c>
      <c r="J1571" s="471" t="s">
        <v>720</v>
      </c>
      <c r="K1571" s="472" t="s">
        <v>85</v>
      </c>
      <c r="L1571" s="390" t="s">
        <v>2166</v>
      </c>
      <c r="M1571" s="471" t="s">
        <v>579</v>
      </c>
      <c r="N1571" s="468" t="s">
        <v>580</v>
      </c>
      <c r="O1571" s="468" t="s">
        <v>581</v>
      </c>
      <c r="P1571" s="473">
        <v>8</v>
      </c>
      <c r="Q1571" s="473">
        <v>60</v>
      </c>
      <c r="R1571" s="474">
        <v>6.8100000000000001E-3</v>
      </c>
      <c r="S1571" s="468" t="s">
        <v>76</v>
      </c>
      <c r="T1571" s="468" t="s">
        <v>56</v>
      </c>
      <c r="U1571" s="468" t="s">
        <v>89</v>
      </c>
      <c r="V1571" s="475">
        <f>1408</f>
        <v>1408</v>
      </c>
      <c r="W1571" s="475">
        <f>72+1336</f>
        <v>1408</v>
      </c>
      <c r="X1571" s="476"/>
      <c r="Y1571" s="477">
        <f t="shared" si="518"/>
        <v>0</v>
      </c>
      <c r="Z1571" s="478">
        <f t="shared" si="519"/>
        <v>0</v>
      </c>
      <c r="AA1571" s="478">
        <f t="shared" si="523"/>
        <v>0</v>
      </c>
      <c r="AB1571" s="828">
        <v>6</v>
      </c>
      <c r="AC1571" s="475">
        <f t="shared" si="524"/>
        <v>0</v>
      </c>
      <c r="AD1571" s="209"/>
      <c r="AE1571" s="210"/>
      <c r="AF1571" s="210"/>
      <c r="AG1571" s="211">
        <f t="shared" si="520"/>
        <v>0.75</v>
      </c>
      <c r="AH1571" s="157">
        <f t="shared" si="521"/>
        <v>0</v>
      </c>
      <c r="AI1571" s="152">
        <f t="shared" si="522"/>
        <v>11264</v>
      </c>
      <c r="AK1571" s="156" t="s">
        <v>691</v>
      </c>
      <c r="AL1571" s="156" t="s">
        <v>689</v>
      </c>
      <c r="AM1571" s="198">
        <f t="shared" si="517"/>
        <v>0</v>
      </c>
      <c r="AN1571" s="199">
        <f t="shared" si="514"/>
        <v>45597</v>
      </c>
      <c r="AO1571" s="159" t="s">
        <v>692</v>
      </c>
      <c r="AP1571" s="783" t="s">
        <v>622</v>
      </c>
      <c r="AQ1571" s="782">
        <v>12004862</v>
      </c>
      <c r="AR1571" s="782">
        <v>12080753</v>
      </c>
      <c r="AS1571" s="782"/>
      <c r="AT1571" s="782">
        <v>12082897</v>
      </c>
      <c r="AU1571" s="781"/>
      <c r="AV1571" s="782">
        <v>12082898</v>
      </c>
      <c r="AW1571" s="782">
        <v>12082899</v>
      </c>
      <c r="AX1571" s="796" t="s">
        <v>621</v>
      </c>
      <c r="AY1571" s="782"/>
      <c r="AZ1571" s="782"/>
      <c r="BA1571" s="781"/>
    </row>
    <row r="1572" spans="1:53" ht="25" hidden="1" customHeight="1">
      <c r="A1572" s="142" t="s">
        <v>120</v>
      </c>
      <c r="B1572" s="308">
        <v>45597</v>
      </c>
      <c r="C1572" s="309">
        <v>45630</v>
      </c>
      <c r="D1572" s="185">
        <f t="shared" si="507"/>
        <v>2024</v>
      </c>
      <c r="E1572" s="309" t="str">
        <f>VLOOKUP($B1572,Week!$A$1:$C$1462,2,0)</f>
        <v>Week44</v>
      </c>
      <c r="F1572" s="310" t="str">
        <f t="shared" si="508"/>
        <v>Nov</v>
      </c>
      <c r="G1572" s="579" t="s">
        <v>1830</v>
      </c>
      <c r="H1572" s="311" t="s">
        <v>104</v>
      </c>
      <c r="I1572" s="311" t="s">
        <v>2772</v>
      </c>
      <c r="J1572" s="312" t="s">
        <v>105</v>
      </c>
      <c r="K1572" s="313" t="s">
        <v>85</v>
      </c>
      <c r="L1572" s="390" t="s">
        <v>2166</v>
      </c>
      <c r="M1572" s="312" t="s">
        <v>86</v>
      </c>
      <c r="N1572" s="311" t="s">
        <v>421</v>
      </c>
      <c r="O1572" s="311" t="s">
        <v>506</v>
      </c>
      <c r="P1572" s="314">
        <v>10</v>
      </c>
      <c r="Q1572" s="314">
        <v>50</v>
      </c>
      <c r="R1572" s="315">
        <v>6.8100000000000001E-3</v>
      </c>
      <c r="S1572" s="311" t="s">
        <v>76</v>
      </c>
      <c r="T1572" s="311" t="s">
        <v>112</v>
      </c>
      <c r="U1572" s="311" t="s">
        <v>89</v>
      </c>
      <c r="V1572" s="316">
        <f>100</f>
        <v>100</v>
      </c>
      <c r="W1572" s="316">
        <f>4+96</f>
        <v>100</v>
      </c>
      <c r="X1572" s="317"/>
      <c r="Y1572" s="318">
        <f t="shared" si="518"/>
        <v>0</v>
      </c>
      <c r="Z1572" s="319">
        <f t="shared" si="519"/>
        <v>0</v>
      </c>
      <c r="AA1572" s="319">
        <f t="shared" si="523"/>
        <v>0</v>
      </c>
      <c r="AB1572" s="815">
        <v>6</v>
      </c>
      <c r="AC1572" s="316">
        <f t="shared" si="524"/>
        <v>0</v>
      </c>
      <c r="AD1572" s="381"/>
      <c r="AE1572" s="210"/>
      <c r="AF1572" s="210"/>
      <c r="AG1572" s="211">
        <f t="shared" si="520"/>
        <v>0.57999999999999996</v>
      </c>
      <c r="AH1572" s="157">
        <f t="shared" si="521"/>
        <v>0</v>
      </c>
      <c r="AI1572" s="152">
        <f t="shared" si="522"/>
        <v>1000</v>
      </c>
      <c r="AJ1572" s="156">
        <f>AI1572*Q1572</f>
        <v>50000</v>
      </c>
      <c r="AK1572" s="156" t="s">
        <v>691</v>
      </c>
      <c r="AL1572" s="156" t="s">
        <v>689</v>
      </c>
      <c r="AM1572" s="198">
        <f t="shared" si="517"/>
        <v>0</v>
      </c>
      <c r="AN1572" s="199">
        <f t="shared" si="514"/>
        <v>45597</v>
      </c>
      <c r="AO1572" s="159" t="s">
        <v>692</v>
      </c>
      <c r="AP1572" s="781" t="s">
        <v>423</v>
      </c>
      <c r="AQ1572" s="781" t="s">
        <v>422</v>
      </c>
      <c r="AR1572" s="782">
        <v>12055234</v>
      </c>
      <c r="AS1572" s="781"/>
      <c r="AT1572" s="782">
        <v>12069432</v>
      </c>
      <c r="AU1572" s="781"/>
      <c r="AV1572" s="782">
        <v>12069433</v>
      </c>
      <c r="AW1572" s="781"/>
      <c r="AX1572" s="781" t="s">
        <v>93</v>
      </c>
      <c r="AY1572" s="781"/>
      <c r="AZ1572" s="782"/>
      <c r="BA1572" s="781"/>
    </row>
    <row r="1573" spans="1:53" ht="25" hidden="1" customHeight="1">
      <c r="A1573" s="142" t="s">
        <v>120</v>
      </c>
      <c r="B1573" s="466">
        <v>45598</v>
      </c>
      <c r="C1573" s="467">
        <v>45611</v>
      </c>
      <c r="D1573" s="185">
        <f t="shared" si="507"/>
        <v>2024</v>
      </c>
      <c r="E1573" s="468" t="str">
        <f>VLOOKUP($B1573,Week!$A$1:$C$1462,2,0)</f>
        <v>Week44</v>
      </c>
      <c r="F1573" s="469" t="str">
        <f t="shared" si="508"/>
        <v>Nov</v>
      </c>
      <c r="G1573" s="470" t="s">
        <v>1704</v>
      </c>
      <c r="H1573" s="468" t="s">
        <v>82</v>
      </c>
      <c r="I1573" s="468" t="s">
        <v>82</v>
      </c>
      <c r="J1573" s="471" t="s">
        <v>720</v>
      </c>
      <c r="K1573" s="472" t="s">
        <v>85</v>
      </c>
      <c r="L1573" s="390" t="s">
        <v>2166</v>
      </c>
      <c r="M1573" s="471" t="s">
        <v>579</v>
      </c>
      <c r="N1573" s="468" t="s">
        <v>580</v>
      </c>
      <c r="O1573" s="468" t="s">
        <v>581</v>
      </c>
      <c r="P1573" s="473">
        <v>8</v>
      </c>
      <c r="Q1573" s="473">
        <v>60</v>
      </c>
      <c r="R1573" s="474">
        <v>6.8100000000000001E-3</v>
      </c>
      <c r="S1573" s="468" t="s">
        <v>76</v>
      </c>
      <c r="T1573" s="468" t="s">
        <v>56</v>
      </c>
      <c r="U1573" s="468" t="s">
        <v>89</v>
      </c>
      <c r="V1573" s="475">
        <f>1408</f>
        <v>1408</v>
      </c>
      <c r="W1573" s="475">
        <f>47+1361</f>
        <v>1408</v>
      </c>
      <c r="X1573" s="476"/>
      <c r="Y1573" s="477">
        <f t="shared" si="518"/>
        <v>0</v>
      </c>
      <c r="Z1573" s="478">
        <f t="shared" si="519"/>
        <v>0</v>
      </c>
      <c r="AA1573" s="478">
        <f t="shared" si="523"/>
        <v>0</v>
      </c>
      <c r="AB1573" s="828">
        <v>6</v>
      </c>
      <c r="AC1573" s="475">
        <f t="shared" si="524"/>
        <v>0</v>
      </c>
      <c r="AD1573" s="209"/>
      <c r="AE1573" s="210"/>
      <c r="AF1573" s="210"/>
      <c r="AG1573" s="211">
        <f t="shared" si="520"/>
        <v>0.75</v>
      </c>
      <c r="AH1573" s="157">
        <f t="shared" si="521"/>
        <v>0</v>
      </c>
      <c r="AI1573" s="152">
        <f t="shared" si="522"/>
        <v>11264</v>
      </c>
      <c r="AK1573" s="156" t="s">
        <v>691</v>
      </c>
      <c r="AL1573" s="156" t="s">
        <v>689</v>
      </c>
      <c r="AM1573" s="198">
        <f t="shared" si="517"/>
        <v>0</v>
      </c>
      <c r="AN1573" s="199">
        <f t="shared" si="514"/>
        <v>45598</v>
      </c>
      <c r="AO1573" s="159" t="s">
        <v>692</v>
      </c>
      <c r="AP1573" s="783" t="s">
        <v>622</v>
      </c>
      <c r="AQ1573" s="782">
        <v>12004862</v>
      </c>
      <c r="AR1573" s="782">
        <v>12080753</v>
      </c>
      <c r="AS1573" s="782"/>
      <c r="AT1573" s="782">
        <v>12082897</v>
      </c>
      <c r="AU1573" s="781"/>
      <c r="AV1573" s="782">
        <v>12082898</v>
      </c>
      <c r="AW1573" s="782">
        <v>12082899</v>
      </c>
      <c r="AX1573" s="796" t="s">
        <v>621</v>
      </c>
      <c r="AY1573" s="782"/>
      <c r="AZ1573" s="782"/>
      <c r="BA1573" s="781"/>
    </row>
    <row r="1574" spans="1:53" ht="25" hidden="1" customHeight="1">
      <c r="A1574" s="142" t="s">
        <v>120</v>
      </c>
      <c r="B1574" s="308">
        <v>45598</v>
      </c>
      <c r="C1574" s="309">
        <v>45630</v>
      </c>
      <c r="D1574" s="185">
        <f t="shared" si="507"/>
        <v>2024</v>
      </c>
      <c r="E1574" s="309" t="str">
        <f>VLOOKUP($B1574,Week!$A$1:$C$1462,2,0)</f>
        <v>Week44</v>
      </c>
      <c r="F1574" s="310" t="str">
        <f t="shared" si="508"/>
        <v>Nov</v>
      </c>
      <c r="G1574" s="579" t="s">
        <v>1831</v>
      </c>
      <c r="H1574" s="311" t="s">
        <v>104</v>
      </c>
      <c r="I1574" s="311" t="s">
        <v>2772</v>
      </c>
      <c r="J1574" s="312" t="s">
        <v>105</v>
      </c>
      <c r="K1574" s="313" t="s">
        <v>85</v>
      </c>
      <c r="L1574" s="390" t="s">
        <v>2166</v>
      </c>
      <c r="M1574" s="312" t="s">
        <v>86</v>
      </c>
      <c r="N1574" s="311" t="s">
        <v>421</v>
      </c>
      <c r="O1574" s="311" t="s">
        <v>506</v>
      </c>
      <c r="P1574" s="314">
        <v>10</v>
      </c>
      <c r="Q1574" s="314">
        <v>50</v>
      </c>
      <c r="R1574" s="315">
        <v>6.8100000000000001E-3</v>
      </c>
      <c r="S1574" s="311" t="s">
        <v>76</v>
      </c>
      <c r="T1574" s="311" t="s">
        <v>112</v>
      </c>
      <c r="U1574" s="311" t="s">
        <v>89</v>
      </c>
      <c r="V1574" s="316">
        <f>100</f>
        <v>100</v>
      </c>
      <c r="W1574" s="316">
        <f>103-96</f>
        <v>7</v>
      </c>
      <c r="X1574" s="317">
        <f>(180+130+620)/10</f>
        <v>93</v>
      </c>
      <c r="Y1574" s="318">
        <f t="shared" si="518"/>
        <v>0</v>
      </c>
      <c r="Z1574" s="319">
        <f t="shared" si="519"/>
        <v>0</v>
      </c>
      <c r="AA1574" s="319">
        <f t="shared" si="523"/>
        <v>0</v>
      </c>
      <c r="AB1574" s="815">
        <v>6</v>
      </c>
      <c r="AC1574" s="316">
        <f t="shared" si="524"/>
        <v>0</v>
      </c>
      <c r="AD1574" s="381"/>
      <c r="AE1574" s="210"/>
      <c r="AF1574" s="210"/>
      <c r="AG1574" s="211">
        <f t="shared" si="520"/>
        <v>0.57999999999999996</v>
      </c>
      <c r="AH1574" s="157">
        <f t="shared" si="521"/>
        <v>0</v>
      </c>
      <c r="AI1574" s="152">
        <f t="shared" si="522"/>
        <v>1000</v>
      </c>
      <c r="AJ1574" s="156">
        <f>AI1574*Q1574</f>
        <v>50000</v>
      </c>
      <c r="AK1574" s="156" t="s">
        <v>691</v>
      </c>
      <c r="AL1574" s="156" t="s">
        <v>689</v>
      </c>
      <c r="AM1574" s="198">
        <f t="shared" si="517"/>
        <v>0</v>
      </c>
      <c r="AN1574" s="199">
        <f t="shared" si="514"/>
        <v>45598</v>
      </c>
      <c r="AO1574" s="159" t="s">
        <v>692</v>
      </c>
      <c r="AP1574" s="781" t="s">
        <v>423</v>
      </c>
      <c r="AQ1574" s="781" t="s">
        <v>422</v>
      </c>
      <c r="AR1574" s="782">
        <v>12055234</v>
      </c>
      <c r="AS1574" s="781"/>
      <c r="AT1574" s="782">
        <v>12069432</v>
      </c>
      <c r="AU1574" s="781"/>
      <c r="AV1574" s="782">
        <v>12069433</v>
      </c>
      <c r="AW1574" s="781"/>
      <c r="AX1574" s="781" t="s">
        <v>93</v>
      </c>
      <c r="AY1574" s="781"/>
      <c r="AZ1574" s="782"/>
      <c r="BA1574" s="781"/>
    </row>
    <row r="1575" spans="1:53" ht="25" hidden="1" customHeight="1">
      <c r="B1575" s="183">
        <v>45599</v>
      </c>
      <c r="C1575" s="184"/>
      <c r="D1575" s="185">
        <f t="shared" si="507"/>
        <v>2024</v>
      </c>
      <c r="E1575" s="185" t="str">
        <f>VLOOKUP($B1575,Week!$A$1:$C$1462,2,0)</f>
        <v>Week44</v>
      </c>
      <c r="F1575" s="186" t="str">
        <f t="shared" si="508"/>
        <v>Nov</v>
      </c>
      <c r="G1575" s="185"/>
      <c r="H1575" s="185"/>
      <c r="I1575" s="185"/>
      <c r="J1575" s="187"/>
      <c r="K1575" s="188"/>
      <c r="L1575" s="300"/>
      <c r="M1575" s="187"/>
      <c r="N1575" s="185"/>
      <c r="O1575" s="185"/>
      <c r="P1575" s="189"/>
      <c r="Q1575" s="189"/>
      <c r="R1575" s="190"/>
      <c r="S1575" s="185"/>
      <c r="T1575" s="185"/>
      <c r="U1575" s="185"/>
      <c r="V1575" s="191"/>
      <c r="W1575" s="191"/>
      <c r="X1575" s="192"/>
      <c r="Y1575" s="193"/>
      <c r="Z1575" s="194"/>
      <c r="AA1575" s="194"/>
      <c r="AB1575" s="805"/>
      <c r="AC1575" s="191"/>
      <c r="AD1575" s="187"/>
      <c r="AE1575" s="195"/>
      <c r="AF1575" s="195"/>
      <c r="AG1575" s="196"/>
      <c r="AH1575" s="197"/>
      <c r="AK1575" s="156" t="s">
        <v>691</v>
      </c>
      <c r="AM1575" s="198">
        <f t="shared" si="517"/>
        <v>0</v>
      </c>
      <c r="AN1575" s="199">
        <f t="shared" si="514"/>
        <v>45599</v>
      </c>
      <c r="AO1575" s="159" t="s">
        <v>692</v>
      </c>
      <c r="AP1575" s="781"/>
      <c r="AQ1575" s="782"/>
      <c r="AR1575" s="782"/>
      <c r="AS1575" s="782"/>
      <c r="AT1575" s="782"/>
      <c r="AU1575" s="781"/>
      <c r="AV1575" s="782"/>
      <c r="AW1575" s="782"/>
      <c r="AX1575" s="782"/>
      <c r="AY1575" s="782"/>
      <c r="AZ1575" s="782"/>
      <c r="BA1575" s="781"/>
    </row>
    <row r="1576" spans="1:53" ht="25" hidden="1" customHeight="1">
      <c r="B1576" s="345">
        <v>45600</v>
      </c>
      <c r="C1576" s="464">
        <v>45629</v>
      </c>
      <c r="D1576" s="185">
        <f t="shared" si="507"/>
        <v>2024</v>
      </c>
      <c r="E1576" s="464" t="str">
        <f>VLOOKUP($B1576,Week!$A$1:$C$1462,2,0)</f>
        <v>Week45</v>
      </c>
      <c r="F1576" s="465" t="str">
        <f t="shared" si="508"/>
        <v>Nov</v>
      </c>
      <c r="G1576" s="347" t="s">
        <v>1719</v>
      </c>
      <c r="H1576" s="347" t="s">
        <v>134</v>
      </c>
      <c r="I1576" s="347" t="s">
        <v>2772</v>
      </c>
      <c r="J1576" s="349" t="s">
        <v>135</v>
      </c>
      <c r="K1576" s="350" t="s">
        <v>107</v>
      </c>
      <c r="L1576" s="300" t="s">
        <v>2167</v>
      </c>
      <c r="M1576" s="349" t="s">
        <v>136</v>
      </c>
      <c r="N1576" s="347" t="s">
        <v>137</v>
      </c>
      <c r="O1576" s="347" t="s">
        <v>138</v>
      </c>
      <c r="P1576" s="351">
        <v>24</v>
      </c>
      <c r="Q1576" s="351">
        <v>3</v>
      </c>
      <c r="R1576" s="352">
        <v>7.4999999999999997E-3</v>
      </c>
      <c r="S1576" s="347" t="s">
        <v>111</v>
      </c>
      <c r="T1576" s="347" t="s">
        <v>56</v>
      </c>
      <c r="U1576" s="347" t="s">
        <v>572</v>
      </c>
      <c r="V1576" s="353">
        <f>500</f>
        <v>500</v>
      </c>
      <c r="W1576" s="353">
        <f>10+403+87</f>
        <v>500</v>
      </c>
      <c r="X1576" s="354"/>
      <c r="Y1576" s="355">
        <f t="shared" ref="Y1576:Y1603" si="525">(W1576+X1576)-V1576</f>
        <v>0</v>
      </c>
      <c r="Z1576" s="356">
        <f t="shared" ref="Z1576:Z1603" si="526">IF(Y1576&lt;0,((V1576*P1576)-((W1576+X1576)*P1576)),0)</f>
        <v>0</v>
      </c>
      <c r="AA1576" s="356"/>
      <c r="AB1576" s="818"/>
      <c r="AC1576" s="353"/>
      <c r="AD1576" s="443"/>
      <c r="AE1576" s="210"/>
      <c r="AF1576" s="210"/>
      <c r="AG1576" s="211">
        <f t="shared" ref="AG1576:AG1603" si="527">MID(O1576,1,3)/1000</f>
        <v>0.219</v>
      </c>
      <c r="AH1576" s="157">
        <f>(Z1576*AG1576)/1000</f>
        <v>0</v>
      </c>
      <c r="AI1576" s="152">
        <f t="shared" ref="AI1576:AI1603" si="528">V1576*P1576</f>
        <v>12000</v>
      </c>
      <c r="AK1576" s="156" t="s">
        <v>691</v>
      </c>
      <c r="AL1576" s="212" t="s">
        <v>690</v>
      </c>
      <c r="AM1576" s="198">
        <f t="shared" si="517"/>
        <v>0</v>
      </c>
      <c r="AN1576" s="199">
        <f t="shared" si="514"/>
        <v>45600</v>
      </c>
      <c r="AO1576" s="159" t="s">
        <v>692</v>
      </c>
      <c r="AP1576" s="783" t="s">
        <v>610</v>
      </c>
      <c r="AQ1576" s="796" t="s">
        <v>1500</v>
      </c>
      <c r="AR1576" s="782" t="s">
        <v>140</v>
      </c>
      <c r="AS1576" s="782" t="s">
        <v>141</v>
      </c>
      <c r="AT1576" s="782"/>
      <c r="AU1576" s="783" t="s">
        <v>568</v>
      </c>
      <c r="AV1576" s="796" t="s">
        <v>569</v>
      </c>
      <c r="AW1576" s="796" t="s">
        <v>570</v>
      </c>
      <c r="AX1576" s="782"/>
      <c r="AY1576" s="782">
        <v>12061259</v>
      </c>
      <c r="AZ1576" s="782">
        <v>12064123</v>
      </c>
      <c r="BA1576" s="782">
        <v>12064127</v>
      </c>
    </row>
    <row r="1577" spans="1:53" ht="25" hidden="1" customHeight="1">
      <c r="B1577" s="213">
        <v>45600</v>
      </c>
      <c r="C1577" s="578">
        <v>45609</v>
      </c>
      <c r="D1577" s="185">
        <f t="shared" si="507"/>
        <v>2024</v>
      </c>
      <c r="E1577" s="215" t="str">
        <f>VLOOKUP($B1577,Week!$A$1:$C$1462,2,0)</f>
        <v>Week45</v>
      </c>
      <c r="F1577" s="216" t="str">
        <f t="shared" si="508"/>
        <v>Nov</v>
      </c>
      <c r="G1577" s="215" t="s">
        <v>1759</v>
      </c>
      <c r="H1577" s="215" t="s">
        <v>104</v>
      </c>
      <c r="I1577" s="215" t="s">
        <v>2772</v>
      </c>
      <c r="J1577" s="209" t="s">
        <v>105</v>
      </c>
      <c r="K1577" s="217" t="s">
        <v>107</v>
      </c>
      <c r="L1577" s="300" t="s">
        <v>2167</v>
      </c>
      <c r="M1577" s="209" t="s">
        <v>108</v>
      </c>
      <c r="N1577" s="215" t="s">
        <v>109</v>
      </c>
      <c r="O1577" s="215" t="s">
        <v>110</v>
      </c>
      <c r="P1577" s="218">
        <v>36</v>
      </c>
      <c r="Q1577" s="218">
        <v>5</v>
      </c>
      <c r="R1577" s="219">
        <v>7.4999999999999997E-3</v>
      </c>
      <c r="S1577" s="215" t="s">
        <v>111</v>
      </c>
      <c r="T1577" s="215" t="s">
        <v>112</v>
      </c>
      <c r="U1577" s="215" t="s">
        <v>113</v>
      </c>
      <c r="V1577" s="220">
        <f>792-108</f>
        <v>684</v>
      </c>
      <c r="W1577" s="220">
        <f>524</f>
        <v>524</v>
      </c>
      <c r="X1577" s="221">
        <v>160</v>
      </c>
      <c r="Y1577" s="222">
        <f t="shared" si="525"/>
        <v>0</v>
      </c>
      <c r="Z1577" s="223">
        <f t="shared" si="526"/>
        <v>0</v>
      </c>
      <c r="AA1577" s="223"/>
      <c r="AB1577" s="807"/>
      <c r="AC1577" s="220"/>
      <c r="AD1577" s="209"/>
      <c r="AE1577" s="210"/>
      <c r="AF1577" s="210"/>
      <c r="AG1577" s="211">
        <f t="shared" si="527"/>
        <v>0.308</v>
      </c>
      <c r="AH1577" s="157">
        <f>(Z1577*AG1577)/1000</f>
        <v>0</v>
      </c>
      <c r="AI1577" s="152">
        <f t="shared" si="528"/>
        <v>24624</v>
      </c>
      <c r="AK1577" s="156" t="s">
        <v>691</v>
      </c>
      <c r="AL1577" s="574" t="s">
        <v>690</v>
      </c>
      <c r="AM1577" s="198">
        <f t="shared" si="517"/>
        <v>0</v>
      </c>
      <c r="AN1577" s="199">
        <f t="shared" si="514"/>
        <v>45600</v>
      </c>
      <c r="AO1577" s="159" t="s">
        <v>692</v>
      </c>
      <c r="AP1577" s="781"/>
      <c r="AQ1577" s="782">
        <v>12063755</v>
      </c>
      <c r="AR1577" s="782">
        <v>12061353</v>
      </c>
      <c r="AS1577" s="782">
        <v>12061354</v>
      </c>
      <c r="AT1577" s="782">
        <v>12068566</v>
      </c>
      <c r="AU1577" s="781"/>
      <c r="AV1577" s="782">
        <v>12088206</v>
      </c>
      <c r="AW1577" s="782">
        <v>12088207</v>
      </c>
      <c r="AX1577" s="782"/>
      <c r="AY1577" s="782">
        <v>12068565</v>
      </c>
      <c r="AZ1577" s="782"/>
      <c r="BA1577" s="781"/>
    </row>
    <row r="1578" spans="1:53" ht="25" hidden="1" customHeight="1">
      <c r="B1578" s="213">
        <v>45600</v>
      </c>
      <c r="C1578" s="578">
        <v>45609</v>
      </c>
      <c r="D1578" s="185">
        <f t="shared" si="507"/>
        <v>2024</v>
      </c>
      <c r="E1578" s="215" t="str">
        <f>VLOOKUP($B1578,Week!$A$1:$C$1462,2,0)</f>
        <v>Week45</v>
      </c>
      <c r="F1578" s="216" t="str">
        <f t="shared" si="508"/>
        <v>Nov</v>
      </c>
      <c r="G1578" s="215" t="s">
        <v>1760</v>
      </c>
      <c r="H1578" s="215" t="s">
        <v>104</v>
      </c>
      <c r="I1578" s="215" t="s">
        <v>2772</v>
      </c>
      <c r="J1578" s="209" t="s">
        <v>105</v>
      </c>
      <c r="K1578" s="217" t="s">
        <v>107</v>
      </c>
      <c r="L1578" s="300" t="s">
        <v>2167</v>
      </c>
      <c r="M1578" s="209" t="s">
        <v>108</v>
      </c>
      <c r="N1578" s="215" t="s">
        <v>109</v>
      </c>
      <c r="O1578" s="215" t="s">
        <v>110</v>
      </c>
      <c r="P1578" s="218">
        <v>36</v>
      </c>
      <c r="Q1578" s="218">
        <v>5</v>
      </c>
      <c r="R1578" s="219">
        <v>7.4999999999999997E-3</v>
      </c>
      <c r="S1578" s="215" t="s">
        <v>111</v>
      </c>
      <c r="T1578" s="215" t="s">
        <v>112</v>
      </c>
      <c r="U1578" s="215" t="s">
        <v>113</v>
      </c>
      <c r="V1578" s="220">
        <v>792</v>
      </c>
      <c r="W1578" s="220">
        <v>792</v>
      </c>
      <c r="X1578" s="221"/>
      <c r="Y1578" s="222">
        <f t="shared" si="525"/>
        <v>0</v>
      </c>
      <c r="Z1578" s="223">
        <f t="shared" si="526"/>
        <v>0</v>
      </c>
      <c r="AA1578" s="223"/>
      <c r="AB1578" s="807"/>
      <c r="AC1578" s="220"/>
      <c r="AD1578" s="209"/>
      <c r="AE1578" s="210"/>
      <c r="AF1578" s="210"/>
      <c r="AG1578" s="211">
        <f t="shared" si="527"/>
        <v>0.308</v>
      </c>
      <c r="AH1578" s="157">
        <f t="shared" ref="AH1578:AH1583" si="529">(Z1578*AG1578)/1000</f>
        <v>0</v>
      </c>
      <c r="AI1578" s="152">
        <f t="shared" si="528"/>
        <v>28512</v>
      </c>
      <c r="AK1578" s="156" t="s">
        <v>691</v>
      </c>
      <c r="AL1578" s="574" t="s">
        <v>690</v>
      </c>
      <c r="AM1578" s="198">
        <f t="shared" ref="AM1578:AM1583" si="530">AG1578*Z1578</f>
        <v>0</v>
      </c>
      <c r="AN1578" s="199">
        <f t="shared" si="514"/>
        <v>45600</v>
      </c>
      <c r="AO1578" s="159" t="s">
        <v>692</v>
      </c>
      <c r="AP1578" s="781"/>
      <c r="AQ1578" s="782">
        <v>12063755</v>
      </c>
      <c r="AR1578" s="782">
        <v>12061353</v>
      </c>
      <c r="AS1578" s="782">
        <v>12061354</v>
      </c>
      <c r="AT1578" s="782">
        <v>12068566</v>
      </c>
      <c r="AU1578" s="781"/>
      <c r="AV1578" s="782">
        <v>12088206</v>
      </c>
      <c r="AW1578" s="782">
        <v>12088207</v>
      </c>
      <c r="AX1578" s="782"/>
      <c r="AY1578" s="782">
        <v>12068565</v>
      </c>
      <c r="AZ1578" s="782"/>
      <c r="BA1578" s="781"/>
    </row>
    <row r="1579" spans="1:53" ht="25" hidden="1" customHeight="1">
      <c r="B1579" s="213">
        <v>45600</v>
      </c>
      <c r="C1579" s="578">
        <v>45614</v>
      </c>
      <c r="D1579" s="185">
        <f t="shared" si="507"/>
        <v>2024</v>
      </c>
      <c r="E1579" s="215" t="str">
        <f>VLOOKUP($B1579,Week!$A$1:$C$1462,2,0)</f>
        <v>Week45</v>
      </c>
      <c r="F1579" s="216" t="str">
        <f t="shared" si="508"/>
        <v>Nov</v>
      </c>
      <c r="G1579" s="215" t="s">
        <v>1761</v>
      </c>
      <c r="H1579" s="215" t="s">
        <v>104</v>
      </c>
      <c r="I1579" s="215" t="s">
        <v>2772</v>
      </c>
      <c r="J1579" s="209" t="s">
        <v>105</v>
      </c>
      <c r="K1579" s="217" t="s">
        <v>107</v>
      </c>
      <c r="L1579" s="300" t="s">
        <v>2167</v>
      </c>
      <c r="M1579" s="209" t="s">
        <v>108</v>
      </c>
      <c r="N1579" s="215" t="s">
        <v>109</v>
      </c>
      <c r="O1579" s="215" t="s">
        <v>110</v>
      </c>
      <c r="P1579" s="218">
        <v>36</v>
      </c>
      <c r="Q1579" s="218">
        <v>5</v>
      </c>
      <c r="R1579" s="219">
        <v>7.4999999999999997E-3</v>
      </c>
      <c r="S1579" s="215" t="s">
        <v>111</v>
      </c>
      <c r="T1579" s="215" t="s">
        <v>112</v>
      </c>
      <c r="U1579" s="215" t="s">
        <v>113</v>
      </c>
      <c r="V1579" s="220">
        <v>792</v>
      </c>
      <c r="W1579" s="220">
        <v>632</v>
      </c>
      <c r="X1579" s="221">
        <v>160</v>
      </c>
      <c r="Y1579" s="222">
        <f t="shared" si="525"/>
        <v>0</v>
      </c>
      <c r="Z1579" s="223">
        <f t="shared" si="526"/>
        <v>0</v>
      </c>
      <c r="AA1579" s="223"/>
      <c r="AB1579" s="807"/>
      <c r="AC1579" s="220"/>
      <c r="AD1579" s="209"/>
      <c r="AE1579" s="210"/>
      <c r="AF1579" s="210"/>
      <c r="AG1579" s="211">
        <f t="shared" si="527"/>
        <v>0.308</v>
      </c>
      <c r="AH1579" s="157">
        <f t="shared" si="529"/>
        <v>0</v>
      </c>
      <c r="AI1579" s="152">
        <f t="shared" si="528"/>
        <v>28512</v>
      </c>
      <c r="AK1579" s="156" t="s">
        <v>691</v>
      </c>
      <c r="AL1579" s="574" t="s">
        <v>690</v>
      </c>
      <c r="AM1579" s="198">
        <f t="shared" si="530"/>
        <v>0</v>
      </c>
      <c r="AN1579" s="199">
        <f t="shared" si="514"/>
        <v>45600</v>
      </c>
      <c r="AO1579" s="159" t="s">
        <v>692</v>
      </c>
      <c r="AP1579" s="781"/>
      <c r="AQ1579" s="782">
        <v>12063755</v>
      </c>
      <c r="AR1579" s="782">
        <v>12061353</v>
      </c>
      <c r="AS1579" s="782">
        <v>12061354</v>
      </c>
      <c r="AT1579" s="782">
        <v>12068566</v>
      </c>
      <c r="AU1579" s="781"/>
      <c r="AV1579" s="782">
        <v>12088206</v>
      </c>
      <c r="AW1579" s="782">
        <v>12088207</v>
      </c>
      <c r="AX1579" s="782"/>
      <c r="AY1579" s="782">
        <v>12068565</v>
      </c>
      <c r="AZ1579" s="782"/>
      <c r="BA1579" s="781"/>
    </row>
    <row r="1580" spans="1:53" ht="25" hidden="1" customHeight="1">
      <c r="B1580" s="213">
        <v>45600</v>
      </c>
      <c r="C1580" s="578">
        <v>45616</v>
      </c>
      <c r="D1580" s="185">
        <f t="shared" si="507"/>
        <v>2024</v>
      </c>
      <c r="E1580" s="215" t="str">
        <f>VLOOKUP($B1580,Week!$A$1:$C$1462,2,0)</f>
        <v>Week45</v>
      </c>
      <c r="F1580" s="216" t="str">
        <f t="shared" si="508"/>
        <v>Nov</v>
      </c>
      <c r="G1580" s="215" t="s">
        <v>1762</v>
      </c>
      <c r="H1580" s="215" t="s">
        <v>104</v>
      </c>
      <c r="I1580" s="215" t="s">
        <v>2772</v>
      </c>
      <c r="J1580" s="209" t="s">
        <v>105</v>
      </c>
      <c r="K1580" s="217" t="s">
        <v>107</v>
      </c>
      <c r="L1580" s="300" t="s">
        <v>2167</v>
      </c>
      <c r="M1580" s="209" t="s">
        <v>108</v>
      </c>
      <c r="N1580" s="215" t="s">
        <v>109</v>
      </c>
      <c r="O1580" s="215" t="s">
        <v>110</v>
      </c>
      <c r="P1580" s="218">
        <v>36</v>
      </c>
      <c r="Q1580" s="218">
        <v>5</v>
      </c>
      <c r="R1580" s="219">
        <v>7.4999999999999997E-3</v>
      </c>
      <c r="S1580" s="215" t="s">
        <v>111</v>
      </c>
      <c r="T1580" s="215" t="s">
        <v>112</v>
      </c>
      <c r="U1580" s="215" t="s">
        <v>113</v>
      </c>
      <c r="V1580" s="220">
        <f>411</f>
        <v>411</v>
      </c>
      <c r="W1580" s="220">
        <f>2359-524-792-632</f>
        <v>411</v>
      </c>
      <c r="X1580" s="221"/>
      <c r="Y1580" s="222">
        <f t="shared" si="525"/>
        <v>0</v>
      </c>
      <c r="Z1580" s="223">
        <f t="shared" si="526"/>
        <v>0</v>
      </c>
      <c r="AA1580" s="223"/>
      <c r="AB1580" s="807"/>
      <c r="AC1580" s="220"/>
      <c r="AD1580" s="209"/>
      <c r="AE1580" s="210"/>
      <c r="AF1580" s="210"/>
      <c r="AG1580" s="211">
        <f t="shared" si="527"/>
        <v>0.308</v>
      </c>
      <c r="AH1580" s="157">
        <f>(Z1580*AG1580)/1000</f>
        <v>0</v>
      </c>
      <c r="AI1580" s="152">
        <f t="shared" si="528"/>
        <v>14796</v>
      </c>
      <c r="AK1580" s="156" t="s">
        <v>691</v>
      </c>
      <c r="AL1580" s="574" t="s">
        <v>690</v>
      </c>
      <c r="AM1580" s="198">
        <f>AG1580*Z1580</f>
        <v>0</v>
      </c>
      <c r="AN1580" s="199">
        <f t="shared" si="514"/>
        <v>45600</v>
      </c>
      <c r="AO1580" s="159" t="s">
        <v>692</v>
      </c>
      <c r="AP1580" s="781"/>
      <c r="AQ1580" s="782">
        <v>12063755</v>
      </c>
      <c r="AR1580" s="782">
        <v>12061353</v>
      </c>
      <c r="AS1580" s="782">
        <v>12061354</v>
      </c>
      <c r="AT1580" s="782">
        <v>12068566</v>
      </c>
      <c r="AU1580" s="781"/>
      <c r="AV1580" s="782">
        <v>12088206</v>
      </c>
      <c r="AW1580" s="782">
        <v>12088207</v>
      </c>
      <c r="AX1580" s="782"/>
      <c r="AY1580" s="782">
        <v>12068565</v>
      </c>
      <c r="AZ1580" s="782"/>
      <c r="BA1580" s="781"/>
    </row>
    <row r="1581" spans="1:53" ht="25" hidden="1" customHeight="1">
      <c r="B1581" s="332">
        <v>45600</v>
      </c>
      <c r="C1581" s="333">
        <v>45622</v>
      </c>
      <c r="D1581" s="185">
        <f t="shared" si="507"/>
        <v>2024</v>
      </c>
      <c r="E1581" s="333" t="str">
        <f>VLOOKUP($B1581,Week!$A$1:$C$1462,2,0)</f>
        <v>Week45</v>
      </c>
      <c r="F1581" s="334" t="str">
        <f t="shared" si="508"/>
        <v>Nov</v>
      </c>
      <c r="G1581" s="335" t="s">
        <v>1727</v>
      </c>
      <c r="H1581" s="335" t="s">
        <v>600</v>
      </c>
      <c r="I1581" s="335" t="s">
        <v>2772</v>
      </c>
      <c r="J1581" s="336" t="s">
        <v>708</v>
      </c>
      <c r="K1581" s="337" t="s">
        <v>1646</v>
      </c>
      <c r="L1581" s="300" t="s">
        <v>2167</v>
      </c>
      <c r="M1581" s="336" t="s">
        <v>601</v>
      </c>
      <c r="N1581" s="335" t="s">
        <v>604</v>
      </c>
      <c r="O1581" s="335" t="s">
        <v>543</v>
      </c>
      <c r="P1581" s="338">
        <v>8</v>
      </c>
      <c r="Q1581" s="338">
        <v>3</v>
      </c>
      <c r="R1581" s="339">
        <v>7.4999999999999997E-3</v>
      </c>
      <c r="S1581" s="335" t="s">
        <v>40</v>
      </c>
      <c r="T1581" s="335" t="s">
        <v>112</v>
      </c>
      <c r="U1581" s="340" t="s">
        <v>1893</v>
      </c>
      <c r="V1581" s="341">
        <v>3500</v>
      </c>
      <c r="W1581" s="341"/>
      <c r="X1581" s="342">
        <f>(1421+26579)/8</f>
        <v>3500</v>
      </c>
      <c r="Y1581" s="343">
        <f t="shared" si="525"/>
        <v>0</v>
      </c>
      <c r="Z1581" s="344">
        <f t="shared" si="526"/>
        <v>0</v>
      </c>
      <c r="AA1581" s="344"/>
      <c r="AB1581" s="817">
        <v>3.85E-2</v>
      </c>
      <c r="AC1581" s="341">
        <f>Z1581*AB1581</f>
        <v>0</v>
      </c>
      <c r="AD1581" s="307" t="s">
        <v>673</v>
      </c>
      <c r="AE1581" s="210"/>
      <c r="AF1581" s="210"/>
      <c r="AG1581" s="211">
        <f t="shared" si="527"/>
        <v>0.309</v>
      </c>
      <c r="AH1581" s="157">
        <f>(Z1581*AG1581)/1000</f>
        <v>0</v>
      </c>
      <c r="AI1581" s="152">
        <f t="shared" si="528"/>
        <v>28000</v>
      </c>
      <c r="AK1581" s="156" t="s">
        <v>691</v>
      </c>
      <c r="AL1581" s="574" t="s">
        <v>690</v>
      </c>
      <c r="AM1581" s="198">
        <f>AG1581*Z1581</f>
        <v>0</v>
      </c>
      <c r="AN1581" s="199">
        <f t="shared" si="514"/>
        <v>45600</v>
      </c>
      <c r="AO1581" s="159" t="s">
        <v>692</v>
      </c>
      <c r="AP1581" s="781"/>
      <c r="AQ1581" s="782">
        <v>12063755</v>
      </c>
      <c r="AR1581" s="782">
        <v>12061353</v>
      </c>
      <c r="AS1581" s="782">
        <v>12061354</v>
      </c>
      <c r="AT1581" s="782">
        <v>12084023</v>
      </c>
      <c r="AU1581" s="781"/>
      <c r="AV1581" s="782">
        <v>12084228</v>
      </c>
      <c r="AW1581" s="782"/>
      <c r="AX1581" s="782"/>
      <c r="AY1581" s="782"/>
      <c r="AZ1581" s="782"/>
      <c r="BA1581" s="781"/>
    </row>
    <row r="1582" spans="1:53" ht="25" hidden="1" customHeight="1">
      <c r="B1582" s="213">
        <v>45601</v>
      </c>
      <c r="C1582" s="578">
        <v>45616</v>
      </c>
      <c r="D1582" s="185">
        <f t="shared" si="507"/>
        <v>2024</v>
      </c>
      <c r="E1582" s="215" t="str">
        <f>VLOOKUP($B1582,Week!$A$1:$C$1462,2,0)</f>
        <v>Week45</v>
      </c>
      <c r="F1582" s="216" t="str">
        <f t="shared" si="508"/>
        <v>Nov</v>
      </c>
      <c r="G1582" s="215" t="s">
        <v>1762</v>
      </c>
      <c r="H1582" s="215" t="s">
        <v>104</v>
      </c>
      <c r="I1582" s="215" t="s">
        <v>2772</v>
      </c>
      <c r="J1582" s="209" t="s">
        <v>105</v>
      </c>
      <c r="K1582" s="217" t="s">
        <v>107</v>
      </c>
      <c r="L1582" s="300" t="s">
        <v>2167</v>
      </c>
      <c r="M1582" s="209" t="s">
        <v>108</v>
      </c>
      <c r="N1582" s="215" t="s">
        <v>109</v>
      </c>
      <c r="O1582" s="215" t="s">
        <v>110</v>
      </c>
      <c r="P1582" s="218">
        <v>36</v>
      </c>
      <c r="Q1582" s="218">
        <v>5</v>
      </c>
      <c r="R1582" s="219">
        <v>7.4999999999999997E-3</v>
      </c>
      <c r="S1582" s="215" t="s">
        <v>111</v>
      </c>
      <c r="T1582" s="215" t="s">
        <v>112</v>
      </c>
      <c r="U1582" s="215" t="s">
        <v>113</v>
      </c>
      <c r="V1582" s="220">
        <f>792-411</f>
        <v>381</v>
      </c>
      <c r="W1582" s="220">
        <v>381</v>
      </c>
      <c r="X1582" s="221"/>
      <c r="Y1582" s="222">
        <f t="shared" si="525"/>
        <v>0</v>
      </c>
      <c r="Z1582" s="223">
        <f t="shared" si="526"/>
        <v>0</v>
      </c>
      <c r="AA1582" s="223"/>
      <c r="AB1582" s="807"/>
      <c r="AC1582" s="220"/>
      <c r="AD1582" s="209"/>
      <c r="AE1582" s="210"/>
      <c r="AF1582" s="210"/>
      <c r="AG1582" s="211">
        <f t="shared" si="527"/>
        <v>0.308</v>
      </c>
      <c r="AH1582" s="157">
        <f>(Z1582*AG1582)/1000</f>
        <v>0</v>
      </c>
      <c r="AI1582" s="152">
        <f t="shared" si="528"/>
        <v>13716</v>
      </c>
      <c r="AK1582" s="156" t="s">
        <v>691</v>
      </c>
      <c r="AL1582" s="574" t="s">
        <v>690</v>
      </c>
      <c r="AM1582" s="198">
        <f>AG1582*Z1582</f>
        <v>0</v>
      </c>
      <c r="AN1582" s="199">
        <f t="shared" si="514"/>
        <v>45601</v>
      </c>
      <c r="AO1582" s="159" t="s">
        <v>692</v>
      </c>
      <c r="AP1582" s="781"/>
      <c r="AQ1582" s="782">
        <v>12063755</v>
      </c>
      <c r="AR1582" s="782">
        <v>12061353</v>
      </c>
      <c r="AS1582" s="782">
        <v>12061354</v>
      </c>
      <c r="AT1582" s="782">
        <v>12068566</v>
      </c>
      <c r="AU1582" s="781"/>
      <c r="AV1582" s="782">
        <v>12088206</v>
      </c>
      <c r="AW1582" s="782">
        <v>12088207</v>
      </c>
      <c r="AX1582" s="782"/>
      <c r="AY1582" s="782">
        <v>12068565</v>
      </c>
      <c r="AZ1582" s="782"/>
      <c r="BA1582" s="781"/>
    </row>
    <row r="1583" spans="1:53" ht="25" hidden="1" customHeight="1">
      <c r="B1583" s="213">
        <v>45601</v>
      </c>
      <c r="C1583" s="578">
        <v>45616</v>
      </c>
      <c r="D1583" s="185">
        <f t="shared" si="507"/>
        <v>2024</v>
      </c>
      <c r="E1583" s="215" t="str">
        <f>VLOOKUP($B1583,Week!$A$1:$C$1462,2,0)</f>
        <v>Week45</v>
      </c>
      <c r="F1583" s="216" t="str">
        <f t="shared" si="508"/>
        <v>Nov</v>
      </c>
      <c r="G1583" s="215" t="s">
        <v>1763</v>
      </c>
      <c r="H1583" s="215" t="s">
        <v>104</v>
      </c>
      <c r="I1583" s="215" t="s">
        <v>2772</v>
      </c>
      <c r="J1583" s="209" t="s">
        <v>105</v>
      </c>
      <c r="K1583" s="217" t="s">
        <v>107</v>
      </c>
      <c r="L1583" s="300" t="s">
        <v>2167</v>
      </c>
      <c r="M1583" s="209" t="s">
        <v>108</v>
      </c>
      <c r="N1583" s="215" t="s">
        <v>109</v>
      </c>
      <c r="O1583" s="215" t="s">
        <v>110</v>
      </c>
      <c r="P1583" s="218">
        <v>36</v>
      </c>
      <c r="Q1583" s="218">
        <v>5</v>
      </c>
      <c r="R1583" s="219">
        <v>7.4999999999999997E-3</v>
      </c>
      <c r="S1583" s="215" t="s">
        <v>111</v>
      </c>
      <c r="T1583" s="215" t="s">
        <v>112</v>
      </c>
      <c r="U1583" s="215" t="s">
        <v>113</v>
      </c>
      <c r="V1583" s="220">
        <v>792</v>
      </c>
      <c r="W1583" s="220">
        <v>632</v>
      </c>
      <c r="X1583" s="221">
        <v>160</v>
      </c>
      <c r="Y1583" s="222">
        <f t="shared" si="525"/>
        <v>0</v>
      </c>
      <c r="Z1583" s="223">
        <f t="shared" si="526"/>
        <v>0</v>
      </c>
      <c r="AA1583" s="223"/>
      <c r="AB1583" s="807"/>
      <c r="AC1583" s="220"/>
      <c r="AD1583" s="209"/>
      <c r="AE1583" s="210"/>
      <c r="AF1583" s="210"/>
      <c r="AG1583" s="211">
        <f t="shared" si="527"/>
        <v>0.308</v>
      </c>
      <c r="AH1583" s="157">
        <f t="shared" si="529"/>
        <v>0</v>
      </c>
      <c r="AI1583" s="152">
        <f t="shared" si="528"/>
        <v>28512</v>
      </c>
      <c r="AK1583" s="156" t="s">
        <v>691</v>
      </c>
      <c r="AL1583" s="574" t="s">
        <v>690</v>
      </c>
      <c r="AM1583" s="198">
        <f t="shared" si="530"/>
        <v>0</v>
      </c>
      <c r="AN1583" s="199">
        <f t="shared" si="514"/>
        <v>45601</v>
      </c>
      <c r="AO1583" s="159" t="s">
        <v>692</v>
      </c>
      <c r="AP1583" s="781"/>
      <c r="AQ1583" s="782">
        <v>12063755</v>
      </c>
      <c r="AR1583" s="782">
        <v>12061353</v>
      </c>
      <c r="AS1583" s="782">
        <v>12061354</v>
      </c>
      <c r="AT1583" s="782">
        <v>12068566</v>
      </c>
      <c r="AU1583" s="781"/>
      <c r="AV1583" s="782">
        <v>12088206</v>
      </c>
      <c r="AW1583" s="782">
        <v>12088207</v>
      </c>
      <c r="AX1583" s="782"/>
      <c r="AY1583" s="782">
        <v>12068565</v>
      </c>
      <c r="AZ1583" s="782"/>
      <c r="BA1583" s="781"/>
    </row>
    <row r="1584" spans="1:53" ht="25" hidden="1" customHeight="1">
      <c r="B1584" s="213">
        <v>45601</v>
      </c>
      <c r="C1584" s="578">
        <v>45616</v>
      </c>
      <c r="D1584" s="185">
        <f t="shared" si="507"/>
        <v>2024</v>
      </c>
      <c r="E1584" s="215" t="str">
        <f>VLOOKUP($B1584,Week!$A$1:$C$1462,2,0)</f>
        <v>Week45</v>
      </c>
      <c r="F1584" s="216" t="str">
        <f t="shared" si="508"/>
        <v>Nov</v>
      </c>
      <c r="G1584" s="215" t="s">
        <v>1764</v>
      </c>
      <c r="H1584" s="215" t="s">
        <v>104</v>
      </c>
      <c r="I1584" s="215" t="s">
        <v>2772</v>
      </c>
      <c r="J1584" s="209" t="s">
        <v>105</v>
      </c>
      <c r="K1584" s="217" t="s">
        <v>107</v>
      </c>
      <c r="L1584" s="300" t="s">
        <v>2167</v>
      </c>
      <c r="M1584" s="209" t="s">
        <v>108</v>
      </c>
      <c r="N1584" s="215" t="s">
        <v>109</v>
      </c>
      <c r="O1584" s="215" t="s">
        <v>110</v>
      </c>
      <c r="P1584" s="218">
        <v>36</v>
      </c>
      <c r="Q1584" s="218">
        <v>5</v>
      </c>
      <c r="R1584" s="219">
        <v>7.4999999999999997E-3</v>
      </c>
      <c r="S1584" s="215" t="s">
        <v>111</v>
      </c>
      <c r="T1584" s="215" t="s">
        <v>112</v>
      </c>
      <c r="U1584" s="215" t="s">
        <v>113</v>
      </c>
      <c r="V1584" s="220">
        <v>792</v>
      </c>
      <c r="W1584" s="220">
        <v>792</v>
      </c>
      <c r="X1584" s="221"/>
      <c r="Y1584" s="222">
        <f t="shared" si="525"/>
        <v>0</v>
      </c>
      <c r="Z1584" s="223">
        <f t="shared" si="526"/>
        <v>0</v>
      </c>
      <c r="AA1584" s="223"/>
      <c r="AB1584" s="807"/>
      <c r="AC1584" s="220"/>
      <c r="AD1584" s="209"/>
      <c r="AE1584" s="210"/>
      <c r="AF1584" s="210"/>
      <c r="AG1584" s="211">
        <f t="shared" si="527"/>
        <v>0.308</v>
      </c>
      <c r="AH1584" s="157">
        <f t="shared" ref="AH1584:AH1597" si="531">(Z1584*AG1584)/1000</f>
        <v>0</v>
      </c>
      <c r="AI1584" s="152">
        <f t="shared" si="528"/>
        <v>28512</v>
      </c>
      <c r="AK1584" s="156" t="s">
        <v>691</v>
      </c>
      <c r="AL1584" s="574" t="s">
        <v>690</v>
      </c>
      <c r="AM1584" s="198">
        <f t="shared" ref="AM1584:AM1595" si="532">AG1584*Z1584</f>
        <v>0</v>
      </c>
      <c r="AN1584" s="199">
        <f t="shared" si="514"/>
        <v>45601</v>
      </c>
      <c r="AO1584" s="159" t="s">
        <v>692</v>
      </c>
      <c r="AP1584" s="781"/>
      <c r="AQ1584" s="782">
        <v>12063755</v>
      </c>
      <c r="AR1584" s="782">
        <v>12061353</v>
      </c>
      <c r="AS1584" s="782">
        <v>12061354</v>
      </c>
      <c r="AT1584" s="782">
        <v>12068566</v>
      </c>
      <c r="AU1584" s="781"/>
      <c r="AV1584" s="782">
        <v>12088206</v>
      </c>
      <c r="AW1584" s="782">
        <v>12088207</v>
      </c>
      <c r="AX1584" s="782"/>
      <c r="AY1584" s="782">
        <v>12068565</v>
      </c>
      <c r="AZ1584" s="782"/>
      <c r="BA1584" s="781"/>
    </row>
    <row r="1585" spans="1:53" ht="25" hidden="1" customHeight="1">
      <c r="B1585" s="213">
        <v>45601</v>
      </c>
      <c r="C1585" s="578">
        <v>45616</v>
      </c>
      <c r="D1585" s="185">
        <f t="shared" si="507"/>
        <v>2024</v>
      </c>
      <c r="E1585" s="215" t="str">
        <f>VLOOKUP($B1585,Week!$A$1:$C$1462,2,0)</f>
        <v>Week45</v>
      </c>
      <c r="F1585" s="216" t="str">
        <f t="shared" si="508"/>
        <v>Nov</v>
      </c>
      <c r="G1585" s="215" t="s">
        <v>1765</v>
      </c>
      <c r="H1585" s="215" t="s">
        <v>104</v>
      </c>
      <c r="I1585" s="215" t="s">
        <v>2772</v>
      </c>
      <c r="J1585" s="209" t="s">
        <v>105</v>
      </c>
      <c r="K1585" s="217" t="s">
        <v>107</v>
      </c>
      <c r="L1585" s="300" t="s">
        <v>2167</v>
      </c>
      <c r="M1585" s="209" t="s">
        <v>108</v>
      </c>
      <c r="N1585" s="215" t="s">
        <v>109</v>
      </c>
      <c r="O1585" s="215" t="s">
        <v>110</v>
      </c>
      <c r="P1585" s="218">
        <v>36</v>
      </c>
      <c r="Q1585" s="218">
        <v>5</v>
      </c>
      <c r="R1585" s="219">
        <v>7.4999999999999997E-3</v>
      </c>
      <c r="S1585" s="215" t="s">
        <v>111</v>
      </c>
      <c r="T1585" s="215" t="s">
        <v>112</v>
      </c>
      <c r="U1585" s="215" t="s">
        <v>113</v>
      </c>
      <c r="V1585" s="220">
        <v>792</v>
      </c>
      <c r="W1585" s="220">
        <f>2339-381-632-792</f>
        <v>534</v>
      </c>
      <c r="X1585" s="221">
        <f>(9288)/36</f>
        <v>258</v>
      </c>
      <c r="Y1585" s="222">
        <f t="shared" si="525"/>
        <v>0</v>
      </c>
      <c r="Z1585" s="223">
        <f t="shared" si="526"/>
        <v>0</v>
      </c>
      <c r="AA1585" s="223"/>
      <c r="AB1585" s="807"/>
      <c r="AC1585" s="220"/>
      <c r="AD1585" s="209"/>
      <c r="AE1585" s="210"/>
      <c r="AF1585" s="210"/>
      <c r="AG1585" s="211">
        <f t="shared" si="527"/>
        <v>0.308</v>
      </c>
      <c r="AH1585" s="157">
        <f t="shared" si="531"/>
        <v>0</v>
      </c>
      <c r="AI1585" s="152">
        <f t="shared" si="528"/>
        <v>28512</v>
      </c>
      <c r="AK1585" s="156" t="s">
        <v>691</v>
      </c>
      <c r="AL1585" s="574" t="s">
        <v>690</v>
      </c>
      <c r="AM1585" s="198">
        <f t="shared" si="532"/>
        <v>0</v>
      </c>
      <c r="AN1585" s="199">
        <f t="shared" si="514"/>
        <v>45601</v>
      </c>
      <c r="AO1585" s="159" t="s">
        <v>692</v>
      </c>
      <c r="AP1585" s="781"/>
      <c r="AQ1585" s="782">
        <v>12063755</v>
      </c>
      <c r="AR1585" s="782">
        <v>12061353</v>
      </c>
      <c r="AS1585" s="782">
        <v>12061354</v>
      </c>
      <c r="AT1585" s="782">
        <v>12068566</v>
      </c>
      <c r="AU1585" s="781"/>
      <c r="AV1585" s="782">
        <v>12088206</v>
      </c>
      <c r="AW1585" s="782">
        <v>12088207</v>
      </c>
      <c r="AX1585" s="782"/>
      <c r="AY1585" s="782">
        <v>12068565</v>
      </c>
      <c r="AZ1585" s="782"/>
      <c r="BA1585" s="781"/>
    </row>
    <row r="1586" spans="1:53" ht="25" hidden="1" customHeight="1">
      <c r="B1586" s="213">
        <v>45601</v>
      </c>
      <c r="C1586" s="578">
        <v>45621</v>
      </c>
      <c r="D1586" s="185">
        <f t="shared" si="507"/>
        <v>2024</v>
      </c>
      <c r="E1586" s="215" t="str">
        <f>VLOOKUP($B1586,Week!$A$1:$C$1462,2,0)</f>
        <v>Week45</v>
      </c>
      <c r="F1586" s="216" t="str">
        <f t="shared" si="508"/>
        <v>Nov</v>
      </c>
      <c r="G1586" s="215" t="s">
        <v>1766</v>
      </c>
      <c r="H1586" s="215" t="s">
        <v>104</v>
      </c>
      <c r="I1586" s="215" t="s">
        <v>2772</v>
      </c>
      <c r="J1586" s="209" t="s">
        <v>105</v>
      </c>
      <c r="K1586" s="217" t="s">
        <v>107</v>
      </c>
      <c r="L1586" s="300" t="s">
        <v>2167</v>
      </c>
      <c r="M1586" s="209" t="s">
        <v>108</v>
      </c>
      <c r="N1586" s="215" t="s">
        <v>109</v>
      </c>
      <c r="O1586" s="215" t="s">
        <v>110</v>
      </c>
      <c r="P1586" s="218">
        <v>36</v>
      </c>
      <c r="Q1586" s="218">
        <v>5</v>
      </c>
      <c r="R1586" s="219">
        <v>7.4999999999999997E-3</v>
      </c>
      <c r="S1586" s="215" t="s">
        <v>111</v>
      </c>
      <c r="T1586" s="215" t="s">
        <v>112</v>
      </c>
      <c r="U1586" s="215" t="s">
        <v>113</v>
      </c>
      <c r="V1586" s="220">
        <v>348</v>
      </c>
      <c r="W1586" s="220"/>
      <c r="X1586" s="221">
        <v>348</v>
      </c>
      <c r="Y1586" s="222">
        <f t="shared" si="525"/>
        <v>0</v>
      </c>
      <c r="Z1586" s="223">
        <f t="shared" si="526"/>
        <v>0</v>
      </c>
      <c r="AA1586" s="223"/>
      <c r="AB1586" s="807"/>
      <c r="AC1586" s="220"/>
      <c r="AD1586" s="209"/>
      <c r="AE1586" s="210"/>
      <c r="AF1586" s="210"/>
      <c r="AG1586" s="211">
        <f t="shared" si="527"/>
        <v>0.308</v>
      </c>
      <c r="AH1586" s="157">
        <f t="shared" si="531"/>
        <v>0</v>
      </c>
      <c r="AI1586" s="152">
        <f t="shared" si="528"/>
        <v>12528</v>
      </c>
      <c r="AK1586" s="156" t="s">
        <v>691</v>
      </c>
      <c r="AL1586" s="574" t="s">
        <v>690</v>
      </c>
      <c r="AM1586" s="198">
        <f t="shared" si="532"/>
        <v>0</v>
      </c>
      <c r="AN1586" s="199">
        <f t="shared" si="514"/>
        <v>45601</v>
      </c>
      <c r="AO1586" s="159" t="s">
        <v>692</v>
      </c>
      <c r="AP1586" s="781"/>
      <c r="AQ1586" s="782">
        <v>12063755</v>
      </c>
      <c r="AR1586" s="782">
        <v>12061353</v>
      </c>
      <c r="AS1586" s="782">
        <v>12061354</v>
      </c>
      <c r="AT1586" s="782">
        <v>12068566</v>
      </c>
      <c r="AU1586" s="781"/>
      <c r="AV1586" s="782">
        <v>12088206</v>
      </c>
      <c r="AW1586" s="782">
        <v>12088207</v>
      </c>
      <c r="AX1586" s="782"/>
      <c r="AY1586" s="782">
        <v>12068565</v>
      </c>
      <c r="AZ1586" s="782"/>
      <c r="BA1586" s="781"/>
    </row>
    <row r="1587" spans="1:53" ht="24.65" hidden="1" customHeight="1">
      <c r="B1587" s="224">
        <v>45601</v>
      </c>
      <c r="C1587" s="224">
        <v>45615</v>
      </c>
      <c r="D1587" s="185">
        <f t="shared" si="507"/>
        <v>2024</v>
      </c>
      <c r="E1587" s="224" t="str">
        <f>VLOOKUP($B1587,Week!$A$1:$C$1462,2,0)</f>
        <v>Week45</v>
      </c>
      <c r="F1587" s="226" t="str">
        <f t="shared" si="508"/>
        <v>Nov</v>
      </c>
      <c r="G1587" s="642" t="s">
        <v>1829</v>
      </c>
      <c r="H1587" s="225" t="s">
        <v>104</v>
      </c>
      <c r="I1587" s="225" t="s">
        <v>2772</v>
      </c>
      <c r="J1587" s="227" t="s">
        <v>105</v>
      </c>
      <c r="K1587" s="228" t="s">
        <v>676</v>
      </c>
      <c r="L1587" s="300" t="s">
        <v>2167</v>
      </c>
      <c r="M1587" s="227" t="s">
        <v>108</v>
      </c>
      <c r="N1587" s="225" t="s">
        <v>688</v>
      </c>
      <c r="O1587" s="225" t="s">
        <v>428</v>
      </c>
      <c r="P1587" s="229">
        <v>24</v>
      </c>
      <c r="Q1587" s="229">
        <v>5</v>
      </c>
      <c r="R1587" s="230">
        <v>6.0000000000000001E-3</v>
      </c>
      <c r="S1587" s="225" t="s">
        <v>55</v>
      </c>
      <c r="T1587" s="225" t="s">
        <v>112</v>
      </c>
      <c r="U1587" s="225" t="s">
        <v>113</v>
      </c>
      <c r="V1587" s="231">
        <f>200</f>
        <v>200</v>
      </c>
      <c r="W1587" s="231"/>
      <c r="X1587" s="232">
        <f>4800/24</f>
        <v>200</v>
      </c>
      <c r="Y1587" s="233">
        <f t="shared" si="525"/>
        <v>0</v>
      </c>
      <c r="Z1587" s="234">
        <f t="shared" si="526"/>
        <v>0</v>
      </c>
      <c r="AA1587" s="234"/>
      <c r="AB1587" s="822"/>
      <c r="AC1587" s="231"/>
      <c r="AD1587" s="307" t="s">
        <v>1363</v>
      </c>
      <c r="AE1587" s="210"/>
      <c r="AF1587" s="210"/>
      <c r="AG1587" s="211">
        <f t="shared" si="527"/>
        <v>0.308</v>
      </c>
      <c r="AH1587" s="157">
        <f t="shared" si="531"/>
        <v>0</v>
      </c>
      <c r="AI1587" s="152">
        <f t="shared" si="528"/>
        <v>4800</v>
      </c>
      <c r="AK1587" s="156" t="s">
        <v>691</v>
      </c>
      <c r="AL1587" s="212" t="s">
        <v>690</v>
      </c>
      <c r="AM1587" s="198">
        <f t="shared" si="532"/>
        <v>0</v>
      </c>
      <c r="AN1587" s="199">
        <f t="shared" si="514"/>
        <v>45601</v>
      </c>
      <c r="AO1587" s="159" t="s">
        <v>692</v>
      </c>
      <c r="AP1587" s="783" t="s">
        <v>629</v>
      </c>
      <c r="AQ1587" s="782">
        <v>12063755</v>
      </c>
      <c r="AR1587" s="782">
        <v>12061353</v>
      </c>
      <c r="AS1587" s="782">
        <v>12061354</v>
      </c>
      <c r="AT1587" s="782">
        <v>12085752</v>
      </c>
      <c r="AU1587" s="781"/>
      <c r="AV1587" s="782">
        <v>12069473</v>
      </c>
      <c r="AW1587" s="782">
        <v>12068154</v>
      </c>
      <c r="AX1587" s="782"/>
      <c r="AY1587" s="782">
        <v>12085753</v>
      </c>
      <c r="AZ1587" s="782"/>
      <c r="BA1587" s="781"/>
    </row>
    <row r="1588" spans="1:53" ht="25" hidden="1" customHeight="1">
      <c r="B1588" s="498">
        <v>45601</v>
      </c>
      <c r="C1588" s="499">
        <v>45624</v>
      </c>
      <c r="D1588" s="185">
        <f t="shared" si="507"/>
        <v>2024</v>
      </c>
      <c r="E1588" s="499" t="str">
        <f>VLOOKUP($B1588,Week!$A$1:$C$1462,2,0)</f>
        <v>Week45</v>
      </c>
      <c r="F1588" s="500" t="str">
        <f t="shared" si="508"/>
        <v>Nov</v>
      </c>
      <c r="G1588" s="501" t="s">
        <v>1781</v>
      </c>
      <c r="H1588" s="501" t="s">
        <v>311</v>
      </c>
      <c r="I1588" s="501" t="s">
        <v>2772</v>
      </c>
      <c r="J1588" s="502" t="s">
        <v>738</v>
      </c>
      <c r="K1588" s="503" t="s">
        <v>1646</v>
      </c>
      <c r="L1588" s="300" t="s">
        <v>2167</v>
      </c>
      <c r="M1588" s="502" t="s">
        <v>654</v>
      </c>
      <c r="N1588" s="501" t="s">
        <v>726</v>
      </c>
      <c r="O1588" s="501" t="s">
        <v>655</v>
      </c>
      <c r="P1588" s="504">
        <v>24</v>
      </c>
      <c r="Q1588" s="504">
        <v>5</v>
      </c>
      <c r="R1588" s="505">
        <v>7.4999999999999997E-3</v>
      </c>
      <c r="S1588" s="501" t="s">
        <v>40</v>
      </c>
      <c r="T1588" s="501" t="s">
        <v>112</v>
      </c>
      <c r="U1588" s="506" t="s">
        <v>721</v>
      </c>
      <c r="V1588" s="507">
        <v>924</v>
      </c>
      <c r="W1588" s="507"/>
      <c r="X1588" s="508">
        <f>(591+21793)/24</f>
        <v>932.66666666666663</v>
      </c>
      <c r="Y1588" s="509">
        <f t="shared" si="525"/>
        <v>8.6666666666666288</v>
      </c>
      <c r="Z1588" s="510">
        <f t="shared" si="526"/>
        <v>0</v>
      </c>
      <c r="AA1588" s="510"/>
      <c r="AB1588" s="830"/>
      <c r="AC1588" s="507"/>
      <c r="AD1588" s="209"/>
      <c r="AE1588" s="210"/>
      <c r="AF1588" s="210"/>
      <c r="AG1588" s="211">
        <f t="shared" si="527"/>
        <v>0.307</v>
      </c>
      <c r="AH1588" s="157">
        <f t="shared" si="531"/>
        <v>0</v>
      </c>
      <c r="AI1588" s="152">
        <f t="shared" si="528"/>
        <v>22176</v>
      </c>
      <c r="AK1588" s="156" t="s">
        <v>691</v>
      </c>
      <c r="AL1588" s="212" t="s">
        <v>690</v>
      </c>
      <c r="AM1588" s="198">
        <f t="shared" si="532"/>
        <v>0</v>
      </c>
      <c r="AN1588" s="199">
        <f t="shared" si="514"/>
        <v>45601</v>
      </c>
      <c r="AO1588" s="159" t="s">
        <v>692</v>
      </c>
      <c r="AP1588" s="781" t="s">
        <v>642</v>
      </c>
      <c r="AQ1588" s="782">
        <v>12063755</v>
      </c>
      <c r="AR1588" s="782">
        <v>12061353</v>
      </c>
      <c r="AS1588" s="782">
        <v>12061354</v>
      </c>
      <c r="AT1588" s="782">
        <v>12089274</v>
      </c>
      <c r="AU1588" s="781"/>
      <c r="AV1588" s="782">
        <v>12089275</v>
      </c>
      <c r="AW1588" s="782">
        <v>12068154</v>
      </c>
      <c r="AX1588" s="782"/>
      <c r="AY1588" s="782">
        <v>12089276</v>
      </c>
      <c r="AZ1588" s="782"/>
      <c r="BA1588" s="781"/>
    </row>
    <row r="1589" spans="1:53" ht="25" hidden="1" customHeight="1">
      <c r="A1589" s="142" t="s">
        <v>120</v>
      </c>
      <c r="B1589" s="448">
        <v>45602</v>
      </c>
      <c r="C1589" s="449">
        <v>45610</v>
      </c>
      <c r="D1589" s="185">
        <f t="shared" si="507"/>
        <v>2024</v>
      </c>
      <c r="E1589" s="450" t="str">
        <f>VLOOKUP($B1589,Week!$A$1:$C$1462,2,0)</f>
        <v>Week45</v>
      </c>
      <c r="F1589" s="451" t="str">
        <f t="shared" si="508"/>
        <v>Nov</v>
      </c>
      <c r="G1589" s="450" t="s">
        <v>1623</v>
      </c>
      <c r="H1589" s="450" t="s">
        <v>134</v>
      </c>
      <c r="I1589" s="450" t="s">
        <v>2772</v>
      </c>
      <c r="J1589" s="452" t="s">
        <v>164</v>
      </c>
      <c r="K1589" s="453" t="s">
        <v>153</v>
      </c>
      <c r="L1589" s="390" t="s">
        <v>2166</v>
      </c>
      <c r="M1589" s="452" t="s">
        <v>1642</v>
      </c>
      <c r="N1589" s="450" t="s">
        <v>429</v>
      </c>
      <c r="O1589" s="450" t="s">
        <v>505</v>
      </c>
      <c r="P1589" s="454">
        <v>20</v>
      </c>
      <c r="Q1589" s="454">
        <v>12</v>
      </c>
      <c r="R1589" s="455">
        <v>6.8100000000000001E-3</v>
      </c>
      <c r="S1589" s="450" t="s">
        <v>76</v>
      </c>
      <c r="T1589" s="450" t="s">
        <v>56</v>
      </c>
      <c r="U1589" s="773" t="s">
        <v>430</v>
      </c>
      <c r="V1589" s="456">
        <f>1200</f>
        <v>1200</v>
      </c>
      <c r="W1589" s="456">
        <f>7+1190</f>
        <v>1197</v>
      </c>
      <c r="X1589" s="457">
        <f>(60)/20</f>
        <v>3</v>
      </c>
      <c r="Y1589" s="458">
        <f t="shared" si="525"/>
        <v>0</v>
      </c>
      <c r="Z1589" s="459">
        <f t="shared" si="526"/>
        <v>0</v>
      </c>
      <c r="AA1589" s="459">
        <f t="shared" ref="AA1589:AA1597" si="533">Q1589*Z1589</f>
        <v>0</v>
      </c>
      <c r="AB1589" s="827">
        <v>2</v>
      </c>
      <c r="AC1589" s="456">
        <f t="shared" ref="AC1589:AC1597" si="534">Z1589*AB1589</f>
        <v>0</v>
      </c>
      <c r="AD1589" s="209" t="s">
        <v>218</v>
      </c>
      <c r="AE1589" s="210"/>
      <c r="AF1589" s="210"/>
      <c r="AG1589" s="211">
        <f t="shared" si="527"/>
        <v>0.20399999999999999</v>
      </c>
      <c r="AH1589" s="157">
        <f t="shared" si="531"/>
        <v>0</v>
      </c>
      <c r="AI1589" s="152">
        <f t="shared" si="528"/>
        <v>24000</v>
      </c>
      <c r="AK1589" s="156" t="s">
        <v>691</v>
      </c>
      <c r="AL1589" s="156" t="s">
        <v>689</v>
      </c>
      <c r="AM1589" s="198">
        <f t="shared" si="532"/>
        <v>0</v>
      </c>
      <c r="AN1589" s="199">
        <f t="shared" si="514"/>
        <v>45602</v>
      </c>
      <c r="AO1589" s="159" t="s">
        <v>692</v>
      </c>
      <c r="AP1589" s="781"/>
      <c r="AQ1589" s="782" t="s">
        <v>158</v>
      </c>
      <c r="AR1589" s="782">
        <v>12019692</v>
      </c>
      <c r="AS1589" s="782"/>
      <c r="AT1589" s="782">
        <v>12055901</v>
      </c>
      <c r="AU1589" s="781"/>
      <c r="AV1589" s="782">
        <v>12055891</v>
      </c>
      <c r="AW1589" s="782"/>
      <c r="AX1589" s="782" t="s">
        <v>398</v>
      </c>
      <c r="AY1589" s="782"/>
      <c r="AZ1589" s="782"/>
      <c r="BA1589" s="781"/>
    </row>
    <row r="1590" spans="1:53" ht="24.65" hidden="1" customHeight="1">
      <c r="A1590" s="142" t="s">
        <v>120</v>
      </c>
      <c r="B1590" s="258">
        <v>45602</v>
      </c>
      <c r="C1590" s="259">
        <v>45623</v>
      </c>
      <c r="D1590" s="185">
        <f t="shared" si="507"/>
        <v>2024</v>
      </c>
      <c r="E1590" s="260" t="str">
        <f>VLOOKUP($B1590,Week!$A$1:$C$1462,2,0)</f>
        <v>Week45</v>
      </c>
      <c r="F1590" s="261" t="str">
        <f t="shared" si="508"/>
        <v>Nov</v>
      </c>
      <c r="G1590" s="262" t="s">
        <v>1718</v>
      </c>
      <c r="H1590" s="260" t="s">
        <v>134</v>
      </c>
      <c r="I1590" s="260" t="s">
        <v>2772</v>
      </c>
      <c r="J1590" s="263" t="s">
        <v>164</v>
      </c>
      <c r="K1590" s="264" t="s">
        <v>153</v>
      </c>
      <c r="L1590" s="390" t="s">
        <v>2166</v>
      </c>
      <c r="M1590" s="263" t="s">
        <v>165</v>
      </c>
      <c r="N1590" s="260" t="s">
        <v>166</v>
      </c>
      <c r="O1590" s="260" t="s">
        <v>502</v>
      </c>
      <c r="P1590" s="265">
        <v>20</v>
      </c>
      <c r="Q1590" s="265">
        <v>12</v>
      </c>
      <c r="R1590" s="266">
        <v>6.8100000000000001E-3</v>
      </c>
      <c r="S1590" s="260" t="s">
        <v>76</v>
      </c>
      <c r="T1590" s="260" t="s">
        <v>56</v>
      </c>
      <c r="U1590" s="260" t="s">
        <v>89</v>
      </c>
      <c r="V1590" s="267">
        <f>1021</f>
        <v>1021</v>
      </c>
      <c r="W1590" s="267">
        <f>438</f>
        <v>438</v>
      </c>
      <c r="X1590" s="268">
        <f>11662/20</f>
        <v>583.1</v>
      </c>
      <c r="Y1590" s="269">
        <f t="shared" si="525"/>
        <v>0.10000000000002274</v>
      </c>
      <c r="Z1590" s="270">
        <f t="shared" si="526"/>
        <v>0</v>
      </c>
      <c r="AA1590" s="270">
        <f t="shared" si="533"/>
        <v>0</v>
      </c>
      <c r="AB1590" s="811">
        <v>2</v>
      </c>
      <c r="AC1590" s="267">
        <f t="shared" si="534"/>
        <v>0</v>
      </c>
      <c r="AD1590" s="209" t="s">
        <v>168</v>
      </c>
      <c r="AE1590" s="210"/>
      <c r="AF1590" s="210"/>
      <c r="AG1590" s="211">
        <f t="shared" si="527"/>
        <v>0.154</v>
      </c>
      <c r="AH1590" s="157">
        <f t="shared" si="531"/>
        <v>0</v>
      </c>
      <c r="AI1590" s="152">
        <f t="shared" si="528"/>
        <v>20420</v>
      </c>
      <c r="AK1590" s="156" t="s">
        <v>691</v>
      </c>
      <c r="AL1590" s="156" t="s">
        <v>689</v>
      </c>
      <c r="AM1590" s="198">
        <f t="shared" si="532"/>
        <v>0</v>
      </c>
      <c r="AN1590" s="199">
        <f t="shared" si="514"/>
        <v>45602</v>
      </c>
      <c r="AO1590" s="159" t="s">
        <v>692</v>
      </c>
      <c r="AP1590" s="783" t="s">
        <v>610</v>
      </c>
      <c r="AQ1590" s="783" t="s">
        <v>631</v>
      </c>
      <c r="AR1590" s="783" t="s">
        <v>523</v>
      </c>
      <c r="AS1590" s="781"/>
      <c r="AT1590" s="782">
        <v>12055919</v>
      </c>
      <c r="AU1590" s="781"/>
      <c r="AV1590" s="783" t="s">
        <v>544</v>
      </c>
      <c r="AW1590" s="781"/>
      <c r="AX1590" s="782" t="s">
        <v>398</v>
      </c>
      <c r="AY1590" s="781"/>
      <c r="AZ1590" s="781"/>
      <c r="BA1590" s="781"/>
    </row>
    <row r="1591" spans="1:53" ht="24.65" hidden="1" customHeight="1">
      <c r="A1591" s="142" t="s">
        <v>120</v>
      </c>
      <c r="B1591" s="258">
        <v>45603</v>
      </c>
      <c r="C1591" s="259">
        <v>45623</v>
      </c>
      <c r="D1591" s="185">
        <f t="shared" si="507"/>
        <v>2024</v>
      </c>
      <c r="E1591" s="260" t="str">
        <f>VLOOKUP($B1591,Week!$A$1:$C$1462,2,0)</f>
        <v>Week45</v>
      </c>
      <c r="F1591" s="261" t="str">
        <f t="shared" si="508"/>
        <v>Nov</v>
      </c>
      <c r="G1591" s="262" t="s">
        <v>1718</v>
      </c>
      <c r="H1591" s="260" t="s">
        <v>134</v>
      </c>
      <c r="I1591" s="260" t="s">
        <v>2772</v>
      </c>
      <c r="J1591" s="263" t="s">
        <v>164</v>
      </c>
      <c r="K1591" s="264" t="s">
        <v>153</v>
      </c>
      <c r="L1591" s="390" t="s">
        <v>2166</v>
      </c>
      <c r="M1591" s="263" t="s">
        <v>165</v>
      </c>
      <c r="N1591" s="260" t="s">
        <v>166</v>
      </c>
      <c r="O1591" s="260" t="s">
        <v>502</v>
      </c>
      <c r="P1591" s="265">
        <v>20</v>
      </c>
      <c r="Q1591" s="265">
        <v>12</v>
      </c>
      <c r="R1591" s="266">
        <v>6.8100000000000001E-3</v>
      </c>
      <c r="S1591" s="260" t="s">
        <v>76</v>
      </c>
      <c r="T1591" s="260" t="s">
        <v>56</v>
      </c>
      <c r="U1591" s="260" t="s">
        <v>89</v>
      </c>
      <c r="V1591" s="267">
        <v>1501</v>
      </c>
      <c r="W1591" s="267">
        <f>1214</f>
        <v>1214</v>
      </c>
      <c r="X1591" s="268">
        <f>5740/20</f>
        <v>287</v>
      </c>
      <c r="Y1591" s="269">
        <f t="shared" si="525"/>
        <v>0</v>
      </c>
      <c r="Z1591" s="270">
        <f t="shared" si="526"/>
        <v>0</v>
      </c>
      <c r="AA1591" s="270">
        <f t="shared" si="533"/>
        <v>0</v>
      </c>
      <c r="AB1591" s="811">
        <v>2</v>
      </c>
      <c r="AC1591" s="267">
        <f t="shared" si="534"/>
        <v>0</v>
      </c>
      <c r="AD1591" s="209" t="s">
        <v>168</v>
      </c>
      <c r="AE1591" s="210"/>
      <c r="AF1591" s="210"/>
      <c r="AG1591" s="211">
        <f t="shared" si="527"/>
        <v>0.154</v>
      </c>
      <c r="AH1591" s="157">
        <f t="shared" si="531"/>
        <v>0</v>
      </c>
      <c r="AI1591" s="152">
        <f t="shared" si="528"/>
        <v>30020</v>
      </c>
      <c r="AK1591" s="156" t="s">
        <v>691</v>
      </c>
      <c r="AL1591" s="156" t="s">
        <v>689</v>
      </c>
      <c r="AM1591" s="198">
        <f t="shared" si="532"/>
        <v>0</v>
      </c>
      <c r="AN1591" s="199">
        <f t="shared" si="514"/>
        <v>45603</v>
      </c>
      <c r="AO1591" s="159" t="s">
        <v>692</v>
      </c>
      <c r="AP1591" s="783" t="s">
        <v>610</v>
      </c>
      <c r="AQ1591" s="783" t="s">
        <v>631</v>
      </c>
      <c r="AR1591" s="783" t="s">
        <v>523</v>
      </c>
      <c r="AS1591" s="781"/>
      <c r="AT1591" s="782">
        <v>12055919</v>
      </c>
      <c r="AU1591" s="781"/>
      <c r="AV1591" s="783" t="s">
        <v>544</v>
      </c>
      <c r="AW1591" s="781"/>
      <c r="AX1591" s="782" t="s">
        <v>398</v>
      </c>
      <c r="AY1591" s="781"/>
      <c r="AZ1591" s="781"/>
      <c r="BA1591" s="781"/>
    </row>
    <row r="1592" spans="1:53" ht="25" hidden="1" customHeight="1">
      <c r="A1592" s="142" t="s">
        <v>120</v>
      </c>
      <c r="B1592" s="581">
        <v>45603</v>
      </c>
      <c r="C1592" s="333">
        <v>45630</v>
      </c>
      <c r="D1592" s="185">
        <f t="shared" si="507"/>
        <v>2024</v>
      </c>
      <c r="E1592" s="335" t="str">
        <f>VLOOKUP($B1592,Week!$A$1:$C$1462,2,0)</f>
        <v>Week45</v>
      </c>
      <c r="F1592" s="334" t="str">
        <f t="shared" si="508"/>
        <v>Nov</v>
      </c>
      <c r="G1592" s="530" t="s">
        <v>1814</v>
      </c>
      <c r="H1592" s="335" t="s">
        <v>82</v>
      </c>
      <c r="I1592" s="335" t="s">
        <v>82</v>
      </c>
      <c r="J1592" s="336" t="s">
        <v>235</v>
      </c>
      <c r="K1592" s="337" t="s">
        <v>85</v>
      </c>
      <c r="L1592" s="390" t="s">
        <v>2166</v>
      </c>
      <c r="M1592" s="336" t="s">
        <v>86</v>
      </c>
      <c r="N1592" s="335" t="s">
        <v>273</v>
      </c>
      <c r="O1592" s="335" t="s">
        <v>507</v>
      </c>
      <c r="P1592" s="338">
        <v>8</v>
      </c>
      <c r="Q1592" s="338">
        <v>50</v>
      </c>
      <c r="R1592" s="339">
        <v>6.8100000000000001E-3</v>
      </c>
      <c r="S1592" s="335" t="s">
        <v>76</v>
      </c>
      <c r="T1592" s="335" t="s">
        <v>56</v>
      </c>
      <c r="U1592" s="335" t="s">
        <v>89</v>
      </c>
      <c r="V1592" s="341">
        <f>400</f>
        <v>400</v>
      </c>
      <c r="W1592" s="341">
        <f>399</f>
        <v>399</v>
      </c>
      <c r="X1592" s="342">
        <v>1</v>
      </c>
      <c r="Y1592" s="343">
        <f t="shared" si="525"/>
        <v>0</v>
      </c>
      <c r="Z1592" s="344">
        <f t="shared" si="526"/>
        <v>0</v>
      </c>
      <c r="AA1592" s="344">
        <f t="shared" si="533"/>
        <v>0</v>
      </c>
      <c r="AB1592" s="817">
        <v>6</v>
      </c>
      <c r="AC1592" s="341">
        <f t="shared" si="534"/>
        <v>0</v>
      </c>
      <c r="AD1592" s="443"/>
      <c r="AE1592" s="210"/>
      <c r="AF1592" s="210"/>
      <c r="AG1592" s="211">
        <f t="shared" si="527"/>
        <v>0.63</v>
      </c>
      <c r="AH1592" s="157">
        <f t="shared" si="531"/>
        <v>0</v>
      </c>
      <c r="AI1592" s="152">
        <f t="shared" si="528"/>
        <v>3200</v>
      </c>
      <c r="AK1592" s="156" t="s">
        <v>691</v>
      </c>
      <c r="AL1592" s="156" t="s">
        <v>689</v>
      </c>
      <c r="AM1592" s="198">
        <f t="shared" si="532"/>
        <v>0</v>
      </c>
      <c r="AN1592" s="199">
        <f t="shared" si="514"/>
        <v>45603</v>
      </c>
      <c r="AO1592" s="159" t="s">
        <v>692</v>
      </c>
      <c r="AP1592" s="781"/>
      <c r="AQ1592" s="782">
        <v>12004862</v>
      </c>
      <c r="AR1592" s="782">
        <v>12055234</v>
      </c>
      <c r="AS1592" s="782"/>
      <c r="AT1592" s="782">
        <v>12056345</v>
      </c>
      <c r="AU1592" s="781"/>
      <c r="AV1592" s="782">
        <v>12056200</v>
      </c>
      <c r="AW1592" s="782"/>
      <c r="AX1592" s="782" t="s">
        <v>93</v>
      </c>
      <c r="AY1592" s="782"/>
      <c r="AZ1592" s="782"/>
      <c r="BA1592" s="781"/>
    </row>
    <row r="1593" spans="1:53" ht="24.75" hidden="1" customHeight="1">
      <c r="A1593" s="142" t="s">
        <v>120</v>
      </c>
      <c r="B1593" s="308">
        <v>45603</v>
      </c>
      <c r="C1593" s="644" t="s">
        <v>1677</v>
      </c>
      <c r="D1593" s="185">
        <f t="shared" si="507"/>
        <v>2024</v>
      </c>
      <c r="E1593" s="519" t="str">
        <f>VLOOKUP($B1593,Week!$A$1:$C$1462,2,0)</f>
        <v>Week45</v>
      </c>
      <c r="F1593" s="520" t="str">
        <f t="shared" si="508"/>
        <v>Nov</v>
      </c>
      <c r="G1593" s="644" t="s">
        <v>47</v>
      </c>
      <c r="H1593" s="311" t="s">
        <v>518</v>
      </c>
      <c r="I1593" s="311" t="s">
        <v>2702</v>
      </c>
      <c r="J1593" s="312" t="s">
        <v>70</v>
      </c>
      <c r="K1593" s="313" t="s">
        <v>85</v>
      </c>
      <c r="L1593" s="390" t="s">
        <v>2166</v>
      </c>
      <c r="M1593" s="312" t="s">
        <v>515</v>
      </c>
      <c r="N1593" s="311" t="s">
        <v>588</v>
      </c>
      <c r="O1593" s="311" t="s">
        <v>546</v>
      </c>
      <c r="P1593" s="314">
        <v>12</v>
      </c>
      <c r="Q1593" s="314">
        <v>20</v>
      </c>
      <c r="R1593" s="315">
        <v>6.1999999999999998E-3</v>
      </c>
      <c r="S1593" s="311" t="s">
        <v>352</v>
      </c>
      <c r="T1593" s="311" t="s">
        <v>56</v>
      </c>
      <c r="U1593" s="311"/>
      <c r="V1593" s="316">
        <f>776-184-81-82</f>
        <v>429</v>
      </c>
      <c r="W1593" s="316">
        <f>15+414</f>
        <v>429</v>
      </c>
      <c r="X1593" s="317"/>
      <c r="Y1593" s="318">
        <f t="shared" si="525"/>
        <v>0</v>
      </c>
      <c r="Z1593" s="319">
        <f t="shared" si="526"/>
        <v>0</v>
      </c>
      <c r="AA1593" s="319">
        <f t="shared" si="533"/>
        <v>0</v>
      </c>
      <c r="AB1593" s="815"/>
      <c r="AC1593" s="316">
        <f t="shared" si="534"/>
        <v>0</v>
      </c>
      <c r="AD1593" s="209"/>
      <c r="AE1593" s="210"/>
      <c r="AF1593" s="210"/>
      <c r="AG1593" s="211">
        <f t="shared" si="527"/>
        <v>0.22</v>
      </c>
      <c r="AH1593" s="157">
        <f t="shared" si="531"/>
        <v>0</v>
      </c>
      <c r="AI1593" s="152">
        <f t="shared" si="528"/>
        <v>5148</v>
      </c>
      <c r="AK1593" s="156" t="s">
        <v>691</v>
      </c>
      <c r="AL1593" s="156" t="s">
        <v>689</v>
      </c>
      <c r="AM1593" s="198">
        <f t="shared" si="532"/>
        <v>0</v>
      </c>
      <c r="AN1593" s="199">
        <f t="shared" si="514"/>
        <v>45603</v>
      </c>
      <c r="AO1593" s="159" t="s">
        <v>692</v>
      </c>
      <c r="AP1593" s="783" t="s">
        <v>613</v>
      </c>
      <c r="AQ1593" s="782"/>
      <c r="AR1593" s="782" t="s">
        <v>614</v>
      </c>
      <c r="AS1593" s="782"/>
      <c r="AT1593" s="782">
        <v>12083140</v>
      </c>
      <c r="AU1593" s="781"/>
      <c r="AV1593" s="782">
        <v>12083143</v>
      </c>
      <c r="AW1593" s="782"/>
      <c r="AX1593" s="782"/>
      <c r="AY1593" s="782"/>
      <c r="AZ1593" s="782"/>
      <c r="BA1593" s="781"/>
    </row>
    <row r="1594" spans="1:53" ht="24.75" hidden="1" customHeight="1">
      <c r="A1594" s="142" t="s">
        <v>120</v>
      </c>
      <c r="B1594" s="308">
        <v>45603</v>
      </c>
      <c r="C1594" s="644" t="s">
        <v>1677</v>
      </c>
      <c r="D1594" s="185">
        <f t="shared" si="507"/>
        <v>2024</v>
      </c>
      <c r="E1594" s="519" t="str">
        <f>VLOOKUP($B1594,Week!$A$1:$C$1462,2,0)</f>
        <v>Week45</v>
      </c>
      <c r="F1594" s="520" t="str">
        <f t="shared" si="508"/>
        <v>Nov</v>
      </c>
      <c r="G1594" s="644" t="s">
        <v>47</v>
      </c>
      <c r="H1594" s="311" t="s">
        <v>518</v>
      </c>
      <c r="I1594" s="311" t="s">
        <v>2702</v>
      </c>
      <c r="J1594" s="312" t="s">
        <v>70</v>
      </c>
      <c r="K1594" s="313" t="s">
        <v>85</v>
      </c>
      <c r="L1594" s="390" t="s">
        <v>2166</v>
      </c>
      <c r="M1594" s="312" t="s">
        <v>515</v>
      </c>
      <c r="N1594" s="311" t="s">
        <v>588</v>
      </c>
      <c r="O1594" s="311" t="s">
        <v>546</v>
      </c>
      <c r="P1594" s="314">
        <v>12</v>
      </c>
      <c r="Q1594" s="314">
        <v>20</v>
      </c>
      <c r="R1594" s="315">
        <v>6.1999999999999998E-3</v>
      </c>
      <c r="S1594" s="311" t="s">
        <v>352</v>
      </c>
      <c r="T1594" s="311" t="s">
        <v>56</v>
      </c>
      <c r="U1594" s="311"/>
      <c r="V1594" s="316">
        <f>201</f>
        <v>201</v>
      </c>
      <c r="W1594" s="316">
        <f>615-414</f>
        <v>201</v>
      </c>
      <c r="X1594" s="317"/>
      <c r="Y1594" s="318">
        <f t="shared" si="525"/>
        <v>0</v>
      </c>
      <c r="Z1594" s="319">
        <f t="shared" si="526"/>
        <v>0</v>
      </c>
      <c r="AA1594" s="319">
        <f t="shared" si="533"/>
        <v>0</v>
      </c>
      <c r="AB1594" s="815"/>
      <c r="AC1594" s="316">
        <f t="shared" si="534"/>
        <v>0</v>
      </c>
      <c r="AD1594" s="209"/>
      <c r="AE1594" s="210"/>
      <c r="AF1594" s="210"/>
      <c r="AG1594" s="211">
        <f t="shared" si="527"/>
        <v>0.22</v>
      </c>
      <c r="AH1594" s="157">
        <f t="shared" si="531"/>
        <v>0</v>
      </c>
      <c r="AI1594" s="152">
        <f t="shared" si="528"/>
        <v>2412</v>
      </c>
      <c r="AK1594" s="156" t="s">
        <v>691</v>
      </c>
      <c r="AL1594" s="156" t="s">
        <v>689</v>
      </c>
      <c r="AM1594" s="198">
        <f t="shared" si="532"/>
        <v>0</v>
      </c>
      <c r="AN1594" s="199">
        <f t="shared" si="514"/>
        <v>45603</v>
      </c>
      <c r="AO1594" s="159" t="s">
        <v>692</v>
      </c>
      <c r="AP1594" s="783" t="s">
        <v>613</v>
      </c>
      <c r="AQ1594" s="782"/>
      <c r="AR1594" s="782" t="s">
        <v>614</v>
      </c>
      <c r="AS1594" s="782"/>
      <c r="AT1594" s="782">
        <v>12083140</v>
      </c>
      <c r="AU1594" s="781"/>
      <c r="AV1594" s="782">
        <v>12083143</v>
      </c>
      <c r="AW1594" s="782"/>
      <c r="AX1594" s="782"/>
      <c r="AY1594" s="782"/>
      <c r="AZ1594" s="782"/>
      <c r="BA1594" s="781"/>
    </row>
    <row r="1595" spans="1:53" ht="25" hidden="1" customHeight="1">
      <c r="A1595" s="142" t="s">
        <v>120</v>
      </c>
      <c r="B1595" s="582">
        <v>45604</v>
      </c>
      <c r="C1595" s="535">
        <v>45607</v>
      </c>
      <c r="D1595" s="185">
        <f t="shared" si="507"/>
        <v>2024</v>
      </c>
      <c r="E1595" s="535" t="str">
        <f>VLOOKUP($B1595,Week!$A$1:$C$1462,2,0)</f>
        <v>Week45</v>
      </c>
      <c r="F1595" s="536" t="str">
        <f t="shared" si="508"/>
        <v>Nov</v>
      </c>
      <c r="G1595" s="537" t="s">
        <v>1833</v>
      </c>
      <c r="H1595" s="537" t="s">
        <v>82</v>
      </c>
      <c r="I1595" s="537" t="s">
        <v>82</v>
      </c>
      <c r="J1595" s="538" t="s">
        <v>235</v>
      </c>
      <c r="K1595" s="539" t="s">
        <v>85</v>
      </c>
      <c r="L1595" s="390" t="s">
        <v>2166</v>
      </c>
      <c r="M1595" s="538" t="s">
        <v>165</v>
      </c>
      <c r="N1595" s="537" t="s">
        <v>258</v>
      </c>
      <c r="O1595" s="537" t="s">
        <v>705</v>
      </c>
      <c r="P1595" s="540">
        <v>20</v>
      </c>
      <c r="Q1595" s="540">
        <v>12</v>
      </c>
      <c r="R1595" s="541">
        <v>6.8100000000000001E-3</v>
      </c>
      <c r="S1595" s="537" t="s">
        <v>76</v>
      </c>
      <c r="T1595" s="537" t="s">
        <v>56</v>
      </c>
      <c r="U1595" s="537" t="s">
        <v>89</v>
      </c>
      <c r="V1595" s="542">
        <v>1386</v>
      </c>
      <c r="W1595" s="542">
        <f>1386</f>
        <v>1386</v>
      </c>
      <c r="X1595" s="543"/>
      <c r="Y1595" s="544">
        <f t="shared" si="525"/>
        <v>0</v>
      </c>
      <c r="Z1595" s="545">
        <f t="shared" si="526"/>
        <v>0</v>
      </c>
      <c r="AA1595" s="545">
        <f t="shared" si="533"/>
        <v>0</v>
      </c>
      <c r="AB1595" s="832">
        <v>2</v>
      </c>
      <c r="AC1595" s="542">
        <f t="shared" si="534"/>
        <v>0</v>
      </c>
      <c r="AD1595" s="209"/>
      <c r="AE1595" s="210"/>
      <c r="AF1595" s="210"/>
      <c r="AG1595" s="211">
        <f t="shared" si="527"/>
        <v>0.14399999999999999</v>
      </c>
      <c r="AH1595" s="157">
        <f t="shared" si="531"/>
        <v>0</v>
      </c>
      <c r="AI1595" s="152">
        <f t="shared" si="528"/>
        <v>27720</v>
      </c>
      <c r="AK1595" s="156" t="s">
        <v>691</v>
      </c>
      <c r="AL1595" s="156" t="s">
        <v>689</v>
      </c>
      <c r="AM1595" s="198">
        <f t="shared" si="532"/>
        <v>0</v>
      </c>
      <c r="AN1595" s="199">
        <f t="shared" si="514"/>
        <v>45604</v>
      </c>
      <c r="AO1595" s="159" t="s">
        <v>692</v>
      </c>
      <c r="AP1595" s="781"/>
      <c r="AQ1595" s="782">
        <v>12071839</v>
      </c>
      <c r="AR1595" s="783" t="s">
        <v>523</v>
      </c>
      <c r="AS1595" s="781"/>
      <c r="AT1595" s="783" t="s">
        <v>524</v>
      </c>
      <c r="AU1595" s="781"/>
      <c r="AV1595" s="782">
        <v>12027007</v>
      </c>
      <c r="AW1595" s="782"/>
      <c r="AX1595" s="782" t="s">
        <v>398</v>
      </c>
      <c r="AY1595" s="782"/>
      <c r="AZ1595" s="782"/>
      <c r="BA1595" s="781"/>
    </row>
    <row r="1596" spans="1:53" ht="25" hidden="1" customHeight="1">
      <c r="A1596" s="142" t="s">
        <v>120</v>
      </c>
      <c r="B1596" s="582">
        <v>45604</v>
      </c>
      <c r="C1596" s="535">
        <v>45630</v>
      </c>
      <c r="D1596" s="185">
        <f t="shared" si="507"/>
        <v>2024</v>
      </c>
      <c r="E1596" s="535" t="str">
        <f>VLOOKUP($B1596,Week!$A$1:$C$1462,2,0)</f>
        <v>Week45</v>
      </c>
      <c r="F1596" s="536" t="str">
        <f t="shared" si="508"/>
        <v>Nov</v>
      </c>
      <c r="G1596" s="537" t="s">
        <v>1814</v>
      </c>
      <c r="H1596" s="537" t="s">
        <v>82</v>
      </c>
      <c r="I1596" s="537" t="s">
        <v>82</v>
      </c>
      <c r="J1596" s="538" t="s">
        <v>235</v>
      </c>
      <c r="K1596" s="539" t="s">
        <v>85</v>
      </c>
      <c r="L1596" s="390" t="s">
        <v>2166</v>
      </c>
      <c r="M1596" s="538" t="s">
        <v>165</v>
      </c>
      <c r="N1596" s="537" t="s">
        <v>258</v>
      </c>
      <c r="O1596" s="537" t="s">
        <v>705</v>
      </c>
      <c r="P1596" s="540">
        <v>20</v>
      </c>
      <c r="Q1596" s="540">
        <v>12</v>
      </c>
      <c r="R1596" s="541">
        <v>6.8100000000000001E-3</v>
      </c>
      <c r="S1596" s="537" t="s">
        <v>76</v>
      </c>
      <c r="T1596" s="537" t="s">
        <v>56</v>
      </c>
      <c r="U1596" s="537" t="s">
        <v>89</v>
      </c>
      <c r="V1596" s="542">
        <f>780</f>
        <v>780</v>
      </c>
      <c r="W1596" s="542">
        <f>1562-1386</f>
        <v>176</v>
      </c>
      <c r="X1596" s="543">
        <f>(4060+8020)/20</f>
        <v>604</v>
      </c>
      <c r="Y1596" s="544">
        <f t="shared" si="525"/>
        <v>0</v>
      </c>
      <c r="Z1596" s="545">
        <f t="shared" si="526"/>
        <v>0</v>
      </c>
      <c r="AA1596" s="545">
        <f t="shared" si="533"/>
        <v>0</v>
      </c>
      <c r="AB1596" s="832">
        <v>2</v>
      </c>
      <c r="AC1596" s="542">
        <f t="shared" si="534"/>
        <v>0</v>
      </c>
      <c r="AD1596" s="209"/>
      <c r="AE1596" s="210"/>
      <c r="AF1596" s="210"/>
      <c r="AG1596" s="211">
        <f t="shared" si="527"/>
        <v>0.14399999999999999</v>
      </c>
      <c r="AH1596" s="157">
        <f t="shared" si="531"/>
        <v>0</v>
      </c>
      <c r="AI1596" s="152">
        <f t="shared" si="528"/>
        <v>15600</v>
      </c>
      <c r="AK1596" s="156" t="s">
        <v>691</v>
      </c>
      <c r="AL1596" s="156" t="s">
        <v>689</v>
      </c>
      <c r="AM1596" s="198">
        <f t="shared" ref="AM1596:AM1603" si="535">AG1596*Z1596</f>
        <v>0</v>
      </c>
      <c r="AN1596" s="199">
        <f t="shared" si="514"/>
        <v>45604</v>
      </c>
      <c r="AO1596" s="159" t="s">
        <v>692</v>
      </c>
      <c r="AP1596" s="781"/>
      <c r="AQ1596" s="782">
        <v>12071839</v>
      </c>
      <c r="AR1596" s="783" t="s">
        <v>523</v>
      </c>
      <c r="AS1596" s="781"/>
      <c r="AT1596" s="783" t="s">
        <v>524</v>
      </c>
      <c r="AU1596" s="781"/>
      <c r="AV1596" s="782">
        <v>12027007</v>
      </c>
      <c r="AW1596" s="782"/>
      <c r="AX1596" s="782" t="s">
        <v>398</v>
      </c>
      <c r="AY1596" s="782"/>
      <c r="AZ1596" s="782"/>
      <c r="BA1596" s="781"/>
    </row>
    <row r="1597" spans="1:53" ht="24.75" hidden="1" customHeight="1">
      <c r="A1597" s="142" t="s">
        <v>120</v>
      </c>
      <c r="B1597" s="308">
        <v>45604</v>
      </c>
      <c r="C1597" s="644" t="s">
        <v>1677</v>
      </c>
      <c r="D1597" s="185">
        <f t="shared" si="507"/>
        <v>2024</v>
      </c>
      <c r="E1597" s="519" t="str">
        <f>VLOOKUP($B1597,Week!$A$1:$C$1462,2,0)</f>
        <v>Week45</v>
      </c>
      <c r="F1597" s="520" t="str">
        <f t="shared" si="508"/>
        <v>Nov</v>
      </c>
      <c r="G1597" s="644" t="s">
        <v>47</v>
      </c>
      <c r="H1597" s="311" t="s">
        <v>518</v>
      </c>
      <c r="I1597" s="311" t="s">
        <v>2702</v>
      </c>
      <c r="J1597" s="312" t="s">
        <v>70</v>
      </c>
      <c r="K1597" s="313" t="s">
        <v>85</v>
      </c>
      <c r="L1597" s="390" t="s">
        <v>2166</v>
      </c>
      <c r="M1597" s="312" t="s">
        <v>515</v>
      </c>
      <c r="N1597" s="311" t="s">
        <v>588</v>
      </c>
      <c r="O1597" s="311" t="s">
        <v>546</v>
      </c>
      <c r="P1597" s="314">
        <v>12</v>
      </c>
      <c r="Q1597" s="314">
        <v>20</v>
      </c>
      <c r="R1597" s="315">
        <v>6.1999999999999998E-3</v>
      </c>
      <c r="S1597" s="311" t="s">
        <v>352</v>
      </c>
      <c r="T1597" s="311" t="s">
        <v>56</v>
      </c>
      <c r="U1597" s="311"/>
      <c r="V1597" s="316">
        <v>451</v>
      </c>
      <c r="W1597" s="316">
        <v>451</v>
      </c>
      <c r="X1597" s="317"/>
      <c r="Y1597" s="318">
        <f t="shared" si="525"/>
        <v>0</v>
      </c>
      <c r="Z1597" s="319">
        <f t="shared" si="526"/>
        <v>0</v>
      </c>
      <c r="AA1597" s="319">
        <f t="shared" si="533"/>
        <v>0</v>
      </c>
      <c r="AB1597" s="815"/>
      <c r="AC1597" s="316">
        <f t="shared" si="534"/>
        <v>0</v>
      </c>
      <c r="AD1597" s="209"/>
      <c r="AE1597" s="210"/>
      <c r="AF1597" s="210"/>
      <c r="AG1597" s="211">
        <f t="shared" si="527"/>
        <v>0.22</v>
      </c>
      <c r="AH1597" s="157">
        <f t="shared" si="531"/>
        <v>0</v>
      </c>
      <c r="AI1597" s="152">
        <f t="shared" si="528"/>
        <v>5412</v>
      </c>
      <c r="AK1597" s="156" t="s">
        <v>691</v>
      </c>
      <c r="AL1597" s="156" t="s">
        <v>689</v>
      </c>
      <c r="AM1597" s="198">
        <f t="shared" si="535"/>
        <v>0</v>
      </c>
      <c r="AN1597" s="199">
        <f t="shared" si="514"/>
        <v>45604</v>
      </c>
      <c r="AO1597" s="159" t="s">
        <v>692</v>
      </c>
      <c r="AP1597" s="783" t="s">
        <v>613</v>
      </c>
      <c r="AQ1597" s="782"/>
      <c r="AR1597" s="782" t="s">
        <v>614</v>
      </c>
      <c r="AS1597" s="782"/>
      <c r="AT1597" s="782">
        <v>12083140</v>
      </c>
      <c r="AU1597" s="781"/>
      <c r="AV1597" s="782">
        <v>12083143</v>
      </c>
      <c r="AW1597" s="782"/>
      <c r="AX1597" s="782"/>
      <c r="AY1597" s="782"/>
      <c r="AZ1597" s="782"/>
      <c r="BA1597" s="781"/>
    </row>
    <row r="1598" spans="1:53" ht="25.15" hidden="1" customHeight="1">
      <c r="B1598" s="345">
        <v>45605</v>
      </c>
      <c r="C1598" s="346">
        <v>45622</v>
      </c>
      <c r="D1598" s="185">
        <f t="shared" si="507"/>
        <v>2024</v>
      </c>
      <c r="E1598" s="347" t="str">
        <f>VLOOKUP($B1598,Week!$A$1:$C$1462,2,0)</f>
        <v>Week45</v>
      </c>
      <c r="F1598" s="348" t="str">
        <f t="shared" si="508"/>
        <v>Nov</v>
      </c>
      <c r="G1598" s="347" t="s">
        <v>1813</v>
      </c>
      <c r="H1598" s="347" t="s">
        <v>697</v>
      </c>
      <c r="I1598" s="347" t="s">
        <v>2772</v>
      </c>
      <c r="J1598" s="438" t="s">
        <v>425</v>
      </c>
      <c r="K1598" s="350" t="s">
        <v>176</v>
      </c>
      <c r="L1598" s="300" t="s">
        <v>2167</v>
      </c>
      <c r="M1598" s="349" t="s">
        <v>426</v>
      </c>
      <c r="N1598" s="347" t="s">
        <v>427</v>
      </c>
      <c r="O1598" s="347" t="s">
        <v>599</v>
      </c>
      <c r="P1598" s="351">
        <v>36</v>
      </c>
      <c r="Q1598" s="351">
        <v>5</v>
      </c>
      <c r="R1598" s="352">
        <v>7.4999999999999997E-3</v>
      </c>
      <c r="S1598" s="347" t="s">
        <v>111</v>
      </c>
      <c r="T1598" s="347" t="s">
        <v>112</v>
      </c>
      <c r="U1598" s="347" t="s">
        <v>57</v>
      </c>
      <c r="V1598" s="353">
        <v>1288</v>
      </c>
      <c r="W1598" s="353">
        <f>72+1145+59+3</f>
        <v>1279</v>
      </c>
      <c r="X1598" s="354">
        <f>329/36</f>
        <v>9.1388888888888893</v>
      </c>
      <c r="Y1598" s="355">
        <f t="shared" si="525"/>
        <v>0.13888888888891415</v>
      </c>
      <c r="Z1598" s="356">
        <f t="shared" si="526"/>
        <v>0</v>
      </c>
      <c r="AA1598" s="353"/>
      <c r="AB1598" s="818"/>
      <c r="AC1598" s="353"/>
      <c r="AD1598" s="307" t="s">
        <v>728</v>
      </c>
      <c r="AE1598" s="210"/>
      <c r="AF1598" s="210"/>
      <c r="AG1598" s="211">
        <f t="shared" si="527"/>
        <v>0.14799999999999999</v>
      </c>
      <c r="AH1598" s="157">
        <f t="shared" ref="AH1598:AH1603" si="536">(Z1598*AG1598)/1000</f>
        <v>0</v>
      </c>
      <c r="AI1598" s="152">
        <f t="shared" si="528"/>
        <v>46368</v>
      </c>
      <c r="AK1598" s="156" t="s">
        <v>691</v>
      </c>
      <c r="AL1598" s="574" t="s">
        <v>690</v>
      </c>
      <c r="AM1598" s="198">
        <f t="shared" si="535"/>
        <v>0</v>
      </c>
      <c r="AN1598" s="199">
        <f t="shared" si="514"/>
        <v>45605</v>
      </c>
      <c r="AO1598" s="159" t="s">
        <v>692</v>
      </c>
      <c r="AP1598" s="783" t="s">
        <v>609</v>
      </c>
      <c r="AQ1598" s="782">
        <v>12071839</v>
      </c>
      <c r="AR1598" s="782">
        <v>12047514</v>
      </c>
      <c r="AS1598" s="782">
        <v>12047515</v>
      </c>
      <c r="AT1598" s="782">
        <v>12062098</v>
      </c>
      <c r="AU1598" s="782"/>
      <c r="AV1598" s="782">
        <v>12062100</v>
      </c>
      <c r="AW1598" s="782">
        <v>12024404</v>
      </c>
      <c r="AX1598" s="781"/>
      <c r="AY1598" s="782">
        <v>12062116</v>
      </c>
      <c r="AZ1598" s="782"/>
      <c r="BA1598" s="781"/>
    </row>
    <row r="1599" spans="1:53" ht="25" hidden="1" customHeight="1">
      <c r="B1599" s="213">
        <v>45605</v>
      </c>
      <c r="C1599" s="578">
        <v>45621</v>
      </c>
      <c r="D1599" s="185">
        <f t="shared" si="507"/>
        <v>2024</v>
      </c>
      <c r="E1599" s="215" t="str">
        <f>VLOOKUP($B1599,Week!$A$1:$C$1462,2,0)</f>
        <v>Week45</v>
      </c>
      <c r="F1599" s="216" t="str">
        <f t="shared" si="508"/>
        <v>Nov</v>
      </c>
      <c r="G1599" s="215" t="s">
        <v>1766</v>
      </c>
      <c r="H1599" s="215" t="s">
        <v>104</v>
      </c>
      <c r="I1599" s="215" t="s">
        <v>2772</v>
      </c>
      <c r="J1599" s="209" t="s">
        <v>105</v>
      </c>
      <c r="K1599" s="217" t="s">
        <v>107</v>
      </c>
      <c r="L1599" s="300" t="s">
        <v>2167</v>
      </c>
      <c r="M1599" s="209" t="s">
        <v>108</v>
      </c>
      <c r="N1599" s="215" t="s">
        <v>109</v>
      </c>
      <c r="O1599" s="215" t="s">
        <v>110</v>
      </c>
      <c r="P1599" s="218">
        <v>36</v>
      </c>
      <c r="Q1599" s="218">
        <v>5</v>
      </c>
      <c r="R1599" s="219">
        <v>7.4999999999999997E-3</v>
      </c>
      <c r="S1599" s="215" t="s">
        <v>111</v>
      </c>
      <c r="T1599" s="215" t="s">
        <v>112</v>
      </c>
      <c r="U1599" s="215" t="s">
        <v>113</v>
      </c>
      <c r="V1599" s="220">
        <f>792-348</f>
        <v>444</v>
      </c>
      <c r="W1599" s="220">
        <f>284</f>
        <v>284</v>
      </c>
      <c r="X1599" s="221">
        <v>160</v>
      </c>
      <c r="Y1599" s="222">
        <f t="shared" si="525"/>
        <v>0</v>
      </c>
      <c r="Z1599" s="223">
        <f t="shared" si="526"/>
        <v>0</v>
      </c>
      <c r="AA1599" s="223"/>
      <c r="AB1599" s="807"/>
      <c r="AC1599" s="220"/>
      <c r="AD1599" s="209"/>
      <c r="AE1599" s="210"/>
      <c r="AF1599" s="210"/>
      <c r="AG1599" s="211">
        <f t="shared" si="527"/>
        <v>0.308</v>
      </c>
      <c r="AH1599" s="157">
        <f t="shared" si="536"/>
        <v>0</v>
      </c>
      <c r="AI1599" s="152">
        <f t="shared" si="528"/>
        <v>15984</v>
      </c>
      <c r="AK1599" s="156" t="s">
        <v>691</v>
      </c>
      <c r="AL1599" s="574" t="s">
        <v>690</v>
      </c>
      <c r="AM1599" s="198">
        <f>AG1599*Z1599</f>
        <v>0</v>
      </c>
      <c r="AN1599" s="199">
        <f t="shared" si="514"/>
        <v>45605</v>
      </c>
      <c r="AO1599" s="159" t="s">
        <v>692</v>
      </c>
      <c r="AP1599" s="781"/>
      <c r="AQ1599" s="782">
        <v>12063755</v>
      </c>
      <c r="AR1599" s="782">
        <v>12061353</v>
      </c>
      <c r="AS1599" s="782">
        <v>12061354</v>
      </c>
      <c r="AT1599" s="782">
        <v>12068566</v>
      </c>
      <c r="AU1599" s="781"/>
      <c r="AV1599" s="782">
        <v>12088206</v>
      </c>
      <c r="AW1599" s="782">
        <v>12088207</v>
      </c>
      <c r="AX1599" s="782"/>
      <c r="AY1599" s="782">
        <v>12068565</v>
      </c>
      <c r="AZ1599" s="782"/>
      <c r="BA1599" s="781"/>
    </row>
    <row r="1600" spans="1:53" ht="25" hidden="1" customHeight="1">
      <c r="B1600" s="213">
        <v>45605</v>
      </c>
      <c r="C1600" s="578">
        <v>45623</v>
      </c>
      <c r="D1600" s="185">
        <f t="shared" si="507"/>
        <v>2024</v>
      </c>
      <c r="E1600" s="215" t="str">
        <f>VLOOKUP($B1600,Week!$A$1:$C$1462,2,0)</f>
        <v>Week45</v>
      </c>
      <c r="F1600" s="216" t="str">
        <f t="shared" si="508"/>
        <v>Nov</v>
      </c>
      <c r="G1600" s="215" t="s">
        <v>1767</v>
      </c>
      <c r="H1600" s="215" t="s">
        <v>104</v>
      </c>
      <c r="I1600" s="215" t="s">
        <v>2772</v>
      </c>
      <c r="J1600" s="209" t="s">
        <v>105</v>
      </c>
      <c r="K1600" s="217" t="s">
        <v>107</v>
      </c>
      <c r="L1600" s="300" t="s">
        <v>2167</v>
      </c>
      <c r="M1600" s="209" t="s">
        <v>108</v>
      </c>
      <c r="N1600" s="215" t="s">
        <v>109</v>
      </c>
      <c r="O1600" s="215" t="s">
        <v>110</v>
      </c>
      <c r="P1600" s="218">
        <v>36</v>
      </c>
      <c r="Q1600" s="218">
        <v>5</v>
      </c>
      <c r="R1600" s="219">
        <v>7.4999999999999997E-3</v>
      </c>
      <c r="S1600" s="215" t="s">
        <v>111</v>
      </c>
      <c r="T1600" s="215" t="s">
        <v>112</v>
      </c>
      <c r="U1600" s="215" t="s">
        <v>113</v>
      </c>
      <c r="V1600" s="220">
        <v>792</v>
      </c>
      <c r="W1600" s="220">
        <v>792</v>
      </c>
      <c r="X1600" s="221"/>
      <c r="Y1600" s="222">
        <f t="shared" si="525"/>
        <v>0</v>
      </c>
      <c r="Z1600" s="223">
        <f t="shared" si="526"/>
        <v>0</v>
      </c>
      <c r="AA1600" s="223"/>
      <c r="AB1600" s="807"/>
      <c r="AC1600" s="220"/>
      <c r="AD1600" s="209"/>
      <c r="AE1600" s="210"/>
      <c r="AF1600" s="210"/>
      <c r="AG1600" s="211">
        <f t="shared" si="527"/>
        <v>0.308</v>
      </c>
      <c r="AH1600" s="157">
        <f t="shared" si="536"/>
        <v>0</v>
      </c>
      <c r="AI1600" s="152">
        <f t="shared" si="528"/>
        <v>28512</v>
      </c>
      <c r="AK1600" s="156" t="s">
        <v>691</v>
      </c>
      <c r="AL1600" s="574" t="s">
        <v>690</v>
      </c>
      <c r="AM1600" s="198">
        <f t="shared" si="535"/>
        <v>0</v>
      </c>
      <c r="AN1600" s="199">
        <f t="shared" si="514"/>
        <v>45605</v>
      </c>
      <c r="AO1600" s="159" t="s">
        <v>692</v>
      </c>
      <c r="AP1600" s="781"/>
      <c r="AQ1600" s="782">
        <v>12063755</v>
      </c>
      <c r="AR1600" s="782">
        <v>12061353</v>
      </c>
      <c r="AS1600" s="782">
        <v>12061354</v>
      </c>
      <c r="AT1600" s="782">
        <v>12068566</v>
      </c>
      <c r="AU1600" s="781"/>
      <c r="AV1600" s="782">
        <v>12088206</v>
      </c>
      <c r="AW1600" s="782">
        <v>12088207</v>
      </c>
      <c r="AX1600" s="782"/>
      <c r="AY1600" s="782">
        <v>12068565</v>
      </c>
      <c r="AZ1600" s="782"/>
      <c r="BA1600" s="781"/>
    </row>
    <row r="1601" spans="2:53" ht="25" hidden="1" customHeight="1">
      <c r="B1601" s="213">
        <v>45605</v>
      </c>
      <c r="C1601" s="578">
        <v>45628</v>
      </c>
      <c r="D1601" s="185">
        <f t="shared" si="507"/>
        <v>2024</v>
      </c>
      <c r="E1601" s="215" t="str">
        <f>VLOOKUP($B1601,Week!$A$1:$C$1462,2,0)</f>
        <v>Week45</v>
      </c>
      <c r="F1601" s="216" t="str">
        <f t="shared" si="508"/>
        <v>Nov</v>
      </c>
      <c r="G1601" s="215" t="s">
        <v>1768</v>
      </c>
      <c r="H1601" s="215" t="s">
        <v>104</v>
      </c>
      <c r="I1601" s="215" t="s">
        <v>2772</v>
      </c>
      <c r="J1601" s="209" t="s">
        <v>105</v>
      </c>
      <c r="K1601" s="217" t="s">
        <v>107</v>
      </c>
      <c r="L1601" s="300" t="s">
        <v>2167</v>
      </c>
      <c r="M1601" s="209" t="s">
        <v>108</v>
      </c>
      <c r="N1601" s="215" t="s">
        <v>109</v>
      </c>
      <c r="O1601" s="215" t="s">
        <v>110</v>
      </c>
      <c r="P1601" s="218">
        <v>36</v>
      </c>
      <c r="Q1601" s="218">
        <v>5</v>
      </c>
      <c r="R1601" s="219">
        <v>7.4999999999999997E-3</v>
      </c>
      <c r="S1601" s="215" t="s">
        <v>111</v>
      </c>
      <c r="T1601" s="215" t="s">
        <v>112</v>
      </c>
      <c r="U1601" s="215" t="s">
        <v>113</v>
      </c>
      <c r="V1601" s="220">
        <v>792</v>
      </c>
      <c r="W1601" s="220">
        <v>632</v>
      </c>
      <c r="X1601" s="221">
        <v>160</v>
      </c>
      <c r="Y1601" s="222">
        <f t="shared" si="525"/>
        <v>0</v>
      </c>
      <c r="Z1601" s="223">
        <f t="shared" si="526"/>
        <v>0</v>
      </c>
      <c r="AA1601" s="223"/>
      <c r="AB1601" s="807"/>
      <c r="AC1601" s="220"/>
      <c r="AD1601" s="209"/>
      <c r="AE1601" s="210"/>
      <c r="AF1601" s="210"/>
      <c r="AG1601" s="211">
        <f t="shared" si="527"/>
        <v>0.308</v>
      </c>
      <c r="AH1601" s="157">
        <f t="shared" si="536"/>
        <v>0</v>
      </c>
      <c r="AI1601" s="152">
        <f t="shared" si="528"/>
        <v>28512</v>
      </c>
      <c r="AK1601" s="156" t="s">
        <v>691</v>
      </c>
      <c r="AL1601" s="574" t="s">
        <v>690</v>
      </c>
      <c r="AM1601" s="198">
        <f t="shared" si="535"/>
        <v>0</v>
      </c>
      <c r="AN1601" s="199">
        <f t="shared" si="514"/>
        <v>45605</v>
      </c>
      <c r="AO1601" s="159" t="s">
        <v>692</v>
      </c>
      <c r="AP1601" s="781"/>
      <c r="AQ1601" s="782">
        <v>12063755</v>
      </c>
      <c r="AR1601" s="782">
        <v>12061353</v>
      </c>
      <c r="AS1601" s="782">
        <v>12061354</v>
      </c>
      <c r="AT1601" s="782">
        <v>12068566</v>
      </c>
      <c r="AU1601" s="781"/>
      <c r="AV1601" s="782">
        <v>12088206</v>
      </c>
      <c r="AW1601" s="782">
        <v>12088207</v>
      </c>
      <c r="AX1601" s="782"/>
      <c r="AY1601" s="782">
        <v>12068565</v>
      </c>
      <c r="AZ1601" s="782"/>
      <c r="BA1601" s="781"/>
    </row>
    <row r="1602" spans="2:53" ht="25" hidden="1" customHeight="1">
      <c r="B1602" s="213">
        <v>45605</v>
      </c>
      <c r="C1602" s="578">
        <v>45628</v>
      </c>
      <c r="D1602" s="185">
        <f t="shared" si="507"/>
        <v>2024</v>
      </c>
      <c r="E1602" s="215" t="str">
        <f>VLOOKUP($B1602,Week!$A$1:$C$1462,2,0)</f>
        <v>Week45</v>
      </c>
      <c r="F1602" s="216" t="str">
        <f t="shared" si="508"/>
        <v>Nov</v>
      </c>
      <c r="G1602" s="215" t="s">
        <v>1769</v>
      </c>
      <c r="H1602" s="215" t="s">
        <v>104</v>
      </c>
      <c r="I1602" s="215" t="s">
        <v>2772</v>
      </c>
      <c r="J1602" s="209" t="s">
        <v>105</v>
      </c>
      <c r="K1602" s="217" t="s">
        <v>107</v>
      </c>
      <c r="L1602" s="300" t="s">
        <v>2167</v>
      </c>
      <c r="M1602" s="209" t="s">
        <v>108</v>
      </c>
      <c r="N1602" s="215" t="s">
        <v>109</v>
      </c>
      <c r="O1602" s="215" t="s">
        <v>110</v>
      </c>
      <c r="P1602" s="218">
        <v>36</v>
      </c>
      <c r="Q1602" s="218">
        <v>5</v>
      </c>
      <c r="R1602" s="219">
        <v>7.4999999999999997E-3</v>
      </c>
      <c r="S1602" s="215" t="s">
        <v>111</v>
      </c>
      <c r="T1602" s="215" t="s">
        <v>112</v>
      </c>
      <c r="U1602" s="215" t="s">
        <v>113</v>
      </c>
      <c r="V1602" s="220">
        <v>792</v>
      </c>
      <c r="W1602" s="220">
        <v>792</v>
      </c>
      <c r="X1602" s="221"/>
      <c r="Y1602" s="222">
        <f t="shared" si="525"/>
        <v>0</v>
      </c>
      <c r="Z1602" s="223">
        <f t="shared" si="526"/>
        <v>0</v>
      </c>
      <c r="AA1602" s="223"/>
      <c r="AB1602" s="807"/>
      <c r="AC1602" s="220"/>
      <c r="AD1602" s="209"/>
      <c r="AE1602" s="210"/>
      <c r="AF1602" s="210"/>
      <c r="AG1602" s="211">
        <f t="shared" si="527"/>
        <v>0.308</v>
      </c>
      <c r="AH1602" s="157">
        <f t="shared" si="536"/>
        <v>0</v>
      </c>
      <c r="AI1602" s="152">
        <f t="shared" si="528"/>
        <v>28512</v>
      </c>
      <c r="AK1602" s="156" t="s">
        <v>691</v>
      </c>
      <c r="AL1602" s="574" t="s">
        <v>690</v>
      </c>
      <c r="AM1602" s="198">
        <f t="shared" si="535"/>
        <v>0</v>
      </c>
      <c r="AN1602" s="199">
        <f t="shared" si="514"/>
        <v>45605</v>
      </c>
      <c r="AO1602" s="159" t="s">
        <v>692</v>
      </c>
      <c r="AP1602" s="781"/>
      <c r="AQ1602" s="782">
        <v>12063755</v>
      </c>
      <c r="AR1602" s="782">
        <v>12061353</v>
      </c>
      <c r="AS1602" s="782">
        <v>12061354</v>
      </c>
      <c r="AT1602" s="782">
        <v>12068566</v>
      </c>
      <c r="AU1602" s="781"/>
      <c r="AV1602" s="782">
        <v>12088206</v>
      </c>
      <c r="AW1602" s="782">
        <v>12088207</v>
      </c>
      <c r="AX1602" s="782"/>
      <c r="AY1602" s="782">
        <v>12068565</v>
      </c>
      <c r="AZ1602" s="782"/>
      <c r="BA1602" s="781"/>
    </row>
    <row r="1603" spans="2:53" ht="25" hidden="1" customHeight="1">
      <c r="B1603" s="213">
        <v>45605</v>
      </c>
      <c r="C1603" s="578">
        <v>45628</v>
      </c>
      <c r="D1603" s="185">
        <f t="shared" si="507"/>
        <v>2024</v>
      </c>
      <c r="E1603" s="215" t="str">
        <f>VLOOKUP($B1603,Week!$A$1:$C$1462,2,0)</f>
        <v>Week45</v>
      </c>
      <c r="F1603" s="216" t="str">
        <f t="shared" si="508"/>
        <v>Nov</v>
      </c>
      <c r="G1603" s="215" t="s">
        <v>1770</v>
      </c>
      <c r="H1603" s="215" t="s">
        <v>104</v>
      </c>
      <c r="I1603" s="215" t="s">
        <v>2772</v>
      </c>
      <c r="J1603" s="209" t="s">
        <v>105</v>
      </c>
      <c r="K1603" s="217" t="s">
        <v>107</v>
      </c>
      <c r="L1603" s="300" t="s">
        <v>2167</v>
      </c>
      <c r="M1603" s="209" t="s">
        <v>108</v>
      </c>
      <c r="N1603" s="215" t="s">
        <v>109</v>
      </c>
      <c r="O1603" s="215" t="s">
        <v>110</v>
      </c>
      <c r="P1603" s="218">
        <v>36</v>
      </c>
      <c r="Q1603" s="218">
        <v>5</v>
      </c>
      <c r="R1603" s="219">
        <v>7.4999999999999997E-3</v>
      </c>
      <c r="S1603" s="215" t="s">
        <v>111</v>
      </c>
      <c r="T1603" s="215" t="s">
        <v>112</v>
      </c>
      <c r="U1603" s="215" t="s">
        <v>113</v>
      </c>
      <c r="V1603" s="220">
        <f>468</f>
        <v>468</v>
      </c>
      <c r="W1603" s="220">
        <f>2805-284-792-632-792</f>
        <v>305</v>
      </c>
      <c r="X1603" s="221">
        <f>43+120</f>
        <v>163</v>
      </c>
      <c r="Y1603" s="222">
        <f t="shared" si="525"/>
        <v>0</v>
      </c>
      <c r="Z1603" s="223">
        <f t="shared" si="526"/>
        <v>0</v>
      </c>
      <c r="AA1603" s="223"/>
      <c r="AB1603" s="807"/>
      <c r="AC1603" s="220"/>
      <c r="AD1603" s="209"/>
      <c r="AE1603" s="210"/>
      <c r="AF1603" s="210"/>
      <c r="AG1603" s="211">
        <f t="shared" si="527"/>
        <v>0.308</v>
      </c>
      <c r="AH1603" s="157">
        <f t="shared" si="536"/>
        <v>0</v>
      </c>
      <c r="AI1603" s="152">
        <f t="shared" si="528"/>
        <v>16848</v>
      </c>
      <c r="AK1603" s="156" t="s">
        <v>691</v>
      </c>
      <c r="AL1603" s="574" t="s">
        <v>690</v>
      </c>
      <c r="AM1603" s="198">
        <f t="shared" si="535"/>
        <v>0</v>
      </c>
      <c r="AN1603" s="199">
        <f t="shared" si="514"/>
        <v>45605</v>
      </c>
      <c r="AO1603" s="159" t="s">
        <v>692</v>
      </c>
      <c r="AP1603" s="781"/>
      <c r="AQ1603" s="782">
        <v>12063755</v>
      </c>
      <c r="AR1603" s="782">
        <v>12061353</v>
      </c>
      <c r="AS1603" s="782">
        <v>12061354</v>
      </c>
      <c r="AT1603" s="782">
        <v>12068566</v>
      </c>
      <c r="AU1603" s="781"/>
      <c r="AV1603" s="782">
        <v>12088206</v>
      </c>
      <c r="AW1603" s="782">
        <v>12088207</v>
      </c>
      <c r="AX1603" s="782"/>
      <c r="AY1603" s="782">
        <v>12068565</v>
      </c>
      <c r="AZ1603" s="782"/>
      <c r="BA1603" s="781"/>
    </row>
    <row r="1604" spans="2:53" ht="25" hidden="1" customHeight="1">
      <c r="B1604" s="183">
        <v>45606</v>
      </c>
      <c r="C1604" s="184"/>
      <c r="D1604" s="185">
        <f t="shared" si="507"/>
        <v>2024</v>
      </c>
      <c r="E1604" s="185" t="str">
        <f>VLOOKUP($B1604,Week!$A$1:$C$1462,2,0)</f>
        <v>Week45</v>
      </c>
      <c r="F1604" s="186" t="str">
        <f t="shared" si="508"/>
        <v>Nov</v>
      </c>
      <c r="G1604" s="185"/>
      <c r="H1604" s="185"/>
      <c r="I1604" s="185"/>
      <c r="J1604" s="187"/>
      <c r="K1604" s="188"/>
      <c r="L1604" s="300"/>
      <c r="M1604" s="187"/>
      <c r="N1604" s="185"/>
      <c r="O1604" s="185"/>
      <c r="P1604" s="189"/>
      <c r="Q1604" s="189"/>
      <c r="R1604" s="190"/>
      <c r="S1604" s="185"/>
      <c r="T1604" s="185"/>
      <c r="U1604" s="185"/>
      <c r="V1604" s="191"/>
      <c r="W1604" s="191"/>
      <c r="X1604" s="192"/>
      <c r="Y1604" s="193"/>
      <c r="Z1604" s="194"/>
      <c r="AA1604" s="194"/>
      <c r="AB1604" s="805"/>
      <c r="AC1604" s="191"/>
      <c r="AD1604" s="187"/>
      <c r="AE1604" s="195"/>
      <c r="AF1604" s="195"/>
      <c r="AG1604" s="196"/>
      <c r="AH1604" s="197"/>
      <c r="AK1604" s="156" t="s">
        <v>691</v>
      </c>
      <c r="AM1604" s="198">
        <f t="shared" ref="AM1604:AM1627" si="537">AG1604*Z1604</f>
        <v>0</v>
      </c>
      <c r="AN1604" s="199">
        <f t="shared" si="514"/>
        <v>45606</v>
      </c>
      <c r="AO1604" s="159" t="s">
        <v>692</v>
      </c>
      <c r="AP1604" s="781"/>
      <c r="AQ1604" s="782"/>
      <c r="AR1604" s="782"/>
      <c r="AS1604" s="782"/>
      <c r="AT1604" s="782"/>
      <c r="AU1604" s="781"/>
      <c r="AV1604" s="782"/>
      <c r="AW1604" s="782"/>
      <c r="AX1604" s="782"/>
      <c r="AY1604" s="782"/>
      <c r="AZ1604" s="782"/>
      <c r="BA1604" s="781"/>
    </row>
    <row r="1605" spans="2:53" ht="25.15" hidden="1" customHeight="1">
      <c r="B1605" s="345">
        <v>45607</v>
      </c>
      <c r="C1605" s="346">
        <v>45622</v>
      </c>
      <c r="D1605" s="185">
        <f t="shared" ref="D1605:D1668" si="538">IF(B1605="","",YEAR(B1605))</f>
        <v>2024</v>
      </c>
      <c r="E1605" s="347" t="str">
        <f>VLOOKUP($B1605,Week!$A$1:$C$1462,2,0)</f>
        <v>Week46</v>
      </c>
      <c r="F1605" s="348" t="str">
        <f t="shared" ref="F1605:F1668" si="539">IF(B1605="","",TEXT(B1605,"[$-409]mmm"))</f>
        <v>Nov</v>
      </c>
      <c r="G1605" s="347" t="s">
        <v>1798</v>
      </c>
      <c r="H1605" s="347" t="s">
        <v>424</v>
      </c>
      <c r="I1605" s="347" t="s">
        <v>2772</v>
      </c>
      <c r="J1605" s="438" t="s">
        <v>425</v>
      </c>
      <c r="K1605" s="350" t="s">
        <v>176</v>
      </c>
      <c r="L1605" s="300" t="s">
        <v>2167</v>
      </c>
      <c r="M1605" s="349" t="s">
        <v>426</v>
      </c>
      <c r="N1605" s="347" t="s">
        <v>427</v>
      </c>
      <c r="O1605" s="347" t="s">
        <v>599</v>
      </c>
      <c r="P1605" s="351">
        <v>36</v>
      </c>
      <c r="Q1605" s="351">
        <v>5</v>
      </c>
      <c r="R1605" s="352">
        <v>7.4999999999999997E-3</v>
      </c>
      <c r="S1605" s="347" t="s">
        <v>111</v>
      </c>
      <c r="T1605" s="347" t="s">
        <v>112</v>
      </c>
      <c r="U1605" s="347" t="s">
        <v>57</v>
      </c>
      <c r="V1605" s="353">
        <v>1288</v>
      </c>
      <c r="W1605" s="353">
        <f>1288</f>
        <v>1288</v>
      </c>
      <c r="X1605" s="354"/>
      <c r="Y1605" s="355">
        <f t="shared" ref="Y1605:Y1638" si="540">(W1605+X1605)-V1605</f>
        <v>0</v>
      </c>
      <c r="Z1605" s="356">
        <f t="shared" ref="Z1605:Z1638" si="541">IF(Y1605&lt;0,((V1605*P1605)-((W1605+X1605)*P1605)),0)</f>
        <v>0</v>
      </c>
      <c r="AA1605" s="353"/>
      <c r="AB1605" s="818"/>
      <c r="AC1605" s="353"/>
      <c r="AD1605" s="307" t="s">
        <v>728</v>
      </c>
      <c r="AE1605" s="210"/>
      <c r="AF1605" s="210"/>
      <c r="AG1605" s="211">
        <f t="shared" ref="AG1605:AG1621" si="542">MID(O1605,1,3)/1000</f>
        <v>0.14799999999999999</v>
      </c>
      <c r="AH1605" s="157">
        <f t="shared" ref="AH1605:AH1616" si="543">(Z1605*AG1605)/1000</f>
        <v>0</v>
      </c>
      <c r="AI1605" s="152">
        <f t="shared" ref="AI1605:AI1638" si="544">V1605*P1605</f>
        <v>46368</v>
      </c>
      <c r="AK1605" s="156" t="s">
        <v>691</v>
      </c>
      <c r="AL1605" s="574" t="s">
        <v>690</v>
      </c>
      <c r="AM1605" s="198">
        <f t="shared" si="537"/>
        <v>0</v>
      </c>
      <c r="AN1605" s="199">
        <f t="shared" ref="AN1605:AN1668" si="545">B1605</f>
        <v>45607</v>
      </c>
      <c r="AO1605" s="159" t="s">
        <v>692</v>
      </c>
      <c r="AP1605" s="783" t="s">
        <v>609</v>
      </c>
      <c r="AQ1605" s="782">
        <v>12071839</v>
      </c>
      <c r="AR1605" s="782">
        <v>12047514</v>
      </c>
      <c r="AS1605" s="782">
        <v>12047515</v>
      </c>
      <c r="AT1605" s="782">
        <v>12062098</v>
      </c>
      <c r="AU1605" s="782"/>
      <c r="AV1605" s="782">
        <v>12062100</v>
      </c>
      <c r="AW1605" s="782">
        <v>12024404</v>
      </c>
      <c r="AX1605" s="781"/>
      <c r="AY1605" s="782">
        <v>12062116</v>
      </c>
      <c r="AZ1605" s="782"/>
      <c r="BA1605" s="781"/>
    </row>
    <row r="1606" spans="2:53" ht="25.15" hidden="1" customHeight="1">
      <c r="B1606" s="345">
        <v>45607</v>
      </c>
      <c r="C1606" s="346">
        <v>45622</v>
      </c>
      <c r="D1606" s="185">
        <f t="shared" si="538"/>
        <v>2024</v>
      </c>
      <c r="E1606" s="347" t="str">
        <f>VLOOKUP($B1606,Week!$A$1:$C$1462,2,0)</f>
        <v>Week46</v>
      </c>
      <c r="F1606" s="348" t="str">
        <f t="shared" si="539"/>
        <v>Nov</v>
      </c>
      <c r="G1606" s="347" t="s">
        <v>1799</v>
      </c>
      <c r="H1606" s="347" t="s">
        <v>424</v>
      </c>
      <c r="I1606" s="347" t="s">
        <v>2772</v>
      </c>
      <c r="J1606" s="438" t="s">
        <v>425</v>
      </c>
      <c r="K1606" s="350" t="s">
        <v>176</v>
      </c>
      <c r="L1606" s="300" t="s">
        <v>2167</v>
      </c>
      <c r="M1606" s="349" t="s">
        <v>426</v>
      </c>
      <c r="N1606" s="347" t="s">
        <v>427</v>
      </c>
      <c r="O1606" s="347" t="s">
        <v>599</v>
      </c>
      <c r="P1606" s="351">
        <v>36</v>
      </c>
      <c r="Q1606" s="351">
        <v>5</v>
      </c>
      <c r="R1606" s="352">
        <v>7.4999999999999997E-3</v>
      </c>
      <c r="S1606" s="347" t="s">
        <v>111</v>
      </c>
      <c r="T1606" s="347" t="s">
        <v>112</v>
      </c>
      <c r="U1606" s="347" t="s">
        <v>57</v>
      </c>
      <c r="V1606" s="353">
        <v>1288</v>
      </c>
      <c r="W1606" s="353">
        <v>1288</v>
      </c>
      <c r="X1606" s="354"/>
      <c r="Y1606" s="355">
        <f t="shared" si="540"/>
        <v>0</v>
      </c>
      <c r="Z1606" s="356">
        <f t="shared" si="541"/>
        <v>0</v>
      </c>
      <c r="AA1606" s="353"/>
      <c r="AB1606" s="818"/>
      <c r="AC1606" s="353"/>
      <c r="AD1606" s="307" t="s">
        <v>728</v>
      </c>
      <c r="AE1606" s="210"/>
      <c r="AF1606" s="210"/>
      <c r="AG1606" s="211">
        <f t="shared" si="542"/>
        <v>0.14799999999999999</v>
      </c>
      <c r="AH1606" s="157">
        <f t="shared" si="543"/>
        <v>0</v>
      </c>
      <c r="AI1606" s="152">
        <f t="shared" si="544"/>
        <v>46368</v>
      </c>
      <c r="AK1606" s="156" t="s">
        <v>691</v>
      </c>
      <c r="AL1606" s="574" t="s">
        <v>690</v>
      </c>
      <c r="AM1606" s="198">
        <f t="shared" si="537"/>
        <v>0</v>
      </c>
      <c r="AN1606" s="199">
        <f t="shared" si="545"/>
        <v>45607</v>
      </c>
      <c r="AO1606" s="159" t="s">
        <v>692</v>
      </c>
      <c r="AP1606" s="783" t="s">
        <v>609</v>
      </c>
      <c r="AQ1606" s="782">
        <v>12071839</v>
      </c>
      <c r="AR1606" s="782">
        <v>12047514</v>
      </c>
      <c r="AS1606" s="782">
        <v>12047515</v>
      </c>
      <c r="AT1606" s="782">
        <v>12062098</v>
      </c>
      <c r="AU1606" s="782"/>
      <c r="AV1606" s="782">
        <v>12062100</v>
      </c>
      <c r="AW1606" s="782">
        <v>12024404</v>
      </c>
      <c r="AX1606" s="781"/>
      <c r="AY1606" s="782">
        <v>12062116</v>
      </c>
      <c r="AZ1606" s="782"/>
      <c r="BA1606" s="781"/>
    </row>
    <row r="1607" spans="2:53" ht="24.75" hidden="1" customHeight="1">
      <c r="B1607" s="333">
        <v>45607</v>
      </c>
      <c r="C1607" s="333">
        <v>45624</v>
      </c>
      <c r="D1607" s="185">
        <f t="shared" si="538"/>
        <v>2024</v>
      </c>
      <c r="E1607" s="335" t="str">
        <f>VLOOKUP($B1607,Week!$A$1:$C$1462,2,0)</f>
        <v>Week46</v>
      </c>
      <c r="F1607" s="334" t="str">
        <f t="shared" si="539"/>
        <v>Nov</v>
      </c>
      <c r="G1607" s="335" t="s">
        <v>1825</v>
      </c>
      <c r="H1607" s="335" t="s">
        <v>363</v>
      </c>
      <c r="I1607" s="335" t="s">
        <v>2772</v>
      </c>
      <c r="J1607" s="336" t="s">
        <v>364</v>
      </c>
      <c r="K1607" s="337" t="s">
        <v>176</v>
      </c>
      <c r="L1607" s="300" t="s">
        <v>2167</v>
      </c>
      <c r="M1607" s="382" t="s">
        <v>646</v>
      </c>
      <c r="N1607" s="335" t="s">
        <v>647</v>
      </c>
      <c r="O1607" s="335" t="s">
        <v>599</v>
      </c>
      <c r="P1607" s="338">
        <v>36</v>
      </c>
      <c r="Q1607" s="338">
        <v>5</v>
      </c>
      <c r="R1607" s="339">
        <v>8.0000000000000002E-3</v>
      </c>
      <c r="S1607" s="335" t="s">
        <v>40</v>
      </c>
      <c r="T1607" s="335" t="s">
        <v>112</v>
      </c>
      <c r="U1607" s="335" t="s">
        <v>57</v>
      </c>
      <c r="V1607" s="341">
        <f>1278</f>
        <v>1278</v>
      </c>
      <c r="W1607" s="341">
        <f>58+1230</f>
        <v>1288</v>
      </c>
      <c r="X1607" s="342">
        <f>(460)/36</f>
        <v>12.777777777777779</v>
      </c>
      <c r="Y1607" s="343">
        <f t="shared" si="540"/>
        <v>22.777777777777828</v>
      </c>
      <c r="Z1607" s="344">
        <f t="shared" si="541"/>
        <v>0</v>
      </c>
      <c r="AA1607" s="344"/>
      <c r="AB1607" s="821"/>
      <c r="AC1607" s="341"/>
      <c r="AD1607" s="209"/>
      <c r="AE1607" s="210"/>
      <c r="AF1607" s="210"/>
      <c r="AG1607" s="211">
        <f t="shared" si="542"/>
        <v>0.14799999999999999</v>
      </c>
      <c r="AH1607" s="157">
        <f t="shared" si="543"/>
        <v>0</v>
      </c>
      <c r="AI1607" s="152">
        <f t="shared" si="544"/>
        <v>46008</v>
      </c>
      <c r="AK1607" s="156" t="s">
        <v>691</v>
      </c>
      <c r="AL1607" s="574" t="s">
        <v>690</v>
      </c>
      <c r="AM1607" s="198">
        <f t="shared" si="537"/>
        <v>0</v>
      </c>
      <c r="AN1607" s="199">
        <f t="shared" si="545"/>
        <v>45607</v>
      </c>
      <c r="AO1607" s="159" t="s">
        <v>692</v>
      </c>
      <c r="AP1607" s="781"/>
      <c r="AQ1607" s="782">
        <v>12071839</v>
      </c>
      <c r="AR1607" s="782">
        <v>12047514</v>
      </c>
      <c r="AS1607" s="782">
        <v>12047515</v>
      </c>
      <c r="AT1607" s="782">
        <v>12084374</v>
      </c>
      <c r="AU1607" s="781"/>
      <c r="AV1607" s="782">
        <v>12084372</v>
      </c>
      <c r="AW1607" s="782">
        <v>12024404</v>
      </c>
      <c r="AX1607" s="782"/>
      <c r="AY1607" s="782">
        <v>12084373</v>
      </c>
      <c r="AZ1607" s="782"/>
      <c r="BA1607" s="781"/>
    </row>
    <row r="1608" spans="2:53" ht="24.75" hidden="1" customHeight="1">
      <c r="B1608" s="295">
        <v>45608</v>
      </c>
      <c r="C1608" s="296" t="s">
        <v>1677</v>
      </c>
      <c r="D1608" s="185">
        <f t="shared" si="538"/>
        <v>2024</v>
      </c>
      <c r="E1608" s="296" t="str">
        <f>VLOOKUP($B1608,Week!$A$1:$C$1462,2,0)</f>
        <v>Week46</v>
      </c>
      <c r="F1608" s="297" t="str">
        <f t="shared" si="539"/>
        <v>Nov</v>
      </c>
      <c r="G1608" s="648" t="s">
        <v>47</v>
      </c>
      <c r="H1608" s="298" t="s">
        <v>260</v>
      </c>
      <c r="I1608" s="298" t="s">
        <v>2702</v>
      </c>
      <c r="J1608" s="307" t="s">
        <v>904</v>
      </c>
      <c r="K1608" s="300" t="s">
        <v>176</v>
      </c>
      <c r="L1608" s="300" t="s">
        <v>2167</v>
      </c>
      <c r="M1608" s="299" t="s">
        <v>262</v>
      </c>
      <c r="N1608" s="298" t="s">
        <v>350</v>
      </c>
      <c r="O1608" s="298" t="s">
        <v>351</v>
      </c>
      <c r="P1608" s="301">
        <v>24</v>
      </c>
      <c r="Q1608" s="301">
        <v>5</v>
      </c>
      <c r="R1608" s="302">
        <v>6.1999999999999998E-3</v>
      </c>
      <c r="S1608" s="298" t="s">
        <v>352</v>
      </c>
      <c r="T1608" s="298" t="s">
        <v>56</v>
      </c>
      <c r="U1608" s="298" t="s">
        <v>57</v>
      </c>
      <c r="V1608" s="303">
        <f>13750-52-2911-4712-2362</f>
        <v>3713</v>
      </c>
      <c r="W1608" s="303">
        <f>3650</f>
        <v>3650</v>
      </c>
      <c r="X1608" s="304">
        <v>63</v>
      </c>
      <c r="Y1608" s="305">
        <f t="shared" si="540"/>
        <v>0</v>
      </c>
      <c r="Z1608" s="306">
        <f t="shared" si="541"/>
        <v>0</v>
      </c>
      <c r="AA1608" s="306"/>
      <c r="AB1608" s="814"/>
      <c r="AC1608" s="303"/>
      <c r="AD1608" s="381"/>
      <c r="AE1608" s="210"/>
      <c r="AF1608" s="210"/>
      <c r="AG1608" s="211">
        <f t="shared" si="542"/>
        <v>0.13</v>
      </c>
      <c r="AH1608" s="157">
        <f t="shared" si="543"/>
        <v>0</v>
      </c>
      <c r="AI1608" s="152">
        <f t="shared" si="544"/>
        <v>89112</v>
      </c>
      <c r="AK1608" s="156" t="s">
        <v>691</v>
      </c>
      <c r="AL1608" s="574" t="s">
        <v>690</v>
      </c>
      <c r="AM1608" s="198">
        <f t="shared" si="537"/>
        <v>0</v>
      </c>
      <c r="AN1608" s="199">
        <f t="shared" si="545"/>
        <v>45608</v>
      </c>
      <c r="AO1608" s="159" t="s">
        <v>692</v>
      </c>
      <c r="AP1608" s="783" t="s">
        <v>629</v>
      </c>
      <c r="AQ1608" s="782">
        <v>12071839</v>
      </c>
      <c r="AR1608" s="782">
        <v>12078867</v>
      </c>
      <c r="AS1608" s="782">
        <v>12068233</v>
      </c>
      <c r="AT1608" s="781"/>
      <c r="AU1608" s="781"/>
      <c r="AV1608" s="782">
        <v>12062075</v>
      </c>
      <c r="AW1608" s="781"/>
      <c r="AX1608" s="781"/>
      <c r="AY1608" s="782">
        <v>12078867</v>
      </c>
      <c r="AZ1608" s="781"/>
      <c r="BA1608" s="781"/>
    </row>
    <row r="1609" spans="2:53" ht="24.65" hidden="1" customHeight="1">
      <c r="B1609" s="369">
        <v>45608</v>
      </c>
      <c r="C1609" s="370">
        <v>45615</v>
      </c>
      <c r="D1609" s="185">
        <f t="shared" si="538"/>
        <v>2024</v>
      </c>
      <c r="E1609" s="370" t="str">
        <f>VLOOKUP($B1609,Week!$A$1:$C$1462,2,0)</f>
        <v>Week46</v>
      </c>
      <c r="F1609" s="372" t="str">
        <f t="shared" si="539"/>
        <v>Nov</v>
      </c>
      <c r="G1609" s="439" t="s">
        <v>1829</v>
      </c>
      <c r="H1609" s="371" t="s">
        <v>104</v>
      </c>
      <c r="I1609" s="371" t="s">
        <v>2772</v>
      </c>
      <c r="J1609" s="373" t="s">
        <v>105</v>
      </c>
      <c r="K1609" s="374" t="s">
        <v>593</v>
      </c>
      <c r="L1609" s="300" t="s">
        <v>2167</v>
      </c>
      <c r="M1609" s="373" t="s">
        <v>594</v>
      </c>
      <c r="N1609" s="371" t="s">
        <v>687</v>
      </c>
      <c r="O1609" s="371" t="s">
        <v>415</v>
      </c>
      <c r="P1609" s="375">
        <v>24</v>
      </c>
      <c r="Q1609" s="375">
        <v>5</v>
      </c>
      <c r="R1609" s="376">
        <v>6.0000000000000001E-3</v>
      </c>
      <c r="S1609" s="371" t="s">
        <v>55</v>
      </c>
      <c r="T1609" s="371" t="s">
        <v>112</v>
      </c>
      <c r="U1609" s="371" t="s">
        <v>57</v>
      </c>
      <c r="V1609" s="377">
        <f>750</f>
        <v>750</v>
      </c>
      <c r="W1609" s="377">
        <f>135+615</f>
        <v>750</v>
      </c>
      <c r="X1609" s="378"/>
      <c r="Y1609" s="379">
        <f t="shared" si="540"/>
        <v>0</v>
      </c>
      <c r="Z1609" s="380">
        <f t="shared" si="541"/>
        <v>0</v>
      </c>
      <c r="AA1609" s="380"/>
      <c r="AB1609" s="820"/>
      <c r="AC1609" s="377"/>
      <c r="AD1609" s="485" t="s">
        <v>1880</v>
      </c>
      <c r="AE1609" s="210"/>
      <c r="AF1609" s="210"/>
      <c r="AG1609" s="211">
        <f t="shared" si="542"/>
        <v>0.25800000000000001</v>
      </c>
      <c r="AH1609" s="157">
        <f t="shared" si="543"/>
        <v>0</v>
      </c>
      <c r="AI1609" s="152">
        <f t="shared" si="544"/>
        <v>18000</v>
      </c>
      <c r="AK1609" s="156" t="s">
        <v>691</v>
      </c>
      <c r="AL1609" s="212" t="s">
        <v>690</v>
      </c>
      <c r="AM1609" s="198">
        <f t="shared" si="537"/>
        <v>0</v>
      </c>
      <c r="AN1609" s="199">
        <f t="shared" si="545"/>
        <v>45608</v>
      </c>
      <c r="AO1609" s="159" t="s">
        <v>692</v>
      </c>
      <c r="AP1609" s="783"/>
      <c r="AQ1609" s="782">
        <v>12071839</v>
      </c>
      <c r="AR1609" s="782">
        <v>12042650</v>
      </c>
      <c r="AS1609" s="782">
        <v>12042649</v>
      </c>
      <c r="AT1609" s="782">
        <v>12085742</v>
      </c>
      <c r="AU1609" s="781"/>
      <c r="AV1609" s="782">
        <v>12085744</v>
      </c>
      <c r="AW1609" s="782">
        <v>12049607</v>
      </c>
      <c r="AX1609" s="782"/>
      <c r="AY1609" s="782">
        <v>12085747</v>
      </c>
      <c r="AZ1609" s="782"/>
      <c r="BA1609" s="781"/>
    </row>
    <row r="1610" spans="2:53" ht="24.65" hidden="1" customHeight="1">
      <c r="B1610" s="369">
        <v>45608</v>
      </c>
      <c r="C1610" s="370">
        <v>45630</v>
      </c>
      <c r="D1610" s="185">
        <f t="shared" si="538"/>
        <v>2024</v>
      </c>
      <c r="E1610" s="370" t="str">
        <f>VLOOKUP($B1610,Week!$A$1:$C$1462,2,0)</f>
        <v>Week46</v>
      </c>
      <c r="F1610" s="372" t="str">
        <f t="shared" si="539"/>
        <v>Nov</v>
      </c>
      <c r="G1610" s="439" t="s">
        <v>1830</v>
      </c>
      <c r="H1610" s="371" t="s">
        <v>104</v>
      </c>
      <c r="I1610" s="371" t="s">
        <v>2772</v>
      </c>
      <c r="J1610" s="373" t="s">
        <v>105</v>
      </c>
      <c r="K1610" s="374" t="s">
        <v>593</v>
      </c>
      <c r="L1610" s="300" t="s">
        <v>2167</v>
      </c>
      <c r="M1610" s="373" t="s">
        <v>594</v>
      </c>
      <c r="N1610" s="371" t="s">
        <v>687</v>
      </c>
      <c r="O1610" s="371" t="s">
        <v>415</v>
      </c>
      <c r="P1610" s="375">
        <v>24</v>
      </c>
      <c r="Q1610" s="375">
        <v>5</v>
      </c>
      <c r="R1610" s="376">
        <v>6.0000000000000001E-3</v>
      </c>
      <c r="S1610" s="371" t="s">
        <v>55</v>
      </c>
      <c r="T1610" s="371" t="s">
        <v>112</v>
      </c>
      <c r="U1610" s="371" t="s">
        <v>57</v>
      </c>
      <c r="V1610" s="377">
        <f>700</f>
        <v>700</v>
      </c>
      <c r="W1610" s="377">
        <f>1301-615+14</f>
        <v>700</v>
      </c>
      <c r="X1610" s="378"/>
      <c r="Y1610" s="379">
        <f t="shared" si="540"/>
        <v>0</v>
      </c>
      <c r="Z1610" s="380">
        <f t="shared" si="541"/>
        <v>0</v>
      </c>
      <c r="AA1610" s="380"/>
      <c r="AB1610" s="820"/>
      <c r="AC1610" s="377"/>
      <c r="AD1610" s="486"/>
      <c r="AE1610" s="210"/>
      <c r="AF1610" s="210"/>
      <c r="AG1610" s="211">
        <f t="shared" si="542"/>
        <v>0.25800000000000001</v>
      </c>
      <c r="AH1610" s="157">
        <f t="shared" si="543"/>
        <v>0</v>
      </c>
      <c r="AI1610" s="152">
        <f t="shared" si="544"/>
        <v>16800</v>
      </c>
      <c r="AK1610" s="156" t="s">
        <v>691</v>
      </c>
      <c r="AL1610" s="212" t="s">
        <v>690</v>
      </c>
      <c r="AM1610" s="198">
        <f t="shared" si="537"/>
        <v>0</v>
      </c>
      <c r="AN1610" s="199">
        <f t="shared" si="545"/>
        <v>45608</v>
      </c>
      <c r="AO1610" s="159" t="s">
        <v>692</v>
      </c>
      <c r="AP1610" s="783"/>
      <c r="AQ1610" s="782">
        <v>12071839</v>
      </c>
      <c r="AR1610" s="782">
        <v>12042650</v>
      </c>
      <c r="AS1610" s="782">
        <v>12042649</v>
      </c>
      <c r="AT1610" s="782">
        <v>12085742</v>
      </c>
      <c r="AU1610" s="781"/>
      <c r="AV1610" s="782">
        <v>12085744</v>
      </c>
      <c r="AW1610" s="782">
        <v>12049607</v>
      </c>
      <c r="AX1610" s="782"/>
      <c r="AY1610" s="782">
        <v>12085747</v>
      </c>
      <c r="AZ1610" s="782"/>
      <c r="BA1610" s="781"/>
    </row>
    <row r="1611" spans="2:53" ht="25" hidden="1" customHeight="1">
      <c r="B1611" s="320">
        <v>45608</v>
      </c>
      <c r="C1611" s="321" t="s">
        <v>1678</v>
      </c>
      <c r="D1611" s="185">
        <f t="shared" si="538"/>
        <v>2024</v>
      </c>
      <c r="E1611" s="321" t="str">
        <f>VLOOKUP($B1611,Week!$A$1:$C$1462,2,0)</f>
        <v>Week46</v>
      </c>
      <c r="F1611" s="322" t="str">
        <f t="shared" si="539"/>
        <v>Nov</v>
      </c>
      <c r="G1611" s="323" t="s">
        <v>47</v>
      </c>
      <c r="H1611" s="323" t="s">
        <v>518</v>
      </c>
      <c r="I1611" s="323" t="s">
        <v>2702</v>
      </c>
      <c r="J1611" s="324" t="s">
        <v>70</v>
      </c>
      <c r="K1611" s="325" t="s">
        <v>564</v>
      </c>
      <c r="L1611" s="300" t="s">
        <v>2167</v>
      </c>
      <c r="M1611" s="324" t="s">
        <v>558</v>
      </c>
      <c r="N1611" s="323" t="s">
        <v>559</v>
      </c>
      <c r="O1611" s="323" t="s">
        <v>560</v>
      </c>
      <c r="P1611" s="326">
        <v>12</v>
      </c>
      <c r="Q1611" s="326">
        <v>3</v>
      </c>
      <c r="R1611" s="327">
        <v>8.0000000000000002E-3</v>
      </c>
      <c r="S1611" s="323" t="s">
        <v>40</v>
      </c>
      <c r="T1611" s="323" t="s">
        <v>56</v>
      </c>
      <c r="U1611" s="323" t="s">
        <v>57</v>
      </c>
      <c r="V1611" s="397">
        <f>267</f>
        <v>267</v>
      </c>
      <c r="W1611" s="328">
        <v>267</v>
      </c>
      <c r="X1611" s="329"/>
      <c r="Y1611" s="330">
        <f t="shared" si="540"/>
        <v>0</v>
      </c>
      <c r="Z1611" s="331">
        <f t="shared" si="541"/>
        <v>0</v>
      </c>
      <c r="AA1611" s="331"/>
      <c r="AB1611" s="816"/>
      <c r="AC1611" s="328"/>
      <c r="AD1611" s="209"/>
      <c r="AE1611" s="210"/>
      <c r="AF1611" s="210"/>
      <c r="AG1611" s="211">
        <f t="shared" si="542"/>
        <v>0.22600000000000001</v>
      </c>
      <c r="AH1611" s="157">
        <f t="shared" si="543"/>
        <v>0</v>
      </c>
      <c r="AI1611" s="152">
        <f t="shared" si="544"/>
        <v>3204</v>
      </c>
      <c r="AK1611" s="156" t="s">
        <v>691</v>
      </c>
      <c r="AL1611" s="212" t="s">
        <v>690</v>
      </c>
      <c r="AM1611" s="198">
        <f t="shared" si="537"/>
        <v>0</v>
      </c>
      <c r="AN1611" s="199">
        <f t="shared" si="545"/>
        <v>45608</v>
      </c>
      <c r="AO1611" s="159" t="s">
        <v>692</v>
      </c>
      <c r="AP1611" s="783" t="s">
        <v>623</v>
      </c>
      <c r="AQ1611" s="782">
        <v>12071839</v>
      </c>
      <c r="AR1611" s="782">
        <v>12042650</v>
      </c>
      <c r="AS1611" s="782">
        <v>12042649</v>
      </c>
      <c r="AT1611" s="782"/>
      <c r="AU1611" s="781"/>
      <c r="AV1611" s="782">
        <v>12083156</v>
      </c>
      <c r="AW1611" s="782"/>
      <c r="AX1611" s="782"/>
      <c r="AY1611" s="782">
        <v>12083147</v>
      </c>
      <c r="AZ1611" s="782">
        <v>12083148</v>
      </c>
      <c r="BA1611" s="781"/>
    </row>
    <row r="1612" spans="2:53" ht="25" hidden="1" customHeight="1">
      <c r="B1612" s="320">
        <v>45608</v>
      </c>
      <c r="C1612" s="321" t="s">
        <v>1678</v>
      </c>
      <c r="D1612" s="185">
        <f t="shared" si="538"/>
        <v>2024</v>
      </c>
      <c r="E1612" s="321" t="str">
        <f>VLOOKUP($B1612,Week!$A$1:$C$1462,2,0)</f>
        <v>Week46</v>
      </c>
      <c r="F1612" s="322" t="str">
        <f t="shared" si="539"/>
        <v>Nov</v>
      </c>
      <c r="G1612" s="323" t="s">
        <v>47</v>
      </c>
      <c r="H1612" s="323" t="s">
        <v>518</v>
      </c>
      <c r="I1612" s="323" t="s">
        <v>2702</v>
      </c>
      <c r="J1612" s="324" t="s">
        <v>70</v>
      </c>
      <c r="K1612" s="325" t="s">
        <v>564</v>
      </c>
      <c r="L1612" s="300" t="s">
        <v>2167</v>
      </c>
      <c r="M1612" s="324" t="s">
        <v>558</v>
      </c>
      <c r="N1612" s="323" t="s">
        <v>559</v>
      </c>
      <c r="O1612" s="323" t="s">
        <v>560</v>
      </c>
      <c r="P1612" s="326">
        <v>12</v>
      </c>
      <c r="Q1612" s="326">
        <v>3</v>
      </c>
      <c r="R1612" s="327">
        <v>8.0000000000000002E-3</v>
      </c>
      <c r="S1612" s="323" t="s">
        <v>40</v>
      </c>
      <c r="T1612" s="323" t="s">
        <v>56</v>
      </c>
      <c r="U1612" s="323" t="s">
        <v>57</v>
      </c>
      <c r="V1612" s="397">
        <f>415-267</f>
        <v>148</v>
      </c>
      <c r="W1612" s="328">
        <f>422+1-267</f>
        <v>156</v>
      </c>
      <c r="X1612" s="329"/>
      <c r="Y1612" s="330">
        <f t="shared" si="540"/>
        <v>8</v>
      </c>
      <c r="Z1612" s="331">
        <f t="shared" si="541"/>
        <v>0</v>
      </c>
      <c r="AA1612" s="331"/>
      <c r="AB1612" s="816"/>
      <c r="AC1612" s="328"/>
      <c r="AD1612" s="209"/>
      <c r="AE1612" s="210"/>
      <c r="AF1612" s="210"/>
      <c r="AG1612" s="211">
        <f t="shared" si="542"/>
        <v>0.22600000000000001</v>
      </c>
      <c r="AH1612" s="157">
        <f t="shared" si="543"/>
        <v>0</v>
      </c>
      <c r="AI1612" s="152">
        <f t="shared" si="544"/>
        <v>1776</v>
      </c>
      <c r="AK1612" s="156" t="s">
        <v>691</v>
      </c>
      <c r="AL1612" s="212" t="s">
        <v>690</v>
      </c>
      <c r="AM1612" s="198">
        <f t="shared" si="537"/>
        <v>0</v>
      </c>
      <c r="AN1612" s="199">
        <f t="shared" si="545"/>
        <v>45608</v>
      </c>
      <c r="AO1612" s="159" t="s">
        <v>692</v>
      </c>
      <c r="AP1612" s="783" t="s">
        <v>623</v>
      </c>
      <c r="AQ1612" s="782">
        <v>12071839</v>
      </c>
      <c r="AR1612" s="782">
        <v>12042650</v>
      </c>
      <c r="AS1612" s="782">
        <v>12042649</v>
      </c>
      <c r="AT1612" s="782"/>
      <c r="AU1612" s="781"/>
      <c r="AV1612" s="782">
        <v>12083156</v>
      </c>
      <c r="AW1612" s="782"/>
      <c r="AX1612" s="782"/>
      <c r="AY1612" s="782">
        <v>12083147</v>
      </c>
      <c r="AZ1612" s="782">
        <v>12083148</v>
      </c>
      <c r="BA1612" s="781"/>
    </row>
    <row r="1613" spans="2:53" ht="25" hidden="1" customHeight="1">
      <c r="B1613" s="332">
        <v>45608</v>
      </c>
      <c r="C1613" s="333" t="s">
        <v>1678</v>
      </c>
      <c r="D1613" s="185">
        <f t="shared" si="538"/>
        <v>2024</v>
      </c>
      <c r="E1613" s="333" t="str">
        <f>VLOOKUP($B1613,Week!$A$1:$C$1462,2,0)</f>
        <v>Week46</v>
      </c>
      <c r="F1613" s="334" t="str">
        <f t="shared" si="539"/>
        <v>Nov</v>
      </c>
      <c r="G1613" s="335" t="s">
        <v>47</v>
      </c>
      <c r="H1613" s="335" t="s">
        <v>518</v>
      </c>
      <c r="I1613" s="335" t="s">
        <v>2702</v>
      </c>
      <c r="J1613" s="336" t="s">
        <v>70</v>
      </c>
      <c r="K1613" s="337" t="s">
        <v>582</v>
      </c>
      <c r="L1613" s="300" t="s">
        <v>2167</v>
      </c>
      <c r="M1613" s="336" t="s">
        <v>534</v>
      </c>
      <c r="N1613" s="530" t="s">
        <v>578</v>
      </c>
      <c r="O1613" s="335" t="s">
        <v>583</v>
      </c>
      <c r="P1613" s="338">
        <v>12</v>
      </c>
      <c r="Q1613" s="338">
        <v>3</v>
      </c>
      <c r="R1613" s="339">
        <v>6.0000000000000001E-3</v>
      </c>
      <c r="S1613" s="335" t="s">
        <v>55</v>
      </c>
      <c r="T1613" s="335" t="s">
        <v>56</v>
      </c>
      <c r="U1613" s="335" t="s">
        <v>57</v>
      </c>
      <c r="V1613" s="341">
        <f>167</f>
        <v>167</v>
      </c>
      <c r="W1613" s="341">
        <v>167</v>
      </c>
      <c r="X1613" s="342"/>
      <c r="Y1613" s="531">
        <f t="shared" si="540"/>
        <v>0</v>
      </c>
      <c r="Z1613" s="344">
        <f t="shared" si="541"/>
        <v>0</v>
      </c>
      <c r="AA1613" s="344"/>
      <c r="AB1613" s="817"/>
      <c r="AC1613" s="341"/>
      <c r="AD1613" s="209"/>
      <c r="AE1613" s="210"/>
      <c r="AF1613" s="210"/>
      <c r="AG1613" s="211">
        <f t="shared" si="542"/>
        <v>0.191</v>
      </c>
      <c r="AH1613" s="157">
        <f t="shared" si="543"/>
        <v>0</v>
      </c>
      <c r="AI1613" s="152">
        <f t="shared" si="544"/>
        <v>2004</v>
      </c>
      <c r="AK1613" s="156" t="s">
        <v>691</v>
      </c>
      <c r="AL1613" s="212" t="s">
        <v>690</v>
      </c>
      <c r="AM1613" s="198">
        <f t="shared" si="537"/>
        <v>0</v>
      </c>
      <c r="AN1613" s="199">
        <f t="shared" si="545"/>
        <v>45608</v>
      </c>
      <c r="AO1613" s="159" t="s">
        <v>692</v>
      </c>
      <c r="AP1613" s="781"/>
      <c r="AQ1613" s="782">
        <v>12071839</v>
      </c>
      <c r="AR1613" s="782">
        <v>12042650</v>
      </c>
      <c r="AS1613" s="782">
        <v>12042649</v>
      </c>
      <c r="AT1613" s="782"/>
      <c r="AU1613" s="781"/>
      <c r="AV1613" s="782">
        <v>12083313</v>
      </c>
      <c r="AW1613" s="782"/>
      <c r="AX1613" s="782"/>
      <c r="AY1613" s="782">
        <v>12083308</v>
      </c>
      <c r="AZ1613" s="782">
        <v>12083312</v>
      </c>
      <c r="BA1613" s="781"/>
    </row>
    <row r="1614" spans="2:53" ht="25" hidden="1" customHeight="1">
      <c r="B1614" s="332">
        <v>45608</v>
      </c>
      <c r="C1614" s="333" t="s">
        <v>1678</v>
      </c>
      <c r="D1614" s="185">
        <f t="shared" si="538"/>
        <v>2024</v>
      </c>
      <c r="E1614" s="333" t="str">
        <f>VLOOKUP($B1614,Week!$A$1:$C$1462,2,0)</f>
        <v>Week46</v>
      </c>
      <c r="F1614" s="334" t="str">
        <f t="shared" si="539"/>
        <v>Nov</v>
      </c>
      <c r="G1614" s="335" t="s">
        <v>47</v>
      </c>
      <c r="H1614" s="335" t="s">
        <v>518</v>
      </c>
      <c r="I1614" s="335" t="s">
        <v>2702</v>
      </c>
      <c r="J1614" s="336" t="s">
        <v>70</v>
      </c>
      <c r="K1614" s="337" t="s">
        <v>582</v>
      </c>
      <c r="L1614" s="300" t="s">
        <v>2167</v>
      </c>
      <c r="M1614" s="336" t="s">
        <v>534</v>
      </c>
      <c r="N1614" s="530" t="s">
        <v>578</v>
      </c>
      <c r="O1614" s="335" t="s">
        <v>583</v>
      </c>
      <c r="P1614" s="338">
        <v>12</v>
      </c>
      <c r="Q1614" s="338">
        <v>3</v>
      </c>
      <c r="R1614" s="339">
        <v>6.0000000000000001E-3</v>
      </c>
      <c r="S1614" s="335" t="s">
        <v>55</v>
      </c>
      <c r="T1614" s="335" t="s">
        <v>56</v>
      </c>
      <c r="U1614" s="335" t="s">
        <v>57</v>
      </c>
      <c r="V1614" s="341">
        <f>312-167</f>
        <v>145</v>
      </c>
      <c r="W1614" s="341">
        <f>332-167</f>
        <v>165</v>
      </c>
      <c r="X1614" s="342"/>
      <c r="Y1614" s="343">
        <f t="shared" si="540"/>
        <v>20</v>
      </c>
      <c r="Z1614" s="344">
        <f t="shared" si="541"/>
        <v>0</v>
      </c>
      <c r="AA1614" s="344"/>
      <c r="AB1614" s="817"/>
      <c r="AC1614" s="341"/>
      <c r="AD1614" s="209"/>
      <c r="AE1614" s="210"/>
      <c r="AF1614" s="210"/>
      <c r="AG1614" s="211">
        <f t="shared" si="542"/>
        <v>0.191</v>
      </c>
      <c r="AH1614" s="157">
        <f t="shared" si="543"/>
        <v>0</v>
      </c>
      <c r="AI1614" s="152">
        <f t="shared" si="544"/>
        <v>1740</v>
      </c>
      <c r="AK1614" s="156" t="s">
        <v>691</v>
      </c>
      <c r="AL1614" s="212" t="s">
        <v>690</v>
      </c>
      <c r="AM1614" s="198">
        <f t="shared" si="537"/>
        <v>0</v>
      </c>
      <c r="AN1614" s="199">
        <f t="shared" si="545"/>
        <v>45608</v>
      </c>
      <c r="AO1614" s="159" t="s">
        <v>692</v>
      </c>
      <c r="AP1614" s="781"/>
      <c r="AQ1614" s="782">
        <v>12071839</v>
      </c>
      <c r="AR1614" s="782">
        <v>12042650</v>
      </c>
      <c r="AS1614" s="782">
        <v>12042649</v>
      </c>
      <c r="AT1614" s="782"/>
      <c r="AU1614" s="781"/>
      <c r="AV1614" s="782">
        <v>12083313</v>
      </c>
      <c r="AW1614" s="782"/>
      <c r="AX1614" s="782"/>
      <c r="AY1614" s="782">
        <v>12083308</v>
      </c>
      <c r="AZ1614" s="782">
        <v>12083312</v>
      </c>
      <c r="BA1614" s="781"/>
    </row>
    <row r="1615" spans="2:53" ht="25" hidden="1" customHeight="1">
      <c r="B1615" s="271">
        <v>45608</v>
      </c>
      <c r="C1615" s="272" t="s">
        <v>1712</v>
      </c>
      <c r="D1615" s="185">
        <f t="shared" si="538"/>
        <v>2024</v>
      </c>
      <c r="E1615" s="272" t="str">
        <f>VLOOKUP($B1615,Week!$A$1:$C$1462,2,0)</f>
        <v>Week46</v>
      </c>
      <c r="F1615" s="273" t="str">
        <f t="shared" si="539"/>
        <v>Nov</v>
      </c>
      <c r="G1615" s="274" t="s">
        <v>47</v>
      </c>
      <c r="H1615" s="274" t="s">
        <v>518</v>
      </c>
      <c r="I1615" s="274" t="s">
        <v>2702</v>
      </c>
      <c r="J1615" s="275" t="s">
        <v>70</v>
      </c>
      <c r="K1615" s="276" t="s">
        <v>556</v>
      </c>
      <c r="L1615" s="300" t="s">
        <v>2167</v>
      </c>
      <c r="M1615" s="275" t="s">
        <v>520</v>
      </c>
      <c r="N1615" s="423" t="s">
        <v>586</v>
      </c>
      <c r="O1615" s="274" t="s">
        <v>585</v>
      </c>
      <c r="P1615" s="277">
        <v>12</v>
      </c>
      <c r="Q1615" s="277">
        <v>5</v>
      </c>
      <c r="R1615" s="278">
        <v>6.0000000000000001E-3</v>
      </c>
      <c r="S1615" s="274" t="s">
        <v>55</v>
      </c>
      <c r="T1615" s="274" t="s">
        <v>56</v>
      </c>
      <c r="U1615" s="274" t="s">
        <v>57</v>
      </c>
      <c r="V1615" s="279">
        <f>26</f>
        <v>26</v>
      </c>
      <c r="W1615" s="279">
        <v>26</v>
      </c>
      <c r="X1615" s="280"/>
      <c r="Y1615" s="281">
        <f t="shared" si="540"/>
        <v>0</v>
      </c>
      <c r="Z1615" s="282">
        <f t="shared" si="541"/>
        <v>0</v>
      </c>
      <c r="AA1615" s="282"/>
      <c r="AB1615" s="812"/>
      <c r="AC1615" s="279"/>
      <c r="AD1615" s="209"/>
      <c r="AE1615" s="210"/>
      <c r="AF1615" s="210"/>
      <c r="AG1615" s="211">
        <f t="shared" si="542"/>
        <v>0.13500000000000001</v>
      </c>
      <c r="AH1615" s="157">
        <f t="shared" si="543"/>
        <v>0</v>
      </c>
      <c r="AI1615" s="152">
        <f t="shared" si="544"/>
        <v>312</v>
      </c>
      <c r="AK1615" s="156" t="s">
        <v>691</v>
      </c>
      <c r="AL1615" s="212" t="s">
        <v>690</v>
      </c>
      <c r="AM1615" s="198">
        <f t="shared" si="537"/>
        <v>0</v>
      </c>
      <c r="AN1615" s="199">
        <f t="shared" si="545"/>
        <v>45608</v>
      </c>
      <c r="AO1615" s="159" t="s">
        <v>692</v>
      </c>
      <c r="AP1615" s="781"/>
      <c r="AQ1615" s="782">
        <v>12071839</v>
      </c>
      <c r="AR1615" s="782">
        <v>12047514</v>
      </c>
      <c r="AS1615" s="782">
        <v>12047515</v>
      </c>
      <c r="AT1615" s="782"/>
      <c r="AU1615" s="781"/>
      <c r="AV1615" s="782">
        <v>12083307</v>
      </c>
      <c r="AW1615" s="782"/>
      <c r="AX1615" s="782"/>
      <c r="AY1615" s="782">
        <v>12083305</v>
      </c>
      <c r="AZ1615" s="782">
        <v>12083306</v>
      </c>
      <c r="BA1615" s="781"/>
    </row>
    <row r="1616" spans="2:53" ht="25" hidden="1" customHeight="1">
      <c r="B1616" s="271">
        <v>45608</v>
      </c>
      <c r="C1616" s="272" t="s">
        <v>1678</v>
      </c>
      <c r="D1616" s="185">
        <f t="shared" si="538"/>
        <v>2024</v>
      </c>
      <c r="E1616" s="272" t="str">
        <f>VLOOKUP($B1616,Week!$A$1:$C$1462,2,0)</f>
        <v>Week46</v>
      </c>
      <c r="F1616" s="273" t="str">
        <f t="shared" si="539"/>
        <v>Nov</v>
      </c>
      <c r="G1616" s="274" t="s">
        <v>47</v>
      </c>
      <c r="H1616" s="274" t="s">
        <v>518</v>
      </c>
      <c r="I1616" s="274" t="s">
        <v>2702</v>
      </c>
      <c r="J1616" s="275" t="s">
        <v>70</v>
      </c>
      <c r="K1616" s="276" t="s">
        <v>556</v>
      </c>
      <c r="L1616" s="300" t="s">
        <v>2167</v>
      </c>
      <c r="M1616" s="275" t="s">
        <v>520</v>
      </c>
      <c r="N1616" s="423" t="s">
        <v>586</v>
      </c>
      <c r="O1616" s="274" t="s">
        <v>585</v>
      </c>
      <c r="P1616" s="277">
        <v>12</v>
      </c>
      <c r="Q1616" s="277">
        <v>5</v>
      </c>
      <c r="R1616" s="278">
        <v>6.0000000000000001E-3</v>
      </c>
      <c r="S1616" s="274" t="s">
        <v>55</v>
      </c>
      <c r="T1616" s="274" t="s">
        <v>56</v>
      </c>
      <c r="U1616" s="274" t="s">
        <v>57</v>
      </c>
      <c r="V1616" s="279">
        <f>73</f>
        <v>73</v>
      </c>
      <c r="W1616" s="279">
        <v>73</v>
      </c>
      <c r="X1616" s="280"/>
      <c r="Y1616" s="281">
        <f t="shared" si="540"/>
        <v>0</v>
      </c>
      <c r="Z1616" s="282">
        <f t="shared" si="541"/>
        <v>0</v>
      </c>
      <c r="AA1616" s="282"/>
      <c r="AB1616" s="812"/>
      <c r="AC1616" s="279"/>
      <c r="AD1616" s="209"/>
      <c r="AE1616" s="210"/>
      <c r="AF1616" s="210"/>
      <c r="AG1616" s="211">
        <f t="shared" si="542"/>
        <v>0.13500000000000001</v>
      </c>
      <c r="AH1616" s="157">
        <f t="shared" si="543"/>
        <v>0</v>
      </c>
      <c r="AI1616" s="152">
        <f t="shared" si="544"/>
        <v>876</v>
      </c>
      <c r="AK1616" s="156" t="s">
        <v>691</v>
      </c>
      <c r="AL1616" s="212" t="s">
        <v>690</v>
      </c>
      <c r="AM1616" s="198">
        <f t="shared" si="537"/>
        <v>0</v>
      </c>
      <c r="AN1616" s="199">
        <f t="shared" si="545"/>
        <v>45608</v>
      </c>
      <c r="AO1616" s="159" t="s">
        <v>692</v>
      </c>
      <c r="AP1616" s="781"/>
      <c r="AQ1616" s="782">
        <v>12071839</v>
      </c>
      <c r="AR1616" s="782">
        <v>12047514</v>
      </c>
      <c r="AS1616" s="782">
        <v>12047515</v>
      </c>
      <c r="AT1616" s="782"/>
      <c r="AU1616" s="781"/>
      <c r="AV1616" s="782">
        <v>12083307</v>
      </c>
      <c r="AW1616" s="782"/>
      <c r="AX1616" s="782"/>
      <c r="AY1616" s="782">
        <v>12083305</v>
      </c>
      <c r="AZ1616" s="782">
        <v>12083306</v>
      </c>
      <c r="BA1616" s="781"/>
    </row>
    <row r="1617" spans="1:53" ht="25" hidden="1" customHeight="1">
      <c r="B1617" s="271">
        <v>45608</v>
      </c>
      <c r="C1617" s="272" t="s">
        <v>1678</v>
      </c>
      <c r="D1617" s="185">
        <f t="shared" si="538"/>
        <v>2024</v>
      </c>
      <c r="E1617" s="272" t="str">
        <f>VLOOKUP($B1617,Week!$A$1:$C$1462,2,0)</f>
        <v>Week46</v>
      </c>
      <c r="F1617" s="273" t="str">
        <f t="shared" si="539"/>
        <v>Nov</v>
      </c>
      <c r="G1617" s="274" t="s">
        <v>47</v>
      </c>
      <c r="H1617" s="274" t="s">
        <v>518</v>
      </c>
      <c r="I1617" s="274" t="s">
        <v>2702</v>
      </c>
      <c r="J1617" s="275" t="s">
        <v>70</v>
      </c>
      <c r="K1617" s="276" t="s">
        <v>556</v>
      </c>
      <c r="L1617" s="300" t="s">
        <v>2167</v>
      </c>
      <c r="M1617" s="275" t="s">
        <v>520</v>
      </c>
      <c r="N1617" s="423" t="s">
        <v>586</v>
      </c>
      <c r="O1617" s="274" t="s">
        <v>585</v>
      </c>
      <c r="P1617" s="277">
        <v>12</v>
      </c>
      <c r="Q1617" s="277">
        <v>5</v>
      </c>
      <c r="R1617" s="278">
        <v>6.0000000000000001E-3</v>
      </c>
      <c r="S1617" s="274" t="s">
        <v>55</v>
      </c>
      <c r="T1617" s="274" t="s">
        <v>56</v>
      </c>
      <c r="U1617" s="274" t="s">
        <v>57</v>
      </c>
      <c r="V1617" s="279">
        <f>345</f>
        <v>345</v>
      </c>
      <c r="W1617" s="279">
        <f>453-26-73</f>
        <v>354</v>
      </c>
      <c r="X1617" s="280"/>
      <c r="Y1617" s="281">
        <f t="shared" si="540"/>
        <v>9</v>
      </c>
      <c r="Z1617" s="282">
        <f t="shared" si="541"/>
        <v>0</v>
      </c>
      <c r="AA1617" s="282"/>
      <c r="AB1617" s="812"/>
      <c r="AC1617" s="279"/>
      <c r="AD1617" s="209"/>
      <c r="AE1617" s="210"/>
      <c r="AF1617" s="210"/>
      <c r="AG1617" s="211">
        <f t="shared" si="542"/>
        <v>0.13500000000000001</v>
      </c>
      <c r="AH1617" s="157">
        <f t="shared" ref="AH1617:AH1623" si="546">(Z1617*AG1617)/1000</f>
        <v>0</v>
      </c>
      <c r="AI1617" s="152">
        <f t="shared" si="544"/>
        <v>4140</v>
      </c>
      <c r="AK1617" s="156" t="s">
        <v>691</v>
      </c>
      <c r="AL1617" s="212" t="s">
        <v>690</v>
      </c>
      <c r="AM1617" s="198">
        <f t="shared" si="537"/>
        <v>0</v>
      </c>
      <c r="AN1617" s="199">
        <f t="shared" si="545"/>
        <v>45608</v>
      </c>
      <c r="AO1617" s="159" t="s">
        <v>692</v>
      </c>
      <c r="AP1617" s="781"/>
      <c r="AQ1617" s="782">
        <v>12071839</v>
      </c>
      <c r="AR1617" s="782">
        <v>12047514</v>
      </c>
      <c r="AS1617" s="782">
        <v>12047515</v>
      </c>
      <c r="AT1617" s="782"/>
      <c r="AU1617" s="781"/>
      <c r="AV1617" s="782">
        <v>12083307</v>
      </c>
      <c r="AW1617" s="782"/>
      <c r="AX1617" s="782"/>
      <c r="AY1617" s="782">
        <v>12083305</v>
      </c>
      <c r="AZ1617" s="782">
        <v>12083306</v>
      </c>
      <c r="BA1617" s="781"/>
    </row>
    <row r="1618" spans="1:53" ht="24.65" hidden="1" customHeight="1">
      <c r="B1618" s="320">
        <v>45609</v>
      </c>
      <c r="C1618" s="321" t="s">
        <v>1677</v>
      </c>
      <c r="D1618" s="185">
        <f t="shared" si="538"/>
        <v>2024</v>
      </c>
      <c r="E1618" s="321" t="str">
        <f>VLOOKUP($B1618,Week!$A$1:$C$1462,2,0)</f>
        <v>Week46</v>
      </c>
      <c r="F1618" s="322" t="str">
        <f t="shared" si="539"/>
        <v>Nov</v>
      </c>
      <c r="G1618" s="323" t="s">
        <v>47</v>
      </c>
      <c r="H1618" s="323" t="s">
        <v>518</v>
      </c>
      <c r="I1618" s="323" t="s">
        <v>2702</v>
      </c>
      <c r="J1618" s="324" t="s">
        <v>70</v>
      </c>
      <c r="K1618" s="325" t="s">
        <v>176</v>
      </c>
      <c r="L1618" s="300" t="s">
        <v>2167</v>
      </c>
      <c r="M1618" s="324" t="s">
        <v>1785</v>
      </c>
      <c r="N1618" s="323" t="s">
        <v>1787</v>
      </c>
      <c r="O1618" s="323" t="s">
        <v>1128</v>
      </c>
      <c r="P1618" s="326">
        <v>18</v>
      </c>
      <c r="Q1618" s="326">
        <v>5</v>
      </c>
      <c r="R1618" s="323">
        <v>6.1999999999999998E-3</v>
      </c>
      <c r="S1618" s="323" t="s">
        <v>352</v>
      </c>
      <c r="T1618" s="323" t="s">
        <v>56</v>
      </c>
      <c r="U1618" s="323" t="s">
        <v>1714</v>
      </c>
      <c r="V1618" s="328">
        <f>556</f>
        <v>556</v>
      </c>
      <c r="W1618" s="328">
        <f>6+550</f>
        <v>556</v>
      </c>
      <c r="X1618" s="329"/>
      <c r="Y1618" s="330">
        <f t="shared" si="540"/>
        <v>0</v>
      </c>
      <c r="Z1618" s="331">
        <f t="shared" si="541"/>
        <v>0</v>
      </c>
      <c r="AA1618" s="331"/>
      <c r="AB1618" s="816"/>
      <c r="AC1618" s="328"/>
      <c r="AD1618" s="209"/>
      <c r="AE1618" s="210"/>
      <c r="AF1618" s="210"/>
      <c r="AG1618" s="211">
        <f t="shared" si="542"/>
        <v>0.14299999999999999</v>
      </c>
      <c r="AH1618" s="157">
        <f t="shared" si="546"/>
        <v>0</v>
      </c>
      <c r="AI1618" s="152">
        <f t="shared" si="544"/>
        <v>10008</v>
      </c>
      <c r="AK1618" s="156" t="s">
        <v>691</v>
      </c>
      <c r="AL1618" s="212" t="s">
        <v>690</v>
      </c>
      <c r="AM1618" s="198">
        <f t="shared" si="537"/>
        <v>0</v>
      </c>
      <c r="AN1618" s="199">
        <f t="shared" si="545"/>
        <v>45609</v>
      </c>
      <c r="AO1618" s="159" t="s">
        <v>692</v>
      </c>
      <c r="AP1618" s="783" t="s">
        <v>609</v>
      </c>
      <c r="AQ1618" s="782">
        <v>12071839</v>
      </c>
      <c r="AR1618" s="782">
        <v>12047514</v>
      </c>
      <c r="AS1618" s="782">
        <v>12047515</v>
      </c>
      <c r="AT1618" s="781"/>
      <c r="AU1618" s="781"/>
      <c r="AV1618" s="782">
        <v>12089668</v>
      </c>
      <c r="AW1618" s="781"/>
      <c r="AX1618" s="781"/>
      <c r="AY1618" s="782">
        <v>12088311</v>
      </c>
      <c r="AZ1618" s="782">
        <v>12088315</v>
      </c>
      <c r="BA1618" s="781"/>
    </row>
    <row r="1619" spans="1:53" ht="24.65" hidden="1" customHeight="1">
      <c r="B1619" s="332">
        <v>45609</v>
      </c>
      <c r="C1619" s="333" t="s">
        <v>1677</v>
      </c>
      <c r="D1619" s="185">
        <f t="shared" si="538"/>
        <v>2024</v>
      </c>
      <c r="E1619" s="333" t="str">
        <f>VLOOKUP($B1619,Week!$A$1:$C$1462,2,0)</f>
        <v>Week46</v>
      </c>
      <c r="F1619" s="334" t="str">
        <f t="shared" si="539"/>
        <v>Nov</v>
      </c>
      <c r="G1619" s="335" t="s">
        <v>47</v>
      </c>
      <c r="H1619" s="335" t="s">
        <v>518</v>
      </c>
      <c r="I1619" s="335" t="s">
        <v>2702</v>
      </c>
      <c r="J1619" s="336" t="s">
        <v>70</v>
      </c>
      <c r="K1619" s="337" t="s">
        <v>176</v>
      </c>
      <c r="L1619" s="300" t="s">
        <v>2167</v>
      </c>
      <c r="M1619" s="336" t="s">
        <v>1785</v>
      </c>
      <c r="N1619" s="335" t="s">
        <v>1784</v>
      </c>
      <c r="O1619" s="335" t="s">
        <v>747</v>
      </c>
      <c r="P1619" s="338">
        <v>12</v>
      </c>
      <c r="Q1619" s="338">
        <v>5</v>
      </c>
      <c r="R1619" s="335">
        <v>6.1999999999999998E-3</v>
      </c>
      <c r="S1619" s="335" t="s">
        <v>352</v>
      </c>
      <c r="T1619" s="335" t="s">
        <v>56</v>
      </c>
      <c r="U1619" s="335" t="s">
        <v>1714</v>
      </c>
      <c r="V1619" s="341">
        <f>3616-1673+8+8</f>
        <v>1959</v>
      </c>
      <c r="W1619" s="341">
        <f>1951+8</f>
        <v>1959</v>
      </c>
      <c r="X1619" s="342"/>
      <c r="Y1619" s="343">
        <f t="shared" si="540"/>
        <v>0</v>
      </c>
      <c r="Z1619" s="344">
        <f t="shared" si="541"/>
        <v>0</v>
      </c>
      <c r="AA1619" s="344"/>
      <c r="AB1619" s="817"/>
      <c r="AC1619" s="341"/>
      <c r="AD1619" s="209"/>
      <c r="AE1619" s="210"/>
      <c r="AF1619" s="210"/>
      <c r="AG1619" s="211">
        <f t="shared" si="542"/>
        <v>0.14299999999999999</v>
      </c>
      <c r="AH1619" s="157">
        <f t="shared" si="546"/>
        <v>0</v>
      </c>
      <c r="AI1619" s="152">
        <f t="shared" si="544"/>
        <v>23508</v>
      </c>
      <c r="AK1619" s="156" t="s">
        <v>691</v>
      </c>
      <c r="AL1619" s="212" t="s">
        <v>690</v>
      </c>
      <c r="AM1619" s="198">
        <f t="shared" si="537"/>
        <v>0</v>
      </c>
      <c r="AN1619" s="199">
        <f t="shared" si="545"/>
        <v>45609</v>
      </c>
      <c r="AO1619" s="159" t="s">
        <v>692</v>
      </c>
      <c r="AP1619" s="783" t="s">
        <v>609</v>
      </c>
      <c r="AQ1619" s="782">
        <v>12071839</v>
      </c>
      <c r="AR1619" s="782">
        <v>12047514</v>
      </c>
      <c r="AS1619" s="782">
        <v>12047515</v>
      </c>
      <c r="AT1619" s="781"/>
      <c r="AU1619" s="781"/>
      <c r="AV1619" s="782">
        <v>12089668</v>
      </c>
      <c r="AW1619" s="781"/>
      <c r="AX1619" s="781"/>
      <c r="AY1619" s="782">
        <v>12088311</v>
      </c>
      <c r="AZ1619" s="782">
        <v>12088315</v>
      </c>
      <c r="BA1619" s="781"/>
    </row>
    <row r="1620" spans="1:53" ht="24.65" hidden="1" customHeight="1">
      <c r="B1620" s="743">
        <v>45609</v>
      </c>
      <c r="C1620" s="744" t="s">
        <v>1677</v>
      </c>
      <c r="D1620" s="185">
        <f t="shared" si="538"/>
        <v>2024</v>
      </c>
      <c r="E1620" s="744" t="str">
        <f>VLOOKUP($B1620,Week!$A$1:$C$1462,2,0)</f>
        <v>Week46</v>
      </c>
      <c r="F1620" s="745" t="str">
        <f t="shared" si="539"/>
        <v>Nov</v>
      </c>
      <c r="G1620" s="746" t="s">
        <v>47</v>
      </c>
      <c r="H1620" s="746" t="s">
        <v>260</v>
      </c>
      <c r="I1620" s="746" t="s">
        <v>2702</v>
      </c>
      <c r="J1620" s="747" t="s">
        <v>70</v>
      </c>
      <c r="K1620" s="748" t="s">
        <v>176</v>
      </c>
      <c r="L1620" s="300" t="s">
        <v>2167</v>
      </c>
      <c r="M1620" s="747" t="s">
        <v>1713</v>
      </c>
      <c r="N1620" s="746" t="s">
        <v>1728</v>
      </c>
      <c r="O1620" s="746" t="s">
        <v>742</v>
      </c>
      <c r="P1620" s="749">
        <v>24</v>
      </c>
      <c r="Q1620" s="749">
        <v>5</v>
      </c>
      <c r="R1620" s="746">
        <v>6.1999999999999998E-3</v>
      </c>
      <c r="S1620" s="746" t="s">
        <v>352</v>
      </c>
      <c r="T1620" s="746" t="s">
        <v>56</v>
      </c>
      <c r="U1620" s="746" t="s">
        <v>1714</v>
      </c>
      <c r="V1620" s="750">
        <f>2735-935+8</f>
        <v>1808</v>
      </c>
      <c r="W1620" s="750">
        <f>1808</f>
        <v>1808</v>
      </c>
      <c r="X1620" s="751"/>
      <c r="Y1620" s="752">
        <f t="shared" si="540"/>
        <v>0</v>
      </c>
      <c r="Z1620" s="753">
        <f t="shared" si="541"/>
        <v>0</v>
      </c>
      <c r="AA1620" s="753"/>
      <c r="AB1620" s="838"/>
      <c r="AC1620" s="750"/>
      <c r="AD1620" s="209"/>
      <c r="AE1620" s="210"/>
      <c r="AF1620" s="210"/>
      <c r="AG1620" s="211">
        <f t="shared" si="542"/>
        <v>0.14299999999999999</v>
      </c>
      <c r="AH1620" s="157">
        <f t="shared" si="546"/>
        <v>0</v>
      </c>
      <c r="AI1620" s="152">
        <f t="shared" si="544"/>
        <v>43392</v>
      </c>
      <c r="AK1620" s="156" t="s">
        <v>691</v>
      </c>
      <c r="AL1620" s="212" t="s">
        <v>690</v>
      </c>
      <c r="AM1620" s="198">
        <f t="shared" si="537"/>
        <v>0</v>
      </c>
      <c r="AN1620" s="199">
        <f t="shared" si="545"/>
        <v>45609</v>
      </c>
      <c r="AO1620" s="159" t="s">
        <v>692</v>
      </c>
      <c r="AP1620" s="783" t="s">
        <v>609</v>
      </c>
      <c r="AQ1620" s="782">
        <v>12071839</v>
      </c>
      <c r="AR1620" s="782">
        <v>12047514</v>
      </c>
      <c r="AS1620" s="782">
        <v>12047515</v>
      </c>
      <c r="AT1620" s="781"/>
      <c r="AU1620" s="781"/>
      <c r="AV1620" s="782">
        <v>12089668</v>
      </c>
      <c r="AW1620" s="781"/>
      <c r="AX1620" s="781"/>
      <c r="AY1620" s="782">
        <v>12088311</v>
      </c>
      <c r="AZ1620" s="782">
        <v>12088315</v>
      </c>
      <c r="BA1620" s="781"/>
    </row>
    <row r="1621" spans="1:53" ht="24.65" hidden="1" customHeight="1">
      <c r="A1621" s="529" t="s">
        <v>706</v>
      </c>
      <c r="B1621" s="743">
        <v>45609</v>
      </c>
      <c r="C1621" s="744" t="s">
        <v>1677</v>
      </c>
      <c r="D1621" s="185">
        <f t="shared" si="538"/>
        <v>2024</v>
      </c>
      <c r="E1621" s="744" t="str">
        <f>VLOOKUP($B1621,Week!$A$1:$C$1462,2,0)</f>
        <v>Week46</v>
      </c>
      <c r="F1621" s="745" t="str">
        <f t="shared" si="539"/>
        <v>Nov</v>
      </c>
      <c r="G1621" s="746" t="s">
        <v>47</v>
      </c>
      <c r="H1621" s="746" t="s">
        <v>260</v>
      </c>
      <c r="I1621" s="746" t="s">
        <v>2702</v>
      </c>
      <c r="J1621" s="747" t="s">
        <v>70</v>
      </c>
      <c r="K1621" s="748" t="s">
        <v>176</v>
      </c>
      <c r="L1621" s="300" t="s">
        <v>2167</v>
      </c>
      <c r="M1621" s="747" t="s">
        <v>1713</v>
      </c>
      <c r="N1621" s="746" t="s">
        <v>1728</v>
      </c>
      <c r="O1621" s="746" t="s">
        <v>742</v>
      </c>
      <c r="P1621" s="749">
        <v>24</v>
      </c>
      <c r="Q1621" s="749">
        <v>5</v>
      </c>
      <c r="R1621" s="746">
        <v>6.1999999999999998E-3</v>
      </c>
      <c r="S1621" s="746" t="s">
        <v>352</v>
      </c>
      <c r="T1621" s="746" t="s">
        <v>56</v>
      </c>
      <c r="U1621" s="746" t="s">
        <v>1714</v>
      </c>
      <c r="V1621" s="750">
        <f>2134+540</f>
        <v>2674</v>
      </c>
      <c r="W1621" s="750">
        <f>3942-1808+540</f>
        <v>2674</v>
      </c>
      <c r="X1621" s="751"/>
      <c r="Y1621" s="752">
        <f t="shared" si="540"/>
        <v>0</v>
      </c>
      <c r="Z1621" s="753">
        <f t="shared" si="541"/>
        <v>0</v>
      </c>
      <c r="AA1621" s="753"/>
      <c r="AB1621" s="838"/>
      <c r="AC1621" s="750"/>
      <c r="AD1621" s="209"/>
      <c r="AE1621" s="210"/>
      <c r="AF1621" s="210"/>
      <c r="AG1621" s="211">
        <f t="shared" si="542"/>
        <v>0.14299999999999999</v>
      </c>
      <c r="AH1621" s="157">
        <f t="shared" si="546"/>
        <v>0</v>
      </c>
      <c r="AI1621" s="152">
        <f t="shared" si="544"/>
        <v>64176</v>
      </c>
      <c r="AK1621" s="156" t="s">
        <v>691</v>
      </c>
      <c r="AL1621" s="212" t="s">
        <v>690</v>
      </c>
      <c r="AM1621" s="198">
        <f t="shared" si="537"/>
        <v>0</v>
      </c>
      <c r="AN1621" s="199">
        <f t="shared" si="545"/>
        <v>45609</v>
      </c>
      <c r="AO1621" s="159" t="s">
        <v>692</v>
      </c>
      <c r="AP1621" s="783" t="s">
        <v>609</v>
      </c>
      <c r="AQ1621" s="782">
        <v>12071839</v>
      </c>
      <c r="AR1621" s="782">
        <v>12047514</v>
      </c>
      <c r="AS1621" s="782">
        <v>12047515</v>
      </c>
      <c r="AT1621" s="781"/>
      <c r="AU1621" s="781"/>
      <c r="AV1621" s="782">
        <v>12089668</v>
      </c>
      <c r="AW1621" s="781"/>
      <c r="AX1621" s="781"/>
      <c r="AY1621" s="782">
        <v>12088311</v>
      </c>
      <c r="AZ1621" s="782">
        <v>12088315</v>
      </c>
      <c r="BA1621" s="781"/>
    </row>
    <row r="1622" spans="1:53" ht="25" hidden="1" customHeight="1">
      <c r="B1622" s="295">
        <v>45610</v>
      </c>
      <c r="C1622" s="296">
        <v>45615</v>
      </c>
      <c r="D1622" s="185">
        <f t="shared" si="538"/>
        <v>2024</v>
      </c>
      <c r="E1622" s="296" t="str">
        <f>VLOOKUP($B1622,Week!$A$1:$C$1462,2,0)</f>
        <v>Week46</v>
      </c>
      <c r="F1622" s="297" t="str">
        <f t="shared" si="539"/>
        <v>Nov</v>
      </c>
      <c r="G1622" s="635" t="s">
        <v>1878</v>
      </c>
      <c r="H1622" s="298" t="s">
        <v>47</v>
      </c>
      <c r="I1622" s="298" t="s">
        <v>2702</v>
      </c>
      <c r="J1622" s="299" t="s">
        <v>1740</v>
      </c>
      <c r="K1622" s="300" t="s">
        <v>94</v>
      </c>
      <c r="L1622" s="300" t="s">
        <v>2167</v>
      </c>
      <c r="M1622" s="299" t="s">
        <v>521</v>
      </c>
      <c r="N1622" s="298" t="s">
        <v>1743</v>
      </c>
      <c r="O1622" s="298" t="s">
        <v>1741</v>
      </c>
      <c r="P1622" s="301">
        <v>100</v>
      </c>
      <c r="Q1622" s="301">
        <v>5</v>
      </c>
      <c r="R1622" s="302">
        <v>8.0000000000000002E-3</v>
      </c>
      <c r="S1622" s="298" t="s">
        <v>40</v>
      </c>
      <c r="T1622" s="298" t="s">
        <v>56</v>
      </c>
      <c r="U1622" s="298" t="s">
        <v>89</v>
      </c>
      <c r="V1622" s="303">
        <f>32</f>
        <v>32</v>
      </c>
      <c r="W1622" s="303">
        <v>32</v>
      </c>
      <c r="X1622" s="304"/>
      <c r="Y1622" s="305">
        <f t="shared" si="540"/>
        <v>0</v>
      </c>
      <c r="Z1622" s="306">
        <f t="shared" si="541"/>
        <v>0</v>
      </c>
      <c r="AA1622" s="306"/>
      <c r="AB1622" s="814">
        <v>1</v>
      </c>
      <c r="AC1622" s="303">
        <f>Z1622*AB1622</f>
        <v>0</v>
      </c>
      <c r="AD1622" s="209"/>
      <c r="AE1622" s="210"/>
      <c r="AF1622" s="210"/>
      <c r="AG1622" s="211" t="e">
        <f>(MID(O1622,1,3)/1000)/3</f>
        <v>#VALUE!</v>
      </c>
      <c r="AH1622" s="157" t="e">
        <f t="shared" si="546"/>
        <v>#VALUE!</v>
      </c>
      <c r="AI1622" s="152">
        <f t="shared" si="544"/>
        <v>3200</v>
      </c>
      <c r="AK1622" s="156" t="s">
        <v>691</v>
      </c>
      <c r="AL1622" s="212" t="s">
        <v>690</v>
      </c>
      <c r="AM1622" s="198" t="e">
        <f t="shared" si="537"/>
        <v>#VALUE!</v>
      </c>
      <c r="AN1622" s="199">
        <f t="shared" si="545"/>
        <v>45610</v>
      </c>
      <c r="AO1622" s="159" t="s">
        <v>692</v>
      </c>
      <c r="AP1622" s="783" t="s">
        <v>628</v>
      </c>
      <c r="AQ1622" s="782"/>
      <c r="AR1622" s="782"/>
      <c r="AS1622" s="782"/>
      <c r="AT1622" s="782"/>
      <c r="AU1622" s="781"/>
      <c r="AV1622" s="782">
        <v>12080791</v>
      </c>
      <c r="AW1622" s="782" t="s">
        <v>641</v>
      </c>
      <c r="AX1622" s="782" t="s">
        <v>533</v>
      </c>
      <c r="AY1622" s="782"/>
      <c r="AZ1622" s="782"/>
      <c r="BA1622" s="781"/>
    </row>
    <row r="1623" spans="1:53" ht="25" hidden="1" customHeight="1">
      <c r="B1623" s="424">
        <v>45610</v>
      </c>
      <c r="C1623" s="425" t="s">
        <v>1712</v>
      </c>
      <c r="D1623" s="185">
        <f t="shared" si="538"/>
        <v>2024</v>
      </c>
      <c r="E1623" s="425" t="str">
        <f>VLOOKUP($B1623,Week!$A$1:$C$1462,2,0)</f>
        <v>Week46</v>
      </c>
      <c r="F1623" s="426" t="str">
        <f t="shared" si="539"/>
        <v>Nov</v>
      </c>
      <c r="G1623" s="427" t="s">
        <v>47</v>
      </c>
      <c r="H1623" s="427" t="s">
        <v>518</v>
      </c>
      <c r="I1623" s="427" t="s">
        <v>2702</v>
      </c>
      <c r="J1623" s="428" t="s">
        <v>70</v>
      </c>
      <c r="K1623" s="429" t="s">
        <v>94</v>
      </c>
      <c r="L1623" s="300" t="s">
        <v>2167</v>
      </c>
      <c r="M1623" s="428" t="s">
        <v>521</v>
      </c>
      <c r="N1623" s="427" t="s">
        <v>587</v>
      </c>
      <c r="O1623" s="427" t="s">
        <v>3198</v>
      </c>
      <c r="P1623" s="430">
        <v>18</v>
      </c>
      <c r="Q1623" s="430">
        <v>5</v>
      </c>
      <c r="R1623" s="431">
        <v>8.0000000000000002E-3</v>
      </c>
      <c r="S1623" s="427" t="s">
        <v>40</v>
      </c>
      <c r="T1623" s="427" t="s">
        <v>56</v>
      </c>
      <c r="U1623" s="427" t="s">
        <v>89</v>
      </c>
      <c r="V1623" s="432">
        <f>384</f>
        <v>384</v>
      </c>
      <c r="W1623" s="432">
        <f>40+344</f>
        <v>384</v>
      </c>
      <c r="X1623" s="433"/>
      <c r="Y1623" s="434">
        <f t="shared" si="540"/>
        <v>0</v>
      </c>
      <c r="Z1623" s="435">
        <f t="shared" si="541"/>
        <v>0</v>
      </c>
      <c r="AA1623" s="435"/>
      <c r="AB1623" s="826">
        <v>1</v>
      </c>
      <c r="AC1623" s="432">
        <f>Z1623*AB1623</f>
        <v>0</v>
      </c>
      <c r="AD1623" s="209"/>
      <c r="AE1623" s="210"/>
      <c r="AF1623" s="210"/>
      <c r="AG1623" s="211" t="e">
        <f>(MID(O1623,1,3)/1000)/3</f>
        <v>#VALUE!</v>
      </c>
      <c r="AH1623" s="157" t="e">
        <f t="shared" si="546"/>
        <v>#VALUE!</v>
      </c>
      <c r="AI1623" s="152">
        <f t="shared" si="544"/>
        <v>6912</v>
      </c>
      <c r="AK1623" s="156" t="s">
        <v>691</v>
      </c>
      <c r="AL1623" s="212" t="s">
        <v>690</v>
      </c>
      <c r="AM1623" s="198" t="e">
        <f t="shared" si="537"/>
        <v>#VALUE!</v>
      </c>
      <c r="AN1623" s="199">
        <f t="shared" si="545"/>
        <v>45610</v>
      </c>
      <c r="AO1623" s="159" t="s">
        <v>692</v>
      </c>
      <c r="AP1623" s="783" t="s">
        <v>628</v>
      </c>
      <c r="AQ1623" s="782"/>
      <c r="AR1623" s="782"/>
      <c r="AS1623" s="782"/>
      <c r="AT1623" s="782"/>
      <c r="AU1623" s="781"/>
      <c r="AV1623" s="782">
        <v>12080791</v>
      </c>
      <c r="AW1623" s="782" t="s">
        <v>641</v>
      </c>
      <c r="AX1623" s="782" t="s">
        <v>533</v>
      </c>
      <c r="AY1623" s="782"/>
      <c r="AZ1623" s="782"/>
      <c r="BA1623" s="781"/>
    </row>
    <row r="1624" spans="1:53" ht="25" hidden="1" customHeight="1">
      <c r="B1624" s="424">
        <v>45610</v>
      </c>
      <c r="C1624" s="425" t="s">
        <v>1678</v>
      </c>
      <c r="D1624" s="185">
        <f t="shared" si="538"/>
        <v>2024</v>
      </c>
      <c r="E1624" s="425" t="str">
        <f>VLOOKUP($B1624,Week!$A$1:$C$1462,2,0)</f>
        <v>Week46</v>
      </c>
      <c r="F1624" s="426" t="str">
        <f t="shared" si="539"/>
        <v>Nov</v>
      </c>
      <c r="G1624" s="427" t="s">
        <v>47</v>
      </c>
      <c r="H1624" s="427" t="s">
        <v>518</v>
      </c>
      <c r="I1624" s="427" t="s">
        <v>2702</v>
      </c>
      <c r="J1624" s="428" t="s">
        <v>70</v>
      </c>
      <c r="K1624" s="429" t="s">
        <v>94</v>
      </c>
      <c r="L1624" s="300" t="s">
        <v>2167</v>
      </c>
      <c r="M1624" s="428" t="s">
        <v>521</v>
      </c>
      <c r="N1624" s="427" t="s">
        <v>587</v>
      </c>
      <c r="O1624" s="427" t="s">
        <v>3198</v>
      </c>
      <c r="P1624" s="430">
        <v>18</v>
      </c>
      <c r="Q1624" s="430">
        <v>5</v>
      </c>
      <c r="R1624" s="431">
        <v>8.0000000000000002E-3</v>
      </c>
      <c r="S1624" s="427" t="s">
        <v>40</v>
      </c>
      <c r="T1624" s="427" t="s">
        <v>56</v>
      </c>
      <c r="U1624" s="427" t="s">
        <v>89</v>
      </c>
      <c r="V1624" s="432">
        <f>350</f>
        <v>350</v>
      </c>
      <c r="W1624" s="432">
        <v>350</v>
      </c>
      <c r="X1624" s="433"/>
      <c r="Y1624" s="434">
        <f t="shared" si="540"/>
        <v>0</v>
      </c>
      <c r="Z1624" s="435">
        <f t="shared" si="541"/>
        <v>0</v>
      </c>
      <c r="AA1624" s="435"/>
      <c r="AB1624" s="826">
        <v>1</v>
      </c>
      <c r="AC1624" s="432">
        <f>Z1624*AB1624</f>
        <v>0</v>
      </c>
      <c r="AD1624" s="209"/>
      <c r="AE1624" s="210"/>
      <c r="AF1624" s="210"/>
      <c r="AG1624" s="211" t="e">
        <f>(MID(O1624,1,3)/1000)/3</f>
        <v>#VALUE!</v>
      </c>
      <c r="AH1624" s="157" t="e">
        <f t="shared" ref="AH1624:AH1638" si="547">(Z1624*AG1624)/1000</f>
        <v>#VALUE!</v>
      </c>
      <c r="AI1624" s="152">
        <f t="shared" si="544"/>
        <v>6300</v>
      </c>
      <c r="AK1624" s="156" t="s">
        <v>691</v>
      </c>
      <c r="AL1624" s="212" t="s">
        <v>690</v>
      </c>
      <c r="AM1624" s="198" t="e">
        <f t="shared" si="537"/>
        <v>#VALUE!</v>
      </c>
      <c r="AN1624" s="199">
        <f t="shared" si="545"/>
        <v>45610</v>
      </c>
      <c r="AO1624" s="159" t="s">
        <v>692</v>
      </c>
      <c r="AP1624" s="783" t="s">
        <v>628</v>
      </c>
      <c r="AQ1624" s="782"/>
      <c r="AR1624" s="782"/>
      <c r="AS1624" s="782"/>
      <c r="AT1624" s="782"/>
      <c r="AU1624" s="781"/>
      <c r="AV1624" s="782">
        <v>12080791</v>
      </c>
      <c r="AW1624" s="782" t="s">
        <v>641</v>
      </c>
      <c r="AX1624" s="782" t="s">
        <v>533</v>
      </c>
      <c r="AY1624" s="782"/>
      <c r="AZ1624" s="782"/>
      <c r="BA1624" s="781"/>
    </row>
    <row r="1625" spans="1:53" ht="25" hidden="1" customHeight="1">
      <c r="B1625" s="424">
        <v>45610</v>
      </c>
      <c r="C1625" s="425" t="s">
        <v>1678</v>
      </c>
      <c r="D1625" s="185">
        <f t="shared" si="538"/>
        <v>2024</v>
      </c>
      <c r="E1625" s="425" t="str">
        <f>VLOOKUP($B1625,Week!$A$1:$C$1462,2,0)</f>
        <v>Week46</v>
      </c>
      <c r="F1625" s="426" t="str">
        <f t="shared" si="539"/>
        <v>Nov</v>
      </c>
      <c r="G1625" s="427" t="s">
        <v>47</v>
      </c>
      <c r="H1625" s="427" t="s">
        <v>518</v>
      </c>
      <c r="I1625" s="427" t="s">
        <v>2702</v>
      </c>
      <c r="J1625" s="428" t="s">
        <v>70</v>
      </c>
      <c r="K1625" s="429" t="s">
        <v>94</v>
      </c>
      <c r="L1625" s="300" t="s">
        <v>2167</v>
      </c>
      <c r="M1625" s="428" t="s">
        <v>521</v>
      </c>
      <c r="N1625" s="427" t="s">
        <v>587</v>
      </c>
      <c r="O1625" s="427" t="s">
        <v>3198</v>
      </c>
      <c r="P1625" s="430">
        <v>18</v>
      </c>
      <c r="Q1625" s="430">
        <v>5</v>
      </c>
      <c r="R1625" s="431">
        <v>8.0000000000000002E-3</v>
      </c>
      <c r="S1625" s="427" t="s">
        <v>40</v>
      </c>
      <c r="T1625" s="427" t="s">
        <v>56</v>
      </c>
      <c r="U1625" s="427" t="s">
        <v>89</v>
      </c>
      <c r="V1625" s="432">
        <f>1576-350</f>
        <v>1226</v>
      </c>
      <c r="W1625" s="432">
        <f>1120-344-350+70+257+467+6</f>
        <v>1226</v>
      </c>
      <c r="X1625" s="433"/>
      <c r="Y1625" s="434">
        <f t="shared" si="540"/>
        <v>0</v>
      </c>
      <c r="Z1625" s="435">
        <f t="shared" si="541"/>
        <v>0</v>
      </c>
      <c r="AA1625" s="435"/>
      <c r="AB1625" s="826">
        <v>1</v>
      </c>
      <c r="AC1625" s="432">
        <f>Z1625*AB1625</f>
        <v>0</v>
      </c>
      <c r="AD1625" s="209"/>
      <c r="AE1625" s="210"/>
      <c r="AF1625" s="210"/>
      <c r="AG1625" s="211" t="e">
        <f>(MID(O1625,1,3)/1000)/3</f>
        <v>#VALUE!</v>
      </c>
      <c r="AH1625" s="157" t="e">
        <f t="shared" si="547"/>
        <v>#VALUE!</v>
      </c>
      <c r="AI1625" s="152">
        <f t="shared" si="544"/>
        <v>22068</v>
      </c>
      <c r="AK1625" s="156" t="s">
        <v>691</v>
      </c>
      <c r="AL1625" s="212" t="s">
        <v>690</v>
      </c>
      <c r="AM1625" s="198" t="e">
        <f t="shared" si="537"/>
        <v>#VALUE!</v>
      </c>
      <c r="AN1625" s="199">
        <f t="shared" si="545"/>
        <v>45610</v>
      </c>
      <c r="AO1625" s="159" t="s">
        <v>692</v>
      </c>
      <c r="AP1625" s="783" t="s">
        <v>628</v>
      </c>
      <c r="AQ1625" s="782"/>
      <c r="AR1625" s="782"/>
      <c r="AS1625" s="782"/>
      <c r="AT1625" s="782"/>
      <c r="AU1625" s="781"/>
      <c r="AV1625" s="782">
        <v>12080791</v>
      </c>
      <c r="AW1625" s="782" t="s">
        <v>641</v>
      </c>
      <c r="AX1625" s="782" t="s">
        <v>533</v>
      </c>
      <c r="AY1625" s="782"/>
      <c r="AZ1625" s="782"/>
      <c r="BA1625" s="781"/>
    </row>
    <row r="1626" spans="1:53" ht="24.65" hidden="1" customHeight="1">
      <c r="B1626" s="411">
        <v>45610</v>
      </c>
      <c r="C1626" s="645" t="s">
        <v>1712</v>
      </c>
      <c r="D1626" s="185">
        <f t="shared" si="538"/>
        <v>2024</v>
      </c>
      <c r="E1626" s="412" t="str">
        <f>VLOOKUP($B1626,Week!$A$1:$C$1462,2,0)</f>
        <v>Week46</v>
      </c>
      <c r="F1626" s="413" t="str">
        <f t="shared" si="539"/>
        <v>Nov</v>
      </c>
      <c r="G1626" s="414" t="s">
        <v>47</v>
      </c>
      <c r="H1626" s="414" t="s">
        <v>260</v>
      </c>
      <c r="I1626" s="414" t="s">
        <v>2702</v>
      </c>
      <c r="J1626" s="415" t="s">
        <v>261</v>
      </c>
      <c r="K1626" s="416" t="s">
        <v>94</v>
      </c>
      <c r="L1626" s="300" t="s">
        <v>2167</v>
      </c>
      <c r="M1626" s="415" t="s">
        <v>1303</v>
      </c>
      <c r="N1626" s="414" t="s">
        <v>263</v>
      </c>
      <c r="O1626" s="414" t="s">
        <v>195</v>
      </c>
      <c r="P1626" s="417">
        <v>24</v>
      </c>
      <c r="Q1626" s="417">
        <v>5</v>
      </c>
      <c r="R1626" s="418">
        <v>8.0000000000000002E-3</v>
      </c>
      <c r="S1626" s="414" t="s">
        <v>40</v>
      </c>
      <c r="T1626" s="414" t="s">
        <v>56</v>
      </c>
      <c r="U1626" s="414" t="s">
        <v>57</v>
      </c>
      <c r="V1626" s="419">
        <f>12500-102-3722-6033</f>
        <v>2643</v>
      </c>
      <c r="W1626" s="419">
        <v>2643</v>
      </c>
      <c r="X1626" s="420"/>
      <c r="Y1626" s="421">
        <f t="shared" si="540"/>
        <v>0</v>
      </c>
      <c r="Z1626" s="422">
        <f t="shared" si="541"/>
        <v>0</v>
      </c>
      <c r="AA1626" s="422"/>
      <c r="AB1626" s="825"/>
      <c r="AC1626" s="419"/>
      <c r="AD1626" s="209"/>
      <c r="AE1626" s="210"/>
      <c r="AF1626" s="210"/>
      <c r="AG1626" s="211">
        <f t="shared" ref="AG1626:AG1637" si="548">MID(O1626,1,3)/1000</f>
        <v>0.14499999999999999</v>
      </c>
      <c r="AH1626" s="157">
        <f t="shared" si="547"/>
        <v>0</v>
      </c>
      <c r="AI1626" s="152">
        <f t="shared" si="544"/>
        <v>63432</v>
      </c>
      <c r="AK1626" s="156" t="s">
        <v>691</v>
      </c>
      <c r="AL1626" s="212" t="s">
        <v>690</v>
      </c>
      <c r="AM1626" s="198">
        <f t="shared" si="537"/>
        <v>0</v>
      </c>
      <c r="AN1626" s="199">
        <f t="shared" si="545"/>
        <v>45610</v>
      </c>
      <c r="AO1626" s="159" t="s">
        <v>692</v>
      </c>
      <c r="AP1626" s="783" t="s">
        <v>609</v>
      </c>
      <c r="AQ1626" s="782">
        <v>12071839</v>
      </c>
      <c r="AR1626" s="782">
        <v>12047514</v>
      </c>
      <c r="AS1626" s="782">
        <v>12047515</v>
      </c>
      <c r="AT1626" s="781"/>
      <c r="AU1626" s="781"/>
      <c r="AV1626" s="782">
        <v>12080613</v>
      </c>
      <c r="AW1626" s="781"/>
      <c r="AX1626" s="781"/>
      <c r="AY1626" s="782">
        <v>12080614</v>
      </c>
      <c r="AZ1626" s="782">
        <v>12080616</v>
      </c>
      <c r="BA1626" s="781"/>
    </row>
    <row r="1627" spans="1:53" ht="24.65" hidden="1" customHeight="1">
      <c r="B1627" s="411">
        <v>45610</v>
      </c>
      <c r="C1627" s="645" t="s">
        <v>1678</v>
      </c>
      <c r="D1627" s="185">
        <f t="shared" si="538"/>
        <v>2024</v>
      </c>
      <c r="E1627" s="412" t="str">
        <f>VLOOKUP($B1627,Week!$A$1:$C$1462,2,0)</f>
        <v>Week46</v>
      </c>
      <c r="F1627" s="413" t="str">
        <f t="shared" si="539"/>
        <v>Nov</v>
      </c>
      <c r="G1627" s="414" t="s">
        <v>47</v>
      </c>
      <c r="H1627" s="414" t="s">
        <v>260</v>
      </c>
      <c r="I1627" s="414" t="s">
        <v>2702</v>
      </c>
      <c r="J1627" s="415" t="s">
        <v>261</v>
      </c>
      <c r="K1627" s="416" t="s">
        <v>94</v>
      </c>
      <c r="L1627" s="300" t="s">
        <v>2167</v>
      </c>
      <c r="M1627" s="415" t="s">
        <v>1303</v>
      </c>
      <c r="N1627" s="414" t="s">
        <v>263</v>
      </c>
      <c r="O1627" s="414" t="s">
        <v>195</v>
      </c>
      <c r="P1627" s="417">
        <v>24</v>
      </c>
      <c r="Q1627" s="417">
        <v>5</v>
      </c>
      <c r="R1627" s="418">
        <v>8.0000000000000002E-3</v>
      </c>
      <c r="S1627" s="414" t="s">
        <v>40</v>
      </c>
      <c r="T1627" s="414" t="s">
        <v>56</v>
      </c>
      <c r="U1627" s="414" t="s">
        <v>57</v>
      </c>
      <c r="V1627" s="419">
        <f>3509-2643</f>
        <v>866</v>
      </c>
      <c r="W1627" s="419">
        <v>866</v>
      </c>
      <c r="X1627" s="420"/>
      <c r="Y1627" s="421">
        <f t="shared" si="540"/>
        <v>0</v>
      </c>
      <c r="Z1627" s="422">
        <f t="shared" si="541"/>
        <v>0</v>
      </c>
      <c r="AA1627" s="422"/>
      <c r="AB1627" s="825"/>
      <c r="AC1627" s="419"/>
      <c r="AD1627" s="209"/>
      <c r="AE1627" s="210"/>
      <c r="AF1627" s="210"/>
      <c r="AG1627" s="211">
        <f t="shared" si="548"/>
        <v>0.14499999999999999</v>
      </c>
      <c r="AH1627" s="157">
        <f t="shared" si="547"/>
        <v>0</v>
      </c>
      <c r="AI1627" s="152">
        <f t="shared" si="544"/>
        <v>20784</v>
      </c>
      <c r="AK1627" s="156" t="s">
        <v>691</v>
      </c>
      <c r="AL1627" s="212" t="s">
        <v>690</v>
      </c>
      <c r="AM1627" s="198">
        <f t="shared" si="537"/>
        <v>0</v>
      </c>
      <c r="AN1627" s="199">
        <f t="shared" si="545"/>
        <v>45610</v>
      </c>
      <c r="AO1627" s="159" t="s">
        <v>692</v>
      </c>
      <c r="AP1627" s="783" t="s">
        <v>609</v>
      </c>
      <c r="AQ1627" s="782">
        <v>12071839</v>
      </c>
      <c r="AR1627" s="782">
        <v>12047514</v>
      </c>
      <c r="AS1627" s="782">
        <v>12047515</v>
      </c>
      <c r="AT1627" s="781"/>
      <c r="AU1627" s="781"/>
      <c r="AV1627" s="782">
        <v>12080613</v>
      </c>
      <c r="AW1627" s="781"/>
      <c r="AX1627" s="781"/>
      <c r="AY1627" s="782">
        <v>12080614</v>
      </c>
      <c r="AZ1627" s="782">
        <v>12080616</v>
      </c>
      <c r="BA1627" s="781"/>
    </row>
    <row r="1628" spans="1:53" ht="25" hidden="1" customHeight="1">
      <c r="A1628" s="529" t="s">
        <v>755</v>
      </c>
      <c r="B1628" s="357">
        <v>45610</v>
      </c>
      <c r="C1628" s="358" t="s">
        <v>1712</v>
      </c>
      <c r="D1628" s="185">
        <f t="shared" si="538"/>
        <v>2024</v>
      </c>
      <c r="E1628" s="358" t="str">
        <f>VLOOKUP($B1628,Week!$A$1:$C$1462,2,0)</f>
        <v>Week46</v>
      </c>
      <c r="F1628" s="360" t="str">
        <f t="shared" si="539"/>
        <v>Nov</v>
      </c>
      <c r="G1628" s="359" t="s">
        <v>47</v>
      </c>
      <c r="H1628" s="359" t="s">
        <v>518</v>
      </c>
      <c r="I1628" s="359" t="s">
        <v>2702</v>
      </c>
      <c r="J1628" s="361" t="s">
        <v>70</v>
      </c>
      <c r="K1628" s="362" t="s">
        <v>94</v>
      </c>
      <c r="L1628" s="300" t="s">
        <v>2167</v>
      </c>
      <c r="M1628" s="361" t="s">
        <v>519</v>
      </c>
      <c r="N1628" s="436" t="s">
        <v>648</v>
      </c>
      <c r="O1628" s="359" t="s">
        <v>97</v>
      </c>
      <c r="P1628" s="363">
        <v>12</v>
      </c>
      <c r="Q1628" s="363">
        <v>5</v>
      </c>
      <c r="R1628" s="364">
        <v>8.0000000000000002E-3</v>
      </c>
      <c r="S1628" s="359" t="s">
        <v>40</v>
      </c>
      <c r="T1628" s="359" t="s">
        <v>56</v>
      </c>
      <c r="U1628" s="359" t="s">
        <v>57</v>
      </c>
      <c r="V1628" s="365">
        <v>12</v>
      </c>
      <c r="W1628" s="365">
        <v>12</v>
      </c>
      <c r="X1628" s="366"/>
      <c r="Y1628" s="367">
        <f t="shared" si="540"/>
        <v>0</v>
      </c>
      <c r="Z1628" s="368">
        <f t="shared" si="541"/>
        <v>0</v>
      </c>
      <c r="AA1628" s="368"/>
      <c r="AB1628" s="819"/>
      <c r="AC1628" s="365"/>
      <c r="AD1628" s="209"/>
      <c r="AE1628" s="210"/>
      <c r="AF1628" s="210"/>
      <c r="AG1628" s="211">
        <f t="shared" si="548"/>
        <v>0.14499999999999999</v>
      </c>
      <c r="AH1628" s="157">
        <f t="shared" si="547"/>
        <v>0</v>
      </c>
      <c r="AI1628" s="152">
        <f t="shared" si="544"/>
        <v>144</v>
      </c>
      <c r="AK1628" s="156" t="s">
        <v>691</v>
      </c>
      <c r="AL1628" s="574" t="s">
        <v>690</v>
      </c>
      <c r="AM1628" s="198">
        <f t="shared" ref="AM1628:AM1634" si="549">AG1628*Z1628</f>
        <v>0</v>
      </c>
      <c r="AN1628" s="199">
        <f t="shared" si="545"/>
        <v>45610</v>
      </c>
      <c r="AO1628" s="159" t="s">
        <v>692</v>
      </c>
      <c r="AP1628" s="783" t="s">
        <v>628</v>
      </c>
      <c r="AQ1628" s="782">
        <v>12071839</v>
      </c>
      <c r="AR1628" s="782">
        <v>12047514</v>
      </c>
      <c r="AS1628" s="782">
        <v>12047515</v>
      </c>
      <c r="AT1628" s="782"/>
      <c r="AU1628" s="781"/>
      <c r="AV1628" s="782">
        <v>12080617</v>
      </c>
      <c r="AW1628" s="782"/>
      <c r="AX1628" s="782"/>
      <c r="AY1628" s="782">
        <v>12080618</v>
      </c>
      <c r="AZ1628" s="782">
        <v>12080619</v>
      </c>
      <c r="BA1628" s="781"/>
    </row>
    <row r="1629" spans="1:53" ht="24.65" hidden="1" customHeight="1">
      <c r="A1629" s="529" t="s">
        <v>1812</v>
      </c>
      <c r="B1629" s="357">
        <v>45610</v>
      </c>
      <c r="C1629" s="358">
        <v>45621</v>
      </c>
      <c r="D1629" s="185">
        <f t="shared" si="538"/>
        <v>2024</v>
      </c>
      <c r="E1629" s="358" t="str">
        <f>VLOOKUP($B1629,Week!$A$1:$C$1462,2,0)</f>
        <v>Week46</v>
      </c>
      <c r="F1629" s="360" t="str">
        <f t="shared" si="539"/>
        <v>Nov</v>
      </c>
      <c r="G1629" s="359" t="s">
        <v>1819</v>
      </c>
      <c r="H1629" s="359" t="s">
        <v>1820</v>
      </c>
      <c r="I1629" s="359" t="s">
        <v>1820</v>
      </c>
      <c r="J1629" s="437" t="s">
        <v>1821</v>
      </c>
      <c r="K1629" s="362" t="s">
        <v>94</v>
      </c>
      <c r="L1629" s="300" t="s">
        <v>2167</v>
      </c>
      <c r="M1629" s="361" t="s">
        <v>1823</v>
      </c>
      <c r="N1629" s="436" t="s">
        <v>1818</v>
      </c>
      <c r="O1629" s="359" t="s">
        <v>97</v>
      </c>
      <c r="P1629" s="363">
        <v>12</v>
      </c>
      <c r="Q1629" s="363">
        <v>5</v>
      </c>
      <c r="R1629" s="364">
        <v>8.0000000000000002E-3</v>
      </c>
      <c r="S1629" s="359" t="s">
        <v>40</v>
      </c>
      <c r="T1629" s="359" t="s">
        <v>56</v>
      </c>
      <c r="U1629" s="359" t="s">
        <v>57</v>
      </c>
      <c r="V1629" s="365">
        <f>80</f>
        <v>80</v>
      </c>
      <c r="W1629" s="365">
        <v>80</v>
      </c>
      <c r="X1629" s="366"/>
      <c r="Y1629" s="367">
        <f t="shared" si="540"/>
        <v>0</v>
      </c>
      <c r="Z1629" s="368">
        <f t="shared" si="541"/>
        <v>0</v>
      </c>
      <c r="AA1629" s="368"/>
      <c r="AB1629" s="819"/>
      <c r="AC1629" s="365"/>
      <c r="AD1629" s="209"/>
      <c r="AE1629" s="210"/>
      <c r="AF1629" s="210"/>
      <c r="AG1629" s="211">
        <f t="shared" si="548"/>
        <v>0.14499999999999999</v>
      </c>
      <c r="AH1629" s="157">
        <f t="shared" si="547"/>
        <v>0</v>
      </c>
      <c r="AI1629" s="152">
        <f t="shared" si="544"/>
        <v>960</v>
      </c>
      <c r="AK1629" s="156" t="s">
        <v>691</v>
      </c>
      <c r="AL1629" s="574" t="s">
        <v>690</v>
      </c>
      <c r="AM1629" s="198">
        <f t="shared" si="549"/>
        <v>0</v>
      </c>
      <c r="AN1629" s="199">
        <f t="shared" si="545"/>
        <v>45610</v>
      </c>
      <c r="AO1629" s="159" t="s">
        <v>692</v>
      </c>
      <c r="AP1629" s="783" t="s">
        <v>628</v>
      </c>
      <c r="AQ1629" s="782">
        <v>12071839</v>
      </c>
      <c r="AR1629" s="782">
        <v>12047514</v>
      </c>
      <c r="AS1629" s="782">
        <v>12047515</v>
      </c>
      <c r="AT1629" s="782"/>
      <c r="AU1629" s="781"/>
      <c r="AV1629" s="782">
        <v>12080617</v>
      </c>
      <c r="AW1629" s="782"/>
      <c r="AX1629" s="782"/>
      <c r="AY1629" s="782">
        <v>12080618</v>
      </c>
      <c r="AZ1629" s="782">
        <v>12080619</v>
      </c>
      <c r="BA1629" s="781"/>
    </row>
    <row r="1630" spans="1:53" ht="24.65" hidden="1" customHeight="1">
      <c r="A1630" s="529" t="s">
        <v>1812</v>
      </c>
      <c r="B1630" s="546">
        <v>45610</v>
      </c>
      <c r="C1630" s="547">
        <v>45621</v>
      </c>
      <c r="D1630" s="185">
        <f t="shared" si="538"/>
        <v>2024</v>
      </c>
      <c r="E1630" s="547" t="str">
        <f>VLOOKUP($B1630,Week!$A$1:$C$1462,2,0)</f>
        <v>Week46</v>
      </c>
      <c r="F1630" s="548" t="str">
        <f t="shared" si="539"/>
        <v>Nov</v>
      </c>
      <c r="G1630" s="549" t="s">
        <v>1819</v>
      </c>
      <c r="H1630" s="549" t="s">
        <v>1820</v>
      </c>
      <c r="I1630" s="549" t="s">
        <v>1820</v>
      </c>
      <c r="J1630" s="772" t="s">
        <v>1821</v>
      </c>
      <c r="K1630" s="551" t="s">
        <v>1020</v>
      </c>
      <c r="L1630" s="300" t="s">
        <v>2167</v>
      </c>
      <c r="M1630" s="550" t="s">
        <v>1824</v>
      </c>
      <c r="N1630" s="618" t="s">
        <v>1817</v>
      </c>
      <c r="O1630" s="549" t="s">
        <v>747</v>
      </c>
      <c r="P1630" s="552">
        <v>12</v>
      </c>
      <c r="Q1630" s="552">
        <v>5</v>
      </c>
      <c r="R1630" s="549">
        <v>6.1999999999999998E-3</v>
      </c>
      <c r="S1630" s="549" t="s">
        <v>352</v>
      </c>
      <c r="T1630" s="549" t="s">
        <v>56</v>
      </c>
      <c r="U1630" s="549" t="s">
        <v>739</v>
      </c>
      <c r="V1630" s="554">
        <f>80</f>
        <v>80</v>
      </c>
      <c r="W1630" s="554">
        <v>80</v>
      </c>
      <c r="X1630" s="555"/>
      <c r="Y1630" s="556">
        <f t="shared" si="540"/>
        <v>0</v>
      </c>
      <c r="Z1630" s="557">
        <f t="shared" si="541"/>
        <v>0</v>
      </c>
      <c r="AA1630" s="557"/>
      <c r="AB1630" s="833"/>
      <c r="AC1630" s="554"/>
      <c r="AD1630" s="209"/>
      <c r="AE1630" s="210"/>
      <c r="AF1630" s="210"/>
      <c r="AG1630" s="211">
        <f t="shared" si="548"/>
        <v>0.14299999999999999</v>
      </c>
      <c r="AH1630" s="157">
        <f t="shared" si="547"/>
        <v>0</v>
      </c>
      <c r="AI1630" s="152">
        <f t="shared" si="544"/>
        <v>960</v>
      </c>
      <c r="AK1630" s="156" t="s">
        <v>691</v>
      </c>
      <c r="AL1630" s="212" t="s">
        <v>690</v>
      </c>
      <c r="AM1630" s="198">
        <f t="shared" si="549"/>
        <v>0</v>
      </c>
      <c r="AN1630" s="199">
        <f t="shared" si="545"/>
        <v>45610</v>
      </c>
      <c r="AO1630" s="159" t="s">
        <v>692</v>
      </c>
      <c r="AP1630" s="783" t="s">
        <v>609</v>
      </c>
      <c r="AQ1630" s="782">
        <v>12071839</v>
      </c>
      <c r="AR1630" s="782">
        <v>12047514</v>
      </c>
      <c r="AS1630" s="782">
        <v>12047515</v>
      </c>
      <c r="AT1630" s="781"/>
      <c r="AU1630" s="781"/>
      <c r="AV1630" s="782">
        <v>12080616</v>
      </c>
      <c r="AW1630" s="781"/>
      <c r="AX1630" s="781"/>
      <c r="AY1630" s="782">
        <v>12089871</v>
      </c>
      <c r="AZ1630" s="782">
        <v>12089872</v>
      </c>
      <c r="BA1630" s="781"/>
    </row>
    <row r="1631" spans="1:53" ht="24.65" hidden="1" customHeight="1">
      <c r="B1631" s="546">
        <v>45610</v>
      </c>
      <c r="C1631" s="547" t="s">
        <v>1712</v>
      </c>
      <c r="D1631" s="185">
        <f t="shared" si="538"/>
        <v>2024</v>
      </c>
      <c r="E1631" s="547" t="str">
        <f>VLOOKUP($B1631,Week!$A$1:$C$1462,2,0)</f>
        <v>Week46</v>
      </c>
      <c r="F1631" s="548" t="str">
        <f t="shared" si="539"/>
        <v>Nov</v>
      </c>
      <c r="G1631" s="549" t="s">
        <v>47</v>
      </c>
      <c r="H1631" s="549" t="s">
        <v>518</v>
      </c>
      <c r="I1631" s="549" t="s">
        <v>2702</v>
      </c>
      <c r="J1631" s="550" t="s">
        <v>70</v>
      </c>
      <c r="K1631" s="551" t="s">
        <v>1020</v>
      </c>
      <c r="L1631" s="300" t="s">
        <v>2167</v>
      </c>
      <c r="M1631" s="550" t="s">
        <v>746</v>
      </c>
      <c r="N1631" s="618" t="s">
        <v>1129</v>
      </c>
      <c r="O1631" s="549" t="s">
        <v>1128</v>
      </c>
      <c r="P1631" s="552">
        <v>18</v>
      </c>
      <c r="Q1631" s="552">
        <v>5</v>
      </c>
      <c r="R1631" s="549">
        <v>6.1999999999999998E-3</v>
      </c>
      <c r="S1631" s="549" t="s">
        <v>352</v>
      </c>
      <c r="T1631" s="549" t="s">
        <v>56</v>
      </c>
      <c r="U1631" s="549" t="s">
        <v>739</v>
      </c>
      <c r="V1631" s="554">
        <f>150</f>
        <v>150</v>
      </c>
      <c r="W1631" s="554">
        <v>150</v>
      </c>
      <c r="X1631" s="555"/>
      <c r="Y1631" s="556">
        <f t="shared" si="540"/>
        <v>0</v>
      </c>
      <c r="Z1631" s="557">
        <f t="shared" si="541"/>
        <v>0</v>
      </c>
      <c r="AA1631" s="557"/>
      <c r="AB1631" s="833"/>
      <c r="AC1631" s="554"/>
      <c r="AD1631" s="209"/>
      <c r="AE1631" s="210"/>
      <c r="AF1631" s="210"/>
      <c r="AG1631" s="211">
        <f t="shared" si="548"/>
        <v>0.14299999999999999</v>
      </c>
      <c r="AH1631" s="157">
        <f t="shared" si="547"/>
        <v>0</v>
      </c>
      <c r="AI1631" s="152">
        <f t="shared" si="544"/>
        <v>2700</v>
      </c>
      <c r="AK1631" s="156" t="s">
        <v>691</v>
      </c>
      <c r="AL1631" s="212" t="s">
        <v>690</v>
      </c>
      <c r="AM1631" s="198">
        <f t="shared" si="549"/>
        <v>0</v>
      </c>
      <c r="AN1631" s="199">
        <f t="shared" si="545"/>
        <v>45610</v>
      </c>
      <c r="AO1631" s="159" t="s">
        <v>692</v>
      </c>
      <c r="AP1631" s="783" t="s">
        <v>609</v>
      </c>
      <c r="AQ1631" s="782">
        <v>12071839</v>
      </c>
      <c r="AR1631" s="782">
        <v>12047514</v>
      </c>
      <c r="AS1631" s="782">
        <v>12047515</v>
      </c>
      <c r="AT1631" s="781"/>
      <c r="AU1631" s="781"/>
      <c r="AV1631" s="782">
        <v>12091080</v>
      </c>
      <c r="AW1631" s="781"/>
      <c r="AX1631" s="782">
        <v>12091078</v>
      </c>
      <c r="AY1631" s="782">
        <v>12089871</v>
      </c>
      <c r="AZ1631" s="782">
        <v>12089872</v>
      </c>
      <c r="BA1631" s="781" t="s">
        <v>1501</v>
      </c>
    </row>
    <row r="1632" spans="1:53" ht="24.65" hidden="1" customHeight="1">
      <c r="B1632" s="546">
        <v>45610</v>
      </c>
      <c r="C1632" s="547" t="s">
        <v>1678</v>
      </c>
      <c r="D1632" s="185">
        <f t="shared" si="538"/>
        <v>2024</v>
      </c>
      <c r="E1632" s="547" t="str">
        <f>VLOOKUP($B1632,Week!$A$1:$C$1462,2,0)</f>
        <v>Week46</v>
      </c>
      <c r="F1632" s="548" t="str">
        <f t="shared" si="539"/>
        <v>Nov</v>
      </c>
      <c r="G1632" s="549" t="s">
        <v>47</v>
      </c>
      <c r="H1632" s="549" t="s">
        <v>518</v>
      </c>
      <c r="I1632" s="549" t="s">
        <v>2702</v>
      </c>
      <c r="J1632" s="550" t="s">
        <v>70</v>
      </c>
      <c r="K1632" s="551" t="s">
        <v>1020</v>
      </c>
      <c r="L1632" s="300" t="s">
        <v>2167</v>
      </c>
      <c r="M1632" s="550" t="s">
        <v>746</v>
      </c>
      <c r="N1632" s="618" t="s">
        <v>1129</v>
      </c>
      <c r="O1632" s="549" t="s">
        <v>1128</v>
      </c>
      <c r="P1632" s="552">
        <v>18</v>
      </c>
      <c r="Q1632" s="552">
        <v>5</v>
      </c>
      <c r="R1632" s="549">
        <v>6.1999999999999998E-3</v>
      </c>
      <c r="S1632" s="549" t="s">
        <v>352</v>
      </c>
      <c r="T1632" s="549" t="s">
        <v>56</v>
      </c>
      <c r="U1632" s="549" t="s">
        <v>739</v>
      </c>
      <c r="V1632" s="554">
        <f>150</f>
        <v>150</v>
      </c>
      <c r="W1632" s="554">
        <v>150</v>
      </c>
      <c r="X1632" s="555"/>
      <c r="Y1632" s="556">
        <f t="shared" si="540"/>
        <v>0</v>
      </c>
      <c r="Z1632" s="557">
        <f t="shared" si="541"/>
        <v>0</v>
      </c>
      <c r="AA1632" s="557"/>
      <c r="AB1632" s="833"/>
      <c r="AC1632" s="554"/>
      <c r="AD1632" s="209"/>
      <c r="AE1632" s="210"/>
      <c r="AF1632" s="210"/>
      <c r="AG1632" s="211">
        <f t="shared" si="548"/>
        <v>0.14299999999999999</v>
      </c>
      <c r="AH1632" s="157">
        <f t="shared" si="547"/>
        <v>0</v>
      </c>
      <c r="AI1632" s="152">
        <f t="shared" si="544"/>
        <v>2700</v>
      </c>
      <c r="AK1632" s="156" t="s">
        <v>691</v>
      </c>
      <c r="AL1632" s="212" t="s">
        <v>690</v>
      </c>
      <c r="AM1632" s="198">
        <f t="shared" si="549"/>
        <v>0</v>
      </c>
      <c r="AN1632" s="199">
        <f t="shared" si="545"/>
        <v>45610</v>
      </c>
      <c r="AO1632" s="159" t="s">
        <v>692</v>
      </c>
      <c r="AP1632" s="783" t="s">
        <v>609</v>
      </c>
      <c r="AQ1632" s="782">
        <v>12071839</v>
      </c>
      <c r="AR1632" s="782">
        <v>12047514</v>
      </c>
      <c r="AS1632" s="782">
        <v>12047515</v>
      </c>
      <c r="AT1632" s="781"/>
      <c r="AU1632" s="781"/>
      <c r="AV1632" s="782">
        <v>12091080</v>
      </c>
      <c r="AW1632" s="781"/>
      <c r="AX1632" s="782">
        <v>12091078</v>
      </c>
      <c r="AY1632" s="782">
        <v>12089871</v>
      </c>
      <c r="AZ1632" s="782">
        <v>12089872</v>
      </c>
      <c r="BA1632" s="781" t="s">
        <v>1501</v>
      </c>
    </row>
    <row r="1633" spans="1:53" ht="24.65" hidden="1" customHeight="1">
      <c r="B1633" s="246">
        <v>45610</v>
      </c>
      <c r="C1633" s="247" t="s">
        <v>1712</v>
      </c>
      <c r="D1633" s="185">
        <f t="shared" si="538"/>
        <v>2024</v>
      </c>
      <c r="E1633" s="247" t="str">
        <f>VLOOKUP($B1633,Week!$A$1:$C$1462,2,0)</f>
        <v>Week46</v>
      </c>
      <c r="F1633" s="248" t="str">
        <f t="shared" si="539"/>
        <v>Nov</v>
      </c>
      <c r="G1633" s="249" t="s">
        <v>47</v>
      </c>
      <c r="H1633" s="249" t="s">
        <v>260</v>
      </c>
      <c r="I1633" s="249" t="s">
        <v>2702</v>
      </c>
      <c r="J1633" s="250" t="s">
        <v>70</v>
      </c>
      <c r="K1633" s="251" t="s">
        <v>1020</v>
      </c>
      <c r="L1633" s="300" t="s">
        <v>2167</v>
      </c>
      <c r="M1633" s="250" t="s">
        <v>741</v>
      </c>
      <c r="N1633" s="249" t="s">
        <v>740</v>
      </c>
      <c r="O1633" s="249" t="s">
        <v>742</v>
      </c>
      <c r="P1633" s="252">
        <v>24</v>
      </c>
      <c r="Q1633" s="252">
        <v>5</v>
      </c>
      <c r="R1633" s="249">
        <v>6.1999999999999998E-3</v>
      </c>
      <c r="S1633" s="249" t="s">
        <v>352</v>
      </c>
      <c r="T1633" s="249" t="s">
        <v>56</v>
      </c>
      <c r="U1633" s="249" t="s">
        <v>739</v>
      </c>
      <c r="V1633" s="254">
        <v>53</v>
      </c>
      <c r="W1633" s="254">
        <v>53</v>
      </c>
      <c r="X1633" s="255"/>
      <c r="Y1633" s="256">
        <f t="shared" si="540"/>
        <v>0</v>
      </c>
      <c r="Z1633" s="257">
        <f t="shared" si="541"/>
        <v>0</v>
      </c>
      <c r="AA1633" s="257"/>
      <c r="AB1633" s="810"/>
      <c r="AC1633" s="254"/>
      <c r="AD1633" s="209"/>
      <c r="AE1633" s="210"/>
      <c r="AF1633" s="210"/>
      <c r="AG1633" s="211">
        <f t="shared" si="548"/>
        <v>0.14299999999999999</v>
      </c>
      <c r="AH1633" s="157">
        <f t="shared" si="547"/>
        <v>0</v>
      </c>
      <c r="AI1633" s="152">
        <f t="shared" si="544"/>
        <v>1272</v>
      </c>
      <c r="AK1633" s="156" t="s">
        <v>691</v>
      </c>
      <c r="AL1633" s="212" t="s">
        <v>690</v>
      </c>
      <c r="AM1633" s="198">
        <f t="shared" si="549"/>
        <v>0</v>
      </c>
      <c r="AN1633" s="199">
        <f t="shared" si="545"/>
        <v>45610</v>
      </c>
      <c r="AO1633" s="159" t="s">
        <v>692</v>
      </c>
      <c r="AP1633" s="783" t="s">
        <v>609</v>
      </c>
      <c r="AQ1633" s="782">
        <v>12071839</v>
      </c>
      <c r="AR1633" s="782">
        <v>12047514</v>
      </c>
      <c r="AS1633" s="782">
        <v>12047515</v>
      </c>
      <c r="AT1633" s="781"/>
      <c r="AU1633" s="781"/>
      <c r="AV1633" s="782">
        <v>12089668</v>
      </c>
      <c r="AW1633" s="781"/>
      <c r="AX1633" s="781"/>
      <c r="AY1633" s="782">
        <v>12088311</v>
      </c>
      <c r="AZ1633" s="782">
        <v>12088315</v>
      </c>
      <c r="BA1633" s="781"/>
    </row>
    <row r="1634" spans="1:53" ht="24.65" hidden="1" customHeight="1">
      <c r="B1634" s="246">
        <v>45610</v>
      </c>
      <c r="C1634" s="247" t="s">
        <v>1678</v>
      </c>
      <c r="D1634" s="185">
        <f t="shared" si="538"/>
        <v>2024</v>
      </c>
      <c r="E1634" s="247" t="str">
        <f>VLOOKUP($B1634,Week!$A$1:$C$1462,2,0)</f>
        <v>Week46</v>
      </c>
      <c r="F1634" s="248" t="str">
        <f t="shared" si="539"/>
        <v>Nov</v>
      </c>
      <c r="G1634" s="249" t="s">
        <v>47</v>
      </c>
      <c r="H1634" s="249" t="s">
        <v>260</v>
      </c>
      <c r="I1634" s="249" t="s">
        <v>2702</v>
      </c>
      <c r="J1634" s="250" t="s">
        <v>70</v>
      </c>
      <c r="K1634" s="251" t="s">
        <v>1020</v>
      </c>
      <c r="L1634" s="300" t="s">
        <v>2167</v>
      </c>
      <c r="M1634" s="250" t="s">
        <v>741</v>
      </c>
      <c r="N1634" s="249" t="s">
        <v>740</v>
      </c>
      <c r="O1634" s="249" t="s">
        <v>742</v>
      </c>
      <c r="P1634" s="252">
        <v>24</v>
      </c>
      <c r="Q1634" s="252">
        <v>5</v>
      </c>
      <c r="R1634" s="249">
        <v>6.1999999999999998E-3</v>
      </c>
      <c r="S1634" s="249" t="s">
        <v>352</v>
      </c>
      <c r="T1634" s="249" t="s">
        <v>56</v>
      </c>
      <c r="U1634" s="249" t="s">
        <v>739</v>
      </c>
      <c r="V1634" s="254">
        <f>1314</f>
        <v>1314</v>
      </c>
      <c r="W1634" s="254">
        <f>1356-53</f>
        <v>1303</v>
      </c>
      <c r="X1634" s="255">
        <v>11</v>
      </c>
      <c r="Y1634" s="256">
        <f t="shared" si="540"/>
        <v>0</v>
      </c>
      <c r="Z1634" s="257">
        <f t="shared" si="541"/>
        <v>0</v>
      </c>
      <c r="AA1634" s="257"/>
      <c r="AB1634" s="810"/>
      <c r="AC1634" s="254"/>
      <c r="AD1634" s="209"/>
      <c r="AE1634" s="210"/>
      <c r="AF1634" s="210"/>
      <c r="AG1634" s="211">
        <f t="shared" si="548"/>
        <v>0.14299999999999999</v>
      </c>
      <c r="AH1634" s="157">
        <f t="shared" si="547"/>
        <v>0</v>
      </c>
      <c r="AI1634" s="152">
        <f t="shared" si="544"/>
        <v>31536</v>
      </c>
      <c r="AK1634" s="156" t="s">
        <v>691</v>
      </c>
      <c r="AL1634" s="212" t="s">
        <v>690</v>
      </c>
      <c r="AM1634" s="198">
        <f t="shared" si="549"/>
        <v>0</v>
      </c>
      <c r="AN1634" s="199">
        <f t="shared" si="545"/>
        <v>45610</v>
      </c>
      <c r="AO1634" s="159" t="s">
        <v>692</v>
      </c>
      <c r="AP1634" s="783" t="s">
        <v>609</v>
      </c>
      <c r="AQ1634" s="782">
        <v>12071839</v>
      </c>
      <c r="AR1634" s="782">
        <v>12047514</v>
      </c>
      <c r="AS1634" s="782">
        <v>12047515</v>
      </c>
      <c r="AT1634" s="781"/>
      <c r="AU1634" s="781"/>
      <c r="AV1634" s="782">
        <v>12089668</v>
      </c>
      <c r="AW1634" s="781"/>
      <c r="AX1634" s="781"/>
      <c r="AY1634" s="782">
        <v>12088311</v>
      </c>
      <c r="AZ1634" s="782">
        <v>12088315</v>
      </c>
      <c r="BA1634" s="781"/>
    </row>
    <row r="1635" spans="1:53" ht="24.65" hidden="1" customHeight="1">
      <c r="A1635" s="142" t="s">
        <v>120</v>
      </c>
      <c r="B1635" s="258">
        <v>45611</v>
      </c>
      <c r="C1635" s="259">
        <v>45623</v>
      </c>
      <c r="D1635" s="185">
        <f t="shared" si="538"/>
        <v>2024</v>
      </c>
      <c r="E1635" s="260" t="str">
        <f>VLOOKUP($B1635,Week!$A$1:$C$1462,2,0)</f>
        <v>Week46</v>
      </c>
      <c r="F1635" s="261" t="str">
        <f t="shared" si="539"/>
        <v>Nov</v>
      </c>
      <c r="G1635" s="262" t="s">
        <v>1718</v>
      </c>
      <c r="H1635" s="260" t="s">
        <v>134</v>
      </c>
      <c r="I1635" s="260" t="s">
        <v>2772</v>
      </c>
      <c r="J1635" s="263" t="s">
        <v>164</v>
      </c>
      <c r="K1635" s="264" t="s">
        <v>153</v>
      </c>
      <c r="L1635" s="390" t="s">
        <v>2166</v>
      </c>
      <c r="M1635" s="263" t="s">
        <v>165</v>
      </c>
      <c r="N1635" s="260" t="s">
        <v>166</v>
      </c>
      <c r="O1635" s="260" t="s">
        <v>502</v>
      </c>
      <c r="P1635" s="265">
        <v>20</v>
      </c>
      <c r="Q1635" s="265">
        <v>12</v>
      </c>
      <c r="R1635" s="266">
        <v>6.8100000000000001E-3</v>
      </c>
      <c r="S1635" s="260" t="s">
        <v>76</v>
      </c>
      <c r="T1635" s="260" t="s">
        <v>56</v>
      </c>
      <c r="U1635" s="260" t="s">
        <v>89</v>
      </c>
      <c r="V1635" s="267">
        <f>3000-1021-1501</f>
        <v>478</v>
      </c>
      <c r="W1635" s="267">
        <v>478</v>
      </c>
      <c r="X1635" s="268"/>
      <c r="Y1635" s="269">
        <f t="shared" si="540"/>
        <v>0</v>
      </c>
      <c r="Z1635" s="270">
        <f t="shared" si="541"/>
        <v>0</v>
      </c>
      <c r="AA1635" s="270">
        <f>Q1635*Z1635</f>
        <v>0</v>
      </c>
      <c r="AB1635" s="811">
        <v>2</v>
      </c>
      <c r="AC1635" s="267">
        <f>Z1635*AB1635</f>
        <v>0</v>
      </c>
      <c r="AD1635" s="209" t="s">
        <v>168</v>
      </c>
      <c r="AE1635" s="210"/>
      <c r="AF1635" s="210"/>
      <c r="AG1635" s="211">
        <f t="shared" si="548"/>
        <v>0.154</v>
      </c>
      <c r="AH1635" s="157">
        <f t="shared" si="547"/>
        <v>0</v>
      </c>
      <c r="AI1635" s="152">
        <f t="shared" si="544"/>
        <v>9560</v>
      </c>
      <c r="AK1635" s="156" t="s">
        <v>691</v>
      </c>
      <c r="AL1635" s="156" t="s">
        <v>689</v>
      </c>
      <c r="AM1635" s="198">
        <f t="shared" ref="AM1635:AM1682" si="550">AG1635*Z1635</f>
        <v>0</v>
      </c>
      <c r="AN1635" s="199">
        <f t="shared" si="545"/>
        <v>45611</v>
      </c>
      <c r="AO1635" s="159" t="s">
        <v>692</v>
      </c>
      <c r="AP1635" s="783" t="s">
        <v>610</v>
      </c>
      <c r="AQ1635" s="783" t="s">
        <v>631</v>
      </c>
      <c r="AR1635" s="783" t="s">
        <v>523</v>
      </c>
      <c r="AS1635" s="781"/>
      <c r="AT1635" s="782">
        <v>12055919</v>
      </c>
      <c r="AU1635" s="781"/>
      <c r="AV1635" s="783" t="s">
        <v>544</v>
      </c>
      <c r="AW1635" s="781"/>
      <c r="AX1635" s="782" t="s">
        <v>398</v>
      </c>
      <c r="AY1635" s="781"/>
      <c r="AZ1635" s="781"/>
      <c r="BA1635" s="781"/>
    </row>
    <row r="1636" spans="1:53" ht="25" hidden="1" customHeight="1">
      <c r="A1636" s="142" t="s">
        <v>120</v>
      </c>
      <c r="B1636" s="271">
        <v>45611</v>
      </c>
      <c r="C1636" s="272">
        <v>45628</v>
      </c>
      <c r="D1636" s="185">
        <f t="shared" si="538"/>
        <v>2024</v>
      </c>
      <c r="E1636" s="272" t="str">
        <f>VLOOKUP($B1636,Week!$A$1:$C$1462,2,0)</f>
        <v>Week46</v>
      </c>
      <c r="F1636" s="273" t="str">
        <f t="shared" si="539"/>
        <v>Nov</v>
      </c>
      <c r="G1636" s="274" t="s">
        <v>1732</v>
      </c>
      <c r="H1636" s="274" t="s">
        <v>500</v>
      </c>
      <c r="I1636" s="274" t="s">
        <v>2772</v>
      </c>
      <c r="J1636" s="275" t="s">
        <v>285</v>
      </c>
      <c r="K1636" s="276" t="s">
        <v>153</v>
      </c>
      <c r="L1636" s="390" t="s">
        <v>2166</v>
      </c>
      <c r="M1636" s="275" t="s">
        <v>86</v>
      </c>
      <c r="N1636" s="274" t="s">
        <v>547</v>
      </c>
      <c r="O1636" s="274" t="s">
        <v>548</v>
      </c>
      <c r="P1636" s="277">
        <v>10</v>
      </c>
      <c r="Q1636" s="277">
        <v>50</v>
      </c>
      <c r="R1636" s="278">
        <v>6.8100000000000001E-3</v>
      </c>
      <c r="S1636" s="274" t="s">
        <v>76</v>
      </c>
      <c r="T1636" s="274" t="s">
        <v>56</v>
      </c>
      <c r="U1636" s="274" t="s">
        <v>89</v>
      </c>
      <c r="V1636" s="279">
        <v>1083</v>
      </c>
      <c r="W1636" s="279">
        <f>38+1045</f>
        <v>1083</v>
      </c>
      <c r="X1636" s="280"/>
      <c r="Y1636" s="281">
        <f t="shared" si="540"/>
        <v>0</v>
      </c>
      <c r="Z1636" s="282">
        <f t="shared" si="541"/>
        <v>0</v>
      </c>
      <c r="AA1636" s="282">
        <f>Q1636*Z1636</f>
        <v>0</v>
      </c>
      <c r="AB1636" s="812">
        <v>6</v>
      </c>
      <c r="AC1636" s="279">
        <f>Z1636*AB1636</f>
        <v>0</v>
      </c>
      <c r="AD1636" s="209"/>
      <c r="AE1636" s="210"/>
      <c r="AF1636" s="210"/>
      <c r="AG1636" s="211">
        <f t="shared" si="548"/>
        <v>0.63</v>
      </c>
      <c r="AH1636" s="157">
        <f t="shared" si="547"/>
        <v>0</v>
      </c>
      <c r="AI1636" s="152">
        <f t="shared" si="544"/>
        <v>10830</v>
      </c>
      <c r="AK1636" s="156" t="s">
        <v>691</v>
      </c>
      <c r="AL1636" s="156" t="s">
        <v>689</v>
      </c>
      <c r="AM1636" s="198">
        <f t="shared" si="550"/>
        <v>0</v>
      </c>
      <c r="AN1636" s="199">
        <f t="shared" si="545"/>
        <v>45611</v>
      </c>
      <c r="AO1636" s="159" t="s">
        <v>692</v>
      </c>
      <c r="AP1636" s="783" t="s">
        <v>620</v>
      </c>
      <c r="AQ1636" s="782" t="s">
        <v>549</v>
      </c>
      <c r="AR1636" s="782">
        <v>12055234</v>
      </c>
      <c r="AS1636" s="781"/>
      <c r="AT1636" s="782"/>
      <c r="AU1636" s="782"/>
      <c r="AV1636" s="782">
        <v>12062809</v>
      </c>
      <c r="AW1636" s="782"/>
      <c r="AX1636" s="782" t="s">
        <v>619</v>
      </c>
      <c r="AY1636" s="781"/>
      <c r="AZ1636" s="781"/>
      <c r="BA1636" s="781"/>
    </row>
    <row r="1637" spans="1:53" ht="25" hidden="1" customHeight="1">
      <c r="A1637" s="142" t="s">
        <v>120</v>
      </c>
      <c r="B1637" s="271">
        <v>45612</v>
      </c>
      <c r="C1637" s="272">
        <v>45628</v>
      </c>
      <c r="D1637" s="185">
        <f t="shared" si="538"/>
        <v>2024</v>
      </c>
      <c r="E1637" s="272" t="str">
        <f>VLOOKUP($B1637,Week!$A$1:$C$1462,2,0)</f>
        <v>Week46</v>
      </c>
      <c r="F1637" s="273" t="str">
        <f t="shared" si="539"/>
        <v>Nov</v>
      </c>
      <c r="G1637" s="274" t="s">
        <v>1732</v>
      </c>
      <c r="H1637" s="274" t="s">
        <v>500</v>
      </c>
      <c r="I1637" s="274" t="s">
        <v>2772</v>
      </c>
      <c r="J1637" s="275" t="s">
        <v>285</v>
      </c>
      <c r="K1637" s="276" t="s">
        <v>153</v>
      </c>
      <c r="L1637" s="390" t="s">
        <v>2166</v>
      </c>
      <c r="M1637" s="275" t="s">
        <v>86</v>
      </c>
      <c r="N1637" s="274" t="s">
        <v>547</v>
      </c>
      <c r="O1637" s="274" t="s">
        <v>548</v>
      </c>
      <c r="P1637" s="277">
        <v>10</v>
      </c>
      <c r="Q1637" s="277">
        <v>50</v>
      </c>
      <c r="R1637" s="278">
        <v>6.8100000000000001E-3</v>
      </c>
      <c r="S1637" s="274" t="s">
        <v>76</v>
      </c>
      <c r="T1637" s="274" t="s">
        <v>56</v>
      </c>
      <c r="U1637" s="274" t="s">
        <v>89</v>
      </c>
      <c r="V1637" s="279">
        <f>2056-1083</f>
        <v>973</v>
      </c>
      <c r="W1637" s="279">
        <f>960+13</f>
        <v>973</v>
      </c>
      <c r="X1637" s="280"/>
      <c r="Y1637" s="281">
        <f t="shared" si="540"/>
        <v>0</v>
      </c>
      <c r="Z1637" s="282">
        <f t="shared" si="541"/>
        <v>0</v>
      </c>
      <c r="AA1637" s="282">
        <f>Q1637*Z1637</f>
        <v>0</v>
      </c>
      <c r="AB1637" s="812">
        <v>6</v>
      </c>
      <c r="AC1637" s="279">
        <f>Z1637*AB1637</f>
        <v>0</v>
      </c>
      <c r="AD1637" s="209"/>
      <c r="AE1637" s="210"/>
      <c r="AF1637" s="210"/>
      <c r="AG1637" s="211">
        <f t="shared" si="548"/>
        <v>0.63</v>
      </c>
      <c r="AH1637" s="157">
        <f t="shared" si="547"/>
        <v>0</v>
      </c>
      <c r="AI1637" s="152">
        <f t="shared" si="544"/>
        <v>9730</v>
      </c>
      <c r="AK1637" s="156" t="s">
        <v>691</v>
      </c>
      <c r="AL1637" s="156" t="s">
        <v>689</v>
      </c>
      <c r="AM1637" s="198">
        <f t="shared" si="550"/>
        <v>0</v>
      </c>
      <c r="AN1637" s="199">
        <f t="shared" si="545"/>
        <v>45612</v>
      </c>
      <c r="AO1637" s="159" t="s">
        <v>692</v>
      </c>
      <c r="AP1637" s="783" t="s">
        <v>620</v>
      </c>
      <c r="AQ1637" s="782" t="s">
        <v>549</v>
      </c>
      <c r="AR1637" s="782">
        <v>12055234</v>
      </c>
      <c r="AS1637" s="781"/>
      <c r="AT1637" s="782"/>
      <c r="AU1637" s="782"/>
      <c r="AV1637" s="782">
        <v>12062809</v>
      </c>
      <c r="AW1637" s="782"/>
      <c r="AX1637" s="782" t="s">
        <v>619</v>
      </c>
      <c r="AY1637" s="781"/>
      <c r="AZ1637" s="781"/>
      <c r="BA1637" s="781"/>
    </row>
    <row r="1638" spans="1:53" ht="25" hidden="1" customHeight="1">
      <c r="A1638" s="142" t="s">
        <v>120</v>
      </c>
      <c r="B1638" s="559">
        <v>45612</v>
      </c>
      <c r="C1638" s="560">
        <v>45629</v>
      </c>
      <c r="D1638" s="185">
        <f t="shared" si="538"/>
        <v>2024</v>
      </c>
      <c r="E1638" s="561" t="str">
        <f>VLOOKUP($B1638,Week!$A$1:$C$1462,2,0)</f>
        <v>Week46</v>
      </c>
      <c r="F1638" s="562" t="str">
        <f t="shared" si="539"/>
        <v>Nov</v>
      </c>
      <c r="G1638" s="561" t="s">
        <v>1719</v>
      </c>
      <c r="H1638" s="561" t="s">
        <v>134</v>
      </c>
      <c r="I1638" s="561" t="s">
        <v>2772</v>
      </c>
      <c r="J1638" s="563" t="s">
        <v>164</v>
      </c>
      <c r="K1638" s="564" t="s">
        <v>355</v>
      </c>
      <c r="L1638" s="390" t="s">
        <v>2166</v>
      </c>
      <c r="M1638" s="563" t="s">
        <v>356</v>
      </c>
      <c r="N1638" s="561" t="s">
        <v>652</v>
      </c>
      <c r="O1638" s="561" t="s">
        <v>508</v>
      </c>
      <c r="P1638" s="565">
        <v>18</v>
      </c>
      <c r="Q1638" s="565">
        <v>8</v>
      </c>
      <c r="R1638" s="566">
        <v>6.0000000000000001E-3</v>
      </c>
      <c r="S1638" s="561" t="s">
        <v>55</v>
      </c>
      <c r="T1638" s="561" t="s">
        <v>56</v>
      </c>
      <c r="U1638" s="561" t="s">
        <v>89</v>
      </c>
      <c r="V1638" s="567">
        <f>800</f>
        <v>800</v>
      </c>
      <c r="W1638" s="567">
        <f>32+768</f>
        <v>800</v>
      </c>
      <c r="X1638" s="568"/>
      <c r="Y1638" s="569">
        <f t="shared" si="540"/>
        <v>0</v>
      </c>
      <c r="Z1638" s="570">
        <f t="shared" si="541"/>
        <v>0</v>
      </c>
      <c r="AA1638" s="570">
        <f>Q1638*Z1638</f>
        <v>0</v>
      </c>
      <c r="AB1638" s="834">
        <v>2</v>
      </c>
      <c r="AC1638" s="567">
        <f>Z1638*AB1638</f>
        <v>0</v>
      </c>
      <c r="AD1638" s="209"/>
      <c r="AE1638" s="210"/>
      <c r="AF1638" s="210"/>
      <c r="AG1638" s="211">
        <f>MID(O1638,1,2)/1000</f>
        <v>0.09</v>
      </c>
      <c r="AH1638" s="157">
        <f t="shared" si="547"/>
        <v>0</v>
      </c>
      <c r="AI1638" s="152">
        <f t="shared" si="544"/>
        <v>14400</v>
      </c>
      <c r="AK1638" s="156" t="s">
        <v>691</v>
      </c>
      <c r="AL1638" s="156" t="s">
        <v>689</v>
      </c>
      <c r="AM1638" s="198">
        <f t="shared" si="550"/>
        <v>0</v>
      </c>
      <c r="AN1638" s="199">
        <f t="shared" si="545"/>
        <v>45612</v>
      </c>
      <c r="AO1638" s="159" t="s">
        <v>692</v>
      </c>
      <c r="AP1638" s="783"/>
      <c r="AQ1638" s="782"/>
      <c r="AR1638" s="782"/>
      <c r="AS1638" s="782"/>
      <c r="AT1638" s="782"/>
      <c r="AU1638" s="782"/>
      <c r="AV1638" s="782"/>
      <c r="AW1638" s="782"/>
      <c r="AX1638" s="782"/>
      <c r="AY1638" s="782"/>
      <c r="AZ1638" s="782"/>
      <c r="BA1638" s="781"/>
    </row>
    <row r="1639" spans="1:53" ht="25" hidden="1" customHeight="1">
      <c r="B1639" s="183">
        <v>45613</v>
      </c>
      <c r="C1639" s="184"/>
      <c r="D1639" s="185">
        <f t="shared" si="538"/>
        <v>2024</v>
      </c>
      <c r="E1639" s="185" t="str">
        <f>VLOOKUP($B1639,Week!$A$1:$C$1462,2,0)</f>
        <v>Week46</v>
      </c>
      <c r="F1639" s="186" t="str">
        <f t="shared" si="539"/>
        <v>Nov</v>
      </c>
      <c r="G1639" s="185"/>
      <c r="H1639" s="185"/>
      <c r="I1639" s="185"/>
      <c r="J1639" s="187"/>
      <c r="K1639" s="188"/>
      <c r="L1639" s="300"/>
      <c r="M1639" s="187"/>
      <c r="N1639" s="185"/>
      <c r="O1639" s="185"/>
      <c r="P1639" s="189"/>
      <c r="Q1639" s="189"/>
      <c r="R1639" s="190"/>
      <c r="S1639" s="185"/>
      <c r="T1639" s="185"/>
      <c r="U1639" s="185"/>
      <c r="V1639" s="191"/>
      <c r="W1639" s="191"/>
      <c r="X1639" s="192"/>
      <c r="Y1639" s="193"/>
      <c r="Z1639" s="194"/>
      <c r="AA1639" s="194"/>
      <c r="AB1639" s="805"/>
      <c r="AC1639" s="191"/>
      <c r="AD1639" s="187"/>
      <c r="AE1639" s="195"/>
      <c r="AF1639" s="195"/>
      <c r="AG1639" s="196"/>
      <c r="AH1639" s="197"/>
      <c r="AK1639" s="156" t="s">
        <v>691</v>
      </c>
      <c r="AM1639" s="198">
        <f t="shared" si="550"/>
        <v>0</v>
      </c>
      <c r="AN1639" s="199">
        <f t="shared" si="545"/>
        <v>45613</v>
      </c>
      <c r="AO1639" s="159" t="s">
        <v>692</v>
      </c>
      <c r="AP1639" s="781"/>
      <c r="AQ1639" s="782"/>
      <c r="AR1639" s="782"/>
      <c r="AS1639" s="782"/>
      <c r="AT1639" s="782"/>
      <c r="AU1639" s="781"/>
      <c r="AV1639" s="782"/>
      <c r="AW1639" s="782"/>
      <c r="AX1639" s="782"/>
      <c r="AY1639" s="782"/>
      <c r="AZ1639" s="782"/>
      <c r="BA1639" s="781"/>
    </row>
    <row r="1640" spans="1:53" ht="25" hidden="1" customHeight="1">
      <c r="B1640" s="357">
        <v>45614</v>
      </c>
      <c r="C1640" s="358">
        <v>45616</v>
      </c>
      <c r="D1640" s="185">
        <f t="shared" si="538"/>
        <v>2024</v>
      </c>
      <c r="E1640" s="358" t="str">
        <f>VLOOKUP($B1640,Week!$A$1:$C$1462,2,0)</f>
        <v>Week47</v>
      </c>
      <c r="F1640" s="360" t="str">
        <f t="shared" si="539"/>
        <v>Nov</v>
      </c>
      <c r="G1640" s="436" t="s">
        <v>1605</v>
      </c>
      <c r="H1640" s="359" t="s">
        <v>225</v>
      </c>
      <c r="I1640" s="359" t="s">
        <v>2773</v>
      </c>
      <c r="J1640" s="361" t="s">
        <v>650</v>
      </c>
      <c r="K1640" s="362" t="s">
        <v>593</v>
      </c>
      <c r="L1640" s="300" t="s">
        <v>2167</v>
      </c>
      <c r="M1640" s="361" t="s">
        <v>717</v>
      </c>
      <c r="N1640" s="359" t="s">
        <v>719</v>
      </c>
      <c r="O1640" s="359" t="s">
        <v>230</v>
      </c>
      <c r="P1640" s="363">
        <v>12</v>
      </c>
      <c r="Q1640" s="363">
        <v>5</v>
      </c>
      <c r="R1640" s="364">
        <v>6.0000000000000001E-3</v>
      </c>
      <c r="S1640" s="359" t="s">
        <v>55</v>
      </c>
      <c r="T1640" s="359" t="s">
        <v>112</v>
      </c>
      <c r="U1640" s="359" t="s">
        <v>57</v>
      </c>
      <c r="V1640" s="365">
        <f>2600-2579</f>
        <v>21</v>
      </c>
      <c r="W1640" s="365">
        <v>21</v>
      </c>
      <c r="X1640" s="366"/>
      <c r="Y1640" s="367">
        <f t="shared" ref="Y1640:Y1666" si="551">(W1640+X1640)-V1640</f>
        <v>0</v>
      </c>
      <c r="Z1640" s="368">
        <f t="shared" ref="Z1640:Z1670" si="552">IF(Y1640&lt;0,((V1640*P1640)-((W1640+X1640)*P1640)),0)</f>
        <v>0</v>
      </c>
      <c r="AA1640" s="368"/>
      <c r="AB1640" s="819"/>
      <c r="AC1640" s="365"/>
      <c r="AD1640" s="515"/>
      <c r="AE1640" s="210"/>
      <c r="AF1640" s="210"/>
      <c r="AG1640" s="211">
        <f t="shared" ref="AG1640:AG1648" si="553">MID(O1640,1,3)/1000</f>
        <v>0.25800000000000001</v>
      </c>
      <c r="AH1640" s="157">
        <f t="shared" ref="AH1640:AH1645" si="554">(Z1640*AG1640)/1000</f>
        <v>0</v>
      </c>
      <c r="AI1640" s="152">
        <f t="shared" ref="AI1640:AI1653" si="555">V1640*P1640</f>
        <v>252</v>
      </c>
      <c r="AK1640" s="156" t="s">
        <v>691</v>
      </c>
      <c r="AL1640" s="574" t="s">
        <v>690</v>
      </c>
      <c r="AM1640" s="198">
        <f t="shared" si="550"/>
        <v>0</v>
      </c>
      <c r="AN1640" s="199">
        <f t="shared" si="545"/>
        <v>45614</v>
      </c>
      <c r="AO1640" s="159" t="s">
        <v>692</v>
      </c>
      <c r="AP1640" s="783" t="s">
        <v>612</v>
      </c>
      <c r="AQ1640" s="782">
        <v>12071839</v>
      </c>
      <c r="AR1640" s="782">
        <v>12042650</v>
      </c>
      <c r="AS1640" s="782">
        <v>12042649</v>
      </c>
      <c r="AT1640" s="782">
        <v>12088423</v>
      </c>
      <c r="AU1640" s="781"/>
      <c r="AV1640" s="782">
        <v>12088422</v>
      </c>
      <c r="AW1640" s="782"/>
      <c r="AX1640" s="782"/>
      <c r="AY1640" s="782"/>
      <c r="AZ1640" s="782"/>
      <c r="BA1640" s="781"/>
    </row>
    <row r="1641" spans="1:53" ht="25" hidden="1" customHeight="1">
      <c r="B1641" s="357">
        <v>45614</v>
      </c>
      <c r="C1641" s="358">
        <v>45645</v>
      </c>
      <c r="D1641" s="185">
        <f t="shared" si="538"/>
        <v>2024</v>
      </c>
      <c r="E1641" s="358" t="str">
        <f>VLOOKUP($B1641,Week!$A$1:$C$1462,2,0)</f>
        <v>Week47</v>
      </c>
      <c r="F1641" s="360" t="str">
        <f t="shared" si="539"/>
        <v>Nov</v>
      </c>
      <c r="G1641" s="436" t="s">
        <v>1793</v>
      </c>
      <c r="H1641" s="359" t="s">
        <v>225</v>
      </c>
      <c r="I1641" s="359" t="s">
        <v>2773</v>
      </c>
      <c r="J1641" s="361" t="s">
        <v>650</v>
      </c>
      <c r="K1641" s="362" t="s">
        <v>593</v>
      </c>
      <c r="L1641" s="300" t="s">
        <v>2167</v>
      </c>
      <c r="M1641" s="361" t="s">
        <v>717</v>
      </c>
      <c r="N1641" s="359" t="s">
        <v>719</v>
      </c>
      <c r="O1641" s="359" t="s">
        <v>230</v>
      </c>
      <c r="P1641" s="363">
        <v>12</v>
      </c>
      <c r="Q1641" s="363">
        <v>5</v>
      </c>
      <c r="R1641" s="364">
        <v>6.0000000000000001E-3</v>
      </c>
      <c r="S1641" s="359" t="s">
        <v>55</v>
      </c>
      <c r="T1641" s="359" t="s">
        <v>112</v>
      </c>
      <c r="U1641" s="359" t="s">
        <v>57</v>
      </c>
      <c r="V1641" s="365">
        <v>2600</v>
      </c>
      <c r="W1641" s="365"/>
      <c r="X1641" s="366">
        <v>2600</v>
      </c>
      <c r="Y1641" s="367">
        <f t="shared" si="551"/>
        <v>0</v>
      </c>
      <c r="Z1641" s="368">
        <f t="shared" si="552"/>
        <v>0</v>
      </c>
      <c r="AA1641" s="368"/>
      <c r="AB1641" s="819"/>
      <c r="AC1641" s="365"/>
      <c r="AD1641" s="515"/>
      <c r="AE1641" s="210"/>
      <c r="AF1641" s="210"/>
      <c r="AG1641" s="211">
        <f t="shared" si="553"/>
        <v>0.25800000000000001</v>
      </c>
      <c r="AH1641" s="157">
        <f t="shared" si="554"/>
        <v>0</v>
      </c>
      <c r="AI1641" s="152">
        <f t="shared" si="555"/>
        <v>31200</v>
      </c>
      <c r="AK1641" s="156" t="s">
        <v>691</v>
      </c>
      <c r="AL1641" s="574" t="s">
        <v>690</v>
      </c>
      <c r="AM1641" s="198">
        <f t="shared" si="550"/>
        <v>0</v>
      </c>
      <c r="AN1641" s="199">
        <f t="shared" si="545"/>
        <v>45614</v>
      </c>
      <c r="AO1641" s="159" t="s">
        <v>692</v>
      </c>
      <c r="AP1641" s="783" t="s">
        <v>612</v>
      </c>
      <c r="AQ1641" s="782">
        <v>12071839</v>
      </c>
      <c r="AR1641" s="782">
        <v>12042650</v>
      </c>
      <c r="AS1641" s="782">
        <v>12042649</v>
      </c>
      <c r="AT1641" s="782">
        <v>12088423</v>
      </c>
      <c r="AU1641" s="781"/>
      <c r="AV1641" s="782">
        <v>12088422</v>
      </c>
      <c r="AW1641" s="782"/>
      <c r="AX1641" s="782"/>
      <c r="AY1641" s="782"/>
      <c r="AZ1641" s="782"/>
      <c r="BA1641" s="781"/>
    </row>
    <row r="1642" spans="1:53" ht="24.65" hidden="1" customHeight="1">
      <c r="B1642" s="369">
        <v>45614</v>
      </c>
      <c r="C1642" s="370">
        <v>45630</v>
      </c>
      <c r="D1642" s="185">
        <f t="shared" si="538"/>
        <v>2024</v>
      </c>
      <c r="E1642" s="370" t="str">
        <f>VLOOKUP($B1642,Week!$A$1:$C$1462,2,0)</f>
        <v>Week47</v>
      </c>
      <c r="F1642" s="372" t="str">
        <f t="shared" si="539"/>
        <v>Nov</v>
      </c>
      <c r="G1642" s="439" t="s">
        <v>1831</v>
      </c>
      <c r="H1642" s="371" t="s">
        <v>104</v>
      </c>
      <c r="I1642" s="371" t="s">
        <v>2772</v>
      </c>
      <c r="J1642" s="373" t="s">
        <v>105</v>
      </c>
      <c r="K1642" s="374" t="s">
        <v>593</v>
      </c>
      <c r="L1642" s="300" t="s">
        <v>2167</v>
      </c>
      <c r="M1642" s="373" t="s">
        <v>594</v>
      </c>
      <c r="N1642" s="371" t="s">
        <v>687</v>
      </c>
      <c r="O1642" s="371" t="s">
        <v>415</v>
      </c>
      <c r="P1642" s="375">
        <v>24</v>
      </c>
      <c r="Q1642" s="375">
        <v>5</v>
      </c>
      <c r="R1642" s="376">
        <v>6.0000000000000001E-3</v>
      </c>
      <c r="S1642" s="371" t="s">
        <v>55</v>
      </c>
      <c r="T1642" s="371" t="s">
        <v>112</v>
      </c>
      <c r="U1642" s="371" t="s">
        <v>57</v>
      </c>
      <c r="V1642" s="377">
        <f>800</f>
        <v>800</v>
      </c>
      <c r="W1642" s="377">
        <f>19+710</f>
        <v>729</v>
      </c>
      <c r="X1642" s="378">
        <f>1704/24</f>
        <v>71</v>
      </c>
      <c r="Y1642" s="379">
        <f t="shared" si="551"/>
        <v>0</v>
      </c>
      <c r="Z1642" s="380">
        <f t="shared" si="552"/>
        <v>0</v>
      </c>
      <c r="AA1642" s="380"/>
      <c r="AB1642" s="820"/>
      <c r="AC1642" s="377"/>
      <c r="AD1642" s="486"/>
      <c r="AE1642" s="210"/>
      <c r="AF1642" s="210"/>
      <c r="AG1642" s="211">
        <f t="shared" si="553"/>
        <v>0.25800000000000001</v>
      </c>
      <c r="AH1642" s="157">
        <f t="shared" si="554"/>
        <v>0</v>
      </c>
      <c r="AI1642" s="152">
        <f t="shared" si="555"/>
        <v>19200</v>
      </c>
      <c r="AK1642" s="156" t="s">
        <v>691</v>
      </c>
      <c r="AL1642" s="212" t="s">
        <v>690</v>
      </c>
      <c r="AM1642" s="198">
        <f t="shared" si="550"/>
        <v>0</v>
      </c>
      <c r="AN1642" s="199">
        <f t="shared" si="545"/>
        <v>45614</v>
      </c>
      <c r="AO1642" s="159" t="s">
        <v>692</v>
      </c>
      <c r="AP1642" s="783"/>
      <c r="AQ1642" s="782">
        <v>12071839</v>
      </c>
      <c r="AR1642" s="782">
        <v>12042650</v>
      </c>
      <c r="AS1642" s="782">
        <v>12042649</v>
      </c>
      <c r="AT1642" s="782">
        <v>12085742</v>
      </c>
      <c r="AU1642" s="781"/>
      <c r="AV1642" s="782">
        <v>12085744</v>
      </c>
      <c r="AW1642" s="782">
        <v>12049607</v>
      </c>
      <c r="AX1642" s="782"/>
      <c r="AY1642" s="782">
        <v>12085747</v>
      </c>
      <c r="AZ1642" s="782"/>
      <c r="BA1642" s="781"/>
    </row>
    <row r="1643" spans="1:53" ht="24.65" hidden="1" customHeight="1">
      <c r="B1643" s="466">
        <v>45614</v>
      </c>
      <c r="C1643" s="467">
        <v>45617</v>
      </c>
      <c r="D1643" s="185">
        <f t="shared" si="538"/>
        <v>2024</v>
      </c>
      <c r="E1643" s="467" t="str">
        <f>VLOOKUP($B1643,Week!$A$1:$C$1462,2,0)</f>
        <v>Week47</v>
      </c>
      <c r="F1643" s="469" t="str">
        <f t="shared" si="539"/>
        <v>Nov</v>
      </c>
      <c r="G1643" s="468" t="s">
        <v>1748</v>
      </c>
      <c r="H1643" s="468" t="s">
        <v>675</v>
      </c>
      <c r="I1643" s="468" t="s">
        <v>2772</v>
      </c>
      <c r="J1643" s="471" t="s">
        <v>709</v>
      </c>
      <c r="K1643" s="472" t="s">
        <v>107</v>
      </c>
      <c r="L1643" s="300" t="s">
        <v>2167</v>
      </c>
      <c r="M1643" s="471" t="s">
        <v>313</v>
      </c>
      <c r="N1643" s="617" t="s">
        <v>696</v>
      </c>
      <c r="O1643" s="468" t="s">
        <v>110</v>
      </c>
      <c r="P1643" s="473">
        <v>36</v>
      </c>
      <c r="Q1643" s="473">
        <v>5</v>
      </c>
      <c r="R1643" s="474">
        <v>7.4999999999999997E-3</v>
      </c>
      <c r="S1643" s="468" t="s">
        <v>111</v>
      </c>
      <c r="T1643" s="468" t="s">
        <v>112</v>
      </c>
      <c r="U1643" s="468" t="s">
        <v>57</v>
      </c>
      <c r="V1643" s="475">
        <f>792-320</f>
        <v>472</v>
      </c>
      <c r="W1643" s="475">
        <f>2+470</f>
        <v>472</v>
      </c>
      <c r="X1643" s="476"/>
      <c r="Y1643" s="477">
        <f t="shared" si="551"/>
        <v>0</v>
      </c>
      <c r="Z1643" s="478">
        <f t="shared" si="552"/>
        <v>0</v>
      </c>
      <c r="AA1643" s="478"/>
      <c r="AB1643" s="828"/>
      <c r="AC1643" s="475"/>
      <c r="AD1643" s="307" t="s">
        <v>1815</v>
      </c>
      <c r="AE1643" s="210"/>
      <c r="AF1643" s="210"/>
      <c r="AG1643" s="211">
        <f t="shared" si="553"/>
        <v>0.308</v>
      </c>
      <c r="AH1643" s="157">
        <f t="shared" si="554"/>
        <v>0</v>
      </c>
      <c r="AI1643" s="152">
        <f t="shared" si="555"/>
        <v>16992</v>
      </c>
      <c r="AK1643" s="156" t="s">
        <v>691</v>
      </c>
      <c r="AL1643" s="212" t="s">
        <v>690</v>
      </c>
      <c r="AM1643" s="198">
        <f t="shared" si="550"/>
        <v>0</v>
      </c>
      <c r="AN1643" s="199">
        <f t="shared" si="545"/>
        <v>45614</v>
      </c>
      <c r="AO1643" s="159" t="s">
        <v>692</v>
      </c>
      <c r="AP1643" s="783" t="s">
        <v>644</v>
      </c>
      <c r="AQ1643" s="782">
        <v>12063755</v>
      </c>
      <c r="AR1643" s="782">
        <v>12061353</v>
      </c>
      <c r="AS1643" s="782">
        <v>12061354</v>
      </c>
      <c r="AT1643" s="782">
        <v>12089990</v>
      </c>
      <c r="AU1643" s="781"/>
      <c r="AV1643" s="782">
        <v>12089997</v>
      </c>
      <c r="AW1643" s="782">
        <v>12088207</v>
      </c>
      <c r="AX1643" s="782"/>
      <c r="AY1643" s="782">
        <v>12089998</v>
      </c>
      <c r="AZ1643" s="782"/>
      <c r="BA1643" s="781"/>
    </row>
    <row r="1644" spans="1:53" ht="24.65" hidden="1" customHeight="1">
      <c r="B1644" s="466">
        <v>45614</v>
      </c>
      <c r="C1644" s="467">
        <v>45638</v>
      </c>
      <c r="D1644" s="185">
        <f t="shared" si="538"/>
        <v>2024</v>
      </c>
      <c r="E1644" s="467" t="str">
        <f>VLOOKUP($B1644,Week!$A$1:$C$1462,2,0)</f>
        <v>Week47</v>
      </c>
      <c r="F1644" s="469" t="str">
        <f t="shared" si="539"/>
        <v>Nov</v>
      </c>
      <c r="G1644" s="468" t="s">
        <v>1583</v>
      </c>
      <c r="H1644" s="468" t="s">
        <v>675</v>
      </c>
      <c r="I1644" s="468" t="s">
        <v>2772</v>
      </c>
      <c r="J1644" s="471" t="s">
        <v>709</v>
      </c>
      <c r="K1644" s="472" t="s">
        <v>107</v>
      </c>
      <c r="L1644" s="300" t="s">
        <v>2167</v>
      </c>
      <c r="M1644" s="471" t="s">
        <v>313</v>
      </c>
      <c r="N1644" s="617" t="s">
        <v>696</v>
      </c>
      <c r="O1644" s="468" t="s">
        <v>110</v>
      </c>
      <c r="P1644" s="473">
        <v>36</v>
      </c>
      <c r="Q1644" s="473">
        <v>5</v>
      </c>
      <c r="R1644" s="474">
        <v>7.4999999999999997E-3</v>
      </c>
      <c r="S1644" s="468" t="s">
        <v>111</v>
      </c>
      <c r="T1644" s="468" t="s">
        <v>112</v>
      </c>
      <c r="U1644" s="468" t="s">
        <v>57</v>
      </c>
      <c r="V1644" s="475">
        <f>320</f>
        <v>320</v>
      </c>
      <c r="W1644" s="475">
        <f>632-470</f>
        <v>162</v>
      </c>
      <c r="X1644" s="476">
        <f>5942/36</f>
        <v>165.05555555555554</v>
      </c>
      <c r="Y1644" s="477">
        <f t="shared" si="551"/>
        <v>7.0555555555555429</v>
      </c>
      <c r="Z1644" s="478">
        <f t="shared" si="552"/>
        <v>0</v>
      </c>
      <c r="AA1644" s="478"/>
      <c r="AB1644" s="828"/>
      <c r="AC1644" s="475"/>
      <c r="AD1644" s="515"/>
      <c r="AE1644" s="210"/>
      <c r="AF1644" s="210"/>
      <c r="AG1644" s="211">
        <f t="shared" si="553"/>
        <v>0.308</v>
      </c>
      <c r="AH1644" s="157">
        <f t="shared" si="554"/>
        <v>0</v>
      </c>
      <c r="AI1644" s="152">
        <f t="shared" si="555"/>
        <v>11520</v>
      </c>
      <c r="AK1644" s="156" t="s">
        <v>691</v>
      </c>
      <c r="AL1644" s="212" t="s">
        <v>690</v>
      </c>
      <c r="AM1644" s="198">
        <f t="shared" si="550"/>
        <v>0</v>
      </c>
      <c r="AN1644" s="199">
        <f t="shared" si="545"/>
        <v>45614</v>
      </c>
      <c r="AO1644" s="159" t="s">
        <v>692</v>
      </c>
      <c r="AP1644" s="783" t="s">
        <v>644</v>
      </c>
      <c r="AQ1644" s="782">
        <v>12063755</v>
      </c>
      <c r="AR1644" s="782">
        <v>12061353</v>
      </c>
      <c r="AS1644" s="782">
        <v>12061354</v>
      </c>
      <c r="AT1644" s="782">
        <v>12089990</v>
      </c>
      <c r="AU1644" s="781"/>
      <c r="AV1644" s="782">
        <v>12089997</v>
      </c>
      <c r="AW1644" s="782">
        <v>12088207</v>
      </c>
      <c r="AX1644" s="782"/>
      <c r="AY1644" s="782">
        <v>12089998</v>
      </c>
      <c r="AZ1644" s="782"/>
      <c r="BA1644" s="781"/>
    </row>
    <row r="1645" spans="1:53" ht="24.65" hidden="1" customHeight="1">
      <c r="B1645" s="308">
        <v>45614</v>
      </c>
      <c r="C1645" s="309">
        <v>45638</v>
      </c>
      <c r="D1645" s="185">
        <f t="shared" si="538"/>
        <v>2024</v>
      </c>
      <c r="E1645" s="309" t="str">
        <f>VLOOKUP($B1645,Week!$A$1:$C$1462,2,0)</f>
        <v>Week47</v>
      </c>
      <c r="F1645" s="310" t="str">
        <f t="shared" si="539"/>
        <v>Nov</v>
      </c>
      <c r="G1645" s="311" t="s">
        <v>1795</v>
      </c>
      <c r="H1645" s="311" t="s">
        <v>311</v>
      </c>
      <c r="I1645" s="311" t="s">
        <v>2772</v>
      </c>
      <c r="J1645" s="312" t="s">
        <v>738</v>
      </c>
      <c r="K1645" s="313" t="s">
        <v>107</v>
      </c>
      <c r="L1645" s="300" t="s">
        <v>2167</v>
      </c>
      <c r="M1645" s="312" t="s">
        <v>313</v>
      </c>
      <c r="N1645" s="311" t="s">
        <v>314</v>
      </c>
      <c r="O1645" s="311" t="s">
        <v>110</v>
      </c>
      <c r="P1645" s="314">
        <v>36</v>
      </c>
      <c r="Q1645" s="314">
        <v>5</v>
      </c>
      <c r="R1645" s="315">
        <v>7.4999999999999997E-3</v>
      </c>
      <c r="S1645" s="311" t="s">
        <v>111</v>
      </c>
      <c r="T1645" s="311" t="s">
        <v>112</v>
      </c>
      <c r="U1645" s="311" t="s">
        <v>57</v>
      </c>
      <c r="V1645" s="316">
        <v>792</v>
      </c>
      <c r="W1645" s="316">
        <f>701</f>
        <v>701</v>
      </c>
      <c r="X1645" s="317">
        <f>(3305)/36</f>
        <v>91.805555555555557</v>
      </c>
      <c r="Y1645" s="318">
        <f t="shared" si="551"/>
        <v>0.80555555555554292</v>
      </c>
      <c r="Z1645" s="319">
        <f t="shared" si="552"/>
        <v>0</v>
      </c>
      <c r="AA1645" s="319"/>
      <c r="AB1645" s="815"/>
      <c r="AC1645" s="316"/>
      <c r="AD1645" s="515"/>
      <c r="AE1645" s="210"/>
      <c r="AF1645" s="210"/>
      <c r="AG1645" s="211">
        <f t="shared" si="553"/>
        <v>0.308</v>
      </c>
      <c r="AH1645" s="157">
        <f t="shared" si="554"/>
        <v>0</v>
      </c>
      <c r="AI1645" s="152">
        <f t="shared" si="555"/>
        <v>28512</v>
      </c>
      <c r="AK1645" s="156" t="s">
        <v>691</v>
      </c>
      <c r="AL1645" s="212" t="s">
        <v>690</v>
      </c>
      <c r="AM1645" s="198">
        <f t="shared" si="550"/>
        <v>0</v>
      </c>
      <c r="AN1645" s="199">
        <f t="shared" si="545"/>
        <v>45614</v>
      </c>
      <c r="AO1645" s="159" t="s">
        <v>692</v>
      </c>
      <c r="AP1645" s="783" t="s">
        <v>644</v>
      </c>
      <c r="AQ1645" s="782">
        <v>12063755</v>
      </c>
      <c r="AR1645" s="782">
        <v>12061353</v>
      </c>
      <c r="AS1645" s="782">
        <v>12061354</v>
      </c>
      <c r="AT1645" s="782">
        <v>12062266</v>
      </c>
      <c r="AU1645" s="781"/>
      <c r="AV1645" s="782">
        <v>12088159</v>
      </c>
      <c r="AW1645" s="782">
        <v>12088207</v>
      </c>
      <c r="AX1645" s="782"/>
      <c r="AY1645" s="782">
        <v>12062262</v>
      </c>
      <c r="AZ1645" s="782"/>
      <c r="BA1645" s="781"/>
    </row>
    <row r="1646" spans="1:53" ht="25" hidden="1" customHeight="1">
      <c r="B1646" s="332">
        <v>45614</v>
      </c>
      <c r="C1646" s="333">
        <v>45640</v>
      </c>
      <c r="D1646" s="185">
        <f t="shared" si="538"/>
        <v>2024</v>
      </c>
      <c r="E1646" s="333" t="str">
        <f>VLOOKUP($B1646,Week!$A$1:$C$1462,2,0)</f>
        <v>Week47</v>
      </c>
      <c r="F1646" s="334" t="str">
        <f t="shared" si="539"/>
        <v>Nov</v>
      </c>
      <c r="G1646" s="335" t="s">
        <v>1875</v>
      </c>
      <c r="H1646" s="335" t="s">
        <v>571</v>
      </c>
      <c r="I1646" s="335" t="s">
        <v>2772</v>
      </c>
      <c r="J1646" s="336" t="s">
        <v>663</v>
      </c>
      <c r="K1646" s="337" t="s">
        <v>1649</v>
      </c>
      <c r="L1646" s="300" t="s">
        <v>2167</v>
      </c>
      <c r="M1646" s="336" t="s">
        <v>603</v>
      </c>
      <c r="N1646" s="335" t="s">
        <v>658</v>
      </c>
      <c r="O1646" s="335" t="s">
        <v>659</v>
      </c>
      <c r="P1646" s="338">
        <v>12</v>
      </c>
      <c r="Q1646" s="338">
        <v>3</v>
      </c>
      <c r="R1646" s="339">
        <v>6.0000000000000001E-3</v>
      </c>
      <c r="S1646" s="335" t="s">
        <v>55</v>
      </c>
      <c r="T1646" s="335" t="s">
        <v>112</v>
      </c>
      <c r="U1646" s="340" t="s">
        <v>721</v>
      </c>
      <c r="V1646" s="341">
        <f>2278</f>
        <v>2278</v>
      </c>
      <c r="W1646" s="341"/>
      <c r="X1646" s="342">
        <f>(448+27129)/12</f>
        <v>2298.0833333333335</v>
      </c>
      <c r="Y1646" s="343">
        <f t="shared" si="551"/>
        <v>20.083333333333485</v>
      </c>
      <c r="Z1646" s="344">
        <f t="shared" si="552"/>
        <v>0</v>
      </c>
      <c r="AA1646" s="344"/>
      <c r="AB1646" s="817"/>
      <c r="AC1646" s="341"/>
      <c r="AD1646" s="636"/>
      <c r="AE1646" s="210"/>
      <c r="AF1646" s="210"/>
      <c r="AG1646" s="211">
        <f t="shared" si="553"/>
        <v>0.30199999999999999</v>
      </c>
      <c r="AH1646" s="157">
        <v>0.26621999999999996</v>
      </c>
      <c r="AI1646" s="152">
        <f t="shared" si="555"/>
        <v>27336</v>
      </c>
      <c r="AK1646" s="156" t="s">
        <v>691</v>
      </c>
      <c r="AL1646" s="212" t="s">
        <v>690</v>
      </c>
      <c r="AM1646" s="198">
        <f t="shared" si="550"/>
        <v>0</v>
      </c>
      <c r="AN1646" s="199">
        <f t="shared" si="545"/>
        <v>45614</v>
      </c>
      <c r="AO1646" s="159" t="s">
        <v>692</v>
      </c>
      <c r="AP1646" s="781" t="s">
        <v>642</v>
      </c>
      <c r="AQ1646" s="782">
        <v>12063755</v>
      </c>
      <c r="AR1646" s="782">
        <v>12061353</v>
      </c>
      <c r="AS1646" s="782">
        <v>12061354</v>
      </c>
      <c r="AT1646" s="782"/>
      <c r="AU1646" s="781"/>
      <c r="AV1646" s="782">
        <v>12084863</v>
      </c>
      <c r="AW1646" s="781"/>
      <c r="AX1646" s="781"/>
      <c r="AY1646" s="782"/>
      <c r="AZ1646" s="782"/>
      <c r="BA1646" s="782"/>
    </row>
    <row r="1647" spans="1:53" ht="25" hidden="1" customHeight="1">
      <c r="A1647" s="142" t="s">
        <v>120</v>
      </c>
      <c r="B1647" s="283">
        <v>45615</v>
      </c>
      <c r="C1647" s="284">
        <v>45629</v>
      </c>
      <c r="D1647" s="185">
        <f t="shared" si="538"/>
        <v>2024</v>
      </c>
      <c r="E1647" s="286" t="str">
        <f>VLOOKUP($B1647,Week!$A$1:$C$1462,2,0)</f>
        <v>Week47</v>
      </c>
      <c r="F1647" s="285" t="str">
        <f t="shared" si="539"/>
        <v>Nov</v>
      </c>
      <c r="G1647" s="286" t="s">
        <v>1719</v>
      </c>
      <c r="H1647" s="286" t="s">
        <v>134</v>
      </c>
      <c r="I1647" s="286" t="s">
        <v>2772</v>
      </c>
      <c r="J1647" s="287" t="s">
        <v>164</v>
      </c>
      <c r="K1647" s="288" t="s">
        <v>153</v>
      </c>
      <c r="L1647" s="390" t="s">
        <v>2166</v>
      </c>
      <c r="M1647" s="287" t="s">
        <v>214</v>
      </c>
      <c r="N1647" s="286" t="s">
        <v>215</v>
      </c>
      <c r="O1647" s="286" t="s">
        <v>504</v>
      </c>
      <c r="P1647" s="289">
        <v>20</v>
      </c>
      <c r="Q1647" s="289">
        <v>8</v>
      </c>
      <c r="R1647" s="290">
        <v>1.4999999999999999E-2</v>
      </c>
      <c r="S1647" s="286" t="s">
        <v>217</v>
      </c>
      <c r="T1647" s="286" t="s">
        <v>56</v>
      </c>
      <c r="U1647" s="286" t="s">
        <v>89</v>
      </c>
      <c r="V1647" s="291">
        <v>708</v>
      </c>
      <c r="W1647" s="291">
        <f>692</f>
        <v>692</v>
      </c>
      <c r="X1647" s="292">
        <f>(320)/20</f>
        <v>16</v>
      </c>
      <c r="Y1647" s="293">
        <f t="shared" si="551"/>
        <v>0</v>
      </c>
      <c r="Z1647" s="294">
        <f t="shared" si="552"/>
        <v>0</v>
      </c>
      <c r="AA1647" s="291">
        <f t="shared" ref="AA1647:AA1652" si="556">Q1647*Z1647</f>
        <v>0</v>
      </c>
      <c r="AB1647" s="813">
        <v>2</v>
      </c>
      <c r="AC1647" s="291">
        <f t="shared" ref="AC1647:AC1652" si="557">Z1647*AB1647</f>
        <v>0</v>
      </c>
      <c r="AD1647" s="209" t="s">
        <v>218</v>
      </c>
      <c r="AE1647" s="210"/>
      <c r="AF1647" s="210"/>
      <c r="AG1647" s="211">
        <f t="shared" si="553"/>
        <v>0.19400000000000001</v>
      </c>
      <c r="AH1647" s="157">
        <f t="shared" ref="AH1647:AH1664" si="558">(Z1647*AG1647)/1000</f>
        <v>0</v>
      </c>
      <c r="AI1647" s="152">
        <f t="shared" si="555"/>
        <v>14160</v>
      </c>
      <c r="AK1647" s="156" t="s">
        <v>691</v>
      </c>
      <c r="AL1647" s="156" t="s">
        <v>689</v>
      </c>
      <c r="AM1647" s="198">
        <f t="shared" si="550"/>
        <v>0</v>
      </c>
      <c r="AN1647" s="199">
        <f t="shared" si="545"/>
        <v>45615</v>
      </c>
      <c r="AO1647" s="159" t="s">
        <v>692</v>
      </c>
      <c r="AP1647" s="783" t="s">
        <v>610</v>
      </c>
      <c r="AQ1647" s="782"/>
      <c r="AR1647" s="782">
        <v>12064528</v>
      </c>
      <c r="AS1647" s="782"/>
      <c r="AT1647" s="782">
        <v>12064478</v>
      </c>
      <c r="AU1647" s="781"/>
      <c r="AV1647" s="782">
        <v>12064493</v>
      </c>
      <c r="AW1647" s="782"/>
      <c r="AX1647" s="782" t="s">
        <v>545</v>
      </c>
      <c r="AY1647" s="782"/>
      <c r="AZ1647" s="782"/>
      <c r="BA1647" s="781"/>
    </row>
    <row r="1648" spans="1:53" ht="25" hidden="1" customHeight="1">
      <c r="A1648" s="142" t="s">
        <v>120</v>
      </c>
      <c r="B1648" s="369">
        <v>45615</v>
      </c>
      <c r="C1648" s="370">
        <v>45639</v>
      </c>
      <c r="D1648" s="185">
        <f t="shared" si="538"/>
        <v>2024</v>
      </c>
      <c r="E1648" s="371" t="str">
        <f>VLOOKUP($B1648,Week!$A$1:$C$1462,2,0)</f>
        <v>Week47</v>
      </c>
      <c r="F1648" s="372" t="str">
        <f t="shared" si="539"/>
        <v>Nov</v>
      </c>
      <c r="G1648" s="371" t="s">
        <v>1724</v>
      </c>
      <c r="H1648" s="371" t="s">
        <v>344</v>
      </c>
      <c r="I1648" s="371" t="s">
        <v>2772</v>
      </c>
      <c r="J1648" s="373" t="s">
        <v>345</v>
      </c>
      <c r="K1648" s="374" t="s">
        <v>153</v>
      </c>
      <c r="L1648" s="390" t="s">
        <v>2166</v>
      </c>
      <c r="M1648" s="373" t="s">
        <v>214</v>
      </c>
      <c r="N1648" s="371" t="s">
        <v>346</v>
      </c>
      <c r="O1648" s="371" t="s">
        <v>509</v>
      </c>
      <c r="P1648" s="375">
        <v>18</v>
      </c>
      <c r="Q1648" s="375">
        <v>8</v>
      </c>
      <c r="R1648" s="376">
        <v>6.8100000000000001E-3</v>
      </c>
      <c r="S1648" s="371" t="s">
        <v>76</v>
      </c>
      <c r="T1648" s="371" t="s">
        <v>56</v>
      </c>
      <c r="U1648" s="371" t="s">
        <v>89</v>
      </c>
      <c r="V1648" s="377">
        <f>1500</f>
        <v>1500</v>
      </c>
      <c r="W1648" s="377">
        <f>528</f>
        <v>528</v>
      </c>
      <c r="X1648" s="378">
        <f>(594+17046)/18</f>
        <v>980</v>
      </c>
      <c r="Y1648" s="379">
        <f t="shared" si="551"/>
        <v>8</v>
      </c>
      <c r="Z1648" s="380">
        <f t="shared" si="552"/>
        <v>0</v>
      </c>
      <c r="AA1648" s="380">
        <f t="shared" si="556"/>
        <v>0</v>
      </c>
      <c r="AB1648" s="820">
        <v>1</v>
      </c>
      <c r="AC1648" s="377">
        <f t="shared" si="557"/>
        <v>0</v>
      </c>
      <c r="AD1648" s="443"/>
      <c r="AE1648" s="210"/>
      <c r="AF1648" s="210"/>
      <c r="AG1648" s="211">
        <f t="shared" si="553"/>
        <v>0.10100000000000001</v>
      </c>
      <c r="AH1648" s="157">
        <f t="shared" si="558"/>
        <v>0</v>
      </c>
      <c r="AI1648" s="152">
        <f t="shared" si="555"/>
        <v>27000</v>
      </c>
      <c r="AK1648" s="156" t="s">
        <v>691</v>
      </c>
      <c r="AL1648" s="156" t="s">
        <v>689</v>
      </c>
      <c r="AM1648" s="198">
        <f t="shared" si="550"/>
        <v>0</v>
      </c>
      <c r="AN1648" s="199">
        <f t="shared" si="545"/>
        <v>45615</v>
      </c>
      <c r="AO1648" s="159" t="s">
        <v>692</v>
      </c>
      <c r="AP1648" s="781"/>
      <c r="AQ1648" s="781" t="s">
        <v>158</v>
      </c>
      <c r="AR1648" s="782">
        <v>12038019</v>
      </c>
      <c r="AS1648" s="781"/>
      <c r="AT1648" s="800">
        <v>12055751</v>
      </c>
      <c r="AU1648" s="781"/>
      <c r="AV1648" s="800">
        <v>12049471</v>
      </c>
      <c r="AW1648" s="781"/>
      <c r="AX1648" s="781" t="s">
        <v>162</v>
      </c>
      <c r="AY1648" s="781"/>
      <c r="AZ1648" s="781"/>
      <c r="BA1648" s="781"/>
    </row>
    <row r="1649" spans="1:53" ht="24.65" hidden="1" customHeight="1">
      <c r="A1649" s="142" t="s">
        <v>120</v>
      </c>
      <c r="B1649" s="357">
        <v>45615</v>
      </c>
      <c r="C1649" s="358">
        <v>45639</v>
      </c>
      <c r="D1649" s="185">
        <f t="shared" si="538"/>
        <v>2024</v>
      </c>
      <c r="E1649" s="359" t="str">
        <f>VLOOKUP($B1649,Week!$A$1:$C$1462,2,0)</f>
        <v>Week47</v>
      </c>
      <c r="F1649" s="360" t="str">
        <f t="shared" si="539"/>
        <v>Nov</v>
      </c>
      <c r="G1649" s="359" t="s">
        <v>1724</v>
      </c>
      <c r="H1649" s="359" t="s">
        <v>344</v>
      </c>
      <c r="I1649" s="359" t="s">
        <v>2772</v>
      </c>
      <c r="J1649" s="361" t="s">
        <v>345</v>
      </c>
      <c r="K1649" s="362" t="s">
        <v>355</v>
      </c>
      <c r="L1649" s="390" t="s">
        <v>2166</v>
      </c>
      <c r="M1649" s="361" t="s">
        <v>356</v>
      </c>
      <c r="N1649" s="359" t="s">
        <v>357</v>
      </c>
      <c r="O1649" s="359" t="s">
        <v>508</v>
      </c>
      <c r="P1649" s="363">
        <v>18</v>
      </c>
      <c r="Q1649" s="363">
        <v>8</v>
      </c>
      <c r="R1649" s="364">
        <v>6.0000000000000001E-3</v>
      </c>
      <c r="S1649" s="359" t="s">
        <v>55</v>
      </c>
      <c r="T1649" s="359" t="s">
        <v>56</v>
      </c>
      <c r="U1649" s="359" t="s">
        <v>89</v>
      </c>
      <c r="V1649" s="365">
        <f>300</f>
        <v>300</v>
      </c>
      <c r="W1649" s="365">
        <f>21+279</f>
        <v>300</v>
      </c>
      <c r="X1649" s="366"/>
      <c r="Y1649" s="367">
        <f t="shared" si="551"/>
        <v>0</v>
      </c>
      <c r="Z1649" s="368">
        <f t="shared" si="552"/>
        <v>0</v>
      </c>
      <c r="AA1649" s="368">
        <f t="shared" si="556"/>
        <v>0</v>
      </c>
      <c r="AB1649" s="819">
        <v>2</v>
      </c>
      <c r="AC1649" s="365">
        <f t="shared" si="557"/>
        <v>0</v>
      </c>
      <c r="AD1649" s="443"/>
      <c r="AE1649" s="210"/>
      <c r="AF1649" s="210"/>
      <c r="AG1649" s="211">
        <f>MID(O1649,1,2)/1000</f>
        <v>0.09</v>
      </c>
      <c r="AH1649" s="157">
        <f t="shared" si="558"/>
        <v>0</v>
      </c>
      <c r="AI1649" s="152">
        <f t="shared" si="555"/>
        <v>5400</v>
      </c>
      <c r="AK1649" s="156" t="s">
        <v>691</v>
      </c>
      <c r="AL1649" s="156" t="s">
        <v>689</v>
      </c>
      <c r="AM1649" s="198">
        <f t="shared" si="550"/>
        <v>0</v>
      </c>
      <c r="AN1649" s="199">
        <f t="shared" si="545"/>
        <v>45615</v>
      </c>
      <c r="AO1649" s="159" t="s">
        <v>692</v>
      </c>
      <c r="AP1649" s="781"/>
      <c r="AQ1649" s="782"/>
      <c r="AR1649" s="782" t="s">
        <v>531</v>
      </c>
      <c r="AS1649" s="782"/>
      <c r="AT1649" s="782"/>
      <c r="AU1649" s="782">
        <v>12054219</v>
      </c>
      <c r="AV1649" s="782">
        <v>12054239</v>
      </c>
      <c r="AW1649" s="782"/>
      <c r="AX1649" s="782" t="s">
        <v>532</v>
      </c>
      <c r="AY1649" s="782"/>
      <c r="AZ1649" s="782"/>
      <c r="BA1649" s="781"/>
    </row>
    <row r="1650" spans="1:53" ht="24.65" hidden="1" customHeight="1">
      <c r="A1650" s="142" t="s">
        <v>120</v>
      </c>
      <c r="B1650" s="258">
        <v>45615</v>
      </c>
      <c r="C1650" s="259">
        <v>45629</v>
      </c>
      <c r="D1650" s="185">
        <f t="shared" si="538"/>
        <v>2024</v>
      </c>
      <c r="E1650" s="260" t="str">
        <f>VLOOKUP($B1650,Week!$A$1:$C$1462,2,0)</f>
        <v>Week47</v>
      </c>
      <c r="F1650" s="261" t="str">
        <f t="shared" si="539"/>
        <v>Nov</v>
      </c>
      <c r="G1650" s="262" t="s">
        <v>1720</v>
      </c>
      <c r="H1650" s="260" t="s">
        <v>134</v>
      </c>
      <c r="I1650" s="260" t="s">
        <v>2772</v>
      </c>
      <c r="J1650" s="263" t="s">
        <v>164</v>
      </c>
      <c r="K1650" s="264" t="s">
        <v>153</v>
      </c>
      <c r="L1650" s="390" t="s">
        <v>2166</v>
      </c>
      <c r="M1650" s="263" t="s">
        <v>165</v>
      </c>
      <c r="N1650" s="260" t="s">
        <v>166</v>
      </c>
      <c r="O1650" s="260" t="s">
        <v>502</v>
      </c>
      <c r="P1650" s="265">
        <v>20</v>
      </c>
      <c r="Q1650" s="265">
        <v>12</v>
      </c>
      <c r="R1650" s="266">
        <v>6.8100000000000001E-3</v>
      </c>
      <c r="S1650" s="260" t="s">
        <v>76</v>
      </c>
      <c r="T1650" s="260" t="s">
        <v>56</v>
      </c>
      <c r="U1650" s="260" t="s">
        <v>89</v>
      </c>
      <c r="V1650" s="267">
        <f>688</f>
        <v>688</v>
      </c>
      <c r="W1650" s="267">
        <f>250</f>
        <v>250</v>
      </c>
      <c r="X1650" s="268">
        <f>((780+980)/20)+350</f>
        <v>438</v>
      </c>
      <c r="Y1650" s="269">
        <f t="shared" si="551"/>
        <v>0</v>
      </c>
      <c r="Z1650" s="270">
        <f t="shared" si="552"/>
        <v>0</v>
      </c>
      <c r="AA1650" s="270">
        <f t="shared" si="556"/>
        <v>0</v>
      </c>
      <c r="AB1650" s="811">
        <v>2</v>
      </c>
      <c r="AC1650" s="267">
        <f t="shared" si="557"/>
        <v>0</v>
      </c>
      <c r="AD1650" s="209" t="s">
        <v>168</v>
      </c>
      <c r="AE1650" s="210"/>
      <c r="AF1650" s="210"/>
      <c r="AG1650" s="211">
        <f>MID(O1650,1,3)/1000</f>
        <v>0.154</v>
      </c>
      <c r="AH1650" s="157">
        <f t="shared" si="558"/>
        <v>0</v>
      </c>
      <c r="AI1650" s="152">
        <f t="shared" si="555"/>
        <v>13760</v>
      </c>
      <c r="AK1650" s="156" t="s">
        <v>691</v>
      </c>
      <c r="AL1650" s="156" t="s">
        <v>689</v>
      </c>
      <c r="AM1650" s="198">
        <f t="shared" si="550"/>
        <v>0</v>
      </c>
      <c r="AN1650" s="199">
        <f t="shared" si="545"/>
        <v>45615</v>
      </c>
      <c r="AO1650" s="159" t="s">
        <v>692</v>
      </c>
      <c r="AP1650" s="783" t="s">
        <v>610</v>
      </c>
      <c r="AQ1650" s="783" t="s">
        <v>631</v>
      </c>
      <c r="AR1650" s="783" t="s">
        <v>523</v>
      </c>
      <c r="AS1650" s="781"/>
      <c r="AT1650" s="782">
        <v>12055919</v>
      </c>
      <c r="AU1650" s="781"/>
      <c r="AV1650" s="783" t="s">
        <v>544</v>
      </c>
      <c r="AW1650" s="781"/>
      <c r="AX1650" s="782" t="s">
        <v>398</v>
      </c>
      <c r="AY1650" s="781"/>
      <c r="AZ1650" s="781"/>
      <c r="BA1650" s="781"/>
    </row>
    <row r="1651" spans="1:53" ht="24.65" hidden="1" customHeight="1">
      <c r="A1651" s="142" t="s">
        <v>120</v>
      </c>
      <c r="B1651" s="258">
        <v>45616</v>
      </c>
      <c r="C1651" s="259">
        <v>45629</v>
      </c>
      <c r="D1651" s="185">
        <f t="shared" si="538"/>
        <v>2024</v>
      </c>
      <c r="E1651" s="260" t="str">
        <f>VLOOKUP($B1651,Week!$A$1:$C$1462,2,0)</f>
        <v>Week47</v>
      </c>
      <c r="F1651" s="261" t="str">
        <f t="shared" si="539"/>
        <v>Nov</v>
      </c>
      <c r="G1651" s="262" t="s">
        <v>1720</v>
      </c>
      <c r="H1651" s="260" t="s">
        <v>134</v>
      </c>
      <c r="I1651" s="260" t="s">
        <v>2772</v>
      </c>
      <c r="J1651" s="263" t="s">
        <v>164</v>
      </c>
      <c r="K1651" s="264" t="s">
        <v>153</v>
      </c>
      <c r="L1651" s="390" t="s">
        <v>2166</v>
      </c>
      <c r="M1651" s="263" t="s">
        <v>165</v>
      </c>
      <c r="N1651" s="260" t="s">
        <v>166</v>
      </c>
      <c r="O1651" s="260" t="s">
        <v>502</v>
      </c>
      <c r="P1651" s="265">
        <v>20</v>
      </c>
      <c r="Q1651" s="265">
        <v>12</v>
      </c>
      <c r="R1651" s="266">
        <v>6.8100000000000001E-3</v>
      </c>
      <c r="S1651" s="260" t="s">
        <v>76</v>
      </c>
      <c r="T1651" s="260" t="s">
        <v>56</v>
      </c>
      <c r="U1651" s="260" t="s">
        <v>89</v>
      </c>
      <c r="V1651" s="267">
        <f>3000-688</f>
        <v>2312</v>
      </c>
      <c r="W1651" s="267">
        <f>1583+16</f>
        <v>1599</v>
      </c>
      <c r="X1651" s="268">
        <f>14260/20</f>
        <v>713</v>
      </c>
      <c r="Y1651" s="269">
        <f t="shared" si="551"/>
        <v>0</v>
      </c>
      <c r="Z1651" s="270">
        <f t="shared" si="552"/>
        <v>0</v>
      </c>
      <c r="AA1651" s="270">
        <f t="shared" si="556"/>
        <v>0</v>
      </c>
      <c r="AB1651" s="811">
        <v>2</v>
      </c>
      <c r="AC1651" s="267">
        <f t="shared" si="557"/>
        <v>0</v>
      </c>
      <c r="AD1651" s="209" t="s">
        <v>168</v>
      </c>
      <c r="AE1651" s="210"/>
      <c r="AF1651" s="210"/>
      <c r="AG1651" s="211">
        <f>MID(O1651,1,3)/1000</f>
        <v>0.154</v>
      </c>
      <c r="AH1651" s="157">
        <f t="shared" si="558"/>
        <v>0</v>
      </c>
      <c r="AI1651" s="152">
        <f t="shared" si="555"/>
        <v>46240</v>
      </c>
      <c r="AK1651" s="156" t="s">
        <v>691</v>
      </c>
      <c r="AL1651" s="156" t="s">
        <v>689</v>
      </c>
      <c r="AM1651" s="198">
        <f t="shared" si="550"/>
        <v>0</v>
      </c>
      <c r="AN1651" s="199">
        <f t="shared" si="545"/>
        <v>45616</v>
      </c>
      <c r="AO1651" s="159" t="s">
        <v>692</v>
      </c>
      <c r="AP1651" s="783" t="s">
        <v>610</v>
      </c>
      <c r="AQ1651" s="783" t="s">
        <v>631</v>
      </c>
      <c r="AR1651" s="783" t="s">
        <v>523</v>
      </c>
      <c r="AS1651" s="781"/>
      <c r="AT1651" s="782">
        <v>12055919</v>
      </c>
      <c r="AU1651" s="781"/>
      <c r="AV1651" s="783" t="s">
        <v>544</v>
      </c>
      <c r="AW1651" s="781"/>
      <c r="AX1651" s="782" t="s">
        <v>398</v>
      </c>
      <c r="AY1651" s="781"/>
      <c r="AZ1651" s="781"/>
      <c r="BA1651" s="781"/>
    </row>
    <row r="1652" spans="1:53" ht="25" hidden="1" customHeight="1">
      <c r="A1652" s="142" t="s">
        <v>120</v>
      </c>
      <c r="B1652" s="283">
        <v>45616</v>
      </c>
      <c r="C1652" s="284">
        <v>45629</v>
      </c>
      <c r="D1652" s="185">
        <f t="shared" si="538"/>
        <v>2024</v>
      </c>
      <c r="E1652" s="286" t="str">
        <f>VLOOKUP($B1652,Week!$A$1:$C$1462,2,0)</f>
        <v>Week47</v>
      </c>
      <c r="F1652" s="285" t="str">
        <f t="shared" si="539"/>
        <v>Nov</v>
      </c>
      <c r="G1652" s="286" t="s">
        <v>1719</v>
      </c>
      <c r="H1652" s="286" t="s">
        <v>134</v>
      </c>
      <c r="I1652" s="286" t="s">
        <v>2772</v>
      </c>
      <c r="J1652" s="287" t="s">
        <v>164</v>
      </c>
      <c r="K1652" s="288" t="s">
        <v>153</v>
      </c>
      <c r="L1652" s="390" t="s">
        <v>2166</v>
      </c>
      <c r="M1652" s="287" t="s">
        <v>214</v>
      </c>
      <c r="N1652" s="286" t="s">
        <v>215</v>
      </c>
      <c r="O1652" s="286" t="s">
        <v>504</v>
      </c>
      <c r="P1652" s="289">
        <v>20</v>
      </c>
      <c r="Q1652" s="289">
        <v>8</v>
      </c>
      <c r="R1652" s="290">
        <v>1.4999999999999999E-2</v>
      </c>
      <c r="S1652" s="286" t="s">
        <v>217</v>
      </c>
      <c r="T1652" s="286" t="s">
        <v>56</v>
      </c>
      <c r="U1652" s="286" t="s">
        <v>89</v>
      </c>
      <c r="V1652" s="291">
        <f>1000-708</f>
        <v>292</v>
      </c>
      <c r="W1652" s="291">
        <f>279+13</f>
        <v>292</v>
      </c>
      <c r="X1652" s="292"/>
      <c r="Y1652" s="293">
        <f t="shared" si="551"/>
        <v>0</v>
      </c>
      <c r="Z1652" s="294">
        <f t="shared" si="552"/>
        <v>0</v>
      </c>
      <c r="AA1652" s="291">
        <f t="shared" si="556"/>
        <v>0</v>
      </c>
      <c r="AB1652" s="813">
        <v>2</v>
      </c>
      <c r="AC1652" s="291">
        <f t="shared" si="557"/>
        <v>0</v>
      </c>
      <c r="AD1652" s="209" t="s">
        <v>218</v>
      </c>
      <c r="AE1652" s="210"/>
      <c r="AF1652" s="210"/>
      <c r="AG1652" s="211">
        <f>MID(O1652,1,3)/1000</f>
        <v>0.19400000000000001</v>
      </c>
      <c r="AH1652" s="157">
        <f t="shared" si="558"/>
        <v>0</v>
      </c>
      <c r="AI1652" s="152">
        <f t="shared" si="555"/>
        <v>5840</v>
      </c>
      <c r="AK1652" s="156" t="s">
        <v>691</v>
      </c>
      <c r="AL1652" s="156" t="s">
        <v>689</v>
      </c>
      <c r="AM1652" s="198">
        <f t="shared" si="550"/>
        <v>0</v>
      </c>
      <c r="AN1652" s="199">
        <f t="shared" si="545"/>
        <v>45616</v>
      </c>
      <c r="AO1652" s="159" t="s">
        <v>692</v>
      </c>
      <c r="AP1652" s="783" t="s">
        <v>610</v>
      </c>
      <c r="AQ1652" s="782"/>
      <c r="AR1652" s="782">
        <v>12064528</v>
      </c>
      <c r="AS1652" s="782"/>
      <c r="AT1652" s="782">
        <v>12064478</v>
      </c>
      <c r="AU1652" s="781"/>
      <c r="AV1652" s="782">
        <v>12064493</v>
      </c>
      <c r="AW1652" s="782"/>
      <c r="AX1652" s="782" t="s">
        <v>545</v>
      </c>
      <c r="AY1652" s="782"/>
      <c r="AZ1652" s="782"/>
      <c r="BA1652" s="781"/>
    </row>
    <row r="1653" spans="1:53" ht="25.15" hidden="1" customHeight="1">
      <c r="B1653" s="345">
        <v>45617</v>
      </c>
      <c r="C1653" s="346">
        <v>45633</v>
      </c>
      <c r="D1653" s="185">
        <f t="shared" si="538"/>
        <v>2024</v>
      </c>
      <c r="E1653" s="347" t="str">
        <f>VLOOKUP($B1653,Week!$A$1:$C$1462,2,0)</f>
        <v>Week47</v>
      </c>
      <c r="F1653" s="348" t="str">
        <f t="shared" si="539"/>
        <v>Nov</v>
      </c>
      <c r="G1653" s="347" t="s">
        <v>1800</v>
      </c>
      <c r="H1653" s="347" t="s">
        <v>424</v>
      </c>
      <c r="I1653" s="347" t="s">
        <v>2772</v>
      </c>
      <c r="J1653" s="438" t="s">
        <v>425</v>
      </c>
      <c r="K1653" s="350" t="s">
        <v>176</v>
      </c>
      <c r="L1653" s="300" t="s">
        <v>2167</v>
      </c>
      <c r="M1653" s="349" t="s">
        <v>426</v>
      </c>
      <c r="N1653" s="347" t="s">
        <v>427</v>
      </c>
      <c r="O1653" s="347" t="s">
        <v>599</v>
      </c>
      <c r="P1653" s="351">
        <v>36</v>
      </c>
      <c r="Q1653" s="351">
        <v>5</v>
      </c>
      <c r="R1653" s="352">
        <v>7.4999999999999997E-3</v>
      </c>
      <c r="S1653" s="347" t="s">
        <v>111</v>
      </c>
      <c r="T1653" s="347" t="s">
        <v>112</v>
      </c>
      <c r="U1653" s="347" t="s">
        <v>57</v>
      </c>
      <c r="V1653" s="353">
        <v>1288</v>
      </c>
      <c r="W1653" s="353">
        <f>13+1275</f>
        <v>1288</v>
      </c>
      <c r="X1653" s="354"/>
      <c r="Y1653" s="355">
        <f t="shared" si="551"/>
        <v>0</v>
      </c>
      <c r="Z1653" s="356">
        <f t="shared" si="552"/>
        <v>0</v>
      </c>
      <c r="AA1653" s="353"/>
      <c r="AB1653" s="818"/>
      <c r="AC1653" s="353"/>
      <c r="AD1653" s="307" t="s">
        <v>728</v>
      </c>
      <c r="AE1653" s="210"/>
      <c r="AF1653" s="210"/>
      <c r="AG1653" s="211">
        <f>MID(O1653,1,3)/1000</f>
        <v>0.14799999999999999</v>
      </c>
      <c r="AH1653" s="157">
        <f t="shared" si="558"/>
        <v>0</v>
      </c>
      <c r="AI1653" s="152">
        <f t="shared" si="555"/>
        <v>46368</v>
      </c>
      <c r="AK1653" s="156" t="s">
        <v>691</v>
      </c>
      <c r="AL1653" s="574" t="s">
        <v>690</v>
      </c>
      <c r="AM1653" s="198">
        <f t="shared" si="550"/>
        <v>0</v>
      </c>
      <c r="AN1653" s="199">
        <f t="shared" si="545"/>
        <v>45617</v>
      </c>
      <c r="AO1653" s="159" t="s">
        <v>692</v>
      </c>
      <c r="AP1653" s="783" t="s">
        <v>609</v>
      </c>
      <c r="AQ1653" s="782">
        <v>12071839</v>
      </c>
      <c r="AR1653" s="782">
        <v>12047514</v>
      </c>
      <c r="AS1653" s="782">
        <v>12047515</v>
      </c>
      <c r="AT1653" s="782">
        <v>12062098</v>
      </c>
      <c r="AU1653" s="782"/>
      <c r="AV1653" s="782">
        <v>12062100</v>
      </c>
      <c r="AW1653" s="782">
        <v>12024404</v>
      </c>
      <c r="AX1653" s="781"/>
      <c r="AY1653" s="782">
        <v>12062116</v>
      </c>
      <c r="AZ1653" s="782"/>
      <c r="BA1653" s="781"/>
    </row>
    <row r="1654" spans="1:53" ht="24.65" hidden="1" customHeight="1">
      <c r="B1654" s="466">
        <v>45617</v>
      </c>
      <c r="C1654" s="467">
        <v>45630</v>
      </c>
      <c r="D1654" s="185">
        <f t="shared" si="538"/>
        <v>2024</v>
      </c>
      <c r="E1654" s="467" t="str">
        <f>VLOOKUP($B1654,Week!$A$1:$C$1462,2,0)</f>
        <v>Week47</v>
      </c>
      <c r="F1654" s="469" t="str">
        <f t="shared" si="539"/>
        <v>Nov</v>
      </c>
      <c r="G1654" s="641" t="s">
        <v>1830</v>
      </c>
      <c r="H1654" s="482" t="s">
        <v>104</v>
      </c>
      <c r="I1654" s="482" t="s">
        <v>2772</v>
      </c>
      <c r="J1654" s="483" t="s">
        <v>105</v>
      </c>
      <c r="K1654" s="484" t="s">
        <v>51</v>
      </c>
      <c r="L1654" s="300" t="s">
        <v>2167</v>
      </c>
      <c r="M1654" s="483" t="s">
        <v>674</v>
      </c>
      <c r="N1654" s="482" t="s">
        <v>677</v>
      </c>
      <c r="O1654" s="482" t="s">
        <v>501</v>
      </c>
      <c r="P1654" s="473">
        <v>36</v>
      </c>
      <c r="Q1654" s="473">
        <v>5</v>
      </c>
      <c r="R1654" s="474">
        <v>6.0000000000000001E-3</v>
      </c>
      <c r="S1654" s="482" t="s">
        <v>55</v>
      </c>
      <c r="T1654" s="482" t="s">
        <v>112</v>
      </c>
      <c r="U1654" s="482" t="s">
        <v>57</v>
      </c>
      <c r="V1654" s="475">
        <f>450</f>
        <v>450</v>
      </c>
      <c r="W1654" s="475">
        <f>78+372</f>
        <v>450</v>
      </c>
      <c r="X1654" s="476"/>
      <c r="Y1654" s="477">
        <f t="shared" si="551"/>
        <v>0</v>
      </c>
      <c r="Z1654" s="478">
        <f t="shared" si="552"/>
        <v>0</v>
      </c>
      <c r="AA1654" s="478"/>
      <c r="AB1654" s="828"/>
      <c r="AC1654" s="475"/>
      <c r="AD1654" s="486"/>
      <c r="AE1654" s="210"/>
      <c r="AF1654" s="210"/>
      <c r="AG1654" s="211">
        <v>0.14499999999999999</v>
      </c>
      <c r="AH1654" s="157">
        <f t="shared" si="558"/>
        <v>0</v>
      </c>
      <c r="AI1654" s="152">
        <v>19800</v>
      </c>
      <c r="AK1654" s="156" t="s">
        <v>691</v>
      </c>
      <c r="AL1654" s="212" t="s">
        <v>690</v>
      </c>
      <c r="AM1654" s="198">
        <f t="shared" si="550"/>
        <v>0</v>
      </c>
      <c r="AN1654" s="199">
        <f t="shared" si="545"/>
        <v>45617</v>
      </c>
      <c r="AO1654" s="159" t="s">
        <v>692</v>
      </c>
      <c r="AP1654" s="781"/>
      <c r="AQ1654" s="782">
        <v>12071839</v>
      </c>
      <c r="AR1654" s="782">
        <v>12047514</v>
      </c>
      <c r="AS1654" s="782">
        <v>12047515</v>
      </c>
      <c r="AT1654" s="782">
        <v>12085743</v>
      </c>
      <c r="AU1654" s="781"/>
      <c r="AV1654" s="782">
        <v>12085745</v>
      </c>
      <c r="AW1654" s="782">
        <v>12024404</v>
      </c>
      <c r="AX1654" s="782"/>
      <c r="AY1654" s="782">
        <v>12085746</v>
      </c>
      <c r="AZ1654" s="782"/>
      <c r="BA1654" s="781"/>
    </row>
    <row r="1655" spans="1:53" ht="24.65" hidden="1" customHeight="1">
      <c r="B1655" s="466">
        <v>45617</v>
      </c>
      <c r="C1655" s="467">
        <v>45630</v>
      </c>
      <c r="D1655" s="185">
        <f t="shared" si="538"/>
        <v>2024</v>
      </c>
      <c r="E1655" s="467" t="str">
        <f>VLOOKUP($B1655,Week!$A$1:$C$1462,2,0)</f>
        <v>Week47</v>
      </c>
      <c r="F1655" s="469" t="str">
        <f t="shared" si="539"/>
        <v>Nov</v>
      </c>
      <c r="G1655" s="641" t="s">
        <v>1831</v>
      </c>
      <c r="H1655" s="482" t="s">
        <v>104</v>
      </c>
      <c r="I1655" s="482" t="s">
        <v>2772</v>
      </c>
      <c r="J1655" s="483" t="s">
        <v>105</v>
      </c>
      <c r="K1655" s="484" t="s">
        <v>51</v>
      </c>
      <c r="L1655" s="300" t="s">
        <v>2167</v>
      </c>
      <c r="M1655" s="483" t="s">
        <v>674</v>
      </c>
      <c r="N1655" s="482" t="s">
        <v>677</v>
      </c>
      <c r="O1655" s="482" t="s">
        <v>501</v>
      </c>
      <c r="P1655" s="473">
        <v>36</v>
      </c>
      <c r="Q1655" s="473">
        <v>5</v>
      </c>
      <c r="R1655" s="474">
        <v>6.0000000000000001E-3</v>
      </c>
      <c r="S1655" s="482" t="s">
        <v>55</v>
      </c>
      <c r="T1655" s="482" t="s">
        <v>112</v>
      </c>
      <c r="U1655" s="482" t="s">
        <v>57</v>
      </c>
      <c r="V1655" s="475">
        <f>300</f>
        <v>300</v>
      </c>
      <c r="W1655" s="475">
        <f>672-372</f>
        <v>300</v>
      </c>
      <c r="X1655" s="476"/>
      <c r="Y1655" s="477">
        <f t="shared" si="551"/>
        <v>0</v>
      </c>
      <c r="Z1655" s="478">
        <f t="shared" si="552"/>
        <v>0</v>
      </c>
      <c r="AA1655" s="478"/>
      <c r="AB1655" s="828"/>
      <c r="AC1655" s="475"/>
      <c r="AD1655" s="486"/>
      <c r="AE1655" s="210"/>
      <c r="AF1655" s="210"/>
      <c r="AG1655" s="211">
        <v>0.14499999999999999</v>
      </c>
      <c r="AH1655" s="157">
        <f t="shared" si="558"/>
        <v>0</v>
      </c>
      <c r="AI1655" s="152">
        <v>19800</v>
      </c>
      <c r="AK1655" s="156" t="s">
        <v>691</v>
      </c>
      <c r="AL1655" s="212" t="s">
        <v>690</v>
      </c>
      <c r="AM1655" s="198">
        <f t="shared" si="550"/>
        <v>0</v>
      </c>
      <c r="AN1655" s="199">
        <f t="shared" si="545"/>
        <v>45617</v>
      </c>
      <c r="AO1655" s="159" t="s">
        <v>692</v>
      </c>
      <c r="AP1655" s="781"/>
      <c r="AQ1655" s="782">
        <v>12071839</v>
      </c>
      <c r="AR1655" s="782">
        <v>12047514</v>
      </c>
      <c r="AS1655" s="782">
        <v>12047515</v>
      </c>
      <c r="AT1655" s="782">
        <v>12085743</v>
      </c>
      <c r="AU1655" s="781"/>
      <c r="AV1655" s="782">
        <v>12085745</v>
      </c>
      <c r="AW1655" s="782">
        <v>12024404</v>
      </c>
      <c r="AX1655" s="782"/>
      <c r="AY1655" s="782">
        <v>12085746</v>
      </c>
      <c r="AZ1655" s="782"/>
      <c r="BA1655" s="781"/>
    </row>
    <row r="1656" spans="1:53" ht="24.65" hidden="1" customHeight="1">
      <c r="B1656" s="283">
        <v>45617</v>
      </c>
      <c r="C1656" s="284">
        <v>45678</v>
      </c>
      <c r="D1656" s="185">
        <f t="shared" si="538"/>
        <v>2024</v>
      </c>
      <c r="E1656" s="284" t="str">
        <f>VLOOKUP($B1656,Week!$A$1:$C$1462,2,0)</f>
        <v>Week47</v>
      </c>
      <c r="F1656" s="285" t="str">
        <f t="shared" si="539"/>
        <v>Nov</v>
      </c>
      <c r="G1656" s="631" t="s">
        <v>1857</v>
      </c>
      <c r="H1656" s="624" t="s">
        <v>104</v>
      </c>
      <c r="I1656" s="624" t="s">
        <v>2772</v>
      </c>
      <c r="J1656" s="625" t="s">
        <v>105</v>
      </c>
      <c r="K1656" s="288" t="s">
        <v>51</v>
      </c>
      <c r="L1656" s="300" t="s">
        <v>2167</v>
      </c>
      <c r="M1656" s="287" t="s">
        <v>595</v>
      </c>
      <c r="N1656" s="286" t="s">
        <v>597</v>
      </c>
      <c r="O1656" s="286" t="s">
        <v>187</v>
      </c>
      <c r="P1656" s="289">
        <v>8</v>
      </c>
      <c r="Q1656" s="289">
        <v>5</v>
      </c>
      <c r="R1656" s="290">
        <v>6.0000000000000001E-3</v>
      </c>
      <c r="S1656" s="286" t="s">
        <v>55</v>
      </c>
      <c r="T1656" s="286" t="s">
        <v>112</v>
      </c>
      <c r="U1656" s="286" t="s">
        <v>57</v>
      </c>
      <c r="V1656" s="291">
        <f>400</f>
        <v>400</v>
      </c>
      <c r="W1656" s="291"/>
      <c r="X1656" s="292">
        <f>(3364)/8</f>
        <v>420.5</v>
      </c>
      <c r="Y1656" s="293">
        <f t="shared" si="551"/>
        <v>20.5</v>
      </c>
      <c r="Z1656" s="294">
        <f t="shared" si="552"/>
        <v>0</v>
      </c>
      <c r="AA1656" s="294"/>
      <c r="AB1656" s="813"/>
      <c r="AC1656" s="291"/>
      <c r="AD1656" s="486"/>
      <c r="AE1656" s="210"/>
      <c r="AF1656" s="210"/>
      <c r="AG1656" s="211">
        <v>0.14499999999999999</v>
      </c>
      <c r="AH1656" s="157">
        <f t="shared" si="558"/>
        <v>0</v>
      </c>
      <c r="AI1656" s="152">
        <v>19800</v>
      </c>
      <c r="AK1656" s="156" t="s">
        <v>691</v>
      </c>
      <c r="AL1656" s="212" t="s">
        <v>690</v>
      </c>
      <c r="AM1656" s="198">
        <f t="shared" si="550"/>
        <v>0</v>
      </c>
      <c r="AN1656" s="199">
        <f t="shared" si="545"/>
        <v>45617</v>
      </c>
      <c r="AO1656" s="159" t="s">
        <v>692</v>
      </c>
      <c r="AP1656" s="781"/>
      <c r="AQ1656" s="782">
        <v>12071839</v>
      </c>
      <c r="AR1656" s="782">
        <v>12047514</v>
      </c>
      <c r="AS1656" s="782">
        <v>12047515</v>
      </c>
      <c r="AT1656" s="782">
        <v>12083107</v>
      </c>
      <c r="AU1656" s="781"/>
      <c r="AV1656" s="782">
        <v>12084002</v>
      </c>
      <c r="AW1656" s="782"/>
      <c r="AX1656" s="782"/>
      <c r="AY1656" s="782"/>
      <c r="AZ1656" s="782"/>
      <c r="BA1656" s="781"/>
    </row>
    <row r="1657" spans="1:53" ht="25" hidden="1" customHeight="1">
      <c r="B1657" s="546">
        <v>45617</v>
      </c>
      <c r="C1657" s="547">
        <v>45621</v>
      </c>
      <c r="D1657" s="185">
        <f t="shared" si="538"/>
        <v>2024</v>
      </c>
      <c r="E1657" s="549" t="str">
        <f>VLOOKUP($B1657,Week!$A$1:$C$1462,2,0)</f>
        <v>Week47</v>
      </c>
      <c r="F1657" s="548" t="str">
        <f t="shared" si="539"/>
        <v>Nov</v>
      </c>
      <c r="G1657" s="549" t="s">
        <v>1782</v>
      </c>
      <c r="H1657" s="549" t="s">
        <v>831</v>
      </c>
      <c r="I1657" s="549" t="s">
        <v>2772</v>
      </c>
      <c r="J1657" s="550" t="s">
        <v>1130</v>
      </c>
      <c r="K1657" s="551" t="s">
        <v>176</v>
      </c>
      <c r="L1657" s="300" t="s">
        <v>2167</v>
      </c>
      <c r="M1657" s="550" t="s">
        <v>193</v>
      </c>
      <c r="N1657" s="549" t="s">
        <v>833</v>
      </c>
      <c r="O1657" s="549" t="s">
        <v>195</v>
      </c>
      <c r="P1657" s="552">
        <v>24</v>
      </c>
      <c r="Q1657" s="552">
        <v>5</v>
      </c>
      <c r="R1657" s="553">
        <v>8.0000000000000002E-3</v>
      </c>
      <c r="S1657" s="549" t="s">
        <v>40</v>
      </c>
      <c r="T1657" s="549" t="s">
        <v>56</v>
      </c>
      <c r="U1657" s="549" t="s">
        <v>57</v>
      </c>
      <c r="V1657" s="554">
        <f>100</f>
        <v>100</v>
      </c>
      <c r="W1657" s="554">
        <f>1+99</f>
        <v>100</v>
      </c>
      <c r="X1657" s="555"/>
      <c r="Y1657" s="556">
        <f t="shared" si="551"/>
        <v>0</v>
      </c>
      <c r="Z1657" s="557">
        <f t="shared" si="552"/>
        <v>0</v>
      </c>
      <c r="AA1657" s="554"/>
      <c r="AB1657" s="833"/>
      <c r="AC1657" s="554"/>
      <c r="AD1657" s="381"/>
      <c r="AE1657" s="220"/>
      <c r="AF1657" s="220"/>
      <c r="AG1657" s="211">
        <f t="shared" ref="AG1657:AG1670" si="559">MID(O1657,1,3)/1000</f>
        <v>0.14499999999999999</v>
      </c>
      <c r="AH1657" s="157">
        <f t="shared" si="558"/>
        <v>0</v>
      </c>
      <c r="AI1657" s="152">
        <f t="shared" ref="AI1657:AI1670" si="560">V1657*P1657</f>
        <v>2400</v>
      </c>
      <c r="AK1657" s="156" t="s">
        <v>691</v>
      </c>
      <c r="AL1657" s="212" t="s">
        <v>690</v>
      </c>
      <c r="AM1657" s="198">
        <f t="shared" si="550"/>
        <v>0</v>
      </c>
      <c r="AN1657" s="199">
        <f t="shared" si="545"/>
        <v>45617</v>
      </c>
      <c r="AO1657" s="159" t="s">
        <v>692</v>
      </c>
      <c r="AP1657" s="783" t="s">
        <v>610</v>
      </c>
      <c r="AQ1657" s="782">
        <v>12071839</v>
      </c>
      <c r="AR1657" s="782">
        <v>12047514</v>
      </c>
      <c r="AS1657" s="782">
        <v>12047515</v>
      </c>
      <c r="AT1657" s="782"/>
      <c r="AU1657" s="782">
        <v>12026902</v>
      </c>
      <c r="AV1657" s="782">
        <v>12054724</v>
      </c>
      <c r="AW1657" s="782">
        <v>12026904</v>
      </c>
      <c r="AX1657" s="782"/>
      <c r="AY1657" s="782">
        <v>12054436</v>
      </c>
      <c r="AZ1657" s="782">
        <v>12054433</v>
      </c>
      <c r="BA1657" s="782">
        <v>12054434</v>
      </c>
    </row>
    <row r="1658" spans="1:53" ht="25" hidden="1" customHeight="1">
      <c r="B1658" s="546">
        <v>45617</v>
      </c>
      <c r="C1658" s="547">
        <v>45621</v>
      </c>
      <c r="D1658" s="185">
        <f t="shared" si="538"/>
        <v>2024</v>
      </c>
      <c r="E1658" s="549" t="str">
        <f>VLOOKUP($B1658,Week!$A$1:$C$1462,2,0)</f>
        <v>Week47</v>
      </c>
      <c r="F1658" s="548" t="str">
        <f t="shared" si="539"/>
        <v>Nov</v>
      </c>
      <c r="G1658" s="549" t="s">
        <v>1782</v>
      </c>
      <c r="H1658" s="549" t="s">
        <v>831</v>
      </c>
      <c r="I1658" s="549" t="s">
        <v>2772</v>
      </c>
      <c r="J1658" s="550" t="s">
        <v>1130</v>
      </c>
      <c r="K1658" s="551" t="s">
        <v>1643</v>
      </c>
      <c r="L1658" s="300" t="s">
        <v>2167</v>
      </c>
      <c r="M1658" s="550" t="s">
        <v>193</v>
      </c>
      <c r="N1658" s="549" t="s">
        <v>832</v>
      </c>
      <c r="O1658" s="549" t="s">
        <v>206</v>
      </c>
      <c r="P1658" s="552">
        <v>24</v>
      </c>
      <c r="Q1658" s="552">
        <v>5</v>
      </c>
      <c r="R1658" s="553">
        <v>8.0000000000000002E-3</v>
      </c>
      <c r="S1658" s="549" t="s">
        <v>40</v>
      </c>
      <c r="T1658" s="549" t="s">
        <v>56</v>
      </c>
      <c r="U1658" s="618" t="s">
        <v>499</v>
      </c>
      <c r="V1658" s="554">
        <f>150</f>
        <v>150</v>
      </c>
      <c r="W1658" s="554">
        <f>1+148</f>
        <v>149</v>
      </c>
      <c r="X1658" s="555">
        <v>1</v>
      </c>
      <c r="Y1658" s="556">
        <f t="shared" si="551"/>
        <v>0</v>
      </c>
      <c r="Z1658" s="557">
        <f t="shared" si="552"/>
        <v>0</v>
      </c>
      <c r="AA1658" s="554"/>
      <c r="AB1658" s="833">
        <v>1</v>
      </c>
      <c r="AC1658" s="554">
        <f>Z1658*AB1658</f>
        <v>0</v>
      </c>
      <c r="AD1658" s="381"/>
      <c r="AE1658" s="220"/>
      <c r="AF1658" s="220"/>
      <c r="AG1658" s="211">
        <f t="shared" si="559"/>
        <v>0.115</v>
      </c>
      <c r="AH1658" s="157">
        <f t="shared" si="558"/>
        <v>0</v>
      </c>
      <c r="AI1658" s="152">
        <f t="shared" si="560"/>
        <v>3600</v>
      </c>
      <c r="AK1658" s="156" t="s">
        <v>691</v>
      </c>
      <c r="AL1658" s="212" t="s">
        <v>690</v>
      </c>
      <c r="AM1658" s="198">
        <f t="shared" si="550"/>
        <v>0</v>
      </c>
      <c r="AN1658" s="199">
        <f t="shared" si="545"/>
        <v>45617</v>
      </c>
      <c r="AO1658" s="159" t="s">
        <v>692</v>
      </c>
      <c r="AP1658" s="783" t="s">
        <v>610</v>
      </c>
      <c r="AQ1658" s="782">
        <v>12071839</v>
      </c>
      <c r="AR1658" s="782">
        <v>12047514</v>
      </c>
      <c r="AS1658" s="782">
        <v>12047515</v>
      </c>
      <c r="AT1658" s="782"/>
      <c r="AU1658" s="782">
        <v>12026902</v>
      </c>
      <c r="AV1658" s="782">
        <v>12054722</v>
      </c>
      <c r="AW1658" s="782">
        <v>12026904</v>
      </c>
      <c r="AX1658" s="782"/>
      <c r="AY1658" s="782">
        <v>12061939</v>
      </c>
      <c r="AZ1658" s="782">
        <v>12061940</v>
      </c>
      <c r="BA1658" s="782">
        <v>12061938</v>
      </c>
    </row>
    <row r="1659" spans="1:53" ht="25" hidden="1" customHeight="1">
      <c r="B1659" s="213">
        <v>45617</v>
      </c>
      <c r="C1659" s="214">
        <v>45629</v>
      </c>
      <c r="D1659" s="185">
        <f t="shared" si="538"/>
        <v>2024</v>
      </c>
      <c r="E1659" s="215" t="str">
        <f>VLOOKUP($B1659,Week!$A$1:$C$1462,2,0)</f>
        <v>Week47</v>
      </c>
      <c r="F1659" s="216" t="str">
        <f t="shared" si="539"/>
        <v>Nov</v>
      </c>
      <c r="G1659" s="215" t="s">
        <v>1719</v>
      </c>
      <c r="H1659" s="215" t="s">
        <v>134</v>
      </c>
      <c r="I1659" s="215" t="s">
        <v>2772</v>
      </c>
      <c r="J1659" s="209" t="s">
        <v>164</v>
      </c>
      <c r="K1659" s="217" t="s">
        <v>176</v>
      </c>
      <c r="L1659" s="300" t="s">
        <v>2167</v>
      </c>
      <c r="M1659" s="209" t="s">
        <v>193</v>
      </c>
      <c r="N1659" s="215" t="s">
        <v>194</v>
      </c>
      <c r="O1659" s="215" t="s">
        <v>195</v>
      </c>
      <c r="P1659" s="218">
        <v>24</v>
      </c>
      <c r="Q1659" s="218">
        <v>5</v>
      </c>
      <c r="R1659" s="219">
        <v>8.0000000000000002E-3</v>
      </c>
      <c r="S1659" s="215" t="s">
        <v>40</v>
      </c>
      <c r="T1659" s="215" t="s">
        <v>56</v>
      </c>
      <c r="U1659" s="215" t="s">
        <v>57</v>
      </c>
      <c r="V1659" s="220">
        <f>500</f>
        <v>500</v>
      </c>
      <c r="W1659" s="220">
        <f>7+493</f>
        <v>500</v>
      </c>
      <c r="X1659" s="221"/>
      <c r="Y1659" s="222">
        <f t="shared" si="551"/>
        <v>0</v>
      </c>
      <c r="Z1659" s="223">
        <f t="shared" si="552"/>
        <v>0</v>
      </c>
      <c r="AA1659" s="220"/>
      <c r="AB1659" s="807"/>
      <c r="AC1659" s="220"/>
      <c r="AD1659" s="381"/>
      <c r="AE1659" s="220"/>
      <c r="AF1659" s="220"/>
      <c r="AG1659" s="211">
        <f t="shared" si="559"/>
        <v>0.14499999999999999</v>
      </c>
      <c r="AH1659" s="157">
        <f t="shared" si="558"/>
        <v>0</v>
      </c>
      <c r="AI1659" s="152">
        <f t="shared" si="560"/>
        <v>12000</v>
      </c>
      <c r="AK1659" s="156" t="s">
        <v>691</v>
      </c>
      <c r="AL1659" s="212" t="s">
        <v>690</v>
      </c>
      <c r="AM1659" s="198">
        <f t="shared" si="550"/>
        <v>0</v>
      </c>
      <c r="AN1659" s="199">
        <f t="shared" si="545"/>
        <v>45617</v>
      </c>
      <c r="AO1659" s="159" t="s">
        <v>692</v>
      </c>
      <c r="AP1659" s="783" t="s">
        <v>610</v>
      </c>
      <c r="AQ1659" s="782">
        <v>12071839</v>
      </c>
      <c r="AR1659" s="782">
        <v>12047514</v>
      </c>
      <c r="AS1659" s="782">
        <v>12047515</v>
      </c>
      <c r="AT1659" s="782"/>
      <c r="AU1659" s="782">
        <v>12026902</v>
      </c>
      <c r="AV1659" s="782">
        <v>12054724</v>
      </c>
      <c r="AW1659" s="782">
        <v>12026904</v>
      </c>
      <c r="AX1659" s="782"/>
      <c r="AY1659" s="782">
        <v>12054436</v>
      </c>
      <c r="AZ1659" s="782">
        <v>12054433</v>
      </c>
      <c r="BA1659" s="782">
        <v>12054434</v>
      </c>
    </row>
    <row r="1660" spans="1:53" ht="24.65" hidden="1" customHeight="1">
      <c r="B1660" s="224">
        <v>45617</v>
      </c>
      <c r="C1660" s="224">
        <v>45650</v>
      </c>
      <c r="D1660" s="185">
        <f t="shared" si="538"/>
        <v>2024</v>
      </c>
      <c r="E1660" s="225" t="str">
        <f>VLOOKUP($B1660,Week!$A$1:$C$1462,2,0)</f>
        <v>Week47</v>
      </c>
      <c r="F1660" s="226" t="str">
        <f t="shared" si="539"/>
        <v>Nov</v>
      </c>
      <c r="G1660" s="225" t="s">
        <v>1778</v>
      </c>
      <c r="H1660" s="225" t="s">
        <v>392</v>
      </c>
      <c r="I1660" s="225" t="s">
        <v>2772</v>
      </c>
      <c r="J1660" s="227" t="s">
        <v>393</v>
      </c>
      <c r="K1660" s="228" t="s">
        <v>176</v>
      </c>
      <c r="L1660" s="300" t="s">
        <v>2167</v>
      </c>
      <c r="M1660" s="228" t="s">
        <v>399</v>
      </c>
      <c r="N1660" s="225" t="s">
        <v>400</v>
      </c>
      <c r="O1660" s="225" t="s">
        <v>195</v>
      </c>
      <c r="P1660" s="229">
        <v>24</v>
      </c>
      <c r="Q1660" s="229">
        <v>5</v>
      </c>
      <c r="R1660" s="230">
        <v>8.0000000000000002E-3</v>
      </c>
      <c r="S1660" s="225" t="s">
        <v>40</v>
      </c>
      <c r="T1660" s="225" t="s">
        <v>56</v>
      </c>
      <c r="U1660" s="225" t="s">
        <v>57</v>
      </c>
      <c r="V1660" s="231">
        <f>1150</f>
        <v>1150</v>
      </c>
      <c r="W1660" s="231">
        <f>36+1114</f>
        <v>1150</v>
      </c>
      <c r="X1660" s="232">
        <f>938/24</f>
        <v>39.083333333333336</v>
      </c>
      <c r="Y1660" s="233">
        <f t="shared" si="551"/>
        <v>39.083333333333258</v>
      </c>
      <c r="Z1660" s="234">
        <f t="shared" si="552"/>
        <v>0</v>
      </c>
      <c r="AA1660" s="234"/>
      <c r="AB1660" s="808"/>
      <c r="AC1660" s="231"/>
      <c r="AD1660" s="220"/>
      <c r="AE1660" s="210"/>
      <c r="AF1660" s="210"/>
      <c r="AG1660" s="211">
        <f t="shared" si="559"/>
        <v>0.14499999999999999</v>
      </c>
      <c r="AH1660" s="157">
        <f t="shared" si="558"/>
        <v>0</v>
      </c>
      <c r="AI1660" s="152">
        <f t="shared" si="560"/>
        <v>27600</v>
      </c>
      <c r="AK1660" s="156" t="s">
        <v>691</v>
      </c>
      <c r="AL1660" s="574" t="s">
        <v>690</v>
      </c>
      <c r="AM1660" s="198">
        <f t="shared" si="550"/>
        <v>0</v>
      </c>
      <c r="AN1660" s="199">
        <f t="shared" si="545"/>
        <v>45617</v>
      </c>
      <c r="AO1660" s="159" t="s">
        <v>692</v>
      </c>
      <c r="AP1660" s="783" t="s">
        <v>638</v>
      </c>
      <c r="AQ1660" s="783" t="s">
        <v>631</v>
      </c>
      <c r="AR1660" s="783" t="s">
        <v>632</v>
      </c>
      <c r="AS1660" s="783" t="s">
        <v>633</v>
      </c>
      <c r="AT1660" s="781"/>
      <c r="AU1660" s="783" t="s">
        <v>626</v>
      </c>
      <c r="AV1660" s="783" t="s">
        <v>630</v>
      </c>
      <c r="AW1660" s="783" t="s">
        <v>634</v>
      </c>
      <c r="AX1660" s="781"/>
      <c r="AY1660" s="783" t="s">
        <v>635</v>
      </c>
      <c r="AZ1660" s="783" t="s">
        <v>636</v>
      </c>
      <c r="BA1660" s="783" t="s">
        <v>637</v>
      </c>
    </row>
    <row r="1661" spans="1:53" ht="26.25" hidden="1" customHeight="1">
      <c r="B1661" s="235">
        <v>45617</v>
      </c>
      <c r="C1661" s="235">
        <v>45650</v>
      </c>
      <c r="D1661" s="185">
        <f t="shared" si="538"/>
        <v>2024</v>
      </c>
      <c r="E1661" s="236" t="str">
        <f>VLOOKUP($B1661,Week!$A$1:$C$1462,2,0)</f>
        <v>Week47</v>
      </c>
      <c r="F1661" s="237" t="str">
        <f t="shared" si="539"/>
        <v>Nov</v>
      </c>
      <c r="G1661" s="236" t="s">
        <v>1778</v>
      </c>
      <c r="H1661" s="236" t="s">
        <v>392</v>
      </c>
      <c r="I1661" s="236" t="s">
        <v>2772</v>
      </c>
      <c r="J1661" s="238" t="s">
        <v>393</v>
      </c>
      <c r="K1661" s="239" t="s">
        <v>1643</v>
      </c>
      <c r="L1661" s="300" t="s">
        <v>2167</v>
      </c>
      <c r="M1661" s="238" t="s">
        <v>406</v>
      </c>
      <c r="N1661" s="236" t="s">
        <v>407</v>
      </c>
      <c r="O1661" s="236" t="s">
        <v>206</v>
      </c>
      <c r="P1661" s="240">
        <v>24</v>
      </c>
      <c r="Q1661" s="240">
        <v>5</v>
      </c>
      <c r="R1661" s="241">
        <v>8.0000000000000002E-3</v>
      </c>
      <c r="S1661" s="236" t="s">
        <v>40</v>
      </c>
      <c r="T1661" s="236" t="s">
        <v>56</v>
      </c>
      <c r="U1661" s="640" t="s">
        <v>499</v>
      </c>
      <c r="V1661" s="242">
        <f>1000</f>
        <v>1000</v>
      </c>
      <c r="W1661" s="242">
        <f>5+995</f>
        <v>1000</v>
      </c>
      <c r="X1661" s="243">
        <f>425/24</f>
        <v>17.708333333333332</v>
      </c>
      <c r="Y1661" s="244">
        <f t="shared" si="551"/>
        <v>17.708333333333371</v>
      </c>
      <c r="Z1661" s="245">
        <f t="shared" si="552"/>
        <v>0</v>
      </c>
      <c r="AA1661" s="245"/>
      <c r="AB1661" s="809">
        <v>1</v>
      </c>
      <c r="AC1661" s="242">
        <f>Z1661*AB1661</f>
        <v>0</v>
      </c>
      <c r="AD1661" s="209"/>
      <c r="AE1661" s="210"/>
      <c r="AF1661" s="210"/>
      <c r="AG1661" s="211">
        <f t="shared" si="559"/>
        <v>0.115</v>
      </c>
      <c r="AH1661" s="157">
        <f t="shared" si="558"/>
        <v>0</v>
      </c>
      <c r="AI1661" s="152">
        <f t="shared" si="560"/>
        <v>24000</v>
      </c>
      <c r="AK1661" s="156" t="s">
        <v>691</v>
      </c>
      <c r="AL1661" s="574" t="s">
        <v>690</v>
      </c>
      <c r="AM1661" s="198">
        <f t="shared" si="550"/>
        <v>0</v>
      </c>
      <c r="AN1661" s="199">
        <f t="shared" si="545"/>
        <v>45617</v>
      </c>
      <c r="AO1661" s="159" t="s">
        <v>692</v>
      </c>
      <c r="AP1661" s="783" t="s">
        <v>608</v>
      </c>
      <c r="AQ1661" s="782">
        <v>12071839</v>
      </c>
      <c r="AR1661" s="782">
        <v>12047514</v>
      </c>
      <c r="AS1661" s="782">
        <v>12047515</v>
      </c>
      <c r="AT1661" s="781"/>
      <c r="AU1661" s="782">
        <v>12026902</v>
      </c>
      <c r="AV1661" s="782">
        <v>12081781</v>
      </c>
      <c r="AW1661" s="782">
        <v>12026904</v>
      </c>
      <c r="AX1661" s="781"/>
      <c r="AY1661" s="783" t="s">
        <v>625</v>
      </c>
      <c r="AZ1661" s="783" t="s">
        <v>1640</v>
      </c>
      <c r="BA1661" s="783" t="s">
        <v>624</v>
      </c>
    </row>
    <row r="1662" spans="1:53" ht="25" hidden="1" customHeight="1">
      <c r="B1662" s="213">
        <v>45618</v>
      </c>
      <c r="C1662" s="214">
        <v>45629</v>
      </c>
      <c r="D1662" s="185">
        <f t="shared" si="538"/>
        <v>2024</v>
      </c>
      <c r="E1662" s="215" t="str">
        <f>VLOOKUP($B1662,Week!$A$1:$C$1462,2,0)</f>
        <v>Week47</v>
      </c>
      <c r="F1662" s="216" t="str">
        <f t="shared" si="539"/>
        <v>Nov</v>
      </c>
      <c r="G1662" s="215" t="s">
        <v>1719</v>
      </c>
      <c r="H1662" s="215" t="s">
        <v>134</v>
      </c>
      <c r="I1662" s="215" t="s">
        <v>2772</v>
      </c>
      <c r="J1662" s="209" t="s">
        <v>164</v>
      </c>
      <c r="K1662" s="217" t="s">
        <v>1648</v>
      </c>
      <c r="L1662" s="300" t="s">
        <v>2167</v>
      </c>
      <c r="M1662" s="209" t="s">
        <v>193</v>
      </c>
      <c r="N1662" s="215" t="s">
        <v>205</v>
      </c>
      <c r="O1662" s="215" t="s">
        <v>206</v>
      </c>
      <c r="P1662" s="218">
        <v>24</v>
      </c>
      <c r="Q1662" s="218">
        <v>5</v>
      </c>
      <c r="R1662" s="219">
        <v>8.0000000000000002E-3</v>
      </c>
      <c r="S1662" s="215" t="s">
        <v>40</v>
      </c>
      <c r="T1662" s="215" t="s">
        <v>56</v>
      </c>
      <c r="U1662" s="480" t="s">
        <v>499</v>
      </c>
      <c r="V1662" s="220">
        <f>500</f>
        <v>500</v>
      </c>
      <c r="W1662" s="220">
        <f>19+481</f>
        <v>500</v>
      </c>
      <c r="X1662" s="221">
        <f>708/24</f>
        <v>29.5</v>
      </c>
      <c r="Y1662" s="222">
        <f t="shared" si="551"/>
        <v>29.5</v>
      </c>
      <c r="Z1662" s="223">
        <f t="shared" si="552"/>
        <v>0</v>
      </c>
      <c r="AA1662" s="220"/>
      <c r="AB1662" s="807">
        <v>1</v>
      </c>
      <c r="AC1662" s="220">
        <f>Z1662*AB1662</f>
        <v>0</v>
      </c>
      <c r="AD1662" s="381"/>
      <c r="AE1662" s="220"/>
      <c r="AF1662" s="220"/>
      <c r="AG1662" s="211">
        <f t="shared" si="559"/>
        <v>0.115</v>
      </c>
      <c r="AH1662" s="157">
        <f t="shared" si="558"/>
        <v>0</v>
      </c>
      <c r="AI1662" s="152">
        <f t="shared" si="560"/>
        <v>12000</v>
      </c>
      <c r="AK1662" s="156" t="s">
        <v>691</v>
      </c>
      <c r="AL1662" s="212" t="s">
        <v>690</v>
      </c>
      <c r="AM1662" s="198">
        <f t="shared" si="550"/>
        <v>0</v>
      </c>
      <c r="AN1662" s="199">
        <f t="shared" si="545"/>
        <v>45618</v>
      </c>
      <c r="AO1662" s="159" t="s">
        <v>692</v>
      </c>
      <c r="AP1662" s="783" t="s">
        <v>610</v>
      </c>
      <c r="AQ1662" s="782">
        <v>12071839</v>
      </c>
      <c r="AR1662" s="782">
        <v>12047514</v>
      </c>
      <c r="AS1662" s="782">
        <v>12047515</v>
      </c>
      <c r="AT1662" s="782"/>
      <c r="AU1662" s="782">
        <v>12026902</v>
      </c>
      <c r="AV1662" s="782">
        <v>12054722</v>
      </c>
      <c r="AW1662" s="782">
        <v>12026904</v>
      </c>
      <c r="AX1662" s="782"/>
      <c r="AY1662" s="782">
        <v>12061939</v>
      </c>
      <c r="AZ1662" s="782">
        <v>12061940</v>
      </c>
      <c r="BA1662" s="782">
        <v>12061938</v>
      </c>
    </row>
    <row r="1663" spans="1:53" ht="25" hidden="1" customHeight="1">
      <c r="B1663" s="383">
        <v>45618</v>
      </c>
      <c r="C1663" s="383">
        <v>45630</v>
      </c>
      <c r="D1663" s="185">
        <f t="shared" si="538"/>
        <v>2024</v>
      </c>
      <c r="E1663" s="224" t="str">
        <f>VLOOKUP($B1663,Week!$A$1:$C$1462,2,0)</f>
        <v>Week47</v>
      </c>
      <c r="F1663" s="226" t="str">
        <f t="shared" si="539"/>
        <v>Nov</v>
      </c>
      <c r="G1663" s="225" t="s">
        <v>1619</v>
      </c>
      <c r="H1663" s="225" t="s">
        <v>225</v>
      </c>
      <c r="I1663" s="225" t="s">
        <v>2773</v>
      </c>
      <c r="J1663" s="227" t="s">
        <v>335</v>
      </c>
      <c r="K1663" s="228" t="s">
        <v>176</v>
      </c>
      <c r="L1663" s="300" t="s">
        <v>2167</v>
      </c>
      <c r="M1663" s="227" t="s">
        <v>336</v>
      </c>
      <c r="N1663" s="225" t="s">
        <v>337</v>
      </c>
      <c r="O1663" s="225" t="s">
        <v>179</v>
      </c>
      <c r="P1663" s="229">
        <v>36</v>
      </c>
      <c r="Q1663" s="229">
        <v>5</v>
      </c>
      <c r="R1663" s="230">
        <v>7.4999999999999997E-3</v>
      </c>
      <c r="S1663" s="225" t="s">
        <v>111</v>
      </c>
      <c r="T1663" s="225" t="s">
        <v>112</v>
      </c>
      <c r="U1663" s="225" t="s">
        <v>113</v>
      </c>
      <c r="V1663" s="231">
        <v>1288</v>
      </c>
      <c r="W1663" s="231">
        <f>26+1+1261</f>
        <v>1288</v>
      </c>
      <c r="X1663" s="232"/>
      <c r="Y1663" s="233">
        <f t="shared" si="551"/>
        <v>0</v>
      </c>
      <c r="Z1663" s="234">
        <f t="shared" si="552"/>
        <v>0</v>
      </c>
      <c r="AA1663" s="234"/>
      <c r="AB1663" s="822"/>
      <c r="AC1663" s="231"/>
      <c r="AD1663" s="220"/>
      <c r="AE1663" s="210"/>
      <c r="AF1663" s="210"/>
      <c r="AG1663" s="211">
        <f t="shared" si="559"/>
        <v>0.14499999999999999</v>
      </c>
      <c r="AH1663" s="157">
        <f t="shared" si="558"/>
        <v>0</v>
      </c>
      <c r="AI1663" s="152">
        <f t="shared" si="560"/>
        <v>46368</v>
      </c>
      <c r="AK1663" s="156" t="s">
        <v>691</v>
      </c>
      <c r="AL1663" s="574" t="s">
        <v>690</v>
      </c>
      <c r="AM1663" s="198">
        <f t="shared" si="550"/>
        <v>0</v>
      </c>
      <c r="AN1663" s="199">
        <f t="shared" si="545"/>
        <v>45618</v>
      </c>
      <c r="AO1663" s="159" t="s">
        <v>692</v>
      </c>
      <c r="AP1663" s="783" t="s">
        <v>639</v>
      </c>
      <c r="AQ1663" s="782">
        <v>12071839</v>
      </c>
      <c r="AR1663" s="782">
        <v>12047514</v>
      </c>
      <c r="AS1663" s="782">
        <v>12047515</v>
      </c>
      <c r="AT1663" s="782">
        <v>12054919</v>
      </c>
      <c r="AU1663" s="781"/>
      <c r="AV1663" s="782">
        <v>12054869</v>
      </c>
      <c r="AW1663" s="782">
        <v>12024404</v>
      </c>
      <c r="AX1663" s="781"/>
      <c r="AY1663" s="782">
        <v>12054815</v>
      </c>
      <c r="AZ1663" s="781"/>
      <c r="BA1663" s="781"/>
    </row>
    <row r="1664" spans="1:53" ht="25" hidden="1" customHeight="1">
      <c r="B1664" s="383">
        <v>45618</v>
      </c>
      <c r="C1664" s="383">
        <v>45630</v>
      </c>
      <c r="D1664" s="185">
        <f t="shared" si="538"/>
        <v>2024</v>
      </c>
      <c r="E1664" s="224" t="str">
        <f>VLOOKUP($B1664,Week!$A$1:$C$1462,2,0)</f>
        <v>Week47</v>
      </c>
      <c r="F1664" s="226" t="str">
        <f t="shared" si="539"/>
        <v>Nov</v>
      </c>
      <c r="G1664" s="225" t="s">
        <v>1620</v>
      </c>
      <c r="H1664" s="225" t="s">
        <v>225</v>
      </c>
      <c r="I1664" s="225" t="s">
        <v>2773</v>
      </c>
      <c r="J1664" s="227" t="s">
        <v>335</v>
      </c>
      <c r="K1664" s="228" t="s">
        <v>176</v>
      </c>
      <c r="L1664" s="300" t="s">
        <v>2167</v>
      </c>
      <c r="M1664" s="227" t="s">
        <v>336</v>
      </c>
      <c r="N1664" s="225" t="s">
        <v>337</v>
      </c>
      <c r="O1664" s="225" t="s">
        <v>179</v>
      </c>
      <c r="P1664" s="229">
        <v>36</v>
      </c>
      <c r="Q1664" s="229">
        <v>5</v>
      </c>
      <c r="R1664" s="230">
        <v>7.4999999999999997E-3</v>
      </c>
      <c r="S1664" s="225" t="s">
        <v>111</v>
      </c>
      <c r="T1664" s="225" t="s">
        <v>112</v>
      </c>
      <c r="U1664" s="225" t="s">
        <v>113</v>
      </c>
      <c r="V1664" s="231">
        <v>1288</v>
      </c>
      <c r="W1664" s="231">
        <f>2539-1261</f>
        <v>1278</v>
      </c>
      <c r="X1664" s="232">
        <v>10</v>
      </c>
      <c r="Y1664" s="233">
        <f t="shared" si="551"/>
        <v>0</v>
      </c>
      <c r="Z1664" s="234">
        <f t="shared" si="552"/>
        <v>0</v>
      </c>
      <c r="AA1664" s="234"/>
      <c r="AB1664" s="822"/>
      <c r="AC1664" s="231"/>
      <c r="AD1664" s="307" t="s">
        <v>1622</v>
      </c>
      <c r="AE1664" s="210"/>
      <c r="AF1664" s="210"/>
      <c r="AG1664" s="211">
        <f t="shared" si="559"/>
        <v>0.14499999999999999</v>
      </c>
      <c r="AH1664" s="157">
        <f t="shared" si="558"/>
        <v>0</v>
      </c>
      <c r="AI1664" s="152">
        <f t="shared" si="560"/>
        <v>46368</v>
      </c>
      <c r="AK1664" s="156" t="s">
        <v>691</v>
      </c>
      <c r="AL1664" s="574" t="s">
        <v>690</v>
      </c>
      <c r="AM1664" s="198">
        <f t="shared" si="550"/>
        <v>0</v>
      </c>
      <c r="AN1664" s="199">
        <f t="shared" si="545"/>
        <v>45618</v>
      </c>
      <c r="AO1664" s="159" t="s">
        <v>692</v>
      </c>
      <c r="AP1664" s="783" t="s">
        <v>639</v>
      </c>
      <c r="AQ1664" s="782">
        <v>12071839</v>
      </c>
      <c r="AR1664" s="782">
        <v>12047514</v>
      </c>
      <c r="AS1664" s="782">
        <v>12047515</v>
      </c>
      <c r="AT1664" s="782">
        <v>12054919</v>
      </c>
      <c r="AU1664" s="781"/>
      <c r="AV1664" s="782">
        <v>12054869</v>
      </c>
      <c r="AW1664" s="782">
        <v>12024404</v>
      </c>
      <c r="AX1664" s="781"/>
      <c r="AY1664" s="782">
        <v>12054815</v>
      </c>
      <c r="AZ1664" s="781"/>
      <c r="BA1664" s="781"/>
    </row>
    <row r="1665" spans="1:53" ht="25" hidden="1" customHeight="1">
      <c r="B1665" s="385">
        <v>45618</v>
      </c>
      <c r="C1665" s="386">
        <v>45629</v>
      </c>
      <c r="D1665" s="185">
        <f t="shared" si="538"/>
        <v>2024</v>
      </c>
      <c r="E1665" s="386" t="str">
        <f>VLOOKUP($B1665,Week!$A$1:$C$1462,2,0)</f>
        <v>Week47</v>
      </c>
      <c r="F1665" s="387" t="str">
        <f t="shared" si="539"/>
        <v>Nov</v>
      </c>
      <c r="G1665" s="388" t="s">
        <v>1822</v>
      </c>
      <c r="H1665" s="388" t="s">
        <v>600</v>
      </c>
      <c r="I1665" s="388" t="s">
        <v>2772</v>
      </c>
      <c r="J1665" s="389" t="s">
        <v>708</v>
      </c>
      <c r="K1665" s="390" t="s">
        <v>1652</v>
      </c>
      <c r="L1665" s="300" t="s">
        <v>2167</v>
      </c>
      <c r="M1665" s="389" t="s">
        <v>603</v>
      </c>
      <c r="N1665" s="637" t="s">
        <v>1404</v>
      </c>
      <c r="O1665" s="388" t="s">
        <v>602</v>
      </c>
      <c r="P1665" s="391">
        <v>8</v>
      </c>
      <c r="Q1665" s="391">
        <v>3</v>
      </c>
      <c r="R1665" s="392">
        <v>6.0000000000000001E-3</v>
      </c>
      <c r="S1665" s="388" t="s">
        <v>55</v>
      </c>
      <c r="T1665" s="388" t="s">
        <v>112</v>
      </c>
      <c r="U1665" s="601" t="s">
        <v>724</v>
      </c>
      <c r="V1665" s="393">
        <v>3500</v>
      </c>
      <c r="W1665" s="393"/>
      <c r="X1665" s="394">
        <f>28000/8</f>
        <v>3500</v>
      </c>
      <c r="Y1665" s="395">
        <f t="shared" si="551"/>
        <v>0</v>
      </c>
      <c r="Z1665" s="396">
        <f t="shared" si="552"/>
        <v>0</v>
      </c>
      <c r="AA1665" s="396"/>
      <c r="AB1665" s="823"/>
      <c r="AC1665" s="393"/>
      <c r="AD1665" s="636" t="s">
        <v>1043</v>
      </c>
      <c r="AE1665" s="210"/>
      <c r="AF1665" s="210"/>
      <c r="AG1665" s="211">
        <f t="shared" si="559"/>
        <v>0.30199999999999999</v>
      </c>
      <c r="AH1665" s="157">
        <v>0.26621999999999996</v>
      </c>
      <c r="AI1665" s="152">
        <f t="shared" si="560"/>
        <v>28000</v>
      </c>
      <c r="AK1665" s="156" t="s">
        <v>691</v>
      </c>
      <c r="AL1665" s="212" t="s">
        <v>690</v>
      </c>
      <c r="AM1665" s="198">
        <f t="shared" si="550"/>
        <v>0</v>
      </c>
      <c r="AN1665" s="199">
        <f t="shared" si="545"/>
        <v>45618</v>
      </c>
      <c r="AO1665" s="159" t="s">
        <v>692</v>
      </c>
      <c r="AP1665" s="781" t="s">
        <v>642</v>
      </c>
      <c r="AQ1665" s="782">
        <v>12063755</v>
      </c>
      <c r="AR1665" s="782">
        <v>12061353</v>
      </c>
      <c r="AS1665" s="782">
        <v>12061354</v>
      </c>
      <c r="AT1665" s="782">
        <v>12091199</v>
      </c>
      <c r="AU1665" s="781"/>
      <c r="AV1665" s="782">
        <v>12091198</v>
      </c>
      <c r="AW1665" s="781"/>
      <c r="AX1665" s="781"/>
      <c r="AY1665" s="781"/>
      <c r="AZ1665" s="782"/>
      <c r="BA1665" s="781"/>
    </row>
    <row r="1666" spans="1:53" ht="24.65" hidden="1" customHeight="1">
      <c r="B1666" s="308">
        <v>45619</v>
      </c>
      <c r="C1666" s="309">
        <v>45638</v>
      </c>
      <c r="D1666" s="185">
        <f t="shared" si="538"/>
        <v>2024</v>
      </c>
      <c r="E1666" s="309" t="str">
        <f>VLOOKUP($B1666,Week!$A$1:$C$1462,2,0)</f>
        <v>Week47</v>
      </c>
      <c r="F1666" s="310" t="str">
        <f t="shared" si="539"/>
        <v>Nov</v>
      </c>
      <c r="G1666" s="311" t="s">
        <v>1796</v>
      </c>
      <c r="H1666" s="311" t="s">
        <v>311</v>
      </c>
      <c r="I1666" s="311" t="s">
        <v>2772</v>
      </c>
      <c r="J1666" s="312" t="s">
        <v>738</v>
      </c>
      <c r="K1666" s="313" t="s">
        <v>107</v>
      </c>
      <c r="L1666" s="300" t="s">
        <v>2167</v>
      </c>
      <c r="M1666" s="312" t="s">
        <v>313</v>
      </c>
      <c r="N1666" s="311" t="s">
        <v>314</v>
      </c>
      <c r="O1666" s="311" t="s">
        <v>110</v>
      </c>
      <c r="P1666" s="314">
        <v>36</v>
      </c>
      <c r="Q1666" s="314">
        <v>5</v>
      </c>
      <c r="R1666" s="315">
        <v>7.4999999999999997E-3</v>
      </c>
      <c r="S1666" s="311" t="s">
        <v>111</v>
      </c>
      <c r="T1666" s="311" t="s">
        <v>112</v>
      </c>
      <c r="U1666" s="311" t="s">
        <v>57</v>
      </c>
      <c r="V1666" s="316">
        <v>792</v>
      </c>
      <c r="W1666" s="316">
        <f>36+756</f>
        <v>792</v>
      </c>
      <c r="X1666" s="317"/>
      <c r="Y1666" s="318">
        <f t="shared" si="551"/>
        <v>0</v>
      </c>
      <c r="Z1666" s="319">
        <f t="shared" si="552"/>
        <v>0</v>
      </c>
      <c r="AA1666" s="319"/>
      <c r="AB1666" s="815"/>
      <c r="AC1666" s="316"/>
      <c r="AD1666" s="515"/>
      <c r="AE1666" s="210"/>
      <c r="AF1666" s="210"/>
      <c r="AG1666" s="211">
        <f t="shared" si="559"/>
        <v>0.308</v>
      </c>
      <c r="AH1666" s="157">
        <f>(Z1666*AG1666)/1000</f>
        <v>0</v>
      </c>
      <c r="AI1666" s="152">
        <f t="shared" si="560"/>
        <v>28512</v>
      </c>
      <c r="AK1666" s="156" t="s">
        <v>691</v>
      </c>
      <c r="AL1666" s="212" t="s">
        <v>690</v>
      </c>
      <c r="AM1666" s="198">
        <f t="shared" si="550"/>
        <v>0</v>
      </c>
      <c r="AN1666" s="199">
        <f t="shared" si="545"/>
        <v>45619</v>
      </c>
      <c r="AO1666" s="159" t="s">
        <v>692</v>
      </c>
      <c r="AP1666" s="783" t="s">
        <v>644</v>
      </c>
      <c r="AQ1666" s="782">
        <v>12063755</v>
      </c>
      <c r="AR1666" s="782">
        <v>12061353</v>
      </c>
      <c r="AS1666" s="782">
        <v>12061354</v>
      </c>
      <c r="AT1666" s="782">
        <v>12062266</v>
      </c>
      <c r="AU1666" s="781"/>
      <c r="AV1666" s="782">
        <v>12088159</v>
      </c>
      <c r="AW1666" s="782">
        <v>12088207</v>
      </c>
      <c r="AX1666" s="782"/>
      <c r="AY1666" s="782">
        <v>12062262</v>
      </c>
      <c r="AZ1666" s="782"/>
      <c r="BA1666" s="781"/>
    </row>
    <row r="1667" spans="1:53" ht="24.65" hidden="1" customHeight="1">
      <c r="B1667" s="308">
        <v>45619</v>
      </c>
      <c r="C1667" s="309">
        <v>45645</v>
      </c>
      <c r="D1667" s="185">
        <f t="shared" si="538"/>
        <v>2024</v>
      </c>
      <c r="E1667" s="309" t="str">
        <f>VLOOKUP($B1667,Week!$A$1:$C$1462,2,0)</f>
        <v>Week47</v>
      </c>
      <c r="F1667" s="310" t="str">
        <f t="shared" si="539"/>
        <v>Nov</v>
      </c>
      <c r="G1667" s="311" t="s">
        <v>1797</v>
      </c>
      <c r="H1667" s="311" t="s">
        <v>311</v>
      </c>
      <c r="I1667" s="311" t="s">
        <v>2772</v>
      </c>
      <c r="J1667" s="312" t="s">
        <v>738</v>
      </c>
      <c r="K1667" s="313" t="s">
        <v>107</v>
      </c>
      <c r="L1667" s="300" t="s">
        <v>2167</v>
      </c>
      <c r="M1667" s="312" t="s">
        <v>313</v>
      </c>
      <c r="N1667" s="311" t="s">
        <v>314</v>
      </c>
      <c r="O1667" s="311" t="s">
        <v>110</v>
      </c>
      <c r="P1667" s="314">
        <v>36</v>
      </c>
      <c r="Q1667" s="314">
        <v>5</v>
      </c>
      <c r="R1667" s="315">
        <v>7.4999999999999997E-3</v>
      </c>
      <c r="S1667" s="311" t="s">
        <v>111</v>
      </c>
      <c r="T1667" s="311" t="s">
        <v>112</v>
      </c>
      <c r="U1667" s="311" t="s">
        <v>57</v>
      </c>
      <c r="V1667" s="316">
        <v>792</v>
      </c>
      <c r="W1667" s="316">
        <f>1548-756</f>
        <v>792</v>
      </c>
      <c r="X1667" s="317"/>
      <c r="Y1667" s="318">
        <f>(W1667+X1667)-V1667</f>
        <v>0</v>
      </c>
      <c r="Z1667" s="319">
        <f t="shared" si="552"/>
        <v>0</v>
      </c>
      <c r="AA1667" s="319"/>
      <c r="AB1667" s="815"/>
      <c r="AC1667" s="316"/>
      <c r="AD1667" s="515"/>
      <c r="AE1667" s="210"/>
      <c r="AF1667" s="210"/>
      <c r="AG1667" s="211">
        <f t="shared" si="559"/>
        <v>0.308</v>
      </c>
      <c r="AH1667" s="157">
        <f>(Z1667*AG1667)/1000</f>
        <v>0</v>
      </c>
      <c r="AI1667" s="152">
        <f t="shared" si="560"/>
        <v>28512</v>
      </c>
      <c r="AK1667" s="156" t="s">
        <v>691</v>
      </c>
      <c r="AL1667" s="212" t="s">
        <v>690</v>
      </c>
      <c r="AM1667" s="198">
        <f t="shared" si="550"/>
        <v>0</v>
      </c>
      <c r="AN1667" s="199">
        <f t="shared" si="545"/>
        <v>45619</v>
      </c>
      <c r="AO1667" s="159" t="s">
        <v>692</v>
      </c>
      <c r="AP1667" s="783" t="s">
        <v>644</v>
      </c>
      <c r="AQ1667" s="782">
        <v>12063755</v>
      </c>
      <c r="AR1667" s="782">
        <v>12061353</v>
      </c>
      <c r="AS1667" s="782">
        <v>12061354</v>
      </c>
      <c r="AT1667" s="782">
        <v>12062266</v>
      </c>
      <c r="AU1667" s="781"/>
      <c r="AV1667" s="782">
        <v>12088159</v>
      </c>
      <c r="AW1667" s="782">
        <v>12088207</v>
      </c>
      <c r="AX1667" s="782"/>
      <c r="AY1667" s="782">
        <v>12062262</v>
      </c>
      <c r="AZ1667" s="782"/>
      <c r="BA1667" s="781"/>
    </row>
    <row r="1668" spans="1:53" ht="25" hidden="1" customHeight="1">
      <c r="A1668" s="440"/>
      <c r="B1668" s="271">
        <v>45619</v>
      </c>
      <c r="C1668" s="271">
        <v>45635</v>
      </c>
      <c r="D1668" s="185">
        <f t="shared" si="538"/>
        <v>2024</v>
      </c>
      <c r="E1668" s="441" t="str">
        <f>VLOOKUP($B1668,Week!$A$1:$C$1462,2,0)</f>
        <v>Week47</v>
      </c>
      <c r="F1668" s="442" t="str">
        <f t="shared" si="539"/>
        <v>Nov</v>
      </c>
      <c r="G1668" s="423" t="s">
        <v>1574</v>
      </c>
      <c r="H1668" s="274" t="s">
        <v>267</v>
      </c>
      <c r="I1668" s="274" t="s">
        <v>2772</v>
      </c>
      <c r="J1668" s="275" t="s">
        <v>699</v>
      </c>
      <c r="K1668" s="276" t="s">
        <v>107</v>
      </c>
      <c r="L1668" s="300" t="s">
        <v>2167</v>
      </c>
      <c r="M1668" s="275" t="s">
        <v>136</v>
      </c>
      <c r="N1668" s="274" t="s">
        <v>269</v>
      </c>
      <c r="O1668" s="274" t="s">
        <v>270</v>
      </c>
      <c r="P1668" s="277">
        <v>12</v>
      </c>
      <c r="Q1668" s="277">
        <v>3</v>
      </c>
      <c r="R1668" s="278">
        <v>7.4999999999999997E-3</v>
      </c>
      <c r="S1668" s="274" t="s">
        <v>111</v>
      </c>
      <c r="T1668" s="274" t="s">
        <v>112</v>
      </c>
      <c r="U1668" s="274" t="s">
        <v>57</v>
      </c>
      <c r="V1668" s="279">
        <v>2520</v>
      </c>
      <c r="W1668" s="279">
        <f>106+2410</f>
        <v>2516</v>
      </c>
      <c r="X1668" s="280">
        <f>4</f>
        <v>4</v>
      </c>
      <c r="Y1668" s="281">
        <f>(W1668+X1668)-V1668</f>
        <v>0</v>
      </c>
      <c r="Z1668" s="282">
        <f t="shared" si="552"/>
        <v>0</v>
      </c>
      <c r="AA1668" s="282"/>
      <c r="AB1668" s="812"/>
      <c r="AC1668" s="279"/>
      <c r="AD1668" s="443" t="s">
        <v>737</v>
      </c>
      <c r="AE1668" s="210"/>
      <c r="AF1668" s="210"/>
      <c r="AG1668" s="211">
        <f t="shared" si="559"/>
        <v>0.309</v>
      </c>
      <c r="AH1668" s="157">
        <f>(Z1668*AG1668)/1000</f>
        <v>0</v>
      </c>
      <c r="AI1668" s="152">
        <f t="shared" si="560"/>
        <v>30240</v>
      </c>
      <c r="AK1668" s="156" t="s">
        <v>691</v>
      </c>
      <c r="AL1668" s="212" t="s">
        <v>690</v>
      </c>
      <c r="AM1668" s="198">
        <f t="shared" si="550"/>
        <v>0</v>
      </c>
      <c r="AN1668" s="199">
        <f t="shared" si="545"/>
        <v>45619</v>
      </c>
      <c r="AO1668" s="159" t="s">
        <v>692</v>
      </c>
      <c r="AP1668" s="781"/>
      <c r="AQ1668" s="782">
        <v>12063755</v>
      </c>
      <c r="AR1668" s="782">
        <v>12081257</v>
      </c>
      <c r="AS1668" s="782">
        <v>12081260</v>
      </c>
      <c r="AT1668" s="782"/>
      <c r="AU1668" s="781"/>
      <c r="AV1668" s="782">
        <v>12073316</v>
      </c>
      <c r="AW1668" s="782"/>
      <c r="AX1668" s="782"/>
      <c r="AY1668" s="782">
        <v>12073342</v>
      </c>
      <c r="AZ1668" s="782">
        <v>12073344</v>
      </c>
      <c r="BA1668" s="782">
        <v>12073343</v>
      </c>
    </row>
    <row r="1669" spans="1:53" ht="25" hidden="1" customHeight="1">
      <c r="A1669" s="440"/>
      <c r="B1669" s="271">
        <v>45619</v>
      </c>
      <c r="C1669" s="271">
        <v>45645</v>
      </c>
      <c r="D1669" s="185">
        <f t="shared" ref="D1669:D1732" si="561">IF(B1669="","",YEAR(B1669))</f>
        <v>2024</v>
      </c>
      <c r="E1669" s="441" t="str">
        <f>VLOOKUP($B1669,Week!$A$1:$C$1462,2,0)</f>
        <v>Week47</v>
      </c>
      <c r="F1669" s="442" t="str">
        <f t="shared" ref="F1669:F1732" si="562">IF(B1669="","",TEXT(B1669,"[$-409]mmm"))</f>
        <v>Nov</v>
      </c>
      <c r="G1669" s="423" t="s">
        <v>1575</v>
      </c>
      <c r="H1669" s="274" t="s">
        <v>267</v>
      </c>
      <c r="I1669" s="274" t="s">
        <v>2772</v>
      </c>
      <c r="J1669" s="275" t="s">
        <v>699</v>
      </c>
      <c r="K1669" s="276" t="s">
        <v>107</v>
      </c>
      <c r="L1669" s="300" t="s">
        <v>2167</v>
      </c>
      <c r="M1669" s="275" t="s">
        <v>136</v>
      </c>
      <c r="N1669" s="274" t="s">
        <v>269</v>
      </c>
      <c r="O1669" s="274" t="s">
        <v>270</v>
      </c>
      <c r="P1669" s="277">
        <v>12</v>
      </c>
      <c r="Q1669" s="277">
        <v>3</v>
      </c>
      <c r="R1669" s="278">
        <v>7.4999999999999997E-3</v>
      </c>
      <c r="S1669" s="274" t="s">
        <v>111</v>
      </c>
      <c r="T1669" s="274" t="s">
        <v>112</v>
      </c>
      <c r="U1669" s="274" t="s">
        <v>57</v>
      </c>
      <c r="V1669" s="279">
        <v>2520</v>
      </c>
      <c r="W1669" s="279">
        <f>4930-2410</f>
        <v>2520</v>
      </c>
      <c r="X1669" s="280"/>
      <c r="Y1669" s="281">
        <f>(W1669+X1669)-V1669</f>
        <v>0</v>
      </c>
      <c r="Z1669" s="282">
        <f t="shared" si="552"/>
        <v>0</v>
      </c>
      <c r="AA1669" s="282"/>
      <c r="AB1669" s="812"/>
      <c r="AC1669" s="279"/>
      <c r="AD1669" s="443" t="s">
        <v>737</v>
      </c>
      <c r="AE1669" s="210"/>
      <c r="AF1669" s="210"/>
      <c r="AG1669" s="211">
        <f t="shared" si="559"/>
        <v>0.309</v>
      </c>
      <c r="AH1669" s="157">
        <f>(Z1669*AG1669)/1000</f>
        <v>0</v>
      </c>
      <c r="AI1669" s="152">
        <f t="shared" si="560"/>
        <v>30240</v>
      </c>
      <c r="AK1669" s="156" t="s">
        <v>691</v>
      </c>
      <c r="AL1669" s="212" t="s">
        <v>690</v>
      </c>
      <c r="AM1669" s="198">
        <f t="shared" si="550"/>
        <v>0</v>
      </c>
      <c r="AN1669" s="199">
        <f t="shared" ref="AN1669:AN1732" si="563">B1669</f>
        <v>45619</v>
      </c>
      <c r="AO1669" s="159" t="s">
        <v>692</v>
      </c>
      <c r="AP1669" s="781"/>
      <c r="AQ1669" s="782">
        <v>12063755</v>
      </c>
      <c r="AR1669" s="782">
        <v>12081257</v>
      </c>
      <c r="AS1669" s="782">
        <v>12081260</v>
      </c>
      <c r="AT1669" s="782"/>
      <c r="AU1669" s="781"/>
      <c r="AV1669" s="782">
        <v>12073316</v>
      </c>
      <c r="AW1669" s="782"/>
      <c r="AX1669" s="782"/>
      <c r="AY1669" s="782">
        <v>12073342</v>
      </c>
      <c r="AZ1669" s="782">
        <v>12073344</v>
      </c>
      <c r="BA1669" s="782">
        <v>12073343</v>
      </c>
    </row>
    <row r="1670" spans="1:53" ht="25" hidden="1" customHeight="1">
      <c r="B1670" s="487">
        <v>45619</v>
      </c>
      <c r="C1670" s="487">
        <v>45635</v>
      </c>
      <c r="D1670" s="185">
        <f t="shared" si="561"/>
        <v>2024</v>
      </c>
      <c r="E1670" s="488" t="str">
        <f>VLOOKUP($B1670,Week!$A$1:$C$1462,2,0)</f>
        <v>Week47</v>
      </c>
      <c r="F1670" s="489" t="str">
        <f t="shared" si="562"/>
        <v>Nov</v>
      </c>
      <c r="G1670" s="444" t="s">
        <v>1855</v>
      </c>
      <c r="H1670" s="444" t="s">
        <v>571</v>
      </c>
      <c r="I1670" s="444" t="s">
        <v>2772</v>
      </c>
      <c r="J1670" s="490" t="s">
        <v>663</v>
      </c>
      <c r="K1670" s="491" t="s">
        <v>107</v>
      </c>
      <c r="L1670" s="300" t="s">
        <v>2167</v>
      </c>
      <c r="M1670" s="490" t="s">
        <v>136</v>
      </c>
      <c r="N1670" s="444" t="s">
        <v>574</v>
      </c>
      <c r="O1670" s="444" t="s">
        <v>270</v>
      </c>
      <c r="P1670" s="492">
        <v>12</v>
      </c>
      <c r="Q1670" s="492">
        <v>3</v>
      </c>
      <c r="R1670" s="493">
        <v>7.4999999999999997E-3</v>
      </c>
      <c r="S1670" s="444" t="s">
        <v>111</v>
      </c>
      <c r="T1670" s="444" t="s">
        <v>112</v>
      </c>
      <c r="U1670" s="444" t="s">
        <v>57</v>
      </c>
      <c r="V1670" s="494">
        <v>2278</v>
      </c>
      <c r="W1670" s="494"/>
      <c r="X1670" s="495">
        <f>(1948+25976)/12</f>
        <v>2327</v>
      </c>
      <c r="Y1670" s="496">
        <f>(W1670+X1670)-V1670</f>
        <v>49</v>
      </c>
      <c r="Z1670" s="497">
        <f t="shared" si="552"/>
        <v>0</v>
      </c>
      <c r="AA1670" s="497"/>
      <c r="AB1670" s="829"/>
      <c r="AC1670" s="494"/>
      <c r="AD1670" s="639" t="s">
        <v>1414</v>
      </c>
      <c r="AE1670" s="210"/>
      <c r="AF1670" s="210"/>
      <c r="AG1670" s="211">
        <f t="shared" si="559"/>
        <v>0.309</v>
      </c>
      <c r="AH1670" s="157">
        <f>(Z1670*AG1670)/1000</f>
        <v>0</v>
      </c>
      <c r="AI1670" s="152">
        <f t="shared" si="560"/>
        <v>27336</v>
      </c>
      <c r="AK1670" s="156" t="s">
        <v>691</v>
      </c>
      <c r="AL1670" s="212" t="s">
        <v>690</v>
      </c>
      <c r="AM1670" s="198">
        <f t="shared" si="550"/>
        <v>0</v>
      </c>
      <c r="AN1670" s="199">
        <f t="shared" si="563"/>
        <v>45619</v>
      </c>
      <c r="AO1670" s="159" t="s">
        <v>692</v>
      </c>
      <c r="AP1670" s="781"/>
      <c r="AQ1670" s="782">
        <v>12063755</v>
      </c>
      <c r="AR1670" s="782">
        <v>12061353</v>
      </c>
      <c r="AS1670" s="782">
        <v>12061354</v>
      </c>
      <c r="AT1670" s="782">
        <v>12090252</v>
      </c>
      <c r="AU1670" s="781"/>
      <c r="AV1670" s="782">
        <v>12090250</v>
      </c>
      <c r="AW1670" s="782"/>
      <c r="AX1670" s="782"/>
      <c r="AY1670" s="782">
        <v>12082927</v>
      </c>
      <c r="AZ1670" s="782">
        <v>12082928</v>
      </c>
      <c r="BA1670" s="782">
        <v>12082929</v>
      </c>
    </row>
    <row r="1671" spans="1:53" ht="25" hidden="1" customHeight="1">
      <c r="B1671" s="183">
        <v>45620</v>
      </c>
      <c r="C1671" s="184"/>
      <c r="D1671" s="185">
        <f t="shared" si="561"/>
        <v>2024</v>
      </c>
      <c r="E1671" s="185" t="str">
        <f>VLOOKUP($B1671,Week!$A$1:$C$1462,2,0)</f>
        <v>Week47</v>
      </c>
      <c r="F1671" s="186" t="str">
        <f t="shared" si="562"/>
        <v>Nov</v>
      </c>
      <c r="G1671" s="185"/>
      <c r="H1671" s="185"/>
      <c r="I1671" s="185"/>
      <c r="J1671" s="187"/>
      <c r="K1671" s="188"/>
      <c r="L1671" s="300"/>
      <c r="M1671" s="187"/>
      <c r="N1671" s="185"/>
      <c r="O1671" s="185"/>
      <c r="P1671" s="189"/>
      <c r="Q1671" s="189"/>
      <c r="R1671" s="190"/>
      <c r="S1671" s="185"/>
      <c r="T1671" s="185"/>
      <c r="U1671" s="185"/>
      <c r="V1671" s="191"/>
      <c r="W1671" s="191"/>
      <c r="X1671" s="192"/>
      <c r="Y1671" s="193"/>
      <c r="Z1671" s="194"/>
      <c r="AA1671" s="194"/>
      <c r="AB1671" s="805"/>
      <c r="AC1671" s="191"/>
      <c r="AD1671" s="187"/>
      <c r="AE1671" s="195"/>
      <c r="AF1671" s="195"/>
      <c r="AG1671" s="196"/>
      <c r="AH1671" s="197"/>
      <c r="AK1671" s="156" t="s">
        <v>691</v>
      </c>
      <c r="AM1671" s="198">
        <f t="shared" si="550"/>
        <v>0</v>
      </c>
      <c r="AN1671" s="199">
        <f t="shared" si="563"/>
        <v>45620</v>
      </c>
      <c r="AO1671" s="159" t="s">
        <v>692</v>
      </c>
      <c r="AP1671" s="781"/>
      <c r="AQ1671" s="782"/>
      <c r="AR1671" s="782"/>
      <c r="AS1671" s="782"/>
      <c r="AT1671" s="782"/>
      <c r="AU1671" s="781"/>
      <c r="AV1671" s="782"/>
      <c r="AW1671" s="782"/>
      <c r="AX1671" s="782"/>
      <c r="AY1671" s="782"/>
      <c r="AZ1671" s="782"/>
      <c r="BA1671" s="781"/>
    </row>
    <row r="1672" spans="1:53" ht="25" hidden="1" customHeight="1">
      <c r="B1672" s="213">
        <v>45621</v>
      </c>
      <c r="C1672" s="578">
        <v>45628</v>
      </c>
      <c r="D1672" s="185">
        <f t="shared" si="561"/>
        <v>2024</v>
      </c>
      <c r="E1672" s="215" t="str">
        <f>VLOOKUP($B1672,Week!$A$1:$C$1462,2,0)</f>
        <v>Week48</v>
      </c>
      <c r="F1672" s="216" t="str">
        <f t="shared" si="562"/>
        <v>Nov</v>
      </c>
      <c r="G1672" s="215" t="s">
        <v>1770</v>
      </c>
      <c r="H1672" s="215" t="s">
        <v>104</v>
      </c>
      <c r="I1672" s="215" t="s">
        <v>2772</v>
      </c>
      <c r="J1672" s="209" t="s">
        <v>105</v>
      </c>
      <c r="K1672" s="217" t="s">
        <v>107</v>
      </c>
      <c r="L1672" s="300" t="s">
        <v>2167</v>
      </c>
      <c r="M1672" s="209" t="s">
        <v>108</v>
      </c>
      <c r="N1672" s="215" t="s">
        <v>109</v>
      </c>
      <c r="O1672" s="215" t="s">
        <v>110</v>
      </c>
      <c r="P1672" s="218">
        <v>36</v>
      </c>
      <c r="Q1672" s="218">
        <v>5</v>
      </c>
      <c r="R1672" s="219">
        <v>7.4999999999999997E-3</v>
      </c>
      <c r="S1672" s="215" t="s">
        <v>111</v>
      </c>
      <c r="T1672" s="215" t="s">
        <v>112</v>
      </c>
      <c r="U1672" s="215" t="s">
        <v>113</v>
      </c>
      <c r="V1672" s="220">
        <f>792-468</f>
        <v>324</v>
      </c>
      <c r="W1672" s="220">
        <f>792-468</f>
        <v>324</v>
      </c>
      <c r="X1672" s="221"/>
      <c r="Y1672" s="222">
        <f t="shared" ref="Y1672:Y1703" si="564">(W1672+X1672)-V1672</f>
        <v>0</v>
      </c>
      <c r="Z1672" s="223">
        <f t="shared" ref="Z1672:Z1703" si="565">IF(Y1672&lt;0,((V1672*P1672)-((W1672+X1672)*P1672)),0)</f>
        <v>0</v>
      </c>
      <c r="AA1672" s="223"/>
      <c r="AB1672" s="807"/>
      <c r="AC1672" s="220"/>
      <c r="AD1672" s="209"/>
      <c r="AE1672" s="210"/>
      <c r="AF1672" s="210"/>
      <c r="AG1672" s="211">
        <f t="shared" ref="AG1672:AG1690" si="566">MID(O1672,1,3)/1000</f>
        <v>0.308</v>
      </c>
      <c r="AH1672" s="157">
        <f t="shared" ref="AH1672:AH1686" si="567">(Z1672*AG1672)/1000</f>
        <v>0</v>
      </c>
      <c r="AI1672" s="152">
        <f t="shared" ref="AI1672:AI1703" si="568">V1672*P1672</f>
        <v>11664</v>
      </c>
      <c r="AK1672" s="156" t="s">
        <v>691</v>
      </c>
      <c r="AL1672" s="574" t="s">
        <v>690</v>
      </c>
      <c r="AM1672" s="198">
        <f t="shared" si="550"/>
        <v>0</v>
      </c>
      <c r="AN1672" s="199">
        <f t="shared" si="563"/>
        <v>45621</v>
      </c>
      <c r="AO1672" s="159" t="s">
        <v>692</v>
      </c>
      <c r="AP1672" s="781"/>
      <c r="AQ1672" s="782">
        <v>12063755</v>
      </c>
      <c r="AR1672" s="782">
        <v>12061353</v>
      </c>
      <c r="AS1672" s="782">
        <v>12061354</v>
      </c>
      <c r="AT1672" s="782">
        <v>12068566</v>
      </c>
      <c r="AU1672" s="781"/>
      <c r="AV1672" s="782">
        <v>12088206</v>
      </c>
      <c r="AW1672" s="782">
        <v>12088207</v>
      </c>
      <c r="AX1672" s="782"/>
      <c r="AY1672" s="782">
        <v>12068565</v>
      </c>
      <c r="AZ1672" s="782"/>
      <c r="BA1672" s="781"/>
    </row>
    <row r="1673" spans="1:53" ht="25" hidden="1" customHeight="1">
      <c r="B1673" s="213">
        <v>45621</v>
      </c>
      <c r="C1673" s="578">
        <v>45628</v>
      </c>
      <c r="D1673" s="185">
        <f t="shared" si="561"/>
        <v>2024</v>
      </c>
      <c r="E1673" s="215" t="str">
        <f>VLOOKUP($B1673,Week!$A$1:$C$1462,2,0)</f>
        <v>Week48</v>
      </c>
      <c r="F1673" s="216" t="str">
        <f t="shared" si="562"/>
        <v>Nov</v>
      </c>
      <c r="G1673" s="215" t="s">
        <v>1771</v>
      </c>
      <c r="H1673" s="215" t="s">
        <v>104</v>
      </c>
      <c r="I1673" s="215" t="s">
        <v>2772</v>
      </c>
      <c r="J1673" s="209" t="s">
        <v>105</v>
      </c>
      <c r="K1673" s="217" t="s">
        <v>107</v>
      </c>
      <c r="L1673" s="300" t="s">
        <v>2167</v>
      </c>
      <c r="M1673" s="209" t="s">
        <v>108</v>
      </c>
      <c r="N1673" s="215" t="s">
        <v>109</v>
      </c>
      <c r="O1673" s="215" t="s">
        <v>110</v>
      </c>
      <c r="P1673" s="218">
        <v>36</v>
      </c>
      <c r="Q1673" s="218">
        <v>5</v>
      </c>
      <c r="R1673" s="219">
        <v>7.4999999999999997E-3</v>
      </c>
      <c r="S1673" s="215" t="s">
        <v>111</v>
      </c>
      <c r="T1673" s="215" t="s">
        <v>112</v>
      </c>
      <c r="U1673" s="215" t="s">
        <v>113</v>
      </c>
      <c r="V1673" s="220">
        <v>792</v>
      </c>
      <c r="W1673" s="220">
        <v>792</v>
      </c>
      <c r="X1673" s="221"/>
      <c r="Y1673" s="222">
        <f t="shared" si="564"/>
        <v>0</v>
      </c>
      <c r="Z1673" s="223">
        <f t="shared" si="565"/>
        <v>0</v>
      </c>
      <c r="AA1673" s="223"/>
      <c r="AB1673" s="807"/>
      <c r="AC1673" s="220"/>
      <c r="AD1673" s="209"/>
      <c r="AE1673" s="210"/>
      <c r="AF1673" s="210"/>
      <c r="AG1673" s="211">
        <f t="shared" si="566"/>
        <v>0.308</v>
      </c>
      <c r="AH1673" s="157">
        <f t="shared" si="567"/>
        <v>0</v>
      </c>
      <c r="AI1673" s="152">
        <f t="shared" si="568"/>
        <v>28512</v>
      </c>
      <c r="AK1673" s="156" t="s">
        <v>691</v>
      </c>
      <c r="AL1673" s="574" t="s">
        <v>690</v>
      </c>
      <c r="AM1673" s="198">
        <f t="shared" si="550"/>
        <v>0</v>
      </c>
      <c r="AN1673" s="199">
        <f t="shared" si="563"/>
        <v>45621</v>
      </c>
      <c r="AO1673" s="159" t="s">
        <v>692</v>
      </c>
      <c r="AP1673" s="781"/>
      <c r="AQ1673" s="782">
        <v>12063755</v>
      </c>
      <c r="AR1673" s="782">
        <v>12061353</v>
      </c>
      <c r="AS1673" s="782">
        <v>12061354</v>
      </c>
      <c r="AT1673" s="782">
        <v>12068566</v>
      </c>
      <c r="AU1673" s="781"/>
      <c r="AV1673" s="782">
        <v>12088206</v>
      </c>
      <c r="AW1673" s="782">
        <v>12088207</v>
      </c>
      <c r="AX1673" s="782"/>
      <c r="AY1673" s="782">
        <v>12068565</v>
      </c>
      <c r="AZ1673" s="782"/>
      <c r="BA1673" s="781"/>
    </row>
    <row r="1674" spans="1:53" ht="25" hidden="1" customHeight="1">
      <c r="B1674" s="213">
        <v>45621</v>
      </c>
      <c r="C1674" s="578">
        <v>45628</v>
      </c>
      <c r="D1674" s="185">
        <f t="shared" si="561"/>
        <v>2024</v>
      </c>
      <c r="E1674" s="215" t="str">
        <f>VLOOKUP($B1674,Week!$A$1:$C$1462,2,0)</f>
        <v>Week48</v>
      </c>
      <c r="F1674" s="216" t="str">
        <f t="shared" si="562"/>
        <v>Nov</v>
      </c>
      <c r="G1674" s="215" t="s">
        <v>1772</v>
      </c>
      <c r="H1674" s="215" t="s">
        <v>104</v>
      </c>
      <c r="I1674" s="215" t="s">
        <v>2772</v>
      </c>
      <c r="J1674" s="209" t="s">
        <v>105</v>
      </c>
      <c r="K1674" s="217" t="s">
        <v>107</v>
      </c>
      <c r="L1674" s="300" t="s">
        <v>2167</v>
      </c>
      <c r="M1674" s="209" t="s">
        <v>108</v>
      </c>
      <c r="N1674" s="215" t="s">
        <v>109</v>
      </c>
      <c r="O1674" s="215" t="s">
        <v>110</v>
      </c>
      <c r="P1674" s="218">
        <v>36</v>
      </c>
      <c r="Q1674" s="218">
        <v>5</v>
      </c>
      <c r="R1674" s="219">
        <v>7.4999999999999997E-3</v>
      </c>
      <c r="S1674" s="215" t="s">
        <v>111</v>
      </c>
      <c r="T1674" s="215" t="s">
        <v>112</v>
      </c>
      <c r="U1674" s="215" t="s">
        <v>113</v>
      </c>
      <c r="V1674" s="220">
        <v>792</v>
      </c>
      <c r="W1674" s="220">
        <v>792</v>
      </c>
      <c r="X1674" s="221"/>
      <c r="Y1674" s="222">
        <f t="shared" si="564"/>
        <v>0</v>
      </c>
      <c r="Z1674" s="223">
        <f t="shared" si="565"/>
        <v>0</v>
      </c>
      <c r="AA1674" s="223"/>
      <c r="AB1674" s="807"/>
      <c r="AC1674" s="220"/>
      <c r="AD1674" s="209"/>
      <c r="AE1674" s="210"/>
      <c r="AF1674" s="210"/>
      <c r="AG1674" s="211">
        <f t="shared" si="566"/>
        <v>0.308</v>
      </c>
      <c r="AH1674" s="157">
        <f t="shared" si="567"/>
        <v>0</v>
      </c>
      <c r="AI1674" s="152">
        <f t="shared" si="568"/>
        <v>28512</v>
      </c>
      <c r="AK1674" s="156" t="s">
        <v>691</v>
      </c>
      <c r="AL1674" s="574" t="s">
        <v>690</v>
      </c>
      <c r="AM1674" s="198">
        <f t="shared" si="550"/>
        <v>0</v>
      </c>
      <c r="AN1674" s="199">
        <f t="shared" si="563"/>
        <v>45621</v>
      </c>
      <c r="AO1674" s="159" t="s">
        <v>692</v>
      </c>
      <c r="AP1674" s="781"/>
      <c r="AQ1674" s="782">
        <v>12063755</v>
      </c>
      <c r="AR1674" s="782">
        <v>12061353</v>
      </c>
      <c r="AS1674" s="782">
        <v>12061354</v>
      </c>
      <c r="AT1674" s="782">
        <v>12068566</v>
      </c>
      <c r="AU1674" s="781"/>
      <c r="AV1674" s="782">
        <v>12088206</v>
      </c>
      <c r="AW1674" s="782">
        <v>12088207</v>
      </c>
      <c r="AX1674" s="782"/>
      <c r="AY1674" s="782">
        <v>12068565</v>
      </c>
      <c r="AZ1674" s="782"/>
      <c r="BA1674" s="781"/>
    </row>
    <row r="1675" spans="1:53" ht="25" hidden="1" customHeight="1">
      <c r="B1675" s="213">
        <v>45621</v>
      </c>
      <c r="C1675" s="578">
        <v>45630</v>
      </c>
      <c r="D1675" s="185">
        <f t="shared" si="561"/>
        <v>2024</v>
      </c>
      <c r="E1675" s="215" t="str">
        <f>VLOOKUP($B1675,Week!$A$1:$C$1462,2,0)</f>
        <v>Week48</v>
      </c>
      <c r="F1675" s="216" t="str">
        <f t="shared" si="562"/>
        <v>Nov</v>
      </c>
      <c r="G1675" s="215" t="s">
        <v>1773</v>
      </c>
      <c r="H1675" s="215" t="s">
        <v>104</v>
      </c>
      <c r="I1675" s="215" t="s">
        <v>2772</v>
      </c>
      <c r="J1675" s="209" t="s">
        <v>105</v>
      </c>
      <c r="K1675" s="217" t="s">
        <v>107</v>
      </c>
      <c r="L1675" s="300" t="s">
        <v>2167</v>
      </c>
      <c r="M1675" s="209" t="s">
        <v>108</v>
      </c>
      <c r="N1675" s="215" t="s">
        <v>109</v>
      </c>
      <c r="O1675" s="215" t="s">
        <v>110</v>
      </c>
      <c r="P1675" s="218">
        <v>36</v>
      </c>
      <c r="Q1675" s="218">
        <v>5</v>
      </c>
      <c r="R1675" s="219">
        <v>7.4999999999999997E-3</v>
      </c>
      <c r="S1675" s="215" t="s">
        <v>111</v>
      </c>
      <c r="T1675" s="215" t="s">
        <v>112</v>
      </c>
      <c r="U1675" s="215" t="s">
        <v>113</v>
      </c>
      <c r="V1675" s="220">
        <v>792</v>
      </c>
      <c r="W1675" s="220">
        <v>792</v>
      </c>
      <c r="X1675" s="221"/>
      <c r="Y1675" s="222">
        <f t="shared" si="564"/>
        <v>0</v>
      </c>
      <c r="Z1675" s="223">
        <f t="shared" si="565"/>
        <v>0</v>
      </c>
      <c r="AA1675" s="223"/>
      <c r="AB1675" s="807"/>
      <c r="AC1675" s="220"/>
      <c r="AD1675" s="209"/>
      <c r="AE1675" s="210"/>
      <c r="AF1675" s="210"/>
      <c r="AG1675" s="211">
        <f t="shared" si="566"/>
        <v>0.308</v>
      </c>
      <c r="AH1675" s="157">
        <f t="shared" si="567"/>
        <v>0</v>
      </c>
      <c r="AI1675" s="152">
        <f t="shared" si="568"/>
        <v>28512</v>
      </c>
      <c r="AK1675" s="156" t="s">
        <v>691</v>
      </c>
      <c r="AL1675" s="574" t="s">
        <v>690</v>
      </c>
      <c r="AM1675" s="198">
        <f t="shared" si="550"/>
        <v>0</v>
      </c>
      <c r="AN1675" s="199">
        <f t="shared" si="563"/>
        <v>45621</v>
      </c>
      <c r="AO1675" s="159" t="s">
        <v>692</v>
      </c>
      <c r="AP1675" s="781"/>
      <c r="AQ1675" s="782">
        <v>12063755</v>
      </c>
      <c r="AR1675" s="782">
        <v>12061353</v>
      </c>
      <c r="AS1675" s="782">
        <v>12061354</v>
      </c>
      <c r="AT1675" s="782">
        <v>12068566</v>
      </c>
      <c r="AU1675" s="781"/>
      <c r="AV1675" s="782">
        <v>12088206</v>
      </c>
      <c r="AW1675" s="782">
        <v>12088207</v>
      </c>
      <c r="AX1675" s="782"/>
      <c r="AY1675" s="782">
        <v>12068565</v>
      </c>
      <c r="AZ1675" s="782"/>
      <c r="BA1675" s="781"/>
    </row>
    <row r="1676" spans="1:53" ht="25" hidden="1" customHeight="1">
      <c r="B1676" s="213">
        <v>45621</v>
      </c>
      <c r="C1676" s="578">
        <v>45630</v>
      </c>
      <c r="D1676" s="185">
        <f t="shared" si="561"/>
        <v>2024</v>
      </c>
      <c r="E1676" s="215" t="str">
        <f>VLOOKUP($B1676,Week!$A$1:$C$1462,2,0)</f>
        <v>Week48</v>
      </c>
      <c r="F1676" s="216" t="str">
        <f t="shared" si="562"/>
        <v>Nov</v>
      </c>
      <c r="G1676" s="215" t="s">
        <v>1774</v>
      </c>
      <c r="H1676" s="215" t="s">
        <v>104</v>
      </c>
      <c r="I1676" s="215" t="s">
        <v>2772</v>
      </c>
      <c r="J1676" s="209" t="s">
        <v>105</v>
      </c>
      <c r="K1676" s="217" t="s">
        <v>107</v>
      </c>
      <c r="L1676" s="300" t="s">
        <v>2167</v>
      </c>
      <c r="M1676" s="209" t="s">
        <v>108</v>
      </c>
      <c r="N1676" s="215" t="s">
        <v>109</v>
      </c>
      <c r="O1676" s="215" t="s">
        <v>110</v>
      </c>
      <c r="P1676" s="218">
        <v>36</v>
      </c>
      <c r="Q1676" s="218">
        <v>5</v>
      </c>
      <c r="R1676" s="219">
        <v>7.4999999999999997E-3</v>
      </c>
      <c r="S1676" s="215" t="s">
        <v>111</v>
      </c>
      <c r="T1676" s="215" t="s">
        <v>112</v>
      </c>
      <c r="U1676" s="215" t="s">
        <v>113</v>
      </c>
      <c r="V1676" s="220">
        <v>792</v>
      </c>
      <c r="W1676" s="220">
        <v>792</v>
      </c>
      <c r="X1676" s="221"/>
      <c r="Y1676" s="222">
        <f t="shared" si="564"/>
        <v>0</v>
      </c>
      <c r="Z1676" s="223">
        <f t="shared" si="565"/>
        <v>0</v>
      </c>
      <c r="AA1676" s="223"/>
      <c r="AB1676" s="807"/>
      <c r="AC1676" s="220"/>
      <c r="AD1676" s="209"/>
      <c r="AE1676" s="210"/>
      <c r="AF1676" s="210"/>
      <c r="AG1676" s="211">
        <f t="shared" si="566"/>
        <v>0.308</v>
      </c>
      <c r="AH1676" s="157">
        <f t="shared" si="567"/>
        <v>0</v>
      </c>
      <c r="AI1676" s="152">
        <f t="shared" si="568"/>
        <v>28512</v>
      </c>
      <c r="AK1676" s="156" t="s">
        <v>691</v>
      </c>
      <c r="AL1676" s="574" t="s">
        <v>690</v>
      </c>
      <c r="AM1676" s="198">
        <f t="shared" si="550"/>
        <v>0</v>
      </c>
      <c r="AN1676" s="199">
        <f t="shared" si="563"/>
        <v>45621</v>
      </c>
      <c r="AO1676" s="159" t="s">
        <v>692</v>
      </c>
      <c r="AP1676" s="781"/>
      <c r="AQ1676" s="782">
        <v>12063755</v>
      </c>
      <c r="AR1676" s="782">
        <v>12061353</v>
      </c>
      <c r="AS1676" s="782">
        <v>12061354</v>
      </c>
      <c r="AT1676" s="782">
        <v>12068566</v>
      </c>
      <c r="AU1676" s="781"/>
      <c r="AV1676" s="782">
        <v>12088206</v>
      </c>
      <c r="AW1676" s="782">
        <v>12088207</v>
      </c>
      <c r="AX1676" s="782"/>
      <c r="AY1676" s="782">
        <v>12068565</v>
      </c>
      <c r="AZ1676" s="782"/>
      <c r="BA1676" s="781"/>
    </row>
    <row r="1677" spans="1:53" ht="25" hidden="1" customHeight="1">
      <c r="B1677" s="213">
        <v>45621</v>
      </c>
      <c r="C1677" s="578">
        <v>45630</v>
      </c>
      <c r="D1677" s="185">
        <f t="shared" si="561"/>
        <v>2024</v>
      </c>
      <c r="E1677" s="215" t="str">
        <f>VLOOKUP($B1677,Week!$A$1:$C$1462,2,0)</f>
        <v>Week48</v>
      </c>
      <c r="F1677" s="216" t="str">
        <f t="shared" si="562"/>
        <v>Nov</v>
      </c>
      <c r="G1677" s="215" t="s">
        <v>1775</v>
      </c>
      <c r="H1677" s="215" t="s">
        <v>104</v>
      </c>
      <c r="I1677" s="215" t="s">
        <v>2772</v>
      </c>
      <c r="J1677" s="209" t="s">
        <v>105</v>
      </c>
      <c r="K1677" s="217" t="s">
        <v>107</v>
      </c>
      <c r="L1677" s="300" t="s">
        <v>2167</v>
      </c>
      <c r="M1677" s="209" t="s">
        <v>108</v>
      </c>
      <c r="N1677" s="215" t="s">
        <v>109</v>
      </c>
      <c r="O1677" s="215" t="s">
        <v>110</v>
      </c>
      <c r="P1677" s="218">
        <v>36</v>
      </c>
      <c r="Q1677" s="218">
        <v>5</v>
      </c>
      <c r="R1677" s="219">
        <v>7.4999999999999997E-3</v>
      </c>
      <c r="S1677" s="215" t="s">
        <v>111</v>
      </c>
      <c r="T1677" s="215" t="s">
        <v>112</v>
      </c>
      <c r="U1677" s="215" t="s">
        <v>113</v>
      </c>
      <c r="V1677" s="220">
        <f>4030-324-792-792-792-792</f>
        <v>538</v>
      </c>
      <c r="W1677" s="220">
        <f>4030-324-792-792-792-792</f>
        <v>538</v>
      </c>
      <c r="X1677" s="221"/>
      <c r="Y1677" s="222">
        <f t="shared" si="564"/>
        <v>0</v>
      </c>
      <c r="Z1677" s="223">
        <f t="shared" si="565"/>
        <v>0</v>
      </c>
      <c r="AA1677" s="223"/>
      <c r="AB1677" s="807"/>
      <c r="AC1677" s="220"/>
      <c r="AD1677" s="209"/>
      <c r="AE1677" s="210"/>
      <c r="AF1677" s="210"/>
      <c r="AG1677" s="211">
        <f t="shared" si="566"/>
        <v>0.308</v>
      </c>
      <c r="AH1677" s="157">
        <f t="shared" si="567"/>
        <v>0</v>
      </c>
      <c r="AI1677" s="152">
        <f t="shared" si="568"/>
        <v>19368</v>
      </c>
      <c r="AK1677" s="156" t="s">
        <v>691</v>
      </c>
      <c r="AL1677" s="574" t="s">
        <v>690</v>
      </c>
      <c r="AM1677" s="198">
        <f t="shared" si="550"/>
        <v>0</v>
      </c>
      <c r="AN1677" s="199">
        <f t="shared" si="563"/>
        <v>45621</v>
      </c>
      <c r="AO1677" s="159" t="s">
        <v>692</v>
      </c>
      <c r="AP1677" s="781"/>
      <c r="AQ1677" s="782">
        <v>12063755</v>
      </c>
      <c r="AR1677" s="782">
        <v>12061353</v>
      </c>
      <c r="AS1677" s="782">
        <v>12061354</v>
      </c>
      <c r="AT1677" s="782">
        <v>12068566</v>
      </c>
      <c r="AU1677" s="781"/>
      <c r="AV1677" s="782">
        <v>12088206</v>
      </c>
      <c r="AW1677" s="782">
        <v>12088207</v>
      </c>
      <c r="AX1677" s="782"/>
      <c r="AY1677" s="782">
        <v>12068565</v>
      </c>
      <c r="AZ1677" s="782"/>
      <c r="BA1677" s="781"/>
    </row>
    <row r="1678" spans="1:53" ht="25" hidden="1" customHeight="1">
      <c r="B1678" s="213">
        <v>45622</v>
      </c>
      <c r="C1678" s="578">
        <v>45630</v>
      </c>
      <c r="D1678" s="185">
        <f t="shared" si="561"/>
        <v>2024</v>
      </c>
      <c r="E1678" s="215" t="str">
        <f>VLOOKUP($B1678,Week!$A$1:$C$1462,2,0)</f>
        <v>Week48</v>
      </c>
      <c r="F1678" s="216" t="str">
        <f t="shared" si="562"/>
        <v>Nov</v>
      </c>
      <c r="G1678" s="215" t="s">
        <v>1775</v>
      </c>
      <c r="H1678" s="215" t="s">
        <v>104</v>
      </c>
      <c r="I1678" s="215" t="s">
        <v>2772</v>
      </c>
      <c r="J1678" s="209" t="s">
        <v>105</v>
      </c>
      <c r="K1678" s="217" t="s">
        <v>107</v>
      </c>
      <c r="L1678" s="300" t="s">
        <v>2167</v>
      </c>
      <c r="M1678" s="209" t="s">
        <v>108</v>
      </c>
      <c r="N1678" s="215" t="s">
        <v>109</v>
      </c>
      <c r="O1678" s="215" t="s">
        <v>110</v>
      </c>
      <c r="P1678" s="218">
        <v>36</v>
      </c>
      <c r="Q1678" s="218">
        <v>5</v>
      </c>
      <c r="R1678" s="219">
        <v>7.4999999999999997E-3</v>
      </c>
      <c r="S1678" s="215" t="s">
        <v>111</v>
      </c>
      <c r="T1678" s="215" t="s">
        <v>112</v>
      </c>
      <c r="U1678" s="215" t="s">
        <v>113</v>
      </c>
      <c r="V1678" s="220">
        <f>792-538</f>
        <v>254</v>
      </c>
      <c r="W1678" s="220">
        <f>792-538</f>
        <v>254</v>
      </c>
      <c r="X1678" s="221"/>
      <c r="Y1678" s="222">
        <f t="shared" si="564"/>
        <v>0</v>
      </c>
      <c r="Z1678" s="223">
        <f t="shared" si="565"/>
        <v>0</v>
      </c>
      <c r="AA1678" s="223"/>
      <c r="AB1678" s="807"/>
      <c r="AC1678" s="220"/>
      <c r="AD1678" s="209"/>
      <c r="AE1678" s="210"/>
      <c r="AF1678" s="210"/>
      <c r="AG1678" s="211">
        <f t="shared" si="566"/>
        <v>0.308</v>
      </c>
      <c r="AH1678" s="157">
        <f t="shared" si="567"/>
        <v>0</v>
      </c>
      <c r="AI1678" s="152">
        <f t="shared" si="568"/>
        <v>9144</v>
      </c>
      <c r="AK1678" s="156" t="s">
        <v>691</v>
      </c>
      <c r="AL1678" s="574" t="s">
        <v>690</v>
      </c>
      <c r="AM1678" s="198">
        <f t="shared" si="550"/>
        <v>0</v>
      </c>
      <c r="AN1678" s="199">
        <f t="shared" si="563"/>
        <v>45622</v>
      </c>
      <c r="AO1678" s="159" t="s">
        <v>692</v>
      </c>
      <c r="AP1678" s="781"/>
      <c r="AQ1678" s="782">
        <v>12063755</v>
      </c>
      <c r="AR1678" s="782">
        <v>12061353</v>
      </c>
      <c r="AS1678" s="782">
        <v>12061354</v>
      </c>
      <c r="AT1678" s="782">
        <v>12068566</v>
      </c>
      <c r="AU1678" s="781"/>
      <c r="AV1678" s="782">
        <v>12088206</v>
      </c>
      <c r="AW1678" s="782">
        <v>12088207</v>
      </c>
      <c r="AX1678" s="782"/>
      <c r="AY1678" s="782">
        <v>12068565</v>
      </c>
      <c r="AZ1678" s="782"/>
      <c r="BA1678" s="781"/>
    </row>
    <row r="1679" spans="1:53" ht="25" hidden="1" customHeight="1">
      <c r="B1679" s="213">
        <v>45622</v>
      </c>
      <c r="C1679" s="578">
        <v>45630</v>
      </c>
      <c r="D1679" s="185">
        <f t="shared" si="561"/>
        <v>2024</v>
      </c>
      <c r="E1679" s="215" t="str">
        <f>VLOOKUP($B1679,Week!$A$1:$C$1462,2,0)</f>
        <v>Week48</v>
      </c>
      <c r="F1679" s="216" t="str">
        <f t="shared" si="562"/>
        <v>Nov</v>
      </c>
      <c r="G1679" s="215" t="s">
        <v>1845</v>
      </c>
      <c r="H1679" s="215" t="s">
        <v>104</v>
      </c>
      <c r="I1679" s="215" t="s">
        <v>2772</v>
      </c>
      <c r="J1679" s="209" t="s">
        <v>105</v>
      </c>
      <c r="K1679" s="217" t="s">
        <v>107</v>
      </c>
      <c r="L1679" s="300" t="s">
        <v>2167</v>
      </c>
      <c r="M1679" s="209" t="s">
        <v>108</v>
      </c>
      <c r="N1679" s="215" t="s">
        <v>109</v>
      </c>
      <c r="O1679" s="215" t="s">
        <v>110</v>
      </c>
      <c r="P1679" s="218">
        <v>36</v>
      </c>
      <c r="Q1679" s="218">
        <v>5</v>
      </c>
      <c r="R1679" s="219">
        <v>7.4999999999999997E-3</v>
      </c>
      <c r="S1679" s="215" t="s">
        <v>111</v>
      </c>
      <c r="T1679" s="215" t="s">
        <v>112</v>
      </c>
      <c r="U1679" s="215" t="s">
        <v>113</v>
      </c>
      <c r="V1679" s="220">
        <v>792</v>
      </c>
      <c r="W1679" s="220">
        <v>792</v>
      </c>
      <c r="X1679" s="221"/>
      <c r="Y1679" s="222">
        <f t="shared" si="564"/>
        <v>0</v>
      </c>
      <c r="Z1679" s="223">
        <f t="shared" si="565"/>
        <v>0</v>
      </c>
      <c r="AA1679" s="223"/>
      <c r="AB1679" s="807"/>
      <c r="AC1679" s="220"/>
      <c r="AD1679" s="209"/>
      <c r="AE1679" s="210"/>
      <c r="AF1679" s="210"/>
      <c r="AG1679" s="211">
        <f t="shared" si="566"/>
        <v>0.308</v>
      </c>
      <c r="AH1679" s="157">
        <f t="shared" si="567"/>
        <v>0</v>
      </c>
      <c r="AI1679" s="152">
        <f t="shared" si="568"/>
        <v>28512</v>
      </c>
      <c r="AK1679" s="156" t="s">
        <v>691</v>
      </c>
      <c r="AL1679" s="574" t="s">
        <v>690</v>
      </c>
      <c r="AM1679" s="198">
        <f t="shared" si="550"/>
        <v>0</v>
      </c>
      <c r="AN1679" s="199">
        <f t="shared" si="563"/>
        <v>45622</v>
      </c>
      <c r="AO1679" s="159" t="s">
        <v>692</v>
      </c>
      <c r="AP1679" s="781"/>
      <c r="AQ1679" s="782">
        <v>12063755</v>
      </c>
      <c r="AR1679" s="782">
        <v>12061353</v>
      </c>
      <c r="AS1679" s="782">
        <v>12061354</v>
      </c>
      <c r="AT1679" s="782">
        <v>12068566</v>
      </c>
      <c r="AU1679" s="781"/>
      <c r="AV1679" s="782">
        <v>12088206</v>
      </c>
      <c r="AW1679" s="782">
        <v>12088207</v>
      </c>
      <c r="AX1679" s="782"/>
      <c r="AY1679" s="782">
        <v>12068565</v>
      </c>
      <c r="AZ1679" s="782"/>
      <c r="BA1679" s="781"/>
    </row>
    <row r="1680" spans="1:53" ht="25" hidden="1" customHeight="1">
      <c r="B1680" s="213">
        <v>45622</v>
      </c>
      <c r="C1680" s="578">
        <v>45630</v>
      </c>
      <c r="D1680" s="185">
        <f t="shared" si="561"/>
        <v>2024</v>
      </c>
      <c r="E1680" s="215" t="str">
        <f>VLOOKUP($B1680,Week!$A$1:$C$1462,2,0)</f>
        <v>Week48</v>
      </c>
      <c r="F1680" s="216" t="str">
        <f t="shared" si="562"/>
        <v>Nov</v>
      </c>
      <c r="G1680" s="215" t="s">
        <v>1846</v>
      </c>
      <c r="H1680" s="215" t="s">
        <v>104</v>
      </c>
      <c r="I1680" s="215" t="s">
        <v>2772</v>
      </c>
      <c r="J1680" s="209" t="s">
        <v>105</v>
      </c>
      <c r="K1680" s="217" t="s">
        <v>107</v>
      </c>
      <c r="L1680" s="300" t="s">
        <v>2167</v>
      </c>
      <c r="M1680" s="209" t="s">
        <v>108</v>
      </c>
      <c r="N1680" s="215" t="s">
        <v>109</v>
      </c>
      <c r="O1680" s="215" t="s">
        <v>110</v>
      </c>
      <c r="P1680" s="218">
        <v>36</v>
      </c>
      <c r="Q1680" s="218">
        <v>5</v>
      </c>
      <c r="R1680" s="219">
        <v>7.4999999999999997E-3</v>
      </c>
      <c r="S1680" s="215" t="s">
        <v>111</v>
      </c>
      <c r="T1680" s="215" t="s">
        <v>112</v>
      </c>
      <c r="U1680" s="215" t="s">
        <v>113</v>
      </c>
      <c r="V1680" s="220">
        <v>792</v>
      </c>
      <c r="W1680" s="220">
        <v>792</v>
      </c>
      <c r="X1680" s="221"/>
      <c r="Y1680" s="222">
        <f t="shared" si="564"/>
        <v>0</v>
      </c>
      <c r="Z1680" s="223">
        <f t="shared" si="565"/>
        <v>0</v>
      </c>
      <c r="AA1680" s="223"/>
      <c r="AB1680" s="807"/>
      <c r="AC1680" s="220"/>
      <c r="AD1680" s="209"/>
      <c r="AE1680" s="210"/>
      <c r="AF1680" s="210"/>
      <c r="AG1680" s="211">
        <f t="shared" si="566"/>
        <v>0.308</v>
      </c>
      <c r="AH1680" s="157">
        <f t="shared" si="567"/>
        <v>0</v>
      </c>
      <c r="AI1680" s="152">
        <f t="shared" si="568"/>
        <v>28512</v>
      </c>
      <c r="AK1680" s="156" t="s">
        <v>691</v>
      </c>
      <c r="AL1680" s="574" t="s">
        <v>690</v>
      </c>
      <c r="AM1680" s="198">
        <f t="shared" si="550"/>
        <v>0</v>
      </c>
      <c r="AN1680" s="199">
        <f t="shared" si="563"/>
        <v>45622</v>
      </c>
      <c r="AO1680" s="159" t="s">
        <v>692</v>
      </c>
      <c r="AP1680" s="781"/>
      <c r="AQ1680" s="782">
        <v>12063755</v>
      </c>
      <c r="AR1680" s="782">
        <v>12061353</v>
      </c>
      <c r="AS1680" s="782">
        <v>12061354</v>
      </c>
      <c r="AT1680" s="782">
        <v>12068566</v>
      </c>
      <c r="AU1680" s="781"/>
      <c r="AV1680" s="782">
        <v>12088206</v>
      </c>
      <c r="AW1680" s="782">
        <v>12088207</v>
      </c>
      <c r="AX1680" s="782"/>
      <c r="AY1680" s="782">
        <v>12068565</v>
      </c>
      <c r="AZ1680" s="782"/>
      <c r="BA1680" s="781"/>
    </row>
    <row r="1681" spans="1:53" ht="25" hidden="1" customHeight="1">
      <c r="B1681" s="213">
        <v>45622</v>
      </c>
      <c r="C1681" s="578">
        <v>45637</v>
      </c>
      <c r="D1681" s="185">
        <f t="shared" si="561"/>
        <v>2024</v>
      </c>
      <c r="E1681" s="215" t="str">
        <f>VLOOKUP($B1681,Week!$A$1:$C$1462,2,0)</f>
        <v>Week48</v>
      </c>
      <c r="F1681" s="216" t="str">
        <f t="shared" si="562"/>
        <v>Nov</v>
      </c>
      <c r="G1681" s="215" t="s">
        <v>1847</v>
      </c>
      <c r="H1681" s="215" t="s">
        <v>104</v>
      </c>
      <c r="I1681" s="215" t="s">
        <v>2772</v>
      </c>
      <c r="J1681" s="209" t="s">
        <v>105</v>
      </c>
      <c r="K1681" s="217" t="s">
        <v>107</v>
      </c>
      <c r="L1681" s="300" t="s">
        <v>2167</v>
      </c>
      <c r="M1681" s="209" t="s">
        <v>108</v>
      </c>
      <c r="N1681" s="215" t="s">
        <v>109</v>
      </c>
      <c r="O1681" s="215" t="s">
        <v>110</v>
      </c>
      <c r="P1681" s="218">
        <v>36</v>
      </c>
      <c r="Q1681" s="218">
        <v>5</v>
      </c>
      <c r="R1681" s="219">
        <v>7.4999999999999997E-3</v>
      </c>
      <c r="S1681" s="215" t="s">
        <v>111</v>
      </c>
      <c r="T1681" s="215" t="s">
        <v>112</v>
      </c>
      <c r="U1681" s="215" t="s">
        <v>113</v>
      </c>
      <c r="V1681" s="220">
        <v>792</v>
      </c>
      <c r="W1681" s="220">
        <v>792</v>
      </c>
      <c r="X1681" s="221"/>
      <c r="Y1681" s="222">
        <f t="shared" si="564"/>
        <v>0</v>
      </c>
      <c r="Z1681" s="223">
        <f t="shared" si="565"/>
        <v>0</v>
      </c>
      <c r="AA1681" s="223"/>
      <c r="AB1681" s="807"/>
      <c r="AC1681" s="220"/>
      <c r="AD1681" s="209"/>
      <c r="AE1681" s="210"/>
      <c r="AF1681" s="210"/>
      <c r="AG1681" s="211">
        <f t="shared" si="566"/>
        <v>0.308</v>
      </c>
      <c r="AH1681" s="157">
        <f t="shared" si="567"/>
        <v>0</v>
      </c>
      <c r="AI1681" s="152">
        <f t="shared" si="568"/>
        <v>28512</v>
      </c>
      <c r="AK1681" s="156" t="s">
        <v>691</v>
      </c>
      <c r="AL1681" s="574" t="s">
        <v>690</v>
      </c>
      <c r="AM1681" s="198">
        <f t="shared" si="550"/>
        <v>0</v>
      </c>
      <c r="AN1681" s="199">
        <f t="shared" si="563"/>
        <v>45622</v>
      </c>
      <c r="AO1681" s="159" t="s">
        <v>692</v>
      </c>
      <c r="AP1681" s="781"/>
      <c r="AQ1681" s="782">
        <v>12063755</v>
      </c>
      <c r="AR1681" s="782">
        <v>12061353</v>
      </c>
      <c r="AS1681" s="782">
        <v>12061354</v>
      </c>
      <c r="AT1681" s="782">
        <v>12068566</v>
      </c>
      <c r="AU1681" s="781"/>
      <c r="AV1681" s="782">
        <v>12088206</v>
      </c>
      <c r="AW1681" s="782">
        <v>12088207</v>
      </c>
      <c r="AX1681" s="782"/>
      <c r="AY1681" s="782">
        <v>12068565</v>
      </c>
      <c r="AZ1681" s="782"/>
      <c r="BA1681" s="781"/>
    </row>
    <row r="1682" spans="1:53" ht="25" hidden="1" customHeight="1">
      <c r="B1682" s="213">
        <v>45622</v>
      </c>
      <c r="C1682" s="578">
        <v>45637</v>
      </c>
      <c r="D1682" s="185">
        <f t="shared" si="561"/>
        <v>2024</v>
      </c>
      <c r="E1682" s="215" t="str">
        <f>VLOOKUP($B1682,Week!$A$1:$C$1462,2,0)</f>
        <v>Week48</v>
      </c>
      <c r="F1682" s="216" t="str">
        <f t="shared" si="562"/>
        <v>Nov</v>
      </c>
      <c r="G1682" s="215" t="s">
        <v>1848</v>
      </c>
      <c r="H1682" s="215" t="s">
        <v>104</v>
      </c>
      <c r="I1682" s="215" t="s">
        <v>2772</v>
      </c>
      <c r="J1682" s="209" t="s">
        <v>105</v>
      </c>
      <c r="K1682" s="217" t="s">
        <v>107</v>
      </c>
      <c r="L1682" s="300" t="s">
        <v>2167</v>
      </c>
      <c r="M1682" s="209" t="s">
        <v>108</v>
      </c>
      <c r="N1682" s="215" t="s">
        <v>109</v>
      </c>
      <c r="O1682" s="215" t="s">
        <v>110</v>
      </c>
      <c r="P1682" s="218">
        <v>36</v>
      </c>
      <c r="Q1682" s="218">
        <v>5</v>
      </c>
      <c r="R1682" s="219">
        <v>7.4999999999999997E-3</v>
      </c>
      <c r="S1682" s="215" t="s">
        <v>111</v>
      </c>
      <c r="T1682" s="215" t="s">
        <v>112</v>
      </c>
      <c r="U1682" s="215" t="s">
        <v>113</v>
      </c>
      <c r="V1682" s="220">
        <v>792</v>
      </c>
      <c r="W1682" s="220">
        <v>792</v>
      </c>
      <c r="X1682" s="221"/>
      <c r="Y1682" s="222">
        <f t="shared" si="564"/>
        <v>0</v>
      </c>
      <c r="Z1682" s="223">
        <f t="shared" si="565"/>
        <v>0</v>
      </c>
      <c r="AA1682" s="223"/>
      <c r="AB1682" s="807"/>
      <c r="AC1682" s="220"/>
      <c r="AD1682" s="209"/>
      <c r="AE1682" s="210"/>
      <c r="AF1682" s="210"/>
      <c r="AG1682" s="211">
        <f t="shared" si="566"/>
        <v>0.308</v>
      </c>
      <c r="AH1682" s="157">
        <f t="shared" si="567"/>
        <v>0</v>
      </c>
      <c r="AI1682" s="152">
        <f t="shared" si="568"/>
        <v>28512</v>
      </c>
      <c r="AK1682" s="156" t="s">
        <v>691</v>
      </c>
      <c r="AL1682" s="574" t="s">
        <v>690</v>
      </c>
      <c r="AM1682" s="198">
        <f t="shared" si="550"/>
        <v>0</v>
      </c>
      <c r="AN1682" s="199">
        <f t="shared" si="563"/>
        <v>45622</v>
      </c>
      <c r="AO1682" s="159" t="s">
        <v>692</v>
      </c>
      <c r="AP1682" s="781"/>
      <c r="AQ1682" s="782">
        <v>12063755</v>
      </c>
      <c r="AR1682" s="782">
        <v>12061353</v>
      </c>
      <c r="AS1682" s="782">
        <v>12061354</v>
      </c>
      <c r="AT1682" s="782">
        <v>12068566</v>
      </c>
      <c r="AU1682" s="781"/>
      <c r="AV1682" s="782">
        <v>12088206</v>
      </c>
      <c r="AW1682" s="782">
        <v>12088207</v>
      </c>
      <c r="AX1682" s="782"/>
      <c r="AY1682" s="782">
        <v>12068565</v>
      </c>
      <c r="AZ1682" s="782"/>
      <c r="BA1682" s="781"/>
    </row>
    <row r="1683" spans="1:53" ht="25" hidden="1" customHeight="1">
      <c r="B1683" s="213">
        <v>45622</v>
      </c>
      <c r="C1683" s="578">
        <v>45642</v>
      </c>
      <c r="D1683" s="185">
        <f t="shared" si="561"/>
        <v>2024</v>
      </c>
      <c r="E1683" s="215" t="str">
        <f>VLOOKUP($B1683,Week!$A$1:$C$1462,2,0)</f>
        <v>Week48</v>
      </c>
      <c r="F1683" s="216" t="str">
        <f t="shared" si="562"/>
        <v>Nov</v>
      </c>
      <c r="G1683" s="215" t="s">
        <v>1858</v>
      </c>
      <c r="H1683" s="215" t="s">
        <v>104</v>
      </c>
      <c r="I1683" s="215" t="s">
        <v>2772</v>
      </c>
      <c r="J1683" s="209" t="s">
        <v>105</v>
      </c>
      <c r="K1683" s="217" t="s">
        <v>107</v>
      </c>
      <c r="L1683" s="300" t="s">
        <v>2167</v>
      </c>
      <c r="M1683" s="209" t="s">
        <v>108</v>
      </c>
      <c r="N1683" s="215" t="s">
        <v>109</v>
      </c>
      <c r="O1683" s="215" t="s">
        <v>110</v>
      </c>
      <c r="P1683" s="218">
        <v>36</v>
      </c>
      <c r="Q1683" s="218">
        <v>5</v>
      </c>
      <c r="R1683" s="219">
        <v>7.4999999999999997E-3</v>
      </c>
      <c r="S1683" s="215" t="s">
        <v>111</v>
      </c>
      <c r="T1683" s="215" t="s">
        <v>112</v>
      </c>
      <c r="U1683" s="215" t="s">
        <v>113</v>
      </c>
      <c r="V1683" s="220">
        <f>4040-254-792-792-792-792</f>
        <v>618</v>
      </c>
      <c r="W1683" s="220">
        <f>4040-254-792-792-792-792</f>
        <v>618</v>
      </c>
      <c r="X1683" s="221"/>
      <c r="Y1683" s="222">
        <f t="shared" si="564"/>
        <v>0</v>
      </c>
      <c r="Z1683" s="223">
        <f t="shared" si="565"/>
        <v>0</v>
      </c>
      <c r="AA1683" s="223"/>
      <c r="AB1683" s="807"/>
      <c r="AC1683" s="220"/>
      <c r="AD1683" s="209"/>
      <c r="AE1683" s="210"/>
      <c r="AF1683" s="210"/>
      <c r="AG1683" s="211">
        <f t="shared" si="566"/>
        <v>0.308</v>
      </c>
      <c r="AH1683" s="157">
        <f t="shared" si="567"/>
        <v>0</v>
      </c>
      <c r="AI1683" s="152">
        <f t="shared" si="568"/>
        <v>22248</v>
      </c>
      <c r="AK1683" s="156" t="s">
        <v>691</v>
      </c>
      <c r="AL1683" s="574" t="s">
        <v>690</v>
      </c>
      <c r="AM1683" s="198">
        <f t="shared" ref="AM1683:AM1688" si="569">AG1683*Z1683</f>
        <v>0</v>
      </c>
      <c r="AN1683" s="199">
        <f t="shared" si="563"/>
        <v>45622</v>
      </c>
      <c r="AO1683" s="159" t="s">
        <v>692</v>
      </c>
      <c r="AP1683" s="781"/>
      <c r="AQ1683" s="782">
        <v>12063755</v>
      </c>
      <c r="AR1683" s="782">
        <v>12061353</v>
      </c>
      <c r="AS1683" s="782">
        <v>12061354</v>
      </c>
      <c r="AT1683" s="782">
        <v>12068566</v>
      </c>
      <c r="AU1683" s="781"/>
      <c r="AV1683" s="782">
        <v>12088206</v>
      </c>
      <c r="AW1683" s="782">
        <v>12088207</v>
      </c>
      <c r="AX1683" s="782"/>
      <c r="AY1683" s="782">
        <v>12068565</v>
      </c>
      <c r="AZ1683" s="782"/>
      <c r="BA1683" s="781"/>
    </row>
    <row r="1684" spans="1:53" ht="25" hidden="1" customHeight="1">
      <c r="A1684" s="142" t="s">
        <v>120</v>
      </c>
      <c r="B1684" s="582">
        <v>45623</v>
      </c>
      <c r="C1684" s="535">
        <v>45630</v>
      </c>
      <c r="D1684" s="185">
        <f t="shared" si="561"/>
        <v>2024</v>
      </c>
      <c r="E1684" s="535" t="str">
        <f>VLOOKUP($B1684,Week!$A$1:$C$1462,2,0)</f>
        <v>Week48</v>
      </c>
      <c r="F1684" s="536" t="str">
        <f t="shared" si="562"/>
        <v>Nov</v>
      </c>
      <c r="G1684" s="537" t="s">
        <v>1840</v>
      </c>
      <c r="H1684" s="537" t="s">
        <v>82</v>
      </c>
      <c r="I1684" s="537" t="s">
        <v>82</v>
      </c>
      <c r="J1684" s="538" t="s">
        <v>235</v>
      </c>
      <c r="K1684" s="539" t="s">
        <v>85</v>
      </c>
      <c r="L1684" s="390" t="s">
        <v>2166</v>
      </c>
      <c r="M1684" s="538" t="s">
        <v>165</v>
      </c>
      <c r="N1684" s="537" t="s">
        <v>258</v>
      </c>
      <c r="O1684" s="537" t="s">
        <v>705</v>
      </c>
      <c r="P1684" s="540">
        <v>20</v>
      </c>
      <c r="Q1684" s="540">
        <v>12</v>
      </c>
      <c r="R1684" s="541">
        <v>6.8100000000000001E-3</v>
      </c>
      <c r="S1684" s="537" t="s">
        <v>76</v>
      </c>
      <c r="T1684" s="537" t="s">
        <v>56</v>
      </c>
      <c r="U1684" s="537" t="s">
        <v>89</v>
      </c>
      <c r="V1684" s="542">
        <f>1110</f>
        <v>1110</v>
      </c>
      <c r="W1684" s="542">
        <f>5+1105</f>
        <v>1110</v>
      </c>
      <c r="X1684" s="543"/>
      <c r="Y1684" s="544">
        <f t="shared" si="564"/>
        <v>0</v>
      </c>
      <c r="Z1684" s="545">
        <f t="shared" si="565"/>
        <v>0</v>
      </c>
      <c r="AA1684" s="545">
        <f>Q1684*Z1684</f>
        <v>0</v>
      </c>
      <c r="AB1684" s="832">
        <v>2</v>
      </c>
      <c r="AC1684" s="542">
        <f>Z1684*AB1684</f>
        <v>0</v>
      </c>
      <c r="AD1684" s="209"/>
      <c r="AE1684" s="210"/>
      <c r="AF1684" s="210"/>
      <c r="AG1684" s="211">
        <f t="shared" si="566"/>
        <v>0.14399999999999999</v>
      </c>
      <c r="AH1684" s="157">
        <f t="shared" si="567"/>
        <v>0</v>
      </c>
      <c r="AI1684" s="152">
        <f t="shared" si="568"/>
        <v>22200</v>
      </c>
      <c r="AK1684" s="156" t="s">
        <v>691</v>
      </c>
      <c r="AL1684" s="156" t="s">
        <v>689</v>
      </c>
      <c r="AM1684" s="198">
        <f t="shared" si="569"/>
        <v>0</v>
      </c>
      <c r="AN1684" s="199">
        <f t="shared" si="563"/>
        <v>45623</v>
      </c>
      <c r="AO1684" s="159" t="s">
        <v>692</v>
      </c>
      <c r="AP1684" s="781"/>
      <c r="AQ1684" s="782">
        <v>12071839</v>
      </c>
      <c r="AR1684" s="783" t="s">
        <v>523</v>
      </c>
      <c r="AS1684" s="781"/>
      <c r="AT1684" s="783" t="s">
        <v>524</v>
      </c>
      <c r="AU1684" s="781"/>
      <c r="AV1684" s="782">
        <v>12027007</v>
      </c>
      <c r="AW1684" s="782"/>
      <c r="AX1684" s="782" t="s">
        <v>398</v>
      </c>
      <c r="AY1684" s="782"/>
      <c r="AZ1684" s="782"/>
      <c r="BA1684" s="781"/>
    </row>
    <row r="1685" spans="1:53" ht="25" hidden="1" customHeight="1">
      <c r="A1685" s="142" t="s">
        <v>120</v>
      </c>
      <c r="B1685" s="581">
        <v>45623</v>
      </c>
      <c r="C1685" s="333">
        <v>45630</v>
      </c>
      <c r="D1685" s="185">
        <f t="shared" si="561"/>
        <v>2024</v>
      </c>
      <c r="E1685" s="335" t="str">
        <f>VLOOKUP($B1685,Week!$A$1:$C$1462,2,0)</f>
        <v>Week48</v>
      </c>
      <c r="F1685" s="334" t="str">
        <f t="shared" si="562"/>
        <v>Nov</v>
      </c>
      <c r="G1685" s="530" t="s">
        <v>1840</v>
      </c>
      <c r="H1685" s="335" t="s">
        <v>82</v>
      </c>
      <c r="I1685" s="335" t="s">
        <v>82</v>
      </c>
      <c r="J1685" s="336" t="s">
        <v>235</v>
      </c>
      <c r="K1685" s="337" t="s">
        <v>85</v>
      </c>
      <c r="L1685" s="390" t="s">
        <v>2166</v>
      </c>
      <c r="M1685" s="336" t="s">
        <v>86</v>
      </c>
      <c r="N1685" s="335" t="s">
        <v>273</v>
      </c>
      <c r="O1685" s="335" t="s">
        <v>507</v>
      </c>
      <c r="P1685" s="338">
        <v>8</v>
      </c>
      <c r="Q1685" s="338">
        <v>50</v>
      </c>
      <c r="R1685" s="339">
        <v>6.8100000000000001E-3</v>
      </c>
      <c r="S1685" s="335" t="s">
        <v>76</v>
      </c>
      <c r="T1685" s="335" t="s">
        <v>56</v>
      </c>
      <c r="U1685" s="335" t="s">
        <v>89</v>
      </c>
      <c r="V1685" s="341">
        <f>600</f>
        <v>600</v>
      </c>
      <c r="W1685" s="341">
        <f>6+590+4</f>
        <v>600</v>
      </c>
      <c r="X1685" s="342"/>
      <c r="Y1685" s="343">
        <f t="shared" si="564"/>
        <v>0</v>
      </c>
      <c r="Z1685" s="344">
        <f t="shared" si="565"/>
        <v>0</v>
      </c>
      <c r="AA1685" s="344">
        <f>Q1685*Z1685</f>
        <v>0</v>
      </c>
      <c r="AB1685" s="817">
        <v>6</v>
      </c>
      <c r="AC1685" s="341">
        <f>Z1685*AB1685</f>
        <v>0</v>
      </c>
      <c r="AD1685" s="443"/>
      <c r="AE1685" s="210"/>
      <c r="AF1685" s="210"/>
      <c r="AG1685" s="211">
        <f t="shared" si="566"/>
        <v>0.63</v>
      </c>
      <c r="AH1685" s="157">
        <f t="shared" si="567"/>
        <v>0</v>
      </c>
      <c r="AI1685" s="152">
        <f t="shared" si="568"/>
        <v>4800</v>
      </c>
      <c r="AK1685" s="156" t="s">
        <v>691</v>
      </c>
      <c r="AL1685" s="156" t="s">
        <v>689</v>
      </c>
      <c r="AM1685" s="198">
        <f t="shared" si="569"/>
        <v>0</v>
      </c>
      <c r="AN1685" s="199">
        <f t="shared" si="563"/>
        <v>45623</v>
      </c>
      <c r="AO1685" s="159" t="s">
        <v>692</v>
      </c>
      <c r="AP1685" s="781"/>
      <c r="AQ1685" s="782">
        <v>12004862</v>
      </c>
      <c r="AR1685" s="782">
        <v>12055234</v>
      </c>
      <c r="AS1685" s="782"/>
      <c r="AT1685" s="782">
        <v>12056345</v>
      </c>
      <c r="AU1685" s="781"/>
      <c r="AV1685" s="782">
        <v>12056200</v>
      </c>
      <c r="AW1685" s="782"/>
      <c r="AX1685" s="782" t="s">
        <v>93</v>
      </c>
      <c r="AY1685" s="782"/>
      <c r="AZ1685" s="782"/>
      <c r="BA1685" s="781"/>
    </row>
    <row r="1686" spans="1:53" ht="24.75" hidden="1" customHeight="1">
      <c r="A1686" s="142" t="s">
        <v>120</v>
      </c>
      <c r="B1686" s="308">
        <v>45623</v>
      </c>
      <c r="C1686" s="644" t="s">
        <v>1677</v>
      </c>
      <c r="D1686" s="185">
        <f t="shared" si="561"/>
        <v>2024</v>
      </c>
      <c r="E1686" s="519" t="str">
        <f>VLOOKUP($B1686,Week!$A$1:$C$1462,2,0)</f>
        <v>Week48</v>
      </c>
      <c r="F1686" s="520" t="str">
        <f t="shared" si="562"/>
        <v>Nov</v>
      </c>
      <c r="G1686" s="644" t="s">
        <v>47</v>
      </c>
      <c r="H1686" s="311" t="s">
        <v>518</v>
      </c>
      <c r="I1686" s="311" t="s">
        <v>2702</v>
      </c>
      <c r="J1686" s="312" t="s">
        <v>70</v>
      </c>
      <c r="K1686" s="313" t="s">
        <v>85</v>
      </c>
      <c r="L1686" s="390" t="s">
        <v>2166</v>
      </c>
      <c r="M1686" s="312" t="s">
        <v>515</v>
      </c>
      <c r="N1686" s="311" t="s">
        <v>588</v>
      </c>
      <c r="O1686" s="311" t="s">
        <v>546</v>
      </c>
      <c r="P1686" s="314">
        <v>12</v>
      </c>
      <c r="Q1686" s="314">
        <v>20</v>
      </c>
      <c r="R1686" s="315">
        <v>6.1999999999999998E-3</v>
      </c>
      <c r="S1686" s="311" t="s">
        <v>352</v>
      </c>
      <c r="T1686" s="311" t="s">
        <v>56</v>
      </c>
      <c r="U1686" s="311"/>
      <c r="V1686" s="316">
        <f>2+4</f>
        <v>6</v>
      </c>
      <c r="W1686" s="316">
        <v>6</v>
      </c>
      <c r="X1686" s="317"/>
      <c r="Y1686" s="318">
        <f t="shared" si="564"/>
        <v>0</v>
      </c>
      <c r="Z1686" s="319">
        <f t="shared" si="565"/>
        <v>0</v>
      </c>
      <c r="AA1686" s="319">
        <f>Q1686*Z1686</f>
        <v>0</v>
      </c>
      <c r="AB1686" s="815"/>
      <c r="AC1686" s="316">
        <f>Z1686*AB1686</f>
        <v>0</v>
      </c>
      <c r="AD1686" s="209"/>
      <c r="AE1686" s="210"/>
      <c r="AF1686" s="210"/>
      <c r="AG1686" s="211">
        <f t="shared" si="566"/>
        <v>0.22</v>
      </c>
      <c r="AH1686" s="157">
        <f t="shared" si="567"/>
        <v>0</v>
      </c>
      <c r="AI1686" s="152">
        <f t="shared" si="568"/>
        <v>72</v>
      </c>
      <c r="AK1686" s="156" t="s">
        <v>691</v>
      </c>
      <c r="AL1686" s="156" t="s">
        <v>689</v>
      </c>
      <c r="AM1686" s="198">
        <f t="shared" si="569"/>
        <v>0</v>
      </c>
      <c r="AN1686" s="199">
        <f t="shared" si="563"/>
        <v>45623</v>
      </c>
      <c r="AO1686" s="159" t="s">
        <v>692</v>
      </c>
      <c r="AP1686" s="783" t="s">
        <v>613</v>
      </c>
      <c r="AQ1686" s="782"/>
      <c r="AR1686" s="782" t="s">
        <v>614</v>
      </c>
      <c r="AS1686" s="782"/>
      <c r="AT1686" s="782">
        <v>12083140</v>
      </c>
      <c r="AU1686" s="781"/>
      <c r="AV1686" s="782">
        <v>12083143</v>
      </c>
      <c r="AW1686" s="782"/>
      <c r="AX1686" s="782"/>
      <c r="AY1686" s="782"/>
      <c r="AZ1686" s="782"/>
      <c r="BA1686" s="781"/>
    </row>
    <row r="1687" spans="1:53" ht="24.75" hidden="1" customHeight="1">
      <c r="A1687" s="142" t="s">
        <v>120</v>
      </c>
      <c r="B1687" s="308">
        <v>45623</v>
      </c>
      <c r="C1687" s="644" t="s">
        <v>1678</v>
      </c>
      <c r="D1687" s="185">
        <f t="shared" si="561"/>
        <v>2024</v>
      </c>
      <c r="E1687" s="519" t="str">
        <f>VLOOKUP($B1687,Week!$A$1:$C$1462,2,0)</f>
        <v>Week48</v>
      </c>
      <c r="F1687" s="520" t="str">
        <f t="shared" si="562"/>
        <v>Nov</v>
      </c>
      <c r="G1687" s="644" t="s">
        <v>47</v>
      </c>
      <c r="H1687" s="311" t="s">
        <v>518</v>
      </c>
      <c r="I1687" s="311" t="s">
        <v>2702</v>
      </c>
      <c r="J1687" s="312" t="s">
        <v>70</v>
      </c>
      <c r="K1687" s="313" t="s">
        <v>85</v>
      </c>
      <c r="L1687" s="390" t="s">
        <v>2166</v>
      </c>
      <c r="M1687" s="312" t="s">
        <v>515</v>
      </c>
      <c r="N1687" s="311" t="s">
        <v>588</v>
      </c>
      <c r="O1687" s="311" t="s">
        <v>546</v>
      </c>
      <c r="P1687" s="314">
        <v>12</v>
      </c>
      <c r="Q1687" s="314">
        <v>20</v>
      </c>
      <c r="R1687" s="315">
        <v>6.1999999999999998E-3</v>
      </c>
      <c r="S1687" s="311" t="s">
        <v>352</v>
      </c>
      <c r="T1687" s="311" t="s">
        <v>56</v>
      </c>
      <c r="U1687" s="311"/>
      <c r="V1687" s="316">
        <f>123</f>
        <v>123</v>
      </c>
      <c r="W1687" s="316">
        <v>123</v>
      </c>
      <c r="X1687" s="317"/>
      <c r="Y1687" s="318">
        <f t="shared" si="564"/>
        <v>0</v>
      </c>
      <c r="Z1687" s="319">
        <f t="shared" si="565"/>
        <v>0</v>
      </c>
      <c r="AA1687" s="319">
        <f>Q1687*Z1687</f>
        <v>0</v>
      </c>
      <c r="AB1687" s="815"/>
      <c r="AC1687" s="316">
        <f>Z1687*AB1687</f>
        <v>0</v>
      </c>
      <c r="AD1687" s="209"/>
      <c r="AE1687" s="210"/>
      <c r="AF1687" s="210"/>
      <c r="AG1687" s="211">
        <f t="shared" si="566"/>
        <v>0.22</v>
      </c>
      <c r="AH1687" s="157">
        <f t="shared" ref="AH1687:AH1695" si="570">(Z1687*AG1687)/1000</f>
        <v>0</v>
      </c>
      <c r="AI1687" s="152">
        <f t="shared" si="568"/>
        <v>1476</v>
      </c>
      <c r="AK1687" s="156" t="s">
        <v>691</v>
      </c>
      <c r="AL1687" s="156" t="s">
        <v>689</v>
      </c>
      <c r="AM1687" s="198">
        <f t="shared" si="569"/>
        <v>0</v>
      </c>
      <c r="AN1687" s="199">
        <f t="shared" si="563"/>
        <v>45623</v>
      </c>
      <c r="AO1687" s="159" t="s">
        <v>692</v>
      </c>
      <c r="AP1687" s="783" t="s">
        <v>613</v>
      </c>
      <c r="AQ1687" s="782"/>
      <c r="AR1687" s="782" t="s">
        <v>614</v>
      </c>
      <c r="AS1687" s="782"/>
      <c r="AT1687" s="782">
        <v>12083140</v>
      </c>
      <c r="AU1687" s="781"/>
      <c r="AV1687" s="782">
        <v>12083143</v>
      </c>
      <c r="AW1687" s="782"/>
      <c r="AX1687" s="782"/>
      <c r="AY1687" s="782"/>
      <c r="AZ1687" s="782"/>
      <c r="BA1687" s="781"/>
    </row>
    <row r="1688" spans="1:53" ht="24.75" hidden="1" customHeight="1">
      <c r="A1688" s="142" t="s">
        <v>120</v>
      </c>
      <c r="B1688" s="308">
        <v>45623</v>
      </c>
      <c r="C1688" s="644" t="s">
        <v>1678</v>
      </c>
      <c r="D1688" s="185">
        <f t="shared" si="561"/>
        <v>2024</v>
      </c>
      <c r="E1688" s="519" t="str">
        <f>VLOOKUP($B1688,Week!$A$1:$C$1462,2,0)</f>
        <v>Week48</v>
      </c>
      <c r="F1688" s="520" t="str">
        <f t="shared" si="562"/>
        <v>Nov</v>
      </c>
      <c r="G1688" s="644" t="s">
        <v>47</v>
      </c>
      <c r="H1688" s="311" t="s">
        <v>518</v>
      </c>
      <c r="I1688" s="311" t="s">
        <v>2702</v>
      </c>
      <c r="J1688" s="312" t="s">
        <v>70</v>
      </c>
      <c r="K1688" s="313" t="s">
        <v>85</v>
      </c>
      <c r="L1688" s="390" t="s">
        <v>2166</v>
      </c>
      <c r="M1688" s="312" t="s">
        <v>515</v>
      </c>
      <c r="N1688" s="311" t="s">
        <v>588</v>
      </c>
      <c r="O1688" s="311" t="s">
        <v>546</v>
      </c>
      <c r="P1688" s="314">
        <v>12</v>
      </c>
      <c r="Q1688" s="314">
        <v>20</v>
      </c>
      <c r="R1688" s="315">
        <v>6.1999999999999998E-3</v>
      </c>
      <c r="S1688" s="311" t="s">
        <v>352</v>
      </c>
      <c r="T1688" s="311" t="s">
        <v>56</v>
      </c>
      <c r="U1688" s="311"/>
      <c r="V1688" s="316">
        <f>119-10</f>
        <v>109</v>
      </c>
      <c r="W1688" s="316">
        <v>109</v>
      </c>
      <c r="X1688" s="317"/>
      <c r="Y1688" s="318">
        <f t="shared" si="564"/>
        <v>0</v>
      </c>
      <c r="Z1688" s="319">
        <f t="shared" si="565"/>
        <v>0</v>
      </c>
      <c r="AA1688" s="319">
        <f>Q1688*Z1688</f>
        <v>0</v>
      </c>
      <c r="AB1688" s="815"/>
      <c r="AC1688" s="316">
        <f>Z1688*AB1688</f>
        <v>0</v>
      </c>
      <c r="AD1688" s="209"/>
      <c r="AE1688" s="210"/>
      <c r="AF1688" s="210"/>
      <c r="AG1688" s="211">
        <f t="shared" si="566"/>
        <v>0.22</v>
      </c>
      <c r="AH1688" s="157">
        <f t="shared" si="570"/>
        <v>0</v>
      </c>
      <c r="AI1688" s="152">
        <f t="shared" si="568"/>
        <v>1308</v>
      </c>
      <c r="AK1688" s="156" t="s">
        <v>691</v>
      </c>
      <c r="AL1688" s="156" t="s">
        <v>689</v>
      </c>
      <c r="AM1688" s="198">
        <f t="shared" si="569"/>
        <v>0</v>
      </c>
      <c r="AN1688" s="199">
        <f t="shared" si="563"/>
        <v>45623</v>
      </c>
      <c r="AO1688" s="159" t="s">
        <v>692</v>
      </c>
      <c r="AP1688" s="783" t="s">
        <v>613</v>
      </c>
      <c r="AQ1688" s="782"/>
      <c r="AR1688" s="782" t="s">
        <v>614</v>
      </c>
      <c r="AS1688" s="782"/>
      <c r="AT1688" s="782">
        <v>12083140</v>
      </c>
      <c r="AU1688" s="781"/>
      <c r="AV1688" s="782">
        <v>12083143</v>
      </c>
      <c r="AW1688" s="782"/>
      <c r="AX1688" s="782"/>
      <c r="AY1688" s="782"/>
      <c r="AZ1688" s="782"/>
      <c r="BA1688" s="781"/>
    </row>
    <row r="1689" spans="1:53" ht="24.65" hidden="1" customHeight="1">
      <c r="B1689" s="411">
        <v>45624</v>
      </c>
      <c r="C1689" s="645" t="s">
        <v>1678</v>
      </c>
      <c r="D1689" s="185">
        <f t="shared" si="561"/>
        <v>2024</v>
      </c>
      <c r="E1689" s="412" t="str">
        <f>VLOOKUP($B1689,Week!$A$1:$C$1462,2,0)</f>
        <v>Week48</v>
      </c>
      <c r="F1689" s="413" t="str">
        <f t="shared" si="562"/>
        <v>Nov</v>
      </c>
      <c r="G1689" s="414" t="s">
        <v>47</v>
      </c>
      <c r="H1689" s="414" t="s">
        <v>260</v>
      </c>
      <c r="I1689" s="414" t="s">
        <v>2702</v>
      </c>
      <c r="J1689" s="415" t="s">
        <v>261</v>
      </c>
      <c r="K1689" s="416" t="s">
        <v>94</v>
      </c>
      <c r="L1689" s="300" t="s">
        <v>2167</v>
      </c>
      <c r="M1689" s="415" t="s">
        <v>1303</v>
      </c>
      <c r="N1689" s="414" t="s">
        <v>263</v>
      </c>
      <c r="O1689" s="414" t="s">
        <v>195</v>
      </c>
      <c r="P1689" s="417">
        <v>24</v>
      </c>
      <c r="Q1689" s="417">
        <v>5</v>
      </c>
      <c r="R1689" s="418">
        <v>8.0000000000000002E-3</v>
      </c>
      <c r="S1689" s="414" t="s">
        <v>40</v>
      </c>
      <c r="T1689" s="414" t="s">
        <v>56</v>
      </c>
      <c r="U1689" s="414" t="s">
        <v>57</v>
      </c>
      <c r="V1689" s="419">
        <f>6250-866</f>
        <v>5384</v>
      </c>
      <c r="W1689" s="419">
        <f>5500-116</f>
        <v>5384</v>
      </c>
      <c r="X1689" s="420"/>
      <c r="Y1689" s="421">
        <f t="shared" si="564"/>
        <v>0</v>
      </c>
      <c r="Z1689" s="422">
        <f t="shared" si="565"/>
        <v>0</v>
      </c>
      <c r="AA1689" s="422"/>
      <c r="AB1689" s="825"/>
      <c r="AC1689" s="419"/>
      <c r="AD1689" s="209"/>
      <c r="AE1689" s="210"/>
      <c r="AF1689" s="210"/>
      <c r="AG1689" s="211">
        <f t="shared" si="566"/>
        <v>0.14499999999999999</v>
      </c>
      <c r="AH1689" s="157">
        <f t="shared" si="570"/>
        <v>0</v>
      </c>
      <c r="AI1689" s="152">
        <f t="shared" si="568"/>
        <v>129216</v>
      </c>
      <c r="AK1689" s="156" t="s">
        <v>691</v>
      </c>
      <c r="AL1689" s="212" t="s">
        <v>690</v>
      </c>
      <c r="AM1689" s="198">
        <f t="shared" ref="AM1689:AM1704" si="571">AG1689*Z1689</f>
        <v>0</v>
      </c>
      <c r="AN1689" s="199">
        <f t="shared" si="563"/>
        <v>45624</v>
      </c>
      <c r="AO1689" s="159" t="s">
        <v>692</v>
      </c>
      <c r="AP1689" s="783" t="s">
        <v>609</v>
      </c>
      <c r="AQ1689" s="782">
        <v>12071839</v>
      </c>
      <c r="AR1689" s="782">
        <v>12047514</v>
      </c>
      <c r="AS1689" s="782">
        <v>12047515</v>
      </c>
      <c r="AT1689" s="781"/>
      <c r="AU1689" s="781"/>
      <c r="AV1689" s="782">
        <v>12080613</v>
      </c>
      <c r="AW1689" s="781"/>
      <c r="AX1689" s="781"/>
      <c r="AY1689" s="782">
        <v>12080614</v>
      </c>
      <c r="AZ1689" s="782">
        <v>12080616</v>
      </c>
      <c r="BA1689" s="781"/>
    </row>
    <row r="1690" spans="1:53" ht="24.65" hidden="1" customHeight="1">
      <c r="B1690" s="411">
        <v>45624</v>
      </c>
      <c r="C1690" s="645" t="s">
        <v>1892</v>
      </c>
      <c r="D1690" s="185">
        <f t="shared" si="561"/>
        <v>2024</v>
      </c>
      <c r="E1690" s="412" t="str">
        <f>VLOOKUP($B1690,Week!$A$1:$C$1462,2,0)</f>
        <v>Week48</v>
      </c>
      <c r="F1690" s="413" t="str">
        <f t="shared" si="562"/>
        <v>Nov</v>
      </c>
      <c r="G1690" s="414" t="s">
        <v>47</v>
      </c>
      <c r="H1690" s="414" t="s">
        <v>260</v>
      </c>
      <c r="I1690" s="414" t="s">
        <v>2702</v>
      </c>
      <c r="J1690" s="415" t="s">
        <v>261</v>
      </c>
      <c r="K1690" s="416" t="s">
        <v>94</v>
      </c>
      <c r="L1690" s="300" t="s">
        <v>2167</v>
      </c>
      <c r="M1690" s="415" t="s">
        <v>1303</v>
      </c>
      <c r="N1690" s="414" t="s">
        <v>263</v>
      </c>
      <c r="O1690" s="414" t="s">
        <v>195</v>
      </c>
      <c r="P1690" s="417">
        <v>24</v>
      </c>
      <c r="Q1690" s="417">
        <v>5</v>
      </c>
      <c r="R1690" s="418">
        <v>8.0000000000000002E-3</v>
      </c>
      <c r="S1690" s="414" t="s">
        <v>40</v>
      </c>
      <c r="T1690" s="414" t="s">
        <v>56</v>
      </c>
      <c r="U1690" s="414" t="s">
        <v>57</v>
      </c>
      <c r="V1690" s="419">
        <v>81</v>
      </c>
      <c r="W1690" s="419">
        <f>6331-6250</f>
        <v>81</v>
      </c>
      <c r="X1690" s="420">
        <f>(702)/24</f>
        <v>29.25</v>
      </c>
      <c r="Y1690" s="421">
        <f t="shared" si="564"/>
        <v>29.25</v>
      </c>
      <c r="Z1690" s="422">
        <f t="shared" si="565"/>
        <v>0</v>
      </c>
      <c r="AA1690" s="422"/>
      <c r="AB1690" s="825"/>
      <c r="AC1690" s="419"/>
      <c r="AD1690" s="209"/>
      <c r="AE1690" s="210"/>
      <c r="AF1690" s="210"/>
      <c r="AG1690" s="211">
        <f t="shared" si="566"/>
        <v>0.14499999999999999</v>
      </c>
      <c r="AH1690" s="157">
        <f t="shared" si="570"/>
        <v>0</v>
      </c>
      <c r="AI1690" s="152">
        <f t="shared" si="568"/>
        <v>1944</v>
      </c>
      <c r="AK1690" s="156" t="s">
        <v>691</v>
      </c>
      <c r="AL1690" s="212" t="s">
        <v>690</v>
      </c>
      <c r="AM1690" s="198">
        <f t="shared" si="571"/>
        <v>0</v>
      </c>
      <c r="AN1690" s="199">
        <f t="shared" si="563"/>
        <v>45624</v>
      </c>
      <c r="AO1690" s="159" t="s">
        <v>692</v>
      </c>
      <c r="AP1690" s="783" t="s">
        <v>609</v>
      </c>
      <c r="AQ1690" s="782">
        <v>12071839</v>
      </c>
      <c r="AR1690" s="782">
        <v>12047514</v>
      </c>
      <c r="AS1690" s="782">
        <v>12047515</v>
      </c>
      <c r="AT1690" s="781"/>
      <c r="AU1690" s="781"/>
      <c r="AV1690" s="782">
        <v>12080613</v>
      </c>
      <c r="AW1690" s="781"/>
      <c r="AX1690" s="781"/>
      <c r="AY1690" s="782">
        <v>12080614</v>
      </c>
      <c r="AZ1690" s="782">
        <v>12080616</v>
      </c>
      <c r="BA1690" s="781"/>
    </row>
    <row r="1691" spans="1:53" ht="25" hidden="1" customHeight="1">
      <c r="B1691" s="424">
        <v>45624</v>
      </c>
      <c r="C1691" s="425" t="s">
        <v>1678</v>
      </c>
      <c r="D1691" s="185">
        <f t="shared" si="561"/>
        <v>2024</v>
      </c>
      <c r="E1691" s="425" t="str">
        <f>VLOOKUP($B1691,Week!$A$1:$C$1462,2,0)</f>
        <v>Week48</v>
      </c>
      <c r="F1691" s="426" t="str">
        <f t="shared" si="562"/>
        <v>Nov</v>
      </c>
      <c r="G1691" s="427" t="s">
        <v>47</v>
      </c>
      <c r="H1691" s="427" t="s">
        <v>518</v>
      </c>
      <c r="I1691" s="427" t="s">
        <v>2702</v>
      </c>
      <c r="J1691" s="428" t="s">
        <v>70</v>
      </c>
      <c r="K1691" s="429" t="s">
        <v>94</v>
      </c>
      <c r="L1691" s="300" t="s">
        <v>2167</v>
      </c>
      <c r="M1691" s="428" t="s">
        <v>521</v>
      </c>
      <c r="N1691" s="427" t="s">
        <v>587</v>
      </c>
      <c r="O1691" s="427" t="s">
        <v>3198</v>
      </c>
      <c r="P1691" s="430">
        <v>18</v>
      </c>
      <c r="Q1691" s="430">
        <v>5</v>
      </c>
      <c r="R1691" s="431">
        <v>8.0000000000000002E-3</v>
      </c>
      <c r="S1691" s="427" t="s">
        <v>40</v>
      </c>
      <c r="T1691" s="427" t="s">
        <v>56</v>
      </c>
      <c r="U1691" s="427" t="s">
        <v>89</v>
      </c>
      <c r="V1691" s="432">
        <f>877+95-5</f>
        <v>967</v>
      </c>
      <c r="W1691" s="432">
        <f>95+872</f>
        <v>967</v>
      </c>
      <c r="X1691" s="433"/>
      <c r="Y1691" s="434">
        <f t="shared" si="564"/>
        <v>0</v>
      </c>
      <c r="Z1691" s="435">
        <f t="shared" si="565"/>
        <v>0</v>
      </c>
      <c r="AA1691" s="435"/>
      <c r="AB1691" s="826">
        <v>1</v>
      </c>
      <c r="AC1691" s="432">
        <f>Z1691*AB1691</f>
        <v>0</v>
      </c>
      <c r="AD1691" s="209"/>
      <c r="AE1691" s="210"/>
      <c r="AF1691" s="210"/>
      <c r="AG1691" s="211" t="e">
        <f>(MID(O1691,1,3)/1000)/3</f>
        <v>#VALUE!</v>
      </c>
      <c r="AH1691" s="157" t="e">
        <f>(Z1691*AG1691)/1000</f>
        <v>#VALUE!</v>
      </c>
      <c r="AI1691" s="152">
        <f t="shared" si="568"/>
        <v>17406</v>
      </c>
      <c r="AK1691" s="156" t="s">
        <v>691</v>
      </c>
      <c r="AL1691" s="212" t="s">
        <v>690</v>
      </c>
      <c r="AM1691" s="198" t="e">
        <f t="shared" si="571"/>
        <v>#VALUE!</v>
      </c>
      <c r="AN1691" s="199">
        <f t="shared" si="563"/>
        <v>45624</v>
      </c>
      <c r="AO1691" s="159" t="s">
        <v>692</v>
      </c>
      <c r="AP1691" s="783" t="s">
        <v>628</v>
      </c>
      <c r="AQ1691" s="782"/>
      <c r="AR1691" s="782"/>
      <c r="AS1691" s="782"/>
      <c r="AT1691" s="782"/>
      <c r="AU1691" s="781"/>
      <c r="AV1691" s="782">
        <v>12080791</v>
      </c>
      <c r="AW1691" s="782" t="s">
        <v>641</v>
      </c>
      <c r="AX1691" s="782" t="s">
        <v>533</v>
      </c>
      <c r="AY1691" s="782"/>
      <c r="AZ1691" s="782"/>
      <c r="BA1691" s="781"/>
    </row>
    <row r="1692" spans="1:53" ht="25" hidden="1" customHeight="1">
      <c r="B1692" s="213">
        <v>45625</v>
      </c>
      <c r="C1692" s="578">
        <v>45642</v>
      </c>
      <c r="D1692" s="185">
        <f t="shared" si="561"/>
        <v>2024</v>
      </c>
      <c r="E1692" s="215" t="str">
        <f>VLOOKUP($B1692,Week!$A$1:$C$1462,2,0)</f>
        <v>Week48</v>
      </c>
      <c r="F1692" s="216" t="str">
        <f t="shared" si="562"/>
        <v>Nov</v>
      </c>
      <c r="G1692" s="215" t="s">
        <v>1858</v>
      </c>
      <c r="H1692" s="215" t="s">
        <v>104</v>
      </c>
      <c r="I1692" s="215" t="s">
        <v>2772</v>
      </c>
      <c r="J1692" s="209" t="s">
        <v>105</v>
      </c>
      <c r="K1692" s="217" t="s">
        <v>107</v>
      </c>
      <c r="L1692" s="300" t="s">
        <v>2167</v>
      </c>
      <c r="M1692" s="209" t="s">
        <v>108</v>
      </c>
      <c r="N1692" s="215" t="s">
        <v>109</v>
      </c>
      <c r="O1692" s="215" t="s">
        <v>110</v>
      </c>
      <c r="P1692" s="218">
        <v>36</v>
      </c>
      <c r="Q1692" s="218">
        <v>5</v>
      </c>
      <c r="R1692" s="219">
        <v>7.4999999999999997E-3</v>
      </c>
      <c r="S1692" s="215" t="s">
        <v>111</v>
      </c>
      <c r="T1692" s="215" t="s">
        <v>112</v>
      </c>
      <c r="U1692" s="215" t="s">
        <v>113</v>
      </c>
      <c r="V1692" s="220">
        <f>792-618</f>
        <v>174</v>
      </c>
      <c r="W1692" s="220">
        <f>792-618</f>
        <v>174</v>
      </c>
      <c r="X1692" s="221"/>
      <c r="Y1692" s="222">
        <f t="shared" si="564"/>
        <v>0</v>
      </c>
      <c r="Z1692" s="223">
        <f t="shared" si="565"/>
        <v>0</v>
      </c>
      <c r="AA1692" s="223"/>
      <c r="AB1692" s="807"/>
      <c r="AC1692" s="220"/>
      <c r="AD1692" s="209"/>
      <c r="AE1692" s="210"/>
      <c r="AF1692" s="210"/>
      <c r="AG1692" s="211">
        <f t="shared" ref="AG1692:AG1703" si="572">MID(O1692,1,3)/1000</f>
        <v>0.308</v>
      </c>
      <c r="AH1692" s="157">
        <f t="shared" si="570"/>
        <v>0</v>
      </c>
      <c r="AI1692" s="152">
        <f t="shared" si="568"/>
        <v>6264</v>
      </c>
      <c r="AK1692" s="156" t="s">
        <v>691</v>
      </c>
      <c r="AL1692" s="574" t="s">
        <v>690</v>
      </c>
      <c r="AM1692" s="198">
        <f t="shared" si="571"/>
        <v>0</v>
      </c>
      <c r="AN1692" s="199">
        <f t="shared" si="563"/>
        <v>45625</v>
      </c>
      <c r="AO1692" s="159" t="s">
        <v>692</v>
      </c>
      <c r="AP1692" s="781"/>
      <c r="AQ1692" s="782">
        <v>12063755</v>
      </c>
      <c r="AR1692" s="782">
        <v>12061353</v>
      </c>
      <c r="AS1692" s="782">
        <v>12061354</v>
      </c>
      <c r="AT1692" s="782">
        <v>12068566</v>
      </c>
      <c r="AU1692" s="781"/>
      <c r="AV1692" s="782">
        <v>12088206</v>
      </c>
      <c r="AW1692" s="782">
        <v>12088207</v>
      </c>
      <c r="AX1692" s="782"/>
      <c r="AY1692" s="782">
        <v>12068565</v>
      </c>
      <c r="AZ1692" s="782"/>
      <c r="BA1692" s="781"/>
    </row>
    <row r="1693" spans="1:53" ht="25" hidden="1" customHeight="1">
      <c r="B1693" s="213">
        <v>45625</v>
      </c>
      <c r="C1693" s="578">
        <v>45642</v>
      </c>
      <c r="D1693" s="185">
        <f t="shared" si="561"/>
        <v>2024</v>
      </c>
      <c r="E1693" s="215" t="str">
        <f>VLOOKUP($B1693,Week!$A$1:$C$1462,2,0)</f>
        <v>Week48</v>
      </c>
      <c r="F1693" s="216" t="str">
        <f t="shared" si="562"/>
        <v>Nov</v>
      </c>
      <c r="G1693" s="215" t="s">
        <v>1859</v>
      </c>
      <c r="H1693" s="215" t="s">
        <v>104</v>
      </c>
      <c r="I1693" s="215" t="s">
        <v>2772</v>
      </c>
      <c r="J1693" s="209" t="s">
        <v>105</v>
      </c>
      <c r="K1693" s="217" t="s">
        <v>107</v>
      </c>
      <c r="L1693" s="300" t="s">
        <v>2167</v>
      </c>
      <c r="M1693" s="209" t="s">
        <v>108</v>
      </c>
      <c r="N1693" s="215" t="s">
        <v>109</v>
      </c>
      <c r="O1693" s="215" t="s">
        <v>110</v>
      </c>
      <c r="P1693" s="218">
        <v>36</v>
      </c>
      <c r="Q1693" s="218">
        <v>5</v>
      </c>
      <c r="R1693" s="219">
        <v>7.4999999999999997E-3</v>
      </c>
      <c r="S1693" s="215" t="s">
        <v>111</v>
      </c>
      <c r="T1693" s="215" t="s">
        <v>112</v>
      </c>
      <c r="U1693" s="215" t="s">
        <v>113</v>
      </c>
      <c r="V1693" s="220">
        <v>792</v>
      </c>
      <c r="W1693" s="220">
        <v>792</v>
      </c>
      <c r="X1693" s="221"/>
      <c r="Y1693" s="222">
        <f t="shared" si="564"/>
        <v>0</v>
      </c>
      <c r="Z1693" s="223">
        <f t="shared" si="565"/>
        <v>0</v>
      </c>
      <c r="AA1693" s="223"/>
      <c r="AB1693" s="807"/>
      <c r="AC1693" s="220"/>
      <c r="AD1693" s="209"/>
      <c r="AE1693" s="210"/>
      <c r="AF1693" s="210"/>
      <c r="AG1693" s="211">
        <f t="shared" si="572"/>
        <v>0.308</v>
      </c>
      <c r="AH1693" s="157">
        <f t="shared" si="570"/>
        <v>0</v>
      </c>
      <c r="AI1693" s="152">
        <f t="shared" si="568"/>
        <v>28512</v>
      </c>
      <c r="AK1693" s="156" t="s">
        <v>691</v>
      </c>
      <c r="AL1693" s="574" t="s">
        <v>690</v>
      </c>
      <c r="AM1693" s="198">
        <f t="shared" si="571"/>
        <v>0</v>
      </c>
      <c r="AN1693" s="199">
        <f t="shared" si="563"/>
        <v>45625</v>
      </c>
      <c r="AO1693" s="159" t="s">
        <v>692</v>
      </c>
      <c r="AP1693" s="781"/>
      <c r="AQ1693" s="782">
        <v>12063755</v>
      </c>
      <c r="AR1693" s="782">
        <v>12061353</v>
      </c>
      <c r="AS1693" s="782">
        <v>12061354</v>
      </c>
      <c r="AT1693" s="782">
        <v>12068566</v>
      </c>
      <c r="AU1693" s="781"/>
      <c r="AV1693" s="782">
        <v>12088206</v>
      </c>
      <c r="AW1693" s="782">
        <v>12088207</v>
      </c>
      <c r="AX1693" s="782"/>
      <c r="AY1693" s="782">
        <v>12068565</v>
      </c>
      <c r="AZ1693" s="782"/>
      <c r="BA1693" s="781"/>
    </row>
    <row r="1694" spans="1:53" ht="25" hidden="1" customHeight="1">
      <c r="B1694" s="213">
        <v>45625</v>
      </c>
      <c r="C1694" s="578">
        <v>45642</v>
      </c>
      <c r="D1694" s="185">
        <f t="shared" si="561"/>
        <v>2024</v>
      </c>
      <c r="E1694" s="215" t="str">
        <f>VLOOKUP($B1694,Week!$A$1:$C$1462,2,0)</f>
        <v>Week48</v>
      </c>
      <c r="F1694" s="216" t="str">
        <f t="shared" si="562"/>
        <v>Nov</v>
      </c>
      <c r="G1694" s="215" t="s">
        <v>1860</v>
      </c>
      <c r="H1694" s="215" t="s">
        <v>104</v>
      </c>
      <c r="I1694" s="215" t="s">
        <v>2772</v>
      </c>
      <c r="J1694" s="209" t="s">
        <v>105</v>
      </c>
      <c r="K1694" s="217" t="s">
        <v>107</v>
      </c>
      <c r="L1694" s="300" t="s">
        <v>2167</v>
      </c>
      <c r="M1694" s="209" t="s">
        <v>108</v>
      </c>
      <c r="N1694" s="215" t="s">
        <v>109</v>
      </c>
      <c r="O1694" s="215" t="s">
        <v>110</v>
      </c>
      <c r="P1694" s="218">
        <v>36</v>
      </c>
      <c r="Q1694" s="218">
        <v>5</v>
      </c>
      <c r="R1694" s="219">
        <v>7.4999999999999997E-3</v>
      </c>
      <c r="S1694" s="215" t="s">
        <v>111</v>
      </c>
      <c r="T1694" s="215" t="s">
        <v>112</v>
      </c>
      <c r="U1694" s="215" t="s">
        <v>113</v>
      </c>
      <c r="V1694" s="220">
        <v>792</v>
      </c>
      <c r="W1694" s="220">
        <v>792</v>
      </c>
      <c r="X1694" s="221"/>
      <c r="Y1694" s="222">
        <f t="shared" si="564"/>
        <v>0</v>
      </c>
      <c r="Z1694" s="223">
        <f t="shared" si="565"/>
        <v>0</v>
      </c>
      <c r="AA1694" s="223"/>
      <c r="AB1694" s="807"/>
      <c r="AC1694" s="220"/>
      <c r="AD1694" s="209"/>
      <c r="AE1694" s="210"/>
      <c r="AF1694" s="210"/>
      <c r="AG1694" s="211">
        <f t="shared" si="572"/>
        <v>0.308</v>
      </c>
      <c r="AH1694" s="157">
        <f t="shared" si="570"/>
        <v>0</v>
      </c>
      <c r="AI1694" s="152">
        <f t="shared" si="568"/>
        <v>28512</v>
      </c>
      <c r="AK1694" s="156" t="s">
        <v>691</v>
      </c>
      <c r="AL1694" s="574" t="s">
        <v>690</v>
      </c>
      <c r="AM1694" s="198">
        <f t="shared" si="571"/>
        <v>0</v>
      </c>
      <c r="AN1694" s="199">
        <f t="shared" si="563"/>
        <v>45625</v>
      </c>
      <c r="AO1694" s="159" t="s">
        <v>692</v>
      </c>
      <c r="AP1694" s="781"/>
      <c r="AQ1694" s="782">
        <v>12063755</v>
      </c>
      <c r="AR1694" s="782">
        <v>12061353</v>
      </c>
      <c r="AS1694" s="782">
        <v>12061354</v>
      </c>
      <c r="AT1694" s="782">
        <v>12068566</v>
      </c>
      <c r="AU1694" s="781"/>
      <c r="AV1694" s="782">
        <v>12088206</v>
      </c>
      <c r="AW1694" s="782">
        <v>12088207</v>
      </c>
      <c r="AX1694" s="782"/>
      <c r="AY1694" s="782">
        <v>12068565</v>
      </c>
      <c r="AZ1694" s="782"/>
      <c r="BA1694" s="781"/>
    </row>
    <row r="1695" spans="1:53" ht="25" hidden="1" customHeight="1">
      <c r="B1695" s="213">
        <v>45625</v>
      </c>
      <c r="C1695" s="578">
        <v>45642</v>
      </c>
      <c r="D1695" s="185">
        <f t="shared" si="561"/>
        <v>2024</v>
      </c>
      <c r="E1695" s="215" t="str">
        <f>VLOOKUP($B1695,Week!$A$1:$C$1462,2,0)</f>
        <v>Week48</v>
      </c>
      <c r="F1695" s="216" t="str">
        <f t="shared" si="562"/>
        <v>Nov</v>
      </c>
      <c r="G1695" s="215" t="s">
        <v>1861</v>
      </c>
      <c r="H1695" s="215" t="s">
        <v>104</v>
      </c>
      <c r="I1695" s="215" t="s">
        <v>2772</v>
      </c>
      <c r="J1695" s="209" t="s">
        <v>105</v>
      </c>
      <c r="K1695" s="217" t="s">
        <v>107</v>
      </c>
      <c r="L1695" s="300" t="s">
        <v>2167</v>
      </c>
      <c r="M1695" s="209" t="s">
        <v>108</v>
      </c>
      <c r="N1695" s="215" t="s">
        <v>109</v>
      </c>
      <c r="O1695" s="215" t="s">
        <v>110</v>
      </c>
      <c r="P1695" s="218">
        <v>36</v>
      </c>
      <c r="Q1695" s="218">
        <v>5</v>
      </c>
      <c r="R1695" s="219">
        <v>7.4999999999999997E-3</v>
      </c>
      <c r="S1695" s="215" t="s">
        <v>111</v>
      </c>
      <c r="T1695" s="215" t="s">
        <v>112</v>
      </c>
      <c r="U1695" s="215" t="s">
        <v>113</v>
      </c>
      <c r="V1695" s="220">
        <v>792</v>
      </c>
      <c r="W1695" s="220">
        <v>792</v>
      </c>
      <c r="X1695" s="221"/>
      <c r="Y1695" s="222">
        <f t="shared" si="564"/>
        <v>0</v>
      </c>
      <c r="Z1695" s="223">
        <f t="shared" si="565"/>
        <v>0</v>
      </c>
      <c r="AA1695" s="223"/>
      <c r="AB1695" s="807"/>
      <c r="AC1695" s="220"/>
      <c r="AD1695" s="209"/>
      <c r="AE1695" s="210"/>
      <c r="AF1695" s="210"/>
      <c r="AG1695" s="211">
        <f t="shared" si="572"/>
        <v>0.308</v>
      </c>
      <c r="AH1695" s="157">
        <f t="shared" si="570"/>
        <v>0</v>
      </c>
      <c r="AI1695" s="152">
        <f t="shared" si="568"/>
        <v>28512</v>
      </c>
      <c r="AK1695" s="156" t="s">
        <v>691</v>
      </c>
      <c r="AL1695" s="574" t="s">
        <v>690</v>
      </c>
      <c r="AM1695" s="198">
        <f t="shared" si="571"/>
        <v>0</v>
      </c>
      <c r="AN1695" s="199">
        <f t="shared" si="563"/>
        <v>45625</v>
      </c>
      <c r="AO1695" s="159" t="s">
        <v>692</v>
      </c>
      <c r="AP1695" s="781"/>
      <c r="AQ1695" s="782">
        <v>12063755</v>
      </c>
      <c r="AR1695" s="782">
        <v>12061353</v>
      </c>
      <c r="AS1695" s="782">
        <v>12061354</v>
      </c>
      <c r="AT1695" s="782">
        <v>12068566</v>
      </c>
      <c r="AU1695" s="781"/>
      <c r="AV1695" s="782">
        <v>12088206</v>
      </c>
      <c r="AW1695" s="782">
        <v>12088207</v>
      </c>
      <c r="AX1695" s="782"/>
      <c r="AY1695" s="782">
        <v>12068565</v>
      </c>
      <c r="AZ1695" s="782"/>
      <c r="BA1695" s="781"/>
    </row>
    <row r="1696" spans="1:53" ht="25" hidden="1" customHeight="1">
      <c r="B1696" s="213">
        <v>45625</v>
      </c>
      <c r="C1696" s="578">
        <v>45644</v>
      </c>
      <c r="D1696" s="185">
        <f t="shared" si="561"/>
        <v>2024</v>
      </c>
      <c r="E1696" s="215" t="str">
        <f>VLOOKUP($B1696,Week!$A$1:$C$1462,2,0)</f>
        <v>Week48</v>
      </c>
      <c r="F1696" s="216" t="str">
        <f t="shared" si="562"/>
        <v>Nov</v>
      </c>
      <c r="G1696" s="215" t="s">
        <v>1864</v>
      </c>
      <c r="H1696" s="215" t="s">
        <v>104</v>
      </c>
      <c r="I1696" s="215" t="s">
        <v>2772</v>
      </c>
      <c r="J1696" s="209" t="s">
        <v>105</v>
      </c>
      <c r="K1696" s="217" t="s">
        <v>107</v>
      </c>
      <c r="L1696" s="300" t="s">
        <v>2167</v>
      </c>
      <c r="M1696" s="209" t="s">
        <v>108</v>
      </c>
      <c r="N1696" s="215" t="s">
        <v>109</v>
      </c>
      <c r="O1696" s="215" t="s">
        <v>110</v>
      </c>
      <c r="P1696" s="218">
        <v>36</v>
      </c>
      <c r="Q1696" s="218">
        <v>5</v>
      </c>
      <c r="R1696" s="219">
        <v>7.4999999999999997E-3</v>
      </c>
      <c r="S1696" s="215" t="s">
        <v>111</v>
      </c>
      <c r="T1696" s="215" t="s">
        <v>112</v>
      </c>
      <c r="U1696" s="215" t="s">
        <v>113</v>
      </c>
      <c r="V1696" s="220">
        <v>792</v>
      </c>
      <c r="W1696" s="220">
        <v>792</v>
      </c>
      <c r="X1696" s="221"/>
      <c r="Y1696" s="222">
        <f t="shared" si="564"/>
        <v>0</v>
      </c>
      <c r="Z1696" s="223">
        <f t="shared" si="565"/>
        <v>0</v>
      </c>
      <c r="AA1696" s="223"/>
      <c r="AB1696" s="807"/>
      <c r="AC1696" s="220"/>
      <c r="AD1696" s="209"/>
      <c r="AE1696" s="210"/>
      <c r="AF1696" s="210"/>
      <c r="AG1696" s="211">
        <f t="shared" si="572"/>
        <v>0.308</v>
      </c>
      <c r="AH1696" s="157">
        <f t="shared" ref="AH1696:AH1703" si="573">(Z1696*AG1696)/1000</f>
        <v>0</v>
      </c>
      <c r="AI1696" s="152">
        <f t="shared" si="568"/>
        <v>28512</v>
      </c>
      <c r="AK1696" s="156" t="s">
        <v>691</v>
      </c>
      <c r="AL1696" s="574" t="s">
        <v>690</v>
      </c>
      <c r="AM1696" s="198">
        <f t="shared" si="571"/>
        <v>0</v>
      </c>
      <c r="AN1696" s="199">
        <f t="shared" si="563"/>
        <v>45625</v>
      </c>
      <c r="AO1696" s="159" t="s">
        <v>692</v>
      </c>
      <c r="AP1696" s="781"/>
      <c r="AQ1696" s="782">
        <v>12063755</v>
      </c>
      <c r="AR1696" s="782">
        <v>12061353</v>
      </c>
      <c r="AS1696" s="782">
        <v>12061354</v>
      </c>
      <c r="AT1696" s="782">
        <v>12068566</v>
      </c>
      <c r="AU1696" s="781"/>
      <c r="AV1696" s="782">
        <v>12088206</v>
      </c>
      <c r="AW1696" s="782">
        <v>12088207</v>
      </c>
      <c r="AX1696" s="782"/>
      <c r="AY1696" s="782">
        <v>12068565</v>
      </c>
      <c r="AZ1696" s="782"/>
      <c r="BA1696" s="781"/>
    </row>
    <row r="1697" spans="1:53" ht="25" hidden="1" customHeight="1">
      <c r="B1697" s="213">
        <v>45625</v>
      </c>
      <c r="C1697" s="578">
        <v>45660</v>
      </c>
      <c r="D1697" s="185">
        <f t="shared" si="561"/>
        <v>2024</v>
      </c>
      <c r="E1697" s="215" t="str">
        <f>VLOOKUP($B1697,Week!$A$1:$C$1462,2,0)</f>
        <v>Week48</v>
      </c>
      <c r="F1697" s="216" t="str">
        <f t="shared" si="562"/>
        <v>Nov</v>
      </c>
      <c r="G1697" s="215" t="s">
        <v>1849</v>
      </c>
      <c r="H1697" s="215" t="s">
        <v>104</v>
      </c>
      <c r="I1697" s="215" t="s">
        <v>2772</v>
      </c>
      <c r="J1697" s="209" t="s">
        <v>105</v>
      </c>
      <c r="K1697" s="217" t="s">
        <v>107</v>
      </c>
      <c r="L1697" s="300" t="s">
        <v>2167</v>
      </c>
      <c r="M1697" s="209" t="s">
        <v>108</v>
      </c>
      <c r="N1697" s="215" t="s">
        <v>109</v>
      </c>
      <c r="O1697" s="215" t="s">
        <v>110</v>
      </c>
      <c r="P1697" s="218">
        <v>36</v>
      </c>
      <c r="Q1697" s="218">
        <v>5</v>
      </c>
      <c r="R1697" s="219">
        <v>7.4999999999999997E-3</v>
      </c>
      <c r="S1697" s="215" t="s">
        <v>111</v>
      </c>
      <c r="T1697" s="215" t="s">
        <v>112</v>
      </c>
      <c r="U1697" s="215" t="s">
        <v>113</v>
      </c>
      <c r="V1697" s="220">
        <f>3750-174-792-792-792-792</f>
        <v>408</v>
      </c>
      <c r="W1697" s="220">
        <f>3750-174-792-792-792-792</f>
        <v>408</v>
      </c>
      <c r="X1697" s="221"/>
      <c r="Y1697" s="222">
        <f t="shared" si="564"/>
        <v>0</v>
      </c>
      <c r="Z1697" s="223">
        <f t="shared" si="565"/>
        <v>0</v>
      </c>
      <c r="AA1697" s="223"/>
      <c r="AB1697" s="807"/>
      <c r="AC1697" s="220"/>
      <c r="AD1697" s="209"/>
      <c r="AE1697" s="210"/>
      <c r="AF1697" s="210"/>
      <c r="AG1697" s="211">
        <f t="shared" si="572"/>
        <v>0.308</v>
      </c>
      <c r="AH1697" s="157">
        <f t="shared" si="573"/>
        <v>0</v>
      </c>
      <c r="AI1697" s="152">
        <f t="shared" si="568"/>
        <v>14688</v>
      </c>
      <c r="AK1697" s="156" t="s">
        <v>691</v>
      </c>
      <c r="AL1697" s="574" t="s">
        <v>690</v>
      </c>
      <c r="AM1697" s="198">
        <f t="shared" si="571"/>
        <v>0</v>
      </c>
      <c r="AN1697" s="199">
        <f t="shared" si="563"/>
        <v>45625</v>
      </c>
      <c r="AO1697" s="159" t="s">
        <v>692</v>
      </c>
      <c r="AP1697" s="781"/>
      <c r="AQ1697" s="782">
        <v>12063755</v>
      </c>
      <c r="AR1697" s="782">
        <v>12061353</v>
      </c>
      <c r="AS1697" s="782">
        <v>12061354</v>
      </c>
      <c r="AT1697" s="782">
        <v>12068566</v>
      </c>
      <c r="AU1697" s="781"/>
      <c r="AV1697" s="782">
        <v>12088206</v>
      </c>
      <c r="AW1697" s="782">
        <v>12088207</v>
      </c>
      <c r="AX1697" s="782"/>
      <c r="AY1697" s="782">
        <v>12068565</v>
      </c>
      <c r="AZ1697" s="782"/>
      <c r="BA1697" s="781"/>
    </row>
    <row r="1698" spans="1:53" ht="25" hidden="1" customHeight="1">
      <c r="B1698" s="213">
        <v>45626</v>
      </c>
      <c r="C1698" s="578">
        <v>45660</v>
      </c>
      <c r="D1698" s="185">
        <f t="shared" si="561"/>
        <v>2024</v>
      </c>
      <c r="E1698" s="215" t="str">
        <f>VLOOKUP($B1698,Week!$A$1:$C$1462,2,0)</f>
        <v>Week48</v>
      </c>
      <c r="F1698" s="216" t="str">
        <f t="shared" si="562"/>
        <v>Nov</v>
      </c>
      <c r="G1698" s="215" t="s">
        <v>1849</v>
      </c>
      <c r="H1698" s="215" t="s">
        <v>104</v>
      </c>
      <c r="I1698" s="215" t="s">
        <v>2772</v>
      </c>
      <c r="J1698" s="209" t="s">
        <v>105</v>
      </c>
      <c r="K1698" s="217" t="s">
        <v>107</v>
      </c>
      <c r="L1698" s="300" t="s">
        <v>2167</v>
      </c>
      <c r="M1698" s="209" t="s">
        <v>108</v>
      </c>
      <c r="N1698" s="215" t="s">
        <v>109</v>
      </c>
      <c r="O1698" s="215" t="s">
        <v>110</v>
      </c>
      <c r="P1698" s="218">
        <v>36</v>
      </c>
      <c r="Q1698" s="218">
        <v>5</v>
      </c>
      <c r="R1698" s="219">
        <v>7.4999999999999997E-3</v>
      </c>
      <c r="S1698" s="215" t="s">
        <v>111</v>
      </c>
      <c r="T1698" s="215" t="s">
        <v>112</v>
      </c>
      <c r="U1698" s="215" t="s">
        <v>113</v>
      </c>
      <c r="V1698" s="220">
        <f>792-408</f>
        <v>384</v>
      </c>
      <c r="W1698" s="220">
        <v>384</v>
      </c>
      <c r="X1698" s="221"/>
      <c r="Y1698" s="222">
        <f t="shared" si="564"/>
        <v>0</v>
      </c>
      <c r="Z1698" s="223">
        <f t="shared" si="565"/>
        <v>0</v>
      </c>
      <c r="AA1698" s="223"/>
      <c r="AB1698" s="807"/>
      <c r="AC1698" s="220"/>
      <c r="AD1698" s="209"/>
      <c r="AE1698" s="210"/>
      <c r="AF1698" s="210"/>
      <c r="AG1698" s="211">
        <f t="shared" si="572"/>
        <v>0.308</v>
      </c>
      <c r="AH1698" s="157">
        <f t="shared" si="573"/>
        <v>0</v>
      </c>
      <c r="AI1698" s="152">
        <f t="shared" si="568"/>
        <v>13824</v>
      </c>
      <c r="AK1698" s="156" t="s">
        <v>691</v>
      </c>
      <c r="AL1698" s="574" t="s">
        <v>690</v>
      </c>
      <c r="AM1698" s="198">
        <f t="shared" si="571"/>
        <v>0</v>
      </c>
      <c r="AN1698" s="199">
        <f t="shared" si="563"/>
        <v>45626</v>
      </c>
      <c r="AO1698" s="159" t="s">
        <v>692</v>
      </c>
      <c r="AP1698" s="781"/>
      <c r="AQ1698" s="782">
        <v>12063755</v>
      </c>
      <c r="AR1698" s="782">
        <v>12061353</v>
      </c>
      <c r="AS1698" s="782">
        <v>12061354</v>
      </c>
      <c r="AT1698" s="782">
        <v>12068566</v>
      </c>
      <c r="AU1698" s="781"/>
      <c r="AV1698" s="782">
        <v>12088206</v>
      </c>
      <c r="AW1698" s="782">
        <v>12088207</v>
      </c>
      <c r="AX1698" s="782"/>
      <c r="AY1698" s="782">
        <v>12068565</v>
      </c>
      <c r="AZ1698" s="782"/>
      <c r="BA1698" s="781"/>
    </row>
    <row r="1699" spans="1:53" ht="25" hidden="1" customHeight="1">
      <c r="B1699" s="213">
        <v>45626</v>
      </c>
      <c r="C1699" s="578">
        <v>45665</v>
      </c>
      <c r="D1699" s="185">
        <f t="shared" si="561"/>
        <v>2024</v>
      </c>
      <c r="E1699" s="215" t="str">
        <f>VLOOKUP($B1699,Week!$A$1:$C$1462,2,0)</f>
        <v>Week48</v>
      </c>
      <c r="F1699" s="216" t="str">
        <f t="shared" si="562"/>
        <v>Nov</v>
      </c>
      <c r="G1699" s="215" t="s">
        <v>1850</v>
      </c>
      <c r="H1699" s="215" t="s">
        <v>104</v>
      </c>
      <c r="I1699" s="215" t="s">
        <v>2772</v>
      </c>
      <c r="J1699" s="209" t="s">
        <v>105</v>
      </c>
      <c r="K1699" s="217" t="s">
        <v>107</v>
      </c>
      <c r="L1699" s="300" t="s">
        <v>2167</v>
      </c>
      <c r="M1699" s="209" t="s">
        <v>108</v>
      </c>
      <c r="N1699" s="215" t="s">
        <v>109</v>
      </c>
      <c r="O1699" s="215" t="s">
        <v>110</v>
      </c>
      <c r="P1699" s="218">
        <v>36</v>
      </c>
      <c r="Q1699" s="218">
        <v>5</v>
      </c>
      <c r="R1699" s="219">
        <v>7.4999999999999997E-3</v>
      </c>
      <c r="S1699" s="215" t="s">
        <v>111</v>
      </c>
      <c r="T1699" s="215" t="s">
        <v>112</v>
      </c>
      <c r="U1699" s="215" t="s">
        <v>113</v>
      </c>
      <c r="V1699" s="220">
        <v>792</v>
      </c>
      <c r="W1699" s="220">
        <v>792</v>
      </c>
      <c r="X1699" s="221"/>
      <c r="Y1699" s="222">
        <f t="shared" si="564"/>
        <v>0</v>
      </c>
      <c r="Z1699" s="223">
        <f t="shared" si="565"/>
        <v>0</v>
      </c>
      <c r="AA1699" s="223"/>
      <c r="AB1699" s="807"/>
      <c r="AC1699" s="220"/>
      <c r="AD1699" s="209"/>
      <c r="AE1699" s="210"/>
      <c r="AF1699" s="210"/>
      <c r="AG1699" s="211">
        <f t="shared" si="572"/>
        <v>0.308</v>
      </c>
      <c r="AH1699" s="157">
        <f t="shared" si="573"/>
        <v>0</v>
      </c>
      <c r="AI1699" s="152">
        <f t="shared" si="568"/>
        <v>28512</v>
      </c>
      <c r="AK1699" s="156" t="s">
        <v>691</v>
      </c>
      <c r="AL1699" s="574" t="s">
        <v>690</v>
      </c>
      <c r="AM1699" s="198">
        <f t="shared" si="571"/>
        <v>0</v>
      </c>
      <c r="AN1699" s="199">
        <f t="shared" si="563"/>
        <v>45626</v>
      </c>
      <c r="AO1699" s="159" t="s">
        <v>692</v>
      </c>
      <c r="AP1699" s="781"/>
      <c r="AQ1699" s="782">
        <v>12063755</v>
      </c>
      <c r="AR1699" s="782">
        <v>12061353</v>
      </c>
      <c r="AS1699" s="782">
        <v>12061354</v>
      </c>
      <c r="AT1699" s="782">
        <v>12068566</v>
      </c>
      <c r="AU1699" s="781"/>
      <c r="AV1699" s="782">
        <v>12088206</v>
      </c>
      <c r="AW1699" s="782">
        <v>12088207</v>
      </c>
      <c r="AX1699" s="782"/>
      <c r="AY1699" s="782">
        <v>12068565</v>
      </c>
      <c r="AZ1699" s="782"/>
      <c r="BA1699" s="781"/>
    </row>
    <row r="1700" spans="1:53" ht="25" hidden="1" customHeight="1">
      <c r="B1700" s="213">
        <v>45626</v>
      </c>
      <c r="C1700" s="578">
        <v>45665</v>
      </c>
      <c r="D1700" s="185">
        <f t="shared" si="561"/>
        <v>2024</v>
      </c>
      <c r="E1700" s="215" t="str">
        <f>VLOOKUP($B1700,Week!$A$1:$C$1462,2,0)</f>
        <v>Week48</v>
      </c>
      <c r="F1700" s="216" t="str">
        <f t="shared" si="562"/>
        <v>Nov</v>
      </c>
      <c r="G1700" s="215" t="s">
        <v>1865</v>
      </c>
      <c r="H1700" s="215" t="s">
        <v>104</v>
      </c>
      <c r="I1700" s="215" t="s">
        <v>2772</v>
      </c>
      <c r="J1700" s="209" t="s">
        <v>105</v>
      </c>
      <c r="K1700" s="217" t="s">
        <v>107</v>
      </c>
      <c r="L1700" s="300" t="s">
        <v>2167</v>
      </c>
      <c r="M1700" s="209" t="s">
        <v>108</v>
      </c>
      <c r="N1700" s="215" t="s">
        <v>109</v>
      </c>
      <c r="O1700" s="215" t="s">
        <v>110</v>
      </c>
      <c r="P1700" s="218">
        <v>36</v>
      </c>
      <c r="Q1700" s="218">
        <v>5</v>
      </c>
      <c r="R1700" s="219">
        <v>7.4999999999999997E-3</v>
      </c>
      <c r="S1700" s="215" t="s">
        <v>111</v>
      </c>
      <c r="T1700" s="215" t="s">
        <v>112</v>
      </c>
      <c r="U1700" s="215" t="s">
        <v>113</v>
      </c>
      <c r="V1700" s="220">
        <v>792</v>
      </c>
      <c r="W1700" s="220">
        <v>792</v>
      </c>
      <c r="X1700" s="221"/>
      <c r="Y1700" s="222">
        <f t="shared" si="564"/>
        <v>0</v>
      </c>
      <c r="Z1700" s="223">
        <f t="shared" si="565"/>
        <v>0</v>
      </c>
      <c r="AA1700" s="223"/>
      <c r="AB1700" s="807"/>
      <c r="AC1700" s="220"/>
      <c r="AD1700" s="209"/>
      <c r="AE1700" s="210"/>
      <c r="AF1700" s="210"/>
      <c r="AG1700" s="211">
        <f t="shared" si="572"/>
        <v>0.308</v>
      </c>
      <c r="AH1700" s="157">
        <f t="shared" si="573"/>
        <v>0</v>
      </c>
      <c r="AI1700" s="152">
        <f t="shared" si="568"/>
        <v>28512</v>
      </c>
      <c r="AK1700" s="156" t="s">
        <v>691</v>
      </c>
      <c r="AL1700" s="574" t="s">
        <v>690</v>
      </c>
      <c r="AM1700" s="198">
        <f t="shared" si="571"/>
        <v>0</v>
      </c>
      <c r="AN1700" s="199">
        <f t="shared" si="563"/>
        <v>45626</v>
      </c>
      <c r="AO1700" s="159" t="s">
        <v>692</v>
      </c>
      <c r="AP1700" s="781"/>
      <c r="AQ1700" s="782">
        <v>12063755</v>
      </c>
      <c r="AR1700" s="782">
        <v>12061353</v>
      </c>
      <c r="AS1700" s="782">
        <v>12061354</v>
      </c>
      <c r="AT1700" s="782">
        <v>12068566</v>
      </c>
      <c r="AU1700" s="781"/>
      <c r="AV1700" s="782">
        <v>12088206</v>
      </c>
      <c r="AW1700" s="782">
        <v>12088207</v>
      </c>
      <c r="AX1700" s="782"/>
      <c r="AY1700" s="782">
        <v>12068565</v>
      </c>
      <c r="AZ1700" s="782"/>
      <c r="BA1700" s="781"/>
    </row>
    <row r="1701" spans="1:53" ht="25" hidden="1" customHeight="1">
      <c r="B1701" s="213">
        <v>45626</v>
      </c>
      <c r="C1701" s="578">
        <v>45665</v>
      </c>
      <c r="D1701" s="185">
        <f t="shared" si="561"/>
        <v>2024</v>
      </c>
      <c r="E1701" s="215" t="str">
        <f>VLOOKUP($B1701,Week!$A$1:$C$1462,2,0)</f>
        <v>Week48</v>
      </c>
      <c r="F1701" s="216" t="str">
        <f t="shared" si="562"/>
        <v>Nov</v>
      </c>
      <c r="G1701" s="215" t="s">
        <v>1866</v>
      </c>
      <c r="H1701" s="215" t="s">
        <v>104</v>
      </c>
      <c r="I1701" s="215" t="s">
        <v>2772</v>
      </c>
      <c r="J1701" s="209" t="s">
        <v>105</v>
      </c>
      <c r="K1701" s="217" t="s">
        <v>107</v>
      </c>
      <c r="L1701" s="300" t="s">
        <v>2167</v>
      </c>
      <c r="M1701" s="209" t="s">
        <v>108</v>
      </c>
      <c r="N1701" s="215" t="s">
        <v>109</v>
      </c>
      <c r="O1701" s="215" t="s">
        <v>110</v>
      </c>
      <c r="P1701" s="218">
        <v>36</v>
      </c>
      <c r="Q1701" s="218">
        <v>5</v>
      </c>
      <c r="R1701" s="219">
        <v>7.4999999999999997E-3</v>
      </c>
      <c r="S1701" s="215" t="s">
        <v>111</v>
      </c>
      <c r="T1701" s="215" t="s">
        <v>112</v>
      </c>
      <c r="U1701" s="215" t="s">
        <v>113</v>
      </c>
      <c r="V1701" s="220">
        <v>792</v>
      </c>
      <c r="W1701" s="220">
        <v>792</v>
      </c>
      <c r="X1701" s="221"/>
      <c r="Y1701" s="222">
        <f t="shared" si="564"/>
        <v>0</v>
      </c>
      <c r="Z1701" s="223">
        <f t="shared" si="565"/>
        <v>0</v>
      </c>
      <c r="AA1701" s="223"/>
      <c r="AB1701" s="807"/>
      <c r="AC1701" s="220"/>
      <c r="AD1701" s="209"/>
      <c r="AE1701" s="210"/>
      <c r="AF1701" s="210"/>
      <c r="AG1701" s="211">
        <f t="shared" si="572"/>
        <v>0.308</v>
      </c>
      <c r="AH1701" s="157">
        <f t="shared" si="573"/>
        <v>0</v>
      </c>
      <c r="AI1701" s="152">
        <f t="shared" si="568"/>
        <v>28512</v>
      </c>
      <c r="AK1701" s="156" t="s">
        <v>691</v>
      </c>
      <c r="AL1701" s="574" t="s">
        <v>690</v>
      </c>
      <c r="AM1701" s="198">
        <f t="shared" si="571"/>
        <v>0</v>
      </c>
      <c r="AN1701" s="199">
        <f t="shared" si="563"/>
        <v>45626</v>
      </c>
      <c r="AO1701" s="159" t="s">
        <v>692</v>
      </c>
      <c r="AP1701" s="781"/>
      <c r="AQ1701" s="782">
        <v>12063755</v>
      </c>
      <c r="AR1701" s="782">
        <v>12061353</v>
      </c>
      <c r="AS1701" s="782">
        <v>12061354</v>
      </c>
      <c r="AT1701" s="782">
        <v>12068566</v>
      </c>
      <c r="AU1701" s="781"/>
      <c r="AV1701" s="782">
        <v>12088206</v>
      </c>
      <c r="AW1701" s="782">
        <v>12088207</v>
      </c>
      <c r="AX1701" s="782"/>
      <c r="AY1701" s="782">
        <v>12068565</v>
      </c>
      <c r="AZ1701" s="782"/>
      <c r="BA1701" s="781"/>
    </row>
    <row r="1702" spans="1:53" ht="25" hidden="1" customHeight="1">
      <c r="B1702" s="213">
        <v>45626</v>
      </c>
      <c r="C1702" s="578">
        <v>45689</v>
      </c>
      <c r="D1702" s="185">
        <f t="shared" si="561"/>
        <v>2024</v>
      </c>
      <c r="E1702" s="215" t="str">
        <f>VLOOKUP($B1702,Week!$A$1:$C$1462,2,0)</f>
        <v>Week48</v>
      </c>
      <c r="F1702" s="216" t="str">
        <f t="shared" si="562"/>
        <v>Nov</v>
      </c>
      <c r="G1702" s="215" t="s">
        <v>1871</v>
      </c>
      <c r="H1702" s="215" t="s">
        <v>104</v>
      </c>
      <c r="I1702" s="215" t="s">
        <v>2772</v>
      </c>
      <c r="J1702" s="209" t="s">
        <v>105</v>
      </c>
      <c r="K1702" s="217" t="s">
        <v>107</v>
      </c>
      <c r="L1702" s="300" t="s">
        <v>2167</v>
      </c>
      <c r="M1702" s="209" t="s">
        <v>108</v>
      </c>
      <c r="N1702" s="215" t="s">
        <v>109</v>
      </c>
      <c r="O1702" s="215" t="s">
        <v>110</v>
      </c>
      <c r="P1702" s="218">
        <v>36</v>
      </c>
      <c r="Q1702" s="218">
        <v>5</v>
      </c>
      <c r="R1702" s="219">
        <v>7.4999999999999997E-3</v>
      </c>
      <c r="S1702" s="215" t="s">
        <v>111</v>
      </c>
      <c r="T1702" s="215" t="s">
        <v>112</v>
      </c>
      <c r="U1702" s="215" t="s">
        <v>113</v>
      </c>
      <c r="V1702" s="220">
        <v>113</v>
      </c>
      <c r="W1702" s="220">
        <f>2866-384-792-792-792+7</f>
        <v>113</v>
      </c>
      <c r="X1702" s="221"/>
      <c r="Y1702" s="222">
        <f t="shared" si="564"/>
        <v>0</v>
      </c>
      <c r="Z1702" s="223">
        <f t="shared" si="565"/>
        <v>0</v>
      </c>
      <c r="AA1702" s="223"/>
      <c r="AB1702" s="807"/>
      <c r="AC1702" s="220"/>
      <c r="AD1702" s="209"/>
      <c r="AE1702" s="210"/>
      <c r="AF1702" s="210"/>
      <c r="AG1702" s="211">
        <f t="shared" si="572"/>
        <v>0.308</v>
      </c>
      <c r="AH1702" s="157">
        <f t="shared" si="573"/>
        <v>0</v>
      </c>
      <c r="AI1702" s="152">
        <f t="shared" si="568"/>
        <v>4068</v>
      </c>
      <c r="AK1702" s="156" t="s">
        <v>691</v>
      </c>
      <c r="AL1702" s="574" t="s">
        <v>690</v>
      </c>
      <c r="AM1702" s="198">
        <f t="shared" si="571"/>
        <v>0</v>
      </c>
      <c r="AN1702" s="199">
        <f t="shared" si="563"/>
        <v>45626</v>
      </c>
      <c r="AO1702" s="159" t="s">
        <v>692</v>
      </c>
      <c r="AP1702" s="781"/>
      <c r="AQ1702" s="782">
        <v>12063755</v>
      </c>
      <c r="AR1702" s="782">
        <v>12061353</v>
      </c>
      <c r="AS1702" s="782">
        <v>12061354</v>
      </c>
      <c r="AT1702" s="782">
        <v>12068566</v>
      </c>
      <c r="AU1702" s="781"/>
      <c r="AV1702" s="782">
        <v>12088206</v>
      </c>
      <c r="AW1702" s="782">
        <v>12088207</v>
      </c>
      <c r="AX1702" s="782"/>
      <c r="AY1702" s="782">
        <v>12068565</v>
      </c>
      <c r="AZ1702" s="782"/>
      <c r="BA1702" s="781"/>
    </row>
    <row r="1703" spans="1:53" ht="25" hidden="1" customHeight="1">
      <c r="B1703" s="332">
        <v>45626</v>
      </c>
      <c r="C1703" s="333">
        <v>45664</v>
      </c>
      <c r="D1703" s="185">
        <f t="shared" si="561"/>
        <v>2024</v>
      </c>
      <c r="E1703" s="333" t="str">
        <f>VLOOKUP($B1703,Week!$A$1:$C$1462,2,0)</f>
        <v>Week48</v>
      </c>
      <c r="F1703" s="334" t="str">
        <f t="shared" si="562"/>
        <v>Nov</v>
      </c>
      <c r="G1703" s="335" t="s">
        <v>1836</v>
      </c>
      <c r="H1703" s="335" t="s">
        <v>600</v>
      </c>
      <c r="I1703" s="335" t="s">
        <v>2772</v>
      </c>
      <c r="J1703" s="336" t="s">
        <v>708</v>
      </c>
      <c r="K1703" s="337" t="s">
        <v>1646</v>
      </c>
      <c r="L1703" s="300" t="s">
        <v>2167</v>
      </c>
      <c r="M1703" s="336" t="s">
        <v>601</v>
      </c>
      <c r="N1703" s="335" t="s">
        <v>604</v>
      </c>
      <c r="O1703" s="335" t="s">
        <v>543</v>
      </c>
      <c r="P1703" s="338">
        <v>8</v>
      </c>
      <c r="Q1703" s="338">
        <v>3</v>
      </c>
      <c r="R1703" s="339">
        <v>7.4999999999999997E-3</v>
      </c>
      <c r="S1703" s="335" t="s">
        <v>40</v>
      </c>
      <c r="T1703" s="335" t="s">
        <v>112</v>
      </c>
      <c r="U1703" s="340" t="s">
        <v>1893</v>
      </c>
      <c r="V1703" s="341">
        <v>3500</v>
      </c>
      <c r="W1703" s="341"/>
      <c r="X1703" s="342">
        <f>(1595+26405)/8</f>
        <v>3500</v>
      </c>
      <c r="Y1703" s="343">
        <f t="shared" si="564"/>
        <v>0</v>
      </c>
      <c r="Z1703" s="344">
        <f t="shared" si="565"/>
        <v>0</v>
      </c>
      <c r="AA1703" s="344"/>
      <c r="AB1703" s="817">
        <v>3.85E-2</v>
      </c>
      <c r="AC1703" s="341">
        <f>Z1703*AB1703</f>
        <v>0</v>
      </c>
      <c r="AD1703" s="307" t="s">
        <v>673</v>
      </c>
      <c r="AE1703" s="210"/>
      <c r="AF1703" s="210"/>
      <c r="AG1703" s="211">
        <f t="shared" si="572"/>
        <v>0.309</v>
      </c>
      <c r="AH1703" s="157">
        <f t="shared" si="573"/>
        <v>0</v>
      </c>
      <c r="AI1703" s="152">
        <f t="shared" si="568"/>
        <v>28000</v>
      </c>
      <c r="AK1703" s="156" t="s">
        <v>691</v>
      </c>
      <c r="AL1703" s="574" t="s">
        <v>690</v>
      </c>
      <c r="AM1703" s="198">
        <f t="shared" si="571"/>
        <v>0</v>
      </c>
      <c r="AN1703" s="199">
        <f t="shared" si="563"/>
        <v>45626</v>
      </c>
      <c r="AO1703" s="159" t="s">
        <v>692</v>
      </c>
      <c r="AP1703" s="781"/>
      <c r="AQ1703" s="782">
        <v>12063755</v>
      </c>
      <c r="AR1703" s="782">
        <v>12061353</v>
      </c>
      <c r="AS1703" s="782">
        <v>12061354</v>
      </c>
      <c r="AT1703" s="782">
        <v>12084023</v>
      </c>
      <c r="AU1703" s="781"/>
      <c r="AV1703" s="782">
        <v>12084228</v>
      </c>
      <c r="AW1703" s="782"/>
      <c r="AX1703" s="782"/>
      <c r="AY1703" s="782"/>
      <c r="AZ1703" s="782"/>
      <c r="BA1703" s="781"/>
    </row>
    <row r="1704" spans="1:53" ht="25" hidden="1" customHeight="1">
      <c r="B1704" s="183">
        <v>45627</v>
      </c>
      <c r="C1704" s="184"/>
      <c r="D1704" s="185">
        <f t="shared" si="561"/>
        <v>2024</v>
      </c>
      <c r="E1704" s="185" t="str">
        <f>VLOOKUP($B1704,Week!$A$1:$C$1462,2,0)</f>
        <v>Week48</v>
      </c>
      <c r="F1704" s="186" t="str">
        <f t="shared" si="562"/>
        <v>Dec</v>
      </c>
      <c r="G1704" s="185"/>
      <c r="H1704" s="185"/>
      <c r="I1704" s="185"/>
      <c r="J1704" s="187"/>
      <c r="K1704" s="188"/>
      <c r="L1704" s="300"/>
      <c r="M1704" s="187"/>
      <c r="N1704" s="185"/>
      <c r="O1704" s="185"/>
      <c r="P1704" s="189"/>
      <c r="Q1704" s="189"/>
      <c r="R1704" s="190"/>
      <c r="S1704" s="185"/>
      <c r="T1704" s="185"/>
      <c r="U1704" s="185"/>
      <c r="V1704" s="191"/>
      <c r="W1704" s="191"/>
      <c r="X1704" s="192"/>
      <c r="Y1704" s="193"/>
      <c r="Z1704" s="194"/>
      <c r="AA1704" s="194"/>
      <c r="AB1704" s="805"/>
      <c r="AC1704" s="191"/>
      <c r="AD1704" s="187"/>
      <c r="AE1704" s="195"/>
      <c r="AF1704" s="195"/>
      <c r="AG1704" s="196"/>
      <c r="AH1704" s="197"/>
      <c r="AK1704" s="156" t="s">
        <v>691</v>
      </c>
      <c r="AM1704" s="198">
        <f t="shared" si="571"/>
        <v>0</v>
      </c>
      <c r="AN1704" s="199">
        <f t="shared" si="563"/>
        <v>45627</v>
      </c>
      <c r="AO1704" s="159" t="s">
        <v>692</v>
      </c>
      <c r="AP1704" s="781"/>
      <c r="AQ1704" s="782"/>
      <c r="AR1704" s="782"/>
      <c r="AS1704" s="782"/>
      <c r="AT1704" s="782"/>
      <c r="AU1704" s="781"/>
      <c r="AV1704" s="782"/>
      <c r="AW1704" s="782"/>
      <c r="AX1704" s="782"/>
      <c r="AY1704" s="782"/>
      <c r="AZ1704" s="782"/>
      <c r="BA1704" s="781"/>
    </row>
    <row r="1705" spans="1:53" ht="25" hidden="1" customHeight="1">
      <c r="A1705" s="142" t="s">
        <v>120</v>
      </c>
      <c r="B1705" s="466">
        <v>45628</v>
      </c>
      <c r="C1705" s="467">
        <v>45640</v>
      </c>
      <c r="D1705" s="185">
        <f t="shared" si="561"/>
        <v>2024</v>
      </c>
      <c r="E1705" s="468" t="str">
        <f>VLOOKUP($B1705,Week!$A$1:$C$1462,2,0)</f>
        <v>Week49</v>
      </c>
      <c r="F1705" s="469" t="str">
        <f t="shared" si="562"/>
        <v>Dec</v>
      </c>
      <c r="G1705" s="470" t="s">
        <v>1790</v>
      </c>
      <c r="H1705" s="468" t="s">
        <v>82</v>
      </c>
      <c r="I1705" s="468" t="s">
        <v>82</v>
      </c>
      <c r="J1705" s="471" t="s">
        <v>720</v>
      </c>
      <c r="K1705" s="472" t="s">
        <v>85</v>
      </c>
      <c r="L1705" s="390" t="s">
        <v>2166</v>
      </c>
      <c r="M1705" s="471" t="s">
        <v>579</v>
      </c>
      <c r="N1705" s="468" t="s">
        <v>580</v>
      </c>
      <c r="O1705" s="468" t="s">
        <v>581</v>
      </c>
      <c r="P1705" s="473">
        <v>8</v>
      </c>
      <c r="Q1705" s="473">
        <v>60</v>
      </c>
      <c r="R1705" s="474">
        <v>6.8100000000000001E-3</v>
      </c>
      <c r="S1705" s="468" t="s">
        <v>76</v>
      </c>
      <c r="T1705" s="468" t="s">
        <v>56</v>
      </c>
      <c r="U1705" s="468" t="s">
        <v>89</v>
      </c>
      <c r="V1705" s="475">
        <f>1408</f>
        <v>1408</v>
      </c>
      <c r="W1705" s="475">
        <f>13+1377+18</f>
        <v>1408</v>
      </c>
      <c r="X1705" s="476"/>
      <c r="Y1705" s="477">
        <f t="shared" ref="Y1705:Y1710" si="574">(W1705+X1705)-V1705</f>
        <v>0</v>
      </c>
      <c r="Z1705" s="478">
        <f t="shared" ref="Z1705:Z1710" si="575">IF(Y1705&lt;0,((V1705*P1705)-((W1705+X1705)*P1705)),0)</f>
        <v>0</v>
      </c>
      <c r="AA1705" s="478">
        <f t="shared" ref="AA1705:AA1710" si="576">Q1705*Z1705</f>
        <v>0</v>
      </c>
      <c r="AB1705" s="828">
        <v>6</v>
      </c>
      <c r="AC1705" s="475">
        <f t="shared" ref="AC1705:AC1710" si="577">Z1705*AB1705</f>
        <v>0</v>
      </c>
      <c r="AD1705" s="209"/>
      <c r="AE1705" s="210"/>
      <c r="AF1705" s="210"/>
      <c r="AG1705" s="211">
        <f t="shared" ref="AG1705:AG1710" si="578">MID(O1705,1,3)/1000</f>
        <v>0.75</v>
      </c>
      <c r="AH1705" s="157">
        <f t="shared" ref="AH1705:AH1710" si="579">(Z1705*AG1705)/1000</f>
        <v>0</v>
      </c>
      <c r="AI1705" s="152">
        <f t="shared" ref="AI1705:AI1710" si="580">V1705*P1705</f>
        <v>11264</v>
      </c>
      <c r="AK1705" s="156" t="s">
        <v>691</v>
      </c>
      <c r="AL1705" s="156" t="s">
        <v>689</v>
      </c>
      <c r="AM1705" s="198">
        <f t="shared" ref="AM1705:AM1710" si="581">AG1705*Z1705</f>
        <v>0</v>
      </c>
      <c r="AN1705" s="199">
        <f t="shared" si="563"/>
        <v>45628</v>
      </c>
      <c r="AO1705" s="159" t="s">
        <v>692</v>
      </c>
      <c r="AP1705" s="783" t="s">
        <v>622</v>
      </c>
      <c r="AQ1705" s="782">
        <v>12004862</v>
      </c>
      <c r="AR1705" s="782">
        <v>12080753</v>
      </c>
      <c r="AS1705" s="782"/>
      <c r="AT1705" s="782">
        <v>12082897</v>
      </c>
      <c r="AU1705" s="781"/>
      <c r="AV1705" s="782">
        <v>12082898</v>
      </c>
      <c r="AW1705" s="782">
        <v>12082899</v>
      </c>
      <c r="AX1705" s="796" t="s">
        <v>621</v>
      </c>
      <c r="AY1705" s="782"/>
      <c r="AZ1705" s="782"/>
      <c r="BA1705" s="781"/>
    </row>
    <row r="1706" spans="1:53" ht="25" hidden="1" customHeight="1">
      <c r="A1706" s="142" t="s">
        <v>120</v>
      </c>
      <c r="B1706" s="320">
        <v>45628</v>
      </c>
      <c r="C1706" s="321">
        <v>45635</v>
      </c>
      <c r="D1706" s="185">
        <f t="shared" si="561"/>
        <v>2024</v>
      </c>
      <c r="E1706" s="323" t="str">
        <f>VLOOKUP($B1706,Week!$A$1:$C$1462,2,0)</f>
        <v>Week49</v>
      </c>
      <c r="F1706" s="322" t="str">
        <f t="shared" si="562"/>
        <v>Dec</v>
      </c>
      <c r="G1706" s="323" t="s">
        <v>1877</v>
      </c>
      <c r="H1706" s="323" t="s">
        <v>82</v>
      </c>
      <c r="I1706" s="323" t="s">
        <v>82</v>
      </c>
      <c r="J1706" s="324" t="s">
        <v>235</v>
      </c>
      <c r="K1706" s="325" t="s">
        <v>85</v>
      </c>
      <c r="L1706" s="390" t="s">
        <v>2166</v>
      </c>
      <c r="M1706" s="324" t="s">
        <v>515</v>
      </c>
      <c r="N1706" s="323" t="s">
        <v>516</v>
      </c>
      <c r="O1706" s="323" t="s">
        <v>517</v>
      </c>
      <c r="P1706" s="326">
        <v>16</v>
      </c>
      <c r="Q1706" s="326">
        <v>20</v>
      </c>
      <c r="R1706" s="327">
        <v>6.8100000000000001E-3</v>
      </c>
      <c r="S1706" s="323" t="s">
        <v>76</v>
      </c>
      <c r="T1706" s="323" t="s">
        <v>56</v>
      </c>
      <c r="U1706" s="323" t="s">
        <v>89</v>
      </c>
      <c r="V1706" s="328">
        <v>301</v>
      </c>
      <c r="W1706" s="328">
        <v>301</v>
      </c>
      <c r="X1706" s="329"/>
      <c r="Y1706" s="330">
        <f t="shared" si="574"/>
        <v>0</v>
      </c>
      <c r="Z1706" s="331">
        <f t="shared" si="575"/>
        <v>0</v>
      </c>
      <c r="AA1706" s="331">
        <f t="shared" si="576"/>
        <v>0</v>
      </c>
      <c r="AB1706" s="816">
        <v>3</v>
      </c>
      <c r="AC1706" s="328">
        <f t="shared" si="577"/>
        <v>0</v>
      </c>
      <c r="AD1706" s="209"/>
      <c r="AE1706" s="210"/>
      <c r="AF1706" s="210"/>
      <c r="AG1706" s="211">
        <f t="shared" si="578"/>
        <v>0.255</v>
      </c>
      <c r="AH1706" s="157">
        <f t="shared" si="579"/>
        <v>0</v>
      </c>
      <c r="AI1706" s="152">
        <f t="shared" si="580"/>
        <v>4816</v>
      </c>
      <c r="AK1706" s="156" t="s">
        <v>691</v>
      </c>
      <c r="AL1706" s="156" t="s">
        <v>689</v>
      </c>
      <c r="AM1706" s="198">
        <f t="shared" si="581"/>
        <v>0</v>
      </c>
      <c r="AN1706" s="199">
        <f t="shared" si="563"/>
        <v>45628</v>
      </c>
      <c r="AO1706" s="159" t="s">
        <v>692</v>
      </c>
      <c r="AP1706" s="781"/>
      <c r="AQ1706" s="782"/>
      <c r="AR1706" s="781" t="s">
        <v>525</v>
      </c>
      <c r="AS1706" s="781"/>
      <c r="AT1706" s="781" t="s">
        <v>526</v>
      </c>
      <c r="AU1706" s="781"/>
      <c r="AV1706" s="781" t="s">
        <v>527</v>
      </c>
      <c r="AW1706" s="781"/>
      <c r="AX1706" s="781" t="s">
        <v>528</v>
      </c>
      <c r="AY1706" s="782"/>
      <c r="AZ1706" s="782"/>
      <c r="BA1706" s="781"/>
    </row>
    <row r="1707" spans="1:53" ht="25" hidden="1" customHeight="1">
      <c r="A1707" s="142" t="s">
        <v>120</v>
      </c>
      <c r="B1707" s="466">
        <v>45629</v>
      </c>
      <c r="C1707" s="467">
        <v>45640</v>
      </c>
      <c r="D1707" s="185">
        <f t="shared" si="561"/>
        <v>2024</v>
      </c>
      <c r="E1707" s="468" t="str">
        <f>VLOOKUP($B1707,Week!$A$1:$C$1462,2,0)</f>
        <v>Week49</v>
      </c>
      <c r="F1707" s="469" t="str">
        <f t="shared" si="562"/>
        <v>Dec</v>
      </c>
      <c r="G1707" s="470" t="s">
        <v>1841</v>
      </c>
      <c r="H1707" s="468" t="s">
        <v>82</v>
      </c>
      <c r="I1707" s="468" t="s">
        <v>82</v>
      </c>
      <c r="J1707" s="471" t="s">
        <v>720</v>
      </c>
      <c r="K1707" s="472" t="s">
        <v>85</v>
      </c>
      <c r="L1707" s="390" t="s">
        <v>2166</v>
      </c>
      <c r="M1707" s="471" t="s">
        <v>579</v>
      </c>
      <c r="N1707" s="468" t="s">
        <v>580</v>
      </c>
      <c r="O1707" s="468" t="s">
        <v>581</v>
      </c>
      <c r="P1707" s="473">
        <v>8</v>
      </c>
      <c r="Q1707" s="473">
        <v>60</v>
      </c>
      <c r="R1707" s="474">
        <v>6.8100000000000001E-3</v>
      </c>
      <c r="S1707" s="468" t="s">
        <v>76</v>
      </c>
      <c r="T1707" s="468" t="s">
        <v>56</v>
      </c>
      <c r="U1707" s="468" t="s">
        <v>89</v>
      </c>
      <c r="V1707" s="475">
        <f>1408</f>
        <v>1408</v>
      </c>
      <c r="W1707" s="475">
        <v>1408</v>
      </c>
      <c r="X1707" s="476"/>
      <c r="Y1707" s="477">
        <f t="shared" si="574"/>
        <v>0</v>
      </c>
      <c r="Z1707" s="478">
        <f t="shared" si="575"/>
        <v>0</v>
      </c>
      <c r="AA1707" s="478">
        <f t="shared" si="576"/>
        <v>0</v>
      </c>
      <c r="AB1707" s="828">
        <v>6</v>
      </c>
      <c r="AC1707" s="475">
        <f t="shared" si="577"/>
        <v>0</v>
      </c>
      <c r="AD1707" s="209"/>
      <c r="AE1707" s="210"/>
      <c r="AF1707" s="210"/>
      <c r="AG1707" s="211">
        <f t="shared" si="578"/>
        <v>0.75</v>
      </c>
      <c r="AH1707" s="157">
        <f t="shared" si="579"/>
        <v>0</v>
      </c>
      <c r="AI1707" s="152">
        <f t="shared" si="580"/>
        <v>11264</v>
      </c>
      <c r="AK1707" s="156" t="s">
        <v>691</v>
      </c>
      <c r="AL1707" s="156" t="s">
        <v>689</v>
      </c>
      <c r="AM1707" s="198">
        <f t="shared" si="581"/>
        <v>0</v>
      </c>
      <c r="AN1707" s="199">
        <f t="shared" si="563"/>
        <v>45629</v>
      </c>
      <c r="AO1707" s="159" t="s">
        <v>692</v>
      </c>
      <c r="AP1707" s="783" t="s">
        <v>622</v>
      </c>
      <c r="AQ1707" s="782">
        <v>12004862</v>
      </c>
      <c r="AR1707" s="782">
        <v>12080753</v>
      </c>
      <c r="AS1707" s="782"/>
      <c r="AT1707" s="782">
        <v>12082897</v>
      </c>
      <c r="AU1707" s="781"/>
      <c r="AV1707" s="782">
        <v>12082898</v>
      </c>
      <c r="AW1707" s="782">
        <v>12082899</v>
      </c>
      <c r="AX1707" s="796" t="s">
        <v>621</v>
      </c>
      <c r="AY1707" s="782"/>
      <c r="AZ1707" s="782"/>
      <c r="BA1707" s="781"/>
    </row>
    <row r="1708" spans="1:53" ht="25" hidden="1" customHeight="1">
      <c r="A1708" s="142" t="s">
        <v>120</v>
      </c>
      <c r="B1708" s="320">
        <v>45629</v>
      </c>
      <c r="C1708" s="321">
        <v>45635</v>
      </c>
      <c r="D1708" s="185">
        <f t="shared" si="561"/>
        <v>2024</v>
      </c>
      <c r="E1708" s="323" t="str">
        <f>VLOOKUP($B1708,Week!$A$1:$C$1462,2,0)</f>
        <v>Week49</v>
      </c>
      <c r="F1708" s="322" t="str">
        <f t="shared" si="562"/>
        <v>Dec</v>
      </c>
      <c r="G1708" s="323" t="s">
        <v>1877</v>
      </c>
      <c r="H1708" s="323" t="s">
        <v>82</v>
      </c>
      <c r="I1708" s="323" t="s">
        <v>82</v>
      </c>
      <c r="J1708" s="324" t="s">
        <v>235</v>
      </c>
      <c r="K1708" s="325" t="s">
        <v>85</v>
      </c>
      <c r="L1708" s="390" t="s">
        <v>2166</v>
      </c>
      <c r="M1708" s="324" t="s">
        <v>515</v>
      </c>
      <c r="N1708" s="323" t="s">
        <v>516</v>
      </c>
      <c r="O1708" s="323" t="s">
        <v>517</v>
      </c>
      <c r="P1708" s="326">
        <v>16</v>
      </c>
      <c r="Q1708" s="326">
        <v>20</v>
      </c>
      <c r="R1708" s="327">
        <v>6.8100000000000001E-3</v>
      </c>
      <c r="S1708" s="323" t="s">
        <v>76</v>
      </c>
      <c r="T1708" s="323" t="s">
        <v>56</v>
      </c>
      <c r="U1708" s="323" t="s">
        <v>89</v>
      </c>
      <c r="V1708" s="328">
        <v>312</v>
      </c>
      <c r="W1708" s="328">
        <f>312</f>
        <v>312</v>
      </c>
      <c r="X1708" s="329"/>
      <c r="Y1708" s="330">
        <f t="shared" si="574"/>
        <v>0</v>
      </c>
      <c r="Z1708" s="331">
        <f t="shared" si="575"/>
        <v>0</v>
      </c>
      <c r="AA1708" s="331">
        <f t="shared" si="576"/>
        <v>0</v>
      </c>
      <c r="AB1708" s="816">
        <v>3</v>
      </c>
      <c r="AC1708" s="328">
        <f t="shared" si="577"/>
        <v>0</v>
      </c>
      <c r="AD1708" s="209"/>
      <c r="AE1708" s="210"/>
      <c r="AF1708" s="210"/>
      <c r="AG1708" s="211">
        <f t="shared" si="578"/>
        <v>0.255</v>
      </c>
      <c r="AH1708" s="157">
        <f t="shared" si="579"/>
        <v>0</v>
      </c>
      <c r="AI1708" s="152">
        <f t="shared" si="580"/>
        <v>4992</v>
      </c>
      <c r="AK1708" s="156" t="s">
        <v>691</v>
      </c>
      <c r="AL1708" s="156" t="s">
        <v>689</v>
      </c>
      <c r="AM1708" s="198">
        <f t="shared" si="581"/>
        <v>0</v>
      </c>
      <c r="AN1708" s="199">
        <f t="shared" si="563"/>
        <v>45629</v>
      </c>
      <c r="AO1708" s="159" t="s">
        <v>692</v>
      </c>
      <c r="AP1708" s="781"/>
      <c r="AQ1708" s="782"/>
      <c r="AR1708" s="781" t="s">
        <v>525</v>
      </c>
      <c r="AS1708" s="781"/>
      <c r="AT1708" s="781" t="s">
        <v>526</v>
      </c>
      <c r="AU1708" s="781"/>
      <c r="AV1708" s="781" t="s">
        <v>527</v>
      </c>
      <c r="AW1708" s="781"/>
      <c r="AX1708" s="781" t="s">
        <v>528</v>
      </c>
      <c r="AY1708" s="782"/>
      <c r="AZ1708" s="782"/>
      <c r="BA1708" s="781"/>
    </row>
    <row r="1709" spans="1:53" ht="25" hidden="1" customHeight="1">
      <c r="A1709" s="142" t="s">
        <v>120</v>
      </c>
      <c r="B1709" s="466">
        <v>45630</v>
      </c>
      <c r="C1709" s="467">
        <v>45645</v>
      </c>
      <c r="D1709" s="185">
        <f t="shared" si="561"/>
        <v>2024</v>
      </c>
      <c r="E1709" s="468" t="str">
        <f>VLOOKUP($B1709,Week!$A$1:$C$1462,2,0)</f>
        <v>Week49</v>
      </c>
      <c r="F1709" s="469" t="str">
        <f t="shared" si="562"/>
        <v>Dec</v>
      </c>
      <c r="G1709" s="470" t="s">
        <v>1842</v>
      </c>
      <c r="H1709" s="468" t="s">
        <v>82</v>
      </c>
      <c r="I1709" s="468" t="s">
        <v>82</v>
      </c>
      <c r="J1709" s="471" t="s">
        <v>720</v>
      </c>
      <c r="K1709" s="472" t="s">
        <v>85</v>
      </c>
      <c r="L1709" s="390" t="s">
        <v>2166</v>
      </c>
      <c r="M1709" s="471" t="s">
        <v>579</v>
      </c>
      <c r="N1709" s="468" t="s">
        <v>580</v>
      </c>
      <c r="O1709" s="468" t="s">
        <v>581</v>
      </c>
      <c r="P1709" s="473">
        <v>8</v>
      </c>
      <c r="Q1709" s="473">
        <v>60</v>
      </c>
      <c r="R1709" s="474">
        <v>6.8100000000000001E-3</v>
      </c>
      <c r="S1709" s="468" t="s">
        <v>76</v>
      </c>
      <c r="T1709" s="468" t="s">
        <v>56</v>
      </c>
      <c r="U1709" s="468" t="s">
        <v>89</v>
      </c>
      <c r="V1709" s="475">
        <f>1408</f>
        <v>1408</v>
      </c>
      <c r="W1709" s="475">
        <v>1408</v>
      </c>
      <c r="X1709" s="476"/>
      <c r="Y1709" s="477">
        <f t="shared" si="574"/>
        <v>0</v>
      </c>
      <c r="Z1709" s="478">
        <f t="shared" si="575"/>
        <v>0</v>
      </c>
      <c r="AA1709" s="478">
        <f t="shared" si="576"/>
        <v>0</v>
      </c>
      <c r="AB1709" s="828">
        <v>6</v>
      </c>
      <c r="AC1709" s="475">
        <f t="shared" si="577"/>
        <v>0</v>
      </c>
      <c r="AD1709" s="209"/>
      <c r="AE1709" s="210"/>
      <c r="AF1709" s="210"/>
      <c r="AG1709" s="211">
        <f t="shared" si="578"/>
        <v>0.75</v>
      </c>
      <c r="AH1709" s="157">
        <f t="shared" si="579"/>
        <v>0</v>
      </c>
      <c r="AI1709" s="152">
        <f t="shared" si="580"/>
        <v>11264</v>
      </c>
      <c r="AK1709" s="156" t="s">
        <v>691</v>
      </c>
      <c r="AL1709" s="156" t="s">
        <v>689</v>
      </c>
      <c r="AM1709" s="198">
        <f t="shared" si="581"/>
        <v>0</v>
      </c>
      <c r="AN1709" s="199">
        <f t="shared" si="563"/>
        <v>45630</v>
      </c>
      <c r="AO1709" s="159" t="s">
        <v>692</v>
      </c>
      <c r="AP1709" s="783" t="s">
        <v>622</v>
      </c>
      <c r="AQ1709" s="782">
        <v>12004862</v>
      </c>
      <c r="AR1709" s="782">
        <v>12080753</v>
      </c>
      <c r="AS1709" s="782"/>
      <c r="AT1709" s="782">
        <v>12082897</v>
      </c>
      <c r="AU1709" s="781"/>
      <c r="AV1709" s="782">
        <v>12082898</v>
      </c>
      <c r="AW1709" s="782">
        <v>12082899</v>
      </c>
      <c r="AX1709" s="796" t="s">
        <v>621</v>
      </c>
      <c r="AY1709" s="782"/>
      <c r="AZ1709" s="782"/>
      <c r="BA1709" s="781"/>
    </row>
    <row r="1710" spans="1:53" ht="25" hidden="1" customHeight="1">
      <c r="A1710" s="142" t="s">
        <v>120</v>
      </c>
      <c r="B1710" s="320">
        <v>45630</v>
      </c>
      <c r="C1710" s="321">
        <v>45635</v>
      </c>
      <c r="D1710" s="185">
        <f t="shared" si="561"/>
        <v>2024</v>
      </c>
      <c r="E1710" s="323" t="str">
        <f>VLOOKUP($B1710,Week!$A$1:$C$1462,2,0)</f>
        <v>Week49</v>
      </c>
      <c r="F1710" s="322" t="str">
        <f t="shared" si="562"/>
        <v>Dec</v>
      </c>
      <c r="G1710" s="323" t="s">
        <v>1877</v>
      </c>
      <c r="H1710" s="323" t="s">
        <v>82</v>
      </c>
      <c r="I1710" s="323" t="s">
        <v>82</v>
      </c>
      <c r="J1710" s="324" t="s">
        <v>235</v>
      </c>
      <c r="K1710" s="325" t="s">
        <v>85</v>
      </c>
      <c r="L1710" s="390" t="s">
        <v>2166</v>
      </c>
      <c r="M1710" s="324" t="s">
        <v>515</v>
      </c>
      <c r="N1710" s="323" t="s">
        <v>516</v>
      </c>
      <c r="O1710" s="323" t="s">
        <v>517</v>
      </c>
      <c r="P1710" s="326">
        <v>16</v>
      </c>
      <c r="Q1710" s="326">
        <v>20</v>
      </c>
      <c r="R1710" s="327">
        <v>6.8100000000000001E-3</v>
      </c>
      <c r="S1710" s="323" t="s">
        <v>76</v>
      </c>
      <c r="T1710" s="323" t="s">
        <v>56</v>
      </c>
      <c r="U1710" s="323" t="s">
        <v>89</v>
      </c>
      <c r="V1710" s="328">
        <f>910-301-312</f>
        <v>297</v>
      </c>
      <c r="W1710" s="328">
        <v>297</v>
      </c>
      <c r="X1710" s="329"/>
      <c r="Y1710" s="330">
        <f t="shared" si="574"/>
        <v>0</v>
      </c>
      <c r="Z1710" s="331">
        <f t="shared" si="575"/>
        <v>0</v>
      </c>
      <c r="AA1710" s="331">
        <f t="shared" si="576"/>
        <v>0</v>
      </c>
      <c r="AB1710" s="816">
        <v>3</v>
      </c>
      <c r="AC1710" s="328">
        <f t="shared" si="577"/>
        <v>0</v>
      </c>
      <c r="AD1710" s="209"/>
      <c r="AE1710" s="210"/>
      <c r="AF1710" s="210"/>
      <c r="AG1710" s="211">
        <f t="shared" si="578"/>
        <v>0.255</v>
      </c>
      <c r="AH1710" s="157">
        <f t="shared" si="579"/>
        <v>0</v>
      </c>
      <c r="AI1710" s="152">
        <f t="shared" si="580"/>
        <v>4752</v>
      </c>
      <c r="AK1710" s="156" t="s">
        <v>691</v>
      </c>
      <c r="AL1710" s="156" t="s">
        <v>689</v>
      </c>
      <c r="AM1710" s="198">
        <f t="shared" si="581"/>
        <v>0</v>
      </c>
      <c r="AN1710" s="199">
        <f t="shared" si="563"/>
        <v>45630</v>
      </c>
      <c r="AO1710" s="159" t="s">
        <v>692</v>
      </c>
      <c r="AP1710" s="781"/>
      <c r="AQ1710" s="782"/>
      <c r="AR1710" s="781" t="s">
        <v>525</v>
      </c>
      <c r="AS1710" s="781"/>
      <c r="AT1710" s="781" t="s">
        <v>526</v>
      </c>
      <c r="AU1710" s="781"/>
      <c r="AV1710" s="781" t="s">
        <v>527</v>
      </c>
      <c r="AW1710" s="781"/>
      <c r="AX1710" s="781" t="s">
        <v>528</v>
      </c>
      <c r="AY1710" s="782"/>
      <c r="AZ1710" s="782"/>
      <c r="BA1710" s="781"/>
    </row>
    <row r="1711" spans="1:53" ht="25" hidden="1" customHeight="1">
      <c r="B1711" s="183">
        <v>45631</v>
      </c>
      <c r="C1711" s="184"/>
      <c r="D1711" s="185">
        <f t="shared" si="561"/>
        <v>2024</v>
      </c>
      <c r="E1711" s="185" t="str">
        <f>VLOOKUP($B1711,Week!$A$1:$C$1462,2,0)</f>
        <v>Week49</v>
      </c>
      <c r="F1711" s="186" t="str">
        <f t="shared" si="562"/>
        <v>Dec</v>
      </c>
      <c r="G1711" s="185"/>
      <c r="H1711" s="185"/>
      <c r="I1711" s="185"/>
      <c r="J1711" s="187"/>
      <c r="K1711" s="188"/>
      <c r="L1711" s="300"/>
      <c r="M1711" s="187"/>
      <c r="N1711" s="185"/>
      <c r="O1711" s="185"/>
      <c r="P1711" s="189"/>
      <c r="Q1711" s="189"/>
      <c r="R1711" s="190"/>
      <c r="S1711" s="185"/>
      <c r="T1711" s="185"/>
      <c r="U1711" s="185"/>
      <c r="V1711" s="191"/>
      <c r="W1711" s="191"/>
      <c r="X1711" s="192"/>
      <c r="Y1711" s="193"/>
      <c r="Z1711" s="194"/>
      <c r="AA1711" s="194"/>
      <c r="AB1711" s="805"/>
      <c r="AC1711" s="191"/>
      <c r="AD1711" s="187"/>
      <c r="AE1711" s="195"/>
      <c r="AF1711" s="195"/>
      <c r="AG1711" s="196"/>
      <c r="AH1711" s="197"/>
      <c r="AK1711" s="156" t="s">
        <v>691</v>
      </c>
      <c r="AM1711" s="198">
        <f t="shared" ref="AM1711:AM1746" si="582">AG1711*Z1711</f>
        <v>0</v>
      </c>
      <c r="AN1711" s="199">
        <f t="shared" si="563"/>
        <v>45631</v>
      </c>
      <c r="AO1711" s="159" t="s">
        <v>692</v>
      </c>
      <c r="AP1711" s="781"/>
      <c r="AQ1711" s="782"/>
      <c r="AR1711" s="782"/>
      <c r="AS1711" s="782"/>
      <c r="AT1711" s="782"/>
      <c r="AU1711" s="781"/>
      <c r="AV1711" s="782"/>
      <c r="AW1711" s="782"/>
      <c r="AX1711" s="782"/>
      <c r="AY1711" s="782"/>
      <c r="AZ1711" s="782"/>
      <c r="BA1711" s="781"/>
    </row>
    <row r="1712" spans="1:53" ht="24.75" hidden="1" customHeight="1">
      <c r="A1712" s="529" t="s">
        <v>1789</v>
      </c>
      <c r="B1712" s="295">
        <v>45632</v>
      </c>
      <c r="C1712" s="771" t="s">
        <v>1678</v>
      </c>
      <c r="D1712" s="185">
        <f t="shared" si="561"/>
        <v>2024</v>
      </c>
      <c r="E1712" s="296" t="str">
        <f>VLOOKUP($B1712,Week!$A$1:$C$1462,2,0)</f>
        <v>Week49</v>
      </c>
      <c r="F1712" s="297" t="str">
        <f t="shared" si="562"/>
        <v>Dec</v>
      </c>
      <c r="G1712" s="648" t="s">
        <v>47</v>
      </c>
      <c r="H1712" s="298" t="s">
        <v>260</v>
      </c>
      <c r="I1712" s="298" t="s">
        <v>2702</v>
      </c>
      <c r="J1712" s="307" t="s">
        <v>1788</v>
      </c>
      <c r="K1712" s="300" t="s">
        <v>176</v>
      </c>
      <c r="L1712" s="300" t="s">
        <v>2167</v>
      </c>
      <c r="M1712" s="299" t="s">
        <v>262</v>
      </c>
      <c r="N1712" s="298" t="s">
        <v>350</v>
      </c>
      <c r="O1712" s="298" t="s">
        <v>351</v>
      </c>
      <c r="P1712" s="301">
        <v>24</v>
      </c>
      <c r="Q1712" s="301">
        <v>5</v>
      </c>
      <c r="R1712" s="302">
        <v>6.1999999999999998E-3</v>
      </c>
      <c r="S1712" s="298" t="s">
        <v>352</v>
      </c>
      <c r="T1712" s="298" t="s">
        <v>56</v>
      </c>
      <c r="U1712" s="298" t="s">
        <v>57</v>
      </c>
      <c r="V1712" s="303">
        <f>3707</f>
        <v>3707</v>
      </c>
      <c r="W1712" s="303">
        <f>3707</f>
        <v>3707</v>
      </c>
      <c r="X1712" s="304"/>
      <c r="Y1712" s="305">
        <f>(W1712+X1712)-V1712</f>
        <v>0</v>
      </c>
      <c r="Z1712" s="306">
        <f>IF(Y1712&lt;0,((V1712*P1712)-((W1712+X1712)*P1712)),0)</f>
        <v>0</v>
      </c>
      <c r="AA1712" s="306"/>
      <c r="AB1712" s="814"/>
      <c r="AC1712" s="303"/>
      <c r="AD1712" s="307" t="s">
        <v>1789</v>
      </c>
      <c r="AE1712" s="210"/>
      <c r="AF1712" s="210"/>
      <c r="AG1712" s="211">
        <f>MID(O1712,1,3)/1000</f>
        <v>0.13</v>
      </c>
      <c r="AH1712" s="157">
        <f>(Z1712*AG1712)/1000</f>
        <v>0</v>
      </c>
      <c r="AI1712" s="152">
        <f>V1712*P1712</f>
        <v>88968</v>
      </c>
      <c r="AK1712" s="156" t="s">
        <v>691</v>
      </c>
      <c r="AL1712" s="574" t="s">
        <v>690</v>
      </c>
      <c r="AM1712" s="198">
        <f t="shared" si="582"/>
        <v>0</v>
      </c>
      <c r="AN1712" s="199">
        <f t="shared" si="563"/>
        <v>45632</v>
      </c>
      <c r="AO1712" s="159" t="s">
        <v>692</v>
      </c>
      <c r="AP1712" s="783" t="s">
        <v>629</v>
      </c>
      <c r="AQ1712" s="782">
        <v>12071839</v>
      </c>
      <c r="AR1712" s="782">
        <v>12078867</v>
      </c>
      <c r="AS1712" s="782">
        <v>12068233</v>
      </c>
      <c r="AT1712" s="781"/>
      <c r="AU1712" s="781"/>
      <c r="AV1712" s="782">
        <v>12062075</v>
      </c>
      <c r="AW1712" s="781"/>
      <c r="AX1712" s="781"/>
      <c r="AY1712" s="782">
        <v>12078867</v>
      </c>
      <c r="AZ1712" s="781"/>
      <c r="BA1712" s="781"/>
    </row>
    <row r="1713" spans="1:53" ht="25.15" hidden="1" customHeight="1">
      <c r="B1713" s="345">
        <v>45633</v>
      </c>
      <c r="C1713" s="346">
        <v>45664</v>
      </c>
      <c r="D1713" s="185">
        <f t="shared" si="561"/>
        <v>2024</v>
      </c>
      <c r="E1713" s="347" t="str">
        <f>VLOOKUP($B1713,Week!$A$1:$C$1462,2,0)</f>
        <v>Week49</v>
      </c>
      <c r="F1713" s="348" t="str">
        <f t="shared" si="562"/>
        <v>Dec</v>
      </c>
      <c r="G1713" s="347" t="s">
        <v>1801</v>
      </c>
      <c r="H1713" s="347" t="s">
        <v>424</v>
      </c>
      <c r="I1713" s="347" t="s">
        <v>2772</v>
      </c>
      <c r="J1713" s="438" t="s">
        <v>425</v>
      </c>
      <c r="K1713" s="350" t="s">
        <v>176</v>
      </c>
      <c r="L1713" s="300" t="s">
        <v>2167</v>
      </c>
      <c r="M1713" s="349" t="s">
        <v>426</v>
      </c>
      <c r="N1713" s="347" t="s">
        <v>427</v>
      </c>
      <c r="O1713" s="347" t="s">
        <v>599</v>
      </c>
      <c r="P1713" s="351">
        <v>36</v>
      </c>
      <c r="Q1713" s="351">
        <v>5</v>
      </c>
      <c r="R1713" s="352">
        <v>7.4999999999999997E-3</v>
      </c>
      <c r="S1713" s="347" t="s">
        <v>111</v>
      </c>
      <c r="T1713" s="347" t="s">
        <v>112</v>
      </c>
      <c r="U1713" s="347" t="s">
        <v>57</v>
      </c>
      <c r="V1713" s="353">
        <v>1288</v>
      </c>
      <c r="W1713" s="353">
        <f>79+1209</f>
        <v>1288</v>
      </c>
      <c r="X1713" s="354"/>
      <c r="Y1713" s="355">
        <f>(W1713+X1713)-V1713</f>
        <v>0</v>
      </c>
      <c r="Z1713" s="356">
        <f>IF(Y1713&lt;0,((V1713*P1713)-((W1713+X1713)*P1713)),0)</f>
        <v>0</v>
      </c>
      <c r="AA1713" s="353"/>
      <c r="AB1713" s="818"/>
      <c r="AC1713" s="353"/>
      <c r="AD1713" s="307" t="s">
        <v>728</v>
      </c>
      <c r="AE1713" s="210"/>
      <c r="AF1713" s="210"/>
      <c r="AG1713" s="211">
        <f>MID(O1713,1,3)/1000</f>
        <v>0.14799999999999999</v>
      </c>
      <c r="AH1713" s="157">
        <f>(Z1713*AG1713)/1000</f>
        <v>0</v>
      </c>
      <c r="AI1713" s="152">
        <f>V1713*P1713</f>
        <v>46368</v>
      </c>
      <c r="AK1713" s="156" t="s">
        <v>691</v>
      </c>
      <c r="AL1713" s="574" t="s">
        <v>690</v>
      </c>
      <c r="AM1713" s="198">
        <f t="shared" si="582"/>
        <v>0</v>
      </c>
      <c r="AN1713" s="199">
        <f t="shared" si="563"/>
        <v>45633</v>
      </c>
      <c r="AO1713" s="159" t="s">
        <v>692</v>
      </c>
      <c r="AP1713" s="783" t="s">
        <v>609</v>
      </c>
      <c r="AQ1713" s="782">
        <v>12071839</v>
      </c>
      <c r="AR1713" s="782">
        <v>12047514</v>
      </c>
      <c r="AS1713" s="782">
        <v>12047515</v>
      </c>
      <c r="AT1713" s="782">
        <v>12062098</v>
      </c>
      <c r="AU1713" s="782"/>
      <c r="AV1713" s="782">
        <v>12062100</v>
      </c>
      <c r="AW1713" s="782">
        <v>12024404</v>
      </c>
      <c r="AX1713" s="781"/>
      <c r="AY1713" s="782">
        <v>12062116</v>
      </c>
      <c r="AZ1713" s="782"/>
      <c r="BA1713" s="781"/>
    </row>
    <row r="1714" spans="1:53" ht="24.75" hidden="1" customHeight="1">
      <c r="A1714" s="529" t="s">
        <v>1789</v>
      </c>
      <c r="B1714" s="295">
        <v>45633</v>
      </c>
      <c r="C1714" s="771" t="s">
        <v>1678</v>
      </c>
      <c r="D1714" s="185">
        <f t="shared" si="561"/>
        <v>2024</v>
      </c>
      <c r="E1714" s="296" t="str">
        <f>VLOOKUP($B1714,Week!$A$1:$C$1462,2,0)</f>
        <v>Week49</v>
      </c>
      <c r="F1714" s="297" t="str">
        <f t="shared" si="562"/>
        <v>Dec</v>
      </c>
      <c r="G1714" s="648" t="s">
        <v>47</v>
      </c>
      <c r="H1714" s="298" t="s">
        <v>260</v>
      </c>
      <c r="I1714" s="298" t="s">
        <v>2702</v>
      </c>
      <c r="J1714" s="307" t="s">
        <v>1788</v>
      </c>
      <c r="K1714" s="300" t="s">
        <v>176</v>
      </c>
      <c r="L1714" s="300" t="s">
        <v>2167</v>
      </c>
      <c r="M1714" s="299" t="s">
        <v>262</v>
      </c>
      <c r="N1714" s="298" t="s">
        <v>350</v>
      </c>
      <c r="O1714" s="298" t="s">
        <v>351</v>
      </c>
      <c r="P1714" s="301">
        <v>24</v>
      </c>
      <c r="Q1714" s="301">
        <v>5</v>
      </c>
      <c r="R1714" s="302">
        <v>6.1999999999999998E-3</v>
      </c>
      <c r="S1714" s="298" t="s">
        <v>352</v>
      </c>
      <c r="T1714" s="298" t="s">
        <v>56</v>
      </c>
      <c r="U1714" s="298" t="s">
        <v>57</v>
      </c>
      <c r="V1714" s="303">
        <f>8334-3707+57</f>
        <v>4684</v>
      </c>
      <c r="W1714" s="303">
        <f>4684</f>
        <v>4684</v>
      </c>
      <c r="X1714" s="304"/>
      <c r="Y1714" s="305">
        <f>(W1714+X1714)-V1714</f>
        <v>0</v>
      </c>
      <c r="Z1714" s="306">
        <f>IF(Y1714&lt;0,((V1714*P1714)-((W1714+X1714)*P1714)),0)</f>
        <v>0</v>
      </c>
      <c r="AA1714" s="306"/>
      <c r="AB1714" s="814"/>
      <c r="AC1714" s="303"/>
      <c r="AD1714" s="307" t="s">
        <v>1789</v>
      </c>
      <c r="AE1714" s="210"/>
      <c r="AF1714" s="210"/>
      <c r="AG1714" s="211">
        <f>MID(O1714,1,3)/1000</f>
        <v>0.13</v>
      </c>
      <c r="AH1714" s="157">
        <f>(Z1714*AG1714)/1000</f>
        <v>0</v>
      </c>
      <c r="AI1714" s="152">
        <f>V1714*P1714</f>
        <v>112416</v>
      </c>
      <c r="AK1714" s="156" t="s">
        <v>691</v>
      </c>
      <c r="AL1714" s="574" t="s">
        <v>690</v>
      </c>
      <c r="AM1714" s="198">
        <f t="shared" si="582"/>
        <v>0</v>
      </c>
      <c r="AN1714" s="199">
        <f t="shared" si="563"/>
        <v>45633</v>
      </c>
      <c r="AO1714" s="159" t="s">
        <v>692</v>
      </c>
      <c r="AP1714" s="783" t="s">
        <v>629</v>
      </c>
      <c r="AQ1714" s="782">
        <v>12071839</v>
      </c>
      <c r="AR1714" s="782">
        <v>12078867</v>
      </c>
      <c r="AS1714" s="782">
        <v>12068233</v>
      </c>
      <c r="AT1714" s="781"/>
      <c r="AU1714" s="781"/>
      <c r="AV1714" s="782">
        <v>12062075</v>
      </c>
      <c r="AW1714" s="781"/>
      <c r="AX1714" s="781"/>
      <c r="AY1714" s="782">
        <v>12078867</v>
      </c>
      <c r="AZ1714" s="781"/>
      <c r="BA1714" s="781"/>
    </row>
    <row r="1715" spans="1:53" ht="25" hidden="1" customHeight="1">
      <c r="B1715" s="183">
        <v>45634</v>
      </c>
      <c r="C1715" s="184"/>
      <c r="D1715" s="185">
        <f t="shared" si="561"/>
        <v>2024</v>
      </c>
      <c r="E1715" s="185" t="str">
        <f>VLOOKUP($B1715,Week!$A$1:$C$1462,2,0)</f>
        <v>Week49</v>
      </c>
      <c r="F1715" s="186" t="str">
        <f t="shared" si="562"/>
        <v>Dec</v>
      </c>
      <c r="G1715" s="185"/>
      <c r="H1715" s="185"/>
      <c r="I1715" s="185"/>
      <c r="J1715" s="187"/>
      <c r="K1715" s="188"/>
      <c r="L1715" s="300"/>
      <c r="M1715" s="187"/>
      <c r="N1715" s="185"/>
      <c r="O1715" s="185"/>
      <c r="P1715" s="189"/>
      <c r="Q1715" s="189"/>
      <c r="R1715" s="190"/>
      <c r="S1715" s="185"/>
      <c r="T1715" s="185"/>
      <c r="U1715" s="185"/>
      <c r="V1715" s="191"/>
      <c r="W1715" s="191"/>
      <c r="X1715" s="192"/>
      <c r="Y1715" s="193"/>
      <c r="Z1715" s="194"/>
      <c r="AA1715" s="194"/>
      <c r="AB1715" s="805"/>
      <c r="AC1715" s="191"/>
      <c r="AD1715" s="187"/>
      <c r="AE1715" s="195"/>
      <c r="AF1715" s="195"/>
      <c r="AG1715" s="196"/>
      <c r="AH1715" s="197"/>
      <c r="AK1715" s="156" t="s">
        <v>691</v>
      </c>
      <c r="AM1715" s="198">
        <f t="shared" si="582"/>
        <v>0</v>
      </c>
      <c r="AN1715" s="199">
        <f t="shared" si="563"/>
        <v>45634</v>
      </c>
      <c r="AO1715" s="159" t="s">
        <v>692</v>
      </c>
      <c r="AP1715" s="781"/>
      <c r="AQ1715" s="782"/>
      <c r="AR1715" s="782"/>
      <c r="AS1715" s="782"/>
      <c r="AT1715" s="782"/>
      <c r="AU1715" s="781"/>
      <c r="AV1715" s="782"/>
      <c r="AW1715" s="782"/>
      <c r="AX1715" s="782"/>
      <c r="AY1715" s="782"/>
      <c r="AZ1715" s="782"/>
      <c r="BA1715" s="781"/>
    </row>
    <row r="1716" spans="1:53" ht="25" hidden="1" customHeight="1">
      <c r="A1716" s="440"/>
      <c r="B1716" s="583">
        <v>45635</v>
      </c>
      <c r="C1716" s="583">
        <v>45665</v>
      </c>
      <c r="D1716" s="185">
        <f t="shared" si="561"/>
        <v>2024</v>
      </c>
      <c r="E1716" s="584" t="str">
        <f>VLOOKUP($B1716,Week!$A$1:$C$1462,2,0)</f>
        <v>Week50</v>
      </c>
      <c r="F1716" s="585" t="str">
        <f t="shared" si="562"/>
        <v>Dec</v>
      </c>
      <c r="G1716" s="586" t="s">
        <v>1717</v>
      </c>
      <c r="H1716" s="586" t="s">
        <v>134</v>
      </c>
      <c r="I1716" s="586" t="s">
        <v>2772</v>
      </c>
      <c r="J1716" s="587" t="s">
        <v>164</v>
      </c>
      <c r="K1716" s="588" t="s">
        <v>707</v>
      </c>
      <c r="L1716" s="300" t="s">
        <v>2167</v>
      </c>
      <c r="M1716" s="587" t="s">
        <v>1636</v>
      </c>
      <c r="N1716" s="586" t="s">
        <v>1634</v>
      </c>
      <c r="O1716" s="586" t="s">
        <v>1635</v>
      </c>
      <c r="P1716" s="589">
        <v>24</v>
      </c>
      <c r="Q1716" s="589">
        <v>3</v>
      </c>
      <c r="R1716" s="590">
        <v>8.0000000000000002E-3</v>
      </c>
      <c r="S1716" s="586" t="s">
        <v>40</v>
      </c>
      <c r="T1716" s="586" t="s">
        <v>112</v>
      </c>
      <c r="U1716" s="591" t="s">
        <v>1633</v>
      </c>
      <c r="V1716" s="592">
        <f>420</f>
        <v>420</v>
      </c>
      <c r="W1716" s="592">
        <f>4+416</f>
        <v>420</v>
      </c>
      <c r="X1716" s="593">
        <f>(92)/24</f>
        <v>3.8333333333333335</v>
      </c>
      <c r="Y1716" s="594">
        <f t="shared" ref="Y1716:Y1733" si="583">(W1716+X1716)-V1716</f>
        <v>3.8333333333333144</v>
      </c>
      <c r="Z1716" s="595">
        <f t="shared" ref="Z1716:Z1733" si="584">IF(Y1716&lt;0,((V1716*P1716)-((W1716+X1716)*P1716)),0)</f>
        <v>0</v>
      </c>
      <c r="AA1716" s="595"/>
      <c r="AB1716" s="835"/>
      <c r="AC1716" s="592"/>
      <c r="AD1716" s="443"/>
      <c r="AE1716" s="210"/>
      <c r="AF1716" s="210"/>
      <c r="AG1716" s="211">
        <f t="shared" ref="AG1716:AG1733" si="585">MID(O1716,1,3)/1000</f>
        <v>0.25</v>
      </c>
      <c r="AH1716" s="157">
        <f t="shared" ref="AH1716:AH1733" si="586">(Z1716*AG1716)/1000</f>
        <v>0</v>
      </c>
      <c r="AI1716" s="152">
        <f t="shared" ref="AI1716:AI1733" si="587">V1716*P1716</f>
        <v>10080</v>
      </c>
      <c r="AK1716" s="156" t="s">
        <v>691</v>
      </c>
      <c r="AL1716" s="212" t="s">
        <v>690</v>
      </c>
      <c r="AM1716" s="198">
        <f t="shared" si="582"/>
        <v>0</v>
      </c>
      <c r="AN1716" s="199">
        <f t="shared" si="563"/>
        <v>45635</v>
      </c>
      <c r="AO1716" s="159" t="s">
        <v>692</v>
      </c>
      <c r="AP1716" s="781"/>
      <c r="AQ1716" s="782">
        <v>12071839</v>
      </c>
      <c r="AR1716" s="782">
        <v>12042650</v>
      </c>
      <c r="AS1716" s="782">
        <v>12042649</v>
      </c>
      <c r="AT1716" s="782"/>
      <c r="AU1716" s="781"/>
      <c r="AV1716" s="782">
        <v>12073316</v>
      </c>
      <c r="AW1716" s="782"/>
      <c r="AX1716" s="782"/>
      <c r="AY1716" s="782">
        <v>12073342</v>
      </c>
      <c r="AZ1716" s="782">
        <v>12073344</v>
      </c>
      <c r="BA1716" s="782">
        <v>12073343</v>
      </c>
    </row>
    <row r="1717" spans="1:53" ht="25" hidden="1" customHeight="1">
      <c r="B1717" s="383">
        <v>45635</v>
      </c>
      <c r="C1717" s="383">
        <v>45645</v>
      </c>
      <c r="D1717" s="185">
        <f t="shared" si="561"/>
        <v>2024</v>
      </c>
      <c r="E1717" s="224" t="str">
        <f>VLOOKUP($B1717,Week!$A$1:$C$1462,2,0)</f>
        <v>Week50</v>
      </c>
      <c r="F1717" s="226" t="str">
        <f t="shared" si="562"/>
        <v>Dec</v>
      </c>
      <c r="G1717" s="225" t="s">
        <v>1621</v>
      </c>
      <c r="H1717" s="225" t="s">
        <v>225</v>
      </c>
      <c r="I1717" s="225" t="s">
        <v>2773</v>
      </c>
      <c r="J1717" s="227" t="s">
        <v>335</v>
      </c>
      <c r="K1717" s="228" t="s">
        <v>176</v>
      </c>
      <c r="L1717" s="300" t="s">
        <v>2167</v>
      </c>
      <c r="M1717" s="227" t="s">
        <v>336</v>
      </c>
      <c r="N1717" s="225" t="s">
        <v>337</v>
      </c>
      <c r="O1717" s="225" t="s">
        <v>179</v>
      </c>
      <c r="P1717" s="229">
        <v>36</v>
      </c>
      <c r="Q1717" s="229">
        <v>5</v>
      </c>
      <c r="R1717" s="230">
        <v>7.4999999999999997E-3</v>
      </c>
      <c r="S1717" s="225" t="s">
        <v>111</v>
      </c>
      <c r="T1717" s="225" t="s">
        <v>112</v>
      </c>
      <c r="U1717" s="225" t="s">
        <v>113</v>
      </c>
      <c r="V1717" s="231">
        <v>1288</v>
      </c>
      <c r="W1717" s="231">
        <v>1288</v>
      </c>
      <c r="X1717" s="232"/>
      <c r="Y1717" s="233">
        <f t="shared" si="583"/>
        <v>0</v>
      </c>
      <c r="Z1717" s="234">
        <f t="shared" si="584"/>
        <v>0</v>
      </c>
      <c r="AA1717" s="234"/>
      <c r="AB1717" s="822"/>
      <c r="AC1717" s="231"/>
      <c r="AD1717" s="307" t="s">
        <v>1622</v>
      </c>
      <c r="AE1717" s="210"/>
      <c r="AF1717" s="210"/>
      <c r="AG1717" s="211">
        <f t="shared" si="585"/>
        <v>0.14499999999999999</v>
      </c>
      <c r="AH1717" s="157">
        <f t="shared" si="586"/>
        <v>0</v>
      </c>
      <c r="AI1717" s="152">
        <f t="shared" si="587"/>
        <v>46368</v>
      </c>
      <c r="AK1717" s="156" t="s">
        <v>691</v>
      </c>
      <c r="AL1717" s="574" t="s">
        <v>690</v>
      </c>
      <c r="AM1717" s="198">
        <f t="shared" si="582"/>
        <v>0</v>
      </c>
      <c r="AN1717" s="199">
        <f t="shared" si="563"/>
        <v>45635</v>
      </c>
      <c r="AO1717" s="159" t="s">
        <v>692</v>
      </c>
      <c r="AP1717" s="783" t="s">
        <v>639</v>
      </c>
      <c r="AQ1717" s="782">
        <v>12071839</v>
      </c>
      <c r="AR1717" s="782">
        <v>12047514</v>
      </c>
      <c r="AS1717" s="782">
        <v>12047515</v>
      </c>
      <c r="AT1717" s="782">
        <v>12054919</v>
      </c>
      <c r="AU1717" s="781"/>
      <c r="AV1717" s="782">
        <v>12054869</v>
      </c>
      <c r="AW1717" s="782">
        <v>12024404</v>
      </c>
      <c r="AX1717" s="781"/>
      <c r="AY1717" s="782">
        <v>12054815</v>
      </c>
      <c r="AZ1717" s="781"/>
      <c r="BA1717" s="781"/>
    </row>
    <row r="1718" spans="1:53" ht="25" hidden="1" customHeight="1">
      <c r="B1718" s="383">
        <v>45635</v>
      </c>
      <c r="C1718" s="383">
        <v>45652</v>
      </c>
      <c r="D1718" s="185">
        <f t="shared" si="561"/>
        <v>2024</v>
      </c>
      <c r="E1718" s="224" t="str">
        <f>VLOOKUP($B1718,Week!$A$1:$C$1462,2,0)</f>
        <v>Week50</v>
      </c>
      <c r="F1718" s="226" t="str">
        <f t="shared" si="562"/>
        <v>Dec</v>
      </c>
      <c r="G1718" s="225" t="s">
        <v>1851</v>
      </c>
      <c r="H1718" s="225" t="s">
        <v>225</v>
      </c>
      <c r="I1718" s="225" t="s">
        <v>2773</v>
      </c>
      <c r="J1718" s="227" t="s">
        <v>335</v>
      </c>
      <c r="K1718" s="228" t="s">
        <v>176</v>
      </c>
      <c r="L1718" s="300" t="s">
        <v>2167</v>
      </c>
      <c r="M1718" s="227" t="s">
        <v>336</v>
      </c>
      <c r="N1718" s="225" t="s">
        <v>337</v>
      </c>
      <c r="O1718" s="225" t="s">
        <v>179</v>
      </c>
      <c r="P1718" s="229">
        <v>36</v>
      </c>
      <c r="Q1718" s="229">
        <v>5</v>
      </c>
      <c r="R1718" s="230">
        <v>7.4999999999999997E-3</v>
      </c>
      <c r="S1718" s="225" t="s">
        <v>111</v>
      </c>
      <c r="T1718" s="225" t="s">
        <v>112</v>
      </c>
      <c r="U1718" s="225" t="s">
        <v>113</v>
      </c>
      <c r="V1718" s="231">
        <v>1288</v>
      </c>
      <c r="W1718" s="231">
        <v>1288</v>
      </c>
      <c r="X1718" s="232"/>
      <c r="Y1718" s="233">
        <f t="shared" si="583"/>
        <v>0</v>
      </c>
      <c r="Z1718" s="234">
        <f t="shared" si="584"/>
        <v>0</v>
      </c>
      <c r="AA1718" s="234"/>
      <c r="AB1718" s="822"/>
      <c r="AC1718" s="231"/>
      <c r="AD1718" s="307" t="s">
        <v>1622</v>
      </c>
      <c r="AE1718" s="210"/>
      <c r="AF1718" s="210"/>
      <c r="AG1718" s="211">
        <f t="shared" si="585"/>
        <v>0.14499999999999999</v>
      </c>
      <c r="AH1718" s="157">
        <f t="shared" si="586"/>
        <v>0</v>
      </c>
      <c r="AI1718" s="152">
        <f t="shared" si="587"/>
        <v>46368</v>
      </c>
      <c r="AK1718" s="156" t="s">
        <v>691</v>
      </c>
      <c r="AL1718" s="574" t="s">
        <v>690</v>
      </c>
      <c r="AM1718" s="198">
        <f t="shared" si="582"/>
        <v>0</v>
      </c>
      <c r="AN1718" s="199">
        <f t="shared" si="563"/>
        <v>45635</v>
      </c>
      <c r="AO1718" s="159" t="s">
        <v>692</v>
      </c>
      <c r="AP1718" s="783" t="s">
        <v>639</v>
      </c>
      <c r="AQ1718" s="782">
        <v>12071839</v>
      </c>
      <c r="AR1718" s="782">
        <v>12047514</v>
      </c>
      <c r="AS1718" s="782">
        <v>12047515</v>
      </c>
      <c r="AT1718" s="782">
        <v>12054919</v>
      </c>
      <c r="AU1718" s="781"/>
      <c r="AV1718" s="782">
        <v>12054869</v>
      </c>
      <c r="AW1718" s="782">
        <v>12024404</v>
      </c>
      <c r="AX1718" s="781"/>
      <c r="AY1718" s="782">
        <v>12054815</v>
      </c>
      <c r="AZ1718" s="781"/>
      <c r="BA1718" s="781"/>
    </row>
    <row r="1719" spans="1:53" ht="25" hidden="1" customHeight="1">
      <c r="B1719" s="383">
        <v>45635</v>
      </c>
      <c r="C1719" s="383">
        <v>45652</v>
      </c>
      <c r="D1719" s="185">
        <f t="shared" si="561"/>
        <v>2024</v>
      </c>
      <c r="E1719" s="224" t="str">
        <f>VLOOKUP($B1719,Week!$A$1:$C$1462,2,0)</f>
        <v>Week50</v>
      </c>
      <c r="F1719" s="226" t="str">
        <f t="shared" si="562"/>
        <v>Dec</v>
      </c>
      <c r="G1719" s="225" t="s">
        <v>1852</v>
      </c>
      <c r="H1719" s="225" t="s">
        <v>225</v>
      </c>
      <c r="I1719" s="225" t="s">
        <v>2773</v>
      </c>
      <c r="J1719" s="227" t="s">
        <v>335</v>
      </c>
      <c r="K1719" s="228" t="s">
        <v>176</v>
      </c>
      <c r="L1719" s="300" t="s">
        <v>2167</v>
      </c>
      <c r="M1719" s="227" t="s">
        <v>336</v>
      </c>
      <c r="N1719" s="225" t="s">
        <v>337</v>
      </c>
      <c r="O1719" s="225" t="s">
        <v>179</v>
      </c>
      <c r="P1719" s="229">
        <v>36</v>
      </c>
      <c r="Q1719" s="229">
        <v>5</v>
      </c>
      <c r="R1719" s="230">
        <v>7.4999999999999997E-3</v>
      </c>
      <c r="S1719" s="225" t="s">
        <v>111</v>
      </c>
      <c r="T1719" s="225" t="s">
        <v>112</v>
      </c>
      <c r="U1719" s="225" t="s">
        <v>113</v>
      </c>
      <c r="V1719" s="231">
        <v>1288</v>
      </c>
      <c r="W1719" s="231">
        <v>1288</v>
      </c>
      <c r="X1719" s="232"/>
      <c r="Y1719" s="233">
        <f t="shared" si="583"/>
        <v>0</v>
      </c>
      <c r="Z1719" s="234">
        <f t="shared" si="584"/>
        <v>0</v>
      </c>
      <c r="AA1719" s="234"/>
      <c r="AB1719" s="822"/>
      <c r="AC1719" s="231"/>
      <c r="AD1719" s="307" t="s">
        <v>1622</v>
      </c>
      <c r="AE1719" s="210"/>
      <c r="AF1719" s="210"/>
      <c r="AG1719" s="211">
        <f t="shared" si="585"/>
        <v>0.14499999999999999</v>
      </c>
      <c r="AH1719" s="157">
        <f t="shared" si="586"/>
        <v>0</v>
      </c>
      <c r="AI1719" s="152">
        <f t="shared" si="587"/>
        <v>46368</v>
      </c>
      <c r="AK1719" s="156" t="s">
        <v>691</v>
      </c>
      <c r="AL1719" s="574" t="s">
        <v>690</v>
      </c>
      <c r="AM1719" s="198">
        <f t="shared" si="582"/>
        <v>0</v>
      </c>
      <c r="AN1719" s="199">
        <f t="shared" si="563"/>
        <v>45635</v>
      </c>
      <c r="AO1719" s="159" t="s">
        <v>692</v>
      </c>
      <c r="AP1719" s="783" t="s">
        <v>639</v>
      </c>
      <c r="AQ1719" s="782">
        <v>12071839</v>
      </c>
      <c r="AR1719" s="782">
        <v>12047514</v>
      </c>
      <c r="AS1719" s="782">
        <v>12047515</v>
      </c>
      <c r="AT1719" s="782">
        <v>12054919</v>
      </c>
      <c r="AU1719" s="781"/>
      <c r="AV1719" s="782">
        <v>12054869</v>
      </c>
      <c r="AW1719" s="782">
        <v>12024404</v>
      </c>
      <c r="AX1719" s="781"/>
      <c r="AY1719" s="782">
        <v>12054815</v>
      </c>
      <c r="AZ1719" s="781"/>
      <c r="BA1719" s="781"/>
    </row>
    <row r="1720" spans="1:53" ht="25.15" hidden="1" customHeight="1">
      <c r="B1720" s="345">
        <v>45636</v>
      </c>
      <c r="C1720" s="346">
        <v>45664</v>
      </c>
      <c r="D1720" s="185">
        <f t="shared" si="561"/>
        <v>2024</v>
      </c>
      <c r="E1720" s="347" t="str">
        <f>VLOOKUP($B1720,Week!$A$1:$C$1462,2,0)</f>
        <v>Week50</v>
      </c>
      <c r="F1720" s="348" t="str">
        <f t="shared" si="562"/>
        <v>Dec</v>
      </c>
      <c r="G1720" s="347" t="s">
        <v>1802</v>
      </c>
      <c r="H1720" s="347" t="s">
        <v>424</v>
      </c>
      <c r="I1720" s="347" t="s">
        <v>2772</v>
      </c>
      <c r="J1720" s="438" t="s">
        <v>425</v>
      </c>
      <c r="K1720" s="350" t="s">
        <v>176</v>
      </c>
      <c r="L1720" s="300" t="s">
        <v>2167</v>
      </c>
      <c r="M1720" s="349" t="s">
        <v>426</v>
      </c>
      <c r="N1720" s="347" t="s">
        <v>427</v>
      </c>
      <c r="O1720" s="347" t="s">
        <v>599</v>
      </c>
      <c r="P1720" s="351">
        <v>36</v>
      </c>
      <c r="Q1720" s="351">
        <v>5</v>
      </c>
      <c r="R1720" s="352">
        <v>7.4999999999999997E-3</v>
      </c>
      <c r="S1720" s="347" t="s">
        <v>111</v>
      </c>
      <c r="T1720" s="347" t="s">
        <v>112</v>
      </c>
      <c r="U1720" s="347" t="s">
        <v>57</v>
      </c>
      <c r="V1720" s="353">
        <v>1288</v>
      </c>
      <c r="W1720" s="353">
        <f>49+1115</f>
        <v>1164</v>
      </c>
      <c r="X1720" s="354">
        <f>(4464)/36</f>
        <v>124</v>
      </c>
      <c r="Y1720" s="355">
        <f t="shared" si="583"/>
        <v>0</v>
      </c>
      <c r="Z1720" s="356">
        <f t="shared" si="584"/>
        <v>0</v>
      </c>
      <c r="AA1720" s="353"/>
      <c r="AB1720" s="818"/>
      <c r="AC1720" s="353"/>
      <c r="AD1720" s="307" t="s">
        <v>728</v>
      </c>
      <c r="AE1720" s="210"/>
      <c r="AF1720" s="210"/>
      <c r="AG1720" s="211">
        <f t="shared" si="585"/>
        <v>0.14799999999999999</v>
      </c>
      <c r="AH1720" s="157">
        <f t="shared" si="586"/>
        <v>0</v>
      </c>
      <c r="AI1720" s="152">
        <f t="shared" si="587"/>
        <v>46368</v>
      </c>
      <c r="AK1720" s="156" t="s">
        <v>691</v>
      </c>
      <c r="AL1720" s="574" t="s">
        <v>690</v>
      </c>
      <c r="AM1720" s="198">
        <f t="shared" si="582"/>
        <v>0</v>
      </c>
      <c r="AN1720" s="199">
        <f t="shared" si="563"/>
        <v>45636</v>
      </c>
      <c r="AO1720" s="159" t="s">
        <v>692</v>
      </c>
      <c r="AP1720" s="783" t="s">
        <v>609</v>
      </c>
      <c r="AQ1720" s="782">
        <v>12071839</v>
      </c>
      <c r="AR1720" s="782">
        <v>12047514</v>
      </c>
      <c r="AS1720" s="782">
        <v>12047515</v>
      </c>
      <c r="AT1720" s="782">
        <v>12062098</v>
      </c>
      <c r="AU1720" s="782"/>
      <c r="AV1720" s="782">
        <v>12062100</v>
      </c>
      <c r="AW1720" s="782">
        <v>12024404</v>
      </c>
      <c r="AX1720" s="781"/>
      <c r="AY1720" s="782">
        <v>12062116</v>
      </c>
      <c r="AZ1720" s="782"/>
      <c r="BA1720" s="781"/>
    </row>
    <row r="1721" spans="1:53" ht="25" hidden="1" customHeight="1">
      <c r="B1721" s="213">
        <v>45636</v>
      </c>
      <c r="C1721" s="578">
        <v>45689</v>
      </c>
      <c r="D1721" s="185">
        <f t="shared" si="561"/>
        <v>2024</v>
      </c>
      <c r="E1721" s="215" t="str">
        <f>VLOOKUP($B1721,Week!$A$1:$C$1462,2,0)</f>
        <v>Week50</v>
      </c>
      <c r="F1721" s="216" t="str">
        <f t="shared" si="562"/>
        <v>Dec</v>
      </c>
      <c r="G1721" s="215" t="s">
        <v>1871</v>
      </c>
      <c r="H1721" s="215" t="s">
        <v>104</v>
      </c>
      <c r="I1721" s="215" t="s">
        <v>2772</v>
      </c>
      <c r="J1721" s="209" t="s">
        <v>105</v>
      </c>
      <c r="K1721" s="217" t="s">
        <v>107</v>
      </c>
      <c r="L1721" s="300" t="s">
        <v>2167</v>
      </c>
      <c r="M1721" s="209" t="s">
        <v>108</v>
      </c>
      <c r="N1721" s="215" t="s">
        <v>109</v>
      </c>
      <c r="O1721" s="215" t="s">
        <v>110</v>
      </c>
      <c r="P1721" s="218">
        <v>36</v>
      </c>
      <c r="Q1721" s="218">
        <v>5</v>
      </c>
      <c r="R1721" s="219">
        <v>7.4999999999999997E-3</v>
      </c>
      <c r="S1721" s="215" t="s">
        <v>111</v>
      </c>
      <c r="T1721" s="215" t="s">
        <v>112</v>
      </c>
      <c r="U1721" s="215" t="s">
        <v>113</v>
      </c>
      <c r="V1721" s="220">
        <f>792-113</f>
        <v>679</v>
      </c>
      <c r="W1721" s="220">
        <v>679</v>
      </c>
      <c r="X1721" s="221"/>
      <c r="Y1721" s="222">
        <f t="shared" si="583"/>
        <v>0</v>
      </c>
      <c r="Z1721" s="223">
        <f t="shared" si="584"/>
        <v>0</v>
      </c>
      <c r="AA1721" s="223"/>
      <c r="AB1721" s="807"/>
      <c r="AC1721" s="220"/>
      <c r="AD1721" s="209"/>
      <c r="AE1721" s="210"/>
      <c r="AF1721" s="210"/>
      <c r="AG1721" s="211">
        <f t="shared" si="585"/>
        <v>0.308</v>
      </c>
      <c r="AH1721" s="157">
        <f t="shared" si="586"/>
        <v>0</v>
      </c>
      <c r="AI1721" s="152">
        <f t="shared" si="587"/>
        <v>24444</v>
      </c>
      <c r="AK1721" s="156" t="s">
        <v>691</v>
      </c>
      <c r="AL1721" s="574" t="s">
        <v>690</v>
      </c>
      <c r="AM1721" s="198">
        <f t="shared" si="582"/>
        <v>0</v>
      </c>
      <c r="AN1721" s="199">
        <f t="shared" si="563"/>
        <v>45636</v>
      </c>
      <c r="AO1721" s="159" t="s">
        <v>692</v>
      </c>
      <c r="AP1721" s="781"/>
      <c r="AQ1721" s="782">
        <v>12063755</v>
      </c>
      <c r="AR1721" s="782">
        <v>12061353</v>
      </c>
      <c r="AS1721" s="782">
        <v>12061354</v>
      </c>
      <c r="AT1721" s="782">
        <v>12068566</v>
      </c>
      <c r="AU1721" s="781"/>
      <c r="AV1721" s="782">
        <v>12088206</v>
      </c>
      <c r="AW1721" s="782">
        <v>12088207</v>
      </c>
      <c r="AX1721" s="782"/>
      <c r="AY1721" s="782">
        <v>12068565</v>
      </c>
      <c r="AZ1721" s="782"/>
      <c r="BA1721" s="781"/>
    </row>
    <row r="1722" spans="1:53" ht="25" hidden="1" customHeight="1">
      <c r="B1722" s="213">
        <v>45636</v>
      </c>
      <c r="C1722" s="578">
        <v>45689</v>
      </c>
      <c r="D1722" s="185">
        <f t="shared" si="561"/>
        <v>2024</v>
      </c>
      <c r="E1722" s="215" t="str">
        <f>VLOOKUP($B1722,Week!$A$1:$C$1462,2,0)</f>
        <v>Week50</v>
      </c>
      <c r="F1722" s="216" t="str">
        <f t="shared" si="562"/>
        <v>Dec</v>
      </c>
      <c r="G1722" s="215" t="s">
        <v>1872</v>
      </c>
      <c r="H1722" s="215" t="s">
        <v>104</v>
      </c>
      <c r="I1722" s="215" t="s">
        <v>2772</v>
      </c>
      <c r="J1722" s="209" t="s">
        <v>105</v>
      </c>
      <c r="K1722" s="217" t="s">
        <v>107</v>
      </c>
      <c r="L1722" s="300" t="s">
        <v>2167</v>
      </c>
      <c r="M1722" s="209" t="s">
        <v>108</v>
      </c>
      <c r="N1722" s="215" t="s">
        <v>109</v>
      </c>
      <c r="O1722" s="215" t="s">
        <v>110</v>
      </c>
      <c r="P1722" s="218">
        <v>36</v>
      </c>
      <c r="Q1722" s="218">
        <v>5</v>
      </c>
      <c r="R1722" s="219">
        <v>7.4999999999999997E-3</v>
      </c>
      <c r="S1722" s="215" t="s">
        <v>111</v>
      </c>
      <c r="T1722" s="215" t="s">
        <v>112</v>
      </c>
      <c r="U1722" s="215" t="s">
        <v>113</v>
      </c>
      <c r="V1722" s="220">
        <v>792</v>
      </c>
      <c r="W1722" s="220">
        <v>792</v>
      </c>
      <c r="X1722" s="221"/>
      <c r="Y1722" s="222">
        <f t="shared" si="583"/>
        <v>0</v>
      </c>
      <c r="Z1722" s="223">
        <f t="shared" si="584"/>
        <v>0</v>
      </c>
      <c r="AA1722" s="223"/>
      <c r="AB1722" s="807"/>
      <c r="AC1722" s="220"/>
      <c r="AD1722" s="209"/>
      <c r="AE1722" s="210"/>
      <c r="AF1722" s="210"/>
      <c r="AG1722" s="211">
        <f t="shared" si="585"/>
        <v>0.308</v>
      </c>
      <c r="AH1722" s="157">
        <f t="shared" si="586"/>
        <v>0</v>
      </c>
      <c r="AI1722" s="152">
        <f t="shared" si="587"/>
        <v>28512</v>
      </c>
      <c r="AK1722" s="156" t="s">
        <v>691</v>
      </c>
      <c r="AL1722" s="574" t="s">
        <v>690</v>
      </c>
      <c r="AM1722" s="198">
        <f t="shared" si="582"/>
        <v>0</v>
      </c>
      <c r="AN1722" s="199">
        <f t="shared" si="563"/>
        <v>45636</v>
      </c>
      <c r="AO1722" s="159" t="s">
        <v>692</v>
      </c>
      <c r="AP1722" s="781"/>
      <c r="AQ1722" s="782">
        <v>12063755</v>
      </c>
      <c r="AR1722" s="782">
        <v>12061353</v>
      </c>
      <c r="AS1722" s="782">
        <v>12061354</v>
      </c>
      <c r="AT1722" s="782">
        <v>12068566</v>
      </c>
      <c r="AU1722" s="781"/>
      <c r="AV1722" s="782">
        <v>12088206</v>
      </c>
      <c r="AW1722" s="782">
        <v>12088207</v>
      </c>
      <c r="AX1722" s="782"/>
      <c r="AY1722" s="782">
        <v>12068565</v>
      </c>
      <c r="AZ1722" s="782"/>
      <c r="BA1722" s="781"/>
    </row>
    <row r="1723" spans="1:53" ht="25" hidden="1" customHeight="1">
      <c r="B1723" s="213">
        <v>45636</v>
      </c>
      <c r="C1723" s="578">
        <v>45692</v>
      </c>
      <c r="D1723" s="185">
        <f t="shared" si="561"/>
        <v>2024</v>
      </c>
      <c r="E1723" s="215" t="str">
        <f>VLOOKUP($B1723,Week!$A$1:$C$1462,2,0)</f>
        <v>Week50</v>
      </c>
      <c r="F1723" s="216" t="str">
        <f t="shared" si="562"/>
        <v>Dec</v>
      </c>
      <c r="G1723" s="215" t="s">
        <v>1867</v>
      </c>
      <c r="H1723" s="215" t="s">
        <v>104</v>
      </c>
      <c r="I1723" s="215" t="s">
        <v>2772</v>
      </c>
      <c r="J1723" s="209" t="s">
        <v>105</v>
      </c>
      <c r="K1723" s="217" t="s">
        <v>107</v>
      </c>
      <c r="L1723" s="300" t="s">
        <v>2167</v>
      </c>
      <c r="M1723" s="209" t="s">
        <v>108</v>
      </c>
      <c r="N1723" s="215" t="s">
        <v>109</v>
      </c>
      <c r="O1723" s="215" t="s">
        <v>110</v>
      </c>
      <c r="P1723" s="218">
        <v>36</v>
      </c>
      <c r="Q1723" s="218">
        <v>5</v>
      </c>
      <c r="R1723" s="219">
        <v>7.4999999999999997E-3</v>
      </c>
      <c r="S1723" s="215" t="s">
        <v>111</v>
      </c>
      <c r="T1723" s="215" t="s">
        <v>112</v>
      </c>
      <c r="U1723" s="215" t="s">
        <v>113</v>
      </c>
      <c r="V1723" s="220">
        <v>792</v>
      </c>
      <c r="W1723" s="220">
        <v>792</v>
      </c>
      <c r="X1723" s="221"/>
      <c r="Y1723" s="222">
        <f t="shared" si="583"/>
        <v>0</v>
      </c>
      <c r="Z1723" s="223">
        <f t="shared" si="584"/>
        <v>0</v>
      </c>
      <c r="AA1723" s="223"/>
      <c r="AB1723" s="807"/>
      <c r="AC1723" s="220"/>
      <c r="AD1723" s="209"/>
      <c r="AE1723" s="210"/>
      <c r="AF1723" s="210"/>
      <c r="AG1723" s="211">
        <f t="shared" si="585"/>
        <v>0.308</v>
      </c>
      <c r="AH1723" s="157">
        <f t="shared" si="586"/>
        <v>0</v>
      </c>
      <c r="AI1723" s="152">
        <f t="shared" si="587"/>
        <v>28512</v>
      </c>
      <c r="AK1723" s="156" t="s">
        <v>691</v>
      </c>
      <c r="AL1723" s="574" t="s">
        <v>690</v>
      </c>
      <c r="AM1723" s="198">
        <f t="shared" si="582"/>
        <v>0</v>
      </c>
      <c r="AN1723" s="199">
        <f t="shared" si="563"/>
        <v>45636</v>
      </c>
      <c r="AO1723" s="159" t="s">
        <v>692</v>
      </c>
      <c r="AP1723" s="781"/>
      <c r="AQ1723" s="782">
        <v>12063755</v>
      </c>
      <c r="AR1723" s="782">
        <v>12061353</v>
      </c>
      <c r="AS1723" s="782">
        <v>12061354</v>
      </c>
      <c r="AT1723" s="782">
        <v>12068566</v>
      </c>
      <c r="AU1723" s="781"/>
      <c r="AV1723" s="782">
        <v>12088206</v>
      </c>
      <c r="AW1723" s="782">
        <v>12088207</v>
      </c>
      <c r="AX1723" s="782"/>
      <c r="AY1723" s="782">
        <v>12068565</v>
      </c>
      <c r="AZ1723" s="782"/>
      <c r="BA1723" s="781"/>
    </row>
    <row r="1724" spans="1:53" ht="25" hidden="1" customHeight="1">
      <c r="B1724" s="213">
        <v>45636</v>
      </c>
      <c r="C1724" s="578">
        <v>45692</v>
      </c>
      <c r="D1724" s="185">
        <f t="shared" si="561"/>
        <v>2024</v>
      </c>
      <c r="E1724" s="215" t="str">
        <f>VLOOKUP($B1724,Week!$A$1:$C$1462,2,0)</f>
        <v>Week50</v>
      </c>
      <c r="F1724" s="216" t="str">
        <f t="shared" si="562"/>
        <v>Dec</v>
      </c>
      <c r="G1724" s="215" t="s">
        <v>1868</v>
      </c>
      <c r="H1724" s="215" t="s">
        <v>104</v>
      </c>
      <c r="I1724" s="215" t="s">
        <v>2772</v>
      </c>
      <c r="J1724" s="209" t="s">
        <v>105</v>
      </c>
      <c r="K1724" s="217" t="s">
        <v>107</v>
      </c>
      <c r="L1724" s="300" t="s">
        <v>2167</v>
      </c>
      <c r="M1724" s="209" t="s">
        <v>108</v>
      </c>
      <c r="N1724" s="215" t="s">
        <v>109</v>
      </c>
      <c r="O1724" s="215" t="s">
        <v>110</v>
      </c>
      <c r="P1724" s="218">
        <v>36</v>
      </c>
      <c r="Q1724" s="218">
        <v>5</v>
      </c>
      <c r="R1724" s="219">
        <v>7.4999999999999997E-3</v>
      </c>
      <c r="S1724" s="215" t="s">
        <v>111</v>
      </c>
      <c r="T1724" s="215" t="s">
        <v>112</v>
      </c>
      <c r="U1724" s="215" t="s">
        <v>113</v>
      </c>
      <c r="V1724" s="220">
        <f>2643-679-792-792+139+5</f>
        <v>524</v>
      </c>
      <c r="W1724" s="220">
        <f>2643-679-792-792+139+5</f>
        <v>524</v>
      </c>
      <c r="X1724" s="221"/>
      <c r="Y1724" s="222">
        <f t="shared" si="583"/>
        <v>0</v>
      </c>
      <c r="Z1724" s="223">
        <f t="shared" si="584"/>
        <v>0</v>
      </c>
      <c r="AA1724" s="223"/>
      <c r="AB1724" s="807"/>
      <c r="AC1724" s="220"/>
      <c r="AD1724" s="209"/>
      <c r="AE1724" s="210"/>
      <c r="AF1724" s="210"/>
      <c r="AG1724" s="211">
        <f t="shared" si="585"/>
        <v>0.308</v>
      </c>
      <c r="AH1724" s="157">
        <f t="shared" si="586"/>
        <v>0</v>
      </c>
      <c r="AI1724" s="152">
        <f t="shared" si="587"/>
        <v>18864</v>
      </c>
      <c r="AK1724" s="156" t="s">
        <v>691</v>
      </c>
      <c r="AL1724" s="574" t="s">
        <v>690</v>
      </c>
      <c r="AM1724" s="198">
        <f t="shared" si="582"/>
        <v>0</v>
      </c>
      <c r="AN1724" s="199">
        <f t="shared" si="563"/>
        <v>45636</v>
      </c>
      <c r="AO1724" s="159" t="s">
        <v>692</v>
      </c>
      <c r="AP1724" s="781"/>
      <c r="AQ1724" s="782">
        <v>12063755</v>
      </c>
      <c r="AR1724" s="782">
        <v>12061353</v>
      </c>
      <c r="AS1724" s="782">
        <v>12061354</v>
      </c>
      <c r="AT1724" s="782">
        <v>12068566</v>
      </c>
      <c r="AU1724" s="781"/>
      <c r="AV1724" s="782">
        <v>12088206</v>
      </c>
      <c r="AW1724" s="782">
        <v>12088207</v>
      </c>
      <c r="AX1724" s="782"/>
      <c r="AY1724" s="782">
        <v>12068565</v>
      </c>
      <c r="AZ1724" s="782"/>
      <c r="BA1724" s="781"/>
    </row>
    <row r="1725" spans="1:53" ht="24.75" hidden="1" customHeight="1">
      <c r="A1725" s="529" t="s">
        <v>1882</v>
      </c>
      <c r="B1725" s="295">
        <v>45637</v>
      </c>
      <c r="C1725" s="771" t="s">
        <v>1678</v>
      </c>
      <c r="D1725" s="185">
        <f t="shared" si="561"/>
        <v>2024</v>
      </c>
      <c r="E1725" s="296" t="str">
        <f>VLOOKUP($B1725,Week!$A$1:$C$1462,2,0)</f>
        <v>Week50</v>
      </c>
      <c r="F1725" s="297" t="str">
        <f t="shared" si="562"/>
        <v>Dec</v>
      </c>
      <c r="G1725" s="648" t="s">
        <v>47</v>
      </c>
      <c r="H1725" s="298" t="s">
        <v>260</v>
      </c>
      <c r="I1725" s="298" t="s">
        <v>2702</v>
      </c>
      <c r="J1725" s="307" t="s">
        <v>904</v>
      </c>
      <c r="K1725" s="300" t="s">
        <v>176</v>
      </c>
      <c r="L1725" s="300" t="s">
        <v>2167</v>
      </c>
      <c r="M1725" s="299" t="s">
        <v>262</v>
      </c>
      <c r="N1725" s="298" t="s">
        <v>350</v>
      </c>
      <c r="O1725" s="298" t="s">
        <v>351</v>
      </c>
      <c r="P1725" s="301">
        <v>24</v>
      </c>
      <c r="Q1725" s="301">
        <v>5</v>
      </c>
      <c r="R1725" s="302">
        <v>6.1999999999999998E-3</v>
      </c>
      <c r="S1725" s="298" t="s">
        <v>352</v>
      </c>
      <c r="T1725" s="298" t="s">
        <v>56</v>
      </c>
      <c r="U1725" s="298" t="s">
        <v>57</v>
      </c>
      <c r="V1725" s="303">
        <f>3750</f>
        <v>3750</v>
      </c>
      <c r="W1725" s="303">
        <v>3750</v>
      </c>
      <c r="X1725" s="304"/>
      <c r="Y1725" s="305">
        <f t="shared" si="583"/>
        <v>0</v>
      </c>
      <c r="Z1725" s="306">
        <f t="shared" si="584"/>
        <v>0</v>
      </c>
      <c r="AA1725" s="306"/>
      <c r="AB1725" s="814"/>
      <c r="AC1725" s="303"/>
      <c r="AD1725" s="381"/>
      <c r="AE1725" s="210"/>
      <c r="AF1725" s="210"/>
      <c r="AG1725" s="211">
        <f t="shared" si="585"/>
        <v>0.13</v>
      </c>
      <c r="AH1725" s="157">
        <f t="shared" si="586"/>
        <v>0</v>
      </c>
      <c r="AI1725" s="152">
        <f t="shared" si="587"/>
        <v>90000</v>
      </c>
      <c r="AK1725" s="156" t="s">
        <v>691</v>
      </c>
      <c r="AL1725" s="574" t="s">
        <v>690</v>
      </c>
      <c r="AM1725" s="198">
        <f t="shared" si="582"/>
        <v>0</v>
      </c>
      <c r="AN1725" s="199">
        <f t="shared" si="563"/>
        <v>45637</v>
      </c>
      <c r="AO1725" s="159" t="s">
        <v>692</v>
      </c>
      <c r="AP1725" s="783" t="s">
        <v>629</v>
      </c>
      <c r="AQ1725" s="782">
        <v>12071839</v>
      </c>
      <c r="AR1725" s="782">
        <v>12078867</v>
      </c>
      <c r="AS1725" s="782">
        <v>12068233</v>
      </c>
      <c r="AT1725" s="781"/>
      <c r="AU1725" s="781"/>
      <c r="AV1725" s="782">
        <v>12062075</v>
      </c>
      <c r="AW1725" s="781"/>
      <c r="AX1725" s="781"/>
      <c r="AY1725" s="782">
        <v>12078867</v>
      </c>
      <c r="AZ1725" s="781"/>
      <c r="BA1725" s="781"/>
    </row>
    <row r="1726" spans="1:53" ht="24.75" hidden="1" customHeight="1">
      <c r="A1726" s="529" t="s">
        <v>1882</v>
      </c>
      <c r="B1726" s="295">
        <v>45637</v>
      </c>
      <c r="C1726" s="771" t="s">
        <v>1874</v>
      </c>
      <c r="D1726" s="185">
        <f t="shared" si="561"/>
        <v>2024</v>
      </c>
      <c r="E1726" s="296" t="str">
        <f>VLOOKUP($B1726,Week!$A$1:$C$1462,2,0)</f>
        <v>Week50</v>
      </c>
      <c r="F1726" s="297" t="str">
        <f t="shared" si="562"/>
        <v>Dec</v>
      </c>
      <c r="G1726" s="648" t="s">
        <v>47</v>
      </c>
      <c r="H1726" s="298" t="s">
        <v>260</v>
      </c>
      <c r="I1726" s="298" t="s">
        <v>2702</v>
      </c>
      <c r="J1726" s="307" t="s">
        <v>904</v>
      </c>
      <c r="K1726" s="300" t="s">
        <v>176</v>
      </c>
      <c r="L1726" s="300" t="s">
        <v>2167</v>
      </c>
      <c r="M1726" s="299" t="s">
        <v>262</v>
      </c>
      <c r="N1726" s="298" t="s">
        <v>350</v>
      </c>
      <c r="O1726" s="298" t="s">
        <v>351</v>
      </c>
      <c r="P1726" s="301">
        <v>24</v>
      </c>
      <c r="Q1726" s="301">
        <v>5</v>
      </c>
      <c r="R1726" s="302">
        <v>6.1999999999999998E-3</v>
      </c>
      <c r="S1726" s="298" t="s">
        <v>352</v>
      </c>
      <c r="T1726" s="298" t="s">
        <v>56</v>
      </c>
      <c r="U1726" s="298" t="s">
        <v>57</v>
      </c>
      <c r="V1726" s="303">
        <v>1736</v>
      </c>
      <c r="W1726" s="303">
        <f>5486-3750</f>
        <v>1736</v>
      </c>
      <c r="X1726" s="304"/>
      <c r="Y1726" s="305">
        <f t="shared" si="583"/>
        <v>0</v>
      </c>
      <c r="Z1726" s="306">
        <f t="shared" si="584"/>
        <v>0</v>
      </c>
      <c r="AA1726" s="306"/>
      <c r="AB1726" s="814"/>
      <c r="AC1726" s="303"/>
      <c r="AD1726" s="381"/>
      <c r="AE1726" s="210"/>
      <c r="AF1726" s="210"/>
      <c r="AG1726" s="211">
        <f t="shared" si="585"/>
        <v>0.13</v>
      </c>
      <c r="AH1726" s="157">
        <f t="shared" si="586"/>
        <v>0</v>
      </c>
      <c r="AI1726" s="152">
        <f t="shared" si="587"/>
        <v>41664</v>
      </c>
      <c r="AK1726" s="156" t="s">
        <v>691</v>
      </c>
      <c r="AL1726" s="574" t="s">
        <v>690</v>
      </c>
      <c r="AM1726" s="198">
        <f t="shared" si="582"/>
        <v>0</v>
      </c>
      <c r="AN1726" s="199">
        <f t="shared" si="563"/>
        <v>45637</v>
      </c>
      <c r="AO1726" s="159" t="s">
        <v>692</v>
      </c>
      <c r="AP1726" s="783" t="s">
        <v>629</v>
      </c>
      <c r="AQ1726" s="782">
        <v>12071839</v>
      </c>
      <c r="AR1726" s="782">
        <v>12078867</v>
      </c>
      <c r="AS1726" s="782">
        <v>12068233</v>
      </c>
      <c r="AT1726" s="781"/>
      <c r="AU1726" s="781"/>
      <c r="AV1726" s="782">
        <v>12062075</v>
      </c>
      <c r="AW1726" s="781"/>
      <c r="AX1726" s="781"/>
      <c r="AY1726" s="782">
        <v>12078867</v>
      </c>
      <c r="AZ1726" s="781"/>
      <c r="BA1726" s="781"/>
    </row>
    <row r="1727" spans="1:53" ht="25" hidden="1" customHeight="1">
      <c r="B1727" s="213">
        <v>45637</v>
      </c>
      <c r="C1727" s="214">
        <v>45665</v>
      </c>
      <c r="D1727" s="185">
        <f t="shared" si="561"/>
        <v>2024</v>
      </c>
      <c r="E1727" s="215" t="str">
        <f>VLOOKUP($B1727,Week!$A$1:$C$1462,2,0)</f>
        <v>Week50</v>
      </c>
      <c r="F1727" s="216" t="str">
        <f t="shared" si="562"/>
        <v>Dec</v>
      </c>
      <c r="G1727" s="215" t="s">
        <v>1722</v>
      </c>
      <c r="H1727" s="215" t="s">
        <v>134</v>
      </c>
      <c r="I1727" s="215" t="s">
        <v>2772</v>
      </c>
      <c r="J1727" s="209" t="s">
        <v>164</v>
      </c>
      <c r="K1727" s="217" t="s">
        <v>176</v>
      </c>
      <c r="L1727" s="300" t="s">
        <v>2167</v>
      </c>
      <c r="M1727" s="209" t="s">
        <v>193</v>
      </c>
      <c r="N1727" s="215" t="s">
        <v>194</v>
      </c>
      <c r="O1727" s="215" t="s">
        <v>195</v>
      </c>
      <c r="P1727" s="218">
        <v>24</v>
      </c>
      <c r="Q1727" s="218">
        <v>5</v>
      </c>
      <c r="R1727" s="219">
        <v>8.0000000000000002E-3</v>
      </c>
      <c r="S1727" s="215" t="s">
        <v>40</v>
      </c>
      <c r="T1727" s="215" t="s">
        <v>56</v>
      </c>
      <c r="U1727" s="215" t="s">
        <v>57</v>
      </c>
      <c r="V1727" s="220">
        <f>500</f>
        <v>500</v>
      </c>
      <c r="W1727" s="220">
        <f>15+485</f>
        <v>500</v>
      </c>
      <c r="X1727" s="221">
        <f>(628)/24</f>
        <v>26.166666666666668</v>
      </c>
      <c r="Y1727" s="222">
        <f t="shared" si="583"/>
        <v>26.166666666666629</v>
      </c>
      <c r="Z1727" s="223">
        <f t="shared" si="584"/>
        <v>0</v>
      </c>
      <c r="AA1727" s="220"/>
      <c r="AB1727" s="807"/>
      <c r="AC1727" s="220"/>
      <c r="AD1727" s="381"/>
      <c r="AE1727" s="220"/>
      <c r="AF1727" s="220"/>
      <c r="AG1727" s="211">
        <f t="shared" si="585"/>
        <v>0.14499999999999999</v>
      </c>
      <c r="AH1727" s="157">
        <f t="shared" si="586"/>
        <v>0</v>
      </c>
      <c r="AI1727" s="152">
        <f t="shared" si="587"/>
        <v>12000</v>
      </c>
      <c r="AK1727" s="156" t="s">
        <v>691</v>
      </c>
      <c r="AL1727" s="212" t="s">
        <v>690</v>
      </c>
      <c r="AM1727" s="198">
        <f t="shared" si="582"/>
        <v>0</v>
      </c>
      <c r="AN1727" s="199">
        <f t="shared" si="563"/>
        <v>45637</v>
      </c>
      <c r="AO1727" s="159" t="s">
        <v>692</v>
      </c>
      <c r="AP1727" s="783" t="s">
        <v>610</v>
      </c>
      <c r="AQ1727" s="782">
        <v>12071839</v>
      </c>
      <c r="AR1727" s="782">
        <v>12047514</v>
      </c>
      <c r="AS1727" s="782">
        <v>12047515</v>
      </c>
      <c r="AT1727" s="782"/>
      <c r="AU1727" s="782">
        <v>12026902</v>
      </c>
      <c r="AV1727" s="782">
        <v>12054724</v>
      </c>
      <c r="AW1727" s="782">
        <v>12026904</v>
      </c>
      <c r="AX1727" s="782"/>
      <c r="AY1727" s="782">
        <v>12054436</v>
      </c>
      <c r="AZ1727" s="782">
        <v>12054433</v>
      </c>
      <c r="BA1727" s="782">
        <v>12054434</v>
      </c>
    </row>
    <row r="1728" spans="1:53" ht="25" hidden="1" customHeight="1">
      <c r="B1728" s="357">
        <v>45638</v>
      </c>
      <c r="C1728" s="358">
        <v>45660</v>
      </c>
      <c r="D1728" s="185">
        <f t="shared" si="561"/>
        <v>2024</v>
      </c>
      <c r="E1728" s="358" t="str">
        <f>VLOOKUP($B1728,Week!$A$1:$C$1462,2,0)</f>
        <v>Week50</v>
      </c>
      <c r="F1728" s="360" t="str">
        <f t="shared" si="562"/>
        <v>Dec</v>
      </c>
      <c r="G1728" s="436" t="s">
        <v>1794</v>
      </c>
      <c r="H1728" s="359" t="s">
        <v>225</v>
      </c>
      <c r="I1728" s="359" t="s">
        <v>2773</v>
      </c>
      <c r="J1728" s="361" t="s">
        <v>650</v>
      </c>
      <c r="K1728" s="362" t="s">
        <v>593</v>
      </c>
      <c r="L1728" s="300" t="s">
        <v>2167</v>
      </c>
      <c r="M1728" s="361" t="s">
        <v>717</v>
      </c>
      <c r="N1728" s="359" t="s">
        <v>719</v>
      </c>
      <c r="O1728" s="359" t="s">
        <v>230</v>
      </c>
      <c r="P1728" s="363">
        <v>12</v>
      </c>
      <c r="Q1728" s="363">
        <v>5</v>
      </c>
      <c r="R1728" s="364">
        <v>6.0000000000000001E-3</v>
      </c>
      <c r="S1728" s="359" t="s">
        <v>55</v>
      </c>
      <c r="T1728" s="359" t="s">
        <v>112</v>
      </c>
      <c r="U1728" s="359" t="s">
        <v>57</v>
      </c>
      <c r="V1728" s="365">
        <v>2600</v>
      </c>
      <c r="W1728" s="365"/>
      <c r="X1728" s="366">
        <f>(402+30798)/12</f>
        <v>2600</v>
      </c>
      <c r="Y1728" s="367">
        <f t="shared" si="583"/>
        <v>0</v>
      </c>
      <c r="Z1728" s="368">
        <f t="shared" si="584"/>
        <v>0</v>
      </c>
      <c r="AA1728" s="368"/>
      <c r="AB1728" s="819"/>
      <c r="AC1728" s="365"/>
      <c r="AD1728" s="307" t="s">
        <v>1622</v>
      </c>
      <c r="AE1728" s="210"/>
      <c r="AF1728" s="210"/>
      <c r="AG1728" s="211">
        <f t="shared" si="585"/>
        <v>0.25800000000000001</v>
      </c>
      <c r="AH1728" s="157">
        <f t="shared" si="586"/>
        <v>0</v>
      </c>
      <c r="AI1728" s="152">
        <f t="shared" si="587"/>
        <v>31200</v>
      </c>
      <c r="AK1728" s="156" t="s">
        <v>691</v>
      </c>
      <c r="AL1728" s="574" t="s">
        <v>690</v>
      </c>
      <c r="AM1728" s="198">
        <f t="shared" si="582"/>
        <v>0</v>
      </c>
      <c r="AN1728" s="199">
        <f t="shared" si="563"/>
        <v>45638</v>
      </c>
      <c r="AO1728" s="159" t="s">
        <v>692</v>
      </c>
      <c r="AP1728" s="783" t="s">
        <v>612</v>
      </c>
      <c r="AQ1728" s="782">
        <v>12071839</v>
      </c>
      <c r="AR1728" s="782">
        <v>12042650</v>
      </c>
      <c r="AS1728" s="782">
        <v>12042649</v>
      </c>
      <c r="AT1728" s="782">
        <v>12088423</v>
      </c>
      <c r="AU1728" s="781"/>
      <c r="AV1728" s="782">
        <v>12088422</v>
      </c>
      <c r="AW1728" s="782"/>
      <c r="AX1728" s="782"/>
      <c r="AY1728" s="782"/>
      <c r="AZ1728" s="782"/>
      <c r="BA1728" s="781"/>
    </row>
    <row r="1729" spans="1:53" ht="25" hidden="1" customHeight="1">
      <c r="B1729" s="357">
        <v>45638</v>
      </c>
      <c r="C1729" s="358">
        <v>45685</v>
      </c>
      <c r="D1729" s="185">
        <f t="shared" si="561"/>
        <v>2024</v>
      </c>
      <c r="E1729" s="358" t="str">
        <f>VLOOKUP($B1729,Week!$A$1:$C$1462,2,0)</f>
        <v>Week50</v>
      </c>
      <c r="F1729" s="360" t="str">
        <f t="shared" si="562"/>
        <v>Dec</v>
      </c>
      <c r="G1729" s="436" t="s">
        <v>1906</v>
      </c>
      <c r="H1729" s="359" t="s">
        <v>225</v>
      </c>
      <c r="I1729" s="359" t="s">
        <v>2773</v>
      </c>
      <c r="J1729" s="361" t="s">
        <v>650</v>
      </c>
      <c r="K1729" s="362" t="s">
        <v>593</v>
      </c>
      <c r="L1729" s="300" t="s">
        <v>2167</v>
      </c>
      <c r="M1729" s="361" t="s">
        <v>717</v>
      </c>
      <c r="N1729" s="359" t="s">
        <v>719</v>
      </c>
      <c r="O1729" s="359" t="s">
        <v>230</v>
      </c>
      <c r="P1729" s="363">
        <v>12</v>
      </c>
      <c r="Q1729" s="363">
        <v>5</v>
      </c>
      <c r="R1729" s="364">
        <v>6.0000000000000001E-3</v>
      </c>
      <c r="S1729" s="359" t="s">
        <v>55</v>
      </c>
      <c r="T1729" s="359" t="s">
        <v>112</v>
      </c>
      <c r="U1729" s="359" t="s">
        <v>57</v>
      </c>
      <c r="V1729" s="365">
        <v>2600</v>
      </c>
      <c r="W1729" s="365"/>
      <c r="X1729" s="366">
        <f>(31748)/12</f>
        <v>2645.6666666666665</v>
      </c>
      <c r="Y1729" s="367">
        <f t="shared" si="583"/>
        <v>45.666666666666515</v>
      </c>
      <c r="Z1729" s="368">
        <f t="shared" si="584"/>
        <v>0</v>
      </c>
      <c r="AA1729" s="368"/>
      <c r="AB1729" s="819"/>
      <c r="AC1729" s="365"/>
      <c r="AD1729" s="307" t="s">
        <v>1622</v>
      </c>
      <c r="AE1729" s="210"/>
      <c r="AF1729" s="210"/>
      <c r="AG1729" s="211">
        <f t="shared" si="585"/>
        <v>0.25800000000000001</v>
      </c>
      <c r="AH1729" s="157">
        <f t="shared" si="586"/>
        <v>0</v>
      </c>
      <c r="AI1729" s="152">
        <f t="shared" si="587"/>
        <v>31200</v>
      </c>
      <c r="AK1729" s="156" t="s">
        <v>691</v>
      </c>
      <c r="AL1729" s="574" t="s">
        <v>690</v>
      </c>
      <c r="AM1729" s="198">
        <f t="shared" si="582"/>
        <v>0</v>
      </c>
      <c r="AN1729" s="199">
        <f t="shared" si="563"/>
        <v>45638</v>
      </c>
      <c r="AO1729" s="159" t="s">
        <v>692</v>
      </c>
      <c r="AP1729" s="783" t="s">
        <v>612</v>
      </c>
      <c r="AQ1729" s="782">
        <v>12071839</v>
      </c>
      <c r="AR1729" s="782">
        <v>12042650</v>
      </c>
      <c r="AS1729" s="782">
        <v>12042649</v>
      </c>
      <c r="AT1729" s="782">
        <v>12088423</v>
      </c>
      <c r="AU1729" s="781"/>
      <c r="AV1729" s="782">
        <v>12088422</v>
      </c>
      <c r="AW1729" s="782"/>
      <c r="AX1729" s="782"/>
      <c r="AY1729" s="782"/>
      <c r="AZ1729" s="782"/>
      <c r="BA1729" s="781"/>
    </row>
    <row r="1730" spans="1:53" ht="25" hidden="1" customHeight="1">
      <c r="B1730" s="345">
        <v>45638</v>
      </c>
      <c r="C1730" s="464">
        <v>45665</v>
      </c>
      <c r="D1730" s="185">
        <f t="shared" si="561"/>
        <v>2024</v>
      </c>
      <c r="E1730" s="464" t="str">
        <f>VLOOKUP($B1730,Week!$A$1:$C$1462,2,0)</f>
        <v>Week50</v>
      </c>
      <c r="F1730" s="465" t="str">
        <f t="shared" si="562"/>
        <v>Dec</v>
      </c>
      <c r="G1730" s="347" t="s">
        <v>1722</v>
      </c>
      <c r="H1730" s="347" t="s">
        <v>134</v>
      </c>
      <c r="I1730" s="347" t="s">
        <v>2772</v>
      </c>
      <c r="J1730" s="349" t="s">
        <v>135</v>
      </c>
      <c r="K1730" s="350" t="s">
        <v>107</v>
      </c>
      <c r="L1730" s="300" t="s">
        <v>2167</v>
      </c>
      <c r="M1730" s="349" t="s">
        <v>136</v>
      </c>
      <c r="N1730" s="347" t="s">
        <v>137</v>
      </c>
      <c r="O1730" s="347" t="s">
        <v>138</v>
      </c>
      <c r="P1730" s="351">
        <v>24</v>
      </c>
      <c r="Q1730" s="351">
        <v>3</v>
      </c>
      <c r="R1730" s="352">
        <v>7.4999999999999997E-3</v>
      </c>
      <c r="S1730" s="347" t="s">
        <v>111</v>
      </c>
      <c r="T1730" s="347" t="s">
        <v>56</v>
      </c>
      <c r="U1730" s="347" t="s">
        <v>572</v>
      </c>
      <c r="V1730" s="353">
        <f>500</f>
        <v>500</v>
      </c>
      <c r="W1730" s="353">
        <f>8+492</f>
        <v>500</v>
      </c>
      <c r="X1730" s="354">
        <f>(181)/24</f>
        <v>7.541666666666667</v>
      </c>
      <c r="Y1730" s="355">
        <f t="shared" si="583"/>
        <v>7.5416666666666856</v>
      </c>
      <c r="Z1730" s="356">
        <f t="shared" si="584"/>
        <v>0</v>
      </c>
      <c r="AA1730" s="356"/>
      <c r="AB1730" s="818"/>
      <c r="AC1730" s="353"/>
      <c r="AD1730" s="443"/>
      <c r="AE1730" s="210"/>
      <c r="AF1730" s="210"/>
      <c r="AG1730" s="211">
        <f t="shared" si="585"/>
        <v>0.219</v>
      </c>
      <c r="AH1730" s="157">
        <f t="shared" si="586"/>
        <v>0</v>
      </c>
      <c r="AI1730" s="152">
        <f t="shared" si="587"/>
        <v>12000</v>
      </c>
      <c r="AK1730" s="156" t="s">
        <v>691</v>
      </c>
      <c r="AL1730" s="212" t="s">
        <v>690</v>
      </c>
      <c r="AM1730" s="198">
        <f t="shared" si="582"/>
        <v>0</v>
      </c>
      <c r="AN1730" s="199">
        <f t="shared" si="563"/>
        <v>45638</v>
      </c>
      <c r="AO1730" s="159" t="s">
        <v>692</v>
      </c>
      <c r="AP1730" s="783" t="s">
        <v>610</v>
      </c>
      <c r="AQ1730" s="796" t="s">
        <v>1500</v>
      </c>
      <c r="AR1730" s="782" t="s">
        <v>140</v>
      </c>
      <c r="AS1730" s="782" t="s">
        <v>141</v>
      </c>
      <c r="AT1730" s="782"/>
      <c r="AU1730" s="783" t="s">
        <v>568</v>
      </c>
      <c r="AV1730" s="796" t="s">
        <v>569</v>
      </c>
      <c r="AW1730" s="796" t="s">
        <v>570</v>
      </c>
      <c r="AX1730" s="782"/>
      <c r="AY1730" s="782">
        <v>12061259</v>
      </c>
      <c r="AZ1730" s="782">
        <v>12064123</v>
      </c>
      <c r="BA1730" s="782">
        <v>12064127</v>
      </c>
    </row>
    <row r="1731" spans="1:53" ht="24.65" hidden="1" customHeight="1">
      <c r="A1731" s="142" t="s">
        <v>120</v>
      </c>
      <c r="B1731" s="383">
        <v>45639</v>
      </c>
      <c r="C1731" s="224">
        <v>45652</v>
      </c>
      <c r="D1731" s="185">
        <f t="shared" si="561"/>
        <v>2024</v>
      </c>
      <c r="E1731" s="224" t="str">
        <f>VLOOKUP($B1731,Week!$A$1:$C$1462,2,0)</f>
        <v>Week50</v>
      </c>
      <c r="F1731" s="226" t="str">
        <f t="shared" si="562"/>
        <v>Dec</v>
      </c>
      <c r="G1731" s="225" t="s">
        <v>1853</v>
      </c>
      <c r="H1731" s="225" t="s">
        <v>1259</v>
      </c>
      <c r="I1731" s="225" t="s">
        <v>2772</v>
      </c>
      <c r="J1731" s="227" t="s">
        <v>512</v>
      </c>
      <c r="K1731" s="228" t="s">
        <v>85</v>
      </c>
      <c r="L1731" s="390" t="s">
        <v>2166</v>
      </c>
      <c r="M1731" s="227" t="s">
        <v>165</v>
      </c>
      <c r="N1731" s="225" t="s">
        <v>700</v>
      </c>
      <c r="O1731" s="225" t="s">
        <v>287</v>
      </c>
      <c r="P1731" s="229">
        <v>40</v>
      </c>
      <c r="Q1731" s="229">
        <v>12</v>
      </c>
      <c r="R1731" s="230">
        <v>8.1300000000000001E-3</v>
      </c>
      <c r="S1731" s="225" t="s">
        <v>40</v>
      </c>
      <c r="T1731" s="225" t="s">
        <v>112</v>
      </c>
      <c r="U1731" s="225" t="s">
        <v>89</v>
      </c>
      <c r="V1731" s="231">
        <v>1282</v>
      </c>
      <c r="W1731" s="231">
        <f>1086</f>
        <v>1086</v>
      </c>
      <c r="X1731" s="232">
        <f>7840/40</f>
        <v>196</v>
      </c>
      <c r="Y1731" s="233">
        <f t="shared" si="583"/>
        <v>0</v>
      </c>
      <c r="Z1731" s="234">
        <f t="shared" si="584"/>
        <v>0</v>
      </c>
      <c r="AA1731" s="234">
        <f>Q1731*Z1731</f>
        <v>0</v>
      </c>
      <c r="AB1731" s="822">
        <v>2</v>
      </c>
      <c r="AC1731" s="231">
        <f>Z1731*AB1731</f>
        <v>0</v>
      </c>
      <c r="AD1731" s="307" t="s">
        <v>729</v>
      </c>
      <c r="AE1731" s="210"/>
      <c r="AF1731" s="210"/>
      <c r="AG1731" s="211">
        <f t="shared" si="585"/>
        <v>0.154</v>
      </c>
      <c r="AH1731" s="157">
        <f t="shared" si="586"/>
        <v>0</v>
      </c>
      <c r="AI1731" s="152">
        <f t="shared" si="587"/>
        <v>51280</v>
      </c>
      <c r="AK1731" s="156" t="s">
        <v>691</v>
      </c>
      <c r="AL1731" s="156" t="s">
        <v>689</v>
      </c>
      <c r="AM1731" s="198">
        <f t="shared" si="582"/>
        <v>0</v>
      </c>
      <c r="AN1731" s="199">
        <f t="shared" si="563"/>
        <v>45639</v>
      </c>
      <c r="AO1731" s="159" t="s">
        <v>692</v>
      </c>
      <c r="AP1731" s="781"/>
      <c r="AQ1731" s="782">
        <v>12028328</v>
      </c>
      <c r="AR1731" s="782">
        <v>12019692</v>
      </c>
      <c r="AS1731" s="782"/>
      <c r="AT1731" s="782">
        <v>12056457</v>
      </c>
      <c r="AU1731" s="782"/>
      <c r="AV1731" s="782">
        <v>12056565</v>
      </c>
      <c r="AW1731" s="782">
        <v>12034747</v>
      </c>
      <c r="AX1731" s="782" t="s">
        <v>398</v>
      </c>
      <c r="AY1731" s="782" t="s">
        <v>513</v>
      </c>
      <c r="AZ1731" s="782"/>
      <c r="BA1731" s="781"/>
    </row>
    <row r="1732" spans="1:53" ht="24.65" hidden="1" customHeight="1">
      <c r="A1732" s="142" t="s">
        <v>120</v>
      </c>
      <c r="B1732" s="383">
        <v>45640</v>
      </c>
      <c r="C1732" s="224">
        <v>45652</v>
      </c>
      <c r="D1732" s="185">
        <f t="shared" si="561"/>
        <v>2024</v>
      </c>
      <c r="E1732" s="224" t="str">
        <f>VLOOKUP($B1732,Week!$A$1:$C$1462,2,0)</f>
        <v>Week50</v>
      </c>
      <c r="F1732" s="226" t="str">
        <f t="shared" si="562"/>
        <v>Dec</v>
      </c>
      <c r="G1732" s="225" t="s">
        <v>1853</v>
      </c>
      <c r="H1732" s="225" t="s">
        <v>1259</v>
      </c>
      <c r="I1732" s="225" t="s">
        <v>2772</v>
      </c>
      <c r="J1732" s="227" t="s">
        <v>512</v>
      </c>
      <c r="K1732" s="228" t="s">
        <v>85</v>
      </c>
      <c r="L1732" s="390" t="s">
        <v>2166</v>
      </c>
      <c r="M1732" s="227" t="s">
        <v>165</v>
      </c>
      <c r="N1732" s="225" t="s">
        <v>700</v>
      </c>
      <c r="O1732" s="225" t="s">
        <v>287</v>
      </c>
      <c r="P1732" s="229">
        <v>40</v>
      </c>
      <c r="Q1732" s="229">
        <v>12</v>
      </c>
      <c r="R1732" s="230">
        <v>8.1300000000000001E-3</v>
      </c>
      <c r="S1732" s="225" t="s">
        <v>40</v>
      </c>
      <c r="T1732" s="225" t="s">
        <v>112</v>
      </c>
      <c r="U1732" s="225" t="s">
        <v>89</v>
      </c>
      <c r="V1732" s="231">
        <f>1624-1282</f>
        <v>342</v>
      </c>
      <c r="W1732" s="231">
        <f>244</f>
        <v>244</v>
      </c>
      <c r="X1732" s="232">
        <f>3920/40</f>
        <v>98</v>
      </c>
      <c r="Y1732" s="233">
        <f t="shared" si="583"/>
        <v>0</v>
      </c>
      <c r="Z1732" s="234">
        <f t="shared" si="584"/>
        <v>0</v>
      </c>
      <c r="AA1732" s="234">
        <f>Q1732*Z1732</f>
        <v>0</v>
      </c>
      <c r="AB1732" s="822">
        <v>2</v>
      </c>
      <c r="AC1732" s="231">
        <f>Z1732*AB1732</f>
        <v>0</v>
      </c>
      <c r="AD1732" s="307" t="s">
        <v>729</v>
      </c>
      <c r="AE1732" s="210"/>
      <c r="AF1732" s="210"/>
      <c r="AG1732" s="211">
        <f t="shared" si="585"/>
        <v>0.154</v>
      </c>
      <c r="AH1732" s="157">
        <f t="shared" si="586"/>
        <v>0</v>
      </c>
      <c r="AI1732" s="152">
        <f t="shared" si="587"/>
        <v>13680</v>
      </c>
      <c r="AK1732" s="156" t="s">
        <v>691</v>
      </c>
      <c r="AL1732" s="156" t="s">
        <v>689</v>
      </c>
      <c r="AM1732" s="198">
        <f t="shared" si="582"/>
        <v>0</v>
      </c>
      <c r="AN1732" s="199">
        <f t="shared" si="563"/>
        <v>45640</v>
      </c>
      <c r="AO1732" s="159" t="s">
        <v>692</v>
      </c>
      <c r="AP1732" s="781"/>
      <c r="AQ1732" s="782">
        <v>12028328</v>
      </c>
      <c r="AR1732" s="782">
        <v>12019692</v>
      </c>
      <c r="AS1732" s="782"/>
      <c r="AT1732" s="782">
        <v>12056457</v>
      </c>
      <c r="AU1732" s="782"/>
      <c r="AV1732" s="782">
        <v>12056565</v>
      </c>
      <c r="AW1732" s="782">
        <v>12034747</v>
      </c>
      <c r="AX1732" s="782" t="s">
        <v>398</v>
      </c>
      <c r="AY1732" s="782" t="s">
        <v>513</v>
      </c>
      <c r="AZ1732" s="782"/>
      <c r="BA1732" s="781"/>
    </row>
    <row r="1733" spans="1:53" ht="24.65" hidden="1" customHeight="1">
      <c r="A1733" s="142" t="s">
        <v>120</v>
      </c>
      <c r="B1733" s="258">
        <v>45640</v>
      </c>
      <c r="C1733" s="259">
        <v>45661</v>
      </c>
      <c r="D1733" s="185">
        <f t="shared" ref="D1733:D1796" si="588">IF(B1733="","",YEAR(B1733))</f>
        <v>2024</v>
      </c>
      <c r="E1733" s="260" t="str">
        <f>VLOOKUP($B1733,Week!$A$1:$C$1462,2,0)</f>
        <v>Week50</v>
      </c>
      <c r="F1733" s="261" t="str">
        <f t="shared" ref="F1733:F1796" si="589">IF(B1733="","",TEXT(B1733,"[$-409]mmm"))</f>
        <v>Dec</v>
      </c>
      <c r="G1733" s="262" t="s">
        <v>1721</v>
      </c>
      <c r="H1733" s="260" t="s">
        <v>134</v>
      </c>
      <c r="I1733" s="260" t="s">
        <v>2772</v>
      </c>
      <c r="J1733" s="263" t="s">
        <v>164</v>
      </c>
      <c r="K1733" s="264" t="s">
        <v>153</v>
      </c>
      <c r="L1733" s="390" t="s">
        <v>2166</v>
      </c>
      <c r="M1733" s="263" t="s">
        <v>165</v>
      </c>
      <c r="N1733" s="260" t="s">
        <v>166</v>
      </c>
      <c r="O1733" s="260" t="s">
        <v>502</v>
      </c>
      <c r="P1733" s="265">
        <v>20</v>
      </c>
      <c r="Q1733" s="265">
        <v>12</v>
      </c>
      <c r="R1733" s="266">
        <v>6.8100000000000001E-3</v>
      </c>
      <c r="S1733" s="260" t="s">
        <v>76</v>
      </c>
      <c r="T1733" s="260" t="s">
        <v>56</v>
      </c>
      <c r="U1733" s="260" t="s">
        <v>89</v>
      </c>
      <c r="V1733" s="267">
        <f>1803</f>
        <v>1803</v>
      </c>
      <c r="W1733" s="267">
        <f>1278</f>
        <v>1278</v>
      </c>
      <c r="X1733" s="268">
        <f>(120+10380)/20</f>
        <v>525</v>
      </c>
      <c r="Y1733" s="269">
        <f t="shared" si="583"/>
        <v>0</v>
      </c>
      <c r="Z1733" s="270">
        <f t="shared" si="584"/>
        <v>0</v>
      </c>
      <c r="AA1733" s="270">
        <f>Q1733*Z1733</f>
        <v>0</v>
      </c>
      <c r="AB1733" s="811">
        <v>2</v>
      </c>
      <c r="AC1733" s="267">
        <f>Z1733*AB1733</f>
        <v>0</v>
      </c>
      <c r="AD1733" s="209" t="s">
        <v>168</v>
      </c>
      <c r="AE1733" s="210"/>
      <c r="AF1733" s="210"/>
      <c r="AG1733" s="211">
        <f t="shared" si="585"/>
        <v>0.154</v>
      </c>
      <c r="AH1733" s="157">
        <f t="shared" si="586"/>
        <v>0</v>
      </c>
      <c r="AI1733" s="152">
        <f t="shared" si="587"/>
        <v>36060</v>
      </c>
      <c r="AK1733" s="156" t="s">
        <v>691</v>
      </c>
      <c r="AL1733" s="156" t="s">
        <v>689</v>
      </c>
      <c r="AM1733" s="198">
        <f t="shared" si="582"/>
        <v>0</v>
      </c>
      <c r="AN1733" s="199">
        <f t="shared" ref="AN1733:AN1796" si="590">B1733</f>
        <v>45640</v>
      </c>
      <c r="AO1733" s="159" t="s">
        <v>692</v>
      </c>
      <c r="AP1733" s="783" t="s">
        <v>610</v>
      </c>
      <c r="AQ1733" s="783" t="s">
        <v>631</v>
      </c>
      <c r="AR1733" s="783" t="s">
        <v>523</v>
      </c>
      <c r="AS1733" s="781"/>
      <c r="AT1733" s="782">
        <v>12055919</v>
      </c>
      <c r="AU1733" s="781"/>
      <c r="AV1733" s="783" t="s">
        <v>544</v>
      </c>
      <c r="AW1733" s="781"/>
      <c r="AX1733" s="782" t="s">
        <v>398</v>
      </c>
      <c r="AY1733" s="781"/>
      <c r="AZ1733" s="781"/>
      <c r="BA1733" s="781"/>
    </row>
    <row r="1734" spans="1:53" ht="25" hidden="1" customHeight="1">
      <c r="B1734" s="183">
        <v>45641</v>
      </c>
      <c r="C1734" s="184"/>
      <c r="D1734" s="185">
        <f t="shared" si="588"/>
        <v>2024</v>
      </c>
      <c r="E1734" s="185" t="str">
        <f>VLOOKUP($B1734,Week!$A$1:$C$1462,2,0)</f>
        <v>Week50</v>
      </c>
      <c r="F1734" s="186" t="str">
        <f t="shared" si="589"/>
        <v>Dec</v>
      </c>
      <c r="G1734" s="185"/>
      <c r="H1734" s="185"/>
      <c r="I1734" s="185"/>
      <c r="J1734" s="187"/>
      <c r="K1734" s="188"/>
      <c r="L1734" s="300"/>
      <c r="M1734" s="187"/>
      <c r="N1734" s="185"/>
      <c r="O1734" s="185"/>
      <c r="P1734" s="189"/>
      <c r="Q1734" s="189"/>
      <c r="R1734" s="190"/>
      <c r="S1734" s="185"/>
      <c r="T1734" s="185"/>
      <c r="U1734" s="185"/>
      <c r="V1734" s="191"/>
      <c r="W1734" s="191"/>
      <c r="X1734" s="192"/>
      <c r="Y1734" s="193"/>
      <c r="Z1734" s="194"/>
      <c r="AA1734" s="194"/>
      <c r="AB1734" s="805"/>
      <c r="AC1734" s="191"/>
      <c r="AD1734" s="187"/>
      <c r="AE1734" s="195"/>
      <c r="AF1734" s="195"/>
      <c r="AG1734" s="196"/>
      <c r="AH1734" s="197"/>
      <c r="AK1734" s="156" t="s">
        <v>691</v>
      </c>
      <c r="AM1734" s="198">
        <f t="shared" si="582"/>
        <v>0</v>
      </c>
      <c r="AN1734" s="199">
        <f t="shared" si="590"/>
        <v>45641</v>
      </c>
      <c r="AO1734" s="159" t="s">
        <v>692</v>
      </c>
      <c r="AP1734" s="781"/>
      <c r="AQ1734" s="782"/>
      <c r="AR1734" s="782"/>
      <c r="AS1734" s="782"/>
      <c r="AT1734" s="782"/>
      <c r="AU1734" s="781"/>
      <c r="AV1734" s="782"/>
      <c r="AW1734" s="782"/>
      <c r="AX1734" s="782"/>
      <c r="AY1734" s="782"/>
      <c r="AZ1734" s="782"/>
      <c r="BA1734" s="781"/>
    </row>
    <row r="1735" spans="1:53" ht="24.65" hidden="1" customHeight="1">
      <c r="B1735" s="369">
        <v>45642</v>
      </c>
      <c r="C1735" s="370">
        <v>45678</v>
      </c>
      <c r="D1735" s="185">
        <f t="shared" si="588"/>
        <v>2024</v>
      </c>
      <c r="E1735" s="370" t="str">
        <f>VLOOKUP($B1735,Week!$A$1:$C$1462,2,0)</f>
        <v>Week51</v>
      </c>
      <c r="F1735" s="372" t="str">
        <f t="shared" si="589"/>
        <v>Dec</v>
      </c>
      <c r="G1735" s="439" t="s">
        <v>1857</v>
      </c>
      <c r="H1735" s="371" t="s">
        <v>104</v>
      </c>
      <c r="I1735" s="371" t="s">
        <v>2772</v>
      </c>
      <c r="J1735" s="373" t="s">
        <v>105</v>
      </c>
      <c r="K1735" s="374" t="s">
        <v>593</v>
      </c>
      <c r="L1735" s="300" t="s">
        <v>2167</v>
      </c>
      <c r="M1735" s="373" t="s">
        <v>594</v>
      </c>
      <c r="N1735" s="371" t="s">
        <v>687</v>
      </c>
      <c r="O1735" s="371" t="s">
        <v>415</v>
      </c>
      <c r="P1735" s="375">
        <v>24</v>
      </c>
      <c r="Q1735" s="375">
        <v>5</v>
      </c>
      <c r="R1735" s="376">
        <v>6.0000000000000001E-3</v>
      </c>
      <c r="S1735" s="371" t="s">
        <v>55</v>
      </c>
      <c r="T1735" s="371" t="s">
        <v>112</v>
      </c>
      <c r="U1735" s="371" t="s">
        <v>57</v>
      </c>
      <c r="V1735" s="377">
        <f>750</f>
        <v>750</v>
      </c>
      <c r="W1735" s="377">
        <f>75+653+22</f>
        <v>750</v>
      </c>
      <c r="X1735" s="378">
        <f>(367)/24</f>
        <v>15.291666666666666</v>
      </c>
      <c r="Y1735" s="379">
        <f t="shared" ref="Y1735:Y1746" si="591">(W1735+X1735)-V1735</f>
        <v>15.291666666666629</v>
      </c>
      <c r="Z1735" s="380">
        <f t="shared" ref="Z1735:Z1770" si="592">IF(Y1735&lt;0,((V1735*P1735)-((W1735+X1735)*P1735)),0)</f>
        <v>0</v>
      </c>
      <c r="AA1735" s="380"/>
      <c r="AB1735" s="820"/>
      <c r="AC1735" s="377"/>
      <c r="AD1735" s="486"/>
      <c r="AE1735" s="210"/>
      <c r="AF1735" s="210"/>
      <c r="AG1735" s="211">
        <f t="shared" ref="AG1735:AG1761" si="593">MID(O1735,1,3)/1000</f>
        <v>0.25800000000000001</v>
      </c>
      <c r="AH1735" s="157">
        <f t="shared" ref="AH1735:AH1743" si="594">(Z1735*AG1735)/1000</f>
        <v>0</v>
      </c>
      <c r="AI1735" s="152">
        <f t="shared" ref="AI1735:AI1770" si="595">V1735*P1735</f>
        <v>18000</v>
      </c>
      <c r="AK1735" s="156" t="s">
        <v>691</v>
      </c>
      <c r="AL1735" s="212" t="s">
        <v>690</v>
      </c>
      <c r="AM1735" s="198">
        <f t="shared" si="582"/>
        <v>0</v>
      </c>
      <c r="AN1735" s="199">
        <f t="shared" si="590"/>
        <v>45642</v>
      </c>
      <c r="AO1735" s="159" t="s">
        <v>692</v>
      </c>
      <c r="AP1735" s="783"/>
      <c r="AQ1735" s="782">
        <v>12071839</v>
      </c>
      <c r="AR1735" s="782">
        <v>12042650</v>
      </c>
      <c r="AS1735" s="782">
        <v>12042649</v>
      </c>
      <c r="AT1735" s="782">
        <v>12085742</v>
      </c>
      <c r="AU1735" s="781"/>
      <c r="AV1735" s="782">
        <v>12085744</v>
      </c>
      <c r="AW1735" s="782">
        <v>12049607</v>
      </c>
      <c r="AX1735" s="782"/>
      <c r="AY1735" s="782">
        <v>12085747</v>
      </c>
      <c r="AZ1735" s="782"/>
      <c r="BA1735" s="781"/>
    </row>
    <row r="1736" spans="1:53" ht="25" hidden="1" customHeight="1">
      <c r="B1736" s="321">
        <v>45642</v>
      </c>
      <c r="C1736" s="321">
        <v>45654</v>
      </c>
      <c r="D1736" s="185">
        <f t="shared" si="588"/>
        <v>2024</v>
      </c>
      <c r="E1736" s="321" t="str">
        <f>VLOOKUP($B1736,Week!$A$1:$C$1462,2,0)</f>
        <v>Week51</v>
      </c>
      <c r="F1736" s="322" t="str">
        <f t="shared" si="589"/>
        <v>Dec</v>
      </c>
      <c r="G1736" s="596" t="s">
        <v>1419</v>
      </c>
      <c r="H1736" s="323" t="s">
        <v>500</v>
      </c>
      <c r="I1736" s="323" t="s">
        <v>2772</v>
      </c>
      <c r="J1736" s="324" t="s">
        <v>679</v>
      </c>
      <c r="K1736" s="325" t="s">
        <v>227</v>
      </c>
      <c r="L1736" s="300" t="s">
        <v>2167</v>
      </c>
      <c r="M1736" s="324" t="s">
        <v>1416</v>
      </c>
      <c r="N1736" s="323" t="s">
        <v>1417</v>
      </c>
      <c r="O1736" s="323" t="s">
        <v>1418</v>
      </c>
      <c r="P1736" s="326">
        <v>36</v>
      </c>
      <c r="Q1736" s="326">
        <v>4</v>
      </c>
      <c r="R1736" s="327">
        <v>7.4999999999999997E-3</v>
      </c>
      <c r="S1736" s="323" t="s">
        <v>40</v>
      </c>
      <c r="T1736" s="323" t="s">
        <v>112</v>
      </c>
      <c r="U1736" s="323" t="s">
        <v>57</v>
      </c>
      <c r="V1736" s="328">
        <v>874</v>
      </c>
      <c r="W1736" s="328">
        <f>874</f>
        <v>874</v>
      </c>
      <c r="X1736" s="329">
        <f>(953+12)/36</f>
        <v>26.805555555555557</v>
      </c>
      <c r="Y1736" s="330">
        <f t="shared" si="591"/>
        <v>26.805555555555543</v>
      </c>
      <c r="Z1736" s="331">
        <f t="shared" si="592"/>
        <v>0</v>
      </c>
      <c r="AA1736" s="331"/>
      <c r="AB1736" s="816"/>
      <c r="AC1736" s="328"/>
      <c r="AD1736" s="307" t="s">
        <v>1883</v>
      </c>
      <c r="AE1736" s="210"/>
      <c r="AF1736" s="210"/>
      <c r="AG1736" s="211">
        <f t="shared" si="593"/>
        <v>0.23899999999999999</v>
      </c>
      <c r="AH1736" s="157">
        <f t="shared" si="594"/>
        <v>0</v>
      </c>
      <c r="AI1736" s="152">
        <f t="shared" si="595"/>
        <v>31464</v>
      </c>
      <c r="AK1736" s="156" t="s">
        <v>691</v>
      </c>
      <c r="AL1736" s="574" t="s">
        <v>690</v>
      </c>
      <c r="AM1736" s="198">
        <f t="shared" si="582"/>
        <v>0</v>
      </c>
      <c r="AN1736" s="199">
        <f t="shared" si="590"/>
        <v>45642</v>
      </c>
      <c r="AO1736" s="159" t="s">
        <v>692</v>
      </c>
      <c r="AP1736" s="783" t="s">
        <v>612</v>
      </c>
      <c r="AQ1736" s="782">
        <v>12071839</v>
      </c>
      <c r="AR1736" s="782">
        <v>12042650</v>
      </c>
      <c r="AS1736" s="782">
        <v>12042649</v>
      </c>
      <c r="AT1736" s="782">
        <v>12076724</v>
      </c>
      <c r="AU1736" s="781"/>
      <c r="AV1736" s="782">
        <v>12076723</v>
      </c>
      <c r="AW1736" s="782">
        <v>12053504</v>
      </c>
      <c r="AX1736" s="782"/>
      <c r="AY1736" s="782"/>
      <c r="AZ1736" s="782"/>
      <c r="BA1736" s="781"/>
    </row>
    <row r="1737" spans="1:53" ht="25" hidden="1" customHeight="1">
      <c r="B1737" s="258">
        <v>45642</v>
      </c>
      <c r="C1737" s="259">
        <v>45649</v>
      </c>
      <c r="D1737" s="185">
        <f t="shared" si="588"/>
        <v>2024</v>
      </c>
      <c r="E1737" s="259" t="str">
        <f>VLOOKUP($B1737,Week!$A$1:$C$1462,2,0)</f>
        <v>Week51</v>
      </c>
      <c r="F1737" s="261" t="str">
        <f t="shared" si="589"/>
        <v>Dec</v>
      </c>
      <c r="G1737" s="260" t="s">
        <v>1895</v>
      </c>
      <c r="H1737" s="260" t="s">
        <v>424</v>
      </c>
      <c r="I1737" s="260" t="s">
        <v>2772</v>
      </c>
      <c r="J1737" s="263" t="s">
        <v>653</v>
      </c>
      <c r="K1737" s="264" t="s">
        <v>1646</v>
      </c>
      <c r="L1737" s="300" t="s">
        <v>2167</v>
      </c>
      <c r="M1737" s="263" t="s">
        <v>654</v>
      </c>
      <c r="N1737" s="260" t="s">
        <v>656</v>
      </c>
      <c r="O1737" s="260" t="s">
        <v>655</v>
      </c>
      <c r="P1737" s="265">
        <v>24</v>
      </c>
      <c r="Q1737" s="265">
        <v>5</v>
      </c>
      <c r="R1737" s="266">
        <v>7.4999999999999997E-3</v>
      </c>
      <c r="S1737" s="260" t="s">
        <v>40</v>
      </c>
      <c r="T1737" s="260" t="s">
        <v>112</v>
      </c>
      <c r="U1737" s="621" t="s">
        <v>721</v>
      </c>
      <c r="V1737" s="267">
        <v>924</v>
      </c>
      <c r="W1737" s="267">
        <v>924</v>
      </c>
      <c r="X1737" s="268"/>
      <c r="Y1737" s="269">
        <f t="shared" si="591"/>
        <v>0</v>
      </c>
      <c r="Z1737" s="270">
        <f t="shared" si="592"/>
        <v>0</v>
      </c>
      <c r="AA1737" s="270"/>
      <c r="AB1737" s="811"/>
      <c r="AC1737" s="267"/>
      <c r="AD1737" s="443"/>
      <c r="AE1737" s="210"/>
      <c r="AF1737" s="210"/>
      <c r="AG1737" s="211">
        <f t="shared" si="593"/>
        <v>0.307</v>
      </c>
      <c r="AH1737" s="157">
        <f t="shared" si="594"/>
        <v>0</v>
      </c>
      <c r="AI1737" s="152">
        <f t="shared" si="595"/>
        <v>22176</v>
      </c>
      <c r="AK1737" s="156" t="s">
        <v>691</v>
      </c>
      <c r="AL1737" s="212" t="s">
        <v>690</v>
      </c>
      <c r="AM1737" s="198">
        <f t="shared" si="582"/>
        <v>0</v>
      </c>
      <c r="AN1737" s="199">
        <f t="shared" si="590"/>
        <v>45642</v>
      </c>
      <c r="AO1737" s="159" t="s">
        <v>692</v>
      </c>
      <c r="AP1737" s="781" t="s">
        <v>642</v>
      </c>
      <c r="AQ1737" s="782">
        <v>12063755</v>
      </c>
      <c r="AR1737" s="782">
        <v>12061353</v>
      </c>
      <c r="AS1737" s="782">
        <v>12061354</v>
      </c>
      <c r="AT1737" s="782">
        <v>12084607</v>
      </c>
      <c r="AU1737" s="781"/>
      <c r="AV1737" s="782">
        <v>12084608</v>
      </c>
      <c r="AW1737" s="782">
        <v>12068154</v>
      </c>
      <c r="AX1737" s="782"/>
      <c r="AY1737" s="782">
        <v>12084606</v>
      </c>
      <c r="AZ1737" s="782"/>
      <c r="BA1737" s="781"/>
    </row>
    <row r="1738" spans="1:53" ht="25" hidden="1" customHeight="1">
      <c r="B1738" s="258">
        <v>45642</v>
      </c>
      <c r="C1738" s="259">
        <v>45649</v>
      </c>
      <c r="D1738" s="185">
        <f t="shared" si="588"/>
        <v>2024</v>
      </c>
      <c r="E1738" s="259" t="str">
        <f>VLOOKUP($B1738,Week!$A$1:$C$1462,2,0)</f>
        <v>Week51</v>
      </c>
      <c r="F1738" s="261" t="str">
        <f t="shared" si="589"/>
        <v>Dec</v>
      </c>
      <c r="G1738" s="260" t="s">
        <v>1896</v>
      </c>
      <c r="H1738" s="260" t="s">
        <v>424</v>
      </c>
      <c r="I1738" s="260" t="s">
        <v>2772</v>
      </c>
      <c r="J1738" s="263" t="s">
        <v>653</v>
      </c>
      <c r="K1738" s="264" t="s">
        <v>1646</v>
      </c>
      <c r="L1738" s="300" t="s">
        <v>2167</v>
      </c>
      <c r="M1738" s="263" t="s">
        <v>654</v>
      </c>
      <c r="N1738" s="260" t="s">
        <v>656</v>
      </c>
      <c r="O1738" s="260" t="s">
        <v>655</v>
      </c>
      <c r="P1738" s="265">
        <v>24</v>
      </c>
      <c r="Q1738" s="265">
        <v>5</v>
      </c>
      <c r="R1738" s="266">
        <v>7.4999999999999997E-3</v>
      </c>
      <c r="S1738" s="260" t="s">
        <v>40</v>
      </c>
      <c r="T1738" s="260" t="s">
        <v>112</v>
      </c>
      <c r="U1738" s="621" t="s">
        <v>721</v>
      </c>
      <c r="V1738" s="267">
        <v>924</v>
      </c>
      <c r="W1738" s="267">
        <v>924</v>
      </c>
      <c r="X1738" s="268"/>
      <c r="Y1738" s="269">
        <f t="shared" si="591"/>
        <v>0</v>
      </c>
      <c r="Z1738" s="270">
        <f t="shared" si="592"/>
        <v>0</v>
      </c>
      <c r="AA1738" s="270"/>
      <c r="AB1738" s="811"/>
      <c r="AC1738" s="267"/>
      <c r="AD1738" s="443"/>
      <c r="AE1738" s="210"/>
      <c r="AF1738" s="210"/>
      <c r="AG1738" s="211">
        <f t="shared" si="593"/>
        <v>0.307</v>
      </c>
      <c r="AH1738" s="157">
        <f t="shared" si="594"/>
        <v>0</v>
      </c>
      <c r="AI1738" s="152">
        <f t="shared" si="595"/>
        <v>22176</v>
      </c>
      <c r="AK1738" s="156" t="s">
        <v>691</v>
      </c>
      <c r="AL1738" s="212" t="s">
        <v>690</v>
      </c>
      <c r="AM1738" s="198">
        <f t="shared" si="582"/>
        <v>0</v>
      </c>
      <c r="AN1738" s="199">
        <f t="shared" si="590"/>
        <v>45642</v>
      </c>
      <c r="AO1738" s="159" t="s">
        <v>692</v>
      </c>
      <c r="AP1738" s="781" t="s">
        <v>642</v>
      </c>
      <c r="AQ1738" s="782">
        <v>12063755</v>
      </c>
      <c r="AR1738" s="782">
        <v>12061353</v>
      </c>
      <c r="AS1738" s="782">
        <v>12061354</v>
      </c>
      <c r="AT1738" s="782">
        <v>12084607</v>
      </c>
      <c r="AU1738" s="781"/>
      <c r="AV1738" s="782">
        <v>12084608</v>
      </c>
      <c r="AW1738" s="782">
        <v>12068154</v>
      </c>
      <c r="AX1738" s="782"/>
      <c r="AY1738" s="782">
        <v>12084606</v>
      </c>
      <c r="AZ1738" s="782"/>
      <c r="BA1738" s="781"/>
    </row>
    <row r="1739" spans="1:53" ht="25" hidden="1" customHeight="1">
      <c r="B1739" s="258">
        <v>45642</v>
      </c>
      <c r="C1739" s="259">
        <v>45649</v>
      </c>
      <c r="D1739" s="185">
        <f t="shared" si="588"/>
        <v>2024</v>
      </c>
      <c r="E1739" s="259" t="str">
        <f>VLOOKUP($B1739,Week!$A$1:$C$1462,2,0)</f>
        <v>Week51</v>
      </c>
      <c r="F1739" s="261" t="str">
        <f t="shared" si="589"/>
        <v>Dec</v>
      </c>
      <c r="G1739" s="260" t="s">
        <v>1897</v>
      </c>
      <c r="H1739" s="260" t="s">
        <v>697</v>
      </c>
      <c r="I1739" s="260" t="s">
        <v>2772</v>
      </c>
      <c r="J1739" s="263" t="s">
        <v>653</v>
      </c>
      <c r="K1739" s="264" t="s">
        <v>1646</v>
      </c>
      <c r="L1739" s="300" t="s">
        <v>2167</v>
      </c>
      <c r="M1739" s="263" t="s">
        <v>654</v>
      </c>
      <c r="N1739" s="260" t="s">
        <v>656</v>
      </c>
      <c r="O1739" s="260" t="s">
        <v>655</v>
      </c>
      <c r="P1739" s="265">
        <v>24</v>
      </c>
      <c r="Q1739" s="265">
        <v>5</v>
      </c>
      <c r="R1739" s="266">
        <v>7.4999999999999997E-3</v>
      </c>
      <c r="S1739" s="260" t="s">
        <v>40</v>
      </c>
      <c r="T1739" s="260" t="s">
        <v>112</v>
      </c>
      <c r="U1739" s="621" t="s">
        <v>721</v>
      </c>
      <c r="V1739" s="267">
        <f>924</f>
        <v>924</v>
      </c>
      <c r="W1739" s="267">
        <f>2232-924-924</f>
        <v>384</v>
      </c>
      <c r="X1739" s="268">
        <f>12960/24</f>
        <v>540</v>
      </c>
      <c r="Y1739" s="269">
        <f t="shared" si="591"/>
        <v>0</v>
      </c>
      <c r="Z1739" s="270">
        <f t="shared" si="592"/>
        <v>0</v>
      </c>
      <c r="AA1739" s="270"/>
      <c r="AB1739" s="811"/>
      <c r="AC1739" s="267"/>
      <c r="AD1739" s="307" t="s">
        <v>672</v>
      </c>
      <c r="AE1739" s="210"/>
      <c r="AF1739" s="210"/>
      <c r="AG1739" s="211">
        <f t="shared" si="593"/>
        <v>0.307</v>
      </c>
      <c r="AH1739" s="157">
        <f t="shared" si="594"/>
        <v>0</v>
      </c>
      <c r="AI1739" s="152">
        <f t="shared" si="595"/>
        <v>22176</v>
      </c>
      <c r="AK1739" s="156" t="s">
        <v>691</v>
      </c>
      <c r="AL1739" s="212" t="s">
        <v>690</v>
      </c>
      <c r="AM1739" s="198">
        <f t="shared" si="582"/>
        <v>0</v>
      </c>
      <c r="AN1739" s="199">
        <f t="shared" si="590"/>
        <v>45642</v>
      </c>
      <c r="AO1739" s="159" t="s">
        <v>692</v>
      </c>
      <c r="AP1739" s="781" t="s">
        <v>642</v>
      </c>
      <c r="AQ1739" s="782">
        <v>12063755</v>
      </c>
      <c r="AR1739" s="782">
        <v>12061353</v>
      </c>
      <c r="AS1739" s="782">
        <v>12061354</v>
      </c>
      <c r="AT1739" s="782">
        <v>12084607</v>
      </c>
      <c r="AU1739" s="781"/>
      <c r="AV1739" s="782">
        <v>12084608</v>
      </c>
      <c r="AW1739" s="782">
        <v>12068454</v>
      </c>
      <c r="AX1739" s="782"/>
      <c r="AY1739" s="782">
        <v>12084606</v>
      </c>
      <c r="AZ1739" s="782"/>
      <c r="BA1739" s="781"/>
    </row>
    <row r="1740" spans="1:53" ht="25" hidden="1" customHeight="1">
      <c r="A1740" s="529" t="s">
        <v>1749</v>
      </c>
      <c r="B1740" s="581">
        <v>45643</v>
      </c>
      <c r="C1740" s="332">
        <v>45651</v>
      </c>
      <c r="D1740" s="185">
        <f t="shared" si="588"/>
        <v>2024</v>
      </c>
      <c r="E1740" s="333" t="str">
        <f>VLOOKUP($B1740,Week!$A$1:$C$1462,2,0)</f>
        <v>Week51</v>
      </c>
      <c r="F1740" s="334" t="str">
        <f t="shared" si="589"/>
        <v>Dec</v>
      </c>
      <c r="G1740" s="530" t="s">
        <v>1943</v>
      </c>
      <c r="H1740" s="335" t="s">
        <v>82</v>
      </c>
      <c r="I1740" s="335" t="s">
        <v>82</v>
      </c>
      <c r="J1740" s="336" t="s">
        <v>235</v>
      </c>
      <c r="K1740" s="337" t="s">
        <v>1643</v>
      </c>
      <c r="L1740" s="300" t="s">
        <v>2167</v>
      </c>
      <c r="M1740" s="336" t="s">
        <v>336</v>
      </c>
      <c r="N1740" s="530" t="s">
        <v>1018</v>
      </c>
      <c r="O1740" s="335" t="s">
        <v>743</v>
      </c>
      <c r="P1740" s="338">
        <v>36</v>
      </c>
      <c r="Q1740" s="338">
        <v>5</v>
      </c>
      <c r="R1740" s="339">
        <v>7.4999999999999997E-3</v>
      </c>
      <c r="S1740" s="335" t="s">
        <v>40</v>
      </c>
      <c r="T1740" s="335" t="s">
        <v>112</v>
      </c>
      <c r="U1740" s="340" t="s">
        <v>721</v>
      </c>
      <c r="V1740" s="341">
        <f>60</f>
        <v>60</v>
      </c>
      <c r="W1740" s="341"/>
      <c r="X1740" s="342">
        <f>60</f>
        <v>60</v>
      </c>
      <c r="Y1740" s="343">
        <f t="shared" si="591"/>
        <v>0</v>
      </c>
      <c r="Z1740" s="344">
        <f t="shared" si="592"/>
        <v>0</v>
      </c>
      <c r="AA1740" s="344"/>
      <c r="AB1740" s="817"/>
      <c r="AC1740" s="341"/>
      <c r="AD1740" s="209"/>
      <c r="AE1740" s="210"/>
      <c r="AF1740" s="210"/>
      <c r="AG1740" s="211">
        <f t="shared" si="593"/>
        <v>0.14699999999999999</v>
      </c>
      <c r="AH1740" s="157">
        <f t="shared" si="594"/>
        <v>0</v>
      </c>
      <c r="AI1740" s="152">
        <f t="shared" si="595"/>
        <v>2160</v>
      </c>
      <c r="AK1740" s="156" t="s">
        <v>691</v>
      </c>
      <c r="AL1740" s="574" t="s">
        <v>690</v>
      </c>
      <c r="AM1740" s="198">
        <f t="shared" si="582"/>
        <v>0</v>
      </c>
      <c r="AN1740" s="199">
        <f t="shared" si="590"/>
        <v>45643</v>
      </c>
      <c r="AO1740" s="159" t="s">
        <v>692</v>
      </c>
      <c r="AP1740" s="783" t="s">
        <v>639</v>
      </c>
      <c r="AQ1740" s="782">
        <v>12071839</v>
      </c>
      <c r="AR1740" s="782">
        <v>12047514</v>
      </c>
      <c r="AS1740" s="782">
        <v>12047515</v>
      </c>
      <c r="AT1740" s="782">
        <v>12090591</v>
      </c>
      <c r="AU1740" s="781"/>
      <c r="AV1740" s="782">
        <v>12090590</v>
      </c>
      <c r="AW1740" s="782">
        <v>12024404</v>
      </c>
      <c r="AX1740" s="781"/>
      <c r="AY1740" s="782">
        <v>12090589</v>
      </c>
      <c r="AZ1740" s="781"/>
      <c r="BA1740" s="781"/>
    </row>
    <row r="1741" spans="1:53" ht="25" hidden="1" customHeight="1">
      <c r="B1741" s="383">
        <v>45643</v>
      </c>
      <c r="C1741" s="383">
        <v>45660</v>
      </c>
      <c r="D1741" s="185">
        <f t="shared" si="588"/>
        <v>2024</v>
      </c>
      <c r="E1741" s="224" t="str">
        <f>VLOOKUP($B1741,Week!$A$1:$C$1462,2,0)</f>
        <v>Week51</v>
      </c>
      <c r="F1741" s="226" t="str">
        <f t="shared" si="589"/>
        <v>Dec</v>
      </c>
      <c r="G1741" s="225" t="s">
        <v>1884</v>
      </c>
      <c r="H1741" s="225" t="s">
        <v>225</v>
      </c>
      <c r="I1741" s="225" t="s">
        <v>2773</v>
      </c>
      <c r="J1741" s="227" t="s">
        <v>335</v>
      </c>
      <c r="K1741" s="228" t="s">
        <v>176</v>
      </c>
      <c r="L1741" s="300" t="s">
        <v>2167</v>
      </c>
      <c r="M1741" s="227" t="s">
        <v>336</v>
      </c>
      <c r="N1741" s="225" t="s">
        <v>337</v>
      </c>
      <c r="O1741" s="225" t="s">
        <v>179</v>
      </c>
      <c r="P1741" s="229">
        <v>36</v>
      </c>
      <c r="Q1741" s="229">
        <v>5</v>
      </c>
      <c r="R1741" s="230">
        <v>7.4999999999999997E-3</v>
      </c>
      <c r="S1741" s="225" t="s">
        <v>111</v>
      </c>
      <c r="T1741" s="225" t="s">
        <v>112</v>
      </c>
      <c r="U1741" s="225" t="s">
        <v>113</v>
      </c>
      <c r="V1741" s="231">
        <v>1288</v>
      </c>
      <c r="W1741" s="231">
        <f>21+1+1245+21</f>
        <v>1288</v>
      </c>
      <c r="X1741" s="232"/>
      <c r="Y1741" s="233">
        <f t="shared" si="591"/>
        <v>0</v>
      </c>
      <c r="Z1741" s="234">
        <f t="shared" si="592"/>
        <v>0</v>
      </c>
      <c r="AA1741" s="234"/>
      <c r="AB1741" s="822"/>
      <c r="AC1741" s="231"/>
      <c r="AD1741" s="307" t="s">
        <v>1622</v>
      </c>
      <c r="AE1741" s="210"/>
      <c r="AF1741" s="210"/>
      <c r="AG1741" s="211">
        <f t="shared" si="593"/>
        <v>0.14499999999999999</v>
      </c>
      <c r="AH1741" s="157">
        <f t="shared" si="594"/>
        <v>0</v>
      </c>
      <c r="AI1741" s="152">
        <f t="shared" si="595"/>
        <v>46368</v>
      </c>
      <c r="AK1741" s="156" t="s">
        <v>691</v>
      </c>
      <c r="AL1741" s="574" t="s">
        <v>690</v>
      </c>
      <c r="AM1741" s="198">
        <f t="shared" si="582"/>
        <v>0</v>
      </c>
      <c r="AN1741" s="199">
        <f t="shared" si="590"/>
        <v>45643</v>
      </c>
      <c r="AO1741" s="159" t="s">
        <v>692</v>
      </c>
      <c r="AP1741" s="783" t="s">
        <v>639</v>
      </c>
      <c r="AQ1741" s="782">
        <v>12071839</v>
      </c>
      <c r="AR1741" s="782">
        <v>12047514</v>
      </c>
      <c r="AS1741" s="782">
        <v>12047515</v>
      </c>
      <c r="AT1741" s="782">
        <v>12054919</v>
      </c>
      <c r="AU1741" s="781"/>
      <c r="AV1741" s="782">
        <v>12054869</v>
      </c>
      <c r="AW1741" s="782">
        <v>12024404</v>
      </c>
      <c r="AX1741" s="781"/>
      <c r="AY1741" s="782">
        <v>12054815</v>
      </c>
      <c r="AZ1741" s="781"/>
      <c r="BA1741" s="781"/>
    </row>
    <row r="1742" spans="1:53" ht="25" hidden="1" customHeight="1">
      <c r="B1742" s="383">
        <v>45643</v>
      </c>
      <c r="C1742" s="383">
        <v>45660</v>
      </c>
      <c r="D1742" s="185">
        <f t="shared" si="588"/>
        <v>2024</v>
      </c>
      <c r="E1742" s="224" t="str">
        <f>VLOOKUP($B1742,Week!$A$1:$C$1462,2,0)</f>
        <v>Week51</v>
      </c>
      <c r="F1742" s="226" t="str">
        <f t="shared" si="589"/>
        <v>Dec</v>
      </c>
      <c r="G1742" s="225" t="s">
        <v>1885</v>
      </c>
      <c r="H1742" s="225" t="s">
        <v>225</v>
      </c>
      <c r="I1742" s="225" t="s">
        <v>2773</v>
      </c>
      <c r="J1742" s="227" t="s">
        <v>335</v>
      </c>
      <c r="K1742" s="228" t="s">
        <v>176</v>
      </c>
      <c r="L1742" s="300" t="s">
        <v>2167</v>
      </c>
      <c r="M1742" s="227" t="s">
        <v>336</v>
      </c>
      <c r="N1742" s="225" t="s">
        <v>337</v>
      </c>
      <c r="O1742" s="225" t="s">
        <v>179</v>
      </c>
      <c r="P1742" s="229">
        <v>36</v>
      </c>
      <c r="Q1742" s="229">
        <v>5</v>
      </c>
      <c r="R1742" s="230">
        <v>7.4999999999999997E-3</v>
      </c>
      <c r="S1742" s="225" t="s">
        <v>111</v>
      </c>
      <c r="T1742" s="225" t="s">
        <v>112</v>
      </c>
      <c r="U1742" s="225" t="s">
        <v>113</v>
      </c>
      <c r="V1742" s="231">
        <v>27</v>
      </c>
      <c r="W1742" s="231">
        <f>1272-1245</f>
        <v>27</v>
      </c>
      <c r="X1742" s="232"/>
      <c r="Y1742" s="233">
        <f t="shared" si="591"/>
        <v>0</v>
      </c>
      <c r="Z1742" s="234">
        <f t="shared" si="592"/>
        <v>0</v>
      </c>
      <c r="AA1742" s="234"/>
      <c r="AB1742" s="822"/>
      <c r="AC1742" s="231"/>
      <c r="AD1742" s="307" t="s">
        <v>1622</v>
      </c>
      <c r="AE1742" s="210"/>
      <c r="AF1742" s="210"/>
      <c r="AG1742" s="211">
        <f t="shared" si="593"/>
        <v>0.14499999999999999</v>
      </c>
      <c r="AH1742" s="157">
        <f t="shared" si="594"/>
        <v>0</v>
      </c>
      <c r="AI1742" s="152">
        <f t="shared" si="595"/>
        <v>972</v>
      </c>
      <c r="AK1742" s="156" t="s">
        <v>691</v>
      </c>
      <c r="AL1742" s="574" t="s">
        <v>690</v>
      </c>
      <c r="AM1742" s="198">
        <f t="shared" si="582"/>
        <v>0</v>
      </c>
      <c r="AN1742" s="199">
        <f t="shared" si="590"/>
        <v>45643</v>
      </c>
      <c r="AO1742" s="159" t="s">
        <v>692</v>
      </c>
      <c r="AP1742" s="783" t="s">
        <v>639</v>
      </c>
      <c r="AQ1742" s="782">
        <v>12071839</v>
      </c>
      <c r="AR1742" s="782">
        <v>12047514</v>
      </c>
      <c r="AS1742" s="782">
        <v>12047515</v>
      </c>
      <c r="AT1742" s="782">
        <v>12054919</v>
      </c>
      <c r="AU1742" s="781"/>
      <c r="AV1742" s="782">
        <v>12054869</v>
      </c>
      <c r="AW1742" s="782">
        <v>12024404</v>
      </c>
      <c r="AX1742" s="781"/>
      <c r="AY1742" s="782">
        <v>12054815</v>
      </c>
      <c r="AZ1742" s="781"/>
      <c r="BA1742" s="781"/>
    </row>
    <row r="1743" spans="1:53" ht="25" hidden="1" customHeight="1">
      <c r="A1743" s="440"/>
      <c r="B1743" s="271">
        <v>45643</v>
      </c>
      <c r="C1743" s="271">
        <v>45671</v>
      </c>
      <c r="D1743" s="185">
        <f t="shared" si="588"/>
        <v>2024</v>
      </c>
      <c r="E1743" s="441" t="str">
        <f>VLOOKUP($B1743,Week!$A$1:$C$1462,2,0)</f>
        <v>Week51</v>
      </c>
      <c r="F1743" s="442" t="str">
        <f t="shared" si="589"/>
        <v>Dec</v>
      </c>
      <c r="G1743" s="423" t="s">
        <v>1576</v>
      </c>
      <c r="H1743" s="274" t="s">
        <v>267</v>
      </c>
      <c r="I1743" s="274" t="s">
        <v>2772</v>
      </c>
      <c r="J1743" s="275" t="s">
        <v>699</v>
      </c>
      <c r="K1743" s="276" t="s">
        <v>107</v>
      </c>
      <c r="L1743" s="300" t="s">
        <v>2167</v>
      </c>
      <c r="M1743" s="275" t="s">
        <v>136</v>
      </c>
      <c r="N1743" s="274" t="s">
        <v>269</v>
      </c>
      <c r="O1743" s="274" t="s">
        <v>270</v>
      </c>
      <c r="P1743" s="277">
        <v>12</v>
      </c>
      <c r="Q1743" s="277">
        <v>3</v>
      </c>
      <c r="R1743" s="278">
        <v>7.4999999999999997E-3</v>
      </c>
      <c r="S1743" s="274" t="s">
        <v>111</v>
      </c>
      <c r="T1743" s="274" t="s">
        <v>112</v>
      </c>
      <c r="U1743" s="274" t="s">
        <v>57</v>
      </c>
      <c r="V1743" s="279">
        <v>2520</v>
      </c>
      <c r="W1743" s="279">
        <f>182+2338</f>
        <v>2520</v>
      </c>
      <c r="X1743" s="280"/>
      <c r="Y1743" s="281">
        <f t="shared" si="591"/>
        <v>0</v>
      </c>
      <c r="Z1743" s="282">
        <f t="shared" si="592"/>
        <v>0</v>
      </c>
      <c r="AA1743" s="282"/>
      <c r="AB1743" s="812"/>
      <c r="AC1743" s="279"/>
      <c r="AD1743" s="443" t="s">
        <v>737</v>
      </c>
      <c r="AE1743" s="210"/>
      <c r="AF1743" s="210"/>
      <c r="AG1743" s="211">
        <f t="shared" si="593"/>
        <v>0.309</v>
      </c>
      <c r="AH1743" s="157">
        <f t="shared" si="594"/>
        <v>0</v>
      </c>
      <c r="AI1743" s="152">
        <f t="shared" si="595"/>
        <v>30240</v>
      </c>
      <c r="AK1743" s="156" t="s">
        <v>691</v>
      </c>
      <c r="AL1743" s="212" t="s">
        <v>690</v>
      </c>
      <c r="AM1743" s="198">
        <f t="shared" si="582"/>
        <v>0</v>
      </c>
      <c r="AN1743" s="199">
        <f t="shared" si="590"/>
        <v>45643</v>
      </c>
      <c r="AO1743" s="159" t="s">
        <v>692</v>
      </c>
      <c r="AP1743" s="781"/>
      <c r="AQ1743" s="782">
        <v>12063755</v>
      </c>
      <c r="AR1743" s="782">
        <v>12081257</v>
      </c>
      <c r="AS1743" s="782">
        <v>12081260</v>
      </c>
      <c r="AT1743" s="782"/>
      <c r="AU1743" s="781"/>
      <c r="AV1743" s="782">
        <v>12073316</v>
      </c>
      <c r="AW1743" s="782"/>
      <c r="AX1743" s="782"/>
      <c r="AY1743" s="782">
        <v>12073342</v>
      </c>
      <c r="AZ1743" s="782">
        <v>12073344</v>
      </c>
      <c r="BA1743" s="782">
        <v>12073343</v>
      </c>
    </row>
    <row r="1744" spans="1:53" ht="25" hidden="1" customHeight="1">
      <c r="B1744" s="385">
        <v>45643</v>
      </c>
      <c r="C1744" s="386">
        <v>45664</v>
      </c>
      <c r="D1744" s="185">
        <f t="shared" si="588"/>
        <v>2024</v>
      </c>
      <c r="E1744" s="386" t="str">
        <f>VLOOKUP($B1744,Week!$A$1:$C$1462,2,0)</f>
        <v>Week51</v>
      </c>
      <c r="F1744" s="387" t="str">
        <f t="shared" si="589"/>
        <v>Dec</v>
      </c>
      <c r="G1744" s="388" t="s">
        <v>1837</v>
      </c>
      <c r="H1744" s="388" t="s">
        <v>600</v>
      </c>
      <c r="I1744" s="388" t="s">
        <v>2772</v>
      </c>
      <c r="J1744" s="389" t="s">
        <v>708</v>
      </c>
      <c r="K1744" s="390" t="s">
        <v>1652</v>
      </c>
      <c r="L1744" s="300" t="s">
        <v>2167</v>
      </c>
      <c r="M1744" s="389" t="s">
        <v>603</v>
      </c>
      <c r="N1744" s="637" t="s">
        <v>1404</v>
      </c>
      <c r="O1744" s="388" t="s">
        <v>602</v>
      </c>
      <c r="P1744" s="391">
        <v>8</v>
      </c>
      <c r="Q1744" s="391">
        <v>3</v>
      </c>
      <c r="R1744" s="392">
        <v>6.0000000000000001E-3</v>
      </c>
      <c r="S1744" s="388" t="s">
        <v>55</v>
      </c>
      <c r="T1744" s="388" t="s">
        <v>112</v>
      </c>
      <c r="U1744" s="601" t="s">
        <v>724</v>
      </c>
      <c r="V1744" s="393">
        <v>3500</v>
      </c>
      <c r="W1744" s="393"/>
      <c r="X1744" s="394">
        <f>(1359+27162)/8</f>
        <v>3565.125</v>
      </c>
      <c r="Y1744" s="395">
        <f t="shared" si="591"/>
        <v>65.125</v>
      </c>
      <c r="Z1744" s="396">
        <f t="shared" si="592"/>
        <v>0</v>
      </c>
      <c r="AA1744" s="396"/>
      <c r="AB1744" s="823"/>
      <c r="AC1744" s="393"/>
      <c r="AD1744" s="636" t="s">
        <v>1043</v>
      </c>
      <c r="AE1744" s="210"/>
      <c r="AF1744" s="210"/>
      <c r="AG1744" s="211">
        <f t="shared" si="593"/>
        <v>0.30199999999999999</v>
      </c>
      <c r="AH1744" s="157">
        <v>0.26621999999999996</v>
      </c>
      <c r="AI1744" s="152">
        <f t="shared" si="595"/>
        <v>28000</v>
      </c>
      <c r="AK1744" s="156" t="s">
        <v>691</v>
      </c>
      <c r="AL1744" s="212" t="s">
        <v>690</v>
      </c>
      <c r="AM1744" s="198">
        <f t="shared" si="582"/>
        <v>0</v>
      </c>
      <c r="AN1744" s="199">
        <f t="shared" si="590"/>
        <v>45643</v>
      </c>
      <c r="AO1744" s="159" t="s">
        <v>692</v>
      </c>
      <c r="AP1744" s="781" t="s">
        <v>642</v>
      </c>
      <c r="AQ1744" s="782">
        <v>12063755</v>
      </c>
      <c r="AR1744" s="782">
        <v>12061353</v>
      </c>
      <c r="AS1744" s="782">
        <v>12061354</v>
      </c>
      <c r="AT1744" s="782">
        <v>12091199</v>
      </c>
      <c r="AU1744" s="781"/>
      <c r="AV1744" s="782">
        <v>12091198</v>
      </c>
      <c r="AW1744" s="781"/>
      <c r="AX1744" s="781"/>
      <c r="AY1744" s="781"/>
      <c r="AZ1744" s="782"/>
      <c r="BA1744" s="781"/>
    </row>
    <row r="1745" spans="1:53" ht="25" hidden="1" customHeight="1">
      <c r="B1745" s="320">
        <v>45644</v>
      </c>
      <c r="C1745" s="321" t="s">
        <v>1678</v>
      </c>
      <c r="D1745" s="185">
        <f t="shared" si="588"/>
        <v>2024</v>
      </c>
      <c r="E1745" s="321" t="str">
        <f>VLOOKUP($B1745,Week!$A$1:$C$1462,2,0)</f>
        <v>Week51</v>
      </c>
      <c r="F1745" s="322" t="str">
        <f t="shared" si="589"/>
        <v>Dec</v>
      </c>
      <c r="G1745" s="323" t="s">
        <v>47</v>
      </c>
      <c r="H1745" s="323" t="s">
        <v>518</v>
      </c>
      <c r="I1745" s="323" t="s">
        <v>2702</v>
      </c>
      <c r="J1745" s="324" t="s">
        <v>70</v>
      </c>
      <c r="K1745" s="325" t="s">
        <v>564</v>
      </c>
      <c r="L1745" s="300" t="s">
        <v>2167</v>
      </c>
      <c r="M1745" s="324" t="s">
        <v>558</v>
      </c>
      <c r="N1745" s="323" t="s">
        <v>559</v>
      </c>
      <c r="O1745" s="323" t="s">
        <v>560</v>
      </c>
      <c r="P1745" s="326">
        <v>12</v>
      </c>
      <c r="Q1745" s="326">
        <v>3</v>
      </c>
      <c r="R1745" s="327">
        <v>8.0000000000000002E-3</v>
      </c>
      <c r="S1745" s="323" t="s">
        <v>40</v>
      </c>
      <c r="T1745" s="323" t="s">
        <v>56</v>
      </c>
      <c r="U1745" s="323" t="s">
        <v>57</v>
      </c>
      <c r="V1745" s="397">
        <f>342</f>
        <v>342</v>
      </c>
      <c r="W1745" s="328">
        <f>342</f>
        <v>342</v>
      </c>
      <c r="X1745" s="329"/>
      <c r="Y1745" s="330">
        <f t="shared" si="591"/>
        <v>0</v>
      </c>
      <c r="Z1745" s="331">
        <f t="shared" si="592"/>
        <v>0</v>
      </c>
      <c r="AA1745" s="331"/>
      <c r="AB1745" s="816"/>
      <c r="AC1745" s="328"/>
      <c r="AD1745" s="209"/>
      <c r="AE1745" s="210"/>
      <c r="AF1745" s="210"/>
      <c r="AG1745" s="211">
        <f t="shared" si="593"/>
        <v>0.22600000000000001</v>
      </c>
      <c r="AH1745" s="157">
        <f t="shared" ref="AH1745:AH1770" si="596">(Z1745*AG1745)/1000</f>
        <v>0</v>
      </c>
      <c r="AI1745" s="152">
        <f t="shared" si="595"/>
        <v>4104</v>
      </c>
      <c r="AK1745" s="156" t="s">
        <v>691</v>
      </c>
      <c r="AL1745" s="212" t="s">
        <v>690</v>
      </c>
      <c r="AM1745" s="198">
        <f t="shared" si="582"/>
        <v>0</v>
      </c>
      <c r="AN1745" s="199">
        <f t="shared" si="590"/>
        <v>45644</v>
      </c>
      <c r="AO1745" s="159" t="s">
        <v>692</v>
      </c>
      <c r="AP1745" s="783" t="s">
        <v>623</v>
      </c>
      <c r="AQ1745" s="782">
        <v>12071839</v>
      </c>
      <c r="AR1745" s="782">
        <v>12042650</v>
      </c>
      <c r="AS1745" s="782">
        <v>12042649</v>
      </c>
      <c r="AT1745" s="782"/>
      <c r="AU1745" s="781"/>
      <c r="AV1745" s="782">
        <v>12083156</v>
      </c>
      <c r="AW1745" s="782"/>
      <c r="AX1745" s="782"/>
      <c r="AY1745" s="782">
        <v>12083147</v>
      </c>
      <c r="AZ1745" s="782">
        <v>12083148</v>
      </c>
      <c r="BA1745" s="781"/>
    </row>
    <row r="1746" spans="1:53" ht="25" hidden="1" customHeight="1">
      <c r="B1746" s="320">
        <v>45644</v>
      </c>
      <c r="C1746" s="321" t="s">
        <v>1874</v>
      </c>
      <c r="D1746" s="185">
        <f t="shared" si="588"/>
        <v>2024</v>
      </c>
      <c r="E1746" s="321" t="str">
        <f>VLOOKUP($B1746,Week!$A$1:$C$1462,2,0)</f>
        <v>Week51</v>
      </c>
      <c r="F1746" s="322" t="str">
        <f t="shared" si="589"/>
        <v>Dec</v>
      </c>
      <c r="G1746" s="323" t="s">
        <v>47</v>
      </c>
      <c r="H1746" s="323" t="s">
        <v>518</v>
      </c>
      <c r="I1746" s="323" t="s">
        <v>2702</v>
      </c>
      <c r="J1746" s="324" t="s">
        <v>70</v>
      </c>
      <c r="K1746" s="325" t="s">
        <v>564</v>
      </c>
      <c r="L1746" s="300" t="s">
        <v>2167</v>
      </c>
      <c r="M1746" s="324" t="s">
        <v>558</v>
      </c>
      <c r="N1746" s="323" t="s">
        <v>559</v>
      </c>
      <c r="O1746" s="323" t="s">
        <v>560</v>
      </c>
      <c r="P1746" s="326">
        <v>12</v>
      </c>
      <c r="Q1746" s="326">
        <v>3</v>
      </c>
      <c r="R1746" s="327">
        <v>8.0000000000000002E-3</v>
      </c>
      <c r="S1746" s="323" t="s">
        <v>40</v>
      </c>
      <c r="T1746" s="323" t="s">
        <v>56</v>
      </c>
      <c r="U1746" s="323" t="s">
        <v>57</v>
      </c>
      <c r="V1746" s="397">
        <f>125</f>
        <v>125</v>
      </c>
      <c r="W1746" s="328">
        <f>1+473-342-7</f>
        <v>125</v>
      </c>
      <c r="X1746" s="329"/>
      <c r="Y1746" s="330">
        <f t="shared" si="591"/>
        <v>0</v>
      </c>
      <c r="Z1746" s="331">
        <f t="shared" si="592"/>
        <v>0</v>
      </c>
      <c r="AA1746" s="331"/>
      <c r="AB1746" s="816"/>
      <c r="AC1746" s="328"/>
      <c r="AD1746" s="209"/>
      <c r="AE1746" s="210"/>
      <c r="AF1746" s="210"/>
      <c r="AG1746" s="211">
        <f t="shared" si="593"/>
        <v>0.22600000000000001</v>
      </c>
      <c r="AH1746" s="157">
        <f t="shared" si="596"/>
        <v>0</v>
      </c>
      <c r="AI1746" s="152">
        <f t="shared" si="595"/>
        <v>1500</v>
      </c>
      <c r="AK1746" s="156" t="s">
        <v>691</v>
      </c>
      <c r="AL1746" s="212" t="s">
        <v>690</v>
      </c>
      <c r="AM1746" s="198">
        <f t="shared" si="582"/>
        <v>0</v>
      </c>
      <c r="AN1746" s="199">
        <f t="shared" si="590"/>
        <v>45644</v>
      </c>
      <c r="AO1746" s="159" t="s">
        <v>692</v>
      </c>
      <c r="AP1746" s="783" t="s">
        <v>623</v>
      </c>
      <c r="AQ1746" s="782">
        <v>12071839</v>
      </c>
      <c r="AR1746" s="782">
        <v>12042650</v>
      </c>
      <c r="AS1746" s="782">
        <v>12042649</v>
      </c>
      <c r="AT1746" s="782"/>
      <c r="AU1746" s="781"/>
      <c r="AV1746" s="782">
        <v>12083156</v>
      </c>
      <c r="AW1746" s="782"/>
      <c r="AX1746" s="782"/>
      <c r="AY1746" s="782">
        <v>12083147</v>
      </c>
      <c r="AZ1746" s="782">
        <v>12083148</v>
      </c>
      <c r="BA1746" s="781"/>
    </row>
    <row r="1747" spans="1:53" ht="25" hidden="1" customHeight="1">
      <c r="B1747" s="332">
        <v>45644</v>
      </c>
      <c r="C1747" s="333" t="s">
        <v>1678</v>
      </c>
      <c r="D1747" s="185">
        <f t="shared" si="588"/>
        <v>2024</v>
      </c>
      <c r="E1747" s="333" t="str">
        <f>VLOOKUP($B1747,Week!$A$1:$C$1462,2,0)</f>
        <v>Week51</v>
      </c>
      <c r="F1747" s="334" t="str">
        <f t="shared" si="589"/>
        <v>Dec</v>
      </c>
      <c r="G1747" s="335" t="s">
        <v>47</v>
      </c>
      <c r="H1747" s="335" t="s">
        <v>518</v>
      </c>
      <c r="I1747" s="335" t="s">
        <v>2702</v>
      </c>
      <c r="J1747" s="336" t="s">
        <v>70</v>
      </c>
      <c r="K1747" s="337" t="s">
        <v>582</v>
      </c>
      <c r="L1747" s="300" t="s">
        <v>2167</v>
      </c>
      <c r="M1747" s="336" t="s">
        <v>534</v>
      </c>
      <c r="N1747" s="530" t="s">
        <v>578</v>
      </c>
      <c r="O1747" s="335" t="s">
        <v>583</v>
      </c>
      <c r="P1747" s="338">
        <v>12</v>
      </c>
      <c r="Q1747" s="338">
        <v>3</v>
      </c>
      <c r="R1747" s="339">
        <v>6.0000000000000001E-3</v>
      </c>
      <c r="S1747" s="335" t="s">
        <v>55</v>
      </c>
      <c r="T1747" s="335" t="s">
        <v>56</v>
      </c>
      <c r="U1747" s="335" t="s">
        <v>57</v>
      </c>
      <c r="V1747" s="341">
        <f>268+50</f>
        <v>318</v>
      </c>
      <c r="W1747" s="341">
        <v>318</v>
      </c>
      <c r="X1747" s="342"/>
      <c r="Y1747" s="531">
        <f t="shared" ref="Y1747:Y1753" si="597">(W1747+X1747)-V1747</f>
        <v>0</v>
      </c>
      <c r="Z1747" s="344">
        <f t="shared" si="592"/>
        <v>0</v>
      </c>
      <c r="AA1747" s="344"/>
      <c r="AB1747" s="817"/>
      <c r="AC1747" s="341"/>
      <c r="AD1747" s="209"/>
      <c r="AE1747" s="210"/>
      <c r="AF1747" s="210"/>
      <c r="AG1747" s="211">
        <f t="shared" si="593"/>
        <v>0.191</v>
      </c>
      <c r="AH1747" s="157">
        <f t="shared" si="596"/>
        <v>0</v>
      </c>
      <c r="AI1747" s="152">
        <f t="shared" si="595"/>
        <v>3816</v>
      </c>
      <c r="AK1747" s="156" t="s">
        <v>691</v>
      </c>
      <c r="AL1747" s="212" t="s">
        <v>690</v>
      </c>
      <c r="AM1747" s="198">
        <f t="shared" ref="AM1747:AM1755" si="598">AG1747*Z1747</f>
        <v>0</v>
      </c>
      <c r="AN1747" s="199">
        <f t="shared" si="590"/>
        <v>45644</v>
      </c>
      <c r="AO1747" s="159" t="s">
        <v>692</v>
      </c>
      <c r="AP1747" s="781"/>
      <c r="AQ1747" s="782">
        <v>12071839</v>
      </c>
      <c r="AR1747" s="782">
        <v>12042650</v>
      </c>
      <c r="AS1747" s="782">
        <v>12042649</v>
      </c>
      <c r="AT1747" s="782"/>
      <c r="AU1747" s="781"/>
      <c r="AV1747" s="782">
        <v>12083313</v>
      </c>
      <c r="AW1747" s="782"/>
      <c r="AX1747" s="782"/>
      <c r="AY1747" s="782">
        <v>12083308</v>
      </c>
      <c r="AZ1747" s="782">
        <v>12083312</v>
      </c>
      <c r="BA1747" s="781"/>
    </row>
    <row r="1748" spans="1:53" ht="25" hidden="1" customHeight="1">
      <c r="B1748" s="332">
        <v>45644</v>
      </c>
      <c r="C1748" s="333" t="s">
        <v>1874</v>
      </c>
      <c r="D1748" s="185">
        <f t="shared" si="588"/>
        <v>2024</v>
      </c>
      <c r="E1748" s="333" t="str">
        <f>VLOOKUP($B1748,Week!$A$1:$C$1462,2,0)</f>
        <v>Week51</v>
      </c>
      <c r="F1748" s="334" t="str">
        <f t="shared" si="589"/>
        <v>Dec</v>
      </c>
      <c r="G1748" s="335" t="s">
        <v>47</v>
      </c>
      <c r="H1748" s="335" t="s">
        <v>518</v>
      </c>
      <c r="I1748" s="335" t="s">
        <v>2702</v>
      </c>
      <c r="J1748" s="336" t="s">
        <v>70</v>
      </c>
      <c r="K1748" s="337" t="s">
        <v>582</v>
      </c>
      <c r="L1748" s="300" t="s">
        <v>2167</v>
      </c>
      <c r="M1748" s="336" t="s">
        <v>534</v>
      </c>
      <c r="N1748" s="530" t="s">
        <v>578</v>
      </c>
      <c r="O1748" s="335" t="s">
        <v>583</v>
      </c>
      <c r="P1748" s="338">
        <v>12</v>
      </c>
      <c r="Q1748" s="338">
        <v>3</v>
      </c>
      <c r="R1748" s="339">
        <v>6.0000000000000001E-3</v>
      </c>
      <c r="S1748" s="335" t="s">
        <v>55</v>
      </c>
      <c r="T1748" s="335" t="s">
        <v>56</v>
      </c>
      <c r="U1748" s="335" t="s">
        <v>57</v>
      </c>
      <c r="V1748" s="341">
        <f>145</f>
        <v>145</v>
      </c>
      <c r="W1748" s="341">
        <f>1+473-318-11</f>
        <v>145</v>
      </c>
      <c r="X1748" s="342"/>
      <c r="Y1748" s="343">
        <f t="shared" si="597"/>
        <v>0</v>
      </c>
      <c r="Z1748" s="344">
        <f t="shared" si="592"/>
        <v>0</v>
      </c>
      <c r="AA1748" s="344"/>
      <c r="AB1748" s="817"/>
      <c r="AC1748" s="341"/>
      <c r="AD1748" s="209"/>
      <c r="AE1748" s="210"/>
      <c r="AF1748" s="210"/>
      <c r="AG1748" s="211">
        <f t="shared" si="593"/>
        <v>0.191</v>
      </c>
      <c r="AH1748" s="157">
        <f t="shared" si="596"/>
        <v>0</v>
      </c>
      <c r="AI1748" s="152">
        <f t="shared" si="595"/>
        <v>1740</v>
      </c>
      <c r="AK1748" s="156" t="s">
        <v>691</v>
      </c>
      <c r="AL1748" s="212" t="s">
        <v>690</v>
      </c>
      <c r="AM1748" s="198">
        <f t="shared" si="598"/>
        <v>0</v>
      </c>
      <c r="AN1748" s="199">
        <f t="shared" si="590"/>
        <v>45644</v>
      </c>
      <c r="AO1748" s="159" t="s">
        <v>692</v>
      </c>
      <c r="AP1748" s="781"/>
      <c r="AQ1748" s="782">
        <v>12071839</v>
      </c>
      <c r="AR1748" s="782">
        <v>12042650</v>
      </c>
      <c r="AS1748" s="782">
        <v>12042649</v>
      </c>
      <c r="AT1748" s="782"/>
      <c r="AU1748" s="781"/>
      <c r="AV1748" s="782">
        <v>12083313</v>
      </c>
      <c r="AW1748" s="782"/>
      <c r="AX1748" s="782"/>
      <c r="AY1748" s="782">
        <v>12083308</v>
      </c>
      <c r="AZ1748" s="782">
        <v>12083312</v>
      </c>
      <c r="BA1748" s="781"/>
    </row>
    <row r="1749" spans="1:53" ht="25" hidden="1" customHeight="1">
      <c r="B1749" s="271">
        <v>45644</v>
      </c>
      <c r="C1749" s="272" t="s">
        <v>1678</v>
      </c>
      <c r="D1749" s="185">
        <f t="shared" si="588"/>
        <v>2024</v>
      </c>
      <c r="E1749" s="272" t="str">
        <f>VLOOKUP($B1749,Week!$A$1:$C$1462,2,0)</f>
        <v>Week51</v>
      </c>
      <c r="F1749" s="273" t="str">
        <f t="shared" si="589"/>
        <v>Dec</v>
      </c>
      <c r="G1749" s="274" t="s">
        <v>47</v>
      </c>
      <c r="H1749" s="274" t="s">
        <v>518</v>
      </c>
      <c r="I1749" s="274" t="s">
        <v>2702</v>
      </c>
      <c r="J1749" s="275" t="s">
        <v>70</v>
      </c>
      <c r="K1749" s="276" t="s">
        <v>556</v>
      </c>
      <c r="L1749" s="300" t="s">
        <v>2167</v>
      </c>
      <c r="M1749" s="275" t="s">
        <v>520</v>
      </c>
      <c r="N1749" s="423" t="s">
        <v>586</v>
      </c>
      <c r="O1749" s="274" t="s">
        <v>585</v>
      </c>
      <c r="P1749" s="277">
        <v>12</v>
      </c>
      <c r="Q1749" s="277">
        <v>5</v>
      </c>
      <c r="R1749" s="278">
        <v>6.0000000000000001E-3</v>
      </c>
      <c r="S1749" s="274" t="s">
        <v>55</v>
      </c>
      <c r="T1749" s="274" t="s">
        <v>56</v>
      </c>
      <c r="U1749" s="274" t="s">
        <v>57</v>
      </c>
      <c r="V1749" s="279">
        <f>212+50</f>
        <v>262</v>
      </c>
      <c r="W1749" s="279">
        <v>262</v>
      </c>
      <c r="X1749" s="280"/>
      <c r="Y1749" s="281">
        <f t="shared" si="597"/>
        <v>0</v>
      </c>
      <c r="Z1749" s="282">
        <f t="shared" si="592"/>
        <v>0</v>
      </c>
      <c r="AA1749" s="282"/>
      <c r="AB1749" s="812"/>
      <c r="AC1749" s="279"/>
      <c r="AD1749" s="209"/>
      <c r="AE1749" s="210"/>
      <c r="AF1749" s="210"/>
      <c r="AG1749" s="211">
        <f t="shared" si="593"/>
        <v>0.13500000000000001</v>
      </c>
      <c r="AH1749" s="157">
        <f t="shared" si="596"/>
        <v>0</v>
      </c>
      <c r="AI1749" s="152">
        <f t="shared" si="595"/>
        <v>3144</v>
      </c>
      <c r="AK1749" s="156" t="s">
        <v>691</v>
      </c>
      <c r="AL1749" s="212" t="s">
        <v>690</v>
      </c>
      <c r="AM1749" s="198">
        <f>AG1749*Z1749</f>
        <v>0</v>
      </c>
      <c r="AN1749" s="199">
        <f t="shared" si="590"/>
        <v>45644</v>
      </c>
      <c r="AO1749" s="159" t="s">
        <v>692</v>
      </c>
      <c r="AP1749" s="781"/>
      <c r="AQ1749" s="782">
        <v>12071839</v>
      </c>
      <c r="AR1749" s="782">
        <v>12047514</v>
      </c>
      <c r="AS1749" s="782">
        <v>12047515</v>
      </c>
      <c r="AT1749" s="782"/>
      <c r="AU1749" s="781"/>
      <c r="AV1749" s="782">
        <v>12083307</v>
      </c>
      <c r="AW1749" s="782"/>
      <c r="AX1749" s="782"/>
      <c r="AY1749" s="782">
        <v>12083305</v>
      </c>
      <c r="AZ1749" s="782">
        <v>12083306</v>
      </c>
      <c r="BA1749" s="781"/>
    </row>
    <row r="1750" spans="1:53" ht="25" hidden="1" customHeight="1">
      <c r="B1750" s="271">
        <v>45644</v>
      </c>
      <c r="C1750" s="272" t="s">
        <v>1874</v>
      </c>
      <c r="D1750" s="185">
        <f t="shared" si="588"/>
        <v>2024</v>
      </c>
      <c r="E1750" s="272" t="str">
        <f>VLOOKUP($B1750,Week!$A$1:$C$1462,2,0)</f>
        <v>Week51</v>
      </c>
      <c r="F1750" s="273" t="str">
        <f t="shared" si="589"/>
        <v>Dec</v>
      </c>
      <c r="G1750" s="274" t="s">
        <v>47</v>
      </c>
      <c r="H1750" s="274" t="s">
        <v>518</v>
      </c>
      <c r="I1750" s="274" t="s">
        <v>2702</v>
      </c>
      <c r="J1750" s="275" t="s">
        <v>70</v>
      </c>
      <c r="K1750" s="276" t="s">
        <v>556</v>
      </c>
      <c r="L1750" s="300" t="s">
        <v>2167</v>
      </c>
      <c r="M1750" s="275" t="s">
        <v>520</v>
      </c>
      <c r="N1750" s="423" t="s">
        <v>586</v>
      </c>
      <c r="O1750" s="274" t="s">
        <v>585</v>
      </c>
      <c r="P1750" s="277">
        <v>12</v>
      </c>
      <c r="Q1750" s="277">
        <v>5</v>
      </c>
      <c r="R1750" s="278">
        <v>6.0000000000000001E-3</v>
      </c>
      <c r="S1750" s="274" t="s">
        <v>55</v>
      </c>
      <c r="T1750" s="274" t="s">
        <v>56</v>
      </c>
      <c r="U1750" s="274" t="s">
        <v>57</v>
      </c>
      <c r="V1750" s="279">
        <f>219</f>
        <v>219</v>
      </c>
      <c r="W1750" s="279">
        <v>219</v>
      </c>
      <c r="X1750" s="280"/>
      <c r="Y1750" s="281">
        <f t="shared" si="597"/>
        <v>0</v>
      </c>
      <c r="Z1750" s="282">
        <f t="shared" si="592"/>
        <v>0</v>
      </c>
      <c r="AA1750" s="282"/>
      <c r="AB1750" s="812"/>
      <c r="AC1750" s="279"/>
      <c r="AD1750" s="209"/>
      <c r="AE1750" s="210"/>
      <c r="AF1750" s="210"/>
      <c r="AG1750" s="211">
        <f t="shared" si="593"/>
        <v>0.13500000000000001</v>
      </c>
      <c r="AH1750" s="157">
        <f t="shared" si="596"/>
        <v>0</v>
      </c>
      <c r="AI1750" s="152">
        <f t="shared" si="595"/>
        <v>2628</v>
      </c>
      <c r="AK1750" s="156" t="s">
        <v>691</v>
      </c>
      <c r="AL1750" s="212" t="s">
        <v>690</v>
      </c>
      <c r="AM1750" s="198">
        <f t="shared" si="598"/>
        <v>0</v>
      </c>
      <c r="AN1750" s="199">
        <f t="shared" si="590"/>
        <v>45644</v>
      </c>
      <c r="AO1750" s="159" t="s">
        <v>692</v>
      </c>
      <c r="AP1750" s="781"/>
      <c r="AQ1750" s="782">
        <v>12071839</v>
      </c>
      <c r="AR1750" s="782">
        <v>12047514</v>
      </c>
      <c r="AS1750" s="782">
        <v>12047515</v>
      </c>
      <c r="AT1750" s="782"/>
      <c r="AU1750" s="781"/>
      <c r="AV1750" s="782">
        <v>12083307</v>
      </c>
      <c r="AW1750" s="782"/>
      <c r="AX1750" s="782"/>
      <c r="AY1750" s="782">
        <v>12083305</v>
      </c>
      <c r="AZ1750" s="782">
        <v>12083306</v>
      </c>
      <c r="BA1750" s="781"/>
    </row>
    <row r="1751" spans="1:53" ht="24.65" hidden="1" customHeight="1">
      <c r="A1751" s="529" t="s">
        <v>1812</v>
      </c>
      <c r="B1751" s="357">
        <v>45644</v>
      </c>
      <c r="C1751" s="358" t="s">
        <v>1678</v>
      </c>
      <c r="D1751" s="185">
        <f t="shared" si="588"/>
        <v>2024</v>
      </c>
      <c r="E1751" s="358" t="str">
        <f>VLOOKUP($B1751,Week!$A$1:$C$1462,2,0)</f>
        <v>Week51</v>
      </c>
      <c r="F1751" s="360" t="str">
        <f t="shared" si="589"/>
        <v>Dec</v>
      </c>
      <c r="G1751" s="359" t="s">
        <v>1881</v>
      </c>
      <c r="H1751" s="359" t="s">
        <v>1820</v>
      </c>
      <c r="I1751" s="359" t="s">
        <v>1820</v>
      </c>
      <c r="J1751" s="437" t="s">
        <v>1821</v>
      </c>
      <c r="K1751" s="362" t="s">
        <v>94</v>
      </c>
      <c r="L1751" s="300" t="s">
        <v>2167</v>
      </c>
      <c r="M1751" s="361" t="s">
        <v>1823</v>
      </c>
      <c r="N1751" s="436" t="s">
        <v>1818</v>
      </c>
      <c r="O1751" s="359" t="s">
        <v>97</v>
      </c>
      <c r="P1751" s="363">
        <v>12</v>
      </c>
      <c r="Q1751" s="363">
        <v>5</v>
      </c>
      <c r="R1751" s="364">
        <v>8.0000000000000002E-3</v>
      </c>
      <c r="S1751" s="359" t="s">
        <v>40</v>
      </c>
      <c r="T1751" s="359" t="s">
        <v>56</v>
      </c>
      <c r="U1751" s="359" t="s">
        <v>57</v>
      </c>
      <c r="V1751" s="365">
        <f>200</f>
        <v>200</v>
      </c>
      <c r="W1751" s="365"/>
      <c r="X1751" s="366">
        <f>2400/12</f>
        <v>200</v>
      </c>
      <c r="Y1751" s="367">
        <f t="shared" si="597"/>
        <v>0</v>
      </c>
      <c r="Z1751" s="368">
        <f t="shared" si="592"/>
        <v>0</v>
      </c>
      <c r="AA1751" s="368"/>
      <c r="AB1751" s="819"/>
      <c r="AC1751" s="365"/>
      <c r="AD1751" s="209"/>
      <c r="AE1751" s="210"/>
      <c r="AF1751" s="210"/>
      <c r="AG1751" s="211">
        <f t="shared" si="593"/>
        <v>0.14499999999999999</v>
      </c>
      <c r="AH1751" s="157">
        <f t="shared" si="596"/>
        <v>0</v>
      </c>
      <c r="AI1751" s="152">
        <f t="shared" si="595"/>
        <v>2400</v>
      </c>
      <c r="AK1751" s="156" t="s">
        <v>691</v>
      </c>
      <c r="AL1751" s="574" t="s">
        <v>690</v>
      </c>
      <c r="AM1751" s="198">
        <f t="shared" si="598"/>
        <v>0</v>
      </c>
      <c r="AN1751" s="199">
        <f t="shared" si="590"/>
        <v>45644</v>
      </c>
      <c r="AO1751" s="159" t="s">
        <v>692</v>
      </c>
      <c r="AP1751" s="783" t="s">
        <v>628</v>
      </c>
      <c r="AQ1751" s="782">
        <v>12071839</v>
      </c>
      <c r="AR1751" s="782">
        <v>12047514</v>
      </c>
      <c r="AS1751" s="782">
        <v>12047515</v>
      </c>
      <c r="AT1751" s="782"/>
      <c r="AU1751" s="781"/>
      <c r="AV1751" s="782">
        <v>12080617</v>
      </c>
      <c r="AW1751" s="782"/>
      <c r="AX1751" s="782"/>
      <c r="AY1751" s="782">
        <v>12080618</v>
      </c>
      <c r="AZ1751" s="782">
        <v>12080619</v>
      </c>
      <c r="BA1751" s="781"/>
    </row>
    <row r="1752" spans="1:53" ht="25" hidden="1" customHeight="1">
      <c r="A1752" s="529" t="s">
        <v>1937</v>
      </c>
      <c r="B1752" s="357">
        <v>45644</v>
      </c>
      <c r="C1752" s="776" t="s">
        <v>1874</v>
      </c>
      <c r="D1752" s="185">
        <f t="shared" si="588"/>
        <v>2024</v>
      </c>
      <c r="E1752" s="358" t="str">
        <f>VLOOKUP($B1752,Week!$A$1:$C$1462,2,0)</f>
        <v>Week51</v>
      </c>
      <c r="F1752" s="360" t="str">
        <f t="shared" si="589"/>
        <v>Dec</v>
      </c>
      <c r="G1752" s="359" t="s">
        <v>47</v>
      </c>
      <c r="H1752" s="359" t="s">
        <v>518</v>
      </c>
      <c r="I1752" s="359" t="s">
        <v>2702</v>
      </c>
      <c r="J1752" s="361" t="s">
        <v>70</v>
      </c>
      <c r="K1752" s="362" t="s">
        <v>94</v>
      </c>
      <c r="L1752" s="300" t="s">
        <v>2167</v>
      </c>
      <c r="M1752" s="361" t="s">
        <v>519</v>
      </c>
      <c r="N1752" s="436" t="s">
        <v>648</v>
      </c>
      <c r="O1752" s="359" t="s">
        <v>97</v>
      </c>
      <c r="P1752" s="363">
        <v>12</v>
      </c>
      <c r="Q1752" s="363">
        <v>5</v>
      </c>
      <c r="R1752" s="364">
        <v>8.0000000000000002E-3</v>
      </c>
      <c r="S1752" s="359" t="s">
        <v>40</v>
      </c>
      <c r="T1752" s="359" t="s">
        <v>56</v>
      </c>
      <c r="U1752" s="359" t="s">
        <v>57</v>
      </c>
      <c r="V1752" s="365">
        <v>12</v>
      </c>
      <c r="W1752" s="365">
        <f>144/12</f>
        <v>12</v>
      </c>
      <c r="X1752" s="366"/>
      <c r="Y1752" s="367">
        <f t="shared" si="597"/>
        <v>0</v>
      </c>
      <c r="Z1752" s="368">
        <f t="shared" si="592"/>
        <v>0</v>
      </c>
      <c r="AA1752" s="368"/>
      <c r="AB1752" s="819"/>
      <c r="AC1752" s="365"/>
      <c r="AD1752" s="209"/>
      <c r="AE1752" s="210"/>
      <c r="AF1752" s="210"/>
      <c r="AG1752" s="211">
        <f t="shared" si="593"/>
        <v>0.14499999999999999</v>
      </c>
      <c r="AH1752" s="157">
        <f t="shared" si="596"/>
        <v>0</v>
      </c>
      <c r="AI1752" s="152">
        <f t="shared" si="595"/>
        <v>144</v>
      </c>
      <c r="AK1752" s="156" t="s">
        <v>691</v>
      </c>
      <c r="AL1752" s="574" t="s">
        <v>690</v>
      </c>
      <c r="AM1752" s="198">
        <f t="shared" si="598"/>
        <v>0</v>
      </c>
      <c r="AN1752" s="199">
        <f t="shared" si="590"/>
        <v>45644</v>
      </c>
      <c r="AO1752" s="159" t="s">
        <v>692</v>
      </c>
      <c r="AP1752" s="783" t="s">
        <v>628</v>
      </c>
      <c r="AQ1752" s="782">
        <v>12071839</v>
      </c>
      <c r="AR1752" s="782">
        <v>12047514</v>
      </c>
      <c r="AS1752" s="782">
        <v>12047515</v>
      </c>
      <c r="AT1752" s="782"/>
      <c r="AU1752" s="781"/>
      <c r="AV1752" s="782">
        <v>12080617</v>
      </c>
      <c r="AW1752" s="782"/>
      <c r="AX1752" s="782"/>
      <c r="AY1752" s="782">
        <v>12080618</v>
      </c>
      <c r="AZ1752" s="782">
        <v>12080619</v>
      </c>
      <c r="BA1752" s="781"/>
    </row>
    <row r="1753" spans="1:53" ht="25" hidden="1" customHeight="1">
      <c r="B1753" s="357">
        <v>45644</v>
      </c>
      <c r="C1753" s="776" t="s">
        <v>1874</v>
      </c>
      <c r="D1753" s="185">
        <f t="shared" si="588"/>
        <v>2024</v>
      </c>
      <c r="E1753" s="358" t="str">
        <f>VLOOKUP($B1753,Week!$A$1:$C$1462,2,0)</f>
        <v>Week51</v>
      </c>
      <c r="F1753" s="360" t="str">
        <f t="shared" si="589"/>
        <v>Dec</v>
      </c>
      <c r="G1753" s="359" t="s">
        <v>47</v>
      </c>
      <c r="H1753" s="359" t="s">
        <v>518</v>
      </c>
      <c r="I1753" s="359" t="s">
        <v>2702</v>
      </c>
      <c r="J1753" s="361" t="s">
        <v>70</v>
      </c>
      <c r="K1753" s="362" t="s">
        <v>94</v>
      </c>
      <c r="L1753" s="300" t="s">
        <v>2167</v>
      </c>
      <c r="M1753" s="361" t="s">
        <v>519</v>
      </c>
      <c r="N1753" s="359" t="s">
        <v>589</v>
      </c>
      <c r="O1753" s="359" t="s">
        <v>97</v>
      </c>
      <c r="P1753" s="363">
        <v>12</v>
      </c>
      <c r="Q1753" s="363">
        <v>5</v>
      </c>
      <c r="R1753" s="364">
        <v>8.0000000000000002E-3</v>
      </c>
      <c r="S1753" s="359" t="s">
        <v>40</v>
      </c>
      <c r="T1753" s="359" t="s">
        <v>56</v>
      </c>
      <c r="U1753" s="359" t="s">
        <v>57</v>
      </c>
      <c r="V1753" s="365">
        <f>2227</f>
        <v>2227</v>
      </c>
      <c r="W1753" s="365">
        <f>2227</f>
        <v>2227</v>
      </c>
      <c r="X1753" s="366"/>
      <c r="Y1753" s="367">
        <f t="shared" si="597"/>
        <v>0</v>
      </c>
      <c r="Z1753" s="368">
        <f t="shared" si="592"/>
        <v>0</v>
      </c>
      <c r="AA1753" s="368"/>
      <c r="AB1753" s="819"/>
      <c r="AC1753" s="365"/>
      <c r="AD1753" s="209"/>
      <c r="AE1753" s="210"/>
      <c r="AF1753" s="210"/>
      <c r="AG1753" s="211">
        <f t="shared" si="593"/>
        <v>0.14499999999999999</v>
      </c>
      <c r="AH1753" s="157">
        <f t="shared" si="596"/>
        <v>0</v>
      </c>
      <c r="AI1753" s="152">
        <f t="shared" si="595"/>
        <v>26724</v>
      </c>
      <c r="AK1753" s="156" t="s">
        <v>691</v>
      </c>
      <c r="AL1753" s="574" t="s">
        <v>690</v>
      </c>
      <c r="AM1753" s="198">
        <f t="shared" si="598"/>
        <v>0</v>
      </c>
      <c r="AN1753" s="199">
        <f t="shared" si="590"/>
        <v>45644</v>
      </c>
      <c r="AO1753" s="159" t="s">
        <v>692</v>
      </c>
      <c r="AP1753" s="783" t="s">
        <v>628</v>
      </c>
      <c r="AQ1753" s="782">
        <v>12071839</v>
      </c>
      <c r="AR1753" s="782">
        <v>12047514</v>
      </c>
      <c r="AS1753" s="782">
        <v>12047515</v>
      </c>
      <c r="AT1753" s="782"/>
      <c r="AU1753" s="781"/>
      <c r="AV1753" s="782">
        <v>12080617</v>
      </c>
      <c r="AW1753" s="782"/>
      <c r="AX1753" s="782"/>
      <c r="AY1753" s="782">
        <v>12080618</v>
      </c>
      <c r="AZ1753" s="782">
        <v>12080619</v>
      </c>
      <c r="BA1753" s="781"/>
    </row>
    <row r="1754" spans="1:53" ht="25" hidden="1" customHeight="1">
      <c r="B1754" s="398">
        <v>45644</v>
      </c>
      <c r="C1754" s="399" t="s">
        <v>1678</v>
      </c>
      <c r="D1754" s="185">
        <f t="shared" si="588"/>
        <v>2024</v>
      </c>
      <c r="E1754" s="399" t="str">
        <f>VLOOKUP($B1754,Week!$A$1:$C$1462,2,0)</f>
        <v>Week51</v>
      </c>
      <c r="F1754" s="400" t="str">
        <f t="shared" si="589"/>
        <v>Dec</v>
      </c>
      <c r="G1754" s="401" t="s">
        <v>47</v>
      </c>
      <c r="H1754" s="401" t="s">
        <v>518</v>
      </c>
      <c r="I1754" s="401" t="s">
        <v>2702</v>
      </c>
      <c r="J1754" s="402" t="s">
        <v>70</v>
      </c>
      <c r="K1754" s="403" t="s">
        <v>1645</v>
      </c>
      <c r="L1754" s="300" t="s">
        <v>2167</v>
      </c>
      <c r="M1754" s="402" t="s">
        <v>553</v>
      </c>
      <c r="N1754" s="404" t="s">
        <v>557</v>
      </c>
      <c r="O1754" s="401" t="s">
        <v>101</v>
      </c>
      <c r="P1754" s="405">
        <v>12</v>
      </c>
      <c r="Q1754" s="405">
        <v>5</v>
      </c>
      <c r="R1754" s="406">
        <v>8.0000000000000002E-3</v>
      </c>
      <c r="S1754" s="401" t="s">
        <v>40</v>
      </c>
      <c r="T1754" s="401" t="s">
        <v>56</v>
      </c>
      <c r="U1754" s="770" t="s">
        <v>499</v>
      </c>
      <c r="V1754" s="407">
        <v>274</v>
      </c>
      <c r="W1754" s="407">
        <v>274</v>
      </c>
      <c r="X1754" s="408"/>
      <c r="Y1754" s="409">
        <f t="shared" ref="Y1754:Y1770" si="599">(W1754+X1754)-V1754</f>
        <v>0</v>
      </c>
      <c r="Z1754" s="410">
        <f t="shared" si="592"/>
        <v>0</v>
      </c>
      <c r="AA1754" s="410"/>
      <c r="AB1754" s="824">
        <v>1</v>
      </c>
      <c r="AC1754" s="407">
        <f>Z1754*AB1754</f>
        <v>0</v>
      </c>
      <c r="AD1754" s="443" t="s">
        <v>1907</v>
      </c>
      <c r="AE1754" s="210"/>
      <c r="AF1754" s="210"/>
      <c r="AG1754" s="211">
        <f t="shared" si="593"/>
        <v>0.115</v>
      </c>
      <c r="AH1754" s="157">
        <f t="shared" si="596"/>
        <v>0</v>
      </c>
      <c r="AI1754" s="152">
        <f t="shared" si="595"/>
        <v>3288</v>
      </c>
      <c r="AK1754" s="156" t="s">
        <v>691</v>
      </c>
      <c r="AL1754" s="212" t="s">
        <v>690</v>
      </c>
      <c r="AM1754" s="198">
        <f>AG1754*Z1754</f>
        <v>0</v>
      </c>
      <c r="AN1754" s="199">
        <f t="shared" si="590"/>
        <v>45644</v>
      </c>
      <c r="AO1754" s="159" t="s">
        <v>692</v>
      </c>
      <c r="AP1754" s="783" t="s">
        <v>623</v>
      </c>
      <c r="AQ1754" s="782">
        <v>12071839</v>
      </c>
      <c r="AR1754" s="782">
        <v>12047514</v>
      </c>
      <c r="AS1754" s="782">
        <v>12047515</v>
      </c>
      <c r="AT1754" s="782"/>
      <c r="AU1754" s="781"/>
      <c r="AV1754" s="782">
        <v>12072447</v>
      </c>
      <c r="AW1754" s="782"/>
      <c r="AX1754" s="782"/>
      <c r="AY1754" s="782">
        <v>12064574</v>
      </c>
      <c r="AZ1754" s="782">
        <v>12064576</v>
      </c>
      <c r="BA1754" s="781"/>
    </row>
    <row r="1755" spans="1:53" ht="25" hidden="1" customHeight="1">
      <c r="B1755" s="398">
        <v>45644</v>
      </c>
      <c r="C1755" s="399" t="s">
        <v>1874</v>
      </c>
      <c r="D1755" s="185">
        <f t="shared" si="588"/>
        <v>2024</v>
      </c>
      <c r="E1755" s="399" t="str">
        <f>VLOOKUP($B1755,Week!$A$1:$C$1462,2,0)</f>
        <v>Week51</v>
      </c>
      <c r="F1755" s="400" t="str">
        <f t="shared" si="589"/>
        <v>Dec</v>
      </c>
      <c r="G1755" s="401" t="s">
        <v>47</v>
      </c>
      <c r="H1755" s="401" t="s">
        <v>518</v>
      </c>
      <c r="I1755" s="401" t="s">
        <v>2702</v>
      </c>
      <c r="J1755" s="402" t="s">
        <v>70</v>
      </c>
      <c r="K1755" s="403" t="s">
        <v>1645</v>
      </c>
      <c r="L1755" s="300" t="s">
        <v>2167</v>
      </c>
      <c r="M1755" s="402" t="s">
        <v>553</v>
      </c>
      <c r="N1755" s="404" t="s">
        <v>557</v>
      </c>
      <c r="O1755" s="401" t="s">
        <v>101</v>
      </c>
      <c r="P1755" s="405">
        <v>12</v>
      </c>
      <c r="Q1755" s="405">
        <v>5</v>
      </c>
      <c r="R1755" s="406">
        <v>8.0000000000000002E-3</v>
      </c>
      <c r="S1755" s="401" t="s">
        <v>40</v>
      </c>
      <c r="T1755" s="401" t="s">
        <v>56</v>
      </c>
      <c r="U1755" s="770" t="s">
        <v>499</v>
      </c>
      <c r="V1755" s="407">
        <f>342</f>
        <v>342</v>
      </c>
      <c r="W1755" s="407">
        <f>1+622-274-7</f>
        <v>342</v>
      </c>
      <c r="X1755" s="408"/>
      <c r="Y1755" s="409">
        <f t="shared" si="599"/>
        <v>0</v>
      </c>
      <c r="Z1755" s="410">
        <f t="shared" si="592"/>
        <v>0</v>
      </c>
      <c r="AA1755" s="410"/>
      <c r="AB1755" s="824">
        <v>1</v>
      </c>
      <c r="AC1755" s="407">
        <f>Z1755*AB1755</f>
        <v>0</v>
      </c>
      <c r="AD1755" s="443" t="s">
        <v>1907</v>
      </c>
      <c r="AE1755" s="210"/>
      <c r="AF1755" s="210"/>
      <c r="AG1755" s="211">
        <f t="shared" si="593"/>
        <v>0.115</v>
      </c>
      <c r="AH1755" s="157">
        <f t="shared" si="596"/>
        <v>0</v>
      </c>
      <c r="AI1755" s="152">
        <f t="shared" si="595"/>
        <v>4104</v>
      </c>
      <c r="AK1755" s="156" t="s">
        <v>691</v>
      </c>
      <c r="AL1755" s="212" t="s">
        <v>690</v>
      </c>
      <c r="AM1755" s="198">
        <f t="shared" si="598"/>
        <v>0</v>
      </c>
      <c r="AN1755" s="199">
        <f t="shared" si="590"/>
        <v>45644</v>
      </c>
      <c r="AO1755" s="159" t="s">
        <v>692</v>
      </c>
      <c r="AP1755" s="783" t="s">
        <v>623</v>
      </c>
      <c r="AQ1755" s="782">
        <v>12071839</v>
      </c>
      <c r="AR1755" s="782">
        <v>12047514</v>
      </c>
      <c r="AS1755" s="782">
        <v>12047515</v>
      </c>
      <c r="AT1755" s="782"/>
      <c r="AU1755" s="781"/>
      <c r="AV1755" s="782">
        <v>12072447</v>
      </c>
      <c r="AW1755" s="782"/>
      <c r="AX1755" s="782"/>
      <c r="AY1755" s="782">
        <v>12064574</v>
      </c>
      <c r="AZ1755" s="782">
        <v>12064576</v>
      </c>
      <c r="BA1755" s="781"/>
    </row>
    <row r="1756" spans="1:53" ht="25" hidden="1" customHeight="1">
      <c r="A1756" s="529" t="s">
        <v>1827</v>
      </c>
      <c r="B1756" s="571">
        <v>45644</v>
      </c>
      <c r="C1756" s="235">
        <v>45651</v>
      </c>
      <c r="D1756" s="185">
        <f t="shared" si="588"/>
        <v>2024</v>
      </c>
      <c r="E1756" s="235" t="str">
        <f>VLOOKUP($B1756,Week!$A$1:$C$1462,2,0)</f>
        <v>Week51</v>
      </c>
      <c r="F1756" s="237" t="str">
        <f t="shared" si="589"/>
        <v>Dec</v>
      </c>
      <c r="G1756" s="236"/>
      <c r="H1756" s="756" t="s">
        <v>1827</v>
      </c>
      <c r="I1756" s="756" t="s">
        <v>1827</v>
      </c>
      <c r="J1756" s="774" t="s">
        <v>1828</v>
      </c>
      <c r="K1756" s="239" t="s">
        <v>94</v>
      </c>
      <c r="L1756" s="300" t="s">
        <v>2167</v>
      </c>
      <c r="M1756" s="238" t="s">
        <v>1303</v>
      </c>
      <c r="N1756" s="236" t="s">
        <v>263</v>
      </c>
      <c r="O1756" s="236" t="s">
        <v>195</v>
      </c>
      <c r="P1756" s="240">
        <v>24</v>
      </c>
      <c r="Q1756" s="240">
        <v>5</v>
      </c>
      <c r="R1756" s="241">
        <v>8.0000000000000002E-3</v>
      </c>
      <c r="S1756" s="236" t="s">
        <v>40</v>
      </c>
      <c r="T1756" s="236" t="s">
        <v>56</v>
      </c>
      <c r="U1756" s="236" t="s">
        <v>57</v>
      </c>
      <c r="V1756" s="242">
        <f>100</f>
        <v>100</v>
      </c>
      <c r="W1756" s="242">
        <f>100</f>
        <v>100</v>
      </c>
      <c r="X1756" s="243"/>
      <c r="Y1756" s="244">
        <f t="shared" si="599"/>
        <v>0</v>
      </c>
      <c r="Z1756" s="245">
        <f t="shared" si="592"/>
        <v>0</v>
      </c>
      <c r="AA1756" s="245"/>
      <c r="AB1756" s="809"/>
      <c r="AC1756" s="242"/>
      <c r="AD1756" s="209"/>
      <c r="AE1756" s="210"/>
      <c r="AF1756" s="210"/>
      <c r="AG1756" s="211">
        <f t="shared" si="593"/>
        <v>0.14499999999999999</v>
      </c>
      <c r="AH1756" s="157">
        <f t="shared" si="596"/>
        <v>0</v>
      </c>
      <c r="AI1756" s="152">
        <f t="shared" si="595"/>
        <v>2400</v>
      </c>
      <c r="AK1756" s="156" t="s">
        <v>691</v>
      </c>
      <c r="AL1756" s="574" t="s">
        <v>690</v>
      </c>
      <c r="AM1756" s="198">
        <f t="shared" ref="AM1756:AM1761" si="600">AG1756*Z1756</f>
        <v>0</v>
      </c>
      <c r="AN1756" s="199">
        <f t="shared" si="590"/>
        <v>45644</v>
      </c>
      <c r="AO1756" s="159" t="s">
        <v>692</v>
      </c>
      <c r="AP1756" s="783" t="s">
        <v>628</v>
      </c>
      <c r="AQ1756" s="782">
        <v>12071839</v>
      </c>
      <c r="AR1756" s="782">
        <v>12047514</v>
      </c>
      <c r="AS1756" s="782">
        <v>12047515</v>
      </c>
      <c r="AT1756" s="782"/>
      <c r="AU1756" s="781"/>
      <c r="AV1756" s="782">
        <v>12080617</v>
      </c>
      <c r="AW1756" s="782"/>
      <c r="AX1756" s="782"/>
      <c r="AY1756" s="782">
        <v>12080618</v>
      </c>
      <c r="AZ1756" s="782">
        <v>12080619</v>
      </c>
      <c r="BA1756" s="781"/>
    </row>
    <row r="1757" spans="1:53" ht="24.65" hidden="1" customHeight="1">
      <c r="B1757" s="411">
        <v>45644</v>
      </c>
      <c r="C1757" s="645" t="s">
        <v>1874</v>
      </c>
      <c r="D1757" s="185">
        <f t="shared" si="588"/>
        <v>2024</v>
      </c>
      <c r="E1757" s="412" t="str">
        <f>VLOOKUP($B1757,Week!$A$1:$C$1462,2,0)</f>
        <v>Week51</v>
      </c>
      <c r="F1757" s="413" t="str">
        <f t="shared" si="589"/>
        <v>Dec</v>
      </c>
      <c r="G1757" s="414" t="s">
        <v>47</v>
      </c>
      <c r="H1757" s="414" t="s">
        <v>260</v>
      </c>
      <c r="I1757" s="414" t="s">
        <v>2702</v>
      </c>
      <c r="J1757" s="415" t="s">
        <v>261</v>
      </c>
      <c r="K1757" s="416" t="s">
        <v>94</v>
      </c>
      <c r="L1757" s="300" t="s">
        <v>2167</v>
      </c>
      <c r="M1757" s="415" t="s">
        <v>1303</v>
      </c>
      <c r="N1757" s="414" t="s">
        <v>263</v>
      </c>
      <c r="O1757" s="414" t="s">
        <v>195</v>
      </c>
      <c r="P1757" s="417">
        <v>24</v>
      </c>
      <c r="Q1757" s="417">
        <v>5</v>
      </c>
      <c r="R1757" s="418">
        <v>8.0000000000000002E-3</v>
      </c>
      <c r="S1757" s="414" t="s">
        <v>40</v>
      </c>
      <c r="T1757" s="414" t="s">
        <v>56</v>
      </c>
      <c r="U1757" s="414" t="s">
        <v>57</v>
      </c>
      <c r="V1757" s="419">
        <f>3213</f>
        <v>3213</v>
      </c>
      <c r="W1757" s="419">
        <f>15+3298-100</f>
        <v>3213</v>
      </c>
      <c r="X1757" s="420"/>
      <c r="Y1757" s="421">
        <f t="shared" si="599"/>
        <v>0</v>
      </c>
      <c r="Z1757" s="422">
        <f t="shared" si="592"/>
        <v>0</v>
      </c>
      <c r="AA1757" s="422"/>
      <c r="AB1757" s="825"/>
      <c r="AC1757" s="419"/>
      <c r="AD1757" s="209"/>
      <c r="AE1757" s="210"/>
      <c r="AF1757" s="210"/>
      <c r="AG1757" s="211">
        <f t="shared" si="593"/>
        <v>0.14499999999999999</v>
      </c>
      <c r="AH1757" s="157">
        <f t="shared" si="596"/>
        <v>0</v>
      </c>
      <c r="AI1757" s="152">
        <f t="shared" si="595"/>
        <v>77112</v>
      </c>
      <c r="AK1757" s="156" t="s">
        <v>691</v>
      </c>
      <c r="AL1757" s="212" t="s">
        <v>690</v>
      </c>
      <c r="AM1757" s="198">
        <f t="shared" si="600"/>
        <v>0</v>
      </c>
      <c r="AN1757" s="199">
        <f t="shared" si="590"/>
        <v>45644</v>
      </c>
      <c r="AO1757" s="159" t="s">
        <v>692</v>
      </c>
      <c r="AP1757" s="783" t="s">
        <v>609</v>
      </c>
      <c r="AQ1757" s="782">
        <v>12071839</v>
      </c>
      <c r="AR1757" s="782">
        <v>12047514</v>
      </c>
      <c r="AS1757" s="782">
        <v>12047515</v>
      </c>
      <c r="AT1757" s="781"/>
      <c r="AU1757" s="781"/>
      <c r="AV1757" s="782">
        <v>12080613</v>
      </c>
      <c r="AW1757" s="781"/>
      <c r="AX1757" s="781"/>
      <c r="AY1757" s="782">
        <v>12080614</v>
      </c>
      <c r="AZ1757" s="782">
        <v>12080616</v>
      </c>
      <c r="BA1757" s="781"/>
    </row>
    <row r="1758" spans="1:53" ht="24.65" hidden="1" customHeight="1">
      <c r="A1758" s="529" t="s">
        <v>1812</v>
      </c>
      <c r="B1758" s="546">
        <v>45644</v>
      </c>
      <c r="C1758" s="547" t="s">
        <v>1678</v>
      </c>
      <c r="D1758" s="185">
        <f t="shared" si="588"/>
        <v>2024</v>
      </c>
      <c r="E1758" s="547" t="str">
        <f>VLOOKUP($B1758,Week!$A$1:$C$1462,2,0)</f>
        <v>Week51</v>
      </c>
      <c r="F1758" s="548" t="str">
        <f t="shared" si="589"/>
        <v>Dec</v>
      </c>
      <c r="G1758" s="549" t="s">
        <v>1881</v>
      </c>
      <c r="H1758" s="549" t="s">
        <v>1820</v>
      </c>
      <c r="I1758" s="549" t="s">
        <v>1820</v>
      </c>
      <c r="J1758" s="772" t="s">
        <v>1821</v>
      </c>
      <c r="K1758" s="551" t="s">
        <v>1020</v>
      </c>
      <c r="L1758" s="300" t="s">
        <v>2167</v>
      </c>
      <c r="M1758" s="550" t="s">
        <v>1824</v>
      </c>
      <c r="N1758" s="618" t="s">
        <v>1817</v>
      </c>
      <c r="O1758" s="549" t="s">
        <v>747</v>
      </c>
      <c r="P1758" s="552">
        <v>12</v>
      </c>
      <c r="Q1758" s="552">
        <v>5</v>
      </c>
      <c r="R1758" s="549">
        <v>6.1999999999999998E-3</v>
      </c>
      <c r="S1758" s="549" t="s">
        <v>352</v>
      </c>
      <c r="T1758" s="549" t="s">
        <v>56</v>
      </c>
      <c r="U1758" s="549" t="s">
        <v>739</v>
      </c>
      <c r="V1758" s="554">
        <f>200</f>
        <v>200</v>
      </c>
      <c r="W1758" s="554"/>
      <c r="X1758" s="555">
        <f>2400/12</f>
        <v>200</v>
      </c>
      <c r="Y1758" s="556">
        <f t="shared" si="599"/>
        <v>0</v>
      </c>
      <c r="Z1758" s="557">
        <f t="shared" si="592"/>
        <v>0</v>
      </c>
      <c r="AA1758" s="557"/>
      <c r="AB1758" s="833"/>
      <c r="AC1758" s="554"/>
      <c r="AD1758" s="209"/>
      <c r="AE1758" s="210"/>
      <c r="AF1758" s="210"/>
      <c r="AG1758" s="211">
        <f t="shared" si="593"/>
        <v>0.14299999999999999</v>
      </c>
      <c r="AH1758" s="157">
        <f t="shared" si="596"/>
        <v>0</v>
      </c>
      <c r="AI1758" s="152">
        <f t="shared" si="595"/>
        <v>2400</v>
      </c>
      <c r="AK1758" s="156" t="s">
        <v>691</v>
      </c>
      <c r="AL1758" s="212" t="s">
        <v>690</v>
      </c>
      <c r="AM1758" s="198">
        <f t="shared" si="600"/>
        <v>0</v>
      </c>
      <c r="AN1758" s="199">
        <f t="shared" si="590"/>
        <v>45644</v>
      </c>
      <c r="AO1758" s="159" t="s">
        <v>692</v>
      </c>
      <c r="AP1758" s="783" t="s">
        <v>609</v>
      </c>
      <c r="AQ1758" s="782">
        <v>12071839</v>
      </c>
      <c r="AR1758" s="782">
        <v>12047514</v>
      </c>
      <c r="AS1758" s="782">
        <v>12047515</v>
      </c>
      <c r="AT1758" s="781"/>
      <c r="AU1758" s="781"/>
      <c r="AV1758" s="782">
        <v>12080616</v>
      </c>
      <c r="AW1758" s="781"/>
      <c r="AX1758" s="781"/>
      <c r="AY1758" s="782">
        <v>12089871</v>
      </c>
      <c r="AZ1758" s="782">
        <v>12089872</v>
      </c>
      <c r="BA1758" s="781"/>
    </row>
    <row r="1759" spans="1:53" ht="24.65" hidden="1" customHeight="1">
      <c r="A1759" s="529" t="s">
        <v>1827</v>
      </c>
      <c r="B1759" s="571">
        <v>45644</v>
      </c>
      <c r="C1759" s="235">
        <v>45651</v>
      </c>
      <c r="D1759" s="185">
        <f t="shared" si="588"/>
        <v>2024</v>
      </c>
      <c r="E1759" s="235" t="str">
        <f>VLOOKUP($B1759,Week!$A$1:$C$1462,2,0)</f>
        <v>Week51</v>
      </c>
      <c r="F1759" s="237" t="str">
        <f t="shared" si="589"/>
        <v>Dec</v>
      </c>
      <c r="G1759" s="236"/>
      <c r="H1759" s="756" t="s">
        <v>1827</v>
      </c>
      <c r="I1759" s="756" t="s">
        <v>1827</v>
      </c>
      <c r="J1759" s="774" t="s">
        <v>1828</v>
      </c>
      <c r="K1759" s="239" t="s">
        <v>1020</v>
      </c>
      <c r="L1759" s="300" t="s">
        <v>2167</v>
      </c>
      <c r="M1759" s="238" t="s">
        <v>741</v>
      </c>
      <c r="N1759" s="756" t="s">
        <v>740</v>
      </c>
      <c r="O1759" s="236" t="s">
        <v>742</v>
      </c>
      <c r="P1759" s="240">
        <v>24</v>
      </c>
      <c r="Q1759" s="240">
        <v>5</v>
      </c>
      <c r="R1759" s="236">
        <v>6.1999999999999998E-3</v>
      </c>
      <c r="S1759" s="236" t="s">
        <v>352</v>
      </c>
      <c r="T1759" s="236" t="s">
        <v>56</v>
      </c>
      <c r="U1759" s="236" t="s">
        <v>739</v>
      </c>
      <c r="V1759" s="242">
        <f>100</f>
        <v>100</v>
      </c>
      <c r="W1759" s="242">
        <f>100</f>
        <v>100</v>
      </c>
      <c r="X1759" s="243"/>
      <c r="Y1759" s="244">
        <f t="shared" si="599"/>
        <v>0</v>
      </c>
      <c r="Z1759" s="245">
        <f t="shared" si="592"/>
        <v>0</v>
      </c>
      <c r="AA1759" s="245"/>
      <c r="AB1759" s="809"/>
      <c r="AC1759" s="242"/>
      <c r="AD1759" s="209"/>
      <c r="AE1759" s="210"/>
      <c r="AF1759" s="210"/>
      <c r="AG1759" s="211">
        <f t="shared" si="593"/>
        <v>0.14299999999999999</v>
      </c>
      <c r="AH1759" s="157">
        <f t="shared" si="596"/>
        <v>0</v>
      </c>
      <c r="AI1759" s="152">
        <f t="shared" si="595"/>
        <v>2400</v>
      </c>
      <c r="AK1759" s="156" t="s">
        <v>691</v>
      </c>
      <c r="AL1759" s="212" t="s">
        <v>690</v>
      </c>
      <c r="AM1759" s="198">
        <f t="shared" si="600"/>
        <v>0</v>
      </c>
      <c r="AN1759" s="199">
        <f t="shared" si="590"/>
        <v>45644</v>
      </c>
      <c r="AO1759" s="159" t="s">
        <v>692</v>
      </c>
      <c r="AP1759" s="783" t="s">
        <v>609</v>
      </c>
      <c r="AQ1759" s="782">
        <v>12071839</v>
      </c>
      <c r="AR1759" s="782">
        <v>12047514</v>
      </c>
      <c r="AS1759" s="782">
        <v>12047515</v>
      </c>
      <c r="AT1759" s="781"/>
      <c r="AU1759" s="781"/>
      <c r="AV1759" s="782">
        <v>12080616</v>
      </c>
      <c r="AW1759" s="781"/>
      <c r="AX1759" s="781"/>
      <c r="AY1759" s="782">
        <v>12089871</v>
      </c>
      <c r="AZ1759" s="782">
        <v>12089872</v>
      </c>
      <c r="BA1759" s="781"/>
    </row>
    <row r="1760" spans="1:53" ht="24.75" hidden="1" customHeight="1">
      <c r="B1760" s="295">
        <v>45645</v>
      </c>
      <c r="C1760" s="771" t="s">
        <v>1874</v>
      </c>
      <c r="D1760" s="185">
        <f t="shared" si="588"/>
        <v>2024</v>
      </c>
      <c r="E1760" s="296" t="str">
        <f>VLOOKUP($B1760,Week!$A$1:$C$1462,2,0)</f>
        <v>Week51</v>
      </c>
      <c r="F1760" s="297" t="str">
        <f t="shared" si="589"/>
        <v>Dec</v>
      </c>
      <c r="G1760" s="648" t="s">
        <v>47</v>
      </c>
      <c r="H1760" s="298" t="s">
        <v>260</v>
      </c>
      <c r="I1760" s="298" t="s">
        <v>2702</v>
      </c>
      <c r="J1760" s="307" t="s">
        <v>904</v>
      </c>
      <c r="K1760" s="300" t="s">
        <v>176</v>
      </c>
      <c r="L1760" s="300" t="s">
        <v>2167</v>
      </c>
      <c r="M1760" s="299" t="s">
        <v>262</v>
      </c>
      <c r="N1760" s="298" t="s">
        <v>350</v>
      </c>
      <c r="O1760" s="298" t="s">
        <v>351</v>
      </c>
      <c r="P1760" s="301">
        <v>24</v>
      </c>
      <c r="Q1760" s="301">
        <v>5</v>
      </c>
      <c r="R1760" s="302">
        <v>6.1999999999999998E-3</v>
      </c>
      <c r="S1760" s="298" t="s">
        <v>352</v>
      </c>
      <c r="T1760" s="298" t="s">
        <v>56</v>
      </c>
      <c r="U1760" s="298" t="s">
        <v>57</v>
      </c>
      <c r="V1760" s="303">
        <v>3043</v>
      </c>
      <c r="W1760" s="303">
        <f>3043</f>
        <v>3043</v>
      </c>
      <c r="X1760" s="304"/>
      <c r="Y1760" s="305">
        <f t="shared" si="599"/>
        <v>0</v>
      </c>
      <c r="Z1760" s="306">
        <f t="shared" si="592"/>
        <v>0</v>
      </c>
      <c r="AA1760" s="306"/>
      <c r="AB1760" s="814"/>
      <c r="AC1760" s="303"/>
      <c r="AD1760" s="573" t="s">
        <v>1920</v>
      </c>
      <c r="AE1760" s="210"/>
      <c r="AF1760" s="210"/>
      <c r="AG1760" s="211">
        <f t="shared" si="593"/>
        <v>0.13</v>
      </c>
      <c r="AH1760" s="157">
        <f t="shared" si="596"/>
        <v>0</v>
      </c>
      <c r="AI1760" s="152">
        <f t="shared" si="595"/>
        <v>73032</v>
      </c>
      <c r="AK1760" s="156" t="s">
        <v>691</v>
      </c>
      <c r="AL1760" s="574" t="s">
        <v>690</v>
      </c>
      <c r="AM1760" s="198">
        <f t="shared" si="600"/>
        <v>0</v>
      </c>
      <c r="AN1760" s="199">
        <f t="shared" si="590"/>
        <v>45645</v>
      </c>
      <c r="AO1760" s="159" t="s">
        <v>692</v>
      </c>
      <c r="AP1760" s="783" t="s">
        <v>629</v>
      </c>
      <c r="AQ1760" s="782">
        <v>12071839</v>
      </c>
      <c r="AR1760" s="782">
        <v>12078867</v>
      </c>
      <c r="AS1760" s="782">
        <v>12068233</v>
      </c>
      <c r="AT1760" s="781"/>
      <c r="AU1760" s="781"/>
      <c r="AV1760" s="782">
        <v>12062075</v>
      </c>
      <c r="AW1760" s="781"/>
      <c r="AX1760" s="781"/>
      <c r="AY1760" s="782">
        <v>12078867</v>
      </c>
      <c r="AZ1760" s="781"/>
      <c r="BA1760" s="781"/>
    </row>
    <row r="1761" spans="1:53" ht="24.65" hidden="1" customHeight="1">
      <c r="B1761" s="411">
        <v>45645</v>
      </c>
      <c r="C1761" s="645" t="s">
        <v>1874</v>
      </c>
      <c r="D1761" s="185">
        <f t="shared" si="588"/>
        <v>2024</v>
      </c>
      <c r="E1761" s="412" t="str">
        <f>VLOOKUP($B1761,Week!$A$1:$C$1462,2,0)</f>
        <v>Week51</v>
      </c>
      <c r="F1761" s="413" t="str">
        <f t="shared" si="589"/>
        <v>Dec</v>
      </c>
      <c r="G1761" s="414" t="s">
        <v>47</v>
      </c>
      <c r="H1761" s="414" t="s">
        <v>260</v>
      </c>
      <c r="I1761" s="414" t="s">
        <v>2702</v>
      </c>
      <c r="J1761" s="415" t="s">
        <v>261</v>
      </c>
      <c r="K1761" s="416" t="s">
        <v>94</v>
      </c>
      <c r="L1761" s="300" t="s">
        <v>2167</v>
      </c>
      <c r="M1761" s="415" t="s">
        <v>1303</v>
      </c>
      <c r="N1761" s="414" t="s">
        <v>263</v>
      </c>
      <c r="O1761" s="414" t="s">
        <v>195</v>
      </c>
      <c r="P1761" s="417">
        <v>24</v>
      </c>
      <c r="Q1761" s="417">
        <v>5</v>
      </c>
      <c r="R1761" s="418">
        <v>8.0000000000000002E-3</v>
      </c>
      <c r="S1761" s="414" t="s">
        <v>40</v>
      </c>
      <c r="T1761" s="414" t="s">
        <v>56</v>
      </c>
      <c r="U1761" s="414" t="s">
        <v>57</v>
      </c>
      <c r="V1761" s="419">
        <f>5000-81-3213</f>
        <v>1706</v>
      </c>
      <c r="W1761" s="419">
        <f>1706</f>
        <v>1706</v>
      </c>
      <c r="X1761" s="420"/>
      <c r="Y1761" s="421">
        <f t="shared" si="599"/>
        <v>0</v>
      </c>
      <c r="Z1761" s="422">
        <f t="shared" si="592"/>
        <v>0</v>
      </c>
      <c r="AA1761" s="422"/>
      <c r="AB1761" s="825"/>
      <c r="AC1761" s="419"/>
      <c r="AD1761" s="209"/>
      <c r="AE1761" s="210"/>
      <c r="AF1761" s="210"/>
      <c r="AG1761" s="211">
        <f t="shared" si="593"/>
        <v>0.14499999999999999</v>
      </c>
      <c r="AH1761" s="157">
        <f t="shared" si="596"/>
        <v>0</v>
      </c>
      <c r="AI1761" s="152">
        <f t="shared" si="595"/>
        <v>40944</v>
      </c>
      <c r="AK1761" s="156" t="s">
        <v>691</v>
      </c>
      <c r="AL1761" s="212" t="s">
        <v>690</v>
      </c>
      <c r="AM1761" s="198">
        <f t="shared" si="600"/>
        <v>0</v>
      </c>
      <c r="AN1761" s="199">
        <f t="shared" si="590"/>
        <v>45645</v>
      </c>
      <c r="AO1761" s="159" t="s">
        <v>692</v>
      </c>
      <c r="AP1761" s="783" t="s">
        <v>609</v>
      </c>
      <c r="AQ1761" s="782">
        <v>12071839</v>
      </c>
      <c r="AR1761" s="782">
        <v>12047514</v>
      </c>
      <c r="AS1761" s="782">
        <v>12047515</v>
      </c>
      <c r="AT1761" s="781"/>
      <c r="AU1761" s="781"/>
      <c r="AV1761" s="782">
        <v>12080613</v>
      </c>
      <c r="AW1761" s="781"/>
      <c r="AX1761" s="781"/>
      <c r="AY1761" s="782">
        <v>12080614</v>
      </c>
      <c r="AZ1761" s="782">
        <v>12080616</v>
      </c>
      <c r="BA1761" s="781"/>
    </row>
    <row r="1762" spans="1:53" ht="25" hidden="1" customHeight="1">
      <c r="B1762" s="424">
        <v>45645</v>
      </c>
      <c r="C1762" s="425" t="s">
        <v>1678</v>
      </c>
      <c r="D1762" s="185">
        <f t="shared" si="588"/>
        <v>2024</v>
      </c>
      <c r="E1762" s="425" t="str">
        <f>VLOOKUP($B1762,Week!$A$1:$C$1462,2,0)</f>
        <v>Week51</v>
      </c>
      <c r="F1762" s="426" t="str">
        <f t="shared" si="589"/>
        <v>Dec</v>
      </c>
      <c r="G1762" s="427" t="s">
        <v>47</v>
      </c>
      <c r="H1762" s="427" t="s">
        <v>518</v>
      </c>
      <c r="I1762" s="427" t="s">
        <v>2702</v>
      </c>
      <c r="J1762" s="428" t="s">
        <v>70</v>
      </c>
      <c r="K1762" s="429" t="s">
        <v>94</v>
      </c>
      <c r="L1762" s="300" t="s">
        <v>2167</v>
      </c>
      <c r="M1762" s="428" t="s">
        <v>521</v>
      </c>
      <c r="N1762" s="427" t="s">
        <v>587</v>
      </c>
      <c r="O1762" s="427" t="s">
        <v>3198</v>
      </c>
      <c r="P1762" s="430">
        <v>18</v>
      </c>
      <c r="Q1762" s="430">
        <v>5</v>
      </c>
      <c r="R1762" s="431">
        <v>8.0000000000000002E-3</v>
      </c>
      <c r="S1762" s="427" t="s">
        <v>40</v>
      </c>
      <c r="T1762" s="427" t="s">
        <v>56</v>
      </c>
      <c r="U1762" s="427" t="s">
        <v>89</v>
      </c>
      <c r="V1762" s="432">
        <v>1000</v>
      </c>
      <c r="W1762" s="432">
        <v>1000</v>
      </c>
      <c r="X1762" s="433"/>
      <c r="Y1762" s="434">
        <f t="shared" si="599"/>
        <v>0</v>
      </c>
      <c r="Z1762" s="435">
        <f t="shared" si="592"/>
        <v>0</v>
      </c>
      <c r="AA1762" s="435"/>
      <c r="AB1762" s="826">
        <v>1</v>
      </c>
      <c r="AC1762" s="432">
        <f t="shared" ref="AC1762:AC1770" si="601">Z1762*AB1762</f>
        <v>0</v>
      </c>
      <c r="AD1762" s="209"/>
      <c r="AE1762" s="210"/>
      <c r="AF1762" s="210"/>
      <c r="AG1762" s="211" t="e">
        <f>(MID(O1762,1,3)/1000)/3</f>
        <v>#VALUE!</v>
      </c>
      <c r="AH1762" s="157" t="e">
        <f t="shared" si="596"/>
        <v>#VALUE!</v>
      </c>
      <c r="AI1762" s="152">
        <f t="shared" si="595"/>
        <v>18000</v>
      </c>
      <c r="AK1762" s="156" t="s">
        <v>691</v>
      </c>
      <c r="AL1762" s="212" t="s">
        <v>690</v>
      </c>
      <c r="AM1762" s="198" t="e">
        <f t="shared" ref="AM1762:AM1768" si="602">AG1762*Z1762</f>
        <v>#VALUE!</v>
      </c>
      <c r="AN1762" s="199">
        <f t="shared" si="590"/>
        <v>45645</v>
      </c>
      <c r="AO1762" s="159" t="s">
        <v>692</v>
      </c>
      <c r="AP1762" s="783" t="s">
        <v>628</v>
      </c>
      <c r="AQ1762" s="782"/>
      <c r="AR1762" s="782"/>
      <c r="AS1762" s="782"/>
      <c r="AT1762" s="782"/>
      <c r="AU1762" s="781"/>
      <c r="AV1762" s="782">
        <v>12080791</v>
      </c>
      <c r="AW1762" s="782" t="s">
        <v>641</v>
      </c>
      <c r="AX1762" s="782" t="s">
        <v>533</v>
      </c>
      <c r="AY1762" s="782"/>
      <c r="AZ1762" s="782"/>
      <c r="BA1762" s="781"/>
    </row>
    <row r="1763" spans="1:53" ht="25" hidden="1" customHeight="1">
      <c r="B1763" s="424">
        <v>45645</v>
      </c>
      <c r="C1763" s="647" t="s">
        <v>1874</v>
      </c>
      <c r="D1763" s="185">
        <f t="shared" si="588"/>
        <v>2024</v>
      </c>
      <c r="E1763" s="425" t="str">
        <f>VLOOKUP($B1763,Week!$A$1:$C$1462,2,0)</f>
        <v>Week51</v>
      </c>
      <c r="F1763" s="426" t="str">
        <f t="shared" si="589"/>
        <v>Dec</v>
      </c>
      <c r="G1763" s="427" t="s">
        <v>47</v>
      </c>
      <c r="H1763" s="427" t="s">
        <v>518</v>
      </c>
      <c r="I1763" s="427" t="s">
        <v>2702</v>
      </c>
      <c r="J1763" s="428" t="s">
        <v>70</v>
      </c>
      <c r="K1763" s="429" t="s">
        <v>94</v>
      </c>
      <c r="L1763" s="300" t="s">
        <v>2167</v>
      </c>
      <c r="M1763" s="428" t="s">
        <v>521</v>
      </c>
      <c r="N1763" s="427" t="s">
        <v>587</v>
      </c>
      <c r="O1763" s="427" t="s">
        <v>3198</v>
      </c>
      <c r="P1763" s="430">
        <v>18</v>
      </c>
      <c r="Q1763" s="430">
        <v>5</v>
      </c>
      <c r="R1763" s="431">
        <v>8.0000000000000002E-3</v>
      </c>
      <c r="S1763" s="427" t="s">
        <v>40</v>
      </c>
      <c r="T1763" s="427" t="s">
        <v>56</v>
      </c>
      <c r="U1763" s="427" t="s">
        <v>89</v>
      </c>
      <c r="V1763" s="432">
        <f>600</f>
        <v>600</v>
      </c>
      <c r="W1763" s="432">
        <f>1013-1000+434+158-5</f>
        <v>600</v>
      </c>
      <c r="X1763" s="433"/>
      <c r="Y1763" s="434">
        <f t="shared" si="599"/>
        <v>0</v>
      </c>
      <c r="Z1763" s="435">
        <f t="shared" si="592"/>
        <v>0</v>
      </c>
      <c r="AA1763" s="435"/>
      <c r="AB1763" s="826">
        <v>1</v>
      </c>
      <c r="AC1763" s="432">
        <f t="shared" si="601"/>
        <v>0</v>
      </c>
      <c r="AD1763" s="209"/>
      <c r="AE1763" s="210"/>
      <c r="AF1763" s="210"/>
      <c r="AG1763" s="211" t="e">
        <f>(MID(O1763,1,3)/1000)/3</f>
        <v>#VALUE!</v>
      </c>
      <c r="AH1763" s="157" t="e">
        <f t="shared" si="596"/>
        <v>#VALUE!</v>
      </c>
      <c r="AI1763" s="152">
        <f t="shared" si="595"/>
        <v>10800</v>
      </c>
      <c r="AK1763" s="156" t="s">
        <v>691</v>
      </c>
      <c r="AL1763" s="212" t="s">
        <v>690</v>
      </c>
      <c r="AM1763" s="198" t="e">
        <f t="shared" si="602"/>
        <v>#VALUE!</v>
      </c>
      <c r="AN1763" s="199">
        <f t="shared" si="590"/>
        <v>45645</v>
      </c>
      <c r="AO1763" s="159" t="s">
        <v>692</v>
      </c>
      <c r="AP1763" s="783" t="s">
        <v>628</v>
      </c>
      <c r="AQ1763" s="782"/>
      <c r="AR1763" s="782"/>
      <c r="AS1763" s="782"/>
      <c r="AT1763" s="782"/>
      <c r="AU1763" s="781"/>
      <c r="AV1763" s="782">
        <v>12080791</v>
      </c>
      <c r="AW1763" s="782" t="s">
        <v>641</v>
      </c>
      <c r="AX1763" s="782" t="s">
        <v>533</v>
      </c>
      <c r="AY1763" s="782"/>
      <c r="AZ1763" s="782"/>
      <c r="BA1763" s="781"/>
    </row>
    <row r="1764" spans="1:53" ht="24.75" hidden="1" customHeight="1">
      <c r="A1764" s="142" t="s">
        <v>120</v>
      </c>
      <c r="B1764" s="308">
        <v>45646</v>
      </c>
      <c r="C1764" s="644" t="s">
        <v>1678</v>
      </c>
      <c r="D1764" s="185">
        <f t="shared" si="588"/>
        <v>2024</v>
      </c>
      <c r="E1764" s="519" t="str">
        <f>VLOOKUP($B1764,Week!$A$1:$C$1462,2,0)</f>
        <v>Week51</v>
      </c>
      <c r="F1764" s="520" t="str">
        <f t="shared" si="589"/>
        <v>Dec</v>
      </c>
      <c r="G1764" s="644" t="s">
        <v>47</v>
      </c>
      <c r="H1764" s="311" t="s">
        <v>518</v>
      </c>
      <c r="I1764" s="311" t="s">
        <v>2702</v>
      </c>
      <c r="J1764" s="312" t="s">
        <v>70</v>
      </c>
      <c r="K1764" s="313" t="s">
        <v>85</v>
      </c>
      <c r="L1764" s="390" t="s">
        <v>2166</v>
      </c>
      <c r="M1764" s="312" t="s">
        <v>515</v>
      </c>
      <c r="N1764" s="311" t="s">
        <v>588</v>
      </c>
      <c r="O1764" s="311" t="s">
        <v>546</v>
      </c>
      <c r="P1764" s="314">
        <v>12</v>
      </c>
      <c r="Q1764" s="314">
        <v>20</v>
      </c>
      <c r="R1764" s="315">
        <v>6.1999999999999998E-3</v>
      </c>
      <c r="S1764" s="311" t="s">
        <v>352</v>
      </c>
      <c r="T1764" s="311" t="s">
        <v>56</v>
      </c>
      <c r="U1764" s="311"/>
      <c r="V1764" s="316">
        <f>425</f>
        <v>425</v>
      </c>
      <c r="W1764" s="316">
        <f>11+414</f>
        <v>425</v>
      </c>
      <c r="X1764" s="317"/>
      <c r="Y1764" s="318">
        <f t="shared" si="599"/>
        <v>0</v>
      </c>
      <c r="Z1764" s="319">
        <f t="shared" si="592"/>
        <v>0</v>
      </c>
      <c r="AA1764" s="319">
        <f t="shared" ref="AA1764:AA1770" si="603">Q1764*Z1764</f>
        <v>0</v>
      </c>
      <c r="AB1764" s="815"/>
      <c r="AC1764" s="316">
        <f t="shared" si="601"/>
        <v>0</v>
      </c>
      <c r="AD1764" s="209"/>
      <c r="AE1764" s="210"/>
      <c r="AF1764" s="210"/>
      <c r="AG1764" s="211">
        <f>MID(O1764,1,3)/1000</f>
        <v>0.22</v>
      </c>
      <c r="AH1764" s="157">
        <f t="shared" si="596"/>
        <v>0</v>
      </c>
      <c r="AI1764" s="152">
        <f t="shared" si="595"/>
        <v>5100</v>
      </c>
      <c r="AK1764" s="156" t="s">
        <v>691</v>
      </c>
      <c r="AL1764" s="156" t="s">
        <v>689</v>
      </c>
      <c r="AM1764" s="198">
        <f t="shared" si="602"/>
        <v>0</v>
      </c>
      <c r="AN1764" s="199">
        <f t="shared" si="590"/>
        <v>45646</v>
      </c>
      <c r="AO1764" s="159" t="s">
        <v>692</v>
      </c>
      <c r="AP1764" s="783" t="s">
        <v>613</v>
      </c>
      <c r="AQ1764" s="782"/>
      <c r="AR1764" s="782" t="s">
        <v>614</v>
      </c>
      <c r="AS1764" s="782"/>
      <c r="AT1764" s="782">
        <v>12083140</v>
      </c>
      <c r="AU1764" s="781"/>
      <c r="AV1764" s="782">
        <v>12083143</v>
      </c>
      <c r="AW1764" s="782"/>
      <c r="AX1764" s="782"/>
      <c r="AY1764" s="782"/>
      <c r="AZ1764" s="782"/>
      <c r="BA1764" s="781"/>
    </row>
    <row r="1765" spans="1:53" ht="25" hidden="1" customHeight="1">
      <c r="A1765" s="142" t="s">
        <v>120</v>
      </c>
      <c r="B1765" s="283">
        <v>45646</v>
      </c>
      <c r="C1765" s="284">
        <v>45665</v>
      </c>
      <c r="D1765" s="185">
        <f t="shared" si="588"/>
        <v>2024</v>
      </c>
      <c r="E1765" s="286" t="str">
        <f>VLOOKUP($B1765,Week!$A$1:$C$1462,2,0)</f>
        <v>Week51</v>
      </c>
      <c r="F1765" s="285" t="str">
        <f t="shared" si="589"/>
        <v>Dec</v>
      </c>
      <c r="G1765" s="286" t="s">
        <v>1722</v>
      </c>
      <c r="H1765" s="286" t="s">
        <v>134</v>
      </c>
      <c r="I1765" s="286" t="s">
        <v>2772</v>
      </c>
      <c r="J1765" s="287" t="s">
        <v>164</v>
      </c>
      <c r="K1765" s="288" t="s">
        <v>153</v>
      </c>
      <c r="L1765" s="390" t="s">
        <v>2166</v>
      </c>
      <c r="M1765" s="287" t="s">
        <v>214</v>
      </c>
      <c r="N1765" s="286" t="s">
        <v>215</v>
      </c>
      <c r="O1765" s="286" t="s">
        <v>504</v>
      </c>
      <c r="P1765" s="289">
        <v>20</v>
      </c>
      <c r="Q1765" s="289">
        <v>8</v>
      </c>
      <c r="R1765" s="290">
        <v>1.4999999999999999E-2</v>
      </c>
      <c r="S1765" s="286" t="s">
        <v>217</v>
      </c>
      <c r="T1765" s="286" t="s">
        <v>56</v>
      </c>
      <c r="U1765" s="286" t="s">
        <v>89</v>
      </c>
      <c r="V1765" s="291">
        <f>1000</f>
        <v>1000</v>
      </c>
      <c r="W1765" s="291">
        <f>5+995</f>
        <v>1000</v>
      </c>
      <c r="X1765" s="292">
        <f>(540)/20</f>
        <v>27</v>
      </c>
      <c r="Y1765" s="293">
        <f t="shared" si="599"/>
        <v>27</v>
      </c>
      <c r="Z1765" s="294">
        <f t="shared" si="592"/>
        <v>0</v>
      </c>
      <c r="AA1765" s="291">
        <f t="shared" si="603"/>
        <v>0</v>
      </c>
      <c r="AB1765" s="813">
        <v>2</v>
      </c>
      <c r="AC1765" s="291">
        <f t="shared" si="601"/>
        <v>0</v>
      </c>
      <c r="AD1765" s="209" t="s">
        <v>218</v>
      </c>
      <c r="AE1765" s="210"/>
      <c r="AF1765" s="210"/>
      <c r="AG1765" s="211">
        <f>MID(O1765,1,3)/1000</f>
        <v>0.19400000000000001</v>
      </c>
      <c r="AH1765" s="157">
        <f t="shared" si="596"/>
        <v>0</v>
      </c>
      <c r="AI1765" s="152">
        <f t="shared" si="595"/>
        <v>20000</v>
      </c>
      <c r="AK1765" s="156" t="s">
        <v>691</v>
      </c>
      <c r="AL1765" s="156" t="s">
        <v>689</v>
      </c>
      <c r="AM1765" s="198">
        <f t="shared" si="602"/>
        <v>0</v>
      </c>
      <c r="AN1765" s="199">
        <f t="shared" si="590"/>
        <v>45646</v>
      </c>
      <c r="AO1765" s="159" t="s">
        <v>692</v>
      </c>
      <c r="AP1765" s="783" t="s">
        <v>610</v>
      </c>
      <c r="AQ1765" s="782"/>
      <c r="AR1765" s="782">
        <v>12064528</v>
      </c>
      <c r="AS1765" s="782"/>
      <c r="AT1765" s="782">
        <v>12064478</v>
      </c>
      <c r="AU1765" s="781"/>
      <c r="AV1765" s="782">
        <v>12064493</v>
      </c>
      <c r="AW1765" s="782"/>
      <c r="AX1765" s="782" t="s">
        <v>545</v>
      </c>
      <c r="AY1765" s="782"/>
      <c r="AZ1765" s="782"/>
      <c r="BA1765" s="781"/>
    </row>
    <row r="1766" spans="1:53" ht="25" hidden="1" customHeight="1">
      <c r="A1766" s="142" t="s">
        <v>120</v>
      </c>
      <c r="B1766" s="369">
        <v>45646</v>
      </c>
      <c r="C1766" s="370">
        <v>45650</v>
      </c>
      <c r="D1766" s="185">
        <f t="shared" si="588"/>
        <v>2024</v>
      </c>
      <c r="E1766" s="371" t="str">
        <f>VLOOKUP($B1766,Week!$A$1:$C$1462,2,0)</f>
        <v>Week51</v>
      </c>
      <c r="F1766" s="372" t="str">
        <f t="shared" si="589"/>
        <v>Dec</v>
      </c>
      <c r="G1766" s="371" t="s">
        <v>1838</v>
      </c>
      <c r="H1766" s="371" t="s">
        <v>344</v>
      </c>
      <c r="I1766" s="371" t="s">
        <v>2772</v>
      </c>
      <c r="J1766" s="373" t="s">
        <v>345</v>
      </c>
      <c r="K1766" s="374" t="s">
        <v>153</v>
      </c>
      <c r="L1766" s="390" t="s">
        <v>2166</v>
      </c>
      <c r="M1766" s="373" t="s">
        <v>214</v>
      </c>
      <c r="N1766" s="371" t="s">
        <v>346</v>
      </c>
      <c r="O1766" s="371" t="s">
        <v>509</v>
      </c>
      <c r="P1766" s="375">
        <v>18</v>
      </c>
      <c r="Q1766" s="375">
        <v>8</v>
      </c>
      <c r="R1766" s="376">
        <v>6.8100000000000001E-3</v>
      </c>
      <c r="S1766" s="371" t="s">
        <v>76</v>
      </c>
      <c r="T1766" s="371" t="s">
        <v>56</v>
      </c>
      <c r="U1766" s="371" t="s">
        <v>89</v>
      </c>
      <c r="V1766" s="377">
        <f>1400</f>
        <v>1400</v>
      </c>
      <c r="W1766" s="377">
        <f>518+297</f>
        <v>815</v>
      </c>
      <c r="X1766" s="378">
        <f>(144+10386)/18</f>
        <v>585</v>
      </c>
      <c r="Y1766" s="379">
        <f t="shared" si="599"/>
        <v>0</v>
      </c>
      <c r="Z1766" s="380">
        <f t="shared" si="592"/>
        <v>0</v>
      </c>
      <c r="AA1766" s="380">
        <f t="shared" si="603"/>
        <v>0</v>
      </c>
      <c r="AB1766" s="820">
        <v>1</v>
      </c>
      <c r="AC1766" s="377">
        <f t="shared" si="601"/>
        <v>0</v>
      </c>
      <c r="AD1766" s="443"/>
      <c r="AE1766" s="210"/>
      <c r="AF1766" s="210"/>
      <c r="AG1766" s="211">
        <f>MID(O1766,1,3)/1000</f>
        <v>0.10100000000000001</v>
      </c>
      <c r="AH1766" s="157">
        <f t="shared" si="596"/>
        <v>0</v>
      </c>
      <c r="AI1766" s="152">
        <f t="shared" si="595"/>
        <v>25200</v>
      </c>
      <c r="AK1766" s="156" t="s">
        <v>691</v>
      </c>
      <c r="AL1766" s="156" t="s">
        <v>689</v>
      </c>
      <c r="AM1766" s="198">
        <f t="shared" si="602"/>
        <v>0</v>
      </c>
      <c r="AN1766" s="199">
        <f t="shared" si="590"/>
        <v>45646</v>
      </c>
      <c r="AO1766" s="159" t="s">
        <v>692</v>
      </c>
      <c r="AP1766" s="781"/>
      <c r="AQ1766" s="781" t="s">
        <v>158</v>
      </c>
      <c r="AR1766" s="782">
        <v>12038019</v>
      </c>
      <c r="AS1766" s="781"/>
      <c r="AT1766" s="800">
        <v>12055751</v>
      </c>
      <c r="AU1766" s="781"/>
      <c r="AV1766" s="800">
        <v>12049471</v>
      </c>
      <c r="AW1766" s="781"/>
      <c r="AX1766" s="781" t="s">
        <v>162</v>
      </c>
      <c r="AY1766" s="781"/>
      <c r="AZ1766" s="781"/>
      <c r="BA1766" s="781"/>
    </row>
    <row r="1767" spans="1:53" ht="24.65" hidden="1" customHeight="1">
      <c r="A1767" s="142" t="s">
        <v>120</v>
      </c>
      <c r="B1767" s="357">
        <v>45646</v>
      </c>
      <c r="C1767" s="358">
        <v>45650</v>
      </c>
      <c r="D1767" s="185">
        <f t="shared" si="588"/>
        <v>2024</v>
      </c>
      <c r="E1767" s="359" t="str">
        <f>VLOOKUP($B1767,Week!$A$1:$C$1462,2,0)</f>
        <v>Week51</v>
      </c>
      <c r="F1767" s="360" t="str">
        <f t="shared" si="589"/>
        <v>Dec</v>
      </c>
      <c r="G1767" s="359" t="s">
        <v>1838</v>
      </c>
      <c r="H1767" s="359" t="s">
        <v>344</v>
      </c>
      <c r="I1767" s="359" t="s">
        <v>2772</v>
      </c>
      <c r="J1767" s="361" t="s">
        <v>345</v>
      </c>
      <c r="K1767" s="362" t="s">
        <v>355</v>
      </c>
      <c r="L1767" s="390" t="s">
        <v>2166</v>
      </c>
      <c r="M1767" s="361" t="s">
        <v>356</v>
      </c>
      <c r="N1767" s="359" t="s">
        <v>357</v>
      </c>
      <c r="O1767" s="359" t="s">
        <v>508</v>
      </c>
      <c r="P1767" s="363">
        <v>18</v>
      </c>
      <c r="Q1767" s="363">
        <v>8</v>
      </c>
      <c r="R1767" s="364">
        <v>6.0000000000000001E-3</v>
      </c>
      <c r="S1767" s="359" t="s">
        <v>55</v>
      </c>
      <c r="T1767" s="359" t="s">
        <v>56</v>
      </c>
      <c r="U1767" s="359" t="s">
        <v>89</v>
      </c>
      <c r="V1767" s="365">
        <f>500</f>
        <v>500</v>
      </c>
      <c r="W1767" s="365">
        <f>61+439</f>
        <v>500</v>
      </c>
      <c r="X1767" s="366"/>
      <c r="Y1767" s="367">
        <f t="shared" si="599"/>
        <v>0</v>
      </c>
      <c r="Z1767" s="368">
        <f t="shared" si="592"/>
        <v>0</v>
      </c>
      <c r="AA1767" s="368">
        <f t="shared" si="603"/>
        <v>0</v>
      </c>
      <c r="AB1767" s="819">
        <v>2</v>
      </c>
      <c r="AC1767" s="365">
        <f t="shared" si="601"/>
        <v>0</v>
      </c>
      <c r="AD1767" s="443"/>
      <c r="AE1767" s="210"/>
      <c r="AF1767" s="210"/>
      <c r="AG1767" s="211">
        <f>MID(O1767,1,2)/1000</f>
        <v>0.09</v>
      </c>
      <c r="AH1767" s="157">
        <f t="shared" si="596"/>
        <v>0</v>
      </c>
      <c r="AI1767" s="152">
        <f t="shared" si="595"/>
        <v>9000</v>
      </c>
      <c r="AK1767" s="156" t="s">
        <v>691</v>
      </c>
      <c r="AL1767" s="156" t="s">
        <v>689</v>
      </c>
      <c r="AM1767" s="198">
        <f t="shared" si="602"/>
        <v>0</v>
      </c>
      <c r="AN1767" s="199">
        <f t="shared" si="590"/>
        <v>45646</v>
      </c>
      <c r="AO1767" s="159" t="s">
        <v>692</v>
      </c>
      <c r="AP1767" s="781"/>
      <c r="AQ1767" s="782"/>
      <c r="AR1767" s="782" t="s">
        <v>531</v>
      </c>
      <c r="AS1767" s="782"/>
      <c r="AT1767" s="782"/>
      <c r="AU1767" s="782">
        <v>12054219</v>
      </c>
      <c r="AV1767" s="782">
        <v>12054239</v>
      </c>
      <c r="AW1767" s="782"/>
      <c r="AX1767" s="782" t="s">
        <v>532</v>
      </c>
      <c r="AY1767" s="782"/>
      <c r="AZ1767" s="782"/>
      <c r="BA1767" s="781"/>
    </row>
    <row r="1768" spans="1:53" ht="25" hidden="1" customHeight="1">
      <c r="A1768" s="142" t="s">
        <v>120</v>
      </c>
      <c r="B1768" s="559">
        <v>45647</v>
      </c>
      <c r="C1768" s="560">
        <v>45665</v>
      </c>
      <c r="D1768" s="185">
        <f t="shared" si="588"/>
        <v>2024</v>
      </c>
      <c r="E1768" s="561" t="str">
        <f>VLOOKUP($B1768,Week!$A$1:$C$1462,2,0)</f>
        <v>Week51</v>
      </c>
      <c r="F1768" s="562" t="str">
        <f t="shared" si="589"/>
        <v>Dec</v>
      </c>
      <c r="G1768" s="561" t="s">
        <v>1722</v>
      </c>
      <c r="H1768" s="561" t="s">
        <v>134</v>
      </c>
      <c r="I1768" s="561" t="s">
        <v>2772</v>
      </c>
      <c r="J1768" s="563" t="s">
        <v>164</v>
      </c>
      <c r="K1768" s="564" t="s">
        <v>355</v>
      </c>
      <c r="L1768" s="390" t="s">
        <v>2166</v>
      </c>
      <c r="M1768" s="563" t="s">
        <v>356</v>
      </c>
      <c r="N1768" s="561" t="s">
        <v>652</v>
      </c>
      <c r="O1768" s="561" t="s">
        <v>508</v>
      </c>
      <c r="P1768" s="565">
        <v>18</v>
      </c>
      <c r="Q1768" s="565">
        <v>8</v>
      </c>
      <c r="R1768" s="566">
        <v>5.0000000000000001E-3</v>
      </c>
      <c r="S1768" s="561" t="s">
        <v>55</v>
      </c>
      <c r="T1768" s="561" t="s">
        <v>56</v>
      </c>
      <c r="U1768" s="561" t="s">
        <v>89</v>
      </c>
      <c r="V1768" s="567">
        <f>600</f>
        <v>600</v>
      </c>
      <c r="W1768" s="567">
        <f>53+547</f>
        <v>600</v>
      </c>
      <c r="X1768" s="568">
        <f>(378)/18</f>
        <v>21</v>
      </c>
      <c r="Y1768" s="569">
        <f t="shared" si="599"/>
        <v>21</v>
      </c>
      <c r="Z1768" s="570">
        <f t="shared" si="592"/>
        <v>0</v>
      </c>
      <c r="AA1768" s="570">
        <f t="shared" si="603"/>
        <v>0</v>
      </c>
      <c r="AB1768" s="834">
        <v>2</v>
      </c>
      <c r="AC1768" s="567">
        <f t="shared" si="601"/>
        <v>0</v>
      </c>
      <c r="AD1768" s="209"/>
      <c r="AE1768" s="210"/>
      <c r="AF1768" s="210"/>
      <c r="AG1768" s="211">
        <f>MID(O1768,1,2)/1000</f>
        <v>0.09</v>
      </c>
      <c r="AH1768" s="157">
        <f t="shared" si="596"/>
        <v>0</v>
      </c>
      <c r="AI1768" s="152">
        <f t="shared" si="595"/>
        <v>10800</v>
      </c>
      <c r="AK1768" s="156" t="s">
        <v>691</v>
      </c>
      <c r="AL1768" s="156" t="s">
        <v>689</v>
      </c>
      <c r="AM1768" s="198">
        <f t="shared" si="602"/>
        <v>0</v>
      </c>
      <c r="AN1768" s="199">
        <f t="shared" si="590"/>
        <v>45647</v>
      </c>
      <c r="AO1768" s="159" t="s">
        <v>692</v>
      </c>
      <c r="AP1768" s="783"/>
      <c r="AQ1768" s="782"/>
      <c r="AR1768" s="782"/>
      <c r="AS1768" s="782"/>
      <c r="AT1768" s="782"/>
      <c r="AU1768" s="782"/>
      <c r="AV1768" s="782"/>
      <c r="AW1768" s="782"/>
      <c r="AX1768" s="782"/>
      <c r="AY1768" s="782"/>
      <c r="AZ1768" s="782"/>
      <c r="BA1768" s="781"/>
    </row>
    <row r="1769" spans="1:53" ht="24.65" hidden="1" customHeight="1">
      <c r="A1769" s="142" t="s">
        <v>120</v>
      </c>
      <c r="B1769" s="258">
        <v>45647</v>
      </c>
      <c r="C1769" s="259">
        <v>45661</v>
      </c>
      <c r="D1769" s="185">
        <f t="shared" si="588"/>
        <v>2024</v>
      </c>
      <c r="E1769" s="260" t="str">
        <f>VLOOKUP($B1769,Week!$A$1:$C$1462,2,0)</f>
        <v>Week51</v>
      </c>
      <c r="F1769" s="261" t="str">
        <f t="shared" si="589"/>
        <v>Dec</v>
      </c>
      <c r="G1769" s="262" t="s">
        <v>1721</v>
      </c>
      <c r="H1769" s="260" t="s">
        <v>134</v>
      </c>
      <c r="I1769" s="260" t="s">
        <v>2772</v>
      </c>
      <c r="J1769" s="263" t="s">
        <v>164</v>
      </c>
      <c r="K1769" s="264" t="s">
        <v>153</v>
      </c>
      <c r="L1769" s="390" t="s">
        <v>2166</v>
      </c>
      <c r="M1769" s="263" t="s">
        <v>165</v>
      </c>
      <c r="N1769" s="260" t="s">
        <v>166</v>
      </c>
      <c r="O1769" s="260" t="s">
        <v>502</v>
      </c>
      <c r="P1769" s="265">
        <v>20</v>
      </c>
      <c r="Q1769" s="265">
        <v>12</v>
      </c>
      <c r="R1769" s="266">
        <v>6.8100000000000001E-3</v>
      </c>
      <c r="S1769" s="260" t="s">
        <v>76</v>
      </c>
      <c r="T1769" s="260" t="s">
        <v>56</v>
      </c>
      <c r="U1769" s="260" t="s">
        <v>89</v>
      </c>
      <c r="V1769" s="267">
        <f>3000-1803</f>
        <v>1197</v>
      </c>
      <c r="W1769" s="267">
        <f>1197</f>
        <v>1197</v>
      </c>
      <c r="X1769" s="268"/>
      <c r="Y1769" s="269">
        <f t="shared" si="599"/>
        <v>0</v>
      </c>
      <c r="Z1769" s="270">
        <f t="shared" si="592"/>
        <v>0</v>
      </c>
      <c r="AA1769" s="270">
        <f t="shared" si="603"/>
        <v>0</v>
      </c>
      <c r="AB1769" s="811">
        <v>2</v>
      </c>
      <c r="AC1769" s="267">
        <f t="shared" si="601"/>
        <v>0</v>
      </c>
      <c r="AD1769" s="209" t="s">
        <v>168</v>
      </c>
      <c r="AE1769" s="210"/>
      <c r="AF1769" s="210"/>
      <c r="AG1769" s="211">
        <f>MID(O1769,1,3)/1000</f>
        <v>0.154</v>
      </c>
      <c r="AH1769" s="157">
        <f t="shared" si="596"/>
        <v>0</v>
      </c>
      <c r="AI1769" s="152">
        <f t="shared" si="595"/>
        <v>23940</v>
      </c>
      <c r="AK1769" s="156" t="s">
        <v>691</v>
      </c>
      <c r="AL1769" s="156" t="s">
        <v>689</v>
      </c>
      <c r="AM1769" s="198">
        <f t="shared" ref="AM1769:AM1800" si="604">AG1769*Z1769</f>
        <v>0</v>
      </c>
      <c r="AN1769" s="199">
        <f t="shared" si="590"/>
        <v>45647</v>
      </c>
      <c r="AO1769" s="159" t="s">
        <v>692</v>
      </c>
      <c r="AP1769" s="783" t="s">
        <v>610</v>
      </c>
      <c r="AQ1769" s="783" t="s">
        <v>631</v>
      </c>
      <c r="AR1769" s="783" t="s">
        <v>523</v>
      </c>
      <c r="AS1769" s="781"/>
      <c r="AT1769" s="782">
        <v>12055919</v>
      </c>
      <c r="AU1769" s="781"/>
      <c r="AV1769" s="783" t="s">
        <v>544</v>
      </c>
      <c r="AW1769" s="781"/>
      <c r="AX1769" s="782" t="s">
        <v>398</v>
      </c>
      <c r="AY1769" s="781"/>
      <c r="AZ1769" s="781"/>
      <c r="BA1769" s="781"/>
    </row>
    <row r="1770" spans="1:53" ht="24.65" hidden="1" customHeight="1">
      <c r="A1770" s="142" t="s">
        <v>120</v>
      </c>
      <c r="B1770" s="258">
        <v>45647</v>
      </c>
      <c r="C1770" s="259">
        <v>45665</v>
      </c>
      <c r="D1770" s="185">
        <f t="shared" si="588"/>
        <v>2024</v>
      </c>
      <c r="E1770" s="260" t="str">
        <f>VLOOKUP($B1770,Week!$A$1:$C$1462,2,0)</f>
        <v>Week51</v>
      </c>
      <c r="F1770" s="261" t="str">
        <f t="shared" si="589"/>
        <v>Dec</v>
      </c>
      <c r="G1770" s="262" t="s">
        <v>1722</v>
      </c>
      <c r="H1770" s="260" t="s">
        <v>134</v>
      </c>
      <c r="I1770" s="260" t="s">
        <v>2772</v>
      </c>
      <c r="J1770" s="263" t="s">
        <v>164</v>
      </c>
      <c r="K1770" s="264" t="s">
        <v>153</v>
      </c>
      <c r="L1770" s="390" t="s">
        <v>2166</v>
      </c>
      <c r="M1770" s="263" t="s">
        <v>165</v>
      </c>
      <c r="N1770" s="260" t="s">
        <v>166</v>
      </c>
      <c r="O1770" s="260" t="s">
        <v>502</v>
      </c>
      <c r="P1770" s="265">
        <v>20</v>
      </c>
      <c r="Q1770" s="265">
        <v>12</v>
      </c>
      <c r="R1770" s="266">
        <v>6.8100000000000001E-3</v>
      </c>
      <c r="S1770" s="260" t="s">
        <v>76</v>
      </c>
      <c r="T1770" s="260" t="s">
        <v>56</v>
      </c>
      <c r="U1770" s="260" t="s">
        <v>89</v>
      </c>
      <c r="V1770" s="267">
        <f>1000</f>
        <v>1000</v>
      </c>
      <c r="W1770" s="267">
        <f>1581-1197</f>
        <v>384</v>
      </c>
      <c r="X1770" s="268">
        <f>12320/20</f>
        <v>616</v>
      </c>
      <c r="Y1770" s="269">
        <f t="shared" si="599"/>
        <v>0</v>
      </c>
      <c r="Z1770" s="270">
        <f t="shared" si="592"/>
        <v>0</v>
      </c>
      <c r="AA1770" s="270">
        <f t="shared" si="603"/>
        <v>0</v>
      </c>
      <c r="AB1770" s="811">
        <v>2</v>
      </c>
      <c r="AC1770" s="267">
        <f t="shared" si="601"/>
        <v>0</v>
      </c>
      <c r="AD1770" s="209" t="s">
        <v>168</v>
      </c>
      <c r="AE1770" s="210"/>
      <c r="AF1770" s="210"/>
      <c r="AG1770" s="211">
        <f>MID(O1770,1,3)/1000</f>
        <v>0.154</v>
      </c>
      <c r="AH1770" s="157">
        <f t="shared" si="596"/>
        <v>0</v>
      </c>
      <c r="AI1770" s="152">
        <f t="shared" si="595"/>
        <v>20000</v>
      </c>
      <c r="AK1770" s="156" t="s">
        <v>691</v>
      </c>
      <c r="AL1770" s="156" t="s">
        <v>689</v>
      </c>
      <c r="AM1770" s="198">
        <f t="shared" si="604"/>
        <v>0</v>
      </c>
      <c r="AN1770" s="199">
        <f t="shared" si="590"/>
        <v>45647</v>
      </c>
      <c r="AO1770" s="159" t="s">
        <v>692</v>
      </c>
      <c r="AP1770" s="783" t="s">
        <v>610</v>
      </c>
      <c r="AQ1770" s="783" t="s">
        <v>631</v>
      </c>
      <c r="AR1770" s="783" t="s">
        <v>523</v>
      </c>
      <c r="AS1770" s="781"/>
      <c r="AT1770" s="782">
        <v>12055919</v>
      </c>
      <c r="AU1770" s="781"/>
      <c r="AV1770" s="783" t="s">
        <v>544</v>
      </c>
      <c r="AW1770" s="781"/>
      <c r="AX1770" s="782" t="s">
        <v>398</v>
      </c>
      <c r="AY1770" s="781"/>
      <c r="AZ1770" s="781"/>
      <c r="BA1770" s="781"/>
    </row>
    <row r="1771" spans="1:53" ht="25" hidden="1" customHeight="1">
      <c r="B1771" s="183">
        <v>45648</v>
      </c>
      <c r="C1771" s="184"/>
      <c r="D1771" s="185">
        <f t="shared" si="588"/>
        <v>2024</v>
      </c>
      <c r="E1771" s="185" t="str">
        <f>VLOOKUP($B1771,Week!$A$1:$C$1462,2,0)</f>
        <v>Week51</v>
      </c>
      <c r="F1771" s="186" t="str">
        <f t="shared" si="589"/>
        <v>Dec</v>
      </c>
      <c r="G1771" s="185"/>
      <c r="H1771" s="185"/>
      <c r="I1771" s="185"/>
      <c r="J1771" s="187"/>
      <c r="K1771" s="188"/>
      <c r="L1771" s="300"/>
      <c r="M1771" s="187"/>
      <c r="N1771" s="185"/>
      <c r="O1771" s="185"/>
      <c r="P1771" s="189"/>
      <c r="Q1771" s="189"/>
      <c r="R1771" s="190"/>
      <c r="S1771" s="185"/>
      <c r="T1771" s="185"/>
      <c r="U1771" s="185"/>
      <c r="V1771" s="191"/>
      <c r="W1771" s="191"/>
      <c r="X1771" s="192"/>
      <c r="Y1771" s="193"/>
      <c r="Z1771" s="194"/>
      <c r="AA1771" s="194"/>
      <c r="AB1771" s="805"/>
      <c r="AC1771" s="191"/>
      <c r="AD1771" s="187"/>
      <c r="AE1771" s="195"/>
      <c r="AF1771" s="195"/>
      <c r="AG1771" s="196"/>
      <c r="AH1771" s="197"/>
      <c r="AK1771" s="156" t="s">
        <v>691</v>
      </c>
      <c r="AM1771" s="198">
        <f t="shared" si="604"/>
        <v>0</v>
      </c>
      <c r="AN1771" s="199">
        <f t="shared" si="590"/>
        <v>45648</v>
      </c>
      <c r="AO1771" s="159" t="s">
        <v>692</v>
      </c>
      <c r="AP1771" s="781"/>
      <c r="AQ1771" s="782"/>
      <c r="AR1771" s="782"/>
      <c r="AS1771" s="782"/>
      <c r="AT1771" s="782"/>
      <c r="AU1771" s="781"/>
      <c r="AV1771" s="782"/>
      <c r="AW1771" s="782"/>
      <c r="AX1771" s="782"/>
      <c r="AY1771" s="782"/>
      <c r="AZ1771" s="782"/>
      <c r="BA1771" s="781"/>
    </row>
    <row r="1772" spans="1:53" ht="25.15" hidden="1" customHeight="1">
      <c r="B1772" s="345">
        <v>45649</v>
      </c>
      <c r="C1772" s="346">
        <v>45671</v>
      </c>
      <c r="D1772" s="185">
        <f t="shared" si="588"/>
        <v>2024</v>
      </c>
      <c r="E1772" s="347" t="str">
        <f>VLOOKUP($B1772,Week!$A$1:$C$1462,2,0)</f>
        <v>Week52</v>
      </c>
      <c r="F1772" s="348" t="str">
        <f t="shared" si="589"/>
        <v>Dec</v>
      </c>
      <c r="G1772" s="347" t="s">
        <v>1803</v>
      </c>
      <c r="H1772" s="347" t="s">
        <v>424</v>
      </c>
      <c r="I1772" s="347" t="s">
        <v>2772</v>
      </c>
      <c r="J1772" s="438" t="s">
        <v>425</v>
      </c>
      <c r="K1772" s="350" t="s">
        <v>176</v>
      </c>
      <c r="L1772" s="300" t="s">
        <v>2167</v>
      </c>
      <c r="M1772" s="349" t="s">
        <v>426</v>
      </c>
      <c r="N1772" s="347" t="s">
        <v>427</v>
      </c>
      <c r="O1772" s="347" t="s">
        <v>599</v>
      </c>
      <c r="P1772" s="351">
        <v>36</v>
      </c>
      <c r="Q1772" s="351">
        <v>5</v>
      </c>
      <c r="R1772" s="352">
        <v>7.4999999999999997E-3</v>
      </c>
      <c r="S1772" s="347" t="s">
        <v>111</v>
      </c>
      <c r="T1772" s="347" t="s">
        <v>112</v>
      </c>
      <c r="U1772" s="347" t="s">
        <v>57</v>
      </c>
      <c r="V1772" s="353">
        <v>1288</v>
      </c>
      <c r="W1772" s="353">
        <f>13+1275</f>
        <v>1288</v>
      </c>
      <c r="X1772" s="354"/>
      <c r="Y1772" s="355">
        <f t="shared" ref="Y1772:Y1785" si="605">(W1772+X1772)-V1772</f>
        <v>0</v>
      </c>
      <c r="Z1772" s="356">
        <f t="shared" ref="Z1772:Z1785" si="606">IF(Y1772&lt;0,((V1772*P1772)-((W1772+X1772)*P1772)),0)</f>
        <v>0</v>
      </c>
      <c r="AA1772" s="353"/>
      <c r="AB1772" s="818"/>
      <c r="AC1772" s="353"/>
      <c r="AD1772" s="307" t="s">
        <v>728</v>
      </c>
      <c r="AE1772" s="210"/>
      <c r="AF1772" s="210"/>
      <c r="AG1772" s="211">
        <f t="shared" ref="AG1772:AG1785" si="607">MID(O1772,1,3)/1000</f>
        <v>0.14799999999999999</v>
      </c>
      <c r="AH1772" s="157">
        <f t="shared" ref="AH1772:AH1785" si="608">(Z1772*AG1772)/1000</f>
        <v>0</v>
      </c>
      <c r="AI1772" s="152">
        <f t="shared" ref="AI1772:AI1785" si="609">V1772*P1772</f>
        <v>46368</v>
      </c>
      <c r="AK1772" s="156" t="s">
        <v>691</v>
      </c>
      <c r="AL1772" s="574" t="s">
        <v>690</v>
      </c>
      <c r="AM1772" s="198">
        <f t="shared" si="604"/>
        <v>0</v>
      </c>
      <c r="AN1772" s="199">
        <f t="shared" si="590"/>
        <v>45649</v>
      </c>
      <c r="AO1772" s="159" t="s">
        <v>692</v>
      </c>
      <c r="AP1772" s="783" t="s">
        <v>609</v>
      </c>
      <c r="AQ1772" s="782">
        <v>12071839</v>
      </c>
      <c r="AR1772" s="782">
        <v>12047514</v>
      </c>
      <c r="AS1772" s="782">
        <v>12047515</v>
      </c>
      <c r="AT1772" s="782">
        <v>12062098</v>
      </c>
      <c r="AU1772" s="782"/>
      <c r="AV1772" s="782">
        <v>12062100</v>
      </c>
      <c r="AW1772" s="782">
        <v>12024404</v>
      </c>
      <c r="AX1772" s="781"/>
      <c r="AY1772" s="782">
        <v>12062116</v>
      </c>
      <c r="AZ1772" s="782"/>
      <c r="BA1772" s="781"/>
    </row>
    <row r="1773" spans="1:53" ht="24.75" hidden="1" customHeight="1">
      <c r="B1773" s="333">
        <v>45649</v>
      </c>
      <c r="C1773" s="333">
        <v>45671</v>
      </c>
      <c r="D1773" s="185">
        <f t="shared" si="588"/>
        <v>2024</v>
      </c>
      <c r="E1773" s="335" t="str">
        <f>VLOOKUP($B1773,Week!$A$1:$C$1462,2,0)</f>
        <v>Week52</v>
      </c>
      <c r="F1773" s="334" t="str">
        <f t="shared" si="589"/>
        <v>Dec</v>
      </c>
      <c r="G1773" s="335" t="s">
        <v>1909</v>
      </c>
      <c r="H1773" s="335" t="s">
        <v>363</v>
      </c>
      <c r="I1773" s="335" t="s">
        <v>2772</v>
      </c>
      <c r="J1773" s="336" t="s">
        <v>364</v>
      </c>
      <c r="K1773" s="337" t="s">
        <v>176</v>
      </c>
      <c r="L1773" s="300" t="s">
        <v>2167</v>
      </c>
      <c r="M1773" s="382" t="s">
        <v>646</v>
      </c>
      <c r="N1773" s="335" t="s">
        <v>647</v>
      </c>
      <c r="O1773" s="335" t="s">
        <v>599</v>
      </c>
      <c r="P1773" s="338">
        <v>36</v>
      </c>
      <c r="Q1773" s="338">
        <v>5</v>
      </c>
      <c r="R1773" s="339">
        <v>8.0000000000000002E-3</v>
      </c>
      <c r="S1773" s="335" t="s">
        <v>40</v>
      </c>
      <c r="T1773" s="335" t="s">
        <v>112</v>
      </c>
      <c r="U1773" s="335" t="s">
        <v>57</v>
      </c>
      <c r="V1773" s="341">
        <f>1288</f>
        <v>1288</v>
      </c>
      <c r="W1773" s="341">
        <f>10+1278</f>
        <v>1288</v>
      </c>
      <c r="X1773" s="342"/>
      <c r="Y1773" s="343">
        <f t="shared" si="605"/>
        <v>0</v>
      </c>
      <c r="Z1773" s="344">
        <f t="shared" si="606"/>
        <v>0</v>
      </c>
      <c r="AA1773" s="344"/>
      <c r="AB1773" s="821"/>
      <c r="AC1773" s="341"/>
      <c r="AD1773" s="209"/>
      <c r="AE1773" s="210"/>
      <c r="AF1773" s="210"/>
      <c r="AG1773" s="211">
        <f t="shared" si="607"/>
        <v>0.14799999999999999</v>
      </c>
      <c r="AH1773" s="157">
        <f t="shared" si="608"/>
        <v>0</v>
      </c>
      <c r="AI1773" s="152">
        <f t="shared" si="609"/>
        <v>46368</v>
      </c>
      <c r="AK1773" s="156" t="s">
        <v>691</v>
      </c>
      <c r="AL1773" s="574" t="s">
        <v>690</v>
      </c>
      <c r="AM1773" s="198">
        <f t="shared" si="604"/>
        <v>0</v>
      </c>
      <c r="AN1773" s="199">
        <f t="shared" si="590"/>
        <v>45649</v>
      </c>
      <c r="AO1773" s="159" t="s">
        <v>692</v>
      </c>
      <c r="AP1773" s="781"/>
      <c r="AQ1773" s="782">
        <v>12071839</v>
      </c>
      <c r="AR1773" s="782">
        <v>12047514</v>
      </c>
      <c r="AS1773" s="782">
        <v>12047515</v>
      </c>
      <c r="AT1773" s="782">
        <v>12084374</v>
      </c>
      <c r="AU1773" s="781"/>
      <c r="AV1773" s="782">
        <v>12084372</v>
      </c>
      <c r="AW1773" s="782">
        <v>12024404</v>
      </c>
      <c r="AX1773" s="782"/>
      <c r="AY1773" s="782">
        <v>12084373</v>
      </c>
      <c r="AZ1773" s="782"/>
      <c r="BA1773" s="781"/>
    </row>
    <row r="1774" spans="1:53" ht="24.75" hidden="1" customHeight="1">
      <c r="B1774" s="295">
        <v>45649</v>
      </c>
      <c r="C1774" s="771" t="s">
        <v>1874</v>
      </c>
      <c r="D1774" s="185">
        <f t="shared" si="588"/>
        <v>2024</v>
      </c>
      <c r="E1774" s="296" t="str">
        <f>VLOOKUP($B1774,Week!$A$1:$C$1462,2,0)</f>
        <v>Week52</v>
      </c>
      <c r="F1774" s="297" t="str">
        <f t="shared" si="589"/>
        <v>Dec</v>
      </c>
      <c r="G1774" s="648" t="s">
        <v>47</v>
      </c>
      <c r="H1774" s="298" t="s">
        <v>260</v>
      </c>
      <c r="I1774" s="298" t="s">
        <v>2702</v>
      </c>
      <c r="J1774" s="307" t="s">
        <v>904</v>
      </c>
      <c r="K1774" s="300" t="s">
        <v>176</v>
      </c>
      <c r="L1774" s="300" t="s">
        <v>2167</v>
      </c>
      <c r="M1774" s="299" t="s">
        <v>262</v>
      </c>
      <c r="N1774" s="298" t="s">
        <v>350</v>
      </c>
      <c r="O1774" s="298" t="s">
        <v>351</v>
      </c>
      <c r="P1774" s="301">
        <v>24</v>
      </c>
      <c r="Q1774" s="301">
        <v>5</v>
      </c>
      <c r="R1774" s="302">
        <v>6.1999999999999998E-3</v>
      </c>
      <c r="S1774" s="298" t="s">
        <v>352</v>
      </c>
      <c r="T1774" s="298" t="s">
        <v>56</v>
      </c>
      <c r="U1774" s="298" t="s">
        <v>57</v>
      </c>
      <c r="V1774" s="303">
        <v>655</v>
      </c>
      <c r="W1774" s="303">
        <f>655</f>
        <v>655</v>
      </c>
      <c r="X1774" s="304"/>
      <c r="Y1774" s="305">
        <f t="shared" si="605"/>
        <v>0</v>
      </c>
      <c r="Z1774" s="306">
        <f t="shared" si="606"/>
        <v>0</v>
      </c>
      <c r="AA1774" s="306"/>
      <c r="AB1774" s="814"/>
      <c r="AC1774" s="303"/>
      <c r="AD1774" s="381"/>
      <c r="AE1774" s="210"/>
      <c r="AF1774" s="210"/>
      <c r="AG1774" s="211">
        <f t="shared" si="607"/>
        <v>0.13</v>
      </c>
      <c r="AH1774" s="157">
        <f t="shared" si="608"/>
        <v>0</v>
      </c>
      <c r="AI1774" s="152">
        <f t="shared" si="609"/>
        <v>15720</v>
      </c>
      <c r="AK1774" s="156" t="s">
        <v>691</v>
      </c>
      <c r="AL1774" s="574" t="s">
        <v>690</v>
      </c>
      <c r="AM1774" s="198">
        <f t="shared" si="604"/>
        <v>0</v>
      </c>
      <c r="AN1774" s="199">
        <f t="shared" si="590"/>
        <v>45649</v>
      </c>
      <c r="AO1774" s="159" t="s">
        <v>692</v>
      </c>
      <c r="AP1774" s="783" t="s">
        <v>629</v>
      </c>
      <c r="AQ1774" s="782">
        <v>12071839</v>
      </c>
      <c r="AR1774" s="782">
        <v>12078867</v>
      </c>
      <c r="AS1774" s="782">
        <v>12068233</v>
      </c>
      <c r="AT1774" s="781"/>
      <c r="AU1774" s="781"/>
      <c r="AV1774" s="782">
        <v>12062075</v>
      </c>
      <c r="AW1774" s="781"/>
      <c r="AX1774" s="781"/>
      <c r="AY1774" s="782">
        <v>12078867</v>
      </c>
      <c r="AZ1774" s="781"/>
      <c r="BA1774" s="781"/>
    </row>
    <row r="1775" spans="1:53" ht="24.65" hidden="1" customHeight="1">
      <c r="B1775" s="743">
        <v>45649</v>
      </c>
      <c r="C1775" s="744" t="s">
        <v>1677</v>
      </c>
      <c r="D1775" s="185">
        <f t="shared" si="588"/>
        <v>2024</v>
      </c>
      <c r="E1775" s="744" t="str">
        <f>VLOOKUP($B1775,Week!$A$1:$C$1462,2,0)</f>
        <v>Week52</v>
      </c>
      <c r="F1775" s="745" t="str">
        <f t="shared" si="589"/>
        <v>Dec</v>
      </c>
      <c r="G1775" s="746" t="s">
        <v>47</v>
      </c>
      <c r="H1775" s="746" t="s">
        <v>260</v>
      </c>
      <c r="I1775" s="746" t="s">
        <v>2702</v>
      </c>
      <c r="J1775" s="747" t="s">
        <v>70</v>
      </c>
      <c r="K1775" s="748" t="s">
        <v>176</v>
      </c>
      <c r="L1775" s="300" t="s">
        <v>2167</v>
      </c>
      <c r="M1775" s="747" t="s">
        <v>1713</v>
      </c>
      <c r="N1775" s="746" t="s">
        <v>1728</v>
      </c>
      <c r="O1775" s="746" t="s">
        <v>742</v>
      </c>
      <c r="P1775" s="749">
        <v>24</v>
      </c>
      <c r="Q1775" s="749">
        <v>5</v>
      </c>
      <c r="R1775" s="746">
        <v>6.1999999999999998E-3</v>
      </c>
      <c r="S1775" s="746" t="s">
        <v>352</v>
      </c>
      <c r="T1775" s="746" t="s">
        <v>56</v>
      </c>
      <c r="U1775" s="746" t="s">
        <v>1714</v>
      </c>
      <c r="V1775" s="750">
        <f>3000-2134-538</f>
        <v>328</v>
      </c>
      <c r="W1775" s="750">
        <v>328</v>
      </c>
      <c r="X1775" s="751"/>
      <c r="Y1775" s="752">
        <f t="shared" si="605"/>
        <v>0</v>
      </c>
      <c r="Z1775" s="753">
        <f t="shared" si="606"/>
        <v>0</v>
      </c>
      <c r="AA1775" s="753"/>
      <c r="AB1775" s="838"/>
      <c r="AC1775" s="750"/>
      <c r="AD1775" s="209"/>
      <c r="AE1775" s="210"/>
      <c r="AF1775" s="210"/>
      <c r="AG1775" s="211">
        <f t="shared" si="607"/>
        <v>0.14299999999999999</v>
      </c>
      <c r="AH1775" s="157">
        <f t="shared" si="608"/>
        <v>0</v>
      </c>
      <c r="AI1775" s="152">
        <f t="shared" si="609"/>
        <v>7872</v>
      </c>
      <c r="AK1775" s="156" t="s">
        <v>691</v>
      </c>
      <c r="AL1775" s="212" t="s">
        <v>690</v>
      </c>
      <c r="AM1775" s="198">
        <f t="shared" si="604"/>
        <v>0</v>
      </c>
      <c r="AN1775" s="199">
        <f t="shared" si="590"/>
        <v>45649</v>
      </c>
      <c r="AO1775" s="159" t="s">
        <v>692</v>
      </c>
      <c r="AP1775" s="783" t="s">
        <v>609</v>
      </c>
      <c r="AQ1775" s="782">
        <v>12071839</v>
      </c>
      <c r="AR1775" s="782">
        <v>12047514</v>
      </c>
      <c r="AS1775" s="782">
        <v>12047515</v>
      </c>
      <c r="AT1775" s="781"/>
      <c r="AU1775" s="781"/>
      <c r="AV1775" s="782">
        <v>12089668</v>
      </c>
      <c r="AW1775" s="781"/>
      <c r="AX1775" s="781"/>
      <c r="AY1775" s="782">
        <v>12088311</v>
      </c>
      <c r="AZ1775" s="782">
        <v>12088315</v>
      </c>
      <c r="BA1775" s="781"/>
    </row>
    <row r="1776" spans="1:53" ht="24.65" hidden="1" customHeight="1">
      <c r="B1776" s="743">
        <v>45649</v>
      </c>
      <c r="C1776" s="744" t="s">
        <v>1678</v>
      </c>
      <c r="D1776" s="185">
        <f t="shared" si="588"/>
        <v>2024</v>
      </c>
      <c r="E1776" s="744" t="str">
        <f>VLOOKUP($B1776,Week!$A$1:$C$1462,2,0)</f>
        <v>Week52</v>
      </c>
      <c r="F1776" s="745" t="str">
        <f t="shared" si="589"/>
        <v>Dec</v>
      </c>
      <c r="G1776" s="746" t="s">
        <v>47</v>
      </c>
      <c r="H1776" s="746" t="s">
        <v>260</v>
      </c>
      <c r="I1776" s="746" t="s">
        <v>2702</v>
      </c>
      <c r="J1776" s="747" t="s">
        <v>70</v>
      </c>
      <c r="K1776" s="748" t="s">
        <v>176</v>
      </c>
      <c r="L1776" s="300" t="s">
        <v>2167</v>
      </c>
      <c r="M1776" s="747" t="s">
        <v>1713</v>
      </c>
      <c r="N1776" s="746" t="s">
        <v>1728</v>
      </c>
      <c r="O1776" s="746" t="s">
        <v>742</v>
      </c>
      <c r="P1776" s="749">
        <v>24</v>
      </c>
      <c r="Q1776" s="749">
        <v>5</v>
      </c>
      <c r="R1776" s="746">
        <v>6.1999999999999998E-3</v>
      </c>
      <c r="S1776" s="746" t="s">
        <v>352</v>
      </c>
      <c r="T1776" s="746" t="s">
        <v>56</v>
      </c>
      <c r="U1776" s="746" t="s">
        <v>1714</v>
      </c>
      <c r="V1776" s="750">
        <f>655</f>
        <v>655</v>
      </c>
      <c r="W1776" s="750">
        <f>975-328</f>
        <v>647</v>
      </c>
      <c r="X1776" s="751">
        <v>8</v>
      </c>
      <c r="Y1776" s="752">
        <f t="shared" si="605"/>
        <v>0</v>
      </c>
      <c r="Z1776" s="753">
        <f t="shared" si="606"/>
        <v>0</v>
      </c>
      <c r="AA1776" s="753"/>
      <c r="AB1776" s="838"/>
      <c r="AC1776" s="750"/>
      <c r="AD1776" s="209" t="s">
        <v>1856</v>
      </c>
      <c r="AE1776" s="210"/>
      <c r="AF1776" s="210"/>
      <c r="AG1776" s="211">
        <f t="shared" si="607"/>
        <v>0.14299999999999999</v>
      </c>
      <c r="AH1776" s="157">
        <f t="shared" si="608"/>
        <v>0</v>
      </c>
      <c r="AI1776" s="152">
        <f t="shared" si="609"/>
        <v>15720</v>
      </c>
      <c r="AK1776" s="156" t="s">
        <v>691</v>
      </c>
      <c r="AL1776" s="212" t="s">
        <v>690</v>
      </c>
      <c r="AM1776" s="198">
        <f t="shared" si="604"/>
        <v>0</v>
      </c>
      <c r="AN1776" s="199">
        <f t="shared" si="590"/>
        <v>45649</v>
      </c>
      <c r="AO1776" s="159" t="s">
        <v>692</v>
      </c>
      <c r="AP1776" s="783" t="s">
        <v>609</v>
      </c>
      <c r="AQ1776" s="782">
        <v>12071839</v>
      </c>
      <c r="AR1776" s="782">
        <v>12047514</v>
      </c>
      <c r="AS1776" s="782">
        <v>12047515</v>
      </c>
      <c r="AT1776" s="781"/>
      <c r="AU1776" s="781"/>
      <c r="AV1776" s="782">
        <v>12089668</v>
      </c>
      <c r="AW1776" s="781"/>
      <c r="AX1776" s="781"/>
      <c r="AY1776" s="782">
        <v>12088311</v>
      </c>
      <c r="AZ1776" s="782">
        <v>12088315</v>
      </c>
      <c r="BA1776" s="781"/>
    </row>
    <row r="1777" spans="2:53" ht="24.65" hidden="1" customHeight="1">
      <c r="B1777" s="308">
        <v>45650</v>
      </c>
      <c r="C1777" s="309">
        <v>45666</v>
      </c>
      <c r="D1777" s="185">
        <f t="shared" si="588"/>
        <v>2024</v>
      </c>
      <c r="E1777" s="309" t="str">
        <f>VLOOKUP($B1777,Week!$A$1:$C$1462,2,0)</f>
        <v>Week52</v>
      </c>
      <c r="F1777" s="310" t="str">
        <f t="shared" si="589"/>
        <v>Dec</v>
      </c>
      <c r="G1777" s="311" t="s">
        <v>1839</v>
      </c>
      <c r="H1777" s="311" t="s">
        <v>311</v>
      </c>
      <c r="I1777" s="311" t="s">
        <v>2772</v>
      </c>
      <c r="J1777" s="312" t="s">
        <v>738</v>
      </c>
      <c r="K1777" s="313" t="s">
        <v>107</v>
      </c>
      <c r="L1777" s="300" t="s">
        <v>2167</v>
      </c>
      <c r="M1777" s="312" t="s">
        <v>313</v>
      </c>
      <c r="N1777" s="311" t="s">
        <v>314</v>
      </c>
      <c r="O1777" s="311" t="s">
        <v>110</v>
      </c>
      <c r="P1777" s="314">
        <v>36</v>
      </c>
      <c r="Q1777" s="314">
        <v>5</v>
      </c>
      <c r="R1777" s="315">
        <v>7.4999999999999997E-3</v>
      </c>
      <c r="S1777" s="311" t="s">
        <v>111</v>
      </c>
      <c r="T1777" s="311" t="s">
        <v>112</v>
      </c>
      <c r="U1777" s="311" t="s">
        <v>57</v>
      </c>
      <c r="V1777" s="316">
        <v>792</v>
      </c>
      <c r="W1777" s="316">
        <f>25+767</f>
        <v>792</v>
      </c>
      <c r="X1777" s="317"/>
      <c r="Y1777" s="318">
        <f t="shared" si="605"/>
        <v>0</v>
      </c>
      <c r="Z1777" s="319">
        <f t="shared" si="606"/>
        <v>0</v>
      </c>
      <c r="AA1777" s="319"/>
      <c r="AB1777" s="815"/>
      <c r="AC1777" s="316"/>
      <c r="AD1777" s="515"/>
      <c r="AE1777" s="210"/>
      <c r="AF1777" s="210"/>
      <c r="AG1777" s="211">
        <f t="shared" si="607"/>
        <v>0.308</v>
      </c>
      <c r="AH1777" s="157">
        <f t="shared" si="608"/>
        <v>0</v>
      </c>
      <c r="AI1777" s="152">
        <f t="shared" si="609"/>
        <v>28512</v>
      </c>
      <c r="AK1777" s="156" t="s">
        <v>691</v>
      </c>
      <c r="AL1777" s="212" t="s">
        <v>690</v>
      </c>
      <c r="AM1777" s="198">
        <f t="shared" si="604"/>
        <v>0</v>
      </c>
      <c r="AN1777" s="199">
        <f t="shared" si="590"/>
        <v>45650</v>
      </c>
      <c r="AO1777" s="159" t="s">
        <v>692</v>
      </c>
      <c r="AP1777" s="783" t="s">
        <v>644</v>
      </c>
      <c r="AQ1777" s="782">
        <v>12063755</v>
      </c>
      <c r="AR1777" s="782">
        <v>12061353</v>
      </c>
      <c r="AS1777" s="782">
        <v>12061354</v>
      </c>
      <c r="AT1777" s="782">
        <v>12062266</v>
      </c>
      <c r="AU1777" s="781"/>
      <c r="AV1777" s="782">
        <v>12088159</v>
      </c>
      <c r="AW1777" s="782">
        <v>12088207</v>
      </c>
      <c r="AX1777" s="782"/>
      <c r="AY1777" s="782">
        <v>12062262</v>
      </c>
      <c r="AZ1777" s="782"/>
      <c r="BA1777" s="781"/>
    </row>
    <row r="1778" spans="2:53" ht="24.65" hidden="1" customHeight="1">
      <c r="B1778" s="308">
        <v>45650</v>
      </c>
      <c r="C1778" s="309">
        <v>45673</v>
      </c>
      <c r="D1778" s="185">
        <f t="shared" si="588"/>
        <v>2024</v>
      </c>
      <c r="E1778" s="309" t="str">
        <f>VLOOKUP($B1778,Week!$A$1:$C$1462,2,0)</f>
        <v>Week52</v>
      </c>
      <c r="F1778" s="310" t="str">
        <f t="shared" si="589"/>
        <v>Dec</v>
      </c>
      <c r="G1778" s="311" t="s">
        <v>1889</v>
      </c>
      <c r="H1778" s="311" t="s">
        <v>311</v>
      </c>
      <c r="I1778" s="311" t="s">
        <v>2772</v>
      </c>
      <c r="J1778" s="312" t="s">
        <v>738</v>
      </c>
      <c r="K1778" s="313" t="s">
        <v>107</v>
      </c>
      <c r="L1778" s="300" t="s">
        <v>2167</v>
      </c>
      <c r="M1778" s="312" t="s">
        <v>313</v>
      </c>
      <c r="N1778" s="311" t="s">
        <v>314</v>
      </c>
      <c r="O1778" s="311" t="s">
        <v>110</v>
      </c>
      <c r="P1778" s="314">
        <v>36</v>
      </c>
      <c r="Q1778" s="314">
        <v>5</v>
      </c>
      <c r="R1778" s="315">
        <v>7.4999999999999997E-3</v>
      </c>
      <c r="S1778" s="311" t="s">
        <v>111</v>
      </c>
      <c r="T1778" s="311" t="s">
        <v>112</v>
      </c>
      <c r="U1778" s="311" t="s">
        <v>57</v>
      </c>
      <c r="V1778" s="316">
        <v>792</v>
      </c>
      <c r="W1778" s="316">
        <f>1328-767</f>
        <v>561</v>
      </c>
      <c r="X1778" s="317">
        <f>(8316)/36</f>
        <v>231</v>
      </c>
      <c r="Y1778" s="318">
        <f t="shared" si="605"/>
        <v>0</v>
      </c>
      <c r="Z1778" s="319">
        <f t="shared" si="606"/>
        <v>0</v>
      </c>
      <c r="AA1778" s="319"/>
      <c r="AB1778" s="815"/>
      <c r="AC1778" s="316"/>
      <c r="AD1778" s="515"/>
      <c r="AE1778" s="210"/>
      <c r="AF1778" s="210"/>
      <c r="AG1778" s="211">
        <f t="shared" si="607"/>
        <v>0.308</v>
      </c>
      <c r="AH1778" s="157">
        <f t="shared" si="608"/>
        <v>0</v>
      </c>
      <c r="AI1778" s="152">
        <f t="shared" si="609"/>
        <v>28512</v>
      </c>
      <c r="AK1778" s="156" t="s">
        <v>691</v>
      </c>
      <c r="AL1778" s="212" t="s">
        <v>690</v>
      </c>
      <c r="AM1778" s="198">
        <f t="shared" si="604"/>
        <v>0</v>
      </c>
      <c r="AN1778" s="199">
        <f t="shared" si="590"/>
        <v>45650</v>
      </c>
      <c r="AO1778" s="159" t="s">
        <v>692</v>
      </c>
      <c r="AP1778" s="783" t="s">
        <v>644</v>
      </c>
      <c r="AQ1778" s="782">
        <v>12063755</v>
      </c>
      <c r="AR1778" s="782">
        <v>12061353</v>
      </c>
      <c r="AS1778" s="782">
        <v>12061354</v>
      </c>
      <c r="AT1778" s="782">
        <v>12062266</v>
      </c>
      <c r="AU1778" s="781"/>
      <c r="AV1778" s="782">
        <v>12088159</v>
      </c>
      <c r="AW1778" s="782">
        <v>12088207</v>
      </c>
      <c r="AX1778" s="782"/>
      <c r="AY1778" s="782">
        <v>12062262</v>
      </c>
      <c r="AZ1778" s="782"/>
      <c r="BA1778" s="781"/>
    </row>
    <row r="1779" spans="2:53" ht="25" hidden="1" customHeight="1">
      <c r="B1779" s="258">
        <v>45650</v>
      </c>
      <c r="C1779" s="259">
        <v>45670</v>
      </c>
      <c r="D1779" s="185">
        <f t="shared" si="588"/>
        <v>2024</v>
      </c>
      <c r="E1779" s="259" t="str">
        <f>VLOOKUP($B1779,Week!$A$1:$C$1462,2,0)</f>
        <v>Week52</v>
      </c>
      <c r="F1779" s="261" t="str">
        <f t="shared" si="589"/>
        <v>Dec</v>
      </c>
      <c r="G1779" s="260" t="s">
        <v>1898</v>
      </c>
      <c r="H1779" s="260" t="s">
        <v>424</v>
      </c>
      <c r="I1779" s="260" t="s">
        <v>2772</v>
      </c>
      <c r="J1779" s="263" t="s">
        <v>653</v>
      </c>
      <c r="K1779" s="264" t="s">
        <v>1646</v>
      </c>
      <c r="L1779" s="300" t="s">
        <v>2167</v>
      </c>
      <c r="M1779" s="263" t="s">
        <v>654</v>
      </c>
      <c r="N1779" s="260" t="s">
        <v>656</v>
      </c>
      <c r="O1779" s="260" t="s">
        <v>655</v>
      </c>
      <c r="P1779" s="265">
        <v>24</v>
      </c>
      <c r="Q1779" s="265">
        <v>5</v>
      </c>
      <c r="R1779" s="266">
        <v>7.4999999999999997E-3</v>
      </c>
      <c r="S1779" s="260" t="s">
        <v>40</v>
      </c>
      <c r="T1779" s="260" t="s">
        <v>112</v>
      </c>
      <c r="U1779" s="775" t="s">
        <v>1894</v>
      </c>
      <c r="V1779" s="267">
        <v>924</v>
      </c>
      <c r="W1779" s="267">
        <f>136+788</f>
        <v>924</v>
      </c>
      <c r="X1779" s="268"/>
      <c r="Y1779" s="269">
        <f t="shared" si="605"/>
        <v>0</v>
      </c>
      <c r="Z1779" s="270">
        <f t="shared" si="606"/>
        <v>0</v>
      </c>
      <c r="AA1779" s="270"/>
      <c r="AB1779" s="811"/>
      <c r="AC1779" s="267"/>
      <c r="AD1779" s="443"/>
      <c r="AE1779" s="210"/>
      <c r="AF1779" s="210"/>
      <c r="AG1779" s="211">
        <f t="shared" si="607"/>
        <v>0.307</v>
      </c>
      <c r="AH1779" s="157">
        <f t="shared" si="608"/>
        <v>0</v>
      </c>
      <c r="AI1779" s="152">
        <f t="shared" si="609"/>
        <v>22176</v>
      </c>
      <c r="AK1779" s="156" t="s">
        <v>691</v>
      </c>
      <c r="AL1779" s="212" t="s">
        <v>690</v>
      </c>
      <c r="AM1779" s="198">
        <f t="shared" si="604"/>
        <v>0</v>
      </c>
      <c r="AN1779" s="199">
        <f t="shared" si="590"/>
        <v>45650</v>
      </c>
      <c r="AO1779" s="159" t="s">
        <v>692</v>
      </c>
      <c r="AP1779" s="781" t="s">
        <v>642</v>
      </c>
      <c r="AQ1779" s="782">
        <v>12063755</v>
      </c>
      <c r="AR1779" s="782">
        <v>12061353</v>
      </c>
      <c r="AS1779" s="782">
        <v>12061354</v>
      </c>
      <c r="AT1779" s="782">
        <v>12084607</v>
      </c>
      <c r="AU1779" s="781"/>
      <c r="AV1779" s="782">
        <v>12084608</v>
      </c>
      <c r="AW1779" s="782">
        <v>12068154</v>
      </c>
      <c r="AX1779" s="782"/>
      <c r="AY1779" s="782">
        <v>12084606</v>
      </c>
      <c r="AZ1779" s="782"/>
      <c r="BA1779" s="781"/>
    </row>
    <row r="1780" spans="2:53" ht="25" hidden="1" customHeight="1">
      <c r="B1780" s="258">
        <v>45650</v>
      </c>
      <c r="C1780" s="259">
        <v>45677</v>
      </c>
      <c r="D1780" s="185">
        <f t="shared" si="588"/>
        <v>2024</v>
      </c>
      <c r="E1780" s="259" t="str">
        <f>VLOOKUP($B1780,Week!$A$1:$C$1462,2,0)</f>
        <v>Week52</v>
      </c>
      <c r="F1780" s="261" t="str">
        <f t="shared" si="589"/>
        <v>Dec</v>
      </c>
      <c r="G1780" s="260" t="s">
        <v>1899</v>
      </c>
      <c r="H1780" s="260" t="s">
        <v>424</v>
      </c>
      <c r="I1780" s="260" t="s">
        <v>2772</v>
      </c>
      <c r="J1780" s="263" t="s">
        <v>653</v>
      </c>
      <c r="K1780" s="264" t="s">
        <v>1646</v>
      </c>
      <c r="L1780" s="300" t="s">
        <v>2167</v>
      </c>
      <c r="M1780" s="263" t="s">
        <v>654</v>
      </c>
      <c r="N1780" s="260" t="s">
        <v>656</v>
      </c>
      <c r="O1780" s="260" t="s">
        <v>655</v>
      </c>
      <c r="P1780" s="265">
        <v>24</v>
      </c>
      <c r="Q1780" s="265">
        <v>5</v>
      </c>
      <c r="R1780" s="266">
        <v>7.4999999999999997E-3</v>
      </c>
      <c r="S1780" s="260" t="s">
        <v>40</v>
      </c>
      <c r="T1780" s="260" t="s">
        <v>112</v>
      </c>
      <c r="U1780" s="775" t="s">
        <v>1894</v>
      </c>
      <c r="V1780" s="267">
        <v>552</v>
      </c>
      <c r="W1780" s="267">
        <f>1340-788</f>
        <v>552</v>
      </c>
      <c r="X1780" s="268"/>
      <c r="Y1780" s="269">
        <f t="shared" si="605"/>
        <v>0</v>
      </c>
      <c r="Z1780" s="270">
        <f t="shared" si="606"/>
        <v>0</v>
      </c>
      <c r="AA1780" s="270"/>
      <c r="AB1780" s="811"/>
      <c r="AC1780" s="267"/>
      <c r="AD1780" s="443"/>
      <c r="AE1780" s="210"/>
      <c r="AF1780" s="210"/>
      <c r="AG1780" s="211">
        <f t="shared" si="607"/>
        <v>0.307</v>
      </c>
      <c r="AH1780" s="157">
        <f t="shared" si="608"/>
        <v>0</v>
      </c>
      <c r="AI1780" s="152">
        <f t="shared" si="609"/>
        <v>13248</v>
      </c>
      <c r="AK1780" s="156" t="s">
        <v>691</v>
      </c>
      <c r="AL1780" s="212" t="s">
        <v>690</v>
      </c>
      <c r="AM1780" s="198">
        <f t="shared" si="604"/>
        <v>0</v>
      </c>
      <c r="AN1780" s="199">
        <f t="shared" si="590"/>
        <v>45650</v>
      </c>
      <c r="AO1780" s="159" t="s">
        <v>692</v>
      </c>
      <c r="AP1780" s="781" t="s">
        <v>642</v>
      </c>
      <c r="AQ1780" s="782">
        <v>12063755</v>
      </c>
      <c r="AR1780" s="782">
        <v>12061353</v>
      </c>
      <c r="AS1780" s="782">
        <v>12061354</v>
      </c>
      <c r="AT1780" s="782">
        <v>12084607</v>
      </c>
      <c r="AU1780" s="781"/>
      <c r="AV1780" s="782">
        <v>12084608</v>
      </c>
      <c r="AW1780" s="782">
        <v>12068154</v>
      </c>
      <c r="AX1780" s="782"/>
      <c r="AY1780" s="782">
        <v>12084606</v>
      </c>
      <c r="AZ1780" s="782"/>
      <c r="BA1780" s="781"/>
    </row>
    <row r="1781" spans="2:53" ht="25" hidden="1" customHeight="1">
      <c r="B1781" s="258">
        <v>45651</v>
      </c>
      <c r="C1781" s="259">
        <v>45677</v>
      </c>
      <c r="D1781" s="185">
        <f t="shared" si="588"/>
        <v>2024</v>
      </c>
      <c r="E1781" s="259" t="str">
        <f>VLOOKUP($B1781,Week!$A$1:$C$1462,2,0)</f>
        <v>Week52</v>
      </c>
      <c r="F1781" s="261" t="str">
        <f t="shared" si="589"/>
        <v>Dec</v>
      </c>
      <c r="G1781" s="260" t="s">
        <v>1899</v>
      </c>
      <c r="H1781" s="260" t="s">
        <v>424</v>
      </c>
      <c r="I1781" s="260" t="s">
        <v>2772</v>
      </c>
      <c r="J1781" s="263" t="s">
        <v>653</v>
      </c>
      <c r="K1781" s="264" t="s">
        <v>1646</v>
      </c>
      <c r="L1781" s="300" t="s">
        <v>2167</v>
      </c>
      <c r="M1781" s="263" t="s">
        <v>654</v>
      </c>
      <c r="N1781" s="260" t="s">
        <v>656</v>
      </c>
      <c r="O1781" s="260" t="s">
        <v>655</v>
      </c>
      <c r="P1781" s="265">
        <v>24</v>
      </c>
      <c r="Q1781" s="265">
        <v>5</v>
      </c>
      <c r="R1781" s="266">
        <v>7.4999999999999997E-3</v>
      </c>
      <c r="S1781" s="260" t="s">
        <v>40</v>
      </c>
      <c r="T1781" s="260" t="s">
        <v>112</v>
      </c>
      <c r="U1781" s="775" t="s">
        <v>1894</v>
      </c>
      <c r="V1781" s="267">
        <f>924-552</f>
        <v>372</v>
      </c>
      <c r="W1781" s="267">
        <v>372</v>
      </c>
      <c r="X1781" s="268"/>
      <c r="Y1781" s="269">
        <f t="shared" si="605"/>
        <v>0</v>
      </c>
      <c r="Z1781" s="270">
        <f t="shared" si="606"/>
        <v>0</v>
      </c>
      <c r="AA1781" s="270"/>
      <c r="AB1781" s="811"/>
      <c r="AC1781" s="267"/>
      <c r="AD1781" s="443"/>
      <c r="AE1781" s="210"/>
      <c r="AF1781" s="210"/>
      <c r="AG1781" s="211">
        <f t="shared" si="607"/>
        <v>0.307</v>
      </c>
      <c r="AH1781" s="157">
        <f t="shared" si="608"/>
        <v>0</v>
      </c>
      <c r="AI1781" s="152">
        <f t="shared" si="609"/>
        <v>8928</v>
      </c>
      <c r="AK1781" s="156" t="s">
        <v>691</v>
      </c>
      <c r="AL1781" s="212" t="s">
        <v>690</v>
      </c>
      <c r="AM1781" s="198">
        <f t="shared" si="604"/>
        <v>0</v>
      </c>
      <c r="AN1781" s="199">
        <f t="shared" si="590"/>
        <v>45651</v>
      </c>
      <c r="AO1781" s="159" t="s">
        <v>692</v>
      </c>
      <c r="AP1781" s="781" t="s">
        <v>642</v>
      </c>
      <c r="AQ1781" s="782">
        <v>12063755</v>
      </c>
      <c r="AR1781" s="782">
        <v>12061353</v>
      </c>
      <c r="AS1781" s="782">
        <v>12061354</v>
      </c>
      <c r="AT1781" s="782">
        <v>12084607</v>
      </c>
      <c r="AU1781" s="781"/>
      <c r="AV1781" s="782">
        <v>12084608</v>
      </c>
      <c r="AW1781" s="782">
        <v>12068154</v>
      </c>
      <c r="AX1781" s="782"/>
      <c r="AY1781" s="782">
        <v>12084606</v>
      </c>
      <c r="AZ1781" s="782"/>
      <c r="BA1781" s="781"/>
    </row>
    <row r="1782" spans="2:53" ht="25" hidden="1" customHeight="1">
      <c r="B1782" s="258">
        <v>45651</v>
      </c>
      <c r="C1782" s="259">
        <v>45677</v>
      </c>
      <c r="D1782" s="185">
        <f t="shared" si="588"/>
        <v>2024</v>
      </c>
      <c r="E1782" s="259" t="str">
        <f>VLOOKUP($B1782,Week!$A$1:$C$1462,2,0)</f>
        <v>Week52</v>
      </c>
      <c r="F1782" s="261" t="str">
        <f t="shared" si="589"/>
        <v>Dec</v>
      </c>
      <c r="G1782" s="260" t="s">
        <v>1900</v>
      </c>
      <c r="H1782" s="260" t="s">
        <v>424</v>
      </c>
      <c r="I1782" s="260" t="s">
        <v>2772</v>
      </c>
      <c r="J1782" s="263" t="s">
        <v>653</v>
      </c>
      <c r="K1782" s="264" t="s">
        <v>1646</v>
      </c>
      <c r="L1782" s="300" t="s">
        <v>2167</v>
      </c>
      <c r="M1782" s="263" t="s">
        <v>654</v>
      </c>
      <c r="N1782" s="260" t="s">
        <v>656</v>
      </c>
      <c r="O1782" s="260" t="s">
        <v>655</v>
      </c>
      <c r="P1782" s="265">
        <v>24</v>
      </c>
      <c r="Q1782" s="265">
        <v>5</v>
      </c>
      <c r="R1782" s="266">
        <v>7.4999999999999997E-3</v>
      </c>
      <c r="S1782" s="260" t="s">
        <v>40</v>
      </c>
      <c r="T1782" s="260" t="s">
        <v>112</v>
      </c>
      <c r="U1782" s="775" t="s">
        <v>1894</v>
      </c>
      <c r="V1782" s="267">
        <v>924</v>
      </c>
      <c r="W1782" s="267">
        <f>1110-372</f>
        <v>738</v>
      </c>
      <c r="X1782" s="268">
        <f>(4464)/24</f>
        <v>186</v>
      </c>
      <c r="Y1782" s="269">
        <f t="shared" si="605"/>
        <v>0</v>
      </c>
      <c r="Z1782" s="270">
        <f t="shared" si="606"/>
        <v>0</v>
      </c>
      <c r="AA1782" s="270"/>
      <c r="AB1782" s="811"/>
      <c r="AC1782" s="267"/>
      <c r="AD1782" s="307" t="s">
        <v>672</v>
      </c>
      <c r="AE1782" s="210"/>
      <c r="AF1782" s="210"/>
      <c r="AG1782" s="211">
        <f t="shared" si="607"/>
        <v>0.307</v>
      </c>
      <c r="AH1782" s="157">
        <f t="shared" si="608"/>
        <v>0</v>
      </c>
      <c r="AI1782" s="152">
        <f t="shared" si="609"/>
        <v>22176</v>
      </c>
      <c r="AK1782" s="156" t="s">
        <v>691</v>
      </c>
      <c r="AL1782" s="212" t="s">
        <v>690</v>
      </c>
      <c r="AM1782" s="198">
        <f t="shared" si="604"/>
        <v>0</v>
      </c>
      <c r="AN1782" s="199">
        <f t="shared" si="590"/>
        <v>45651</v>
      </c>
      <c r="AO1782" s="159" t="s">
        <v>692</v>
      </c>
      <c r="AP1782" s="781" t="s">
        <v>642</v>
      </c>
      <c r="AQ1782" s="782">
        <v>12063755</v>
      </c>
      <c r="AR1782" s="782">
        <v>12061353</v>
      </c>
      <c r="AS1782" s="782">
        <v>12061354</v>
      </c>
      <c r="AT1782" s="782">
        <v>12084607</v>
      </c>
      <c r="AU1782" s="781"/>
      <c r="AV1782" s="782">
        <v>12084608</v>
      </c>
      <c r="AW1782" s="782">
        <v>12068154</v>
      </c>
      <c r="AX1782" s="782"/>
      <c r="AY1782" s="782">
        <v>12084606</v>
      </c>
      <c r="AZ1782" s="782"/>
      <c r="BA1782" s="781"/>
    </row>
    <row r="1783" spans="2:53" ht="25" hidden="1" customHeight="1">
      <c r="B1783" s="383">
        <v>45651</v>
      </c>
      <c r="C1783" s="383">
        <v>45660</v>
      </c>
      <c r="D1783" s="185">
        <f t="shared" si="588"/>
        <v>2024</v>
      </c>
      <c r="E1783" s="224" t="str">
        <f>VLOOKUP($B1783,Week!$A$1:$C$1462,2,0)</f>
        <v>Week52</v>
      </c>
      <c r="F1783" s="226" t="str">
        <f t="shared" si="589"/>
        <v>Dec</v>
      </c>
      <c r="G1783" s="225" t="s">
        <v>1885</v>
      </c>
      <c r="H1783" s="225" t="s">
        <v>225</v>
      </c>
      <c r="I1783" s="225" t="s">
        <v>2773</v>
      </c>
      <c r="J1783" s="227" t="s">
        <v>335</v>
      </c>
      <c r="K1783" s="228" t="s">
        <v>176</v>
      </c>
      <c r="L1783" s="300" t="s">
        <v>2167</v>
      </c>
      <c r="M1783" s="227" t="s">
        <v>336</v>
      </c>
      <c r="N1783" s="225" t="s">
        <v>337</v>
      </c>
      <c r="O1783" s="225" t="s">
        <v>179</v>
      </c>
      <c r="P1783" s="229">
        <v>36</v>
      </c>
      <c r="Q1783" s="229">
        <v>5</v>
      </c>
      <c r="R1783" s="230">
        <v>7.4999999999999997E-3</v>
      </c>
      <c r="S1783" s="225" t="s">
        <v>111</v>
      </c>
      <c r="T1783" s="225" t="s">
        <v>112</v>
      </c>
      <c r="U1783" s="225" t="s">
        <v>113</v>
      </c>
      <c r="V1783" s="231">
        <f>1288-28</f>
        <v>1260</v>
      </c>
      <c r="W1783" s="231">
        <f>1+1259</f>
        <v>1260</v>
      </c>
      <c r="X1783" s="232"/>
      <c r="Y1783" s="233">
        <f t="shared" si="605"/>
        <v>0</v>
      </c>
      <c r="Z1783" s="234">
        <f t="shared" si="606"/>
        <v>0</v>
      </c>
      <c r="AA1783" s="234"/>
      <c r="AB1783" s="822"/>
      <c r="AC1783" s="231"/>
      <c r="AD1783" s="307" t="s">
        <v>1622</v>
      </c>
      <c r="AE1783" s="210"/>
      <c r="AF1783" s="210"/>
      <c r="AG1783" s="211">
        <f t="shared" si="607"/>
        <v>0.14499999999999999</v>
      </c>
      <c r="AH1783" s="157">
        <f t="shared" si="608"/>
        <v>0</v>
      </c>
      <c r="AI1783" s="152">
        <f t="shared" si="609"/>
        <v>45360</v>
      </c>
      <c r="AK1783" s="156" t="s">
        <v>691</v>
      </c>
      <c r="AL1783" s="574" t="s">
        <v>690</v>
      </c>
      <c r="AM1783" s="198">
        <f t="shared" si="604"/>
        <v>0</v>
      </c>
      <c r="AN1783" s="199">
        <f t="shared" si="590"/>
        <v>45651</v>
      </c>
      <c r="AO1783" s="159" t="s">
        <v>692</v>
      </c>
      <c r="AP1783" s="783" t="s">
        <v>639</v>
      </c>
      <c r="AQ1783" s="782">
        <v>12071839</v>
      </c>
      <c r="AR1783" s="782">
        <v>12047514</v>
      </c>
      <c r="AS1783" s="782">
        <v>12047515</v>
      </c>
      <c r="AT1783" s="782">
        <v>12054919</v>
      </c>
      <c r="AU1783" s="781"/>
      <c r="AV1783" s="782">
        <v>12054869</v>
      </c>
      <c r="AW1783" s="782">
        <v>12024404</v>
      </c>
      <c r="AX1783" s="781"/>
      <c r="AY1783" s="782">
        <v>12054815</v>
      </c>
      <c r="AZ1783" s="781"/>
      <c r="BA1783" s="781"/>
    </row>
    <row r="1784" spans="2:53" ht="25" hidden="1" customHeight="1">
      <c r="B1784" s="383">
        <v>45651</v>
      </c>
      <c r="C1784" s="383">
        <v>45667</v>
      </c>
      <c r="D1784" s="185">
        <f t="shared" si="588"/>
        <v>2024</v>
      </c>
      <c r="E1784" s="224" t="str">
        <f>VLOOKUP($B1784,Week!$A$1:$C$1462,2,0)</f>
        <v>Week52</v>
      </c>
      <c r="F1784" s="226" t="str">
        <f t="shared" si="589"/>
        <v>Dec</v>
      </c>
      <c r="G1784" s="225" t="s">
        <v>1910</v>
      </c>
      <c r="H1784" s="225" t="s">
        <v>225</v>
      </c>
      <c r="I1784" s="225" t="s">
        <v>2773</v>
      </c>
      <c r="J1784" s="227" t="s">
        <v>335</v>
      </c>
      <c r="K1784" s="228" t="s">
        <v>176</v>
      </c>
      <c r="L1784" s="300" t="s">
        <v>2167</v>
      </c>
      <c r="M1784" s="227" t="s">
        <v>336</v>
      </c>
      <c r="N1784" s="225" t="s">
        <v>337</v>
      </c>
      <c r="O1784" s="225" t="s">
        <v>179</v>
      </c>
      <c r="P1784" s="229">
        <v>36</v>
      </c>
      <c r="Q1784" s="229">
        <v>5</v>
      </c>
      <c r="R1784" s="230">
        <v>7.4999999999999997E-3</v>
      </c>
      <c r="S1784" s="225" t="s">
        <v>111</v>
      </c>
      <c r="T1784" s="225" t="s">
        <v>112</v>
      </c>
      <c r="U1784" s="225" t="s">
        <v>113</v>
      </c>
      <c r="V1784" s="231">
        <v>1288</v>
      </c>
      <c r="W1784" s="231">
        <v>1288</v>
      </c>
      <c r="X1784" s="232"/>
      <c r="Y1784" s="233">
        <f t="shared" si="605"/>
        <v>0</v>
      </c>
      <c r="Z1784" s="234">
        <f t="shared" si="606"/>
        <v>0</v>
      </c>
      <c r="AA1784" s="234"/>
      <c r="AB1784" s="822"/>
      <c r="AC1784" s="231"/>
      <c r="AD1784" s="307" t="s">
        <v>1622</v>
      </c>
      <c r="AE1784" s="210"/>
      <c r="AF1784" s="210"/>
      <c r="AG1784" s="211">
        <f t="shared" si="607"/>
        <v>0.14499999999999999</v>
      </c>
      <c r="AH1784" s="157">
        <f t="shared" si="608"/>
        <v>0</v>
      </c>
      <c r="AI1784" s="152">
        <f t="shared" si="609"/>
        <v>46368</v>
      </c>
      <c r="AK1784" s="156" t="s">
        <v>691</v>
      </c>
      <c r="AL1784" s="574" t="s">
        <v>690</v>
      </c>
      <c r="AM1784" s="198">
        <f t="shared" si="604"/>
        <v>0</v>
      </c>
      <c r="AN1784" s="199">
        <f t="shared" si="590"/>
        <v>45651</v>
      </c>
      <c r="AO1784" s="159" t="s">
        <v>692</v>
      </c>
      <c r="AP1784" s="783" t="s">
        <v>639</v>
      </c>
      <c r="AQ1784" s="782">
        <v>12071839</v>
      </c>
      <c r="AR1784" s="782">
        <v>12047514</v>
      </c>
      <c r="AS1784" s="782">
        <v>12047515</v>
      </c>
      <c r="AT1784" s="782">
        <v>12054919</v>
      </c>
      <c r="AU1784" s="781"/>
      <c r="AV1784" s="782">
        <v>12054869</v>
      </c>
      <c r="AW1784" s="782">
        <v>12024404</v>
      </c>
      <c r="AX1784" s="781"/>
      <c r="AY1784" s="782">
        <v>12054815</v>
      </c>
      <c r="AZ1784" s="781"/>
      <c r="BA1784" s="781"/>
    </row>
    <row r="1785" spans="2:53" ht="25" hidden="1" customHeight="1">
      <c r="B1785" s="383">
        <v>45651</v>
      </c>
      <c r="C1785" s="383">
        <v>45667</v>
      </c>
      <c r="D1785" s="185">
        <f t="shared" si="588"/>
        <v>2024</v>
      </c>
      <c r="E1785" s="224" t="str">
        <f>VLOOKUP($B1785,Week!$A$1:$C$1462,2,0)</f>
        <v>Week52</v>
      </c>
      <c r="F1785" s="226" t="str">
        <f t="shared" si="589"/>
        <v>Dec</v>
      </c>
      <c r="G1785" s="225" t="s">
        <v>1911</v>
      </c>
      <c r="H1785" s="225" t="s">
        <v>225</v>
      </c>
      <c r="I1785" s="225" t="s">
        <v>2773</v>
      </c>
      <c r="J1785" s="227" t="s">
        <v>335</v>
      </c>
      <c r="K1785" s="228" t="s">
        <v>176</v>
      </c>
      <c r="L1785" s="300" t="s">
        <v>2167</v>
      </c>
      <c r="M1785" s="227" t="s">
        <v>336</v>
      </c>
      <c r="N1785" s="225" t="s">
        <v>337</v>
      </c>
      <c r="O1785" s="225" t="s">
        <v>179</v>
      </c>
      <c r="P1785" s="229">
        <v>36</v>
      </c>
      <c r="Q1785" s="229">
        <v>5</v>
      </c>
      <c r="R1785" s="230">
        <v>7.4999999999999997E-3</v>
      </c>
      <c r="S1785" s="225" t="s">
        <v>111</v>
      </c>
      <c r="T1785" s="225" t="s">
        <v>112</v>
      </c>
      <c r="U1785" s="225" t="s">
        <v>113</v>
      </c>
      <c r="V1785" s="231">
        <v>1288</v>
      </c>
      <c r="W1785" s="231">
        <f>1225</f>
        <v>1225</v>
      </c>
      <c r="X1785" s="232">
        <v>63</v>
      </c>
      <c r="Y1785" s="233">
        <f t="shared" si="605"/>
        <v>0</v>
      </c>
      <c r="Z1785" s="234">
        <f t="shared" si="606"/>
        <v>0</v>
      </c>
      <c r="AA1785" s="234"/>
      <c r="AB1785" s="822"/>
      <c r="AC1785" s="231"/>
      <c r="AD1785" s="307" t="s">
        <v>1622</v>
      </c>
      <c r="AE1785" s="210"/>
      <c r="AF1785" s="210"/>
      <c r="AG1785" s="211">
        <f t="shared" si="607"/>
        <v>0.14499999999999999</v>
      </c>
      <c r="AH1785" s="157">
        <f t="shared" si="608"/>
        <v>0</v>
      </c>
      <c r="AI1785" s="152">
        <f t="shared" si="609"/>
        <v>46368</v>
      </c>
      <c r="AK1785" s="156" t="s">
        <v>691</v>
      </c>
      <c r="AL1785" s="574" t="s">
        <v>690</v>
      </c>
      <c r="AM1785" s="198">
        <f t="shared" si="604"/>
        <v>0</v>
      </c>
      <c r="AN1785" s="199">
        <f t="shared" si="590"/>
        <v>45651</v>
      </c>
      <c r="AO1785" s="159" t="s">
        <v>692</v>
      </c>
      <c r="AP1785" s="783" t="s">
        <v>639</v>
      </c>
      <c r="AQ1785" s="782">
        <v>12071839</v>
      </c>
      <c r="AR1785" s="782">
        <v>12047514</v>
      </c>
      <c r="AS1785" s="782">
        <v>12047515</v>
      </c>
      <c r="AT1785" s="782">
        <v>12054919</v>
      </c>
      <c r="AU1785" s="781"/>
      <c r="AV1785" s="782">
        <v>12054869</v>
      </c>
      <c r="AW1785" s="782">
        <v>12024404</v>
      </c>
      <c r="AX1785" s="781"/>
      <c r="AY1785" s="782">
        <v>12054815</v>
      </c>
      <c r="AZ1785" s="781"/>
      <c r="BA1785" s="781"/>
    </row>
    <row r="1786" spans="2:53" ht="25" hidden="1" customHeight="1">
      <c r="B1786" s="183">
        <v>45652</v>
      </c>
      <c r="C1786" s="184"/>
      <c r="D1786" s="185">
        <f t="shared" si="588"/>
        <v>2024</v>
      </c>
      <c r="E1786" s="185" t="str">
        <f>VLOOKUP($B1786,Week!$A$1:$C$1462,2,0)</f>
        <v>Week52</v>
      </c>
      <c r="F1786" s="186" t="str">
        <f t="shared" si="589"/>
        <v>Dec</v>
      </c>
      <c r="G1786" s="185"/>
      <c r="H1786" s="185"/>
      <c r="I1786" s="185"/>
      <c r="J1786" s="187"/>
      <c r="K1786" s="188"/>
      <c r="L1786" s="300"/>
      <c r="M1786" s="187"/>
      <c r="N1786" s="185"/>
      <c r="O1786" s="185"/>
      <c r="P1786" s="189"/>
      <c r="Q1786" s="189"/>
      <c r="R1786" s="190"/>
      <c r="S1786" s="185"/>
      <c r="T1786" s="185"/>
      <c r="U1786" s="185"/>
      <c r="V1786" s="191"/>
      <c r="W1786" s="191"/>
      <c r="X1786" s="192"/>
      <c r="Y1786" s="193"/>
      <c r="Z1786" s="194"/>
      <c r="AA1786" s="194"/>
      <c r="AB1786" s="805"/>
      <c r="AC1786" s="191"/>
      <c r="AD1786" s="187"/>
      <c r="AE1786" s="195"/>
      <c r="AF1786" s="195"/>
      <c r="AG1786" s="196"/>
      <c r="AH1786" s="197"/>
      <c r="AK1786" s="156" t="s">
        <v>691</v>
      </c>
      <c r="AM1786" s="198">
        <f t="shared" si="604"/>
        <v>0</v>
      </c>
      <c r="AN1786" s="199">
        <f t="shared" si="590"/>
        <v>45652</v>
      </c>
      <c r="AO1786" s="159" t="s">
        <v>692</v>
      </c>
      <c r="AP1786" s="781"/>
      <c r="AQ1786" s="782"/>
      <c r="AR1786" s="782"/>
      <c r="AS1786" s="782"/>
      <c r="AT1786" s="782"/>
      <c r="AU1786" s="781"/>
      <c r="AV1786" s="782"/>
      <c r="AW1786" s="782"/>
      <c r="AX1786" s="782"/>
      <c r="AY1786" s="782"/>
      <c r="AZ1786" s="782"/>
      <c r="BA1786" s="781"/>
    </row>
    <row r="1787" spans="2:53" ht="25" hidden="1" customHeight="1">
      <c r="B1787" s="183">
        <v>45653</v>
      </c>
      <c r="C1787" s="184"/>
      <c r="D1787" s="185">
        <f t="shared" si="588"/>
        <v>2024</v>
      </c>
      <c r="E1787" s="185" t="str">
        <f>VLOOKUP($B1787,Week!$A$1:$C$1462,2,0)</f>
        <v>Week52</v>
      </c>
      <c r="F1787" s="186" t="str">
        <f t="shared" si="589"/>
        <v>Dec</v>
      </c>
      <c r="G1787" s="185"/>
      <c r="H1787" s="185"/>
      <c r="I1787" s="185"/>
      <c r="J1787" s="187"/>
      <c r="K1787" s="188"/>
      <c r="L1787" s="300"/>
      <c r="M1787" s="187"/>
      <c r="N1787" s="185"/>
      <c r="O1787" s="185"/>
      <c r="P1787" s="189"/>
      <c r="Q1787" s="189"/>
      <c r="R1787" s="190"/>
      <c r="S1787" s="185"/>
      <c r="T1787" s="185"/>
      <c r="U1787" s="185"/>
      <c r="V1787" s="191"/>
      <c r="W1787" s="191"/>
      <c r="X1787" s="192"/>
      <c r="Y1787" s="193"/>
      <c r="Z1787" s="194"/>
      <c r="AA1787" s="194"/>
      <c r="AB1787" s="805"/>
      <c r="AC1787" s="191"/>
      <c r="AD1787" s="187"/>
      <c r="AE1787" s="195"/>
      <c r="AF1787" s="195"/>
      <c r="AG1787" s="196"/>
      <c r="AH1787" s="197"/>
      <c r="AK1787" s="156" t="s">
        <v>691</v>
      </c>
      <c r="AM1787" s="198">
        <f t="shared" si="604"/>
        <v>0</v>
      </c>
      <c r="AN1787" s="199">
        <f t="shared" si="590"/>
        <v>45653</v>
      </c>
      <c r="AO1787" s="159" t="s">
        <v>692</v>
      </c>
      <c r="AP1787" s="781"/>
      <c r="AQ1787" s="782"/>
      <c r="AR1787" s="782"/>
      <c r="AS1787" s="782"/>
      <c r="AT1787" s="782"/>
      <c r="AU1787" s="781"/>
      <c r="AV1787" s="782"/>
      <c r="AW1787" s="782"/>
      <c r="AX1787" s="782"/>
      <c r="AY1787" s="782"/>
      <c r="AZ1787" s="782"/>
      <c r="BA1787" s="781"/>
    </row>
    <row r="1788" spans="2:53" ht="25" hidden="1" customHeight="1">
      <c r="B1788" s="183">
        <v>45654</v>
      </c>
      <c r="C1788" s="184"/>
      <c r="D1788" s="185">
        <f t="shared" si="588"/>
        <v>2024</v>
      </c>
      <c r="E1788" s="185" t="str">
        <f>VLOOKUP($B1788,Week!$A$1:$C$1462,2,0)</f>
        <v>Week52</v>
      </c>
      <c r="F1788" s="186" t="str">
        <f t="shared" si="589"/>
        <v>Dec</v>
      </c>
      <c r="G1788" s="185"/>
      <c r="H1788" s="185"/>
      <c r="I1788" s="185"/>
      <c r="J1788" s="187"/>
      <c r="K1788" s="188"/>
      <c r="L1788" s="300"/>
      <c r="M1788" s="187"/>
      <c r="N1788" s="185"/>
      <c r="O1788" s="185"/>
      <c r="P1788" s="189"/>
      <c r="Q1788" s="189"/>
      <c r="R1788" s="190"/>
      <c r="S1788" s="185"/>
      <c r="T1788" s="185"/>
      <c r="U1788" s="185"/>
      <c r="V1788" s="191"/>
      <c r="W1788" s="191"/>
      <c r="X1788" s="192"/>
      <c r="Y1788" s="193"/>
      <c r="Z1788" s="194"/>
      <c r="AA1788" s="194"/>
      <c r="AB1788" s="805"/>
      <c r="AC1788" s="191"/>
      <c r="AD1788" s="187"/>
      <c r="AE1788" s="195"/>
      <c r="AF1788" s="195"/>
      <c r="AG1788" s="196"/>
      <c r="AH1788" s="197"/>
      <c r="AK1788" s="156" t="s">
        <v>691</v>
      </c>
      <c r="AM1788" s="198">
        <f t="shared" si="604"/>
        <v>0</v>
      </c>
      <c r="AN1788" s="199">
        <f t="shared" si="590"/>
        <v>45654</v>
      </c>
      <c r="AO1788" s="159" t="s">
        <v>692</v>
      </c>
      <c r="AP1788" s="781"/>
      <c r="AQ1788" s="782"/>
      <c r="AR1788" s="782"/>
      <c r="AS1788" s="782"/>
      <c r="AT1788" s="782"/>
      <c r="AU1788" s="781"/>
      <c r="AV1788" s="782"/>
      <c r="AW1788" s="782"/>
      <c r="AX1788" s="782"/>
      <c r="AY1788" s="782"/>
      <c r="AZ1788" s="782"/>
      <c r="BA1788" s="781"/>
    </row>
    <row r="1789" spans="2:53" ht="25" hidden="1" customHeight="1">
      <c r="B1789" s="183">
        <v>45655</v>
      </c>
      <c r="C1789" s="184"/>
      <c r="D1789" s="185">
        <f t="shared" si="588"/>
        <v>2024</v>
      </c>
      <c r="E1789" s="185" t="str">
        <f>VLOOKUP($B1789,Week!$A$1:$C$1462,2,0)</f>
        <v>Week52</v>
      </c>
      <c r="F1789" s="186" t="str">
        <f t="shared" si="589"/>
        <v>Dec</v>
      </c>
      <c r="G1789" s="185"/>
      <c r="H1789" s="185"/>
      <c r="I1789" s="185"/>
      <c r="J1789" s="187"/>
      <c r="K1789" s="188"/>
      <c r="L1789" s="300"/>
      <c r="M1789" s="187"/>
      <c r="N1789" s="185"/>
      <c r="O1789" s="185"/>
      <c r="P1789" s="189"/>
      <c r="Q1789" s="189"/>
      <c r="R1789" s="190"/>
      <c r="S1789" s="185"/>
      <c r="T1789" s="185"/>
      <c r="U1789" s="185"/>
      <c r="V1789" s="191"/>
      <c r="W1789" s="191"/>
      <c r="X1789" s="192"/>
      <c r="Y1789" s="193"/>
      <c r="Z1789" s="194"/>
      <c r="AA1789" s="194"/>
      <c r="AB1789" s="805"/>
      <c r="AC1789" s="191"/>
      <c r="AD1789" s="187"/>
      <c r="AE1789" s="195"/>
      <c r="AF1789" s="195"/>
      <c r="AG1789" s="196"/>
      <c r="AH1789" s="197"/>
      <c r="AK1789" s="156" t="s">
        <v>691</v>
      </c>
      <c r="AM1789" s="198">
        <f t="shared" si="604"/>
        <v>0</v>
      </c>
      <c r="AN1789" s="199">
        <f t="shared" si="590"/>
        <v>45655</v>
      </c>
      <c r="AO1789" s="159" t="s">
        <v>692</v>
      </c>
      <c r="AP1789" s="781"/>
      <c r="AQ1789" s="782"/>
      <c r="AR1789" s="782"/>
      <c r="AS1789" s="782"/>
      <c r="AT1789" s="782"/>
      <c r="AU1789" s="781"/>
      <c r="AV1789" s="782"/>
      <c r="AW1789" s="782"/>
      <c r="AX1789" s="782"/>
      <c r="AY1789" s="782"/>
      <c r="AZ1789" s="782"/>
      <c r="BA1789" s="781"/>
    </row>
    <row r="1790" spans="2:53" ht="25" hidden="1" customHeight="1">
      <c r="B1790" s="183">
        <v>45656</v>
      </c>
      <c r="C1790" s="184"/>
      <c r="D1790" s="185">
        <f t="shared" si="588"/>
        <v>2024</v>
      </c>
      <c r="E1790" s="185" t="str">
        <f>VLOOKUP($B1790,Week!$A$1:$C$1462,2,0)</f>
        <v>Week53</v>
      </c>
      <c r="F1790" s="186" t="str">
        <f t="shared" si="589"/>
        <v>Dec</v>
      </c>
      <c r="G1790" s="185"/>
      <c r="H1790" s="185"/>
      <c r="I1790" s="185"/>
      <c r="J1790" s="187"/>
      <c r="K1790" s="188"/>
      <c r="L1790" s="300"/>
      <c r="M1790" s="187"/>
      <c r="N1790" s="185"/>
      <c r="O1790" s="185"/>
      <c r="P1790" s="189"/>
      <c r="Q1790" s="189"/>
      <c r="R1790" s="190"/>
      <c r="S1790" s="185"/>
      <c r="T1790" s="185"/>
      <c r="U1790" s="185"/>
      <c r="V1790" s="191"/>
      <c r="W1790" s="191"/>
      <c r="X1790" s="192"/>
      <c r="Y1790" s="193"/>
      <c r="Z1790" s="194"/>
      <c r="AA1790" s="194"/>
      <c r="AB1790" s="805"/>
      <c r="AC1790" s="191"/>
      <c r="AD1790" s="187"/>
      <c r="AE1790" s="195"/>
      <c r="AF1790" s="195"/>
      <c r="AG1790" s="196"/>
      <c r="AH1790" s="197"/>
      <c r="AK1790" s="156" t="s">
        <v>691</v>
      </c>
      <c r="AM1790" s="198">
        <f t="shared" si="604"/>
        <v>0</v>
      </c>
      <c r="AN1790" s="199">
        <f t="shared" si="590"/>
        <v>45656</v>
      </c>
      <c r="AO1790" s="159" t="s">
        <v>692</v>
      </c>
      <c r="AP1790" s="781"/>
      <c r="AQ1790" s="782"/>
      <c r="AR1790" s="782"/>
      <c r="AS1790" s="782"/>
      <c r="AT1790" s="782"/>
      <c r="AU1790" s="781"/>
      <c r="AV1790" s="782"/>
      <c r="AW1790" s="782"/>
      <c r="AX1790" s="782"/>
      <c r="AY1790" s="782"/>
      <c r="AZ1790" s="782"/>
      <c r="BA1790" s="781"/>
    </row>
    <row r="1791" spans="2:53" ht="25" hidden="1" customHeight="1">
      <c r="B1791" s="183">
        <v>45657</v>
      </c>
      <c r="C1791" s="184"/>
      <c r="D1791" s="185">
        <f t="shared" si="588"/>
        <v>2024</v>
      </c>
      <c r="E1791" s="185" t="str">
        <f>VLOOKUP($B1791,Week!$A$1:$C$1462,2,0)</f>
        <v>Week53</v>
      </c>
      <c r="F1791" s="186" t="str">
        <f t="shared" si="589"/>
        <v>Dec</v>
      </c>
      <c r="G1791" s="185"/>
      <c r="H1791" s="185"/>
      <c r="I1791" s="185"/>
      <c r="J1791" s="187"/>
      <c r="K1791" s="187"/>
      <c r="L1791" s="300"/>
      <c r="M1791" s="187"/>
      <c r="N1791" s="185"/>
      <c r="O1791" s="185"/>
      <c r="P1791" s="189"/>
      <c r="Q1791" s="189"/>
      <c r="R1791" s="190"/>
      <c r="S1791" s="185"/>
      <c r="T1791" s="185"/>
      <c r="U1791" s="185"/>
      <c r="V1791" s="191"/>
      <c r="W1791" s="191"/>
      <c r="X1791" s="192"/>
      <c r="Y1791" s="193"/>
      <c r="Z1791" s="194"/>
      <c r="AA1791" s="194"/>
      <c r="AB1791" s="805"/>
      <c r="AC1791" s="191"/>
      <c r="AD1791" s="187"/>
      <c r="AE1791" s="195"/>
      <c r="AF1791" s="195"/>
      <c r="AG1791" s="196"/>
      <c r="AH1791" s="197"/>
      <c r="AK1791" s="156" t="s">
        <v>691</v>
      </c>
      <c r="AM1791" s="198">
        <f t="shared" si="604"/>
        <v>0</v>
      </c>
      <c r="AN1791" s="199">
        <f t="shared" si="590"/>
        <v>45657</v>
      </c>
      <c r="AO1791" s="159" t="s">
        <v>692</v>
      </c>
      <c r="AP1791" s="781"/>
      <c r="AQ1791" s="782"/>
      <c r="AR1791" s="782"/>
      <c r="AS1791" s="782"/>
      <c r="AT1791" s="782"/>
      <c r="AU1791" s="781"/>
      <c r="AV1791" s="782"/>
      <c r="AW1791" s="782"/>
      <c r="AX1791" s="782"/>
      <c r="AY1791" s="782"/>
      <c r="AZ1791" s="782"/>
      <c r="BA1791" s="781"/>
    </row>
    <row r="1792" spans="2:53" ht="25" hidden="1" customHeight="1">
      <c r="B1792" s="183">
        <v>45658</v>
      </c>
      <c r="C1792" s="184"/>
      <c r="D1792" s="185">
        <f t="shared" si="588"/>
        <v>2025</v>
      </c>
      <c r="E1792" s="185" t="e">
        <f>VLOOKUP($B1792,Week!$A$1:$C$1462,2,0)</f>
        <v>#N/A</v>
      </c>
      <c r="F1792" s="186" t="str">
        <f t="shared" si="589"/>
        <v>Jan</v>
      </c>
      <c r="G1792" s="185"/>
      <c r="H1792" s="185"/>
      <c r="I1792" s="185"/>
      <c r="J1792" s="187"/>
      <c r="K1792" s="188"/>
      <c r="L1792" s="300"/>
      <c r="M1792" s="187"/>
      <c r="N1792" s="185"/>
      <c r="O1792" s="185"/>
      <c r="P1792" s="189"/>
      <c r="Q1792" s="189"/>
      <c r="R1792" s="190"/>
      <c r="S1792" s="185"/>
      <c r="T1792" s="185"/>
      <c r="U1792" s="185"/>
      <c r="V1792" s="191"/>
      <c r="W1792" s="191"/>
      <c r="X1792" s="192"/>
      <c r="Y1792" s="193"/>
      <c r="Z1792" s="194"/>
      <c r="AA1792" s="194"/>
      <c r="AB1792" s="805"/>
      <c r="AC1792" s="191"/>
      <c r="AD1792" s="187"/>
      <c r="AE1792" s="195"/>
      <c r="AF1792" s="195"/>
      <c r="AG1792" s="196"/>
      <c r="AH1792" s="197"/>
      <c r="AK1792" s="156" t="s">
        <v>691</v>
      </c>
      <c r="AM1792" s="198">
        <f t="shared" si="604"/>
        <v>0</v>
      </c>
      <c r="AN1792" s="199">
        <f t="shared" si="590"/>
        <v>45658</v>
      </c>
      <c r="AO1792" s="159" t="s">
        <v>692</v>
      </c>
      <c r="AP1792" s="781"/>
      <c r="AQ1792" s="782"/>
      <c r="AR1792" s="782"/>
      <c r="AS1792" s="782"/>
      <c r="AT1792" s="782"/>
      <c r="AU1792" s="781"/>
      <c r="AV1792" s="782"/>
      <c r="AW1792" s="782"/>
      <c r="AX1792" s="782"/>
      <c r="AY1792" s="782"/>
      <c r="AZ1792" s="782"/>
      <c r="BA1792" s="781"/>
    </row>
    <row r="1793" spans="1:54" ht="25" hidden="1" customHeight="1">
      <c r="B1793" s="183">
        <v>45659</v>
      </c>
      <c r="C1793" s="184"/>
      <c r="D1793" s="185">
        <f t="shared" si="588"/>
        <v>2025</v>
      </c>
      <c r="E1793" s="185" t="e">
        <f>VLOOKUP($B1793,Week!$A$1:$C$1462,2,0)</f>
        <v>#N/A</v>
      </c>
      <c r="F1793" s="186" t="str">
        <f t="shared" si="589"/>
        <v>Jan</v>
      </c>
      <c r="G1793" s="185"/>
      <c r="H1793" s="185"/>
      <c r="I1793" s="185"/>
      <c r="J1793" s="187"/>
      <c r="K1793" s="188"/>
      <c r="L1793" s="300"/>
      <c r="M1793" s="187"/>
      <c r="N1793" s="185"/>
      <c r="O1793" s="185"/>
      <c r="P1793" s="189"/>
      <c r="Q1793" s="189"/>
      <c r="R1793" s="190"/>
      <c r="S1793" s="185"/>
      <c r="T1793" s="185"/>
      <c r="U1793" s="185"/>
      <c r="V1793" s="191"/>
      <c r="W1793" s="191"/>
      <c r="X1793" s="192"/>
      <c r="Y1793" s="193"/>
      <c r="Z1793" s="194"/>
      <c r="AA1793" s="194"/>
      <c r="AB1793" s="805"/>
      <c r="AC1793" s="191"/>
      <c r="AD1793" s="187"/>
      <c r="AE1793" s="195"/>
      <c r="AF1793" s="195"/>
      <c r="AG1793" s="196"/>
      <c r="AH1793" s="197"/>
      <c r="AK1793" s="156" t="s">
        <v>691</v>
      </c>
      <c r="AM1793" s="198">
        <f t="shared" si="604"/>
        <v>0</v>
      </c>
      <c r="AN1793" s="199">
        <f t="shared" si="590"/>
        <v>45659</v>
      </c>
      <c r="AO1793" s="159" t="s">
        <v>692</v>
      </c>
      <c r="AP1793" s="781"/>
      <c r="AQ1793" s="782"/>
      <c r="AR1793" s="782"/>
      <c r="AS1793" s="782"/>
      <c r="AT1793" s="782"/>
      <c r="AU1793" s="781"/>
      <c r="AV1793" s="782"/>
      <c r="AW1793" s="782"/>
      <c r="AX1793" s="782"/>
      <c r="AY1793" s="782"/>
      <c r="AZ1793" s="782"/>
      <c r="BA1793" s="781"/>
    </row>
    <row r="1794" spans="1:54" ht="25" hidden="1" customHeight="1">
      <c r="B1794" s="183">
        <v>45660</v>
      </c>
      <c r="C1794" s="184"/>
      <c r="D1794" s="185">
        <f t="shared" si="588"/>
        <v>2025</v>
      </c>
      <c r="E1794" s="185" t="e">
        <f>VLOOKUP($B1794,Week!$A$1:$C$1462,2,0)</f>
        <v>#N/A</v>
      </c>
      <c r="F1794" s="186" t="str">
        <f t="shared" si="589"/>
        <v>Jan</v>
      </c>
      <c r="G1794" s="185"/>
      <c r="H1794" s="185"/>
      <c r="I1794" s="185"/>
      <c r="J1794" s="187"/>
      <c r="K1794" s="188"/>
      <c r="L1794" s="300"/>
      <c r="M1794" s="187"/>
      <c r="N1794" s="185"/>
      <c r="O1794" s="185"/>
      <c r="P1794" s="189"/>
      <c r="Q1794" s="189"/>
      <c r="R1794" s="190"/>
      <c r="S1794" s="185"/>
      <c r="T1794" s="185"/>
      <c r="U1794" s="185"/>
      <c r="V1794" s="191"/>
      <c r="W1794" s="191"/>
      <c r="X1794" s="192"/>
      <c r="Y1794" s="193"/>
      <c r="Z1794" s="194"/>
      <c r="AA1794" s="194"/>
      <c r="AB1794" s="805"/>
      <c r="AC1794" s="191"/>
      <c r="AD1794" s="187"/>
      <c r="AE1794" s="195"/>
      <c r="AF1794" s="195"/>
      <c r="AG1794" s="196"/>
      <c r="AH1794" s="197"/>
      <c r="AK1794" s="156" t="s">
        <v>691</v>
      </c>
      <c r="AM1794" s="198">
        <f t="shared" si="604"/>
        <v>0</v>
      </c>
      <c r="AN1794" s="199">
        <f t="shared" si="590"/>
        <v>45660</v>
      </c>
      <c r="AO1794" s="159" t="s">
        <v>692</v>
      </c>
      <c r="AP1794" s="781"/>
      <c r="AQ1794" s="782"/>
      <c r="AR1794" s="782"/>
      <c r="AS1794" s="782"/>
      <c r="AT1794" s="782"/>
      <c r="AU1794" s="781"/>
      <c r="AV1794" s="782"/>
      <c r="AW1794" s="782"/>
      <c r="AX1794" s="782"/>
      <c r="AY1794" s="782"/>
      <c r="AZ1794" s="782"/>
      <c r="BA1794" s="781"/>
    </row>
    <row r="1795" spans="1:54" ht="25" hidden="1" customHeight="1">
      <c r="B1795" s="183">
        <v>45661</v>
      </c>
      <c r="C1795" s="184"/>
      <c r="D1795" s="185">
        <f t="shared" si="588"/>
        <v>2025</v>
      </c>
      <c r="E1795" s="185" t="e">
        <f>VLOOKUP($B1795,Week!$A$1:$C$1462,2,0)</f>
        <v>#N/A</v>
      </c>
      <c r="F1795" s="186" t="str">
        <f t="shared" si="589"/>
        <v>Jan</v>
      </c>
      <c r="G1795" s="185"/>
      <c r="H1795" s="185"/>
      <c r="I1795" s="185"/>
      <c r="J1795" s="187"/>
      <c r="K1795" s="188"/>
      <c r="L1795" s="300"/>
      <c r="M1795" s="187"/>
      <c r="N1795" s="185"/>
      <c r="O1795" s="185"/>
      <c r="P1795" s="189"/>
      <c r="Q1795" s="189"/>
      <c r="R1795" s="190"/>
      <c r="S1795" s="185"/>
      <c r="T1795" s="185"/>
      <c r="U1795" s="185"/>
      <c r="V1795" s="191"/>
      <c r="W1795" s="191"/>
      <c r="X1795" s="192"/>
      <c r="Y1795" s="193"/>
      <c r="Z1795" s="194"/>
      <c r="AA1795" s="194"/>
      <c r="AB1795" s="805"/>
      <c r="AC1795" s="191"/>
      <c r="AD1795" s="187"/>
      <c r="AE1795" s="195"/>
      <c r="AF1795" s="195"/>
      <c r="AG1795" s="196"/>
      <c r="AH1795" s="197"/>
      <c r="AK1795" s="156" t="s">
        <v>691</v>
      </c>
      <c r="AM1795" s="198">
        <f t="shared" si="604"/>
        <v>0</v>
      </c>
      <c r="AN1795" s="199">
        <f t="shared" si="590"/>
        <v>45661</v>
      </c>
      <c r="AO1795" s="159" t="s">
        <v>692</v>
      </c>
      <c r="AP1795" s="781"/>
      <c r="AQ1795" s="782"/>
      <c r="AR1795" s="782"/>
      <c r="AS1795" s="782"/>
      <c r="AT1795" s="782"/>
      <c r="AU1795" s="781"/>
      <c r="AV1795" s="782"/>
      <c r="AW1795" s="782"/>
      <c r="AX1795" s="782"/>
      <c r="AY1795" s="782"/>
      <c r="AZ1795" s="782"/>
      <c r="BA1795" s="781"/>
    </row>
    <row r="1796" spans="1:54" ht="25" hidden="1" customHeight="1">
      <c r="B1796" s="183">
        <v>45662</v>
      </c>
      <c r="C1796" s="184"/>
      <c r="D1796" s="185">
        <f t="shared" si="588"/>
        <v>2025</v>
      </c>
      <c r="E1796" s="185" t="e">
        <f>VLOOKUP($B1796,Week!$A$1:$C$1462,2,0)</f>
        <v>#N/A</v>
      </c>
      <c r="F1796" s="186" t="str">
        <f t="shared" si="589"/>
        <v>Jan</v>
      </c>
      <c r="G1796" s="185"/>
      <c r="H1796" s="185"/>
      <c r="I1796" s="185"/>
      <c r="J1796" s="187"/>
      <c r="K1796" s="188"/>
      <c r="L1796" s="300"/>
      <c r="M1796" s="187"/>
      <c r="N1796" s="185"/>
      <c r="O1796" s="185"/>
      <c r="P1796" s="189"/>
      <c r="Q1796" s="189"/>
      <c r="R1796" s="190"/>
      <c r="S1796" s="185"/>
      <c r="T1796" s="185"/>
      <c r="U1796" s="185"/>
      <c r="V1796" s="191"/>
      <c r="W1796" s="191"/>
      <c r="X1796" s="192"/>
      <c r="Y1796" s="193"/>
      <c r="Z1796" s="194"/>
      <c r="AA1796" s="194"/>
      <c r="AB1796" s="805"/>
      <c r="AC1796" s="191"/>
      <c r="AD1796" s="187"/>
      <c r="AE1796" s="195"/>
      <c r="AF1796" s="195"/>
      <c r="AG1796" s="196"/>
      <c r="AH1796" s="197"/>
      <c r="AK1796" s="156" t="s">
        <v>691</v>
      </c>
      <c r="AM1796" s="198">
        <f t="shared" si="604"/>
        <v>0</v>
      </c>
      <c r="AN1796" s="199">
        <f t="shared" si="590"/>
        <v>45662</v>
      </c>
      <c r="AO1796" s="159" t="s">
        <v>692</v>
      </c>
      <c r="AP1796" s="781"/>
      <c r="AQ1796" s="782"/>
      <c r="AR1796" s="782"/>
      <c r="AS1796" s="782"/>
      <c r="AT1796" s="782"/>
      <c r="AU1796" s="781"/>
      <c r="AV1796" s="782"/>
      <c r="AW1796" s="782"/>
      <c r="AX1796" s="782"/>
      <c r="AY1796" s="782"/>
      <c r="AZ1796" s="782"/>
      <c r="BA1796" s="781"/>
    </row>
    <row r="1797" spans="1:54" ht="25" hidden="1" customHeight="1">
      <c r="A1797" s="142" t="s">
        <v>120</v>
      </c>
      <c r="B1797" s="308">
        <v>45663</v>
      </c>
      <c r="C1797" s="309">
        <v>45678</v>
      </c>
      <c r="D1797" s="185">
        <f t="shared" ref="D1797:D1860" si="610">IF(B1797="","",YEAR(B1797))</f>
        <v>2025</v>
      </c>
      <c r="E1797" s="309" t="e">
        <f>VLOOKUP($B1797,Week!$A$1:$C$1462,2,0)</f>
        <v>#N/A</v>
      </c>
      <c r="F1797" s="310" t="str">
        <f t="shared" ref="F1797:F1860" si="611">IF(B1797="","",TEXT(B1797,"[$-409]mmm"))</f>
        <v>Jan</v>
      </c>
      <c r="G1797" s="579" t="s">
        <v>1857</v>
      </c>
      <c r="H1797" s="311" t="s">
        <v>104</v>
      </c>
      <c r="I1797" s="311" t="s">
        <v>2772</v>
      </c>
      <c r="J1797" s="312" t="s">
        <v>105</v>
      </c>
      <c r="K1797" s="313" t="s">
        <v>85</v>
      </c>
      <c r="L1797" s="390" t="s">
        <v>2166</v>
      </c>
      <c r="M1797" s="312" t="s">
        <v>86</v>
      </c>
      <c r="N1797" s="311" t="s">
        <v>421</v>
      </c>
      <c r="O1797" s="311" t="s">
        <v>506</v>
      </c>
      <c r="P1797" s="314">
        <v>10</v>
      </c>
      <c r="Q1797" s="314">
        <v>50</v>
      </c>
      <c r="R1797" s="315">
        <v>6.8100000000000001E-3</v>
      </c>
      <c r="S1797" s="311" t="s">
        <v>76</v>
      </c>
      <c r="T1797" s="311" t="s">
        <v>112</v>
      </c>
      <c r="U1797" s="311" t="s">
        <v>89</v>
      </c>
      <c r="V1797" s="316">
        <f>100</f>
        <v>100</v>
      </c>
      <c r="W1797" s="316">
        <f>100</f>
        <v>100</v>
      </c>
      <c r="X1797" s="317">
        <f>(140)/10</f>
        <v>14</v>
      </c>
      <c r="Y1797" s="318">
        <f t="shared" ref="Y1797:Y1815" si="612">(W1797+X1797)-V1797</f>
        <v>14</v>
      </c>
      <c r="Z1797" s="319">
        <f t="shared" ref="Z1797:Z1815" si="613">IF(Y1797&lt;0,((V1797*P1797)-((W1797+X1797)*P1797)),0)</f>
        <v>0</v>
      </c>
      <c r="AA1797" s="319">
        <f t="shared" ref="AA1797:AA1860" si="614">Q1797*Z1797</f>
        <v>0</v>
      </c>
      <c r="AB1797" s="815">
        <v>6</v>
      </c>
      <c r="AC1797" s="316">
        <f t="shared" ref="AC1797:AC1816" si="615">Z1797*AB1797</f>
        <v>0</v>
      </c>
      <c r="AD1797" s="381"/>
      <c r="AE1797" s="210"/>
      <c r="AF1797" s="210"/>
      <c r="AG1797" s="211">
        <f t="shared" ref="AG1797:AG1815" si="616">MID(O1797,1,3)/1000</f>
        <v>0.57999999999999996</v>
      </c>
      <c r="AH1797" s="157">
        <f t="shared" ref="AH1797:AH1812" si="617">(Z1797*AG1797)/1000</f>
        <v>0</v>
      </c>
      <c r="AI1797" s="152">
        <f t="shared" ref="AI1797:AI1815" si="618">V1797*P1797</f>
        <v>1000</v>
      </c>
      <c r="AJ1797" s="156">
        <f>AI1797*Q1797</f>
        <v>50000</v>
      </c>
      <c r="AK1797" s="156" t="s">
        <v>691</v>
      </c>
      <c r="AL1797" s="156" t="s">
        <v>689</v>
      </c>
      <c r="AM1797" s="198">
        <f t="shared" si="604"/>
        <v>0</v>
      </c>
      <c r="AN1797" s="199">
        <f t="shared" ref="AN1797:AN1860" si="619">B1797</f>
        <v>45663</v>
      </c>
      <c r="AO1797" s="159" t="s">
        <v>692</v>
      </c>
      <c r="AP1797" s="781" t="s">
        <v>423</v>
      </c>
      <c r="AQ1797" s="781" t="s">
        <v>422</v>
      </c>
      <c r="AR1797" s="782">
        <v>12055234</v>
      </c>
      <c r="AS1797" s="781"/>
      <c r="AT1797" s="782">
        <v>12069432</v>
      </c>
      <c r="AU1797" s="781"/>
      <c r="AV1797" s="782">
        <v>12069433</v>
      </c>
      <c r="AW1797" s="781"/>
      <c r="AX1797" s="781" t="s">
        <v>93</v>
      </c>
      <c r="AY1797" s="781"/>
      <c r="AZ1797" s="782"/>
      <c r="BA1797" s="781"/>
      <c r="BB1797" s="209">
        <v>23053184</v>
      </c>
    </row>
    <row r="1798" spans="1:54" ht="25" hidden="1" customHeight="1">
      <c r="A1798" s="142" t="s">
        <v>120</v>
      </c>
      <c r="B1798" s="466">
        <v>45663</v>
      </c>
      <c r="C1798" s="467">
        <v>45670</v>
      </c>
      <c r="D1798" s="185">
        <f t="shared" si="610"/>
        <v>2025</v>
      </c>
      <c r="E1798" s="468" t="e">
        <f>VLOOKUP($B1798,Week!$A$1:$C$1462,2,0)</f>
        <v>#N/A</v>
      </c>
      <c r="F1798" s="469" t="str">
        <f t="shared" si="611"/>
        <v>Jan</v>
      </c>
      <c r="G1798" s="470" t="s">
        <v>1844</v>
      </c>
      <c r="H1798" s="468" t="s">
        <v>82</v>
      </c>
      <c r="I1798" s="468" t="s">
        <v>82</v>
      </c>
      <c r="J1798" s="471" t="s">
        <v>720</v>
      </c>
      <c r="K1798" s="472" t="s">
        <v>85</v>
      </c>
      <c r="L1798" s="390" t="s">
        <v>2166</v>
      </c>
      <c r="M1798" s="471" t="s">
        <v>579</v>
      </c>
      <c r="N1798" s="468" t="s">
        <v>580</v>
      </c>
      <c r="O1798" s="468" t="s">
        <v>581</v>
      </c>
      <c r="P1798" s="473">
        <v>8</v>
      </c>
      <c r="Q1798" s="473">
        <v>60</v>
      </c>
      <c r="R1798" s="474">
        <v>6.8100000000000001E-3</v>
      </c>
      <c r="S1798" s="468" t="s">
        <v>76</v>
      </c>
      <c r="T1798" s="468" t="s">
        <v>56</v>
      </c>
      <c r="U1798" s="468" t="s">
        <v>89</v>
      </c>
      <c r="V1798" s="475">
        <f>1408</f>
        <v>1408</v>
      </c>
      <c r="W1798" s="475">
        <f>37+1326+45</f>
        <v>1408</v>
      </c>
      <c r="X1798" s="476"/>
      <c r="Y1798" s="477">
        <f t="shared" si="612"/>
        <v>0</v>
      </c>
      <c r="Z1798" s="478">
        <f t="shared" si="613"/>
        <v>0</v>
      </c>
      <c r="AA1798" s="478">
        <f t="shared" si="614"/>
        <v>0</v>
      </c>
      <c r="AB1798" s="828">
        <v>6</v>
      </c>
      <c r="AC1798" s="475">
        <f t="shared" si="615"/>
        <v>0</v>
      </c>
      <c r="AD1798" s="209"/>
      <c r="AE1798" s="210"/>
      <c r="AF1798" s="210"/>
      <c r="AG1798" s="211">
        <f t="shared" si="616"/>
        <v>0.75</v>
      </c>
      <c r="AH1798" s="157">
        <f t="shared" si="617"/>
        <v>0</v>
      </c>
      <c r="AI1798" s="152">
        <f t="shared" si="618"/>
        <v>11264</v>
      </c>
      <c r="AK1798" s="156" t="s">
        <v>691</v>
      </c>
      <c r="AL1798" s="156" t="s">
        <v>689</v>
      </c>
      <c r="AM1798" s="198">
        <f t="shared" si="604"/>
        <v>0</v>
      </c>
      <c r="AN1798" s="199">
        <f t="shared" si="619"/>
        <v>45663</v>
      </c>
      <c r="AO1798" s="159" t="s">
        <v>692</v>
      </c>
      <c r="AP1798" s="783" t="s">
        <v>622</v>
      </c>
      <c r="AQ1798" s="782">
        <v>12088677</v>
      </c>
      <c r="AR1798" s="782" t="s">
        <v>2142</v>
      </c>
      <c r="AS1798" s="782"/>
      <c r="AT1798" s="782">
        <v>12082897</v>
      </c>
      <c r="AU1798" s="781"/>
      <c r="AV1798" s="782">
        <v>12082898</v>
      </c>
      <c r="AW1798" s="782">
        <v>12082899</v>
      </c>
      <c r="AX1798" s="796" t="s">
        <v>621</v>
      </c>
      <c r="AY1798" s="782"/>
      <c r="AZ1798" s="782"/>
      <c r="BA1798" s="781"/>
      <c r="BB1798" s="209">
        <v>23053184</v>
      </c>
    </row>
    <row r="1799" spans="1:54" ht="25" hidden="1" customHeight="1">
      <c r="A1799" s="142" t="s">
        <v>120</v>
      </c>
      <c r="B1799" s="271">
        <v>45664</v>
      </c>
      <c r="C1799" s="272">
        <v>45678</v>
      </c>
      <c r="D1799" s="185">
        <f t="shared" si="610"/>
        <v>2025</v>
      </c>
      <c r="E1799" s="272" t="e">
        <f>VLOOKUP($B1799,Week!$A$1:$C$1462,2,0)</f>
        <v>#N/A</v>
      </c>
      <c r="F1799" s="273" t="str">
        <f t="shared" si="611"/>
        <v>Jan</v>
      </c>
      <c r="G1799" s="274" t="s">
        <v>1903</v>
      </c>
      <c r="H1799" s="274" t="s">
        <v>500</v>
      </c>
      <c r="I1799" s="274" t="s">
        <v>2772</v>
      </c>
      <c r="J1799" s="275" t="s">
        <v>285</v>
      </c>
      <c r="K1799" s="276" t="s">
        <v>153</v>
      </c>
      <c r="L1799" s="390" t="s">
        <v>2166</v>
      </c>
      <c r="M1799" s="275" t="s">
        <v>86</v>
      </c>
      <c r="N1799" s="274" t="s">
        <v>547</v>
      </c>
      <c r="O1799" s="274" t="s">
        <v>548</v>
      </c>
      <c r="P1799" s="277">
        <v>10</v>
      </c>
      <c r="Q1799" s="277">
        <v>50</v>
      </c>
      <c r="R1799" s="278">
        <v>6.8100000000000001E-3</v>
      </c>
      <c r="S1799" s="274" t="s">
        <v>76</v>
      </c>
      <c r="T1799" s="274" t="s">
        <v>56</v>
      </c>
      <c r="U1799" s="274" t="s">
        <v>89</v>
      </c>
      <c r="V1799" s="279">
        <v>1398</v>
      </c>
      <c r="W1799" s="279">
        <f>1398</f>
        <v>1398</v>
      </c>
      <c r="X1799" s="280"/>
      <c r="Y1799" s="281">
        <f t="shared" si="612"/>
        <v>0</v>
      </c>
      <c r="Z1799" s="282">
        <f t="shared" si="613"/>
        <v>0</v>
      </c>
      <c r="AA1799" s="282">
        <f t="shared" si="614"/>
        <v>0</v>
      </c>
      <c r="AB1799" s="812">
        <v>6</v>
      </c>
      <c r="AC1799" s="279">
        <f t="shared" si="615"/>
        <v>0</v>
      </c>
      <c r="AD1799" s="209"/>
      <c r="AE1799" s="210"/>
      <c r="AF1799" s="210"/>
      <c r="AG1799" s="211">
        <f t="shared" si="616"/>
        <v>0.63</v>
      </c>
      <c r="AH1799" s="157">
        <f t="shared" si="617"/>
        <v>0</v>
      </c>
      <c r="AI1799" s="152">
        <f t="shared" si="618"/>
        <v>13980</v>
      </c>
      <c r="AK1799" s="156" t="s">
        <v>691</v>
      </c>
      <c r="AL1799" s="156" t="s">
        <v>689</v>
      </c>
      <c r="AM1799" s="198">
        <f t="shared" si="604"/>
        <v>0</v>
      </c>
      <c r="AN1799" s="199">
        <f t="shared" si="619"/>
        <v>45664</v>
      </c>
      <c r="AO1799" s="159" t="s">
        <v>692</v>
      </c>
      <c r="AP1799" s="783" t="s">
        <v>620</v>
      </c>
      <c r="AQ1799" s="796" t="s">
        <v>2143</v>
      </c>
      <c r="AR1799" s="782">
        <v>12055234</v>
      </c>
      <c r="AS1799" s="781"/>
      <c r="AT1799" s="782"/>
      <c r="AU1799" s="782"/>
      <c r="AV1799" s="782">
        <v>12062809</v>
      </c>
      <c r="AW1799" s="782"/>
      <c r="AX1799" s="782" t="s">
        <v>619</v>
      </c>
      <c r="AY1799" s="781"/>
      <c r="AZ1799" s="781"/>
      <c r="BA1799" s="781"/>
      <c r="BB1799" s="209">
        <v>23053184</v>
      </c>
    </row>
    <row r="1800" spans="1:54" ht="25" hidden="1" customHeight="1">
      <c r="A1800" s="142" t="s">
        <v>120</v>
      </c>
      <c r="B1800" s="466">
        <v>45665</v>
      </c>
      <c r="C1800" s="467">
        <v>45673</v>
      </c>
      <c r="D1800" s="185">
        <f t="shared" si="610"/>
        <v>2025</v>
      </c>
      <c r="E1800" s="468" t="e">
        <f>VLOOKUP($B1800,Week!$A$1:$C$1462,2,0)</f>
        <v>#N/A</v>
      </c>
      <c r="F1800" s="469" t="str">
        <f t="shared" si="611"/>
        <v>Jan</v>
      </c>
      <c r="G1800" s="470" t="s">
        <v>1915</v>
      </c>
      <c r="H1800" s="468" t="s">
        <v>82</v>
      </c>
      <c r="I1800" s="468" t="s">
        <v>82</v>
      </c>
      <c r="J1800" s="471" t="s">
        <v>720</v>
      </c>
      <c r="K1800" s="472" t="s">
        <v>85</v>
      </c>
      <c r="L1800" s="390" t="s">
        <v>2166</v>
      </c>
      <c r="M1800" s="471" t="s">
        <v>579</v>
      </c>
      <c r="N1800" s="468" t="s">
        <v>580</v>
      </c>
      <c r="O1800" s="468" t="s">
        <v>581</v>
      </c>
      <c r="P1800" s="473">
        <v>8</v>
      </c>
      <c r="Q1800" s="473">
        <v>60</v>
      </c>
      <c r="R1800" s="474">
        <v>6.8100000000000001E-3</v>
      </c>
      <c r="S1800" s="468" t="s">
        <v>76</v>
      </c>
      <c r="T1800" s="468" t="s">
        <v>56</v>
      </c>
      <c r="U1800" s="468" t="s">
        <v>89</v>
      </c>
      <c r="V1800" s="475">
        <f>1408</f>
        <v>1408</v>
      </c>
      <c r="W1800" s="475">
        <f>36+1372</f>
        <v>1408</v>
      </c>
      <c r="X1800" s="476"/>
      <c r="Y1800" s="477">
        <f t="shared" si="612"/>
        <v>0</v>
      </c>
      <c r="Z1800" s="478">
        <f t="shared" si="613"/>
        <v>0</v>
      </c>
      <c r="AA1800" s="478">
        <f t="shared" si="614"/>
        <v>0</v>
      </c>
      <c r="AB1800" s="828">
        <v>6</v>
      </c>
      <c r="AC1800" s="475">
        <f t="shared" si="615"/>
        <v>0</v>
      </c>
      <c r="AD1800" s="209"/>
      <c r="AE1800" s="210"/>
      <c r="AF1800" s="210"/>
      <c r="AG1800" s="211">
        <f t="shared" si="616"/>
        <v>0.75</v>
      </c>
      <c r="AH1800" s="157">
        <f t="shared" si="617"/>
        <v>0</v>
      </c>
      <c r="AI1800" s="152">
        <f t="shared" si="618"/>
        <v>11264</v>
      </c>
      <c r="AK1800" s="156" t="s">
        <v>691</v>
      </c>
      <c r="AL1800" s="156" t="s">
        <v>689</v>
      </c>
      <c r="AM1800" s="198">
        <f t="shared" si="604"/>
        <v>0</v>
      </c>
      <c r="AN1800" s="199">
        <f t="shared" si="619"/>
        <v>45665</v>
      </c>
      <c r="AO1800" s="159" t="s">
        <v>692</v>
      </c>
      <c r="AP1800" s="783" t="s">
        <v>622</v>
      </c>
      <c r="AQ1800" s="782">
        <v>12088677</v>
      </c>
      <c r="AR1800" s="782" t="s">
        <v>2142</v>
      </c>
      <c r="AS1800" s="782"/>
      <c r="AT1800" s="782">
        <v>12082897</v>
      </c>
      <c r="AU1800" s="781"/>
      <c r="AV1800" s="782">
        <v>12082898</v>
      </c>
      <c r="AW1800" s="782">
        <v>12082899</v>
      </c>
      <c r="AX1800" s="796" t="s">
        <v>621</v>
      </c>
      <c r="AY1800" s="782"/>
      <c r="AZ1800" s="782"/>
      <c r="BA1800" s="781"/>
      <c r="BB1800" s="209">
        <v>23053184</v>
      </c>
    </row>
    <row r="1801" spans="1:54" ht="24.75" hidden="1" customHeight="1">
      <c r="A1801" s="142" t="s">
        <v>120</v>
      </c>
      <c r="B1801" s="308">
        <v>45665</v>
      </c>
      <c r="C1801" s="644" t="s">
        <v>1892</v>
      </c>
      <c r="D1801" s="185">
        <f t="shared" si="610"/>
        <v>2025</v>
      </c>
      <c r="E1801" s="519" t="e">
        <f>VLOOKUP($B1801,Week!$A$1:$C$1462,2,0)</f>
        <v>#N/A</v>
      </c>
      <c r="F1801" s="520" t="str">
        <f t="shared" si="611"/>
        <v>Jan</v>
      </c>
      <c r="G1801" s="644" t="s">
        <v>47</v>
      </c>
      <c r="H1801" s="311" t="s">
        <v>518</v>
      </c>
      <c r="I1801" s="311" t="s">
        <v>2702</v>
      </c>
      <c r="J1801" s="312" t="s">
        <v>70</v>
      </c>
      <c r="K1801" s="313" t="s">
        <v>85</v>
      </c>
      <c r="L1801" s="390" t="s">
        <v>2166</v>
      </c>
      <c r="M1801" s="312" t="s">
        <v>515</v>
      </c>
      <c r="N1801" s="311" t="s">
        <v>588</v>
      </c>
      <c r="O1801" s="311" t="s">
        <v>546</v>
      </c>
      <c r="P1801" s="314">
        <v>12</v>
      </c>
      <c r="Q1801" s="314">
        <v>20</v>
      </c>
      <c r="R1801" s="315">
        <v>6.1999999999999998E-3</v>
      </c>
      <c r="S1801" s="311" t="s">
        <v>352</v>
      </c>
      <c r="T1801" s="311" t="s">
        <v>56</v>
      </c>
      <c r="U1801" s="311"/>
      <c r="V1801" s="316">
        <v>242</v>
      </c>
      <c r="W1801" s="316">
        <f>6+236</f>
        <v>242</v>
      </c>
      <c r="X1801" s="317"/>
      <c r="Y1801" s="318">
        <f t="shared" si="612"/>
        <v>0</v>
      </c>
      <c r="Z1801" s="319">
        <f t="shared" si="613"/>
        <v>0</v>
      </c>
      <c r="AA1801" s="319">
        <f t="shared" si="614"/>
        <v>0</v>
      </c>
      <c r="AB1801" s="815"/>
      <c r="AC1801" s="316">
        <f t="shared" si="615"/>
        <v>0</v>
      </c>
      <c r="AD1801" s="209"/>
      <c r="AE1801" s="210"/>
      <c r="AF1801" s="210"/>
      <c r="AG1801" s="211">
        <f t="shared" si="616"/>
        <v>0.22</v>
      </c>
      <c r="AH1801" s="157">
        <f t="shared" si="617"/>
        <v>0</v>
      </c>
      <c r="AI1801" s="152">
        <f t="shared" si="618"/>
        <v>2904</v>
      </c>
      <c r="AK1801" s="156" t="s">
        <v>691</v>
      </c>
      <c r="AL1801" s="156" t="s">
        <v>689</v>
      </c>
      <c r="AM1801" s="198">
        <f t="shared" ref="AM1801:AM1819" si="620">AG1801*Z1801</f>
        <v>0</v>
      </c>
      <c r="AN1801" s="199">
        <f t="shared" si="619"/>
        <v>45665</v>
      </c>
      <c r="AO1801" s="159" t="s">
        <v>692</v>
      </c>
      <c r="AP1801" s="783" t="s">
        <v>613</v>
      </c>
      <c r="AQ1801" s="782"/>
      <c r="AR1801" s="782" t="s">
        <v>614</v>
      </c>
      <c r="AS1801" s="782"/>
      <c r="AT1801" s="782">
        <v>12083140</v>
      </c>
      <c r="AU1801" s="781"/>
      <c r="AV1801" s="782">
        <v>12083143</v>
      </c>
      <c r="AW1801" s="782"/>
      <c r="AX1801" s="782"/>
      <c r="AY1801" s="782"/>
      <c r="AZ1801" s="782"/>
      <c r="BA1801" s="781"/>
      <c r="BB1801" s="209"/>
    </row>
    <row r="1802" spans="1:54" ht="25" hidden="1" customHeight="1">
      <c r="A1802" s="142" t="s">
        <v>120</v>
      </c>
      <c r="B1802" s="271">
        <v>45666</v>
      </c>
      <c r="C1802" s="272">
        <v>45678</v>
      </c>
      <c r="D1802" s="185">
        <f t="shared" si="610"/>
        <v>2025</v>
      </c>
      <c r="E1802" s="272" t="e">
        <f>VLOOKUP($B1802,Week!$A$1:$C$1462,2,0)</f>
        <v>#N/A</v>
      </c>
      <c r="F1802" s="273" t="str">
        <f t="shared" si="611"/>
        <v>Jan</v>
      </c>
      <c r="G1802" s="274" t="s">
        <v>1903</v>
      </c>
      <c r="H1802" s="274" t="s">
        <v>500</v>
      </c>
      <c r="I1802" s="274" t="s">
        <v>2772</v>
      </c>
      <c r="J1802" s="275" t="s">
        <v>285</v>
      </c>
      <c r="K1802" s="276" t="s">
        <v>153</v>
      </c>
      <c r="L1802" s="390" t="s">
        <v>2166</v>
      </c>
      <c r="M1802" s="275" t="s">
        <v>86</v>
      </c>
      <c r="N1802" s="274" t="s">
        <v>547</v>
      </c>
      <c r="O1802" s="274" t="s">
        <v>548</v>
      </c>
      <c r="P1802" s="277">
        <v>10</v>
      </c>
      <c r="Q1802" s="277">
        <v>50</v>
      </c>
      <c r="R1802" s="278">
        <v>6.8100000000000001E-3</v>
      </c>
      <c r="S1802" s="274" t="s">
        <v>76</v>
      </c>
      <c r="T1802" s="274" t="s">
        <v>56</v>
      </c>
      <c r="U1802" s="274" t="s">
        <v>89</v>
      </c>
      <c r="V1802" s="279">
        <f>2056-1398</f>
        <v>658</v>
      </c>
      <c r="W1802" s="279">
        <f>658</f>
        <v>658</v>
      </c>
      <c r="X1802" s="280"/>
      <c r="Y1802" s="281">
        <f t="shared" si="612"/>
        <v>0</v>
      </c>
      <c r="Z1802" s="282">
        <f t="shared" si="613"/>
        <v>0</v>
      </c>
      <c r="AA1802" s="282">
        <f t="shared" si="614"/>
        <v>0</v>
      </c>
      <c r="AB1802" s="812">
        <v>6</v>
      </c>
      <c r="AC1802" s="279">
        <f t="shared" si="615"/>
        <v>0</v>
      </c>
      <c r="AD1802" s="209"/>
      <c r="AE1802" s="210"/>
      <c r="AF1802" s="210"/>
      <c r="AG1802" s="211">
        <f t="shared" si="616"/>
        <v>0.63</v>
      </c>
      <c r="AH1802" s="157">
        <f t="shared" si="617"/>
        <v>0</v>
      </c>
      <c r="AI1802" s="152">
        <f t="shared" si="618"/>
        <v>6580</v>
      </c>
      <c r="AK1802" s="156" t="s">
        <v>691</v>
      </c>
      <c r="AL1802" s="156" t="s">
        <v>689</v>
      </c>
      <c r="AM1802" s="198">
        <f t="shared" si="620"/>
        <v>0</v>
      </c>
      <c r="AN1802" s="199">
        <f t="shared" si="619"/>
        <v>45666</v>
      </c>
      <c r="AO1802" s="159" t="s">
        <v>692</v>
      </c>
      <c r="AP1802" s="783" t="s">
        <v>620</v>
      </c>
      <c r="AQ1802" s="796" t="s">
        <v>2143</v>
      </c>
      <c r="AR1802" s="782">
        <v>12055234</v>
      </c>
      <c r="AS1802" s="781"/>
      <c r="AT1802" s="782"/>
      <c r="AU1802" s="782"/>
      <c r="AV1802" s="782">
        <v>12062809</v>
      </c>
      <c r="AW1802" s="782"/>
      <c r="AX1802" s="782" t="s">
        <v>619</v>
      </c>
      <c r="AY1802" s="781"/>
      <c r="AZ1802" s="781"/>
      <c r="BA1802" s="781"/>
      <c r="BB1802" s="209">
        <v>23053184</v>
      </c>
    </row>
    <row r="1803" spans="1:54" ht="25" hidden="1" customHeight="1">
      <c r="A1803" s="142" t="s">
        <v>120</v>
      </c>
      <c r="B1803" s="385">
        <v>45666</v>
      </c>
      <c r="C1803" s="386">
        <v>45698</v>
      </c>
      <c r="D1803" s="185">
        <f t="shared" si="610"/>
        <v>2025</v>
      </c>
      <c r="E1803" s="386" t="e">
        <f>VLOOKUP($B1803,Week!$A$1:$C$1462,2,0)</f>
        <v>#N/A</v>
      </c>
      <c r="F1803" s="387" t="str">
        <f t="shared" si="611"/>
        <v>Jan</v>
      </c>
      <c r="G1803" s="388" t="s">
        <v>1908</v>
      </c>
      <c r="H1803" s="388" t="s">
        <v>500</v>
      </c>
      <c r="I1803" s="388" t="s">
        <v>2772</v>
      </c>
      <c r="J1803" s="389" t="s">
        <v>285</v>
      </c>
      <c r="K1803" s="390" t="s">
        <v>153</v>
      </c>
      <c r="L1803" s="390" t="s">
        <v>2166</v>
      </c>
      <c r="M1803" s="389" t="s">
        <v>165</v>
      </c>
      <c r="N1803" s="388" t="s">
        <v>286</v>
      </c>
      <c r="O1803" s="388" t="s">
        <v>503</v>
      </c>
      <c r="P1803" s="391">
        <v>40</v>
      </c>
      <c r="Q1803" s="391">
        <v>12</v>
      </c>
      <c r="R1803" s="392">
        <v>6.8100000000000001E-3</v>
      </c>
      <c r="S1803" s="388" t="s">
        <v>76</v>
      </c>
      <c r="T1803" s="388" t="s">
        <v>56</v>
      </c>
      <c r="U1803" s="388" t="s">
        <v>89</v>
      </c>
      <c r="V1803" s="393">
        <f>575</f>
        <v>575</v>
      </c>
      <c r="W1803" s="393">
        <f>533</f>
        <v>533</v>
      </c>
      <c r="X1803" s="394">
        <f>(1680)/40</f>
        <v>42</v>
      </c>
      <c r="Y1803" s="395">
        <f t="shared" si="612"/>
        <v>0</v>
      </c>
      <c r="Z1803" s="396">
        <f t="shared" si="613"/>
        <v>0</v>
      </c>
      <c r="AA1803" s="396">
        <f t="shared" si="614"/>
        <v>0</v>
      </c>
      <c r="AB1803" s="823">
        <v>2</v>
      </c>
      <c r="AC1803" s="393">
        <f t="shared" si="615"/>
        <v>0</v>
      </c>
      <c r="AD1803" s="209"/>
      <c r="AE1803" s="210"/>
      <c r="AF1803" s="210"/>
      <c r="AG1803" s="211">
        <f t="shared" si="616"/>
        <v>0.154</v>
      </c>
      <c r="AH1803" s="157">
        <f t="shared" si="617"/>
        <v>0</v>
      </c>
      <c r="AI1803" s="152">
        <f t="shared" si="618"/>
        <v>23000</v>
      </c>
      <c r="AK1803" s="156" t="s">
        <v>691</v>
      </c>
      <c r="AL1803" s="156" t="s">
        <v>689</v>
      </c>
      <c r="AM1803" s="198">
        <f t="shared" si="620"/>
        <v>0</v>
      </c>
      <c r="AN1803" s="199">
        <f t="shared" si="619"/>
        <v>45666</v>
      </c>
      <c r="AO1803" s="159" t="s">
        <v>692</v>
      </c>
      <c r="AP1803" s="783" t="s">
        <v>611</v>
      </c>
      <c r="AQ1803" s="782">
        <v>12088677</v>
      </c>
      <c r="AR1803" s="782">
        <v>12019692</v>
      </c>
      <c r="AS1803" s="781"/>
      <c r="AT1803" s="782">
        <v>12065371</v>
      </c>
      <c r="AU1803" s="782"/>
      <c r="AV1803" s="782">
        <v>12055895</v>
      </c>
      <c r="AW1803" s="782">
        <v>12034747</v>
      </c>
      <c r="AX1803" s="782" t="s">
        <v>398</v>
      </c>
      <c r="AY1803" s="781" t="s">
        <v>290</v>
      </c>
      <c r="AZ1803" s="781"/>
      <c r="BA1803" s="781"/>
      <c r="BB1803" s="209">
        <v>23053184</v>
      </c>
    </row>
    <row r="1804" spans="1:54" ht="25" hidden="1" customHeight="1">
      <c r="B1804" s="383">
        <v>45667</v>
      </c>
      <c r="C1804" s="383">
        <v>45677</v>
      </c>
      <c r="D1804" s="185">
        <f t="shared" si="610"/>
        <v>2025</v>
      </c>
      <c r="E1804" s="224" t="e">
        <f>VLOOKUP($B1804,Week!$A$1:$C$1462,2,0)</f>
        <v>#N/A</v>
      </c>
      <c r="F1804" s="226" t="str">
        <f t="shared" si="611"/>
        <v>Jan</v>
      </c>
      <c r="G1804" s="225" t="s">
        <v>1912</v>
      </c>
      <c r="H1804" s="225" t="s">
        <v>225</v>
      </c>
      <c r="I1804" s="225" t="s">
        <v>2773</v>
      </c>
      <c r="J1804" s="227" t="s">
        <v>335</v>
      </c>
      <c r="K1804" s="228" t="s">
        <v>176</v>
      </c>
      <c r="L1804" s="300" t="s">
        <v>2167</v>
      </c>
      <c r="M1804" s="227" t="s">
        <v>336</v>
      </c>
      <c r="N1804" s="225" t="s">
        <v>337</v>
      </c>
      <c r="O1804" s="225" t="s">
        <v>179</v>
      </c>
      <c r="P1804" s="229">
        <v>36</v>
      </c>
      <c r="Q1804" s="229">
        <v>5</v>
      </c>
      <c r="R1804" s="230">
        <v>7.4999999999999997E-3</v>
      </c>
      <c r="S1804" s="225" t="s">
        <v>111</v>
      </c>
      <c r="T1804" s="225" t="s">
        <v>112</v>
      </c>
      <c r="U1804" s="225" t="s">
        <v>113</v>
      </c>
      <c r="V1804" s="231">
        <v>1288</v>
      </c>
      <c r="W1804" s="231">
        <v>1288</v>
      </c>
      <c r="X1804" s="232"/>
      <c r="Y1804" s="233">
        <f t="shared" si="612"/>
        <v>0</v>
      </c>
      <c r="Z1804" s="234">
        <f t="shared" si="613"/>
        <v>0</v>
      </c>
      <c r="AA1804" s="234">
        <f t="shared" si="614"/>
        <v>0</v>
      </c>
      <c r="AB1804" s="822">
        <v>9.7000000000000003E-3</v>
      </c>
      <c r="AC1804" s="231">
        <f t="shared" si="615"/>
        <v>0</v>
      </c>
      <c r="AD1804" s="307" t="s">
        <v>1622</v>
      </c>
      <c r="AE1804" s="210"/>
      <c r="AF1804" s="210"/>
      <c r="AG1804" s="211">
        <f t="shared" si="616"/>
        <v>0.14499999999999999</v>
      </c>
      <c r="AH1804" s="157">
        <f t="shared" si="617"/>
        <v>0</v>
      </c>
      <c r="AI1804" s="152">
        <f t="shared" si="618"/>
        <v>46368</v>
      </c>
      <c r="AK1804" s="156" t="s">
        <v>691</v>
      </c>
      <c r="AL1804" s="574" t="s">
        <v>690</v>
      </c>
      <c r="AM1804" s="198">
        <f t="shared" si="620"/>
        <v>0</v>
      </c>
      <c r="AN1804" s="199">
        <f t="shared" si="619"/>
        <v>45667</v>
      </c>
      <c r="AO1804" s="159" t="s">
        <v>692</v>
      </c>
      <c r="AP1804" s="783" t="s">
        <v>639</v>
      </c>
      <c r="AQ1804" s="782">
        <v>12071839</v>
      </c>
      <c r="AR1804" s="782">
        <v>12047514</v>
      </c>
      <c r="AS1804" s="782">
        <v>12047515</v>
      </c>
      <c r="AT1804" s="782">
        <v>12054919</v>
      </c>
      <c r="AU1804" s="781"/>
      <c r="AV1804" s="782">
        <v>12054869</v>
      </c>
      <c r="AW1804" s="782">
        <v>12024404</v>
      </c>
      <c r="AX1804" s="781"/>
      <c r="AY1804" s="782">
        <v>12054815</v>
      </c>
      <c r="AZ1804" s="781"/>
      <c r="BA1804" s="781"/>
      <c r="BB1804" s="209">
        <v>23054743</v>
      </c>
    </row>
    <row r="1805" spans="1:54" ht="25" hidden="1" customHeight="1">
      <c r="B1805" s="383">
        <v>45667</v>
      </c>
      <c r="C1805" s="383">
        <v>45677</v>
      </c>
      <c r="D1805" s="185">
        <f t="shared" si="610"/>
        <v>2025</v>
      </c>
      <c r="E1805" s="224" t="e">
        <f>VLOOKUP($B1805,Week!$A$1:$C$1462,2,0)</f>
        <v>#N/A</v>
      </c>
      <c r="F1805" s="226" t="str">
        <f t="shared" si="611"/>
        <v>Jan</v>
      </c>
      <c r="G1805" s="225" t="s">
        <v>1913</v>
      </c>
      <c r="H1805" s="225" t="s">
        <v>225</v>
      </c>
      <c r="I1805" s="225" t="s">
        <v>2773</v>
      </c>
      <c r="J1805" s="227" t="s">
        <v>335</v>
      </c>
      <c r="K1805" s="228" t="s">
        <v>176</v>
      </c>
      <c r="L1805" s="300" t="s">
        <v>2167</v>
      </c>
      <c r="M1805" s="227" t="s">
        <v>336</v>
      </c>
      <c r="N1805" s="225" t="s">
        <v>337</v>
      </c>
      <c r="O1805" s="225" t="s">
        <v>179</v>
      </c>
      <c r="P1805" s="229">
        <v>36</v>
      </c>
      <c r="Q1805" s="229">
        <v>5</v>
      </c>
      <c r="R1805" s="230">
        <v>7.4999999999999997E-3</v>
      </c>
      <c r="S1805" s="225" t="s">
        <v>111</v>
      </c>
      <c r="T1805" s="225" t="s">
        <v>112</v>
      </c>
      <c r="U1805" s="225" t="s">
        <v>113</v>
      </c>
      <c r="V1805" s="231">
        <v>1288</v>
      </c>
      <c r="W1805" s="231">
        <f>2423-40-1288+19</f>
        <v>1114</v>
      </c>
      <c r="X1805" s="232">
        <v>174</v>
      </c>
      <c r="Y1805" s="233">
        <f t="shared" si="612"/>
        <v>0</v>
      </c>
      <c r="Z1805" s="234">
        <f t="shared" si="613"/>
        <v>0</v>
      </c>
      <c r="AA1805" s="234">
        <f t="shared" si="614"/>
        <v>0</v>
      </c>
      <c r="AB1805" s="822">
        <v>9.7000000000000003E-3</v>
      </c>
      <c r="AC1805" s="231">
        <f t="shared" si="615"/>
        <v>0</v>
      </c>
      <c r="AD1805" s="307" t="s">
        <v>1622</v>
      </c>
      <c r="AE1805" s="210"/>
      <c r="AF1805" s="210"/>
      <c r="AG1805" s="211">
        <f t="shared" si="616"/>
        <v>0.14499999999999999</v>
      </c>
      <c r="AH1805" s="157">
        <f t="shared" si="617"/>
        <v>0</v>
      </c>
      <c r="AI1805" s="152">
        <f t="shared" si="618"/>
        <v>46368</v>
      </c>
      <c r="AK1805" s="156" t="s">
        <v>691</v>
      </c>
      <c r="AL1805" s="574" t="s">
        <v>690</v>
      </c>
      <c r="AM1805" s="198">
        <f t="shared" si="620"/>
        <v>0</v>
      </c>
      <c r="AN1805" s="199">
        <f t="shared" si="619"/>
        <v>45667</v>
      </c>
      <c r="AO1805" s="159" t="s">
        <v>692</v>
      </c>
      <c r="AP1805" s="783" t="s">
        <v>639</v>
      </c>
      <c r="AQ1805" s="782">
        <v>12071839</v>
      </c>
      <c r="AR1805" s="782">
        <v>12047514</v>
      </c>
      <c r="AS1805" s="782">
        <v>12047515</v>
      </c>
      <c r="AT1805" s="782">
        <v>12054919</v>
      </c>
      <c r="AU1805" s="781"/>
      <c r="AV1805" s="782">
        <v>12054869</v>
      </c>
      <c r="AW1805" s="782">
        <v>12024404</v>
      </c>
      <c r="AX1805" s="781"/>
      <c r="AY1805" s="782">
        <v>12054815</v>
      </c>
      <c r="AZ1805" s="781"/>
      <c r="BA1805" s="781"/>
      <c r="BB1805" s="209">
        <v>23054743</v>
      </c>
    </row>
    <row r="1806" spans="1:54" ht="24.65" hidden="1" customHeight="1">
      <c r="B1806" s="224">
        <v>45667</v>
      </c>
      <c r="C1806" s="224">
        <v>45678</v>
      </c>
      <c r="D1806" s="185">
        <f t="shared" si="610"/>
        <v>2025</v>
      </c>
      <c r="E1806" s="224" t="e">
        <f>VLOOKUP($B1806,Week!$A$1:$C$1462,2,0)</f>
        <v>#N/A</v>
      </c>
      <c r="F1806" s="226" t="str">
        <f t="shared" si="611"/>
        <v>Jan</v>
      </c>
      <c r="G1806" s="642" t="s">
        <v>1857</v>
      </c>
      <c r="H1806" s="225" t="s">
        <v>104</v>
      </c>
      <c r="I1806" s="225" t="s">
        <v>2772</v>
      </c>
      <c r="J1806" s="227" t="s">
        <v>105</v>
      </c>
      <c r="K1806" s="228" t="s">
        <v>676</v>
      </c>
      <c r="L1806" s="300" t="s">
        <v>2167</v>
      </c>
      <c r="M1806" s="227" t="s">
        <v>108</v>
      </c>
      <c r="N1806" s="225" t="s">
        <v>688</v>
      </c>
      <c r="O1806" s="225" t="s">
        <v>428</v>
      </c>
      <c r="P1806" s="229">
        <v>24</v>
      </c>
      <c r="Q1806" s="229">
        <v>5</v>
      </c>
      <c r="R1806" s="230">
        <v>6.0000000000000001E-3</v>
      </c>
      <c r="S1806" s="225" t="s">
        <v>55</v>
      </c>
      <c r="T1806" s="225" t="s">
        <v>112</v>
      </c>
      <c r="U1806" s="225" t="s">
        <v>113</v>
      </c>
      <c r="V1806" s="231">
        <f>200</f>
        <v>200</v>
      </c>
      <c r="W1806" s="231">
        <f>24+176</f>
        <v>200</v>
      </c>
      <c r="X1806" s="232"/>
      <c r="Y1806" s="233">
        <f t="shared" si="612"/>
        <v>0</v>
      </c>
      <c r="Z1806" s="234">
        <f t="shared" si="613"/>
        <v>0</v>
      </c>
      <c r="AA1806" s="234">
        <f t="shared" si="614"/>
        <v>0</v>
      </c>
      <c r="AB1806" s="822">
        <v>9.7000000000000003E-3</v>
      </c>
      <c r="AC1806" s="231">
        <f t="shared" si="615"/>
        <v>0</v>
      </c>
      <c r="AD1806" s="209"/>
      <c r="AE1806" s="210"/>
      <c r="AF1806" s="210"/>
      <c r="AG1806" s="211">
        <f t="shared" si="616"/>
        <v>0.308</v>
      </c>
      <c r="AH1806" s="157">
        <f t="shared" si="617"/>
        <v>0</v>
      </c>
      <c r="AI1806" s="152">
        <f t="shared" si="618"/>
        <v>4800</v>
      </c>
      <c r="AK1806" s="156" t="s">
        <v>691</v>
      </c>
      <c r="AL1806" s="212" t="s">
        <v>690</v>
      </c>
      <c r="AM1806" s="198">
        <f t="shared" si="620"/>
        <v>0</v>
      </c>
      <c r="AN1806" s="199">
        <f t="shared" si="619"/>
        <v>45667</v>
      </c>
      <c r="AO1806" s="159" t="s">
        <v>692</v>
      </c>
      <c r="AP1806" s="783" t="s">
        <v>629</v>
      </c>
      <c r="AQ1806" s="782">
        <v>12063755</v>
      </c>
      <c r="AR1806" s="782">
        <v>12061353</v>
      </c>
      <c r="AS1806" s="782">
        <v>12061354</v>
      </c>
      <c r="AT1806" s="782">
        <v>12085752</v>
      </c>
      <c r="AU1806" s="781"/>
      <c r="AV1806" s="782">
        <v>12069473</v>
      </c>
      <c r="AW1806" s="782">
        <v>12068154</v>
      </c>
      <c r="AX1806" s="782"/>
      <c r="AY1806" s="782">
        <v>12085753</v>
      </c>
      <c r="AZ1806" s="782"/>
      <c r="BA1806" s="781"/>
      <c r="BB1806" s="209">
        <v>23054743</v>
      </c>
    </row>
    <row r="1807" spans="1:54" ht="25" hidden="1" customHeight="1">
      <c r="B1807" s="213">
        <v>45667</v>
      </c>
      <c r="C1807" s="578">
        <v>45692</v>
      </c>
      <c r="D1807" s="185">
        <f t="shared" si="610"/>
        <v>2025</v>
      </c>
      <c r="E1807" s="215" t="e">
        <f>VLOOKUP($B1807,Week!$A$1:$C$1462,2,0)</f>
        <v>#N/A</v>
      </c>
      <c r="F1807" s="216" t="str">
        <f t="shared" si="611"/>
        <v>Jan</v>
      </c>
      <c r="G1807" s="215" t="s">
        <v>1868</v>
      </c>
      <c r="H1807" s="215" t="s">
        <v>104</v>
      </c>
      <c r="I1807" s="215" t="s">
        <v>2772</v>
      </c>
      <c r="J1807" s="209" t="s">
        <v>105</v>
      </c>
      <c r="K1807" s="217" t="s">
        <v>107</v>
      </c>
      <c r="L1807" s="300" t="s">
        <v>2167</v>
      </c>
      <c r="M1807" s="209" t="s">
        <v>108</v>
      </c>
      <c r="N1807" s="215" t="s">
        <v>109</v>
      </c>
      <c r="O1807" s="215" t="s">
        <v>110</v>
      </c>
      <c r="P1807" s="218">
        <v>36</v>
      </c>
      <c r="Q1807" s="218">
        <v>5</v>
      </c>
      <c r="R1807" s="219">
        <v>7.4999999999999997E-3</v>
      </c>
      <c r="S1807" s="215" t="s">
        <v>111</v>
      </c>
      <c r="T1807" s="215" t="s">
        <v>112</v>
      </c>
      <c r="U1807" s="215" t="s">
        <v>113</v>
      </c>
      <c r="V1807" s="220">
        <f>792-519-5</f>
        <v>268</v>
      </c>
      <c r="W1807" s="220">
        <v>268</v>
      </c>
      <c r="X1807" s="221"/>
      <c r="Y1807" s="222">
        <f t="shared" si="612"/>
        <v>0</v>
      </c>
      <c r="Z1807" s="223">
        <f t="shared" si="613"/>
        <v>0</v>
      </c>
      <c r="AA1807" s="223">
        <f t="shared" si="614"/>
        <v>0</v>
      </c>
      <c r="AB1807" s="807">
        <v>9.7000000000000003E-3</v>
      </c>
      <c r="AC1807" s="220">
        <f t="shared" si="615"/>
        <v>0</v>
      </c>
      <c r="AD1807" s="209"/>
      <c r="AE1807" s="210"/>
      <c r="AF1807" s="210"/>
      <c r="AG1807" s="211">
        <f t="shared" si="616"/>
        <v>0.308</v>
      </c>
      <c r="AH1807" s="157">
        <f t="shared" si="617"/>
        <v>0</v>
      </c>
      <c r="AI1807" s="152">
        <f t="shared" si="618"/>
        <v>9648</v>
      </c>
      <c r="AK1807" s="156" t="s">
        <v>691</v>
      </c>
      <c r="AL1807" s="574" t="s">
        <v>690</v>
      </c>
      <c r="AM1807" s="198">
        <f t="shared" si="620"/>
        <v>0</v>
      </c>
      <c r="AN1807" s="199">
        <f t="shared" si="619"/>
        <v>45667</v>
      </c>
      <c r="AO1807" s="159" t="s">
        <v>692</v>
      </c>
      <c r="AP1807" s="781"/>
      <c r="AQ1807" s="782">
        <v>12063755</v>
      </c>
      <c r="AR1807" s="782">
        <v>12061353</v>
      </c>
      <c r="AS1807" s="782">
        <v>12061354</v>
      </c>
      <c r="AT1807" s="782">
        <v>12068566</v>
      </c>
      <c r="AU1807" s="781"/>
      <c r="AV1807" s="782">
        <v>12088206</v>
      </c>
      <c r="AW1807" s="782">
        <v>12088207</v>
      </c>
      <c r="AX1807" s="782"/>
      <c r="AY1807" s="782">
        <v>12068565</v>
      </c>
      <c r="AZ1807" s="782"/>
      <c r="BA1807" s="781"/>
      <c r="BB1807" s="209">
        <v>23054743</v>
      </c>
    </row>
    <row r="1808" spans="1:54" ht="25" hidden="1" customHeight="1">
      <c r="B1808" s="213">
        <v>45667</v>
      </c>
      <c r="C1808" s="578">
        <v>45693</v>
      </c>
      <c r="D1808" s="185">
        <f t="shared" si="610"/>
        <v>2025</v>
      </c>
      <c r="E1808" s="215" t="e">
        <f>VLOOKUP($B1808,Week!$A$1:$C$1462,2,0)</f>
        <v>#N/A</v>
      </c>
      <c r="F1808" s="216" t="str">
        <f t="shared" si="611"/>
        <v>Jan</v>
      </c>
      <c r="G1808" s="215" t="s">
        <v>1873</v>
      </c>
      <c r="H1808" s="215" t="s">
        <v>104</v>
      </c>
      <c r="I1808" s="215" t="s">
        <v>2772</v>
      </c>
      <c r="J1808" s="209" t="s">
        <v>105</v>
      </c>
      <c r="K1808" s="217" t="s">
        <v>107</v>
      </c>
      <c r="L1808" s="300" t="s">
        <v>2167</v>
      </c>
      <c r="M1808" s="209" t="s">
        <v>108</v>
      </c>
      <c r="N1808" s="215" t="s">
        <v>109</v>
      </c>
      <c r="O1808" s="215" t="s">
        <v>110</v>
      </c>
      <c r="P1808" s="218">
        <v>36</v>
      </c>
      <c r="Q1808" s="218">
        <v>5</v>
      </c>
      <c r="R1808" s="219">
        <v>7.4999999999999997E-3</v>
      </c>
      <c r="S1808" s="215" t="s">
        <v>111</v>
      </c>
      <c r="T1808" s="215" t="s">
        <v>112</v>
      </c>
      <c r="U1808" s="215" t="s">
        <v>113</v>
      </c>
      <c r="V1808" s="220">
        <v>129</v>
      </c>
      <c r="W1808" s="220">
        <f>397-268</f>
        <v>129</v>
      </c>
      <c r="X1808" s="221"/>
      <c r="Y1808" s="222">
        <f t="shared" si="612"/>
        <v>0</v>
      </c>
      <c r="Z1808" s="223">
        <f t="shared" si="613"/>
        <v>0</v>
      </c>
      <c r="AA1808" s="223">
        <f t="shared" si="614"/>
        <v>0</v>
      </c>
      <c r="AB1808" s="807">
        <v>9.7000000000000003E-3</v>
      </c>
      <c r="AC1808" s="220">
        <f t="shared" si="615"/>
        <v>0</v>
      </c>
      <c r="AD1808" s="209"/>
      <c r="AE1808" s="210"/>
      <c r="AF1808" s="210"/>
      <c r="AG1808" s="211">
        <f t="shared" si="616"/>
        <v>0.308</v>
      </c>
      <c r="AH1808" s="157">
        <f t="shared" si="617"/>
        <v>0</v>
      </c>
      <c r="AI1808" s="152">
        <f t="shared" si="618"/>
        <v>4644</v>
      </c>
      <c r="AK1808" s="156" t="s">
        <v>691</v>
      </c>
      <c r="AL1808" s="574" t="s">
        <v>690</v>
      </c>
      <c r="AM1808" s="198">
        <f t="shared" si="620"/>
        <v>0</v>
      </c>
      <c r="AN1808" s="199">
        <f t="shared" si="619"/>
        <v>45667</v>
      </c>
      <c r="AO1808" s="159" t="s">
        <v>692</v>
      </c>
      <c r="AP1808" s="781"/>
      <c r="AQ1808" s="782">
        <v>12063755</v>
      </c>
      <c r="AR1808" s="782">
        <v>12061353</v>
      </c>
      <c r="AS1808" s="782">
        <v>12061354</v>
      </c>
      <c r="AT1808" s="782">
        <v>12068566</v>
      </c>
      <c r="AU1808" s="781"/>
      <c r="AV1808" s="782">
        <v>12088206</v>
      </c>
      <c r="AW1808" s="782">
        <v>12088207</v>
      </c>
      <c r="AX1808" s="782"/>
      <c r="AY1808" s="782">
        <v>12068565</v>
      </c>
      <c r="AZ1808" s="782"/>
      <c r="BA1808" s="781"/>
      <c r="BB1808" s="209">
        <v>23054743</v>
      </c>
    </row>
    <row r="1809" spans="1:54" ht="25" hidden="1" customHeight="1">
      <c r="A1809" s="440"/>
      <c r="B1809" s="271">
        <v>45667</v>
      </c>
      <c r="C1809" s="271">
        <v>45691</v>
      </c>
      <c r="D1809" s="185">
        <f t="shared" si="610"/>
        <v>2025</v>
      </c>
      <c r="E1809" s="441" t="e">
        <f>VLOOKUP($B1809,Week!$A$1:$C$1462,2,0)</f>
        <v>#N/A</v>
      </c>
      <c r="F1809" s="442" t="str">
        <f t="shared" si="611"/>
        <v>Jan</v>
      </c>
      <c r="G1809" s="423" t="s">
        <v>1577</v>
      </c>
      <c r="H1809" s="274" t="s">
        <v>267</v>
      </c>
      <c r="I1809" s="274" t="s">
        <v>2772</v>
      </c>
      <c r="J1809" s="275" t="s">
        <v>699</v>
      </c>
      <c r="K1809" s="276" t="s">
        <v>107</v>
      </c>
      <c r="L1809" s="300" t="s">
        <v>2167</v>
      </c>
      <c r="M1809" s="275" t="s">
        <v>136</v>
      </c>
      <c r="N1809" s="274" t="s">
        <v>269</v>
      </c>
      <c r="O1809" s="274" t="s">
        <v>270</v>
      </c>
      <c r="P1809" s="277">
        <v>12</v>
      </c>
      <c r="Q1809" s="277">
        <v>3</v>
      </c>
      <c r="R1809" s="278">
        <v>7.4999999999999997E-3</v>
      </c>
      <c r="S1809" s="274" t="s">
        <v>111</v>
      </c>
      <c r="T1809" s="274" t="s">
        <v>112</v>
      </c>
      <c r="U1809" s="274" t="s">
        <v>57</v>
      </c>
      <c r="V1809" s="279">
        <v>2520</v>
      </c>
      <c r="W1809" s="279">
        <f>158+2082+49+231</f>
        <v>2520</v>
      </c>
      <c r="X1809" s="280"/>
      <c r="Y1809" s="281">
        <f t="shared" si="612"/>
        <v>0</v>
      </c>
      <c r="Z1809" s="282">
        <f t="shared" si="613"/>
        <v>0</v>
      </c>
      <c r="AA1809" s="282">
        <f t="shared" si="614"/>
        <v>0</v>
      </c>
      <c r="AB1809" s="812">
        <v>7.4999999999999997E-3</v>
      </c>
      <c r="AC1809" s="279">
        <f t="shared" si="615"/>
        <v>0</v>
      </c>
      <c r="AD1809" s="443" t="s">
        <v>737</v>
      </c>
      <c r="AE1809" s="210"/>
      <c r="AF1809" s="210"/>
      <c r="AG1809" s="211">
        <f t="shared" si="616"/>
        <v>0.309</v>
      </c>
      <c r="AH1809" s="157">
        <f t="shared" si="617"/>
        <v>0</v>
      </c>
      <c r="AI1809" s="152">
        <f t="shared" si="618"/>
        <v>30240</v>
      </c>
      <c r="AK1809" s="156" t="s">
        <v>691</v>
      </c>
      <c r="AL1809" s="212" t="s">
        <v>690</v>
      </c>
      <c r="AM1809" s="198">
        <f t="shared" si="620"/>
        <v>0</v>
      </c>
      <c r="AN1809" s="199">
        <f t="shared" si="619"/>
        <v>45667</v>
      </c>
      <c r="AO1809" s="159" t="s">
        <v>692</v>
      </c>
      <c r="AP1809" s="781"/>
      <c r="AQ1809" s="782">
        <v>12063755</v>
      </c>
      <c r="AR1809" s="782">
        <v>12081257</v>
      </c>
      <c r="AS1809" s="782">
        <v>12081260</v>
      </c>
      <c r="AT1809" s="782"/>
      <c r="AU1809" s="781"/>
      <c r="AV1809" s="782">
        <v>12073316</v>
      </c>
      <c r="AW1809" s="782"/>
      <c r="AX1809" s="782"/>
      <c r="AY1809" s="782">
        <v>12073342</v>
      </c>
      <c r="AZ1809" s="782">
        <v>12073344</v>
      </c>
      <c r="BA1809" s="782">
        <v>12073343</v>
      </c>
      <c r="BB1809" s="209">
        <v>23053185</v>
      </c>
    </row>
    <row r="1810" spans="1:54" ht="24.75" hidden="1" customHeight="1">
      <c r="A1810" s="440"/>
      <c r="B1810" s="295">
        <v>45668</v>
      </c>
      <c r="C1810" s="771" t="s">
        <v>1874</v>
      </c>
      <c r="D1810" s="185">
        <f t="shared" si="610"/>
        <v>2025</v>
      </c>
      <c r="E1810" s="296" t="e">
        <f>VLOOKUP($B1810,Week!$A$1:$C$1462,2,0)</f>
        <v>#N/A</v>
      </c>
      <c r="F1810" s="297" t="str">
        <f t="shared" si="611"/>
        <v>Jan</v>
      </c>
      <c r="G1810" s="648" t="s">
        <v>47</v>
      </c>
      <c r="H1810" s="298" t="s">
        <v>260</v>
      </c>
      <c r="I1810" s="298" t="s">
        <v>2702</v>
      </c>
      <c r="J1810" s="307" t="s">
        <v>904</v>
      </c>
      <c r="K1810" s="300" t="s">
        <v>176</v>
      </c>
      <c r="L1810" s="300" t="s">
        <v>2167</v>
      </c>
      <c r="M1810" s="299" t="s">
        <v>262</v>
      </c>
      <c r="N1810" s="298" t="s">
        <v>350</v>
      </c>
      <c r="O1810" s="298" t="s">
        <v>351</v>
      </c>
      <c r="P1810" s="301">
        <v>24</v>
      </c>
      <c r="Q1810" s="301">
        <v>5</v>
      </c>
      <c r="R1810" s="302">
        <v>6.1999999999999998E-3</v>
      </c>
      <c r="S1810" s="298" t="s">
        <v>352</v>
      </c>
      <c r="T1810" s="298" t="s">
        <v>56</v>
      </c>
      <c r="U1810" s="298" t="s">
        <v>57</v>
      </c>
      <c r="V1810" s="303">
        <f>8750-1736-3043-655</f>
        <v>3316</v>
      </c>
      <c r="W1810" s="303">
        <f>3316</f>
        <v>3316</v>
      </c>
      <c r="X1810" s="304"/>
      <c r="Y1810" s="305">
        <f t="shared" si="612"/>
        <v>0</v>
      </c>
      <c r="Z1810" s="306">
        <f t="shared" si="613"/>
        <v>0</v>
      </c>
      <c r="AA1810" s="306">
        <f t="shared" si="614"/>
        <v>0</v>
      </c>
      <c r="AB1810" s="814">
        <v>7.4999999999999997E-3</v>
      </c>
      <c r="AC1810" s="303">
        <f t="shared" si="615"/>
        <v>0</v>
      </c>
      <c r="AD1810" s="381"/>
      <c r="AE1810" s="210"/>
      <c r="AF1810" s="210"/>
      <c r="AG1810" s="211">
        <f t="shared" si="616"/>
        <v>0.13</v>
      </c>
      <c r="AH1810" s="157">
        <f t="shared" si="617"/>
        <v>0</v>
      </c>
      <c r="AI1810" s="152">
        <f t="shared" si="618"/>
        <v>79584</v>
      </c>
      <c r="AK1810" s="156" t="s">
        <v>691</v>
      </c>
      <c r="AL1810" s="574" t="s">
        <v>690</v>
      </c>
      <c r="AM1810" s="198">
        <f t="shared" si="620"/>
        <v>0</v>
      </c>
      <c r="AN1810" s="199">
        <f t="shared" si="619"/>
        <v>45668</v>
      </c>
      <c r="AO1810" s="159" t="s">
        <v>692</v>
      </c>
      <c r="AP1810" s="783" t="s">
        <v>629</v>
      </c>
      <c r="AQ1810" s="782">
        <v>12071839</v>
      </c>
      <c r="AR1810" s="782">
        <v>12078867</v>
      </c>
      <c r="AS1810" s="782">
        <v>12068233</v>
      </c>
      <c r="AT1810" s="781"/>
      <c r="AU1810" s="781"/>
      <c r="AV1810" s="782">
        <v>12062075</v>
      </c>
      <c r="AW1810" s="781"/>
      <c r="AX1810" s="781"/>
      <c r="AY1810" s="782">
        <v>12086617</v>
      </c>
      <c r="AZ1810" s="781"/>
      <c r="BA1810" s="781"/>
      <c r="BB1810" s="209">
        <v>23053185</v>
      </c>
    </row>
    <row r="1811" spans="1:54" ht="24.75" hidden="1" customHeight="1">
      <c r="B1811" s="295">
        <v>45668</v>
      </c>
      <c r="C1811" s="771" t="s">
        <v>1918</v>
      </c>
      <c r="D1811" s="185">
        <f t="shared" si="610"/>
        <v>2025</v>
      </c>
      <c r="E1811" s="296" t="e">
        <f>VLOOKUP($B1811,Week!$A$1:$C$1462,2,0)</f>
        <v>#N/A</v>
      </c>
      <c r="F1811" s="297" t="str">
        <f t="shared" si="611"/>
        <v>Jan</v>
      </c>
      <c r="G1811" s="648" t="s">
        <v>47</v>
      </c>
      <c r="H1811" s="298" t="s">
        <v>260</v>
      </c>
      <c r="I1811" s="298" t="s">
        <v>2702</v>
      </c>
      <c r="J1811" s="307" t="s">
        <v>904</v>
      </c>
      <c r="K1811" s="300" t="s">
        <v>176</v>
      </c>
      <c r="L1811" s="300" t="s">
        <v>2167</v>
      </c>
      <c r="M1811" s="299" t="s">
        <v>262</v>
      </c>
      <c r="N1811" s="298" t="s">
        <v>350</v>
      </c>
      <c r="O1811" s="298" t="s">
        <v>351</v>
      </c>
      <c r="P1811" s="301">
        <v>24</v>
      </c>
      <c r="Q1811" s="301">
        <v>5</v>
      </c>
      <c r="R1811" s="302">
        <v>6.1999999999999998E-3</v>
      </c>
      <c r="S1811" s="298" t="s">
        <v>352</v>
      </c>
      <c r="T1811" s="298" t="s">
        <v>56</v>
      </c>
      <c r="U1811" s="298" t="s">
        <v>57</v>
      </c>
      <c r="V1811" s="303">
        <f>333</f>
        <v>333</v>
      </c>
      <c r="W1811" s="303">
        <f>333</f>
        <v>333</v>
      </c>
      <c r="X1811" s="304"/>
      <c r="Y1811" s="305">
        <f t="shared" si="612"/>
        <v>0</v>
      </c>
      <c r="Z1811" s="306">
        <f t="shared" si="613"/>
        <v>0</v>
      </c>
      <c r="AA1811" s="306">
        <f t="shared" si="614"/>
        <v>0</v>
      </c>
      <c r="AB1811" s="814">
        <v>7.4999999999999997E-3</v>
      </c>
      <c r="AC1811" s="303">
        <f t="shared" si="615"/>
        <v>0</v>
      </c>
      <c r="AD1811" s="573" t="s">
        <v>1938</v>
      </c>
      <c r="AE1811" s="210"/>
      <c r="AF1811" s="210"/>
      <c r="AG1811" s="211">
        <f t="shared" si="616"/>
        <v>0.13</v>
      </c>
      <c r="AH1811" s="157">
        <f t="shared" si="617"/>
        <v>0</v>
      </c>
      <c r="AI1811" s="152">
        <f t="shared" si="618"/>
        <v>7992</v>
      </c>
      <c r="AK1811" s="156" t="s">
        <v>691</v>
      </c>
      <c r="AL1811" s="574" t="s">
        <v>690</v>
      </c>
      <c r="AM1811" s="198">
        <f t="shared" si="620"/>
        <v>0</v>
      </c>
      <c r="AN1811" s="199">
        <f t="shared" si="619"/>
        <v>45668</v>
      </c>
      <c r="AO1811" s="159" t="s">
        <v>692</v>
      </c>
      <c r="AP1811" s="783" t="s">
        <v>629</v>
      </c>
      <c r="AQ1811" s="782">
        <v>12071839</v>
      </c>
      <c r="AR1811" s="782">
        <v>12078867</v>
      </c>
      <c r="AS1811" s="782">
        <v>12068233</v>
      </c>
      <c r="AT1811" s="781"/>
      <c r="AU1811" s="781"/>
      <c r="AV1811" s="782">
        <v>12062075</v>
      </c>
      <c r="AW1811" s="781"/>
      <c r="AX1811" s="781"/>
      <c r="AY1811" s="782">
        <v>12086617</v>
      </c>
      <c r="AZ1811" s="781"/>
      <c r="BA1811" s="781"/>
      <c r="BB1811" s="209">
        <v>23053185</v>
      </c>
    </row>
    <row r="1812" spans="1:54" ht="24.65" hidden="1" customHeight="1">
      <c r="B1812" s="308">
        <v>45668</v>
      </c>
      <c r="C1812" s="309">
        <v>45687</v>
      </c>
      <c r="D1812" s="185">
        <f t="shared" si="610"/>
        <v>2025</v>
      </c>
      <c r="E1812" s="309" t="e">
        <f>VLOOKUP($B1812,Week!$A$1:$C$1462,2,0)</f>
        <v>#N/A</v>
      </c>
      <c r="F1812" s="310" t="str">
        <f t="shared" si="611"/>
        <v>Jan</v>
      </c>
      <c r="G1812" s="311" t="s">
        <v>1890</v>
      </c>
      <c r="H1812" s="311" t="s">
        <v>311</v>
      </c>
      <c r="I1812" s="311" t="s">
        <v>2772</v>
      </c>
      <c r="J1812" s="312" t="s">
        <v>738</v>
      </c>
      <c r="K1812" s="313" t="s">
        <v>107</v>
      </c>
      <c r="L1812" s="300" t="s">
        <v>2167</v>
      </c>
      <c r="M1812" s="312" t="s">
        <v>313</v>
      </c>
      <c r="N1812" s="311" t="s">
        <v>314</v>
      </c>
      <c r="O1812" s="311" t="s">
        <v>110</v>
      </c>
      <c r="P1812" s="314">
        <v>36</v>
      </c>
      <c r="Q1812" s="314">
        <v>5</v>
      </c>
      <c r="R1812" s="315">
        <v>7.4999999999999997E-3</v>
      </c>
      <c r="S1812" s="311" t="s">
        <v>111</v>
      </c>
      <c r="T1812" s="311" t="s">
        <v>112</v>
      </c>
      <c r="U1812" s="311" t="s">
        <v>57</v>
      </c>
      <c r="V1812" s="316">
        <v>792</v>
      </c>
      <c r="W1812" s="316">
        <f>13+779</f>
        <v>792</v>
      </c>
      <c r="X1812" s="317"/>
      <c r="Y1812" s="318">
        <f t="shared" si="612"/>
        <v>0</v>
      </c>
      <c r="Z1812" s="319">
        <f t="shared" si="613"/>
        <v>0</v>
      </c>
      <c r="AA1812" s="319">
        <f t="shared" si="614"/>
        <v>0</v>
      </c>
      <c r="AB1812" s="815">
        <v>7.4999999999999997E-3</v>
      </c>
      <c r="AC1812" s="316">
        <f t="shared" si="615"/>
        <v>0</v>
      </c>
      <c r="AD1812" s="515"/>
      <c r="AE1812" s="210"/>
      <c r="AF1812" s="210"/>
      <c r="AG1812" s="211">
        <f t="shared" si="616"/>
        <v>0.308</v>
      </c>
      <c r="AH1812" s="157">
        <f t="shared" si="617"/>
        <v>0</v>
      </c>
      <c r="AI1812" s="152">
        <f t="shared" si="618"/>
        <v>28512</v>
      </c>
      <c r="AK1812" s="156" t="s">
        <v>691</v>
      </c>
      <c r="AL1812" s="212" t="s">
        <v>690</v>
      </c>
      <c r="AM1812" s="198">
        <f t="shared" si="620"/>
        <v>0</v>
      </c>
      <c r="AN1812" s="199">
        <f t="shared" si="619"/>
        <v>45668</v>
      </c>
      <c r="AO1812" s="159" t="s">
        <v>692</v>
      </c>
      <c r="AP1812" s="783" t="s">
        <v>644</v>
      </c>
      <c r="AQ1812" s="782">
        <v>12063755</v>
      </c>
      <c r="AR1812" s="782">
        <v>12061353</v>
      </c>
      <c r="AS1812" s="782">
        <v>12061354</v>
      </c>
      <c r="AT1812" s="782">
        <v>12062266</v>
      </c>
      <c r="AU1812" s="781"/>
      <c r="AV1812" s="782">
        <v>12088159</v>
      </c>
      <c r="AW1812" s="782">
        <v>12088207</v>
      </c>
      <c r="AX1812" s="782"/>
      <c r="AY1812" s="782">
        <v>12062262</v>
      </c>
      <c r="AZ1812" s="782"/>
      <c r="BA1812" s="781"/>
      <c r="BB1812" s="209">
        <v>23053185</v>
      </c>
    </row>
    <row r="1813" spans="1:54" ht="25" hidden="1" customHeight="1">
      <c r="B1813" s="385">
        <v>45668</v>
      </c>
      <c r="C1813" s="386">
        <v>45678</v>
      </c>
      <c r="D1813" s="185">
        <f t="shared" si="610"/>
        <v>2025</v>
      </c>
      <c r="E1813" s="386" t="e">
        <f>VLOOKUP($B1813,Week!$A$1:$C$1462,2,0)</f>
        <v>#N/A</v>
      </c>
      <c r="F1813" s="387" t="str">
        <f t="shared" si="611"/>
        <v>Jan</v>
      </c>
      <c r="G1813" s="388" t="s">
        <v>1876</v>
      </c>
      <c r="H1813" s="388" t="s">
        <v>571</v>
      </c>
      <c r="I1813" s="388" t="s">
        <v>2772</v>
      </c>
      <c r="J1813" s="389" t="s">
        <v>663</v>
      </c>
      <c r="K1813" s="390" t="s">
        <v>1652</v>
      </c>
      <c r="L1813" s="300" t="s">
        <v>2167</v>
      </c>
      <c r="M1813" s="389" t="s">
        <v>682</v>
      </c>
      <c r="N1813" s="388" t="s">
        <v>718</v>
      </c>
      <c r="O1813" s="388" t="s">
        <v>659</v>
      </c>
      <c r="P1813" s="391">
        <v>12</v>
      </c>
      <c r="Q1813" s="391">
        <v>3</v>
      </c>
      <c r="R1813" s="392">
        <v>6.0000000000000001E-3</v>
      </c>
      <c r="S1813" s="388" t="s">
        <v>55</v>
      </c>
      <c r="T1813" s="388" t="s">
        <v>112</v>
      </c>
      <c r="U1813" s="601" t="s">
        <v>724</v>
      </c>
      <c r="V1813" s="393">
        <f>2278</f>
        <v>2278</v>
      </c>
      <c r="W1813" s="393"/>
      <c r="X1813" s="394">
        <v>2278</v>
      </c>
      <c r="Y1813" s="395">
        <f t="shared" si="612"/>
        <v>0</v>
      </c>
      <c r="Z1813" s="396">
        <f t="shared" si="613"/>
        <v>0</v>
      </c>
      <c r="AA1813" s="396">
        <f t="shared" si="614"/>
        <v>0</v>
      </c>
      <c r="AB1813" s="823">
        <v>5.8823E-2</v>
      </c>
      <c r="AC1813" s="393">
        <f t="shared" si="615"/>
        <v>0</v>
      </c>
      <c r="AD1813" s="636" t="s">
        <v>1043</v>
      </c>
      <c r="AE1813" s="210"/>
      <c r="AF1813" s="210"/>
      <c r="AG1813" s="211">
        <f t="shared" si="616"/>
        <v>0.30199999999999999</v>
      </c>
      <c r="AH1813" s="157">
        <v>0.26621999999999996</v>
      </c>
      <c r="AI1813" s="152">
        <f t="shared" si="618"/>
        <v>27336</v>
      </c>
      <c r="AK1813" s="156" t="s">
        <v>691</v>
      </c>
      <c r="AL1813" s="212" t="s">
        <v>690</v>
      </c>
      <c r="AM1813" s="198">
        <f t="shared" si="620"/>
        <v>0</v>
      </c>
      <c r="AN1813" s="199">
        <f t="shared" si="619"/>
        <v>45668</v>
      </c>
      <c r="AO1813" s="159" t="s">
        <v>692</v>
      </c>
      <c r="AP1813" s="781" t="s">
        <v>642</v>
      </c>
      <c r="AQ1813" s="782">
        <v>12063755</v>
      </c>
      <c r="AR1813" s="782">
        <v>12061353</v>
      </c>
      <c r="AS1813" s="782">
        <v>12061354</v>
      </c>
      <c r="AT1813" s="782">
        <v>12090253</v>
      </c>
      <c r="AU1813" s="781"/>
      <c r="AV1813" s="782">
        <v>12090245</v>
      </c>
      <c r="AW1813" s="781"/>
      <c r="AX1813" s="781"/>
      <c r="AY1813" s="781"/>
      <c r="AZ1813" s="782"/>
      <c r="BA1813" s="781"/>
      <c r="BB1813" s="209">
        <v>23099860</v>
      </c>
    </row>
    <row r="1814" spans="1:54" ht="25" hidden="1" customHeight="1">
      <c r="B1814" s="332">
        <v>45668</v>
      </c>
      <c r="C1814" s="333">
        <v>45701</v>
      </c>
      <c r="D1814" s="185">
        <f t="shared" si="610"/>
        <v>2025</v>
      </c>
      <c r="E1814" s="333" t="e">
        <f>VLOOKUP($B1814,Week!$A$1:$C$1462,2,0)</f>
        <v>#N/A</v>
      </c>
      <c r="F1814" s="334" t="str">
        <f t="shared" si="611"/>
        <v>Jan</v>
      </c>
      <c r="G1814" s="335" t="s">
        <v>1921</v>
      </c>
      <c r="H1814" s="335" t="s">
        <v>675</v>
      </c>
      <c r="I1814" s="335" t="s">
        <v>2772</v>
      </c>
      <c r="J1814" s="336" t="s">
        <v>709</v>
      </c>
      <c r="K1814" s="337" t="s">
        <v>1652</v>
      </c>
      <c r="L1814" s="300" t="s">
        <v>2167</v>
      </c>
      <c r="M1814" s="336" t="s">
        <v>682</v>
      </c>
      <c r="N1814" s="530" t="s">
        <v>712</v>
      </c>
      <c r="O1814" s="335" t="s">
        <v>602</v>
      </c>
      <c r="P1814" s="338">
        <v>8</v>
      </c>
      <c r="Q1814" s="338">
        <v>3</v>
      </c>
      <c r="R1814" s="339">
        <v>6.0000000000000001E-3</v>
      </c>
      <c r="S1814" s="335" t="s">
        <v>55</v>
      </c>
      <c r="T1814" s="335" t="s">
        <v>112</v>
      </c>
      <c r="U1814" s="340" t="s">
        <v>724</v>
      </c>
      <c r="V1814" s="341">
        <f>378</f>
        <v>378</v>
      </c>
      <c r="W1814" s="341"/>
      <c r="X1814" s="342">
        <f>3024/8</f>
        <v>378</v>
      </c>
      <c r="Y1814" s="343">
        <f t="shared" si="612"/>
        <v>0</v>
      </c>
      <c r="Z1814" s="344">
        <f t="shared" si="613"/>
        <v>0</v>
      </c>
      <c r="AA1814" s="344">
        <f t="shared" si="614"/>
        <v>0</v>
      </c>
      <c r="AB1814" s="817">
        <v>5.8823E-2</v>
      </c>
      <c r="AC1814" s="341">
        <f t="shared" si="615"/>
        <v>0</v>
      </c>
      <c r="AD1814" s="443"/>
      <c r="AE1814" s="210"/>
      <c r="AF1814" s="210"/>
      <c r="AG1814" s="211">
        <f t="shared" si="616"/>
        <v>0.30199999999999999</v>
      </c>
      <c r="AH1814" s="157">
        <v>0.26621999999999996</v>
      </c>
      <c r="AI1814" s="152">
        <f t="shared" si="618"/>
        <v>3024</v>
      </c>
      <c r="AK1814" s="156" t="s">
        <v>691</v>
      </c>
      <c r="AL1814" s="574" t="s">
        <v>690</v>
      </c>
      <c r="AM1814" s="198">
        <f t="shared" si="620"/>
        <v>0</v>
      </c>
      <c r="AN1814" s="199">
        <f t="shared" si="619"/>
        <v>45668</v>
      </c>
      <c r="AO1814" s="159" t="s">
        <v>692</v>
      </c>
      <c r="AP1814" s="781" t="s">
        <v>642</v>
      </c>
      <c r="AQ1814" s="782">
        <v>12063755</v>
      </c>
      <c r="AR1814" s="782">
        <v>12061353</v>
      </c>
      <c r="AS1814" s="782">
        <v>12061354</v>
      </c>
      <c r="AT1814" s="782">
        <v>12090030</v>
      </c>
      <c r="AU1814" s="781"/>
      <c r="AV1814" s="782">
        <v>12089992</v>
      </c>
      <c r="AW1814" s="781"/>
      <c r="AX1814" s="781"/>
      <c r="AY1814" s="781"/>
      <c r="AZ1814" s="782"/>
      <c r="BA1814" s="781"/>
      <c r="BB1814" s="209">
        <v>23099860</v>
      </c>
    </row>
    <row r="1815" spans="1:54" ht="25" hidden="1" customHeight="1">
      <c r="B1815" s="332">
        <v>45668</v>
      </c>
      <c r="C1815" s="333">
        <v>45715</v>
      </c>
      <c r="D1815" s="185">
        <f t="shared" si="610"/>
        <v>2025</v>
      </c>
      <c r="E1815" s="333" t="e">
        <f>VLOOKUP($B1815,Week!$A$1:$C$1462,2,0)</f>
        <v>#N/A</v>
      </c>
      <c r="F1815" s="334" t="str">
        <f t="shared" si="611"/>
        <v>Jan</v>
      </c>
      <c r="G1815" s="335" t="s">
        <v>1922</v>
      </c>
      <c r="H1815" s="335" t="s">
        <v>675</v>
      </c>
      <c r="I1815" s="335" t="s">
        <v>2772</v>
      </c>
      <c r="J1815" s="336" t="s">
        <v>709</v>
      </c>
      <c r="K1815" s="337" t="s">
        <v>1652</v>
      </c>
      <c r="L1815" s="300" t="s">
        <v>2167</v>
      </c>
      <c r="M1815" s="336" t="s">
        <v>682</v>
      </c>
      <c r="N1815" s="530" t="s">
        <v>712</v>
      </c>
      <c r="O1815" s="335" t="s">
        <v>602</v>
      </c>
      <c r="P1815" s="338">
        <v>8</v>
      </c>
      <c r="Q1815" s="338">
        <v>3</v>
      </c>
      <c r="R1815" s="339">
        <v>6.0000000000000001E-3</v>
      </c>
      <c r="S1815" s="335" t="s">
        <v>55</v>
      </c>
      <c r="T1815" s="335" t="s">
        <v>112</v>
      </c>
      <c r="U1815" s="340" t="s">
        <v>724</v>
      </c>
      <c r="V1815" s="341">
        <f>270</f>
        <v>270</v>
      </c>
      <c r="W1815" s="341"/>
      <c r="X1815" s="342">
        <v>270</v>
      </c>
      <c r="Y1815" s="343">
        <f t="shared" si="612"/>
        <v>0</v>
      </c>
      <c r="Z1815" s="344">
        <f t="shared" si="613"/>
        <v>0</v>
      </c>
      <c r="AA1815" s="344">
        <f t="shared" si="614"/>
        <v>0</v>
      </c>
      <c r="AB1815" s="817">
        <v>5.8823E-2</v>
      </c>
      <c r="AC1815" s="341">
        <f t="shared" si="615"/>
        <v>0</v>
      </c>
      <c r="AD1815" s="443"/>
      <c r="AE1815" s="210"/>
      <c r="AF1815" s="210"/>
      <c r="AG1815" s="211">
        <f t="shared" si="616"/>
        <v>0.30199999999999999</v>
      </c>
      <c r="AH1815" s="157">
        <v>0.26621999999999996</v>
      </c>
      <c r="AI1815" s="152">
        <f t="shared" si="618"/>
        <v>2160</v>
      </c>
      <c r="AK1815" s="156" t="s">
        <v>691</v>
      </c>
      <c r="AL1815" s="574" t="s">
        <v>690</v>
      </c>
      <c r="AM1815" s="198">
        <f t="shared" si="620"/>
        <v>0</v>
      </c>
      <c r="AN1815" s="199">
        <f t="shared" si="619"/>
        <v>45668</v>
      </c>
      <c r="AO1815" s="159" t="s">
        <v>692</v>
      </c>
      <c r="AP1815" s="781" t="s">
        <v>642</v>
      </c>
      <c r="AQ1815" s="782">
        <v>12063755</v>
      </c>
      <c r="AR1815" s="782">
        <v>12061353</v>
      </c>
      <c r="AS1815" s="782">
        <v>12061354</v>
      </c>
      <c r="AT1815" s="782">
        <v>12090030</v>
      </c>
      <c r="AU1815" s="781"/>
      <c r="AV1815" s="782">
        <v>12089992</v>
      </c>
      <c r="AW1815" s="781"/>
      <c r="AX1815" s="781"/>
      <c r="AY1815" s="781"/>
      <c r="AZ1815" s="782"/>
      <c r="BA1815" s="781"/>
      <c r="BB1815" s="209">
        <v>23099860</v>
      </c>
    </row>
    <row r="1816" spans="1:54" ht="25" hidden="1" customHeight="1">
      <c r="B1816" s="183">
        <v>45669</v>
      </c>
      <c r="C1816" s="184"/>
      <c r="D1816" s="185">
        <f t="shared" si="610"/>
        <v>2025</v>
      </c>
      <c r="E1816" s="185" t="e">
        <f>VLOOKUP($B1816,Week!$A$1:$C$1462,2,0)</f>
        <v>#N/A</v>
      </c>
      <c r="F1816" s="186" t="str">
        <f t="shared" si="611"/>
        <v>Jan</v>
      </c>
      <c r="G1816" s="185"/>
      <c r="H1816" s="185"/>
      <c r="I1816" s="185"/>
      <c r="J1816" s="187"/>
      <c r="K1816" s="188"/>
      <c r="L1816" s="300"/>
      <c r="M1816" s="187"/>
      <c r="N1816" s="185"/>
      <c r="O1816" s="185"/>
      <c r="P1816" s="189"/>
      <c r="Q1816" s="189"/>
      <c r="R1816" s="190"/>
      <c r="S1816" s="185"/>
      <c r="T1816" s="185"/>
      <c r="U1816" s="185"/>
      <c r="V1816" s="191"/>
      <c r="W1816" s="191"/>
      <c r="X1816" s="192"/>
      <c r="Y1816" s="193"/>
      <c r="Z1816" s="194"/>
      <c r="AA1816" s="194">
        <f t="shared" si="614"/>
        <v>0</v>
      </c>
      <c r="AB1816" s="805"/>
      <c r="AC1816" s="191">
        <f t="shared" si="615"/>
        <v>0</v>
      </c>
      <c r="AD1816" s="187"/>
      <c r="AE1816" s="195"/>
      <c r="AF1816" s="195"/>
      <c r="AG1816" s="196"/>
      <c r="AH1816" s="197"/>
      <c r="AK1816" s="156" t="s">
        <v>691</v>
      </c>
      <c r="AM1816" s="198">
        <f t="shared" si="620"/>
        <v>0</v>
      </c>
      <c r="AN1816" s="199">
        <f t="shared" si="619"/>
        <v>45669</v>
      </c>
      <c r="AO1816" s="159" t="s">
        <v>692</v>
      </c>
      <c r="AP1816" s="781"/>
      <c r="AQ1816" s="782"/>
      <c r="AR1816" s="782"/>
      <c r="AS1816" s="782"/>
      <c r="AT1816" s="782"/>
      <c r="AU1816" s="781"/>
      <c r="AV1816" s="782"/>
      <c r="AW1816" s="782"/>
      <c r="AX1816" s="782"/>
      <c r="AY1816" s="782"/>
      <c r="AZ1816" s="782"/>
      <c r="BA1816" s="781"/>
      <c r="BB1816" s="209"/>
    </row>
    <row r="1817" spans="1:54" ht="25" hidden="1" customHeight="1">
      <c r="A1817" s="142" t="s">
        <v>120</v>
      </c>
      <c r="B1817" s="466">
        <v>45670</v>
      </c>
      <c r="C1817" s="467">
        <v>45675</v>
      </c>
      <c r="D1817" s="185">
        <f t="shared" si="610"/>
        <v>2025</v>
      </c>
      <c r="E1817" s="468" t="e">
        <f>VLOOKUP($B1817,Week!$A$1:$C$1462,2,0)</f>
        <v>#N/A</v>
      </c>
      <c r="F1817" s="469" t="str">
        <f t="shared" si="611"/>
        <v>Jan</v>
      </c>
      <c r="G1817" s="470" t="s">
        <v>1843</v>
      </c>
      <c r="H1817" s="468" t="s">
        <v>82</v>
      </c>
      <c r="I1817" s="468" t="s">
        <v>82</v>
      </c>
      <c r="J1817" s="471" t="s">
        <v>720</v>
      </c>
      <c r="K1817" s="472" t="s">
        <v>85</v>
      </c>
      <c r="L1817" s="390" t="s">
        <v>2166</v>
      </c>
      <c r="M1817" s="471" t="s">
        <v>579</v>
      </c>
      <c r="N1817" s="468" t="s">
        <v>580</v>
      </c>
      <c r="O1817" s="468" t="s">
        <v>581</v>
      </c>
      <c r="P1817" s="473">
        <v>8</v>
      </c>
      <c r="Q1817" s="473">
        <v>60</v>
      </c>
      <c r="R1817" s="474">
        <v>6.8100000000000001E-3</v>
      </c>
      <c r="S1817" s="468" t="s">
        <v>76</v>
      </c>
      <c r="T1817" s="468" t="s">
        <v>56</v>
      </c>
      <c r="U1817" s="468" t="s">
        <v>89</v>
      </c>
      <c r="V1817" s="475">
        <f>1408</f>
        <v>1408</v>
      </c>
      <c r="W1817" s="475">
        <f>72+1336</f>
        <v>1408</v>
      </c>
      <c r="X1817" s="476"/>
      <c r="Y1817" s="477">
        <f t="shared" ref="Y1817:Y1850" si="621">(W1817+X1817)-V1817</f>
        <v>0</v>
      </c>
      <c r="Z1817" s="478">
        <f t="shared" ref="Z1817:Z1850" si="622">IF(Y1817&lt;0,((V1817*P1817)-((W1817+X1817)*P1817)),0)</f>
        <v>0</v>
      </c>
      <c r="AA1817" s="478">
        <f t="shared" si="614"/>
        <v>0</v>
      </c>
      <c r="AB1817" s="828">
        <v>6</v>
      </c>
      <c r="AC1817" s="475">
        <f>Z1817*AB1817</f>
        <v>0</v>
      </c>
      <c r="AD1817" s="209"/>
      <c r="AE1817" s="210"/>
      <c r="AF1817" s="210"/>
      <c r="AG1817" s="211">
        <f t="shared" ref="AG1817:AG1830" si="623">MID(O1817,1,3)/1000</f>
        <v>0.75</v>
      </c>
      <c r="AH1817" s="157">
        <f t="shared" ref="AH1817:AH1839" si="624">(Z1817*AG1817)/1000</f>
        <v>0</v>
      </c>
      <c r="AI1817" s="152">
        <f t="shared" ref="AI1817:AI1850" si="625">V1817*P1817</f>
        <v>11264</v>
      </c>
      <c r="AK1817" s="156" t="s">
        <v>691</v>
      </c>
      <c r="AL1817" s="156" t="s">
        <v>689</v>
      </c>
      <c r="AM1817" s="198">
        <f t="shared" si="620"/>
        <v>0</v>
      </c>
      <c r="AN1817" s="199">
        <f t="shared" si="619"/>
        <v>45670</v>
      </c>
      <c r="AO1817" s="159" t="s">
        <v>692</v>
      </c>
      <c r="AP1817" s="783" t="s">
        <v>622</v>
      </c>
      <c r="AQ1817" s="782">
        <v>12088677</v>
      </c>
      <c r="AR1817" s="782" t="s">
        <v>2142</v>
      </c>
      <c r="AS1817" s="782"/>
      <c r="AT1817" s="782">
        <v>12082897</v>
      </c>
      <c r="AU1817" s="781"/>
      <c r="AV1817" s="782">
        <v>12082898</v>
      </c>
      <c r="AW1817" s="782">
        <v>12082899</v>
      </c>
      <c r="AX1817" s="796" t="s">
        <v>621</v>
      </c>
      <c r="AY1817" s="782"/>
      <c r="AZ1817" s="782"/>
      <c r="BA1817" s="781"/>
      <c r="BB1817" s="209">
        <v>23053184</v>
      </c>
    </row>
    <row r="1818" spans="1:54" ht="25" hidden="1" customHeight="1">
      <c r="A1818" s="142" t="s">
        <v>120</v>
      </c>
      <c r="B1818" s="466">
        <v>45671</v>
      </c>
      <c r="C1818" s="467">
        <v>45677</v>
      </c>
      <c r="D1818" s="185">
        <f t="shared" si="610"/>
        <v>2025</v>
      </c>
      <c r="E1818" s="468" t="e">
        <f>VLOOKUP($B1818,Week!$A$1:$C$1462,2,0)</f>
        <v>#N/A</v>
      </c>
      <c r="F1818" s="469" t="str">
        <f t="shared" si="611"/>
        <v>Jan</v>
      </c>
      <c r="G1818" s="470" t="s">
        <v>1914</v>
      </c>
      <c r="H1818" s="468" t="s">
        <v>82</v>
      </c>
      <c r="I1818" s="468" t="s">
        <v>82</v>
      </c>
      <c r="J1818" s="471" t="s">
        <v>720</v>
      </c>
      <c r="K1818" s="472" t="s">
        <v>85</v>
      </c>
      <c r="L1818" s="390" t="s">
        <v>2166</v>
      </c>
      <c r="M1818" s="471" t="s">
        <v>579</v>
      </c>
      <c r="N1818" s="468" t="s">
        <v>580</v>
      </c>
      <c r="O1818" s="468" t="s">
        <v>581</v>
      </c>
      <c r="P1818" s="473">
        <v>8</v>
      </c>
      <c r="Q1818" s="473">
        <v>60</v>
      </c>
      <c r="R1818" s="474">
        <v>6.8100000000000001E-3</v>
      </c>
      <c r="S1818" s="468" t="s">
        <v>76</v>
      </c>
      <c r="T1818" s="468" t="s">
        <v>56</v>
      </c>
      <c r="U1818" s="468" t="s">
        <v>89</v>
      </c>
      <c r="V1818" s="475">
        <f>1408</f>
        <v>1408</v>
      </c>
      <c r="W1818" s="475">
        <f>31+1377</f>
        <v>1408</v>
      </c>
      <c r="X1818" s="476"/>
      <c r="Y1818" s="477">
        <f t="shared" si="621"/>
        <v>0</v>
      </c>
      <c r="Z1818" s="478">
        <f t="shared" si="622"/>
        <v>0</v>
      </c>
      <c r="AA1818" s="478">
        <f t="shared" si="614"/>
        <v>0</v>
      </c>
      <c r="AB1818" s="828">
        <v>6</v>
      </c>
      <c r="AC1818" s="475">
        <f t="shared" ref="AC1818:AC1881" si="626">Z1818*AB1818</f>
        <v>0</v>
      </c>
      <c r="AD1818" s="209"/>
      <c r="AE1818" s="210"/>
      <c r="AF1818" s="210"/>
      <c r="AG1818" s="211">
        <f t="shared" si="623"/>
        <v>0.75</v>
      </c>
      <c r="AH1818" s="157">
        <f t="shared" si="624"/>
        <v>0</v>
      </c>
      <c r="AI1818" s="152">
        <f t="shared" si="625"/>
        <v>11264</v>
      </c>
      <c r="AK1818" s="156" t="s">
        <v>691</v>
      </c>
      <c r="AL1818" s="156" t="s">
        <v>689</v>
      </c>
      <c r="AM1818" s="198">
        <f t="shared" si="620"/>
        <v>0</v>
      </c>
      <c r="AN1818" s="199">
        <f t="shared" si="619"/>
        <v>45671</v>
      </c>
      <c r="AO1818" s="159" t="s">
        <v>692</v>
      </c>
      <c r="AP1818" s="783" t="s">
        <v>622</v>
      </c>
      <c r="AQ1818" s="782">
        <v>12088677</v>
      </c>
      <c r="AR1818" s="782" t="s">
        <v>2142</v>
      </c>
      <c r="AS1818" s="782"/>
      <c r="AT1818" s="782">
        <v>12082897</v>
      </c>
      <c r="AU1818" s="781"/>
      <c r="AV1818" s="782">
        <v>12082898</v>
      </c>
      <c r="AW1818" s="782">
        <v>12082899</v>
      </c>
      <c r="AX1818" s="796" t="s">
        <v>621</v>
      </c>
      <c r="AY1818" s="782"/>
      <c r="AZ1818" s="782"/>
      <c r="BA1818" s="781"/>
      <c r="BB1818" s="209">
        <v>23053184</v>
      </c>
    </row>
    <row r="1819" spans="1:54" ht="25" hidden="1" customHeight="1">
      <c r="A1819" s="142" t="s">
        <v>120</v>
      </c>
      <c r="B1819" s="385">
        <v>45672</v>
      </c>
      <c r="C1819" s="386">
        <v>45698</v>
      </c>
      <c r="D1819" s="185">
        <f t="shared" si="610"/>
        <v>2025</v>
      </c>
      <c r="E1819" s="386" t="e">
        <f>VLOOKUP($B1819,Week!$A$1:$C$1462,2,0)</f>
        <v>#N/A</v>
      </c>
      <c r="F1819" s="387" t="str">
        <f t="shared" si="611"/>
        <v>Jan</v>
      </c>
      <c r="G1819" s="388" t="s">
        <v>1908</v>
      </c>
      <c r="H1819" s="388" t="s">
        <v>500</v>
      </c>
      <c r="I1819" s="388" t="s">
        <v>2772</v>
      </c>
      <c r="J1819" s="389" t="s">
        <v>285</v>
      </c>
      <c r="K1819" s="390" t="s">
        <v>153</v>
      </c>
      <c r="L1819" s="390" t="s">
        <v>2166</v>
      </c>
      <c r="M1819" s="389" t="s">
        <v>165</v>
      </c>
      <c r="N1819" s="388" t="s">
        <v>286</v>
      </c>
      <c r="O1819" s="388" t="s">
        <v>503</v>
      </c>
      <c r="P1819" s="391">
        <v>40</v>
      </c>
      <c r="Q1819" s="391">
        <v>12</v>
      </c>
      <c r="R1819" s="392">
        <v>6.8100000000000001E-3</v>
      </c>
      <c r="S1819" s="388" t="s">
        <v>76</v>
      </c>
      <c r="T1819" s="388" t="s">
        <v>56</v>
      </c>
      <c r="U1819" s="388" t="s">
        <v>89</v>
      </c>
      <c r="V1819" s="393">
        <f>1624-575</f>
        <v>1049</v>
      </c>
      <c r="W1819" s="393">
        <f>746</f>
        <v>746</v>
      </c>
      <c r="X1819" s="394">
        <f>13080/40</f>
        <v>327</v>
      </c>
      <c r="Y1819" s="395">
        <f t="shared" si="621"/>
        <v>24</v>
      </c>
      <c r="Z1819" s="396">
        <f t="shared" si="622"/>
        <v>0</v>
      </c>
      <c r="AA1819" s="396">
        <f t="shared" si="614"/>
        <v>0</v>
      </c>
      <c r="AB1819" s="823">
        <v>2</v>
      </c>
      <c r="AC1819" s="393">
        <f t="shared" si="626"/>
        <v>0</v>
      </c>
      <c r="AD1819" s="209"/>
      <c r="AE1819" s="210"/>
      <c r="AF1819" s="210"/>
      <c r="AG1819" s="211">
        <f t="shared" si="623"/>
        <v>0.154</v>
      </c>
      <c r="AH1819" s="157">
        <f t="shared" si="624"/>
        <v>0</v>
      </c>
      <c r="AI1819" s="152">
        <f t="shared" si="625"/>
        <v>41960</v>
      </c>
      <c r="AK1819" s="156" t="s">
        <v>691</v>
      </c>
      <c r="AL1819" s="156" t="s">
        <v>689</v>
      </c>
      <c r="AM1819" s="198">
        <f t="shared" si="620"/>
        <v>0</v>
      </c>
      <c r="AN1819" s="199">
        <f t="shared" si="619"/>
        <v>45672</v>
      </c>
      <c r="AO1819" s="159" t="s">
        <v>692</v>
      </c>
      <c r="AP1819" s="783" t="s">
        <v>611</v>
      </c>
      <c r="AQ1819" s="782">
        <v>12088677</v>
      </c>
      <c r="AR1819" s="782">
        <v>12019692</v>
      </c>
      <c r="AS1819" s="781"/>
      <c r="AT1819" s="782">
        <v>12065371</v>
      </c>
      <c r="AU1819" s="782"/>
      <c r="AV1819" s="782">
        <v>12055895</v>
      </c>
      <c r="AW1819" s="782">
        <v>12034747</v>
      </c>
      <c r="AX1819" s="782" t="s">
        <v>398</v>
      </c>
      <c r="AY1819" s="781" t="s">
        <v>290</v>
      </c>
      <c r="AZ1819" s="781"/>
      <c r="BA1819" s="781"/>
      <c r="BB1819" s="209">
        <v>23053184</v>
      </c>
    </row>
    <row r="1820" spans="1:54" ht="25" hidden="1" customHeight="1">
      <c r="B1820" s="320">
        <v>45673</v>
      </c>
      <c r="C1820" s="321" t="s">
        <v>1874</v>
      </c>
      <c r="D1820" s="185">
        <f t="shared" si="610"/>
        <v>2025</v>
      </c>
      <c r="E1820" s="321" t="e">
        <f>VLOOKUP($B1820,Week!$A$1:$C$1462,2,0)</f>
        <v>#N/A</v>
      </c>
      <c r="F1820" s="322" t="str">
        <f t="shared" si="611"/>
        <v>Jan</v>
      </c>
      <c r="G1820" s="323" t="s">
        <v>47</v>
      </c>
      <c r="H1820" s="323" t="s">
        <v>518</v>
      </c>
      <c r="I1820" s="323" t="s">
        <v>2702</v>
      </c>
      <c r="J1820" s="324" t="s">
        <v>70</v>
      </c>
      <c r="K1820" s="325" t="s">
        <v>564</v>
      </c>
      <c r="L1820" s="300" t="s">
        <v>2167</v>
      </c>
      <c r="M1820" s="324" t="s">
        <v>558</v>
      </c>
      <c r="N1820" s="323" t="s">
        <v>559</v>
      </c>
      <c r="O1820" s="323" t="s">
        <v>560</v>
      </c>
      <c r="P1820" s="326">
        <v>12</v>
      </c>
      <c r="Q1820" s="326">
        <v>3</v>
      </c>
      <c r="R1820" s="327">
        <v>8.0000000000000002E-3</v>
      </c>
      <c r="S1820" s="323" t="s">
        <v>40</v>
      </c>
      <c r="T1820" s="323" t="s">
        <v>56</v>
      </c>
      <c r="U1820" s="323" t="s">
        <v>57</v>
      </c>
      <c r="V1820" s="397">
        <f>125</f>
        <v>125</v>
      </c>
      <c r="W1820" s="328">
        <f>7+118</f>
        <v>125</v>
      </c>
      <c r="X1820" s="329"/>
      <c r="Y1820" s="330">
        <f t="shared" si="621"/>
        <v>0</v>
      </c>
      <c r="Z1820" s="331">
        <f t="shared" si="622"/>
        <v>0</v>
      </c>
      <c r="AA1820" s="331">
        <f t="shared" si="614"/>
        <v>0</v>
      </c>
      <c r="AB1820" s="816">
        <v>7.4999999999999997E-3</v>
      </c>
      <c r="AC1820" s="328">
        <f t="shared" si="626"/>
        <v>0</v>
      </c>
      <c r="AD1820" s="209"/>
      <c r="AE1820" s="210"/>
      <c r="AF1820" s="210"/>
      <c r="AG1820" s="211">
        <f t="shared" si="623"/>
        <v>0.22600000000000001</v>
      </c>
      <c r="AH1820" s="157">
        <f t="shared" si="624"/>
        <v>0</v>
      </c>
      <c r="AI1820" s="152">
        <f t="shared" si="625"/>
        <v>1500</v>
      </c>
      <c r="AK1820" s="156" t="s">
        <v>691</v>
      </c>
      <c r="AL1820" s="212" t="s">
        <v>690</v>
      </c>
      <c r="AM1820" s="198">
        <f t="shared" ref="AM1820:AM1827" si="627">AG1820*Z1820</f>
        <v>0</v>
      </c>
      <c r="AN1820" s="199">
        <f t="shared" si="619"/>
        <v>45673</v>
      </c>
      <c r="AO1820" s="159" t="s">
        <v>692</v>
      </c>
      <c r="AP1820" s="783" t="s">
        <v>623</v>
      </c>
      <c r="AQ1820" s="782">
        <v>12071839</v>
      </c>
      <c r="AR1820" s="782">
        <v>12042650</v>
      </c>
      <c r="AS1820" s="782">
        <v>12042649</v>
      </c>
      <c r="AT1820" s="782"/>
      <c r="AU1820" s="781"/>
      <c r="AV1820" s="782">
        <v>12083156</v>
      </c>
      <c r="AW1820" s="782"/>
      <c r="AX1820" s="782"/>
      <c r="AY1820" s="782">
        <v>12083147</v>
      </c>
      <c r="AZ1820" s="782">
        <v>12083148</v>
      </c>
      <c r="BA1820" s="781"/>
      <c r="BB1820" s="209">
        <v>23053185</v>
      </c>
    </row>
    <row r="1821" spans="1:54" ht="25" hidden="1" customHeight="1">
      <c r="B1821" s="320">
        <v>45673</v>
      </c>
      <c r="C1821" s="321" t="s">
        <v>1918</v>
      </c>
      <c r="D1821" s="185">
        <f t="shared" si="610"/>
        <v>2025</v>
      </c>
      <c r="E1821" s="321" t="e">
        <f>VLOOKUP($B1821,Week!$A$1:$C$1462,2,0)</f>
        <v>#N/A</v>
      </c>
      <c r="F1821" s="322" t="str">
        <f t="shared" si="611"/>
        <v>Jan</v>
      </c>
      <c r="G1821" s="323" t="s">
        <v>47</v>
      </c>
      <c r="H1821" s="323" t="s">
        <v>518</v>
      </c>
      <c r="I1821" s="323" t="s">
        <v>2702</v>
      </c>
      <c r="J1821" s="324" t="s">
        <v>70</v>
      </c>
      <c r="K1821" s="325" t="s">
        <v>564</v>
      </c>
      <c r="L1821" s="300" t="s">
        <v>2167</v>
      </c>
      <c r="M1821" s="324" t="s">
        <v>558</v>
      </c>
      <c r="N1821" s="323" t="s">
        <v>559</v>
      </c>
      <c r="O1821" s="323" t="s">
        <v>560</v>
      </c>
      <c r="P1821" s="326">
        <v>12</v>
      </c>
      <c r="Q1821" s="326">
        <v>3</v>
      </c>
      <c r="R1821" s="327">
        <v>8.0000000000000002E-3</v>
      </c>
      <c r="S1821" s="323" t="s">
        <v>40</v>
      </c>
      <c r="T1821" s="323" t="s">
        <v>56</v>
      </c>
      <c r="U1821" s="323" t="s">
        <v>57</v>
      </c>
      <c r="V1821" s="397">
        <f>334</f>
        <v>334</v>
      </c>
      <c r="W1821" s="328">
        <v>334</v>
      </c>
      <c r="X1821" s="329"/>
      <c r="Y1821" s="330">
        <f t="shared" si="621"/>
        <v>0</v>
      </c>
      <c r="Z1821" s="331">
        <f t="shared" si="622"/>
        <v>0</v>
      </c>
      <c r="AA1821" s="331">
        <f t="shared" si="614"/>
        <v>0</v>
      </c>
      <c r="AB1821" s="816">
        <v>7.4999999999999997E-3</v>
      </c>
      <c r="AC1821" s="328">
        <f t="shared" si="626"/>
        <v>0</v>
      </c>
      <c r="AD1821" s="209"/>
      <c r="AE1821" s="210"/>
      <c r="AF1821" s="210"/>
      <c r="AG1821" s="211">
        <f t="shared" si="623"/>
        <v>0.22600000000000001</v>
      </c>
      <c r="AH1821" s="157">
        <f t="shared" si="624"/>
        <v>0</v>
      </c>
      <c r="AI1821" s="152">
        <f t="shared" si="625"/>
        <v>4008</v>
      </c>
      <c r="AK1821" s="156" t="s">
        <v>691</v>
      </c>
      <c r="AL1821" s="212" t="s">
        <v>690</v>
      </c>
      <c r="AM1821" s="198">
        <f t="shared" si="627"/>
        <v>0</v>
      </c>
      <c r="AN1821" s="199">
        <f t="shared" si="619"/>
        <v>45673</v>
      </c>
      <c r="AO1821" s="159" t="s">
        <v>692</v>
      </c>
      <c r="AP1821" s="783" t="s">
        <v>623</v>
      </c>
      <c r="AQ1821" s="782">
        <v>12071839</v>
      </c>
      <c r="AR1821" s="782">
        <v>12042650</v>
      </c>
      <c r="AS1821" s="782">
        <v>12042649</v>
      </c>
      <c r="AT1821" s="782"/>
      <c r="AU1821" s="781"/>
      <c r="AV1821" s="782">
        <v>12083156</v>
      </c>
      <c r="AW1821" s="782"/>
      <c r="AX1821" s="782"/>
      <c r="AY1821" s="782">
        <v>12083147</v>
      </c>
      <c r="AZ1821" s="782">
        <v>12083148</v>
      </c>
      <c r="BA1821" s="781"/>
      <c r="BB1821" s="209">
        <v>23053185</v>
      </c>
    </row>
    <row r="1822" spans="1:54" ht="25" hidden="1" customHeight="1">
      <c r="B1822" s="332">
        <v>45673</v>
      </c>
      <c r="C1822" s="333" t="s">
        <v>1874</v>
      </c>
      <c r="D1822" s="185">
        <f t="shared" si="610"/>
        <v>2025</v>
      </c>
      <c r="E1822" s="333" t="e">
        <f>VLOOKUP($B1822,Week!$A$1:$C$1462,2,0)</f>
        <v>#N/A</v>
      </c>
      <c r="F1822" s="334" t="str">
        <f t="shared" si="611"/>
        <v>Jan</v>
      </c>
      <c r="G1822" s="335" t="s">
        <v>47</v>
      </c>
      <c r="H1822" s="335" t="s">
        <v>518</v>
      </c>
      <c r="I1822" s="335" t="s">
        <v>2702</v>
      </c>
      <c r="J1822" s="336" t="s">
        <v>70</v>
      </c>
      <c r="K1822" s="337" t="s">
        <v>582</v>
      </c>
      <c r="L1822" s="300" t="s">
        <v>2167</v>
      </c>
      <c r="M1822" s="336" t="s">
        <v>534</v>
      </c>
      <c r="N1822" s="530" t="s">
        <v>578</v>
      </c>
      <c r="O1822" s="335" t="s">
        <v>583</v>
      </c>
      <c r="P1822" s="338">
        <v>12</v>
      </c>
      <c r="Q1822" s="338">
        <v>3</v>
      </c>
      <c r="R1822" s="339">
        <v>6.0000000000000001E-3</v>
      </c>
      <c r="S1822" s="335" t="s">
        <v>55</v>
      </c>
      <c r="T1822" s="335" t="s">
        <v>56</v>
      </c>
      <c r="U1822" s="335" t="s">
        <v>57</v>
      </c>
      <c r="V1822" s="341">
        <f>110</f>
        <v>110</v>
      </c>
      <c r="W1822" s="341">
        <f>11+1+98</f>
        <v>110</v>
      </c>
      <c r="X1822" s="342"/>
      <c r="Y1822" s="531">
        <f t="shared" si="621"/>
        <v>0</v>
      </c>
      <c r="Z1822" s="344">
        <f t="shared" si="622"/>
        <v>0</v>
      </c>
      <c r="AA1822" s="344">
        <f t="shared" si="614"/>
        <v>0</v>
      </c>
      <c r="AB1822" s="817">
        <v>7.4999999999999997E-3</v>
      </c>
      <c r="AC1822" s="341">
        <f t="shared" si="626"/>
        <v>0</v>
      </c>
      <c r="AD1822" s="209"/>
      <c r="AE1822" s="210"/>
      <c r="AF1822" s="210"/>
      <c r="AG1822" s="211">
        <f t="shared" si="623"/>
        <v>0.191</v>
      </c>
      <c r="AH1822" s="157">
        <f t="shared" si="624"/>
        <v>0</v>
      </c>
      <c r="AI1822" s="152">
        <f t="shared" si="625"/>
        <v>1320</v>
      </c>
      <c r="AK1822" s="156" t="s">
        <v>691</v>
      </c>
      <c r="AL1822" s="212" t="s">
        <v>690</v>
      </c>
      <c r="AM1822" s="198">
        <f t="shared" si="627"/>
        <v>0</v>
      </c>
      <c r="AN1822" s="199">
        <f t="shared" si="619"/>
        <v>45673</v>
      </c>
      <c r="AO1822" s="159" t="s">
        <v>692</v>
      </c>
      <c r="AP1822" s="781"/>
      <c r="AQ1822" s="782">
        <v>12071839</v>
      </c>
      <c r="AR1822" s="782">
        <v>12042650</v>
      </c>
      <c r="AS1822" s="782">
        <v>12042649</v>
      </c>
      <c r="AT1822" s="782"/>
      <c r="AU1822" s="781"/>
      <c r="AV1822" s="782">
        <v>12083313</v>
      </c>
      <c r="AW1822" s="782"/>
      <c r="AX1822" s="782"/>
      <c r="AY1822" s="782">
        <v>12083308</v>
      </c>
      <c r="AZ1822" s="782">
        <v>12083312</v>
      </c>
      <c r="BA1822" s="781"/>
      <c r="BB1822" s="209">
        <v>23053185</v>
      </c>
    </row>
    <row r="1823" spans="1:54" ht="25" hidden="1" customHeight="1">
      <c r="B1823" s="332">
        <v>45673</v>
      </c>
      <c r="C1823" s="333" t="s">
        <v>1918</v>
      </c>
      <c r="D1823" s="185">
        <f t="shared" si="610"/>
        <v>2025</v>
      </c>
      <c r="E1823" s="333" t="e">
        <f>VLOOKUP($B1823,Week!$A$1:$C$1462,2,0)</f>
        <v>#N/A</v>
      </c>
      <c r="F1823" s="334" t="str">
        <f t="shared" si="611"/>
        <v>Jan</v>
      </c>
      <c r="G1823" s="335" t="s">
        <v>47</v>
      </c>
      <c r="H1823" s="335" t="s">
        <v>518</v>
      </c>
      <c r="I1823" s="335" t="s">
        <v>2702</v>
      </c>
      <c r="J1823" s="336" t="s">
        <v>70</v>
      </c>
      <c r="K1823" s="337" t="s">
        <v>582</v>
      </c>
      <c r="L1823" s="300" t="s">
        <v>2167</v>
      </c>
      <c r="M1823" s="336" t="s">
        <v>534</v>
      </c>
      <c r="N1823" s="530" t="s">
        <v>578</v>
      </c>
      <c r="O1823" s="335" t="s">
        <v>583</v>
      </c>
      <c r="P1823" s="338">
        <v>12</v>
      </c>
      <c r="Q1823" s="338">
        <v>3</v>
      </c>
      <c r="R1823" s="339">
        <v>6.0000000000000001E-3</v>
      </c>
      <c r="S1823" s="335" t="s">
        <v>55</v>
      </c>
      <c r="T1823" s="335" t="s">
        <v>56</v>
      </c>
      <c r="U1823" s="335" t="s">
        <v>57</v>
      </c>
      <c r="V1823" s="341">
        <f>162</f>
        <v>162</v>
      </c>
      <c r="W1823" s="341">
        <f>162</f>
        <v>162</v>
      </c>
      <c r="X1823" s="342"/>
      <c r="Y1823" s="343">
        <f t="shared" si="621"/>
        <v>0</v>
      </c>
      <c r="Z1823" s="344">
        <f t="shared" si="622"/>
        <v>0</v>
      </c>
      <c r="AA1823" s="344">
        <f t="shared" si="614"/>
        <v>0</v>
      </c>
      <c r="AB1823" s="817">
        <v>7.4999999999999997E-3</v>
      </c>
      <c r="AC1823" s="341">
        <f t="shared" si="626"/>
        <v>0</v>
      </c>
      <c r="AD1823" s="209"/>
      <c r="AE1823" s="210"/>
      <c r="AF1823" s="210"/>
      <c r="AG1823" s="211">
        <f t="shared" si="623"/>
        <v>0.191</v>
      </c>
      <c r="AH1823" s="157">
        <f t="shared" si="624"/>
        <v>0</v>
      </c>
      <c r="AI1823" s="152">
        <f t="shared" si="625"/>
        <v>1944</v>
      </c>
      <c r="AK1823" s="156" t="s">
        <v>691</v>
      </c>
      <c r="AL1823" s="212" t="s">
        <v>690</v>
      </c>
      <c r="AM1823" s="198">
        <f t="shared" si="627"/>
        <v>0</v>
      </c>
      <c r="AN1823" s="199">
        <f t="shared" si="619"/>
        <v>45673</v>
      </c>
      <c r="AO1823" s="159" t="s">
        <v>692</v>
      </c>
      <c r="AP1823" s="781"/>
      <c r="AQ1823" s="782">
        <v>12071839</v>
      </c>
      <c r="AR1823" s="782">
        <v>12042650</v>
      </c>
      <c r="AS1823" s="782">
        <v>12042649</v>
      </c>
      <c r="AT1823" s="782"/>
      <c r="AU1823" s="781"/>
      <c r="AV1823" s="782">
        <v>12083313</v>
      </c>
      <c r="AW1823" s="782"/>
      <c r="AX1823" s="782"/>
      <c r="AY1823" s="782">
        <v>12083308</v>
      </c>
      <c r="AZ1823" s="782">
        <v>12083312</v>
      </c>
      <c r="BA1823" s="781"/>
      <c r="BB1823" s="209">
        <v>23053185</v>
      </c>
    </row>
    <row r="1824" spans="1:54" ht="25" hidden="1" customHeight="1">
      <c r="B1824" s="271">
        <v>45673</v>
      </c>
      <c r="C1824" s="272" t="s">
        <v>1918</v>
      </c>
      <c r="D1824" s="185">
        <f t="shared" si="610"/>
        <v>2025</v>
      </c>
      <c r="E1824" s="272" t="e">
        <f>VLOOKUP($B1824,Week!$A$1:$C$1462,2,0)</f>
        <v>#N/A</v>
      </c>
      <c r="F1824" s="273" t="str">
        <f t="shared" si="611"/>
        <v>Jan</v>
      </c>
      <c r="G1824" s="274" t="s">
        <v>47</v>
      </c>
      <c r="H1824" s="274" t="s">
        <v>518</v>
      </c>
      <c r="I1824" s="274" t="s">
        <v>2702</v>
      </c>
      <c r="J1824" s="275" t="s">
        <v>70</v>
      </c>
      <c r="K1824" s="276" t="s">
        <v>556</v>
      </c>
      <c r="L1824" s="300" t="s">
        <v>2167</v>
      </c>
      <c r="M1824" s="275" t="s">
        <v>520</v>
      </c>
      <c r="N1824" s="423" t="s">
        <v>586</v>
      </c>
      <c r="O1824" s="274" t="s">
        <v>585</v>
      </c>
      <c r="P1824" s="277">
        <v>12</v>
      </c>
      <c r="Q1824" s="277">
        <v>5</v>
      </c>
      <c r="R1824" s="278">
        <v>6.0000000000000001E-3</v>
      </c>
      <c r="S1824" s="274" t="s">
        <v>55</v>
      </c>
      <c r="T1824" s="274" t="s">
        <v>56</v>
      </c>
      <c r="U1824" s="274" t="s">
        <v>57</v>
      </c>
      <c r="V1824" s="279">
        <f>111</f>
        <v>111</v>
      </c>
      <c r="W1824" s="279">
        <f>13+98</f>
        <v>111</v>
      </c>
      <c r="X1824" s="280"/>
      <c r="Y1824" s="281">
        <f t="shared" si="621"/>
        <v>0</v>
      </c>
      <c r="Z1824" s="282">
        <f t="shared" si="622"/>
        <v>0</v>
      </c>
      <c r="AA1824" s="282">
        <f t="shared" si="614"/>
        <v>0</v>
      </c>
      <c r="AB1824" s="812">
        <v>7.4999999999999997E-3</v>
      </c>
      <c r="AC1824" s="279">
        <f t="shared" si="626"/>
        <v>0</v>
      </c>
      <c r="AD1824" s="209"/>
      <c r="AE1824" s="210"/>
      <c r="AF1824" s="210"/>
      <c r="AG1824" s="211">
        <f t="shared" si="623"/>
        <v>0.13500000000000001</v>
      </c>
      <c r="AH1824" s="157">
        <f t="shared" si="624"/>
        <v>0</v>
      </c>
      <c r="AI1824" s="152">
        <f t="shared" si="625"/>
        <v>1332</v>
      </c>
      <c r="AK1824" s="156" t="s">
        <v>691</v>
      </c>
      <c r="AL1824" s="212" t="s">
        <v>690</v>
      </c>
      <c r="AM1824" s="198">
        <f t="shared" si="627"/>
        <v>0</v>
      </c>
      <c r="AN1824" s="199">
        <f t="shared" si="619"/>
        <v>45673</v>
      </c>
      <c r="AO1824" s="159" t="s">
        <v>692</v>
      </c>
      <c r="AP1824" s="781"/>
      <c r="AQ1824" s="782">
        <v>12071839</v>
      </c>
      <c r="AR1824" s="782">
        <v>12047514</v>
      </c>
      <c r="AS1824" s="782">
        <v>12047515</v>
      </c>
      <c r="AT1824" s="782"/>
      <c r="AU1824" s="781"/>
      <c r="AV1824" s="782">
        <v>12083307</v>
      </c>
      <c r="AW1824" s="782"/>
      <c r="AX1824" s="782"/>
      <c r="AY1824" s="782">
        <v>12083305</v>
      </c>
      <c r="AZ1824" s="782">
        <v>12083306</v>
      </c>
      <c r="BA1824" s="781"/>
      <c r="BB1824" s="209">
        <v>23053185</v>
      </c>
    </row>
    <row r="1825" spans="1:54" ht="25" hidden="1" customHeight="1">
      <c r="A1825" s="529" t="s">
        <v>1937</v>
      </c>
      <c r="B1825" s="357">
        <v>45673</v>
      </c>
      <c r="C1825" s="776" t="s">
        <v>1918</v>
      </c>
      <c r="D1825" s="185">
        <f t="shared" si="610"/>
        <v>2025</v>
      </c>
      <c r="E1825" s="358" t="e">
        <f>VLOOKUP($B1825,Week!$A$1:$C$1462,2,0)</f>
        <v>#N/A</v>
      </c>
      <c r="F1825" s="360" t="str">
        <f t="shared" si="611"/>
        <v>Jan</v>
      </c>
      <c r="G1825" s="359" t="s">
        <v>47</v>
      </c>
      <c r="H1825" s="359" t="s">
        <v>518</v>
      </c>
      <c r="I1825" s="359" t="s">
        <v>2702</v>
      </c>
      <c r="J1825" s="361" t="s">
        <v>70</v>
      </c>
      <c r="K1825" s="362" t="s">
        <v>94</v>
      </c>
      <c r="L1825" s="300" t="s">
        <v>2167</v>
      </c>
      <c r="M1825" s="361" t="s">
        <v>519</v>
      </c>
      <c r="N1825" s="436" t="s">
        <v>648</v>
      </c>
      <c r="O1825" s="359" t="s">
        <v>97</v>
      </c>
      <c r="P1825" s="363">
        <v>12</v>
      </c>
      <c r="Q1825" s="363">
        <v>5</v>
      </c>
      <c r="R1825" s="364">
        <v>8.0000000000000002E-3</v>
      </c>
      <c r="S1825" s="359" t="s">
        <v>40</v>
      </c>
      <c r="T1825" s="359" t="s">
        <v>56</v>
      </c>
      <c r="U1825" s="359" t="s">
        <v>57</v>
      </c>
      <c r="V1825" s="365">
        <v>12</v>
      </c>
      <c r="W1825" s="365">
        <f>144/12</f>
        <v>12</v>
      </c>
      <c r="X1825" s="366"/>
      <c r="Y1825" s="367">
        <f t="shared" si="621"/>
        <v>0</v>
      </c>
      <c r="Z1825" s="368">
        <f t="shared" si="622"/>
        <v>0</v>
      </c>
      <c r="AA1825" s="368">
        <f t="shared" si="614"/>
        <v>0</v>
      </c>
      <c r="AB1825" s="819">
        <v>7.4999999999999997E-3</v>
      </c>
      <c r="AC1825" s="365">
        <f t="shared" si="626"/>
        <v>0</v>
      </c>
      <c r="AD1825" s="209"/>
      <c r="AE1825" s="210"/>
      <c r="AF1825" s="210"/>
      <c r="AG1825" s="211">
        <f t="shared" si="623"/>
        <v>0.14499999999999999</v>
      </c>
      <c r="AH1825" s="157">
        <f t="shared" si="624"/>
        <v>0</v>
      </c>
      <c r="AI1825" s="152">
        <f t="shared" si="625"/>
        <v>144</v>
      </c>
      <c r="AK1825" s="156" t="s">
        <v>691</v>
      </c>
      <c r="AL1825" s="574" t="s">
        <v>690</v>
      </c>
      <c r="AM1825" s="198">
        <f t="shared" si="627"/>
        <v>0</v>
      </c>
      <c r="AN1825" s="199">
        <f t="shared" si="619"/>
        <v>45673</v>
      </c>
      <c r="AO1825" s="159" t="s">
        <v>692</v>
      </c>
      <c r="AP1825" s="783" t="s">
        <v>628</v>
      </c>
      <c r="AQ1825" s="782">
        <v>12071839</v>
      </c>
      <c r="AR1825" s="782">
        <v>12047514</v>
      </c>
      <c r="AS1825" s="782">
        <v>12047515</v>
      </c>
      <c r="AT1825" s="782"/>
      <c r="AU1825" s="781"/>
      <c r="AV1825" s="782">
        <v>12080617</v>
      </c>
      <c r="AW1825" s="782"/>
      <c r="AX1825" s="782"/>
      <c r="AY1825" s="782">
        <v>12080618</v>
      </c>
      <c r="AZ1825" s="782">
        <v>12080619</v>
      </c>
      <c r="BA1825" s="781"/>
      <c r="BB1825" s="209">
        <v>23053185</v>
      </c>
    </row>
    <row r="1826" spans="1:54" ht="25" hidden="1" customHeight="1">
      <c r="B1826" s="357">
        <v>45673</v>
      </c>
      <c r="C1826" s="776" t="s">
        <v>1874</v>
      </c>
      <c r="D1826" s="185">
        <f t="shared" si="610"/>
        <v>2025</v>
      </c>
      <c r="E1826" s="358" t="e">
        <f>VLOOKUP($B1826,Week!$A$1:$C$1462,2,0)</f>
        <v>#N/A</v>
      </c>
      <c r="F1826" s="360" t="str">
        <f t="shared" si="611"/>
        <v>Jan</v>
      </c>
      <c r="G1826" s="359" t="s">
        <v>47</v>
      </c>
      <c r="H1826" s="359" t="s">
        <v>518</v>
      </c>
      <c r="I1826" s="359" t="s">
        <v>2702</v>
      </c>
      <c r="J1826" s="361" t="s">
        <v>70</v>
      </c>
      <c r="K1826" s="362" t="s">
        <v>94</v>
      </c>
      <c r="L1826" s="300" t="s">
        <v>2167</v>
      </c>
      <c r="M1826" s="361" t="s">
        <v>519</v>
      </c>
      <c r="N1826" s="359" t="s">
        <v>589</v>
      </c>
      <c r="O1826" s="359" t="s">
        <v>97</v>
      </c>
      <c r="P1826" s="363">
        <v>12</v>
      </c>
      <c r="Q1826" s="363">
        <v>5</v>
      </c>
      <c r="R1826" s="364">
        <v>8.0000000000000002E-3</v>
      </c>
      <c r="S1826" s="359" t="s">
        <v>40</v>
      </c>
      <c r="T1826" s="359" t="s">
        <v>56</v>
      </c>
      <c r="U1826" s="359" t="s">
        <v>57</v>
      </c>
      <c r="V1826" s="365">
        <f>1773</f>
        <v>1773</v>
      </c>
      <c r="W1826" s="365">
        <f>20-4+1757</f>
        <v>1773</v>
      </c>
      <c r="X1826" s="366"/>
      <c r="Y1826" s="367">
        <f t="shared" si="621"/>
        <v>0</v>
      </c>
      <c r="Z1826" s="368">
        <f t="shared" si="622"/>
        <v>0</v>
      </c>
      <c r="AA1826" s="368">
        <f t="shared" si="614"/>
        <v>0</v>
      </c>
      <c r="AB1826" s="819">
        <v>7.4999999999999997E-3</v>
      </c>
      <c r="AC1826" s="365">
        <f t="shared" si="626"/>
        <v>0</v>
      </c>
      <c r="AD1826" s="209"/>
      <c r="AE1826" s="210"/>
      <c r="AF1826" s="210"/>
      <c r="AG1826" s="211">
        <f t="shared" si="623"/>
        <v>0.14499999999999999</v>
      </c>
      <c r="AH1826" s="157">
        <f t="shared" si="624"/>
        <v>0</v>
      </c>
      <c r="AI1826" s="152">
        <f t="shared" si="625"/>
        <v>21276</v>
      </c>
      <c r="AK1826" s="156" t="s">
        <v>691</v>
      </c>
      <c r="AL1826" s="574" t="s">
        <v>690</v>
      </c>
      <c r="AM1826" s="198">
        <f>AG1826*Z1826</f>
        <v>0</v>
      </c>
      <c r="AN1826" s="199">
        <f t="shared" si="619"/>
        <v>45673</v>
      </c>
      <c r="AO1826" s="159" t="s">
        <v>692</v>
      </c>
      <c r="AP1826" s="783" t="s">
        <v>628</v>
      </c>
      <c r="AQ1826" s="782">
        <v>12071839</v>
      </c>
      <c r="AR1826" s="782">
        <v>12047514</v>
      </c>
      <c r="AS1826" s="782">
        <v>12047515</v>
      </c>
      <c r="AT1826" s="782"/>
      <c r="AU1826" s="781"/>
      <c r="AV1826" s="782">
        <v>12080617</v>
      </c>
      <c r="AW1826" s="782"/>
      <c r="AX1826" s="782"/>
      <c r="AY1826" s="782">
        <v>12080618</v>
      </c>
      <c r="AZ1826" s="782">
        <v>12080619</v>
      </c>
      <c r="BA1826" s="781"/>
      <c r="BB1826" s="209">
        <v>23053185</v>
      </c>
    </row>
    <row r="1827" spans="1:54" ht="25" hidden="1" customHeight="1">
      <c r="B1827" s="357">
        <v>45673</v>
      </c>
      <c r="C1827" s="776" t="s">
        <v>1918</v>
      </c>
      <c r="D1827" s="185">
        <f t="shared" si="610"/>
        <v>2025</v>
      </c>
      <c r="E1827" s="358" t="e">
        <f>VLOOKUP($B1827,Week!$A$1:$C$1462,2,0)</f>
        <v>#N/A</v>
      </c>
      <c r="F1827" s="360" t="str">
        <f t="shared" si="611"/>
        <v>Jan</v>
      </c>
      <c r="G1827" s="359" t="s">
        <v>47</v>
      </c>
      <c r="H1827" s="359" t="s">
        <v>518</v>
      </c>
      <c r="I1827" s="359" t="s">
        <v>2702</v>
      </c>
      <c r="J1827" s="361" t="s">
        <v>70</v>
      </c>
      <c r="K1827" s="362" t="s">
        <v>94</v>
      </c>
      <c r="L1827" s="300" t="s">
        <v>2167</v>
      </c>
      <c r="M1827" s="361" t="s">
        <v>519</v>
      </c>
      <c r="N1827" s="359" t="s">
        <v>589</v>
      </c>
      <c r="O1827" s="359" t="s">
        <v>97</v>
      </c>
      <c r="P1827" s="363">
        <v>12</v>
      </c>
      <c r="Q1827" s="363">
        <v>5</v>
      </c>
      <c r="R1827" s="364">
        <v>8.0000000000000002E-3</v>
      </c>
      <c r="S1827" s="359" t="s">
        <v>40</v>
      </c>
      <c r="T1827" s="359" t="s">
        <v>56</v>
      </c>
      <c r="U1827" s="359" t="s">
        <v>57</v>
      </c>
      <c r="V1827" s="365">
        <f>2252</f>
        <v>2252</v>
      </c>
      <c r="W1827" s="365">
        <f>2252</f>
        <v>2252</v>
      </c>
      <c r="X1827" s="366"/>
      <c r="Y1827" s="367">
        <f t="shared" si="621"/>
        <v>0</v>
      </c>
      <c r="Z1827" s="368">
        <f t="shared" si="622"/>
        <v>0</v>
      </c>
      <c r="AA1827" s="368">
        <f t="shared" si="614"/>
        <v>0</v>
      </c>
      <c r="AB1827" s="819">
        <v>7.4999999999999997E-3</v>
      </c>
      <c r="AC1827" s="365">
        <f t="shared" si="626"/>
        <v>0</v>
      </c>
      <c r="AD1827" s="209"/>
      <c r="AE1827" s="210"/>
      <c r="AF1827" s="210"/>
      <c r="AG1827" s="211">
        <f t="shared" si="623"/>
        <v>0.14499999999999999</v>
      </c>
      <c r="AH1827" s="157">
        <f t="shared" si="624"/>
        <v>0</v>
      </c>
      <c r="AI1827" s="152">
        <f t="shared" si="625"/>
        <v>27024</v>
      </c>
      <c r="AK1827" s="156" t="s">
        <v>691</v>
      </c>
      <c r="AL1827" s="574" t="s">
        <v>690</v>
      </c>
      <c r="AM1827" s="198">
        <f t="shared" si="627"/>
        <v>0</v>
      </c>
      <c r="AN1827" s="199">
        <f t="shared" si="619"/>
        <v>45673</v>
      </c>
      <c r="AO1827" s="159" t="s">
        <v>692</v>
      </c>
      <c r="AP1827" s="783" t="s">
        <v>628</v>
      </c>
      <c r="AQ1827" s="782">
        <v>12071839</v>
      </c>
      <c r="AR1827" s="782">
        <v>12047514</v>
      </c>
      <c r="AS1827" s="782">
        <v>12047515</v>
      </c>
      <c r="AT1827" s="782"/>
      <c r="AU1827" s="781"/>
      <c r="AV1827" s="782">
        <v>12080617</v>
      </c>
      <c r="AW1827" s="782"/>
      <c r="AX1827" s="782"/>
      <c r="AY1827" s="782">
        <v>12080618</v>
      </c>
      <c r="AZ1827" s="782">
        <v>12080619</v>
      </c>
      <c r="BA1827" s="781"/>
      <c r="BB1827" s="209">
        <v>23053185</v>
      </c>
    </row>
    <row r="1828" spans="1:54" ht="24.65" hidden="1" customHeight="1">
      <c r="B1828" s="411">
        <v>45673</v>
      </c>
      <c r="C1828" s="645" t="s">
        <v>1918</v>
      </c>
      <c r="D1828" s="185">
        <f t="shared" si="610"/>
        <v>2025</v>
      </c>
      <c r="E1828" s="412" t="e">
        <f>VLOOKUP($B1828,Week!$A$1:$C$1462,2,0)</f>
        <v>#N/A</v>
      </c>
      <c r="F1828" s="413" t="str">
        <f t="shared" si="611"/>
        <v>Jan</v>
      </c>
      <c r="G1828" s="414" t="s">
        <v>47</v>
      </c>
      <c r="H1828" s="414" t="s">
        <v>260</v>
      </c>
      <c r="I1828" s="414" t="s">
        <v>2702</v>
      </c>
      <c r="J1828" s="415" t="s">
        <v>261</v>
      </c>
      <c r="K1828" s="416" t="s">
        <v>94</v>
      </c>
      <c r="L1828" s="300" t="s">
        <v>2167</v>
      </c>
      <c r="M1828" s="415" t="s">
        <v>1303</v>
      </c>
      <c r="N1828" s="414" t="s">
        <v>263</v>
      </c>
      <c r="O1828" s="414" t="s">
        <v>195</v>
      </c>
      <c r="P1828" s="417">
        <v>24</v>
      </c>
      <c r="Q1828" s="417">
        <v>5</v>
      </c>
      <c r="R1828" s="418">
        <v>8.0000000000000002E-3</v>
      </c>
      <c r="S1828" s="414" t="s">
        <v>40</v>
      </c>
      <c r="T1828" s="414" t="s">
        <v>56</v>
      </c>
      <c r="U1828" s="414" t="s">
        <v>57</v>
      </c>
      <c r="V1828" s="419">
        <f>7500-4483+470-871</f>
        <v>2616</v>
      </c>
      <c r="W1828" s="419">
        <f>60+2556</f>
        <v>2616</v>
      </c>
      <c r="X1828" s="420"/>
      <c r="Y1828" s="421">
        <f t="shared" si="621"/>
        <v>0</v>
      </c>
      <c r="Z1828" s="422">
        <f t="shared" si="622"/>
        <v>0</v>
      </c>
      <c r="AA1828" s="422">
        <f t="shared" si="614"/>
        <v>0</v>
      </c>
      <c r="AB1828" s="825">
        <v>7.4999999999999997E-3</v>
      </c>
      <c r="AC1828" s="419">
        <f t="shared" si="626"/>
        <v>0</v>
      </c>
      <c r="AD1828" s="209"/>
      <c r="AE1828" s="210"/>
      <c r="AF1828" s="210"/>
      <c r="AG1828" s="211">
        <f t="shared" si="623"/>
        <v>0.14499999999999999</v>
      </c>
      <c r="AH1828" s="157">
        <f t="shared" si="624"/>
        <v>0</v>
      </c>
      <c r="AI1828" s="152">
        <f t="shared" si="625"/>
        <v>62784</v>
      </c>
      <c r="AK1828" s="156" t="s">
        <v>691</v>
      </c>
      <c r="AL1828" s="212" t="s">
        <v>690</v>
      </c>
      <c r="AM1828" s="198">
        <f t="shared" ref="AM1828:AM1836" si="628">AG1828*Z1828</f>
        <v>0</v>
      </c>
      <c r="AN1828" s="199">
        <f t="shared" si="619"/>
        <v>45673</v>
      </c>
      <c r="AO1828" s="159" t="s">
        <v>692</v>
      </c>
      <c r="AP1828" s="783" t="s">
        <v>609</v>
      </c>
      <c r="AQ1828" s="782">
        <v>12071839</v>
      </c>
      <c r="AR1828" s="782">
        <v>12047514</v>
      </c>
      <c r="AS1828" s="782">
        <v>12047515</v>
      </c>
      <c r="AT1828" s="781"/>
      <c r="AU1828" s="781"/>
      <c r="AV1828" s="782">
        <v>12080613</v>
      </c>
      <c r="AW1828" s="781"/>
      <c r="AX1828" s="781"/>
      <c r="AY1828" s="782">
        <v>12080614</v>
      </c>
      <c r="AZ1828" s="782">
        <v>12080616</v>
      </c>
      <c r="BA1828" s="781"/>
      <c r="BB1828" s="209">
        <v>23053185</v>
      </c>
    </row>
    <row r="1829" spans="1:54" ht="25" hidden="1" customHeight="1">
      <c r="B1829" s="398">
        <v>45674</v>
      </c>
      <c r="C1829" s="399" t="s">
        <v>1874</v>
      </c>
      <c r="D1829" s="185">
        <f t="shared" si="610"/>
        <v>2025</v>
      </c>
      <c r="E1829" s="399" t="e">
        <f>VLOOKUP($B1829,Week!$A$1:$C$1462,2,0)</f>
        <v>#N/A</v>
      </c>
      <c r="F1829" s="400" t="str">
        <f t="shared" si="611"/>
        <v>Jan</v>
      </c>
      <c r="G1829" s="401" t="s">
        <v>47</v>
      </c>
      <c r="H1829" s="401" t="s">
        <v>518</v>
      </c>
      <c r="I1829" s="401" t="s">
        <v>2702</v>
      </c>
      <c r="J1829" s="402" t="s">
        <v>70</v>
      </c>
      <c r="K1829" s="403" t="s">
        <v>1645</v>
      </c>
      <c r="L1829" s="300" t="s">
        <v>2167</v>
      </c>
      <c r="M1829" s="402" t="s">
        <v>553</v>
      </c>
      <c r="N1829" s="404" t="s">
        <v>557</v>
      </c>
      <c r="O1829" s="401" t="s">
        <v>101</v>
      </c>
      <c r="P1829" s="405">
        <v>12</v>
      </c>
      <c r="Q1829" s="405">
        <v>5</v>
      </c>
      <c r="R1829" s="406">
        <v>8.0000000000000002E-3</v>
      </c>
      <c r="S1829" s="401" t="s">
        <v>40</v>
      </c>
      <c r="T1829" s="401" t="s">
        <v>56</v>
      </c>
      <c r="U1829" s="770" t="s">
        <v>499</v>
      </c>
      <c r="V1829" s="407">
        <f>258</f>
        <v>258</v>
      </c>
      <c r="W1829" s="407">
        <f>7+1+250</f>
        <v>258</v>
      </c>
      <c r="X1829" s="408"/>
      <c r="Y1829" s="409">
        <f t="shared" si="621"/>
        <v>0</v>
      </c>
      <c r="Z1829" s="410">
        <f t="shared" si="622"/>
        <v>0</v>
      </c>
      <c r="AA1829" s="410">
        <f t="shared" si="614"/>
        <v>0</v>
      </c>
      <c r="AB1829" s="824">
        <v>1</v>
      </c>
      <c r="AC1829" s="407">
        <f t="shared" si="626"/>
        <v>0</v>
      </c>
      <c r="AD1829" s="443" t="s">
        <v>1907</v>
      </c>
      <c r="AE1829" s="210"/>
      <c r="AF1829" s="210"/>
      <c r="AG1829" s="211">
        <f t="shared" si="623"/>
        <v>0.115</v>
      </c>
      <c r="AH1829" s="157">
        <f t="shared" si="624"/>
        <v>0</v>
      </c>
      <c r="AI1829" s="152">
        <f t="shared" si="625"/>
        <v>3096</v>
      </c>
      <c r="AK1829" s="156" t="s">
        <v>691</v>
      </c>
      <c r="AL1829" s="212" t="s">
        <v>690</v>
      </c>
      <c r="AM1829" s="198">
        <f>AG1829*Z1829</f>
        <v>0</v>
      </c>
      <c r="AN1829" s="199">
        <f t="shared" si="619"/>
        <v>45674</v>
      </c>
      <c r="AO1829" s="159" t="s">
        <v>692</v>
      </c>
      <c r="AP1829" s="783" t="s">
        <v>623</v>
      </c>
      <c r="AQ1829" s="782">
        <v>12071839</v>
      </c>
      <c r="AR1829" s="782">
        <v>12047514</v>
      </c>
      <c r="AS1829" s="782">
        <v>12047515</v>
      </c>
      <c r="AT1829" s="782"/>
      <c r="AU1829" s="781"/>
      <c r="AV1829" s="782">
        <v>12072447</v>
      </c>
      <c r="AW1829" s="782"/>
      <c r="AX1829" s="782"/>
      <c r="AY1829" s="782">
        <v>12064574</v>
      </c>
      <c r="AZ1829" s="782">
        <v>12064576</v>
      </c>
      <c r="BA1829" s="781"/>
      <c r="BB1829" s="209">
        <v>23052995</v>
      </c>
    </row>
    <row r="1830" spans="1:54" ht="25" hidden="1" customHeight="1">
      <c r="B1830" s="398">
        <v>45674</v>
      </c>
      <c r="C1830" s="399" t="s">
        <v>1918</v>
      </c>
      <c r="D1830" s="185">
        <f t="shared" si="610"/>
        <v>2025</v>
      </c>
      <c r="E1830" s="399" t="e">
        <f>VLOOKUP($B1830,Week!$A$1:$C$1462,2,0)</f>
        <v>#N/A</v>
      </c>
      <c r="F1830" s="400" t="str">
        <f t="shared" si="611"/>
        <v>Jan</v>
      </c>
      <c r="G1830" s="401" t="s">
        <v>47</v>
      </c>
      <c r="H1830" s="401" t="s">
        <v>518</v>
      </c>
      <c r="I1830" s="401" t="s">
        <v>2702</v>
      </c>
      <c r="J1830" s="402" t="s">
        <v>70</v>
      </c>
      <c r="K1830" s="403" t="s">
        <v>1645</v>
      </c>
      <c r="L1830" s="300" t="s">
        <v>2167</v>
      </c>
      <c r="M1830" s="402" t="s">
        <v>553</v>
      </c>
      <c r="N1830" s="404" t="s">
        <v>557</v>
      </c>
      <c r="O1830" s="401" t="s">
        <v>101</v>
      </c>
      <c r="P1830" s="405">
        <v>12</v>
      </c>
      <c r="Q1830" s="405">
        <v>5</v>
      </c>
      <c r="R1830" s="406">
        <v>8.0000000000000002E-3</v>
      </c>
      <c r="S1830" s="401" t="s">
        <v>40</v>
      </c>
      <c r="T1830" s="401" t="s">
        <v>56</v>
      </c>
      <c r="U1830" s="770" t="s">
        <v>499</v>
      </c>
      <c r="V1830" s="407">
        <f>412</f>
        <v>412</v>
      </c>
      <c r="W1830" s="407">
        <f>412</f>
        <v>412</v>
      </c>
      <c r="X1830" s="408"/>
      <c r="Y1830" s="409">
        <f t="shared" si="621"/>
        <v>0</v>
      </c>
      <c r="Z1830" s="410">
        <f t="shared" si="622"/>
        <v>0</v>
      </c>
      <c r="AA1830" s="410">
        <f t="shared" si="614"/>
        <v>0</v>
      </c>
      <c r="AB1830" s="824">
        <v>1</v>
      </c>
      <c r="AC1830" s="407">
        <f t="shared" si="626"/>
        <v>0</v>
      </c>
      <c r="AD1830" s="443" t="s">
        <v>1907</v>
      </c>
      <c r="AE1830" s="210"/>
      <c r="AF1830" s="210"/>
      <c r="AG1830" s="211">
        <f t="shared" si="623"/>
        <v>0.115</v>
      </c>
      <c r="AH1830" s="157">
        <f t="shared" si="624"/>
        <v>0</v>
      </c>
      <c r="AI1830" s="152">
        <f t="shared" si="625"/>
        <v>4944</v>
      </c>
      <c r="AK1830" s="156" t="s">
        <v>691</v>
      </c>
      <c r="AL1830" s="212" t="s">
        <v>690</v>
      </c>
      <c r="AM1830" s="198">
        <f>AG1830*Z1830</f>
        <v>0</v>
      </c>
      <c r="AN1830" s="199">
        <f t="shared" si="619"/>
        <v>45674</v>
      </c>
      <c r="AO1830" s="159" t="s">
        <v>692</v>
      </c>
      <c r="AP1830" s="783" t="s">
        <v>623</v>
      </c>
      <c r="AQ1830" s="782">
        <v>12071839</v>
      </c>
      <c r="AR1830" s="782">
        <v>12047514</v>
      </c>
      <c r="AS1830" s="782">
        <v>12047515</v>
      </c>
      <c r="AT1830" s="782"/>
      <c r="AU1830" s="781"/>
      <c r="AV1830" s="782">
        <v>12072447</v>
      </c>
      <c r="AW1830" s="782"/>
      <c r="AX1830" s="782"/>
      <c r="AY1830" s="782">
        <v>12064574</v>
      </c>
      <c r="AZ1830" s="782">
        <v>12064576</v>
      </c>
      <c r="BA1830" s="781"/>
      <c r="BB1830" s="209">
        <v>23052995</v>
      </c>
    </row>
    <row r="1831" spans="1:54" ht="25" hidden="1" customHeight="1">
      <c r="B1831" s="295">
        <v>45674</v>
      </c>
      <c r="C1831" s="296">
        <v>45680</v>
      </c>
      <c r="D1831" s="185">
        <f t="shared" si="610"/>
        <v>2025</v>
      </c>
      <c r="E1831" s="296" t="e">
        <f>VLOOKUP($B1831,Week!$A$1:$C$1462,2,0)</f>
        <v>#N/A</v>
      </c>
      <c r="F1831" s="297" t="str">
        <f t="shared" si="611"/>
        <v>Jan</v>
      </c>
      <c r="G1831" s="635" t="s">
        <v>1981</v>
      </c>
      <c r="H1831" s="298" t="s">
        <v>47</v>
      </c>
      <c r="I1831" s="298" t="s">
        <v>2702</v>
      </c>
      <c r="J1831" s="299" t="s">
        <v>1740</v>
      </c>
      <c r="K1831" s="300" t="s">
        <v>94</v>
      </c>
      <c r="L1831" s="300" t="s">
        <v>2167</v>
      </c>
      <c r="M1831" s="299" t="s">
        <v>521</v>
      </c>
      <c r="N1831" s="298" t="s">
        <v>1743</v>
      </c>
      <c r="O1831" s="298" t="s">
        <v>1741</v>
      </c>
      <c r="P1831" s="301">
        <v>100</v>
      </c>
      <c r="Q1831" s="301">
        <v>5</v>
      </c>
      <c r="R1831" s="302">
        <v>8.0000000000000002E-3</v>
      </c>
      <c r="S1831" s="298" t="s">
        <v>40</v>
      </c>
      <c r="T1831" s="298" t="s">
        <v>56</v>
      </c>
      <c r="U1831" s="298" t="s">
        <v>89</v>
      </c>
      <c r="V1831" s="303">
        <f>32</f>
        <v>32</v>
      </c>
      <c r="W1831" s="303">
        <v>32</v>
      </c>
      <c r="X1831" s="304"/>
      <c r="Y1831" s="305">
        <f t="shared" si="621"/>
        <v>0</v>
      </c>
      <c r="Z1831" s="306">
        <f t="shared" si="622"/>
        <v>0</v>
      </c>
      <c r="AA1831" s="306">
        <f t="shared" si="614"/>
        <v>0</v>
      </c>
      <c r="AB1831" s="814">
        <v>1</v>
      </c>
      <c r="AC1831" s="303">
        <f t="shared" si="626"/>
        <v>0</v>
      </c>
      <c r="AD1831" s="209"/>
      <c r="AE1831" s="210"/>
      <c r="AF1831" s="210"/>
      <c r="AG1831" s="211" t="e">
        <f>(MID(O1831,1,3)/1000)/3</f>
        <v>#VALUE!</v>
      </c>
      <c r="AH1831" s="157" t="e">
        <f t="shared" si="624"/>
        <v>#VALUE!</v>
      </c>
      <c r="AI1831" s="152">
        <f t="shared" si="625"/>
        <v>3200</v>
      </c>
      <c r="AK1831" s="156" t="s">
        <v>691</v>
      </c>
      <c r="AL1831" s="212" t="s">
        <v>690</v>
      </c>
      <c r="AM1831" s="198" t="e">
        <f t="shared" si="628"/>
        <v>#VALUE!</v>
      </c>
      <c r="AN1831" s="199">
        <f t="shared" si="619"/>
        <v>45674</v>
      </c>
      <c r="AO1831" s="159" t="s">
        <v>692</v>
      </c>
      <c r="AP1831" s="783" t="s">
        <v>628</v>
      </c>
      <c r="AQ1831" s="782"/>
      <c r="AR1831" s="782"/>
      <c r="AS1831" s="782"/>
      <c r="AT1831" s="782"/>
      <c r="AU1831" s="781"/>
      <c r="AV1831" s="782">
        <v>12080791</v>
      </c>
      <c r="AW1831" s="782" t="s">
        <v>641</v>
      </c>
      <c r="AX1831" s="782" t="s">
        <v>533</v>
      </c>
      <c r="AY1831" s="782"/>
      <c r="AZ1831" s="782"/>
      <c r="BA1831" s="781"/>
      <c r="BB1831" s="209">
        <v>23053184</v>
      </c>
    </row>
    <row r="1832" spans="1:54" ht="25" hidden="1" customHeight="1">
      <c r="B1832" s="424">
        <v>45674</v>
      </c>
      <c r="C1832" s="647" t="s">
        <v>1874</v>
      </c>
      <c r="D1832" s="185">
        <f t="shared" si="610"/>
        <v>2025</v>
      </c>
      <c r="E1832" s="425" t="e">
        <f>VLOOKUP($B1832,Week!$A$1:$C$1462,2,0)</f>
        <v>#N/A</v>
      </c>
      <c r="F1832" s="426" t="str">
        <f t="shared" si="611"/>
        <v>Jan</v>
      </c>
      <c r="G1832" s="427" t="s">
        <v>47</v>
      </c>
      <c r="H1832" s="427" t="s">
        <v>518</v>
      </c>
      <c r="I1832" s="427" t="s">
        <v>2702</v>
      </c>
      <c r="J1832" s="428" t="s">
        <v>70</v>
      </c>
      <c r="K1832" s="429" t="s">
        <v>94</v>
      </c>
      <c r="L1832" s="300" t="s">
        <v>2167</v>
      </c>
      <c r="M1832" s="428" t="s">
        <v>521</v>
      </c>
      <c r="N1832" s="427" t="s">
        <v>587</v>
      </c>
      <c r="O1832" s="427" t="s">
        <v>3198</v>
      </c>
      <c r="P1832" s="430">
        <v>18</v>
      </c>
      <c r="Q1832" s="430">
        <v>5</v>
      </c>
      <c r="R1832" s="431">
        <v>8.0000000000000002E-3</v>
      </c>
      <c r="S1832" s="427" t="s">
        <v>40</v>
      </c>
      <c r="T1832" s="427" t="s">
        <v>56</v>
      </c>
      <c r="U1832" s="427" t="s">
        <v>89</v>
      </c>
      <c r="V1832" s="432">
        <f>400</f>
        <v>400</v>
      </c>
      <c r="W1832" s="432">
        <f>5+38+357</f>
        <v>400</v>
      </c>
      <c r="X1832" s="433"/>
      <c r="Y1832" s="434">
        <f t="shared" si="621"/>
        <v>0</v>
      </c>
      <c r="Z1832" s="435">
        <f t="shared" si="622"/>
        <v>0</v>
      </c>
      <c r="AA1832" s="435">
        <f t="shared" si="614"/>
        <v>0</v>
      </c>
      <c r="AB1832" s="826">
        <v>1</v>
      </c>
      <c r="AC1832" s="432">
        <f t="shared" si="626"/>
        <v>0</v>
      </c>
      <c r="AD1832" s="209"/>
      <c r="AE1832" s="210"/>
      <c r="AF1832" s="210"/>
      <c r="AG1832" s="211" t="e">
        <f>(MID(O1832,1,3)/1000)/3</f>
        <v>#VALUE!</v>
      </c>
      <c r="AH1832" s="157" t="e">
        <f t="shared" si="624"/>
        <v>#VALUE!</v>
      </c>
      <c r="AI1832" s="152">
        <f t="shared" si="625"/>
        <v>7200</v>
      </c>
      <c r="AK1832" s="156" t="s">
        <v>691</v>
      </c>
      <c r="AL1832" s="212" t="s">
        <v>690</v>
      </c>
      <c r="AM1832" s="198" t="e">
        <f t="shared" si="628"/>
        <v>#VALUE!</v>
      </c>
      <c r="AN1832" s="199">
        <f t="shared" si="619"/>
        <v>45674</v>
      </c>
      <c r="AO1832" s="159" t="s">
        <v>692</v>
      </c>
      <c r="AP1832" s="783" t="s">
        <v>628</v>
      </c>
      <c r="AQ1832" s="782"/>
      <c r="AR1832" s="782"/>
      <c r="AS1832" s="782"/>
      <c r="AT1832" s="782"/>
      <c r="AU1832" s="781"/>
      <c r="AV1832" s="782">
        <v>12080791</v>
      </c>
      <c r="AW1832" s="782" t="s">
        <v>641</v>
      </c>
      <c r="AX1832" s="782" t="s">
        <v>533</v>
      </c>
      <c r="AY1832" s="782"/>
      <c r="AZ1832" s="782"/>
      <c r="BA1832" s="781"/>
      <c r="BB1832" s="209">
        <v>23053184</v>
      </c>
    </row>
    <row r="1833" spans="1:54" ht="25" hidden="1" customHeight="1">
      <c r="B1833" s="424">
        <v>45674</v>
      </c>
      <c r="C1833" s="647" t="s">
        <v>1918</v>
      </c>
      <c r="D1833" s="185">
        <f t="shared" si="610"/>
        <v>2025</v>
      </c>
      <c r="E1833" s="425" t="e">
        <f>VLOOKUP($B1833,Week!$A$1:$C$1462,2,0)</f>
        <v>#N/A</v>
      </c>
      <c r="F1833" s="426" t="str">
        <f t="shared" si="611"/>
        <v>Jan</v>
      </c>
      <c r="G1833" s="427" t="s">
        <v>47</v>
      </c>
      <c r="H1833" s="427" t="s">
        <v>518</v>
      </c>
      <c r="I1833" s="427" t="s">
        <v>2702</v>
      </c>
      <c r="J1833" s="428" t="s">
        <v>70</v>
      </c>
      <c r="K1833" s="429" t="s">
        <v>94</v>
      </c>
      <c r="L1833" s="300" t="s">
        <v>2167</v>
      </c>
      <c r="M1833" s="428" t="s">
        <v>521</v>
      </c>
      <c r="N1833" s="427" t="s">
        <v>587</v>
      </c>
      <c r="O1833" s="427" t="s">
        <v>3198</v>
      </c>
      <c r="P1833" s="430">
        <v>18</v>
      </c>
      <c r="Q1833" s="430">
        <v>5</v>
      </c>
      <c r="R1833" s="431">
        <v>8.0000000000000002E-3</v>
      </c>
      <c r="S1833" s="427" t="s">
        <v>40</v>
      </c>
      <c r="T1833" s="427" t="s">
        <v>56</v>
      </c>
      <c r="U1833" s="427" t="s">
        <v>89</v>
      </c>
      <c r="V1833" s="432">
        <f>1035</f>
        <v>1035</v>
      </c>
      <c r="W1833" s="432">
        <f>1392-357</f>
        <v>1035</v>
      </c>
      <c r="X1833" s="433"/>
      <c r="Y1833" s="434">
        <f t="shared" si="621"/>
        <v>0</v>
      </c>
      <c r="Z1833" s="435">
        <f t="shared" si="622"/>
        <v>0</v>
      </c>
      <c r="AA1833" s="435">
        <f t="shared" si="614"/>
        <v>0</v>
      </c>
      <c r="AB1833" s="826">
        <v>1</v>
      </c>
      <c r="AC1833" s="432">
        <f t="shared" si="626"/>
        <v>0</v>
      </c>
      <c r="AD1833" s="209"/>
      <c r="AE1833" s="210"/>
      <c r="AF1833" s="210"/>
      <c r="AG1833" s="211" t="e">
        <f>(MID(O1833,1,3)/1000)/3</f>
        <v>#VALUE!</v>
      </c>
      <c r="AH1833" s="157" t="e">
        <f t="shared" si="624"/>
        <v>#VALUE!</v>
      </c>
      <c r="AI1833" s="152">
        <f t="shared" si="625"/>
        <v>18630</v>
      </c>
      <c r="AK1833" s="156" t="s">
        <v>691</v>
      </c>
      <c r="AL1833" s="212" t="s">
        <v>690</v>
      </c>
      <c r="AM1833" s="198" t="e">
        <f t="shared" si="628"/>
        <v>#VALUE!</v>
      </c>
      <c r="AN1833" s="199">
        <f t="shared" si="619"/>
        <v>45674</v>
      </c>
      <c r="AO1833" s="159" t="s">
        <v>692</v>
      </c>
      <c r="AP1833" s="783" t="s">
        <v>628</v>
      </c>
      <c r="AQ1833" s="782"/>
      <c r="AR1833" s="782"/>
      <c r="AS1833" s="782"/>
      <c r="AT1833" s="782"/>
      <c r="AU1833" s="781"/>
      <c r="AV1833" s="782">
        <v>12080791</v>
      </c>
      <c r="AW1833" s="782" t="s">
        <v>641</v>
      </c>
      <c r="AX1833" s="782" t="s">
        <v>533</v>
      </c>
      <c r="AY1833" s="782"/>
      <c r="AZ1833" s="782"/>
      <c r="BA1833" s="781"/>
      <c r="BB1833" s="209">
        <v>23053184</v>
      </c>
    </row>
    <row r="1834" spans="1:54" ht="24.65" hidden="1" customHeight="1">
      <c r="B1834" s="411">
        <v>45674</v>
      </c>
      <c r="C1834" s="645" t="s">
        <v>1918</v>
      </c>
      <c r="D1834" s="185">
        <f t="shared" si="610"/>
        <v>2025</v>
      </c>
      <c r="E1834" s="412" t="e">
        <f>VLOOKUP($B1834,Week!$A$1:$C$1462,2,0)</f>
        <v>#N/A</v>
      </c>
      <c r="F1834" s="413" t="str">
        <f t="shared" si="611"/>
        <v>Jan</v>
      </c>
      <c r="G1834" s="414" t="s">
        <v>47</v>
      </c>
      <c r="H1834" s="414" t="s">
        <v>260</v>
      </c>
      <c r="I1834" s="414" t="s">
        <v>2702</v>
      </c>
      <c r="J1834" s="415" t="s">
        <v>261</v>
      </c>
      <c r="K1834" s="416" t="s">
        <v>94</v>
      </c>
      <c r="L1834" s="300" t="s">
        <v>2167</v>
      </c>
      <c r="M1834" s="415" t="s">
        <v>1303</v>
      </c>
      <c r="N1834" s="414" t="s">
        <v>263</v>
      </c>
      <c r="O1834" s="414" t="s">
        <v>195</v>
      </c>
      <c r="P1834" s="417">
        <v>24</v>
      </c>
      <c r="Q1834" s="417">
        <v>5</v>
      </c>
      <c r="R1834" s="418">
        <v>8.0000000000000002E-3</v>
      </c>
      <c r="S1834" s="414" t="s">
        <v>40</v>
      </c>
      <c r="T1834" s="414" t="s">
        <v>56</v>
      </c>
      <c r="U1834" s="414" t="s">
        <v>57</v>
      </c>
      <c r="V1834" s="419">
        <f>4483-470+871</f>
        <v>4884</v>
      </c>
      <c r="W1834" s="419">
        <f>4884</f>
        <v>4884</v>
      </c>
      <c r="X1834" s="420"/>
      <c r="Y1834" s="421">
        <f t="shared" si="621"/>
        <v>0</v>
      </c>
      <c r="Z1834" s="422">
        <f t="shared" si="622"/>
        <v>0</v>
      </c>
      <c r="AA1834" s="422">
        <f t="shared" si="614"/>
        <v>0</v>
      </c>
      <c r="AB1834" s="825">
        <v>7.4999999999999997E-3</v>
      </c>
      <c r="AC1834" s="419">
        <f t="shared" si="626"/>
        <v>0</v>
      </c>
      <c r="AD1834" s="209"/>
      <c r="AE1834" s="210"/>
      <c r="AF1834" s="210"/>
      <c r="AG1834" s="211">
        <f t="shared" ref="AG1834:AG1850" si="629">MID(O1834,1,3)/1000</f>
        <v>0.14499999999999999</v>
      </c>
      <c r="AH1834" s="157">
        <f t="shared" si="624"/>
        <v>0</v>
      </c>
      <c r="AI1834" s="152">
        <f t="shared" si="625"/>
        <v>117216</v>
      </c>
      <c r="AK1834" s="156" t="s">
        <v>691</v>
      </c>
      <c r="AL1834" s="212" t="s">
        <v>690</v>
      </c>
      <c r="AM1834" s="198">
        <f>AG1834*Z1834</f>
        <v>0</v>
      </c>
      <c r="AN1834" s="199">
        <f t="shared" si="619"/>
        <v>45674</v>
      </c>
      <c r="AO1834" s="159" t="s">
        <v>692</v>
      </c>
      <c r="AP1834" s="783" t="s">
        <v>609</v>
      </c>
      <c r="AQ1834" s="782">
        <v>12071839</v>
      </c>
      <c r="AR1834" s="782">
        <v>12047514</v>
      </c>
      <c r="AS1834" s="782">
        <v>12047515</v>
      </c>
      <c r="AT1834" s="781"/>
      <c r="AU1834" s="781"/>
      <c r="AV1834" s="782">
        <v>12080613</v>
      </c>
      <c r="AW1834" s="781"/>
      <c r="AX1834" s="781"/>
      <c r="AY1834" s="782">
        <v>12080614</v>
      </c>
      <c r="AZ1834" s="782">
        <v>12080616</v>
      </c>
      <c r="BA1834" s="781"/>
      <c r="BB1834" s="209">
        <v>23053185</v>
      </c>
    </row>
    <row r="1835" spans="1:54" ht="24.65" hidden="1" customHeight="1">
      <c r="B1835" s="546">
        <v>45674</v>
      </c>
      <c r="C1835" s="547" t="s">
        <v>1874</v>
      </c>
      <c r="D1835" s="185">
        <f t="shared" si="610"/>
        <v>2025</v>
      </c>
      <c r="E1835" s="547" t="e">
        <f>VLOOKUP($B1835,Week!$A$1:$C$1462,2,0)</f>
        <v>#N/A</v>
      </c>
      <c r="F1835" s="548" t="str">
        <f t="shared" si="611"/>
        <v>Jan</v>
      </c>
      <c r="G1835" s="549" t="s">
        <v>47</v>
      </c>
      <c r="H1835" s="549" t="s">
        <v>518</v>
      </c>
      <c r="I1835" s="549" t="s">
        <v>2702</v>
      </c>
      <c r="J1835" s="550" t="s">
        <v>70</v>
      </c>
      <c r="K1835" s="551" t="s">
        <v>1020</v>
      </c>
      <c r="L1835" s="300" t="s">
        <v>2167</v>
      </c>
      <c r="M1835" s="550" t="s">
        <v>746</v>
      </c>
      <c r="N1835" s="618" t="s">
        <v>751</v>
      </c>
      <c r="O1835" s="549" t="s">
        <v>747</v>
      </c>
      <c r="P1835" s="552">
        <v>12</v>
      </c>
      <c r="Q1835" s="552">
        <v>5</v>
      </c>
      <c r="R1835" s="549">
        <v>6.1999999999999998E-3</v>
      </c>
      <c r="S1835" s="549" t="s">
        <v>352</v>
      </c>
      <c r="T1835" s="549" t="s">
        <v>56</v>
      </c>
      <c r="U1835" s="549" t="s">
        <v>739</v>
      </c>
      <c r="V1835" s="554">
        <f>443</f>
        <v>443</v>
      </c>
      <c r="W1835" s="554">
        <f>443</f>
        <v>443</v>
      </c>
      <c r="X1835" s="555"/>
      <c r="Y1835" s="556">
        <f t="shared" si="621"/>
        <v>0</v>
      </c>
      <c r="Z1835" s="557">
        <f t="shared" si="622"/>
        <v>0</v>
      </c>
      <c r="AA1835" s="557">
        <f t="shared" si="614"/>
        <v>0</v>
      </c>
      <c r="AB1835" s="833">
        <v>1.2999999999999999E-2</v>
      </c>
      <c r="AC1835" s="554">
        <f t="shared" si="626"/>
        <v>0</v>
      </c>
      <c r="AD1835" s="209"/>
      <c r="AE1835" s="210"/>
      <c r="AF1835" s="210"/>
      <c r="AG1835" s="211">
        <f t="shared" si="629"/>
        <v>0.14299999999999999</v>
      </c>
      <c r="AH1835" s="157">
        <f t="shared" si="624"/>
        <v>0</v>
      </c>
      <c r="AI1835" s="152">
        <f t="shared" si="625"/>
        <v>5316</v>
      </c>
      <c r="AK1835" s="156" t="s">
        <v>691</v>
      </c>
      <c r="AL1835" s="212" t="s">
        <v>690</v>
      </c>
      <c r="AM1835" s="198">
        <f t="shared" si="628"/>
        <v>0</v>
      </c>
      <c r="AN1835" s="199">
        <f t="shared" si="619"/>
        <v>45674</v>
      </c>
      <c r="AO1835" s="159" t="s">
        <v>692</v>
      </c>
      <c r="AP1835" s="783" t="s">
        <v>609</v>
      </c>
      <c r="AQ1835" s="782">
        <v>12071839</v>
      </c>
      <c r="AR1835" s="782">
        <v>12047514</v>
      </c>
      <c r="AS1835" s="782">
        <v>12047515</v>
      </c>
      <c r="AT1835" s="781"/>
      <c r="AU1835" s="781"/>
      <c r="AV1835" s="782">
        <v>12088316</v>
      </c>
      <c r="AW1835" s="781"/>
      <c r="AX1835" s="781"/>
      <c r="AY1835" s="782">
        <v>12089871</v>
      </c>
      <c r="AZ1835" s="782">
        <v>12089872</v>
      </c>
      <c r="BA1835" s="781"/>
      <c r="BB1835" s="209">
        <v>11042803</v>
      </c>
    </row>
    <row r="1836" spans="1:54" ht="24.65" hidden="1" customHeight="1">
      <c r="B1836" s="546">
        <v>45674</v>
      </c>
      <c r="C1836" s="547" t="s">
        <v>1918</v>
      </c>
      <c r="D1836" s="185">
        <f t="shared" si="610"/>
        <v>2025</v>
      </c>
      <c r="E1836" s="547" t="e">
        <f>VLOOKUP($B1836,Week!$A$1:$C$1462,2,0)</f>
        <v>#N/A</v>
      </c>
      <c r="F1836" s="548" t="str">
        <f t="shared" si="611"/>
        <v>Jan</v>
      </c>
      <c r="G1836" s="549" t="s">
        <v>47</v>
      </c>
      <c r="H1836" s="549" t="s">
        <v>518</v>
      </c>
      <c r="I1836" s="549" t="s">
        <v>2702</v>
      </c>
      <c r="J1836" s="550" t="s">
        <v>70</v>
      </c>
      <c r="K1836" s="551" t="s">
        <v>1020</v>
      </c>
      <c r="L1836" s="300" t="s">
        <v>2167</v>
      </c>
      <c r="M1836" s="550" t="s">
        <v>746</v>
      </c>
      <c r="N1836" s="618" t="s">
        <v>751</v>
      </c>
      <c r="O1836" s="549" t="s">
        <v>747</v>
      </c>
      <c r="P1836" s="552">
        <v>12</v>
      </c>
      <c r="Q1836" s="552">
        <v>5</v>
      </c>
      <c r="R1836" s="549">
        <v>6.1999999999999998E-3</v>
      </c>
      <c r="S1836" s="549" t="s">
        <v>352</v>
      </c>
      <c r="T1836" s="549" t="s">
        <v>56</v>
      </c>
      <c r="U1836" s="549" t="s">
        <v>739</v>
      </c>
      <c r="V1836" s="554">
        <f>272</f>
        <v>272</v>
      </c>
      <c r="W1836" s="554">
        <f>713-443+2</f>
        <v>272</v>
      </c>
      <c r="X1836" s="555"/>
      <c r="Y1836" s="556">
        <f t="shared" si="621"/>
        <v>0</v>
      </c>
      <c r="Z1836" s="557">
        <f t="shared" si="622"/>
        <v>0</v>
      </c>
      <c r="AA1836" s="557">
        <f t="shared" si="614"/>
        <v>0</v>
      </c>
      <c r="AB1836" s="833">
        <v>1.2999999999999999E-2</v>
      </c>
      <c r="AC1836" s="554">
        <f t="shared" si="626"/>
        <v>0</v>
      </c>
      <c r="AD1836" s="209"/>
      <c r="AE1836" s="210"/>
      <c r="AF1836" s="210"/>
      <c r="AG1836" s="211">
        <f t="shared" si="629"/>
        <v>0.14299999999999999</v>
      </c>
      <c r="AH1836" s="157">
        <f t="shared" si="624"/>
        <v>0</v>
      </c>
      <c r="AI1836" s="152">
        <f t="shared" si="625"/>
        <v>3264</v>
      </c>
      <c r="AK1836" s="156" t="s">
        <v>691</v>
      </c>
      <c r="AL1836" s="212" t="s">
        <v>690</v>
      </c>
      <c r="AM1836" s="198">
        <f t="shared" si="628"/>
        <v>0</v>
      </c>
      <c r="AN1836" s="199">
        <f t="shared" si="619"/>
        <v>45674</v>
      </c>
      <c r="AO1836" s="159" t="s">
        <v>692</v>
      </c>
      <c r="AP1836" s="783" t="s">
        <v>609</v>
      </c>
      <c r="AQ1836" s="782">
        <v>12071839</v>
      </c>
      <c r="AR1836" s="782">
        <v>12047514</v>
      </c>
      <c r="AS1836" s="782">
        <v>12047515</v>
      </c>
      <c r="AT1836" s="781"/>
      <c r="AU1836" s="781"/>
      <c r="AV1836" s="782">
        <v>12088316</v>
      </c>
      <c r="AW1836" s="781"/>
      <c r="AX1836" s="781"/>
      <c r="AY1836" s="782">
        <v>12089871</v>
      </c>
      <c r="AZ1836" s="782">
        <v>12089872</v>
      </c>
      <c r="BA1836" s="781"/>
      <c r="BB1836" s="209">
        <v>11042803</v>
      </c>
    </row>
    <row r="1837" spans="1:54" ht="25" hidden="1" customHeight="1">
      <c r="A1837" s="754" t="s">
        <v>438</v>
      </c>
      <c r="B1837" s="332">
        <v>45675</v>
      </c>
      <c r="C1837" s="333">
        <v>45694</v>
      </c>
      <c r="D1837" s="185">
        <f t="shared" si="610"/>
        <v>2025</v>
      </c>
      <c r="E1837" s="335" t="e">
        <f>VLOOKUP($B1837,Week!$A$1:$C$1462,2,0)</f>
        <v>#N/A</v>
      </c>
      <c r="F1837" s="334" t="str">
        <f t="shared" si="611"/>
        <v>Jan</v>
      </c>
      <c r="G1837" s="335" t="s">
        <v>1926</v>
      </c>
      <c r="H1837" s="335" t="s">
        <v>311</v>
      </c>
      <c r="I1837" s="335" t="s">
        <v>2772</v>
      </c>
      <c r="J1837" s="336" t="s">
        <v>738</v>
      </c>
      <c r="K1837" s="337" t="s">
        <v>671</v>
      </c>
      <c r="L1837" s="300" t="s">
        <v>2167</v>
      </c>
      <c r="M1837" s="336" t="s">
        <v>661</v>
      </c>
      <c r="N1837" s="335" t="s">
        <v>666</v>
      </c>
      <c r="O1837" s="335" t="s">
        <v>566</v>
      </c>
      <c r="P1837" s="338">
        <v>16</v>
      </c>
      <c r="Q1837" s="338">
        <v>6</v>
      </c>
      <c r="R1837" s="339">
        <v>6.0000000000000001E-3</v>
      </c>
      <c r="S1837" s="335" t="s">
        <v>55</v>
      </c>
      <c r="T1837" s="335" t="s">
        <v>112</v>
      </c>
      <c r="U1837" s="335" t="s">
        <v>662</v>
      </c>
      <c r="V1837" s="341">
        <f>120</f>
        <v>120</v>
      </c>
      <c r="W1837" s="341">
        <f>120</f>
        <v>120</v>
      </c>
      <c r="X1837" s="342"/>
      <c r="Y1837" s="343">
        <f t="shared" si="621"/>
        <v>0</v>
      </c>
      <c r="Z1837" s="344">
        <f t="shared" si="622"/>
        <v>0</v>
      </c>
      <c r="AA1837" s="344">
        <f t="shared" si="614"/>
        <v>0</v>
      </c>
      <c r="AB1837" s="817">
        <v>1</v>
      </c>
      <c r="AC1837" s="341">
        <f t="shared" si="626"/>
        <v>0</v>
      </c>
      <c r="AD1837" s="336" t="s">
        <v>2295</v>
      </c>
      <c r="AE1837" s="533"/>
      <c r="AF1837" s="533"/>
      <c r="AG1837" s="211">
        <f t="shared" si="629"/>
        <v>0.11700000000000001</v>
      </c>
      <c r="AH1837" s="157">
        <f t="shared" si="624"/>
        <v>0</v>
      </c>
      <c r="AI1837" s="152">
        <f t="shared" si="625"/>
        <v>1920</v>
      </c>
      <c r="AK1837" s="156" t="s">
        <v>691</v>
      </c>
      <c r="AL1837" s="212" t="s">
        <v>690</v>
      </c>
      <c r="AM1837" s="198">
        <f t="shared" ref="AM1837:AM1842" si="630">AG1837*Z1837</f>
        <v>0</v>
      </c>
      <c r="AN1837" s="199">
        <f t="shared" si="619"/>
        <v>45675</v>
      </c>
      <c r="AO1837" s="159" t="s">
        <v>692</v>
      </c>
      <c r="AP1837" s="781"/>
      <c r="AQ1837" s="782"/>
      <c r="AR1837" s="782" t="s">
        <v>2144</v>
      </c>
      <c r="AS1837" s="782"/>
      <c r="AT1837" s="782">
        <v>12085802</v>
      </c>
      <c r="AU1837" s="781"/>
      <c r="AV1837" s="782">
        <v>12085309</v>
      </c>
      <c r="AW1837" s="782"/>
      <c r="AX1837" s="782" t="s">
        <v>2145</v>
      </c>
      <c r="AY1837" s="782"/>
      <c r="AZ1837" s="782"/>
      <c r="BA1837" s="781"/>
      <c r="BB1837" s="209">
        <v>23094763</v>
      </c>
    </row>
    <row r="1838" spans="1:54" ht="25" hidden="1" customHeight="1">
      <c r="A1838" s="754" t="s">
        <v>438</v>
      </c>
      <c r="B1838" s="332">
        <v>45675</v>
      </c>
      <c r="C1838" s="333">
        <v>45701</v>
      </c>
      <c r="D1838" s="185">
        <f t="shared" si="610"/>
        <v>2025</v>
      </c>
      <c r="E1838" s="335" t="e">
        <f>VLOOKUP($B1838,Week!$A$1:$C$1462,2,0)</f>
        <v>#N/A</v>
      </c>
      <c r="F1838" s="334" t="str">
        <f t="shared" si="611"/>
        <v>Jan</v>
      </c>
      <c r="G1838" s="530" t="s">
        <v>1921</v>
      </c>
      <c r="H1838" s="335" t="s">
        <v>675</v>
      </c>
      <c r="I1838" s="335" t="s">
        <v>2772</v>
      </c>
      <c r="J1838" s="336" t="s">
        <v>709</v>
      </c>
      <c r="K1838" s="337" t="s">
        <v>671</v>
      </c>
      <c r="L1838" s="300" t="s">
        <v>2167</v>
      </c>
      <c r="M1838" s="336" t="s">
        <v>661</v>
      </c>
      <c r="N1838" s="335" t="s">
        <v>714</v>
      </c>
      <c r="O1838" s="335" t="s">
        <v>566</v>
      </c>
      <c r="P1838" s="338">
        <v>16</v>
      </c>
      <c r="Q1838" s="338">
        <v>6</v>
      </c>
      <c r="R1838" s="339">
        <v>6.0000000000000001E-3</v>
      </c>
      <c r="S1838" s="335" t="s">
        <v>55</v>
      </c>
      <c r="T1838" s="335" t="s">
        <v>112</v>
      </c>
      <c r="U1838" s="335" t="s">
        <v>662</v>
      </c>
      <c r="V1838" s="341">
        <f>216</f>
        <v>216</v>
      </c>
      <c r="W1838" s="341">
        <f>214</f>
        <v>214</v>
      </c>
      <c r="X1838" s="342">
        <v>2</v>
      </c>
      <c r="Y1838" s="343">
        <f t="shared" si="621"/>
        <v>0</v>
      </c>
      <c r="Z1838" s="344">
        <f t="shared" si="622"/>
        <v>0</v>
      </c>
      <c r="AA1838" s="344">
        <f t="shared" si="614"/>
        <v>0</v>
      </c>
      <c r="AB1838" s="817">
        <v>1</v>
      </c>
      <c r="AC1838" s="341">
        <f t="shared" si="626"/>
        <v>0</v>
      </c>
      <c r="AD1838" s="336" t="s">
        <v>2295</v>
      </c>
      <c r="AE1838" s="533"/>
      <c r="AF1838" s="533"/>
      <c r="AG1838" s="211">
        <f t="shared" si="629"/>
        <v>0.11700000000000001</v>
      </c>
      <c r="AH1838" s="157">
        <f t="shared" si="624"/>
        <v>0</v>
      </c>
      <c r="AI1838" s="152">
        <f t="shared" si="625"/>
        <v>3456</v>
      </c>
      <c r="AK1838" s="156" t="s">
        <v>691</v>
      </c>
      <c r="AL1838" s="212" t="s">
        <v>690</v>
      </c>
      <c r="AM1838" s="198">
        <f t="shared" si="630"/>
        <v>0</v>
      </c>
      <c r="AN1838" s="199">
        <f t="shared" si="619"/>
        <v>45675</v>
      </c>
      <c r="AO1838" s="159" t="s">
        <v>692</v>
      </c>
      <c r="AP1838" s="797"/>
      <c r="AQ1838" s="798"/>
      <c r="AR1838" s="798" t="s">
        <v>2144</v>
      </c>
      <c r="AS1838" s="798"/>
      <c r="AT1838" s="782">
        <v>12090031</v>
      </c>
      <c r="AU1838" s="799"/>
      <c r="AV1838" s="782">
        <v>12090032</v>
      </c>
      <c r="AW1838" s="798"/>
      <c r="AX1838" s="798" t="s">
        <v>2145</v>
      </c>
      <c r="AY1838" s="798"/>
      <c r="AZ1838" s="798"/>
      <c r="BA1838" s="799"/>
      <c r="BB1838" s="209">
        <v>23094763</v>
      </c>
    </row>
    <row r="1839" spans="1:54" ht="25" hidden="1" customHeight="1">
      <c r="A1839" s="754" t="s">
        <v>438</v>
      </c>
      <c r="B1839" s="332">
        <v>45675</v>
      </c>
      <c r="C1839" s="333">
        <v>45715</v>
      </c>
      <c r="D1839" s="185">
        <f t="shared" si="610"/>
        <v>2025</v>
      </c>
      <c r="E1839" s="335" t="e">
        <f>VLOOKUP($B1839,Week!$A$1:$C$1462,2,0)</f>
        <v>#N/A</v>
      </c>
      <c r="F1839" s="334" t="str">
        <f t="shared" si="611"/>
        <v>Jan</v>
      </c>
      <c r="G1839" s="530" t="s">
        <v>1922</v>
      </c>
      <c r="H1839" s="335" t="s">
        <v>675</v>
      </c>
      <c r="I1839" s="335" t="s">
        <v>2772</v>
      </c>
      <c r="J1839" s="336" t="s">
        <v>709</v>
      </c>
      <c r="K1839" s="337" t="s">
        <v>671</v>
      </c>
      <c r="L1839" s="300" t="s">
        <v>2167</v>
      </c>
      <c r="M1839" s="336" t="s">
        <v>661</v>
      </c>
      <c r="N1839" s="335" t="s">
        <v>714</v>
      </c>
      <c r="O1839" s="335" t="s">
        <v>566</v>
      </c>
      <c r="P1839" s="338">
        <v>16</v>
      </c>
      <c r="Q1839" s="338">
        <v>6</v>
      </c>
      <c r="R1839" s="339">
        <v>6.0000000000000001E-3</v>
      </c>
      <c r="S1839" s="335" t="s">
        <v>55</v>
      </c>
      <c r="T1839" s="335" t="s">
        <v>112</v>
      </c>
      <c r="U1839" s="335" t="s">
        <v>662</v>
      </c>
      <c r="V1839" s="341">
        <f>144</f>
        <v>144</v>
      </c>
      <c r="W1839" s="341">
        <f>144</f>
        <v>144</v>
      </c>
      <c r="X1839" s="342">
        <f>(41)/8</f>
        <v>5.125</v>
      </c>
      <c r="Y1839" s="343">
        <f t="shared" si="621"/>
        <v>5.125</v>
      </c>
      <c r="Z1839" s="344">
        <f t="shared" si="622"/>
        <v>0</v>
      </c>
      <c r="AA1839" s="344">
        <f t="shared" si="614"/>
        <v>0</v>
      </c>
      <c r="AB1839" s="817">
        <v>1</v>
      </c>
      <c r="AC1839" s="341">
        <f t="shared" si="626"/>
        <v>0</v>
      </c>
      <c r="AD1839" s="336" t="s">
        <v>2295</v>
      </c>
      <c r="AE1839" s="533"/>
      <c r="AF1839" s="533"/>
      <c r="AG1839" s="211">
        <f t="shared" si="629"/>
        <v>0.11700000000000001</v>
      </c>
      <c r="AH1839" s="157">
        <f t="shared" si="624"/>
        <v>0</v>
      </c>
      <c r="AI1839" s="152">
        <f t="shared" si="625"/>
        <v>2304</v>
      </c>
      <c r="AK1839" s="156" t="s">
        <v>691</v>
      </c>
      <c r="AL1839" s="212" t="s">
        <v>690</v>
      </c>
      <c r="AM1839" s="198">
        <f t="shared" si="630"/>
        <v>0</v>
      </c>
      <c r="AN1839" s="199">
        <f t="shared" si="619"/>
        <v>45675</v>
      </c>
      <c r="AO1839" s="159" t="s">
        <v>692</v>
      </c>
      <c r="AP1839" s="797"/>
      <c r="AQ1839" s="798"/>
      <c r="AR1839" s="798" t="s">
        <v>2144</v>
      </c>
      <c r="AS1839" s="798"/>
      <c r="AT1839" s="782">
        <v>12090031</v>
      </c>
      <c r="AU1839" s="799"/>
      <c r="AV1839" s="782">
        <v>12090032</v>
      </c>
      <c r="AW1839" s="798"/>
      <c r="AX1839" s="798" t="s">
        <v>2145</v>
      </c>
      <c r="AY1839" s="798"/>
      <c r="AZ1839" s="798"/>
      <c r="BA1839" s="799"/>
      <c r="BB1839" s="209">
        <v>23094763</v>
      </c>
    </row>
    <row r="1840" spans="1:54" ht="25" hidden="1" customHeight="1">
      <c r="A1840" s="440"/>
      <c r="B1840" s="332">
        <v>45675</v>
      </c>
      <c r="C1840" s="333">
        <v>45701</v>
      </c>
      <c r="D1840" s="185">
        <f t="shared" si="610"/>
        <v>2025</v>
      </c>
      <c r="E1840" s="333" t="e">
        <f>VLOOKUP($B1840,Week!$A$1:$C$1462,2,0)</f>
        <v>#N/A</v>
      </c>
      <c r="F1840" s="334" t="str">
        <f t="shared" si="611"/>
        <v>Jan</v>
      </c>
      <c r="G1840" s="335" t="s">
        <v>1921</v>
      </c>
      <c r="H1840" s="335" t="s">
        <v>675</v>
      </c>
      <c r="I1840" s="335" t="s">
        <v>2772</v>
      </c>
      <c r="J1840" s="336" t="s">
        <v>709</v>
      </c>
      <c r="K1840" s="337" t="s">
        <v>1651</v>
      </c>
      <c r="L1840" s="300" t="s">
        <v>2167</v>
      </c>
      <c r="M1840" s="336" t="s">
        <v>683</v>
      </c>
      <c r="N1840" s="530" t="s">
        <v>713</v>
      </c>
      <c r="O1840" s="335" t="s">
        <v>684</v>
      </c>
      <c r="P1840" s="338">
        <v>8</v>
      </c>
      <c r="Q1840" s="338">
        <v>3</v>
      </c>
      <c r="R1840" s="339">
        <v>6.0000000000000001E-3</v>
      </c>
      <c r="S1840" s="335" t="s">
        <v>55</v>
      </c>
      <c r="T1840" s="335" t="s">
        <v>112</v>
      </c>
      <c r="U1840" s="340" t="s">
        <v>716</v>
      </c>
      <c r="V1840" s="341">
        <f>270</f>
        <v>270</v>
      </c>
      <c r="W1840" s="341"/>
      <c r="X1840" s="342">
        <f>2160/8</f>
        <v>270</v>
      </c>
      <c r="Y1840" s="343">
        <f t="shared" si="621"/>
        <v>0</v>
      </c>
      <c r="Z1840" s="344">
        <f t="shared" si="622"/>
        <v>0</v>
      </c>
      <c r="AA1840" s="344">
        <f t="shared" si="614"/>
        <v>0</v>
      </c>
      <c r="AB1840" s="817">
        <v>1</v>
      </c>
      <c r="AC1840" s="341">
        <f t="shared" si="626"/>
        <v>0</v>
      </c>
      <c r="AD1840" s="443" t="s">
        <v>672</v>
      </c>
      <c r="AE1840" s="210"/>
      <c r="AF1840" s="210"/>
      <c r="AG1840" s="211">
        <f t="shared" si="629"/>
        <v>0.219</v>
      </c>
      <c r="AH1840" s="157">
        <v>0.26621999999999996</v>
      </c>
      <c r="AI1840" s="152">
        <f t="shared" si="625"/>
        <v>2160</v>
      </c>
      <c r="AK1840" s="156" t="s">
        <v>691</v>
      </c>
      <c r="AL1840" s="574" t="s">
        <v>690</v>
      </c>
      <c r="AM1840" s="198">
        <f t="shared" si="630"/>
        <v>0</v>
      </c>
      <c r="AN1840" s="199">
        <f t="shared" si="619"/>
        <v>45675</v>
      </c>
      <c r="AO1840" s="159" t="s">
        <v>692</v>
      </c>
      <c r="AP1840" s="781" t="s">
        <v>642</v>
      </c>
      <c r="AQ1840" s="782">
        <v>12071839</v>
      </c>
      <c r="AR1840" s="782">
        <v>12042650</v>
      </c>
      <c r="AS1840" s="782">
        <v>12042649</v>
      </c>
      <c r="AT1840" s="782">
        <v>12089991</v>
      </c>
      <c r="AU1840" s="781"/>
      <c r="AV1840" s="782">
        <v>12089989</v>
      </c>
      <c r="AW1840" s="781"/>
      <c r="AX1840" s="781"/>
      <c r="AY1840" s="781"/>
      <c r="AZ1840" s="782"/>
      <c r="BA1840" s="781"/>
      <c r="BB1840" s="209">
        <v>23099087</v>
      </c>
    </row>
    <row r="1841" spans="1:54" ht="25" hidden="1" customHeight="1">
      <c r="A1841" s="440"/>
      <c r="B1841" s="332">
        <v>45675</v>
      </c>
      <c r="C1841" s="333">
        <v>45715</v>
      </c>
      <c r="D1841" s="185">
        <f t="shared" si="610"/>
        <v>2025</v>
      </c>
      <c r="E1841" s="333" t="e">
        <f>VLOOKUP($B1841,Week!$A$1:$C$1462,2,0)</f>
        <v>#N/A</v>
      </c>
      <c r="F1841" s="334" t="str">
        <f t="shared" si="611"/>
        <v>Jan</v>
      </c>
      <c r="G1841" s="335" t="s">
        <v>1922</v>
      </c>
      <c r="H1841" s="335" t="s">
        <v>675</v>
      </c>
      <c r="I1841" s="335" t="s">
        <v>2772</v>
      </c>
      <c r="J1841" s="336" t="s">
        <v>709</v>
      </c>
      <c r="K1841" s="337" t="s">
        <v>1651</v>
      </c>
      <c r="L1841" s="300" t="s">
        <v>2167</v>
      </c>
      <c r="M1841" s="336" t="s">
        <v>683</v>
      </c>
      <c r="N1841" s="530" t="s">
        <v>713</v>
      </c>
      <c r="O1841" s="335" t="s">
        <v>684</v>
      </c>
      <c r="P1841" s="338">
        <v>8</v>
      </c>
      <c r="Q1841" s="338">
        <v>3</v>
      </c>
      <c r="R1841" s="339">
        <v>6.0000000000000001E-3</v>
      </c>
      <c r="S1841" s="335" t="s">
        <v>55</v>
      </c>
      <c r="T1841" s="335" t="s">
        <v>112</v>
      </c>
      <c r="U1841" s="340" t="s">
        <v>716</v>
      </c>
      <c r="V1841" s="341">
        <f>54</f>
        <v>54</v>
      </c>
      <c r="W1841" s="341"/>
      <c r="X1841" s="342">
        <f>440/8</f>
        <v>55</v>
      </c>
      <c r="Y1841" s="343">
        <f t="shared" si="621"/>
        <v>1</v>
      </c>
      <c r="Z1841" s="344">
        <f t="shared" si="622"/>
        <v>0</v>
      </c>
      <c r="AA1841" s="344">
        <f t="shared" si="614"/>
        <v>0</v>
      </c>
      <c r="AB1841" s="817">
        <v>1</v>
      </c>
      <c r="AC1841" s="341">
        <f t="shared" si="626"/>
        <v>0</v>
      </c>
      <c r="AD1841" s="443" t="s">
        <v>672</v>
      </c>
      <c r="AE1841" s="210"/>
      <c r="AF1841" s="210"/>
      <c r="AG1841" s="211">
        <f t="shared" si="629"/>
        <v>0.219</v>
      </c>
      <c r="AH1841" s="157">
        <v>0.26621999999999996</v>
      </c>
      <c r="AI1841" s="152">
        <f t="shared" si="625"/>
        <v>432</v>
      </c>
      <c r="AK1841" s="156" t="s">
        <v>691</v>
      </c>
      <c r="AL1841" s="574" t="s">
        <v>690</v>
      </c>
      <c r="AM1841" s="198">
        <f t="shared" si="630"/>
        <v>0</v>
      </c>
      <c r="AN1841" s="199">
        <f t="shared" si="619"/>
        <v>45675</v>
      </c>
      <c r="AO1841" s="159" t="s">
        <v>692</v>
      </c>
      <c r="AP1841" s="781" t="s">
        <v>642</v>
      </c>
      <c r="AQ1841" s="782">
        <v>12071839</v>
      </c>
      <c r="AR1841" s="782">
        <v>12042650</v>
      </c>
      <c r="AS1841" s="782">
        <v>12042649</v>
      </c>
      <c r="AT1841" s="782">
        <v>12089991</v>
      </c>
      <c r="AU1841" s="781"/>
      <c r="AV1841" s="782">
        <v>12089989</v>
      </c>
      <c r="AW1841" s="781"/>
      <c r="AX1841" s="781"/>
      <c r="AY1841" s="781"/>
      <c r="AZ1841" s="782"/>
      <c r="BA1841" s="781"/>
      <c r="BB1841" s="209">
        <v>23099087</v>
      </c>
    </row>
    <row r="1842" spans="1:54" ht="24.65" hidden="1" customHeight="1">
      <c r="B1842" s="308">
        <v>45675</v>
      </c>
      <c r="C1842" s="309">
        <v>45708</v>
      </c>
      <c r="D1842" s="185">
        <f t="shared" si="610"/>
        <v>2025</v>
      </c>
      <c r="E1842" s="309" t="e">
        <f>VLOOKUP($B1842,Week!$A$1:$C$1462,2,0)</f>
        <v>#N/A</v>
      </c>
      <c r="F1842" s="310" t="str">
        <f t="shared" si="611"/>
        <v>Jan</v>
      </c>
      <c r="G1842" s="311" t="s">
        <v>1891</v>
      </c>
      <c r="H1842" s="311" t="s">
        <v>311</v>
      </c>
      <c r="I1842" s="311" t="s">
        <v>2772</v>
      </c>
      <c r="J1842" s="312" t="s">
        <v>738</v>
      </c>
      <c r="K1842" s="313" t="s">
        <v>107</v>
      </c>
      <c r="L1842" s="300" t="s">
        <v>2167</v>
      </c>
      <c r="M1842" s="312" t="s">
        <v>313</v>
      </c>
      <c r="N1842" s="311" t="s">
        <v>314</v>
      </c>
      <c r="O1842" s="311" t="s">
        <v>110</v>
      </c>
      <c r="P1842" s="314">
        <v>36</v>
      </c>
      <c r="Q1842" s="314">
        <v>5</v>
      </c>
      <c r="R1842" s="315">
        <v>7.4999999999999997E-3</v>
      </c>
      <c r="S1842" s="311" t="s">
        <v>111</v>
      </c>
      <c r="T1842" s="311" t="s">
        <v>112</v>
      </c>
      <c r="U1842" s="311" t="s">
        <v>57</v>
      </c>
      <c r="V1842" s="316">
        <v>792</v>
      </c>
      <c r="W1842" s="316">
        <f>1+791</f>
        <v>792</v>
      </c>
      <c r="X1842" s="317"/>
      <c r="Y1842" s="318">
        <f t="shared" si="621"/>
        <v>0</v>
      </c>
      <c r="Z1842" s="319">
        <f t="shared" si="622"/>
        <v>0</v>
      </c>
      <c r="AA1842" s="319">
        <f t="shared" si="614"/>
        <v>0</v>
      </c>
      <c r="AB1842" s="815">
        <v>7.4999999999999997E-3</v>
      </c>
      <c r="AC1842" s="316">
        <f t="shared" si="626"/>
        <v>0</v>
      </c>
      <c r="AD1842" s="515"/>
      <c r="AE1842" s="210"/>
      <c r="AF1842" s="210"/>
      <c r="AG1842" s="211">
        <f t="shared" si="629"/>
        <v>0.308</v>
      </c>
      <c r="AH1842" s="157">
        <f t="shared" ref="AH1842:AH1847" si="631">(Z1842*AG1842)/1000</f>
        <v>0</v>
      </c>
      <c r="AI1842" s="152">
        <f t="shared" si="625"/>
        <v>28512</v>
      </c>
      <c r="AK1842" s="156" t="s">
        <v>691</v>
      </c>
      <c r="AL1842" s="212" t="s">
        <v>690</v>
      </c>
      <c r="AM1842" s="198">
        <f t="shared" si="630"/>
        <v>0</v>
      </c>
      <c r="AN1842" s="199">
        <f t="shared" si="619"/>
        <v>45675</v>
      </c>
      <c r="AO1842" s="159" t="s">
        <v>692</v>
      </c>
      <c r="AP1842" s="783" t="s">
        <v>644</v>
      </c>
      <c r="AQ1842" s="782">
        <v>12063755</v>
      </c>
      <c r="AR1842" s="782">
        <v>12061353</v>
      </c>
      <c r="AS1842" s="782">
        <v>12061354</v>
      </c>
      <c r="AT1842" s="782">
        <v>12062266</v>
      </c>
      <c r="AU1842" s="781"/>
      <c r="AV1842" s="782">
        <v>12088159</v>
      </c>
      <c r="AW1842" s="782">
        <v>12088207</v>
      </c>
      <c r="AX1842" s="782"/>
      <c r="AY1842" s="782">
        <v>12062262</v>
      </c>
      <c r="AZ1842" s="782"/>
      <c r="BA1842" s="781"/>
      <c r="BB1842" s="209">
        <v>23053185</v>
      </c>
    </row>
    <row r="1843" spans="1:54" ht="24.75" hidden="1" customHeight="1">
      <c r="B1843" s="320">
        <v>45675</v>
      </c>
      <c r="C1843" s="321">
        <v>45694</v>
      </c>
      <c r="D1843" s="185">
        <f t="shared" si="610"/>
        <v>2025</v>
      </c>
      <c r="E1843" s="321" t="e">
        <f>VLOOKUP($B1843,Week!$A$1:$C$1462,2,0)</f>
        <v>#N/A</v>
      </c>
      <c r="F1843" s="322" t="str">
        <f t="shared" si="611"/>
        <v>Jan</v>
      </c>
      <c r="G1843" s="323" t="s">
        <v>1926</v>
      </c>
      <c r="H1843" s="323" t="s">
        <v>311</v>
      </c>
      <c r="I1843" s="323" t="s">
        <v>2772</v>
      </c>
      <c r="J1843" s="324" t="s">
        <v>738</v>
      </c>
      <c r="K1843" s="325" t="s">
        <v>107</v>
      </c>
      <c r="L1843" s="300" t="s">
        <v>2167</v>
      </c>
      <c r="M1843" s="324" t="s">
        <v>313</v>
      </c>
      <c r="N1843" s="323" t="s">
        <v>591</v>
      </c>
      <c r="O1843" s="323" t="s">
        <v>592</v>
      </c>
      <c r="P1843" s="326">
        <v>8</v>
      </c>
      <c r="Q1843" s="326">
        <v>4</v>
      </c>
      <c r="R1843" s="327">
        <v>7.4999999999999997E-3</v>
      </c>
      <c r="S1843" s="323" t="s">
        <v>111</v>
      </c>
      <c r="T1843" s="323" t="s">
        <v>112</v>
      </c>
      <c r="U1843" s="323" t="s">
        <v>57</v>
      </c>
      <c r="V1843" s="328">
        <f>450</f>
        <v>450</v>
      </c>
      <c r="W1843" s="328"/>
      <c r="X1843" s="329">
        <v>450</v>
      </c>
      <c r="Y1843" s="330">
        <f t="shared" si="621"/>
        <v>0</v>
      </c>
      <c r="Z1843" s="331">
        <f t="shared" si="622"/>
        <v>0</v>
      </c>
      <c r="AA1843" s="331">
        <f t="shared" si="614"/>
        <v>0</v>
      </c>
      <c r="AB1843" s="816">
        <v>7.4999999999999997E-3</v>
      </c>
      <c r="AC1843" s="328">
        <f t="shared" si="626"/>
        <v>0</v>
      </c>
      <c r="AD1843" s="443"/>
      <c r="AE1843" s="210"/>
      <c r="AF1843" s="210"/>
      <c r="AG1843" s="211">
        <f t="shared" si="629"/>
        <v>0.30499999999999999</v>
      </c>
      <c r="AH1843" s="157">
        <f t="shared" si="631"/>
        <v>0</v>
      </c>
      <c r="AI1843" s="152">
        <f t="shared" si="625"/>
        <v>3600</v>
      </c>
      <c r="AK1843" s="156" t="s">
        <v>691</v>
      </c>
      <c r="AL1843" s="212" t="s">
        <v>690</v>
      </c>
      <c r="AM1843" s="198">
        <f t="shared" ref="AM1843:AM1848" si="632">AG1843*Z1843</f>
        <v>0</v>
      </c>
      <c r="AN1843" s="199">
        <f t="shared" si="619"/>
        <v>45675</v>
      </c>
      <c r="AO1843" s="159" t="s">
        <v>692</v>
      </c>
      <c r="AP1843" s="783" t="s">
        <v>643</v>
      </c>
      <c r="AQ1843" s="782">
        <v>12063755</v>
      </c>
      <c r="AR1843" s="782">
        <v>12061353</v>
      </c>
      <c r="AS1843" s="782">
        <v>12061354</v>
      </c>
      <c r="AT1843" s="782">
        <v>12088679</v>
      </c>
      <c r="AU1843" s="781"/>
      <c r="AV1843" s="782">
        <v>12061557</v>
      </c>
      <c r="AW1843" s="782"/>
      <c r="AX1843" s="782"/>
      <c r="AY1843" s="782"/>
      <c r="AZ1843" s="782"/>
      <c r="BA1843" s="781"/>
      <c r="BB1843" s="209">
        <v>23053185</v>
      </c>
    </row>
    <row r="1844" spans="1:54" ht="24.75" hidden="1" customHeight="1">
      <c r="B1844" s="320">
        <v>45675</v>
      </c>
      <c r="C1844" s="321">
        <v>45701</v>
      </c>
      <c r="D1844" s="185">
        <f t="shared" si="610"/>
        <v>2025</v>
      </c>
      <c r="E1844" s="321" t="e">
        <f>VLOOKUP($B1844,Week!$A$1:$C$1462,2,0)</f>
        <v>#N/A</v>
      </c>
      <c r="F1844" s="322" t="str">
        <f t="shared" si="611"/>
        <v>Jan</v>
      </c>
      <c r="G1844" s="323" t="s">
        <v>1921</v>
      </c>
      <c r="H1844" s="323" t="s">
        <v>675</v>
      </c>
      <c r="I1844" s="323" t="s">
        <v>2772</v>
      </c>
      <c r="J1844" s="324" t="s">
        <v>709</v>
      </c>
      <c r="K1844" s="325" t="s">
        <v>107</v>
      </c>
      <c r="L1844" s="300" t="s">
        <v>2167</v>
      </c>
      <c r="M1844" s="324" t="s">
        <v>313</v>
      </c>
      <c r="N1844" s="596" t="s">
        <v>710</v>
      </c>
      <c r="O1844" s="323" t="s">
        <v>592</v>
      </c>
      <c r="P1844" s="326">
        <v>8</v>
      </c>
      <c r="Q1844" s="326">
        <v>4</v>
      </c>
      <c r="R1844" s="327">
        <v>7.4999999999999997E-3</v>
      </c>
      <c r="S1844" s="323" t="s">
        <v>111</v>
      </c>
      <c r="T1844" s="323" t="s">
        <v>112</v>
      </c>
      <c r="U1844" s="323" t="s">
        <v>57</v>
      </c>
      <c r="V1844" s="328">
        <f>440</f>
        <v>440</v>
      </c>
      <c r="W1844" s="328"/>
      <c r="X1844" s="329">
        <f>3520/8</f>
        <v>440</v>
      </c>
      <c r="Y1844" s="330">
        <f t="shared" si="621"/>
        <v>0</v>
      </c>
      <c r="Z1844" s="331">
        <f t="shared" si="622"/>
        <v>0</v>
      </c>
      <c r="AA1844" s="331">
        <f t="shared" si="614"/>
        <v>0</v>
      </c>
      <c r="AB1844" s="816">
        <v>7.4999999999999997E-3</v>
      </c>
      <c r="AC1844" s="328">
        <f t="shared" si="626"/>
        <v>0</v>
      </c>
      <c r="AD1844" s="443"/>
      <c r="AE1844" s="210"/>
      <c r="AF1844" s="210"/>
      <c r="AG1844" s="211">
        <f t="shared" si="629"/>
        <v>0.30499999999999999</v>
      </c>
      <c r="AH1844" s="157">
        <f t="shared" si="631"/>
        <v>0</v>
      </c>
      <c r="AI1844" s="152">
        <f t="shared" si="625"/>
        <v>3520</v>
      </c>
      <c r="AK1844" s="156" t="s">
        <v>691</v>
      </c>
      <c r="AL1844" s="212" t="s">
        <v>690</v>
      </c>
      <c r="AM1844" s="198">
        <f t="shared" si="632"/>
        <v>0</v>
      </c>
      <c r="AN1844" s="199">
        <f t="shared" si="619"/>
        <v>45675</v>
      </c>
      <c r="AO1844" s="159" t="s">
        <v>692</v>
      </c>
      <c r="AP1844" s="783" t="s">
        <v>643</v>
      </c>
      <c r="AQ1844" s="782">
        <v>12063755</v>
      </c>
      <c r="AR1844" s="782">
        <v>12061353</v>
      </c>
      <c r="AS1844" s="782">
        <v>12061354</v>
      </c>
      <c r="AT1844" s="782">
        <v>12089987</v>
      </c>
      <c r="AU1844" s="781"/>
      <c r="AV1844" s="782">
        <v>12089986</v>
      </c>
      <c r="AW1844" s="782"/>
      <c r="AX1844" s="782"/>
      <c r="AY1844" s="782"/>
      <c r="AZ1844" s="782"/>
      <c r="BA1844" s="781"/>
      <c r="BB1844" s="209">
        <v>23053185</v>
      </c>
    </row>
    <row r="1845" spans="1:54" ht="24.75" hidden="1" customHeight="1">
      <c r="B1845" s="320">
        <v>45675</v>
      </c>
      <c r="C1845" s="321">
        <v>45715</v>
      </c>
      <c r="D1845" s="185">
        <f t="shared" si="610"/>
        <v>2025</v>
      </c>
      <c r="E1845" s="321" t="e">
        <f>VLOOKUP($B1845,Week!$A$1:$C$1462,2,0)</f>
        <v>#N/A</v>
      </c>
      <c r="F1845" s="322" t="str">
        <f t="shared" si="611"/>
        <v>Jan</v>
      </c>
      <c r="G1845" s="323" t="s">
        <v>1922</v>
      </c>
      <c r="H1845" s="323" t="s">
        <v>675</v>
      </c>
      <c r="I1845" s="323" t="s">
        <v>2772</v>
      </c>
      <c r="J1845" s="324" t="s">
        <v>709</v>
      </c>
      <c r="K1845" s="325" t="s">
        <v>107</v>
      </c>
      <c r="L1845" s="300" t="s">
        <v>2167</v>
      </c>
      <c r="M1845" s="324" t="s">
        <v>313</v>
      </c>
      <c r="N1845" s="596" t="s">
        <v>710</v>
      </c>
      <c r="O1845" s="323" t="s">
        <v>592</v>
      </c>
      <c r="P1845" s="326">
        <v>8</v>
      </c>
      <c r="Q1845" s="326">
        <v>4</v>
      </c>
      <c r="R1845" s="327">
        <v>7.4999999999999997E-3</v>
      </c>
      <c r="S1845" s="323" t="s">
        <v>111</v>
      </c>
      <c r="T1845" s="323" t="s">
        <v>112</v>
      </c>
      <c r="U1845" s="323" t="s">
        <v>57</v>
      </c>
      <c r="V1845" s="328">
        <f>760</f>
        <v>760</v>
      </c>
      <c r="W1845" s="328"/>
      <c r="X1845" s="329">
        <f>(6824)/8</f>
        <v>853</v>
      </c>
      <c r="Y1845" s="330">
        <f t="shared" si="621"/>
        <v>93</v>
      </c>
      <c r="Z1845" s="331">
        <f t="shared" si="622"/>
        <v>0</v>
      </c>
      <c r="AA1845" s="331">
        <f t="shared" si="614"/>
        <v>0</v>
      </c>
      <c r="AB1845" s="816">
        <v>7.4999999999999997E-3</v>
      </c>
      <c r="AC1845" s="328">
        <f t="shared" si="626"/>
        <v>0</v>
      </c>
      <c r="AD1845" s="443"/>
      <c r="AE1845" s="210"/>
      <c r="AF1845" s="210"/>
      <c r="AG1845" s="211">
        <f t="shared" si="629"/>
        <v>0.30499999999999999</v>
      </c>
      <c r="AH1845" s="157">
        <f t="shared" si="631"/>
        <v>0</v>
      </c>
      <c r="AI1845" s="152">
        <f t="shared" si="625"/>
        <v>6080</v>
      </c>
      <c r="AK1845" s="156" t="s">
        <v>691</v>
      </c>
      <c r="AL1845" s="212" t="s">
        <v>690</v>
      </c>
      <c r="AM1845" s="198">
        <f t="shared" si="632"/>
        <v>0</v>
      </c>
      <c r="AN1845" s="199">
        <f t="shared" si="619"/>
        <v>45675</v>
      </c>
      <c r="AO1845" s="159" t="s">
        <v>692</v>
      </c>
      <c r="AP1845" s="783" t="s">
        <v>643</v>
      </c>
      <c r="AQ1845" s="782">
        <v>12063755</v>
      </c>
      <c r="AR1845" s="782">
        <v>12061353</v>
      </c>
      <c r="AS1845" s="782">
        <v>12061354</v>
      </c>
      <c r="AT1845" s="782">
        <v>12089987</v>
      </c>
      <c r="AU1845" s="781"/>
      <c r="AV1845" s="782">
        <v>12089986</v>
      </c>
      <c r="AW1845" s="782"/>
      <c r="AX1845" s="782"/>
      <c r="AY1845" s="782"/>
      <c r="AZ1845" s="782"/>
      <c r="BA1845" s="781"/>
      <c r="BB1845" s="209">
        <v>23053185</v>
      </c>
    </row>
    <row r="1846" spans="1:54" ht="25" hidden="1" customHeight="1">
      <c r="B1846" s="258">
        <v>45675</v>
      </c>
      <c r="C1846" s="259">
        <v>45684</v>
      </c>
      <c r="D1846" s="185">
        <f t="shared" si="610"/>
        <v>2025</v>
      </c>
      <c r="E1846" s="259" t="e">
        <f>VLOOKUP($B1846,Week!$A$1:$C$1462,2,0)</f>
        <v>#N/A</v>
      </c>
      <c r="F1846" s="261" t="str">
        <f t="shared" si="611"/>
        <v>Jan</v>
      </c>
      <c r="G1846" s="260" t="s">
        <v>1901</v>
      </c>
      <c r="H1846" s="260" t="s">
        <v>697</v>
      </c>
      <c r="I1846" s="260" t="s">
        <v>2772</v>
      </c>
      <c r="J1846" s="263" t="s">
        <v>653</v>
      </c>
      <c r="K1846" s="264" t="s">
        <v>1646</v>
      </c>
      <c r="L1846" s="300" t="s">
        <v>2167</v>
      </c>
      <c r="M1846" s="263" t="s">
        <v>654</v>
      </c>
      <c r="N1846" s="260" t="s">
        <v>656</v>
      </c>
      <c r="O1846" s="260" t="s">
        <v>655</v>
      </c>
      <c r="P1846" s="265">
        <v>24</v>
      </c>
      <c r="Q1846" s="265">
        <v>5</v>
      </c>
      <c r="R1846" s="266">
        <v>7.4999999999999997E-3</v>
      </c>
      <c r="S1846" s="260" t="s">
        <v>40</v>
      </c>
      <c r="T1846" s="260" t="s">
        <v>112</v>
      </c>
      <c r="U1846" s="775" t="s">
        <v>1894</v>
      </c>
      <c r="V1846" s="267">
        <f>924</f>
        <v>924</v>
      </c>
      <c r="W1846" s="267">
        <f>16+908</f>
        <v>924</v>
      </c>
      <c r="X1846" s="268"/>
      <c r="Y1846" s="269">
        <f t="shared" si="621"/>
        <v>0</v>
      </c>
      <c r="Z1846" s="270">
        <f t="shared" si="622"/>
        <v>0</v>
      </c>
      <c r="AA1846" s="270">
        <f t="shared" si="614"/>
        <v>0</v>
      </c>
      <c r="AB1846" s="811">
        <v>3.8699999999999998E-2</v>
      </c>
      <c r="AC1846" s="267">
        <f t="shared" si="626"/>
        <v>0</v>
      </c>
      <c r="AD1846" s="443"/>
      <c r="AE1846" s="210"/>
      <c r="AF1846" s="210"/>
      <c r="AG1846" s="211">
        <f t="shared" si="629"/>
        <v>0.307</v>
      </c>
      <c r="AH1846" s="157">
        <f t="shared" si="631"/>
        <v>0</v>
      </c>
      <c r="AI1846" s="152">
        <f t="shared" si="625"/>
        <v>22176</v>
      </c>
      <c r="AK1846" s="156" t="s">
        <v>691</v>
      </c>
      <c r="AL1846" s="212" t="s">
        <v>690</v>
      </c>
      <c r="AM1846" s="198">
        <f t="shared" si="632"/>
        <v>0</v>
      </c>
      <c r="AN1846" s="199">
        <f t="shared" si="619"/>
        <v>45675</v>
      </c>
      <c r="AO1846" s="159" t="s">
        <v>692</v>
      </c>
      <c r="AP1846" s="781" t="s">
        <v>642</v>
      </c>
      <c r="AQ1846" s="782">
        <v>12063755</v>
      </c>
      <c r="AR1846" s="782">
        <v>12061353</v>
      </c>
      <c r="AS1846" s="782">
        <v>12061354</v>
      </c>
      <c r="AT1846" s="782">
        <v>12084607</v>
      </c>
      <c r="AU1846" s="781"/>
      <c r="AV1846" s="782">
        <v>12084608</v>
      </c>
      <c r="AW1846" s="782">
        <v>12068454</v>
      </c>
      <c r="AX1846" s="782"/>
      <c r="AY1846" s="782">
        <v>12084606</v>
      </c>
      <c r="AZ1846" s="782"/>
      <c r="BA1846" s="781"/>
      <c r="BB1846" s="209">
        <v>23105470</v>
      </c>
    </row>
    <row r="1847" spans="1:54" ht="25" hidden="1" customHeight="1">
      <c r="B1847" s="258">
        <v>45675</v>
      </c>
      <c r="C1847" s="259">
        <v>45699</v>
      </c>
      <c r="D1847" s="185">
        <f t="shared" si="610"/>
        <v>2025</v>
      </c>
      <c r="E1847" s="259" t="e">
        <f>VLOOKUP($B1847,Week!$A$1:$C$1462,2,0)</f>
        <v>#N/A</v>
      </c>
      <c r="F1847" s="261" t="str">
        <f t="shared" si="611"/>
        <v>Jan</v>
      </c>
      <c r="G1847" s="260" t="s">
        <v>1902</v>
      </c>
      <c r="H1847" s="260" t="s">
        <v>424</v>
      </c>
      <c r="I1847" s="260" t="s">
        <v>2772</v>
      </c>
      <c r="J1847" s="263" t="s">
        <v>653</v>
      </c>
      <c r="K1847" s="264" t="s">
        <v>1646</v>
      </c>
      <c r="L1847" s="300" t="s">
        <v>2167</v>
      </c>
      <c r="M1847" s="263" t="s">
        <v>654</v>
      </c>
      <c r="N1847" s="260" t="s">
        <v>656</v>
      </c>
      <c r="O1847" s="260" t="s">
        <v>655</v>
      </c>
      <c r="P1847" s="265">
        <v>24</v>
      </c>
      <c r="Q1847" s="265">
        <v>5</v>
      </c>
      <c r="R1847" s="266">
        <v>7.4999999999999997E-3</v>
      </c>
      <c r="S1847" s="260" t="s">
        <v>40</v>
      </c>
      <c r="T1847" s="260" t="s">
        <v>112</v>
      </c>
      <c r="U1847" s="775" t="s">
        <v>1894</v>
      </c>
      <c r="V1847" s="267">
        <v>924</v>
      </c>
      <c r="W1847" s="267">
        <f>1811-908+21</f>
        <v>924</v>
      </c>
      <c r="X1847" s="268"/>
      <c r="Y1847" s="269">
        <f t="shared" si="621"/>
        <v>0</v>
      </c>
      <c r="Z1847" s="270">
        <f t="shared" si="622"/>
        <v>0</v>
      </c>
      <c r="AA1847" s="270">
        <f t="shared" si="614"/>
        <v>0</v>
      </c>
      <c r="AB1847" s="811">
        <v>3.8699999999999998E-2</v>
      </c>
      <c r="AC1847" s="267">
        <f t="shared" si="626"/>
        <v>0</v>
      </c>
      <c r="AD1847" s="443"/>
      <c r="AE1847" s="210"/>
      <c r="AF1847" s="210"/>
      <c r="AG1847" s="211">
        <f t="shared" si="629"/>
        <v>0.307</v>
      </c>
      <c r="AH1847" s="157">
        <f t="shared" si="631"/>
        <v>0</v>
      </c>
      <c r="AI1847" s="152">
        <f t="shared" si="625"/>
        <v>22176</v>
      </c>
      <c r="AK1847" s="156" t="s">
        <v>691</v>
      </c>
      <c r="AL1847" s="212" t="s">
        <v>690</v>
      </c>
      <c r="AM1847" s="198">
        <f t="shared" si="632"/>
        <v>0</v>
      </c>
      <c r="AN1847" s="199">
        <f t="shared" si="619"/>
        <v>45675</v>
      </c>
      <c r="AO1847" s="159" t="s">
        <v>692</v>
      </c>
      <c r="AP1847" s="781" t="s">
        <v>642</v>
      </c>
      <c r="AQ1847" s="782">
        <v>12063755</v>
      </c>
      <c r="AR1847" s="782">
        <v>12061353</v>
      </c>
      <c r="AS1847" s="782">
        <v>12061354</v>
      </c>
      <c r="AT1847" s="782">
        <v>12084607</v>
      </c>
      <c r="AU1847" s="781"/>
      <c r="AV1847" s="782">
        <v>12084608</v>
      </c>
      <c r="AW1847" s="782">
        <v>12068154</v>
      </c>
      <c r="AX1847" s="782"/>
      <c r="AY1847" s="782">
        <v>12084606</v>
      </c>
      <c r="AZ1847" s="782"/>
      <c r="BA1847" s="781"/>
      <c r="BB1847" s="209">
        <v>23105470</v>
      </c>
    </row>
    <row r="1848" spans="1:54" ht="25" hidden="1" customHeight="1">
      <c r="B1848" s="332">
        <v>45675</v>
      </c>
      <c r="C1848" s="333">
        <v>45694</v>
      </c>
      <c r="D1848" s="185">
        <f t="shared" si="610"/>
        <v>2025</v>
      </c>
      <c r="E1848" s="333" t="e">
        <f>VLOOKUP($B1848,Week!$A$1:$C$1462,2,0)</f>
        <v>#N/A</v>
      </c>
      <c r="F1848" s="334" t="str">
        <f t="shared" si="611"/>
        <v>Jan</v>
      </c>
      <c r="G1848" s="335" t="s">
        <v>1926</v>
      </c>
      <c r="H1848" s="335" t="s">
        <v>311</v>
      </c>
      <c r="I1848" s="335" t="s">
        <v>2772</v>
      </c>
      <c r="J1848" s="336" t="s">
        <v>738</v>
      </c>
      <c r="K1848" s="337" t="s">
        <v>1649</v>
      </c>
      <c r="L1848" s="300" t="s">
        <v>2167</v>
      </c>
      <c r="M1848" s="336" t="s">
        <v>603</v>
      </c>
      <c r="N1848" s="335" t="s">
        <v>605</v>
      </c>
      <c r="O1848" s="335" t="s">
        <v>602</v>
      </c>
      <c r="P1848" s="338">
        <v>8</v>
      </c>
      <c r="Q1848" s="338">
        <v>3</v>
      </c>
      <c r="R1848" s="339">
        <v>8.0000000000000002E-3</v>
      </c>
      <c r="S1848" s="335" t="s">
        <v>55</v>
      </c>
      <c r="T1848" s="335" t="s">
        <v>112</v>
      </c>
      <c r="U1848" s="340" t="s">
        <v>1894</v>
      </c>
      <c r="V1848" s="341">
        <f>400</f>
        <v>400</v>
      </c>
      <c r="W1848" s="341"/>
      <c r="X1848" s="342">
        <f>(3360)/8</f>
        <v>420</v>
      </c>
      <c r="Y1848" s="343">
        <f t="shared" si="621"/>
        <v>20</v>
      </c>
      <c r="Z1848" s="344">
        <f t="shared" si="622"/>
        <v>0</v>
      </c>
      <c r="AA1848" s="344">
        <f t="shared" si="614"/>
        <v>0</v>
      </c>
      <c r="AB1848" s="817">
        <v>3.8699999999999998E-2</v>
      </c>
      <c r="AC1848" s="341">
        <f t="shared" si="626"/>
        <v>0</v>
      </c>
      <c r="AD1848" s="443"/>
      <c r="AE1848" s="210"/>
      <c r="AF1848" s="210"/>
      <c r="AG1848" s="211">
        <f t="shared" si="629"/>
        <v>0.30199999999999999</v>
      </c>
      <c r="AH1848" s="157">
        <v>0.26621999999999996</v>
      </c>
      <c r="AI1848" s="152">
        <f t="shared" si="625"/>
        <v>3200</v>
      </c>
      <c r="AK1848" s="156" t="s">
        <v>691</v>
      </c>
      <c r="AL1848" s="156" t="s">
        <v>690</v>
      </c>
      <c r="AM1848" s="198">
        <f t="shared" si="632"/>
        <v>0</v>
      </c>
      <c r="AN1848" s="199">
        <f t="shared" si="619"/>
        <v>45675</v>
      </c>
      <c r="AO1848" s="159" t="s">
        <v>692</v>
      </c>
      <c r="AP1848" s="781" t="s">
        <v>642</v>
      </c>
      <c r="AQ1848" s="782">
        <v>12063755</v>
      </c>
      <c r="AR1848" s="782">
        <v>12061353</v>
      </c>
      <c r="AS1848" s="782">
        <v>12061354</v>
      </c>
      <c r="AT1848" s="782">
        <v>12084733</v>
      </c>
      <c r="AU1848" s="781"/>
      <c r="AV1848" s="782">
        <v>12084732</v>
      </c>
      <c r="AW1848" s="781"/>
      <c r="AX1848" s="781"/>
      <c r="AY1848" s="781"/>
      <c r="AZ1848" s="782"/>
      <c r="BA1848" s="781"/>
      <c r="BB1848" s="209">
        <v>23105470</v>
      </c>
    </row>
    <row r="1849" spans="1:54" ht="25" hidden="1" customHeight="1">
      <c r="B1849" s="332">
        <v>45675</v>
      </c>
      <c r="C1849" s="333">
        <v>45701</v>
      </c>
      <c r="D1849" s="185">
        <f t="shared" si="610"/>
        <v>2025</v>
      </c>
      <c r="E1849" s="333" t="e">
        <f>VLOOKUP($B1849,Week!$A$1:$C$1462,2,0)</f>
        <v>#N/A</v>
      </c>
      <c r="F1849" s="334" t="str">
        <f t="shared" si="611"/>
        <v>Jan</v>
      </c>
      <c r="G1849" s="335" t="s">
        <v>1921</v>
      </c>
      <c r="H1849" s="335" t="s">
        <v>675</v>
      </c>
      <c r="I1849" s="335" t="s">
        <v>2772</v>
      </c>
      <c r="J1849" s="336" t="s">
        <v>709</v>
      </c>
      <c r="K1849" s="337" t="s">
        <v>1649</v>
      </c>
      <c r="L1849" s="300" t="s">
        <v>2167</v>
      </c>
      <c r="M1849" s="336" t="s">
        <v>603</v>
      </c>
      <c r="N1849" s="530" t="s">
        <v>711</v>
      </c>
      <c r="O1849" s="335" t="s">
        <v>602</v>
      </c>
      <c r="P1849" s="338">
        <v>8</v>
      </c>
      <c r="Q1849" s="338">
        <v>3</v>
      </c>
      <c r="R1849" s="339">
        <v>6.0000000000000001E-3</v>
      </c>
      <c r="S1849" s="335" t="s">
        <v>55</v>
      </c>
      <c r="T1849" s="335" t="s">
        <v>112</v>
      </c>
      <c r="U1849" s="340" t="s">
        <v>1894</v>
      </c>
      <c r="V1849" s="341">
        <f>162</f>
        <v>162</v>
      </c>
      <c r="W1849" s="341"/>
      <c r="X1849" s="342">
        <f>1296/8</f>
        <v>162</v>
      </c>
      <c r="Y1849" s="343">
        <f t="shared" si="621"/>
        <v>0</v>
      </c>
      <c r="Z1849" s="344">
        <f t="shared" si="622"/>
        <v>0</v>
      </c>
      <c r="AA1849" s="344">
        <f t="shared" si="614"/>
        <v>0</v>
      </c>
      <c r="AB1849" s="817">
        <v>3.8699999999999998E-2</v>
      </c>
      <c r="AC1849" s="341">
        <f t="shared" si="626"/>
        <v>0</v>
      </c>
      <c r="AD1849" s="443"/>
      <c r="AE1849" s="210"/>
      <c r="AF1849" s="210"/>
      <c r="AG1849" s="211">
        <f t="shared" si="629"/>
        <v>0.30199999999999999</v>
      </c>
      <c r="AH1849" s="157">
        <v>0.26621999999999996</v>
      </c>
      <c r="AI1849" s="152">
        <f t="shared" si="625"/>
        <v>1296</v>
      </c>
      <c r="AK1849" s="156" t="s">
        <v>691</v>
      </c>
      <c r="AL1849" s="212" t="s">
        <v>690</v>
      </c>
      <c r="AM1849" s="198">
        <f>AG1849*Z1849</f>
        <v>0</v>
      </c>
      <c r="AN1849" s="199">
        <f t="shared" si="619"/>
        <v>45675</v>
      </c>
      <c r="AO1849" s="159" t="s">
        <v>692</v>
      </c>
      <c r="AP1849" s="781" t="s">
        <v>642</v>
      </c>
      <c r="AQ1849" s="782">
        <v>12063755</v>
      </c>
      <c r="AR1849" s="782">
        <v>12061353</v>
      </c>
      <c r="AS1849" s="782">
        <v>12061354</v>
      </c>
      <c r="AT1849" s="782">
        <v>12089985</v>
      </c>
      <c r="AU1849" s="781"/>
      <c r="AV1849" s="782">
        <v>12089988</v>
      </c>
      <c r="AW1849" s="781"/>
      <c r="AX1849" s="781"/>
      <c r="AY1849" s="781"/>
      <c r="AZ1849" s="782"/>
      <c r="BA1849" s="781"/>
      <c r="BB1849" s="209">
        <v>23105470</v>
      </c>
    </row>
    <row r="1850" spans="1:54" ht="25" hidden="1" customHeight="1">
      <c r="B1850" s="332">
        <v>45675</v>
      </c>
      <c r="C1850" s="333">
        <v>45715</v>
      </c>
      <c r="D1850" s="185">
        <f t="shared" si="610"/>
        <v>2025</v>
      </c>
      <c r="E1850" s="333" t="e">
        <f>VLOOKUP($B1850,Week!$A$1:$C$1462,2,0)</f>
        <v>#N/A</v>
      </c>
      <c r="F1850" s="334" t="str">
        <f t="shared" si="611"/>
        <v>Jan</v>
      </c>
      <c r="G1850" s="335" t="s">
        <v>1922</v>
      </c>
      <c r="H1850" s="335" t="s">
        <v>675</v>
      </c>
      <c r="I1850" s="335" t="s">
        <v>2772</v>
      </c>
      <c r="J1850" s="336" t="s">
        <v>709</v>
      </c>
      <c r="K1850" s="337" t="s">
        <v>1649</v>
      </c>
      <c r="L1850" s="300" t="s">
        <v>2167</v>
      </c>
      <c r="M1850" s="336" t="s">
        <v>603</v>
      </c>
      <c r="N1850" s="530" t="s">
        <v>711</v>
      </c>
      <c r="O1850" s="335" t="s">
        <v>602</v>
      </c>
      <c r="P1850" s="338">
        <v>8</v>
      </c>
      <c r="Q1850" s="338">
        <v>3</v>
      </c>
      <c r="R1850" s="339">
        <v>6.0000000000000001E-3</v>
      </c>
      <c r="S1850" s="335" t="s">
        <v>55</v>
      </c>
      <c r="T1850" s="335" t="s">
        <v>112</v>
      </c>
      <c r="U1850" s="340" t="s">
        <v>1894</v>
      </c>
      <c r="V1850" s="341">
        <f>216</f>
        <v>216</v>
      </c>
      <c r="W1850" s="341"/>
      <c r="X1850" s="342">
        <f>2818/8</f>
        <v>352.25</v>
      </c>
      <c r="Y1850" s="343">
        <f t="shared" si="621"/>
        <v>136.25</v>
      </c>
      <c r="Z1850" s="344">
        <f t="shared" si="622"/>
        <v>0</v>
      </c>
      <c r="AA1850" s="344">
        <f t="shared" si="614"/>
        <v>0</v>
      </c>
      <c r="AB1850" s="817">
        <v>3.8699999999999998E-2</v>
      </c>
      <c r="AC1850" s="341">
        <f t="shared" si="626"/>
        <v>0</v>
      </c>
      <c r="AD1850" s="443"/>
      <c r="AE1850" s="210"/>
      <c r="AF1850" s="210"/>
      <c r="AG1850" s="211">
        <f t="shared" si="629"/>
        <v>0.30199999999999999</v>
      </c>
      <c r="AH1850" s="157">
        <v>0.26621999999999996</v>
      </c>
      <c r="AI1850" s="152">
        <f t="shared" si="625"/>
        <v>1728</v>
      </c>
      <c r="AK1850" s="156" t="s">
        <v>691</v>
      </c>
      <c r="AL1850" s="212" t="s">
        <v>690</v>
      </c>
      <c r="AM1850" s="198">
        <f>AG1850*Z1850</f>
        <v>0</v>
      </c>
      <c r="AN1850" s="199">
        <f t="shared" si="619"/>
        <v>45675</v>
      </c>
      <c r="AO1850" s="159" t="s">
        <v>692</v>
      </c>
      <c r="AP1850" s="781" t="s">
        <v>642</v>
      </c>
      <c r="AQ1850" s="782">
        <v>12063755</v>
      </c>
      <c r="AR1850" s="782">
        <v>12061353</v>
      </c>
      <c r="AS1850" s="782">
        <v>12061354</v>
      </c>
      <c r="AT1850" s="782">
        <v>12089985</v>
      </c>
      <c r="AU1850" s="781"/>
      <c r="AV1850" s="782">
        <v>12089988</v>
      </c>
      <c r="AW1850" s="781"/>
      <c r="AX1850" s="781"/>
      <c r="AY1850" s="781"/>
      <c r="AZ1850" s="782"/>
      <c r="BA1850" s="781"/>
      <c r="BB1850" s="209">
        <v>23105470</v>
      </c>
    </row>
    <row r="1851" spans="1:54" ht="25" hidden="1" customHeight="1">
      <c r="B1851" s="183">
        <v>45676</v>
      </c>
      <c r="C1851" s="184"/>
      <c r="D1851" s="185">
        <f t="shared" si="610"/>
        <v>2025</v>
      </c>
      <c r="E1851" s="185" t="e">
        <f>VLOOKUP($B1851,Week!$A$1:$C$1462,2,0)</f>
        <v>#N/A</v>
      </c>
      <c r="F1851" s="186" t="str">
        <f t="shared" si="611"/>
        <v>Jan</v>
      </c>
      <c r="G1851" s="185"/>
      <c r="H1851" s="185"/>
      <c r="I1851" s="185"/>
      <c r="J1851" s="187"/>
      <c r="K1851" s="188"/>
      <c r="L1851" s="300"/>
      <c r="M1851" s="187"/>
      <c r="N1851" s="185"/>
      <c r="O1851" s="185"/>
      <c r="P1851" s="189"/>
      <c r="Q1851" s="189"/>
      <c r="R1851" s="190"/>
      <c r="S1851" s="185"/>
      <c r="T1851" s="185"/>
      <c r="U1851" s="185"/>
      <c r="V1851" s="191"/>
      <c r="W1851" s="191"/>
      <c r="X1851" s="192"/>
      <c r="Y1851" s="193"/>
      <c r="Z1851" s="194"/>
      <c r="AA1851" s="194">
        <f t="shared" si="614"/>
        <v>0</v>
      </c>
      <c r="AB1851" s="805"/>
      <c r="AC1851" s="191">
        <f t="shared" si="626"/>
        <v>0</v>
      </c>
      <c r="AD1851" s="187"/>
      <c r="AE1851" s="195"/>
      <c r="AF1851" s="195"/>
      <c r="AG1851" s="196"/>
      <c r="AH1851" s="197"/>
      <c r="AK1851" s="156" t="s">
        <v>691</v>
      </c>
      <c r="AM1851" s="198">
        <f>AG1851*Z1851</f>
        <v>0</v>
      </c>
      <c r="AN1851" s="199">
        <f t="shared" si="619"/>
        <v>45676</v>
      </c>
      <c r="AO1851" s="159" t="s">
        <v>692</v>
      </c>
      <c r="AP1851" s="781"/>
      <c r="AQ1851" s="782"/>
      <c r="AR1851" s="782"/>
      <c r="AS1851" s="782"/>
      <c r="AT1851" s="782"/>
      <c r="AU1851" s="781"/>
      <c r="AV1851" s="782"/>
      <c r="AW1851" s="782"/>
      <c r="AX1851" s="782"/>
      <c r="AY1851" s="782"/>
      <c r="AZ1851" s="782"/>
      <c r="BA1851" s="781"/>
      <c r="BB1851" s="209"/>
    </row>
    <row r="1852" spans="1:54" ht="25" hidden="1" customHeight="1">
      <c r="A1852" s="142" t="s">
        <v>120</v>
      </c>
      <c r="B1852" s="466">
        <v>45677</v>
      </c>
      <c r="C1852" s="467">
        <v>45680</v>
      </c>
      <c r="D1852" s="185">
        <f t="shared" si="610"/>
        <v>2025</v>
      </c>
      <c r="E1852" s="468" t="e">
        <f>VLOOKUP($B1852,Week!$A$1:$C$1462,2,0)</f>
        <v>#N/A</v>
      </c>
      <c r="F1852" s="469" t="str">
        <f t="shared" si="611"/>
        <v>Jan</v>
      </c>
      <c r="G1852" s="470" t="s">
        <v>1989</v>
      </c>
      <c r="H1852" s="468" t="s">
        <v>82</v>
      </c>
      <c r="I1852" s="468" t="s">
        <v>82</v>
      </c>
      <c r="J1852" s="471" t="s">
        <v>720</v>
      </c>
      <c r="K1852" s="472" t="s">
        <v>85</v>
      </c>
      <c r="L1852" s="390" t="s">
        <v>2166</v>
      </c>
      <c r="M1852" s="471" t="s">
        <v>579</v>
      </c>
      <c r="N1852" s="468" t="s">
        <v>580</v>
      </c>
      <c r="O1852" s="468" t="s">
        <v>581</v>
      </c>
      <c r="P1852" s="473">
        <v>8</v>
      </c>
      <c r="Q1852" s="473">
        <v>60</v>
      </c>
      <c r="R1852" s="474">
        <v>6.8100000000000001E-3</v>
      </c>
      <c r="S1852" s="468" t="s">
        <v>76</v>
      </c>
      <c r="T1852" s="468" t="s">
        <v>56</v>
      </c>
      <c r="U1852" s="468" t="s">
        <v>89</v>
      </c>
      <c r="V1852" s="475">
        <f>1408</f>
        <v>1408</v>
      </c>
      <c r="W1852" s="475">
        <f>65+1343</f>
        <v>1408</v>
      </c>
      <c r="X1852" s="476"/>
      <c r="Y1852" s="477">
        <f t="shared" ref="Y1852:Y1866" si="633">(W1852+X1852)-V1852</f>
        <v>0</v>
      </c>
      <c r="Z1852" s="478">
        <f t="shared" ref="Z1852:Z1866" si="634">IF(Y1852&lt;0,((V1852*P1852)-((W1852+X1852)*P1852)),0)</f>
        <v>0</v>
      </c>
      <c r="AA1852" s="478">
        <f t="shared" si="614"/>
        <v>0</v>
      </c>
      <c r="AB1852" s="828">
        <v>6</v>
      </c>
      <c r="AC1852" s="475">
        <f t="shared" si="626"/>
        <v>0</v>
      </c>
      <c r="AD1852" s="209"/>
      <c r="AE1852" s="210"/>
      <c r="AF1852" s="210"/>
      <c r="AG1852" s="211">
        <f t="shared" ref="AG1852:AG1866" si="635">MID(O1852,1,3)/1000</f>
        <v>0.75</v>
      </c>
      <c r="AH1852" s="157">
        <f t="shared" ref="AH1852:AH1863" si="636">(Z1852*AG1852)/1000</f>
        <v>0</v>
      </c>
      <c r="AI1852" s="152">
        <f t="shared" ref="AI1852:AI1866" si="637">V1852*P1852</f>
        <v>11264</v>
      </c>
      <c r="AK1852" s="156" t="s">
        <v>691</v>
      </c>
      <c r="AL1852" s="156" t="s">
        <v>689</v>
      </c>
      <c r="AM1852" s="198">
        <f>AG1852*Z1852</f>
        <v>0</v>
      </c>
      <c r="AN1852" s="199">
        <f t="shared" si="619"/>
        <v>45677</v>
      </c>
      <c r="AO1852" s="159" t="s">
        <v>692</v>
      </c>
      <c r="AP1852" s="783" t="s">
        <v>622</v>
      </c>
      <c r="AQ1852" s="782">
        <v>12088677</v>
      </c>
      <c r="AR1852" s="782" t="s">
        <v>2142</v>
      </c>
      <c r="AS1852" s="782"/>
      <c r="AT1852" s="782">
        <v>12082897</v>
      </c>
      <c r="AU1852" s="781"/>
      <c r="AV1852" s="782">
        <v>12082898</v>
      </c>
      <c r="AW1852" s="782">
        <v>12082899</v>
      </c>
      <c r="AX1852" s="796" t="s">
        <v>621</v>
      </c>
      <c r="AY1852" s="782"/>
      <c r="AZ1852" s="782"/>
      <c r="BA1852" s="781"/>
      <c r="BB1852" s="209">
        <v>23053184</v>
      </c>
    </row>
    <row r="1853" spans="1:54" ht="24.75" hidden="1" customHeight="1">
      <c r="A1853" s="142" t="s">
        <v>120</v>
      </c>
      <c r="B1853" s="308">
        <v>45677</v>
      </c>
      <c r="C1853" s="644" t="s">
        <v>1918</v>
      </c>
      <c r="D1853" s="185">
        <f t="shared" si="610"/>
        <v>2025</v>
      </c>
      <c r="E1853" s="519" t="e">
        <f>VLOOKUP($B1853,Week!$A$1:$C$1462,2,0)</f>
        <v>#N/A</v>
      </c>
      <c r="F1853" s="520" t="str">
        <f t="shared" si="611"/>
        <v>Jan</v>
      </c>
      <c r="G1853" s="644" t="s">
        <v>47</v>
      </c>
      <c r="H1853" s="311" t="s">
        <v>518</v>
      </c>
      <c r="I1853" s="311" t="s">
        <v>2702</v>
      </c>
      <c r="J1853" s="312" t="s">
        <v>70</v>
      </c>
      <c r="K1853" s="313" t="s">
        <v>85</v>
      </c>
      <c r="L1853" s="390" t="s">
        <v>2166</v>
      </c>
      <c r="M1853" s="312" t="s">
        <v>515</v>
      </c>
      <c r="N1853" s="311" t="s">
        <v>588</v>
      </c>
      <c r="O1853" s="311" t="s">
        <v>546</v>
      </c>
      <c r="P1853" s="314">
        <v>12</v>
      </c>
      <c r="Q1853" s="314">
        <v>20</v>
      </c>
      <c r="R1853" s="315">
        <v>6.1999999999999998E-3</v>
      </c>
      <c r="S1853" s="311" t="s">
        <v>352</v>
      </c>
      <c r="T1853" s="311" t="s">
        <v>56</v>
      </c>
      <c r="U1853" s="311"/>
      <c r="V1853" s="316">
        <f>237</f>
        <v>237</v>
      </c>
      <c r="W1853" s="316">
        <f>38+199</f>
        <v>237</v>
      </c>
      <c r="X1853" s="317"/>
      <c r="Y1853" s="318">
        <f t="shared" si="633"/>
        <v>0</v>
      </c>
      <c r="Z1853" s="319">
        <f t="shared" si="634"/>
        <v>0</v>
      </c>
      <c r="AA1853" s="319">
        <f t="shared" si="614"/>
        <v>0</v>
      </c>
      <c r="AB1853" s="815"/>
      <c r="AC1853" s="316">
        <f t="shared" si="626"/>
        <v>0</v>
      </c>
      <c r="AD1853" s="209"/>
      <c r="AE1853" s="210"/>
      <c r="AF1853" s="210"/>
      <c r="AG1853" s="211">
        <f t="shared" si="635"/>
        <v>0.22</v>
      </c>
      <c r="AH1853" s="157">
        <f t="shared" si="636"/>
        <v>0</v>
      </c>
      <c r="AI1853" s="152">
        <f t="shared" si="637"/>
        <v>2844</v>
      </c>
      <c r="AK1853" s="156" t="s">
        <v>691</v>
      </c>
      <c r="AL1853" s="156" t="s">
        <v>689</v>
      </c>
      <c r="AM1853" s="198">
        <f t="shared" ref="AM1853:AM1859" si="638">AG1853*Z1853</f>
        <v>0</v>
      </c>
      <c r="AN1853" s="199">
        <f t="shared" si="619"/>
        <v>45677</v>
      </c>
      <c r="AO1853" s="159" t="s">
        <v>692</v>
      </c>
      <c r="AP1853" s="783" t="s">
        <v>613</v>
      </c>
      <c r="AQ1853" s="782"/>
      <c r="AR1853" s="782" t="s">
        <v>614</v>
      </c>
      <c r="AS1853" s="782"/>
      <c r="AT1853" s="782">
        <v>12083140</v>
      </c>
      <c r="AU1853" s="781"/>
      <c r="AV1853" s="782">
        <v>12083143</v>
      </c>
      <c r="AW1853" s="782"/>
      <c r="AX1853" s="782"/>
      <c r="AY1853" s="782"/>
      <c r="AZ1853" s="782"/>
      <c r="BA1853" s="781"/>
      <c r="BB1853" s="209"/>
    </row>
    <row r="1854" spans="1:54" ht="25" hidden="1" customHeight="1">
      <c r="A1854" s="142" t="s">
        <v>120</v>
      </c>
      <c r="B1854" s="466">
        <v>45678</v>
      </c>
      <c r="C1854" s="467">
        <v>45685</v>
      </c>
      <c r="D1854" s="185">
        <f t="shared" si="610"/>
        <v>2025</v>
      </c>
      <c r="E1854" s="468" t="e">
        <f>VLOOKUP($B1854,Week!$A$1:$C$1462,2,0)</f>
        <v>#N/A</v>
      </c>
      <c r="F1854" s="469" t="str">
        <f t="shared" si="611"/>
        <v>Jan</v>
      </c>
      <c r="G1854" s="470" t="s">
        <v>1988</v>
      </c>
      <c r="H1854" s="468" t="s">
        <v>82</v>
      </c>
      <c r="I1854" s="468" t="s">
        <v>82</v>
      </c>
      <c r="J1854" s="471" t="s">
        <v>720</v>
      </c>
      <c r="K1854" s="472" t="s">
        <v>85</v>
      </c>
      <c r="L1854" s="390" t="s">
        <v>2166</v>
      </c>
      <c r="M1854" s="471" t="s">
        <v>579</v>
      </c>
      <c r="N1854" s="468" t="s">
        <v>580</v>
      </c>
      <c r="O1854" s="468" t="s">
        <v>581</v>
      </c>
      <c r="P1854" s="473">
        <v>8</v>
      </c>
      <c r="Q1854" s="473">
        <v>60</v>
      </c>
      <c r="R1854" s="474">
        <v>6.8100000000000001E-3</v>
      </c>
      <c r="S1854" s="468" t="s">
        <v>76</v>
      </c>
      <c r="T1854" s="468" t="s">
        <v>56</v>
      </c>
      <c r="U1854" s="468" t="s">
        <v>89</v>
      </c>
      <c r="V1854" s="475">
        <f>1408</f>
        <v>1408</v>
      </c>
      <c r="W1854" s="475">
        <f>1141</f>
        <v>1141</v>
      </c>
      <c r="X1854" s="476">
        <f>(392+1744)/8</f>
        <v>267</v>
      </c>
      <c r="Y1854" s="477">
        <f t="shared" si="633"/>
        <v>0</v>
      </c>
      <c r="Z1854" s="478">
        <f t="shared" si="634"/>
        <v>0</v>
      </c>
      <c r="AA1854" s="478">
        <f t="shared" si="614"/>
        <v>0</v>
      </c>
      <c r="AB1854" s="828">
        <v>6</v>
      </c>
      <c r="AC1854" s="475">
        <f t="shared" si="626"/>
        <v>0</v>
      </c>
      <c r="AD1854" s="209"/>
      <c r="AE1854" s="210"/>
      <c r="AF1854" s="210"/>
      <c r="AG1854" s="211">
        <f t="shared" si="635"/>
        <v>0.75</v>
      </c>
      <c r="AH1854" s="157">
        <f t="shared" si="636"/>
        <v>0</v>
      </c>
      <c r="AI1854" s="152">
        <f t="shared" si="637"/>
        <v>11264</v>
      </c>
      <c r="AK1854" s="156" t="s">
        <v>691</v>
      </c>
      <c r="AL1854" s="156" t="s">
        <v>689</v>
      </c>
      <c r="AM1854" s="198">
        <f>AG1854*Z1854</f>
        <v>0</v>
      </c>
      <c r="AN1854" s="199">
        <f t="shared" si="619"/>
        <v>45678</v>
      </c>
      <c r="AO1854" s="159" t="s">
        <v>692</v>
      </c>
      <c r="AP1854" s="783" t="s">
        <v>622</v>
      </c>
      <c r="AQ1854" s="782">
        <v>12088677</v>
      </c>
      <c r="AR1854" s="782" t="s">
        <v>2142</v>
      </c>
      <c r="AS1854" s="782"/>
      <c r="AT1854" s="782">
        <v>12082897</v>
      </c>
      <c r="AU1854" s="781"/>
      <c r="AV1854" s="782">
        <v>12082898</v>
      </c>
      <c r="AW1854" s="782">
        <v>12082899</v>
      </c>
      <c r="AX1854" s="796" t="s">
        <v>621</v>
      </c>
      <c r="AY1854" s="782"/>
      <c r="AZ1854" s="782"/>
      <c r="BA1854" s="781"/>
      <c r="BB1854" s="209">
        <v>23053184</v>
      </c>
    </row>
    <row r="1855" spans="1:54" ht="25" hidden="1" customHeight="1">
      <c r="B1855" s="383">
        <v>45679</v>
      </c>
      <c r="C1855" s="383">
        <v>45700</v>
      </c>
      <c r="D1855" s="185">
        <f t="shared" si="610"/>
        <v>2025</v>
      </c>
      <c r="E1855" s="224" t="e">
        <f>VLOOKUP($B1855,Week!$A$1:$C$1462,2,0)</f>
        <v>#N/A</v>
      </c>
      <c r="F1855" s="226" t="str">
        <f t="shared" si="611"/>
        <v>Jan</v>
      </c>
      <c r="G1855" s="225" t="s">
        <v>1946</v>
      </c>
      <c r="H1855" s="225" t="s">
        <v>225</v>
      </c>
      <c r="I1855" s="225" t="s">
        <v>2773</v>
      </c>
      <c r="J1855" s="227" t="s">
        <v>335</v>
      </c>
      <c r="K1855" s="228" t="s">
        <v>176</v>
      </c>
      <c r="L1855" s="300" t="s">
        <v>2167</v>
      </c>
      <c r="M1855" s="227" t="s">
        <v>336</v>
      </c>
      <c r="N1855" s="225" t="s">
        <v>337</v>
      </c>
      <c r="O1855" s="225" t="s">
        <v>179</v>
      </c>
      <c r="P1855" s="229">
        <v>36</v>
      </c>
      <c r="Q1855" s="229">
        <v>5</v>
      </c>
      <c r="R1855" s="230">
        <v>7.4999999999999997E-3</v>
      </c>
      <c r="S1855" s="225" t="s">
        <v>111</v>
      </c>
      <c r="T1855" s="225" t="s">
        <v>112</v>
      </c>
      <c r="U1855" s="225" t="s">
        <v>113</v>
      </c>
      <c r="V1855" s="231">
        <v>1288</v>
      </c>
      <c r="W1855" s="231">
        <f>27+1261</f>
        <v>1288</v>
      </c>
      <c r="X1855" s="232"/>
      <c r="Y1855" s="233">
        <f t="shared" si="633"/>
        <v>0</v>
      </c>
      <c r="Z1855" s="234">
        <f t="shared" si="634"/>
        <v>0</v>
      </c>
      <c r="AA1855" s="234">
        <f t="shared" si="614"/>
        <v>0</v>
      </c>
      <c r="AB1855" s="822">
        <v>9.7000000000000003E-3</v>
      </c>
      <c r="AC1855" s="231">
        <f t="shared" si="626"/>
        <v>0</v>
      </c>
      <c r="AD1855" s="307" t="s">
        <v>1622</v>
      </c>
      <c r="AE1855" s="210"/>
      <c r="AF1855" s="210"/>
      <c r="AG1855" s="211">
        <f t="shared" si="635"/>
        <v>0.14499999999999999</v>
      </c>
      <c r="AH1855" s="157">
        <f t="shared" si="636"/>
        <v>0</v>
      </c>
      <c r="AI1855" s="152">
        <f t="shared" si="637"/>
        <v>46368</v>
      </c>
      <c r="AK1855" s="156" t="s">
        <v>691</v>
      </c>
      <c r="AL1855" s="574" t="s">
        <v>690</v>
      </c>
      <c r="AM1855" s="198">
        <f t="shared" si="638"/>
        <v>0</v>
      </c>
      <c r="AN1855" s="199">
        <f t="shared" si="619"/>
        <v>45679</v>
      </c>
      <c r="AO1855" s="159" t="s">
        <v>692</v>
      </c>
      <c r="AP1855" s="783" t="s">
        <v>639</v>
      </c>
      <c r="AQ1855" s="782">
        <v>12071839</v>
      </c>
      <c r="AR1855" s="782">
        <v>12047514</v>
      </c>
      <c r="AS1855" s="782">
        <v>12047515</v>
      </c>
      <c r="AT1855" s="782">
        <v>12054919</v>
      </c>
      <c r="AU1855" s="781"/>
      <c r="AV1855" s="782">
        <v>12054869</v>
      </c>
      <c r="AW1855" s="782">
        <v>12024404</v>
      </c>
      <c r="AX1855" s="781"/>
      <c r="AY1855" s="782">
        <v>12054815</v>
      </c>
      <c r="AZ1855" s="781"/>
      <c r="BA1855" s="781"/>
      <c r="BB1855" s="209">
        <v>23054743</v>
      </c>
    </row>
    <row r="1856" spans="1:54" ht="25" hidden="1" customHeight="1">
      <c r="B1856" s="383">
        <v>45679</v>
      </c>
      <c r="C1856" s="383">
        <v>45700</v>
      </c>
      <c r="D1856" s="185">
        <f t="shared" si="610"/>
        <v>2025</v>
      </c>
      <c r="E1856" s="224" t="e">
        <f>VLOOKUP($B1856,Week!$A$1:$C$1462,2,0)</f>
        <v>#N/A</v>
      </c>
      <c r="F1856" s="226" t="str">
        <f t="shared" si="611"/>
        <v>Jan</v>
      </c>
      <c r="G1856" s="225" t="s">
        <v>1947</v>
      </c>
      <c r="H1856" s="225" t="s">
        <v>225</v>
      </c>
      <c r="I1856" s="225" t="s">
        <v>2773</v>
      </c>
      <c r="J1856" s="227" t="s">
        <v>335</v>
      </c>
      <c r="K1856" s="228" t="s">
        <v>176</v>
      </c>
      <c r="L1856" s="300" t="s">
        <v>2167</v>
      </c>
      <c r="M1856" s="227" t="s">
        <v>336</v>
      </c>
      <c r="N1856" s="225" t="s">
        <v>337</v>
      </c>
      <c r="O1856" s="225" t="s">
        <v>179</v>
      </c>
      <c r="P1856" s="229">
        <v>36</v>
      </c>
      <c r="Q1856" s="229">
        <v>5</v>
      </c>
      <c r="R1856" s="230">
        <v>7.4999999999999997E-3</v>
      </c>
      <c r="S1856" s="225" t="s">
        <v>111</v>
      </c>
      <c r="T1856" s="225" t="s">
        <v>112</v>
      </c>
      <c r="U1856" s="225" t="s">
        <v>113</v>
      </c>
      <c r="V1856" s="231">
        <v>1288</v>
      </c>
      <c r="W1856" s="231">
        <v>1288</v>
      </c>
      <c r="X1856" s="232"/>
      <c r="Y1856" s="233">
        <f t="shared" si="633"/>
        <v>0</v>
      </c>
      <c r="Z1856" s="234">
        <f t="shared" si="634"/>
        <v>0</v>
      </c>
      <c r="AA1856" s="234">
        <f t="shared" si="614"/>
        <v>0</v>
      </c>
      <c r="AB1856" s="822">
        <v>9.7000000000000003E-3</v>
      </c>
      <c r="AC1856" s="231">
        <f t="shared" si="626"/>
        <v>0</v>
      </c>
      <c r="AD1856" s="307" t="s">
        <v>1622</v>
      </c>
      <c r="AE1856" s="210"/>
      <c r="AF1856" s="210"/>
      <c r="AG1856" s="211">
        <f t="shared" si="635"/>
        <v>0.14499999999999999</v>
      </c>
      <c r="AH1856" s="157">
        <f t="shared" si="636"/>
        <v>0</v>
      </c>
      <c r="AI1856" s="152">
        <f t="shared" si="637"/>
        <v>46368</v>
      </c>
      <c r="AK1856" s="156" t="s">
        <v>691</v>
      </c>
      <c r="AL1856" s="574" t="s">
        <v>690</v>
      </c>
      <c r="AM1856" s="198">
        <f t="shared" si="638"/>
        <v>0</v>
      </c>
      <c r="AN1856" s="199">
        <f t="shared" si="619"/>
        <v>45679</v>
      </c>
      <c r="AO1856" s="159" t="s">
        <v>692</v>
      </c>
      <c r="AP1856" s="783" t="s">
        <v>639</v>
      </c>
      <c r="AQ1856" s="782">
        <v>12071839</v>
      </c>
      <c r="AR1856" s="782">
        <v>12047514</v>
      </c>
      <c r="AS1856" s="782">
        <v>12047515</v>
      </c>
      <c r="AT1856" s="782">
        <v>12054919</v>
      </c>
      <c r="AU1856" s="781"/>
      <c r="AV1856" s="782">
        <v>12054869</v>
      </c>
      <c r="AW1856" s="782">
        <v>12024404</v>
      </c>
      <c r="AX1856" s="781"/>
      <c r="AY1856" s="782">
        <v>12054815</v>
      </c>
      <c r="AZ1856" s="781"/>
      <c r="BA1856" s="781"/>
      <c r="BB1856" s="209">
        <v>23054743</v>
      </c>
    </row>
    <row r="1857" spans="2:54" ht="25" hidden="1" customHeight="1">
      <c r="B1857" s="383">
        <v>45679</v>
      </c>
      <c r="C1857" s="383">
        <v>45707</v>
      </c>
      <c r="D1857" s="185">
        <f t="shared" si="610"/>
        <v>2025</v>
      </c>
      <c r="E1857" s="224" t="e">
        <f>VLOOKUP($B1857,Week!$A$1:$C$1462,2,0)</f>
        <v>#N/A</v>
      </c>
      <c r="F1857" s="226" t="str">
        <f t="shared" si="611"/>
        <v>Jan</v>
      </c>
      <c r="G1857" s="225" t="s">
        <v>1948</v>
      </c>
      <c r="H1857" s="225" t="s">
        <v>225</v>
      </c>
      <c r="I1857" s="225" t="s">
        <v>2773</v>
      </c>
      <c r="J1857" s="227" t="s">
        <v>335</v>
      </c>
      <c r="K1857" s="228" t="s">
        <v>176</v>
      </c>
      <c r="L1857" s="300" t="s">
        <v>2167</v>
      </c>
      <c r="M1857" s="227" t="s">
        <v>336</v>
      </c>
      <c r="N1857" s="225" t="s">
        <v>337</v>
      </c>
      <c r="O1857" s="225" t="s">
        <v>179</v>
      </c>
      <c r="P1857" s="229">
        <v>36</v>
      </c>
      <c r="Q1857" s="229">
        <v>5</v>
      </c>
      <c r="R1857" s="230">
        <v>7.4999999999999997E-3</v>
      </c>
      <c r="S1857" s="225" t="s">
        <v>111</v>
      </c>
      <c r="T1857" s="225" t="s">
        <v>112</v>
      </c>
      <c r="U1857" s="225" t="s">
        <v>113</v>
      </c>
      <c r="V1857" s="231">
        <v>1288</v>
      </c>
      <c r="W1857" s="231">
        <v>1288</v>
      </c>
      <c r="X1857" s="232"/>
      <c r="Y1857" s="233">
        <f t="shared" si="633"/>
        <v>0</v>
      </c>
      <c r="Z1857" s="234">
        <f t="shared" si="634"/>
        <v>0</v>
      </c>
      <c r="AA1857" s="234">
        <f t="shared" si="614"/>
        <v>0</v>
      </c>
      <c r="AB1857" s="822">
        <v>9.7000000000000003E-3</v>
      </c>
      <c r="AC1857" s="231">
        <f t="shared" si="626"/>
        <v>0</v>
      </c>
      <c r="AD1857" s="307" t="s">
        <v>1622</v>
      </c>
      <c r="AE1857" s="210"/>
      <c r="AF1857" s="210"/>
      <c r="AG1857" s="211">
        <f t="shared" si="635"/>
        <v>0.14499999999999999</v>
      </c>
      <c r="AH1857" s="157">
        <f t="shared" si="636"/>
        <v>0</v>
      </c>
      <c r="AI1857" s="152">
        <f t="shared" si="637"/>
        <v>46368</v>
      </c>
      <c r="AK1857" s="156" t="s">
        <v>691</v>
      </c>
      <c r="AL1857" s="574" t="s">
        <v>690</v>
      </c>
      <c r="AM1857" s="198">
        <f t="shared" si="638"/>
        <v>0</v>
      </c>
      <c r="AN1857" s="199">
        <f t="shared" si="619"/>
        <v>45679</v>
      </c>
      <c r="AO1857" s="159" t="s">
        <v>692</v>
      </c>
      <c r="AP1857" s="783" t="s">
        <v>639</v>
      </c>
      <c r="AQ1857" s="782">
        <v>12071839</v>
      </c>
      <c r="AR1857" s="782">
        <v>12047514</v>
      </c>
      <c r="AS1857" s="782">
        <v>12047515</v>
      </c>
      <c r="AT1857" s="782">
        <v>12054919</v>
      </c>
      <c r="AU1857" s="781"/>
      <c r="AV1857" s="782">
        <v>12054869</v>
      </c>
      <c r="AW1857" s="782">
        <v>12024404</v>
      </c>
      <c r="AX1857" s="781"/>
      <c r="AY1857" s="782">
        <v>12054815</v>
      </c>
      <c r="AZ1857" s="781"/>
      <c r="BA1857" s="781"/>
      <c r="BB1857" s="209">
        <v>23054743</v>
      </c>
    </row>
    <row r="1858" spans="2:54" ht="24.75" hidden="1" customHeight="1">
      <c r="B1858" s="333">
        <v>45680</v>
      </c>
      <c r="C1858" s="333">
        <v>45687</v>
      </c>
      <c r="D1858" s="185">
        <f t="shared" si="610"/>
        <v>2025</v>
      </c>
      <c r="E1858" s="335" t="e">
        <f>VLOOKUP($B1858,Week!$A$1:$C$1462,2,0)</f>
        <v>#N/A</v>
      </c>
      <c r="F1858" s="334" t="str">
        <f t="shared" si="611"/>
        <v>Jan</v>
      </c>
      <c r="G1858" s="335" t="s">
        <v>1939</v>
      </c>
      <c r="H1858" s="335" t="s">
        <v>363</v>
      </c>
      <c r="I1858" s="335" t="s">
        <v>2772</v>
      </c>
      <c r="J1858" s="336" t="s">
        <v>364</v>
      </c>
      <c r="K1858" s="337" t="s">
        <v>176</v>
      </c>
      <c r="L1858" s="300" t="s">
        <v>2167</v>
      </c>
      <c r="M1858" s="382" t="s">
        <v>646</v>
      </c>
      <c r="N1858" s="335" t="s">
        <v>647</v>
      </c>
      <c r="O1858" s="335" t="s">
        <v>599</v>
      </c>
      <c r="P1858" s="338">
        <v>36</v>
      </c>
      <c r="Q1858" s="338">
        <v>5</v>
      </c>
      <c r="R1858" s="339">
        <v>8.0000000000000002E-3</v>
      </c>
      <c r="S1858" s="335" t="s">
        <v>40</v>
      </c>
      <c r="T1858" s="335" t="s">
        <v>112</v>
      </c>
      <c r="U1858" s="335" t="s">
        <v>57</v>
      </c>
      <c r="V1858" s="341">
        <f>1288</f>
        <v>1288</v>
      </c>
      <c r="W1858" s="341">
        <f>79+1209</f>
        <v>1288</v>
      </c>
      <c r="X1858" s="342"/>
      <c r="Y1858" s="343">
        <f t="shared" si="633"/>
        <v>0</v>
      </c>
      <c r="Z1858" s="344">
        <f t="shared" si="634"/>
        <v>0</v>
      </c>
      <c r="AA1858" s="344">
        <f t="shared" si="614"/>
        <v>0</v>
      </c>
      <c r="AB1858" s="821">
        <v>7.4999999999999997E-3</v>
      </c>
      <c r="AC1858" s="341">
        <f t="shared" si="626"/>
        <v>0</v>
      </c>
      <c r="AD1858" s="209"/>
      <c r="AE1858" s="210"/>
      <c r="AF1858" s="210"/>
      <c r="AG1858" s="211">
        <f t="shared" si="635"/>
        <v>0.14799999999999999</v>
      </c>
      <c r="AH1858" s="157">
        <f t="shared" si="636"/>
        <v>0</v>
      </c>
      <c r="AI1858" s="152">
        <f t="shared" si="637"/>
        <v>46368</v>
      </c>
      <c r="AK1858" s="156" t="s">
        <v>691</v>
      </c>
      <c r="AL1858" s="574" t="s">
        <v>690</v>
      </c>
      <c r="AM1858" s="198">
        <f t="shared" si="638"/>
        <v>0</v>
      </c>
      <c r="AN1858" s="199">
        <f t="shared" si="619"/>
        <v>45680</v>
      </c>
      <c r="AO1858" s="159" t="s">
        <v>692</v>
      </c>
      <c r="AP1858" s="781"/>
      <c r="AQ1858" s="782">
        <v>12071839</v>
      </c>
      <c r="AR1858" s="782">
        <v>12047514</v>
      </c>
      <c r="AS1858" s="782">
        <v>12047515</v>
      </c>
      <c r="AT1858" s="782">
        <v>12084374</v>
      </c>
      <c r="AU1858" s="781"/>
      <c r="AV1858" s="782">
        <v>12084372</v>
      </c>
      <c r="AW1858" s="782">
        <v>12024404</v>
      </c>
      <c r="AX1858" s="782"/>
      <c r="AY1858" s="782">
        <v>12084373</v>
      </c>
      <c r="AZ1858" s="782"/>
      <c r="BA1858" s="781"/>
      <c r="BB1858" s="209">
        <v>23053185</v>
      </c>
    </row>
    <row r="1859" spans="2:54" ht="24.75" hidden="1" customHeight="1">
      <c r="B1859" s="333">
        <v>45680</v>
      </c>
      <c r="C1859" s="333">
        <v>45687</v>
      </c>
      <c r="D1859" s="185">
        <f t="shared" si="610"/>
        <v>2025</v>
      </c>
      <c r="E1859" s="335" t="e">
        <f>VLOOKUP($B1859,Week!$A$1:$C$1462,2,0)</f>
        <v>#N/A</v>
      </c>
      <c r="F1859" s="334" t="str">
        <f t="shared" si="611"/>
        <v>Jan</v>
      </c>
      <c r="G1859" s="335" t="s">
        <v>1940</v>
      </c>
      <c r="H1859" s="335" t="s">
        <v>363</v>
      </c>
      <c r="I1859" s="335" t="s">
        <v>2772</v>
      </c>
      <c r="J1859" s="336" t="s">
        <v>364</v>
      </c>
      <c r="K1859" s="337" t="s">
        <v>176</v>
      </c>
      <c r="L1859" s="300" t="s">
        <v>2167</v>
      </c>
      <c r="M1859" s="382" t="s">
        <v>646</v>
      </c>
      <c r="N1859" s="335" t="s">
        <v>647</v>
      </c>
      <c r="O1859" s="335" t="s">
        <v>599</v>
      </c>
      <c r="P1859" s="338">
        <v>36</v>
      </c>
      <c r="Q1859" s="338">
        <v>5</v>
      </c>
      <c r="R1859" s="339">
        <v>8.0000000000000002E-3</v>
      </c>
      <c r="S1859" s="335" t="s">
        <v>40</v>
      </c>
      <c r="T1859" s="335" t="s">
        <v>112</v>
      </c>
      <c r="U1859" s="335" t="s">
        <v>57</v>
      </c>
      <c r="V1859" s="341">
        <f>1288</f>
        <v>1288</v>
      </c>
      <c r="W1859" s="341">
        <v>1288</v>
      </c>
      <c r="X1859" s="342"/>
      <c r="Y1859" s="343">
        <f t="shared" si="633"/>
        <v>0</v>
      </c>
      <c r="Z1859" s="344">
        <f t="shared" si="634"/>
        <v>0</v>
      </c>
      <c r="AA1859" s="344">
        <f t="shared" si="614"/>
        <v>0</v>
      </c>
      <c r="AB1859" s="821">
        <v>7.4999999999999997E-3</v>
      </c>
      <c r="AC1859" s="341">
        <f t="shared" si="626"/>
        <v>0</v>
      </c>
      <c r="AD1859" s="209"/>
      <c r="AE1859" s="210"/>
      <c r="AF1859" s="210"/>
      <c r="AG1859" s="211">
        <f t="shared" si="635"/>
        <v>0.14799999999999999</v>
      </c>
      <c r="AH1859" s="157">
        <f t="shared" si="636"/>
        <v>0</v>
      </c>
      <c r="AI1859" s="152">
        <f t="shared" si="637"/>
        <v>46368</v>
      </c>
      <c r="AK1859" s="156" t="s">
        <v>691</v>
      </c>
      <c r="AL1859" s="574" t="s">
        <v>690</v>
      </c>
      <c r="AM1859" s="198">
        <f t="shared" si="638"/>
        <v>0</v>
      </c>
      <c r="AN1859" s="199">
        <f t="shared" si="619"/>
        <v>45680</v>
      </c>
      <c r="AO1859" s="159" t="s">
        <v>692</v>
      </c>
      <c r="AP1859" s="781"/>
      <c r="AQ1859" s="782">
        <v>12071839</v>
      </c>
      <c r="AR1859" s="782">
        <v>12047514</v>
      </c>
      <c r="AS1859" s="782">
        <v>12047515</v>
      </c>
      <c r="AT1859" s="782">
        <v>12084374</v>
      </c>
      <c r="AU1859" s="781"/>
      <c r="AV1859" s="782">
        <v>12084372</v>
      </c>
      <c r="AW1859" s="782">
        <v>12024404</v>
      </c>
      <c r="AX1859" s="782"/>
      <c r="AY1859" s="782">
        <v>12084373</v>
      </c>
      <c r="AZ1859" s="782"/>
      <c r="BA1859" s="781"/>
      <c r="BB1859" s="209">
        <v>23053185</v>
      </c>
    </row>
    <row r="1860" spans="2:54" ht="24.75" hidden="1" customHeight="1">
      <c r="B1860" s="333">
        <v>45680</v>
      </c>
      <c r="C1860" s="333">
        <v>45694</v>
      </c>
      <c r="D1860" s="185">
        <f t="shared" si="610"/>
        <v>2025</v>
      </c>
      <c r="E1860" s="335" t="e">
        <f>VLOOKUP($B1860,Week!$A$1:$C$1462,2,0)</f>
        <v>#N/A</v>
      </c>
      <c r="F1860" s="334" t="str">
        <f t="shared" si="611"/>
        <v>Jan</v>
      </c>
      <c r="G1860" s="335" t="s">
        <v>1941</v>
      </c>
      <c r="H1860" s="335" t="s">
        <v>363</v>
      </c>
      <c r="I1860" s="335" t="s">
        <v>2772</v>
      </c>
      <c r="J1860" s="336" t="s">
        <v>364</v>
      </c>
      <c r="K1860" s="337" t="s">
        <v>176</v>
      </c>
      <c r="L1860" s="300" t="s">
        <v>2167</v>
      </c>
      <c r="M1860" s="382" t="s">
        <v>646</v>
      </c>
      <c r="N1860" s="335" t="s">
        <v>647</v>
      </c>
      <c r="O1860" s="335" t="s">
        <v>599</v>
      </c>
      <c r="P1860" s="338">
        <v>36</v>
      </c>
      <c r="Q1860" s="338">
        <v>5</v>
      </c>
      <c r="R1860" s="339">
        <v>8.0000000000000002E-3</v>
      </c>
      <c r="S1860" s="335" t="s">
        <v>40</v>
      </c>
      <c r="T1860" s="335" t="s">
        <v>112</v>
      </c>
      <c r="U1860" s="335" t="s">
        <v>57</v>
      </c>
      <c r="V1860" s="341">
        <f>1288</f>
        <v>1288</v>
      </c>
      <c r="W1860" s="341">
        <f>3785-1209-1288</f>
        <v>1288</v>
      </c>
      <c r="X1860" s="342"/>
      <c r="Y1860" s="343">
        <f t="shared" si="633"/>
        <v>0</v>
      </c>
      <c r="Z1860" s="344">
        <f t="shared" si="634"/>
        <v>0</v>
      </c>
      <c r="AA1860" s="344">
        <f t="shared" si="614"/>
        <v>0</v>
      </c>
      <c r="AB1860" s="821">
        <v>7.4999999999999997E-3</v>
      </c>
      <c r="AC1860" s="341">
        <f t="shared" si="626"/>
        <v>0</v>
      </c>
      <c r="AD1860" s="209"/>
      <c r="AE1860" s="210"/>
      <c r="AF1860" s="210"/>
      <c r="AG1860" s="211">
        <f t="shared" si="635"/>
        <v>0.14799999999999999</v>
      </c>
      <c r="AH1860" s="157">
        <f t="shared" si="636"/>
        <v>0</v>
      </c>
      <c r="AI1860" s="152">
        <f t="shared" si="637"/>
        <v>46368</v>
      </c>
      <c r="AK1860" s="156" t="s">
        <v>691</v>
      </c>
      <c r="AL1860" s="574" t="s">
        <v>690</v>
      </c>
      <c r="AM1860" s="198">
        <f t="shared" ref="AM1860:AM1885" si="639">AG1860*Z1860</f>
        <v>0</v>
      </c>
      <c r="AN1860" s="199">
        <f t="shared" si="619"/>
        <v>45680</v>
      </c>
      <c r="AO1860" s="159" t="s">
        <v>692</v>
      </c>
      <c r="AP1860" s="781"/>
      <c r="AQ1860" s="782">
        <v>12071839</v>
      </c>
      <c r="AR1860" s="782">
        <v>12047514</v>
      </c>
      <c r="AS1860" s="782">
        <v>12047515</v>
      </c>
      <c r="AT1860" s="782">
        <v>12084374</v>
      </c>
      <c r="AU1860" s="781"/>
      <c r="AV1860" s="782">
        <v>12084372</v>
      </c>
      <c r="AW1860" s="782">
        <v>12024404</v>
      </c>
      <c r="AX1860" s="782"/>
      <c r="AY1860" s="782">
        <v>12084373</v>
      </c>
      <c r="AZ1860" s="782"/>
      <c r="BA1860" s="781"/>
      <c r="BB1860" s="209">
        <v>23053185</v>
      </c>
    </row>
    <row r="1861" spans="2:54" ht="25.15" hidden="1" customHeight="1">
      <c r="B1861" s="345">
        <v>45681</v>
      </c>
      <c r="C1861" s="346">
        <v>45706</v>
      </c>
      <c r="D1861" s="185">
        <f t="shared" ref="D1861:D1924" si="640">IF(B1861="","",YEAR(B1861))</f>
        <v>2025</v>
      </c>
      <c r="E1861" s="347" t="e">
        <f>VLOOKUP($B1861,Week!$A$1:$C$1462,2,0)</f>
        <v>#N/A</v>
      </c>
      <c r="F1861" s="348" t="str">
        <f t="shared" ref="F1861:F1924" si="641">IF(B1861="","",TEXT(B1861,"[$-409]mmm"))</f>
        <v>Jan</v>
      </c>
      <c r="G1861" s="347" t="s">
        <v>1804</v>
      </c>
      <c r="H1861" s="347" t="s">
        <v>697</v>
      </c>
      <c r="I1861" s="347" t="s">
        <v>2772</v>
      </c>
      <c r="J1861" s="438" t="s">
        <v>425</v>
      </c>
      <c r="K1861" s="350" t="s">
        <v>176</v>
      </c>
      <c r="L1861" s="300" t="s">
        <v>2167</v>
      </c>
      <c r="M1861" s="349" t="s">
        <v>426</v>
      </c>
      <c r="N1861" s="347" t="s">
        <v>427</v>
      </c>
      <c r="O1861" s="347" t="s">
        <v>599</v>
      </c>
      <c r="P1861" s="351">
        <v>36</v>
      </c>
      <c r="Q1861" s="351">
        <v>5</v>
      </c>
      <c r="R1861" s="352">
        <v>7.4999999999999997E-3</v>
      </c>
      <c r="S1861" s="347" t="s">
        <v>111</v>
      </c>
      <c r="T1861" s="347" t="s">
        <v>112</v>
      </c>
      <c r="U1861" s="347" t="s">
        <v>57</v>
      </c>
      <c r="V1861" s="353">
        <v>1288</v>
      </c>
      <c r="W1861" s="353">
        <f>93+1195</f>
        <v>1288</v>
      </c>
      <c r="X1861" s="354"/>
      <c r="Y1861" s="355">
        <f t="shared" si="633"/>
        <v>0</v>
      </c>
      <c r="Z1861" s="356">
        <f t="shared" si="634"/>
        <v>0</v>
      </c>
      <c r="AA1861" s="353">
        <f t="shared" ref="AA1861:AA1924" si="642">Q1861*Z1861</f>
        <v>0</v>
      </c>
      <c r="AB1861" s="818">
        <v>7.4999999999999997E-3</v>
      </c>
      <c r="AC1861" s="353">
        <f t="shared" si="626"/>
        <v>0</v>
      </c>
      <c r="AD1861" s="307" t="s">
        <v>728</v>
      </c>
      <c r="AE1861" s="210"/>
      <c r="AF1861" s="210"/>
      <c r="AG1861" s="211">
        <f t="shared" si="635"/>
        <v>0.14799999999999999</v>
      </c>
      <c r="AH1861" s="157">
        <f t="shared" si="636"/>
        <v>0</v>
      </c>
      <c r="AI1861" s="152">
        <f t="shared" si="637"/>
        <v>46368</v>
      </c>
      <c r="AK1861" s="156" t="s">
        <v>691</v>
      </c>
      <c r="AL1861" s="574" t="s">
        <v>690</v>
      </c>
      <c r="AM1861" s="198">
        <f t="shared" si="639"/>
        <v>0</v>
      </c>
      <c r="AN1861" s="199">
        <f t="shared" ref="AN1861:AN1924" si="643">B1861</f>
        <v>45681</v>
      </c>
      <c r="AO1861" s="159" t="s">
        <v>692</v>
      </c>
      <c r="AP1861" s="783" t="s">
        <v>609</v>
      </c>
      <c r="AQ1861" s="782">
        <v>12071839</v>
      </c>
      <c r="AR1861" s="782">
        <v>12047514</v>
      </c>
      <c r="AS1861" s="782">
        <v>12047515</v>
      </c>
      <c r="AT1861" s="782">
        <v>12062098</v>
      </c>
      <c r="AU1861" s="782"/>
      <c r="AV1861" s="782">
        <v>12062100</v>
      </c>
      <c r="AW1861" s="782">
        <v>12024404</v>
      </c>
      <c r="AX1861" s="781"/>
      <c r="AY1861" s="782">
        <v>12062116</v>
      </c>
      <c r="AZ1861" s="782"/>
      <c r="BA1861" s="781"/>
      <c r="BB1861" s="209">
        <v>23053185</v>
      </c>
    </row>
    <row r="1862" spans="2:54" ht="25.15" hidden="1" customHeight="1">
      <c r="B1862" s="345">
        <v>45681</v>
      </c>
      <c r="C1862" s="346">
        <v>45712</v>
      </c>
      <c r="D1862" s="185">
        <f t="shared" si="640"/>
        <v>2025</v>
      </c>
      <c r="E1862" s="347" t="e">
        <f>VLOOKUP($B1862,Week!$A$1:$C$1462,2,0)</f>
        <v>#N/A</v>
      </c>
      <c r="F1862" s="348" t="str">
        <f t="shared" si="641"/>
        <v>Jan</v>
      </c>
      <c r="G1862" s="347" t="s">
        <v>1805</v>
      </c>
      <c r="H1862" s="347" t="s">
        <v>424</v>
      </c>
      <c r="I1862" s="347" t="s">
        <v>2772</v>
      </c>
      <c r="J1862" s="438" t="s">
        <v>425</v>
      </c>
      <c r="K1862" s="350" t="s">
        <v>176</v>
      </c>
      <c r="L1862" s="300" t="s">
        <v>2167</v>
      </c>
      <c r="M1862" s="349" t="s">
        <v>426</v>
      </c>
      <c r="N1862" s="347" t="s">
        <v>427</v>
      </c>
      <c r="O1862" s="347" t="s">
        <v>599</v>
      </c>
      <c r="P1862" s="351">
        <v>36</v>
      </c>
      <c r="Q1862" s="351">
        <v>5</v>
      </c>
      <c r="R1862" s="352">
        <v>7.4999999999999997E-3</v>
      </c>
      <c r="S1862" s="347" t="s">
        <v>111</v>
      </c>
      <c r="T1862" s="347" t="s">
        <v>112</v>
      </c>
      <c r="U1862" s="347" t="s">
        <v>57</v>
      </c>
      <c r="V1862" s="353">
        <v>1288</v>
      </c>
      <c r="W1862" s="353">
        <v>1288</v>
      </c>
      <c r="X1862" s="354"/>
      <c r="Y1862" s="355">
        <f t="shared" si="633"/>
        <v>0</v>
      </c>
      <c r="Z1862" s="356">
        <f t="shared" si="634"/>
        <v>0</v>
      </c>
      <c r="AA1862" s="353">
        <f t="shared" si="642"/>
        <v>0</v>
      </c>
      <c r="AB1862" s="818">
        <v>7.4999999999999997E-3</v>
      </c>
      <c r="AC1862" s="353">
        <f t="shared" si="626"/>
        <v>0</v>
      </c>
      <c r="AD1862" s="307" t="s">
        <v>728</v>
      </c>
      <c r="AE1862" s="210"/>
      <c r="AF1862" s="210"/>
      <c r="AG1862" s="211">
        <f t="shared" si="635"/>
        <v>0.14799999999999999</v>
      </c>
      <c r="AH1862" s="157">
        <f t="shared" si="636"/>
        <v>0</v>
      </c>
      <c r="AI1862" s="152">
        <f t="shared" si="637"/>
        <v>46368</v>
      </c>
      <c r="AK1862" s="156" t="s">
        <v>691</v>
      </c>
      <c r="AL1862" s="574" t="s">
        <v>690</v>
      </c>
      <c r="AM1862" s="198">
        <f t="shared" si="639"/>
        <v>0</v>
      </c>
      <c r="AN1862" s="199">
        <f t="shared" si="643"/>
        <v>45681</v>
      </c>
      <c r="AO1862" s="159" t="s">
        <v>692</v>
      </c>
      <c r="AP1862" s="783" t="s">
        <v>609</v>
      </c>
      <c r="AQ1862" s="782">
        <v>12071839</v>
      </c>
      <c r="AR1862" s="782">
        <v>12047514</v>
      </c>
      <c r="AS1862" s="782">
        <v>12047515</v>
      </c>
      <c r="AT1862" s="782">
        <v>12062098</v>
      </c>
      <c r="AU1862" s="782"/>
      <c r="AV1862" s="782">
        <v>12062100</v>
      </c>
      <c r="AW1862" s="782">
        <v>12024404</v>
      </c>
      <c r="AX1862" s="781"/>
      <c r="AY1862" s="782">
        <v>12062116</v>
      </c>
      <c r="AZ1862" s="782"/>
      <c r="BA1862" s="781"/>
      <c r="BB1862" s="209">
        <v>23053185</v>
      </c>
    </row>
    <row r="1863" spans="2:54" ht="25.15" hidden="1" customHeight="1">
      <c r="B1863" s="345">
        <v>45681</v>
      </c>
      <c r="C1863" s="346">
        <v>45712</v>
      </c>
      <c r="D1863" s="185">
        <f t="shared" si="640"/>
        <v>2025</v>
      </c>
      <c r="E1863" s="347" t="e">
        <f>VLOOKUP($B1863,Week!$A$1:$C$1462,2,0)</f>
        <v>#N/A</v>
      </c>
      <c r="F1863" s="348" t="str">
        <f t="shared" si="641"/>
        <v>Jan</v>
      </c>
      <c r="G1863" s="347" t="s">
        <v>1806</v>
      </c>
      <c r="H1863" s="347" t="s">
        <v>424</v>
      </c>
      <c r="I1863" s="347" t="s">
        <v>2772</v>
      </c>
      <c r="J1863" s="438" t="s">
        <v>425</v>
      </c>
      <c r="K1863" s="350" t="s">
        <v>176</v>
      </c>
      <c r="L1863" s="300" t="s">
        <v>2167</v>
      </c>
      <c r="M1863" s="349" t="s">
        <v>426</v>
      </c>
      <c r="N1863" s="347" t="s">
        <v>427</v>
      </c>
      <c r="O1863" s="347" t="s">
        <v>599</v>
      </c>
      <c r="P1863" s="351">
        <v>36</v>
      </c>
      <c r="Q1863" s="351">
        <v>5</v>
      </c>
      <c r="R1863" s="352">
        <v>7.4999999999999997E-3</v>
      </c>
      <c r="S1863" s="347" t="s">
        <v>111</v>
      </c>
      <c r="T1863" s="347" t="s">
        <v>112</v>
      </c>
      <c r="U1863" s="347" t="s">
        <v>57</v>
      </c>
      <c r="V1863" s="353">
        <v>1288</v>
      </c>
      <c r="W1863" s="353">
        <f>3771-1195-1288</f>
        <v>1288</v>
      </c>
      <c r="X1863" s="354"/>
      <c r="Y1863" s="355">
        <f t="shared" si="633"/>
        <v>0</v>
      </c>
      <c r="Z1863" s="356">
        <f t="shared" si="634"/>
        <v>0</v>
      </c>
      <c r="AA1863" s="353">
        <f t="shared" si="642"/>
        <v>0</v>
      </c>
      <c r="AB1863" s="818">
        <v>7.4999999999999997E-3</v>
      </c>
      <c r="AC1863" s="353">
        <f t="shared" si="626"/>
        <v>0</v>
      </c>
      <c r="AD1863" s="307" t="s">
        <v>728</v>
      </c>
      <c r="AE1863" s="210"/>
      <c r="AF1863" s="210"/>
      <c r="AG1863" s="211">
        <f t="shared" si="635"/>
        <v>0.14799999999999999</v>
      </c>
      <c r="AH1863" s="157">
        <f t="shared" si="636"/>
        <v>0</v>
      </c>
      <c r="AI1863" s="152">
        <f t="shared" si="637"/>
        <v>46368</v>
      </c>
      <c r="AK1863" s="156" t="s">
        <v>691</v>
      </c>
      <c r="AL1863" s="574" t="s">
        <v>690</v>
      </c>
      <c r="AM1863" s="198">
        <f t="shared" si="639"/>
        <v>0</v>
      </c>
      <c r="AN1863" s="199">
        <f t="shared" si="643"/>
        <v>45681</v>
      </c>
      <c r="AO1863" s="159" t="s">
        <v>692</v>
      </c>
      <c r="AP1863" s="783" t="s">
        <v>609</v>
      </c>
      <c r="AQ1863" s="782">
        <v>12071839</v>
      </c>
      <c r="AR1863" s="782">
        <v>12047514</v>
      </c>
      <c r="AS1863" s="782">
        <v>12047515</v>
      </c>
      <c r="AT1863" s="782">
        <v>12062098</v>
      </c>
      <c r="AU1863" s="782"/>
      <c r="AV1863" s="782">
        <v>12062100</v>
      </c>
      <c r="AW1863" s="782">
        <v>12024404</v>
      </c>
      <c r="AX1863" s="781"/>
      <c r="AY1863" s="782">
        <v>12062116</v>
      </c>
      <c r="AZ1863" s="782"/>
      <c r="BA1863" s="781"/>
      <c r="BB1863" s="209">
        <v>23053185</v>
      </c>
    </row>
    <row r="1864" spans="2:54" ht="25" hidden="1" customHeight="1">
      <c r="B1864" s="332">
        <v>45681</v>
      </c>
      <c r="C1864" s="333">
        <v>45694</v>
      </c>
      <c r="D1864" s="185">
        <f t="shared" si="640"/>
        <v>2025</v>
      </c>
      <c r="E1864" s="333" t="e">
        <f>VLOOKUP($B1864,Week!$A$1:$C$1462,2,0)</f>
        <v>#N/A</v>
      </c>
      <c r="F1864" s="334" t="str">
        <f t="shared" si="641"/>
        <v>Jan</v>
      </c>
      <c r="G1864" s="335" t="s">
        <v>1926</v>
      </c>
      <c r="H1864" s="335" t="s">
        <v>311</v>
      </c>
      <c r="I1864" s="335" t="s">
        <v>2772</v>
      </c>
      <c r="J1864" s="336" t="s">
        <v>738</v>
      </c>
      <c r="K1864" s="337" t="s">
        <v>2234</v>
      </c>
      <c r="L1864" s="300" t="s">
        <v>2235</v>
      </c>
      <c r="M1864" s="382" t="s">
        <v>1923</v>
      </c>
      <c r="N1864" s="335" t="s">
        <v>1924</v>
      </c>
      <c r="O1864" s="335" t="s">
        <v>1925</v>
      </c>
      <c r="P1864" s="338">
        <v>8</v>
      </c>
      <c r="Q1864" s="338">
        <v>3</v>
      </c>
      <c r="R1864" s="339">
        <v>6.0000000000000001E-3</v>
      </c>
      <c r="S1864" s="335" t="s">
        <v>55</v>
      </c>
      <c r="T1864" s="335" t="s">
        <v>112</v>
      </c>
      <c r="U1864" s="340" t="s">
        <v>739</v>
      </c>
      <c r="V1864" s="341">
        <f>300</f>
        <v>300</v>
      </c>
      <c r="W1864" s="341"/>
      <c r="X1864" s="342">
        <f>(3009)/8</f>
        <v>376.125</v>
      </c>
      <c r="Y1864" s="343">
        <f t="shared" si="633"/>
        <v>76.125</v>
      </c>
      <c r="Z1864" s="344">
        <f t="shared" si="634"/>
        <v>0</v>
      </c>
      <c r="AA1864" s="344">
        <f t="shared" si="642"/>
        <v>0</v>
      </c>
      <c r="AB1864" s="817">
        <v>2.4E-2</v>
      </c>
      <c r="AC1864" s="341">
        <f t="shared" si="626"/>
        <v>0</v>
      </c>
      <c r="AD1864" s="307" t="s">
        <v>736</v>
      </c>
      <c r="AE1864" s="210"/>
      <c r="AF1864" s="210"/>
      <c r="AG1864" s="211">
        <f t="shared" si="635"/>
        <v>0.3</v>
      </c>
      <c r="AH1864" s="157">
        <v>0.26621999999999996</v>
      </c>
      <c r="AI1864" s="152">
        <f t="shared" si="637"/>
        <v>2400</v>
      </c>
      <c r="AK1864" s="156" t="s">
        <v>691</v>
      </c>
      <c r="AL1864" s="156" t="s">
        <v>690</v>
      </c>
      <c r="AM1864" s="198">
        <f t="shared" si="639"/>
        <v>0</v>
      </c>
      <c r="AN1864" s="199">
        <f t="shared" si="643"/>
        <v>45681</v>
      </c>
      <c r="AO1864" s="159" t="s">
        <v>692</v>
      </c>
      <c r="AP1864" s="781" t="s">
        <v>642</v>
      </c>
      <c r="AQ1864" s="782">
        <v>12063755</v>
      </c>
      <c r="AR1864" s="782">
        <v>12061353</v>
      </c>
      <c r="AS1864" s="782">
        <v>12061354</v>
      </c>
      <c r="AT1864" s="782">
        <v>12093857</v>
      </c>
      <c r="AU1864" s="781"/>
      <c r="AV1864" s="782">
        <v>12093858</v>
      </c>
      <c r="AW1864" s="781"/>
      <c r="AX1864" s="781"/>
      <c r="AY1864" s="781"/>
      <c r="AZ1864" s="782"/>
      <c r="BA1864" s="781"/>
      <c r="BB1864" s="209">
        <v>11042803</v>
      </c>
    </row>
    <row r="1865" spans="2:54" ht="24.75" hidden="1" customHeight="1">
      <c r="B1865" s="295">
        <v>45682</v>
      </c>
      <c r="C1865" s="771" t="s">
        <v>1918</v>
      </c>
      <c r="D1865" s="185">
        <f t="shared" si="640"/>
        <v>2025</v>
      </c>
      <c r="E1865" s="296" t="e">
        <f>VLOOKUP($B1865,Week!$A$1:$C$1462,2,0)</f>
        <v>#N/A</v>
      </c>
      <c r="F1865" s="297" t="str">
        <f t="shared" si="641"/>
        <v>Jan</v>
      </c>
      <c r="G1865" s="648" t="s">
        <v>47</v>
      </c>
      <c r="H1865" s="298" t="s">
        <v>260</v>
      </c>
      <c r="I1865" s="298" t="s">
        <v>2702</v>
      </c>
      <c r="J1865" s="307" t="s">
        <v>904</v>
      </c>
      <c r="K1865" s="300" t="s">
        <v>176</v>
      </c>
      <c r="L1865" s="300" t="s">
        <v>2167</v>
      </c>
      <c r="M1865" s="299" t="s">
        <v>262</v>
      </c>
      <c r="N1865" s="298" t="s">
        <v>350</v>
      </c>
      <c r="O1865" s="298" t="s">
        <v>351</v>
      </c>
      <c r="P1865" s="301">
        <v>24</v>
      </c>
      <c r="Q1865" s="301">
        <v>5</v>
      </c>
      <c r="R1865" s="302">
        <v>6.1999999999999998E-3</v>
      </c>
      <c r="S1865" s="298" t="s">
        <v>352</v>
      </c>
      <c r="T1865" s="298" t="s">
        <v>56</v>
      </c>
      <c r="U1865" s="298" t="s">
        <v>57</v>
      </c>
      <c r="V1865" s="303">
        <v>4897</v>
      </c>
      <c r="W1865" s="303">
        <f>4897</f>
        <v>4897</v>
      </c>
      <c r="X1865" s="304"/>
      <c r="Y1865" s="305">
        <f t="shared" si="633"/>
        <v>0</v>
      </c>
      <c r="Z1865" s="306">
        <f t="shared" si="634"/>
        <v>0</v>
      </c>
      <c r="AA1865" s="306">
        <f t="shared" si="642"/>
        <v>0</v>
      </c>
      <c r="AB1865" s="814">
        <v>7.4999999999999997E-3</v>
      </c>
      <c r="AC1865" s="303">
        <f t="shared" si="626"/>
        <v>0</v>
      </c>
      <c r="AD1865" s="573" t="s">
        <v>1938</v>
      </c>
      <c r="AE1865" s="210"/>
      <c r="AF1865" s="210"/>
      <c r="AG1865" s="211">
        <f t="shared" si="635"/>
        <v>0.13</v>
      </c>
      <c r="AH1865" s="157">
        <f>(Z1865*AG1865)/1000</f>
        <v>0</v>
      </c>
      <c r="AI1865" s="152">
        <f t="shared" si="637"/>
        <v>117528</v>
      </c>
      <c r="AK1865" s="156" t="s">
        <v>691</v>
      </c>
      <c r="AL1865" s="574" t="s">
        <v>690</v>
      </c>
      <c r="AM1865" s="198">
        <f t="shared" si="639"/>
        <v>0</v>
      </c>
      <c r="AN1865" s="199">
        <f t="shared" si="643"/>
        <v>45682</v>
      </c>
      <c r="AO1865" s="159" t="s">
        <v>692</v>
      </c>
      <c r="AP1865" s="783" t="s">
        <v>629</v>
      </c>
      <c r="AQ1865" s="782">
        <v>12071839</v>
      </c>
      <c r="AR1865" s="782">
        <v>12078867</v>
      </c>
      <c r="AS1865" s="782">
        <v>12068233</v>
      </c>
      <c r="AT1865" s="781"/>
      <c r="AU1865" s="781"/>
      <c r="AV1865" s="782">
        <v>12062075</v>
      </c>
      <c r="AW1865" s="781"/>
      <c r="AX1865" s="781"/>
      <c r="AY1865" s="782">
        <v>12086617</v>
      </c>
      <c r="AZ1865" s="781"/>
      <c r="BA1865" s="781"/>
      <c r="BB1865" s="209">
        <v>23053185</v>
      </c>
    </row>
    <row r="1866" spans="2:54" ht="25" hidden="1" customHeight="1">
      <c r="B1866" s="332">
        <v>45682</v>
      </c>
      <c r="C1866" s="333">
        <v>45706</v>
      </c>
      <c r="D1866" s="185">
        <f t="shared" si="640"/>
        <v>2025</v>
      </c>
      <c r="E1866" s="333" t="e">
        <f>VLOOKUP($B1866,Week!$A$1:$C$1462,2,0)</f>
        <v>#N/A</v>
      </c>
      <c r="F1866" s="334" t="str">
        <f t="shared" si="641"/>
        <v>Jan</v>
      </c>
      <c r="G1866" s="335" t="s">
        <v>1879</v>
      </c>
      <c r="H1866" s="335" t="s">
        <v>600</v>
      </c>
      <c r="I1866" s="335" t="s">
        <v>2772</v>
      </c>
      <c r="J1866" s="336" t="s">
        <v>708</v>
      </c>
      <c r="K1866" s="337" t="s">
        <v>1646</v>
      </c>
      <c r="L1866" s="300" t="s">
        <v>2167</v>
      </c>
      <c r="M1866" s="336" t="s">
        <v>601</v>
      </c>
      <c r="N1866" s="335" t="s">
        <v>604</v>
      </c>
      <c r="O1866" s="335" t="s">
        <v>543</v>
      </c>
      <c r="P1866" s="338">
        <v>8</v>
      </c>
      <c r="Q1866" s="338">
        <v>3</v>
      </c>
      <c r="R1866" s="339">
        <v>7.4999999999999997E-3</v>
      </c>
      <c r="S1866" s="335" t="s">
        <v>40</v>
      </c>
      <c r="T1866" s="335" t="s">
        <v>112</v>
      </c>
      <c r="U1866" s="340" t="s">
        <v>1893</v>
      </c>
      <c r="V1866" s="341">
        <v>3500</v>
      </c>
      <c r="W1866" s="341"/>
      <c r="X1866" s="342">
        <v>3500</v>
      </c>
      <c r="Y1866" s="343">
        <f t="shared" si="633"/>
        <v>0</v>
      </c>
      <c r="Z1866" s="344">
        <f t="shared" si="634"/>
        <v>0</v>
      </c>
      <c r="AA1866" s="344">
        <f t="shared" si="642"/>
        <v>0</v>
      </c>
      <c r="AB1866" s="817">
        <v>3.85E-2</v>
      </c>
      <c r="AC1866" s="341">
        <f t="shared" si="626"/>
        <v>0</v>
      </c>
      <c r="AD1866" s="307" t="s">
        <v>673</v>
      </c>
      <c r="AE1866" s="210"/>
      <c r="AF1866" s="210"/>
      <c r="AG1866" s="211">
        <f t="shared" si="635"/>
        <v>0.309</v>
      </c>
      <c r="AH1866" s="157">
        <f>(Z1866*AG1866)/1000</f>
        <v>0</v>
      </c>
      <c r="AI1866" s="152">
        <f t="shared" si="637"/>
        <v>28000</v>
      </c>
      <c r="AK1866" s="156" t="s">
        <v>691</v>
      </c>
      <c r="AL1866" s="574" t="s">
        <v>690</v>
      </c>
      <c r="AM1866" s="198">
        <f t="shared" si="639"/>
        <v>0</v>
      </c>
      <c r="AN1866" s="199">
        <f t="shared" si="643"/>
        <v>45682</v>
      </c>
      <c r="AO1866" s="159" t="s">
        <v>692</v>
      </c>
      <c r="AP1866" s="781"/>
      <c r="AQ1866" s="782">
        <v>12063755</v>
      </c>
      <c r="AR1866" s="782">
        <v>12061353</v>
      </c>
      <c r="AS1866" s="782">
        <v>12061354</v>
      </c>
      <c r="AT1866" s="782">
        <v>12084228</v>
      </c>
      <c r="AU1866" s="781"/>
      <c r="AV1866" s="782">
        <v>12084023</v>
      </c>
      <c r="AW1866" s="782"/>
      <c r="AX1866" s="782"/>
      <c r="AY1866" s="782"/>
      <c r="AZ1866" s="782"/>
      <c r="BA1866" s="781"/>
      <c r="BB1866" s="209">
        <v>23105468</v>
      </c>
    </row>
    <row r="1867" spans="2:54" ht="25" hidden="1" customHeight="1">
      <c r="B1867" s="183">
        <v>45683</v>
      </c>
      <c r="C1867" s="184"/>
      <c r="D1867" s="185">
        <f t="shared" si="640"/>
        <v>2025</v>
      </c>
      <c r="E1867" s="185" t="e">
        <f>VLOOKUP($B1867,Week!$A$1:$C$1462,2,0)</f>
        <v>#N/A</v>
      </c>
      <c r="F1867" s="186" t="str">
        <f t="shared" si="641"/>
        <v>Jan</v>
      </c>
      <c r="G1867" s="185"/>
      <c r="H1867" s="185"/>
      <c r="I1867" s="185"/>
      <c r="J1867" s="187"/>
      <c r="K1867" s="188"/>
      <c r="L1867" s="300"/>
      <c r="M1867" s="187"/>
      <c r="N1867" s="185"/>
      <c r="O1867" s="185"/>
      <c r="P1867" s="189"/>
      <c r="Q1867" s="189"/>
      <c r="R1867" s="190"/>
      <c r="S1867" s="185"/>
      <c r="T1867" s="185"/>
      <c r="U1867" s="185"/>
      <c r="V1867" s="191"/>
      <c r="W1867" s="191"/>
      <c r="X1867" s="192"/>
      <c r="Y1867" s="193"/>
      <c r="Z1867" s="194"/>
      <c r="AA1867" s="194">
        <f t="shared" si="642"/>
        <v>0</v>
      </c>
      <c r="AB1867" s="805"/>
      <c r="AC1867" s="191">
        <f t="shared" si="626"/>
        <v>0</v>
      </c>
      <c r="AD1867" s="187"/>
      <c r="AE1867" s="195"/>
      <c r="AF1867" s="195"/>
      <c r="AG1867" s="196"/>
      <c r="AH1867" s="197"/>
      <c r="AK1867" s="156" t="s">
        <v>691</v>
      </c>
      <c r="AM1867" s="198">
        <f t="shared" si="639"/>
        <v>0</v>
      </c>
      <c r="AN1867" s="199">
        <f t="shared" si="643"/>
        <v>45683</v>
      </c>
      <c r="AO1867" s="159" t="s">
        <v>692</v>
      </c>
      <c r="AP1867" s="781"/>
      <c r="AQ1867" s="782"/>
      <c r="AR1867" s="782"/>
      <c r="AS1867" s="782"/>
      <c r="AT1867" s="782"/>
      <c r="AU1867" s="781"/>
      <c r="AV1867" s="782"/>
      <c r="AW1867" s="782"/>
      <c r="AX1867" s="782"/>
      <c r="AY1867" s="782"/>
      <c r="AZ1867" s="782"/>
      <c r="BA1867" s="781"/>
      <c r="BB1867" s="209"/>
    </row>
    <row r="1868" spans="2:54" ht="25" hidden="1" customHeight="1">
      <c r="B1868" s="357">
        <v>45684</v>
      </c>
      <c r="C1868" s="358">
        <v>45707</v>
      </c>
      <c r="D1868" s="185">
        <f t="shared" si="640"/>
        <v>2025</v>
      </c>
      <c r="E1868" s="358" t="e">
        <f>VLOOKUP($B1868,Week!$A$1:$C$1462,2,0)</f>
        <v>#N/A</v>
      </c>
      <c r="F1868" s="360" t="str">
        <f t="shared" si="641"/>
        <v>Jan</v>
      </c>
      <c r="G1868" s="436" t="s">
        <v>1951</v>
      </c>
      <c r="H1868" s="359" t="s">
        <v>225</v>
      </c>
      <c r="I1868" s="359" t="s">
        <v>2773</v>
      </c>
      <c r="J1868" s="361" t="s">
        <v>650</v>
      </c>
      <c r="K1868" s="362" t="s">
        <v>593</v>
      </c>
      <c r="L1868" s="300" t="s">
        <v>2167</v>
      </c>
      <c r="M1868" s="361" t="s">
        <v>717</v>
      </c>
      <c r="N1868" s="359" t="s">
        <v>719</v>
      </c>
      <c r="O1868" s="359" t="s">
        <v>230</v>
      </c>
      <c r="P1868" s="363">
        <v>12</v>
      </c>
      <c r="Q1868" s="363">
        <v>5</v>
      </c>
      <c r="R1868" s="364">
        <v>6.0000000000000001E-3</v>
      </c>
      <c r="S1868" s="359" t="s">
        <v>55</v>
      </c>
      <c r="T1868" s="359" t="s">
        <v>112</v>
      </c>
      <c r="U1868" s="359" t="s">
        <v>57</v>
      </c>
      <c r="V1868" s="365">
        <v>2600</v>
      </c>
      <c r="W1868" s="365"/>
      <c r="X1868" s="366">
        <f>(30932+268)/12</f>
        <v>2600</v>
      </c>
      <c r="Y1868" s="367">
        <f t="shared" ref="Y1868:Y1877" si="644">(W1868+X1868)-V1868</f>
        <v>0</v>
      </c>
      <c r="Z1868" s="368">
        <f t="shared" ref="Z1868:Z1877" si="645">IF(Y1868&lt;0,((V1868*P1868)-((W1868+X1868)*P1868)),0)</f>
        <v>0</v>
      </c>
      <c r="AA1868" s="368">
        <f t="shared" si="642"/>
        <v>0</v>
      </c>
      <c r="AB1868" s="819">
        <v>7.4999999999999997E-3</v>
      </c>
      <c r="AC1868" s="365">
        <f t="shared" si="626"/>
        <v>0</v>
      </c>
      <c r="AD1868" s="307" t="s">
        <v>1622</v>
      </c>
      <c r="AE1868" s="210"/>
      <c r="AF1868" s="210"/>
      <c r="AG1868" s="211">
        <f t="shared" ref="AG1868:AG1877" si="646">MID(O1868,1,3)/1000</f>
        <v>0.25800000000000001</v>
      </c>
      <c r="AH1868" s="157">
        <f t="shared" ref="AH1868:AH1873" si="647">(Z1868*AG1868)/1000</f>
        <v>0</v>
      </c>
      <c r="AI1868" s="152">
        <f t="shared" ref="AI1868:AI1877" si="648">V1868*P1868</f>
        <v>31200</v>
      </c>
      <c r="AK1868" s="156" t="s">
        <v>691</v>
      </c>
      <c r="AL1868" s="574" t="s">
        <v>690</v>
      </c>
      <c r="AM1868" s="198">
        <f t="shared" si="639"/>
        <v>0</v>
      </c>
      <c r="AN1868" s="199">
        <f t="shared" si="643"/>
        <v>45684</v>
      </c>
      <c r="AO1868" s="159" t="s">
        <v>692</v>
      </c>
      <c r="AP1868" s="783" t="s">
        <v>612</v>
      </c>
      <c r="AQ1868" s="782">
        <v>12071839</v>
      </c>
      <c r="AR1868" s="782">
        <v>12042650</v>
      </c>
      <c r="AS1868" s="782">
        <v>12042649</v>
      </c>
      <c r="AT1868" s="782">
        <v>12088423</v>
      </c>
      <c r="AU1868" s="781"/>
      <c r="AV1868" s="782">
        <v>12088422</v>
      </c>
      <c r="AW1868" s="782"/>
      <c r="AX1868" s="782"/>
      <c r="AY1868" s="782"/>
      <c r="AZ1868" s="782"/>
      <c r="BA1868" s="781"/>
      <c r="BB1868" s="209">
        <v>23053185</v>
      </c>
    </row>
    <row r="1869" spans="2:54" ht="24.75" hidden="1" customHeight="1">
      <c r="B1869" s="295">
        <v>45684</v>
      </c>
      <c r="C1869" s="771" t="s">
        <v>1918</v>
      </c>
      <c r="D1869" s="185">
        <f t="shared" si="640"/>
        <v>2025</v>
      </c>
      <c r="E1869" s="296" t="e">
        <f>VLOOKUP($B1869,Week!$A$1:$C$1462,2,0)</f>
        <v>#N/A</v>
      </c>
      <c r="F1869" s="297" t="str">
        <f t="shared" si="641"/>
        <v>Jan</v>
      </c>
      <c r="G1869" s="648" t="s">
        <v>47</v>
      </c>
      <c r="H1869" s="298" t="s">
        <v>260</v>
      </c>
      <c r="I1869" s="298" t="s">
        <v>2702</v>
      </c>
      <c r="J1869" s="307" t="s">
        <v>904</v>
      </c>
      <c r="K1869" s="300" t="s">
        <v>176</v>
      </c>
      <c r="L1869" s="300" t="s">
        <v>2167</v>
      </c>
      <c r="M1869" s="299" t="s">
        <v>262</v>
      </c>
      <c r="N1869" s="298" t="s">
        <v>350</v>
      </c>
      <c r="O1869" s="298" t="s">
        <v>351</v>
      </c>
      <c r="P1869" s="301">
        <v>24</v>
      </c>
      <c r="Q1869" s="301">
        <v>5</v>
      </c>
      <c r="R1869" s="302">
        <v>6.1999999999999998E-3</v>
      </c>
      <c r="S1869" s="298" t="s">
        <v>352</v>
      </c>
      <c r="T1869" s="298" t="s">
        <v>56</v>
      </c>
      <c r="U1869" s="298" t="s">
        <v>57</v>
      </c>
      <c r="V1869" s="303">
        <f>7436-333-4897+834-770</f>
        <v>2270</v>
      </c>
      <c r="W1869" s="303">
        <f>2270</f>
        <v>2270</v>
      </c>
      <c r="X1869" s="304"/>
      <c r="Y1869" s="305">
        <f t="shared" si="644"/>
        <v>0</v>
      </c>
      <c r="Z1869" s="306">
        <f t="shared" si="645"/>
        <v>0</v>
      </c>
      <c r="AA1869" s="306">
        <f t="shared" si="642"/>
        <v>0</v>
      </c>
      <c r="AB1869" s="814">
        <v>7.4999999999999997E-3</v>
      </c>
      <c r="AC1869" s="303">
        <f t="shared" si="626"/>
        <v>0</v>
      </c>
      <c r="AD1869" s="573"/>
      <c r="AE1869" s="210"/>
      <c r="AF1869" s="210"/>
      <c r="AG1869" s="211">
        <f t="shared" si="646"/>
        <v>0.13</v>
      </c>
      <c r="AH1869" s="157">
        <f t="shared" si="647"/>
        <v>0</v>
      </c>
      <c r="AI1869" s="152">
        <f t="shared" si="648"/>
        <v>54480</v>
      </c>
      <c r="AK1869" s="156" t="s">
        <v>691</v>
      </c>
      <c r="AL1869" s="574" t="s">
        <v>690</v>
      </c>
      <c r="AM1869" s="198">
        <f t="shared" si="639"/>
        <v>0</v>
      </c>
      <c r="AN1869" s="199">
        <f t="shared" si="643"/>
        <v>45684</v>
      </c>
      <c r="AO1869" s="159" t="s">
        <v>692</v>
      </c>
      <c r="AP1869" s="783" t="s">
        <v>629</v>
      </c>
      <c r="AQ1869" s="782">
        <v>12071839</v>
      </c>
      <c r="AR1869" s="782">
        <v>12078867</v>
      </c>
      <c r="AS1869" s="782">
        <v>12068233</v>
      </c>
      <c r="AT1869" s="781"/>
      <c r="AU1869" s="781"/>
      <c r="AV1869" s="782">
        <v>12062075</v>
      </c>
      <c r="AW1869" s="781"/>
      <c r="AX1869" s="781"/>
      <c r="AY1869" s="782">
        <v>12086617</v>
      </c>
      <c r="AZ1869" s="781"/>
      <c r="BA1869" s="781"/>
      <c r="BB1869" s="209">
        <v>23053185</v>
      </c>
    </row>
    <row r="1870" spans="2:54" ht="24.75" hidden="1" customHeight="1">
      <c r="B1870" s="295">
        <v>45684</v>
      </c>
      <c r="C1870" s="771" t="s">
        <v>1927</v>
      </c>
      <c r="D1870" s="185">
        <f t="shared" si="640"/>
        <v>2025</v>
      </c>
      <c r="E1870" s="296" t="e">
        <f>VLOOKUP($B1870,Week!$A$1:$C$1462,2,0)</f>
        <v>#N/A</v>
      </c>
      <c r="F1870" s="297" t="str">
        <f t="shared" si="641"/>
        <v>Jan</v>
      </c>
      <c r="G1870" s="648" t="s">
        <v>47</v>
      </c>
      <c r="H1870" s="298" t="s">
        <v>260</v>
      </c>
      <c r="I1870" s="298" t="s">
        <v>2702</v>
      </c>
      <c r="J1870" s="307" t="s">
        <v>904</v>
      </c>
      <c r="K1870" s="300" t="s">
        <v>176</v>
      </c>
      <c r="L1870" s="300" t="s">
        <v>2167</v>
      </c>
      <c r="M1870" s="299" t="s">
        <v>262</v>
      </c>
      <c r="N1870" s="298" t="s">
        <v>350</v>
      </c>
      <c r="O1870" s="298" t="s">
        <v>351</v>
      </c>
      <c r="P1870" s="301">
        <v>24</v>
      </c>
      <c r="Q1870" s="301">
        <v>5</v>
      </c>
      <c r="R1870" s="302">
        <v>6.1999999999999998E-3</v>
      </c>
      <c r="S1870" s="298" t="s">
        <v>352</v>
      </c>
      <c r="T1870" s="298" t="s">
        <v>56</v>
      </c>
      <c r="U1870" s="298" t="s">
        <v>57</v>
      </c>
      <c r="V1870" s="303">
        <v>778</v>
      </c>
      <c r="W1870" s="303">
        <v>778</v>
      </c>
      <c r="X1870" s="304"/>
      <c r="Y1870" s="305">
        <f t="shared" si="644"/>
        <v>0</v>
      </c>
      <c r="Z1870" s="306">
        <f t="shared" si="645"/>
        <v>0</v>
      </c>
      <c r="AA1870" s="306">
        <f t="shared" si="642"/>
        <v>0</v>
      </c>
      <c r="AB1870" s="814">
        <v>7.4999999999999997E-3</v>
      </c>
      <c r="AC1870" s="303">
        <f t="shared" si="626"/>
        <v>0</v>
      </c>
      <c r="AD1870" s="573"/>
      <c r="AE1870" s="210"/>
      <c r="AF1870" s="210"/>
      <c r="AG1870" s="211">
        <f t="shared" si="646"/>
        <v>0.13</v>
      </c>
      <c r="AH1870" s="157">
        <f t="shared" si="647"/>
        <v>0</v>
      </c>
      <c r="AI1870" s="152">
        <f t="shared" si="648"/>
        <v>18672</v>
      </c>
      <c r="AK1870" s="156" t="s">
        <v>691</v>
      </c>
      <c r="AL1870" s="574" t="s">
        <v>690</v>
      </c>
      <c r="AM1870" s="198">
        <f t="shared" si="639"/>
        <v>0</v>
      </c>
      <c r="AN1870" s="199">
        <f t="shared" si="643"/>
        <v>45684</v>
      </c>
      <c r="AO1870" s="159" t="s">
        <v>692</v>
      </c>
      <c r="AP1870" s="783" t="s">
        <v>629</v>
      </c>
      <c r="AQ1870" s="782">
        <v>12071839</v>
      </c>
      <c r="AR1870" s="782">
        <v>12078867</v>
      </c>
      <c r="AS1870" s="782">
        <v>12068233</v>
      </c>
      <c r="AT1870" s="781"/>
      <c r="AU1870" s="781"/>
      <c r="AV1870" s="782">
        <v>12062075</v>
      </c>
      <c r="AW1870" s="781"/>
      <c r="AX1870" s="781"/>
      <c r="AY1870" s="782">
        <v>12086617</v>
      </c>
      <c r="AZ1870" s="781"/>
      <c r="BA1870" s="781"/>
      <c r="BB1870" s="209">
        <v>23053185</v>
      </c>
    </row>
    <row r="1871" spans="2:54" ht="25" hidden="1" customHeight="1">
      <c r="B1871" s="581">
        <v>45684</v>
      </c>
      <c r="C1871" s="332">
        <v>45691</v>
      </c>
      <c r="D1871" s="185">
        <f t="shared" si="640"/>
        <v>2025</v>
      </c>
      <c r="E1871" s="333" t="e">
        <f>VLOOKUP($B1871,Week!$A$1:$C$1462,2,0)</f>
        <v>#N/A</v>
      </c>
      <c r="F1871" s="334" t="str">
        <f t="shared" si="641"/>
        <v>Jan</v>
      </c>
      <c r="G1871" s="530" t="s">
        <v>1944</v>
      </c>
      <c r="H1871" s="335" t="s">
        <v>82</v>
      </c>
      <c r="I1871" s="335" t="s">
        <v>82</v>
      </c>
      <c r="J1871" s="336" t="s">
        <v>235</v>
      </c>
      <c r="K1871" s="337" t="s">
        <v>1643</v>
      </c>
      <c r="L1871" s="300" t="s">
        <v>2167</v>
      </c>
      <c r="M1871" s="336" t="s">
        <v>336</v>
      </c>
      <c r="N1871" s="530" t="s">
        <v>1018</v>
      </c>
      <c r="O1871" s="335" t="s">
        <v>743</v>
      </c>
      <c r="P1871" s="338">
        <v>36</v>
      </c>
      <c r="Q1871" s="338">
        <v>5</v>
      </c>
      <c r="R1871" s="339">
        <v>7.4999999999999997E-3</v>
      </c>
      <c r="S1871" s="335" t="s">
        <v>40</v>
      </c>
      <c r="T1871" s="335" t="s">
        <v>112</v>
      </c>
      <c r="U1871" s="340" t="s">
        <v>1894</v>
      </c>
      <c r="V1871" s="341">
        <f>798</f>
        <v>798</v>
      </c>
      <c r="W1871" s="341">
        <f>5+793</f>
        <v>798</v>
      </c>
      <c r="X1871" s="342">
        <f>(1285)/36</f>
        <v>35.694444444444443</v>
      </c>
      <c r="Y1871" s="343">
        <f t="shared" si="644"/>
        <v>35.694444444444457</v>
      </c>
      <c r="Z1871" s="344">
        <f t="shared" si="645"/>
        <v>0</v>
      </c>
      <c r="AA1871" s="344">
        <f t="shared" si="642"/>
        <v>0</v>
      </c>
      <c r="AB1871" s="817">
        <v>2.2419999999999999E-2</v>
      </c>
      <c r="AC1871" s="341">
        <f t="shared" si="626"/>
        <v>0</v>
      </c>
      <c r="AD1871" s="209"/>
      <c r="AE1871" s="210"/>
      <c r="AF1871" s="210"/>
      <c r="AG1871" s="211">
        <f t="shared" si="646"/>
        <v>0.14699999999999999</v>
      </c>
      <c r="AH1871" s="157">
        <f t="shared" si="647"/>
        <v>0</v>
      </c>
      <c r="AI1871" s="152">
        <f t="shared" si="648"/>
        <v>28728</v>
      </c>
      <c r="AK1871" s="156" t="s">
        <v>691</v>
      </c>
      <c r="AL1871" s="574" t="s">
        <v>690</v>
      </c>
      <c r="AM1871" s="198">
        <f t="shared" si="639"/>
        <v>0</v>
      </c>
      <c r="AN1871" s="199">
        <f t="shared" si="643"/>
        <v>45684</v>
      </c>
      <c r="AO1871" s="159" t="s">
        <v>692</v>
      </c>
      <c r="AP1871" s="783" t="s">
        <v>639</v>
      </c>
      <c r="AQ1871" s="782">
        <v>12071839</v>
      </c>
      <c r="AR1871" s="782">
        <v>12047514</v>
      </c>
      <c r="AS1871" s="782">
        <v>12047515</v>
      </c>
      <c r="AT1871" s="782">
        <v>12090591</v>
      </c>
      <c r="AU1871" s="781"/>
      <c r="AV1871" s="782">
        <v>12090590</v>
      </c>
      <c r="AW1871" s="782">
        <v>12024404</v>
      </c>
      <c r="AX1871" s="781"/>
      <c r="AY1871" s="782">
        <v>12090589</v>
      </c>
      <c r="AZ1871" s="781"/>
      <c r="BA1871" s="781"/>
      <c r="BB1871" s="209">
        <v>23105470</v>
      </c>
    </row>
    <row r="1872" spans="2:54" ht="24.65" hidden="1" customHeight="1">
      <c r="B1872" s="602">
        <v>45685</v>
      </c>
      <c r="C1872" s="603">
        <v>45691</v>
      </c>
      <c r="D1872" s="185">
        <f t="shared" si="640"/>
        <v>2025</v>
      </c>
      <c r="E1872" s="603" t="e">
        <f>VLOOKUP($B1872,Week!$A$1:$C$1462,2,0)</f>
        <v>#N/A</v>
      </c>
      <c r="F1872" s="605" t="str">
        <f t="shared" si="641"/>
        <v>Jan</v>
      </c>
      <c r="G1872" s="604" t="s">
        <v>1945</v>
      </c>
      <c r="H1872" s="604" t="s">
        <v>82</v>
      </c>
      <c r="I1872" s="604" t="s">
        <v>82</v>
      </c>
      <c r="J1872" s="606" t="s">
        <v>235</v>
      </c>
      <c r="K1872" s="607" t="s">
        <v>107</v>
      </c>
      <c r="L1872" s="300" t="s">
        <v>2167</v>
      </c>
      <c r="M1872" s="606" t="s">
        <v>654</v>
      </c>
      <c r="N1872" s="604" t="s">
        <v>753</v>
      </c>
      <c r="O1872" s="604" t="s">
        <v>110</v>
      </c>
      <c r="P1872" s="608">
        <v>36</v>
      </c>
      <c r="Q1872" s="608">
        <v>5</v>
      </c>
      <c r="R1872" s="609">
        <v>7.4999999999999997E-3</v>
      </c>
      <c r="S1872" s="604" t="s">
        <v>111</v>
      </c>
      <c r="T1872" s="604" t="s">
        <v>112</v>
      </c>
      <c r="U1872" s="604" t="s">
        <v>113</v>
      </c>
      <c r="V1872" s="610">
        <f>300</f>
        <v>300</v>
      </c>
      <c r="W1872" s="610">
        <f>102</f>
        <v>102</v>
      </c>
      <c r="X1872" s="611">
        <f>7273/36</f>
        <v>202.02777777777777</v>
      </c>
      <c r="Y1872" s="612">
        <f t="shared" si="644"/>
        <v>4.0277777777777715</v>
      </c>
      <c r="Z1872" s="613">
        <f t="shared" si="645"/>
        <v>0</v>
      </c>
      <c r="AA1872" s="613">
        <f t="shared" si="642"/>
        <v>0</v>
      </c>
      <c r="AB1872" s="836">
        <v>9.7000000000000003E-3</v>
      </c>
      <c r="AC1872" s="610">
        <f t="shared" si="626"/>
        <v>0</v>
      </c>
      <c r="AD1872" s="307" t="s">
        <v>1048</v>
      </c>
      <c r="AE1872" s="210"/>
      <c r="AF1872" s="210"/>
      <c r="AG1872" s="211">
        <f t="shared" si="646"/>
        <v>0.308</v>
      </c>
      <c r="AH1872" s="157">
        <f t="shared" si="647"/>
        <v>0</v>
      </c>
      <c r="AI1872" s="152">
        <f t="shared" si="648"/>
        <v>10800</v>
      </c>
      <c r="AK1872" s="156" t="s">
        <v>691</v>
      </c>
      <c r="AL1872" s="212" t="s">
        <v>690</v>
      </c>
      <c r="AM1872" s="198">
        <f t="shared" si="639"/>
        <v>0</v>
      </c>
      <c r="AN1872" s="199">
        <f t="shared" si="643"/>
        <v>45685</v>
      </c>
      <c r="AO1872" s="159" t="s">
        <v>692</v>
      </c>
      <c r="AP1872" s="783" t="s">
        <v>644</v>
      </c>
      <c r="AQ1872" s="782">
        <v>12063755</v>
      </c>
      <c r="AR1872" s="782">
        <v>12061353</v>
      </c>
      <c r="AS1872" s="782">
        <v>12061354</v>
      </c>
      <c r="AT1872" s="782">
        <v>12083204</v>
      </c>
      <c r="AU1872" s="781"/>
      <c r="AV1872" s="782">
        <v>12088305</v>
      </c>
      <c r="AW1872" s="782">
        <v>12088207</v>
      </c>
      <c r="AX1872" s="782"/>
      <c r="AY1872" s="782">
        <v>12083424</v>
      </c>
      <c r="AZ1872" s="782"/>
      <c r="BA1872" s="781"/>
      <c r="BB1872" s="209">
        <v>23054743</v>
      </c>
    </row>
    <row r="1873" spans="1:54" ht="25" hidden="1" customHeight="1">
      <c r="B1873" s="213">
        <v>45685</v>
      </c>
      <c r="C1873" s="578">
        <v>45701</v>
      </c>
      <c r="D1873" s="185">
        <f t="shared" si="640"/>
        <v>2025</v>
      </c>
      <c r="E1873" s="215" t="e">
        <f>VLOOKUP($B1873,Week!$A$1:$C$1462,2,0)</f>
        <v>#N/A</v>
      </c>
      <c r="F1873" s="216" t="str">
        <f t="shared" si="641"/>
        <v>Jan</v>
      </c>
      <c r="G1873" s="215" t="s">
        <v>1873</v>
      </c>
      <c r="H1873" s="215" t="s">
        <v>104</v>
      </c>
      <c r="I1873" s="215" t="s">
        <v>2772</v>
      </c>
      <c r="J1873" s="209" t="s">
        <v>105</v>
      </c>
      <c r="K1873" s="217" t="s">
        <v>107</v>
      </c>
      <c r="L1873" s="300" t="s">
        <v>2167</v>
      </c>
      <c r="M1873" s="209" t="s">
        <v>108</v>
      </c>
      <c r="N1873" s="215" t="s">
        <v>109</v>
      </c>
      <c r="O1873" s="215" t="s">
        <v>110</v>
      </c>
      <c r="P1873" s="218">
        <v>36</v>
      </c>
      <c r="Q1873" s="218">
        <v>5</v>
      </c>
      <c r="R1873" s="219">
        <v>7.4999999999999997E-3</v>
      </c>
      <c r="S1873" s="215" t="s">
        <v>111</v>
      </c>
      <c r="T1873" s="215" t="s">
        <v>112</v>
      </c>
      <c r="U1873" s="215" t="s">
        <v>113</v>
      </c>
      <c r="V1873" s="220">
        <f>792-129</f>
        <v>663</v>
      </c>
      <c r="W1873" s="220">
        <v>663</v>
      </c>
      <c r="X1873" s="221"/>
      <c r="Y1873" s="222">
        <f t="shared" si="644"/>
        <v>0</v>
      </c>
      <c r="Z1873" s="223">
        <f t="shared" si="645"/>
        <v>0</v>
      </c>
      <c r="AA1873" s="223">
        <f t="shared" si="642"/>
        <v>0</v>
      </c>
      <c r="AB1873" s="807">
        <v>9.7000000000000003E-3</v>
      </c>
      <c r="AC1873" s="220">
        <f t="shared" si="626"/>
        <v>0</v>
      </c>
      <c r="AD1873" s="209"/>
      <c r="AE1873" s="210"/>
      <c r="AF1873" s="210"/>
      <c r="AG1873" s="211">
        <f t="shared" si="646"/>
        <v>0.308</v>
      </c>
      <c r="AH1873" s="157">
        <f t="shared" si="647"/>
        <v>0</v>
      </c>
      <c r="AI1873" s="152">
        <f t="shared" si="648"/>
        <v>23868</v>
      </c>
      <c r="AK1873" s="156" t="s">
        <v>691</v>
      </c>
      <c r="AL1873" s="574" t="s">
        <v>690</v>
      </c>
      <c r="AM1873" s="198">
        <f t="shared" si="639"/>
        <v>0</v>
      </c>
      <c r="AN1873" s="199">
        <f t="shared" si="643"/>
        <v>45685</v>
      </c>
      <c r="AO1873" s="159" t="s">
        <v>692</v>
      </c>
      <c r="AP1873" s="781"/>
      <c r="AQ1873" s="782">
        <v>12063755</v>
      </c>
      <c r="AR1873" s="782">
        <v>12061353</v>
      </c>
      <c r="AS1873" s="782">
        <v>12061354</v>
      </c>
      <c r="AT1873" s="782">
        <v>12068566</v>
      </c>
      <c r="AU1873" s="781"/>
      <c r="AV1873" s="782">
        <v>12088206</v>
      </c>
      <c r="AW1873" s="782">
        <v>12088207</v>
      </c>
      <c r="AX1873" s="782"/>
      <c r="AY1873" s="782">
        <v>12068565</v>
      </c>
      <c r="AZ1873" s="782"/>
      <c r="BA1873" s="781"/>
      <c r="BB1873" s="209">
        <v>23054743</v>
      </c>
    </row>
    <row r="1874" spans="1:54" ht="25" hidden="1" customHeight="1">
      <c r="B1874" s="213">
        <v>45685</v>
      </c>
      <c r="C1874" s="578">
        <v>45701</v>
      </c>
      <c r="D1874" s="185">
        <f t="shared" si="640"/>
        <v>2025</v>
      </c>
      <c r="E1874" s="215" t="e">
        <f>VLOOKUP($B1874,Week!$A$1:$C$1462,2,0)</f>
        <v>#N/A</v>
      </c>
      <c r="F1874" s="216" t="str">
        <f t="shared" si="641"/>
        <v>Jan</v>
      </c>
      <c r="G1874" s="215" t="s">
        <v>1862</v>
      </c>
      <c r="H1874" s="215" t="s">
        <v>104</v>
      </c>
      <c r="I1874" s="215" t="s">
        <v>2772</v>
      </c>
      <c r="J1874" s="209" t="s">
        <v>105</v>
      </c>
      <c r="K1874" s="217" t="s">
        <v>107</v>
      </c>
      <c r="L1874" s="300" t="s">
        <v>2167</v>
      </c>
      <c r="M1874" s="209" t="s">
        <v>108</v>
      </c>
      <c r="N1874" s="215" t="s">
        <v>109</v>
      </c>
      <c r="O1874" s="215" t="s">
        <v>110</v>
      </c>
      <c r="P1874" s="218">
        <v>36</v>
      </c>
      <c r="Q1874" s="218">
        <v>5</v>
      </c>
      <c r="R1874" s="219">
        <v>7.4999999999999997E-3</v>
      </c>
      <c r="S1874" s="215" t="s">
        <v>111</v>
      </c>
      <c r="T1874" s="215" t="s">
        <v>112</v>
      </c>
      <c r="U1874" s="215" t="s">
        <v>113</v>
      </c>
      <c r="V1874" s="220">
        <v>792</v>
      </c>
      <c r="W1874" s="220">
        <v>792</v>
      </c>
      <c r="X1874" s="221"/>
      <c r="Y1874" s="222">
        <f t="shared" si="644"/>
        <v>0</v>
      </c>
      <c r="Z1874" s="223">
        <f t="shared" si="645"/>
        <v>0</v>
      </c>
      <c r="AA1874" s="223">
        <f t="shared" si="642"/>
        <v>0</v>
      </c>
      <c r="AB1874" s="807">
        <v>9.7000000000000003E-3</v>
      </c>
      <c r="AC1874" s="220">
        <f t="shared" si="626"/>
        <v>0</v>
      </c>
      <c r="AD1874" s="209"/>
      <c r="AE1874" s="210"/>
      <c r="AF1874" s="210"/>
      <c r="AG1874" s="211">
        <f t="shared" si="646"/>
        <v>0.308</v>
      </c>
      <c r="AH1874" s="157">
        <f>(Z1874*AG1874)/1000</f>
        <v>0</v>
      </c>
      <c r="AI1874" s="152">
        <f t="shared" si="648"/>
        <v>28512</v>
      </c>
      <c r="AK1874" s="156" t="s">
        <v>691</v>
      </c>
      <c r="AL1874" s="574" t="s">
        <v>690</v>
      </c>
      <c r="AM1874" s="198">
        <f t="shared" si="639"/>
        <v>0</v>
      </c>
      <c r="AN1874" s="199">
        <f t="shared" si="643"/>
        <v>45685</v>
      </c>
      <c r="AO1874" s="159" t="s">
        <v>692</v>
      </c>
      <c r="AP1874" s="781"/>
      <c r="AQ1874" s="782">
        <v>12063755</v>
      </c>
      <c r="AR1874" s="782">
        <v>12061353</v>
      </c>
      <c r="AS1874" s="782">
        <v>12061354</v>
      </c>
      <c r="AT1874" s="782">
        <v>12068566</v>
      </c>
      <c r="AU1874" s="781"/>
      <c r="AV1874" s="782">
        <v>12088206</v>
      </c>
      <c r="AW1874" s="782">
        <v>12088207</v>
      </c>
      <c r="AX1874" s="782"/>
      <c r="AY1874" s="782">
        <v>12068565</v>
      </c>
      <c r="AZ1874" s="782"/>
      <c r="BA1874" s="781"/>
      <c r="BB1874" s="209">
        <v>23054743</v>
      </c>
    </row>
    <row r="1875" spans="1:54" ht="25" hidden="1" customHeight="1">
      <c r="B1875" s="213">
        <v>45685</v>
      </c>
      <c r="C1875" s="578">
        <v>45701</v>
      </c>
      <c r="D1875" s="185">
        <f t="shared" si="640"/>
        <v>2025</v>
      </c>
      <c r="E1875" s="215" t="e">
        <f>VLOOKUP($B1875,Week!$A$1:$C$1462,2,0)</f>
        <v>#N/A</v>
      </c>
      <c r="F1875" s="216" t="str">
        <f t="shared" si="641"/>
        <v>Jan</v>
      </c>
      <c r="G1875" s="215" t="s">
        <v>1986</v>
      </c>
      <c r="H1875" s="215" t="s">
        <v>104</v>
      </c>
      <c r="I1875" s="215" t="s">
        <v>2772</v>
      </c>
      <c r="J1875" s="209" t="s">
        <v>105</v>
      </c>
      <c r="K1875" s="217" t="s">
        <v>107</v>
      </c>
      <c r="L1875" s="300" t="s">
        <v>2167</v>
      </c>
      <c r="M1875" s="209" t="s">
        <v>108</v>
      </c>
      <c r="N1875" s="215" t="s">
        <v>109</v>
      </c>
      <c r="O1875" s="215" t="s">
        <v>110</v>
      </c>
      <c r="P1875" s="218">
        <v>36</v>
      </c>
      <c r="Q1875" s="218">
        <v>5</v>
      </c>
      <c r="R1875" s="219">
        <v>7.4999999999999997E-3</v>
      </c>
      <c r="S1875" s="215" t="s">
        <v>111</v>
      </c>
      <c r="T1875" s="215" t="s">
        <v>112</v>
      </c>
      <c r="U1875" s="215" t="s">
        <v>113</v>
      </c>
      <c r="V1875" s="220">
        <f>460</f>
        <v>460</v>
      </c>
      <c r="W1875" s="220">
        <f>3474-663-792-792-792+25</f>
        <v>460</v>
      </c>
      <c r="X1875" s="221"/>
      <c r="Y1875" s="222">
        <f t="shared" si="644"/>
        <v>0</v>
      </c>
      <c r="Z1875" s="223">
        <f t="shared" si="645"/>
        <v>0</v>
      </c>
      <c r="AA1875" s="223">
        <f t="shared" si="642"/>
        <v>0</v>
      </c>
      <c r="AB1875" s="807">
        <v>9.7000000000000003E-3</v>
      </c>
      <c r="AC1875" s="220">
        <f t="shared" si="626"/>
        <v>0</v>
      </c>
      <c r="AD1875" s="209"/>
      <c r="AE1875" s="210"/>
      <c r="AF1875" s="210"/>
      <c r="AG1875" s="211">
        <f t="shared" si="646"/>
        <v>0.308</v>
      </c>
      <c r="AH1875" s="157">
        <f>(Z1875*AG1875)/1000</f>
        <v>0</v>
      </c>
      <c r="AI1875" s="152">
        <f t="shared" si="648"/>
        <v>16560</v>
      </c>
      <c r="AK1875" s="156" t="s">
        <v>691</v>
      </c>
      <c r="AL1875" s="574" t="s">
        <v>690</v>
      </c>
      <c r="AM1875" s="198">
        <f t="shared" si="639"/>
        <v>0</v>
      </c>
      <c r="AN1875" s="199">
        <f t="shared" si="643"/>
        <v>45685</v>
      </c>
      <c r="AO1875" s="159" t="s">
        <v>692</v>
      </c>
      <c r="AP1875" s="781"/>
      <c r="AQ1875" s="782">
        <v>12063755</v>
      </c>
      <c r="AR1875" s="782">
        <v>12061353</v>
      </c>
      <c r="AS1875" s="782">
        <v>12061354</v>
      </c>
      <c r="AT1875" s="782">
        <v>12068566</v>
      </c>
      <c r="AU1875" s="781"/>
      <c r="AV1875" s="782">
        <v>12088206</v>
      </c>
      <c r="AW1875" s="782">
        <v>12088207</v>
      </c>
      <c r="AX1875" s="782"/>
      <c r="AY1875" s="782">
        <v>12068565</v>
      </c>
      <c r="AZ1875" s="782"/>
      <c r="BA1875" s="781"/>
      <c r="BB1875" s="209">
        <v>23054743</v>
      </c>
    </row>
    <row r="1876" spans="1:54" ht="25" hidden="1" customHeight="1">
      <c r="B1876" s="213">
        <v>45685</v>
      </c>
      <c r="C1876" s="578">
        <v>45702</v>
      </c>
      <c r="D1876" s="185">
        <f t="shared" si="640"/>
        <v>2025</v>
      </c>
      <c r="E1876" s="215" t="e">
        <f>VLOOKUP($B1876,Week!$A$1:$C$1462,2,0)</f>
        <v>#N/A</v>
      </c>
      <c r="F1876" s="216" t="str">
        <f t="shared" si="641"/>
        <v>Jan</v>
      </c>
      <c r="G1876" s="215" t="s">
        <v>1863</v>
      </c>
      <c r="H1876" s="215" t="s">
        <v>104</v>
      </c>
      <c r="I1876" s="215" t="s">
        <v>2772</v>
      </c>
      <c r="J1876" s="209" t="s">
        <v>105</v>
      </c>
      <c r="K1876" s="217" t="s">
        <v>107</v>
      </c>
      <c r="L1876" s="300" t="s">
        <v>2167</v>
      </c>
      <c r="M1876" s="209" t="s">
        <v>108</v>
      </c>
      <c r="N1876" s="215" t="s">
        <v>109</v>
      </c>
      <c r="O1876" s="215" t="s">
        <v>110</v>
      </c>
      <c r="P1876" s="218">
        <v>36</v>
      </c>
      <c r="Q1876" s="218">
        <v>5</v>
      </c>
      <c r="R1876" s="219">
        <v>7.4999999999999997E-3</v>
      </c>
      <c r="S1876" s="215" t="s">
        <v>111</v>
      </c>
      <c r="T1876" s="215" t="s">
        <v>112</v>
      </c>
      <c r="U1876" s="215" t="s">
        <v>113</v>
      </c>
      <c r="V1876" s="220">
        <v>792</v>
      </c>
      <c r="W1876" s="220">
        <v>792</v>
      </c>
      <c r="X1876" s="221"/>
      <c r="Y1876" s="222">
        <f t="shared" si="644"/>
        <v>0</v>
      </c>
      <c r="Z1876" s="223">
        <f t="shared" si="645"/>
        <v>0</v>
      </c>
      <c r="AA1876" s="223">
        <f t="shared" si="642"/>
        <v>0</v>
      </c>
      <c r="AB1876" s="807">
        <v>9.7000000000000003E-3</v>
      </c>
      <c r="AC1876" s="220">
        <f t="shared" si="626"/>
        <v>0</v>
      </c>
      <c r="AD1876" s="209"/>
      <c r="AE1876" s="210"/>
      <c r="AF1876" s="210"/>
      <c r="AG1876" s="211">
        <f t="shared" si="646"/>
        <v>0.308</v>
      </c>
      <c r="AH1876" s="157">
        <f>(Z1876*AG1876)/1000</f>
        <v>0</v>
      </c>
      <c r="AI1876" s="152">
        <f t="shared" si="648"/>
        <v>28512</v>
      </c>
      <c r="AK1876" s="156" t="s">
        <v>691</v>
      </c>
      <c r="AL1876" s="574" t="s">
        <v>690</v>
      </c>
      <c r="AM1876" s="198">
        <f t="shared" si="639"/>
        <v>0</v>
      </c>
      <c r="AN1876" s="199">
        <f t="shared" si="643"/>
        <v>45685</v>
      </c>
      <c r="AO1876" s="159" t="s">
        <v>692</v>
      </c>
      <c r="AP1876" s="781"/>
      <c r="AQ1876" s="782">
        <v>12063755</v>
      </c>
      <c r="AR1876" s="782">
        <v>12061353</v>
      </c>
      <c r="AS1876" s="782">
        <v>12061354</v>
      </c>
      <c r="AT1876" s="782">
        <v>12068566</v>
      </c>
      <c r="AU1876" s="781"/>
      <c r="AV1876" s="782">
        <v>12088206</v>
      </c>
      <c r="AW1876" s="782">
        <v>12088207</v>
      </c>
      <c r="AX1876" s="782"/>
      <c r="AY1876" s="782">
        <v>12068565</v>
      </c>
      <c r="AZ1876" s="782"/>
      <c r="BA1876" s="781"/>
      <c r="BB1876" s="209">
        <v>23054743</v>
      </c>
    </row>
    <row r="1877" spans="1:54" ht="25" hidden="1" customHeight="1">
      <c r="B1877" s="213">
        <v>45685</v>
      </c>
      <c r="C1877" s="578">
        <v>45702</v>
      </c>
      <c r="D1877" s="185">
        <f t="shared" si="640"/>
        <v>2025</v>
      </c>
      <c r="E1877" s="215" t="e">
        <f>VLOOKUP($B1877,Week!$A$1:$C$1462,2,0)</f>
        <v>#N/A</v>
      </c>
      <c r="F1877" s="216" t="str">
        <f t="shared" si="641"/>
        <v>Jan</v>
      </c>
      <c r="G1877" s="215" t="s">
        <v>1869</v>
      </c>
      <c r="H1877" s="215" t="s">
        <v>104</v>
      </c>
      <c r="I1877" s="215" t="s">
        <v>2772</v>
      </c>
      <c r="J1877" s="209" t="s">
        <v>105</v>
      </c>
      <c r="K1877" s="217" t="s">
        <v>107</v>
      </c>
      <c r="L1877" s="300" t="s">
        <v>2167</v>
      </c>
      <c r="M1877" s="209" t="s">
        <v>108</v>
      </c>
      <c r="N1877" s="215" t="s">
        <v>109</v>
      </c>
      <c r="O1877" s="215" t="s">
        <v>110</v>
      </c>
      <c r="P1877" s="218">
        <v>36</v>
      </c>
      <c r="Q1877" s="218">
        <v>5</v>
      </c>
      <c r="R1877" s="219">
        <v>7.4999999999999997E-3</v>
      </c>
      <c r="S1877" s="215" t="s">
        <v>111</v>
      </c>
      <c r="T1877" s="215" t="s">
        <v>112</v>
      </c>
      <c r="U1877" s="215" t="s">
        <v>113</v>
      </c>
      <c r="V1877" s="220">
        <v>767</v>
      </c>
      <c r="W1877" s="220">
        <f>792-25</f>
        <v>767</v>
      </c>
      <c r="X1877" s="221"/>
      <c r="Y1877" s="222">
        <f t="shared" si="644"/>
        <v>0</v>
      </c>
      <c r="Z1877" s="223">
        <f t="shared" si="645"/>
        <v>0</v>
      </c>
      <c r="AA1877" s="223">
        <f t="shared" si="642"/>
        <v>0</v>
      </c>
      <c r="AB1877" s="807">
        <v>9.7000000000000003E-3</v>
      </c>
      <c r="AC1877" s="220">
        <f t="shared" si="626"/>
        <v>0</v>
      </c>
      <c r="AD1877" s="209"/>
      <c r="AE1877" s="210"/>
      <c r="AF1877" s="210"/>
      <c r="AG1877" s="211">
        <f t="shared" si="646"/>
        <v>0.308</v>
      </c>
      <c r="AH1877" s="157">
        <f>(Z1877*AG1877)/1000</f>
        <v>0</v>
      </c>
      <c r="AI1877" s="152">
        <f t="shared" si="648"/>
        <v>27612</v>
      </c>
      <c r="AK1877" s="156" t="s">
        <v>691</v>
      </c>
      <c r="AL1877" s="574" t="s">
        <v>690</v>
      </c>
      <c r="AM1877" s="198">
        <f t="shared" si="639"/>
        <v>0</v>
      </c>
      <c r="AN1877" s="199">
        <f t="shared" si="643"/>
        <v>45685</v>
      </c>
      <c r="AO1877" s="159" t="s">
        <v>692</v>
      </c>
      <c r="AP1877" s="781"/>
      <c r="AQ1877" s="782">
        <v>12063755</v>
      </c>
      <c r="AR1877" s="782">
        <v>12061353</v>
      </c>
      <c r="AS1877" s="782">
        <v>12061354</v>
      </c>
      <c r="AT1877" s="782">
        <v>12068566</v>
      </c>
      <c r="AU1877" s="781"/>
      <c r="AV1877" s="782">
        <v>12088206</v>
      </c>
      <c r="AW1877" s="782">
        <v>12088207</v>
      </c>
      <c r="AX1877" s="782"/>
      <c r="AY1877" s="782">
        <v>12068565</v>
      </c>
      <c r="AZ1877" s="782"/>
      <c r="BA1877" s="781"/>
      <c r="BB1877" s="209">
        <v>23054743</v>
      </c>
    </row>
    <row r="1878" spans="1:54" ht="25" hidden="1" customHeight="1">
      <c r="B1878" s="183">
        <v>45686</v>
      </c>
      <c r="C1878" s="184"/>
      <c r="D1878" s="185">
        <f t="shared" si="640"/>
        <v>2025</v>
      </c>
      <c r="E1878" s="185" t="e">
        <f>VLOOKUP($B1878,Week!$A$1:$C$1462,2,0)</f>
        <v>#N/A</v>
      </c>
      <c r="F1878" s="186" t="str">
        <f t="shared" si="641"/>
        <v>Jan</v>
      </c>
      <c r="G1878" s="185"/>
      <c r="H1878" s="185"/>
      <c r="I1878" s="185"/>
      <c r="J1878" s="187"/>
      <c r="K1878" s="188"/>
      <c r="L1878" s="300"/>
      <c r="M1878" s="187"/>
      <c r="N1878" s="185"/>
      <c r="O1878" s="185"/>
      <c r="P1878" s="189"/>
      <c r="Q1878" s="189"/>
      <c r="R1878" s="190"/>
      <c r="S1878" s="185"/>
      <c r="T1878" s="185"/>
      <c r="U1878" s="185"/>
      <c r="V1878" s="191"/>
      <c r="W1878" s="191"/>
      <c r="X1878" s="192"/>
      <c r="Y1878" s="193"/>
      <c r="Z1878" s="194"/>
      <c r="AA1878" s="194">
        <f t="shared" si="642"/>
        <v>0</v>
      </c>
      <c r="AB1878" s="805"/>
      <c r="AC1878" s="191">
        <f t="shared" si="626"/>
        <v>0</v>
      </c>
      <c r="AD1878" s="187"/>
      <c r="AE1878" s="195"/>
      <c r="AF1878" s="195"/>
      <c r="AG1878" s="196"/>
      <c r="AH1878" s="197"/>
      <c r="AK1878" s="156" t="s">
        <v>691</v>
      </c>
      <c r="AM1878" s="198">
        <f t="shared" si="639"/>
        <v>0</v>
      </c>
      <c r="AN1878" s="199">
        <f t="shared" si="643"/>
        <v>45686</v>
      </c>
      <c r="AO1878" s="159" t="s">
        <v>692</v>
      </c>
      <c r="AP1878" s="781"/>
      <c r="AQ1878" s="782"/>
      <c r="AR1878" s="782"/>
      <c r="AS1878" s="782"/>
      <c r="AT1878" s="782"/>
      <c r="AU1878" s="781"/>
      <c r="AV1878" s="782"/>
      <c r="AW1878" s="782"/>
      <c r="AX1878" s="782"/>
      <c r="AY1878" s="782"/>
      <c r="AZ1878" s="782"/>
      <c r="BA1878" s="781"/>
      <c r="BB1878" s="209"/>
    </row>
    <row r="1879" spans="1:54" ht="25" hidden="1" customHeight="1">
      <c r="A1879" s="142" t="s">
        <v>120</v>
      </c>
      <c r="B1879" s="448">
        <v>45687</v>
      </c>
      <c r="C1879" s="449">
        <v>45693</v>
      </c>
      <c r="D1879" s="185">
        <f t="shared" si="640"/>
        <v>2025</v>
      </c>
      <c r="E1879" s="450" t="e">
        <f>VLOOKUP($B1879,Week!$A$1:$C$1462,2,0)</f>
        <v>#N/A</v>
      </c>
      <c r="F1879" s="451" t="str">
        <f t="shared" si="641"/>
        <v>Jan</v>
      </c>
      <c r="G1879" s="450" t="s">
        <v>1917</v>
      </c>
      <c r="H1879" s="450" t="s">
        <v>134</v>
      </c>
      <c r="I1879" s="450" t="s">
        <v>2772</v>
      </c>
      <c r="J1879" s="452" t="s">
        <v>164</v>
      </c>
      <c r="K1879" s="453" t="s">
        <v>153</v>
      </c>
      <c r="L1879" s="390" t="s">
        <v>2166</v>
      </c>
      <c r="M1879" s="452" t="s">
        <v>1642</v>
      </c>
      <c r="N1879" s="450" t="s">
        <v>429</v>
      </c>
      <c r="O1879" s="450" t="s">
        <v>505</v>
      </c>
      <c r="P1879" s="454">
        <v>20</v>
      </c>
      <c r="Q1879" s="454">
        <v>12</v>
      </c>
      <c r="R1879" s="455">
        <v>6.8100000000000001E-3</v>
      </c>
      <c r="S1879" s="450" t="s">
        <v>76</v>
      </c>
      <c r="T1879" s="450" t="s">
        <v>56</v>
      </c>
      <c r="U1879" s="773" t="s">
        <v>430</v>
      </c>
      <c r="V1879" s="456">
        <f>1200</f>
        <v>1200</v>
      </c>
      <c r="W1879" s="456">
        <f>756</f>
        <v>756</v>
      </c>
      <c r="X1879" s="457">
        <v>444</v>
      </c>
      <c r="Y1879" s="458">
        <f t="shared" ref="Y1879:Y1885" si="649">(W1879+X1879)-V1879</f>
        <v>0</v>
      </c>
      <c r="Z1879" s="459">
        <f t="shared" ref="Z1879:Z1894" si="650">IF(Y1879&lt;0,((V1879*P1879)-((W1879+X1879)*P1879)),0)</f>
        <v>0</v>
      </c>
      <c r="AA1879" s="459">
        <f t="shared" si="642"/>
        <v>0</v>
      </c>
      <c r="AB1879" s="827">
        <v>2</v>
      </c>
      <c r="AC1879" s="456">
        <f t="shared" si="626"/>
        <v>0</v>
      </c>
      <c r="AD1879" s="209" t="s">
        <v>218</v>
      </c>
      <c r="AE1879" s="210"/>
      <c r="AF1879" s="210"/>
      <c r="AG1879" s="211">
        <f t="shared" ref="AG1879:AG1894" si="651">MID(O1879,1,3)/1000</f>
        <v>0.20399999999999999</v>
      </c>
      <c r="AH1879" s="157">
        <f>(Z1879*AG1879)/1000</f>
        <v>0</v>
      </c>
      <c r="AI1879" s="152">
        <f t="shared" ref="AI1879:AI1894" si="652">V1879*P1879</f>
        <v>24000</v>
      </c>
      <c r="AK1879" s="156" t="s">
        <v>691</v>
      </c>
      <c r="AL1879" s="156" t="s">
        <v>689</v>
      </c>
      <c r="AM1879" s="198">
        <f t="shared" si="639"/>
        <v>0</v>
      </c>
      <c r="AN1879" s="199">
        <f t="shared" si="643"/>
        <v>45687</v>
      </c>
      <c r="AO1879" s="159" t="s">
        <v>692</v>
      </c>
      <c r="AP1879" s="781"/>
      <c r="AQ1879" s="782">
        <v>12071839</v>
      </c>
      <c r="AR1879" s="782">
        <v>12019692</v>
      </c>
      <c r="AS1879" s="782"/>
      <c r="AT1879" s="782">
        <v>12055901</v>
      </c>
      <c r="AU1879" s="781"/>
      <c r="AV1879" s="782">
        <v>12055891</v>
      </c>
      <c r="AW1879" s="782"/>
      <c r="AX1879" s="782" t="s">
        <v>398</v>
      </c>
      <c r="AY1879" s="782"/>
      <c r="AZ1879" s="782"/>
      <c r="BA1879" s="781"/>
      <c r="BB1879" s="209">
        <v>23057444</v>
      </c>
    </row>
    <row r="1880" spans="1:54" ht="25" hidden="1" customHeight="1">
      <c r="B1880" s="357">
        <v>45687</v>
      </c>
      <c r="C1880" s="358">
        <v>45721</v>
      </c>
      <c r="D1880" s="185">
        <f t="shared" si="640"/>
        <v>2025</v>
      </c>
      <c r="E1880" s="358" t="e">
        <f>VLOOKUP($B1880,Week!$A$1:$C$1462,2,0)</f>
        <v>#N/A</v>
      </c>
      <c r="F1880" s="360" t="str">
        <f t="shared" si="641"/>
        <v>Jan</v>
      </c>
      <c r="G1880" s="436" t="s">
        <v>1979</v>
      </c>
      <c r="H1880" s="359" t="s">
        <v>225</v>
      </c>
      <c r="I1880" s="359" t="s">
        <v>2773</v>
      </c>
      <c r="J1880" s="361" t="s">
        <v>650</v>
      </c>
      <c r="K1880" s="362" t="s">
        <v>593</v>
      </c>
      <c r="L1880" s="300" t="s">
        <v>2167</v>
      </c>
      <c r="M1880" s="361" t="s">
        <v>717</v>
      </c>
      <c r="N1880" s="359" t="s">
        <v>719</v>
      </c>
      <c r="O1880" s="359" t="s">
        <v>230</v>
      </c>
      <c r="P1880" s="363">
        <v>12</v>
      </c>
      <c r="Q1880" s="363">
        <v>5</v>
      </c>
      <c r="R1880" s="364">
        <v>6.0000000000000001E-3</v>
      </c>
      <c r="S1880" s="359" t="s">
        <v>55</v>
      </c>
      <c r="T1880" s="359" t="s">
        <v>112</v>
      </c>
      <c r="U1880" s="359" t="s">
        <v>57</v>
      </c>
      <c r="V1880" s="365">
        <v>2600</v>
      </c>
      <c r="W1880" s="365"/>
      <c r="X1880" s="366">
        <f>(31200)/12</f>
        <v>2600</v>
      </c>
      <c r="Y1880" s="367">
        <f t="shared" si="649"/>
        <v>0</v>
      </c>
      <c r="Z1880" s="368">
        <f t="shared" si="650"/>
        <v>0</v>
      </c>
      <c r="AA1880" s="368">
        <f t="shared" si="642"/>
        <v>0</v>
      </c>
      <c r="AB1880" s="819">
        <v>7.4999999999999997E-3</v>
      </c>
      <c r="AC1880" s="365">
        <f t="shared" si="626"/>
        <v>0</v>
      </c>
      <c r="AD1880" s="307" t="s">
        <v>1622</v>
      </c>
      <c r="AE1880" s="210"/>
      <c r="AF1880" s="210"/>
      <c r="AG1880" s="211">
        <f t="shared" si="651"/>
        <v>0.25800000000000001</v>
      </c>
      <c r="AH1880" s="157">
        <f>(Z1880*AG1880)/1000</f>
        <v>0</v>
      </c>
      <c r="AI1880" s="152">
        <f t="shared" si="652"/>
        <v>31200</v>
      </c>
      <c r="AK1880" s="156" t="s">
        <v>691</v>
      </c>
      <c r="AL1880" s="574" t="s">
        <v>690</v>
      </c>
      <c r="AM1880" s="198">
        <f t="shared" si="639"/>
        <v>0</v>
      </c>
      <c r="AN1880" s="199">
        <f t="shared" si="643"/>
        <v>45687</v>
      </c>
      <c r="AO1880" s="159" t="s">
        <v>692</v>
      </c>
      <c r="AP1880" s="783" t="s">
        <v>612</v>
      </c>
      <c r="AQ1880" s="782">
        <v>12071839</v>
      </c>
      <c r="AR1880" s="782">
        <v>12042650</v>
      </c>
      <c r="AS1880" s="782">
        <v>12042649</v>
      </c>
      <c r="AT1880" s="782">
        <v>12088423</v>
      </c>
      <c r="AU1880" s="781"/>
      <c r="AV1880" s="782">
        <v>12088422</v>
      </c>
      <c r="AW1880" s="782"/>
      <c r="AX1880" s="782"/>
      <c r="AY1880" s="782"/>
      <c r="AZ1880" s="782"/>
      <c r="BA1880" s="781"/>
      <c r="BB1880" s="209">
        <v>23053185</v>
      </c>
    </row>
    <row r="1881" spans="1:54" ht="25" hidden="1" customHeight="1">
      <c r="B1881" s="246">
        <v>45687</v>
      </c>
      <c r="C1881" s="247">
        <v>45699</v>
      </c>
      <c r="D1881" s="185">
        <f t="shared" si="640"/>
        <v>2025</v>
      </c>
      <c r="E1881" s="247" t="e">
        <f>VLOOKUP($B1881,Week!$A$1:$C$1462,2,0)</f>
        <v>#N/A</v>
      </c>
      <c r="F1881" s="248" t="str">
        <f t="shared" si="641"/>
        <v>Jan</v>
      </c>
      <c r="G1881" s="599" t="s">
        <v>1986</v>
      </c>
      <c r="H1881" s="249" t="s">
        <v>104</v>
      </c>
      <c r="I1881" s="249" t="s">
        <v>2772</v>
      </c>
      <c r="J1881" s="250" t="s">
        <v>105</v>
      </c>
      <c r="K1881" s="251" t="s">
        <v>593</v>
      </c>
      <c r="L1881" s="300" t="s">
        <v>2167</v>
      </c>
      <c r="M1881" s="250" t="s">
        <v>594</v>
      </c>
      <c r="N1881" s="249" t="s">
        <v>596</v>
      </c>
      <c r="O1881" s="249" t="s">
        <v>304</v>
      </c>
      <c r="P1881" s="252">
        <v>8</v>
      </c>
      <c r="Q1881" s="252">
        <v>5</v>
      </c>
      <c r="R1881" s="253">
        <v>6.0000000000000001E-3</v>
      </c>
      <c r="S1881" s="249" t="s">
        <v>55</v>
      </c>
      <c r="T1881" s="249" t="s">
        <v>112</v>
      </c>
      <c r="U1881" s="249" t="s">
        <v>57</v>
      </c>
      <c r="V1881" s="254">
        <f>1400</f>
        <v>1400</v>
      </c>
      <c r="W1881" s="254"/>
      <c r="X1881" s="255">
        <f>(11200)/8</f>
        <v>1400</v>
      </c>
      <c r="Y1881" s="256">
        <f t="shared" si="649"/>
        <v>0</v>
      </c>
      <c r="Z1881" s="257">
        <f t="shared" si="650"/>
        <v>0</v>
      </c>
      <c r="AA1881" s="257">
        <f t="shared" si="642"/>
        <v>0</v>
      </c>
      <c r="AB1881" s="810">
        <v>7.4999999999999997E-3</v>
      </c>
      <c r="AC1881" s="254">
        <f t="shared" si="626"/>
        <v>0</v>
      </c>
      <c r="AD1881" s="209"/>
      <c r="AE1881" s="210"/>
      <c r="AF1881" s="210"/>
      <c r="AG1881" s="211">
        <f t="shared" si="651"/>
        <v>0.25800000000000001</v>
      </c>
      <c r="AH1881" s="157">
        <v>0.26621999999999996</v>
      </c>
      <c r="AI1881" s="152">
        <f t="shared" si="652"/>
        <v>11200</v>
      </c>
      <c r="AK1881" s="156" t="s">
        <v>691</v>
      </c>
      <c r="AL1881" s="574" t="s">
        <v>690</v>
      </c>
      <c r="AM1881" s="198">
        <f t="shared" si="639"/>
        <v>0</v>
      </c>
      <c r="AN1881" s="199">
        <f t="shared" si="643"/>
        <v>45687</v>
      </c>
      <c r="AO1881" s="159" t="s">
        <v>692</v>
      </c>
      <c r="AP1881" s="781"/>
      <c r="AQ1881" s="782">
        <v>12071839</v>
      </c>
      <c r="AR1881" s="782">
        <v>12042650</v>
      </c>
      <c r="AS1881" s="782">
        <v>12042649</v>
      </c>
      <c r="AT1881" s="782">
        <v>12084100</v>
      </c>
      <c r="AU1881" s="781"/>
      <c r="AV1881" s="782">
        <v>12084001</v>
      </c>
      <c r="AW1881" s="781"/>
      <c r="AX1881" s="781"/>
      <c r="AY1881" s="781"/>
      <c r="AZ1881" s="782"/>
      <c r="BA1881" s="781"/>
      <c r="BB1881" s="209">
        <v>23053185</v>
      </c>
    </row>
    <row r="1882" spans="1:54" ht="25" hidden="1" customHeight="1">
      <c r="B1882" s="246">
        <v>45687</v>
      </c>
      <c r="C1882" s="247">
        <v>45713</v>
      </c>
      <c r="D1882" s="185">
        <f t="shared" si="640"/>
        <v>2025</v>
      </c>
      <c r="E1882" s="247" t="e">
        <f>VLOOKUP($B1882,Week!$A$1:$C$1462,2,0)</f>
        <v>#N/A</v>
      </c>
      <c r="F1882" s="248" t="str">
        <f t="shared" si="641"/>
        <v>Jan</v>
      </c>
      <c r="G1882" s="599" t="s">
        <v>1987</v>
      </c>
      <c r="H1882" s="249" t="s">
        <v>104</v>
      </c>
      <c r="I1882" s="249" t="s">
        <v>2772</v>
      </c>
      <c r="J1882" s="250" t="s">
        <v>105</v>
      </c>
      <c r="K1882" s="251" t="s">
        <v>593</v>
      </c>
      <c r="L1882" s="300" t="s">
        <v>2167</v>
      </c>
      <c r="M1882" s="250" t="s">
        <v>594</v>
      </c>
      <c r="N1882" s="249" t="s">
        <v>596</v>
      </c>
      <c r="O1882" s="249" t="s">
        <v>304</v>
      </c>
      <c r="P1882" s="252">
        <v>8</v>
      </c>
      <c r="Q1882" s="252">
        <v>5</v>
      </c>
      <c r="R1882" s="253">
        <v>6.0000000000000001E-3</v>
      </c>
      <c r="S1882" s="249" t="s">
        <v>55</v>
      </c>
      <c r="T1882" s="249" t="s">
        <v>112</v>
      </c>
      <c r="U1882" s="249" t="s">
        <v>57</v>
      </c>
      <c r="V1882" s="254">
        <f>1400</f>
        <v>1400</v>
      </c>
      <c r="W1882" s="254"/>
      <c r="X1882" s="255">
        <v>1400</v>
      </c>
      <c r="Y1882" s="256">
        <f t="shared" si="649"/>
        <v>0</v>
      </c>
      <c r="Z1882" s="257">
        <f t="shared" si="650"/>
        <v>0</v>
      </c>
      <c r="AA1882" s="257">
        <f t="shared" si="642"/>
        <v>0</v>
      </c>
      <c r="AB1882" s="810">
        <v>7.4999999999999997E-3</v>
      </c>
      <c r="AC1882" s="254">
        <f t="shared" ref="AC1882:AC1945" si="653">Z1882*AB1882</f>
        <v>0</v>
      </c>
      <c r="AD1882" s="209"/>
      <c r="AE1882" s="210"/>
      <c r="AF1882" s="210"/>
      <c r="AG1882" s="211">
        <f t="shared" si="651"/>
        <v>0.25800000000000001</v>
      </c>
      <c r="AH1882" s="157">
        <v>0.26621999999999996</v>
      </c>
      <c r="AI1882" s="152">
        <f t="shared" si="652"/>
        <v>11200</v>
      </c>
      <c r="AK1882" s="156" t="s">
        <v>691</v>
      </c>
      <c r="AL1882" s="574" t="s">
        <v>690</v>
      </c>
      <c r="AM1882" s="198">
        <f t="shared" si="639"/>
        <v>0</v>
      </c>
      <c r="AN1882" s="199">
        <f t="shared" si="643"/>
        <v>45687</v>
      </c>
      <c r="AO1882" s="159" t="s">
        <v>692</v>
      </c>
      <c r="AP1882" s="781"/>
      <c r="AQ1882" s="782">
        <v>12071839</v>
      </c>
      <c r="AR1882" s="782">
        <v>12042650</v>
      </c>
      <c r="AS1882" s="782">
        <v>12042649</v>
      </c>
      <c r="AT1882" s="782">
        <v>12084100</v>
      </c>
      <c r="AU1882" s="781"/>
      <c r="AV1882" s="782">
        <v>12084001</v>
      </c>
      <c r="AW1882" s="781"/>
      <c r="AX1882" s="781"/>
      <c r="AY1882" s="781"/>
      <c r="AZ1882" s="782"/>
      <c r="BA1882" s="781"/>
      <c r="BB1882" s="209">
        <v>23053185</v>
      </c>
    </row>
    <row r="1883" spans="1:54" ht="25" hidden="1" customHeight="1">
      <c r="B1883" s="213">
        <v>45688</v>
      </c>
      <c r="C1883" s="578">
        <v>45702</v>
      </c>
      <c r="D1883" s="185">
        <f t="shared" si="640"/>
        <v>2025</v>
      </c>
      <c r="E1883" s="215" t="e">
        <f>VLOOKUP($B1883,Week!$A$1:$C$1462,2,0)</f>
        <v>#N/A</v>
      </c>
      <c r="F1883" s="216" t="str">
        <f t="shared" si="641"/>
        <v>Jan</v>
      </c>
      <c r="G1883" s="215" t="s">
        <v>1869</v>
      </c>
      <c r="H1883" s="215" t="s">
        <v>104</v>
      </c>
      <c r="I1883" s="215" t="s">
        <v>2772</v>
      </c>
      <c r="J1883" s="209" t="s">
        <v>105</v>
      </c>
      <c r="K1883" s="217" t="s">
        <v>107</v>
      </c>
      <c r="L1883" s="300" t="s">
        <v>2167</v>
      </c>
      <c r="M1883" s="209" t="s">
        <v>108</v>
      </c>
      <c r="N1883" s="215" t="s">
        <v>109</v>
      </c>
      <c r="O1883" s="215" t="s">
        <v>110</v>
      </c>
      <c r="P1883" s="218">
        <v>36</v>
      </c>
      <c r="Q1883" s="218">
        <v>5</v>
      </c>
      <c r="R1883" s="219">
        <v>7.4999999999999997E-3</v>
      </c>
      <c r="S1883" s="215" t="s">
        <v>111</v>
      </c>
      <c r="T1883" s="215" t="s">
        <v>112</v>
      </c>
      <c r="U1883" s="215" t="s">
        <v>113</v>
      </c>
      <c r="V1883" s="220">
        <f>25</f>
        <v>25</v>
      </c>
      <c r="W1883" s="220">
        <f>25</f>
        <v>25</v>
      </c>
      <c r="X1883" s="221"/>
      <c r="Y1883" s="222">
        <f t="shared" si="649"/>
        <v>0</v>
      </c>
      <c r="Z1883" s="223">
        <f t="shared" si="650"/>
        <v>0</v>
      </c>
      <c r="AA1883" s="223">
        <f t="shared" si="642"/>
        <v>0</v>
      </c>
      <c r="AB1883" s="807">
        <v>9.7000000000000003E-3</v>
      </c>
      <c r="AC1883" s="220">
        <f t="shared" si="653"/>
        <v>0</v>
      </c>
      <c r="AD1883" s="209"/>
      <c r="AE1883" s="210"/>
      <c r="AF1883" s="210"/>
      <c r="AG1883" s="211">
        <f t="shared" si="651"/>
        <v>0.308</v>
      </c>
      <c r="AH1883" s="157">
        <f>(Z1883*AG1883)/1000</f>
        <v>0</v>
      </c>
      <c r="AI1883" s="152">
        <f t="shared" si="652"/>
        <v>900</v>
      </c>
      <c r="AK1883" s="156" t="s">
        <v>691</v>
      </c>
      <c r="AL1883" s="574" t="s">
        <v>690</v>
      </c>
      <c r="AM1883" s="198">
        <f t="shared" si="639"/>
        <v>0</v>
      </c>
      <c r="AN1883" s="199">
        <f t="shared" si="643"/>
        <v>45688</v>
      </c>
      <c r="AO1883" s="159" t="s">
        <v>692</v>
      </c>
      <c r="AP1883" s="781"/>
      <c r="AQ1883" s="782">
        <v>12063755</v>
      </c>
      <c r="AR1883" s="782">
        <v>12061353</v>
      </c>
      <c r="AS1883" s="782">
        <v>12061354</v>
      </c>
      <c r="AT1883" s="782">
        <v>12068566</v>
      </c>
      <c r="AU1883" s="781"/>
      <c r="AV1883" s="782">
        <v>12088206</v>
      </c>
      <c r="AW1883" s="782">
        <v>12088207</v>
      </c>
      <c r="AX1883" s="782"/>
      <c r="AY1883" s="782">
        <v>12068565</v>
      </c>
      <c r="AZ1883" s="782"/>
      <c r="BA1883" s="781"/>
      <c r="BB1883" s="209">
        <v>23054743</v>
      </c>
    </row>
    <row r="1884" spans="1:54" ht="25" hidden="1" customHeight="1">
      <c r="B1884" s="213">
        <v>45688</v>
      </c>
      <c r="C1884" s="578">
        <v>45702</v>
      </c>
      <c r="D1884" s="185">
        <f t="shared" si="640"/>
        <v>2025</v>
      </c>
      <c r="E1884" s="215" t="e">
        <f>VLOOKUP($B1884,Week!$A$1:$C$1462,2,0)</f>
        <v>#N/A</v>
      </c>
      <c r="F1884" s="216" t="str">
        <f t="shared" si="641"/>
        <v>Jan</v>
      </c>
      <c r="G1884" s="215" t="s">
        <v>1870</v>
      </c>
      <c r="H1884" s="215" t="s">
        <v>104</v>
      </c>
      <c r="I1884" s="215" t="s">
        <v>2772</v>
      </c>
      <c r="J1884" s="209" t="s">
        <v>105</v>
      </c>
      <c r="K1884" s="217" t="s">
        <v>107</v>
      </c>
      <c r="L1884" s="300" t="s">
        <v>2167</v>
      </c>
      <c r="M1884" s="209" t="s">
        <v>108</v>
      </c>
      <c r="N1884" s="215" t="s">
        <v>109</v>
      </c>
      <c r="O1884" s="215" t="s">
        <v>110</v>
      </c>
      <c r="P1884" s="218">
        <v>36</v>
      </c>
      <c r="Q1884" s="218">
        <v>5</v>
      </c>
      <c r="R1884" s="219">
        <v>7.4999999999999997E-3</v>
      </c>
      <c r="S1884" s="215" t="s">
        <v>111</v>
      </c>
      <c r="T1884" s="215" t="s">
        <v>112</v>
      </c>
      <c r="U1884" s="215" t="s">
        <v>113</v>
      </c>
      <c r="V1884" s="220">
        <v>792</v>
      </c>
      <c r="W1884" s="220">
        <v>792</v>
      </c>
      <c r="X1884" s="221"/>
      <c r="Y1884" s="222">
        <f t="shared" si="649"/>
        <v>0</v>
      </c>
      <c r="Z1884" s="223">
        <f t="shared" si="650"/>
        <v>0</v>
      </c>
      <c r="AA1884" s="223">
        <f t="shared" si="642"/>
        <v>0</v>
      </c>
      <c r="AB1884" s="807">
        <v>9.7000000000000003E-3</v>
      </c>
      <c r="AC1884" s="220">
        <f t="shared" si="653"/>
        <v>0</v>
      </c>
      <c r="AD1884" s="209"/>
      <c r="AE1884" s="210"/>
      <c r="AF1884" s="210"/>
      <c r="AG1884" s="211">
        <f t="shared" si="651"/>
        <v>0.308</v>
      </c>
      <c r="AH1884" s="157">
        <f>(Z1884*AG1884)/1000</f>
        <v>0</v>
      </c>
      <c r="AI1884" s="152">
        <f t="shared" si="652"/>
        <v>28512</v>
      </c>
      <c r="AK1884" s="156" t="s">
        <v>691</v>
      </c>
      <c r="AL1884" s="574" t="s">
        <v>690</v>
      </c>
      <c r="AM1884" s="198">
        <f t="shared" si="639"/>
        <v>0</v>
      </c>
      <c r="AN1884" s="199">
        <f t="shared" si="643"/>
        <v>45688</v>
      </c>
      <c r="AO1884" s="159" t="s">
        <v>692</v>
      </c>
      <c r="AP1884" s="781"/>
      <c r="AQ1884" s="782">
        <v>12063755</v>
      </c>
      <c r="AR1884" s="782">
        <v>12061353</v>
      </c>
      <c r="AS1884" s="782">
        <v>12061354</v>
      </c>
      <c r="AT1884" s="782">
        <v>12068566</v>
      </c>
      <c r="AU1884" s="781"/>
      <c r="AV1884" s="782">
        <v>12088206</v>
      </c>
      <c r="AW1884" s="782">
        <v>12088207</v>
      </c>
      <c r="AX1884" s="782"/>
      <c r="AY1884" s="782">
        <v>12068565</v>
      </c>
      <c r="AZ1884" s="782"/>
      <c r="BA1884" s="781"/>
      <c r="BB1884" s="209">
        <v>23054743</v>
      </c>
    </row>
    <row r="1885" spans="1:54" ht="25" hidden="1" customHeight="1">
      <c r="B1885" s="213">
        <v>45688</v>
      </c>
      <c r="C1885" s="578">
        <v>45702</v>
      </c>
      <c r="D1885" s="185">
        <f t="shared" si="640"/>
        <v>2025</v>
      </c>
      <c r="E1885" s="215" t="e">
        <f>VLOOKUP($B1885,Week!$A$1:$C$1462,2,0)</f>
        <v>#N/A</v>
      </c>
      <c r="F1885" s="216" t="str">
        <f t="shared" si="641"/>
        <v>Jan</v>
      </c>
      <c r="G1885" s="215" t="s">
        <v>1952</v>
      </c>
      <c r="H1885" s="215" t="s">
        <v>104</v>
      </c>
      <c r="I1885" s="215" t="s">
        <v>2772</v>
      </c>
      <c r="J1885" s="209" t="s">
        <v>105</v>
      </c>
      <c r="K1885" s="217" t="s">
        <v>107</v>
      </c>
      <c r="L1885" s="300" t="s">
        <v>2167</v>
      </c>
      <c r="M1885" s="209" t="s">
        <v>108</v>
      </c>
      <c r="N1885" s="215" t="s">
        <v>109</v>
      </c>
      <c r="O1885" s="215" t="s">
        <v>110</v>
      </c>
      <c r="P1885" s="218">
        <v>36</v>
      </c>
      <c r="Q1885" s="218">
        <v>5</v>
      </c>
      <c r="R1885" s="219">
        <v>7.4999999999999997E-3</v>
      </c>
      <c r="S1885" s="215" t="s">
        <v>111</v>
      </c>
      <c r="T1885" s="215" t="s">
        <v>112</v>
      </c>
      <c r="U1885" s="215" t="s">
        <v>113</v>
      </c>
      <c r="V1885" s="220">
        <v>792</v>
      </c>
      <c r="W1885" s="220">
        <v>792</v>
      </c>
      <c r="X1885" s="221"/>
      <c r="Y1885" s="222">
        <f t="shared" si="649"/>
        <v>0</v>
      </c>
      <c r="Z1885" s="223">
        <f t="shared" si="650"/>
        <v>0</v>
      </c>
      <c r="AA1885" s="223">
        <f t="shared" si="642"/>
        <v>0</v>
      </c>
      <c r="AB1885" s="807">
        <v>9.7000000000000003E-3</v>
      </c>
      <c r="AC1885" s="220">
        <f t="shared" si="653"/>
        <v>0</v>
      </c>
      <c r="AD1885" s="209"/>
      <c r="AE1885" s="210"/>
      <c r="AF1885" s="210"/>
      <c r="AG1885" s="211">
        <f t="shared" si="651"/>
        <v>0.308</v>
      </c>
      <c r="AH1885" s="157">
        <f>(Z1885*AG1885)/1000</f>
        <v>0</v>
      </c>
      <c r="AI1885" s="152">
        <f t="shared" si="652"/>
        <v>28512</v>
      </c>
      <c r="AK1885" s="156" t="s">
        <v>691</v>
      </c>
      <c r="AL1885" s="574" t="s">
        <v>690</v>
      </c>
      <c r="AM1885" s="198">
        <f t="shared" si="639"/>
        <v>0</v>
      </c>
      <c r="AN1885" s="199">
        <f t="shared" si="643"/>
        <v>45688</v>
      </c>
      <c r="AO1885" s="159" t="s">
        <v>692</v>
      </c>
      <c r="AP1885" s="781"/>
      <c r="AQ1885" s="782">
        <v>12063755</v>
      </c>
      <c r="AR1885" s="782">
        <v>12061353</v>
      </c>
      <c r="AS1885" s="782">
        <v>12061354</v>
      </c>
      <c r="AT1885" s="782">
        <v>12068566</v>
      </c>
      <c r="AU1885" s="781"/>
      <c r="AV1885" s="782">
        <v>12088206</v>
      </c>
      <c r="AW1885" s="782">
        <v>12088207</v>
      </c>
      <c r="AX1885" s="782"/>
      <c r="AY1885" s="782">
        <v>12068565</v>
      </c>
      <c r="AZ1885" s="782"/>
      <c r="BA1885" s="781"/>
      <c r="BB1885" s="209">
        <v>23054743</v>
      </c>
    </row>
    <row r="1886" spans="1:54" ht="25" hidden="1" customHeight="1">
      <c r="B1886" s="213">
        <v>45688</v>
      </c>
      <c r="C1886" s="578">
        <v>45708</v>
      </c>
      <c r="D1886" s="185">
        <f t="shared" si="640"/>
        <v>2025</v>
      </c>
      <c r="E1886" s="215" t="e">
        <f>VLOOKUP($B1886,Week!$A$1:$C$1462,2,0)</f>
        <v>#N/A</v>
      </c>
      <c r="F1886" s="216" t="str">
        <f t="shared" si="641"/>
        <v>Jan</v>
      </c>
      <c r="G1886" s="215" t="s">
        <v>1953</v>
      </c>
      <c r="H1886" s="215" t="s">
        <v>104</v>
      </c>
      <c r="I1886" s="215" t="s">
        <v>2772</v>
      </c>
      <c r="J1886" s="209" t="s">
        <v>105</v>
      </c>
      <c r="K1886" s="217" t="s">
        <v>107</v>
      </c>
      <c r="L1886" s="300" t="s">
        <v>2167</v>
      </c>
      <c r="M1886" s="209" t="s">
        <v>108</v>
      </c>
      <c r="N1886" s="215" t="s">
        <v>109</v>
      </c>
      <c r="O1886" s="215" t="s">
        <v>110</v>
      </c>
      <c r="P1886" s="218">
        <v>36</v>
      </c>
      <c r="Q1886" s="218">
        <v>5</v>
      </c>
      <c r="R1886" s="219">
        <v>7.4999999999999997E-3</v>
      </c>
      <c r="S1886" s="215" t="s">
        <v>111</v>
      </c>
      <c r="T1886" s="215" t="s">
        <v>112</v>
      </c>
      <c r="U1886" s="215" t="s">
        <v>113</v>
      </c>
      <c r="V1886" s="220">
        <v>792</v>
      </c>
      <c r="W1886" s="220">
        <v>792</v>
      </c>
      <c r="X1886" s="221"/>
      <c r="Y1886" s="222">
        <f t="shared" ref="Y1886:Y1893" si="654">(W1886+X1886)-V1886</f>
        <v>0</v>
      </c>
      <c r="Z1886" s="223">
        <f t="shared" si="650"/>
        <v>0</v>
      </c>
      <c r="AA1886" s="223">
        <f t="shared" si="642"/>
        <v>0</v>
      </c>
      <c r="AB1886" s="807">
        <v>9.7000000000000003E-3</v>
      </c>
      <c r="AC1886" s="220">
        <f t="shared" si="653"/>
        <v>0</v>
      </c>
      <c r="AD1886" s="209"/>
      <c r="AE1886" s="210"/>
      <c r="AF1886" s="210"/>
      <c r="AG1886" s="211">
        <f t="shared" si="651"/>
        <v>0.308</v>
      </c>
      <c r="AH1886" s="157">
        <f t="shared" ref="AH1886:AH1893" si="655">(Z1886*AG1886)/1000</f>
        <v>0</v>
      </c>
      <c r="AI1886" s="152">
        <f t="shared" si="652"/>
        <v>28512</v>
      </c>
      <c r="AK1886" s="156" t="s">
        <v>691</v>
      </c>
      <c r="AL1886" s="574" t="s">
        <v>690</v>
      </c>
      <c r="AM1886" s="198">
        <f t="shared" ref="AM1886:AM1893" si="656">AG1886*Z1886</f>
        <v>0</v>
      </c>
      <c r="AN1886" s="199">
        <f t="shared" si="643"/>
        <v>45688</v>
      </c>
      <c r="AO1886" s="159" t="s">
        <v>692</v>
      </c>
      <c r="AP1886" s="781"/>
      <c r="AQ1886" s="782">
        <v>12063755</v>
      </c>
      <c r="AR1886" s="782">
        <v>12061353</v>
      </c>
      <c r="AS1886" s="782">
        <v>12061354</v>
      </c>
      <c r="AT1886" s="782">
        <v>12068566</v>
      </c>
      <c r="AU1886" s="781"/>
      <c r="AV1886" s="782">
        <v>12088206</v>
      </c>
      <c r="AW1886" s="782">
        <v>12088207</v>
      </c>
      <c r="AX1886" s="782"/>
      <c r="AY1886" s="782">
        <v>12068565</v>
      </c>
      <c r="AZ1886" s="782"/>
      <c r="BA1886" s="781"/>
      <c r="BB1886" s="209">
        <v>23054743</v>
      </c>
    </row>
    <row r="1887" spans="1:54" ht="25" hidden="1" customHeight="1">
      <c r="B1887" s="213">
        <v>45688</v>
      </c>
      <c r="C1887" s="578">
        <v>45708</v>
      </c>
      <c r="D1887" s="185">
        <f t="shared" si="640"/>
        <v>2025</v>
      </c>
      <c r="E1887" s="215" t="e">
        <f>VLOOKUP($B1887,Week!$A$1:$C$1462,2,0)</f>
        <v>#N/A</v>
      </c>
      <c r="F1887" s="216" t="str">
        <f t="shared" si="641"/>
        <v>Jan</v>
      </c>
      <c r="G1887" s="215" t="s">
        <v>1954</v>
      </c>
      <c r="H1887" s="215" t="s">
        <v>104</v>
      </c>
      <c r="I1887" s="215" t="s">
        <v>2772</v>
      </c>
      <c r="J1887" s="209" t="s">
        <v>105</v>
      </c>
      <c r="K1887" s="217" t="s">
        <v>107</v>
      </c>
      <c r="L1887" s="300" t="s">
        <v>2167</v>
      </c>
      <c r="M1887" s="209" t="s">
        <v>108</v>
      </c>
      <c r="N1887" s="215" t="s">
        <v>109</v>
      </c>
      <c r="O1887" s="215" t="s">
        <v>110</v>
      </c>
      <c r="P1887" s="218">
        <v>36</v>
      </c>
      <c r="Q1887" s="218">
        <v>5</v>
      </c>
      <c r="R1887" s="219">
        <v>7.4999999999999997E-3</v>
      </c>
      <c r="S1887" s="215" t="s">
        <v>111</v>
      </c>
      <c r="T1887" s="215" t="s">
        <v>112</v>
      </c>
      <c r="U1887" s="215" t="s">
        <v>113</v>
      </c>
      <c r="V1887" s="220">
        <v>792</v>
      </c>
      <c r="W1887" s="220">
        <v>792</v>
      </c>
      <c r="X1887" s="221"/>
      <c r="Y1887" s="222">
        <f t="shared" si="654"/>
        <v>0</v>
      </c>
      <c r="Z1887" s="223">
        <f t="shared" si="650"/>
        <v>0</v>
      </c>
      <c r="AA1887" s="223">
        <f t="shared" si="642"/>
        <v>0</v>
      </c>
      <c r="AB1887" s="807">
        <v>9.7000000000000003E-3</v>
      </c>
      <c r="AC1887" s="220">
        <f t="shared" si="653"/>
        <v>0</v>
      </c>
      <c r="AD1887" s="209"/>
      <c r="AE1887" s="210"/>
      <c r="AF1887" s="210"/>
      <c r="AG1887" s="211">
        <f t="shared" si="651"/>
        <v>0.308</v>
      </c>
      <c r="AH1887" s="157">
        <f t="shared" si="655"/>
        <v>0</v>
      </c>
      <c r="AI1887" s="152">
        <f t="shared" si="652"/>
        <v>28512</v>
      </c>
      <c r="AK1887" s="156" t="s">
        <v>691</v>
      </c>
      <c r="AL1887" s="574" t="s">
        <v>690</v>
      </c>
      <c r="AM1887" s="198">
        <f t="shared" si="656"/>
        <v>0</v>
      </c>
      <c r="AN1887" s="199">
        <f t="shared" si="643"/>
        <v>45688</v>
      </c>
      <c r="AO1887" s="159" t="s">
        <v>692</v>
      </c>
      <c r="AP1887" s="781"/>
      <c r="AQ1887" s="782">
        <v>12063755</v>
      </c>
      <c r="AR1887" s="782">
        <v>12061353</v>
      </c>
      <c r="AS1887" s="782">
        <v>12061354</v>
      </c>
      <c r="AT1887" s="782">
        <v>12068566</v>
      </c>
      <c r="AU1887" s="781"/>
      <c r="AV1887" s="782">
        <v>12088206</v>
      </c>
      <c r="AW1887" s="782">
        <v>12088207</v>
      </c>
      <c r="AX1887" s="782"/>
      <c r="AY1887" s="782">
        <v>12068565</v>
      </c>
      <c r="AZ1887" s="782"/>
      <c r="BA1887" s="781"/>
      <c r="BB1887" s="209">
        <v>23054743</v>
      </c>
    </row>
    <row r="1888" spans="1:54" ht="25" hidden="1" customHeight="1">
      <c r="B1888" s="213">
        <v>45688</v>
      </c>
      <c r="C1888" s="578">
        <v>45709</v>
      </c>
      <c r="D1888" s="185">
        <f t="shared" si="640"/>
        <v>2025</v>
      </c>
      <c r="E1888" s="215" t="e">
        <f>VLOOKUP($B1888,Week!$A$1:$C$1462,2,0)</f>
        <v>#N/A</v>
      </c>
      <c r="F1888" s="216" t="str">
        <f t="shared" si="641"/>
        <v>Jan</v>
      </c>
      <c r="G1888" s="215" t="s">
        <v>1955</v>
      </c>
      <c r="H1888" s="215" t="s">
        <v>104</v>
      </c>
      <c r="I1888" s="215" t="s">
        <v>2772</v>
      </c>
      <c r="J1888" s="209" t="s">
        <v>105</v>
      </c>
      <c r="K1888" s="217" t="s">
        <v>107</v>
      </c>
      <c r="L1888" s="300" t="s">
        <v>2167</v>
      </c>
      <c r="M1888" s="209" t="s">
        <v>108</v>
      </c>
      <c r="N1888" s="215" t="s">
        <v>109</v>
      </c>
      <c r="O1888" s="215" t="s">
        <v>110</v>
      </c>
      <c r="P1888" s="218">
        <v>36</v>
      </c>
      <c r="Q1888" s="218">
        <v>5</v>
      </c>
      <c r="R1888" s="219">
        <v>7.4999999999999997E-3</v>
      </c>
      <c r="S1888" s="215" t="s">
        <v>111</v>
      </c>
      <c r="T1888" s="215" t="s">
        <v>112</v>
      </c>
      <c r="U1888" s="215" t="s">
        <v>113</v>
      </c>
      <c r="V1888" s="220">
        <v>792</v>
      </c>
      <c r="W1888" s="220">
        <v>792</v>
      </c>
      <c r="X1888" s="221"/>
      <c r="Y1888" s="222">
        <f t="shared" si="654"/>
        <v>0</v>
      </c>
      <c r="Z1888" s="223">
        <f t="shared" si="650"/>
        <v>0</v>
      </c>
      <c r="AA1888" s="223">
        <f t="shared" si="642"/>
        <v>0</v>
      </c>
      <c r="AB1888" s="807">
        <v>9.7000000000000003E-3</v>
      </c>
      <c r="AC1888" s="220">
        <f t="shared" si="653"/>
        <v>0</v>
      </c>
      <c r="AD1888" s="209"/>
      <c r="AE1888" s="210"/>
      <c r="AF1888" s="210"/>
      <c r="AG1888" s="211">
        <f t="shared" si="651"/>
        <v>0.308</v>
      </c>
      <c r="AH1888" s="157">
        <f t="shared" si="655"/>
        <v>0</v>
      </c>
      <c r="AI1888" s="152">
        <f t="shared" si="652"/>
        <v>28512</v>
      </c>
      <c r="AK1888" s="156" t="s">
        <v>691</v>
      </c>
      <c r="AL1888" s="574" t="s">
        <v>690</v>
      </c>
      <c r="AM1888" s="198">
        <f t="shared" si="656"/>
        <v>0</v>
      </c>
      <c r="AN1888" s="199">
        <f t="shared" si="643"/>
        <v>45688</v>
      </c>
      <c r="AO1888" s="159" t="s">
        <v>692</v>
      </c>
      <c r="AP1888" s="781"/>
      <c r="AQ1888" s="782">
        <v>12063755</v>
      </c>
      <c r="AR1888" s="782">
        <v>12061353</v>
      </c>
      <c r="AS1888" s="782">
        <v>12061354</v>
      </c>
      <c r="AT1888" s="782">
        <v>12068566</v>
      </c>
      <c r="AU1888" s="781"/>
      <c r="AV1888" s="782">
        <v>12088206</v>
      </c>
      <c r="AW1888" s="782">
        <v>12088207</v>
      </c>
      <c r="AX1888" s="782"/>
      <c r="AY1888" s="782">
        <v>12068565</v>
      </c>
      <c r="AZ1888" s="782"/>
      <c r="BA1888" s="781"/>
      <c r="BB1888" s="209">
        <v>23054743</v>
      </c>
    </row>
    <row r="1889" spans="1:54" ht="25" hidden="1" customHeight="1">
      <c r="B1889" s="213">
        <v>45689</v>
      </c>
      <c r="C1889" s="578">
        <v>45716</v>
      </c>
      <c r="D1889" s="185">
        <f t="shared" si="640"/>
        <v>2025</v>
      </c>
      <c r="E1889" s="215" t="e">
        <f>VLOOKUP($B1889,Week!$A$1:$C$1462,2,0)</f>
        <v>#N/A</v>
      </c>
      <c r="F1889" s="216" t="str">
        <f t="shared" si="641"/>
        <v>Feb</v>
      </c>
      <c r="G1889" s="215" t="s">
        <v>1956</v>
      </c>
      <c r="H1889" s="215" t="s">
        <v>104</v>
      </c>
      <c r="I1889" s="215" t="s">
        <v>2772</v>
      </c>
      <c r="J1889" s="209" t="s">
        <v>105</v>
      </c>
      <c r="K1889" s="217" t="s">
        <v>107</v>
      </c>
      <c r="L1889" s="300" t="s">
        <v>2167</v>
      </c>
      <c r="M1889" s="209" t="s">
        <v>108</v>
      </c>
      <c r="N1889" s="215" t="s">
        <v>109</v>
      </c>
      <c r="O1889" s="215" t="s">
        <v>110</v>
      </c>
      <c r="P1889" s="218">
        <v>36</v>
      </c>
      <c r="Q1889" s="218">
        <v>5</v>
      </c>
      <c r="R1889" s="219">
        <v>7.4999999999999997E-3</v>
      </c>
      <c r="S1889" s="215" t="s">
        <v>111</v>
      </c>
      <c r="T1889" s="215" t="s">
        <v>112</v>
      </c>
      <c r="U1889" s="215" t="s">
        <v>113</v>
      </c>
      <c r="V1889" s="220">
        <f>4021-25-792-792-792-792-792+1</f>
        <v>37</v>
      </c>
      <c r="W1889" s="220">
        <f>4021-25-792-792-792-792-792+1</f>
        <v>37</v>
      </c>
      <c r="X1889" s="221"/>
      <c r="Y1889" s="222">
        <f>(W1889+X1889)-V1889</f>
        <v>0</v>
      </c>
      <c r="Z1889" s="223">
        <f t="shared" si="650"/>
        <v>0</v>
      </c>
      <c r="AA1889" s="223">
        <f t="shared" si="642"/>
        <v>0</v>
      </c>
      <c r="AB1889" s="807">
        <v>9.7000000000000003E-3</v>
      </c>
      <c r="AC1889" s="220">
        <f t="shared" si="653"/>
        <v>0</v>
      </c>
      <c r="AD1889" s="209"/>
      <c r="AE1889" s="210">
        <f t="shared" ref="AE1889:AE1918" si="657">SUM(Q1889*R1889*Z1889)/1000</f>
        <v>0</v>
      </c>
      <c r="AF1889" s="210">
        <f>AE1889/0.54</f>
        <v>0</v>
      </c>
      <c r="AG1889" s="211">
        <f t="shared" si="651"/>
        <v>0.308</v>
      </c>
      <c r="AH1889" s="157">
        <f>(Z1889*AG1889)/1000</f>
        <v>0</v>
      </c>
      <c r="AI1889" s="152">
        <f t="shared" si="652"/>
        <v>1332</v>
      </c>
      <c r="AK1889" s="156" t="s">
        <v>691</v>
      </c>
      <c r="AL1889" s="574" t="s">
        <v>690</v>
      </c>
      <c r="AM1889" s="198">
        <f>AG1889*Z1889</f>
        <v>0</v>
      </c>
      <c r="AN1889" s="199">
        <f t="shared" si="643"/>
        <v>45689</v>
      </c>
      <c r="AO1889" s="159" t="s">
        <v>692</v>
      </c>
      <c r="AP1889" s="781"/>
      <c r="AQ1889" s="782">
        <v>12063755</v>
      </c>
      <c r="AR1889" s="782">
        <v>12061353</v>
      </c>
      <c r="AS1889" s="782">
        <v>12061354</v>
      </c>
      <c r="AT1889" s="782">
        <v>12068566</v>
      </c>
      <c r="AU1889" s="781"/>
      <c r="AV1889" s="782">
        <v>12088206</v>
      </c>
      <c r="AW1889" s="782">
        <v>12088207</v>
      </c>
      <c r="AX1889" s="782"/>
      <c r="AY1889" s="782">
        <v>12068565</v>
      </c>
      <c r="AZ1889" s="782"/>
      <c r="BA1889" s="781"/>
      <c r="BB1889" s="209">
        <v>23054743</v>
      </c>
    </row>
    <row r="1890" spans="1:54" ht="25" hidden="1" customHeight="1">
      <c r="B1890" s="213">
        <v>45689</v>
      </c>
      <c r="C1890" s="578">
        <v>45716</v>
      </c>
      <c r="D1890" s="185">
        <f t="shared" si="640"/>
        <v>2025</v>
      </c>
      <c r="E1890" s="215" t="e">
        <f>VLOOKUP($B1890,Week!$A$1:$C$1462,2,0)</f>
        <v>#N/A</v>
      </c>
      <c r="F1890" s="216" t="str">
        <f t="shared" si="641"/>
        <v>Feb</v>
      </c>
      <c r="G1890" s="215" t="s">
        <v>1956</v>
      </c>
      <c r="H1890" s="215" t="s">
        <v>104</v>
      </c>
      <c r="I1890" s="215" t="s">
        <v>2772</v>
      </c>
      <c r="J1890" s="209" t="s">
        <v>105</v>
      </c>
      <c r="K1890" s="217" t="s">
        <v>107</v>
      </c>
      <c r="L1890" s="300" t="s">
        <v>2167</v>
      </c>
      <c r="M1890" s="209" t="s">
        <v>108</v>
      </c>
      <c r="N1890" s="215" t="s">
        <v>109</v>
      </c>
      <c r="O1890" s="215" t="s">
        <v>110</v>
      </c>
      <c r="P1890" s="218">
        <v>36</v>
      </c>
      <c r="Q1890" s="218">
        <v>5</v>
      </c>
      <c r="R1890" s="219">
        <v>7.4999999999999997E-3</v>
      </c>
      <c r="S1890" s="215" t="s">
        <v>111</v>
      </c>
      <c r="T1890" s="215" t="s">
        <v>112</v>
      </c>
      <c r="U1890" s="215" t="s">
        <v>113</v>
      </c>
      <c r="V1890" s="220">
        <f>792-37</f>
        <v>755</v>
      </c>
      <c r="W1890" s="220">
        <f>755</f>
        <v>755</v>
      </c>
      <c r="X1890" s="221"/>
      <c r="Y1890" s="222">
        <f t="shared" si="654"/>
        <v>0</v>
      </c>
      <c r="Z1890" s="223">
        <f t="shared" si="650"/>
        <v>0</v>
      </c>
      <c r="AA1890" s="223">
        <f t="shared" si="642"/>
        <v>0</v>
      </c>
      <c r="AB1890" s="807">
        <v>9.7000000000000003E-3</v>
      </c>
      <c r="AC1890" s="220">
        <f t="shared" si="653"/>
        <v>0</v>
      </c>
      <c r="AD1890" s="209"/>
      <c r="AE1890" s="210">
        <f t="shared" si="657"/>
        <v>0</v>
      </c>
      <c r="AF1890" s="210">
        <f t="shared" ref="AF1890:AF1953" si="658">AE1890/0.54</f>
        <v>0</v>
      </c>
      <c r="AG1890" s="211">
        <f t="shared" si="651"/>
        <v>0.308</v>
      </c>
      <c r="AH1890" s="157">
        <f t="shared" si="655"/>
        <v>0</v>
      </c>
      <c r="AI1890" s="152">
        <f t="shared" si="652"/>
        <v>27180</v>
      </c>
      <c r="AK1890" s="156" t="s">
        <v>691</v>
      </c>
      <c r="AL1890" s="574" t="s">
        <v>690</v>
      </c>
      <c r="AM1890" s="198">
        <f t="shared" si="656"/>
        <v>0</v>
      </c>
      <c r="AN1890" s="199">
        <f t="shared" si="643"/>
        <v>45689</v>
      </c>
      <c r="AO1890" s="159" t="s">
        <v>692</v>
      </c>
      <c r="AP1890" s="781"/>
      <c r="AQ1890" s="782">
        <v>12063755</v>
      </c>
      <c r="AR1890" s="782">
        <v>12061353</v>
      </c>
      <c r="AS1890" s="782">
        <v>12061354</v>
      </c>
      <c r="AT1890" s="782">
        <v>12068566</v>
      </c>
      <c r="AU1890" s="781"/>
      <c r="AV1890" s="782">
        <v>12088206</v>
      </c>
      <c r="AW1890" s="782">
        <v>12088207</v>
      </c>
      <c r="AX1890" s="782"/>
      <c r="AY1890" s="782">
        <v>12068565</v>
      </c>
      <c r="AZ1890" s="782"/>
      <c r="BA1890" s="781"/>
      <c r="BB1890" s="209">
        <v>23054743</v>
      </c>
    </row>
    <row r="1891" spans="1:54" ht="25" hidden="1" customHeight="1">
      <c r="B1891" s="213">
        <v>45689</v>
      </c>
      <c r="C1891" s="578">
        <v>45716</v>
      </c>
      <c r="D1891" s="185">
        <f t="shared" si="640"/>
        <v>2025</v>
      </c>
      <c r="E1891" s="215" t="e">
        <f>VLOOKUP($B1891,Week!$A$1:$C$1462,2,0)</f>
        <v>#N/A</v>
      </c>
      <c r="F1891" s="216" t="str">
        <f t="shared" si="641"/>
        <v>Feb</v>
      </c>
      <c r="G1891" s="215" t="s">
        <v>1958</v>
      </c>
      <c r="H1891" s="215" t="s">
        <v>104</v>
      </c>
      <c r="I1891" s="215" t="s">
        <v>2772</v>
      </c>
      <c r="J1891" s="209" t="s">
        <v>105</v>
      </c>
      <c r="K1891" s="217" t="s">
        <v>107</v>
      </c>
      <c r="L1891" s="300" t="s">
        <v>2167</v>
      </c>
      <c r="M1891" s="209" t="s">
        <v>108</v>
      </c>
      <c r="N1891" s="215" t="s">
        <v>109</v>
      </c>
      <c r="O1891" s="215" t="s">
        <v>110</v>
      </c>
      <c r="P1891" s="218">
        <v>36</v>
      </c>
      <c r="Q1891" s="218">
        <v>5</v>
      </c>
      <c r="R1891" s="219">
        <v>7.4999999999999997E-3</v>
      </c>
      <c r="S1891" s="215" t="s">
        <v>111</v>
      </c>
      <c r="T1891" s="215" t="s">
        <v>112</v>
      </c>
      <c r="U1891" s="215" t="s">
        <v>113</v>
      </c>
      <c r="V1891" s="220">
        <v>792</v>
      </c>
      <c r="W1891" s="220">
        <v>792</v>
      </c>
      <c r="X1891" s="221"/>
      <c r="Y1891" s="222">
        <f t="shared" si="654"/>
        <v>0</v>
      </c>
      <c r="Z1891" s="223">
        <f t="shared" si="650"/>
        <v>0</v>
      </c>
      <c r="AA1891" s="223">
        <f t="shared" si="642"/>
        <v>0</v>
      </c>
      <c r="AB1891" s="807">
        <v>9.7000000000000003E-3</v>
      </c>
      <c r="AC1891" s="220">
        <f t="shared" si="653"/>
        <v>0</v>
      </c>
      <c r="AD1891" s="209"/>
      <c r="AE1891" s="210">
        <f t="shared" si="657"/>
        <v>0</v>
      </c>
      <c r="AF1891" s="210">
        <f t="shared" si="658"/>
        <v>0</v>
      </c>
      <c r="AG1891" s="211">
        <f t="shared" si="651"/>
        <v>0.308</v>
      </c>
      <c r="AH1891" s="157">
        <f t="shared" si="655"/>
        <v>0</v>
      </c>
      <c r="AI1891" s="152">
        <f t="shared" si="652"/>
        <v>28512</v>
      </c>
      <c r="AK1891" s="156" t="s">
        <v>691</v>
      </c>
      <c r="AL1891" s="574" t="s">
        <v>690</v>
      </c>
      <c r="AM1891" s="198">
        <f t="shared" si="656"/>
        <v>0</v>
      </c>
      <c r="AN1891" s="199">
        <f t="shared" si="643"/>
        <v>45689</v>
      </c>
      <c r="AO1891" s="159" t="s">
        <v>692</v>
      </c>
      <c r="AP1891" s="781"/>
      <c r="AQ1891" s="782">
        <v>12063755</v>
      </c>
      <c r="AR1891" s="782">
        <v>12061353</v>
      </c>
      <c r="AS1891" s="782">
        <v>12061354</v>
      </c>
      <c r="AT1891" s="782">
        <v>12068566</v>
      </c>
      <c r="AU1891" s="781"/>
      <c r="AV1891" s="782">
        <v>12088206</v>
      </c>
      <c r="AW1891" s="782">
        <v>12088207</v>
      </c>
      <c r="AX1891" s="782"/>
      <c r="AY1891" s="782">
        <v>12068565</v>
      </c>
      <c r="AZ1891" s="782"/>
      <c r="BA1891" s="781"/>
      <c r="BB1891" s="209">
        <v>23054743</v>
      </c>
    </row>
    <row r="1892" spans="1:54" ht="25" hidden="1" customHeight="1">
      <c r="B1892" s="213">
        <v>45689</v>
      </c>
      <c r="C1892" s="578">
        <v>45716</v>
      </c>
      <c r="D1892" s="185">
        <f t="shared" si="640"/>
        <v>2025</v>
      </c>
      <c r="E1892" s="215" t="e">
        <f>VLOOKUP($B1892,Week!$A$1:$C$1462,2,0)</f>
        <v>#N/A</v>
      </c>
      <c r="F1892" s="216" t="str">
        <f t="shared" si="641"/>
        <v>Feb</v>
      </c>
      <c r="G1892" s="215" t="s">
        <v>1959</v>
      </c>
      <c r="H1892" s="215" t="s">
        <v>104</v>
      </c>
      <c r="I1892" s="215" t="s">
        <v>2772</v>
      </c>
      <c r="J1892" s="209" t="s">
        <v>105</v>
      </c>
      <c r="K1892" s="217" t="s">
        <v>107</v>
      </c>
      <c r="L1892" s="300" t="s">
        <v>2167</v>
      </c>
      <c r="M1892" s="209" t="s">
        <v>108</v>
      </c>
      <c r="N1892" s="215" t="s">
        <v>109</v>
      </c>
      <c r="O1892" s="215" t="s">
        <v>110</v>
      </c>
      <c r="P1892" s="218">
        <v>36</v>
      </c>
      <c r="Q1892" s="218">
        <v>5</v>
      </c>
      <c r="R1892" s="219">
        <v>7.4999999999999997E-3</v>
      </c>
      <c r="S1892" s="215" t="s">
        <v>111</v>
      </c>
      <c r="T1892" s="215" t="s">
        <v>112</v>
      </c>
      <c r="U1892" s="215" t="s">
        <v>113</v>
      </c>
      <c r="V1892" s="220">
        <v>792</v>
      </c>
      <c r="W1892" s="220">
        <v>792</v>
      </c>
      <c r="X1892" s="221"/>
      <c r="Y1892" s="222">
        <f t="shared" si="654"/>
        <v>0</v>
      </c>
      <c r="Z1892" s="223">
        <f t="shared" si="650"/>
        <v>0</v>
      </c>
      <c r="AA1892" s="223">
        <f t="shared" si="642"/>
        <v>0</v>
      </c>
      <c r="AB1892" s="807">
        <v>9.7000000000000003E-3</v>
      </c>
      <c r="AC1892" s="220">
        <f t="shared" si="653"/>
        <v>0</v>
      </c>
      <c r="AD1892" s="209"/>
      <c r="AE1892" s="210">
        <f t="shared" si="657"/>
        <v>0</v>
      </c>
      <c r="AF1892" s="210">
        <f t="shared" si="658"/>
        <v>0</v>
      </c>
      <c r="AG1892" s="211">
        <f t="shared" si="651"/>
        <v>0.308</v>
      </c>
      <c r="AH1892" s="157">
        <f t="shared" si="655"/>
        <v>0</v>
      </c>
      <c r="AI1892" s="152">
        <f t="shared" si="652"/>
        <v>28512</v>
      </c>
      <c r="AK1892" s="156" t="s">
        <v>691</v>
      </c>
      <c r="AL1892" s="574" t="s">
        <v>690</v>
      </c>
      <c r="AM1892" s="198">
        <f t="shared" si="656"/>
        <v>0</v>
      </c>
      <c r="AN1892" s="199">
        <f t="shared" si="643"/>
        <v>45689</v>
      </c>
      <c r="AO1892" s="159" t="s">
        <v>692</v>
      </c>
      <c r="AP1892" s="781"/>
      <c r="AQ1892" s="782">
        <v>12063755</v>
      </c>
      <c r="AR1892" s="782">
        <v>12061353</v>
      </c>
      <c r="AS1892" s="782">
        <v>12061354</v>
      </c>
      <c r="AT1892" s="782">
        <v>12068566</v>
      </c>
      <c r="AU1892" s="781"/>
      <c r="AV1892" s="782">
        <v>12088206</v>
      </c>
      <c r="AW1892" s="782">
        <v>12088207</v>
      </c>
      <c r="AX1892" s="782"/>
      <c r="AY1892" s="782">
        <v>12068565</v>
      </c>
      <c r="AZ1892" s="782"/>
      <c r="BA1892" s="781"/>
      <c r="BB1892" s="209">
        <v>23054743</v>
      </c>
    </row>
    <row r="1893" spans="1:54" ht="25" hidden="1" customHeight="1">
      <c r="B1893" s="213">
        <v>45689</v>
      </c>
      <c r="C1893" s="578">
        <v>45720</v>
      </c>
      <c r="D1893" s="185">
        <f t="shared" si="640"/>
        <v>2025</v>
      </c>
      <c r="E1893" s="215" t="e">
        <f>VLOOKUP($B1893,Week!$A$1:$C$1462,2,0)</f>
        <v>#N/A</v>
      </c>
      <c r="F1893" s="216" t="str">
        <f t="shared" si="641"/>
        <v>Feb</v>
      </c>
      <c r="G1893" s="215" t="s">
        <v>1960</v>
      </c>
      <c r="H1893" s="215" t="s">
        <v>104</v>
      </c>
      <c r="I1893" s="215" t="s">
        <v>2772</v>
      </c>
      <c r="J1893" s="209" t="s">
        <v>105</v>
      </c>
      <c r="K1893" s="217" t="s">
        <v>107</v>
      </c>
      <c r="L1893" s="300" t="s">
        <v>2167</v>
      </c>
      <c r="M1893" s="209" t="s">
        <v>108</v>
      </c>
      <c r="N1893" s="215" t="s">
        <v>109</v>
      </c>
      <c r="O1893" s="215" t="s">
        <v>110</v>
      </c>
      <c r="P1893" s="218">
        <v>36</v>
      </c>
      <c r="Q1893" s="218">
        <v>5</v>
      </c>
      <c r="R1893" s="219">
        <v>7.4999999999999997E-3</v>
      </c>
      <c r="S1893" s="215" t="s">
        <v>111</v>
      </c>
      <c r="T1893" s="215" t="s">
        <v>112</v>
      </c>
      <c r="U1893" s="215" t="s">
        <v>113</v>
      </c>
      <c r="V1893" s="220">
        <v>792</v>
      </c>
      <c r="W1893" s="220">
        <f>2555-755-792-792</f>
        <v>216</v>
      </c>
      <c r="X1893" s="221">
        <f>(20736)/36</f>
        <v>576</v>
      </c>
      <c r="Y1893" s="222">
        <f t="shared" si="654"/>
        <v>0</v>
      </c>
      <c r="Z1893" s="223">
        <f t="shared" si="650"/>
        <v>0</v>
      </c>
      <c r="AA1893" s="223">
        <f t="shared" si="642"/>
        <v>0</v>
      </c>
      <c r="AB1893" s="807">
        <v>9.7000000000000003E-3</v>
      </c>
      <c r="AC1893" s="220">
        <f t="shared" si="653"/>
        <v>0</v>
      </c>
      <c r="AD1893" s="209"/>
      <c r="AE1893" s="210">
        <f t="shared" si="657"/>
        <v>0</v>
      </c>
      <c r="AF1893" s="210">
        <f t="shared" si="658"/>
        <v>0</v>
      </c>
      <c r="AG1893" s="211">
        <f t="shared" si="651"/>
        <v>0.308</v>
      </c>
      <c r="AH1893" s="157">
        <f t="shared" si="655"/>
        <v>0</v>
      </c>
      <c r="AI1893" s="152">
        <f t="shared" si="652"/>
        <v>28512</v>
      </c>
      <c r="AK1893" s="156" t="s">
        <v>691</v>
      </c>
      <c r="AL1893" s="574" t="s">
        <v>690</v>
      </c>
      <c r="AM1893" s="198">
        <f t="shared" si="656"/>
        <v>0</v>
      </c>
      <c r="AN1893" s="199">
        <f t="shared" si="643"/>
        <v>45689</v>
      </c>
      <c r="AO1893" s="159" t="s">
        <v>692</v>
      </c>
      <c r="AP1893" s="781"/>
      <c r="AQ1893" s="782">
        <v>12063755</v>
      </c>
      <c r="AR1893" s="782">
        <v>12061353</v>
      </c>
      <c r="AS1893" s="782">
        <v>12061354</v>
      </c>
      <c r="AT1893" s="782">
        <v>12068566</v>
      </c>
      <c r="AU1893" s="781"/>
      <c r="AV1893" s="782">
        <v>12088206</v>
      </c>
      <c r="AW1893" s="782">
        <v>12088207</v>
      </c>
      <c r="AX1893" s="782"/>
      <c r="AY1893" s="782">
        <v>12068565</v>
      </c>
      <c r="AZ1893" s="782"/>
      <c r="BA1893" s="781"/>
      <c r="BB1893" s="209">
        <v>23054743</v>
      </c>
    </row>
    <row r="1894" spans="1:54" ht="25" hidden="1" customHeight="1">
      <c r="B1894" s="213">
        <v>45689</v>
      </c>
      <c r="C1894" s="578">
        <v>45720</v>
      </c>
      <c r="D1894" s="185">
        <f t="shared" si="640"/>
        <v>2025</v>
      </c>
      <c r="E1894" s="215" t="e">
        <f>VLOOKUP($B1894,Week!$A$1:$C$1462,2,0)</f>
        <v>#N/A</v>
      </c>
      <c r="F1894" s="216" t="str">
        <f t="shared" si="641"/>
        <v>Feb</v>
      </c>
      <c r="G1894" s="215" t="s">
        <v>1961</v>
      </c>
      <c r="H1894" s="215" t="s">
        <v>104</v>
      </c>
      <c r="I1894" s="215" t="s">
        <v>2772</v>
      </c>
      <c r="J1894" s="209" t="s">
        <v>105</v>
      </c>
      <c r="K1894" s="217" t="s">
        <v>107</v>
      </c>
      <c r="L1894" s="300" t="s">
        <v>2167</v>
      </c>
      <c r="M1894" s="209" t="s">
        <v>108</v>
      </c>
      <c r="N1894" s="215" t="s">
        <v>109</v>
      </c>
      <c r="O1894" s="215" t="s">
        <v>110</v>
      </c>
      <c r="P1894" s="218">
        <v>36</v>
      </c>
      <c r="Q1894" s="218">
        <v>5</v>
      </c>
      <c r="R1894" s="219">
        <v>7.4999999999999997E-3</v>
      </c>
      <c r="S1894" s="215" t="s">
        <v>111</v>
      </c>
      <c r="T1894" s="215" t="s">
        <v>112</v>
      </c>
      <c r="U1894" s="215" t="s">
        <v>113</v>
      </c>
      <c r="V1894" s="220">
        <f>321</f>
        <v>321</v>
      </c>
      <c r="W1894" s="220"/>
      <c r="X1894" s="221">
        <v>321</v>
      </c>
      <c r="Y1894" s="222">
        <f>(W1894+X1894)-V1894</f>
        <v>0</v>
      </c>
      <c r="Z1894" s="223">
        <f t="shared" si="650"/>
        <v>0</v>
      </c>
      <c r="AA1894" s="223">
        <f t="shared" si="642"/>
        <v>0</v>
      </c>
      <c r="AB1894" s="807">
        <v>9.7000000000000003E-3</v>
      </c>
      <c r="AC1894" s="220">
        <f t="shared" si="653"/>
        <v>0</v>
      </c>
      <c r="AD1894" s="209"/>
      <c r="AE1894" s="210">
        <f t="shared" si="657"/>
        <v>0</v>
      </c>
      <c r="AF1894" s="210">
        <f t="shared" si="658"/>
        <v>0</v>
      </c>
      <c r="AG1894" s="211">
        <f t="shared" si="651"/>
        <v>0.308</v>
      </c>
      <c r="AH1894" s="157">
        <f>(Z1894*AG1894)/1000</f>
        <v>0</v>
      </c>
      <c r="AI1894" s="152">
        <f t="shared" si="652"/>
        <v>11556</v>
      </c>
      <c r="AK1894" s="156" t="s">
        <v>691</v>
      </c>
      <c r="AL1894" s="574" t="s">
        <v>690</v>
      </c>
      <c r="AM1894" s="198">
        <f t="shared" ref="AM1894:AM1925" si="659">AG1894*Z1894</f>
        <v>0</v>
      </c>
      <c r="AN1894" s="199">
        <f t="shared" si="643"/>
        <v>45689</v>
      </c>
      <c r="AO1894" s="159" t="s">
        <v>692</v>
      </c>
      <c r="AP1894" s="781"/>
      <c r="AQ1894" s="782">
        <v>12063755</v>
      </c>
      <c r="AR1894" s="782">
        <v>12061353</v>
      </c>
      <c r="AS1894" s="782">
        <v>12061354</v>
      </c>
      <c r="AT1894" s="782">
        <v>12068566</v>
      </c>
      <c r="AU1894" s="781"/>
      <c r="AV1894" s="782">
        <v>12088206</v>
      </c>
      <c r="AW1894" s="782">
        <v>12088207</v>
      </c>
      <c r="AX1894" s="782"/>
      <c r="AY1894" s="782">
        <v>12068565</v>
      </c>
      <c r="AZ1894" s="782"/>
      <c r="BA1894" s="781"/>
      <c r="BB1894" s="209">
        <v>23054743</v>
      </c>
    </row>
    <row r="1895" spans="1:54" ht="25" hidden="1" customHeight="1">
      <c r="B1895" s="183">
        <v>45690</v>
      </c>
      <c r="C1895" s="184"/>
      <c r="D1895" s="185">
        <f t="shared" si="640"/>
        <v>2025</v>
      </c>
      <c r="E1895" s="185" t="e">
        <f>VLOOKUP($B1895,Week!$A$1:$C$1462,2,0)</f>
        <v>#N/A</v>
      </c>
      <c r="F1895" s="186" t="str">
        <f t="shared" si="641"/>
        <v>Feb</v>
      </c>
      <c r="G1895" s="185"/>
      <c r="H1895" s="185"/>
      <c r="I1895" s="185"/>
      <c r="J1895" s="187"/>
      <c r="K1895" s="188"/>
      <c r="L1895" s="300"/>
      <c r="M1895" s="187"/>
      <c r="N1895" s="185"/>
      <c r="O1895" s="185"/>
      <c r="P1895" s="189"/>
      <c r="Q1895" s="189"/>
      <c r="R1895" s="190"/>
      <c r="S1895" s="185"/>
      <c r="T1895" s="185"/>
      <c r="U1895" s="185"/>
      <c r="V1895" s="191"/>
      <c r="W1895" s="191"/>
      <c r="X1895" s="192"/>
      <c r="Y1895" s="193"/>
      <c r="Z1895" s="194"/>
      <c r="AA1895" s="194">
        <f t="shared" si="642"/>
        <v>0</v>
      </c>
      <c r="AB1895" s="805"/>
      <c r="AC1895" s="191">
        <f t="shared" si="653"/>
        <v>0</v>
      </c>
      <c r="AD1895" s="187"/>
      <c r="AE1895" s="195">
        <f t="shared" si="657"/>
        <v>0</v>
      </c>
      <c r="AF1895" s="195">
        <f t="shared" si="658"/>
        <v>0</v>
      </c>
      <c r="AG1895" s="196"/>
      <c r="AH1895" s="197"/>
      <c r="AK1895" s="156" t="s">
        <v>691</v>
      </c>
      <c r="AM1895" s="198">
        <f t="shared" si="659"/>
        <v>0</v>
      </c>
      <c r="AN1895" s="199">
        <f t="shared" si="643"/>
        <v>45690</v>
      </c>
      <c r="AO1895" s="159" t="s">
        <v>692</v>
      </c>
      <c r="AP1895" s="781"/>
      <c r="AQ1895" s="782"/>
      <c r="AR1895" s="782"/>
      <c r="AS1895" s="782"/>
      <c r="AT1895" s="782"/>
      <c r="AU1895" s="781"/>
      <c r="AV1895" s="782"/>
      <c r="AW1895" s="782"/>
      <c r="AX1895" s="782"/>
      <c r="AY1895" s="782"/>
      <c r="AZ1895" s="782"/>
      <c r="BA1895" s="781"/>
      <c r="BB1895" s="209"/>
    </row>
    <row r="1896" spans="1:54" ht="25" hidden="1" customHeight="1">
      <c r="A1896" s="142" t="s">
        <v>120</v>
      </c>
      <c r="B1896" s="466">
        <v>45691</v>
      </c>
      <c r="C1896" s="467">
        <v>45696</v>
      </c>
      <c r="D1896" s="185">
        <f t="shared" si="640"/>
        <v>2025</v>
      </c>
      <c r="E1896" s="468" t="e">
        <f>VLOOKUP($B1896,Week!$A$1:$C$1462,2,0)</f>
        <v>#N/A</v>
      </c>
      <c r="F1896" s="469" t="str">
        <f t="shared" si="641"/>
        <v>Feb</v>
      </c>
      <c r="G1896" s="470" t="s">
        <v>1999</v>
      </c>
      <c r="H1896" s="468" t="s">
        <v>82</v>
      </c>
      <c r="I1896" s="468" t="s">
        <v>82</v>
      </c>
      <c r="J1896" s="471" t="s">
        <v>720</v>
      </c>
      <c r="K1896" s="472" t="s">
        <v>85</v>
      </c>
      <c r="L1896" s="390" t="s">
        <v>2166</v>
      </c>
      <c r="M1896" s="471" t="s">
        <v>579</v>
      </c>
      <c r="N1896" s="468" t="s">
        <v>580</v>
      </c>
      <c r="O1896" s="468" t="s">
        <v>581</v>
      </c>
      <c r="P1896" s="473">
        <v>8</v>
      </c>
      <c r="Q1896" s="473">
        <v>60</v>
      </c>
      <c r="R1896" s="474">
        <v>6.8100000000000001E-3</v>
      </c>
      <c r="S1896" s="468" t="s">
        <v>76</v>
      </c>
      <c r="T1896" s="468" t="s">
        <v>56</v>
      </c>
      <c r="U1896" s="468" t="s">
        <v>89</v>
      </c>
      <c r="V1896" s="475">
        <f>1408</f>
        <v>1408</v>
      </c>
      <c r="W1896" s="475">
        <f>44+1364</f>
        <v>1408</v>
      </c>
      <c r="X1896" s="476"/>
      <c r="Y1896" s="477">
        <f t="shared" ref="Y1896:Y1918" si="660">(W1896+X1896)-V1896</f>
        <v>0</v>
      </c>
      <c r="Z1896" s="478">
        <f t="shared" ref="Z1896:Z1918" si="661">IF(Y1896&lt;0,((V1896*P1896)-((W1896+X1896)*P1896)),0)</f>
        <v>0</v>
      </c>
      <c r="AA1896" s="478">
        <f t="shared" si="642"/>
        <v>0</v>
      </c>
      <c r="AB1896" s="828">
        <v>6</v>
      </c>
      <c r="AC1896" s="475">
        <f t="shared" si="653"/>
        <v>0</v>
      </c>
      <c r="AD1896" s="209"/>
      <c r="AE1896" s="210">
        <f t="shared" si="657"/>
        <v>0</v>
      </c>
      <c r="AF1896" s="210">
        <f t="shared" si="658"/>
        <v>0</v>
      </c>
      <c r="AG1896" s="211">
        <f t="shared" ref="AG1896:AG1916" si="662">MID(O1896,1,3)/1000</f>
        <v>0.75</v>
      </c>
      <c r="AH1896" s="157">
        <f t="shared" ref="AH1896:AH1918" si="663">(Z1896*AG1896)/1000</f>
        <v>0</v>
      </c>
      <c r="AI1896" s="152">
        <f t="shared" ref="AI1896:AI1918" si="664">V1896*P1896</f>
        <v>11264</v>
      </c>
      <c r="AK1896" s="156" t="s">
        <v>691</v>
      </c>
      <c r="AL1896" s="156" t="s">
        <v>689</v>
      </c>
      <c r="AM1896" s="198">
        <f t="shared" si="659"/>
        <v>0</v>
      </c>
      <c r="AN1896" s="199">
        <f t="shared" si="643"/>
        <v>45691</v>
      </c>
      <c r="AO1896" s="159" t="s">
        <v>692</v>
      </c>
      <c r="AP1896" s="783" t="s">
        <v>622</v>
      </c>
      <c r="AQ1896" s="782">
        <v>12088677</v>
      </c>
      <c r="AR1896" s="782" t="s">
        <v>2142</v>
      </c>
      <c r="AS1896" s="782"/>
      <c r="AT1896" s="782">
        <v>12082897</v>
      </c>
      <c r="AU1896" s="781"/>
      <c r="AV1896" s="782">
        <v>12082898</v>
      </c>
      <c r="AW1896" s="782">
        <v>12082899</v>
      </c>
      <c r="AX1896" s="796" t="s">
        <v>621</v>
      </c>
      <c r="AY1896" s="782"/>
      <c r="AZ1896" s="782"/>
      <c r="BA1896" s="781"/>
      <c r="BB1896" s="209">
        <v>23053184</v>
      </c>
    </row>
    <row r="1897" spans="1:54" ht="24.75" hidden="1" customHeight="1">
      <c r="A1897" s="142" t="s">
        <v>120</v>
      </c>
      <c r="B1897" s="308">
        <v>45691</v>
      </c>
      <c r="C1897" s="644" t="s">
        <v>1918</v>
      </c>
      <c r="D1897" s="185">
        <f t="shared" si="640"/>
        <v>2025</v>
      </c>
      <c r="E1897" s="519" t="e">
        <f>VLOOKUP($B1897,Week!$A$1:$C$1462,2,0)</f>
        <v>#N/A</v>
      </c>
      <c r="F1897" s="520" t="str">
        <f t="shared" si="641"/>
        <v>Feb</v>
      </c>
      <c r="G1897" s="644" t="s">
        <v>47</v>
      </c>
      <c r="H1897" s="311" t="s">
        <v>518</v>
      </c>
      <c r="I1897" s="311" t="s">
        <v>2702</v>
      </c>
      <c r="J1897" s="312" t="s">
        <v>70</v>
      </c>
      <c r="K1897" s="313" t="s">
        <v>85</v>
      </c>
      <c r="L1897" s="390" t="s">
        <v>2166</v>
      </c>
      <c r="M1897" s="312" t="s">
        <v>515</v>
      </c>
      <c r="N1897" s="311" t="s">
        <v>588</v>
      </c>
      <c r="O1897" s="311" t="s">
        <v>546</v>
      </c>
      <c r="P1897" s="314">
        <v>12</v>
      </c>
      <c r="Q1897" s="314">
        <v>20</v>
      </c>
      <c r="R1897" s="315">
        <v>6.1999999999999998E-3</v>
      </c>
      <c r="S1897" s="311" t="s">
        <v>352</v>
      </c>
      <c r="T1897" s="311" t="s">
        <v>56</v>
      </c>
      <c r="U1897" s="311"/>
      <c r="V1897" s="316">
        <f>615-237</f>
        <v>378</v>
      </c>
      <c r="W1897" s="316">
        <f>19+359</f>
        <v>378</v>
      </c>
      <c r="X1897" s="317"/>
      <c r="Y1897" s="318">
        <f t="shared" si="660"/>
        <v>0</v>
      </c>
      <c r="Z1897" s="319">
        <f t="shared" si="661"/>
        <v>0</v>
      </c>
      <c r="AA1897" s="319">
        <f t="shared" si="642"/>
        <v>0</v>
      </c>
      <c r="AB1897" s="815"/>
      <c r="AC1897" s="316">
        <f t="shared" si="653"/>
        <v>0</v>
      </c>
      <c r="AD1897" s="209"/>
      <c r="AE1897" s="210">
        <f t="shared" si="657"/>
        <v>0</v>
      </c>
      <c r="AF1897" s="210">
        <f t="shared" si="658"/>
        <v>0</v>
      </c>
      <c r="AG1897" s="211">
        <f t="shared" si="662"/>
        <v>0.22</v>
      </c>
      <c r="AH1897" s="157">
        <f t="shared" si="663"/>
        <v>0</v>
      </c>
      <c r="AI1897" s="152">
        <f t="shared" si="664"/>
        <v>4536</v>
      </c>
      <c r="AK1897" s="156" t="s">
        <v>691</v>
      </c>
      <c r="AL1897" s="156" t="s">
        <v>689</v>
      </c>
      <c r="AM1897" s="198">
        <f t="shared" si="659"/>
        <v>0</v>
      </c>
      <c r="AN1897" s="199">
        <f t="shared" si="643"/>
        <v>45691</v>
      </c>
      <c r="AO1897" s="159" t="s">
        <v>692</v>
      </c>
      <c r="AP1897" s="783" t="s">
        <v>613</v>
      </c>
      <c r="AQ1897" s="782"/>
      <c r="AR1897" s="782" t="s">
        <v>614</v>
      </c>
      <c r="AS1897" s="782"/>
      <c r="AT1897" s="782">
        <v>12083140</v>
      </c>
      <c r="AU1897" s="781"/>
      <c r="AV1897" s="782">
        <v>12083143</v>
      </c>
      <c r="AW1897" s="782"/>
      <c r="AX1897" s="782"/>
      <c r="AY1897" s="782"/>
      <c r="AZ1897" s="782"/>
      <c r="BA1897" s="781"/>
      <c r="BB1897" s="209"/>
    </row>
    <row r="1898" spans="1:54" ht="25" hidden="1" customHeight="1">
      <c r="B1898" s="213">
        <v>45692</v>
      </c>
      <c r="C1898" s="578">
        <v>45720</v>
      </c>
      <c r="D1898" s="185">
        <f t="shared" si="640"/>
        <v>2025</v>
      </c>
      <c r="E1898" s="215" t="e">
        <f>VLOOKUP($B1898,Week!$A$1:$C$1462,2,0)</f>
        <v>#N/A</v>
      </c>
      <c r="F1898" s="216" t="str">
        <f t="shared" si="641"/>
        <v>Feb</v>
      </c>
      <c r="G1898" s="215" t="s">
        <v>1961</v>
      </c>
      <c r="H1898" s="215" t="s">
        <v>104</v>
      </c>
      <c r="I1898" s="215" t="s">
        <v>2772</v>
      </c>
      <c r="J1898" s="209" t="s">
        <v>105</v>
      </c>
      <c r="K1898" s="217" t="s">
        <v>107</v>
      </c>
      <c r="L1898" s="300" t="s">
        <v>2167</v>
      </c>
      <c r="M1898" s="209" t="s">
        <v>108</v>
      </c>
      <c r="N1898" s="215" t="s">
        <v>109</v>
      </c>
      <c r="O1898" s="215" t="s">
        <v>110</v>
      </c>
      <c r="P1898" s="218">
        <v>36</v>
      </c>
      <c r="Q1898" s="218">
        <v>5</v>
      </c>
      <c r="R1898" s="219">
        <v>7.4999999999999997E-3</v>
      </c>
      <c r="S1898" s="215" t="s">
        <v>111</v>
      </c>
      <c r="T1898" s="215" t="s">
        <v>112</v>
      </c>
      <c r="U1898" s="215" t="s">
        <v>113</v>
      </c>
      <c r="V1898" s="220">
        <f>792-321</f>
        <v>471</v>
      </c>
      <c r="W1898" s="220">
        <v>471</v>
      </c>
      <c r="X1898" s="221"/>
      <c r="Y1898" s="222">
        <f t="shared" si="660"/>
        <v>0</v>
      </c>
      <c r="Z1898" s="223">
        <f t="shared" si="661"/>
        <v>0</v>
      </c>
      <c r="AA1898" s="223">
        <f t="shared" si="642"/>
        <v>0</v>
      </c>
      <c r="AB1898" s="807">
        <v>9.7000000000000003E-3</v>
      </c>
      <c r="AC1898" s="220">
        <f t="shared" si="653"/>
        <v>0</v>
      </c>
      <c r="AD1898" s="209"/>
      <c r="AE1898" s="210">
        <f t="shared" si="657"/>
        <v>0</v>
      </c>
      <c r="AF1898" s="210">
        <f t="shared" si="658"/>
        <v>0</v>
      </c>
      <c r="AG1898" s="211">
        <f t="shared" si="662"/>
        <v>0.308</v>
      </c>
      <c r="AH1898" s="157">
        <f t="shared" si="663"/>
        <v>0</v>
      </c>
      <c r="AI1898" s="152">
        <f t="shared" si="664"/>
        <v>16956</v>
      </c>
      <c r="AK1898" s="156" t="s">
        <v>691</v>
      </c>
      <c r="AL1898" s="574" t="s">
        <v>690</v>
      </c>
      <c r="AM1898" s="198">
        <f t="shared" si="659"/>
        <v>0</v>
      </c>
      <c r="AN1898" s="199">
        <f t="shared" si="643"/>
        <v>45692</v>
      </c>
      <c r="AO1898" s="159" t="s">
        <v>692</v>
      </c>
      <c r="AP1898" s="781"/>
      <c r="AQ1898" s="782">
        <v>12063755</v>
      </c>
      <c r="AR1898" s="782">
        <v>12061353</v>
      </c>
      <c r="AS1898" s="782">
        <v>12061354</v>
      </c>
      <c r="AT1898" s="782">
        <v>12068566</v>
      </c>
      <c r="AU1898" s="781"/>
      <c r="AV1898" s="782">
        <v>12088206</v>
      </c>
      <c r="AW1898" s="782">
        <v>12088207</v>
      </c>
      <c r="AX1898" s="782"/>
      <c r="AY1898" s="782">
        <v>12068565</v>
      </c>
      <c r="AZ1898" s="782"/>
      <c r="BA1898" s="781"/>
      <c r="BB1898" s="209">
        <v>23054743</v>
      </c>
    </row>
    <row r="1899" spans="1:54" ht="25" hidden="1" customHeight="1">
      <c r="B1899" s="213">
        <v>45692</v>
      </c>
      <c r="C1899" s="578">
        <v>45720</v>
      </c>
      <c r="D1899" s="185">
        <f t="shared" si="640"/>
        <v>2025</v>
      </c>
      <c r="E1899" s="215" t="e">
        <f>VLOOKUP($B1899,Week!$A$1:$C$1462,2,0)</f>
        <v>#N/A</v>
      </c>
      <c r="F1899" s="216" t="str">
        <f t="shared" si="641"/>
        <v>Feb</v>
      </c>
      <c r="G1899" s="215" t="s">
        <v>1962</v>
      </c>
      <c r="H1899" s="215" t="s">
        <v>104</v>
      </c>
      <c r="I1899" s="215" t="s">
        <v>2772</v>
      </c>
      <c r="J1899" s="209" t="s">
        <v>105</v>
      </c>
      <c r="K1899" s="217" t="s">
        <v>107</v>
      </c>
      <c r="L1899" s="300" t="s">
        <v>2167</v>
      </c>
      <c r="M1899" s="209" t="s">
        <v>108</v>
      </c>
      <c r="N1899" s="215" t="s">
        <v>109</v>
      </c>
      <c r="O1899" s="215" t="s">
        <v>110</v>
      </c>
      <c r="P1899" s="218">
        <v>36</v>
      </c>
      <c r="Q1899" s="218">
        <v>5</v>
      </c>
      <c r="R1899" s="219">
        <v>7.4999999999999997E-3</v>
      </c>
      <c r="S1899" s="215" t="s">
        <v>111</v>
      </c>
      <c r="T1899" s="215" t="s">
        <v>112</v>
      </c>
      <c r="U1899" s="215" t="s">
        <v>113</v>
      </c>
      <c r="V1899" s="220">
        <v>792</v>
      </c>
      <c r="W1899" s="220">
        <v>792</v>
      </c>
      <c r="X1899" s="221"/>
      <c r="Y1899" s="222">
        <f t="shared" si="660"/>
        <v>0</v>
      </c>
      <c r="Z1899" s="223">
        <f t="shared" si="661"/>
        <v>0</v>
      </c>
      <c r="AA1899" s="223">
        <f t="shared" si="642"/>
        <v>0</v>
      </c>
      <c r="AB1899" s="807">
        <v>9.7000000000000003E-3</v>
      </c>
      <c r="AC1899" s="220">
        <f t="shared" si="653"/>
        <v>0</v>
      </c>
      <c r="AD1899" s="209"/>
      <c r="AE1899" s="210">
        <f t="shared" si="657"/>
        <v>0</v>
      </c>
      <c r="AF1899" s="210">
        <f t="shared" si="658"/>
        <v>0</v>
      </c>
      <c r="AG1899" s="211">
        <f t="shared" si="662"/>
        <v>0.308</v>
      </c>
      <c r="AH1899" s="157">
        <f t="shared" si="663"/>
        <v>0</v>
      </c>
      <c r="AI1899" s="152">
        <f t="shared" si="664"/>
        <v>28512</v>
      </c>
      <c r="AK1899" s="156" t="s">
        <v>691</v>
      </c>
      <c r="AL1899" s="574" t="s">
        <v>690</v>
      </c>
      <c r="AM1899" s="198">
        <f t="shared" si="659"/>
        <v>0</v>
      </c>
      <c r="AN1899" s="199">
        <f t="shared" si="643"/>
        <v>45692</v>
      </c>
      <c r="AO1899" s="159" t="s">
        <v>692</v>
      </c>
      <c r="AP1899" s="781"/>
      <c r="AQ1899" s="782">
        <v>12063755</v>
      </c>
      <c r="AR1899" s="782">
        <v>12061353</v>
      </c>
      <c r="AS1899" s="782">
        <v>12061354</v>
      </c>
      <c r="AT1899" s="782">
        <v>12068566</v>
      </c>
      <c r="AU1899" s="781"/>
      <c r="AV1899" s="782">
        <v>12088206</v>
      </c>
      <c r="AW1899" s="782">
        <v>12088207</v>
      </c>
      <c r="AX1899" s="782"/>
      <c r="AY1899" s="782">
        <v>12068565</v>
      </c>
      <c r="AZ1899" s="782"/>
      <c r="BA1899" s="781"/>
      <c r="BB1899" s="209">
        <v>23054743</v>
      </c>
    </row>
    <row r="1900" spans="1:54" ht="25" hidden="1" customHeight="1">
      <c r="B1900" s="213">
        <v>45692</v>
      </c>
      <c r="C1900" s="578">
        <v>45720</v>
      </c>
      <c r="D1900" s="185">
        <f t="shared" si="640"/>
        <v>2025</v>
      </c>
      <c r="E1900" s="215" t="e">
        <f>VLOOKUP($B1900,Week!$A$1:$C$1462,2,0)</f>
        <v>#N/A</v>
      </c>
      <c r="F1900" s="216" t="str">
        <f t="shared" si="641"/>
        <v>Feb</v>
      </c>
      <c r="G1900" s="215" t="s">
        <v>1963</v>
      </c>
      <c r="H1900" s="215" t="s">
        <v>104</v>
      </c>
      <c r="I1900" s="215" t="s">
        <v>2772</v>
      </c>
      <c r="J1900" s="209" t="s">
        <v>105</v>
      </c>
      <c r="K1900" s="217" t="s">
        <v>107</v>
      </c>
      <c r="L1900" s="300" t="s">
        <v>2167</v>
      </c>
      <c r="M1900" s="209" t="s">
        <v>108</v>
      </c>
      <c r="N1900" s="215" t="s">
        <v>109</v>
      </c>
      <c r="O1900" s="215" t="s">
        <v>110</v>
      </c>
      <c r="P1900" s="218">
        <v>36</v>
      </c>
      <c r="Q1900" s="218">
        <v>5</v>
      </c>
      <c r="R1900" s="219">
        <v>7.4999999999999997E-3</v>
      </c>
      <c r="S1900" s="215" t="s">
        <v>111</v>
      </c>
      <c r="T1900" s="215" t="s">
        <v>112</v>
      </c>
      <c r="U1900" s="215" t="s">
        <v>113</v>
      </c>
      <c r="V1900" s="220">
        <v>792</v>
      </c>
      <c r="W1900" s="220">
        <v>792</v>
      </c>
      <c r="X1900" s="221"/>
      <c r="Y1900" s="222">
        <f t="shared" si="660"/>
        <v>0</v>
      </c>
      <c r="Z1900" s="223">
        <f t="shared" si="661"/>
        <v>0</v>
      </c>
      <c r="AA1900" s="223">
        <f t="shared" si="642"/>
        <v>0</v>
      </c>
      <c r="AB1900" s="807">
        <v>9.7000000000000003E-3</v>
      </c>
      <c r="AC1900" s="220">
        <f t="shared" si="653"/>
        <v>0</v>
      </c>
      <c r="AD1900" s="209"/>
      <c r="AE1900" s="210">
        <f t="shared" si="657"/>
        <v>0</v>
      </c>
      <c r="AF1900" s="210">
        <f t="shared" si="658"/>
        <v>0</v>
      </c>
      <c r="AG1900" s="211">
        <f t="shared" si="662"/>
        <v>0.308</v>
      </c>
      <c r="AH1900" s="157">
        <f t="shared" si="663"/>
        <v>0</v>
      </c>
      <c r="AI1900" s="152">
        <f t="shared" si="664"/>
        <v>28512</v>
      </c>
      <c r="AK1900" s="156" t="s">
        <v>691</v>
      </c>
      <c r="AL1900" s="574" t="s">
        <v>690</v>
      </c>
      <c r="AM1900" s="198">
        <f t="shared" si="659"/>
        <v>0</v>
      </c>
      <c r="AN1900" s="199">
        <f t="shared" si="643"/>
        <v>45692</v>
      </c>
      <c r="AO1900" s="159" t="s">
        <v>692</v>
      </c>
      <c r="AP1900" s="781"/>
      <c r="AQ1900" s="782">
        <v>12063755</v>
      </c>
      <c r="AR1900" s="782">
        <v>12061353</v>
      </c>
      <c r="AS1900" s="782">
        <v>12061354</v>
      </c>
      <c r="AT1900" s="782">
        <v>12068566</v>
      </c>
      <c r="AU1900" s="781"/>
      <c r="AV1900" s="782">
        <v>12088206</v>
      </c>
      <c r="AW1900" s="782">
        <v>12088207</v>
      </c>
      <c r="AX1900" s="782"/>
      <c r="AY1900" s="782">
        <v>12068565</v>
      </c>
      <c r="AZ1900" s="782"/>
      <c r="BA1900" s="781"/>
      <c r="BB1900" s="209">
        <v>23054743</v>
      </c>
    </row>
    <row r="1901" spans="1:54" ht="25" hidden="1" customHeight="1">
      <c r="B1901" s="213">
        <v>45692</v>
      </c>
      <c r="C1901" s="578">
        <v>45720</v>
      </c>
      <c r="D1901" s="185">
        <f t="shared" si="640"/>
        <v>2025</v>
      </c>
      <c r="E1901" s="215" t="e">
        <f>VLOOKUP($B1901,Week!$A$1:$C$1462,2,0)</f>
        <v>#N/A</v>
      </c>
      <c r="F1901" s="216" t="str">
        <f t="shared" si="641"/>
        <v>Feb</v>
      </c>
      <c r="G1901" s="215" t="s">
        <v>1964</v>
      </c>
      <c r="H1901" s="215" t="s">
        <v>104</v>
      </c>
      <c r="I1901" s="215" t="s">
        <v>2772</v>
      </c>
      <c r="J1901" s="209" t="s">
        <v>105</v>
      </c>
      <c r="K1901" s="217" t="s">
        <v>107</v>
      </c>
      <c r="L1901" s="300" t="s">
        <v>2167</v>
      </c>
      <c r="M1901" s="209" t="s">
        <v>108</v>
      </c>
      <c r="N1901" s="215" t="s">
        <v>109</v>
      </c>
      <c r="O1901" s="215" t="s">
        <v>110</v>
      </c>
      <c r="P1901" s="218">
        <v>36</v>
      </c>
      <c r="Q1901" s="218">
        <v>5</v>
      </c>
      <c r="R1901" s="219">
        <v>7.4999999999999997E-3</v>
      </c>
      <c r="S1901" s="215" t="s">
        <v>111</v>
      </c>
      <c r="T1901" s="215" t="s">
        <v>112</v>
      </c>
      <c r="U1901" s="215" t="s">
        <v>113</v>
      </c>
      <c r="V1901" s="220">
        <v>792</v>
      </c>
      <c r="W1901" s="220">
        <v>792</v>
      </c>
      <c r="X1901" s="221"/>
      <c r="Y1901" s="222">
        <f t="shared" si="660"/>
        <v>0</v>
      </c>
      <c r="Z1901" s="223">
        <f t="shared" si="661"/>
        <v>0</v>
      </c>
      <c r="AA1901" s="223">
        <f t="shared" si="642"/>
        <v>0</v>
      </c>
      <c r="AB1901" s="807">
        <v>9.7000000000000003E-3</v>
      </c>
      <c r="AC1901" s="220">
        <f t="shared" si="653"/>
        <v>0</v>
      </c>
      <c r="AD1901" s="209"/>
      <c r="AE1901" s="210">
        <f t="shared" si="657"/>
        <v>0</v>
      </c>
      <c r="AF1901" s="210">
        <f t="shared" si="658"/>
        <v>0</v>
      </c>
      <c r="AG1901" s="211">
        <f t="shared" si="662"/>
        <v>0.308</v>
      </c>
      <c r="AH1901" s="157">
        <f t="shared" si="663"/>
        <v>0</v>
      </c>
      <c r="AI1901" s="152">
        <f t="shared" si="664"/>
        <v>28512</v>
      </c>
      <c r="AK1901" s="156" t="s">
        <v>691</v>
      </c>
      <c r="AL1901" s="574" t="s">
        <v>690</v>
      </c>
      <c r="AM1901" s="198">
        <f t="shared" si="659"/>
        <v>0</v>
      </c>
      <c r="AN1901" s="199">
        <f t="shared" si="643"/>
        <v>45692</v>
      </c>
      <c r="AO1901" s="159" t="s">
        <v>692</v>
      </c>
      <c r="AP1901" s="781"/>
      <c r="AQ1901" s="782">
        <v>12063755</v>
      </c>
      <c r="AR1901" s="782">
        <v>12061353</v>
      </c>
      <c r="AS1901" s="782">
        <v>12061354</v>
      </c>
      <c r="AT1901" s="782">
        <v>12068566</v>
      </c>
      <c r="AU1901" s="781"/>
      <c r="AV1901" s="782">
        <v>12088206</v>
      </c>
      <c r="AW1901" s="782">
        <v>12088207</v>
      </c>
      <c r="AX1901" s="782"/>
      <c r="AY1901" s="782">
        <v>12068565</v>
      </c>
      <c r="AZ1901" s="782"/>
      <c r="BA1901" s="781"/>
      <c r="BB1901" s="209">
        <v>23054743</v>
      </c>
    </row>
    <row r="1902" spans="1:54" ht="25" hidden="1" customHeight="1">
      <c r="B1902" s="213">
        <v>45692</v>
      </c>
      <c r="C1902" s="578">
        <v>45721</v>
      </c>
      <c r="D1902" s="185">
        <f t="shared" si="640"/>
        <v>2025</v>
      </c>
      <c r="E1902" s="215" t="e">
        <f>VLOOKUP($B1902,Week!$A$1:$C$1462,2,0)</f>
        <v>#N/A</v>
      </c>
      <c r="F1902" s="216" t="str">
        <f t="shared" si="641"/>
        <v>Feb</v>
      </c>
      <c r="G1902" s="215" t="s">
        <v>1965</v>
      </c>
      <c r="H1902" s="215" t="s">
        <v>104</v>
      </c>
      <c r="I1902" s="215" t="s">
        <v>2772</v>
      </c>
      <c r="J1902" s="209" t="s">
        <v>105</v>
      </c>
      <c r="K1902" s="217" t="s">
        <v>107</v>
      </c>
      <c r="L1902" s="300" t="s">
        <v>2167</v>
      </c>
      <c r="M1902" s="209" t="s">
        <v>108</v>
      </c>
      <c r="N1902" s="215" t="s">
        <v>109</v>
      </c>
      <c r="O1902" s="215" t="s">
        <v>110</v>
      </c>
      <c r="P1902" s="218">
        <v>36</v>
      </c>
      <c r="Q1902" s="218">
        <v>5</v>
      </c>
      <c r="R1902" s="219">
        <v>7.4999999999999997E-3</v>
      </c>
      <c r="S1902" s="215" t="s">
        <v>111</v>
      </c>
      <c r="T1902" s="215" t="s">
        <v>112</v>
      </c>
      <c r="U1902" s="215" t="s">
        <v>113</v>
      </c>
      <c r="V1902" s="220">
        <v>792</v>
      </c>
      <c r="W1902" s="220">
        <f>3206-471-792-792-792</f>
        <v>359</v>
      </c>
      <c r="X1902" s="221">
        <f>(15588)/36</f>
        <v>433</v>
      </c>
      <c r="Y1902" s="222">
        <f t="shared" si="660"/>
        <v>0</v>
      </c>
      <c r="Z1902" s="223">
        <f t="shared" si="661"/>
        <v>0</v>
      </c>
      <c r="AA1902" s="223">
        <f t="shared" si="642"/>
        <v>0</v>
      </c>
      <c r="AB1902" s="807">
        <v>9.7000000000000003E-3</v>
      </c>
      <c r="AC1902" s="220">
        <f t="shared" si="653"/>
        <v>0</v>
      </c>
      <c r="AD1902" s="209"/>
      <c r="AE1902" s="210">
        <f t="shared" si="657"/>
        <v>0</v>
      </c>
      <c r="AF1902" s="210">
        <f t="shared" si="658"/>
        <v>0</v>
      </c>
      <c r="AG1902" s="211">
        <f t="shared" si="662"/>
        <v>0.308</v>
      </c>
      <c r="AH1902" s="157">
        <f t="shared" si="663"/>
        <v>0</v>
      </c>
      <c r="AI1902" s="152">
        <f t="shared" si="664"/>
        <v>28512</v>
      </c>
      <c r="AK1902" s="156" t="s">
        <v>691</v>
      </c>
      <c r="AL1902" s="574" t="s">
        <v>690</v>
      </c>
      <c r="AM1902" s="198">
        <f t="shared" si="659"/>
        <v>0</v>
      </c>
      <c r="AN1902" s="199">
        <f t="shared" si="643"/>
        <v>45692</v>
      </c>
      <c r="AO1902" s="159" t="s">
        <v>692</v>
      </c>
      <c r="AP1902" s="781"/>
      <c r="AQ1902" s="782">
        <v>12063755</v>
      </c>
      <c r="AR1902" s="782">
        <v>12061353</v>
      </c>
      <c r="AS1902" s="782">
        <v>12061354</v>
      </c>
      <c r="AT1902" s="782">
        <v>12068566</v>
      </c>
      <c r="AU1902" s="781"/>
      <c r="AV1902" s="782">
        <v>12088206</v>
      </c>
      <c r="AW1902" s="782">
        <v>12088207</v>
      </c>
      <c r="AX1902" s="782"/>
      <c r="AY1902" s="782">
        <v>12068565</v>
      </c>
      <c r="AZ1902" s="782"/>
      <c r="BA1902" s="781"/>
      <c r="BB1902" s="209">
        <v>23054743</v>
      </c>
    </row>
    <row r="1903" spans="1:54" ht="25" hidden="1" customHeight="1">
      <c r="B1903" s="213">
        <v>45692</v>
      </c>
      <c r="C1903" s="578">
        <v>45727</v>
      </c>
      <c r="D1903" s="185">
        <f t="shared" si="640"/>
        <v>2025</v>
      </c>
      <c r="E1903" s="215" t="e">
        <f>VLOOKUP($B1903,Week!$A$1:$C$1462,2,0)</f>
        <v>#N/A</v>
      </c>
      <c r="F1903" s="216" t="str">
        <f t="shared" si="641"/>
        <v>Feb</v>
      </c>
      <c r="G1903" s="215" t="s">
        <v>1966</v>
      </c>
      <c r="H1903" s="215" t="s">
        <v>104</v>
      </c>
      <c r="I1903" s="215" t="s">
        <v>2772</v>
      </c>
      <c r="J1903" s="209" t="s">
        <v>105</v>
      </c>
      <c r="K1903" s="217" t="s">
        <v>107</v>
      </c>
      <c r="L1903" s="300" t="s">
        <v>2167</v>
      </c>
      <c r="M1903" s="209" t="s">
        <v>108</v>
      </c>
      <c r="N1903" s="215" t="s">
        <v>109</v>
      </c>
      <c r="O1903" s="215" t="s">
        <v>110</v>
      </c>
      <c r="P1903" s="218">
        <v>36</v>
      </c>
      <c r="Q1903" s="218">
        <v>5</v>
      </c>
      <c r="R1903" s="219">
        <v>7.4999999999999997E-3</v>
      </c>
      <c r="S1903" s="215" t="s">
        <v>111</v>
      </c>
      <c r="T1903" s="215" t="s">
        <v>112</v>
      </c>
      <c r="U1903" s="215" t="s">
        <v>113</v>
      </c>
      <c r="V1903" s="220">
        <v>293</v>
      </c>
      <c r="W1903" s="220"/>
      <c r="X1903" s="221">
        <v>293</v>
      </c>
      <c r="Y1903" s="222">
        <f t="shared" si="660"/>
        <v>0</v>
      </c>
      <c r="Z1903" s="223">
        <f t="shared" si="661"/>
        <v>0</v>
      </c>
      <c r="AA1903" s="223">
        <f t="shared" si="642"/>
        <v>0</v>
      </c>
      <c r="AB1903" s="807">
        <v>9.7000000000000003E-3</v>
      </c>
      <c r="AC1903" s="220">
        <f t="shared" si="653"/>
        <v>0</v>
      </c>
      <c r="AD1903" s="209"/>
      <c r="AE1903" s="210">
        <f t="shared" si="657"/>
        <v>0</v>
      </c>
      <c r="AF1903" s="210">
        <f t="shared" si="658"/>
        <v>0</v>
      </c>
      <c r="AG1903" s="211">
        <f t="shared" si="662"/>
        <v>0.308</v>
      </c>
      <c r="AH1903" s="157">
        <f t="shared" si="663"/>
        <v>0</v>
      </c>
      <c r="AI1903" s="152">
        <f t="shared" si="664"/>
        <v>10548</v>
      </c>
      <c r="AK1903" s="156" t="s">
        <v>691</v>
      </c>
      <c r="AL1903" s="574" t="s">
        <v>690</v>
      </c>
      <c r="AM1903" s="198">
        <f t="shared" si="659"/>
        <v>0</v>
      </c>
      <c r="AN1903" s="199">
        <f t="shared" si="643"/>
        <v>45692</v>
      </c>
      <c r="AO1903" s="159" t="s">
        <v>692</v>
      </c>
      <c r="AP1903" s="781"/>
      <c r="AQ1903" s="782">
        <v>12063755</v>
      </c>
      <c r="AR1903" s="782">
        <v>12061353</v>
      </c>
      <c r="AS1903" s="782">
        <v>12061354</v>
      </c>
      <c r="AT1903" s="782">
        <v>12068566</v>
      </c>
      <c r="AU1903" s="781"/>
      <c r="AV1903" s="782">
        <v>12088206</v>
      </c>
      <c r="AW1903" s="782">
        <v>12088207</v>
      </c>
      <c r="AX1903" s="782"/>
      <c r="AY1903" s="782">
        <v>12068565</v>
      </c>
      <c r="AZ1903" s="782"/>
      <c r="BA1903" s="781"/>
      <c r="BB1903" s="209">
        <v>23054743</v>
      </c>
    </row>
    <row r="1904" spans="1:54" ht="25" hidden="1" customHeight="1">
      <c r="B1904" s="357">
        <v>45693</v>
      </c>
      <c r="C1904" s="358">
        <v>45735</v>
      </c>
      <c r="D1904" s="185">
        <f t="shared" si="640"/>
        <v>2025</v>
      </c>
      <c r="E1904" s="358" t="e">
        <f>VLOOKUP($B1904,Week!$A$1:$C$1462,2,0)</f>
        <v>#N/A</v>
      </c>
      <c r="F1904" s="360" t="str">
        <f t="shared" si="641"/>
        <v>Feb</v>
      </c>
      <c r="G1904" s="436" t="s">
        <v>1980</v>
      </c>
      <c r="H1904" s="359" t="s">
        <v>225</v>
      </c>
      <c r="I1904" s="359" t="s">
        <v>2773</v>
      </c>
      <c r="J1904" s="361" t="s">
        <v>650</v>
      </c>
      <c r="K1904" s="362" t="s">
        <v>593</v>
      </c>
      <c r="L1904" s="300" t="s">
        <v>2167</v>
      </c>
      <c r="M1904" s="361" t="s">
        <v>717</v>
      </c>
      <c r="N1904" s="359" t="s">
        <v>719</v>
      </c>
      <c r="O1904" s="359" t="s">
        <v>230</v>
      </c>
      <c r="P1904" s="363">
        <v>12</v>
      </c>
      <c r="Q1904" s="363">
        <v>5</v>
      </c>
      <c r="R1904" s="364">
        <v>6.0000000000000001E-3</v>
      </c>
      <c r="S1904" s="359" t="s">
        <v>55</v>
      </c>
      <c r="T1904" s="359" t="s">
        <v>112</v>
      </c>
      <c r="U1904" s="359" t="s">
        <v>57</v>
      </c>
      <c r="V1904" s="365">
        <f>2600-42</f>
        <v>2558</v>
      </c>
      <c r="W1904" s="365"/>
      <c r="X1904" s="366">
        <v>2558</v>
      </c>
      <c r="Y1904" s="367">
        <f t="shared" si="660"/>
        <v>0</v>
      </c>
      <c r="Z1904" s="368">
        <f t="shared" si="661"/>
        <v>0</v>
      </c>
      <c r="AA1904" s="368">
        <f t="shared" si="642"/>
        <v>0</v>
      </c>
      <c r="AB1904" s="819">
        <v>7.4999999999999997E-3</v>
      </c>
      <c r="AC1904" s="365">
        <f t="shared" si="653"/>
        <v>0</v>
      </c>
      <c r="AD1904" s="307" t="s">
        <v>1622</v>
      </c>
      <c r="AE1904" s="210">
        <f t="shared" si="657"/>
        <v>0</v>
      </c>
      <c r="AF1904" s="210">
        <f t="shared" si="658"/>
        <v>0</v>
      </c>
      <c r="AG1904" s="211">
        <f t="shared" si="662"/>
        <v>0.25800000000000001</v>
      </c>
      <c r="AH1904" s="157">
        <f t="shared" si="663"/>
        <v>0</v>
      </c>
      <c r="AI1904" s="152">
        <f t="shared" si="664"/>
        <v>30696</v>
      </c>
      <c r="AK1904" s="156" t="s">
        <v>691</v>
      </c>
      <c r="AL1904" s="574" t="s">
        <v>690</v>
      </c>
      <c r="AM1904" s="198">
        <f t="shared" si="659"/>
        <v>0</v>
      </c>
      <c r="AN1904" s="199">
        <f t="shared" si="643"/>
        <v>45693</v>
      </c>
      <c r="AO1904" s="159" t="s">
        <v>692</v>
      </c>
      <c r="AP1904" s="783" t="s">
        <v>612</v>
      </c>
      <c r="AQ1904" s="782">
        <v>12071839</v>
      </c>
      <c r="AR1904" s="782">
        <v>12042650</v>
      </c>
      <c r="AS1904" s="782">
        <v>12042649</v>
      </c>
      <c r="AT1904" s="782">
        <v>12088423</v>
      </c>
      <c r="AU1904" s="781"/>
      <c r="AV1904" s="782">
        <v>12088422</v>
      </c>
      <c r="AW1904" s="782"/>
      <c r="AX1904" s="782"/>
      <c r="AY1904" s="782"/>
      <c r="AZ1904" s="782"/>
      <c r="BA1904" s="781"/>
      <c r="BB1904" s="209">
        <v>23053185</v>
      </c>
    </row>
    <row r="1905" spans="1:54" ht="24.65" hidden="1" customHeight="1">
      <c r="B1905" s="246">
        <v>45693</v>
      </c>
      <c r="C1905" s="247" t="s">
        <v>1918</v>
      </c>
      <c r="D1905" s="185">
        <f t="shared" si="640"/>
        <v>2025</v>
      </c>
      <c r="E1905" s="247" t="e">
        <f>VLOOKUP($B1905,Week!$A$1:$C$1462,2,0)</f>
        <v>#N/A</v>
      </c>
      <c r="F1905" s="248" t="str">
        <f t="shared" si="641"/>
        <v>Feb</v>
      </c>
      <c r="G1905" s="249" t="s">
        <v>47</v>
      </c>
      <c r="H1905" s="249" t="s">
        <v>260</v>
      </c>
      <c r="I1905" s="249" t="s">
        <v>2702</v>
      </c>
      <c r="J1905" s="250" t="s">
        <v>70</v>
      </c>
      <c r="K1905" s="251" t="s">
        <v>1020</v>
      </c>
      <c r="L1905" s="300" t="s">
        <v>2167</v>
      </c>
      <c r="M1905" s="250" t="s">
        <v>741</v>
      </c>
      <c r="N1905" s="249" t="s">
        <v>740</v>
      </c>
      <c r="O1905" s="249" t="s">
        <v>742</v>
      </c>
      <c r="P1905" s="252">
        <v>24</v>
      </c>
      <c r="Q1905" s="252">
        <v>5</v>
      </c>
      <c r="R1905" s="249">
        <v>6.1999999999999998E-3</v>
      </c>
      <c r="S1905" s="249" t="s">
        <v>352</v>
      </c>
      <c r="T1905" s="249" t="s">
        <v>56</v>
      </c>
      <c r="U1905" s="249" t="s">
        <v>739</v>
      </c>
      <c r="V1905" s="254">
        <f>4000</f>
        <v>4000</v>
      </c>
      <c r="W1905" s="254">
        <f>3+1+3996</f>
        <v>4000</v>
      </c>
      <c r="X1905" s="255"/>
      <c r="Y1905" s="256">
        <f t="shared" si="660"/>
        <v>0</v>
      </c>
      <c r="Z1905" s="257">
        <f t="shared" si="661"/>
        <v>0</v>
      </c>
      <c r="AA1905" s="257">
        <f t="shared" si="642"/>
        <v>0</v>
      </c>
      <c r="AB1905" s="810">
        <v>1.2999999999999999E-2</v>
      </c>
      <c r="AC1905" s="254">
        <f t="shared" si="653"/>
        <v>0</v>
      </c>
      <c r="AD1905" s="209"/>
      <c r="AE1905" s="210">
        <f t="shared" si="657"/>
        <v>0</v>
      </c>
      <c r="AF1905" s="210">
        <f t="shared" si="658"/>
        <v>0</v>
      </c>
      <c r="AG1905" s="211">
        <f t="shared" si="662"/>
        <v>0.14299999999999999</v>
      </c>
      <c r="AH1905" s="157">
        <f t="shared" si="663"/>
        <v>0</v>
      </c>
      <c r="AI1905" s="152">
        <f t="shared" si="664"/>
        <v>96000</v>
      </c>
      <c r="AK1905" s="156" t="s">
        <v>691</v>
      </c>
      <c r="AL1905" s="212" t="s">
        <v>690</v>
      </c>
      <c r="AM1905" s="198">
        <f t="shared" si="659"/>
        <v>0</v>
      </c>
      <c r="AN1905" s="199">
        <f t="shared" si="643"/>
        <v>45693</v>
      </c>
      <c r="AO1905" s="159" t="s">
        <v>692</v>
      </c>
      <c r="AP1905" s="783" t="s">
        <v>609</v>
      </c>
      <c r="AQ1905" s="782">
        <v>12071839</v>
      </c>
      <c r="AR1905" s="782">
        <v>12047514</v>
      </c>
      <c r="AS1905" s="782">
        <v>12047515</v>
      </c>
      <c r="AT1905" s="781"/>
      <c r="AU1905" s="781"/>
      <c r="AV1905" s="782">
        <v>12089668</v>
      </c>
      <c r="AW1905" s="781"/>
      <c r="AX1905" s="781"/>
      <c r="AY1905" s="782" t="s">
        <v>2146</v>
      </c>
      <c r="AZ1905" s="782" t="s">
        <v>2147</v>
      </c>
      <c r="BA1905" s="781"/>
      <c r="BB1905" s="209">
        <v>11042803</v>
      </c>
    </row>
    <row r="1906" spans="1:54" ht="24.65" hidden="1" customHeight="1">
      <c r="B1906" s="546">
        <v>45693</v>
      </c>
      <c r="C1906" s="547" t="s">
        <v>1918</v>
      </c>
      <c r="D1906" s="185">
        <f t="shared" si="640"/>
        <v>2025</v>
      </c>
      <c r="E1906" s="547" t="e">
        <f>VLOOKUP($B1906,Week!$A$1:$C$1462,2,0)</f>
        <v>#N/A</v>
      </c>
      <c r="F1906" s="548" t="str">
        <f t="shared" si="641"/>
        <v>Feb</v>
      </c>
      <c r="G1906" s="549" t="s">
        <v>47</v>
      </c>
      <c r="H1906" s="549" t="s">
        <v>518</v>
      </c>
      <c r="I1906" s="549" t="s">
        <v>2702</v>
      </c>
      <c r="J1906" s="550" t="s">
        <v>70</v>
      </c>
      <c r="K1906" s="551" t="s">
        <v>1020</v>
      </c>
      <c r="L1906" s="300" t="s">
        <v>2167</v>
      </c>
      <c r="M1906" s="550" t="s">
        <v>746</v>
      </c>
      <c r="N1906" s="618" t="s">
        <v>751</v>
      </c>
      <c r="O1906" s="549" t="s">
        <v>747</v>
      </c>
      <c r="P1906" s="552">
        <v>12</v>
      </c>
      <c r="Q1906" s="552">
        <v>5</v>
      </c>
      <c r="R1906" s="549">
        <v>6.1999999999999998E-3</v>
      </c>
      <c r="S1906" s="549" t="s">
        <v>352</v>
      </c>
      <c r="T1906" s="549" t="s">
        <v>56</v>
      </c>
      <c r="U1906" s="549" t="s">
        <v>739</v>
      </c>
      <c r="V1906" s="554">
        <f>430-272</f>
        <v>158</v>
      </c>
      <c r="W1906" s="554">
        <f>158</f>
        <v>158</v>
      </c>
      <c r="X1906" s="555"/>
      <c r="Y1906" s="556">
        <f t="shared" si="660"/>
        <v>0</v>
      </c>
      <c r="Z1906" s="557">
        <f t="shared" si="661"/>
        <v>0</v>
      </c>
      <c r="AA1906" s="557">
        <f t="shared" si="642"/>
        <v>0</v>
      </c>
      <c r="AB1906" s="833">
        <v>1.2999999999999999E-2</v>
      </c>
      <c r="AC1906" s="554">
        <f t="shared" si="653"/>
        <v>0</v>
      </c>
      <c r="AD1906" s="209"/>
      <c r="AE1906" s="210">
        <f t="shared" si="657"/>
        <v>0</v>
      </c>
      <c r="AF1906" s="210">
        <f t="shared" si="658"/>
        <v>0</v>
      </c>
      <c r="AG1906" s="211">
        <f t="shared" si="662"/>
        <v>0.14299999999999999</v>
      </c>
      <c r="AH1906" s="157">
        <f t="shared" si="663"/>
        <v>0</v>
      </c>
      <c r="AI1906" s="152">
        <f t="shared" si="664"/>
        <v>1896</v>
      </c>
      <c r="AK1906" s="156" t="s">
        <v>691</v>
      </c>
      <c r="AL1906" s="212" t="s">
        <v>690</v>
      </c>
      <c r="AM1906" s="198">
        <f t="shared" si="659"/>
        <v>0</v>
      </c>
      <c r="AN1906" s="199">
        <f t="shared" si="643"/>
        <v>45693</v>
      </c>
      <c r="AO1906" s="159" t="s">
        <v>692</v>
      </c>
      <c r="AP1906" s="783" t="s">
        <v>609</v>
      </c>
      <c r="AQ1906" s="782">
        <v>12071839</v>
      </c>
      <c r="AR1906" s="782">
        <v>12047514</v>
      </c>
      <c r="AS1906" s="782">
        <v>12047515</v>
      </c>
      <c r="AT1906" s="781"/>
      <c r="AU1906" s="781"/>
      <c r="AV1906" s="782">
        <v>12088316</v>
      </c>
      <c r="AW1906" s="781"/>
      <c r="AX1906" s="781"/>
      <c r="AY1906" s="782">
        <v>12089871</v>
      </c>
      <c r="AZ1906" s="782">
        <v>12089872</v>
      </c>
      <c r="BA1906" s="781"/>
      <c r="BB1906" s="209">
        <v>11042803</v>
      </c>
    </row>
    <row r="1907" spans="1:54" ht="25" hidden="1" customHeight="1">
      <c r="B1907" s="320">
        <v>45694</v>
      </c>
      <c r="C1907" s="321" t="s">
        <v>1918</v>
      </c>
      <c r="D1907" s="185">
        <f t="shared" si="640"/>
        <v>2025</v>
      </c>
      <c r="E1907" s="321" t="e">
        <f>VLOOKUP($B1907,Week!$A$1:$C$1462,2,0)</f>
        <v>#N/A</v>
      </c>
      <c r="F1907" s="322" t="str">
        <f t="shared" si="641"/>
        <v>Feb</v>
      </c>
      <c r="G1907" s="323" t="s">
        <v>47</v>
      </c>
      <c r="H1907" s="323" t="s">
        <v>518</v>
      </c>
      <c r="I1907" s="323" t="s">
        <v>2702</v>
      </c>
      <c r="J1907" s="324" t="s">
        <v>70</v>
      </c>
      <c r="K1907" s="325" t="s">
        <v>564</v>
      </c>
      <c r="L1907" s="300" t="s">
        <v>2167</v>
      </c>
      <c r="M1907" s="324" t="s">
        <v>558</v>
      </c>
      <c r="N1907" s="323" t="s">
        <v>559</v>
      </c>
      <c r="O1907" s="323" t="s">
        <v>560</v>
      </c>
      <c r="P1907" s="326">
        <v>12</v>
      </c>
      <c r="Q1907" s="326">
        <v>3</v>
      </c>
      <c r="R1907" s="327">
        <v>8.0000000000000002E-3</v>
      </c>
      <c r="S1907" s="323" t="s">
        <v>40</v>
      </c>
      <c r="T1907" s="323" t="s">
        <v>56</v>
      </c>
      <c r="U1907" s="323" t="s">
        <v>57</v>
      </c>
      <c r="V1907" s="397">
        <f>950-334</f>
        <v>616</v>
      </c>
      <c r="W1907" s="328">
        <f>8+1+607</f>
        <v>616</v>
      </c>
      <c r="X1907" s="329"/>
      <c r="Y1907" s="330">
        <f t="shared" si="660"/>
        <v>0</v>
      </c>
      <c r="Z1907" s="331">
        <f t="shared" si="661"/>
        <v>0</v>
      </c>
      <c r="AA1907" s="331">
        <f t="shared" si="642"/>
        <v>0</v>
      </c>
      <c r="AB1907" s="816">
        <v>7.4999999999999997E-3</v>
      </c>
      <c r="AC1907" s="328">
        <f t="shared" si="653"/>
        <v>0</v>
      </c>
      <c r="AD1907" s="209"/>
      <c r="AE1907" s="210">
        <f t="shared" si="657"/>
        <v>0</v>
      </c>
      <c r="AF1907" s="210">
        <f t="shared" si="658"/>
        <v>0</v>
      </c>
      <c r="AG1907" s="211">
        <f t="shared" si="662"/>
        <v>0.22600000000000001</v>
      </c>
      <c r="AH1907" s="157">
        <f t="shared" si="663"/>
        <v>0</v>
      </c>
      <c r="AI1907" s="152">
        <f t="shared" si="664"/>
        <v>7392</v>
      </c>
      <c r="AK1907" s="156" t="s">
        <v>691</v>
      </c>
      <c r="AL1907" s="212" t="s">
        <v>690</v>
      </c>
      <c r="AM1907" s="198">
        <f t="shared" si="659"/>
        <v>0</v>
      </c>
      <c r="AN1907" s="199">
        <f t="shared" si="643"/>
        <v>45694</v>
      </c>
      <c r="AO1907" s="159" t="s">
        <v>692</v>
      </c>
      <c r="AP1907" s="783" t="s">
        <v>623</v>
      </c>
      <c r="AQ1907" s="782">
        <v>12071839</v>
      </c>
      <c r="AR1907" s="782">
        <v>12042650</v>
      </c>
      <c r="AS1907" s="782">
        <v>12042649</v>
      </c>
      <c r="AT1907" s="782"/>
      <c r="AU1907" s="781"/>
      <c r="AV1907" s="782">
        <v>12083156</v>
      </c>
      <c r="AW1907" s="782"/>
      <c r="AX1907" s="782"/>
      <c r="AY1907" s="782">
        <v>12083147</v>
      </c>
      <c r="AZ1907" s="782">
        <v>12083148</v>
      </c>
      <c r="BA1907" s="781"/>
      <c r="BB1907" s="209">
        <v>23053185</v>
      </c>
    </row>
    <row r="1908" spans="1:54" ht="24.65" hidden="1" customHeight="1">
      <c r="B1908" s="411">
        <v>45694</v>
      </c>
      <c r="C1908" s="645" t="s">
        <v>1918</v>
      </c>
      <c r="D1908" s="185">
        <f t="shared" si="640"/>
        <v>2025</v>
      </c>
      <c r="E1908" s="412" t="e">
        <f>VLOOKUP($B1908,Week!$A$1:$C$1462,2,0)</f>
        <v>#N/A</v>
      </c>
      <c r="F1908" s="413" t="str">
        <f t="shared" si="641"/>
        <v>Feb</v>
      </c>
      <c r="G1908" s="414" t="s">
        <v>47</v>
      </c>
      <c r="H1908" s="414" t="s">
        <v>260</v>
      </c>
      <c r="I1908" s="414" t="s">
        <v>2702</v>
      </c>
      <c r="J1908" s="415" t="s">
        <v>261</v>
      </c>
      <c r="K1908" s="416" t="s">
        <v>94</v>
      </c>
      <c r="L1908" s="300" t="s">
        <v>2167</v>
      </c>
      <c r="M1908" s="415" t="s">
        <v>1303</v>
      </c>
      <c r="N1908" s="414" t="s">
        <v>263</v>
      </c>
      <c r="O1908" s="414" t="s">
        <v>195</v>
      </c>
      <c r="P1908" s="417">
        <v>24</v>
      </c>
      <c r="Q1908" s="417">
        <v>5</v>
      </c>
      <c r="R1908" s="418">
        <v>8.0000000000000002E-3</v>
      </c>
      <c r="S1908" s="414" t="s">
        <v>40</v>
      </c>
      <c r="T1908" s="414" t="s">
        <v>56</v>
      </c>
      <c r="U1908" s="414" t="s">
        <v>57</v>
      </c>
      <c r="V1908" s="419">
        <f>3750</f>
        <v>3750</v>
      </c>
      <c r="W1908" s="419">
        <f>71+1+3678</f>
        <v>3750</v>
      </c>
      <c r="X1908" s="420"/>
      <c r="Y1908" s="421">
        <f t="shared" si="660"/>
        <v>0</v>
      </c>
      <c r="Z1908" s="422">
        <f t="shared" si="661"/>
        <v>0</v>
      </c>
      <c r="AA1908" s="422">
        <f t="shared" si="642"/>
        <v>0</v>
      </c>
      <c r="AB1908" s="825">
        <v>7.4999999999999997E-3</v>
      </c>
      <c r="AC1908" s="419">
        <f t="shared" si="653"/>
        <v>0</v>
      </c>
      <c r="AD1908" s="209"/>
      <c r="AE1908" s="210">
        <f t="shared" si="657"/>
        <v>0</v>
      </c>
      <c r="AF1908" s="210">
        <f t="shared" si="658"/>
        <v>0</v>
      </c>
      <c r="AG1908" s="211">
        <f t="shared" si="662"/>
        <v>0.14499999999999999</v>
      </c>
      <c r="AH1908" s="157">
        <f t="shared" si="663"/>
        <v>0</v>
      </c>
      <c r="AI1908" s="152">
        <f t="shared" si="664"/>
        <v>90000</v>
      </c>
      <c r="AK1908" s="156" t="s">
        <v>691</v>
      </c>
      <c r="AL1908" s="212" t="s">
        <v>690</v>
      </c>
      <c r="AM1908" s="198">
        <f t="shared" si="659"/>
        <v>0</v>
      </c>
      <c r="AN1908" s="199">
        <f t="shared" si="643"/>
        <v>45694</v>
      </c>
      <c r="AO1908" s="159" t="s">
        <v>692</v>
      </c>
      <c r="AP1908" s="783" t="s">
        <v>609</v>
      </c>
      <c r="AQ1908" s="782">
        <v>12071839</v>
      </c>
      <c r="AR1908" s="782">
        <v>12047514</v>
      </c>
      <c r="AS1908" s="782">
        <v>12047515</v>
      </c>
      <c r="AT1908" s="781"/>
      <c r="AU1908" s="781"/>
      <c r="AV1908" s="782">
        <v>12080613</v>
      </c>
      <c r="AW1908" s="781"/>
      <c r="AX1908" s="781"/>
      <c r="AY1908" s="782">
        <v>12080614</v>
      </c>
      <c r="AZ1908" s="782">
        <v>12080616</v>
      </c>
      <c r="BA1908" s="781"/>
      <c r="BB1908" s="209">
        <v>23053185</v>
      </c>
    </row>
    <row r="1909" spans="1:54" ht="25" hidden="1" customHeight="1">
      <c r="B1909" s="357">
        <v>45694</v>
      </c>
      <c r="C1909" s="776" t="s">
        <v>1918</v>
      </c>
      <c r="D1909" s="185">
        <f t="shared" si="640"/>
        <v>2025</v>
      </c>
      <c r="E1909" s="358" t="e">
        <f>VLOOKUP($B1909,Week!$A$1:$C$1462,2,0)</f>
        <v>#N/A</v>
      </c>
      <c r="F1909" s="360" t="str">
        <f t="shared" si="641"/>
        <v>Feb</v>
      </c>
      <c r="G1909" s="359" t="s">
        <v>47</v>
      </c>
      <c r="H1909" s="359" t="s">
        <v>518</v>
      </c>
      <c r="I1909" s="359" t="s">
        <v>2702</v>
      </c>
      <c r="J1909" s="361" t="s">
        <v>70</v>
      </c>
      <c r="K1909" s="362" t="s">
        <v>94</v>
      </c>
      <c r="L1909" s="300" t="s">
        <v>2167</v>
      </c>
      <c r="M1909" s="361" t="s">
        <v>519</v>
      </c>
      <c r="N1909" s="359" t="s">
        <v>589</v>
      </c>
      <c r="O1909" s="359" t="s">
        <v>97</v>
      </c>
      <c r="P1909" s="363">
        <v>12</v>
      </c>
      <c r="Q1909" s="363">
        <v>5</v>
      </c>
      <c r="R1909" s="364">
        <v>8.0000000000000002E-3</v>
      </c>
      <c r="S1909" s="359" t="s">
        <v>40</v>
      </c>
      <c r="T1909" s="359" t="s">
        <v>56</v>
      </c>
      <c r="U1909" s="359" t="s">
        <v>57</v>
      </c>
      <c r="V1909" s="365">
        <f>3363-2252</f>
        <v>1111</v>
      </c>
      <c r="W1909" s="365">
        <f>43+1068</f>
        <v>1111</v>
      </c>
      <c r="X1909" s="366"/>
      <c r="Y1909" s="367">
        <f t="shared" si="660"/>
        <v>0</v>
      </c>
      <c r="Z1909" s="368">
        <f t="shared" si="661"/>
        <v>0</v>
      </c>
      <c r="AA1909" s="368">
        <f t="shared" si="642"/>
        <v>0</v>
      </c>
      <c r="AB1909" s="819">
        <v>7.4999999999999997E-3</v>
      </c>
      <c r="AC1909" s="365">
        <f t="shared" si="653"/>
        <v>0</v>
      </c>
      <c r="AD1909" s="209"/>
      <c r="AE1909" s="210">
        <f t="shared" si="657"/>
        <v>0</v>
      </c>
      <c r="AF1909" s="210">
        <f t="shared" si="658"/>
        <v>0</v>
      </c>
      <c r="AG1909" s="211">
        <f t="shared" si="662"/>
        <v>0.14499999999999999</v>
      </c>
      <c r="AH1909" s="157">
        <f t="shared" si="663"/>
        <v>0</v>
      </c>
      <c r="AI1909" s="152">
        <f t="shared" si="664"/>
        <v>13332</v>
      </c>
      <c r="AK1909" s="156" t="s">
        <v>691</v>
      </c>
      <c r="AL1909" s="574" t="s">
        <v>690</v>
      </c>
      <c r="AM1909" s="198">
        <f t="shared" si="659"/>
        <v>0</v>
      </c>
      <c r="AN1909" s="199">
        <f t="shared" si="643"/>
        <v>45694</v>
      </c>
      <c r="AO1909" s="159" t="s">
        <v>692</v>
      </c>
      <c r="AP1909" s="783" t="s">
        <v>628</v>
      </c>
      <c r="AQ1909" s="782">
        <v>12071839</v>
      </c>
      <c r="AR1909" s="782">
        <v>12047514</v>
      </c>
      <c r="AS1909" s="782">
        <v>12047515</v>
      </c>
      <c r="AT1909" s="782"/>
      <c r="AU1909" s="781"/>
      <c r="AV1909" s="782">
        <v>12080617</v>
      </c>
      <c r="AW1909" s="782"/>
      <c r="AX1909" s="782"/>
      <c r="AY1909" s="782">
        <v>12080618</v>
      </c>
      <c r="AZ1909" s="782">
        <v>12080619</v>
      </c>
      <c r="BA1909" s="781"/>
      <c r="BB1909" s="209">
        <v>23053185</v>
      </c>
    </row>
    <row r="1910" spans="1:54" ht="25" hidden="1" customHeight="1">
      <c r="B1910" s="213">
        <v>45695</v>
      </c>
      <c r="C1910" s="578">
        <v>45727</v>
      </c>
      <c r="D1910" s="185">
        <f t="shared" si="640"/>
        <v>2025</v>
      </c>
      <c r="E1910" s="215" t="e">
        <f>VLOOKUP($B1910,Week!$A$1:$C$1462,2,0)</f>
        <v>#N/A</v>
      </c>
      <c r="F1910" s="216" t="str">
        <f t="shared" si="641"/>
        <v>Feb</v>
      </c>
      <c r="G1910" s="215" t="s">
        <v>1966</v>
      </c>
      <c r="H1910" s="215" t="s">
        <v>104</v>
      </c>
      <c r="I1910" s="215" t="s">
        <v>2772</v>
      </c>
      <c r="J1910" s="209" t="s">
        <v>105</v>
      </c>
      <c r="K1910" s="217" t="s">
        <v>107</v>
      </c>
      <c r="L1910" s="300" t="s">
        <v>2167</v>
      </c>
      <c r="M1910" s="209" t="s">
        <v>108</v>
      </c>
      <c r="N1910" s="215" t="s">
        <v>109</v>
      </c>
      <c r="O1910" s="215" t="s">
        <v>110</v>
      </c>
      <c r="P1910" s="218">
        <v>36</v>
      </c>
      <c r="Q1910" s="218">
        <v>5</v>
      </c>
      <c r="R1910" s="219">
        <v>7.4999999999999997E-3</v>
      </c>
      <c r="S1910" s="215" t="s">
        <v>111</v>
      </c>
      <c r="T1910" s="215" t="s">
        <v>112</v>
      </c>
      <c r="U1910" s="215" t="s">
        <v>113</v>
      </c>
      <c r="V1910" s="220">
        <f>792-293</f>
        <v>499</v>
      </c>
      <c r="W1910" s="220">
        <v>499</v>
      </c>
      <c r="X1910" s="221"/>
      <c r="Y1910" s="222">
        <f t="shared" si="660"/>
        <v>0</v>
      </c>
      <c r="Z1910" s="223">
        <f t="shared" si="661"/>
        <v>0</v>
      </c>
      <c r="AA1910" s="223">
        <f t="shared" si="642"/>
        <v>0</v>
      </c>
      <c r="AB1910" s="807">
        <v>9.7000000000000003E-3</v>
      </c>
      <c r="AC1910" s="220">
        <f t="shared" si="653"/>
        <v>0</v>
      </c>
      <c r="AD1910" s="209"/>
      <c r="AE1910" s="210">
        <f t="shared" si="657"/>
        <v>0</v>
      </c>
      <c r="AF1910" s="210">
        <f t="shared" si="658"/>
        <v>0</v>
      </c>
      <c r="AG1910" s="211">
        <f t="shared" si="662"/>
        <v>0.308</v>
      </c>
      <c r="AH1910" s="157">
        <f t="shared" si="663"/>
        <v>0</v>
      </c>
      <c r="AI1910" s="152">
        <f t="shared" si="664"/>
        <v>17964</v>
      </c>
      <c r="AK1910" s="156" t="s">
        <v>691</v>
      </c>
      <c r="AL1910" s="574" t="s">
        <v>690</v>
      </c>
      <c r="AM1910" s="198">
        <f t="shared" si="659"/>
        <v>0</v>
      </c>
      <c r="AN1910" s="199">
        <f t="shared" si="643"/>
        <v>45695</v>
      </c>
      <c r="AO1910" s="159" t="s">
        <v>692</v>
      </c>
      <c r="AP1910" s="781"/>
      <c r="AQ1910" s="782">
        <v>12063755</v>
      </c>
      <c r="AR1910" s="782">
        <v>12061353</v>
      </c>
      <c r="AS1910" s="782">
        <v>12061354</v>
      </c>
      <c r="AT1910" s="782">
        <v>12068566</v>
      </c>
      <c r="AU1910" s="781"/>
      <c r="AV1910" s="782">
        <v>12088206</v>
      </c>
      <c r="AW1910" s="782">
        <v>12088207</v>
      </c>
      <c r="AX1910" s="782"/>
      <c r="AY1910" s="782">
        <v>12068565</v>
      </c>
      <c r="AZ1910" s="782"/>
      <c r="BA1910" s="781"/>
      <c r="BB1910" s="209">
        <v>23054743</v>
      </c>
    </row>
    <row r="1911" spans="1:54" ht="25" hidden="1" customHeight="1">
      <c r="B1911" s="213">
        <v>45695</v>
      </c>
      <c r="C1911" s="578">
        <v>45716</v>
      </c>
      <c r="D1911" s="185">
        <f t="shared" si="640"/>
        <v>2025</v>
      </c>
      <c r="E1911" s="215" t="e">
        <f>VLOOKUP($B1911,Week!$A$1:$C$1462,2,0)</f>
        <v>#N/A</v>
      </c>
      <c r="F1911" s="216" t="str">
        <f t="shared" si="641"/>
        <v>Feb</v>
      </c>
      <c r="G1911" s="215" t="s">
        <v>1987</v>
      </c>
      <c r="H1911" s="215" t="s">
        <v>104</v>
      </c>
      <c r="I1911" s="215" t="s">
        <v>2772</v>
      </c>
      <c r="J1911" s="209" t="s">
        <v>105</v>
      </c>
      <c r="K1911" s="217" t="s">
        <v>107</v>
      </c>
      <c r="L1911" s="300" t="s">
        <v>2167</v>
      </c>
      <c r="M1911" s="209" t="s">
        <v>108</v>
      </c>
      <c r="N1911" s="215" t="s">
        <v>109</v>
      </c>
      <c r="O1911" s="215" t="s">
        <v>110</v>
      </c>
      <c r="P1911" s="218">
        <v>36</v>
      </c>
      <c r="Q1911" s="218">
        <v>5</v>
      </c>
      <c r="R1911" s="219">
        <v>7.4999999999999997E-3</v>
      </c>
      <c r="S1911" s="215" t="s">
        <v>111</v>
      </c>
      <c r="T1911" s="215" t="s">
        <v>112</v>
      </c>
      <c r="U1911" s="215" t="s">
        <v>113</v>
      </c>
      <c r="V1911" s="220">
        <f>460</f>
        <v>460</v>
      </c>
      <c r="W1911" s="220">
        <v>460</v>
      </c>
      <c r="X1911" s="221"/>
      <c r="Y1911" s="222">
        <f t="shared" si="660"/>
        <v>0</v>
      </c>
      <c r="Z1911" s="223">
        <f t="shared" si="661"/>
        <v>0</v>
      </c>
      <c r="AA1911" s="223">
        <f t="shared" si="642"/>
        <v>0</v>
      </c>
      <c r="AB1911" s="807">
        <v>9.7000000000000003E-3</v>
      </c>
      <c r="AC1911" s="220">
        <f t="shared" si="653"/>
        <v>0</v>
      </c>
      <c r="AD1911" s="209"/>
      <c r="AE1911" s="210">
        <f t="shared" si="657"/>
        <v>0</v>
      </c>
      <c r="AF1911" s="210">
        <f t="shared" si="658"/>
        <v>0</v>
      </c>
      <c r="AG1911" s="211">
        <f t="shared" si="662"/>
        <v>0.308</v>
      </c>
      <c r="AH1911" s="157">
        <f t="shared" si="663"/>
        <v>0</v>
      </c>
      <c r="AI1911" s="152">
        <f t="shared" si="664"/>
        <v>16560</v>
      </c>
      <c r="AK1911" s="156" t="s">
        <v>691</v>
      </c>
      <c r="AL1911" s="574" t="s">
        <v>690</v>
      </c>
      <c r="AM1911" s="198">
        <f t="shared" si="659"/>
        <v>0</v>
      </c>
      <c r="AN1911" s="199">
        <f t="shared" si="643"/>
        <v>45695</v>
      </c>
      <c r="AO1911" s="159" t="s">
        <v>692</v>
      </c>
      <c r="AP1911" s="781"/>
      <c r="AQ1911" s="782">
        <v>12063755</v>
      </c>
      <c r="AR1911" s="782">
        <v>12061353</v>
      </c>
      <c r="AS1911" s="782">
        <v>12061354</v>
      </c>
      <c r="AT1911" s="782">
        <v>12068566</v>
      </c>
      <c r="AU1911" s="781"/>
      <c r="AV1911" s="782">
        <v>12088206</v>
      </c>
      <c r="AW1911" s="782">
        <v>12088207</v>
      </c>
      <c r="AX1911" s="782"/>
      <c r="AY1911" s="782">
        <v>12068565</v>
      </c>
      <c r="AZ1911" s="782"/>
      <c r="BA1911" s="781"/>
      <c r="BB1911" s="209">
        <v>23054743</v>
      </c>
    </row>
    <row r="1912" spans="1:54" ht="25" hidden="1" customHeight="1">
      <c r="B1912" s="213">
        <v>45695</v>
      </c>
      <c r="C1912" s="578">
        <v>45741</v>
      </c>
      <c r="D1912" s="185">
        <f t="shared" si="640"/>
        <v>2025</v>
      </c>
      <c r="E1912" s="215" t="e">
        <f>VLOOKUP($B1912,Week!$A$1:$C$1462,2,0)</f>
        <v>#N/A</v>
      </c>
      <c r="F1912" s="216" t="str">
        <f t="shared" si="641"/>
        <v>Feb</v>
      </c>
      <c r="G1912" s="215" t="s">
        <v>1957</v>
      </c>
      <c r="H1912" s="215" t="s">
        <v>104</v>
      </c>
      <c r="I1912" s="215" t="s">
        <v>2772</v>
      </c>
      <c r="J1912" s="209" t="s">
        <v>105</v>
      </c>
      <c r="K1912" s="217" t="s">
        <v>107</v>
      </c>
      <c r="L1912" s="300" t="s">
        <v>2167</v>
      </c>
      <c r="M1912" s="209" t="s">
        <v>108</v>
      </c>
      <c r="N1912" s="215" t="s">
        <v>109</v>
      </c>
      <c r="O1912" s="215" t="s">
        <v>110</v>
      </c>
      <c r="P1912" s="218">
        <v>36</v>
      </c>
      <c r="Q1912" s="218">
        <v>5</v>
      </c>
      <c r="R1912" s="219">
        <v>7.4999999999999997E-3</v>
      </c>
      <c r="S1912" s="215" t="s">
        <v>111</v>
      </c>
      <c r="T1912" s="215" t="s">
        <v>112</v>
      </c>
      <c r="U1912" s="215" t="s">
        <v>113</v>
      </c>
      <c r="V1912" s="220">
        <f>155</f>
        <v>155</v>
      </c>
      <c r="W1912" s="220">
        <f>155</f>
        <v>155</v>
      </c>
      <c r="X1912" s="221"/>
      <c r="Y1912" s="222">
        <f t="shared" si="660"/>
        <v>0</v>
      </c>
      <c r="Z1912" s="223">
        <f t="shared" si="661"/>
        <v>0</v>
      </c>
      <c r="AA1912" s="223">
        <f t="shared" si="642"/>
        <v>0</v>
      </c>
      <c r="AB1912" s="807">
        <v>9.7000000000000003E-3</v>
      </c>
      <c r="AC1912" s="220">
        <f t="shared" si="653"/>
        <v>0</v>
      </c>
      <c r="AD1912" s="209"/>
      <c r="AE1912" s="210">
        <f t="shared" si="657"/>
        <v>0</v>
      </c>
      <c r="AF1912" s="210">
        <f t="shared" si="658"/>
        <v>0</v>
      </c>
      <c r="AG1912" s="211">
        <f t="shared" si="662"/>
        <v>0.308</v>
      </c>
      <c r="AH1912" s="157">
        <f t="shared" si="663"/>
        <v>0</v>
      </c>
      <c r="AI1912" s="152">
        <f t="shared" si="664"/>
        <v>5580</v>
      </c>
      <c r="AK1912" s="156" t="s">
        <v>691</v>
      </c>
      <c r="AL1912" s="574" t="s">
        <v>690</v>
      </c>
      <c r="AM1912" s="198">
        <f t="shared" si="659"/>
        <v>0</v>
      </c>
      <c r="AN1912" s="199">
        <f t="shared" si="643"/>
        <v>45695</v>
      </c>
      <c r="AO1912" s="159" t="s">
        <v>692</v>
      </c>
      <c r="AP1912" s="781"/>
      <c r="AQ1912" s="782">
        <v>12063755</v>
      </c>
      <c r="AR1912" s="782">
        <v>12061353</v>
      </c>
      <c r="AS1912" s="782">
        <v>12061354</v>
      </c>
      <c r="AT1912" s="782">
        <v>12068566</v>
      </c>
      <c r="AU1912" s="781"/>
      <c r="AV1912" s="782">
        <v>12088206</v>
      </c>
      <c r="AW1912" s="782">
        <v>12088207</v>
      </c>
      <c r="AX1912" s="782"/>
      <c r="AY1912" s="782">
        <v>12068565</v>
      </c>
      <c r="AZ1912" s="782"/>
      <c r="BA1912" s="781"/>
      <c r="BB1912" s="209">
        <v>23054743</v>
      </c>
    </row>
    <row r="1913" spans="1:54" ht="24.65" hidden="1" customHeight="1">
      <c r="B1913" s="308">
        <v>45695</v>
      </c>
      <c r="C1913" s="309">
        <v>45715</v>
      </c>
      <c r="D1913" s="185">
        <f t="shared" si="640"/>
        <v>2025</v>
      </c>
      <c r="E1913" s="309" t="e">
        <f>VLOOKUP($B1913,Week!$A$1:$C$1462,2,0)</f>
        <v>#N/A</v>
      </c>
      <c r="F1913" s="310" t="str">
        <f t="shared" si="641"/>
        <v>Feb</v>
      </c>
      <c r="G1913" s="311" t="s">
        <v>1982</v>
      </c>
      <c r="H1913" s="311" t="s">
        <v>311</v>
      </c>
      <c r="I1913" s="311" t="s">
        <v>2772</v>
      </c>
      <c r="J1913" s="312" t="s">
        <v>738</v>
      </c>
      <c r="K1913" s="313" t="s">
        <v>107</v>
      </c>
      <c r="L1913" s="300" t="s">
        <v>2167</v>
      </c>
      <c r="M1913" s="312" t="s">
        <v>313</v>
      </c>
      <c r="N1913" s="311" t="s">
        <v>314</v>
      </c>
      <c r="O1913" s="311" t="s">
        <v>110</v>
      </c>
      <c r="P1913" s="314">
        <v>36</v>
      </c>
      <c r="Q1913" s="314">
        <v>5</v>
      </c>
      <c r="R1913" s="315">
        <v>7.4999999999999997E-3</v>
      </c>
      <c r="S1913" s="311" t="s">
        <v>111</v>
      </c>
      <c r="T1913" s="311" t="s">
        <v>112</v>
      </c>
      <c r="U1913" s="311" t="s">
        <v>57</v>
      </c>
      <c r="V1913" s="316">
        <v>792</v>
      </c>
      <c r="W1913" s="316">
        <f>12+780</f>
        <v>792</v>
      </c>
      <c r="X1913" s="317"/>
      <c r="Y1913" s="318">
        <f t="shared" si="660"/>
        <v>0</v>
      </c>
      <c r="Z1913" s="319">
        <f t="shared" si="661"/>
        <v>0</v>
      </c>
      <c r="AA1913" s="319">
        <f t="shared" si="642"/>
        <v>0</v>
      </c>
      <c r="AB1913" s="815">
        <v>7.4999999999999997E-3</v>
      </c>
      <c r="AC1913" s="316">
        <f t="shared" si="653"/>
        <v>0</v>
      </c>
      <c r="AD1913" s="515"/>
      <c r="AE1913" s="210">
        <f t="shared" si="657"/>
        <v>0</v>
      </c>
      <c r="AF1913" s="210">
        <f t="shared" si="658"/>
        <v>0</v>
      </c>
      <c r="AG1913" s="211">
        <f t="shared" si="662"/>
        <v>0.308</v>
      </c>
      <c r="AH1913" s="157">
        <f t="shared" si="663"/>
        <v>0</v>
      </c>
      <c r="AI1913" s="152">
        <f t="shared" si="664"/>
        <v>28512</v>
      </c>
      <c r="AK1913" s="156" t="s">
        <v>691</v>
      </c>
      <c r="AL1913" s="212" t="s">
        <v>690</v>
      </c>
      <c r="AM1913" s="198">
        <f t="shared" si="659"/>
        <v>0</v>
      </c>
      <c r="AN1913" s="199">
        <f t="shared" si="643"/>
        <v>45695</v>
      </c>
      <c r="AO1913" s="159" t="s">
        <v>692</v>
      </c>
      <c r="AP1913" s="783" t="s">
        <v>644</v>
      </c>
      <c r="AQ1913" s="782">
        <v>12063755</v>
      </c>
      <c r="AR1913" s="782">
        <v>12061353</v>
      </c>
      <c r="AS1913" s="782">
        <v>12061354</v>
      </c>
      <c r="AT1913" s="782">
        <v>12062266</v>
      </c>
      <c r="AU1913" s="781"/>
      <c r="AV1913" s="782">
        <v>12088159</v>
      </c>
      <c r="AW1913" s="782">
        <v>12088207</v>
      </c>
      <c r="AX1913" s="782"/>
      <c r="AY1913" s="782">
        <v>12062262</v>
      </c>
      <c r="AZ1913" s="782"/>
      <c r="BA1913" s="781"/>
      <c r="BB1913" s="209">
        <v>23053185</v>
      </c>
    </row>
    <row r="1914" spans="1:54" ht="24.65" hidden="1" customHeight="1">
      <c r="B1914" s="308">
        <v>45695</v>
      </c>
      <c r="C1914" s="309">
        <v>45722</v>
      </c>
      <c r="D1914" s="185">
        <f t="shared" si="640"/>
        <v>2025</v>
      </c>
      <c r="E1914" s="309" t="e">
        <f>VLOOKUP($B1914,Week!$A$1:$C$1462,2,0)</f>
        <v>#N/A</v>
      </c>
      <c r="F1914" s="310" t="str">
        <f t="shared" si="641"/>
        <v>Feb</v>
      </c>
      <c r="G1914" s="311" t="s">
        <v>1983</v>
      </c>
      <c r="H1914" s="311" t="s">
        <v>311</v>
      </c>
      <c r="I1914" s="311" t="s">
        <v>2772</v>
      </c>
      <c r="J1914" s="312" t="s">
        <v>738</v>
      </c>
      <c r="K1914" s="313" t="s">
        <v>107</v>
      </c>
      <c r="L1914" s="300" t="s">
        <v>2167</v>
      </c>
      <c r="M1914" s="312" t="s">
        <v>313</v>
      </c>
      <c r="N1914" s="311" t="s">
        <v>314</v>
      </c>
      <c r="O1914" s="311" t="s">
        <v>110</v>
      </c>
      <c r="P1914" s="314">
        <v>36</v>
      </c>
      <c r="Q1914" s="314">
        <v>5</v>
      </c>
      <c r="R1914" s="315">
        <v>7.4999999999999997E-3</v>
      </c>
      <c r="S1914" s="311" t="s">
        <v>111</v>
      </c>
      <c r="T1914" s="311" t="s">
        <v>112</v>
      </c>
      <c r="U1914" s="311" t="s">
        <v>57</v>
      </c>
      <c r="V1914" s="316">
        <v>792</v>
      </c>
      <c r="W1914" s="316">
        <v>792</v>
      </c>
      <c r="X1914" s="317"/>
      <c r="Y1914" s="318">
        <f t="shared" si="660"/>
        <v>0</v>
      </c>
      <c r="Z1914" s="319">
        <f t="shared" si="661"/>
        <v>0</v>
      </c>
      <c r="AA1914" s="319">
        <f t="shared" si="642"/>
        <v>0</v>
      </c>
      <c r="AB1914" s="815">
        <v>7.4999999999999997E-3</v>
      </c>
      <c r="AC1914" s="316">
        <f t="shared" si="653"/>
        <v>0</v>
      </c>
      <c r="AD1914" s="515"/>
      <c r="AE1914" s="210">
        <f t="shared" si="657"/>
        <v>0</v>
      </c>
      <c r="AF1914" s="210">
        <f t="shared" si="658"/>
        <v>0</v>
      </c>
      <c r="AG1914" s="211">
        <f t="shared" si="662"/>
        <v>0.308</v>
      </c>
      <c r="AH1914" s="157">
        <f t="shared" si="663"/>
        <v>0</v>
      </c>
      <c r="AI1914" s="152">
        <f t="shared" si="664"/>
        <v>28512</v>
      </c>
      <c r="AK1914" s="156" t="s">
        <v>691</v>
      </c>
      <c r="AL1914" s="212" t="s">
        <v>690</v>
      </c>
      <c r="AM1914" s="198">
        <f t="shared" si="659"/>
        <v>0</v>
      </c>
      <c r="AN1914" s="199">
        <f t="shared" si="643"/>
        <v>45695</v>
      </c>
      <c r="AO1914" s="159" t="s">
        <v>692</v>
      </c>
      <c r="AP1914" s="783" t="s">
        <v>644</v>
      </c>
      <c r="AQ1914" s="782">
        <v>12063755</v>
      </c>
      <c r="AR1914" s="782">
        <v>12061353</v>
      </c>
      <c r="AS1914" s="782">
        <v>12061354</v>
      </c>
      <c r="AT1914" s="782">
        <v>12062266</v>
      </c>
      <c r="AU1914" s="781"/>
      <c r="AV1914" s="782">
        <v>12088159</v>
      </c>
      <c r="AW1914" s="782">
        <v>12088207</v>
      </c>
      <c r="AX1914" s="782"/>
      <c r="AY1914" s="782">
        <v>12062262</v>
      </c>
      <c r="AZ1914" s="782"/>
      <c r="BA1914" s="781"/>
      <c r="BB1914" s="209">
        <v>23053185</v>
      </c>
    </row>
    <row r="1915" spans="1:54" ht="24.65" hidden="1" customHeight="1">
      <c r="B1915" s="308">
        <v>45695</v>
      </c>
      <c r="C1915" s="309">
        <v>45722</v>
      </c>
      <c r="D1915" s="185">
        <f t="shared" si="640"/>
        <v>2025</v>
      </c>
      <c r="E1915" s="309" t="e">
        <f>VLOOKUP($B1915,Week!$A$1:$C$1462,2,0)</f>
        <v>#N/A</v>
      </c>
      <c r="F1915" s="310" t="str">
        <f t="shared" si="641"/>
        <v>Feb</v>
      </c>
      <c r="G1915" s="311" t="s">
        <v>1984</v>
      </c>
      <c r="H1915" s="311" t="s">
        <v>311</v>
      </c>
      <c r="I1915" s="311" t="s">
        <v>2772</v>
      </c>
      <c r="J1915" s="312" t="s">
        <v>738</v>
      </c>
      <c r="K1915" s="313" t="s">
        <v>107</v>
      </c>
      <c r="L1915" s="300" t="s">
        <v>2167</v>
      </c>
      <c r="M1915" s="312" t="s">
        <v>313</v>
      </c>
      <c r="N1915" s="311" t="s">
        <v>314</v>
      </c>
      <c r="O1915" s="311" t="s">
        <v>110</v>
      </c>
      <c r="P1915" s="314">
        <v>36</v>
      </c>
      <c r="Q1915" s="314">
        <v>5</v>
      </c>
      <c r="R1915" s="315">
        <v>7.4999999999999997E-3</v>
      </c>
      <c r="S1915" s="311" t="s">
        <v>111</v>
      </c>
      <c r="T1915" s="311" t="s">
        <v>112</v>
      </c>
      <c r="U1915" s="311" t="s">
        <v>57</v>
      </c>
      <c r="V1915" s="316">
        <v>792</v>
      </c>
      <c r="W1915" s="316">
        <f>2364-780-792</f>
        <v>792</v>
      </c>
      <c r="X1915" s="317"/>
      <c r="Y1915" s="318">
        <f t="shared" si="660"/>
        <v>0</v>
      </c>
      <c r="Z1915" s="319">
        <f t="shared" si="661"/>
        <v>0</v>
      </c>
      <c r="AA1915" s="319">
        <f t="shared" si="642"/>
        <v>0</v>
      </c>
      <c r="AB1915" s="815">
        <v>7.4999999999999997E-3</v>
      </c>
      <c r="AC1915" s="316">
        <f t="shared" si="653"/>
        <v>0</v>
      </c>
      <c r="AD1915" s="515"/>
      <c r="AE1915" s="210">
        <f t="shared" si="657"/>
        <v>0</v>
      </c>
      <c r="AF1915" s="210">
        <f t="shared" si="658"/>
        <v>0</v>
      </c>
      <c r="AG1915" s="211">
        <f t="shared" si="662"/>
        <v>0.308</v>
      </c>
      <c r="AH1915" s="157">
        <f t="shared" si="663"/>
        <v>0</v>
      </c>
      <c r="AI1915" s="152">
        <f t="shared" si="664"/>
        <v>28512</v>
      </c>
      <c r="AK1915" s="156" t="s">
        <v>691</v>
      </c>
      <c r="AL1915" s="212" t="s">
        <v>690</v>
      </c>
      <c r="AM1915" s="198">
        <f t="shared" si="659"/>
        <v>0</v>
      </c>
      <c r="AN1915" s="199">
        <f t="shared" si="643"/>
        <v>45695</v>
      </c>
      <c r="AO1915" s="159" t="s">
        <v>692</v>
      </c>
      <c r="AP1915" s="783" t="s">
        <v>644</v>
      </c>
      <c r="AQ1915" s="782">
        <v>12063755</v>
      </c>
      <c r="AR1915" s="782">
        <v>12061353</v>
      </c>
      <c r="AS1915" s="782">
        <v>12061354</v>
      </c>
      <c r="AT1915" s="782">
        <v>12062266</v>
      </c>
      <c r="AU1915" s="781"/>
      <c r="AV1915" s="782">
        <v>12088159</v>
      </c>
      <c r="AW1915" s="782">
        <v>12088207</v>
      </c>
      <c r="AX1915" s="782"/>
      <c r="AY1915" s="782">
        <v>12062262</v>
      </c>
      <c r="AZ1915" s="782"/>
      <c r="BA1915" s="781"/>
      <c r="BB1915" s="209">
        <v>23053185</v>
      </c>
    </row>
    <row r="1916" spans="1:54" ht="24.65" hidden="1" customHeight="1">
      <c r="A1916" s="142" t="s">
        <v>120</v>
      </c>
      <c r="B1916" s="383">
        <v>45696</v>
      </c>
      <c r="C1916" s="224">
        <v>45716</v>
      </c>
      <c r="D1916" s="185">
        <f t="shared" si="640"/>
        <v>2025</v>
      </c>
      <c r="E1916" s="224" t="e">
        <f>VLOOKUP($B1916,Week!$A$1:$C$1462,2,0)</f>
        <v>#N/A</v>
      </c>
      <c r="F1916" s="226" t="str">
        <f t="shared" si="641"/>
        <v>Feb</v>
      </c>
      <c r="G1916" s="225" t="s">
        <v>1854</v>
      </c>
      <c r="H1916" s="225" t="s">
        <v>1259</v>
      </c>
      <c r="I1916" s="225" t="s">
        <v>2772</v>
      </c>
      <c r="J1916" s="227" t="s">
        <v>512</v>
      </c>
      <c r="K1916" s="228" t="s">
        <v>85</v>
      </c>
      <c r="L1916" s="390" t="s">
        <v>2166</v>
      </c>
      <c r="M1916" s="227" t="s">
        <v>165</v>
      </c>
      <c r="N1916" s="225" t="s">
        <v>700</v>
      </c>
      <c r="O1916" s="225" t="s">
        <v>287</v>
      </c>
      <c r="P1916" s="229">
        <v>40</v>
      </c>
      <c r="Q1916" s="229">
        <v>12</v>
      </c>
      <c r="R1916" s="230">
        <v>8.1300000000000001E-3</v>
      </c>
      <c r="S1916" s="225" t="s">
        <v>40</v>
      </c>
      <c r="T1916" s="225" t="s">
        <v>112</v>
      </c>
      <c r="U1916" s="225" t="s">
        <v>89</v>
      </c>
      <c r="V1916" s="231">
        <f>278</f>
        <v>278</v>
      </c>
      <c r="W1916" s="231">
        <f>278</f>
        <v>278</v>
      </c>
      <c r="X1916" s="232"/>
      <c r="Y1916" s="233">
        <f t="shared" si="660"/>
        <v>0</v>
      </c>
      <c r="Z1916" s="234">
        <f t="shared" si="661"/>
        <v>0</v>
      </c>
      <c r="AA1916" s="234">
        <f t="shared" si="642"/>
        <v>0</v>
      </c>
      <c r="AB1916" s="822">
        <v>2</v>
      </c>
      <c r="AC1916" s="231">
        <f t="shared" si="653"/>
        <v>0</v>
      </c>
      <c r="AD1916" s="307" t="s">
        <v>729</v>
      </c>
      <c r="AE1916" s="210">
        <f t="shared" si="657"/>
        <v>0</v>
      </c>
      <c r="AF1916" s="210">
        <f t="shared" si="658"/>
        <v>0</v>
      </c>
      <c r="AG1916" s="211">
        <f t="shared" si="662"/>
        <v>0.154</v>
      </c>
      <c r="AH1916" s="157">
        <f t="shared" si="663"/>
        <v>0</v>
      </c>
      <c r="AI1916" s="152">
        <f t="shared" si="664"/>
        <v>11120</v>
      </c>
      <c r="AK1916" s="156" t="s">
        <v>691</v>
      </c>
      <c r="AL1916" s="156" t="s">
        <v>689</v>
      </c>
      <c r="AM1916" s="198">
        <f t="shared" si="659"/>
        <v>0</v>
      </c>
      <c r="AN1916" s="199">
        <f t="shared" si="643"/>
        <v>45696</v>
      </c>
      <c r="AO1916" s="159" t="s">
        <v>692</v>
      </c>
      <c r="AP1916" s="781"/>
      <c r="AQ1916" s="782">
        <v>12071839</v>
      </c>
      <c r="AR1916" s="782">
        <v>12019692</v>
      </c>
      <c r="AS1916" s="782"/>
      <c r="AT1916" s="782">
        <v>12056457</v>
      </c>
      <c r="AU1916" s="782"/>
      <c r="AV1916" s="782">
        <v>12056565</v>
      </c>
      <c r="AW1916" s="782">
        <v>12034747</v>
      </c>
      <c r="AX1916" s="782" t="s">
        <v>398</v>
      </c>
      <c r="AY1916" s="782" t="s">
        <v>513</v>
      </c>
      <c r="AZ1916" s="782"/>
      <c r="BA1916" s="781"/>
      <c r="BB1916" s="209">
        <v>23053184</v>
      </c>
    </row>
    <row r="1917" spans="1:54" ht="24.65" hidden="1" customHeight="1">
      <c r="A1917" s="142" t="s">
        <v>120</v>
      </c>
      <c r="B1917" s="357">
        <v>45696</v>
      </c>
      <c r="C1917" s="358">
        <v>45716</v>
      </c>
      <c r="D1917" s="185">
        <f t="shared" si="640"/>
        <v>2025</v>
      </c>
      <c r="E1917" s="359" t="e">
        <f>VLOOKUP($B1917,Week!$A$1:$C$1462,2,0)</f>
        <v>#N/A</v>
      </c>
      <c r="F1917" s="360" t="str">
        <f t="shared" si="641"/>
        <v>Feb</v>
      </c>
      <c r="G1917" s="359" t="s">
        <v>1886</v>
      </c>
      <c r="H1917" s="359" t="s">
        <v>344</v>
      </c>
      <c r="I1917" s="359" t="s">
        <v>2772</v>
      </c>
      <c r="J1917" s="361" t="s">
        <v>345</v>
      </c>
      <c r="K1917" s="362" t="s">
        <v>355</v>
      </c>
      <c r="L1917" s="390" t="s">
        <v>2166</v>
      </c>
      <c r="M1917" s="361" t="s">
        <v>356</v>
      </c>
      <c r="N1917" s="359" t="s">
        <v>357</v>
      </c>
      <c r="O1917" s="359" t="s">
        <v>508</v>
      </c>
      <c r="P1917" s="363">
        <v>18</v>
      </c>
      <c r="Q1917" s="363">
        <v>8</v>
      </c>
      <c r="R1917" s="364">
        <v>6.0000000000000001E-3</v>
      </c>
      <c r="S1917" s="359" t="s">
        <v>55</v>
      </c>
      <c r="T1917" s="359" t="s">
        <v>56</v>
      </c>
      <c r="U1917" s="359" t="s">
        <v>89</v>
      </c>
      <c r="V1917" s="365">
        <f>300</f>
        <v>300</v>
      </c>
      <c r="W1917" s="365">
        <f>39+261</f>
        <v>300</v>
      </c>
      <c r="X1917" s="366"/>
      <c r="Y1917" s="367">
        <f t="shared" si="660"/>
        <v>0</v>
      </c>
      <c r="Z1917" s="368">
        <f t="shared" si="661"/>
        <v>0</v>
      </c>
      <c r="AA1917" s="368">
        <f t="shared" si="642"/>
        <v>0</v>
      </c>
      <c r="AB1917" s="819">
        <v>2</v>
      </c>
      <c r="AC1917" s="365">
        <f t="shared" si="653"/>
        <v>0</v>
      </c>
      <c r="AD1917" s="443"/>
      <c r="AE1917" s="210">
        <f t="shared" si="657"/>
        <v>0</v>
      </c>
      <c r="AF1917" s="210">
        <f t="shared" si="658"/>
        <v>0</v>
      </c>
      <c r="AG1917" s="211">
        <f>MID(O1917,1,2)/1000</f>
        <v>0.09</v>
      </c>
      <c r="AH1917" s="157">
        <f t="shared" si="663"/>
        <v>0</v>
      </c>
      <c r="AI1917" s="152">
        <f t="shared" si="664"/>
        <v>5400</v>
      </c>
      <c r="AK1917" s="156" t="s">
        <v>691</v>
      </c>
      <c r="AL1917" s="156" t="s">
        <v>689</v>
      </c>
      <c r="AM1917" s="198">
        <f t="shared" si="659"/>
        <v>0</v>
      </c>
      <c r="AN1917" s="199">
        <f t="shared" si="643"/>
        <v>45696</v>
      </c>
      <c r="AO1917" s="159" t="s">
        <v>692</v>
      </c>
      <c r="AP1917" s="781"/>
      <c r="AQ1917" s="782"/>
      <c r="AR1917" s="782" t="s">
        <v>531</v>
      </c>
      <c r="AS1917" s="782"/>
      <c r="AT1917" s="782"/>
      <c r="AU1917" s="782">
        <v>12054219</v>
      </c>
      <c r="AV1917" s="782">
        <v>12054239</v>
      </c>
      <c r="AW1917" s="782"/>
      <c r="AX1917" s="782" t="s">
        <v>532</v>
      </c>
      <c r="AY1917" s="782"/>
      <c r="AZ1917" s="782"/>
      <c r="BA1917" s="781"/>
      <c r="BB1917" s="209">
        <v>23053184</v>
      </c>
    </row>
    <row r="1918" spans="1:54" ht="25" hidden="1" customHeight="1">
      <c r="A1918" s="142" t="s">
        <v>120</v>
      </c>
      <c r="B1918" s="271">
        <v>45696</v>
      </c>
      <c r="C1918" s="272">
        <v>45705</v>
      </c>
      <c r="D1918" s="185">
        <f t="shared" si="640"/>
        <v>2025</v>
      </c>
      <c r="E1918" s="272" t="e">
        <f>VLOOKUP($B1918,Week!$A$1:$C$1462,2,0)</f>
        <v>#N/A</v>
      </c>
      <c r="F1918" s="273" t="str">
        <f t="shared" si="641"/>
        <v>Feb</v>
      </c>
      <c r="G1918" s="274" t="s">
        <v>1904</v>
      </c>
      <c r="H1918" s="274" t="s">
        <v>500</v>
      </c>
      <c r="I1918" s="274" t="s">
        <v>2772</v>
      </c>
      <c r="J1918" s="275" t="s">
        <v>285</v>
      </c>
      <c r="K1918" s="276" t="s">
        <v>153</v>
      </c>
      <c r="L1918" s="390" t="s">
        <v>2166</v>
      </c>
      <c r="M1918" s="275" t="s">
        <v>86</v>
      </c>
      <c r="N1918" s="274" t="s">
        <v>547</v>
      </c>
      <c r="O1918" s="274" t="s">
        <v>548</v>
      </c>
      <c r="P1918" s="277">
        <v>10</v>
      </c>
      <c r="Q1918" s="277">
        <v>50</v>
      </c>
      <c r="R1918" s="278">
        <v>6.8100000000000001E-3</v>
      </c>
      <c r="S1918" s="274" t="s">
        <v>76</v>
      </c>
      <c r="T1918" s="274" t="s">
        <v>56</v>
      </c>
      <c r="U1918" s="274" t="s">
        <v>89</v>
      </c>
      <c r="V1918" s="279">
        <f>922</f>
        <v>922</v>
      </c>
      <c r="W1918" s="279">
        <f>896</f>
        <v>896</v>
      </c>
      <c r="X1918" s="280">
        <f>(260)/10</f>
        <v>26</v>
      </c>
      <c r="Y1918" s="281">
        <f t="shared" si="660"/>
        <v>0</v>
      </c>
      <c r="Z1918" s="282">
        <f t="shared" si="661"/>
        <v>0</v>
      </c>
      <c r="AA1918" s="282">
        <f t="shared" si="642"/>
        <v>0</v>
      </c>
      <c r="AB1918" s="812">
        <v>6</v>
      </c>
      <c r="AC1918" s="279">
        <f t="shared" si="653"/>
        <v>0</v>
      </c>
      <c r="AD1918" s="209"/>
      <c r="AE1918" s="210">
        <f t="shared" si="657"/>
        <v>0</v>
      </c>
      <c r="AF1918" s="210">
        <f t="shared" si="658"/>
        <v>0</v>
      </c>
      <c r="AG1918" s="211">
        <f>MID(O1918,1,3)/1000</f>
        <v>0.63</v>
      </c>
      <c r="AH1918" s="157">
        <f t="shared" si="663"/>
        <v>0</v>
      </c>
      <c r="AI1918" s="152">
        <f t="shared" si="664"/>
        <v>9220</v>
      </c>
      <c r="AK1918" s="156" t="s">
        <v>691</v>
      </c>
      <c r="AL1918" s="156" t="s">
        <v>689</v>
      </c>
      <c r="AM1918" s="198">
        <f t="shared" si="659"/>
        <v>0</v>
      </c>
      <c r="AN1918" s="199">
        <f t="shared" si="643"/>
        <v>45696</v>
      </c>
      <c r="AO1918" s="159" t="s">
        <v>692</v>
      </c>
      <c r="AP1918" s="783" t="s">
        <v>620</v>
      </c>
      <c r="AQ1918" s="796" t="s">
        <v>2143</v>
      </c>
      <c r="AR1918" s="782">
        <v>12055234</v>
      </c>
      <c r="AS1918" s="781"/>
      <c r="AT1918" s="782"/>
      <c r="AU1918" s="782"/>
      <c r="AV1918" s="782">
        <v>12062809</v>
      </c>
      <c r="AW1918" s="782"/>
      <c r="AX1918" s="782" t="s">
        <v>619</v>
      </c>
      <c r="AY1918" s="781"/>
      <c r="AZ1918" s="781"/>
      <c r="BA1918" s="781"/>
      <c r="BB1918" s="209">
        <v>23053184</v>
      </c>
    </row>
    <row r="1919" spans="1:54" ht="25" hidden="1" customHeight="1">
      <c r="B1919" s="183">
        <v>45697</v>
      </c>
      <c r="C1919" s="184"/>
      <c r="D1919" s="185">
        <f t="shared" si="640"/>
        <v>2025</v>
      </c>
      <c r="E1919" s="185" t="e">
        <f>VLOOKUP($B1919,Week!$A$1:$C$1462,2,0)</f>
        <v>#N/A</v>
      </c>
      <c r="F1919" s="186" t="str">
        <f t="shared" si="641"/>
        <v>Feb</v>
      </c>
      <c r="G1919" s="185"/>
      <c r="H1919" s="185"/>
      <c r="I1919" s="185"/>
      <c r="J1919" s="187"/>
      <c r="K1919" s="188"/>
      <c r="L1919" s="300"/>
      <c r="M1919" s="187"/>
      <c r="N1919" s="185"/>
      <c r="O1919" s="185"/>
      <c r="P1919" s="189"/>
      <c r="Q1919" s="189"/>
      <c r="R1919" s="190"/>
      <c r="S1919" s="185"/>
      <c r="T1919" s="185"/>
      <c r="U1919" s="185"/>
      <c r="V1919" s="191"/>
      <c r="W1919" s="191"/>
      <c r="X1919" s="192"/>
      <c r="Y1919" s="193"/>
      <c r="Z1919" s="194"/>
      <c r="AA1919" s="194">
        <f t="shared" si="642"/>
        <v>0</v>
      </c>
      <c r="AB1919" s="805"/>
      <c r="AC1919" s="191">
        <f t="shared" si="653"/>
        <v>0</v>
      </c>
      <c r="AD1919" s="187"/>
      <c r="AE1919" s="195"/>
      <c r="AF1919" s="195"/>
      <c r="AG1919" s="196"/>
      <c r="AH1919" s="197"/>
      <c r="AK1919" s="156" t="s">
        <v>691</v>
      </c>
      <c r="AM1919" s="198">
        <f t="shared" si="659"/>
        <v>0</v>
      </c>
      <c r="AN1919" s="199">
        <f t="shared" si="643"/>
        <v>45697</v>
      </c>
      <c r="AO1919" s="159" t="s">
        <v>692</v>
      </c>
      <c r="AP1919" s="781"/>
      <c r="AQ1919" s="782"/>
      <c r="AR1919" s="782"/>
      <c r="AS1919" s="782"/>
      <c r="AT1919" s="782"/>
      <c r="AU1919" s="781"/>
      <c r="AV1919" s="782"/>
      <c r="AW1919" s="782"/>
      <c r="AX1919" s="782"/>
      <c r="AY1919" s="782"/>
      <c r="AZ1919" s="782"/>
      <c r="BA1919" s="781"/>
      <c r="BB1919" s="209"/>
    </row>
    <row r="1920" spans="1:54" ht="25" hidden="1" customHeight="1">
      <c r="A1920" s="142" t="s">
        <v>120</v>
      </c>
      <c r="B1920" s="271">
        <v>45698</v>
      </c>
      <c r="C1920" s="272">
        <v>45705</v>
      </c>
      <c r="D1920" s="185">
        <f t="shared" si="640"/>
        <v>2025</v>
      </c>
      <c r="E1920" s="272" t="e">
        <f>VLOOKUP($B1920,Week!$A$1:$C$1462,2,0)</f>
        <v>#N/A</v>
      </c>
      <c r="F1920" s="273" t="str">
        <f t="shared" si="641"/>
        <v>Feb</v>
      </c>
      <c r="G1920" s="274" t="s">
        <v>1904</v>
      </c>
      <c r="H1920" s="274" t="s">
        <v>500</v>
      </c>
      <c r="I1920" s="274" t="s">
        <v>2772</v>
      </c>
      <c r="J1920" s="275" t="s">
        <v>285</v>
      </c>
      <c r="K1920" s="276" t="s">
        <v>153</v>
      </c>
      <c r="L1920" s="390" t="s">
        <v>2166</v>
      </c>
      <c r="M1920" s="275" t="s">
        <v>86</v>
      </c>
      <c r="N1920" s="274" t="s">
        <v>547</v>
      </c>
      <c r="O1920" s="274" t="s">
        <v>548</v>
      </c>
      <c r="P1920" s="277">
        <v>10</v>
      </c>
      <c r="Q1920" s="277">
        <v>50</v>
      </c>
      <c r="R1920" s="278">
        <v>6.8100000000000001E-3</v>
      </c>
      <c r="S1920" s="274" t="s">
        <v>76</v>
      </c>
      <c r="T1920" s="274" t="s">
        <v>56</v>
      </c>
      <c r="U1920" s="274" t="s">
        <v>89</v>
      </c>
      <c r="V1920" s="279">
        <v>226</v>
      </c>
      <c r="W1920" s="279">
        <f>226</f>
        <v>226</v>
      </c>
      <c r="X1920" s="280"/>
      <c r="Y1920" s="281">
        <f>(W1920+X1920)-V1920</f>
        <v>0</v>
      </c>
      <c r="Z1920" s="282">
        <f>IF(Y1920&lt;0,((V1920*P1920)-((W1920+X1920)*P1920)),0)</f>
        <v>0</v>
      </c>
      <c r="AA1920" s="282">
        <f t="shared" si="642"/>
        <v>0</v>
      </c>
      <c r="AB1920" s="812">
        <v>6</v>
      </c>
      <c r="AC1920" s="279">
        <f t="shared" si="653"/>
        <v>0</v>
      </c>
      <c r="AD1920" s="209"/>
      <c r="AE1920" s="210">
        <f>SUM(Q1920*R1920*Z1920)/1000</f>
        <v>0</v>
      </c>
      <c r="AF1920" s="210">
        <f t="shared" si="658"/>
        <v>0</v>
      </c>
      <c r="AG1920" s="211">
        <f>MID(O1920,1,3)/1000</f>
        <v>0.63</v>
      </c>
      <c r="AH1920" s="157">
        <f>(Z1920*AG1920)/1000</f>
        <v>0</v>
      </c>
      <c r="AI1920" s="152">
        <f>V1920*P1920</f>
        <v>2260</v>
      </c>
      <c r="AK1920" s="156" t="s">
        <v>691</v>
      </c>
      <c r="AL1920" s="156" t="s">
        <v>689</v>
      </c>
      <c r="AM1920" s="198">
        <f t="shared" si="659"/>
        <v>0</v>
      </c>
      <c r="AN1920" s="199">
        <f t="shared" si="643"/>
        <v>45698</v>
      </c>
      <c r="AO1920" s="159" t="s">
        <v>692</v>
      </c>
      <c r="AP1920" s="783" t="s">
        <v>620</v>
      </c>
      <c r="AQ1920" s="796" t="s">
        <v>2143</v>
      </c>
      <c r="AR1920" s="782">
        <v>12055234</v>
      </c>
      <c r="AS1920" s="781"/>
      <c r="AT1920" s="782"/>
      <c r="AU1920" s="782"/>
      <c r="AV1920" s="782">
        <v>12062809</v>
      </c>
      <c r="AW1920" s="782"/>
      <c r="AX1920" s="782" t="s">
        <v>619</v>
      </c>
      <c r="AY1920" s="781"/>
      <c r="AZ1920" s="781"/>
      <c r="BA1920" s="781"/>
      <c r="BB1920" s="209">
        <v>23053184</v>
      </c>
    </row>
    <row r="1921" spans="1:54" ht="24.65" hidden="1" customHeight="1">
      <c r="A1921" s="142" t="s">
        <v>120</v>
      </c>
      <c r="B1921" s="383">
        <v>45698</v>
      </c>
      <c r="C1921" s="224">
        <v>45716</v>
      </c>
      <c r="D1921" s="185">
        <f t="shared" si="640"/>
        <v>2025</v>
      </c>
      <c r="E1921" s="224" t="e">
        <f>VLOOKUP($B1921,Week!$A$1:$C$1462,2,0)</f>
        <v>#N/A</v>
      </c>
      <c r="F1921" s="226" t="str">
        <f t="shared" si="641"/>
        <v>Feb</v>
      </c>
      <c r="G1921" s="225" t="s">
        <v>1854</v>
      </c>
      <c r="H1921" s="225" t="s">
        <v>1259</v>
      </c>
      <c r="I1921" s="225" t="s">
        <v>2772</v>
      </c>
      <c r="J1921" s="227" t="s">
        <v>512</v>
      </c>
      <c r="K1921" s="228" t="s">
        <v>85</v>
      </c>
      <c r="L1921" s="390" t="s">
        <v>2166</v>
      </c>
      <c r="M1921" s="227" t="s">
        <v>165</v>
      </c>
      <c r="N1921" s="225" t="s">
        <v>700</v>
      </c>
      <c r="O1921" s="225" t="s">
        <v>287</v>
      </c>
      <c r="P1921" s="229">
        <v>40</v>
      </c>
      <c r="Q1921" s="229">
        <v>12</v>
      </c>
      <c r="R1921" s="230">
        <v>8.1300000000000001E-3</v>
      </c>
      <c r="S1921" s="225" t="s">
        <v>40</v>
      </c>
      <c r="T1921" s="225" t="s">
        <v>112</v>
      </c>
      <c r="U1921" s="225" t="s">
        <v>89</v>
      </c>
      <c r="V1921" s="231">
        <f>1100</f>
        <v>1100</v>
      </c>
      <c r="W1921" s="231">
        <f>1050+50</f>
        <v>1100</v>
      </c>
      <c r="X1921" s="232"/>
      <c r="Y1921" s="233">
        <f>(W1921+X1921)-V1921</f>
        <v>0</v>
      </c>
      <c r="Z1921" s="234">
        <f>IF(Y1921&lt;0,((V1921*P1921)-((W1921+X1921)*P1921)),0)</f>
        <v>0</v>
      </c>
      <c r="AA1921" s="234">
        <f t="shared" si="642"/>
        <v>0</v>
      </c>
      <c r="AB1921" s="822">
        <v>2</v>
      </c>
      <c r="AC1921" s="231">
        <f t="shared" si="653"/>
        <v>0</v>
      </c>
      <c r="AD1921" s="307" t="s">
        <v>729</v>
      </c>
      <c r="AE1921" s="210">
        <f>SUM(Q1921*R1921*Z1921)/1000</f>
        <v>0</v>
      </c>
      <c r="AF1921" s="210">
        <f t="shared" si="658"/>
        <v>0</v>
      </c>
      <c r="AG1921" s="211">
        <f>MID(O1921,1,3)/1000</f>
        <v>0.154</v>
      </c>
      <c r="AH1921" s="157">
        <f>(Z1921*AG1921)/1000</f>
        <v>0</v>
      </c>
      <c r="AI1921" s="152">
        <f>V1921*P1921</f>
        <v>44000</v>
      </c>
      <c r="AK1921" s="156" t="s">
        <v>691</v>
      </c>
      <c r="AL1921" s="156" t="s">
        <v>689</v>
      </c>
      <c r="AM1921" s="198">
        <f t="shared" si="659"/>
        <v>0</v>
      </c>
      <c r="AN1921" s="199">
        <f t="shared" si="643"/>
        <v>45698</v>
      </c>
      <c r="AO1921" s="159" t="s">
        <v>692</v>
      </c>
      <c r="AP1921" s="781"/>
      <c r="AQ1921" s="782">
        <v>12071839</v>
      </c>
      <c r="AR1921" s="782">
        <v>12019692</v>
      </c>
      <c r="AS1921" s="782"/>
      <c r="AT1921" s="782">
        <v>12056457</v>
      </c>
      <c r="AU1921" s="782"/>
      <c r="AV1921" s="782">
        <v>12056565</v>
      </c>
      <c r="AW1921" s="782">
        <v>12034747</v>
      </c>
      <c r="AX1921" s="782" t="s">
        <v>398</v>
      </c>
      <c r="AY1921" s="782" t="s">
        <v>513</v>
      </c>
      <c r="AZ1921" s="782"/>
      <c r="BA1921" s="781"/>
      <c r="BB1921" s="209">
        <v>23053184</v>
      </c>
    </row>
    <row r="1922" spans="1:54" ht="25" hidden="1" customHeight="1">
      <c r="B1922" s="383">
        <v>45699</v>
      </c>
      <c r="C1922" s="383">
        <v>45721</v>
      </c>
      <c r="D1922" s="185">
        <f t="shared" si="640"/>
        <v>2025</v>
      </c>
      <c r="E1922" s="224" t="e">
        <f>VLOOKUP($B1922,Week!$A$1:$C$1462,2,0)</f>
        <v>#N/A</v>
      </c>
      <c r="F1922" s="226" t="str">
        <f t="shared" si="641"/>
        <v>Feb</v>
      </c>
      <c r="G1922" s="225" t="s">
        <v>1949</v>
      </c>
      <c r="H1922" s="225" t="s">
        <v>225</v>
      </c>
      <c r="I1922" s="225" t="s">
        <v>2773</v>
      </c>
      <c r="J1922" s="227" t="s">
        <v>335</v>
      </c>
      <c r="K1922" s="228" t="s">
        <v>176</v>
      </c>
      <c r="L1922" s="300" t="s">
        <v>2167</v>
      </c>
      <c r="M1922" s="227" t="s">
        <v>336</v>
      </c>
      <c r="N1922" s="225" t="s">
        <v>337</v>
      </c>
      <c r="O1922" s="225" t="s">
        <v>179</v>
      </c>
      <c r="P1922" s="229">
        <v>36</v>
      </c>
      <c r="Q1922" s="229">
        <v>5</v>
      </c>
      <c r="R1922" s="230">
        <v>7.4999999999999997E-3</v>
      </c>
      <c r="S1922" s="225" t="s">
        <v>111</v>
      </c>
      <c r="T1922" s="225" t="s">
        <v>112</v>
      </c>
      <c r="U1922" s="225" t="s">
        <v>113</v>
      </c>
      <c r="V1922" s="231">
        <v>1288</v>
      </c>
      <c r="W1922" s="231">
        <f>3888-1261-1288-1288+19+1218</f>
        <v>1288</v>
      </c>
      <c r="X1922" s="232"/>
      <c r="Y1922" s="233">
        <f>(W1922+X1922)-V1922</f>
        <v>0</v>
      </c>
      <c r="Z1922" s="234">
        <f>IF(Y1922&lt;0,((V1922*P1922)-((W1922+X1922)*P1922)),0)</f>
        <v>0</v>
      </c>
      <c r="AA1922" s="234">
        <f t="shared" si="642"/>
        <v>0</v>
      </c>
      <c r="AB1922" s="822">
        <v>9.7000000000000003E-3</v>
      </c>
      <c r="AC1922" s="231">
        <f t="shared" si="653"/>
        <v>0</v>
      </c>
      <c r="AD1922" s="307" t="s">
        <v>1622</v>
      </c>
      <c r="AE1922" s="210">
        <f>SUM(Q1922*R1922*Z1922)/1000</f>
        <v>0</v>
      </c>
      <c r="AF1922" s="210">
        <f t="shared" si="658"/>
        <v>0</v>
      </c>
      <c r="AG1922" s="211">
        <f>MID(O1922,1,3)/1000</f>
        <v>0.14499999999999999</v>
      </c>
      <c r="AH1922" s="157">
        <f>(Z1922*AG1922)/1000</f>
        <v>0</v>
      </c>
      <c r="AI1922" s="152">
        <f>V1922*P1922</f>
        <v>46368</v>
      </c>
      <c r="AK1922" s="156" t="s">
        <v>691</v>
      </c>
      <c r="AL1922" s="574" t="s">
        <v>690</v>
      </c>
      <c r="AM1922" s="198">
        <f t="shared" si="659"/>
        <v>0</v>
      </c>
      <c r="AN1922" s="199">
        <f t="shared" si="643"/>
        <v>45699</v>
      </c>
      <c r="AO1922" s="159" t="s">
        <v>692</v>
      </c>
      <c r="AP1922" s="783" t="s">
        <v>639</v>
      </c>
      <c r="AQ1922" s="782">
        <v>12071839</v>
      </c>
      <c r="AR1922" s="782">
        <v>12047514</v>
      </c>
      <c r="AS1922" s="782">
        <v>12047515</v>
      </c>
      <c r="AT1922" s="782">
        <v>12054919</v>
      </c>
      <c r="AU1922" s="781"/>
      <c r="AV1922" s="782">
        <v>12054869</v>
      </c>
      <c r="AW1922" s="782">
        <v>12024404</v>
      </c>
      <c r="AX1922" s="781"/>
      <c r="AY1922" s="782">
        <v>12054815</v>
      </c>
      <c r="AZ1922" s="781"/>
      <c r="BA1922" s="781"/>
      <c r="BB1922" s="209">
        <v>23054743</v>
      </c>
    </row>
    <row r="1923" spans="1:54" ht="25" hidden="1" customHeight="1">
      <c r="B1923" s="383">
        <v>45699</v>
      </c>
      <c r="C1923" s="383">
        <v>45721</v>
      </c>
      <c r="D1923" s="185">
        <f t="shared" si="640"/>
        <v>2025</v>
      </c>
      <c r="E1923" s="224" t="e">
        <f>VLOOKUP($B1923,Week!$A$1:$C$1462,2,0)</f>
        <v>#N/A</v>
      </c>
      <c r="F1923" s="226" t="str">
        <f t="shared" si="641"/>
        <v>Feb</v>
      </c>
      <c r="G1923" s="225" t="s">
        <v>1950</v>
      </c>
      <c r="H1923" s="225" t="s">
        <v>225</v>
      </c>
      <c r="I1923" s="225" t="s">
        <v>2773</v>
      </c>
      <c r="J1923" s="227" t="s">
        <v>335</v>
      </c>
      <c r="K1923" s="228" t="s">
        <v>176</v>
      </c>
      <c r="L1923" s="300" t="s">
        <v>2167</v>
      </c>
      <c r="M1923" s="227" t="s">
        <v>336</v>
      </c>
      <c r="N1923" s="225" t="s">
        <v>337</v>
      </c>
      <c r="O1923" s="225" t="s">
        <v>179</v>
      </c>
      <c r="P1923" s="229">
        <v>36</v>
      </c>
      <c r="Q1923" s="229">
        <v>5</v>
      </c>
      <c r="R1923" s="230">
        <v>7.4999999999999997E-3</v>
      </c>
      <c r="S1923" s="225" t="s">
        <v>111</v>
      </c>
      <c r="T1923" s="225" t="s">
        <v>112</v>
      </c>
      <c r="U1923" s="225" t="s">
        <v>113</v>
      </c>
      <c r="V1923" s="231">
        <v>281</v>
      </c>
      <c r="W1923" s="231">
        <f>1499-1218</f>
        <v>281</v>
      </c>
      <c r="X1923" s="232"/>
      <c r="Y1923" s="233">
        <f>(W1923+X1923)-V1923</f>
        <v>0</v>
      </c>
      <c r="Z1923" s="234">
        <f>IF(Y1923&lt;0,((V1923*P1923)-((W1923+X1923)*P1923)),0)</f>
        <v>0</v>
      </c>
      <c r="AA1923" s="234">
        <f t="shared" si="642"/>
        <v>0</v>
      </c>
      <c r="AB1923" s="822">
        <v>9.7000000000000003E-3</v>
      </c>
      <c r="AC1923" s="231">
        <f t="shared" si="653"/>
        <v>0</v>
      </c>
      <c r="AD1923" s="307" t="s">
        <v>1622</v>
      </c>
      <c r="AE1923" s="210">
        <f>SUM(Q1923*R1923*Z1923)/1000</f>
        <v>0</v>
      </c>
      <c r="AF1923" s="210">
        <f t="shared" si="658"/>
        <v>0</v>
      </c>
      <c r="AG1923" s="211">
        <f>MID(O1923,1,3)/1000</f>
        <v>0.14499999999999999</v>
      </c>
      <c r="AH1923" s="157">
        <f>(Z1923*AG1923)/1000</f>
        <v>0</v>
      </c>
      <c r="AI1923" s="152">
        <f>V1923*P1923</f>
        <v>10116</v>
      </c>
      <c r="AK1923" s="156" t="s">
        <v>691</v>
      </c>
      <c r="AL1923" s="574" t="s">
        <v>690</v>
      </c>
      <c r="AM1923" s="198">
        <f t="shared" si="659"/>
        <v>0</v>
      </c>
      <c r="AN1923" s="199">
        <f t="shared" si="643"/>
        <v>45699</v>
      </c>
      <c r="AO1923" s="159" t="s">
        <v>692</v>
      </c>
      <c r="AP1923" s="783" t="s">
        <v>639</v>
      </c>
      <c r="AQ1923" s="782">
        <v>12071839</v>
      </c>
      <c r="AR1923" s="782">
        <v>12047514</v>
      </c>
      <c r="AS1923" s="782">
        <v>12047515</v>
      </c>
      <c r="AT1923" s="782">
        <v>12054919</v>
      </c>
      <c r="AU1923" s="781"/>
      <c r="AV1923" s="782">
        <v>12054869</v>
      </c>
      <c r="AW1923" s="782">
        <v>12024404</v>
      </c>
      <c r="AX1923" s="781"/>
      <c r="AY1923" s="782">
        <v>12054815</v>
      </c>
      <c r="AZ1923" s="781"/>
      <c r="BA1923" s="781"/>
      <c r="BB1923" s="209">
        <v>23054743</v>
      </c>
    </row>
    <row r="1924" spans="1:54" ht="24.75" hidden="1" customHeight="1">
      <c r="B1924" s="295">
        <v>45699</v>
      </c>
      <c r="C1924" s="771" t="s">
        <v>1927</v>
      </c>
      <c r="D1924" s="185">
        <f t="shared" si="640"/>
        <v>2025</v>
      </c>
      <c r="E1924" s="296" t="e">
        <f>VLOOKUP($B1924,Week!$A$1:$C$1462,2,0)</f>
        <v>#N/A</v>
      </c>
      <c r="F1924" s="297" t="str">
        <f t="shared" si="641"/>
        <v>Feb</v>
      </c>
      <c r="G1924" s="648" t="s">
        <v>47</v>
      </c>
      <c r="H1924" s="298" t="s">
        <v>260</v>
      </c>
      <c r="I1924" s="298" t="s">
        <v>2702</v>
      </c>
      <c r="J1924" s="307" t="s">
        <v>904</v>
      </c>
      <c r="K1924" s="300" t="s">
        <v>176</v>
      </c>
      <c r="L1924" s="300" t="s">
        <v>2167</v>
      </c>
      <c r="M1924" s="299" t="s">
        <v>262</v>
      </c>
      <c r="N1924" s="298" t="s">
        <v>350</v>
      </c>
      <c r="O1924" s="298" t="s">
        <v>351</v>
      </c>
      <c r="P1924" s="301">
        <v>24</v>
      </c>
      <c r="Q1924" s="301">
        <v>5</v>
      </c>
      <c r="R1924" s="302">
        <v>6.1999999999999998E-3</v>
      </c>
      <c r="S1924" s="298" t="s">
        <v>352</v>
      </c>
      <c r="T1924" s="298" t="s">
        <v>56</v>
      </c>
      <c r="U1924" s="298" t="s">
        <v>57</v>
      </c>
      <c r="V1924" s="303">
        <v>3885</v>
      </c>
      <c r="W1924" s="303">
        <f>3885</f>
        <v>3885</v>
      </c>
      <c r="X1924" s="304"/>
      <c r="Y1924" s="305">
        <f>(W1924+X1924)-V1924</f>
        <v>0</v>
      </c>
      <c r="Z1924" s="306">
        <f>IF(Y1924&lt;0,((V1924*P1924)-((W1924+X1924)*P1924)),0)</f>
        <v>0</v>
      </c>
      <c r="AA1924" s="306">
        <f t="shared" si="642"/>
        <v>0</v>
      </c>
      <c r="AB1924" s="814">
        <v>7.4999999999999997E-3</v>
      </c>
      <c r="AC1924" s="303">
        <f t="shared" si="653"/>
        <v>0</v>
      </c>
      <c r="AD1924" s="573"/>
      <c r="AE1924" s="210">
        <f>SUM(Q1924*R1924*Z1924)/1000</f>
        <v>0</v>
      </c>
      <c r="AF1924" s="210">
        <f t="shared" si="658"/>
        <v>0</v>
      </c>
      <c r="AG1924" s="211">
        <f>MID(O1924,1,3)/1000</f>
        <v>0.13</v>
      </c>
      <c r="AH1924" s="157">
        <f>(Z1924*AG1924)/1000</f>
        <v>0</v>
      </c>
      <c r="AI1924" s="152">
        <f>V1924*P1924</f>
        <v>93240</v>
      </c>
      <c r="AK1924" s="156" t="s">
        <v>691</v>
      </c>
      <c r="AL1924" s="574" t="s">
        <v>690</v>
      </c>
      <c r="AM1924" s="198">
        <f t="shared" si="659"/>
        <v>0</v>
      </c>
      <c r="AN1924" s="199">
        <f t="shared" si="643"/>
        <v>45699</v>
      </c>
      <c r="AO1924" s="159" t="s">
        <v>692</v>
      </c>
      <c r="AP1924" s="783" t="s">
        <v>629</v>
      </c>
      <c r="AQ1924" s="782">
        <v>12071839</v>
      </c>
      <c r="AR1924" s="782">
        <v>12078867</v>
      </c>
      <c r="AS1924" s="782">
        <v>12068233</v>
      </c>
      <c r="AT1924" s="781"/>
      <c r="AU1924" s="781"/>
      <c r="AV1924" s="782">
        <v>12062075</v>
      </c>
      <c r="AW1924" s="781"/>
      <c r="AX1924" s="781"/>
      <c r="AY1924" s="782">
        <v>12086617</v>
      </c>
      <c r="AZ1924" s="781"/>
      <c r="BA1924" s="781"/>
      <c r="BB1924" s="209">
        <v>23053185</v>
      </c>
    </row>
    <row r="1925" spans="1:54" ht="25" hidden="1" customHeight="1">
      <c r="B1925" s="183">
        <v>45700</v>
      </c>
      <c r="C1925" s="184"/>
      <c r="D1925" s="185">
        <f t="shared" ref="D1925:D1988" si="665">IF(B1925="","",YEAR(B1925))</f>
        <v>2025</v>
      </c>
      <c r="E1925" s="185" t="e">
        <f>VLOOKUP($B1925,Week!$A$1:$C$1462,2,0)</f>
        <v>#N/A</v>
      </c>
      <c r="F1925" s="186" t="str">
        <f t="shared" ref="F1925:F1988" si="666">IF(B1925="","",TEXT(B1925,"[$-409]mmm"))</f>
        <v>Feb</v>
      </c>
      <c r="G1925" s="185"/>
      <c r="H1925" s="185"/>
      <c r="I1925" s="185"/>
      <c r="J1925" s="187"/>
      <c r="K1925" s="188"/>
      <c r="L1925" s="300"/>
      <c r="M1925" s="187"/>
      <c r="N1925" s="185"/>
      <c r="O1925" s="185"/>
      <c r="P1925" s="189"/>
      <c r="Q1925" s="189"/>
      <c r="R1925" s="190"/>
      <c r="S1925" s="185"/>
      <c r="T1925" s="185"/>
      <c r="U1925" s="185"/>
      <c r="V1925" s="191"/>
      <c r="W1925" s="191"/>
      <c r="X1925" s="192"/>
      <c r="Y1925" s="193"/>
      <c r="Z1925" s="194"/>
      <c r="AA1925" s="194">
        <f t="shared" ref="AA1925:AA1988" si="667">Q1925*Z1925</f>
        <v>0</v>
      </c>
      <c r="AB1925" s="805"/>
      <c r="AC1925" s="191">
        <f t="shared" si="653"/>
        <v>0</v>
      </c>
      <c r="AD1925" s="187"/>
      <c r="AE1925" s="195"/>
      <c r="AF1925" s="195"/>
      <c r="AG1925" s="196"/>
      <c r="AH1925" s="197"/>
      <c r="AK1925" s="156" t="s">
        <v>691</v>
      </c>
      <c r="AM1925" s="198">
        <f t="shared" si="659"/>
        <v>0</v>
      </c>
      <c r="AN1925" s="199">
        <f t="shared" ref="AN1925:AN1988" si="668">B1925</f>
        <v>45700</v>
      </c>
      <c r="AO1925" s="159" t="s">
        <v>692</v>
      </c>
      <c r="AP1925" s="781"/>
      <c r="AQ1925" s="782"/>
      <c r="AR1925" s="782"/>
      <c r="AS1925" s="782"/>
      <c r="AT1925" s="782"/>
      <c r="AU1925" s="781"/>
      <c r="AV1925" s="782"/>
      <c r="AW1925" s="782"/>
      <c r="AX1925" s="782"/>
      <c r="AY1925" s="782"/>
      <c r="AZ1925" s="782"/>
      <c r="BA1925" s="781"/>
      <c r="BB1925" s="209"/>
    </row>
    <row r="1926" spans="1:54" ht="25" hidden="1" customHeight="1">
      <c r="A1926" s="142" t="s">
        <v>120</v>
      </c>
      <c r="B1926" s="271">
        <v>45701</v>
      </c>
      <c r="C1926" s="272">
        <v>45705</v>
      </c>
      <c r="D1926" s="185">
        <f t="shared" si="665"/>
        <v>2025</v>
      </c>
      <c r="E1926" s="272" t="e">
        <f>VLOOKUP($B1926,Week!$A$1:$C$1462,2,0)</f>
        <v>#N/A</v>
      </c>
      <c r="F1926" s="273" t="str">
        <f t="shared" si="666"/>
        <v>Feb</v>
      </c>
      <c r="G1926" s="274" t="s">
        <v>1904</v>
      </c>
      <c r="H1926" s="274" t="s">
        <v>500</v>
      </c>
      <c r="I1926" s="274" t="s">
        <v>2772</v>
      </c>
      <c r="J1926" s="275" t="s">
        <v>285</v>
      </c>
      <c r="K1926" s="276" t="s">
        <v>153</v>
      </c>
      <c r="L1926" s="390" t="s">
        <v>2166</v>
      </c>
      <c r="M1926" s="275" t="s">
        <v>86</v>
      </c>
      <c r="N1926" s="274" t="s">
        <v>547</v>
      </c>
      <c r="O1926" s="274" t="s">
        <v>548</v>
      </c>
      <c r="P1926" s="277">
        <v>10</v>
      </c>
      <c r="Q1926" s="277">
        <v>50</v>
      </c>
      <c r="R1926" s="278">
        <v>6.8100000000000001E-3</v>
      </c>
      <c r="S1926" s="274" t="s">
        <v>76</v>
      </c>
      <c r="T1926" s="274" t="s">
        <v>56</v>
      </c>
      <c r="U1926" s="274" t="s">
        <v>89</v>
      </c>
      <c r="V1926" s="279">
        <f>2056-922-226</f>
        <v>908</v>
      </c>
      <c r="W1926" s="279">
        <f>908</f>
        <v>908</v>
      </c>
      <c r="X1926" s="280"/>
      <c r="Y1926" s="281">
        <f t="shared" ref="Y1926:Y1939" si="669">(W1926+X1926)-V1926</f>
        <v>0</v>
      </c>
      <c r="Z1926" s="282">
        <f t="shared" ref="Z1926:Z1939" si="670">IF(Y1926&lt;0,((V1926*P1926)-((W1926+X1926)*P1926)),0)</f>
        <v>0</v>
      </c>
      <c r="AA1926" s="282">
        <f t="shared" si="667"/>
        <v>0</v>
      </c>
      <c r="AB1926" s="812">
        <v>6</v>
      </c>
      <c r="AC1926" s="279">
        <f t="shared" si="653"/>
        <v>0</v>
      </c>
      <c r="AD1926" s="209"/>
      <c r="AE1926" s="210">
        <f t="shared" ref="AE1926:AE1939" si="671">SUM(Q1926*R1926*Z1926)/1000</f>
        <v>0</v>
      </c>
      <c r="AF1926" s="210">
        <f t="shared" si="658"/>
        <v>0</v>
      </c>
      <c r="AG1926" s="211">
        <f t="shared" ref="AG1926:AG1939" si="672">MID(O1926,1,3)/1000</f>
        <v>0.63</v>
      </c>
      <c r="AH1926" s="157">
        <f t="shared" ref="AH1926:AH1938" si="673">(Z1926*AG1926)/1000</f>
        <v>0</v>
      </c>
      <c r="AI1926" s="152">
        <f t="shared" ref="AI1926:AI1939" si="674">V1926*P1926</f>
        <v>9080</v>
      </c>
      <c r="AK1926" s="156" t="s">
        <v>691</v>
      </c>
      <c r="AL1926" s="156" t="s">
        <v>689</v>
      </c>
      <c r="AM1926" s="198">
        <f t="shared" ref="AM1926:AM1957" si="675">AG1926*Z1926</f>
        <v>0</v>
      </c>
      <c r="AN1926" s="199">
        <f t="shared" si="668"/>
        <v>45701</v>
      </c>
      <c r="AO1926" s="159" t="s">
        <v>692</v>
      </c>
      <c r="AP1926" s="783" t="s">
        <v>620</v>
      </c>
      <c r="AQ1926" s="796" t="s">
        <v>2143</v>
      </c>
      <c r="AR1926" s="782">
        <v>12055234</v>
      </c>
      <c r="AS1926" s="781"/>
      <c r="AT1926" s="782"/>
      <c r="AU1926" s="782"/>
      <c r="AV1926" s="782">
        <v>12062809</v>
      </c>
      <c r="AW1926" s="782"/>
      <c r="AX1926" s="782" t="s">
        <v>619</v>
      </c>
      <c r="AY1926" s="781"/>
      <c r="AZ1926" s="781"/>
      <c r="BA1926" s="781"/>
      <c r="BB1926" s="209">
        <v>23053184</v>
      </c>
    </row>
    <row r="1927" spans="1:54" ht="24.65" hidden="1" customHeight="1">
      <c r="A1927" s="142" t="s">
        <v>120</v>
      </c>
      <c r="B1927" s="383">
        <v>45701</v>
      </c>
      <c r="C1927" s="224">
        <v>45716</v>
      </c>
      <c r="D1927" s="185">
        <f t="shared" si="665"/>
        <v>2025</v>
      </c>
      <c r="E1927" s="224" t="e">
        <f>VLOOKUP($B1927,Week!$A$1:$C$1462,2,0)</f>
        <v>#N/A</v>
      </c>
      <c r="F1927" s="226" t="str">
        <f t="shared" si="666"/>
        <v>Feb</v>
      </c>
      <c r="G1927" s="225" t="s">
        <v>1854</v>
      </c>
      <c r="H1927" s="225" t="s">
        <v>1259</v>
      </c>
      <c r="I1927" s="225" t="s">
        <v>2772</v>
      </c>
      <c r="J1927" s="227" t="s">
        <v>512</v>
      </c>
      <c r="K1927" s="228" t="s">
        <v>85</v>
      </c>
      <c r="L1927" s="390" t="s">
        <v>2166</v>
      </c>
      <c r="M1927" s="227" t="s">
        <v>165</v>
      </c>
      <c r="N1927" s="225" t="s">
        <v>700</v>
      </c>
      <c r="O1927" s="225" t="s">
        <v>287</v>
      </c>
      <c r="P1927" s="229">
        <v>40</v>
      </c>
      <c r="Q1927" s="229">
        <v>12</v>
      </c>
      <c r="R1927" s="230">
        <v>8.1300000000000001E-3</v>
      </c>
      <c r="S1927" s="225" t="s">
        <v>40</v>
      </c>
      <c r="T1927" s="225" t="s">
        <v>112</v>
      </c>
      <c r="U1927" s="225" t="s">
        <v>89</v>
      </c>
      <c r="V1927" s="231">
        <f>1624-278-1100</f>
        <v>246</v>
      </c>
      <c r="W1927" s="231">
        <f>242</f>
        <v>242</v>
      </c>
      <c r="X1927" s="232">
        <f>600/40</f>
        <v>15</v>
      </c>
      <c r="Y1927" s="233">
        <f t="shared" si="669"/>
        <v>11</v>
      </c>
      <c r="Z1927" s="234">
        <f t="shared" si="670"/>
        <v>0</v>
      </c>
      <c r="AA1927" s="234">
        <f t="shared" si="667"/>
        <v>0</v>
      </c>
      <c r="AB1927" s="822">
        <v>2</v>
      </c>
      <c r="AC1927" s="231">
        <f t="shared" si="653"/>
        <v>0</v>
      </c>
      <c r="AD1927" s="307" t="s">
        <v>729</v>
      </c>
      <c r="AE1927" s="210">
        <f t="shared" si="671"/>
        <v>0</v>
      </c>
      <c r="AF1927" s="210">
        <f t="shared" si="658"/>
        <v>0</v>
      </c>
      <c r="AG1927" s="211">
        <f t="shared" si="672"/>
        <v>0.154</v>
      </c>
      <c r="AH1927" s="157">
        <f t="shared" si="673"/>
        <v>0</v>
      </c>
      <c r="AI1927" s="152">
        <f t="shared" si="674"/>
        <v>9840</v>
      </c>
      <c r="AK1927" s="156" t="s">
        <v>691</v>
      </c>
      <c r="AL1927" s="156" t="s">
        <v>689</v>
      </c>
      <c r="AM1927" s="198">
        <f t="shared" si="675"/>
        <v>0</v>
      </c>
      <c r="AN1927" s="199">
        <f t="shared" si="668"/>
        <v>45701</v>
      </c>
      <c r="AO1927" s="159" t="s">
        <v>692</v>
      </c>
      <c r="AP1927" s="781"/>
      <c r="AQ1927" s="782">
        <v>12071839</v>
      </c>
      <c r="AR1927" s="782">
        <v>12019692</v>
      </c>
      <c r="AS1927" s="782"/>
      <c r="AT1927" s="782">
        <v>12056457</v>
      </c>
      <c r="AU1927" s="782"/>
      <c r="AV1927" s="782">
        <v>12056565</v>
      </c>
      <c r="AW1927" s="782">
        <v>12034747</v>
      </c>
      <c r="AX1927" s="782" t="s">
        <v>398</v>
      </c>
      <c r="AY1927" s="782" t="s">
        <v>513</v>
      </c>
      <c r="AZ1927" s="782"/>
      <c r="BA1927" s="781"/>
      <c r="BB1927" s="209">
        <v>23053184</v>
      </c>
    </row>
    <row r="1928" spans="1:54" ht="25.15" hidden="1" customHeight="1">
      <c r="B1928" s="345">
        <v>45702</v>
      </c>
      <c r="C1928" s="346">
        <v>45719</v>
      </c>
      <c r="D1928" s="185">
        <f t="shared" si="665"/>
        <v>2025</v>
      </c>
      <c r="E1928" s="347" t="e">
        <f>VLOOKUP($B1928,Week!$A$1:$C$1462,2,0)</f>
        <v>#N/A</v>
      </c>
      <c r="F1928" s="348" t="str">
        <f t="shared" si="666"/>
        <v>Feb</v>
      </c>
      <c r="G1928" s="347" t="s">
        <v>2012</v>
      </c>
      <c r="H1928" s="347" t="s">
        <v>697</v>
      </c>
      <c r="I1928" s="347" t="s">
        <v>2772</v>
      </c>
      <c r="J1928" s="438" t="s">
        <v>425</v>
      </c>
      <c r="K1928" s="350" t="s">
        <v>176</v>
      </c>
      <c r="L1928" s="300" t="s">
        <v>2167</v>
      </c>
      <c r="M1928" s="349" t="s">
        <v>426</v>
      </c>
      <c r="N1928" s="347" t="s">
        <v>427</v>
      </c>
      <c r="O1928" s="347" t="s">
        <v>599</v>
      </c>
      <c r="P1928" s="351">
        <v>36</v>
      </c>
      <c r="Q1928" s="351">
        <v>5</v>
      </c>
      <c r="R1928" s="352">
        <v>7.4999999999999997E-3</v>
      </c>
      <c r="S1928" s="347" t="s">
        <v>111</v>
      </c>
      <c r="T1928" s="347" t="s">
        <v>112</v>
      </c>
      <c r="U1928" s="347" t="s">
        <v>57</v>
      </c>
      <c r="V1928" s="353">
        <v>1288</v>
      </c>
      <c r="W1928" s="846">
        <f>1288</f>
        <v>1288</v>
      </c>
      <c r="X1928" s="354"/>
      <c r="Y1928" s="355">
        <f t="shared" si="669"/>
        <v>0</v>
      </c>
      <c r="Z1928" s="356">
        <f t="shared" si="670"/>
        <v>0</v>
      </c>
      <c r="AA1928" s="353">
        <f t="shared" si="667"/>
        <v>0</v>
      </c>
      <c r="AB1928" s="818">
        <v>7.4999999999999997E-3</v>
      </c>
      <c r="AC1928" s="353">
        <f t="shared" si="653"/>
        <v>0</v>
      </c>
      <c r="AD1928" s="307" t="s">
        <v>728</v>
      </c>
      <c r="AE1928" s="210">
        <f t="shared" si="671"/>
        <v>0</v>
      </c>
      <c r="AF1928" s="210">
        <f t="shared" si="658"/>
        <v>0</v>
      </c>
      <c r="AG1928" s="211">
        <f t="shared" si="672"/>
        <v>0.14799999999999999</v>
      </c>
      <c r="AH1928" s="157">
        <f t="shared" si="673"/>
        <v>0</v>
      </c>
      <c r="AI1928" s="152">
        <f t="shared" si="674"/>
        <v>46368</v>
      </c>
      <c r="AK1928" s="156" t="s">
        <v>691</v>
      </c>
      <c r="AL1928" s="574" t="s">
        <v>690</v>
      </c>
      <c r="AM1928" s="198">
        <f t="shared" si="675"/>
        <v>0</v>
      </c>
      <c r="AN1928" s="199">
        <f t="shared" si="668"/>
        <v>45702</v>
      </c>
      <c r="AO1928" s="159" t="s">
        <v>692</v>
      </c>
      <c r="AP1928" s="783" t="s">
        <v>609</v>
      </c>
      <c r="AQ1928" s="782">
        <v>12071839</v>
      </c>
      <c r="AR1928" s="782">
        <v>12047514</v>
      </c>
      <c r="AS1928" s="782">
        <v>12047515</v>
      </c>
      <c r="AT1928" s="782">
        <v>12062098</v>
      </c>
      <c r="AU1928" s="782"/>
      <c r="AV1928" s="782">
        <v>12062100</v>
      </c>
      <c r="AW1928" s="782">
        <v>12024404</v>
      </c>
      <c r="AX1928" s="781"/>
      <c r="AY1928" s="782">
        <v>12062116</v>
      </c>
      <c r="AZ1928" s="782"/>
      <c r="BA1928" s="781"/>
      <c r="BB1928" s="209">
        <v>23053185</v>
      </c>
    </row>
    <row r="1929" spans="1:54" ht="24.75" hidden="1" customHeight="1">
      <c r="B1929" s="295">
        <v>45702</v>
      </c>
      <c r="C1929" s="771" t="s">
        <v>1927</v>
      </c>
      <c r="D1929" s="185">
        <f t="shared" si="665"/>
        <v>2025</v>
      </c>
      <c r="E1929" s="296" t="e">
        <f>VLOOKUP($B1929,Week!$A$1:$C$1462,2,0)</f>
        <v>#N/A</v>
      </c>
      <c r="F1929" s="297" t="str">
        <f t="shared" si="666"/>
        <v>Feb</v>
      </c>
      <c r="G1929" s="648" t="s">
        <v>47</v>
      </c>
      <c r="H1929" s="298" t="s">
        <v>260</v>
      </c>
      <c r="I1929" s="298" t="s">
        <v>2702</v>
      </c>
      <c r="J1929" s="307" t="s">
        <v>904</v>
      </c>
      <c r="K1929" s="300" t="s">
        <v>176</v>
      </c>
      <c r="L1929" s="300" t="s">
        <v>2167</v>
      </c>
      <c r="M1929" s="299" t="s">
        <v>262</v>
      </c>
      <c r="N1929" s="298" t="s">
        <v>350</v>
      </c>
      <c r="O1929" s="298" t="s">
        <v>351</v>
      </c>
      <c r="P1929" s="301">
        <v>24</v>
      </c>
      <c r="Q1929" s="301">
        <v>5</v>
      </c>
      <c r="R1929" s="302">
        <v>6.1999999999999998E-3</v>
      </c>
      <c r="S1929" s="298" t="s">
        <v>352</v>
      </c>
      <c r="T1929" s="298" t="s">
        <v>56</v>
      </c>
      <c r="U1929" s="298" t="s">
        <v>57</v>
      </c>
      <c r="V1929" s="303">
        <f>6042-3885</f>
        <v>2157</v>
      </c>
      <c r="W1929" s="303">
        <f>2157</f>
        <v>2157</v>
      </c>
      <c r="X1929" s="304"/>
      <c r="Y1929" s="305">
        <f t="shared" si="669"/>
        <v>0</v>
      </c>
      <c r="Z1929" s="306">
        <f t="shared" si="670"/>
        <v>0</v>
      </c>
      <c r="AA1929" s="306">
        <f t="shared" si="667"/>
        <v>0</v>
      </c>
      <c r="AB1929" s="814">
        <v>7.4999999999999997E-3</v>
      </c>
      <c r="AC1929" s="303">
        <f t="shared" si="653"/>
        <v>0</v>
      </c>
      <c r="AD1929" s="573"/>
      <c r="AE1929" s="210">
        <f t="shared" si="671"/>
        <v>0</v>
      </c>
      <c r="AF1929" s="210">
        <f t="shared" si="658"/>
        <v>0</v>
      </c>
      <c r="AG1929" s="211">
        <f t="shared" si="672"/>
        <v>0.13</v>
      </c>
      <c r="AH1929" s="157">
        <f t="shared" si="673"/>
        <v>0</v>
      </c>
      <c r="AI1929" s="152">
        <f t="shared" si="674"/>
        <v>51768</v>
      </c>
      <c r="AK1929" s="156" t="s">
        <v>691</v>
      </c>
      <c r="AL1929" s="574" t="s">
        <v>690</v>
      </c>
      <c r="AM1929" s="198">
        <f t="shared" si="675"/>
        <v>0</v>
      </c>
      <c r="AN1929" s="199">
        <f t="shared" si="668"/>
        <v>45702</v>
      </c>
      <c r="AO1929" s="159" t="s">
        <v>692</v>
      </c>
      <c r="AP1929" s="783" t="s">
        <v>629</v>
      </c>
      <c r="AQ1929" s="782">
        <v>12071839</v>
      </c>
      <c r="AR1929" s="782">
        <v>12078867</v>
      </c>
      <c r="AS1929" s="782">
        <v>12068233</v>
      </c>
      <c r="AT1929" s="781"/>
      <c r="AU1929" s="781"/>
      <c r="AV1929" s="782">
        <v>12062075</v>
      </c>
      <c r="AW1929" s="781"/>
      <c r="AX1929" s="781"/>
      <c r="AY1929" s="782">
        <v>12086617</v>
      </c>
      <c r="AZ1929" s="781"/>
      <c r="BA1929" s="781"/>
      <c r="BB1929" s="209">
        <v>23053185</v>
      </c>
    </row>
    <row r="1930" spans="1:54" ht="24.75" hidden="1" customHeight="1">
      <c r="B1930" s="295">
        <v>45702</v>
      </c>
      <c r="C1930" s="771" t="s">
        <v>1927</v>
      </c>
      <c r="D1930" s="185">
        <f t="shared" si="665"/>
        <v>2025</v>
      </c>
      <c r="E1930" s="296" t="e">
        <f>VLOOKUP($B1930,Week!$A$1:$C$1462,2,0)</f>
        <v>#N/A</v>
      </c>
      <c r="F1930" s="297" t="str">
        <f t="shared" si="666"/>
        <v>Feb</v>
      </c>
      <c r="G1930" s="648" t="s">
        <v>47</v>
      </c>
      <c r="H1930" s="298" t="s">
        <v>260</v>
      </c>
      <c r="I1930" s="298" t="s">
        <v>2702</v>
      </c>
      <c r="J1930" s="307" t="s">
        <v>904</v>
      </c>
      <c r="K1930" s="300" t="s">
        <v>176</v>
      </c>
      <c r="L1930" s="300" t="s">
        <v>2167</v>
      </c>
      <c r="M1930" s="299" t="s">
        <v>262</v>
      </c>
      <c r="N1930" s="298" t="s">
        <v>350</v>
      </c>
      <c r="O1930" s="298" t="s">
        <v>351</v>
      </c>
      <c r="P1930" s="301">
        <v>24</v>
      </c>
      <c r="Q1930" s="301">
        <v>5</v>
      </c>
      <c r="R1930" s="302">
        <v>6.1999999999999998E-3</v>
      </c>
      <c r="S1930" s="298" t="s">
        <v>352</v>
      </c>
      <c r="T1930" s="298" t="s">
        <v>56</v>
      </c>
      <c r="U1930" s="298" t="s">
        <v>57</v>
      </c>
      <c r="V1930" s="303">
        <f>417</f>
        <v>417</v>
      </c>
      <c r="W1930" s="303">
        <f>417</f>
        <v>417</v>
      </c>
      <c r="X1930" s="304"/>
      <c r="Y1930" s="305">
        <f t="shared" si="669"/>
        <v>0</v>
      </c>
      <c r="Z1930" s="306">
        <f t="shared" si="670"/>
        <v>0</v>
      </c>
      <c r="AA1930" s="306">
        <f t="shared" si="667"/>
        <v>0</v>
      </c>
      <c r="AB1930" s="814">
        <v>7.4999999999999997E-3</v>
      </c>
      <c r="AC1930" s="303">
        <f t="shared" si="653"/>
        <v>0</v>
      </c>
      <c r="AD1930" s="573"/>
      <c r="AE1930" s="210">
        <f t="shared" si="671"/>
        <v>0</v>
      </c>
      <c r="AF1930" s="210">
        <f t="shared" si="658"/>
        <v>0</v>
      </c>
      <c r="AG1930" s="211">
        <f t="shared" si="672"/>
        <v>0.13</v>
      </c>
      <c r="AH1930" s="157">
        <f t="shared" si="673"/>
        <v>0</v>
      </c>
      <c r="AI1930" s="152">
        <f t="shared" si="674"/>
        <v>10008</v>
      </c>
      <c r="AK1930" s="156" t="s">
        <v>691</v>
      </c>
      <c r="AL1930" s="574" t="s">
        <v>690</v>
      </c>
      <c r="AM1930" s="198">
        <f t="shared" si="675"/>
        <v>0</v>
      </c>
      <c r="AN1930" s="199">
        <f t="shared" si="668"/>
        <v>45702</v>
      </c>
      <c r="AO1930" s="159" t="s">
        <v>692</v>
      </c>
      <c r="AP1930" s="783" t="s">
        <v>629</v>
      </c>
      <c r="AQ1930" s="782">
        <v>12071839</v>
      </c>
      <c r="AR1930" s="782">
        <v>12078867</v>
      </c>
      <c r="AS1930" s="782">
        <v>12068233</v>
      </c>
      <c r="AT1930" s="781"/>
      <c r="AU1930" s="781"/>
      <c r="AV1930" s="782">
        <v>12062075</v>
      </c>
      <c r="AW1930" s="781"/>
      <c r="AX1930" s="781"/>
      <c r="AY1930" s="782">
        <v>12086617</v>
      </c>
      <c r="AZ1930" s="781"/>
      <c r="BA1930" s="781"/>
      <c r="BB1930" s="209">
        <v>23053185</v>
      </c>
    </row>
    <row r="1931" spans="1:54" ht="25" hidden="1" customHeight="1">
      <c r="B1931" s="383">
        <v>45702</v>
      </c>
      <c r="C1931" s="383">
        <v>45721</v>
      </c>
      <c r="D1931" s="185">
        <f t="shared" si="665"/>
        <v>2025</v>
      </c>
      <c r="E1931" s="224" t="e">
        <f>VLOOKUP($B1931,Week!$A$1:$C$1462,2,0)</f>
        <v>#N/A</v>
      </c>
      <c r="F1931" s="226" t="str">
        <f t="shared" si="666"/>
        <v>Feb</v>
      </c>
      <c r="G1931" s="225" t="s">
        <v>1950</v>
      </c>
      <c r="H1931" s="225" t="s">
        <v>225</v>
      </c>
      <c r="I1931" s="225" t="s">
        <v>2773</v>
      </c>
      <c r="J1931" s="227" t="s">
        <v>335</v>
      </c>
      <c r="K1931" s="228" t="s">
        <v>176</v>
      </c>
      <c r="L1931" s="300" t="s">
        <v>2167</v>
      </c>
      <c r="M1931" s="227" t="s">
        <v>336</v>
      </c>
      <c r="N1931" s="225" t="s">
        <v>337</v>
      </c>
      <c r="O1931" s="225" t="s">
        <v>179</v>
      </c>
      <c r="P1931" s="229">
        <v>36</v>
      </c>
      <c r="Q1931" s="229">
        <v>5</v>
      </c>
      <c r="R1931" s="230">
        <v>7.4999999999999997E-3</v>
      </c>
      <c r="S1931" s="225" t="s">
        <v>111</v>
      </c>
      <c r="T1931" s="225" t="s">
        <v>112</v>
      </c>
      <c r="U1931" s="225" t="s">
        <v>113</v>
      </c>
      <c r="V1931" s="231">
        <f>1288-281</f>
        <v>1007</v>
      </c>
      <c r="W1931" s="846">
        <f>1+1067-61</f>
        <v>1007</v>
      </c>
      <c r="X1931" s="232"/>
      <c r="Y1931" s="233">
        <f t="shared" si="669"/>
        <v>0</v>
      </c>
      <c r="Z1931" s="234">
        <f t="shared" si="670"/>
        <v>0</v>
      </c>
      <c r="AA1931" s="234">
        <f t="shared" si="667"/>
        <v>0</v>
      </c>
      <c r="AB1931" s="822">
        <v>9.7000000000000003E-3</v>
      </c>
      <c r="AC1931" s="231">
        <f t="shared" si="653"/>
        <v>0</v>
      </c>
      <c r="AD1931" s="307" t="s">
        <v>1622</v>
      </c>
      <c r="AE1931" s="210">
        <f t="shared" si="671"/>
        <v>0</v>
      </c>
      <c r="AF1931" s="210">
        <f t="shared" si="658"/>
        <v>0</v>
      </c>
      <c r="AG1931" s="211">
        <f t="shared" si="672"/>
        <v>0.14499999999999999</v>
      </c>
      <c r="AH1931" s="157">
        <f t="shared" si="673"/>
        <v>0</v>
      </c>
      <c r="AI1931" s="152">
        <f t="shared" si="674"/>
        <v>36252</v>
      </c>
      <c r="AK1931" s="156" t="s">
        <v>691</v>
      </c>
      <c r="AL1931" s="574" t="s">
        <v>690</v>
      </c>
      <c r="AM1931" s="198">
        <f t="shared" si="675"/>
        <v>0</v>
      </c>
      <c r="AN1931" s="199">
        <f t="shared" si="668"/>
        <v>45702</v>
      </c>
      <c r="AO1931" s="159" t="s">
        <v>692</v>
      </c>
      <c r="AP1931" s="783" t="s">
        <v>639</v>
      </c>
      <c r="AQ1931" s="782">
        <v>12071839</v>
      </c>
      <c r="AR1931" s="782">
        <v>12047514</v>
      </c>
      <c r="AS1931" s="782">
        <v>12047515</v>
      </c>
      <c r="AT1931" s="782">
        <v>12054919</v>
      </c>
      <c r="AU1931" s="781"/>
      <c r="AV1931" s="782">
        <v>12054869</v>
      </c>
      <c r="AW1931" s="782">
        <v>12024404</v>
      </c>
      <c r="AX1931" s="781"/>
      <c r="AY1931" s="782">
        <v>12054815</v>
      </c>
      <c r="AZ1931" s="781"/>
      <c r="BA1931" s="781"/>
      <c r="BB1931" s="209">
        <v>23054743</v>
      </c>
    </row>
    <row r="1932" spans="1:54" ht="24.65" hidden="1" customHeight="1">
      <c r="B1932" s="224">
        <v>45703</v>
      </c>
      <c r="C1932" s="224">
        <v>45723</v>
      </c>
      <c r="D1932" s="185">
        <f t="shared" si="665"/>
        <v>2025</v>
      </c>
      <c r="E1932" s="224" t="e">
        <f>VLOOKUP($B1932,Week!$A$1:$C$1462,2,0)</f>
        <v>#N/A</v>
      </c>
      <c r="F1932" s="226" t="str">
        <f t="shared" si="666"/>
        <v>Feb</v>
      </c>
      <c r="G1932" s="642" t="s">
        <v>2016</v>
      </c>
      <c r="H1932" s="225" t="s">
        <v>104</v>
      </c>
      <c r="I1932" s="225" t="s">
        <v>2772</v>
      </c>
      <c r="J1932" s="227" t="s">
        <v>105</v>
      </c>
      <c r="K1932" s="228" t="s">
        <v>676</v>
      </c>
      <c r="L1932" s="300" t="s">
        <v>2167</v>
      </c>
      <c r="M1932" s="227" t="s">
        <v>108</v>
      </c>
      <c r="N1932" s="225" t="s">
        <v>688</v>
      </c>
      <c r="O1932" s="225" t="s">
        <v>428</v>
      </c>
      <c r="P1932" s="229">
        <v>24</v>
      </c>
      <c r="Q1932" s="229">
        <v>5</v>
      </c>
      <c r="R1932" s="230">
        <v>6.0000000000000001E-3</v>
      </c>
      <c r="S1932" s="225" t="s">
        <v>55</v>
      </c>
      <c r="T1932" s="225" t="s">
        <v>112</v>
      </c>
      <c r="U1932" s="225" t="s">
        <v>113</v>
      </c>
      <c r="V1932" s="231">
        <f>200</f>
        <v>200</v>
      </c>
      <c r="W1932" s="231">
        <f>5+195</f>
        <v>200</v>
      </c>
      <c r="X1932" s="232"/>
      <c r="Y1932" s="233">
        <f t="shared" si="669"/>
        <v>0</v>
      </c>
      <c r="Z1932" s="234">
        <f t="shared" si="670"/>
        <v>0</v>
      </c>
      <c r="AA1932" s="234">
        <f t="shared" si="667"/>
        <v>0</v>
      </c>
      <c r="AB1932" s="822">
        <v>9.7000000000000003E-3</v>
      </c>
      <c r="AC1932" s="231">
        <f t="shared" si="653"/>
        <v>0</v>
      </c>
      <c r="AD1932" s="209"/>
      <c r="AE1932" s="210">
        <f t="shared" si="671"/>
        <v>0</v>
      </c>
      <c r="AF1932" s="210">
        <f t="shared" si="658"/>
        <v>0</v>
      </c>
      <c r="AG1932" s="211">
        <f t="shared" si="672"/>
        <v>0.308</v>
      </c>
      <c r="AH1932" s="157">
        <f t="shared" si="673"/>
        <v>0</v>
      </c>
      <c r="AI1932" s="152">
        <f t="shared" si="674"/>
        <v>4800</v>
      </c>
      <c r="AK1932" s="156" t="s">
        <v>691</v>
      </c>
      <c r="AL1932" s="212" t="s">
        <v>690</v>
      </c>
      <c r="AM1932" s="198">
        <f t="shared" si="675"/>
        <v>0</v>
      </c>
      <c r="AN1932" s="199">
        <f t="shared" si="668"/>
        <v>45703</v>
      </c>
      <c r="AO1932" s="159" t="s">
        <v>692</v>
      </c>
      <c r="AP1932" s="783" t="s">
        <v>629</v>
      </c>
      <c r="AQ1932" s="782">
        <v>12063755</v>
      </c>
      <c r="AR1932" s="782">
        <v>12061353</v>
      </c>
      <c r="AS1932" s="782">
        <v>12061354</v>
      </c>
      <c r="AT1932" s="782">
        <v>12085752</v>
      </c>
      <c r="AU1932" s="781"/>
      <c r="AV1932" s="782">
        <v>12069473</v>
      </c>
      <c r="AW1932" s="782">
        <v>12068154</v>
      </c>
      <c r="AX1932" s="782"/>
      <c r="AY1932" s="782">
        <v>12085753</v>
      </c>
      <c r="AZ1932" s="782"/>
      <c r="BA1932" s="781"/>
      <c r="BB1932" s="209">
        <v>23054743</v>
      </c>
    </row>
    <row r="1933" spans="1:54" ht="24.65" hidden="1" customHeight="1">
      <c r="B1933" s="224">
        <v>45703</v>
      </c>
      <c r="C1933" s="224">
        <v>45735</v>
      </c>
      <c r="D1933" s="185">
        <f t="shared" si="665"/>
        <v>2025</v>
      </c>
      <c r="E1933" s="224" t="e">
        <f>VLOOKUP($B1933,Week!$A$1:$C$1462,2,0)</f>
        <v>#N/A</v>
      </c>
      <c r="F1933" s="226" t="str">
        <f t="shared" si="666"/>
        <v>Feb</v>
      </c>
      <c r="G1933" s="642" t="s">
        <v>2037</v>
      </c>
      <c r="H1933" s="225" t="s">
        <v>104</v>
      </c>
      <c r="I1933" s="225" t="s">
        <v>2772</v>
      </c>
      <c r="J1933" s="227" t="s">
        <v>105</v>
      </c>
      <c r="K1933" s="228" t="s">
        <v>676</v>
      </c>
      <c r="L1933" s="300" t="s">
        <v>2167</v>
      </c>
      <c r="M1933" s="227" t="s">
        <v>108</v>
      </c>
      <c r="N1933" s="225" t="s">
        <v>688</v>
      </c>
      <c r="O1933" s="225" t="s">
        <v>428</v>
      </c>
      <c r="P1933" s="229">
        <v>24</v>
      </c>
      <c r="Q1933" s="229">
        <v>5</v>
      </c>
      <c r="R1933" s="230">
        <v>6.0000000000000001E-3</v>
      </c>
      <c r="S1933" s="225" t="s">
        <v>55</v>
      </c>
      <c r="T1933" s="225" t="s">
        <v>112</v>
      </c>
      <c r="U1933" s="225" t="s">
        <v>113</v>
      </c>
      <c r="V1933" s="231">
        <f>200</f>
        <v>200</v>
      </c>
      <c r="W1933" s="231">
        <f>330-195</f>
        <v>135</v>
      </c>
      <c r="X1933" s="232">
        <f>(1560)/24</f>
        <v>65</v>
      </c>
      <c r="Y1933" s="233">
        <f t="shared" si="669"/>
        <v>0</v>
      </c>
      <c r="Z1933" s="234">
        <f t="shared" si="670"/>
        <v>0</v>
      </c>
      <c r="AA1933" s="234">
        <f t="shared" si="667"/>
        <v>0</v>
      </c>
      <c r="AB1933" s="822">
        <v>9.7000000000000003E-3</v>
      </c>
      <c r="AC1933" s="231">
        <f t="shared" si="653"/>
        <v>0</v>
      </c>
      <c r="AD1933" s="209" t="s">
        <v>2038</v>
      </c>
      <c r="AE1933" s="210">
        <f t="shared" si="671"/>
        <v>0</v>
      </c>
      <c r="AF1933" s="210">
        <f t="shared" si="658"/>
        <v>0</v>
      </c>
      <c r="AG1933" s="211">
        <f t="shared" si="672"/>
        <v>0.308</v>
      </c>
      <c r="AH1933" s="157">
        <f t="shared" si="673"/>
        <v>0</v>
      </c>
      <c r="AI1933" s="152">
        <f t="shared" si="674"/>
        <v>4800</v>
      </c>
      <c r="AK1933" s="156" t="s">
        <v>691</v>
      </c>
      <c r="AL1933" s="212" t="s">
        <v>690</v>
      </c>
      <c r="AM1933" s="198">
        <f t="shared" si="675"/>
        <v>0</v>
      </c>
      <c r="AN1933" s="199">
        <f t="shared" si="668"/>
        <v>45703</v>
      </c>
      <c r="AO1933" s="159" t="s">
        <v>692</v>
      </c>
      <c r="AP1933" s="783" t="s">
        <v>629</v>
      </c>
      <c r="AQ1933" s="782">
        <v>12063755</v>
      </c>
      <c r="AR1933" s="782">
        <v>12061353</v>
      </c>
      <c r="AS1933" s="782">
        <v>12061354</v>
      </c>
      <c r="AT1933" s="782">
        <v>12085752</v>
      </c>
      <c r="AU1933" s="781"/>
      <c r="AV1933" s="782">
        <v>12069473</v>
      </c>
      <c r="AW1933" s="782">
        <v>12068154</v>
      </c>
      <c r="AX1933" s="782"/>
      <c r="AY1933" s="782">
        <v>12085753</v>
      </c>
      <c r="AZ1933" s="782"/>
      <c r="BA1933" s="781"/>
      <c r="BB1933" s="209">
        <v>23054743</v>
      </c>
    </row>
    <row r="1934" spans="1:54" ht="24.65" hidden="1" customHeight="1">
      <c r="B1934" s="224">
        <v>45703</v>
      </c>
      <c r="C1934" s="224">
        <v>45766</v>
      </c>
      <c r="D1934" s="185">
        <f t="shared" si="665"/>
        <v>2025</v>
      </c>
      <c r="E1934" s="224" t="e">
        <f>VLOOKUP($B1934,Week!$A$1:$C$1462,2,0)</f>
        <v>#N/A</v>
      </c>
      <c r="F1934" s="226" t="str">
        <f t="shared" si="666"/>
        <v>Feb</v>
      </c>
      <c r="G1934" s="642" t="s">
        <v>2015</v>
      </c>
      <c r="H1934" s="225" t="s">
        <v>104</v>
      </c>
      <c r="I1934" s="225" t="s">
        <v>2772</v>
      </c>
      <c r="J1934" s="227" t="s">
        <v>105</v>
      </c>
      <c r="K1934" s="228" t="s">
        <v>676</v>
      </c>
      <c r="L1934" s="300" t="s">
        <v>2167</v>
      </c>
      <c r="M1934" s="227" t="s">
        <v>108</v>
      </c>
      <c r="N1934" s="225" t="s">
        <v>688</v>
      </c>
      <c r="O1934" s="225" t="s">
        <v>428</v>
      </c>
      <c r="P1934" s="229">
        <v>24</v>
      </c>
      <c r="Q1934" s="229">
        <v>5</v>
      </c>
      <c r="R1934" s="230">
        <v>6.0000000000000001E-3</v>
      </c>
      <c r="S1934" s="225" t="s">
        <v>55</v>
      </c>
      <c r="T1934" s="225" t="s">
        <v>112</v>
      </c>
      <c r="U1934" s="225" t="s">
        <v>113</v>
      </c>
      <c r="V1934" s="231">
        <f>100</f>
        <v>100</v>
      </c>
      <c r="W1934" s="231"/>
      <c r="X1934" s="232">
        <f>(2617)/24</f>
        <v>109.04166666666667</v>
      </c>
      <c r="Y1934" s="233">
        <f t="shared" si="669"/>
        <v>9.0416666666666714</v>
      </c>
      <c r="Z1934" s="234">
        <f t="shared" si="670"/>
        <v>0</v>
      </c>
      <c r="AA1934" s="234">
        <f t="shared" si="667"/>
        <v>0</v>
      </c>
      <c r="AB1934" s="822">
        <v>9.7000000000000003E-3</v>
      </c>
      <c r="AC1934" s="231">
        <f t="shared" si="653"/>
        <v>0</v>
      </c>
      <c r="AD1934" s="209"/>
      <c r="AE1934" s="210">
        <f t="shared" si="671"/>
        <v>0</v>
      </c>
      <c r="AF1934" s="210">
        <f t="shared" si="658"/>
        <v>0</v>
      </c>
      <c r="AG1934" s="211">
        <f t="shared" si="672"/>
        <v>0.308</v>
      </c>
      <c r="AH1934" s="157">
        <f t="shared" si="673"/>
        <v>0</v>
      </c>
      <c r="AI1934" s="152">
        <f t="shared" si="674"/>
        <v>2400</v>
      </c>
      <c r="AK1934" s="156" t="s">
        <v>691</v>
      </c>
      <c r="AL1934" s="212" t="s">
        <v>690</v>
      </c>
      <c r="AM1934" s="198">
        <f t="shared" si="675"/>
        <v>0</v>
      </c>
      <c r="AN1934" s="199">
        <f t="shared" si="668"/>
        <v>45703</v>
      </c>
      <c r="AO1934" s="159" t="s">
        <v>692</v>
      </c>
      <c r="AP1934" s="783" t="s">
        <v>629</v>
      </c>
      <c r="AQ1934" s="782">
        <v>12063755</v>
      </c>
      <c r="AR1934" s="782">
        <v>12061353</v>
      </c>
      <c r="AS1934" s="782">
        <v>12061354</v>
      </c>
      <c r="AT1934" s="782">
        <v>12085752</v>
      </c>
      <c r="AU1934" s="781"/>
      <c r="AV1934" s="782">
        <v>12069473</v>
      </c>
      <c r="AW1934" s="782">
        <v>12068154</v>
      </c>
      <c r="AX1934" s="782"/>
      <c r="AY1934" s="782">
        <v>12085753</v>
      </c>
      <c r="AZ1934" s="782"/>
      <c r="BA1934" s="781"/>
      <c r="BB1934" s="209">
        <v>23054743</v>
      </c>
    </row>
    <row r="1935" spans="1:54" ht="25" hidden="1" customHeight="1">
      <c r="B1935" s="213">
        <v>45703</v>
      </c>
      <c r="C1935" s="578">
        <v>45741</v>
      </c>
      <c r="D1935" s="185">
        <f t="shared" si="665"/>
        <v>2025</v>
      </c>
      <c r="E1935" s="215" t="e">
        <f>VLOOKUP($B1935,Week!$A$1:$C$1462,2,0)</f>
        <v>#N/A</v>
      </c>
      <c r="F1935" s="216" t="str">
        <f t="shared" si="666"/>
        <v>Feb</v>
      </c>
      <c r="G1935" s="215" t="s">
        <v>1967</v>
      </c>
      <c r="H1935" s="215" t="s">
        <v>104</v>
      </c>
      <c r="I1935" s="215" t="s">
        <v>2772</v>
      </c>
      <c r="J1935" s="209" t="s">
        <v>105</v>
      </c>
      <c r="K1935" s="217" t="s">
        <v>107</v>
      </c>
      <c r="L1935" s="300" t="s">
        <v>2167</v>
      </c>
      <c r="M1935" s="209" t="s">
        <v>108</v>
      </c>
      <c r="N1935" s="215" t="s">
        <v>109</v>
      </c>
      <c r="O1935" s="215" t="s">
        <v>110</v>
      </c>
      <c r="P1935" s="218">
        <v>36</v>
      </c>
      <c r="Q1935" s="218">
        <v>5</v>
      </c>
      <c r="R1935" s="219">
        <v>7.4999999999999997E-3</v>
      </c>
      <c r="S1935" s="215" t="s">
        <v>111</v>
      </c>
      <c r="T1935" s="215" t="s">
        <v>112</v>
      </c>
      <c r="U1935" s="215" t="s">
        <v>113</v>
      </c>
      <c r="V1935" s="220">
        <v>792</v>
      </c>
      <c r="W1935" s="220">
        <f>5+787</f>
        <v>792</v>
      </c>
      <c r="X1935" s="221"/>
      <c r="Y1935" s="222">
        <f t="shared" si="669"/>
        <v>0</v>
      </c>
      <c r="Z1935" s="223">
        <f t="shared" si="670"/>
        <v>0</v>
      </c>
      <c r="AA1935" s="223">
        <f t="shared" si="667"/>
        <v>0</v>
      </c>
      <c r="AB1935" s="807">
        <v>9.7000000000000003E-3</v>
      </c>
      <c r="AC1935" s="220">
        <f t="shared" si="653"/>
        <v>0</v>
      </c>
      <c r="AD1935" s="209"/>
      <c r="AE1935" s="210">
        <f t="shared" si="671"/>
        <v>0</v>
      </c>
      <c r="AF1935" s="210">
        <f t="shared" si="658"/>
        <v>0</v>
      </c>
      <c r="AG1935" s="211">
        <f t="shared" si="672"/>
        <v>0.308</v>
      </c>
      <c r="AH1935" s="157">
        <f t="shared" si="673"/>
        <v>0</v>
      </c>
      <c r="AI1935" s="152">
        <f t="shared" si="674"/>
        <v>28512</v>
      </c>
      <c r="AK1935" s="156" t="s">
        <v>691</v>
      </c>
      <c r="AL1935" s="574" t="s">
        <v>690</v>
      </c>
      <c r="AM1935" s="198">
        <f t="shared" si="675"/>
        <v>0</v>
      </c>
      <c r="AN1935" s="199">
        <f t="shared" si="668"/>
        <v>45703</v>
      </c>
      <c r="AO1935" s="159" t="s">
        <v>692</v>
      </c>
      <c r="AP1935" s="781"/>
      <c r="AQ1935" s="782">
        <v>12063755</v>
      </c>
      <c r="AR1935" s="782">
        <v>12061353</v>
      </c>
      <c r="AS1935" s="782">
        <v>12061354</v>
      </c>
      <c r="AT1935" s="782">
        <v>12068566</v>
      </c>
      <c r="AU1935" s="781"/>
      <c r="AV1935" s="782">
        <v>12088206</v>
      </c>
      <c r="AW1935" s="782">
        <v>12088207</v>
      </c>
      <c r="AX1935" s="782"/>
      <c r="AY1935" s="782">
        <v>12068565</v>
      </c>
      <c r="AZ1935" s="782"/>
      <c r="BA1935" s="781"/>
      <c r="BB1935" s="209">
        <v>23054743</v>
      </c>
    </row>
    <row r="1936" spans="1:54" ht="25" hidden="1" customHeight="1">
      <c r="B1936" s="213">
        <v>45703</v>
      </c>
      <c r="C1936" s="578">
        <v>45748</v>
      </c>
      <c r="D1936" s="185">
        <f t="shared" si="665"/>
        <v>2025</v>
      </c>
      <c r="E1936" s="215" t="e">
        <f>VLOOKUP($B1936,Week!$A$1:$C$1462,2,0)</f>
        <v>#N/A</v>
      </c>
      <c r="F1936" s="216" t="str">
        <f t="shared" si="666"/>
        <v>Feb</v>
      </c>
      <c r="G1936" s="215" t="s">
        <v>1968</v>
      </c>
      <c r="H1936" s="215" t="s">
        <v>104</v>
      </c>
      <c r="I1936" s="215" t="s">
        <v>2772</v>
      </c>
      <c r="J1936" s="209" t="s">
        <v>105</v>
      </c>
      <c r="K1936" s="217" t="s">
        <v>107</v>
      </c>
      <c r="L1936" s="300" t="s">
        <v>2167</v>
      </c>
      <c r="M1936" s="209" t="s">
        <v>108</v>
      </c>
      <c r="N1936" s="215" t="s">
        <v>109</v>
      </c>
      <c r="O1936" s="215" t="s">
        <v>110</v>
      </c>
      <c r="P1936" s="218">
        <v>36</v>
      </c>
      <c r="Q1936" s="218">
        <v>5</v>
      </c>
      <c r="R1936" s="219">
        <v>7.4999999999999997E-3</v>
      </c>
      <c r="S1936" s="215" t="s">
        <v>111</v>
      </c>
      <c r="T1936" s="215" t="s">
        <v>112</v>
      </c>
      <c r="U1936" s="215" t="s">
        <v>113</v>
      </c>
      <c r="V1936" s="220">
        <v>792</v>
      </c>
      <c r="W1936" s="220">
        <f>1501-787</f>
        <v>714</v>
      </c>
      <c r="X1936" s="221">
        <f>(2808)/36</f>
        <v>78</v>
      </c>
      <c r="Y1936" s="222">
        <f t="shared" si="669"/>
        <v>0</v>
      </c>
      <c r="Z1936" s="223">
        <f t="shared" si="670"/>
        <v>0</v>
      </c>
      <c r="AA1936" s="223">
        <f t="shared" si="667"/>
        <v>0</v>
      </c>
      <c r="AB1936" s="807">
        <v>9.7000000000000003E-3</v>
      </c>
      <c r="AC1936" s="220">
        <f t="shared" si="653"/>
        <v>0</v>
      </c>
      <c r="AD1936" s="209"/>
      <c r="AE1936" s="210">
        <f t="shared" si="671"/>
        <v>0</v>
      </c>
      <c r="AF1936" s="210">
        <f t="shared" si="658"/>
        <v>0</v>
      </c>
      <c r="AG1936" s="211">
        <f t="shared" si="672"/>
        <v>0.308</v>
      </c>
      <c r="AH1936" s="157">
        <f t="shared" si="673"/>
        <v>0</v>
      </c>
      <c r="AI1936" s="152">
        <f t="shared" si="674"/>
        <v>28512</v>
      </c>
      <c r="AK1936" s="156" t="s">
        <v>691</v>
      </c>
      <c r="AL1936" s="574" t="s">
        <v>690</v>
      </c>
      <c r="AM1936" s="198">
        <f t="shared" si="675"/>
        <v>0</v>
      </c>
      <c r="AN1936" s="199">
        <f t="shared" si="668"/>
        <v>45703</v>
      </c>
      <c r="AO1936" s="159" t="s">
        <v>692</v>
      </c>
      <c r="AP1936" s="781"/>
      <c r="AQ1936" s="782">
        <v>12063755</v>
      </c>
      <c r="AR1936" s="782">
        <v>12061353</v>
      </c>
      <c r="AS1936" s="782">
        <v>12061354</v>
      </c>
      <c r="AT1936" s="782">
        <v>12068566</v>
      </c>
      <c r="AU1936" s="781"/>
      <c r="AV1936" s="782">
        <v>12088206</v>
      </c>
      <c r="AW1936" s="782">
        <v>12088207</v>
      </c>
      <c r="AX1936" s="782"/>
      <c r="AY1936" s="782">
        <v>12068565</v>
      </c>
      <c r="AZ1936" s="782"/>
      <c r="BA1936" s="781"/>
      <c r="BB1936" s="209">
        <v>23054743</v>
      </c>
    </row>
    <row r="1937" spans="1:54" ht="25" hidden="1" customHeight="1">
      <c r="B1937" s="258">
        <v>45703</v>
      </c>
      <c r="C1937" s="259">
        <v>45719</v>
      </c>
      <c r="D1937" s="185">
        <f t="shared" si="665"/>
        <v>2025</v>
      </c>
      <c r="E1937" s="259" t="e">
        <f>VLOOKUP($B1937,Week!$A$1:$C$1462,2,0)</f>
        <v>#N/A</v>
      </c>
      <c r="F1937" s="261" t="str">
        <f t="shared" si="666"/>
        <v>Feb</v>
      </c>
      <c r="G1937" s="260" t="s">
        <v>1976</v>
      </c>
      <c r="H1937" s="260" t="s">
        <v>424</v>
      </c>
      <c r="I1937" s="260" t="s">
        <v>2772</v>
      </c>
      <c r="J1937" s="263" t="s">
        <v>653</v>
      </c>
      <c r="K1937" s="264" t="s">
        <v>1646</v>
      </c>
      <c r="L1937" s="300" t="s">
        <v>2167</v>
      </c>
      <c r="M1937" s="263" t="s">
        <v>654</v>
      </c>
      <c r="N1937" s="260" t="s">
        <v>656</v>
      </c>
      <c r="O1937" s="260" t="s">
        <v>655</v>
      </c>
      <c r="P1937" s="265">
        <v>24</v>
      </c>
      <c r="Q1937" s="265">
        <v>5</v>
      </c>
      <c r="R1937" s="266">
        <v>7.4999999999999997E-3</v>
      </c>
      <c r="S1937" s="260" t="s">
        <v>40</v>
      </c>
      <c r="T1937" s="260" t="s">
        <v>112</v>
      </c>
      <c r="U1937" s="775" t="s">
        <v>1894</v>
      </c>
      <c r="V1937" s="267">
        <v>924</v>
      </c>
      <c r="W1937" s="267">
        <f>44+880</f>
        <v>924</v>
      </c>
      <c r="X1937" s="268"/>
      <c r="Y1937" s="269">
        <f t="shared" si="669"/>
        <v>0</v>
      </c>
      <c r="Z1937" s="270">
        <f t="shared" si="670"/>
        <v>0</v>
      </c>
      <c r="AA1937" s="270">
        <f t="shared" si="667"/>
        <v>0</v>
      </c>
      <c r="AB1937" s="811">
        <v>3.8699999999999998E-2</v>
      </c>
      <c r="AC1937" s="267">
        <f t="shared" si="653"/>
        <v>0</v>
      </c>
      <c r="AD1937" s="443"/>
      <c r="AE1937" s="210">
        <f t="shared" si="671"/>
        <v>0</v>
      </c>
      <c r="AF1937" s="210">
        <f t="shared" si="658"/>
        <v>0</v>
      </c>
      <c r="AG1937" s="211">
        <f t="shared" si="672"/>
        <v>0.307</v>
      </c>
      <c r="AH1937" s="157">
        <f t="shared" si="673"/>
        <v>0</v>
      </c>
      <c r="AI1937" s="152">
        <f t="shared" si="674"/>
        <v>22176</v>
      </c>
      <c r="AK1937" s="156" t="s">
        <v>691</v>
      </c>
      <c r="AL1937" s="212" t="s">
        <v>690</v>
      </c>
      <c r="AM1937" s="198">
        <f t="shared" si="675"/>
        <v>0</v>
      </c>
      <c r="AN1937" s="199">
        <f t="shared" si="668"/>
        <v>45703</v>
      </c>
      <c r="AO1937" s="159" t="s">
        <v>692</v>
      </c>
      <c r="AP1937" s="781" t="s">
        <v>642</v>
      </c>
      <c r="AQ1937" s="782">
        <v>12063755</v>
      </c>
      <c r="AR1937" s="782">
        <v>12061353</v>
      </c>
      <c r="AS1937" s="782">
        <v>12061354</v>
      </c>
      <c r="AT1937" s="782">
        <v>12084607</v>
      </c>
      <c r="AU1937" s="781"/>
      <c r="AV1937" s="782">
        <v>12084608</v>
      </c>
      <c r="AW1937" s="782">
        <v>12068154</v>
      </c>
      <c r="AX1937" s="782"/>
      <c r="AY1937" s="782">
        <v>12084606</v>
      </c>
      <c r="AZ1937" s="782"/>
      <c r="BA1937" s="781"/>
      <c r="BB1937" s="209">
        <v>23105470</v>
      </c>
    </row>
    <row r="1938" spans="1:54" ht="25" hidden="1" customHeight="1">
      <c r="B1938" s="258">
        <v>45703</v>
      </c>
      <c r="C1938" s="259">
        <v>45733</v>
      </c>
      <c r="D1938" s="185">
        <f t="shared" si="665"/>
        <v>2025</v>
      </c>
      <c r="E1938" s="259" t="e">
        <f>VLOOKUP($B1938,Week!$A$1:$C$1462,2,0)</f>
        <v>#N/A</v>
      </c>
      <c r="F1938" s="261" t="str">
        <f t="shared" si="666"/>
        <v>Feb</v>
      </c>
      <c r="G1938" s="260" t="s">
        <v>1977</v>
      </c>
      <c r="H1938" s="260" t="s">
        <v>424</v>
      </c>
      <c r="I1938" s="260" t="s">
        <v>2772</v>
      </c>
      <c r="J1938" s="263" t="s">
        <v>653</v>
      </c>
      <c r="K1938" s="264" t="s">
        <v>1646</v>
      </c>
      <c r="L1938" s="300" t="s">
        <v>2167</v>
      </c>
      <c r="M1938" s="263" t="s">
        <v>654</v>
      </c>
      <c r="N1938" s="260" t="s">
        <v>656</v>
      </c>
      <c r="O1938" s="260" t="s">
        <v>655</v>
      </c>
      <c r="P1938" s="265">
        <v>24</v>
      </c>
      <c r="Q1938" s="265">
        <v>5</v>
      </c>
      <c r="R1938" s="266">
        <v>7.4999999999999997E-3</v>
      </c>
      <c r="S1938" s="260" t="s">
        <v>40</v>
      </c>
      <c r="T1938" s="260" t="s">
        <v>112</v>
      </c>
      <c r="U1938" s="775" t="s">
        <v>1894</v>
      </c>
      <c r="V1938" s="267">
        <v>924</v>
      </c>
      <c r="W1938" s="267">
        <f>1783-880</f>
        <v>903</v>
      </c>
      <c r="X1938" s="268">
        <f>(504)/24</f>
        <v>21</v>
      </c>
      <c r="Y1938" s="269">
        <f t="shared" si="669"/>
        <v>0</v>
      </c>
      <c r="Z1938" s="270">
        <f t="shared" si="670"/>
        <v>0</v>
      </c>
      <c r="AA1938" s="270">
        <f t="shared" si="667"/>
        <v>0</v>
      </c>
      <c r="AB1938" s="811">
        <v>3.8699999999999998E-2</v>
      </c>
      <c r="AC1938" s="267">
        <f t="shared" si="653"/>
        <v>0</v>
      </c>
      <c r="AD1938" s="443"/>
      <c r="AE1938" s="210">
        <f t="shared" si="671"/>
        <v>0</v>
      </c>
      <c r="AF1938" s="210">
        <f t="shared" si="658"/>
        <v>0</v>
      </c>
      <c r="AG1938" s="211">
        <f t="shared" si="672"/>
        <v>0.307</v>
      </c>
      <c r="AH1938" s="157">
        <f t="shared" si="673"/>
        <v>0</v>
      </c>
      <c r="AI1938" s="152">
        <f t="shared" si="674"/>
        <v>22176</v>
      </c>
      <c r="AK1938" s="156" t="s">
        <v>691</v>
      </c>
      <c r="AL1938" s="212" t="s">
        <v>690</v>
      </c>
      <c r="AM1938" s="198">
        <f t="shared" si="675"/>
        <v>0</v>
      </c>
      <c r="AN1938" s="199">
        <f t="shared" si="668"/>
        <v>45703</v>
      </c>
      <c r="AO1938" s="159" t="s">
        <v>692</v>
      </c>
      <c r="AP1938" s="781" t="s">
        <v>642</v>
      </c>
      <c r="AQ1938" s="782">
        <v>12063755</v>
      </c>
      <c r="AR1938" s="782">
        <v>12061353</v>
      </c>
      <c r="AS1938" s="782">
        <v>12061354</v>
      </c>
      <c r="AT1938" s="782">
        <v>12084607</v>
      </c>
      <c r="AU1938" s="781"/>
      <c r="AV1938" s="782">
        <v>12084608</v>
      </c>
      <c r="AW1938" s="782">
        <v>12068154</v>
      </c>
      <c r="AX1938" s="782"/>
      <c r="AY1938" s="782">
        <v>12084606</v>
      </c>
      <c r="AZ1938" s="782"/>
      <c r="BA1938" s="781"/>
      <c r="BB1938" s="209">
        <v>23105470</v>
      </c>
    </row>
    <row r="1939" spans="1:54" ht="25" hidden="1" customHeight="1">
      <c r="B1939" s="332">
        <v>45703</v>
      </c>
      <c r="C1939" s="333">
        <v>45733</v>
      </c>
      <c r="D1939" s="185">
        <f t="shared" si="665"/>
        <v>2025</v>
      </c>
      <c r="E1939" s="333" t="e">
        <f>VLOOKUP($B1939,Week!$A$1:$C$1462,2,0)</f>
        <v>#N/A</v>
      </c>
      <c r="F1939" s="334" t="str">
        <f t="shared" si="666"/>
        <v>Feb</v>
      </c>
      <c r="G1939" s="335" t="s">
        <v>1978</v>
      </c>
      <c r="H1939" s="335" t="s">
        <v>571</v>
      </c>
      <c r="I1939" s="335" t="s">
        <v>2772</v>
      </c>
      <c r="J1939" s="336" t="s">
        <v>663</v>
      </c>
      <c r="K1939" s="337" t="s">
        <v>1649</v>
      </c>
      <c r="L1939" s="300" t="s">
        <v>2167</v>
      </c>
      <c r="M1939" s="336" t="s">
        <v>603</v>
      </c>
      <c r="N1939" s="335" t="s">
        <v>658</v>
      </c>
      <c r="O1939" s="335" t="s">
        <v>659</v>
      </c>
      <c r="P1939" s="338">
        <v>12</v>
      </c>
      <c r="Q1939" s="338">
        <v>3</v>
      </c>
      <c r="R1939" s="339">
        <v>6.0000000000000001E-3</v>
      </c>
      <c r="S1939" s="335" t="s">
        <v>55</v>
      </c>
      <c r="T1939" s="335" t="s">
        <v>112</v>
      </c>
      <c r="U1939" s="340" t="s">
        <v>1894</v>
      </c>
      <c r="V1939" s="341">
        <f>2278</f>
        <v>2278</v>
      </c>
      <c r="W1939" s="341"/>
      <c r="X1939" s="342">
        <f>(551+28845)/12</f>
        <v>2449.6666666666665</v>
      </c>
      <c r="Y1939" s="343">
        <f t="shared" si="669"/>
        <v>171.66666666666652</v>
      </c>
      <c r="Z1939" s="344">
        <f t="shared" si="670"/>
        <v>0</v>
      </c>
      <c r="AA1939" s="344">
        <f t="shared" si="667"/>
        <v>0</v>
      </c>
      <c r="AB1939" s="817">
        <v>3.8699999999999998E-2</v>
      </c>
      <c r="AC1939" s="341">
        <f t="shared" si="653"/>
        <v>0</v>
      </c>
      <c r="AD1939" s="636"/>
      <c r="AE1939" s="210">
        <f t="shared" si="671"/>
        <v>0</v>
      </c>
      <c r="AF1939" s="210">
        <f t="shared" si="658"/>
        <v>0</v>
      </c>
      <c r="AG1939" s="211">
        <f t="shared" si="672"/>
        <v>0.30199999999999999</v>
      </c>
      <c r="AH1939" s="157">
        <v>0.26621999999999996</v>
      </c>
      <c r="AI1939" s="152">
        <f t="shared" si="674"/>
        <v>27336</v>
      </c>
      <c r="AK1939" s="156" t="s">
        <v>691</v>
      </c>
      <c r="AL1939" s="212" t="s">
        <v>690</v>
      </c>
      <c r="AM1939" s="198">
        <f t="shared" si="675"/>
        <v>0</v>
      </c>
      <c r="AN1939" s="199">
        <f t="shared" si="668"/>
        <v>45703</v>
      </c>
      <c r="AO1939" s="159" t="s">
        <v>692</v>
      </c>
      <c r="AP1939" s="781" t="s">
        <v>642</v>
      </c>
      <c r="AQ1939" s="782">
        <v>12063755</v>
      </c>
      <c r="AR1939" s="782">
        <v>12061353</v>
      </c>
      <c r="AS1939" s="782">
        <v>12061354</v>
      </c>
      <c r="AT1939" s="782">
        <v>12090251</v>
      </c>
      <c r="AU1939" s="781"/>
      <c r="AV1939" s="782">
        <v>12090248</v>
      </c>
      <c r="AW1939" s="781"/>
      <c r="AX1939" s="781"/>
      <c r="AY1939" s="782"/>
      <c r="AZ1939" s="782"/>
      <c r="BA1939" s="782"/>
      <c r="BB1939" s="209">
        <v>23105470</v>
      </c>
    </row>
    <row r="1940" spans="1:54" ht="25" hidden="1" customHeight="1">
      <c r="B1940" s="183">
        <v>45704</v>
      </c>
      <c r="C1940" s="184"/>
      <c r="D1940" s="185">
        <f t="shared" si="665"/>
        <v>2025</v>
      </c>
      <c r="E1940" s="185" t="e">
        <f>VLOOKUP($B1940,Week!$A$1:$C$1462,2,0)</f>
        <v>#N/A</v>
      </c>
      <c r="F1940" s="186" t="str">
        <f t="shared" si="666"/>
        <v>Feb</v>
      </c>
      <c r="G1940" s="185"/>
      <c r="H1940" s="185"/>
      <c r="I1940" s="185"/>
      <c r="J1940" s="187"/>
      <c r="K1940" s="188"/>
      <c r="L1940" s="300"/>
      <c r="M1940" s="187"/>
      <c r="N1940" s="185"/>
      <c r="O1940" s="185"/>
      <c r="P1940" s="189"/>
      <c r="Q1940" s="189"/>
      <c r="R1940" s="190"/>
      <c r="S1940" s="185"/>
      <c r="T1940" s="185"/>
      <c r="U1940" s="185"/>
      <c r="V1940" s="191"/>
      <c r="W1940" s="191"/>
      <c r="X1940" s="192"/>
      <c r="Y1940" s="193"/>
      <c r="Z1940" s="194"/>
      <c r="AA1940" s="194">
        <f t="shared" si="667"/>
        <v>0</v>
      </c>
      <c r="AB1940" s="805"/>
      <c r="AC1940" s="191">
        <f t="shared" si="653"/>
        <v>0</v>
      </c>
      <c r="AD1940" s="187"/>
      <c r="AE1940" s="195"/>
      <c r="AF1940" s="195"/>
      <c r="AG1940" s="196"/>
      <c r="AH1940" s="197"/>
      <c r="AK1940" s="156" t="s">
        <v>691</v>
      </c>
      <c r="AM1940" s="198">
        <f t="shared" si="675"/>
        <v>0</v>
      </c>
      <c r="AN1940" s="199">
        <f t="shared" si="668"/>
        <v>45704</v>
      </c>
      <c r="AO1940" s="159" t="s">
        <v>692</v>
      </c>
      <c r="AP1940" s="781"/>
      <c r="AQ1940" s="782"/>
      <c r="AR1940" s="782"/>
      <c r="AS1940" s="782"/>
      <c r="AT1940" s="782"/>
      <c r="AU1940" s="781"/>
      <c r="AV1940" s="782"/>
      <c r="AW1940" s="782"/>
      <c r="AX1940" s="782"/>
      <c r="AY1940" s="782"/>
      <c r="AZ1940" s="782"/>
      <c r="BA1940" s="781"/>
      <c r="BB1940" s="209"/>
    </row>
    <row r="1941" spans="1:54" ht="25" hidden="1" customHeight="1">
      <c r="A1941" s="142" t="s">
        <v>120</v>
      </c>
      <c r="B1941" s="369">
        <v>45705</v>
      </c>
      <c r="C1941" s="370">
        <v>45716</v>
      </c>
      <c r="D1941" s="185">
        <f t="shared" si="665"/>
        <v>2025</v>
      </c>
      <c r="E1941" s="371" t="e">
        <f>VLOOKUP($B1941,Week!$A$1:$C$1462,2,0)</f>
        <v>#N/A</v>
      </c>
      <c r="F1941" s="372" t="str">
        <f t="shared" si="666"/>
        <v>Feb</v>
      </c>
      <c r="G1941" s="371" t="s">
        <v>1886</v>
      </c>
      <c r="H1941" s="371" t="s">
        <v>344</v>
      </c>
      <c r="I1941" s="371" t="s">
        <v>2772</v>
      </c>
      <c r="J1941" s="373" t="s">
        <v>345</v>
      </c>
      <c r="K1941" s="374" t="s">
        <v>153</v>
      </c>
      <c r="L1941" s="390" t="s">
        <v>2166</v>
      </c>
      <c r="M1941" s="373" t="s">
        <v>214</v>
      </c>
      <c r="N1941" s="371" t="s">
        <v>346</v>
      </c>
      <c r="O1941" s="371" t="s">
        <v>509</v>
      </c>
      <c r="P1941" s="375">
        <v>18</v>
      </c>
      <c r="Q1941" s="375">
        <v>8</v>
      </c>
      <c r="R1941" s="376">
        <v>6.8100000000000001E-3</v>
      </c>
      <c r="S1941" s="371" t="s">
        <v>76</v>
      </c>
      <c r="T1941" s="371" t="s">
        <v>56</v>
      </c>
      <c r="U1941" s="371" t="s">
        <v>89</v>
      </c>
      <c r="V1941" s="377">
        <f>1600</f>
        <v>1600</v>
      </c>
      <c r="W1941" s="377">
        <f>1082</f>
        <v>1082</v>
      </c>
      <c r="X1941" s="378">
        <f>(9324)/18</f>
        <v>518</v>
      </c>
      <c r="Y1941" s="379">
        <f t="shared" ref="Y1941:Y1969" si="676">(W1941+X1941)-V1941</f>
        <v>0</v>
      </c>
      <c r="Z1941" s="380">
        <f t="shared" ref="Z1941:Z1969" si="677">IF(Y1941&lt;0,((V1941*P1941)-((W1941+X1941)*P1941)),0)</f>
        <v>0</v>
      </c>
      <c r="AA1941" s="380">
        <f t="shared" si="667"/>
        <v>0</v>
      </c>
      <c r="AB1941" s="820">
        <v>1</v>
      </c>
      <c r="AC1941" s="377">
        <f t="shared" si="653"/>
        <v>0</v>
      </c>
      <c r="AD1941" s="443"/>
      <c r="AE1941" s="210">
        <f t="shared" ref="AE1941:AE1969" si="678">SUM(Q1941*R1941*Z1941)/1000</f>
        <v>0</v>
      </c>
      <c r="AF1941" s="210">
        <f t="shared" si="658"/>
        <v>0</v>
      </c>
      <c r="AG1941" s="211">
        <f t="shared" ref="AG1941:AG1949" si="679">MID(O1941,1,3)/1000</f>
        <v>0.10100000000000001</v>
      </c>
      <c r="AH1941" s="157">
        <f t="shared" ref="AH1941:AH1969" si="680">(Z1941*AG1941)/1000</f>
        <v>0</v>
      </c>
      <c r="AI1941" s="152">
        <f t="shared" ref="AI1941:AI1949" si="681">V1941*P1941</f>
        <v>28800</v>
      </c>
      <c r="AK1941" s="156" t="s">
        <v>691</v>
      </c>
      <c r="AL1941" s="156" t="s">
        <v>689</v>
      </c>
      <c r="AM1941" s="198">
        <f t="shared" si="675"/>
        <v>0</v>
      </c>
      <c r="AN1941" s="199">
        <f t="shared" si="668"/>
        <v>45705</v>
      </c>
      <c r="AO1941" s="159" t="s">
        <v>692</v>
      </c>
      <c r="AP1941" s="781"/>
      <c r="AQ1941" s="783" t="s">
        <v>631</v>
      </c>
      <c r="AR1941" s="782">
        <v>12038019</v>
      </c>
      <c r="AS1941" s="781"/>
      <c r="AT1941" s="800">
        <v>12055751</v>
      </c>
      <c r="AU1941" s="781"/>
      <c r="AV1941" s="800">
        <v>12049471</v>
      </c>
      <c r="AW1941" s="781"/>
      <c r="AX1941" s="781" t="s">
        <v>162</v>
      </c>
      <c r="AY1941" s="781"/>
      <c r="AZ1941" s="781"/>
      <c r="BA1941" s="781"/>
      <c r="BB1941" s="209">
        <v>23053184</v>
      </c>
    </row>
    <row r="1942" spans="1:54" ht="24.65" hidden="1" customHeight="1">
      <c r="B1942" s="369">
        <v>45705</v>
      </c>
      <c r="C1942" s="370">
        <v>45721</v>
      </c>
      <c r="D1942" s="185">
        <f t="shared" si="665"/>
        <v>2025</v>
      </c>
      <c r="E1942" s="370" t="e">
        <f>VLOOKUP($B1942,Week!$A$1:$C$1462,2,0)</f>
        <v>#N/A</v>
      </c>
      <c r="F1942" s="372" t="str">
        <f t="shared" si="666"/>
        <v>Feb</v>
      </c>
      <c r="G1942" s="439" t="s">
        <v>1957</v>
      </c>
      <c r="H1942" s="371" t="s">
        <v>104</v>
      </c>
      <c r="I1942" s="371" t="s">
        <v>2772</v>
      </c>
      <c r="J1942" s="373" t="s">
        <v>105</v>
      </c>
      <c r="K1942" s="374" t="s">
        <v>593</v>
      </c>
      <c r="L1942" s="300" t="s">
        <v>2167</v>
      </c>
      <c r="M1942" s="373" t="s">
        <v>594</v>
      </c>
      <c r="N1942" s="371" t="s">
        <v>687</v>
      </c>
      <c r="O1942" s="371" t="s">
        <v>415</v>
      </c>
      <c r="P1942" s="375">
        <v>24</v>
      </c>
      <c r="Q1942" s="375">
        <v>5</v>
      </c>
      <c r="R1942" s="376">
        <v>6.0000000000000001E-3</v>
      </c>
      <c r="S1942" s="371" t="s">
        <v>55</v>
      </c>
      <c r="T1942" s="371" t="s">
        <v>112</v>
      </c>
      <c r="U1942" s="371" t="s">
        <v>57</v>
      </c>
      <c r="V1942" s="377">
        <f>900</f>
        <v>900</v>
      </c>
      <c r="W1942" s="377"/>
      <c r="X1942" s="378">
        <f>(367+21233)/24</f>
        <v>900</v>
      </c>
      <c r="Y1942" s="379">
        <f t="shared" si="676"/>
        <v>0</v>
      </c>
      <c r="Z1942" s="380">
        <f t="shared" si="677"/>
        <v>0</v>
      </c>
      <c r="AA1942" s="380">
        <f t="shared" si="667"/>
        <v>0</v>
      </c>
      <c r="AB1942" s="820">
        <v>7.4999999999999997E-3</v>
      </c>
      <c r="AC1942" s="377">
        <f t="shared" si="653"/>
        <v>0</v>
      </c>
      <c r="AD1942" s="486"/>
      <c r="AE1942" s="210">
        <f t="shared" si="678"/>
        <v>0</v>
      </c>
      <c r="AF1942" s="210">
        <f t="shared" si="658"/>
        <v>0</v>
      </c>
      <c r="AG1942" s="211">
        <f t="shared" si="679"/>
        <v>0.25800000000000001</v>
      </c>
      <c r="AH1942" s="157">
        <f t="shared" si="680"/>
        <v>0</v>
      </c>
      <c r="AI1942" s="152">
        <f t="shared" si="681"/>
        <v>21600</v>
      </c>
      <c r="AK1942" s="156" t="s">
        <v>691</v>
      </c>
      <c r="AL1942" s="212" t="s">
        <v>690</v>
      </c>
      <c r="AM1942" s="198">
        <f t="shared" si="675"/>
        <v>0</v>
      </c>
      <c r="AN1942" s="199">
        <f t="shared" si="668"/>
        <v>45705</v>
      </c>
      <c r="AO1942" s="159" t="s">
        <v>692</v>
      </c>
      <c r="AP1942" s="783"/>
      <c r="AQ1942" s="782">
        <v>12071839</v>
      </c>
      <c r="AR1942" s="782">
        <v>12042650</v>
      </c>
      <c r="AS1942" s="782">
        <v>12042649</v>
      </c>
      <c r="AT1942" s="782">
        <v>12085742</v>
      </c>
      <c r="AU1942" s="781"/>
      <c r="AV1942" s="782">
        <v>12085744</v>
      </c>
      <c r="AW1942" s="782">
        <v>12049607</v>
      </c>
      <c r="AX1942" s="782"/>
      <c r="AY1942" s="782">
        <v>12085747</v>
      </c>
      <c r="AZ1942" s="782"/>
      <c r="BA1942" s="781"/>
      <c r="BB1942" s="209">
        <v>23053185</v>
      </c>
    </row>
    <row r="1943" spans="1:54" ht="24.65" hidden="1" customHeight="1">
      <c r="B1943" s="369">
        <v>45705</v>
      </c>
      <c r="C1943" s="370">
        <v>45721</v>
      </c>
      <c r="D1943" s="185">
        <f t="shared" si="665"/>
        <v>2025</v>
      </c>
      <c r="E1943" s="370" t="e">
        <f>VLOOKUP($B1943,Week!$A$1:$C$1462,2,0)</f>
        <v>#N/A</v>
      </c>
      <c r="F1943" s="372" t="str">
        <f t="shared" si="666"/>
        <v>Feb</v>
      </c>
      <c r="G1943" s="439" t="s">
        <v>2014</v>
      </c>
      <c r="H1943" s="371" t="s">
        <v>104</v>
      </c>
      <c r="I1943" s="371" t="s">
        <v>2772</v>
      </c>
      <c r="J1943" s="373" t="s">
        <v>105</v>
      </c>
      <c r="K1943" s="374" t="s">
        <v>593</v>
      </c>
      <c r="L1943" s="300" t="s">
        <v>2167</v>
      </c>
      <c r="M1943" s="373" t="s">
        <v>594</v>
      </c>
      <c r="N1943" s="371" t="s">
        <v>687</v>
      </c>
      <c r="O1943" s="371" t="s">
        <v>415</v>
      </c>
      <c r="P1943" s="375">
        <v>24</v>
      </c>
      <c r="Q1943" s="375">
        <v>5</v>
      </c>
      <c r="R1943" s="376">
        <v>6.0000000000000001E-3</v>
      </c>
      <c r="S1943" s="371" t="s">
        <v>55</v>
      </c>
      <c r="T1943" s="371" t="s">
        <v>112</v>
      </c>
      <c r="U1943" s="371" t="s">
        <v>57</v>
      </c>
      <c r="V1943" s="377">
        <f>800</f>
        <v>800</v>
      </c>
      <c r="W1943" s="377"/>
      <c r="X1943" s="378">
        <f>(19200)/24</f>
        <v>800</v>
      </c>
      <c r="Y1943" s="379">
        <f t="shared" si="676"/>
        <v>0</v>
      </c>
      <c r="Z1943" s="380">
        <f t="shared" si="677"/>
        <v>0</v>
      </c>
      <c r="AA1943" s="380">
        <f t="shared" si="667"/>
        <v>0</v>
      </c>
      <c r="AB1943" s="820">
        <v>7.4999999999999997E-3</v>
      </c>
      <c r="AC1943" s="377">
        <f t="shared" si="653"/>
        <v>0</v>
      </c>
      <c r="AD1943" s="486"/>
      <c r="AE1943" s="210">
        <f t="shared" si="678"/>
        <v>0</v>
      </c>
      <c r="AF1943" s="210">
        <f t="shared" si="658"/>
        <v>0</v>
      </c>
      <c r="AG1943" s="211">
        <f t="shared" si="679"/>
        <v>0.25800000000000001</v>
      </c>
      <c r="AH1943" s="157">
        <f t="shared" si="680"/>
        <v>0</v>
      </c>
      <c r="AI1943" s="152">
        <f t="shared" si="681"/>
        <v>19200</v>
      </c>
      <c r="AK1943" s="156" t="s">
        <v>691</v>
      </c>
      <c r="AL1943" s="212" t="s">
        <v>690</v>
      </c>
      <c r="AM1943" s="198">
        <f t="shared" si="675"/>
        <v>0</v>
      </c>
      <c r="AN1943" s="199">
        <f t="shared" si="668"/>
        <v>45705</v>
      </c>
      <c r="AO1943" s="159" t="s">
        <v>692</v>
      </c>
      <c r="AP1943" s="783"/>
      <c r="AQ1943" s="782">
        <v>12071839</v>
      </c>
      <c r="AR1943" s="782">
        <v>12042650</v>
      </c>
      <c r="AS1943" s="782">
        <v>12042649</v>
      </c>
      <c r="AT1943" s="782">
        <v>12085742</v>
      </c>
      <c r="AU1943" s="781"/>
      <c r="AV1943" s="782">
        <v>12085744</v>
      </c>
      <c r="AW1943" s="782">
        <v>12049607</v>
      </c>
      <c r="AX1943" s="782"/>
      <c r="AY1943" s="782">
        <v>12085747</v>
      </c>
      <c r="AZ1943" s="782"/>
      <c r="BA1943" s="781"/>
      <c r="BB1943" s="209">
        <v>23053185</v>
      </c>
    </row>
    <row r="1944" spans="1:54" ht="24.65" hidden="1" customHeight="1">
      <c r="B1944" s="369">
        <v>45705</v>
      </c>
      <c r="C1944" s="370">
        <v>45723</v>
      </c>
      <c r="D1944" s="185">
        <f t="shared" si="665"/>
        <v>2025</v>
      </c>
      <c r="E1944" s="370" t="e">
        <f>VLOOKUP($B1944,Week!$A$1:$C$1462,2,0)</f>
        <v>#N/A</v>
      </c>
      <c r="F1944" s="372" t="str">
        <f t="shared" si="666"/>
        <v>Feb</v>
      </c>
      <c r="G1944" s="439" t="s">
        <v>2016</v>
      </c>
      <c r="H1944" s="371" t="s">
        <v>104</v>
      </c>
      <c r="I1944" s="371" t="s">
        <v>2772</v>
      </c>
      <c r="J1944" s="373" t="s">
        <v>105</v>
      </c>
      <c r="K1944" s="374" t="s">
        <v>593</v>
      </c>
      <c r="L1944" s="300" t="s">
        <v>2167</v>
      </c>
      <c r="M1944" s="373" t="s">
        <v>594</v>
      </c>
      <c r="N1944" s="371" t="s">
        <v>687</v>
      </c>
      <c r="O1944" s="371" t="s">
        <v>415</v>
      </c>
      <c r="P1944" s="375">
        <v>24</v>
      </c>
      <c r="Q1944" s="375">
        <v>5</v>
      </c>
      <c r="R1944" s="376">
        <v>6.0000000000000001E-3</v>
      </c>
      <c r="S1944" s="371" t="s">
        <v>55</v>
      </c>
      <c r="T1944" s="371" t="s">
        <v>112</v>
      </c>
      <c r="U1944" s="371" t="s">
        <v>57</v>
      </c>
      <c r="V1944" s="377">
        <f>800</f>
        <v>800</v>
      </c>
      <c r="W1944" s="377"/>
      <c r="X1944" s="378">
        <f>(19200)/24</f>
        <v>800</v>
      </c>
      <c r="Y1944" s="379">
        <f t="shared" si="676"/>
        <v>0</v>
      </c>
      <c r="Z1944" s="380">
        <f t="shared" si="677"/>
        <v>0</v>
      </c>
      <c r="AA1944" s="380">
        <f t="shared" si="667"/>
        <v>0</v>
      </c>
      <c r="AB1944" s="820">
        <v>7.4999999999999997E-3</v>
      </c>
      <c r="AC1944" s="377">
        <f t="shared" si="653"/>
        <v>0</v>
      </c>
      <c r="AD1944" s="486"/>
      <c r="AE1944" s="210">
        <f t="shared" si="678"/>
        <v>0</v>
      </c>
      <c r="AF1944" s="210">
        <f t="shared" si="658"/>
        <v>0</v>
      </c>
      <c r="AG1944" s="211">
        <f t="shared" si="679"/>
        <v>0.25800000000000001</v>
      </c>
      <c r="AH1944" s="157">
        <f t="shared" si="680"/>
        <v>0</v>
      </c>
      <c r="AI1944" s="152">
        <f t="shared" si="681"/>
        <v>19200</v>
      </c>
      <c r="AK1944" s="156" t="s">
        <v>691</v>
      </c>
      <c r="AL1944" s="212" t="s">
        <v>690</v>
      </c>
      <c r="AM1944" s="198">
        <f t="shared" si="675"/>
        <v>0</v>
      </c>
      <c r="AN1944" s="199">
        <f t="shared" si="668"/>
        <v>45705</v>
      </c>
      <c r="AO1944" s="159" t="s">
        <v>692</v>
      </c>
      <c r="AP1944" s="783"/>
      <c r="AQ1944" s="782">
        <v>12071839</v>
      </c>
      <c r="AR1944" s="782">
        <v>12042650</v>
      </c>
      <c r="AS1944" s="782">
        <v>12042649</v>
      </c>
      <c r="AT1944" s="782">
        <v>12085742</v>
      </c>
      <c r="AU1944" s="781"/>
      <c r="AV1944" s="782">
        <v>12085744</v>
      </c>
      <c r="AW1944" s="782">
        <v>12049607</v>
      </c>
      <c r="AX1944" s="782"/>
      <c r="AY1944" s="782">
        <v>12085747</v>
      </c>
      <c r="AZ1944" s="782"/>
      <c r="BA1944" s="781"/>
      <c r="BB1944" s="209">
        <v>23053185</v>
      </c>
    </row>
    <row r="1945" spans="1:54" ht="24.65" hidden="1" customHeight="1">
      <c r="B1945" s="369">
        <v>45705</v>
      </c>
      <c r="C1945" s="370">
        <v>45735</v>
      </c>
      <c r="D1945" s="185">
        <f t="shared" si="665"/>
        <v>2025</v>
      </c>
      <c r="E1945" s="370" t="e">
        <f>VLOOKUP($B1945,Week!$A$1:$C$1462,2,0)</f>
        <v>#N/A</v>
      </c>
      <c r="F1945" s="372" t="str">
        <f t="shared" si="666"/>
        <v>Feb</v>
      </c>
      <c r="G1945" s="439" t="s">
        <v>2037</v>
      </c>
      <c r="H1945" s="371" t="s">
        <v>104</v>
      </c>
      <c r="I1945" s="371" t="s">
        <v>2772</v>
      </c>
      <c r="J1945" s="373" t="s">
        <v>105</v>
      </c>
      <c r="K1945" s="374" t="s">
        <v>593</v>
      </c>
      <c r="L1945" s="300" t="s">
        <v>2167</v>
      </c>
      <c r="M1945" s="373" t="s">
        <v>594</v>
      </c>
      <c r="N1945" s="371" t="s">
        <v>687</v>
      </c>
      <c r="O1945" s="371" t="s">
        <v>415</v>
      </c>
      <c r="P1945" s="375">
        <v>24</v>
      </c>
      <c r="Q1945" s="375">
        <v>5</v>
      </c>
      <c r="R1945" s="376">
        <v>6.0000000000000001E-3</v>
      </c>
      <c r="S1945" s="371" t="s">
        <v>55</v>
      </c>
      <c r="T1945" s="371" t="s">
        <v>112</v>
      </c>
      <c r="U1945" s="371" t="s">
        <v>57</v>
      </c>
      <c r="V1945" s="377">
        <f>700</f>
        <v>700</v>
      </c>
      <c r="W1945" s="377"/>
      <c r="X1945" s="378">
        <f>(16800)/24</f>
        <v>700</v>
      </c>
      <c r="Y1945" s="379">
        <f t="shared" si="676"/>
        <v>0</v>
      </c>
      <c r="Z1945" s="380">
        <f t="shared" si="677"/>
        <v>0</v>
      </c>
      <c r="AA1945" s="380">
        <f t="shared" si="667"/>
        <v>0</v>
      </c>
      <c r="AB1945" s="820">
        <v>7.4999999999999997E-3</v>
      </c>
      <c r="AC1945" s="377">
        <f t="shared" si="653"/>
        <v>0</v>
      </c>
      <c r="AD1945" s="486"/>
      <c r="AE1945" s="210">
        <f t="shared" si="678"/>
        <v>0</v>
      </c>
      <c r="AF1945" s="210">
        <f t="shared" si="658"/>
        <v>0</v>
      </c>
      <c r="AG1945" s="211">
        <f t="shared" si="679"/>
        <v>0.25800000000000001</v>
      </c>
      <c r="AH1945" s="157">
        <f t="shared" si="680"/>
        <v>0</v>
      </c>
      <c r="AI1945" s="152">
        <f t="shared" si="681"/>
        <v>16800</v>
      </c>
      <c r="AK1945" s="156" t="s">
        <v>691</v>
      </c>
      <c r="AL1945" s="212" t="s">
        <v>690</v>
      </c>
      <c r="AM1945" s="198">
        <f t="shared" si="675"/>
        <v>0</v>
      </c>
      <c r="AN1945" s="199">
        <f t="shared" si="668"/>
        <v>45705</v>
      </c>
      <c r="AO1945" s="159" t="s">
        <v>692</v>
      </c>
      <c r="AP1945" s="783"/>
      <c r="AQ1945" s="782">
        <v>12071839</v>
      </c>
      <c r="AR1945" s="782">
        <v>12042650</v>
      </c>
      <c r="AS1945" s="782">
        <v>12042649</v>
      </c>
      <c r="AT1945" s="782">
        <v>12085742</v>
      </c>
      <c r="AU1945" s="781"/>
      <c r="AV1945" s="782">
        <v>12085744</v>
      </c>
      <c r="AW1945" s="782">
        <v>12049607</v>
      </c>
      <c r="AX1945" s="782"/>
      <c r="AY1945" s="782">
        <v>12085747</v>
      </c>
      <c r="AZ1945" s="782"/>
      <c r="BA1945" s="781"/>
      <c r="BB1945" s="209">
        <v>23053185</v>
      </c>
    </row>
    <row r="1946" spans="1:54" ht="25" hidden="1" customHeight="1">
      <c r="A1946" s="142" t="s">
        <v>120</v>
      </c>
      <c r="B1946" s="385">
        <v>45706</v>
      </c>
      <c r="C1946" s="386">
        <v>45726</v>
      </c>
      <c r="D1946" s="185">
        <f t="shared" si="665"/>
        <v>2025</v>
      </c>
      <c r="E1946" s="386" t="e">
        <f>VLOOKUP($B1946,Week!$A$1:$C$1462,2,0)</f>
        <v>#N/A</v>
      </c>
      <c r="F1946" s="387" t="str">
        <f t="shared" si="666"/>
        <v>Feb</v>
      </c>
      <c r="G1946" s="388" t="s">
        <v>2011</v>
      </c>
      <c r="H1946" s="388" t="s">
        <v>500</v>
      </c>
      <c r="I1946" s="388" t="s">
        <v>2772</v>
      </c>
      <c r="J1946" s="389" t="s">
        <v>285</v>
      </c>
      <c r="K1946" s="390" t="s">
        <v>153</v>
      </c>
      <c r="L1946" s="390" t="s">
        <v>2166</v>
      </c>
      <c r="M1946" s="389" t="s">
        <v>165</v>
      </c>
      <c r="N1946" s="388" t="s">
        <v>286</v>
      </c>
      <c r="O1946" s="388" t="s">
        <v>503</v>
      </c>
      <c r="P1946" s="391">
        <v>40</v>
      </c>
      <c r="Q1946" s="391">
        <v>12</v>
      </c>
      <c r="R1946" s="392">
        <v>6.8100000000000001E-3</v>
      </c>
      <c r="S1946" s="388" t="s">
        <v>76</v>
      </c>
      <c r="T1946" s="388" t="s">
        <v>56</v>
      </c>
      <c r="U1946" s="388" t="s">
        <v>89</v>
      </c>
      <c r="V1946" s="393">
        <f>421</f>
        <v>421</v>
      </c>
      <c r="W1946" s="393">
        <f>324</f>
        <v>324</v>
      </c>
      <c r="X1946" s="394">
        <f>(960+2920)/40</f>
        <v>97</v>
      </c>
      <c r="Y1946" s="395">
        <f t="shared" si="676"/>
        <v>0</v>
      </c>
      <c r="Z1946" s="396">
        <f t="shared" si="677"/>
        <v>0</v>
      </c>
      <c r="AA1946" s="396">
        <f t="shared" si="667"/>
        <v>0</v>
      </c>
      <c r="AB1946" s="823">
        <v>2</v>
      </c>
      <c r="AC1946" s="393">
        <f t="shared" ref="AC1946:AC2009" si="682">Z1946*AB1946</f>
        <v>0</v>
      </c>
      <c r="AD1946" s="209"/>
      <c r="AE1946" s="210">
        <f t="shared" si="678"/>
        <v>0</v>
      </c>
      <c r="AF1946" s="210">
        <f>AE1946/0.54</f>
        <v>0</v>
      </c>
      <c r="AG1946" s="211">
        <f t="shared" si="679"/>
        <v>0.154</v>
      </c>
      <c r="AH1946" s="157">
        <f t="shared" si="680"/>
        <v>0</v>
      </c>
      <c r="AI1946" s="152">
        <f t="shared" si="681"/>
        <v>16840</v>
      </c>
      <c r="AK1946" s="156" t="s">
        <v>691</v>
      </c>
      <c r="AL1946" s="156" t="s">
        <v>689</v>
      </c>
      <c r="AM1946" s="198">
        <f t="shared" si="675"/>
        <v>0</v>
      </c>
      <c r="AN1946" s="199">
        <f t="shared" si="668"/>
        <v>45706</v>
      </c>
      <c r="AO1946" s="159" t="s">
        <v>692</v>
      </c>
      <c r="AP1946" s="783" t="s">
        <v>611</v>
      </c>
      <c r="AQ1946" s="782">
        <v>12088677</v>
      </c>
      <c r="AR1946" s="782">
        <v>12019692</v>
      </c>
      <c r="AS1946" s="781"/>
      <c r="AT1946" s="782">
        <v>12065371</v>
      </c>
      <c r="AU1946" s="782"/>
      <c r="AV1946" s="782">
        <v>12055895</v>
      </c>
      <c r="AW1946" s="782">
        <v>12034747</v>
      </c>
      <c r="AX1946" s="782" t="s">
        <v>398</v>
      </c>
      <c r="AY1946" s="781" t="s">
        <v>290</v>
      </c>
      <c r="AZ1946" s="781"/>
      <c r="BA1946" s="781"/>
      <c r="BB1946" s="209">
        <v>23053184</v>
      </c>
    </row>
    <row r="1947" spans="1:54" ht="25.9" hidden="1" customHeight="1">
      <c r="A1947" s="142" t="s">
        <v>120</v>
      </c>
      <c r="B1947" s="235">
        <v>45706</v>
      </c>
      <c r="C1947" s="235">
        <v>45734</v>
      </c>
      <c r="D1947" s="185">
        <f t="shared" si="665"/>
        <v>2025</v>
      </c>
      <c r="E1947" s="236" t="e">
        <f>VLOOKUP($B1947,Week!$A$1:$C$1462,2,0)</f>
        <v>#N/A</v>
      </c>
      <c r="F1947" s="237" t="str">
        <f t="shared" si="666"/>
        <v>Feb</v>
      </c>
      <c r="G1947" s="236" t="s">
        <v>1990</v>
      </c>
      <c r="H1947" s="236" t="s">
        <v>392</v>
      </c>
      <c r="I1947" s="236" t="s">
        <v>2772</v>
      </c>
      <c r="J1947" s="238" t="s">
        <v>393</v>
      </c>
      <c r="K1947" s="239" t="s">
        <v>153</v>
      </c>
      <c r="L1947" s="390" t="s">
        <v>2166</v>
      </c>
      <c r="M1947" s="238" t="s">
        <v>165</v>
      </c>
      <c r="N1947" s="236" t="s">
        <v>685</v>
      </c>
      <c r="O1947" s="236" t="s">
        <v>167</v>
      </c>
      <c r="P1947" s="240">
        <v>20</v>
      </c>
      <c r="Q1947" s="240">
        <v>12</v>
      </c>
      <c r="R1947" s="241">
        <v>6.8100000000000001E-3</v>
      </c>
      <c r="S1947" s="236" t="s">
        <v>76</v>
      </c>
      <c r="T1947" s="236" t="s">
        <v>56</v>
      </c>
      <c r="U1947" s="236" t="s">
        <v>89</v>
      </c>
      <c r="V1947" s="242">
        <f>500</f>
        <v>500</v>
      </c>
      <c r="W1947" s="242">
        <f>500</f>
        <v>500</v>
      </c>
      <c r="X1947" s="243"/>
      <c r="Y1947" s="244">
        <f t="shared" si="676"/>
        <v>0</v>
      </c>
      <c r="Z1947" s="245">
        <f t="shared" si="677"/>
        <v>0</v>
      </c>
      <c r="AA1947" s="245">
        <f t="shared" si="667"/>
        <v>0</v>
      </c>
      <c r="AB1947" s="809">
        <v>2</v>
      </c>
      <c r="AC1947" s="242">
        <f t="shared" si="682"/>
        <v>0</v>
      </c>
      <c r="AD1947" s="209"/>
      <c r="AE1947" s="210">
        <f t="shared" si="678"/>
        <v>0</v>
      </c>
      <c r="AF1947" s="210">
        <f t="shared" si="658"/>
        <v>0</v>
      </c>
      <c r="AG1947" s="211">
        <f t="shared" si="679"/>
        <v>0.154</v>
      </c>
      <c r="AH1947" s="157">
        <f t="shared" si="680"/>
        <v>0</v>
      </c>
      <c r="AI1947" s="152">
        <f t="shared" si="681"/>
        <v>10000</v>
      </c>
      <c r="AK1947" s="156" t="s">
        <v>691</v>
      </c>
      <c r="AL1947" s="156" t="s">
        <v>689</v>
      </c>
      <c r="AM1947" s="198">
        <f t="shared" si="675"/>
        <v>0</v>
      </c>
      <c r="AN1947" s="199">
        <f t="shared" si="668"/>
        <v>45706</v>
      </c>
      <c r="AO1947" s="159" t="s">
        <v>692</v>
      </c>
      <c r="AP1947" s="783"/>
      <c r="AQ1947" s="783" t="s">
        <v>631</v>
      </c>
      <c r="AR1947" s="783" t="s">
        <v>523</v>
      </c>
      <c r="AS1947" s="781"/>
      <c r="AT1947" s="783" t="s">
        <v>607</v>
      </c>
      <c r="AU1947" s="781"/>
      <c r="AV1947" s="783" t="s">
        <v>606</v>
      </c>
      <c r="AW1947" s="781"/>
      <c r="AX1947" s="781" t="s">
        <v>398</v>
      </c>
      <c r="AY1947" s="781"/>
      <c r="AZ1947" s="781"/>
      <c r="BA1947" s="781"/>
      <c r="BB1947" s="209">
        <v>23053184</v>
      </c>
    </row>
    <row r="1948" spans="1:54" ht="24.75" hidden="1" customHeight="1">
      <c r="B1948" s="333">
        <v>45706</v>
      </c>
      <c r="C1948" s="333">
        <v>45729</v>
      </c>
      <c r="D1948" s="185">
        <f t="shared" si="665"/>
        <v>2025</v>
      </c>
      <c r="E1948" s="335" t="e">
        <f>VLOOKUP($B1948,Week!$A$1:$C$1462,2,0)</f>
        <v>#N/A</v>
      </c>
      <c r="F1948" s="334" t="str">
        <f t="shared" si="666"/>
        <v>Feb</v>
      </c>
      <c r="G1948" s="335" t="s">
        <v>1942</v>
      </c>
      <c r="H1948" s="335" t="s">
        <v>363</v>
      </c>
      <c r="I1948" s="335" t="s">
        <v>2772</v>
      </c>
      <c r="J1948" s="336" t="s">
        <v>364</v>
      </c>
      <c r="K1948" s="337" t="s">
        <v>176</v>
      </c>
      <c r="L1948" s="300" t="s">
        <v>2167</v>
      </c>
      <c r="M1948" s="382" t="s">
        <v>646</v>
      </c>
      <c r="N1948" s="335" t="s">
        <v>647</v>
      </c>
      <c r="O1948" s="335" t="s">
        <v>599</v>
      </c>
      <c r="P1948" s="338">
        <v>36</v>
      </c>
      <c r="Q1948" s="338">
        <v>5</v>
      </c>
      <c r="R1948" s="339">
        <v>8.0000000000000002E-3</v>
      </c>
      <c r="S1948" s="335" t="s">
        <v>40</v>
      </c>
      <c r="T1948" s="335" t="s">
        <v>112</v>
      </c>
      <c r="U1948" s="335" t="s">
        <v>57</v>
      </c>
      <c r="V1948" s="341">
        <f>1288</f>
        <v>1288</v>
      </c>
      <c r="W1948" s="341"/>
      <c r="X1948" s="342">
        <f>(4895+41473)/36</f>
        <v>1288</v>
      </c>
      <c r="Y1948" s="343">
        <f t="shared" si="676"/>
        <v>0</v>
      </c>
      <c r="Z1948" s="344">
        <f t="shared" si="677"/>
        <v>0</v>
      </c>
      <c r="AA1948" s="344">
        <f t="shared" si="667"/>
        <v>0</v>
      </c>
      <c r="AB1948" s="821">
        <v>7.4999999999999997E-3</v>
      </c>
      <c r="AC1948" s="341">
        <f t="shared" si="682"/>
        <v>0</v>
      </c>
      <c r="AD1948" s="209"/>
      <c r="AE1948" s="210">
        <f t="shared" si="678"/>
        <v>0</v>
      </c>
      <c r="AF1948" s="210">
        <f t="shared" si="658"/>
        <v>0</v>
      </c>
      <c r="AG1948" s="211">
        <f t="shared" si="679"/>
        <v>0.14799999999999999</v>
      </c>
      <c r="AH1948" s="157">
        <f t="shared" si="680"/>
        <v>0</v>
      </c>
      <c r="AI1948" s="152">
        <f t="shared" si="681"/>
        <v>46368</v>
      </c>
      <c r="AK1948" s="156" t="s">
        <v>691</v>
      </c>
      <c r="AL1948" s="574" t="s">
        <v>690</v>
      </c>
      <c r="AM1948" s="198">
        <f t="shared" si="675"/>
        <v>0</v>
      </c>
      <c r="AN1948" s="199">
        <f t="shared" si="668"/>
        <v>45706</v>
      </c>
      <c r="AO1948" s="159" t="s">
        <v>692</v>
      </c>
      <c r="AP1948" s="781"/>
      <c r="AQ1948" s="782">
        <v>12071839</v>
      </c>
      <c r="AR1948" s="782">
        <v>12047514</v>
      </c>
      <c r="AS1948" s="782">
        <v>12047515</v>
      </c>
      <c r="AT1948" s="782">
        <v>12084374</v>
      </c>
      <c r="AU1948" s="781"/>
      <c r="AV1948" s="782">
        <v>12084372</v>
      </c>
      <c r="AW1948" s="782">
        <v>12024404</v>
      </c>
      <c r="AX1948" s="782"/>
      <c r="AY1948" s="782">
        <v>12084373</v>
      </c>
      <c r="AZ1948" s="782"/>
      <c r="BA1948" s="781"/>
      <c r="BB1948" s="209">
        <v>23053185</v>
      </c>
    </row>
    <row r="1949" spans="1:54" ht="24.65" hidden="1" customHeight="1">
      <c r="B1949" s="224">
        <v>45706</v>
      </c>
      <c r="C1949" s="224">
        <v>45734</v>
      </c>
      <c r="D1949" s="185">
        <f t="shared" si="665"/>
        <v>2025</v>
      </c>
      <c r="E1949" s="225" t="e">
        <f>VLOOKUP($B1949,Week!$A$1:$C$1462,2,0)</f>
        <v>#N/A</v>
      </c>
      <c r="F1949" s="226" t="str">
        <f t="shared" si="666"/>
        <v>Feb</v>
      </c>
      <c r="G1949" s="225" t="s">
        <v>1990</v>
      </c>
      <c r="H1949" s="225" t="s">
        <v>392</v>
      </c>
      <c r="I1949" s="225" t="s">
        <v>2772</v>
      </c>
      <c r="J1949" s="227" t="s">
        <v>393</v>
      </c>
      <c r="K1949" s="228" t="s">
        <v>176</v>
      </c>
      <c r="L1949" s="300" t="s">
        <v>2167</v>
      </c>
      <c r="M1949" s="228" t="s">
        <v>399</v>
      </c>
      <c r="N1949" s="225" t="s">
        <v>400</v>
      </c>
      <c r="O1949" s="225" t="s">
        <v>195</v>
      </c>
      <c r="P1949" s="229">
        <v>24</v>
      </c>
      <c r="Q1949" s="229">
        <v>5</v>
      </c>
      <c r="R1949" s="230">
        <v>8.0000000000000002E-3</v>
      </c>
      <c r="S1949" s="225" t="s">
        <v>40</v>
      </c>
      <c r="T1949" s="225" t="s">
        <v>56</v>
      </c>
      <c r="U1949" s="225" t="s">
        <v>57</v>
      </c>
      <c r="V1949" s="231">
        <f>500</f>
        <v>500</v>
      </c>
      <c r="W1949" s="231">
        <f>38+462</f>
        <v>500</v>
      </c>
      <c r="X1949" s="232">
        <f>(63)/24</f>
        <v>2.625</v>
      </c>
      <c r="Y1949" s="233">
        <f t="shared" si="676"/>
        <v>2.625</v>
      </c>
      <c r="Z1949" s="234">
        <f t="shared" si="677"/>
        <v>0</v>
      </c>
      <c r="AA1949" s="234">
        <f t="shared" si="667"/>
        <v>0</v>
      </c>
      <c r="AB1949" s="808">
        <v>7.4999999999999997E-3</v>
      </c>
      <c r="AC1949" s="231">
        <f t="shared" si="682"/>
        <v>0</v>
      </c>
      <c r="AD1949" s="220"/>
      <c r="AE1949" s="210">
        <f t="shared" si="678"/>
        <v>0</v>
      </c>
      <c r="AF1949" s="210">
        <f t="shared" si="658"/>
        <v>0</v>
      </c>
      <c r="AG1949" s="211">
        <f t="shared" si="679"/>
        <v>0.14499999999999999</v>
      </c>
      <c r="AH1949" s="157">
        <f t="shared" si="680"/>
        <v>0</v>
      </c>
      <c r="AI1949" s="152">
        <f t="shared" si="681"/>
        <v>12000</v>
      </c>
      <c r="AK1949" s="156" t="s">
        <v>691</v>
      </c>
      <c r="AL1949" s="574" t="s">
        <v>690</v>
      </c>
      <c r="AM1949" s="198">
        <f t="shared" si="675"/>
        <v>0</v>
      </c>
      <c r="AN1949" s="199">
        <f t="shared" si="668"/>
        <v>45706</v>
      </c>
      <c r="AO1949" s="159" t="s">
        <v>692</v>
      </c>
      <c r="AP1949" s="783" t="s">
        <v>638</v>
      </c>
      <c r="AQ1949" s="783" t="s">
        <v>631</v>
      </c>
      <c r="AR1949" s="783" t="s">
        <v>632</v>
      </c>
      <c r="AS1949" s="783" t="s">
        <v>633</v>
      </c>
      <c r="AT1949" s="781"/>
      <c r="AU1949" s="783" t="s">
        <v>626</v>
      </c>
      <c r="AV1949" s="783" t="s">
        <v>630</v>
      </c>
      <c r="AW1949" s="783" t="s">
        <v>634</v>
      </c>
      <c r="AX1949" s="781"/>
      <c r="AY1949" s="783" t="s">
        <v>635</v>
      </c>
      <c r="AZ1949" s="783" t="s">
        <v>636</v>
      </c>
      <c r="BA1949" s="783" t="s">
        <v>637</v>
      </c>
      <c r="BB1949" s="209">
        <v>23053185</v>
      </c>
    </row>
    <row r="1950" spans="1:54" ht="24.65" hidden="1" customHeight="1">
      <c r="B1950" s="283">
        <v>45706</v>
      </c>
      <c r="C1950" s="284">
        <v>45721</v>
      </c>
      <c r="D1950" s="185">
        <f t="shared" si="665"/>
        <v>2025</v>
      </c>
      <c r="E1950" s="284" t="e">
        <f>VLOOKUP($B1950,Week!$A$1:$C$1462,2,0)</f>
        <v>#N/A</v>
      </c>
      <c r="F1950" s="285" t="str">
        <f t="shared" si="666"/>
        <v>Feb</v>
      </c>
      <c r="G1950" s="631" t="s">
        <v>2014</v>
      </c>
      <c r="H1950" s="624" t="s">
        <v>104</v>
      </c>
      <c r="I1950" s="624" t="s">
        <v>2772</v>
      </c>
      <c r="J1950" s="625" t="s">
        <v>105</v>
      </c>
      <c r="K1950" s="288" t="s">
        <v>51</v>
      </c>
      <c r="L1950" s="300" t="s">
        <v>2167</v>
      </c>
      <c r="M1950" s="287" t="s">
        <v>595</v>
      </c>
      <c r="N1950" s="286" t="s">
        <v>597</v>
      </c>
      <c r="O1950" s="286" t="s">
        <v>187</v>
      </c>
      <c r="P1950" s="289">
        <v>8</v>
      </c>
      <c r="Q1950" s="289">
        <v>5</v>
      </c>
      <c r="R1950" s="290">
        <v>6.0000000000000001E-3</v>
      </c>
      <c r="S1950" s="286" t="s">
        <v>55</v>
      </c>
      <c r="T1950" s="286" t="s">
        <v>112</v>
      </c>
      <c r="U1950" s="286" t="s">
        <v>57</v>
      </c>
      <c r="V1950" s="291">
        <f>512</f>
        <v>512</v>
      </c>
      <c r="W1950" s="291"/>
      <c r="X1950" s="292">
        <f>(4096)/8</f>
        <v>512</v>
      </c>
      <c r="Y1950" s="293">
        <f t="shared" si="676"/>
        <v>0</v>
      </c>
      <c r="Z1950" s="294">
        <f t="shared" si="677"/>
        <v>0</v>
      </c>
      <c r="AA1950" s="294">
        <f t="shared" si="667"/>
        <v>0</v>
      </c>
      <c r="AB1950" s="813">
        <v>7.4999999999999997E-3</v>
      </c>
      <c r="AC1950" s="291">
        <f t="shared" si="682"/>
        <v>0</v>
      </c>
      <c r="AD1950" s="486"/>
      <c r="AE1950" s="210">
        <f t="shared" si="678"/>
        <v>0</v>
      </c>
      <c r="AF1950" s="210">
        <f t="shared" si="658"/>
        <v>0</v>
      </c>
      <c r="AG1950" s="211">
        <v>0.14499999999999999</v>
      </c>
      <c r="AH1950" s="157">
        <f t="shared" si="680"/>
        <v>0</v>
      </c>
      <c r="AI1950" s="152">
        <v>19800</v>
      </c>
      <c r="AK1950" s="156" t="s">
        <v>691</v>
      </c>
      <c r="AL1950" s="212" t="s">
        <v>690</v>
      </c>
      <c r="AM1950" s="198">
        <f t="shared" si="675"/>
        <v>0</v>
      </c>
      <c r="AN1950" s="199">
        <f t="shared" si="668"/>
        <v>45706</v>
      </c>
      <c r="AO1950" s="159" t="s">
        <v>692</v>
      </c>
      <c r="AP1950" s="781"/>
      <c r="AQ1950" s="782">
        <v>12071839</v>
      </c>
      <c r="AR1950" s="782">
        <v>12047514</v>
      </c>
      <c r="AS1950" s="782">
        <v>12047515</v>
      </c>
      <c r="AT1950" s="782">
        <v>12083107</v>
      </c>
      <c r="AU1950" s="781"/>
      <c r="AV1950" s="782">
        <v>12084002</v>
      </c>
      <c r="AW1950" s="782"/>
      <c r="AX1950" s="782"/>
      <c r="AY1950" s="782"/>
      <c r="AZ1950" s="782"/>
      <c r="BA1950" s="781"/>
      <c r="BB1950" s="209">
        <v>23053185</v>
      </c>
    </row>
    <row r="1951" spans="1:54" ht="24.65" hidden="1" customHeight="1">
      <c r="B1951" s="283">
        <v>45706</v>
      </c>
      <c r="C1951" s="284">
        <v>45723</v>
      </c>
      <c r="D1951" s="185">
        <f t="shared" si="665"/>
        <v>2025</v>
      </c>
      <c r="E1951" s="284" t="e">
        <f>VLOOKUP($B1951,Week!$A$1:$C$1462,2,0)</f>
        <v>#N/A</v>
      </c>
      <c r="F1951" s="285" t="str">
        <f t="shared" si="666"/>
        <v>Feb</v>
      </c>
      <c r="G1951" s="631" t="s">
        <v>2016</v>
      </c>
      <c r="H1951" s="624" t="s">
        <v>104</v>
      </c>
      <c r="I1951" s="624" t="s">
        <v>2772</v>
      </c>
      <c r="J1951" s="625" t="s">
        <v>105</v>
      </c>
      <c r="K1951" s="288" t="s">
        <v>51</v>
      </c>
      <c r="L1951" s="300" t="s">
        <v>2167</v>
      </c>
      <c r="M1951" s="287" t="s">
        <v>595</v>
      </c>
      <c r="N1951" s="286" t="s">
        <v>597</v>
      </c>
      <c r="O1951" s="286" t="s">
        <v>187</v>
      </c>
      <c r="P1951" s="289">
        <v>8</v>
      </c>
      <c r="Q1951" s="289">
        <v>5</v>
      </c>
      <c r="R1951" s="290">
        <v>6.0000000000000001E-3</v>
      </c>
      <c r="S1951" s="286" t="s">
        <v>55</v>
      </c>
      <c r="T1951" s="286" t="s">
        <v>112</v>
      </c>
      <c r="U1951" s="286" t="s">
        <v>57</v>
      </c>
      <c r="V1951" s="291">
        <f>500</f>
        <v>500</v>
      </c>
      <c r="W1951" s="291"/>
      <c r="X1951" s="292">
        <f>4000/8</f>
        <v>500</v>
      </c>
      <c r="Y1951" s="293">
        <f t="shared" si="676"/>
        <v>0</v>
      </c>
      <c r="Z1951" s="294">
        <f t="shared" si="677"/>
        <v>0</v>
      </c>
      <c r="AA1951" s="294">
        <f t="shared" si="667"/>
        <v>0</v>
      </c>
      <c r="AB1951" s="813">
        <v>7.4999999999999997E-3</v>
      </c>
      <c r="AC1951" s="291">
        <f t="shared" si="682"/>
        <v>0</v>
      </c>
      <c r="AD1951" s="486"/>
      <c r="AE1951" s="210">
        <f t="shared" si="678"/>
        <v>0</v>
      </c>
      <c r="AF1951" s="210">
        <f t="shared" si="658"/>
        <v>0</v>
      </c>
      <c r="AG1951" s="211">
        <v>0.14499999999999999</v>
      </c>
      <c r="AH1951" s="157">
        <f t="shared" si="680"/>
        <v>0</v>
      </c>
      <c r="AI1951" s="152">
        <v>19800</v>
      </c>
      <c r="AK1951" s="156" t="s">
        <v>691</v>
      </c>
      <c r="AL1951" s="212" t="s">
        <v>690</v>
      </c>
      <c r="AM1951" s="198">
        <f t="shared" si="675"/>
        <v>0</v>
      </c>
      <c r="AN1951" s="199">
        <f t="shared" si="668"/>
        <v>45706</v>
      </c>
      <c r="AO1951" s="159" t="s">
        <v>692</v>
      </c>
      <c r="AP1951" s="781"/>
      <c r="AQ1951" s="782">
        <v>12071839</v>
      </c>
      <c r="AR1951" s="782">
        <v>12047514</v>
      </c>
      <c r="AS1951" s="782">
        <v>12047515</v>
      </c>
      <c r="AT1951" s="782">
        <v>12083107</v>
      </c>
      <c r="AU1951" s="781"/>
      <c r="AV1951" s="782">
        <v>12084002</v>
      </c>
      <c r="AW1951" s="782"/>
      <c r="AX1951" s="782"/>
      <c r="AY1951" s="782"/>
      <c r="AZ1951" s="782"/>
      <c r="BA1951" s="781"/>
      <c r="BB1951" s="209">
        <v>23053185</v>
      </c>
    </row>
    <row r="1952" spans="1:54" ht="24.65" hidden="1" customHeight="1">
      <c r="B1952" s="283">
        <v>45706</v>
      </c>
      <c r="C1952" s="284">
        <v>45735</v>
      </c>
      <c r="D1952" s="185">
        <f t="shared" si="665"/>
        <v>2025</v>
      </c>
      <c r="E1952" s="284" t="e">
        <f>VLOOKUP($B1952,Week!$A$1:$C$1462,2,0)</f>
        <v>#N/A</v>
      </c>
      <c r="F1952" s="285" t="str">
        <f t="shared" si="666"/>
        <v>Feb</v>
      </c>
      <c r="G1952" s="631" t="s">
        <v>2037</v>
      </c>
      <c r="H1952" s="624" t="s">
        <v>104</v>
      </c>
      <c r="I1952" s="624" t="s">
        <v>2772</v>
      </c>
      <c r="J1952" s="625" t="s">
        <v>105</v>
      </c>
      <c r="K1952" s="288" t="s">
        <v>51</v>
      </c>
      <c r="L1952" s="300" t="s">
        <v>2167</v>
      </c>
      <c r="M1952" s="287" t="s">
        <v>595</v>
      </c>
      <c r="N1952" s="286" t="s">
        <v>597</v>
      </c>
      <c r="O1952" s="286" t="s">
        <v>187</v>
      </c>
      <c r="P1952" s="289">
        <v>8</v>
      </c>
      <c r="Q1952" s="289">
        <v>5</v>
      </c>
      <c r="R1952" s="290">
        <v>6.0000000000000001E-3</v>
      </c>
      <c r="S1952" s="286" t="s">
        <v>55</v>
      </c>
      <c r="T1952" s="286" t="s">
        <v>112</v>
      </c>
      <c r="U1952" s="286" t="s">
        <v>57</v>
      </c>
      <c r="V1952" s="291">
        <f>300</f>
        <v>300</v>
      </c>
      <c r="W1952" s="291"/>
      <c r="X1952" s="292">
        <f>(2400)/8</f>
        <v>300</v>
      </c>
      <c r="Y1952" s="293">
        <f t="shared" si="676"/>
        <v>0</v>
      </c>
      <c r="Z1952" s="294">
        <f t="shared" si="677"/>
        <v>0</v>
      </c>
      <c r="AA1952" s="294">
        <f t="shared" si="667"/>
        <v>0</v>
      </c>
      <c r="AB1952" s="813">
        <v>7.4999999999999997E-3</v>
      </c>
      <c r="AC1952" s="291">
        <f t="shared" si="682"/>
        <v>0</v>
      </c>
      <c r="AD1952" s="486"/>
      <c r="AE1952" s="210">
        <f t="shared" si="678"/>
        <v>0</v>
      </c>
      <c r="AF1952" s="210">
        <f t="shared" si="658"/>
        <v>0</v>
      </c>
      <c r="AG1952" s="211">
        <v>0.14499999999999999</v>
      </c>
      <c r="AH1952" s="157">
        <f t="shared" si="680"/>
        <v>0</v>
      </c>
      <c r="AI1952" s="152">
        <v>19800</v>
      </c>
      <c r="AK1952" s="156" t="s">
        <v>691</v>
      </c>
      <c r="AL1952" s="212" t="s">
        <v>690</v>
      </c>
      <c r="AM1952" s="198">
        <f t="shared" si="675"/>
        <v>0</v>
      </c>
      <c r="AN1952" s="199">
        <f t="shared" si="668"/>
        <v>45706</v>
      </c>
      <c r="AO1952" s="159" t="s">
        <v>692</v>
      </c>
      <c r="AP1952" s="781"/>
      <c r="AQ1952" s="782">
        <v>12071839</v>
      </c>
      <c r="AR1952" s="782">
        <v>12047514</v>
      </c>
      <c r="AS1952" s="782">
        <v>12047515</v>
      </c>
      <c r="AT1952" s="782">
        <v>12083107</v>
      </c>
      <c r="AU1952" s="781"/>
      <c r="AV1952" s="782">
        <v>12084002</v>
      </c>
      <c r="AW1952" s="782"/>
      <c r="AX1952" s="782"/>
      <c r="AY1952" s="782"/>
      <c r="AZ1952" s="782"/>
      <c r="BA1952" s="781"/>
      <c r="BB1952" s="209">
        <v>23053185</v>
      </c>
    </row>
    <row r="1953" spans="1:54" ht="25" hidden="1" customHeight="1">
      <c r="B1953" s="320">
        <v>45707</v>
      </c>
      <c r="C1953" s="321" t="s">
        <v>1927</v>
      </c>
      <c r="D1953" s="185">
        <f t="shared" si="665"/>
        <v>2025</v>
      </c>
      <c r="E1953" s="321" t="e">
        <f>VLOOKUP($B1953,Week!$A$1:$C$1462,2,0)</f>
        <v>#N/A</v>
      </c>
      <c r="F1953" s="322" t="str">
        <f t="shared" si="666"/>
        <v>Feb</v>
      </c>
      <c r="G1953" s="323" t="s">
        <v>47</v>
      </c>
      <c r="H1953" s="323" t="s">
        <v>518</v>
      </c>
      <c r="I1953" s="323" t="s">
        <v>2702</v>
      </c>
      <c r="J1953" s="324" t="s">
        <v>70</v>
      </c>
      <c r="K1953" s="325" t="s">
        <v>564</v>
      </c>
      <c r="L1953" s="300" t="s">
        <v>2167</v>
      </c>
      <c r="M1953" s="324" t="s">
        <v>558</v>
      </c>
      <c r="N1953" s="323" t="s">
        <v>559</v>
      </c>
      <c r="O1953" s="323" t="s">
        <v>560</v>
      </c>
      <c r="P1953" s="326">
        <v>12</v>
      </c>
      <c r="Q1953" s="326">
        <v>3</v>
      </c>
      <c r="R1953" s="327">
        <v>8.0000000000000002E-3</v>
      </c>
      <c r="S1953" s="323" t="s">
        <v>40</v>
      </c>
      <c r="T1953" s="323" t="s">
        <v>56</v>
      </c>
      <c r="U1953" s="323" t="s">
        <v>57</v>
      </c>
      <c r="V1953" s="397">
        <f>600</f>
        <v>600</v>
      </c>
      <c r="W1953" s="328">
        <f>8+592</f>
        <v>600</v>
      </c>
      <c r="X1953" s="329"/>
      <c r="Y1953" s="330">
        <f t="shared" si="676"/>
        <v>0</v>
      </c>
      <c r="Z1953" s="331">
        <f t="shared" si="677"/>
        <v>0</v>
      </c>
      <c r="AA1953" s="331">
        <f t="shared" si="667"/>
        <v>0</v>
      </c>
      <c r="AB1953" s="816">
        <v>7.4999999999999997E-3</v>
      </c>
      <c r="AC1953" s="328">
        <f t="shared" si="682"/>
        <v>0</v>
      </c>
      <c r="AD1953" s="209"/>
      <c r="AE1953" s="210">
        <f t="shared" si="678"/>
        <v>0</v>
      </c>
      <c r="AF1953" s="210">
        <f t="shared" si="658"/>
        <v>0</v>
      </c>
      <c r="AG1953" s="211">
        <f>MID(O1953,1,3)/1000</f>
        <v>0.22600000000000001</v>
      </c>
      <c r="AH1953" s="157">
        <f t="shared" si="680"/>
        <v>0</v>
      </c>
      <c r="AI1953" s="152">
        <f t="shared" ref="AI1953:AI1969" si="683">V1953*P1953</f>
        <v>7200</v>
      </c>
      <c r="AK1953" s="156" t="s">
        <v>691</v>
      </c>
      <c r="AL1953" s="212" t="s">
        <v>690</v>
      </c>
      <c r="AM1953" s="198">
        <f t="shared" si="675"/>
        <v>0</v>
      </c>
      <c r="AN1953" s="199">
        <f t="shared" si="668"/>
        <v>45707</v>
      </c>
      <c r="AO1953" s="159" t="s">
        <v>692</v>
      </c>
      <c r="AP1953" s="783" t="s">
        <v>623</v>
      </c>
      <c r="AQ1953" s="782">
        <v>12071839</v>
      </c>
      <c r="AR1953" s="782">
        <v>12042650</v>
      </c>
      <c r="AS1953" s="782">
        <v>12042649</v>
      </c>
      <c r="AT1953" s="782"/>
      <c r="AU1953" s="781"/>
      <c r="AV1953" s="782">
        <v>12083156</v>
      </c>
      <c r="AW1953" s="782"/>
      <c r="AX1953" s="782"/>
      <c r="AY1953" s="782">
        <v>12083147</v>
      </c>
      <c r="AZ1953" s="782">
        <v>12083148</v>
      </c>
      <c r="BA1953" s="781"/>
      <c r="BB1953" s="209">
        <v>23053185</v>
      </c>
    </row>
    <row r="1954" spans="1:54" ht="25" hidden="1" customHeight="1">
      <c r="B1954" s="332">
        <v>45707</v>
      </c>
      <c r="C1954" s="333" t="s">
        <v>1927</v>
      </c>
      <c r="D1954" s="185">
        <f t="shared" si="665"/>
        <v>2025</v>
      </c>
      <c r="E1954" s="333" t="e">
        <f>VLOOKUP($B1954,Week!$A$1:$C$1462,2,0)</f>
        <v>#N/A</v>
      </c>
      <c r="F1954" s="334" t="str">
        <f t="shared" si="666"/>
        <v>Feb</v>
      </c>
      <c r="G1954" s="335" t="s">
        <v>47</v>
      </c>
      <c r="H1954" s="335" t="s">
        <v>518</v>
      </c>
      <c r="I1954" s="335" t="s">
        <v>2702</v>
      </c>
      <c r="J1954" s="336" t="s">
        <v>70</v>
      </c>
      <c r="K1954" s="337" t="s">
        <v>582</v>
      </c>
      <c r="L1954" s="300" t="s">
        <v>2167</v>
      </c>
      <c r="M1954" s="336" t="s">
        <v>534</v>
      </c>
      <c r="N1954" s="530" t="s">
        <v>578</v>
      </c>
      <c r="O1954" s="335" t="s">
        <v>583</v>
      </c>
      <c r="P1954" s="338">
        <v>12</v>
      </c>
      <c r="Q1954" s="338">
        <v>3</v>
      </c>
      <c r="R1954" s="339">
        <v>6.0000000000000001E-3</v>
      </c>
      <c r="S1954" s="335" t="s">
        <v>55</v>
      </c>
      <c r="T1954" s="335" t="s">
        <v>56</v>
      </c>
      <c r="U1954" s="335" t="s">
        <v>57</v>
      </c>
      <c r="V1954" s="341">
        <f>250</f>
        <v>250</v>
      </c>
      <c r="W1954" s="341">
        <f>3+247</f>
        <v>250</v>
      </c>
      <c r="X1954" s="342"/>
      <c r="Y1954" s="343">
        <f t="shared" si="676"/>
        <v>0</v>
      </c>
      <c r="Z1954" s="344">
        <f t="shared" si="677"/>
        <v>0</v>
      </c>
      <c r="AA1954" s="344">
        <f t="shared" si="667"/>
        <v>0</v>
      </c>
      <c r="AB1954" s="817">
        <v>7.4999999999999997E-3</v>
      </c>
      <c r="AC1954" s="341">
        <f t="shared" si="682"/>
        <v>0</v>
      </c>
      <c r="AD1954" s="209"/>
      <c r="AE1954" s="210">
        <f t="shared" si="678"/>
        <v>0</v>
      </c>
      <c r="AF1954" s="210">
        <f t="shared" ref="AF1954:AF1991" si="684">AE1954/0.54</f>
        <v>0</v>
      </c>
      <c r="AG1954" s="211">
        <f>MID(O1954,1,3)/1000</f>
        <v>0.191</v>
      </c>
      <c r="AH1954" s="157">
        <f t="shared" si="680"/>
        <v>0</v>
      </c>
      <c r="AI1954" s="152">
        <f t="shared" si="683"/>
        <v>3000</v>
      </c>
      <c r="AK1954" s="156" t="s">
        <v>691</v>
      </c>
      <c r="AL1954" s="212" t="s">
        <v>690</v>
      </c>
      <c r="AM1954" s="198">
        <f t="shared" si="675"/>
        <v>0</v>
      </c>
      <c r="AN1954" s="199">
        <f t="shared" si="668"/>
        <v>45707</v>
      </c>
      <c r="AO1954" s="159" t="s">
        <v>692</v>
      </c>
      <c r="AP1954" s="781"/>
      <c r="AQ1954" s="782">
        <v>12071839</v>
      </c>
      <c r="AR1954" s="782">
        <v>12042650</v>
      </c>
      <c r="AS1954" s="782">
        <v>12042649</v>
      </c>
      <c r="AT1954" s="782"/>
      <c r="AU1954" s="781"/>
      <c r="AV1954" s="782">
        <v>12083313</v>
      </c>
      <c r="AW1954" s="782"/>
      <c r="AX1954" s="782"/>
      <c r="AY1954" s="782">
        <v>12083308</v>
      </c>
      <c r="AZ1954" s="782">
        <v>12083312</v>
      </c>
      <c r="BA1954" s="781"/>
      <c r="BB1954" s="209">
        <v>23053185</v>
      </c>
    </row>
    <row r="1955" spans="1:54" ht="25" hidden="1" customHeight="1">
      <c r="B1955" s="271">
        <v>45707</v>
      </c>
      <c r="C1955" s="272" t="s">
        <v>1927</v>
      </c>
      <c r="D1955" s="185">
        <f t="shared" si="665"/>
        <v>2025</v>
      </c>
      <c r="E1955" s="272" t="e">
        <f>VLOOKUP($B1955,Week!$A$1:$C$1462,2,0)</f>
        <v>#N/A</v>
      </c>
      <c r="F1955" s="273" t="str">
        <f t="shared" si="666"/>
        <v>Feb</v>
      </c>
      <c r="G1955" s="274" t="s">
        <v>47</v>
      </c>
      <c r="H1955" s="274" t="s">
        <v>518</v>
      </c>
      <c r="I1955" s="274" t="s">
        <v>2702</v>
      </c>
      <c r="J1955" s="275" t="s">
        <v>70</v>
      </c>
      <c r="K1955" s="276" t="s">
        <v>556</v>
      </c>
      <c r="L1955" s="300" t="s">
        <v>2167</v>
      </c>
      <c r="M1955" s="275" t="s">
        <v>520</v>
      </c>
      <c r="N1955" s="423" t="s">
        <v>586</v>
      </c>
      <c r="O1955" s="274" t="s">
        <v>585</v>
      </c>
      <c r="P1955" s="277">
        <v>12</v>
      </c>
      <c r="Q1955" s="277">
        <v>5</v>
      </c>
      <c r="R1955" s="278">
        <v>6.0000000000000001E-3</v>
      </c>
      <c r="S1955" s="274" t="s">
        <v>55</v>
      </c>
      <c r="T1955" s="274" t="s">
        <v>56</v>
      </c>
      <c r="U1955" s="274" t="s">
        <v>57</v>
      </c>
      <c r="V1955" s="279">
        <f>511</f>
        <v>511</v>
      </c>
      <c r="W1955" s="279">
        <f>14+1+496</f>
        <v>511</v>
      </c>
      <c r="X1955" s="280"/>
      <c r="Y1955" s="281">
        <f t="shared" si="676"/>
        <v>0</v>
      </c>
      <c r="Z1955" s="282">
        <f t="shared" si="677"/>
        <v>0</v>
      </c>
      <c r="AA1955" s="282">
        <f t="shared" si="667"/>
        <v>0</v>
      </c>
      <c r="AB1955" s="812">
        <v>7.4999999999999997E-3</v>
      </c>
      <c r="AC1955" s="279">
        <f t="shared" si="682"/>
        <v>0</v>
      </c>
      <c r="AD1955" s="209"/>
      <c r="AE1955" s="210">
        <f t="shared" si="678"/>
        <v>0</v>
      </c>
      <c r="AF1955" s="210">
        <f t="shared" si="684"/>
        <v>0</v>
      </c>
      <c r="AG1955" s="211">
        <f>MID(O1955,1,3)/1000</f>
        <v>0.13500000000000001</v>
      </c>
      <c r="AH1955" s="157">
        <f t="shared" si="680"/>
        <v>0</v>
      </c>
      <c r="AI1955" s="152">
        <f t="shared" si="683"/>
        <v>6132</v>
      </c>
      <c r="AK1955" s="156" t="s">
        <v>691</v>
      </c>
      <c r="AL1955" s="212" t="s">
        <v>690</v>
      </c>
      <c r="AM1955" s="198">
        <f t="shared" si="675"/>
        <v>0</v>
      </c>
      <c r="AN1955" s="199">
        <f t="shared" si="668"/>
        <v>45707</v>
      </c>
      <c r="AO1955" s="159" t="s">
        <v>692</v>
      </c>
      <c r="AP1955" s="781"/>
      <c r="AQ1955" s="782">
        <v>12071839</v>
      </c>
      <c r="AR1955" s="782">
        <v>12047514</v>
      </c>
      <c r="AS1955" s="782">
        <v>12047515</v>
      </c>
      <c r="AT1955" s="782"/>
      <c r="AU1955" s="781"/>
      <c r="AV1955" s="782">
        <v>12083307</v>
      </c>
      <c r="AW1955" s="782"/>
      <c r="AX1955" s="782"/>
      <c r="AY1955" s="782">
        <v>12083305</v>
      </c>
      <c r="AZ1955" s="782">
        <v>12083306</v>
      </c>
      <c r="BA1955" s="781"/>
      <c r="BB1955" s="209">
        <v>23053185</v>
      </c>
    </row>
    <row r="1956" spans="1:54" ht="25" hidden="1" customHeight="1">
      <c r="B1956" s="398">
        <v>45707</v>
      </c>
      <c r="C1956" s="399" t="s">
        <v>1927</v>
      </c>
      <c r="D1956" s="185">
        <f t="shared" si="665"/>
        <v>2025</v>
      </c>
      <c r="E1956" s="399" t="e">
        <f>VLOOKUP($B1956,Week!$A$1:$C$1462,2,0)</f>
        <v>#N/A</v>
      </c>
      <c r="F1956" s="400" t="str">
        <f t="shared" si="666"/>
        <v>Feb</v>
      </c>
      <c r="G1956" s="401" t="s">
        <v>47</v>
      </c>
      <c r="H1956" s="401" t="s">
        <v>518</v>
      </c>
      <c r="I1956" s="401" t="s">
        <v>2702</v>
      </c>
      <c r="J1956" s="402" t="s">
        <v>70</v>
      </c>
      <c r="K1956" s="403" t="s">
        <v>1645</v>
      </c>
      <c r="L1956" s="300" t="s">
        <v>2167</v>
      </c>
      <c r="M1956" s="402" t="s">
        <v>553</v>
      </c>
      <c r="N1956" s="404" t="s">
        <v>557</v>
      </c>
      <c r="O1956" s="401" t="s">
        <v>101</v>
      </c>
      <c r="P1956" s="405">
        <v>12</v>
      </c>
      <c r="Q1956" s="405">
        <v>5</v>
      </c>
      <c r="R1956" s="406">
        <v>8.0000000000000002E-3</v>
      </c>
      <c r="S1956" s="401" t="s">
        <v>40</v>
      </c>
      <c r="T1956" s="401" t="s">
        <v>56</v>
      </c>
      <c r="U1956" s="770" t="s">
        <v>499</v>
      </c>
      <c r="V1956" s="407">
        <f>300</f>
        <v>300</v>
      </c>
      <c r="W1956" s="407">
        <f>683-662+1+278</f>
        <v>300</v>
      </c>
      <c r="X1956" s="408"/>
      <c r="Y1956" s="409">
        <f t="shared" si="676"/>
        <v>0</v>
      </c>
      <c r="Z1956" s="410">
        <f t="shared" si="677"/>
        <v>0</v>
      </c>
      <c r="AA1956" s="410">
        <f t="shared" si="667"/>
        <v>0</v>
      </c>
      <c r="AB1956" s="824">
        <v>1</v>
      </c>
      <c r="AC1956" s="407">
        <f t="shared" si="682"/>
        <v>0</v>
      </c>
      <c r="AD1956" s="443" t="s">
        <v>1907</v>
      </c>
      <c r="AE1956" s="210">
        <f t="shared" si="678"/>
        <v>0</v>
      </c>
      <c r="AF1956" s="210">
        <f t="shared" si="684"/>
        <v>0</v>
      </c>
      <c r="AG1956" s="211">
        <f>MID(O1956,1,3)/1000</f>
        <v>0.115</v>
      </c>
      <c r="AH1956" s="157">
        <f t="shared" si="680"/>
        <v>0</v>
      </c>
      <c r="AI1956" s="152">
        <f t="shared" si="683"/>
        <v>3600</v>
      </c>
      <c r="AK1956" s="156" t="s">
        <v>691</v>
      </c>
      <c r="AL1956" s="212" t="s">
        <v>690</v>
      </c>
      <c r="AM1956" s="198">
        <f t="shared" si="675"/>
        <v>0</v>
      </c>
      <c r="AN1956" s="199">
        <f t="shared" si="668"/>
        <v>45707</v>
      </c>
      <c r="AO1956" s="159" t="s">
        <v>692</v>
      </c>
      <c r="AP1956" s="783" t="s">
        <v>623</v>
      </c>
      <c r="AQ1956" s="782">
        <v>12071839</v>
      </c>
      <c r="AR1956" s="782">
        <v>12047514</v>
      </c>
      <c r="AS1956" s="782">
        <v>12047515</v>
      </c>
      <c r="AT1956" s="782"/>
      <c r="AU1956" s="781"/>
      <c r="AV1956" s="782">
        <v>12072447</v>
      </c>
      <c r="AW1956" s="782"/>
      <c r="AX1956" s="782"/>
      <c r="AY1956" s="782">
        <v>12064574</v>
      </c>
      <c r="AZ1956" s="782">
        <v>12064576</v>
      </c>
      <c r="BA1956" s="781"/>
      <c r="BB1956" s="209">
        <v>23052995</v>
      </c>
    </row>
    <row r="1957" spans="1:54" ht="25" hidden="1" customHeight="1">
      <c r="B1957" s="424">
        <v>45707</v>
      </c>
      <c r="C1957" s="647" t="s">
        <v>1927</v>
      </c>
      <c r="D1957" s="185">
        <f t="shared" si="665"/>
        <v>2025</v>
      </c>
      <c r="E1957" s="425" t="e">
        <f>VLOOKUP($B1957,Week!$A$1:$C$1462,2,0)</f>
        <v>#N/A</v>
      </c>
      <c r="F1957" s="426" t="str">
        <f t="shared" si="666"/>
        <v>Feb</v>
      </c>
      <c r="G1957" s="427" t="s">
        <v>47</v>
      </c>
      <c r="H1957" s="427" t="s">
        <v>518</v>
      </c>
      <c r="I1957" s="427" t="s">
        <v>2702</v>
      </c>
      <c r="J1957" s="428" t="s">
        <v>70</v>
      </c>
      <c r="K1957" s="429" t="s">
        <v>94</v>
      </c>
      <c r="L1957" s="300" t="s">
        <v>2167</v>
      </c>
      <c r="M1957" s="428" t="s">
        <v>521</v>
      </c>
      <c r="N1957" s="427" t="s">
        <v>587</v>
      </c>
      <c r="O1957" s="427" t="s">
        <v>3198</v>
      </c>
      <c r="P1957" s="430">
        <v>18</v>
      </c>
      <c r="Q1957" s="430">
        <v>5</v>
      </c>
      <c r="R1957" s="431">
        <v>8.0000000000000002E-3</v>
      </c>
      <c r="S1957" s="427" t="s">
        <v>40</v>
      </c>
      <c r="T1957" s="427" t="s">
        <v>56</v>
      </c>
      <c r="U1957" s="427" t="s">
        <v>89</v>
      </c>
      <c r="V1957" s="432">
        <f>1100</f>
        <v>1100</v>
      </c>
      <c r="W1957" s="432">
        <f>667+433</f>
        <v>1100</v>
      </c>
      <c r="X1957" s="433"/>
      <c r="Y1957" s="434">
        <f t="shared" si="676"/>
        <v>0</v>
      </c>
      <c r="Z1957" s="435">
        <f t="shared" si="677"/>
        <v>0</v>
      </c>
      <c r="AA1957" s="435">
        <f t="shared" si="667"/>
        <v>0</v>
      </c>
      <c r="AB1957" s="826">
        <v>1</v>
      </c>
      <c r="AC1957" s="432">
        <f t="shared" si="682"/>
        <v>0</v>
      </c>
      <c r="AD1957" s="209"/>
      <c r="AE1957" s="210">
        <f t="shared" si="678"/>
        <v>0</v>
      </c>
      <c r="AF1957" s="210">
        <f t="shared" si="684"/>
        <v>0</v>
      </c>
      <c r="AG1957" s="211" t="e">
        <f>(MID(O1957,1,3)/1000)/3</f>
        <v>#VALUE!</v>
      </c>
      <c r="AH1957" s="157" t="e">
        <f t="shared" si="680"/>
        <v>#VALUE!</v>
      </c>
      <c r="AI1957" s="152">
        <f t="shared" si="683"/>
        <v>19800</v>
      </c>
      <c r="AK1957" s="156" t="s">
        <v>691</v>
      </c>
      <c r="AL1957" s="212" t="s">
        <v>690</v>
      </c>
      <c r="AM1957" s="198" t="e">
        <f t="shared" si="675"/>
        <v>#VALUE!</v>
      </c>
      <c r="AN1957" s="199">
        <f t="shared" si="668"/>
        <v>45707</v>
      </c>
      <c r="AO1957" s="159" t="s">
        <v>692</v>
      </c>
      <c r="AP1957" s="783" t="s">
        <v>628</v>
      </c>
      <c r="AQ1957" s="782"/>
      <c r="AR1957" s="782"/>
      <c r="AS1957" s="782"/>
      <c r="AT1957" s="782"/>
      <c r="AU1957" s="781"/>
      <c r="AV1957" s="782">
        <v>12080791</v>
      </c>
      <c r="AW1957" s="782" t="s">
        <v>641</v>
      </c>
      <c r="AX1957" s="782" t="s">
        <v>533</v>
      </c>
      <c r="AY1957" s="782"/>
      <c r="AZ1957" s="782"/>
      <c r="BA1957" s="781"/>
      <c r="BB1957" s="209">
        <v>23053184</v>
      </c>
    </row>
    <row r="1958" spans="1:54" ht="24.65" hidden="1" customHeight="1">
      <c r="B1958" s="246">
        <v>45707</v>
      </c>
      <c r="C1958" s="780" t="s">
        <v>1918</v>
      </c>
      <c r="D1958" s="185">
        <f t="shared" si="665"/>
        <v>2025</v>
      </c>
      <c r="E1958" s="247" t="e">
        <f>VLOOKUP($B1958,Week!$A$1:$C$1462,2,0)</f>
        <v>#N/A</v>
      </c>
      <c r="F1958" s="248" t="str">
        <f t="shared" si="666"/>
        <v>Feb</v>
      </c>
      <c r="G1958" s="249" t="s">
        <v>47</v>
      </c>
      <c r="H1958" s="249" t="s">
        <v>260</v>
      </c>
      <c r="I1958" s="249" t="s">
        <v>2702</v>
      </c>
      <c r="J1958" s="250" t="s">
        <v>70</v>
      </c>
      <c r="K1958" s="251" t="s">
        <v>1020</v>
      </c>
      <c r="L1958" s="300" t="s">
        <v>2167</v>
      </c>
      <c r="M1958" s="250" t="s">
        <v>741</v>
      </c>
      <c r="N1958" s="249" t="s">
        <v>740</v>
      </c>
      <c r="O1958" s="249" t="s">
        <v>742</v>
      </c>
      <c r="P1958" s="252">
        <v>24</v>
      </c>
      <c r="Q1958" s="252">
        <v>5</v>
      </c>
      <c r="R1958" s="249">
        <v>6.1999999999999998E-3</v>
      </c>
      <c r="S1958" s="249" t="s">
        <v>352</v>
      </c>
      <c r="T1958" s="249" t="s">
        <v>56</v>
      </c>
      <c r="U1958" s="249" t="s">
        <v>739</v>
      </c>
      <c r="V1958" s="254">
        <f>800</f>
        <v>800</v>
      </c>
      <c r="W1958" s="254">
        <f>382-340-30+24+4+760</f>
        <v>800</v>
      </c>
      <c r="X1958" s="255"/>
      <c r="Y1958" s="256">
        <f t="shared" si="676"/>
        <v>0</v>
      </c>
      <c r="Z1958" s="257">
        <f t="shared" si="677"/>
        <v>0</v>
      </c>
      <c r="AA1958" s="257">
        <f t="shared" si="667"/>
        <v>0</v>
      </c>
      <c r="AB1958" s="810">
        <v>1.2999999999999999E-2</v>
      </c>
      <c r="AC1958" s="254">
        <f t="shared" si="682"/>
        <v>0</v>
      </c>
      <c r="AD1958" s="209"/>
      <c r="AE1958" s="210">
        <f t="shared" si="678"/>
        <v>0</v>
      </c>
      <c r="AF1958" s="210">
        <f t="shared" si="684"/>
        <v>0</v>
      </c>
      <c r="AG1958" s="211">
        <f t="shared" ref="AG1958:AG1969" si="685">MID(O1958,1,3)/1000</f>
        <v>0.14299999999999999</v>
      </c>
      <c r="AH1958" s="157">
        <f t="shared" si="680"/>
        <v>0</v>
      </c>
      <c r="AI1958" s="152">
        <f t="shared" si="683"/>
        <v>19200</v>
      </c>
      <c r="AK1958" s="156" t="s">
        <v>691</v>
      </c>
      <c r="AL1958" s="212" t="s">
        <v>690</v>
      </c>
      <c r="AM1958" s="198">
        <f t="shared" ref="AM1958:AM1971" si="686">AG1958*Z1958</f>
        <v>0</v>
      </c>
      <c r="AN1958" s="199">
        <f t="shared" si="668"/>
        <v>45707</v>
      </c>
      <c r="AO1958" s="159" t="s">
        <v>692</v>
      </c>
      <c r="AP1958" s="783" t="s">
        <v>609</v>
      </c>
      <c r="AQ1958" s="782">
        <v>12071839</v>
      </c>
      <c r="AR1958" s="782">
        <v>12047514</v>
      </c>
      <c r="AS1958" s="782">
        <v>12047515</v>
      </c>
      <c r="AT1958" s="781"/>
      <c r="AU1958" s="781"/>
      <c r="AV1958" s="782">
        <v>12089668</v>
      </c>
      <c r="AW1958" s="781"/>
      <c r="AX1958" s="781"/>
      <c r="AY1958" s="782" t="s">
        <v>2146</v>
      </c>
      <c r="AZ1958" s="782" t="s">
        <v>2147</v>
      </c>
      <c r="BA1958" s="781"/>
      <c r="BB1958" s="209">
        <v>11042803</v>
      </c>
    </row>
    <row r="1959" spans="1:54" ht="24.65" hidden="1" customHeight="1">
      <c r="B1959" s="246">
        <v>45707</v>
      </c>
      <c r="C1959" s="247" t="s">
        <v>1927</v>
      </c>
      <c r="D1959" s="185">
        <f t="shared" si="665"/>
        <v>2025</v>
      </c>
      <c r="E1959" s="247" t="e">
        <f>VLOOKUP($B1959,Week!$A$1:$C$1462,2,0)</f>
        <v>#N/A</v>
      </c>
      <c r="F1959" s="248" t="str">
        <f t="shared" si="666"/>
        <v>Feb</v>
      </c>
      <c r="G1959" s="249" t="s">
        <v>47</v>
      </c>
      <c r="H1959" s="249" t="s">
        <v>260</v>
      </c>
      <c r="I1959" s="249" t="s">
        <v>2702</v>
      </c>
      <c r="J1959" s="250" t="s">
        <v>70</v>
      </c>
      <c r="K1959" s="251" t="s">
        <v>1020</v>
      </c>
      <c r="L1959" s="300" t="s">
        <v>2167</v>
      </c>
      <c r="M1959" s="250" t="s">
        <v>741</v>
      </c>
      <c r="N1959" s="249" t="s">
        <v>740</v>
      </c>
      <c r="O1959" s="249" t="s">
        <v>742</v>
      </c>
      <c r="P1959" s="252">
        <v>24</v>
      </c>
      <c r="Q1959" s="252">
        <v>5</v>
      </c>
      <c r="R1959" s="249">
        <v>6.1999999999999998E-3</v>
      </c>
      <c r="S1959" s="249" t="s">
        <v>352</v>
      </c>
      <c r="T1959" s="249" t="s">
        <v>56</v>
      </c>
      <c r="U1959" s="249" t="s">
        <v>739</v>
      </c>
      <c r="V1959" s="254">
        <f>3200</f>
        <v>3200</v>
      </c>
      <c r="W1959" s="254">
        <f>3992-760-32</f>
        <v>3200</v>
      </c>
      <c r="X1959" s="255"/>
      <c r="Y1959" s="256">
        <f t="shared" si="676"/>
        <v>0</v>
      </c>
      <c r="Z1959" s="257">
        <f t="shared" si="677"/>
        <v>0</v>
      </c>
      <c r="AA1959" s="257">
        <f t="shared" si="667"/>
        <v>0</v>
      </c>
      <c r="AB1959" s="810">
        <v>1.2999999999999999E-2</v>
      </c>
      <c r="AC1959" s="254">
        <f t="shared" si="682"/>
        <v>0</v>
      </c>
      <c r="AD1959" s="209"/>
      <c r="AE1959" s="210">
        <f t="shared" si="678"/>
        <v>0</v>
      </c>
      <c r="AF1959" s="210">
        <f t="shared" si="684"/>
        <v>0</v>
      </c>
      <c r="AG1959" s="211">
        <f t="shared" si="685"/>
        <v>0.14299999999999999</v>
      </c>
      <c r="AH1959" s="157">
        <f t="shared" si="680"/>
        <v>0</v>
      </c>
      <c r="AI1959" s="152">
        <f t="shared" si="683"/>
        <v>76800</v>
      </c>
      <c r="AK1959" s="156" t="s">
        <v>691</v>
      </c>
      <c r="AL1959" s="212" t="s">
        <v>690</v>
      </c>
      <c r="AM1959" s="198">
        <f t="shared" si="686"/>
        <v>0</v>
      </c>
      <c r="AN1959" s="199">
        <f t="shared" si="668"/>
        <v>45707</v>
      </c>
      <c r="AO1959" s="159" t="s">
        <v>692</v>
      </c>
      <c r="AP1959" s="783" t="s">
        <v>609</v>
      </c>
      <c r="AQ1959" s="782">
        <v>12071839</v>
      </c>
      <c r="AR1959" s="782">
        <v>12047514</v>
      </c>
      <c r="AS1959" s="782">
        <v>12047515</v>
      </c>
      <c r="AT1959" s="781"/>
      <c r="AU1959" s="781"/>
      <c r="AV1959" s="782">
        <v>12089668</v>
      </c>
      <c r="AW1959" s="781"/>
      <c r="AX1959" s="781"/>
      <c r="AY1959" s="782" t="s">
        <v>2146</v>
      </c>
      <c r="AZ1959" s="782" t="s">
        <v>2147</v>
      </c>
      <c r="BA1959" s="781"/>
      <c r="BB1959" s="209">
        <v>11042803</v>
      </c>
    </row>
    <row r="1960" spans="1:54" ht="24.65" hidden="1" customHeight="1">
      <c r="B1960" s="546">
        <v>45707</v>
      </c>
      <c r="C1960" s="547" t="s">
        <v>1918</v>
      </c>
      <c r="D1960" s="185">
        <f t="shared" si="665"/>
        <v>2025</v>
      </c>
      <c r="E1960" s="547" t="e">
        <f>VLOOKUP($B1960,Week!$A$1:$C$1462,2,0)</f>
        <v>#N/A</v>
      </c>
      <c r="F1960" s="548" t="str">
        <f t="shared" si="666"/>
        <v>Feb</v>
      </c>
      <c r="G1960" s="549" t="s">
        <v>47</v>
      </c>
      <c r="H1960" s="549" t="s">
        <v>518</v>
      </c>
      <c r="I1960" s="549" t="s">
        <v>2702</v>
      </c>
      <c r="J1960" s="550" t="s">
        <v>70</v>
      </c>
      <c r="K1960" s="551" t="s">
        <v>1020</v>
      </c>
      <c r="L1960" s="300" t="s">
        <v>2167</v>
      </c>
      <c r="M1960" s="550" t="s">
        <v>746</v>
      </c>
      <c r="N1960" s="618" t="s">
        <v>751</v>
      </c>
      <c r="O1960" s="549" t="s">
        <v>747</v>
      </c>
      <c r="P1960" s="552">
        <v>12</v>
      </c>
      <c r="Q1960" s="552">
        <v>5</v>
      </c>
      <c r="R1960" s="549">
        <v>6.1999999999999998E-3</v>
      </c>
      <c r="S1960" s="549" t="s">
        <v>352</v>
      </c>
      <c r="T1960" s="549" t="s">
        <v>56</v>
      </c>
      <c r="U1960" s="549" t="s">
        <v>739</v>
      </c>
      <c r="V1960" s="554">
        <f>700</f>
        <v>700</v>
      </c>
      <c r="W1960" s="554">
        <f>14+686</f>
        <v>700</v>
      </c>
      <c r="X1960" s="555"/>
      <c r="Y1960" s="556">
        <f t="shared" si="676"/>
        <v>0</v>
      </c>
      <c r="Z1960" s="557">
        <f t="shared" si="677"/>
        <v>0</v>
      </c>
      <c r="AA1960" s="557">
        <f t="shared" si="667"/>
        <v>0</v>
      </c>
      <c r="AB1960" s="833">
        <v>1.2999999999999999E-2</v>
      </c>
      <c r="AC1960" s="554">
        <f t="shared" si="682"/>
        <v>0</v>
      </c>
      <c r="AD1960" s="209"/>
      <c r="AE1960" s="210">
        <f t="shared" si="678"/>
        <v>0</v>
      </c>
      <c r="AF1960" s="210">
        <f t="shared" si="684"/>
        <v>0</v>
      </c>
      <c r="AG1960" s="211">
        <f t="shared" si="685"/>
        <v>0.14299999999999999</v>
      </c>
      <c r="AH1960" s="157">
        <f t="shared" si="680"/>
        <v>0</v>
      </c>
      <c r="AI1960" s="152">
        <f t="shared" si="683"/>
        <v>8400</v>
      </c>
      <c r="AK1960" s="156" t="s">
        <v>691</v>
      </c>
      <c r="AL1960" s="212" t="s">
        <v>690</v>
      </c>
      <c r="AM1960" s="198">
        <f t="shared" si="686"/>
        <v>0</v>
      </c>
      <c r="AN1960" s="199">
        <f t="shared" si="668"/>
        <v>45707</v>
      </c>
      <c r="AO1960" s="159" t="s">
        <v>692</v>
      </c>
      <c r="AP1960" s="783" t="s">
        <v>609</v>
      </c>
      <c r="AQ1960" s="782">
        <v>12071839</v>
      </c>
      <c r="AR1960" s="782">
        <v>12047514</v>
      </c>
      <c r="AS1960" s="782">
        <v>12047515</v>
      </c>
      <c r="AT1960" s="781"/>
      <c r="AU1960" s="781"/>
      <c r="AV1960" s="782">
        <v>12088316</v>
      </c>
      <c r="AW1960" s="781"/>
      <c r="AX1960" s="781"/>
      <c r="AY1960" s="782">
        <v>12089871</v>
      </c>
      <c r="AZ1960" s="782">
        <v>12089872</v>
      </c>
      <c r="BA1960" s="781"/>
      <c r="BB1960" s="209">
        <v>11042803</v>
      </c>
    </row>
    <row r="1961" spans="1:54" ht="24.65" hidden="1" customHeight="1">
      <c r="B1961" s="546">
        <v>45707</v>
      </c>
      <c r="C1961" s="547" t="s">
        <v>1927</v>
      </c>
      <c r="D1961" s="185">
        <f t="shared" si="665"/>
        <v>2025</v>
      </c>
      <c r="E1961" s="547" t="e">
        <f>VLOOKUP($B1961,Week!$A$1:$C$1462,2,0)</f>
        <v>#N/A</v>
      </c>
      <c r="F1961" s="548" t="str">
        <f t="shared" si="666"/>
        <v>Feb</v>
      </c>
      <c r="G1961" s="549" t="s">
        <v>47</v>
      </c>
      <c r="H1961" s="549" t="s">
        <v>518</v>
      </c>
      <c r="I1961" s="549" t="s">
        <v>2702</v>
      </c>
      <c r="J1961" s="550" t="s">
        <v>70</v>
      </c>
      <c r="K1961" s="551" t="s">
        <v>1020</v>
      </c>
      <c r="L1961" s="300" t="s">
        <v>2167</v>
      </c>
      <c r="M1961" s="550" t="s">
        <v>746</v>
      </c>
      <c r="N1961" s="618" t="s">
        <v>751</v>
      </c>
      <c r="O1961" s="549" t="s">
        <v>747</v>
      </c>
      <c r="P1961" s="552">
        <v>12</v>
      </c>
      <c r="Q1961" s="552">
        <v>5</v>
      </c>
      <c r="R1961" s="549">
        <v>6.1999999999999998E-3</v>
      </c>
      <c r="S1961" s="549" t="s">
        <v>352</v>
      </c>
      <c r="T1961" s="549" t="s">
        <v>56</v>
      </c>
      <c r="U1961" s="549" t="s">
        <v>739</v>
      </c>
      <c r="V1961" s="554">
        <f>750</f>
        <v>750</v>
      </c>
      <c r="W1961" s="554">
        <f>750</f>
        <v>750</v>
      </c>
      <c r="X1961" s="555"/>
      <c r="Y1961" s="556">
        <f t="shared" si="676"/>
        <v>0</v>
      </c>
      <c r="Z1961" s="557">
        <f t="shared" si="677"/>
        <v>0</v>
      </c>
      <c r="AA1961" s="557">
        <f t="shared" si="667"/>
        <v>0</v>
      </c>
      <c r="AB1961" s="833">
        <v>1.2999999999999999E-2</v>
      </c>
      <c r="AC1961" s="554">
        <f t="shared" si="682"/>
        <v>0</v>
      </c>
      <c r="AD1961" s="209"/>
      <c r="AE1961" s="210">
        <f t="shared" si="678"/>
        <v>0</v>
      </c>
      <c r="AF1961" s="210">
        <f t="shared" si="684"/>
        <v>0</v>
      </c>
      <c r="AG1961" s="211">
        <f t="shared" si="685"/>
        <v>0.14299999999999999</v>
      </c>
      <c r="AH1961" s="157">
        <f t="shared" si="680"/>
        <v>0</v>
      </c>
      <c r="AI1961" s="152">
        <f t="shared" si="683"/>
        <v>9000</v>
      </c>
      <c r="AK1961" s="156" t="s">
        <v>691</v>
      </c>
      <c r="AL1961" s="212" t="s">
        <v>690</v>
      </c>
      <c r="AM1961" s="198">
        <f t="shared" si="686"/>
        <v>0</v>
      </c>
      <c r="AN1961" s="199">
        <f t="shared" si="668"/>
        <v>45707</v>
      </c>
      <c r="AO1961" s="159" t="s">
        <v>692</v>
      </c>
      <c r="AP1961" s="783" t="s">
        <v>609</v>
      </c>
      <c r="AQ1961" s="782">
        <v>12071839</v>
      </c>
      <c r="AR1961" s="782">
        <v>12047514</v>
      </c>
      <c r="AS1961" s="782">
        <v>12047515</v>
      </c>
      <c r="AT1961" s="781"/>
      <c r="AU1961" s="781"/>
      <c r="AV1961" s="782">
        <v>12088316</v>
      </c>
      <c r="AW1961" s="781"/>
      <c r="AX1961" s="781"/>
      <c r="AY1961" s="782">
        <v>12089871</v>
      </c>
      <c r="AZ1961" s="782">
        <v>12089872</v>
      </c>
      <c r="BA1961" s="781"/>
      <c r="BB1961" s="209">
        <v>11042803</v>
      </c>
    </row>
    <row r="1962" spans="1:54" ht="25" hidden="1" customHeight="1">
      <c r="A1962" s="529" t="s">
        <v>1937</v>
      </c>
      <c r="B1962" s="357">
        <v>45708</v>
      </c>
      <c r="C1962" s="776" t="s">
        <v>1927</v>
      </c>
      <c r="D1962" s="185">
        <f t="shared" si="665"/>
        <v>2025</v>
      </c>
      <c r="E1962" s="358" t="e">
        <f>VLOOKUP($B1962,Week!$A$1:$C$1462,2,0)</f>
        <v>#N/A</v>
      </c>
      <c r="F1962" s="360" t="str">
        <f t="shared" si="666"/>
        <v>Feb</v>
      </c>
      <c r="G1962" s="359" t="s">
        <v>47</v>
      </c>
      <c r="H1962" s="359" t="s">
        <v>518</v>
      </c>
      <c r="I1962" s="359" t="s">
        <v>2702</v>
      </c>
      <c r="J1962" s="361" t="s">
        <v>70</v>
      </c>
      <c r="K1962" s="362" t="s">
        <v>94</v>
      </c>
      <c r="L1962" s="300" t="s">
        <v>2167</v>
      </c>
      <c r="M1962" s="361" t="s">
        <v>519</v>
      </c>
      <c r="N1962" s="436" t="s">
        <v>648</v>
      </c>
      <c r="O1962" s="359" t="s">
        <v>97</v>
      </c>
      <c r="P1962" s="363">
        <v>12</v>
      </c>
      <c r="Q1962" s="363">
        <v>5</v>
      </c>
      <c r="R1962" s="364">
        <v>8.0000000000000002E-3</v>
      </c>
      <c r="S1962" s="359" t="s">
        <v>40</v>
      </c>
      <c r="T1962" s="359" t="s">
        <v>56</v>
      </c>
      <c r="U1962" s="359" t="s">
        <v>57</v>
      </c>
      <c r="V1962" s="365">
        <v>12</v>
      </c>
      <c r="W1962" s="365">
        <f>144/12</f>
        <v>12</v>
      </c>
      <c r="X1962" s="366"/>
      <c r="Y1962" s="367">
        <f t="shared" si="676"/>
        <v>0</v>
      </c>
      <c r="Z1962" s="368">
        <f t="shared" si="677"/>
        <v>0</v>
      </c>
      <c r="AA1962" s="368">
        <f t="shared" si="667"/>
        <v>0</v>
      </c>
      <c r="AB1962" s="819">
        <v>7.4999999999999997E-3</v>
      </c>
      <c r="AC1962" s="365">
        <f t="shared" si="682"/>
        <v>0</v>
      </c>
      <c r="AD1962" s="209"/>
      <c r="AE1962" s="210">
        <f t="shared" si="678"/>
        <v>0</v>
      </c>
      <c r="AF1962" s="210">
        <f t="shared" si="684"/>
        <v>0</v>
      </c>
      <c r="AG1962" s="211">
        <f t="shared" si="685"/>
        <v>0.14499999999999999</v>
      </c>
      <c r="AH1962" s="157">
        <f t="shared" si="680"/>
        <v>0</v>
      </c>
      <c r="AI1962" s="152">
        <f t="shared" si="683"/>
        <v>144</v>
      </c>
      <c r="AK1962" s="156" t="s">
        <v>691</v>
      </c>
      <c r="AL1962" s="574" t="s">
        <v>690</v>
      </c>
      <c r="AM1962" s="198">
        <f t="shared" si="686"/>
        <v>0</v>
      </c>
      <c r="AN1962" s="199">
        <f t="shared" si="668"/>
        <v>45708</v>
      </c>
      <c r="AO1962" s="159" t="s">
        <v>692</v>
      </c>
      <c r="AP1962" s="783" t="s">
        <v>628</v>
      </c>
      <c r="AQ1962" s="782">
        <v>12071839</v>
      </c>
      <c r="AR1962" s="782">
        <v>12047514</v>
      </c>
      <c r="AS1962" s="782">
        <v>12047515</v>
      </c>
      <c r="AT1962" s="782"/>
      <c r="AU1962" s="781"/>
      <c r="AV1962" s="782">
        <v>12080617</v>
      </c>
      <c r="AW1962" s="782"/>
      <c r="AX1962" s="782"/>
      <c r="AY1962" s="782">
        <v>12080618</v>
      </c>
      <c r="AZ1962" s="782">
        <v>12080619</v>
      </c>
      <c r="BA1962" s="781"/>
      <c r="BB1962" s="209">
        <v>23053185</v>
      </c>
    </row>
    <row r="1963" spans="1:54" ht="25" hidden="1" customHeight="1">
      <c r="B1963" s="357">
        <v>45708</v>
      </c>
      <c r="C1963" s="776" t="s">
        <v>1927</v>
      </c>
      <c r="D1963" s="185">
        <f t="shared" si="665"/>
        <v>2025</v>
      </c>
      <c r="E1963" s="358" t="e">
        <f>VLOOKUP($B1963,Week!$A$1:$C$1462,2,0)</f>
        <v>#N/A</v>
      </c>
      <c r="F1963" s="360" t="str">
        <f t="shared" si="666"/>
        <v>Feb</v>
      </c>
      <c r="G1963" s="359" t="s">
        <v>47</v>
      </c>
      <c r="H1963" s="359" t="s">
        <v>518</v>
      </c>
      <c r="I1963" s="359" t="s">
        <v>2702</v>
      </c>
      <c r="J1963" s="361" t="s">
        <v>70</v>
      </c>
      <c r="K1963" s="362" t="s">
        <v>94</v>
      </c>
      <c r="L1963" s="300" t="s">
        <v>2167</v>
      </c>
      <c r="M1963" s="361" t="s">
        <v>519</v>
      </c>
      <c r="N1963" s="359" t="s">
        <v>589</v>
      </c>
      <c r="O1963" s="359" t="s">
        <v>97</v>
      </c>
      <c r="P1963" s="363">
        <v>12</v>
      </c>
      <c r="Q1963" s="363">
        <v>5</v>
      </c>
      <c r="R1963" s="364">
        <v>8.0000000000000002E-3</v>
      </c>
      <c r="S1963" s="359" t="s">
        <v>40</v>
      </c>
      <c r="T1963" s="359" t="s">
        <v>56</v>
      </c>
      <c r="U1963" s="359" t="s">
        <v>57</v>
      </c>
      <c r="V1963" s="365">
        <f>3500</f>
        <v>3500</v>
      </c>
      <c r="W1963" s="365">
        <f>13+1+3486</f>
        <v>3500</v>
      </c>
      <c r="X1963" s="366"/>
      <c r="Y1963" s="367">
        <f t="shared" si="676"/>
        <v>0</v>
      </c>
      <c r="Z1963" s="368">
        <f t="shared" si="677"/>
        <v>0</v>
      </c>
      <c r="AA1963" s="368">
        <f t="shared" si="667"/>
        <v>0</v>
      </c>
      <c r="AB1963" s="819">
        <v>7.4999999999999997E-3</v>
      </c>
      <c r="AC1963" s="365">
        <f t="shared" si="682"/>
        <v>0</v>
      </c>
      <c r="AD1963" s="209"/>
      <c r="AE1963" s="210">
        <f t="shared" si="678"/>
        <v>0</v>
      </c>
      <c r="AF1963" s="210">
        <f t="shared" si="684"/>
        <v>0</v>
      </c>
      <c r="AG1963" s="211">
        <f t="shared" si="685"/>
        <v>0.14499999999999999</v>
      </c>
      <c r="AH1963" s="157">
        <f t="shared" si="680"/>
        <v>0</v>
      </c>
      <c r="AI1963" s="152">
        <f t="shared" si="683"/>
        <v>42000</v>
      </c>
      <c r="AK1963" s="156" t="s">
        <v>691</v>
      </c>
      <c r="AL1963" s="574" t="s">
        <v>690</v>
      </c>
      <c r="AM1963" s="198">
        <f t="shared" si="686"/>
        <v>0</v>
      </c>
      <c r="AN1963" s="199">
        <f t="shared" si="668"/>
        <v>45708</v>
      </c>
      <c r="AO1963" s="159" t="s">
        <v>692</v>
      </c>
      <c r="AP1963" s="783" t="s">
        <v>628</v>
      </c>
      <c r="AQ1963" s="782">
        <v>12071839</v>
      </c>
      <c r="AR1963" s="782">
        <v>12047514</v>
      </c>
      <c r="AS1963" s="782">
        <v>12047515</v>
      </c>
      <c r="AT1963" s="782"/>
      <c r="AU1963" s="781"/>
      <c r="AV1963" s="782">
        <v>12080617</v>
      </c>
      <c r="AW1963" s="782"/>
      <c r="AX1963" s="782"/>
      <c r="AY1963" s="782">
        <v>12080618</v>
      </c>
      <c r="AZ1963" s="782">
        <v>12080619</v>
      </c>
      <c r="BA1963" s="781"/>
      <c r="BB1963" s="209">
        <v>23053185</v>
      </c>
    </row>
    <row r="1964" spans="1:54" ht="24.65" hidden="1" customHeight="1">
      <c r="B1964" s="411">
        <v>45708</v>
      </c>
      <c r="C1964" s="645" t="s">
        <v>1927</v>
      </c>
      <c r="D1964" s="185">
        <f t="shared" si="665"/>
        <v>2025</v>
      </c>
      <c r="E1964" s="412" t="e">
        <f>VLOOKUP($B1964,Week!$A$1:$C$1462,2,0)</f>
        <v>#N/A</v>
      </c>
      <c r="F1964" s="413" t="str">
        <f t="shared" si="666"/>
        <v>Feb</v>
      </c>
      <c r="G1964" s="414" t="s">
        <v>47</v>
      </c>
      <c r="H1964" s="414" t="s">
        <v>260</v>
      </c>
      <c r="I1964" s="414" t="s">
        <v>2702</v>
      </c>
      <c r="J1964" s="415" t="s">
        <v>261</v>
      </c>
      <c r="K1964" s="416" t="s">
        <v>94</v>
      </c>
      <c r="L1964" s="300" t="s">
        <v>2167</v>
      </c>
      <c r="M1964" s="415" t="s">
        <v>1303</v>
      </c>
      <c r="N1964" s="414" t="s">
        <v>263</v>
      </c>
      <c r="O1964" s="414" t="s">
        <v>195</v>
      </c>
      <c r="P1964" s="417">
        <v>24</v>
      </c>
      <c r="Q1964" s="417">
        <v>5</v>
      </c>
      <c r="R1964" s="418">
        <v>8.0000000000000002E-3</v>
      </c>
      <c r="S1964" s="414" t="s">
        <v>40</v>
      </c>
      <c r="T1964" s="414" t="s">
        <v>56</v>
      </c>
      <c r="U1964" s="414" t="s">
        <v>57</v>
      </c>
      <c r="V1964" s="419">
        <f>4256</f>
        <v>4256</v>
      </c>
      <c r="W1964" s="419">
        <f>34+44+4178</f>
        <v>4256</v>
      </c>
      <c r="X1964" s="420"/>
      <c r="Y1964" s="421">
        <f t="shared" si="676"/>
        <v>0</v>
      </c>
      <c r="Z1964" s="422">
        <f t="shared" si="677"/>
        <v>0</v>
      </c>
      <c r="AA1964" s="422">
        <f t="shared" si="667"/>
        <v>0</v>
      </c>
      <c r="AB1964" s="825">
        <v>7.4999999999999997E-3</v>
      </c>
      <c r="AC1964" s="419">
        <f t="shared" si="682"/>
        <v>0</v>
      </c>
      <c r="AD1964" s="209"/>
      <c r="AE1964" s="210">
        <f t="shared" si="678"/>
        <v>0</v>
      </c>
      <c r="AF1964" s="210">
        <f t="shared" si="684"/>
        <v>0</v>
      </c>
      <c r="AG1964" s="211">
        <f t="shared" si="685"/>
        <v>0.14499999999999999</v>
      </c>
      <c r="AH1964" s="157">
        <f t="shared" si="680"/>
        <v>0</v>
      </c>
      <c r="AI1964" s="152">
        <f t="shared" si="683"/>
        <v>102144</v>
      </c>
      <c r="AK1964" s="156" t="s">
        <v>691</v>
      </c>
      <c r="AL1964" s="212" t="s">
        <v>690</v>
      </c>
      <c r="AM1964" s="198">
        <f t="shared" si="686"/>
        <v>0</v>
      </c>
      <c r="AN1964" s="199">
        <f t="shared" si="668"/>
        <v>45708</v>
      </c>
      <c r="AO1964" s="159" t="s">
        <v>692</v>
      </c>
      <c r="AP1964" s="783" t="s">
        <v>609</v>
      </c>
      <c r="AQ1964" s="782">
        <v>12071839</v>
      </c>
      <c r="AR1964" s="782">
        <v>12047514</v>
      </c>
      <c r="AS1964" s="782">
        <v>12047515</v>
      </c>
      <c r="AT1964" s="781"/>
      <c r="AU1964" s="781"/>
      <c r="AV1964" s="782">
        <v>12080613</v>
      </c>
      <c r="AW1964" s="781"/>
      <c r="AX1964" s="781"/>
      <c r="AY1964" s="782">
        <v>12080614</v>
      </c>
      <c r="AZ1964" s="782">
        <v>12080616</v>
      </c>
      <c r="BA1964" s="781"/>
      <c r="BB1964" s="209">
        <v>23053185</v>
      </c>
    </row>
    <row r="1965" spans="1:54" ht="24.65" hidden="1" customHeight="1">
      <c r="B1965" s="411">
        <v>45709</v>
      </c>
      <c r="C1965" s="645" t="s">
        <v>1927</v>
      </c>
      <c r="D1965" s="185">
        <f t="shared" si="665"/>
        <v>2025</v>
      </c>
      <c r="E1965" s="412" t="e">
        <f>VLOOKUP($B1965,Week!$A$1:$C$1462,2,0)</f>
        <v>#N/A</v>
      </c>
      <c r="F1965" s="413" t="str">
        <f t="shared" si="666"/>
        <v>Feb</v>
      </c>
      <c r="G1965" s="414" t="s">
        <v>47</v>
      </c>
      <c r="H1965" s="414" t="s">
        <v>260</v>
      </c>
      <c r="I1965" s="414" t="s">
        <v>2702</v>
      </c>
      <c r="J1965" s="415" t="s">
        <v>261</v>
      </c>
      <c r="K1965" s="416" t="s">
        <v>94</v>
      </c>
      <c r="L1965" s="300" t="s">
        <v>2167</v>
      </c>
      <c r="M1965" s="415" t="s">
        <v>1303</v>
      </c>
      <c r="N1965" s="414" t="s">
        <v>263</v>
      </c>
      <c r="O1965" s="414" t="s">
        <v>195</v>
      </c>
      <c r="P1965" s="417">
        <v>24</v>
      </c>
      <c r="Q1965" s="417">
        <v>5</v>
      </c>
      <c r="R1965" s="418">
        <v>8.0000000000000002E-3</v>
      </c>
      <c r="S1965" s="414" t="s">
        <v>40</v>
      </c>
      <c r="T1965" s="414" t="s">
        <v>56</v>
      </c>
      <c r="U1965" s="414" t="s">
        <v>57</v>
      </c>
      <c r="V1965" s="419">
        <f>10000-4256</f>
        <v>5744</v>
      </c>
      <c r="W1965" s="419">
        <f>5744</f>
        <v>5744</v>
      </c>
      <c r="X1965" s="420"/>
      <c r="Y1965" s="421">
        <f t="shared" si="676"/>
        <v>0</v>
      </c>
      <c r="Z1965" s="422">
        <f t="shared" si="677"/>
        <v>0</v>
      </c>
      <c r="AA1965" s="422">
        <f t="shared" si="667"/>
        <v>0</v>
      </c>
      <c r="AB1965" s="825">
        <v>7.4999999999999997E-3</v>
      </c>
      <c r="AC1965" s="419">
        <f t="shared" si="682"/>
        <v>0</v>
      </c>
      <c r="AD1965" s="209"/>
      <c r="AE1965" s="210">
        <f t="shared" si="678"/>
        <v>0</v>
      </c>
      <c r="AF1965" s="210">
        <f t="shared" si="684"/>
        <v>0</v>
      </c>
      <c r="AG1965" s="211">
        <f t="shared" si="685"/>
        <v>0.14499999999999999</v>
      </c>
      <c r="AH1965" s="157">
        <f t="shared" si="680"/>
        <v>0</v>
      </c>
      <c r="AI1965" s="152">
        <f t="shared" si="683"/>
        <v>137856</v>
      </c>
      <c r="AK1965" s="156" t="s">
        <v>691</v>
      </c>
      <c r="AL1965" s="212" t="s">
        <v>690</v>
      </c>
      <c r="AM1965" s="198">
        <f t="shared" si="686"/>
        <v>0</v>
      </c>
      <c r="AN1965" s="199">
        <f t="shared" si="668"/>
        <v>45709</v>
      </c>
      <c r="AO1965" s="159" t="s">
        <v>692</v>
      </c>
      <c r="AP1965" s="783" t="s">
        <v>609</v>
      </c>
      <c r="AQ1965" s="782">
        <v>12071839</v>
      </c>
      <c r="AR1965" s="782">
        <v>12047514</v>
      </c>
      <c r="AS1965" s="782">
        <v>12047515</v>
      </c>
      <c r="AT1965" s="781"/>
      <c r="AU1965" s="781"/>
      <c r="AV1965" s="782">
        <v>12080613</v>
      </c>
      <c r="AW1965" s="781"/>
      <c r="AX1965" s="781"/>
      <c r="AY1965" s="782">
        <v>12080614</v>
      </c>
      <c r="AZ1965" s="782">
        <v>12080616</v>
      </c>
      <c r="BA1965" s="781"/>
      <c r="BB1965" s="209">
        <v>23053185</v>
      </c>
    </row>
    <row r="1966" spans="1:54" ht="24.65" hidden="1" customHeight="1">
      <c r="B1966" s="411">
        <v>45709</v>
      </c>
      <c r="C1966" s="645" t="s">
        <v>1928</v>
      </c>
      <c r="D1966" s="185">
        <f t="shared" si="665"/>
        <v>2025</v>
      </c>
      <c r="E1966" s="412" t="e">
        <f>VLOOKUP($B1966,Week!$A$1:$C$1462,2,0)</f>
        <v>#N/A</v>
      </c>
      <c r="F1966" s="413" t="str">
        <f t="shared" si="666"/>
        <v>Feb</v>
      </c>
      <c r="G1966" s="414" t="s">
        <v>47</v>
      </c>
      <c r="H1966" s="414" t="s">
        <v>260</v>
      </c>
      <c r="I1966" s="414" t="s">
        <v>2702</v>
      </c>
      <c r="J1966" s="415" t="s">
        <v>261</v>
      </c>
      <c r="K1966" s="416" t="s">
        <v>94</v>
      </c>
      <c r="L1966" s="300" t="s">
        <v>2167</v>
      </c>
      <c r="M1966" s="415" t="s">
        <v>1303</v>
      </c>
      <c r="N1966" s="414" t="s">
        <v>263</v>
      </c>
      <c r="O1966" s="414" t="s">
        <v>195</v>
      </c>
      <c r="P1966" s="417">
        <v>24</v>
      </c>
      <c r="Q1966" s="417">
        <v>5</v>
      </c>
      <c r="R1966" s="418">
        <v>8.0000000000000002E-3</v>
      </c>
      <c r="S1966" s="414" t="s">
        <v>40</v>
      </c>
      <c r="T1966" s="414" t="s">
        <v>56</v>
      </c>
      <c r="U1966" s="414" t="s">
        <v>57</v>
      </c>
      <c r="V1966" s="419">
        <f>104</f>
        <v>104</v>
      </c>
      <c r="W1966" s="419">
        <f>5848-5744</f>
        <v>104</v>
      </c>
      <c r="X1966" s="420"/>
      <c r="Y1966" s="421">
        <f t="shared" si="676"/>
        <v>0</v>
      </c>
      <c r="Z1966" s="422">
        <f t="shared" si="677"/>
        <v>0</v>
      </c>
      <c r="AA1966" s="422">
        <f t="shared" si="667"/>
        <v>0</v>
      </c>
      <c r="AB1966" s="825">
        <v>7.4999999999999997E-3</v>
      </c>
      <c r="AC1966" s="419">
        <f t="shared" si="682"/>
        <v>0</v>
      </c>
      <c r="AD1966" s="209"/>
      <c r="AE1966" s="210">
        <f t="shared" si="678"/>
        <v>0</v>
      </c>
      <c r="AF1966" s="210">
        <f t="shared" si="684"/>
        <v>0</v>
      </c>
      <c r="AG1966" s="211">
        <f t="shared" si="685"/>
        <v>0.14499999999999999</v>
      </c>
      <c r="AH1966" s="157">
        <f t="shared" si="680"/>
        <v>0</v>
      </c>
      <c r="AI1966" s="152">
        <f t="shared" si="683"/>
        <v>2496</v>
      </c>
      <c r="AK1966" s="156" t="s">
        <v>691</v>
      </c>
      <c r="AL1966" s="212" t="s">
        <v>690</v>
      </c>
      <c r="AM1966" s="198">
        <f t="shared" si="686"/>
        <v>0</v>
      </c>
      <c r="AN1966" s="199">
        <f t="shared" si="668"/>
        <v>45709</v>
      </c>
      <c r="AO1966" s="159" t="s">
        <v>692</v>
      </c>
      <c r="AP1966" s="783" t="s">
        <v>609</v>
      </c>
      <c r="AQ1966" s="782">
        <v>12071839</v>
      </c>
      <c r="AR1966" s="782">
        <v>12047514</v>
      </c>
      <c r="AS1966" s="782">
        <v>12047515</v>
      </c>
      <c r="AT1966" s="781"/>
      <c r="AU1966" s="781"/>
      <c r="AV1966" s="782">
        <v>12080613</v>
      </c>
      <c r="AW1966" s="781"/>
      <c r="AX1966" s="781"/>
      <c r="AY1966" s="782">
        <v>12080614</v>
      </c>
      <c r="AZ1966" s="782">
        <v>12080616</v>
      </c>
      <c r="BA1966" s="781"/>
      <c r="BB1966" s="209">
        <v>23053185</v>
      </c>
    </row>
    <row r="1967" spans="1:54" ht="24.75" hidden="1" customHeight="1">
      <c r="B1967" s="295">
        <v>45710</v>
      </c>
      <c r="C1967" s="771" t="s">
        <v>1927</v>
      </c>
      <c r="D1967" s="185">
        <f t="shared" si="665"/>
        <v>2025</v>
      </c>
      <c r="E1967" s="296" t="e">
        <f>VLOOKUP($B1967,Week!$A$1:$C$1462,2,0)</f>
        <v>#N/A</v>
      </c>
      <c r="F1967" s="297" t="str">
        <f t="shared" si="666"/>
        <v>Feb</v>
      </c>
      <c r="G1967" s="648" t="s">
        <v>47</v>
      </c>
      <c r="H1967" s="298" t="s">
        <v>260</v>
      </c>
      <c r="I1967" s="298" t="s">
        <v>2702</v>
      </c>
      <c r="J1967" s="307" t="s">
        <v>904</v>
      </c>
      <c r="K1967" s="300" t="s">
        <v>176</v>
      </c>
      <c r="L1967" s="300" t="s">
        <v>2167</v>
      </c>
      <c r="M1967" s="299" t="s">
        <v>262</v>
      </c>
      <c r="N1967" s="298" t="s">
        <v>350</v>
      </c>
      <c r="O1967" s="298" t="s">
        <v>351</v>
      </c>
      <c r="P1967" s="301">
        <v>24</v>
      </c>
      <c r="Q1967" s="301">
        <v>5</v>
      </c>
      <c r="R1967" s="302">
        <v>6.1999999999999998E-3</v>
      </c>
      <c r="S1967" s="298" t="s">
        <v>352</v>
      </c>
      <c r="T1967" s="298" t="s">
        <v>56</v>
      </c>
      <c r="U1967" s="298" t="s">
        <v>57</v>
      </c>
      <c r="V1967" s="303">
        <f>11000-778-3885-2157-417</f>
        <v>3763</v>
      </c>
      <c r="W1967" s="303">
        <f>117+3646</f>
        <v>3763</v>
      </c>
      <c r="X1967" s="304"/>
      <c r="Y1967" s="305">
        <f t="shared" si="676"/>
        <v>0</v>
      </c>
      <c r="Z1967" s="306">
        <f t="shared" si="677"/>
        <v>0</v>
      </c>
      <c r="AA1967" s="306">
        <f t="shared" si="667"/>
        <v>0</v>
      </c>
      <c r="AB1967" s="814">
        <v>7.4999999999999997E-3</v>
      </c>
      <c r="AC1967" s="303">
        <f t="shared" si="682"/>
        <v>0</v>
      </c>
      <c r="AD1967" s="573"/>
      <c r="AE1967" s="210">
        <f t="shared" si="678"/>
        <v>0</v>
      </c>
      <c r="AF1967" s="210">
        <f t="shared" si="684"/>
        <v>0</v>
      </c>
      <c r="AG1967" s="211">
        <f t="shared" si="685"/>
        <v>0.13</v>
      </c>
      <c r="AH1967" s="157">
        <f t="shared" si="680"/>
        <v>0</v>
      </c>
      <c r="AI1967" s="152">
        <f t="shared" si="683"/>
        <v>90312</v>
      </c>
      <c r="AK1967" s="156" t="s">
        <v>691</v>
      </c>
      <c r="AL1967" s="574" t="s">
        <v>690</v>
      </c>
      <c r="AM1967" s="198">
        <f t="shared" si="686"/>
        <v>0</v>
      </c>
      <c r="AN1967" s="199">
        <f t="shared" si="668"/>
        <v>45710</v>
      </c>
      <c r="AO1967" s="159" t="s">
        <v>692</v>
      </c>
      <c r="AP1967" s="783" t="s">
        <v>629</v>
      </c>
      <c r="AQ1967" s="782">
        <v>12071839</v>
      </c>
      <c r="AR1967" s="782">
        <v>12078867</v>
      </c>
      <c r="AS1967" s="782">
        <v>12068233</v>
      </c>
      <c r="AT1967" s="781"/>
      <c r="AU1967" s="781"/>
      <c r="AV1967" s="782">
        <v>12062075</v>
      </c>
      <c r="AW1967" s="781"/>
      <c r="AX1967" s="781"/>
      <c r="AY1967" s="782">
        <v>12086617</v>
      </c>
      <c r="AZ1967" s="781"/>
      <c r="BA1967" s="781"/>
      <c r="BB1967" s="209">
        <v>23053185</v>
      </c>
    </row>
    <row r="1968" spans="1:54" ht="24.75" hidden="1" customHeight="1">
      <c r="B1968" s="295">
        <v>45710</v>
      </c>
      <c r="C1968" s="771" t="s">
        <v>1927</v>
      </c>
      <c r="D1968" s="185">
        <f t="shared" si="665"/>
        <v>2025</v>
      </c>
      <c r="E1968" s="296" t="e">
        <f>VLOOKUP($B1968,Week!$A$1:$C$1462,2,0)</f>
        <v>#N/A</v>
      </c>
      <c r="F1968" s="297" t="str">
        <f t="shared" si="666"/>
        <v>Feb</v>
      </c>
      <c r="G1968" s="648" t="s">
        <v>47</v>
      </c>
      <c r="H1968" s="298" t="s">
        <v>260</v>
      </c>
      <c r="I1968" s="298" t="s">
        <v>2702</v>
      </c>
      <c r="J1968" s="307" t="s">
        <v>904</v>
      </c>
      <c r="K1968" s="300" t="s">
        <v>176</v>
      </c>
      <c r="L1968" s="300" t="s">
        <v>2167</v>
      </c>
      <c r="M1968" s="299" t="s">
        <v>262</v>
      </c>
      <c r="N1968" s="298" t="s">
        <v>350</v>
      </c>
      <c r="O1968" s="298" t="s">
        <v>351</v>
      </c>
      <c r="P1968" s="301">
        <v>24</v>
      </c>
      <c r="Q1968" s="301">
        <v>5</v>
      </c>
      <c r="R1968" s="302">
        <v>6.1999999999999998E-3</v>
      </c>
      <c r="S1968" s="298" t="s">
        <v>352</v>
      </c>
      <c r="T1968" s="298" t="s">
        <v>56</v>
      </c>
      <c r="U1968" s="298" t="s">
        <v>57</v>
      </c>
      <c r="V1968" s="303">
        <v>1058</v>
      </c>
      <c r="W1968" s="303">
        <f>4694-3636</f>
        <v>1058</v>
      </c>
      <c r="X1968" s="304"/>
      <c r="Y1968" s="305">
        <f t="shared" si="676"/>
        <v>0</v>
      </c>
      <c r="Z1968" s="306">
        <f t="shared" si="677"/>
        <v>0</v>
      </c>
      <c r="AA1968" s="306">
        <f t="shared" si="667"/>
        <v>0</v>
      </c>
      <c r="AB1968" s="814">
        <v>7.4999999999999997E-3</v>
      </c>
      <c r="AC1968" s="303">
        <f t="shared" si="682"/>
        <v>0</v>
      </c>
      <c r="AD1968" s="573"/>
      <c r="AE1968" s="210">
        <f t="shared" si="678"/>
        <v>0</v>
      </c>
      <c r="AF1968" s="210">
        <f t="shared" si="684"/>
        <v>0</v>
      </c>
      <c r="AG1968" s="211">
        <f t="shared" si="685"/>
        <v>0.13</v>
      </c>
      <c r="AH1968" s="157">
        <f t="shared" si="680"/>
        <v>0</v>
      </c>
      <c r="AI1968" s="152">
        <f t="shared" si="683"/>
        <v>25392</v>
      </c>
      <c r="AK1968" s="156" t="s">
        <v>691</v>
      </c>
      <c r="AL1968" s="574" t="s">
        <v>690</v>
      </c>
      <c r="AM1968" s="198">
        <f t="shared" si="686"/>
        <v>0</v>
      </c>
      <c r="AN1968" s="199">
        <f t="shared" si="668"/>
        <v>45710</v>
      </c>
      <c r="AO1968" s="159" t="s">
        <v>692</v>
      </c>
      <c r="AP1968" s="783" t="s">
        <v>629</v>
      </c>
      <c r="AQ1968" s="782">
        <v>12071839</v>
      </c>
      <c r="AR1968" s="782">
        <v>12078867</v>
      </c>
      <c r="AS1968" s="782">
        <v>12068233</v>
      </c>
      <c r="AT1968" s="781"/>
      <c r="AU1968" s="781"/>
      <c r="AV1968" s="782">
        <v>12062075</v>
      </c>
      <c r="AW1968" s="781"/>
      <c r="AX1968" s="781"/>
      <c r="AY1968" s="782">
        <v>12086617</v>
      </c>
      <c r="AZ1968" s="781"/>
      <c r="BA1968" s="781"/>
      <c r="BB1968" s="209">
        <v>23053185</v>
      </c>
    </row>
    <row r="1969" spans="1:54" ht="24.65" hidden="1" customHeight="1">
      <c r="B1969" s="308">
        <v>45710</v>
      </c>
      <c r="C1969" s="309">
        <v>45736</v>
      </c>
      <c r="D1969" s="185">
        <f t="shared" si="665"/>
        <v>2025</v>
      </c>
      <c r="E1969" s="309" t="e">
        <f>VLOOKUP($B1969,Week!$A$1:$C$1462,2,0)</f>
        <v>#N/A</v>
      </c>
      <c r="F1969" s="310" t="str">
        <f t="shared" si="666"/>
        <v>Feb</v>
      </c>
      <c r="G1969" s="311" t="s">
        <v>2009</v>
      </c>
      <c r="H1969" s="311" t="s">
        <v>311</v>
      </c>
      <c r="I1969" s="311" t="s">
        <v>2772</v>
      </c>
      <c r="J1969" s="312" t="s">
        <v>738</v>
      </c>
      <c r="K1969" s="313" t="s">
        <v>107</v>
      </c>
      <c r="L1969" s="300" t="s">
        <v>2167</v>
      </c>
      <c r="M1969" s="312" t="s">
        <v>313</v>
      </c>
      <c r="N1969" s="311" t="s">
        <v>314</v>
      </c>
      <c r="O1969" s="311" t="s">
        <v>110</v>
      </c>
      <c r="P1969" s="314">
        <v>36</v>
      </c>
      <c r="Q1969" s="314">
        <v>5</v>
      </c>
      <c r="R1969" s="315">
        <v>7.4999999999999997E-3</v>
      </c>
      <c r="S1969" s="311" t="s">
        <v>111</v>
      </c>
      <c r="T1969" s="311" t="s">
        <v>112</v>
      </c>
      <c r="U1969" s="311" t="s">
        <v>57</v>
      </c>
      <c r="V1969" s="316">
        <v>792</v>
      </c>
      <c r="W1969" s="316">
        <f>28+762+2</f>
        <v>792</v>
      </c>
      <c r="X1969" s="317"/>
      <c r="Y1969" s="318">
        <f t="shared" si="676"/>
        <v>0</v>
      </c>
      <c r="Z1969" s="319">
        <f t="shared" si="677"/>
        <v>0</v>
      </c>
      <c r="AA1969" s="319">
        <f t="shared" si="667"/>
        <v>0</v>
      </c>
      <c r="AB1969" s="815">
        <v>7.4999999999999997E-3</v>
      </c>
      <c r="AC1969" s="316">
        <f t="shared" si="682"/>
        <v>0</v>
      </c>
      <c r="AD1969" s="515"/>
      <c r="AE1969" s="210">
        <f t="shared" si="678"/>
        <v>0</v>
      </c>
      <c r="AF1969" s="210">
        <f t="shared" si="684"/>
        <v>0</v>
      </c>
      <c r="AG1969" s="211">
        <f t="shared" si="685"/>
        <v>0.308</v>
      </c>
      <c r="AH1969" s="157">
        <f t="shared" si="680"/>
        <v>0</v>
      </c>
      <c r="AI1969" s="152">
        <f t="shared" si="683"/>
        <v>28512</v>
      </c>
      <c r="AK1969" s="156" t="s">
        <v>691</v>
      </c>
      <c r="AL1969" s="212" t="s">
        <v>690</v>
      </c>
      <c r="AM1969" s="198">
        <f t="shared" si="686"/>
        <v>0</v>
      </c>
      <c r="AN1969" s="199">
        <f t="shared" si="668"/>
        <v>45710</v>
      </c>
      <c r="AO1969" s="159" t="s">
        <v>692</v>
      </c>
      <c r="AP1969" s="783" t="s">
        <v>644</v>
      </c>
      <c r="AQ1969" s="782">
        <v>12063755</v>
      </c>
      <c r="AR1969" s="782">
        <v>12061353</v>
      </c>
      <c r="AS1969" s="782">
        <v>12061354</v>
      </c>
      <c r="AT1969" s="782">
        <v>12062266</v>
      </c>
      <c r="AU1969" s="781"/>
      <c r="AV1969" s="782">
        <v>12088159</v>
      </c>
      <c r="AW1969" s="782">
        <v>12088207</v>
      </c>
      <c r="AX1969" s="782"/>
      <c r="AY1969" s="782">
        <v>12062262</v>
      </c>
      <c r="AZ1969" s="782"/>
      <c r="BA1969" s="781"/>
      <c r="BB1969" s="209">
        <v>23053185</v>
      </c>
    </row>
    <row r="1970" spans="1:54" ht="25" hidden="1" customHeight="1">
      <c r="B1970" s="183">
        <v>45711</v>
      </c>
      <c r="C1970" s="184"/>
      <c r="D1970" s="185">
        <f t="shared" si="665"/>
        <v>2025</v>
      </c>
      <c r="E1970" s="185" t="e">
        <f>VLOOKUP($B1970,Week!$A$1:$C$1462,2,0)</f>
        <v>#N/A</v>
      </c>
      <c r="F1970" s="186" t="str">
        <f t="shared" si="666"/>
        <v>Feb</v>
      </c>
      <c r="G1970" s="185"/>
      <c r="H1970" s="185"/>
      <c r="I1970" s="185"/>
      <c r="J1970" s="187"/>
      <c r="K1970" s="188"/>
      <c r="L1970" s="300"/>
      <c r="M1970" s="187"/>
      <c r="N1970" s="185"/>
      <c r="O1970" s="185"/>
      <c r="P1970" s="189"/>
      <c r="Q1970" s="189"/>
      <c r="R1970" s="190"/>
      <c r="S1970" s="185"/>
      <c r="T1970" s="185"/>
      <c r="U1970" s="185"/>
      <c r="V1970" s="191"/>
      <c r="W1970" s="191"/>
      <c r="X1970" s="192"/>
      <c r="Y1970" s="193"/>
      <c r="Z1970" s="194"/>
      <c r="AA1970" s="194">
        <f t="shared" si="667"/>
        <v>0</v>
      </c>
      <c r="AB1970" s="805"/>
      <c r="AC1970" s="191">
        <f t="shared" si="682"/>
        <v>0</v>
      </c>
      <c r="AD1970" s="187"/>
      <c r="AE1970" s="195"/>
      <c r="AF1970" s="195"/>
      <c r="AG1970" s="196"/>
      <c r="AH1970" s="197"/>
      <c r="AK1970" s="156" t="s">
        <v>691</v>
      </c>
      <c r="AM1970" s="198">
        <f t="shared" si="686"/>
        <v>0</v>
      </c>
      <c r="AN1970" s="199">
        <f t="shared" si="668"/>
        <v>45711</v>
      </c>
      <c r="AO1970" s="159" t="s">
        <v>692</v>
      </c>
      <c r="AP1970" s="781"/>
      <c r="AQ1970" s="782"/>
      <c r="AR1970" s="782"/>
      <c r="AS1970" s="782"/>
      <c r="AT1970" s="782"/>
      <c r="AU1970" s="781"/>
      <c r="AV1970" s="782"/>
      <c r="AW1970" s="782"/>
      <c r="AX1970" s="782"/>
      <c r="AY1970" s="782"/>
      <c r="AZ1970" s="782"/>
      <c r="BA1970" s="781"/>
      <c r="BB1970" s="209"/>
    </row>
    <row r="1971" spans="1:54" ht="25" hidden="1" customHeight="1">
      <c r="A1971" s="142" t="s">
        <v>120</v>
      </c>
      <c r="B1971" s="466">
        <v>45712</v>
      </c>
      <c r="C1971" s="467">
        <v>45717</v>
      </c>
      <c r="D1971" s="185">
        <f t="shared" si="665"/>
        <v>2025</v>
      </c>
      <c r="E1971" s="468" t="e">
        <f>VLOOKUP($B1971,Week!$A$1:$C$1462,2,0)</f>
        <v>#N/A</v>
      </c>
      <c r="F1971" s="469" t="str">
        <f t="shared" si="666"/>
        <v>Feb</v>
      </c>
      <c r="G1971" s="470" t="s">
        <v>2000</v>
      </c>
      <c r="H1971" s="468" t="s">
        <v>82</v>
      </c>
      <c r="I1971" s="468" t="s">
        <v>82</v>
      </c>
      <c r="J1971" s="471" t="s">
        <v>720</v>
      </c>
      <c r="K1971" s="472" t="s">
        <v>85</v>
      </c>
      <c r="L1971" s="390" t="s">
        <v>2166</v>
      </c>
      <c r="M1971" s="471" t="s">
        <v>579</v>
      </c>
      <c r="N1971" s="468" t="s">
        <v>580</v>
      </c>
      <c r="O1971" s="468" t="s">
        <v>581</v>
      </c>
      <c r="P1971" s="473">
        <v>8</v>
      </c>
      <c r="Q1971" s="473">
        <v>60</v>
      </c>
      <c r="R1971" s="474">
        <v>6.8100000000000001E-3</v>
      </c>
      <c r="S1971" s="468" t="s">
        <v>76</v>
      </c>
      <c r="T1971" s="468" t="s">
        <v>56</v>
      </c>
      <c r="U1971" s="468" t="s">
        <v>89</v>
      </c>
      <c r="V1971" s="475">
        <f>1408</f>
        <v>1408</v>
      </c>
      <c r="W1971" s="475">
        <f>37+1371</f>
        <v>1408</v>
      </c>
      <c r="X1971" s="476"/>
      <c r="Y1971" s="477">
        <f t="shared" ref="Y1971:Y1986" si="687">(W1971+X1971)-V1971</f>
        <v>0</v>
      </c>
      <c r="Z1971" s="478">
        <f t="shared" ref="Z1971:Z1986" si="688">IF(Y1971&lt;0,((V1971*P1971)-((W1971+X1971)*P1971)),0)</f>
        <v>0</v>
      </c>
      <c r="AA1971" s="478">
        <f t="shared" si="667"/>
        <v>0</v>
      </c>
      <c r="AB1971" s="828">
        <v>6</v>
      </c>
      <c r="AC1971" s="475">
        <f t="shared" si="682"/>
        <v>0</v>
      </c>
      <c r="AD1971" s="209"/>
      <c r="AE1971" s="210">
        <f t="shared" ref="AE1971:AE1986" si="689">SUM(Q1971*R1971*Z1971)/1000</f>
        <v>0</v>
      </c>
      <c r="AF1971" s="210">
        <f t="shared" si="684"/>
        <v>0</v>
      </c>
      <c r="AG1971" s="211">
        <f t="shared" ref="AG1971:AG1986" si="690">MID(O1971,1,3)/1000</f>
        <v>0.75</v>
      </c>
      <c r="AH1971" s="157">
        <f t="shared" ref="AH1971:AH1986" si="691">(Z1971*AG1971)/1000</f>
        <v>0</v>
      </c>
      <c r="AI1971" s="152">
        <f t="shared" ref="AI1971:AI1986" si="692">V1971*P1971</f>
        <v>11264</v>
      </c>
      <c r="AK1971" s="156" t="s">
        <v>691</v>
      </c>
      <c r="AL1971" s="156" t="s">
        <v>689</v>
      </c>
      <c r="AM1971" s="198">
        <f t="shared" si="686"/>
        <v>0</v>
      </c>
      <c r="AN1971" s="199">
        <f t="shared" si="668"/>
        <v>45712</v>
      </c>
      <c r="AO1971" s="159" t="s">
        <v>692</v>
      </c>
      <c r="AP1971" s="783" t="s">
        <v>622</v>
      </c>
      <c r="AQ1971" s="782">
        <v>12088677</v>
      </c>
      <c r="AR1971" s="782" t="s">
        <v>2142</v>
      </c>
      <c r="AS1971" s="782"/>
      <c r="AT1971" s="782">
        <v>12082897</v>
      </c>
      <c r="AU1971" s="781"/>
      <c r="AV1971" s="782">
        <v>12082898</v>
      </c>
      <c r="AW1971" s="782">
        <v>12082899</v>
      </c>
      <c r="AX1971" s="796" t="s">
        <v>621</v>
      </c>
      <c r="AY1971" s="782"/>
      <c r="AZ1971" s="782"/>
      <c r="BA1971" s="781"/>
      <c r="BB1971" s="209">
        <v>23053184</v>
      </c>
    </row>
    <row r="1972" spans="1:54" ht="24.75" hidden="1" customHeight="1">
      <c r="A1972" s="142" t="s">
        <v>120</v>
      </c>
      <c r="B1972" s="308">
        <v>45712</v>
      </c>
      <c r="C1972" s="644" t="s">
        <v>1927</v>
      </c>
      <c r="D1972" s="185">
        <f t="shared" si="665"/>
        <v>2025</v>
      </c>
      <c r="E1972" s="519" t="e">
        <f>VLOOKUP($B1972,Week!$A$1:$C$1462,2,0)</f>
        <v>#N/A</v>
      </c>
      <c r="F1972" s="520" t="str">
        <f t="shared" si="666"/>
        <v>Feb</v>
      </c>
      <c r="G1972" s="644" t="s">
        <v>47</v>
      </c>
      <c r="H1972" s="311" t="s">
        <v>518</v>
      </c>
      <c r="I1972" s="311" t="s">
        <v>2702</v>
      </c>
      <c r="J1972" s="312" t="s">
        <v>70</v>
      </c>
      <c r="K1972" s="313" t="s">
        <v>85</v>
      </c>
      <c r="L1972" s="390" t="s">
        <v>2166</v>
      </c>
      <c r="M1972" s="312" t="s">
        <v>515</v>
      </c>
      <c r="N1972" s="311" t="s">
        <v>588</v>
      </c>
      <c r="O1972" s="311" t="s">
        <v>546</v>
      </c>
      <c r="P1972" s="314">
        <v>12</v>
      </c>
      <c r="Q1972" s="314">
        <v>20</v>
      </c>
      <c r="R1972" s="315">
        <v>6.1999999999999998E-3</v>
      </c>
      <c r="S1972" s="311" t="s">
        <v>352</v>
      </c>
      <c r="T1972" s="311" t="s">
        <v>56</v>
      </c>
      <c r="U1972" s="311"/>
      <c r="V1972" s="316">
        <f>500</f>
        <v>500</v>
      </c>
      <c r="W1972" s="316">
        <f>12+488</f>
        <v>500</v>
      </c>
      <c r="X1972" s="317"/>
      <c r="Y1972" s="318">
        <f t="shared" si="687"/>
        <v>0</v>
      </c>
      <c r="Z1972" s="319">
        <f t="shared" si="688"/>
        <v>0</v>
      </c>
      <c r="AA1972" s="319">
        <f t="shared" si="667"/>
        <v>0</v>
      </c>
      <c r="AB1972" s="815"/>
      <c r="AC1972" s="316">
        <f t="shared" si="682"/>
        <v>0</v>
      </c>
      <c r="AD1972" s="209"/>
      <c r="AE1972" s="210">
        <f t="shared" si="689"/>
        <v>0</v>
      </c>
      <c r="AF1972" s="210">
        <f t="shared" si="684"/>
        <v>0</v>
      </c>
      <c r="AG1972" s="211">
        <f t="shared" si="690"/>
        <v>0.22</v>
      </c>
      <c r="AH1972" s="157">
        <f t="shared" si="691"/>
        <v>0</v>
      </c>
      <c r="AI1972" s="152">
        <f t="shared" si="692"/>
        <v>6000</v>
      </c>
      <c r="AK1972" s="156" t="s">
        <v>691</v>
      </c>
      <c r="AL1972" s="156" t="s">
        <v>689</v>
      </c>
      <c r="AM1972" s="198">
        <f t="shared" ref="AM1972:AM1977" si="693">AG1972*Z1972</f>
        <v>0</v>
      </c>
      <c r="AN1972" s="199">
        <f t="shared" si="668"/>
        <v>45712</v>
      </c>
      <c r="AO1972" s="159" t="s">
        <v>692</v>
      </c>
      <c r="AP1972" s="783" t="s">
        <v>613</v>
      </c>
      <c r="AQ1972" s="782"/>
      <c r="AR1972" s="782" t="s">
        <v>614</v>
      </c>
      <c r="AS1972" s="782"/>
      <c r="AT1972" s="782">
        <v>12083140</v>
      </c>
      <c r="AU1972" s="781"/>
      <c r="AV1972" s="782">
        <v>12083143</v>
      </c>
      <c r="AW1972" s="782"/>
      <c r="AX1972" s="782"/>
      <c r="AY1972" s="782"/>
      <c r="AZ1972" s="782"/>
      <c r="BA1972" s="781"/>
      <c r="BB1972" s="209"/>
    </row>
    <row r="1973" spans="1:54" ht="25" hidden="1" customHeight="1">
      <c r="A1973" s="142" t="s">
        <v>120</v>
      </c>
      <c r="B1973" s="466">
        <v>45713</v>
      </c>
      <c r="C1973" s="467">
        <v>45719</v>
      </c>
      <c r="D1973" s="185">
        <f t="shared" si="665"/>
        <v>2025</v>
      </c>
      <c r="E1973" s="468" t="e">
        <f>VLOOKUP($B1973,Week!$A$1:$C$1462,2,0)</f>
        <v>#N/A</v>
      </c>
      <c r="F1973" s="469" t="str">
        <f t="shared" si="666"/>
        <v>Feb</v>
      </c>
      <c r="G1973" s="470" t="s">
        <v>2002</v>
      </c>
      <c r="H1973" s="468" t="s">
        <v>82</v>
      </c>
      <c r="I1973" s="468" t="s">
        <v>82</v>
      </c>
      <c r="J1973" s="471" t="s">
        <v>720</v>
      </c>
      <c r="K1973" s="472" t="s">
        <v>85</v>
      </c>
      <c r="L1973" s="390" t="s">
        <v>2166</v>
      </c>
      <c r="M1973" s="471" t="s">
        <v>579</v>
      </c>
      <c r="N1973" s="468" t="s">
        <v>580</v>
      </c>
      <c r="O1973" s="468" t="s">
        <v>581</v>
      </c>
      <c r="P1973" s="473">
        <v>8</v>
      </c>
      <c r="Q1973" s="473">
        <v>60</v>
      </c>
      <c r="R1973" s="474">
        <v>6.8100000000000001E-3</v>
      </c>
      <c r="S1973" s="468" t="s">
        <v>76</v>
      </c>
      <c r="T1973" s="468" t="s">
        <v>56</v>
      </c>
      <c r="U1973" s="468" t="s">
        <v>89</v>
      </c>
      <c r="V1973" s="475">
        <f>1408</f>
        <v>1408</v>
      </c>
      <c r="W1973" s="475">
        <f>1408</f>
        <v>1408</v>
      </c>
      <c r="X1973" s="476"/>
      <c r="Y1973" s="477">
        <f t="shared" si="687"/>
        <v>0</v>
      </c>
      <c r="Z1973" s="478">
        <f t="shared" si="688"/>
        <v>0</v>
      </c>
      <c r="AA1973" s="478">
        <f t="shared" si="667"/>
        <v>0</v>
      </c>
      <c r="AB1973" s="828">
        <v>6</v>
      </c>
      <c r="AC1973" s="475">
        <f t="shared" si="682"/>
        <v>0</v>
      </c>
      <c r="AD1973" s="209"/>
      <c r="AE1973" s="210">
        <f t="shared" si="689"/>
        <v>0</v>
      </c>
      <c r="AF1973" s="210">
        <f t="shared" si="684"/>
        <v>0</v>
      </c>
      <c r="AG1973" s="211">
        <f t="shared" si="690"/>
        <v>0.75</v>
      </c>
      <c r="AH1973" s="157">
        <f t="shared" si="691"/>
        <v>0</v>
      </c>
      <c r="AI1973" s="152">
        <f t="shared" si="692"/>
        <v>11264</v>
      </c>
      <c r="AK1973" s="156" t="s">
        <v>691</v>
      </c>
      <c r="AL1973" s="156" t="s">
        <v>689</v>
      </c>
      <c r="AM1973" s="198">
        <f t="shared" si="693"/>
        <v>0</v>
      </c>
      <c r="AN1973" s="199">
        <f t="shared" si="668"/>
        <v>45713</v>
      </c>
      <c r="AO1973" s="159" t="s">
        <v>692</v>
      </c>
      <c r="AP1973" s="783" t="s">
        <v>622</v>
      </c>
      <c r="AQ1973" s="782">
        <v>12088677</v>
      </c>
      <c r="AR1973" s="782" t="s">
        <v>2142</v>
      </c>
      <c r="AS1973" s="782"/>
      <c r="AT1973" s="782">
        <v>12082897</v>
      </c>
      <c r="AU1973" s="781"/>
      <c r="AV1973" s="782">
        <v>12082898</v>
      </c>
      <c r="AW1973" s="782">
        <v>12082899</v>
      </c>
      <c r="AX1973" s="796" t="s">
        <v>621</v>
      </c>
      <c r="AY1973" s="782"/>
      <c r="AZ1973" s="782"/>
      <c r="BA1973" s="781"/>
      <c r="BB1973" s="209">
        <v>23053184</v>
      </c>
    </row>
    <row r="1974" spans="1:54" ht="25" hidden="1" customHeight="1">
      <c r="A1974" s="142" t="s">
        <v>120</v>
      </c>
      <c r="B1974" s="308">
        <v>45713</v>
      </c>
      <c r="C1974" s="309">
        <v>45721</v>
      </c>
      <c r="D1974" s="185">
        <f t="shared" si="665"/>
        <v>2025</v>
      </c>
      <c r="E1974" s="309" t="e">
        <f>VLOOKUP($B1974,Week!$A$1:$C$1462,2,0)</f>
        <v>#N/A</v>
      </c>
      <c r="F1974" s="310" t="str">
        <f t="shared" si="666"/>
        <v>Feb</v>
      </c>
      <c r="G1974" s="579" t="s">
        <v>2014</v>
      </c>
      <c r="H1974" s="311" t="s">
        <v>104</v>
      </c>
      <c r="I1974" s="311" t="s">
        <v>2772</v>
      </c>
      <c r="J1974" s="312" t="s">
        <v>105</v>
      </c>
      <c r="K1974" s="313" t="s">
        <v>85</v>
      </c>
      <c r="L1974" s="390" t="s">
        <v>2166</v>
      </c>
      <c r="M1974" s="312" t="s">
        <v>86</v>
      </c>
      <c r="N1974" s="311" t="s">
        <v>421</v>
      </c>
      <c r="O1974" s="311" t="s">
        <v>506</v>
      </c>
      <c r="P1974" s="314">
        <v>10</v>
      </c>
      <c r="Q1974" s="314">
        <v>50</v>
      </c>
      <c r="R1974" s="315">
        <v>6.8100000000000001E-3</v>
      </c>
      <c r="S1974" s="311" t="s">
        <v>76</v>
      </c>
      <c r="T1974" s="311" t="s">
        <v>112</v>
      </c>
      <c r="U1974" s="311" t="s">
        <v>89</v>
      </c>
      <c r="V1974" s="316">
        <f>200</f>
        <v>200</v>
      </c>
      <c r="W1974" s="316">
        <f>11+189</f>
        <v>200</v>
      </c>
      <c r="X1974" s="317"/>
      <c r="Y1974" s="318">
        <f t="shared" si="687"/>
        <v>0</v>
      </c>
      <c r="Z1974" s="319">
        <f t="shared" si="688"/>
        <v>0</v>
      </c>
      <c r="AA1974" s="319">
        <f t="shared" si="667"/>
        <v>0</v>
      </c>
      <c r="AB1974" s="815">
        <v>6</v>
      </c>
      <c r="AC1974" s="316">
        <f t="shared" si="682"/>
        <v>0</v>
      </c>
      <c r="AD1974" s="381"/>
      <c r="AE1974" s="210">
        <f t="shared" si="689"/>
        <v>0</v>
      </c>
      <c r="AF1974" s="210">
        <f t="shared" si="684"/>
        <v>0</v>
      </c>
      <c r="AG1974" s="211">
        <f t="shared" si="690"/>
        <v>0.57999999999999996</v>
      </c>
      <c r="AH1974" s="157">
        <f t="shared" si="691"/>
        <v>0</v>
      </c>
      <c r="AI1974" s="152">
        <f t="shared" si="692"/>
        <v>2000</v>
      </c>
      <c r="AJ1974" s="156">
        <f>AI1974*Q1974</f>
        <v>100000</v>
      </c>
      <c r="AK1974" s="156" t="s">
        <v>691</v>
      </c>
      <c r="AL1974" s="156" t="s">
        <v>689</v>
      </c>
      <c r="AM1974" s="198">
        <f t="shared" si="693"/>
        <v>0</v>
      </c>
      <c r="AN1974" s="199">
        <f t="shared" si="668"/>
        <v>45713</v>
      </c>
      <c r="AO1974" s="159" t="s">
        <v>692</v>
      </c>
      <c r="AP1974" s="781" t="s">
        <v>423</v>
      </c>
      <c r="AQ1974" s="781" t="s">
        <v>422</v>
      </c>
      <c r="AR1974" s="782">
        <v>12055234</v>
      </c>
      <c r="AS1974" s="781"/>
      <c r="AT1974" s="782">
        <v>12069432</v>
      </c>
      <c r="AU1974" s="781"/>
      <c r="AV1974" s="782">
        <v>12069433</v>
      </c>
      <c r="AW1974" s="781"/>
      <c r="AX1974" s="781" t="s">
        <v>93</v>
      </c>
      <c r="AY1974" s="781"/>
      <c r="AZ1974" s="782"/>
      <c r="BA1974" s="781"/>
      <c r="BB1974" s="209">
        <v>23053184</v>
      </c>
    </row>
    <row r="1975" spans="1:54" ht="25" hidden="1" customHeight="1">
      <c r="A1975" s="142" t="s">
        <v>120</v>
      </c>
      <c r="B1975" s="466">
        <v>45714</v>
      </c>
      <c r="C1975" s="467">
        <v>45722</v>
      </c>
      <c r="D1975" s="185">
        <f t="shared" si="665"/>
        <v>2025</v>
      </c>
      <c r="E1975" s="468" t="e">
        <f>VLOOKUP($B1975,Week!$A$1:$C$1462,2,0)</f>
        <v>#N/A</v>
      </c>
      <c r="F1975" s="469" t="str">
        <f t="shared" si="666"/>
        <v>Feb</v>
      </c>
      <c r="G1975" s="470" t="s">
        <v>2001</v>
      </c>
      <c r="H1975" s="468" t="s">
        <v>82</v>
      </c>
      <c r="I1975" s="468" t="s">
        <v>82</v>
      </c>
      <c r="J1975" s="471" t="s">
        <v>720</v>
      </c>
      <c r="K1975" s="472" t="s">
        <v>85</v>
      </c>
      <c r="L1975" s="390" t="s">
        <v>2166</v>
      </c>
      <c r="M1975" s="471" t="s">
        <v>579</v>
      </c>
      <c r="N1975" s="468" t="s">
        <v>580</v>
      </c>
      <c r="O1975" s="468" t="s">
        <v>581</v>
      </c>
      <c r="P1975" s="473">
        <v>8</v>
      </c>
      <c r="Q1975" s="473">
        <v>60</v>
      </c>
      <c r="R1975" s="474">
        <v>6.8100000000000001E-3</v>
      </c>
      <c r="S1975" s="468" t="s">
        <v>76</v>
      </c>
      <c r="T1975" s="468" t="s">
        <v>56</v>
      </c>
      <c r="U1975" s="468" t="s">
        <v>89</v>
      </c>
      <c r="V1975" s="475">
        <f>1408</f>
        <v>1408</v>
      </c>
      <c r="W1975" s="475">
        <f>29+1379</f>
        <v>1408</v>
      </c>
      <c r="X1975" s="476"/>
      <c r="Y1975" s="477">
        <f t="shared" si="687"/>
        <v>0</v>
      </c>
      <c r="Z1975" s="478">
        <f t="shared" si="688"/>
        <v>0</v>
      </c>
      <c r="AA1975" s="478">
        <f t="shared" si="667"/>
        <v>0</v>
      </c>
      <c r="AB1975" s="828">
        <v>6</v>
      </c>
      <c r="AC1975" s="475">
        <f t="shared" si="682"/>
        <v>0</v>
      </c>
      <c r="AD1975" s="209"/>
      <c r="AE1975" s="210">
        <f t="shared" si="689"/>
        <v>0</v>
      </c>
      <c r="AF1975" s="210">
        <f t="shared" si="684"/>
        <v>0</v>
      </c>
      <c r="AG1975" s="211">
        <f t="shared" si="690"/>
        <v>0.75</v>
      </c>
      <c r="AH1975" s="157">
        <f t="shared" si="691"/>
        <v>0</v>
      </c>
      <c r="AI1975" s="152">
        <f t="shared" si="692"/>
        <v>11264</v>
      </c>
      <c r="AK1975" s="156" t="s">
        <v>691</v>
      </c>
      <c r="AL1975" s="156" t="s">
        <v>689</v>
      </c>
      <c r="AM1975" s="198">
        <f t="shared" si="693"/>
        <v>0</v>
      </c>
      <c r="AN1975" s="199">
        <f t="shared" si="668"/>
        <v>45714</v>
      </c>
      <c r="AO1975" s="159" t="s">
        <v>692</v>
      </c>
      <c r="AP1975" s="783" t="s">
        <v>622</v>
      </c>
      <c r="AQ1975" s="782">
        <v>12088677</v>
      </c>
      <c r="AR1975" s="782" t="s">
        <v>2142</v>
      </c>
      <c r="AS1975" s="782"/>
      <c r="AT1975" s="782">
        <v>12082897</v>
      </c>
      <c r="AU1975" s="781"/>
      <c r="AV1975" s="782">
        <v>12082898</v>
      </c>
      <c r="AW1975" s="782">
        <v>12082899</v>
      </c>
      <c r="AX1975" s="796" t="s">
        <v>621</v>
      </c>
      <c r="AY1975" s="782"/>
      <c r="AZ1975" s="782"/>
      <c r="BA1975" s="781"/>
      <c r="BB1975" s="209">
        <v>23053184</v>
      </c>
    </row>
    <row r="1976" spans="1:54" ht="25" hidden="1" customHeight="1">
      <c r="A1976" s="142" t="s">
        <v>120</v>
      </c>
      <c r="B1976" s="308">
        <v>45714</v>
      </c>
      <c r="C1976" s="309">
        <v>45735</v>
      </c>
      <c r="D1976" s="185">
        <f t="shared" si="665"/>
        <v>2025</v>
      </c>
      <c r="E1976" s="309" t="e">
        <f>VLOOKUP($B1976,Week!$A$1:$C$1462,2,0)</f>
        <v>#N/A</v>
      </c>
      <c r="F1976" s="310" t="str">
        <f t="shared" si="666"/>
        <v>Feb</v>
      </c>
      <c r="G1976" s="579" t="s">
        <v>2037</v>
      </c>
      <c r="H1976" s="311" t="s">
        <v>104</v>
      </c>
      <c r="I1976" s="311" t="s">
        <v>2772</v>
      </c>
      <c r="J1976" s="312" t="s">
        <v>105</v>
      </c>
      <c r="K1976" s="313" t="s">
        <v>85</v>
      </c>
      <c r="L1976" s="390" t="s">
        <v>2166</v>
      </c>
      <c r="M1976" s="312" t="s">
        <v>86</v>
      </c>
      <c r="N1976" s="311" t="s">
        <v>421</v>
      </c>
      <c r="O1976" s="311" t="s">
        <v>506</v>
      </c>
      <c r="P1976" s="314">
        <v>10</v>
      </c>
      <c r="Q1976" s="314">
        <v>50</v>
      </c>
      <c r="R1976" s="315">
        <v>6.8100000000000001E-3</v>
      </c>
      <c r="S1976" s="311" t="s">
        <v>76</v>
      </c>
      <c r="T1976" s="311" t="s">
        <v>112</v>
      </c>
      <c r="U1976" s="311" t="s">
        <v>89</v>
      </c>
      <c r="V1976" s="316">
        <f>100</f>
        <v>100</v>
      </c>
      <c r="W1976" s="316">
        <f>100</f>
        <v>100</v>
      </c>
      <c r="X1976" s="317"/>
      <c r="Y1976" s="318">
        <f t="shared" si="687"/>
        <v>0</v>
      </c>
      <c r="Z1976" s="319">
        <f t="shared" si="688"/>
        <v>0</v>
      </c>
      <c r="AA1976" s="319">
        <f t="shared" si="667"/>
        <v>0</v>
      </c>
      <c r="AB1976" s="815">
        <v>6</v>
      </c>
      <c r="AC1976" s="316">
        <f t="shared" si="682"/>
        <v>0</v>
      </c>
      <c r="AD1976" s="381"/>
      <c r="AE1976" s="210">
        <f t="shared" si="689"/>
        <v>0</v>
      </c>
      <c r="AF1976" s="210">
        <f t="shared" si="684"/>
        <v>0</v>
      </c>
      <c r="AG1976" s="211">
        <f t="shared" si="690"/>
        <v>0.57999999999999996</v>
      </c>
      <c r="AH1976" s="157">
        <f t="shared" si="691"/>
        <v>0</v>
      </c>
      <c r="AI1976" s="152">
        <f t="shared" si="692"/>
        <v>1000</v>
      </c>
      <c r="AJ1976" s="156">
        <f>AI1976*Q1976</f>
        <v>50000</v>
      </c>
      <c r="AK1976" s="156" t="s">
        <v>691</v>
      </c>
      <c r="AL1976" s="156" t="s">
        <v>689</v>
      </c>
      <c r="AM1976" s="198">
        <f t="shared" si="693"/>
        <v>0</v>
      </c>
      <c r="AN1976" s="199">
        <f t="shared" si="668"/>
        <v>45714</v>
      </c>
      <c r="AO1976" s="159" t="s">
        <v>692</v>
      </c>
      <c r="AP1976" s="781" t="s">
        <v>423</v>
      </c>
      <c r="AQ1976" s="781" t="s">
        <v>422</v>
      </c>
      <c r="AR1976" s="782">
        <v>12055234</v>
      </c>
      <c r="AS1976" s="781"/>
      <c r="AT1976" s="782">
        <v>12069432</v>
      </c>
      <c r="AU1976" s="781"/>
      <c r="AV1976" s="782">
        <v>12069433</v>
      </c>
      <c r="AW1976" s="781"/>
      <c r="AX1976" s="781" t="s">
        <v>93</v>
      </c>
      <c r="AY1976" s="781"/>
      <c r="AZ1976" s="782"/>
      <c r="BA1976" s="781"/>
      <c r="BB1976" s="209">
        <v>23053184</v>
      </c>
    </row>
    <row r="1977" spans="1:54" ht="24.75" hidden="1" customHeight="1">
      <c r="A1977" s="142" t="s">
        <v>120</v>
      </c>
      <c r="B1977" s="308">
        <v>45715</v>
      </c>
      <c r="C1977" s="644" t="s">
        <v>1927</v>
      </c>
      <c r="D1977" s="185">
        <f t="shared" si="665"/>
        <v>2025</v>
      </c>
      <c r="E1977" s="519" t="e">
        <f>VLOOKUP($B1977,Week!$A$1:$C$1462,2,0)</f>
        <v>#N/A</v>
      </c>
      <c r="F1977" s="520" t="str">
        <f t="shared" si="666"/>
        <v>Feb</v>
      </c>
      <c r="G1977" s="644" t="s">
        <v>47</v>
      </c>
      <c r="H1977" s="311" t="s">
        <v>518</v>
      </c>
      <c r="I1977" s="311" t="s">
        <v>2702</v>
      </c>
      <c r="J1977" s="312" t="s">
        <v>70</v>
      </c>
      <c r="K1977" s="313" t="s">
        <v>85</v>
      </c>
      <c r="L1977" s="390" t="s">
        <v>2166</v>
      </c>
      <c r="M1977" s="312" t="s">
        <v>515</v>
      </c>
      <c r="N1977" s="311" t="s">
        <v>588</v>
      </c>
      <c r="O1977" s="311" t="s">
        <v>546</v>
      </c>
      <c r="P1977" s="314">
        <v>12</v>
      </c>
      <c r="Q1977" s="314">
        <v>20</v>
      </c>
      <c r="R1977" s="315">
        <v>6.1999999999999998E-3</v>
      </c>
      <c r="S1977" s="311" t="s">
        <v>352</v>
      </c>
      <c r="T1977" s="311" t="s">
        <v>56</v>
      </c>
      <c r="U1977" s="311"/>
      <c r="V1977" s="316">
        <f>436+17</f>
        <v>453</v>
      </c>
      <c r="W1977" s="316">
        <f>533-488+391</f>
        <v>436</v>
      </c>
      <c r="X1977" s="317">
        <f>(204)/12</f>
        <v>17</v>
      </c>
      <c r="Y1977" s="318">
        <f t="shared" si="687"/>
        <v>0</v>
      </c>
      <c r="Z1977" s="319">
        <f t="shared" si="688"/>
        <v>0</v>
      </c>
      <c r="AA1977" s="319">
        <f t="shared" si="667"/>
        <v>0</v>
      </c>
      <c r="AB1977" s="815"/>
      <c r="AC1977" s="316">
        <f t="shared" si="682"/>
        <v>0</v>
      </c>
      <c r="AD1977" s="209"/>
      <c r="AE1977" s="210">
        <f t="shared" si="689"/>
        <v>0</v>
      </c>
      <c r="AF1977" s="210">
        <f t="shared" si="684"/>
        <v>0</v>
      </c>
      <c r="AG1977" s="211">
        <f t="shared" si="690"/>
        <v>0.22</v>
      </c>
      <c r="AH1977" s="157">
        <f t="shared" si="691"/>
        <v>0</v>
      </c>
      <c r="AI1977" s="152">
        <f t="shared" si="692"/>
        <v>5436</v>
      </c>
      <c r="AK1977" s="156" t="s">
        <v>691</v>
      </c>
      <c r="AL1977" s="156" t="s">
        <v>689</v>
      </c>
      <c r="AM1977" s="198">
        <f t="shared" si="693"/>
        <v>0</v>
      </c>
      <c r="AN1977" s="199">
        <f t="shared" si="668"/>
        <v>45715</v>
      </c>
      <c r="AO1977" s="159" t="s">
        <v>692</v>
      </c>
      <c r="AP1977" s="783" t="s">
        <v>613</v>
      </c>
      <c r="AQ1977" s="782"/>
      <c r="AR1977" s="782" t="s">
        <v>614</v>
      </c>
      <c r="AS1977" s="782"/>
      <c r="AT1977" s="782">
        <v>12083140</v>
      </c>
      <c r="AU1977" s="781"/>
      <c r="AV1977" s="782">
        <v>12083143</v>
      </c>
      <c r="AW1977" s="782"/>
      <c r="AX1977" s="782"/>
      <c r="AY1977" s="782"/>
      <c r="AZ1977" s="782"/>
      <c r="BA1977" s="781"/>
      <c r="BB1977" s="209"/>
    </row>
    <row r="1978" spans="1:54" ht="24.65" hidden="1" customHeight="1">
      <c r="A1978" s="142" t="s">
        <v>120</v>
      </c>
      <c r="B1978" s="258">
        <v>45715</v>
      </c>
      <c r="C1978" s="259">
        <v>45726</v>
      </c>
      <c r="D1978" s="185">
        <f t="shared" si="665"/>
        <v>2025</v>
      </c>
      <c r="E1978" s="260" t="e">
        <f>VLOOKUP($B1978,Week!$A$1:$C$1462,2,0)</f>
        <v>#N/A</v>
      </c>
      <c r="F1978" s="261" t="str">
        <f t="shared" si="666"/>
        <v>Feb</v>
      </c>
      <c r="G1978" s="262" t="s">
        <v>2019</v>
      </c>
      <c r="H1978" s="260" t="s">
        <v>134</v>
      </c>
      <c r="I1978" s="260" t="s">
        <v>2772</v>
      </c>
      <c r="J1978" s="263" t="s">
        <v>164</v>
      </c>
      <c r="K1978" s="264" t="s">
        <v>153</v>
      </c>
      <c r="L1978" s="390" t="s">
        <v>2166</v>
      </c>
      <c r="M1978" s="263" t="s">
        <v>165</v>
      </c>
      <c r="N1978" s="260" t="s">
        <v>166</v>
      </c>
      <c r="O1978" s="260" t="s">
        <v>502</v>
      </c>
      <c r="P1978" s="265">
        <v>20</v>
      </c>
      <c r="Q1978" s="265">
        <v>12</v>
      </c>
      <c r="R1978" s="266">
        <v>6.8100000000000001E-3</v>
      </c>
      <c r="S1978" s="260" t="s">
        <v>76</v>
      </c>
      <c r="T1978" s="260" t="s">
        <v>56</v>
      </c>
      <c r="U1978" s="260" t="s">
        <v>89</v>
      </c>
      <c r="V1978" s="267">
        <f>1000</f>
        <v>1000</v>
      </c>
      <c r="W1978" s="267">
        <f>476</f>
        <v>476</v>
      </c>
      <c r="X1978" s="268">
        <f>10480/20</f>
        <v>524</v>
      </c>
      <c r="Y1978" s="269">
        <f t="shared" si="687"/>
        <v>0</v>
      </c>
      <c r="Z1978" s="270">
        <f t="shared" si="688"/>
        <v>0</v>
      </c>
      <c r="AA1978" s="270">
        <f t="shared" si="667"/>
        <v>0</v>
      </c>
      <c r="AB1978" s="811">
        <v>2</v>
      </c>
      <c r="AC1978" s="267">
        <f t="shared" si="682"/>
        <v>0</v>
      </c>
      <c r="AD1978" s="209" t="s">
        <v>168</v>
      </c>
      <c r="AE1978" s="210">
        <f t="shared" si="689"/>
        <v>0</v>
      </c>
      <c r="AF1978" s="210">
        <f t="shared" si="684"/>
        <v>0</v>
      </c>
      <c r="AG1978" s="211">
        <f t="shared" si="690"/>
        <v>0.154</v>
      </c>
      <c r="AH1978" s="157">
        <f t="shared" si="691"/>
        <v>0</v>
      </c>
      <c r="AI1978" s="152">
        <f t="shared" si="692"/>
        <v>20000</v>
      </c>
      <c r="AK1978" s="156" t="s">
        <v>691</v>
      </c>
      <c r="AL1978" s="156" t="s">
        <v>689</v>
      </c>
      <c r="AM1978" s="198">
        <f t="shared" ref="AM1978:AM2020" si="694">AG1978*Z1978</f>
        <v>0</v>
      </c>
      <c r="AN1978" s="199">
        <f t="shared" si="668"/>
        <v>45715</v>
      </c>
      <c r="AO1978" s="159" t="s">
        <v>692</v>
      </c>
      <c r="AP1978" s="783" t="s">
        <v>610</v>
      </c>
      <c r="AQ1978" s="783" t="s">
        <v>631</v>
      </c>
      <c r="AR1978" s="783" t="s">
        <v>523</v>
      </c>
      <c r="AS1978" s="781"/>
      <c r="AT1978" s="782">
        <v>12055919</v>
      </c>
      <c r="AU1978" s="781"/>
      <c r="AV1978" s="783" t="s">
        <v>544</v>
      </c>
      <c r="AW1978" s="781"/>
      <c r="AX1978" s="782" t="s">
        <v>398</v>
      </c>
      <c r="AY1978" s="781"/>
      <c r="AZ1978" s="781"/>
      <c r="BA1978" s="781"/>
      <c r="BB1978" s="209">
        <v>23053184</v>
      </c>
    </row>
    <row r="1979" spans="1:54" ht="25" hidden="1" customHeight="1">
      <c r="A1979" s="142" t="s">
        <v>120</v>
      </c>
      <c r="B1979" s="283">
        <v>45715</v>
      </c>
      <c r="C1979" s="284">
        <v>45726</v>
      </c>
      <c r="D1979" s="185">
        <f t="shared" si="665"/>
        <v>2025</v>
      </c>
      <c r="E1979" s="286" t="e">
        <f>VLOOKUP($B1979,Week!$A$1:$C$1462,2,0)</f>
        <v>#N/A</v>
      </c>
      <c r="F1979" s="285" t="str">
        <f t="shared" si="666"/>
        <v>Feb</v>
      </c>
      <c r="G1979" s="286" t="s">
        <v>2019</v>
      </c>
      <c r="H1979" s="286" t="s">
        <v>134</v>
      </c>
      <c r="I1979" s="286" t="s">
        <v>2772</v>
      </c>
      <c r="J1979" s="287" t="s">
        <v>164</v>
      </c>
      <c r="K1979" s="288" t="s">
        <v>153</v>
      </c>
      <c r="L1979" s="390" t="s">
        <v>2166</v>
      </c>
      <c r="M1979" s="287" t="s">
        <v>214</v>
      </c>
      <c r="N1979" s="286" t="s">
        <v>215</v>
      </c>
      <c r="O1979" s="286" t="s">
        <v>504</v>
      </c>
      <c r="P1979" s="289">
        <v>20</v>
      </c>
      <c r="Q1979" s="289">
        <v>8</v>
      </c>
      <c r="R1979" s="290">
        <v>1.4999999999999999E-2</v>
      </c>
      <c r="S1979" s="286" t="s">
        <v>217</v>
      </c>
      <c r="T1979" s="286" t="s">
        <v>56</v>
      </c>
      <c r="U1979" s="286" t="s">
        <v>89</v>
      </c>
      <c r="V1979" s="291">
        <v>993</v>
      </c>
      <c r="W1979" s="291">
        <f>27+966</f>
        <v>993</v>
      </c>
      <c r="X1979" s="292"/>
      <c r="Y1979" s="293">
        <f t="shared" si="687"/>
        <v>0</v>
      </c>
      <c r="Z1979" s="294">
        <f t="shared" si="688"/>
        <v>0</v>
      </c>
      <c r="AA1979" s="291">
        <f t="shared" si="667"/>
        <v>0</v>
      </c>
      <c r="AB1979" s="813">
        <v>2</v>
      </c>
      <c r="AC1979" s="291">
        <f t="shared" si="682"/>
        <v>0</v>
      </c>
      <c r="AD1979" s="209" t="s">
        <v>218</v>
      </c>
      <c r="AE1979" s="210">
        <f t="shared" si="689"/>
        <v>0</v>
      </c>
      <c r="AF1979" s="210">
        <f t="shared" si="684"/>
        <v>0</v>
      </c>
      <c r="AG1979" s="211">
        <f t="shared" si="690"/>
        <v>0.19400000000000001</v>
      </c>
      <c r="AH1979" s="157">
        <f t="shared" si="691"/>
        <v>0</v>
      </c>
      <c r="AI1979" s="152">
        <f t="shared" si="692"/>
        <v>19860</v>
      </c>
      <c r="AK1979" s="156" t="s">
        <v>691</v>
      </c>
      <c r="AL1979" s="156" t="s">
        <v>689</v>
      </c>
      <c r="AM1979" s="198">
        <f t="shared" si="694"/>
        <v>0</v>
      </c>
      <c r="AN1979" s="199">
        <f t="shared" si="668"/>
        <v>45715</v>
      </c>
      <c r="AO1979" s="159" t="s">
        <v>692</v>
      </c>
      <c r="AP1979" s="783" t="s">
        <v>610</v>
      </c>
      <c r="AQ1979" s="782">
        <v>12071839</v>
      </c>
      <c r="AR1979" s="782">
        <v>12064528</v>
      </c>
      <c r="AS1979" s="782"/>
      <c r="AT1979" s="782">
        <v>12064478</v>
      </c>
      <c r="AU1979" s="781"/>
      <c r="AV1979" s="782">
        <v>12064493</v>
      </c>
      <c r="AW1979" s="782"/>
      <c r="AX1979" s="782" t="s">
        <v>545</v>
      </c>
      <c r="AY1979" s="782"/>
      <c r="AZ1979" s="782"/>
      <c r="BA1979" s="781"/>
      <c r="BB1979" s="209">
        <v>23053184</v>
      </c>
    </row>
    <row r="1980" spans="1:54" ht="25" hidden="1" customHeight="1">
      <c r="B1980" s="213">
        <v>45716</v>
      </c>
      <c r="C1980" s="578">
        <v>45759</v>
      </c>
      <c r="D1980" s="185">
        <f t="shared" si="665"/>
        <v>2025</v>
      </c>
      <c r="E1980" s="215" t="e">
        <f>VLOOKUP($B1980,Week!$A$1:$C$1462,2,0)</f>
        <v>#N/A</v>
      </c>
      <c r="F1980" s="216" t="str">
        <f t="shared" si="666"/>
        <v>Feb</v>
      </c>
      <c r="G1980" s="215" t="s">
        <v>1969</v>
      </c>
      <c r="H1980" s="215" t="s">
        <v>104</v>
      </c>
      <c r="I1980" s="215" t="s">
        <v>2772</v>
      </c>
      <c r="J1980" s="209" t="s">
        <v>105</v>
      </c>
      <c r="K1980" s="217" t="s">
        <v>107</v>
      </c>
      <c r="L1980" s="300" t="s">
        <v>2167</v>
      </c>
      <c r="M1980" s="209" t="s">
        <v>108</v>
      </c>
      <c r="N1980" s="215" t="s">
        <v>109</v>
      </c>
      <c r="O1980" s="215" t="s">
        <v>110</v>
      </c>
      <c r="P1980" s="218">
        <v>36</v>
      </c>
      <c r="Q1980" s="218">
        <v>5</v>
      </c>
      <c r="R1980" s="219">
        <v>7.4999999999999997E-3</v>
      </c>
      <c r="S1980" s="215" t="s">
        <v>111</v>
      </c>
      <c r="T1980" s="215" t="s">
        <v>112</v>
      </c>
      <c r="U1980" s="215" t="s">
        <v>113</v>
      </c>
      <c r="V1980" s="220">
        <v>792</v>
      </c>
      <c r="W1980" s="846">
        <f>751</f>
        <v>751</v>
      </c>
      <c r="X1980" s="221">
        <f>(1498)/36</f>
        <v>41.611111111111114</v>
      </c>
      <c r="Y1980" s="222">
        <f t="shared" si="687"/>
        <v>0.61111111111108585</v>
      </c>
      <c r="Z1980" s="223">
        <f t="shared" si="688"/>
        <v>0</v>
      </c>
      <c r="AA1980" s="223">
        <f t="shared" si="667"/>
        <v>0</v>
      </c>
      <c r="AB1980" s="807">
        <v>9.7000000000000003E-3</v>
      </c>
      <c r="AC1980" s="220">
        <f t="shared" si="682"/>
        <v>0</v>
      </c>
      <c r="AD1980" s="209"/>
      <c r="AE1980" s="210">
        <f t="shared" si="689"/>
        <v>0</v>
      </c>
      <c r="AF1980" s="210">
        <f t="shared" ref="AF1980:AF1985" si="695">AE1980/0.54</f>
        <v>0</v>
      </c>
      <c r="AG1980" s="211">
        <f t="shared" si="690"/>
        <v>0.308</v>
      </c>
      <c r="AH1980" s="157">
        <f t="shared" si="691"/>
        <v>0</v>
      </c>
      <c r="AI1980" s="152">
        <f t="shared" si="692"/>
        <v>28512</v>
      </c>
      <c r="AK1980" s="156" t="s">
        <v>691</v>
      </c>
      <c r="AL1980" s="574" t="s">
        <v>690</v>
      </c>
      <c r="AM1980" s="198">
        <f t="shared" si="694"/>
        <v>0</v>
      </c>
      <c r="AN1980" s="199">
        <f t="shared" si="668"/>
        <v>45716</v>
      </c>
      <c r="AO1980" s="159" t="s">
        <v>692</v>
      </c>
      <c r="AP1980" s="781"/>
      <c r="AQ1980" s="782">
        <v>12063755</v>
      </c>
      <c r="AR1980" s="782">
        <v>12061353</v>
      </c>
      <c r="AS1980" s="782">
        <v>12061354</v>
      </c>
      <c r="AT1980" s="782">
        <v>12068566</v>
      </c>
      <c r="AU1980" s="781"/>
      <c r="AV1980" s="782">
        <v>12088206</v>
      </c>
      <c r="AW1980" s="782">
        <v>12088207</v>
      </c>
      <c r="AX1980" s="782"/>
      <c r="AY1980" s="782">
        <v>12068565</v>
      </c>
      <c r="AZ1980" s="782"/>
      <c r="BA1980" s="781"/>
      <c r="BB1980" s="209">
        <v>23054743</v>
      </c>
    </row>
    <row r="1981" spans="1:54" ht="25" hidden="1" customHeight="1">
      <c r="B1981" s="213">
        <v>45716</v>
      </c>
      <c r="C1981" s="578">
        <v>45759</v>
      </c>
      <c r="D1981" s="185">
        <f t="shared" si="665"/>
        <v>2025</v>
      </c>
      <c r="E1981" s="215" t="e">
        <f>VLOOKUP($B1981,Week!$A$1:$C$1462,2,0)</f>
        <v>#N/A</v>
      </c>
      <c r="F1981" s="216" t="str">
        <f t="shared" si="666"/>
        <v>Feb</v>
      </c>
      <c r="G1981" s="215" t="s">
        <v>1970</v>
      </c>
      <c r="H1981" s="215" t="s">
        <v>104</v>
      </c>
      <c r="I1981" s="215" t="s">
        <v>2772</v>
      </c>
      <c r="J1981" s="209" t="s">
        <v>105</v>
      </c>
      <c r="K1981" s="217" t="s">
        <v>107</v>
      </c>
      <c r="L1981" s="300" t="s">
        <v>2167</v>
      </c>
      <c r="M1981" s="209" t="s">
        <v>108</v>
      </c>
      <c r="N1981" s="215" t="s">
        <v>109</v>
      </c>
      <c r="O1981" s="215" t="s">
        <v>110</v>
      </c>
      <c r="P1981" s="218">
        <v>36</v>
      </c>
      <c r="Q1981" s="218">
        <v>5</v>
      </c>
      <c r="R1981" s="219">
        <v>7.4999999999999997E-3</v>
      </c>
      <c r="S1981" s="215" t="s">
        <v>111</v>
      </c>
      <c r="T1981" s="215" t="s">
        <v>112</v>
      </c>
      <c r="U1981" s="215" t="s">
        <v>113</v>
      </c>
      <c r="V1981" s="220">
        <v>792</v>
      </c>
      <c r="W1981" s="846">
        <v>792</v>
      </c>
      <c r="X1981" s="221"/>
      <c r="Y1981" s="222">
        <f t="shared" si="687"/>
        <v>0</v>
      </c>
      <c r="Z1981" s="223">
        <f t="shared" si="688"/>
        <v>0</v>
      </c>
      <c r="AA1981" s="223">
        <f t="shared" si="667"/>
        <v>0</v>
      </c>
      <c r="AB1981" s="807">
        <v>9.7000000000000003E-3</v>
      </c>
      <c r="AC1981" s="220">
        <f t="shared" si="682"/>
        <v>0</v>
      </c>
      <c r="AD1981" s="209"/>
      <c r="AE1981" s="210">
        <f t="shared" si="689"/>
        <v>0</v>
      </c>
      <c r="AF1981" s="210">
        <f t="shared" si="695"/>
        <v>0</v>
      </c>
      <c r="AG1981" s="211">
        <f t="shared" si="690"/>
        <v>0.308</v>
      </c>
      <c r="AH1981" s="157">
        <f t="shared" si="691"/>
        <v>0</v>
      </c>
      <c r="AI1981" s="152">
        <f t="shared" si="692"/>
        <v>28512</v>
      </c>
      <c r="AK1981" s="156" t="s">
        <v>691</v>
      </c>
      <c r="AL1981" s="574" t="s">
        <v>690</v>
      </c>
      <c r="AM1981" s="198">
        <f t="shared" si="694"/>
        <v>0</v>
      </c>
      <c r="AN1981" s="199">
        <f t="shared" si="668"/>
        <v>45716</v>
      </c>
      <c r="AO1981" s="159" t="s">
        <v>692</v>
      </c>
      <c r="AP1981" s="781"/>
      <c r="AQ1981" s="782">
        <v>12063755</v>
      </c>
      <c r="AR1981" s="782">
        <v>12061353</v>
      </c>
      <c r="AS1981" s="782">
        <v>12061354</v>
      </c>
      <c r="AT1981" s="782">
        <v>12068566</v>
      </c>
      <c r="AU1981" s="781"/>
      <c r="AV1981" s="782">
        <v>12088206</v>
      </c>
      <c r="AW1981" s="782">
        <v>12088207</v>
      </c>
      <c r="AX1981" s="782"/>
      <c r="AY1981" s="782">
        <v>12068565</v>
      </c>
      <c r="AZ1981" s="782"/>
      <c r="BA1981" s="781"/>
      <c r="BB1981" s="209">
        <v>23054743</v>
      </c>
    </row>
    <row r="1982" spans="1:54" ht="25" hidden="1" customHeight="1">
      <c r="B1982" s="213">
        <v>45716</v>
      </c>
      <c r="C1982" s="578">
        <v>45759</v>
      </c>
      <c r="D1982" s="185">
        <f t="shared" si="665"/>
        <v>2025</v>
      </c>
      <c r="E1982" s="215" t="e">
        <f>VLOOKUP($B1982,Week!$A$1:$C$1462,2,0)</f>
        <v>#N/A</v>
      </c>
      <c r="F1982" s="216" t="str">
        <f t="shared" si="666"/>
        <v>Feb</v>
      </c>
      <c r="G1982" s="215" t="s">
        <v>1971</v>
      </c>
      <c r="H1982" s="215" t="s">
        <v>104</v>
      </c>
      <c r="I1982" s="215" t="s">
        <v>2772</v>
      </c>
      <c r="J1982" s="209" t="s">
        <v>105</v>
      </c>
      <c r="K1982" s="217" t="s">
        <v>107</v>
      </c>
      <c r="L1982" s="300" t="s">
        <v>2167</v>
      </c>
      <c r="M1982" s="209" t="s">
        <v>108</v>
      </c>
      <c r="N1982" s="215" t="s">
        <v>109</v>
      </c>
      <c r="O1982" s="215" t="s">
        <v>110</v>
      </c>
      <c r="P1982" s="218">
        <v>36</v>
      </c>
      <c r="Q1982" s="218">
        <v>5</v>
      </c>
      <c r="R1982" s="219">
        <v>7.4999999999999997E-3</v>
      </c>
      <c r="S1982" s="215" t="s">
        <v>111</v>
      </c>
      <c r="T1982" s="215" t="s">
        <v>112</v>
      </c>
      <c r="U1982" s="215" t="s">
        <v>113</v>
      </c>
      <c r="V1982" s="220">
        <v>792</v>
      </c>
      <c r="W1982" s="846">
        <v>792</v>
      </c>
      <c r="X1982" s="221"/>
      <c r="Y1982" s="222">
        <f t="shared" si="687"/>
        <v>0</v>
      </c>
      <c r="Z1982" s="223">
        <f t="shared" si="688"/>
        <v>0</v>
      </c>
      <c r="AA1982" s="223">
        <f t="shared" si="667"/>
        <v>0</v>
      </c>
      <c r="AB1982" s="807">
        <v>9.7000000000000003E-3</v>
      </c>
      <c r="AC1982" s="220">
        <f t="shared" si="682"/>
        <v>0</v>
      </c>
      <c r="AD1982" s="209"/>
      <c r="AE1982" s="210">
        <f t="shared" si="689"/>
        <v>0</v>
      </c>
      <c r="AF1982" s="210">
        <f t="shared" si="695"/>
        <v>0</v>
      </c>
      <c r="AG1982" s="211">
        <f t="shared" si="690"/>
        <v>0.308</v>
      </c>
      <c r="AH1982" s="157">
        <f t="shared" si="691"/>
        <v>0</v>
      </c>
      <c r="AI1982" s="152">
        <f t="shared" si="692"/>
        <v>28512</v>
      </c>
      <c r="AK1982" s="156" t="s">
        <v>691</v>
      </c>
      <c r="AL1982" s="574" t="s">
        <v>690</v>
      </c>
      <c r="AM1982" s="198">
        <f t="shared" si="694"/>
        <v>0</v>
      </c>
      <c r="AN1982" s="199">
        <f t="shared" si="668"/>
        <v>45716</v>
      </c>
      <c r="AO1982" s="159" t="s">
        <v>692</v>
      </c>
      <c r="AP1982" s="781"/>
      <c r="AQ1982" s="782">
        <v>12063755</v>
      </c>
      <c r="AR1982" s="782">
        <v>12061353</v>
      </c>
      <c r="AS1982" s="782">
        <v>12061354</v>
      </c>
      <c r="AT1982" s="782">
        <v>12068566</v>
      </c>
      <c r="AU1982" s="781"/>
      <c r="AV1982" s="782">
        <v>12088206</v>
      </c>
      <c r="AW1982" s="782">
        <v>12088207</v>
      </c>
      <c r="AX1982" s="782"/>
      <c r="AY1982" s="782">
        <v>12068565</v>
      </c>
      <c r="AZ1982" s="782"/>
      <c r="BA1982" s="781"/>
      <c r="BB1982" s="209">
        <v>23054743</v>
      </c>
    </row>
    <row r="1983" spans="1:54" ht="25" hidden="1" customHeight="1">
      <c r="B1983" s="213">
        <v>45716</v>
      </c>
      <c r="C1983" s="578">
        <v>45766</v>
      </c>
      <c r="D1983" s="185">
        <f t="shared" si="665"/>
        <v>2025</v>
      </c>
      <c r="E1983" s="215" t="e">
        <f>VLOOKUP($B1983,Week!$A$1:$C$1462,2,0)</f>
        <v>#N/A</v>
      </c>
      <c r="F1983" s="216" t="str">
        <f t="shared" si="666"/>
        <v>Feb</v>
      </c>
      <c r="G1983" s="215" t="s">
        <v>1985</v>
      </c>
      <c r="H1983" s="215" t="s">
        <v>104</v>
      </c>
      <c r="I1983" s="215" t="s">
        <v>2772</v>
      </c>
      <c r="J1983" s="209" t="s">
        <v>105</v>
      </c>
      <c r="K1983" s="217" t="s">
        <v>107</v>
      </c>
      <c r="L1983" s="300" t="s">
        <v>2167</v>
      </c>
      <c r="M1983" s="209" t="s">
        <v>108</v>
      </c>
      <c r="N1983" s="215" t="s">
        <v>109</v>
      </c>
      <c r="O1983" s="215" t="s">
        <v>110</v>
      </c>
      <c r="P1983" s="218">
        <v>36</v>
      </c>
      <c r="Q1983" s="218">
        <v>5</v>
      </c>
      <c r="R1983" s="219">
        <v>7.4999999999999997E-3</v>
      </c>
      <c r="S1983" s="215" t="s">
        <v>111</v>
      </c>
      <c r="T1983" s="215" t="s">
        <v>112</v>
      </c>
      <c r="U1983" s="215" t="s">
        <v>113</v>
      </c>
      <c r="V1983" s="220">
        <v>792</v>
      </c>
      <c r="W1983" s="846">
        <v>792</v>
      </c>
      <c r="X1983" s="221"/>
      <c r="Y1983" s="222">
        <f t="shared" si="687"/>
        <v>0</v>
      </c>
      <c r="Z1983" s="223">
        <f t="shared" si="688"/>
        <v>0</v>
      </c>
      <c r="AA1983" s="223">
        <f t="shared" si="667"/>
        <v>0</v>
      </c>
      <c r="AB1983" s="807">
        <v>9.7000000000000003E-3</v>
      </c>
      <c r="AC1983" s="220">
        <f t="shared" si="682"/>
        <v>0</v>
      </c>
      <c r="AD1983" s="209"/>
      <c r="AE1983" s="210">
        <f t="shared" si="689"/>
        <v>0</v>
      </c>
      <c r="AF1983" s="210">
        <f t="shared" si="695"/>
        <v>0</v>
      </c>
      <c r="AG1983" s="211">
        <f t="shared" si="690"/>
        <v>0.308</v>
      </c>
      <c r="AH1983" s="157">
        <f t="shared" si="691"/>
        <v>0</v>
      </c>
      <c r="AI1983" s="152">
        <f t="shared" si="692"/>
        <v>28512</v>
      </c>
      <c r="AK1983" s="156" t="s">
        <v>691</v>
      </c>
      <c r="AL1983" s="574" t="s">
        <v>690</v>
      </c>
      <c r="AM1983" s="198">
        <f t="shared" si="694"/>
        <v>0</v>
      </c>
      <c r="AN1983" s="199">
        <f t="shared" si="668"/>
        <v>45716</v>
      </c>
      <c r="AO1983" s="159" t="s">
        <v>692</v>
      </c>
      <c r="AP1983" s="781"/>
      <c r="AQ1983" s="782">
        <v>12063755</v>
      </c>
      <c r="AR1983" s="782">
        <v>12061353</v>
      </c>
      <c r="AS1983" s="782">
        <v>12061354</v>
      </c>
      <c r="AT1983" s="782">
        <v>12068566</v>
      </c>
      <c r="AU1983" s="781"/>
      <c r="AV1983" s="782">
        <v>12088206</v>
      </c>
      <c r="AW1983" s="782">
        <v>12088207</v>
      </c>
      <c r="AX1983" s="782"/>
      <c r="AY1983" s="782">
        <v>12068565</v>
      </c>
      <c r="AZ1983" s="782"/>
      <c r="BA1983" s="781"/>
      <c r="BB1983" s="209">
        <v>23054743</v>
      </c>
    </row>
    <row r="1984" spans="1:54" ht="25" hidden="1" customHeight="1">
      <c r="B1984" s="213">
        <v>45716</v>
      </c>
      <c r="C1984" s="578">
        <v>45769</v>
      </c>
      <c r="D1984" s="185">
        <f t="shared" si="665"/>
        <v>2025</v>
      </c>
      <c r="E1984" s="215" t="e">
        <f>VLOOKUP($B1984,Week!$A$1:$C$1462,2,0)</f>
        <v>#N/A</v>
      </c>
      <c r="F1984" s="216" t="str">
        <f t="shared" si="666"/>
        <v>Feb</v>
      </c>
      <c r="G1984" s="215" t="s">
        <v>1991</v>
      </c>
      <c r="H1984" s="215" t="s">
        <v>104</v>
      </c>
      <c r="I1984" s="215" t="s">
        <v>2772</v>
      </c>
      <c r="J1984" s="209" t="s">
        <v>105</v>
      </c>
      <c r="K1984" s="217" t="s">
        <v>107</v>
      </c>
      <c r="L1984" s="300" t="s">
        <v>2167</v>
      </c>
      <c r="M1984" s="209" t="s">
        <v>108</v>
      </c>
      <c r="N1984" s="215" t="s">
        <v>109</v>
      </c>
      <c r="O1984" s="215" t="s">
        <v>110</v>
      </c>
      <c r="P1984" s="218">
        <v>36</v>
      </c>
      <c r="Q1984" s="218">
        <v>5</v>
      </c>
      <c r="R1984" s="219">
        <v>7.4999999999999997E-3</v>
      </c>
      <c r="S1984" s="215" t="s">
        <v>111</v>
      </c>
      <c r="T1984" s="215" t="s">
        <v>112</v>
      </c>
      <c r="U1984" s="215" t="s">
        <v>113</v>
      </c>
      <c r="V1984" s="220">
        <v>792</v>
      </c>
      <c r="W1984" s="846">
        <v>792</v>
      </c>
      <c r="X1984" s="221"/>
      <c r="Y1984" s="222">
        <f t="shared" si="687"/>
        <v>0</v>
      </c>
      <c r="Z1984" s="223">
        <f t="shared" si="688"/>
        <v>0</v>
      </c>
      <c r="AA1984" s="223">
        <f t="shared" si="667"/>
        <v>0</v>
      </c>
      <c r="AB1984" s="807">
        <v>9.7000000000000003E-3</v>
      </c>
      <c r="AC1984" s="220">
        <f t="shared" si="682"/>
        <v>0</v>
      </c>
      <c r="AD1984" s="209"/>
      <c r="AE1984" s="210">
        <f t="shared" si="689"/>
        <v>0</v>
      </c>
      <c r="AF1984" s="210">
        <f t="shared" si="695"/>
        <v>0</v>
      </c>
      <c r="AG1984" s="211">
        <f t="shared" si="690"/>
        <v>0.308</v>
      </c>
      <c r="AH1984" s="157">
        <f t="shared" si="691"/>
        <v>0</v>
      </c>
      <c r="AI1984" s="152">
        <f t="shared" si="692"/>
        <v>28512</v>
      </c>
      <c r="AK1984" s="156" t="s">
        <v>691</v>
      </c>
      <c r="AL1984" s="574" t="s">
        <v>690</v>
      </c>
      <c r="AM1984" s="198">
        <f t="shared" si="694"/>
        <v>0</v>
      </c>
      <c r="AN1984" s="199">
        <f t="shared" si="668"/>
        <v>45716</v>
      </c>
      <c r="AO1984" s="159" t="s">
        <v>692</v>
      </c>
      <c r="AP1984" s="781"/>
      <c r="AQ1984" s="782">
        <v>12063755</v>
      </c>
      <c r="AR1984" s="782">
        <v>12061353</v>
      </c>
      <c r="AS1984" s="782">
        <v>12061354</v>
      </c>
      <c r="AT1984" s="782">
        <v>12068566</v>
      </c>
      <c r="AU1984" s="781"/>
      <c r="AV1984" s="782">
        <v>12088206</v>
      </c>
      <c r="AW1984" s="782">
        <v>12088207</v>
      </c>
      <c r="AX1984" s="782"/>
      <c r="AY1984" s="782">
        <v>12068565</v>
      </c>
      <c r="AZ1984" s="782"/>
      <c r="BA1984" s="781"/>
      <c r="BB1984" s="209">
        <v>23054743</v>
      </c>
    </row>
    <row r="1985" spans="1:54" ht="25" hidden="1" customHeight="1">
      <c r="B1985" s="213">
        <v>45717</v>
      </c>
      <c r="C1985" s="214">
        <v>45726</v>
      </c>
      <c r="D1985" s="185">
        <f t="shared" si="665"/>
        <v>2025</v>
      </c>
      <c r="E1985" s="215" t="e">
        <f>VLOOKUP($B1985,Week!$A$1:$C$1462,2,0)</f>
        <v>#N/A</v>
      </c>
      <c r="F1985" s="216" t="str">
        <f t="shared" si="666"/>
        <v>Mar</v>
      </c>
      <c r="G1985" s="215" t="s">
        <v>2019</v>
      </c>
      <c r="H1985" s="215" t="s">
        <v>134</v>
      </c>
      <c r="I1985" s="215" t="s">
        <v>2772</v>
      </c>
      <c r="J1985" s="209" t="s">
        <v>164</v>
      </c>
      <c r="K1985" s="217" t="s">
        <v>1648</v>
      </c>
      <c r="L1985" s="300" t="s">
        <v>2167</v>
      </c>
      <c r="M1985" s="209" t="s">
        <v>193</v>
      </c>
      <c r="N1985" s="215" t="s">
        <v>205</v>
      </c>
      <c r="O1985" s="215" t="s">
        <v>206</v>
      </c>
      <c r="P1985" s="218">
        <v>24</v>
      </c>
      <c r="Q1985" s="218">
        <v>5</v>
      </c>
      <c r="R1985" s="219">
        <v>8.0000000000000002E-3</v>
      </c>
      <c r="S1985" s="215" t="s">
        <v>40</v>
      </c>
      <c r="T1985" s="215" t="s">
        <v>56</v>
      </c>
      <c r="U1985" s="480" t="s">
        <v>499</v>
      </c>
      <c r="V1985" s="220">
        <f>500</f>
        <v>500</v>
      </c>
      <c r="W1985" s="220">
        <f>44+456</f>
        <v>500</v>
      </c>
      <c r="X1985" s="221"/>
      <c r="Y1985" s="222">
        <f t="shared" si="687"/>
        <v>0</v>
      </c>
      <c r="Z1985" s="223">
        <f t="shared" si="688"/>
        <v>0</v>
      </c>
      <c r="AA1985" s="220">
        <f t="shared" si="667"/>
        <v>0</v>
      </c>
      <c r="AB1985" s="807">
        <v>1</v>
      </c>
      <c r="AC1985" s="220">
        <f>Z1985*AB1985</f>
        <v>0</v>
      </c>
      <c r="AD1985" s="381"/>
      <c r="AE1985" s="220">
        <f t="shared" si="689"/>
        <v>0</v>
      </c>
      <c r="AF1985" s="220">
        <f t="shared" si="695"/>
        <v>0</v>
      </c>
      <c r="AG1985" s="211">
        <f t="shared" si="690"/>
        <v>0.115</v>
      </c>
      <c r="AH1985" s="157">
        <f t="shared" si="691"/>
        <v>0</v>
      </c>
      <c r="AI1985" s="152">
        <f t="shared" si="692"/>
        <v>12000</v>
      </c>
      <c r="AK1985" s="156" t="s">
        <v>691</v>
      </c>
      <c r="AL1985" s="212" t="s">
        <v>690</v>
      </c>
      <c r="AM1985" s="198">
        <f t="shared" si="694"/>
        <v>0</v>
      </c>
      <c r="AN1985" s="199">
        <f t="shared" si="668"/>
        <v>45717</v>
      </c>
      <c r="AO1985" s="159" t="s">
        <v>692</v>
      </c>
      <c r="AP1985" s="783" t="s">
        <v>610</v>
      </c>
      <c r="AQ1985" s="782">
        <v>12071839</v>
      </c>
      <c r="AR1985" s="782">
        <v>12047514</v>
      </c>
      <c r="AS1985" s="782">
        <v>12047515</v>
      </c>
      <c r="AT1985" s="782"/>
      <c r="AU1985" s="782">
        <v>12026902</v>
      </c>
      <c r="AV1985" s="782">
        <v>12054722</v>
      </c>
      <c r="AW1985" s="782">
        <v>12026904</v>
      </c>
      <c r="AX1985" s="782"/>
      <c r="AY1985" s="782" t="s">
        <v>2148</v>
      </c>
      <c r="AZ1985" s="782" t="s">
        <v>2149</v>
      </c>
      <c r="BA1985" s="782" t="s">
        <v>2150</v>
      </c>
      <c r="BB1985" s="209">
        <v>23052995</v>
      </c>
    </row>
    <row r="1986" spans="1:54" ht="24.75" hidden="1" customHeight="1">
      <c r="B1986" s="295">
        <v>45717</v>
      </c>
      <c r="C1986" s="771" t="s">
        <v>1927</v>
      </c>
      <c r="D1986" s="185">
        <f t="shared" si="665"/>
        <v>2025</v>
      </c>
      <c r="E1986" s="296" t="e">
        <f>VLOOKUP($B1986,Week!$A$1:$C$1462,2,0)</f>
        <v>#N/A</v>
      </c>
      <c r="F1986" s="297" t="str">
        <f t="shared" si="666"/>
        <v>Mar</v>
      </c>
      <c r="G1986" s="648" t="s">
        <v>47</v>
      </c>
      <c r="H1986" s="298" t="s">
        <v>260</v>
      </c>
      <c r="I1986" s="298" t="s">
        <v>2702</v>
      </c>
      <c r="J1986" s="307" t="s">
        <v>904</v>
      </c>
      <c r="K1986" s="300" t="s">
        <v>176</v>
      </c>
      <c r="L1986" s="300" t="s">
        <v>2167</v>
      </c>
      <c r="M1986" s="299" t="s">
        <v>262</v>
      </c>
      <c r="N1986" s="298" t="s">
        <v>350</v>
      </c>
      <c r="O1986" s="298" t="s">
        <v>351</v>
      </c>
      <c r="P1986" s="301">
        <v>24</v>
      </c>
      <c r="Q1986" s="301">
        <v>5</v>
      </c>
      <c r="R1986" s="302">
        <v>6.1999999999999998E-3</v>
      </c>
      <c r="S1986" s="298" t="s">
        <v>352</v>
      </c>
      <c r="T1986" s="298" t="s">
        <v>56</v>
      </c>
      <c r="U1986" s="298" t="s">
        <v>57</v>
      </c>
      <c r="V1986" s="303">
        <v>6</v>
      </c>
      <c r="W1986" s="303">
        <v>6</v>
      </c>
      <c r="X1986" s="304"/>
      <c r="Y1986" s="305">
        <f t="shared" si="687"/>
        <v>0</v>
      </c>
      <c r="Z1986" s="306">
        <f t="shared" si="688"/>
        <v>0</v>
      </c>
      <c r="AA1986" s="306">
        <f t="shared" si="667"/>
        <v>0</v>
      </c>
      <c r="AB1986" s="814">
        <v>7.4999999999999997E-3</v>
      </c>
      <c r="AC1986" s="303">
        <f t="shared" si="682"/>
        <v>0</v>
      </c>
      <c r="AD1986" s="573"/>
      <c r="AE1986" s="210">
        <f t="shared" si="689"/>
        <v>0</v>
      </c>
      <c r="AF1986" s="210">
        <f>AE1986/0.54</f>
        <v>0</v>
      </c>
      <c r="AG1986" s="211">
        <f t="shared" si="690"/>
        <v>0.13</v>
      </c>
      <c r="AH1986" s="157">
        <f t="shared" si="691"/>
        <v>0</v>
      </c>
      <c r="AI1986" s="152">
        <f t="shared" si="692"/>
        <v>144</v>
      </c>
      <c r="AK1986" s="156" t="s">
        <v>691</v>
      </c>
      <c r="AL1986" s="574" t="s">
        <v>690</v>
      </c>
      <c r="AM1986" s="198">
        <f t="shared" si="694"/>
        <v>0</v>
      </c>
      <c r="AN1986" s="199">
        <f t="shared" si="668"/>
        <v>45717</v>
      </c>
      <c r="AO1986" s="159" t="s">
        <v>692</v>
      </c>
      <c r="AP1986" s="783" t="s">
        <v>629</v>
      </c>
      <c r="AQ1986" s="782">
        <v>12071839</v>
      </c>
      <c r="AR1986" s="782">
        <v>12078867</v>
      </c>
      <c r="AS1986" s="782">
        <v>12068233</v>
      </c>
      <c r="AT1986" s="781"/>
      <c r="AU1986" s="781"/>
      <c r="AV1986" s="782">
        <v>12062075</v>
      </c>
      <c r="AW1986" s="781"/>
      <c r="AX1986" s="781"/>
      <c r="AY1986" s="782">
        <v>12086617</v>
      </c>
      <c r="AZ1986" s="781"/>
      <c r="BA1986" s="781"/>
      <c r="BB1986" s="209">
        <v>23053185</v>
      </c>
    </row>
    <row r="1987" spans="1:54" ht="25" hidden="1" customHeight="1">
      <c r="B1987" s="183">
        <v>45718</v>
      </c>
      <c r="C1987" s="184"/>
      <c r="D1987" s="185">
        <f t="shared" si="665"/>
        <v>2025</v>
      </c>
      <c r="E1987" s="185" t="e">
        <f>VLOOKUP($B1987,Week!$A$1:$C$1462,2,0)</f>
        <v>#N/A</v>
      </c>
      <c r="F1987" s="186" t="str">
        <f t="shared" si="666"/>
        <v>Mar</v>
      </c>
      <c r="G1987" s="185"/>
      <c r="H1987" s="185"/>
      <c r="I1987" s="185"/>
      <c r="J1987" s="187"/>
      <c r="K1987" s="188"/>
      <c r="L1987" s="300"/>
      <c r="M1987" s="187"/>
      <c r="N1987" s="185"/>
      <c r="O1987" s="185"/>
      <c r="P1987" s="189"/>
      <c r="Q1987" s="189"/>
      <c r="R1987" s="190"/>
      <c r="S1987" s="185"/>
      <c r="T1987" s="185"/>
      <c r="U1987" s="185"/>
      <c r="V1987" s="191"/>
      <c r="W1987" s="191"/>
      <c r="X1987" s="192"/>
      <c r="Y1987" s="193"/>
      <c r="Z1987" s="194"/>
      <c r="AA1987" s="194">
        <f t="shared" si="667"/>
        <v>0</v>
      </c>
      <c r="AB1987" s="805"/>
      <c r="AC1987" s="191">
        <f t="shared" si="682"/>
        <v>0</v>
      </c>
      <c r="AD1987" s="187"/>
      <c r="AE1987" s="195"/>
      <c r="AF1987" s="195"/>
      <c r="AG1987" s="196"/>
      <c r="AH1987" s="197"/>
      <c r="AK1987" s="156" t="s">
        <v>691</v>
      </c>
      <c r="AM1987" s="198">
        <f t="shared" si="694"/>
        <v>0</v>
      </c>
      <c r="AN1987" s="199">
        <f t="shared" si="668"/>
        <v>45718</v>
      </c>
      <c r="AO1987" s="159" t="s">
        <v>692</v>
      </c>
      <c r="AP1987" s="781"/>
      <c r="AQ1987" s="782"/>
      <c r="AR1987" s="782"/>
      <c r="AS1987" s="782"/>
      <c r="AT1987" s="782"/>
      <c r="AU1987" s="781"/>
      <c r="AV1987" s="782"/>
      <c r="AW1987" s="782"/>
      <c r="AX1987" s="782"/>
      <c r="AY1987" s="782"/>
      <c r="AZ1987" s="782"/>
      <c r="BA1987" s="781"/>
      <c r="BB1987" s="209"/>
    </row>
    <row r="1988" spans="1:54" ht="25" hidden="1" customHeight="1">
      <c r="B1988" s="246">
        <v>45719</v>
      </c>
      <c r="C1988" s="247">
        <v>45735</v>
      </c>
      <c r="D1988" s="185">
        <f t="shared" si="665"/>
        <v>2025</v>
      </c>
      <c r="E1988" s="247" t="e">
        <f>VLOOKUP($B1988,Week!$A$1:$C$1462,2,0)</f>
        <v>#N/A</v>
      </c>
      <c r="F1988" s="248" t="str">
        <f t="shared" si="666"/>
        <v>Mar</v>
      </c>
      <c r="G1988" s="599" t="s">
        <v>2047</v>
      </c>
      <c r="H1988" s="249" t="s">
        <v>104</v>
      </c>
      <c r="I1988" s="249" t="s">
        <v>2772</v>
      </c>
      <c r="J1988" s="250" t="s">
        <v>105</v>
      </c>
      <c r="K1988" s="251" t="s">
        <v>593</v>
      </c>
      <c r="L1988" s="300" t="s">
        <v>2167</v>
      </c>
      <c r="M1988" s="250" t="s">
        <v>594</v>
      </c>
      <c r="N1988" s="249" t="s">
        <v>596</v>
      </c>
      <c r="O1988" s="249" t="s">
        <v>304</v>
      </c>
      <c r="P1988" s="252">
        <v>8</v>
      </c>
      <c r="Q1988" s="252">
        <v>5</v>
      </c>
      <c r="R1988" s="253">
        <v>6.0000000000000001E-3</v>
      </c>
      <c r="S1988" s="249" t="s">
        <v>55</v>
      </c>
      <c r="T1988" s="249" t="s">
        <v>112</v>
      </c>
      <c r="U1988" s="249" t="s">
        <v>57</v>
      </c>
      <c r="V1988" s="254">
        <f>(1321+25116)/8</f>
        <v>3304.625</v>
      </c>
      <c r="W1988" s="254"/>
      <c r="X1988" s="255">
        <f>(1321+25116)/8</f>
        <v>3304.625</v>
      </c>
      <c r="Y1988" s="256">
        <f t="shared" ref="Y1988:Y2000" si="696">(W1988+X1988)-V1988</f>
        <v>0</v>
      </c>
      <c r="Z1988" s="257">
        <f t="shared" ref="Z1988:Z2000" si="697">IF(Y1988&lt;0,((V1988*P1988)-((W1988+X1988)*P1988)),0)</f>
        <v>0</v>
      </c>
      <c r="AA1988" s="257">
        <f t="shared" si="667"/>
        <v>0</v>
      </c>
      <c r="AB1988" s="810">
        <v>7.4999999999999997E-3</v>
      </c>
      <c r="AC1988" s="254">
        <f>Z1988*AB1988</f>
        <v>0</v>
      </c>
      <c r="AD1988" s="209"/>
      <c r="AE1988" s="210">
        <f t="shared" ref="AE1988:AE2000" si="698">SUM(Q1988*R1988*Z1988)/1000</f>
        <v>0</v>
      </c>
      <c r="AF1988" s="210">
        <f>AE1988/0.54</f>
        <v>0</v>
      </c>
      <c r="AG1988" s="211">
        <f t="shared" ref="AG1988:AG1996" si="699">MID(O1988,1,3)/1000</f>
        <v>0.25800000000000001</v>
      </c>
      <c r="AH1988" s="157">
        <v>0.26621999999999996</v>
      </c>
      <c r="AI1988" s="152">
        <f t="shared" ref="AI1988:AI2000" si="700">V1988*P1988</f>
        <v>26437</v>
      </c>
      <c r="AK1988" s="156" t="s">
        <v>691</v>
      </c>
      <c r="AL1988" s="574" t="s">
        <v>690</v>
      </c>
      <c r="AM1988" s="198">
        <f t="shared" si="694"/>
        <v>0</v>
      </c>
      <c r="AN1988" s="199">
        <f t="shared" si="668"/>
        <v>45719</v>
      </c>
      <c r="AO1988" s="159" t="s">
        <v>692</v>
      </c>
      <c r="AP1988" s="781"/>
      <c r="AQ1988" s="782">
        <v>12071839</v>
      </c>
      <c r="AR1988" s="782">
        <v>12042650</v>
      </c>
      <c r="AS1988" s="782">
        <v>12042649</v>
      </c>
      <c r="AT1988" s="782">
        <v>12084100</v>
      </c>
      <c r="AU1988" s="781"/>
      <c r="AV1988" s="782">
        <v>12084001</v>
      </c>
      <c r="AW1988" s="781"/>
      <c r="AX1988" s="781"/>
      <c r="AY1988" s="781"/>
      <c r="AZ1988" s="782"/>
      <c r="BA1988" s="781"/>
      <c r="BB1988" s="209">
        <v>23053185</v>
      </c>
    </row>
    <row r="1989" spans="1:54" ht="24.65" hidden="1" customHeight="1">
      <c r="B1989" s="369">
        <v>45719</v>
      </c>
      <c r="C1989" s="370">
        <v>45749</v>
      </c>
      <c r="D1989" s="185">
        <f t="shared" ref="D1989:D2052" si="701">IF(B1989="","",YEAR(B1989))</f>
        <v>2025</v>
      </c>
      <c r="E1989" s="370" t="e">
        <f>VLOOKUP($B1989,Week!$A$1:$C$1462,2,0)</f>
        <v>#N/A</v>
      </c>
      <c r="F1989" s="372" t="str">
        <f t="shared" ref="F1989:F2052" si="702">IF(B1989="","",TEXT(B1989,"[$-409]mmm"))</f>
        <v>Mar</v>
      </c>
      <c r="G1989" s="439" t="s">
        <v>2035</v>
      </c>
      <c r="H1989" s="371" t="s">
        <v>104</v>
      </c>
      <c r="I1989" s="371" t="s">
        <v>2772</v>
      </c>
      <c r="J1989" s="373" t="s">
        <v>105</v>
      </c>
      <c r="K1989" s="374" t="s">
        <v>593</v>
      </c>
      <c r="L1989" s="300" t="s">
        <v>2167</v>
      </c>
      <c r="M1989" s="373" t="s">
        <v>594</v>
      </c>
      <c r="N1989" s="371" t="s">
        <v>687</v>
      </c>
      <c r="O1989" s="371" t="s">
        <v>415</v>
      </c>
      <c r="P1989" s="375">
        <v>24</v>
      </c>
      <c r="Q1989" s="375">
        <v>5</v>
      </c>
      <c r="R1989" s="376">
        <v>6.0000000000000001E-3</v>
      </c>
      <c r="S1989" s="371" t="s">
        <v>55</v>
      </c>
      <c r="T1989" s="371" t="s">
        <v>112</v>
      </c>
      <c r="U1989" s="371" t="s">
        <v>57</v>
      </c>
      <c r="V1989" s="377">
        <f>800</f>
        <v>800</v>
      </c>
      <c r="W1989" s="377">
        <f>40+760</f>
        <v>800</v>
      </c>
      <c r="X1989" s="378"/>
      <c r="Y1989" s="379">
        <f t="shared" si="696"/>
        <v>0</v>
      </c>
      <c r="Z1989" s="380">
        <f t="shared" si="697"/>
        <v>0</v>
      </c>
      <c r="AA1989" s="380">
        <f t="shared" ref="AA1989:AA2052" si="703">Q1989*Z1989</f>
        <v>0</v>
      </c>
      <c r="AB1989" s="820">
        <v>7.4999999999999997E-3</v>
      </c>
      <c r="AC1989" s="377">
        <f t="shared" si="682"/>
        <v>0</v>
      </c>
      <c r="AD1989" s="486"/>
      <c r="AE1989" s="210">
        <f t="shared" si="698"/>
        <v>0</v>
      </c>
      <c r="AF1989" s="210">
        <f t="shared" si="684"/>
        <v>0</v>
      </c>
      <c r="AG1989" s="211">
        <f t="shared" si="699"/>
        <v>0.25800000000000001</v>
      </c>
      <c r="AH1989" s="157">
        <f t="shared" ref="AH1989:AH2000" si="704">(Z1989*AG1989)/1000</f>
        <v>0</v>
      </c>
      <c r="AI1989" s="152">
        <f t="shared" si="700"/>
        <v>19200</v>
      </c>
      <c r="AK1989" s="156" t="s">
        <v>691</v>
      </c>
      <c r="AL1989" s="212" t="s">
        <v>690</v>
      </c>
      <c r="AM1989" s="198">
        <f t="shared" si="694"/>
        <v>0</v>
      </c>
      <c r="AN1989" s="199">
        <f t="shared" ref="AN1989:AN2052" si="705">B1989</f>
        <v>45719</v>
      </c>
      <c r="AO1989" s="159" t="s">
        <v>692</v>
      </c>
      <c r="AP1989" s="783"/>
      <c r="AQ1989" s="782">
        <v>12071839</v>
      </c>
      <c r="AR1989" s="782">
        <v>12042650</v>
      </c>
      <c r="AS1989" s="782">
        <v>12042649</v>
      </c>
      <c r="AT1989" s="782">
        <v>12085742</v>
      </c>
      <c r="AU1989" s="781"/>
      <c r="AV1989" s="782">
        <v>12085744</v>
      </c>
      <c r="AW1989" s="782">
        <v>12049607</v>
      </c>
      <c r="AX1989" s="782"/>
      <c r="AY1989" s="782" t="s">
        <v>2151</v>
      </c>
      <c r="AZ1989" s="782"/>
      <c r="BA1989" s="781"/>
      <c r="BB1989" s="209">
        <v>23053185</v>
      </c>
    </row>
    <row r="1990" spans="1:54" ht="24.65" hidden="1" customHeight="1">
      <c r="B1990" s="369">
        <v>45719</v>
      </c>
      <c r="C1990" s="370">
        <v>45749</v>
      </c>
      <c r="D1990" s="185">
        <f t="shared" si="701"/>
        <v>2025</v>
      </c>
      <c r="E1990" s="370" t="e">
        <f>VLOOKUP($B1990,Week!$A$1:$C$1462,2,0)</f>
        <v>#N/A</v>
      </c>
      <c r="F1990" s="372" t="str">
        <f t="shared" si="702"/>
        <v>Mar</v>
      </c>
      <c r="G1990" s="439" t="s">
        <v>2036</v>
      </c>
      <c r="H1990" s="371" t="s">
        <v>104</v>
      </c>
      <c r="I1990" s="371" t="s">
        <v>2772</v>
      </c>
      <c r="J1990" s="373" t="s">
        <v>105</v>
      </c>
      <c r="K1990" s="374" t="s">
        <v>593</v>
      </c>
      <c r="L1990" s="300" t="s">
        <v>2167</v>
      </c>
      <c r="M1990" s="373" t="s">
        <v>594</v>
      </c>
      <c r="N1990" s="371" t="s">
        <v>687</v>
      </c>
      <c r="O1990" s="371" t="s">
        <v>415</v>
      </c>
      <c r="P1990" s="375">
        <v>24</v>
      </c>
      <c r="Q1990" s="375">
        <v>5</v>
      </c>
      <c r="R1990" s="376">
        <v>6.0000000000000001E-3</v>
      </c>
      <c r="S1990" s="371" t="s">
        <v>55</v>
      </c>
      <c r="T1990" s="371" t="s">
        <v>112</v>
      </c>
      <c r="U1990" s="371" t="s">
        <v>57</v>
      </c>
      <c r="V1990" s="377">
        <v>155</v>
      </c>
      <c r="W1990" s="377">
        <f>915-760</f>
        <v>155</v>
      </c>
      <c r="X1990" s="378"/>
      <c r="Y1990" s="379">
        <f t="shared" si="696"/>
        <v>0</v>
      </c>
      <c r="Z1990" s="380">
        <f t="shared" si="697"/>
        <v>0</v>
      </c>
      <c r="AA1990" s="380">
        <f t="shared" si="703"/>
        <v>0</v>
      </c>
      <c r="AB1990" s="820">
        <v>7.4999999999999997E-3</v>
      </c>
      <c r="AC1990" s="377">
        <f t="shared" si="682"/>
        <v>0</v>
      </c>
      <c r="AD1990" s="486"/>
      <c r="AE1990" s="210">
        <f t="shared" si="698"/>
        <v>0</v>
      </c>
      <c r="AF1990" s="210">
        <f t="shared" si="684"/>
        <v>0</v>
      </c>
      <c r="AG1990" s="211">
        <f t="shared" si="699"/>
        <v>0.25800000000000001</v>
      </c>
      <c r="AH1990" s="157">
        <f t="shared" si="704"/>
        <v>0</v>
      </c>
      <c r="AI1990" s="152">
        <f t="shared" si="700"/>
        <v>3720</v>
      </c>
      <c r="AK1990" s="156" t="s">
        <v>691</v>
      </c>
      <c r="AL1990" s="212" t="s">
        <v>690</v>
      </c>
      <c r="AM1990" s="198">
        <f t="shared" si="694"/>
        <v>0</v>
      </c>
      <c r="AN1990" s="199">
        <f t="shared" si="705"/>
        <v>45719</v>
      </c>
      <c r="AO1990" s="159" t="s">
        <v>692</v>
      </c>
      <c r="AP1990" s="783"/>
      <c r="AQ1990" s="782">
        <v>12071839</v>
      </c>
      <c r="AR1990" s="782">
        <v>12042650</v>
      </c>
      <c r="AS1990" s="782">
        <v>12042649</v>
      </c>
      <c r="AT1990" s="782">
        <v>12085742</v>
      </c>
      <c r="AU1990" s="781"/>
      <c r="AV1990" s="782">
        <v>12085744</v>
      </c>
      <c r="AW1990" s="782">
        <v>12049607</v>
      </c>
      <c r="AX1990" s="782"/>
      <c r="AY1990" s="782" t="s">
        <v>2151</v>
      </c>
      <c r="AZ1990" s="782"/>
      <c r="BA1990" s="781"/>
      <c r="BB1990" s="209">
        <v>23053185</v>
      </c>
    </row>
    <row r="1991" spans="1:54" ht="25" hidden="1" customHeight="1">
      <c r="B1991" s="583">
        <v>45719</v>
      </c>
      <c r="C1991" s="777" t="s">
        <v>1927</v>
      </c>
      <c r="D1991" s="185">
        <f t="shared" si="701"/>
        <v>2025</v>
      </c>
      <c r="E1991" s="777" t="e">
        <f>VLOOKUP($B1991,Week!$A$1:$C$1462,2,0)</f>
        <v>#N/A</v>
      </c>
      <c r="F1991" s="778" t="str">
        <f t="shared" si="702"/>
        <v>Mar</v>
      </c>
      <c r="G1991" s="586" t="s">
        <v>47</v>
      </c>
      <c r="H1991" s="586" t="s">
        <v>518</v>
      </c>
      <c r="I1991" s="586" t="s">
        <v>2702</v>
      </c>
      <c r="J1991" s="587" t="s">
        <v>70</v>
      </c>
      <c r="K1991" s="588" t="s">
        <v>227</v>
      </c>
      <c r="L1991" s="300" t="s">
        <v>2167</v>
      </c>
      <c r="M1991" s="587" t="s">
        <v>2006</v>
      </c>
      <c r="N1991" s="586" t="s">
        <v>2004</v>
      </c>
      <c r="O1991" s="586" t="s">
        <v>2005</v>
      </c>
      <c r="P1991" s="589">
        <v>12</v>
      </c>
      <c r="Q1991" s="589">
        <v>3</v>
      </c>
      <c r="R1991" s="590">
        <v>8.0000000000000002E-3</v>
      </c>
      <c r="S1991" s="586" t="s">
        <v>352</v>
      </c>
      <c r="T1991" s="586" t="s">
        <v>56</v>
      </c>
      <c r="U1991" s="586" t="s">
        <v>2007</v>
      </c>
      <c r="V1991" s="779">
        <v>3328</v>
      </c>
      <c r="W1991" s="592">
        <f>2420+908</f>
        <v>3328</v>
      </c>
      <c r="X1991" s="593"/>
      <c r="Y1991" s="594">
        <f t="shared" si="696"/>
        <v>0</v>
      </c>
      <c r="Z1991" s="595">
        <f t="shared" si="697"/>
        <v>0</v>
      </c>
      <c r="AA1991" s="595">
        <f t="shared" si="703"/>
        <v>0</v>
      </c>
      <c r="AB1991" s="835">
        <v>0.05</v>
      </c>
      <c r="AC1991" s="592">
        <f t="shared" si="682"/>
        <v>0</v>
      </c>
      <c r="AD1991" s="209"/>
      <c r="AE1991" s="210">
        <f t="shared" si="698"/>
        <v>0</v>
      </c>
      <c r="AF1991" s="210">
        <f t="shared" si="684"/>
        <v>0</v>
      </c>
      <c r="AG1991" s="211">
        <f t="shared" si="699"/>
        <v>0.22700000000000001</v>
      </c>
      <c r="AH1991" s="157">
        <f t="shared" si="704"/>
        <v>0</v>
      </c>
      <c r="AI1991" s="152">
        <f t="shared" si="700"/>
        <v>39936</v>
      </c>
      <c r="AK1991" s="156" t="s">
        <v>691</v>
      </c>
      <c r="AL1991" s="212" t="s">
        <v>690</v>
      </c>
      <c r="AM1991" s="198">
        <f t="shared" si="694"/>
        <v>0</v>
      </c>
      <c r="AN1991" s="199">
        <f t="shared" si="705"/>
        <v>45719</v>
      </c>
      <c r="AO1991" s="159" t="s">
        <v>692</v>
      </c>
      <c r="AP1991" s="783" t="s">
        <v>623</v>
      </c>
      <c r="AQ1991" s="782">
        <v>12071839</v>
      </c>
      <c r="AR1991" s="782">
        <v>12042650</v>
      </c>
      <c r="AS1991" s="782">
        <v>12042649</v>
      </c>
      <c r="AT1991" s="782"/>
      <c r="AU1991" s="781"/>
      <c r="AV1991" s="782">
        <v>12094036</v>
      </c>
      <c r="AW1991" s="782"/>
      <c r="AX1991" s="782"/>
      <c r="AY1991" s="782">
        <v>12094035</v>
      </c>
      <c r="AZ1991" s="782">
        <v>12094041</v>
      </c>
      <c r="BA1991" s="781"/>
      <c r="BB1991" s="209">
        <v>11044165</v>
      </c>
    </row>
    <row r="1992" spans="1:54" ht="25" hidden="1" customHeight="1">
      <c r="B1992" s="583">
        <v>45720</v>
      </c>
      <c r="C1992" s="777" t="s">
        <v>1927</v>
      </c>
      <c r="D1992" s="185">
        <f t="shared" si="701"/>
        <v>2025</v>
      </c>
      <c r="E1992" s="777" t="e">
        <f>VLOOKUP($B1992,Week!$A$1:$C$1462,2,0)</f>
        <v>#N/A</v>
      </c>
      <c r="F1992" s="778" t="str">
        <f t="shared" si="702"/>
        <v>Mar</v>
      </c>
      <c r="G1992" s="586" t="s">
        <v>47</v>
      </c>
      <c r="H1992" s="586" t="s">
        <v>518</v>
      </c>
      <c r="I1992" s="586" t="s">
        <v>2702</v>
      </c>
      <c r="J1992" s="587" t="s">
        <v>70</v>
      </c>
      <c r="K1992" s="588" t="s">
        <v>227</v>
      </c>
      <c r="L1992" s="300" t="s">
        <v>2167</v>
      </c>
      <c r="M1992" s="587" t="s">
        <v>2006</v>
      </c>
      <c r="N1992" s="586" t="s">
        <v>2004</v>
      </c>
      <c r="O1992" s="586" t="s">
        <v>2005</v>
      </c>
      <c r="P1992" s="589">
        <v>12</v>
      </c>
      <c r="Q1992" s="589">
        <v>3</v>
      </c>
      <c r="R1992" s="590">
        <v>8.0000000000000002E-3</v>
      </c>
      <c r="S1992" s="586" t="s">
        <v>352</v>
      </c>
      <c r="T1992" s="586" t="s">
        <v>56</v>
      </c>
      <c r="U1992" s="586" t="s">
        <v>2007</v>
      </c>
      <c r="V1992" s="779">
        <f>7380-908</f>
        <v>6472</v>
      </c>
      <c r="W1992" s="592">
        <f>7380-908</f>
        <v>6472</v>
      </c>
      <c r="X1992" s="593"/>
      <c r="Y1992" s="594">
        <f t="shared" si="696"/>
        <v>0</v>
      </c>
      <c r="Z1992" s="595">
        <f t="shared" si="697"/>
        <v>0</v>
      </c>
      <c r="AA1992" s="595">
        <f t="shared" si="703"/>
        <v>0</v>
      </c>
      <c r="AB1992" s="835">
        <v>0.05</v>
      </c>
      <c r="AC1992" s="592">
        <f>Z1992*AB1992</f>
        <v>0</v>
      </c>
      <c r="AD1992" s="209"/>
      <c r="AE1992" s="210">
        <f t="shared" si="698"/>
        <v>0</v>
      </c>
      <c r="AF1992" s="210">
        <f t="shared" ref="AF1992:AF2000" si="706">AE1992/0.54</f>
        <v>0</v>
      </c>
      <c r="AG1992" s="211">
        <f t="shared" si="699"/>
        <v>0.22700000000000001</v>
      </c>
      <c r="AH1992" s="157">
        <f t="shared" si="704"/>
        <v>0</v>
      </c>
      <c r="AI1992" s="152">
        <f t="shared" si="700"/>
        <v>77664</v>
      </c>
      <c r="AK1992" s="156" t="s">
        <v>691</v>
      </c>
      <c r="AL1992" s="212" t="s">
        <v>690</v>
      </c>
      <c r="AM1992" s="198">
        <f t="shared" si="694"/>
        <v>0</v>
      </c>
      <c r="AN1992" s="199">
        <f t="shared" si="705"/>
        <v>45720</v>
      </c>
      <c r="AO1992" s="159" t="s">
        <v>692</v>
      </c>
      <c r="AP1992" s="783" t="s">
        <v>623</v>
      </c>
      <c r="AQ1992" s="782">
        <v>12071839</v>
      </c>
      <c r="AR1992" s="782">
        <v>12042650</v>
      </c>
      <c r="AS1992" s="782">
        <v>12042649</v>
      </c>
      <c r="AT1992" s="782"/>
      <c r="AU1992" s="781"/>
      <c r="AV1992" s="782">
        <v>12094036</v>
      </c>
      <c r="AW1992" s="782"/>
      <c r="AX1992" s="782"/>
      <c r="AY1992" s="782">
        <v>12094035</v>
      </c>
      <c r="AZ1992" s="782">
        <v>12094041</v>
      </c>
      <c r="BA1992" s="781"/>
      <c r="BB1992" s="209">
        <v>11044165</v>
      </c>
    </row>
    <row r="1993" spans="1:54" ht="25" hidden="1" customHeight="1">
      <c r="A1993" s="142" t="s">
        <v>120</v>
      </c>
      <c r="B1993" s="283">
        <v>45721</v>
      </c>
      <c r="C1993" s="284">
        <v>45726</v>
      </c>
      <c r="D1993" s="185">
        <f t="shared" si="701"/>
        <v>2025</v>
      </c>
      <c r="E1993" s="286" t="e">
        <f>VLOOKUP($B1993,Week!$A$1:$C$1462,2,0)</f>
        <v>#N/A</v>
      </c>
      <c r="F1993" s="285" t="str">
        <f t="shared" si="702"/>
        <v>Mar</v>
      </c>
      <c r="G1993" s="286" t="s">
        <v>2019</v>
      </c>
      <c r="H1993" s="286" t="s">
        <v>134</v>
      </c>
      <c r="I1993" s="286" t="s">
        <v>2772</v>
      </c>
      <c r="J1993" s="287" t="s">
        <v>164</v>
      </c>
      <c r="K1993" s="288" t="s">
        <v>153</v>
      </c>
      <c r="L1993" s="390" t="s">
        <v>2166</v>
      </c>
      <c r="M1993" s="287" t="s">
        <v>214</v>
      </c>
      <c r="N1993" s="286" t="s">
        <v>215</v>
      </c>
      <c r="O1993" s="286" t="s">
        <v>504</v>
      </c>
      <c r="P1993" s="289">
        <v>20</v>
      </c>
      <c r="Q1993" s="289">
        <v>8</v>
      </c>
      <c r="R1993" s="290">
        <v>1.4999999999999999E-2</v>
      </c>
      <c r="S1993" s="286" t="s">
        <v>217</v>
      </c>
      <c r="T1993" s="286" t="s">
        <v>56</v>
      </c>
      <c r="U1993" s="286" t="s">
        <v>89</v>
      </c>
      <c r="V1993" s="291">
        <v>7</v>
      </c>
      <c r="W1993" s="291">
        <v>7</v>
      </c>
      <c r="X1993" s="292"/>
      <c r="Y1993" s="293">
        <f t="shared" si="696"/>
        <v>0</v>
      </c>
      <c r="Z1993" s="294">
        <f t="shared" si="697"/>
        <v>0</v>
      </c>
      <c r="AA1993" s="291">
        <f t="shared" si="703"/>
        <v>0</v>
      </c>
      <c r="AB1993" s="813">
        <v>2</v>
      </c>
      <c r="AC1993" s="291">
        <f>Z1993*AB1993</f>
        <v>0</v>
      </c>
      <c r="AD1993" s="209" t="s">
        <v>218</v>
      </c>
      <c r="AE1993" s="210">
        <f t="shared" si="698"/>
        <v>0</v>
      </c>
      <c r="AF1993" s="210">
        <f t="shared" si="706"/>
        <v>0</v>
      </c>
      <c r="AG1993" s="211">
        <f t="shared" si="699"/>
        <v>0.19400000000000001</v>
      </c>
      <c r="AH1993" s="157">
        <f t="shared" si="704"/>
        <v>0</v>
      </c>
      <c r="AI1993" s="152">
        <f t="shared" si="700"/>
        <v>140</v>
      </c>
      <c r="AK1993" s="156" t="s">
        <v>691</v>
      </c>
      <c r="AL1993" s="156" t="s">
        <v>689</v>
      </c>
      <c r="AM1993" s="198">
        <f t="shared" si="694"/>
        <v>0</v>
      </c>
      <c r="AN1993" s="199">
        <f t="shared" si="705"/>
        <v>45721</v>
      </c>
      <c r="AO1993" s="159" t="s">
        <v>692</v>
      </c>
      <c r="AP1993" s="783" t="s">
        <v>610</v>
      </c>
      <c r="AQ1993" s="782">
        <v>12071839</v>
      </c>
      <c r="AR1993" s="782">
        <v>12064528</v>
      </c>
      <c r="AS1993" s="782"/>
      <c r="AT1993" s="782">
        <v>12064478</v>
      </c>
      <c r="AU1993" s="781"/>
      <c r="AV1993" s="782">
        <v>12064493</v>
      </c>
      <c r="AW1993" s="782"/>
      <c r="AX1993" s="782" t="s">
        <v>545</v>
      </c>
      <c r="AY1993" s="782"/>
      <c r="AZ1993" s="782"/>
      <c r="BA1993" s="781"/>
      <c r="BB1993" s="209">
        <v>23053184</v>
      </c>
    </row>
    <row r="1994" spans="1:54" ht="25" hidden="1" customHeight="1">
      <c r="A1994" s="142" t="s">
        <v>120</v>
      </c>
      <c r="B1994" s="271">
        <v>45721</v>
      </c>
      <c r="C1994" s="272">
        <v>45740</v>
      </c>
      <c r="D1994" s="185">
        <f t="shared" si="701"/>
        <v>2025</v>
      </c>
      <c r="E1994" s="272" t="e">
        <f>VLOOKUP($B1994,Week!$A$1:$C$1462,2,0)</f>
        <v>#N/A</v>
      </c>
      <c r="F1994" s="273" t="str">
        <f t="shared" si="702"/>
        <v>Mar</v>
      </c>
      <c r="G1994" s="274" t="s">
        <v>1905</v>
      </c>
      <c r="H1994" s="274" t="s">
        <v>500</v>
      </c>
      <c r="I1994" s="274" t="s">
        <v>2772</v>
      </c>
      <c r="J1994" s="275" t="s">
        <v>285</v>
      </c>
      <c r="K1994" s="276" t="s">
        <v>153</v>
      </c>
      <c r="L1994" s="390" t="s">
        <v>2166</v>
      </c>
      <c r="M1994" s="275" t="s">
        <v>86</v>
      </c>
      <c r="N1994" s="274" t="s">
        <v>547</v>
      </c>
      <c r="O1994" s="274" t="s">
        <v>548</v>
      </c>
      <c r="P1994" s="277">
        <v>10</v>
      </c>
      <c r="Q1994" s="277">
        <v>50</v>
      </c>
      <c r="R1994" s="278">
        <v>6.8100000000000001E-3</v>
      </c>
      <c r="S1994" s="274" t="s">
        <v>76</v>
      </c>
      <c r="T1994" s="274" t="s">
        <v>56</v>
      </c>
      <c r="U1994" s="274" t="s">
        <v>89</v>
      </c>
      <c r="V1994" s="279">
        <f>1434</f>
        <v>1434</v>
      </c>
      <c r="W1994" s="279">
        <f>39+1395</f>
        <v>1434</v>
      </c>
      <c r="X1994" s="280"/>
      <c r="Y1994" s="281">
        <f t="shared" si="696"/>
        <v>0</v>
      </c>
      <c r="Z1994" s="282">
        <f t="shared" si="697"/>
        <v>0</v>
      </c>
      <c r="AA1994" s="282">
        <f t="shared" si="703"/>
        <v>0</v>
      </c>
      <c r="AB1994" s="812">
        <v>6</v>
      </c>
      <c r="AC1994" s="279">
        <f>Z1994*AB1994</f>
        <v>0</v>
      </c>
      <c r="AD1994" s="209"/>
      <c r="AE1994" s="210">
        <f t="shared" si="698"/>
        <v>0</v>
      </c>
      <c r="AF1994" s="210">
        <f t="shared" si="706"/>
        <v>0</v>
      </c>
      <c r="AG1994" s="211">
        <f t="shared" si="699"/>
        <v>0.63</v>
      </c>
      <c r="AH1994" s="157">
        <f t="shared" si="704"/>
        <v>0</v>
      </c>
      <c r="AI1994" s="152">
        <f t="shared" si="700"/>
        <v>14340</v>
      </c>
      <c r="AK1994" s="156" t="s">
        <v>691</v>
      </c>
      <c r="AL1994" s="156" t="s">
        <v>689</v>
      </c>
      <c r="AM1994" s="198">
        <f t="shared" si="694"/>
        <v>0</v>
      </c>
      <c r="AN1994" s="199">
        <f t="shared" si="705"/>
        <v>45721</v>
      </c>
      <c r="AO1994" s="159" t="s">
        <v>692</v>
      </c>
      <c r="AP1994" s="783" t="s">
        <v>620</v>
      </c>
      <c r="AQ1994" s="796" t="s">
        <v>2143</v>
      </c>
      <c r="AR1994" s="782">
        <v>12055234</v>
      </c>
      <c r="AS1994" s="781"/>
      <c r="AT1994" s="782"/>
      <c r="AU1994" s="782"/>
      <c r="AV1994" s="782">
        <v>12062809</v>
      </c>
      <c r="AW1994" s="782"/>
      <c r="AX1994" s="782" t="s">
        <v>619</v>
      </c>
      <c r="AY1994" s="781"/>
      <c r="AZ1994" s="781"/>
      <c r="BA1994" s="781"/>
      <c r="BB1994" s="209">
        <v>23053184</v>
      </c>
    </row>
    <row r="1995" spans="1:54" ht="25" hidden="1" customHeight="1">
      <c r="A1995" s="142" t="s">
        <v>120</v>
      </c>
      <c r="B1995" s="385">
        <v>45722</v>
      </c>
      <c r="C1995" s="386">
        <v>45726</v>
      </c>
      <c r="D1995" s="185">
        <f t="shared" si="701"/>
        <v>2025</v>
      </c>
      <c r="E1995" s="386" t="e">
        <f>VLOOKUP($B1995,Week!$A$1:$C$1462,2,0)</f>
        <v>#N/A</v>
      </c>
      <c r="F1995" s="387" t="str">
        <f t="shared" si="702"/>
        <v>Mar</v>
      </c>
      <c r="G1995" s="388" t="s">
        <v>2011</v>
      </c>
      <c r="H1995" s="388" t="s">
        <v>500</v>
      </c>
      <c r="I1995" s="388" t="s">
        <v>2772</v>
      </c>
      <c r="J1995" s="389" t="s">
        <v>285</v>
      </c>
      <c r="K1995" s="390" t="s">
        <v>153</v>
      </c>
      <c r="L1995" s="390" t="s">
        <v>2166</v>
      </c>
      <c r="M1995" s="389" t="s">
        <v>165</v>
      </c>
      <c r="N1995" s="388" t="s">
        <v>286</v>
      </c>
      <c r="O1995" s="388" t="s">
        <v>503</v>
      </c>
      <c r="P1995" s="391">
        <v>40</v>
      </c>
      <c r="Q1995" s="391">
        <v>12</v>
      </c>
      <c r="R1995" s="392">
        <v>6.8100000000000001E-3</v>
      </c>
      <c r="S1995" s="388" t="s">
        <v>76</v>
      </c>
      <c r="T1995" s="388" t="s">
        <v>56</v>
      </c>
      <c r="U1995" s="388" t="s">
        <v>89</v>
      </c>
      <c r="V1995" s="393">
        <f>1624-421</f>
        <v>1203</v>
      </c>
      <c r="W1995" s="393">
        <f>1039</f>
        <v>1039</v>
      </c>
      <c r="X1995" s="394">
        <f>6560/40</f>
        <v>164</v>
      </c>
      <c r="Y1995" s="395">
        <f t="shared" si="696"/>
        <v>0</v>
      </c>
      <c r="Z1995" s="396">
        <f t="shared" si="697"/>
        <v>0</v>
      </c>
      <c r="AA1995" s="396">
        <f t="shared" si="703"/>
        <v>0</v>
      </c>
      <c r="AB1995" s="823">
        <v>2</v>
      </c>
      <c r="AC1995" s="393">
        <f t="shared" si="682"/>
        <v>0</v>
      </c>
      <c r="AD1995" s="209"/>
      <c r="AE1995" s="210">
        <f t="shared" si="698"/>
        <v>0</v>
      </c>
      <c r="AF1995" s="210">
        <f t="shared" si="706"/>
        <v>0</v>
      </c>
      <c r="AG1995" s="211">
        <f t="shared" si="699"/>
        <v>0.154</v>
      </c>
      <c r="AH1995" s="157">
        <f t="shared" si="704"/>
        <v>0</v>
      </c>
      <c r="AI1995" s="152">
        <f t="shared" si="700"/>
        <v>48120</v>
      </c>
      <c r="AK1995" s="156" t="s">
        <v>691</v>
      </c>
      <c r="AL1995" s="156" t="s">
        <v>689</v>
      </c>
      <c r="AM1995" s="198">
        <f t="shared" si="694"/>
        <v>0</v>
      </c>
      <c r="AN1995" s="199">
        <f t="shared" si="705"/>
        <v>45722</v>
      </c>
      <c r="AO1995" s="159" t="s">
        <v>692</v>
      </c>
      <c r="AP1995" s="783" t="s">
        <v>611</v>
      </c>
      <c r="AQ1995" s="782">
        <v>12088677</v>
      </c>
      <c r="AR1995" s="782">
        <v>12019692</v>
      </c>
      <c r="AS1995" s="781"/>
      <c r="AT1995" s="782">
        <v>12065371</v>
      </c>
      <c r="AU1995" s="782"/>
      <c r="AV1995" s="782">
        <v>12055895</v>
      </c>
      <c r="AW1995" s="782">
        <v>12034747</v>
      </c>
      <c r="AX1995" s="782" t="s">
        <v>398</v>
      </c>
      <c r="AY1995" s="781" t="s">
        <v>290</v>
      </c>
      <c r="AZ1995" s="781"/>
      <c r="BA1995" s="781"/>
      <c r="BB1995" s="209">
        <v>23053184</v>
      </c>
    </row>
    <row r="1996" spans="1:54" ht="25" hidden="1" customHeight="1">
      <c r="B1996" s="583">
        <v>45723</v>
      </c>
      <c r="C1996" s="777" t="s">
        <v>1927</v>
      </c>
      <c r="D1996" s="185">
        <f t="shared" si="701"/>
        <v>2025</v>
      </c>
      <c r="E1996" s="777" t="e">
        <f>VLOOKUP($B1996,Week!$A$1:$C$1462,2,0)</f>
        <v>#N/A</v>
      </c>
      <c r="F1996" s="778" t="str">
        <f t="shared" si="702"/>
        <v>Mar</v>
      </c>
      <c r="G1996" s="586" t="s">
        <v>47</v>
      </c>
      <c r="H1996" s="586" t="s">
        <v>518</v>
      </c>
      <c r="I1996" s="586" t="s">
        <v>2702</v>
      </c>
      <c r="J1996" s="587" t="s">
        <v>70</v>
      </c>
      <c r="K1996" s="588" t="s">
        <v>227</v>
      </c>
      <c r="L1996" s="300" t="s">
        <v>2167</v>
      </c>
      <c r="M1996" s="587" t="s">
        <v>2006</v>
      </c>
      <c r="N1996" s="586" t="s">
        <v>2004</v>
      </c>
      <c r="O1996" s="586" t="s">
        <v>2005</v>
      </c>
      <c r="P1996" s="589">
        <v>12</v>
      </c>
      <c r="Q1996" s="589">
        <v>3</v>
      </c>
      <c r="R1996" s="590">
        <v>8.0000000000000002E-3</v>
      </c>
      <c r="S1996" s="586" t="s">
        <v>352</v>
      </c>
      <c r="T1996" s="586" t="s">
        <v>56</v>
      </c>
      <c r="U1996" s="586" t="s">
        <v>2007</v>
      </c>
      <c r="V1996" s="779">
        <f>11831</f>
        <v>11831</v>
      </c>
      <c r="W1996" s="592">
        <f>11831</f>
        <v>11831</v>
      </c>
      <c r="X1996" s="593"/>
      <c r="Y1996" s="594">
        <f t="shared" si="696"/>
        <v>0</v>
      </c>
      <c r="Z1996" s="595">
        <f t="shared" si="697"/>
        <v>0</v>
      </c>
      <c r="AA1996" s="595">
        <f t="shared" si="703"/>
        <v>0</v>
      </c>
      <c r="AB1996" s="835">
        <v>0.05</v>
      </c>
      <c r="AC1996" s="592">
        <f t="shared" si="682"/>
        <v>0</v>
      </c>
      <c r="AD1996" s="209"/>
      <c r="AE1996" s="210">
        <f t="shared" si="698"/>
        <v>0</v>
      </c>
      <c r="AF1996" s="210">
        <f t="shared" si="706"/>
        <v>0</v>
      </c>
      <c r="AG1996" s="211">
        <f t="shared" si="699"/>
        <v>0.22700000000000001</v>
      </c>
      <c r="AH1996" s="157">
        <f t="shared" si="704"/>
        <v>0</v>
      </c>
      <c r="AI1996" s="152">
        <f t="shared" si="700"/>
        <v>141972</v>
      </c>
      <c r="AK1996" s="156" t="s">
        <v>691</v>
      </c>
      <c r="AL1996" s="212" t="s">
        <v>690</v>
      </c>
      <c r="AM1996" s="198">
        <f t="shared" si="694"/>
        <v>0</v>
      </c>
      <c r="AN1996" s="199">
        <f t="shared" si="705"/>
        <v>45723</v>
      </c>
      <c r="AO1996" s="159" t="s">
        <v>692</v>
      </c>
      <c r="AP1996" s="783" t="s">
        <v>623</v>
      </c>
      <c r="AQ1996" s="782">
        <v>12071839</v>
      </c>
      <c r="AR1996" s="782">
        <v>12042650</v>
      </c>
      <c r="AS1996" s="782">
        <v>12042649</v>
      </c>
      <c r="AT1996" s="782"/>
      <c r="AU1996" s="781"/>
      <c r="AV1996" s="782">
        <v>12094036</v>
      </c>
      <c r="AW1996" s="782"/>
      <c r="AX1996" s="782"/>
      <c r="AY1996" s="782">
        <v>12094035</v>
      </c>
      <c r="AZ1996" s="782">
        <v>12094041</v>
      </c>
      <c r="BA1996" s="781"/>
      <c r="BB1996" s="209">
        <v>11044165</v>
      </c>
    </row>
    <row r="1997" spans="1:54" ht="24.65" hidden="1" customHeight="1">
      <c r="A1997" s="142" t="s">
        <v>120</v>
      </c>
      <c r="B1997" s="357">
        <v>45724</v>
      </c>
      <c r="C1997" s="358">
        <v>45749</v>
      </c>
      <c r="D1997" s="359">
        <f t="shared" si="701"/>
        <v>2025</v>
      </c>
      <c r="E1997" s="359" t="e">
        <f>VLOOKUP($B1997,Week!$A$1:$C$1462,2,0)</f>
        <v>#N/A</v>
      </c>
      <c r="F1997" s="360" t="str">
        <f t="shared" si="702"/>
        <v>Mar</v>
      </c>
      <c r="G1997" s="359" t="s">
        <v>1887</v>
      </c>
      <c r="H1997" s="359" t="s">
        <v>344</v>
      </c>
      <c r="I1997" s="359" t="s">
        <v>2772</v>
      </c>
      <c r="J1997" s="361" t="s">
        <v>345</v>
      </c>
      <c r="K1997" s="362" t="s">
        <v>355</v>
      </c>
      <c r="L1997" s="390" t="s">
        <v>2166</v>
      </c>
      <c r="M1997" s="361" t="s">
        <v>356</v>
      </c>
      <c r="N1997" s="359" t="s">
        <v>357</v>
      </c>
      <c r="O1997" s="359" t="s">
        <v>508</v>
      </c>
      <c r="P1997" s="363">
        <v>18</v>
      </c>
      <c r="Q1997" s="363">
        <v>8</v>
      </c>
      <c r="R1997" s="364">
        <v>6.0000000000000001E-3</v>
      </c>
      <c r="S1997" s="359" t="s">
        <v>55</v>
      </c>
      <c r="T1997" s="359" t="s">
        <v>56</v>
      </c>
      <c r="U1997" s="359" t="s">
        <v>89</v>
      </c>
      <c r="V1997" s="365">
        <f>250</f>
        <v>250</v>
      </c>
      <c r="W1997" s="365">
        <f>19+231</f>
        <v>250</v>
      </c>
      <c r="X1997" s="366"/>
      <c r="Y1997" s="367">
        <f t="shared" si="696"/>
        <v>0</v>
      </c>
      <c r="Z1997" s="368">
        <f t="shared" si="697"/>
        <v>0</v>
      </c>
      <c r="AA1997" s="368">
        <f t="shared" si="703"/>
        <v>0</v>
      </c>
      <c r="AB1997" s="819">
        <v>2</v>
      </c>
      <c r="AC1997" s="365">
        <f>Z1997*AB1997</f>
        <v>0</v>
      </c>
      <c r="AD1997" s="443"/>
      <c r="AE1997" s="210">
        <f t="shared" si="698"/>
        <v>0</v>
      </c>
      <c r="AF1997" s="210">
        <f t="shared" si="706"/>
        <v>0</v>
      </c>
      <c r="AG1997" s="211">
        <f>MID(O1997,1,2)/1000</f>
        <v>0.09</v>
      </c>
      <c r="AH1997" s="157">
        <f t="shared" si="704"/>
        <v>0</v>
      </c>
      <c r="AI1997" s="152">
        <f t="shared" si="700"/>
        <v>4500</v>
      </c>
      <c r="AK1997" s="156" t="s">
        <v>691</v>
      </c>
      <c r="AL1997" s="156" t="s">
        <v>689</v>
      </c>
      <c r="AM1997" s="198">
        <f t="shared" si="694"/>
        <v>0</v>
      </c>
      <c r="AN1997" s="199">
        <f t="shared" si="705"/>
        <v>45724</v>
      </c>
      <c r="AO1997" s="159" t="s">
        <v>692</v>
      </c>
      <c r="AP1997" s="781"/>
      <c r="AQ1997" s="782"/>
      <c r="AR1997" s="782" t="s">
        <v>531</v>
      </c>
      <c r="AS1997" s="782"/>
      <c r="AT1997" s="782"/>
      <c r="AU1997" s="782">
        <v>12054219</v>
      </c>
      <c r="AV1997" s="782">
        <v>12054239</v>
      </c>
      <c r="AW1997" s="782"/>
      <c r="AX1997" s="782" t="s">
        <v>532</v>
      </c>
      <c r="AY1997" s="782"/>
      <c r="AZ1997" s="782"/>
      <c r="BA1997" s="781"/>
      <c r="BB1997" s="209">
        <v>23053184</v>
      </c>
    </row>
    <row r="1998" spans="1:54" ht="25" hidden="1" customHeight="1">
      <c r="A1998" s="142" t="s">
        <v>120</v>
      </c>
      <c r="B1998" s="369">
        <v>45724</v>
      </c>
      <c r="C1998" s="370">
        <v>45749</v>
      </c>
      <c r="D1998" s="185">
        <f t="shared" si="701"/>
        <v>2025</v>
      </c>
      <c r="E1998" s="371" t="e">
        <f>VLOOKUP($B1998,Week!$A$1:$C$1462,2,0)</f>
        <v>#N/A</v>
      </c>
      <c r="F1998" s="372" t="str">
        <f t="shared" si="702"/>
        <v>Mar</v>
      </c>
      <c r="G1998" s="371" t="s">
        <v>1887</v>
      </c>
      <c r="H1998" s="371" t="s">
        <v>344</v>
      </c>
      <c r="I1998" s="371" t="s">
        <v>2772</v>
      </c>
      <c r="J1998" s="373" t="s">
        <v>345</v>
      </c>
      <c r="K1998" s="374" t="s">
        <v>153</v>
      </c>
      <c r="L1998" s="390" t="s">
        <v>2166</v>
      </c>
      <c r="M1998" s="373" t="s">
        <v>214</v>
      </c>
      <c r="N1998" s="371" t="s">
        <v>346</v>
      </c>
      <c r="O1998" s="371" t="s">
        <v>509</v>
      </c>
      <c r="P1998" s="375">
        <v>18</v>
      </c>
      <c r="Q1998" s="375">
        <v>8</v>
      </c>
      <c r="R1998" s="376">
        <v>6.8100000000000001E-3</v>
      </c>
      <c r="S1998" s="371" t="s">
        <v>76</v>
      </c>
      <c r="T1998" s="371" t="s">
        <v>56</v>
      </c>
      <c r="U1998" s="371" t="s">
        <v>89</v>
      </c>
      <c r="V1998" s="377">
        <f>1650</f>
        <v>1650</v>
      </c>
      <c r="W1998" s="377">
        <f>1178</f>
        <v>1178</v>
      </c>
      <c r="X1998" s="378">
        <f>8496/18</f>
        <v>472</v>
      </c>
      <c r="Y1998" s="379">
        <f t="shared" si="696"/>
        <v>0</v>
      </c>
      <c r="Z1998" s="380">
        <f t="shared" si="697"/>
        <v>0</v>
      </c>
      <c r="AA1998" s="380">
        <f t="shared" si="703"/>
        <v>0</v>
      </c>
      <c r="AB1998" s="820">
        <v>1</v>
      </c>
      <c r="AC1998" s="377">
        <f>Z1998*AB1998</f>
        <v>0</v>
      </c>
      <c r="AD1998" s="443"/>
      <c r="AE1998" s="210">
        <f t="shared" si="698"/>
        <v>0</v>
      </c>
      <c r="AF1998" s="210">
        <f t="shared" si="706"/>
        <v>0</v>
      </c>
      <c r="AG1998" s="211">
        <f>MID(O1998,1,3)/1000</f>
        <v>0.10100000000000001</v>
      </c>
      <c r="AH1998" s="157">
        <f t="shared" si="704"/>
        <v>0</v>
      </c>
      <c r="AI1998" s="152">
        <f t="shared" si="700"/>
        <v>29700</v>
      </c>
      <c r="AK1998" s="156" t="s">
        <v>691</v>
      </c>
      <c r="AL1998" s="156" t="s">
        <v>689</v>
      </c>
      <c r="AM1998" s="198">
        <f t="shared" si="694"/>
        <v>0</v>
      </c>
      <c r="AN1998" s="199">
        <f t="shared" si="705"/>
        <v>45724</v>
      </c>
      <c r="AO1998" s="159" t="s">
        <v>692</v>
      </c>
      <c r="AP1998" s="781"/>
      <c r="AQ1998" s="783" t="s">
        <v>631</v>
      </c>
      <c r="AR1998" s="782">
        <v>12038019</v>
      </c>
      <c r="AS1998" s="781"/>
      <c r="AT1998" s="800">
        <v>12055751</v>
      </c>
      <c r="AU1998" s="781"/>
      <c r="AV1998" s="800">
        <v>12049471</v>
      </c>
      <c r="AW1998" s="781"/>
      <c r="AX1998" s="781" t="s">
        <v>162</v>
      </c>
      <c r="AY1998" s="781"/>
      <c r="AZ1998" s="781"/>
      <c r="BA1998" s="781"/>
      <c r="BB1998" s="209">
        <v>23053184</v>
      </c>
    </row>
    <row r="1999" spans="1:54" ht="25.15" hidden="1" customHeight="1">
      <c r="B1999" s="345">
        <v>45724</v>
      </c>
      <c r="C1999" s="346">
        <v>45754</v>
      </c>
      <c r="D1999" s="185">
        <f t="shared" si="701"/>
        <v>2025</v>
      </c>
      <c r="E1999" s="347" t="e">
        <f>VLOOKUP($B1999,Week!$A$1:$C$1462,2,0)</f>
        <v>#N/A</v>
      </c>
      <c r="F1999" s="348" t="str">
        <f t="shared" si="702"/>
        <v>Mar</v>
      </c>
      <c r="G1999" s="347" t="s">
        <v>1807</v>
      </c>
      <c r="H1999" s="347" t="s">
        <v>424</v>
      </c>
      <c r="I1999" s="347" t="s">
        <v>2772</v>
      </c>
      <c r="J1999" s="438" t="s">
        <v>425</v>
      </c>
      <c r="K1999" s="350" t="s">
        <v>176</v>
      </c>
      <c r="L1999" s="300" t="s">
        <v>2167</v>
      </c>
      <c r="M1999" s="349" t="s">
        <v>426</v>
      </c>
      <c r="N1999" s="347" t="s">
        <v>427</v>
      </c>
      <c r="O1999" s="347" t="s">
        <v>599</v>
      </c>
      <c r="P1999" s="351">
        <v>36</v>
      </c>
      <c r="Q1999" s="351">
        <v>5</v>
      </c>
      <c r="R1999" s="352">
        <v>7.4999999999999997E-3</v>
      </c>
      <c r="S1999" s="347" t="s">
        <v>111</v>
      </c>
      <c r="T1999" s="347" t="s">
        <v>112</v>
      </c>
      <c r="U1999" s="347" t="s">
        <v>57</v>
      </c>
      <c r="V1999" s="353">
        <v>1288</v>
      </c>
      <c r="W1999" s="353">
        <v>1288</v>
      </c>
      <c r="X1999" s="354"/>
      <c r="Y1999" s="355">
        <f t="shared" si="696"/>
        <v>0</v>
      </c>
      <c r="Z1999" s="356">
        <f t="shared" si="697"/>
        <v>0</v>
      </c>
      <c r="AA1999" s="353">
        <f t="shared" si="703"/>
        <v>0</v>
      </c>
      <c r="AB1999" s="818">
        <v>7.4999999999999997E-3</v>
      </c>
      <c r="AC1999" s="353">
        <f>Z1999*AB1999</f>
        <v>0</v>
      </c>
      <c r="AD1999" s="307" t="s">
        <v>2003</v>
      </c>
      <c r="AE1999" s="210">
        <f t="shared" si="698"/>
        <v>0</v>
      </c>
      <c r="AF1999" s="210">
        <f t="shared" si="706"/>
        <v>0</v>
      </c>
      <c r="AG1999" s="211">
        <f>MID(O1999,1,3)/1000</f>
        <v>0.14799999999999999</v>
      </c>
      <c r="AH1999" s="157">
        <f t="shared" si="704"/>
        <v>0</v>
      </c>
      <c r="AI1999" s="152">
        <f t="shared" si="700"/>
        <v>46368</v>
      </c>
      <c r="AK1999" s="156" t="s">
        <v>691</v>
      </c>
      <c r="AL1999" s="574" t="s">
        <v>690</v>
      </c>
      <c r="AM1999" s="198">
        <f t="shared" si="694"/>
        <v>0</v>
      </c>
      <c r="AN1999" s="199">
        <f t="shared" si="705"/>
        <v>45724</v>
      </c>
      <c r="AO1999" s="159" t="s">
        <v>692</v>
      </c>
      <c r="AP1999" s="783" t="s">
        <v>609</v>
      </c>
      <c r="AQ1999" s="782">
        <v>12071839</v>
      </c>
      <c r="AR1999" s="782">
        <v>12080260</v>
      </c>
      <c r="AS1999" s="782">
        <v>12080259</v>
      </c>
      <c r="AT1999" s="782">
        <v>12094039</v>
      </c>
      <c r="AU1999" s="782"/>
      <c r="AV1999" s="782">
        <v>12062100</v>
      </c>
      <c r="AW1999" s="782">
        <v>12024404</v>
      </c>
      <c r="AX1999" s="781"/>
      <c r="AY1999" s="782">
        <v>12094024</v>
      </c>
      <c r="AZ1999" s="782"/>
      <c r="BA1999" s="781"/>
      <c r="BB1999" s="209">
        <v>23053185</v>
      </c>
    </row>
    <row r="2000" spans="1:54" ht="26.25" hidden="1" customHeight="1">
      <c r="B2000" s="235">
        <v>45724</v>
      </c>
      <c r="C2000" s="235">
        <v>45734</v>
      </c>
      <c r="D2000" s="185">
        <f t="shared" si="701"/>
        <v>2025</v>
      </c>
      <c r="E2000" s="236" t="e">
        <f>VLOOKUP($B2000,Week!$A$1:$C$1462,2,0)</f>
        <v>#N/A</v>
      </c>
      <c r="F2000" s="237" t="str">
        <f t="shared" si="702"/>
        <v>Mar</v>
      </c>
      <c r="G2000" s="236" t="s">
        <v>1990</v>
      </c>
      <c r="H2000" s="236" t="s">
        <v>392</v>
      </c>
      <c r="I2000" s="236" t="s">
        <v>2772</v>
      </c>
      <c r="J2000" s="238" t="s">
        <v>393</v>
      </c>
      <c r="K2000" s="239" t="s">
        <v>1643</v>
      </c>
      <c r="L2000" s="300" t="s">
        <v>2167</v>
      </c>
      <c r="M2000" s="238" t="s">
        <v>406</v>
      </c>
      <c r="N2000" s="236" t="s">
        <v>407</v>
      </c>
      <c r="O2000" s="236" t="s">
        <v>206</v>
      </c>
      <c r="P2000" s="240">
        <v>24</v>
      </c>
      <c r="Q2000" s="240">
        <v>5</v>
      </c>
      <c r="R2000" s="241">
        <v>8.0000000000000002E-3</v>
      </c>
      <c r="S2000" s="236" t="s">
        <v>40</v>
      </c>
      <c r="T2000" s="236" t="s">
        <v>56</v>
      </c>
      <c r="U2000" s="640" t="s">
        <v>499</v>
      </c>
      <c r="V2000" s="242">
        <f>1150</f>
        <v>1150</v>
      </c>
      <c r="W2000" s="242">
        <f>4+1146</f>
        <v>1150</v>
      </c>
      <c r="X2000" s="243">
        <f>455/24</f>
        <v>18.958333333333332</v>
      </c>
      <c r="Y2000" s="244">
        <f t="shared" si="696"/>
        <v>18.958333333333258</v>
      </c>
      <c r="Z2000" s="245">
        <f t="shared" si="697"/>
        <v>0</v>
      </c>
      <c r="AA2000" s="245">
        <f t="shared" si="703"/>
        <v>0</v>
      </c>
      <c r="AB2000" s="809">
        <v>1</v>
      </c>
      <c r="AC2000" s="242">
        <f t="shared" si="682"/>
        <v>0</v>
      </c>
      <c r="AD2000" s="209"/>
      <c r="AE2000" s="210">
        <f t="shared" si="698"/>
        <v>0</v>
      </c>
      <c r="AF2000" s="210">
        <f t="shared" si="706"/>
        <v>0</v>
      </c>
      <c r="AG2000" s="211">
        <f>MID(O2000,1,3)/1000</f>
        <v>0.115</v>
      </c>
      <c r="AH2000" s="157">
        <f t="shared" si="704"/>
        <v>0</v>
      </c>
      <c r="AI2000" s="152">
        <f t="shared" si="700"/>
        <v>27600</v>
      </c>
      <c r="AK2000" s="156" t="s">
        <v>691</v>
      </c>
      <c r="AL2000" s="574" t="s">
        <v>690</v>
      </c>
      <c r="AM2000" s="198">
        <f t="shared" si="694"/>
        <v>0</v>
      </c>
      <c r="AN2000" s="199">
        <f t="shared" si="705"/>
        <v>45724</v>
      </c>
      <c r="AO2000" s="159" t="s">
        <v>692</v>
      </c>
      <c r="AP2000" s="783" t="s">
        <v>608</v>
      </c>
      <c r="AQ2000" s="782">
        <v>12071839</v>
      </c>
      <c r="AR2000" s="782">
        <v>12047514</v>
      </c>
      <c r="AS2000" s="782">
        <v>12047515</v>
      </c>
      <c r="AT2000" s="781"/>
      <c r="AU2000" s="782">
        <v>12026902</v>
      </c>
      <c r="AV2000" s="782">
        <v>12081781</v>
      </c>
      <c r="AW2000" s="782">
        <v>12026904</v>
      </c>
      <c r="AX2000" s="781"/>
      <c r="AY2000" s="783" t="s">
        <v>625</v>
      </c>
      <c r="AZ2000" s="783" t="s">
        <v>1640</v>
      </c>
      <c r="BA2000" s="783" t="s">
        <v>624</v>
      </c>
      <c r="BB2000" s="209">
        <v>23052995</v>
      </c>
    </row>
    <row r="2001" spans="1:54" ht="25" hidden="1" customHeight="1">
      <c r="B2001" s="183">
        <v>45725</v>
      </c>
      <c r="C2001" s="184"/>
      <c r="D2001" s="185">
        <f t="shared" si="701"/>
        <v>2025</v>
      </c>
      <c r="E2001" s="185" t="e">
        <f>VLOOKUP($B2001,Week!$A$1:$C$1462,2,0)</f>
        <v>#N/A</v>
      </c>
      <c r="F2001" s="186" t="str">
        <f t="shared" si="702"/>
        <v>Mar</v>
      </c>
      <c r="G2001" s="185"/>
      <c r="H2001" s="185"/>
      <c r="I2001" s="185"/>
      <c r="J2001" s="187"/>
      <c r="K2001" s="188"/>
      <c r="L2001" s="300"/>
      <c r="M2001" s="187"/>
      <c r="N2001" s="185"/>
      <c r="O2001" s="185"/>
      <c r="P2001" s="189"/>
      <c r="Q2001" s="189"/>
      <c r="R2001" s="190"/>
      <c r="S2001" s="185"/>
      <c r="T2001" s="185"/>
      <c r="U2001" s="185"/>
      <c r="V2001" s="191"/>
      <c r="W2001" s="191"/>
      <c r="X2001" s="192"/>
      <c r="Y2001" s="193"/>
      <c r="Z2001" s="194"/>
      <c r="AA2001" s="194">
        <f t="shared" si="703"/>
        <v>0</v>
      </c>
      <c r="AB2001" s="805"/>
      <c r="AC2001" s="191">
        <f t="shared" si="682"/>
        <v>0</v>
      </c>
      <c r="AD2001" s="187"/>
      <c r="AE2001" s="195"/>
      <c r="AF2001" s="195"/>
      <c r="AG2001" s="196"/>
      <c r="AH2001" s="197"/>
      <c r="AK2001" s="156" t="s">
        <v>691</v>
      </c>
      <c r="AM2001" s="198">
        <f t="shared" si="694"/>
        <v>0</v>
      </c>
      <c r="AN2001" s="199">
        <f t="shared" si="705"/>
        <v>45725</v>
      </c>
      <c r="AO2001" s="159" t="s">
        <v>692</v>
      </c>
      <c r="AP2001" s="781"/>
      <c r="AQ2001" s="782"/>
      <c r="AR2001" s="782"/>
      <c r="AS2001" s="782"/>
      <c r="AT2001" s="782"/>
      <c r="AU2001" s="781"/>
      <c r="AV2001" s="782"/>
      <c r="AW2001" s="782"/>
      <c r="AX2001" s="782"/>
      <c r="AY2001" s="782"/>
      <c r="AZ2001" s="782"/>
      <c r="BA2001" s="781"/>
      <c r="BB2001" s="209"/>
    </row>
    <row r="2002" spans="1:54" ht="25" hidden="1" customHeight="1">
      <c r="A2002" s="630" t="s">
        <v>120</v>
      </c>
      <c r="B2002" s="308">
        <v>45726</v>
      </c>
      <c r="C2002" s="309">
        <v>45749</v>
      </c>
      <c r="D2002" s="185">
        <f t="shared" si="701"/>
        <v>2025</v>
      </c>
      <c r="E2002" s="309" t="e">
        <f>VLOOKUP($B2002,Week!$A$1:$C$1462,2,0)</f>
        <v>#N/A</v>
      </c>
      <c r="F2002" s="310" t="str">
        <f t="shared" si="702"/>
        <v>Mar</v>
      </c>
      <c r="G2002" s="579" t="s">
        <v>2035</v>
      </c>
      <c r="H2002" s="311" t="s">
        <v>104</v>
      </c>
      <c r="I2002" s="311" t="s">
        <v>2772</v>
      </c>
      <c r="J2002" s="312" t="s">
        <v>105</v>
      </c>
      <c r="K2002" s="313" t="s">
        <v>85</v>
      </c>
      <c r="L2002" s="390" t="s">
        <v>2166</v>
      </c>
      <c r="M2002" s="312" t="s">
        <v>86</v>
      </c>
      <c r="N2002" s="311" t="s">
        <v>421</v>
      </c>
      <c r="O2002" s="311" t="s">
        <v>506</v>
      </c>
      <c r="P2002" s="314">
        <v>10</v>
      </c>
      <c r="Q2002" s="314">
        <v>50</v>
      </c>
      <c r="R2002" s="315">
        <v>6.8100000000000001E-3</v>
      </c>
      <c r="S2002" s="311" t="s">
        <v>76</v>
      </c>
      <c r="T2002" s="311" t="s">
        <v>112</v>
      </c>
      <c r="U2002" s="311" t="s">
        <v>89</v>
      </c>
      <c r="V2002" s="316">
        <f>100</f>
        <v>100</v>
      </c>
      <c r="W2002" s="316">
        <v>100</v>
      </c>
      <c r="X2002" s="317"/>
      <c r="Y2002" s="318">
        <f t="shared" ref="Y2002:Y2015" si="707">(W2002+X2002)-V2002</f>
        <v>0</v>
      </c>
      <c r="Z2002" s="319">
        <f t="shared" ref="Z2002:Z2037" si="708">IF(Y2002&lt;0,((V2002*P2002)-((W2002+X2002)*P2002)),0)</f>
        <v>0</v>
      </c>
      <c r="AA2002" s="319">
        <f t="shared" si="703"/>
        <v>0</v>
      </c>
      <c r="AB2002" s="815">
        <v>6</v>
      </c>
      <c r="AC2002" s="316">
        <f t="shared" ref="AC2002:AC2007" si="709">Z2002*AB2002</f>
        <v>0</v>
      </c>
      <c r="AD2002" s="381"/>
      <c r="AE2002" s="210">
        <f t="shared" ref="AE2002:AE2020" si="710">SUM(Q2002*R2002*Z2002)/1000</f>
        <v>0</v>
      </c>
      <c r="AF2002" s="210">
        <f t="shared" ref="AF2002:AF2020" si="711">AE2002/0.54</f>
        <v>0</v>
      </c>
      <c r="AG2002" s="211">
        <f t="shared" ref="AG2002:AG2014" si="712">MID(O2002,1,3)/1000</f>
        <v>0.57999999999999996</v>
      </c>
      <c r="AH2002" s="157">
        <f t="shared" ref="AH2002:AH2011" si="713">(Z2002*AG2002)/1000</f>
        <v>0</v>
      </c>
      <c r="AI2002" s="152">
        <f t="shared" ref="AI2002:AI2034" si="714">V2002*P2002</f>
        <v>1000</v>
      </c>
      <c r="AJ2002" s="156">
        <f>AI2002*Q2002</f>
        <v>50000</v>
      </c>
      <c r="AK2002" s="156" t="s">
        <v>691</v>
      </c>
      <c r="AL2002" s="156" t="s">
        <v>689</v>
      </c>
      <c r="AM2002" s="198">
        <f t="shared" si="694"/>
        <v>0</v>
      </c>
      <c r="AN2002" s="199">
        <f t="shared" si="705"/>
        <v>45726</v>
      </c>
      <c r="AO2002" s="159" t="s">
        <v>692</v>
      </c>
      <c r="AP2002" s="781" t="s">
        <v>423</v>
      </c>
      <c r="AQ2002" s="781" t="s">
        <v>422</v>
      </c>
      <c r="AR2002" s="782">
        <v>12055234</v>
      </c>
      <c r="AS2002" s="781"/>
      <c r="AT2002" s="782">
        <v>12069432</v>
      </c>
      <c r="AU2002" s="781"/>
      <c r="AV2002" s="782">
        <v>12069433</v>
      </c>
      <c r="AW2002" s="781"/>
      <c r="AX2002" s="781" t="s">
        <v>93</v>
      </c>
      <c r="AY2002" s="781"/>
      <c r="AZ2002" s="782"/>
      <c r="BA2002" s="781"/>
      <c r="BB2002" s="209">
        <v>23053184</v>
      </c>
    </row>
    <row r="2003" spans="1:54" ht="25" hidden="1" customHeight="1">
      <c r="A2003" s="630" t="s">
        <v>120</v>
      </c>
      <c r="B2003" s="308">
        <v>45726</v>
      </c>
      <c r="C2003" s="309">
        <v>45749</v>
      </c>
      <c r="D2003" s="185">
        <f t="shared" si="701"/>
        <v>2025</v>
      </c>
      <c r="E2003" s="309" t="e">
        <f>VLOOKUP($B2003,Week!$A$1:$C$1462,2,0)</f>
        <v>#N/A</v>
      </c>
      <c r="F2003" s="310" t="str">
        <f t="shared" si="702"/>
        <v>Mar</v>
      </c>
      <c r="G2003" s="579" t="s">
        <v>2036</v>
      </c>
      <c r="H2003" s="311" t="s">
        <v>104</v>
      </c>
      <c r="I2003" s="311" t="s">
        <v>2772</v>
      </c>
      <c r="J2003" s="312" t="s">
        <v>105</v>
      </c>
      <c r="K2003" s="313" t="s">
        <v>85</v>
      </c>
      <c r="L2003" s="390" t="s">
        <v>2166</v>
      </c>
      <c r="M2003" s="312" t="s">
        <v>86</v>
      </c>
      <c r="N2003" s="311" t="s">
        <v>421</v>
      </c>
      <c r="O2003" s="311" t="s">
        <v>506</v>
      </c>
      <c r="P2003" s="314">
        <v>10</v>
      </c>
      <c r="Q2003" s="314">
        <v>50</v>
      </c>
      <c r="R2003" s="315">
        <v>6.8100000000000001E-3</v>
      </c>
      <c r="S2003" s="311" t="s">
        <v>76</v>
      </c>
      <c r="T2003" s="311" t="s">
        <v>112</v>
      </c>
      <c r="U2003" s="311" t="s">
        <v>89</v>
      </c>
      <c r="V2003" s="316">
        <f>100</f>
        <v>100</v>
      </c>
      <c r="W2003" s="316">
        <f>25</f>
        <v>25</v>
      </c>
      <c r="X2003" s="317">
        <f>750/10</f>
        <v>75</v>
      </c>
      <c r="Y2003" s="318">
        <f t="shared" si="707"/>
        <v>0</v>
      </c>
      <c r="Z2003" s="319">
        <f t="shared" si="708"/>
        <v>0</v>
      </c>
      <c r="AA2003" s="319">
        <f t="shared" si="703"/>
        <v>0</v>
      </c>
      <c r="AB2003" s="815">
        <v>6</v>
      </c>
      <c r="AC2003" s="316">
        <f t="shared" si="709"/>
        <v>0</v>
      </c>
      <c r="AD2003" s="381"/>
      <c r="AE2003" s="210">
        <f t="shared" si="710"/>
        <v>0</v>
      </c>
      <c r="AF2003" s="210">
        <f t="shared" si="711"/>
        <v>0</v>
      </c>
      <c r="AG2003" s="211">
        <f t="shared" si="712"/>
        <v>0.57999999999999996</v>
      </c>
      <c r="AH2003" s="157">
        <f t="shared" si="713"/>
        <v>0</v>
      </c>
      <c r="AI2003" s="152">
        <f t="shared" si="714"/>
        <v>1000</v>
      </c>
      <c r="AJ2003" s="156">
        <f>AI2003*Q2003</f>
        <v>50000</v>
      </c>
      <c r="AK2003" s="156" t="s">
        <v>691</v>
      </c>
      <c r="AL2003" s="156" t="s">
        <v>689</v>
      </c>
      <c r="AM2003" s="198">
        <f t="shared" si="694"/>
        <v>0</v>
      </c>
      <c r="AN2003" s="199">
        <f t="shared" si="705"/>
        <v>45726</v>
      </c>
      <c r="AO2003" s="159" t="s">
        <v>692</v>
      </c>
      <c r="AP2003" s="781" t="s">
        <v>423</v>
      </c>
      <c r="AQ2003" s="781" t="s">
        <v>422</v>
      </c>
      <c r="AR2003" s="782">
        <v>12055234</v>
      </c>
      <c r="AS2003" s="781"/>
      <c r="AT2003" s="782">
        <v>12069432</v>
      </c>
      <c r="AU2003" s="781"/>
      <c r="AV2003" s="782">
        <v>12069433</v>
      </c>
      <c r="AW2003" s="781"/>
      <c r="AX2003" s="781" t="s">
        <v>93</v>
      </c>
      <c r="AY2003" s="781"/>
      <c r="AZ2003" s="782"/>
      <c r="BA2003" s="781"/>
      <c r="BB2003" s="209">
        <v>23053184</v>
      </c>
    </row>
    <row r="2004" spans="1:54" ht="25" hidden="1" customHeight="1">
      <c r="A2004" s="630" t="s">
        <v>120</v>
      </c>
      <c r="B2004" s="308">
        <v>45726</v>
      </c>
      <c r="C2004" s="309">
        <v>45766</v>
      </c>
      <c r="D2004" s="185">
        <f t="shared" si="701"/>
        <v>2025</v>
      </c>
      <c r="E2004" s="309" t="e">
        <f>VLOOKUP($B2004,Week!$A$1:$C$1462,2,0)</f>
        <v>#N/A</v>
      </c>
      <c r="F2004" s="310" t="str">
        <f t="shared" si="702"/>
        <v>Mar</v>
      </c>
      <c r="G2004" s="579" t="s">
        <v>2015</v>
      </c>
      <c r="H2004" s="311" t="s">
        <v>104</v>
      </c>
      <c r="I2004" s="311" t="s">
        <v>2772</v>
      </c>
      <c r="J2004" s="312" t="s">
        <v>105</v>
      </c>
      <c r="K2004" s="313" t="s">
        <v>85</v>
      </c>
      <c r="L2004" s="390" t="s">
        <v>2166</v>
      </c>
      <c r="M2004" s="312" t="s">
        <v>86</v>
      </c>
      <c r="N2004" s="311" t="s">
        <v>421</v>
      </c>
      <c r="O2004" s="311" t="s">
        <v>506</v>
      </c>
      <c r="P2004" s="314">
        <v>10</v>
      </c>
      <c r="Q2004" s="314">
        <v>50</v>
      </c>
      <c r="R2004" s="315">
        <v>6.8100000000000001E-3</v>
      </c>
      <c r="S2004" s="311" t="s">
        <v>76</v>
      </c>
      <c r="T2004" s="311" t="s">
        <v>112</v>
      </c>
      <c r="U2004" s="311" t="s">
        <v>89</v>
      </c>
      <c r="V2004" s="316">
        <f>100</f>
        <v>100</v>
      </c>
      <c r="W2004" s="316"/>
      <c r="X2004" s="317">
        <v>202</v>
      </c>
      <c r="Y2004" s="318">
        <f t="shared" si="707"/>
        <v>102</v>
      </c>
      <c r="Z2004" s="319">
        <f t="shared" si="708"/>
        <v>0</v>
      </c>
      <c r="AA2004" s="319">
        <f t="shared" si="703"/>
        <v>0</v>
      </c>
      <c r="AB2004" s="815">
        <v>6</v>
      </c>
      <c r="AC2004" s="316">
        <f t="shared" si="709"/>
        <v>0</v>
      </c>
      <c r="AD2004" s="381"/>
      <c r="AE2004" s="210">
        <f t="shared" si="710"/>
        <v>0</v>
      </c>
      <c r="AF2004" s="210">
        <f t="shared" si="711"/>
        <v>0</v>
      </c>
      <c r="AG2004" s="211">
        <f t="shared" si="712"/>
        <v>0.57999999999999996</v>
      </c>
      <c r="AH2004" s="157">
        <f t="shared" si="713"/>
        <v>0</v>
      </c>
      <c r="AI2004" s="152">
        <f t="shared" si="714"/>
        <v>1000</v>
      </c>
      <c r="AJ2004" s="156">
        <f>AI2004*Q2004</f>
        <v>50000</v>
      </c>
      <c r="AK2004" s="156" t="s">
        <v>691</v>
      </c>
      <c r="AL2004" s="156" t="s">
        <v>689</v>
      </c>
      <c r="AM2004" s="198">
        <f t="shared" si="694"/>
        <v>0</v>
      </c>
      <c r="AN2004" s="199">
        <f t="shared" si="705"/>
        <v>45726</v>
      </c>
      <c r="AO2004" s="159" t="s">
        <v>692</v>
      </c>
      <c r="AP2004" s="781" t="s">
        <v>423</v>
      </c>
      <c r="AQ2004" s="781" t="s">
        <v>422</v>
      </c>
      <c r="AR2004" s="782">
        <v>12055234</v>
      </c>
      <c r="AS2004" s="781"/>
      <c r="AT2004" s="782">
        <v>12069432</v>
      </c>
      <c r="AU2004" s="781"/>
      <c r="AV2004" s="782">
        <v>12069433</v>
      </c>
      <c r="AW2004" s="781"/>
      <c r="AX2004" s="781" t="s">
        <v>93</v>
      </c>
      <c r="AY2004" s="781"/>
      <c r="AZ2004" s="782"/>
      <c r="BA2004" s="781"/>
      <c r="BB2004" s="209">
        <v>23053184</v>
      </c>
    </row>
    <row r="2005" spans="1:54" ht="24.75" hidden="1" customHeight="1">
      <c r="A2005" s="630" t="s">
        <v>120</v>
      </c>
      <c r="B2005" s="308">
        <v>45726</v>
      </c>
      <c r="C2005" s="644" t="s">
        <v>1927</v>
      </c>
      <c r="D2005" s="185">
        <f t="shared" si="701"/>
        <v>2025</v>
      </c>
      <c r="E2005" s="519" t="e">
        <f>VLOOKUP($B2005,Week!$A$1:$C$1462,2,0)</f>
        <v>#N/A</v>
      </c>
      <c r="F2005" s="520" t="str">
        <f t="shared" si="702"/>
        <v>Mar</v>
      </c>
      <c r="G2005" s="644" t="s">
        <v>47</v>
      </c>
      <c r="H2005" s="311" t="s">
        <v>518</v>
      </c>
      <c r="I2005" s="311" t="s">
        <v>2702</v>
      </c>
      <c r="J2005" s="312" t="s">
        <v>70</v>
      </c>
      <c r="K2005" s="313" t="s">
        <v>85</v>
      </c>
      <c r="L2005" s="390" t="s">
        <v>2166</v>
      </c>
      <c r="M2005" s="312" t="s">
        <v>515</v>
      </c>
      <c r="N2005" s="311" t="s">
        <v>588</v>
      </c>
      <c r="O2005" s="311" t="s">
        <v>546</v>
      </c>
      <c r="P2005" s="314">
        <v>12</v>
      </c>
      <c r="Q2005" s="314">
        <v>20</v>
      </c>
      <c r="R2005" s="315">
        <v>6.1999999999999998E-3</v>
      </c>
      <c r="S2005" s="311" t="s">
        <v>352</v>
      </c>
      <c r="T2005" s="311" t="s">
        <v>56</v>
      </c>
      <c r="U2005" s="311"/>
      <c r="V2005" s="316">
        <f>500-453</f>
        <v>47</v>
      </c>
      <c r="W2005" s="316">
        <v>47</v>
      </c>
      <c r="X2005" s="317"/>
      <c r="Y2005" s="318">
        <f t="shared" si="707"/>
        <v>0</v>
      </c>
      <c r="Z2005" s="319">
        <f t="shared" si="708"/>
        <v>0</v>
      </c>
      <c r="AA2005" s="319">
        <f t="shared" si="703"/>
        <v>0</v>
      </c>
      <c r="AB2005" s="815"/>
      <c r="AC2005" s="316">
        <f t="shared" si="709"/>
        <v>0</v>
      </c>
      <c r="AD2005" s="209"/>
      <c r="AE2005" s="210">
        <f t="shared" si="710"/>
        <v>0</v>
      </c>
      <c r="AF2005" s="210">
        <f t="shared" si="711"/>
        <v>0</v>
      </c>
      <c r="AG2005" s="211">
        <f t="shared" si="712"/>
        <v>0.22</v>
      </c>
      <c r="AH2005" s="157">
        <f t="shared" si="713"/>
        <v>0</v>
      </c>
      <c r="AI2005" s="152">
        <f t="shared" si="714"/>
        <v>564</v>
      </c>
      <c r="AK2005" s="156" t="s">
        <v>691</v>
      </c>
      <c r="AL2005" s="156" t="s">
        <v>689</v>
      </c>
      <c r="AM2005" s="198">
        <f t="shared" si="694"/>
        <v>0</v>
      </c>
      <c r="AN2005" s="199">
        <f t="shared" si="705"/>
        <v>45726</v>
      </c>
      <c r="AO2005" s="159" t="s">
        <v>692</v>
      </c>
      <c r="AP2005" s="783" t="s">
        <v>613</v>
      </c>
      <c r="AQ2005" s="782"/>
      <c r="AR2005" s="782" t="s">
        <v>614</v>
      </c>
      <c r="AS2005" s="782"/>
      <c r="AT2005" s="782"/>
      <c r="AU2005" s="781"/>
      <c r="AV2005" s="782">
        <v>12083143</v>
      </c>
      <c r="AW2005" s="782"/>
      <c r="AX2005" s="782" t="s">
        <v>2187</v>
      </c>
      <c r="AY2005" s="782"/>
      <c r="AZ2005" s="782"/>
      <c r="BA2005" s="781"/>
      <c r="BB2005" s="209"/>
    </row>
    <row r="2006" spans="1:54" ht="24.75" hidden="1" customHeight="1">
      <c r="A2006" s="142" t="s">
        <v>120</v>
      </c>
      <c r="B2006" s="308">
        <v>45726</v>
      </c>
      <c r="C2006" s="644" t="s">
        <v>1928</v>
      </c>
      <c r="D2006" s="185">
        <f t="shared" si="701"/>
        <v>2025</v>
      </c>
      <c r="E2006" s="519" t="e">
        <f>VLOOKUP($B2006,Week!$A$1:$C$1462,2,0)</f>
        <v>#N/A</v>
      </c>
      <c r="F2006" s="520" t="str">
        <f t="shared" si="702"/>
        <v>Mar</v>
      </c>
      <c r="G2006" s="644" t="s">
        <v>47</v>
      </c>
      <c r="H2006" s="311" t="s">
        <v>518</v>
      </c>
      <c r="I2006" s="311" t="s">
        <v>2702</v>
      </c>
      <c r="J2006" s="312" t="s">
        <v>70</v>
      </c>
      <c r="K2006" s="313" t="s">
        <v>85</v>
      </c>
      <c r="L2006" s="390" t="s">
        <v>2166</v>
      </c>
      <c r="M2006" s="312" t="s">
        <v>515</v>
      </c>
      <c r="N2006" s="311" t="s">
        <v>588</v>
      </c>
      <c r="O2006" s="311" t="s">
        <v>546</v>
      </c>
      <c r="P2006" s="314">
        <v>12</v>
      </c>
      <c r="Q2006" s="314">
        <v>20</v>
      </c>
      <c r="R2006" s="315">
        <v>6.1999999999999998E-3</v>
      </c>
      <c r="S2006" s="311" t="s">
        <v>352</v>
      </c>
      <c r="T2006" s="311" t="s">
        <v>56</v>
      </c>
      <c r="U2006" s="311"/>
      <c r="V2006" s="316">
        <f>360</f>
        <v>360</v>
      </c>
      <c r="W2006" s="316">
        <v>360</v>
      </c>
      <c r="X2006" s="317"/>
      <c r="Y2006" s="318">
        <f t="shared" si="707"/>
        <v>0</v>
      </c>
      <c r="Z2006" s="319">
        <f t="shared" si="708"/>
        <v>0</v>
      </c>
      <c r="AA2006" s="319">
        <f t="shared" si="703"/>
        <v>0</v>
      </c>
      <c r="AB2006" s="815"/>
      <c r="AC2006" s="316">
        <f t="shared" si="709"/>
        <v>0</v>
      </c>
      <c r="AD2006" s="209"/>
      <c r="AE2006" s="210">
        <f t="shared" si="710"/>
        <v>0</v>
      </c>
      <c r="AF2006" s="210">
        <f t="shared" si="711"/>
        <v>0</v>
      </c>
      <c r="AG2006" s="211">
        <f t="shared" si="712"/>
        <v>0.22</v>
      </c>
      <c r="AH2006" s="157">
        <f t="shared" si="713"/>
        <v>0</v>
      </c>
      <c r="AI2006" s="152">
        <f t="shared" si="714"/>
        <v>4320</v>
      </c>
      <c r="AK2006" s="156" t="s">
        <v>691</v>
      </c>
      <c r="AL2006" s="156" t="s">
        <v>689</v>
      </c>
      <c r="AM2006" s="198">
        <f t="shared" si="694"/>
        <v>0</v>
      </c>
      <c r="AN2006" s="199">
        <f t="shared" si="705"/>
        <v>45726</v>
      </c>
      <c r="AO2006" s="159" t="s">
        <v>692</v>
      </c>
      <c r="AP2006" s="783" t="s">
        <v>613</v>
      </c>
      <c r="AQ2006" s="782"/>
      <c r="AR2006" s="782" t="s">
        <v>614</v>
      </c>
      <c r="AS2006" s="782"/>
      <c r="AT2006" s="782"/>
      <c r="AU2006" s="781"/>
      <c r="AV2006" s="782">
        <v>12083143</v>
      </c>
      <c r="AW2006" s="782"/>
      <c r="AX2006" s="782" t="s">
        <v>2187</v>
      </c>
      <c r="AY2006" s="782"/>
      <c r="AZ2006" s="782"/>
      <c r="BA2006" s="781"/>
      <c r="BB2006" s="209"/>
    </row>
    <row r="2007" spans="1:54" ht="25" hidden="1" customHeight="1">
      <c r="A2007" s="142" t="s">
        <v>120</v>
      </c>
      <c r="B2007" s="271">
        <v>45726</v>
      </c>
      <c r="C2007" s="272">
        <v>45740</v>
      </c>
      <c r="D2007" s="185">
        <f t="shared" si="701"/>
        <v>2025</v>
      </c>
      <c r="E2007" s="272" t="e">
        <f>VLOOKUP($B2007,Week!$A$1:$C$1462,2,0)</f>
        <v>#N/A</v>
      </c>
      <c r="F2007" s="273" t="str">
        <f t="shared" si="702"/>
        <v>Mar</v>
      </c>
      <c r="G2007" s="274" t="s">
        <v>1905</v>
      </c>
      <c r="H2007" s="274" t="s">
        <v>500</v>
      </c>
      <c r="I2007" s="274" t="s">
        <v>2772</v>
      </c>
      <c r="J2007" s="275" t="s">
        <v>285</v>
      </c>
      <c r="K2007" s="276" t="s">
        <v>153</v>
      </c>
      <c r="L2007" s="390" t="s">
        <v>2166</v>
      </c>
      <c r="M2007" s="275" t="s">
        <v>86</v>
      </c>
      <c r="N2007" s="274" t="s">
        <v>547</v>
      </c>
      <c r="O2007" s="274" t="s">
        <v>548</v>
      </c>
      <c r="P2007" s="277">
        <v>10</v>
      </c>
      <c r="Q2007" s="277">
        <v>50</v>
      </c>
      <c r="R2007" s="278">
        <v>6.8100000000000001E-3</v>
      </c>
      <c r="S2007" s="274" t="s">
        <v>76</v>
      </c>
      <c r="T2007" s="274" t="s">
        <v>56</v>
      </c>
      <c r="U2007" s="274" t="s">
        <v>89</v>
      </c>
      <c r="V2007" s="279">
        <f>2056-1434</f>
        <v>622</v>
      </c>
      <c r="W2007" s="279">
        <f>533</f>
        <v>533</v>
      </c>
      <c r="X2007" s="280">
        <v>91</v>
      </c>
      <c r="Y2007" s="281">
        <f t="shared" si="707"/>
        <v>2</v>
      </c>
      <c r="Z2007" s="282">
        <f t="shared" si="708"/>
        <v>0</v>
      </c>
      <c r="AA2007" s="282">
        <f t="shared" si="703"/>
        <v>0</v>
      </c>
      <c r="AB2007" s="812">
        <v>6</v>
      </c>
      <c r="AC2007" s="279">
        <f t="shared" si="709"/>
        <v>0</v>
      </c>
      <c r="AD2007" s="209"/>
      <c r="AE2007" s="210">
        <f t="shared" si="710"/>
        <v>0</v>
      </c>
      <c r="AF2007" s="210">
        <f t="shared" si="711"/>
        <v>0</v>
      </c>
      <c r="AG2007" s="211">
        <f t="shared" si="712"/>
        <v>0.63</v>
      </c>
      <c r="AH2007" s="157">
        <f t="shared" si="713"/>
        <v>0</v>
      </c>
      <c r="AI2007" s="152">
        <f t="shared" si="714"/>
        <v>6220</v>
      </c>
      <c r="AK2007" s="156" t="s">
        <v>691</v>
      </c>
      <c r="AL2007" s="156" t="s">
        <v>689</v>
      </c>
      <c r="AM2007" s="198">
        <f t="shared" si="694"/>
        <v>0</v>
      </c>
      <c r="AN2007" s="199">
        <f t="shared" si="705"/>
        <v>45726</v>
      </c>
      <c r="AO2007" s="159" t="s">
        <v>692</v>
      </c>
      <c r="AP2007" s="783" t="s">
        <v>620</v>
      </c>
      <c r="AQ2007" s="796" t="s">
        <v>422</v>
      </c>
      <c r="AR2007" s="782">
        <v>12055234</v>
      </c>
      <c r="AS2007" s="781"/>
      <c r="AT2007" s="782"/>
      <c r="AU2007" s="782"/>
      <c r="AV2007" s="782">
        <v>12062809</v>
      </c>
      <c r="AW2007" s="782"/>
      <c r="AX2007" s="782" t="s">
        <v>619</v>
      </c>
      <c r="AY2007" s="781"/>
      <c r="AZ2007" s="781"/>
      <c r="BA2007" s="781"/>
      <c r="BB2007" s="209">
        <v>23053184</v>
      </c>
    </row>
    <row r="2008" spans="1:54" ht="25" hidden="1" customHeight="1">
      <c r="A2008" s="529" t="s">
        <v>255</v>
      </c>
      <c r="B2008" s="383">
        <v>45727</v>
      </c>
      <c r="C2008" s="383">
        <v>45734</v>
      </c>
      <c r="D2008" s="185">
        <f t="shared" si="701"/>
        <v>2025</v>
      </c>
      <c r="E2008" s="224" t="e">
        <f>VLOOKUP($B2008,Week!$A$1:$C$1462,2,0)</f>
        <v>#N/A</v>
      </c>
      <c r="F2008" s="226" t="str">
        <f t="shared" si="702"/>
        <v>Mar</v>
      </c>
      <c r="G2008" s="225" t="s">
        <v>1950</v>
      </c>
      <c r="H2008" s="225" t="s">
        <v>225</v>
      </c>
      <c r="I2008" s="225" t="s">
        <v>2773</v>
      </c>
      <c r="J2008" s="227" t="s">
        <v>335</v>
      </c>
      <c r="K2008" s="228" t="s">
        <v>176</v>
      </c>
      <c r="L2008" s="300" t="s">
        <v>2167</v>
      </c>
      <c r="M2008" s="227" t="s">
        <v>336</v>
      </c>
      <c r="N2008" s="225" t="s">
        <v>337</v>
      </c>
      <c r="O2008" s="225" t="s">
        <v>179</v>
      </c>
      <c r="P2008" s="229">
        <v>36</v>
      </c>
      <c r="Q2008" s="229">
        <v>5</v>
      </c>
      <c r="R2008" s="230">
        <v>7.4999999999999997E-3</v>
      </c>
      <c r="S2008" s="225" t="s">
        <v>111</v>
      </c>
      <c r="T2008" s="225" t="s">
        <v>112</v>
      </c>
      <c r="U2008" s="225" t="s">
        <v>113</v>
      </c>
      <c r="V2008" s="231">
        <f>1896-1288-301</f>
        <v>307</v>
      </c>
      <c r="W2008" s="231">
        <f>1896-1288-301</f>
        <v>307</v>
      </c>
      <c r="X2008" s="232"/>
      <c r="Y2008" s="233">
        <f t="shared" si="707"/>
        <v>0</v>
      </c>
      <c r="Z2008" s="234">
        <f t="shared" si="708"/>
        <v>0</v>
      </c>
      <c r="AA2008" s="234">
        <f t="shared" si="703"/>
        <v>0</v>
      </c>
      <c r="AB2008" s="822">
        <v>9.7000000000000003E-3</v>
      </c>
      <c r="AC2008" s="231">
        <f t="shared" si="682"/>
        <v>0</v>
      </c>
      <c r="AD2008" s="307" t="s">
        <v>1622</v>
      </c>
      <c r="AE2008" s="210">
        <f t="shared" si="710"/>
        <v>0</v>
      </c>
      <c r="AF2008" s="210">
        <f t="shared" si="711"/>
        <v>0</v>
      </c>
      <c r="AG2008" s="211">
        <f t="shared" si="712"/>
        <v>0.14499999999999999</v>
      </c>
      <c r="AH2008" s="157">
        <f t="shared" si="713"/>
        <v>0</v>
      </c>
      <c r="AI2008" s="152">
        <f t="shared" si="714"/>
        <v>11052</v>
      </c>
      <c r="AK2008" s="156" t="s">
        <v>691</v>
      </c>
      <c r="AL2008" s="574" t="s">
        <v>690</v>
      </c>
      <c r="AM2008" s="198">
        <f t="shared" si="694"/>
        <v>0</v>
      </c>
      <c r="AN2008" s="199">
        <f t="shared" si="705"/>
        <v>45727</v>
      </c>
      <c r="AO2008" s="159" t="s">
        <v>692</v>
      </c>
      <c r="AP2008" s="783" t="s">
        <v>639</v>
      </c>
      <c r="AQ2008" s="782">
        <v>12071839</v>
      </c>
      <c r="AR2008" s="782">
        <v>12047514</v>
      </c>
      <c r="AS2008" s="782">
        <v>12047515</v>
      </c>
      <c r="AT2008" s="782">
        <v>12054919</v>
      </c>
      <c r="AU2008" s="781"/>
      <c r="AV2008" s="782">
        <v>12054869</v>
      </c>
      <c r="AW2008" s="782">
        <v>12024404</v>
      </c>
      <c r="AX2008" s="781"/>
      <c r="AY2008" s="782">
        <v>12054815</v>
      </c>
      <c r="AZ2008" s="781"/>
      <c r="BA2008" s="781"/>
      <c r="BB2008" s="209">
        <v>23054743</v>
      </c>
    </row>
    <row r="2009" spans="1:54" ht="25" hidden="1" customHeight="1">
      <c r="B2009" s="383">
        <v>45727</v>
      </c>
      <c r="C2009" s="383">
        <v>45734</v>
      </c>
      <c r="D2009" s="185">
        <f t="shared" si="701"/>
        <v>2025</v>
      </c>
      <c r="E2009" s="224" t="e">
        <f>VLOOKUP($B2009,Week!$A$1:$C$1462,2,0)</f>
        <v>#N/A</v>
      </c>
      <c r="F2009" s="226" t="str">
        <f t="shared" si="702"/>
        <v>Mar</v>
      </c>
      <c r="G2009" s="225" t="s">
        <v>2024</v>
      </c>
      <c r="H2009" s="225" t="s">
        <v>225</v>
      </c>
      <c r="I2009" s="225" t="s">
        <v>2773</v>
      </c>
      <c r="J2009" s="227" t="s">
        <v>335</v>
      </c>
      <c r="K2009" s="228" t="s">
        <v>176</v>
      </c>
      <c r="L2009" s="300" t="s">
        <v>2167</v>
      </c>
      <c r="M2009" s="227" t="s">
        <v>336</v>
      </c>
      <c r="N2009" s="225" t="s">
        <v>337</v>
      </c>
      <c r="O2009" s="225" t="s">
        <v>179</v>
      </c>
      <c r="P2009" s="229">
        <v>36</v>
      </c>
      <c r="Q2009" s="229">
        <v>5</v>
      </c>
      <c r="R2009" s="230">
        <v>7.4999999999999997E-3</v>
      </c>
      <c r="S2009" s="225" t="s">
        <v>111</v>
      </c>
      <c r="T2009" s="225" t="s">
        <v>112</v>
      </c>
      <c r="U2009" s="225" t="s">
        <v>113</v>
      </c>
      <c r="V2009" s="231">
        <v>1288</v>
      </c>
      <c r="W2009" s="231">
        <v>1288</v>
      </c>
      <c r="X2009" s="232"/>
      <c r="Y2009" s="233">
        <f t="shared" si="707"/>
        <v>0</v>
      </c>
      <c r="Z2009" s="234">
        <f t="shared" si="708"/>
        <v>0</v>
      </c>
      <c r="AA2009" s="234">
        <f t="shared" si="703"/>
        <v>0</v>
      </c>
      <c r="AB2009" s="822">
        <v>9.7000000000000003E-3</v>
      </c>
      <c r="AC2009" s="231">
        <f t="shared" si="682"/>
        <v>0</v>
      </c>
      <c r="AD2009" s="307" t="s">
        <v>1622</v>
      </c>
      <c r="AE2009" s="210">
        <f t="shared" si="710"/>
        <v>0</v>
      </c>
      <c r="AF2009" s="210">
        <f t="shared" si="711"/>
        <v>0</v>
      </c>
      <c r="AG2009" s="211">
        <f t="shared" si="712"/>
        <v>0.14499999999999999</v>
      </c>
      <c r="AH2009" s="157">
        <f t="shared" si="713"/>
        <v>0</v>
      </c>
      <c r="AI2009" s="152">
        <f t="shared" si="714"/>
        <v>46368</v>
      </c>
      <c r="AK2009" s="156" t="s">
        <v>691</v>
      </c>
      <c r="AL2009" s="574" t="s">
        <v>690</v>
      </c>
      <c r="AM2009" s="198">
        <f t="shared" si="694"/>
        <v>0</v>
      </c>
      <c r="AN2009" s="199">
        <f t="shared" si="705"/>
        <v>45727</v>
      </c>
      <c r="AO2009" s="159" t="s">
        <v>692</v>
      </c>
      <c r="AP2009" s="783" t="s">
        <v>639</v>
      </c>
      <c r="AQ2009" s="782">
        <v>12071839</v>
      </c>
      <c r="AR2009" s="782">
        <v>12047514</v>
      </c>
      <c r="AS2009" s="782">
        <v>12047515</v>
      </c>
      <c r="AT2009" s="782">
        <v>12054919</v>
      </c>
      <c r="AU2009" s="781"/>
      <c r="AV2009" s="782">
        <v>12054869</v>
      </c>
      <c r="AW2009" s="782">
        <v>12024404</v>
      </c>
      <c r="AX2009" s="781"/>
      <c r="AY2009" s="782">
        <v>12054815</v>
      </c>
      <c r="AZ2009" s="781"/>
      <c r="BA2009" s="781"/>
      <c r="BB2009" s="209">
        <v>23054743</v>
      </c>
    </row>
    <row r="2010" spans="1:54" ht="25" hidden="1" customHeight="1">
      <c r="B2010" s="383">
        <v>45727</v>
      </c>
      <c r="C2010" s="383">
        <v>45734</v>
      </c>
      <c r="D2010" s="185">
        <f t="shared" si="701"/>
        <v>2025</v>
      </c>
      <c r="E2010" s="224" t="e">
        <f>VLOOKUP($B2010,Week!$A$1:$C$1462,2,0)</f>
        <v>#N/A</v>
      </c>
      <c r="F2010" s="226" t="str">
        <f t="shared" si="702"/>
        <v>Mar</v>
      </c>
      <c r="G2010" s="225" t="s">
        <v>2025</v>
      </c>
      <c r="H2010" s="225" t="s">
        <v>225</v>
      </c>
      <c r="I2010" s="225" t="s">
        <v>2773</v>
      </c>
      <c r="J2010" s="227" t="s">
        <v>335</v>
      </c>
      <c r="K2010" s="228" t="s">
        <v>176</v>
      </c>
      <c r="L2010" s="300" t="s">
        <v>2167</v>
      </c>
      <c r="M2010" s="227" t="s">
        <v>336</v>
      </c>
      <c r="N2010" s="225" t="s">
        <v>337</v>
      </c>
      <c r="O2010" s="225" t="s">
        <v>179</v>
      </c>
      <c r="P2010" s="229">
        <v>36</v>
      </c>
      <c r="Q2010" s="229">
        <v>5</v>
      </c>
      <c r="R2010" s="230">
        <v>7.4999999999999997E-3</v>
      </c>
      <c r="S2010" s="225" t="s">
        <v>111</v>
      </c>
      <c r="T2010" s="225" t="s">
        <v>112</v>
      </c>
      <c r="U2010" s="225" t="s">
        <v>113</v>
      </c>
      <c r="V2010" s="231">
        <v>1288</v>
      </c>
      <c r="W2010" s="231">
        <v>1288</v>
      </c>
      <c r="X2010" s="232"/>
      <c r="Y2010" s="233">
        <f t="shared" si="707"/>
        <v>0</v>
      </c>
      <c r="Z2010" s="234">
        <f t="shared" si="708"/>
        <v>0</v>
      </c>
      <c r="AA2010" s="234">
        <f t="shared" si="703"/>
        <v>0</v>
      </c>
      <c r="AB2010" s="822">
        <v>9.7000000000000003E-3</v>
      </c>
      <c r="AC2010" s="231">
        <f t="shared" ref="AC2010:AC2020" si="715">Z2010*AB2010</f>
        <v>0</v>
      </c>
      <c r="AD2010" s="307" t="s">
        <v>1622</v>
      </c>
      <c r="AE2010" s="210">
        <f t="shared" si="710"/>
        <v>0</v>
      </c>
      <c r="AF2010" s="210">
        <f t="shared" si="711"/>
        <v>0</v>
      </c>
      <c r="AG2010" s="211">
        <f t="shared" si="712"/>
        <v>0.14499999999999999</v>
      </c>
      <c r="AH2010" s="157">
        <f t="shared" si="713"/>
        <v>0</v>
      </c>
      <c r="AI2010" s="152">
        <f t="shared" si="714"/>
        <v>46368</v>
      </c>
      <c r="AK2010" s="156" t="s">
        <v>691</v>
      </c>
      <c r="AL2010" s="574" t="s">
        <v>690</v>
      </c>
      <c r="AM2010" s="198">
        <f t="shared" si="694"/>
        <v>0</v>
      </c>
      <c r="AN2010" s="199">
        <f t="shared" si="705"/>
        <v>45727</v>
      </c>
      <c r="AO2010" s="159" t="s">
        <v>692</v>
      </c>
      <c r="AP2010" s="783" t="s">
        <v>639</v>
      </c>
      <c r="AQ2010" s="782">
        <v>12071839</v>
      </c>
      <c r="AR2010" s="782">
        <v>12047514</v>
      </c>
      <c r="AS2010" s="782">
        <v>12047515</v>
      </c>
      <c r="AT2010" s="782">
        <v>12054919</v>
      </c>
      <c r="AU2010" s="781"/>
      <c r="AV2010" s="782">
        <v>12054869</v>
      </c>
      <c r="AW2010" s="782">
        <v>12024404</v>
      </c>
      <c r="AX2010" s="781"/>
      <c r="AY2010" s="782">
        <v>12054815</v>
      </c>
      <c r="AZ2010" s="781"/>
      <c r="BA2010" s="781"/>
      <c r="BB2010" s="209">
        <v>23054743</v>
      </c>
    </row>
    <row r="2011" spans="1:54" ht="25" hidden="1" customHeight="1">
      <c r="B2011" s="383">
        <v>45727</v>
      </c>
      <c r="C2011" s="383">
        <v>45749</v>
      </c>
      <c r="D2011" s="185">
        <f t="shared" si="701"/>
        <v>2025</v>
      </c>
      <c r="E2011" s="224" t="e">
        <f>VLOOKUP($B2011,Week!$A$1:$C$1462,2,0)</f>
        <v>#N/A</v>
      </c>
      <c r="F2011" s="226" t="str">
        <f t="shared" si="702"/>
        <v>Mar</v>
      </c>
      <c r="G2011" s="225" t="s">
        <v>2021</v>
      </c>
      <c r="H2011" s="225" t="s">
        <v>225</v>
      </c>
      <c r="I2011" s="225" t="s">
        <v>2773</v>
      </c>
      <c r="J2011" s="227" t="s">
        <v>335</v>
      </c>
      <c r="K2011" s="228" t="s">
        <v>176</v>
      </c>
      <c r="L2011" s="300" t="s">
        <v>2167</v>
      </c>
      <c r="M2011" s="227" t="s">
        <v>336</v>
      </c>
      <c r="N2011" s="225" t="s">
        <v>337</v>
      </c>
      <c r="O2011" s="225" t="s">
        <v>179</v>
      </c>
      <c r="P2011" s="229">
        <v>36</v>
      </c>
      <c r="Q2011" s="229">
        <v>5</v>
      </c>
      <c r="R2011" s="230">
        <v>7.4999999999999997E-3</v>
      </c>
      <c r="S2011" s="225" t="s">
        <v>111</v>
      </c>
      <c r="T2011" s="225" t="s">
        <v>112</v>
      </c>
      <c r="U2011" s="225" t="s">
        <v>113</v>
      </c>
      <c r="V2011" s="231">
        <v>352</v>
      </c>
      <c r="W2011" s="231">
        <f>3235-608-1288-1288+301</f>
        <v>352</v>
      </c>
      <c r="X2011" s="232"/>
      <c r="Y2011" s="233">
        <f t="shared" si="707"/>
        <v>0</v>
      </c>
      <c r="Z2011" s="234">
        <f t="shared" si="708"/>
        <v>0</v>
      </c>
      <c r="AA2011" s="234">
        <f t="shared" si="703"/>
        <v>0</v>
      </c>
      <c r="AB2011" s="822">
        <v>9.7000000000000003E-3</v>
      </c>
      <c r="AC2011" s="231">
        <f t="shared" si="715"/>
        <v>0</v>
      </c>
      <c r="AD2011" s="307" t="s">
        <v>1622</v>
      </c>
      <c r="AE2011" s="210">
        <f t="shared" si="710"/>
        <v>0</v>
      </c>
      <c r="AF2011" s="210">
        <f t="shared" si="711"/>
        <v>0</v>
      </c>
      <c r="AG2011" s="211">
        <f t="shared" si="712"/>
        <v>0.14499999999999999</v>
      </c>
      <c r="AH2011" s="157">
        <f t="shared" si="713"/>
        <v>0</v>
      </c>
      <c r="AI2011" s="152">
        <f t="shared" si="714"/>
        <v>12672</v>
      </c>
      <c r="AK2011" s="156" t="s">
        <v>691</v>
      </c>
      <c r="AL2011" s="574" t="s">
        <v>690</v>
      </c>
      <c r="AM2011" s="198">
        <f t="shared" si="694"/>
        <v>0</v>
      </c>
      <c r="AN2011" s="199">
        <f t="shared" si="705"/>
        <v>45727</v>
      </c>
      <c r="AO2011" s="159" t="s">
        <v>692</v>
      </c>
      <c r="AP2011" s="783" t="s">
        <v>639</v>
      </c>
      <c r="AQ2011" s="782">
        <v>12071839</v>
      </c>
      <c r="AR2011" s="782">
        <v>12047514</v>
      </c>
      <c r="AS2011" s="782">
        <v>12047515</v>
      </c>
      <c r="AT2011" s="782">
        <v>12054919</v>
      </c>
      <c r="AU2011" s="781"/>
      <c r="AV2011" s="782">
        <v>12054869</v>
      </c>
      <c r="AW2011" s="782">
        <v>12024404</v>
      </c>
      <c r="AX2011" s="781"/>
      <c r="AY2011" s="782">
        <v>12094132</v>
      </c>
      <c r="AZ2011" s="781"/>
      <c r="BA2011" s="781"/>
      <c r="BB2011" s="209">
        <v>23054743</v>
      </c>
    </row>
    <row r="2012" spans="1:54" ht="25" hidden="1" customHeight="1">
      <c r="B2012" s="246">
        <v>45727</v>
      </c>
      <c r="C2012" s="247">
        <v>45735</v>
      </c>
      <c r="D2012" s="185">
        <f t="shared" si="701"/>
        <v>2025</v>
      </c>
      <c r="E2012" s="247" t="e">
        <f>VLOOKUP($B2012,Week!$A$1:$C$1462,2,0)</f>
        <v>#N/A</v>
      </c>
      <c r="F2012" s="248" t="str">
        <f t="shared" si="702"/>
        <v>Mar</v>
      </c>
      <c r="G2012" s="599" t="s">
        <v>2047</v>
      </c>
      <c r="H2012" s="249" t="s">
        <v>104</v>
      </c>
      <c r="I2012" s="249" t="s">
        <v>2772</v>
      </c>
      <c r="J2012" s="250" t="s">
        <v>105</v>
      </c>
      <c r="K2012" s="251" t="s">
        <v>593</v>
      </c>
      <c r="L2012" s="300" t="s">
        <v>2167</v>
      </c>
      <c r="M2012" s="250" t="s">
        <v>594</v>
      </c>
      <c r="N2012" s="249" t="s">
        <v>596</v>
      </c>
      <c r="O2012" s="249" t="s">
        <v>304</v>
      </c>
      <c r="P2012" s="252">
        <v>8</v>
      </c>
      <c r="Q2012" s="252">
        <v>5</v>
      </c>
      <c r="R2012" s="253">
        <v>6.0000000000000001E-3</v>
      </c>
      <c r="S2012" s="249" t="s">
        <v>55</v>
      </c>
      <c r="T2012" s="249" t="s">
        <v>112</v>
      </c>
      <c r="U2012" s="249" t="s">
        <v>57</v>
      </c>
      <c r="V2012" s="254">
        <f>(1563)/8</f>
        <v>195.375</v>
      </c>
      <c r="W2012" s="254"/>
      <c r="X2012" s="255">
        <f>1581/8</f>
        <v>197.625</v>
      </c>
      <c r="Y2012" s="256">
        <f t="shared" si="707"/>
        <v>2.25</v>
      </c>
      <c r="Z2012" s="257">
        <f t="shared" si="708"/>
        <v>0</v>
      </c>
      <c r="AA2012" s="257">
        <f t="shared" si="703"/>
        <v>0</v>
      </c>
      <c r="AB2012" s="810">
        <v>7.4999999999999997E-3</v>
      </c>
      <c r="AC2012" s="254">
        <f t="shared" si="715"/>
        <v>0</v>
      </c>
      <c r="AD2012" s="209"/>
      <c r="AE2012" s="210">
        <f t="shared" si="710"/>
        <v>0</v>
      </c>
      <c r="AF2012" s="210">
        <f t="shared" si="711"/>
        <v>0</v>
      </c>
      <c r="AG2012" s="211">
        <f t="shared" si="712"/>
        <v>0.25800000000000001</v>
      </c>
      <c r="AH2012" s="157">
        <v>0.26621999999999996</v>
      </c>
      <c r="AI2012" s="152">
        <f t="shared" si="714"/>
        <v>1563</v>
      </c>
      <c r="AK2012" s="156" t="s">
        <v>691</v>
      </c>
      <c r="AL2012" s="574" t="s">
        <v>690</v>
      </c>
      <c r="AM2012" s="198">
        <f t="shared" si="694"/>
        <v>0</v>
      </c>
      <c r="AN2012" s="199">
        <f t="shared" si="705"/>
        <v>45727</v>
      </c>
      <c r="AO2012" s="159" t="s">
        <v>692</v>
      </c>
      <c r="AP2012" s="781"/>
      <c r="AQ2012" s="782">
        <v>12071839</v>
      </c>
      <c r="AR2012" s="782">
        <v>12042650</v>
      </c>
      <c r="AS2012" s="782">
        <v>12042649</v>
      </c>
      <c r="AT2012" s="782">
        <v>12084100</v>
      </c>
      <c r="AU2012" s="781"/>
      <c r="AV2012" s="782">
        <v>12084001</v>
      </c>
      <c r="AW2012" s="781"/>
      <c r="AX2012" s="781"/>
      <c r="AY2012" s="781"/>
      <c r="AZ2012" s="782"/>
      <c r="BA2012" s="781"/>
      <c r="BB2012" s="209">
        <v>23053185</v>
      </c>
    </row>
    <row r="2013" spans="1:54" ht="25" hidden="1" customHeight="1">
      <c r="B2013" s="498">
        <v>45728</v>
      </c>
      <c r="C2013" s="499">
        <v>45736</v>
      </c>
      <c r="D2013" s="185">
        <f t="shared" si="701"/>
        <v>2025</v>
      </c>
      <c r="E2013" s="499" t="e">
        <f>VLOOKUP($B2013,Week!$A$1:$C$1462,2,0)</f>
        <v>#N/A</v>
      </c>
      <c r="F2013" s="500" t="str">
        <f t="shared" si="702"/>
        <v>Mar</v>
      </c>
      <c r="G2013" s="501" t="s">
        <v>2008</v>
      </c>
      <c r="H2013" s="501" t="s">
        <v>311</v>
      </c>
      <c r="I2013" s="501" t="s">
        <v>2772</v>
      </c>
      <c r="J2013" s="502" t="s">
        <v>738</v>
      </c>
      <c r="K2013" s="503" t="s">
        <v>1646</v>
      </c>
      <c r="L2013" s="300" t="s">
        <v>2167</v>
      </c>
      <c r="M2013" s="502" t="s">
        <v>654</v>
      </c>
      <c r="N2013" s="501" t="s">
        <v>726</v>
      </c>
      <c r="O2013" s="501" t="s">
        <v>655</v>
      </c>
      <c r="P2013" s="504">
        <v>24</v>
      </c>
      <c r="Q2013" s="504">
        <v>5</v>
      </c>
      <c r="R2013" s="505">
        <v>7.4999999999999997E-3</v>
      </c>
      <c r="S2013" s="501" t="s">
        <v>40</v>
      </c>
      <c r="T2013" s="501" t="s">
        <v>112</v>
      </c>
      <c r="U2013" s="506" t="s">
        <v>1894</v>
      </c>
      <c r="V2013" s="507">
        <v>924</v>
      </c>
      <c r="W2013" s="507">
        <f>8+916</f>
        <v>924</v>
      </c>
      <c r="X2013" s="508"/>
      <c r="Y2013" s="509">
        <f t="shared" si="707"/>
        <v>0</v>
      </c>
      <c r="Z2013" s="510">
        <f t="shared" si="708"/>
        <v>0</v>
      </c>
      <c r="AA2013" s="510">
        <f t="shared" si="703"/>
        <v>0</v>
      </c>
      <c r="AB2013" s="830">
        <v>3.8699999999999998E-2</v>
      </c>
      <c r="AC2013" s="507">
        <f t="shared" si="715"/>
        <v>0</v>
      </c>
      <c r="AD2013" s="209"/>
      <c r="AE2013" s="210">
        <f t="shared" si="710"/>
        <v>0</v>
      </c>
      <c r="AF2013" s="210">
        <f t="shared" si="711"/>
        <v>0</v>
      </c>
      <c r="AG2013" s="211">
        <f t="shared" si="712"/>
        <v>0.307</v>
      </c>
      <c r="AH2013" s="157">
        <f>(Z2013*AG2013)/1000</f>
        <v>0</v>
      </c>
      <c r="AI2013" s="152">
        <f t="shared" si="714"/>
        <v>22176</v>
      </c>
      <c r="AK2013" s="156" t="s">
        <v>691</v>
      </c>
      <c r="AL2013" s="212" t="s">
        <v>690</v>
      </c>
      <c r="AM2013" s="198">
        <f t="shared" si="694"/>
        <v>0</v>
      </c>
      <c r="AN2013" s="199">
        <f t="shared" si="705"/>
        <v>45728</v>
      </c>
      <c r="AO2013" s="159" t="s">
        <v>692</v>
      </c>
      <c r="AP2013" s="781" t="s">
        <v>642</v>
      </c>
      <c r="AQ2013" s="782">
        <v>12063755</v>
      </c>
      <c r="AR2013" s="782">
        <v>12061353</v>
      </c>
      <c r="AS2013" s="782">
        <v>12061354</v>
      </c>
      <c r="AT2013" s="782">
        <v>12089274</v>
      </c>
      <c r="AU2013" s="781"/>
      <c r="AV2013" s="782">
        <v>12089275</v>
      </c>
      <c r="AW2013" s="782">
        <v>12068154</v>
      </c>
      <c r="AX2013" s="782"/>
      <c r="AY2013" s="782">
        <v>12089276</v>
      </c>
      <c r="AZ2013" s="782"/>
      <c r="BA2013" s="781"/>
      <c r="BB2013" s="209">
        <v>23105470</v>
      </c>
    </row>
    <row r="2014" spans="1:54" ht="25" hidden="1" customHeight="1">
      <c r="B2014" s="398">
        <v>45728</v>
      </c>
      <c r="C2014" s="399" t="s">
        <v>1928</v>
      </c>
      <c r="D2014" s="185">
        <f t="shared" si="701"/>
        <v>2025</v>
      </c>
      <c r="E2014" s="399" t="e">
        <f>VLOOKUP($B2014,Week!$A$1:$C$1462,2,0)</f>
        <v>#N/A</v>
      </c>
      <c r="F2014" s="400" t="str">
        <f t="shared" si="702"/>
        <v>Mar</v>
      </c>
      <c r="G2014" s="401" t="s">
        <v>47</v>
      </c>
      <c r="H2014" s="401" t="s">
        <v>518</v>
      </c>
      <c r="I2014" s="401" t="s">
        <v>2702</v>
      </c>
      <c r="J2014" s="402" t="s">
        <v>70</v>
      </c>
      <c r="K2014" s="403" t="s">
        <v>1645</v>
      </c>
      <c r="L2014" s="300" t="s">
        <v>2167</v>
      </c>
      <c r="M2014" s="402" t="s">
        <v>553</v>
      </c>
      <c r="N2014" s="404" t="s">
        <v>557</v>
      </c>
      <c r="O2014" s="401" t="s">
        <v>101</v>
      </c>
      <c r="P2014" s="405">
        <v>12</v>
      </c>
      <c r="Q2014" s="405">
        <v>5</v>
      </c>
      <c r="R2014" s="406">
        <v>8.0000000000000002E-3</v>
      </c>
      <c r="S2014" s="401" t="s">
        <v>40</v>
      </c>
      <c r="T2014" s="401" t="s">
        <v>56</v>
      </c>
      <c r="U2014" s="770" t="s">
        <v>499</v>
      </c>
      <c r="V2014" s="407">
        <f>400</f>
        <v>400</v>
      </c>
      <c r="W2014" s="407">
        <f>12+1+387</f>
        <v>400</v>
      </c>
      <c r="X2014" s="408"/>
      <c r="Y2014" s="409">
        <f t="shared" si="707"/>
        <v>0</v>
      </c>
      <c r="Z2014" s="410">
        <f t="shared" si="708"/>
        <v>0</v>
      </c>
      <c r="AA2014" s="410">
        <f t="shared" si="703"/>
        <v>0</v>
      </c>
      <c r="AB2014" s="824">
        <v>1</v>
      </c>
      <c r="AC2014" s="407">
        <f t="shared" si="715"/>
        <v>0</v>
      </c>
      <c r="AD2014" s="443" t="s">
        <v>1907</v>
      </c>
      <c r="AE2014" s="210">
        <f t="shared" si="710"/>
        <v>0</v>
      </c>
      <c r="AF2014" s="210">
        <f t="shared" si="711"/>
        <v>0</v>
      </c>
      <c r="AG2014" s="211">
        <f t="shared" si="712"/>
        <v>0.115</v>
      </c>
      <c r="AH2014" s="157">
        <f>(Z2014*AG2014)/1000</f>
        <v>0</v>
      </c>
      <c r="AI2014" s="152">
        <f t="shared" si="714"/>
        <v>4800</v>
      </c>
      <c r="AK2014" s="156" t="s">
        <v>691</v>
      </c>
      <c r="AL2014" s="212" t="s">
        <v>690</v>
      </c>
      <c r="AM2014" s="198">
        <f t="shared" si="694"/>
        <v>0</v>
      </c>
      <c r="AN2014" s="199">
        <f t="shared" si="705"/>
        <v>45728</v>
      </c>
      <c r="AO2014" s="159" t="s">
        <v>692</v>
      </c>
      <c r="AP2014" s="783" t="s">
        <v>623</v>
      </c>
      <c r="AQ2014" s="782">
        <v>12071839</v>
      </c>
      <c r="AR2014" s="782">
        <v>12047514</v>
      </c>
      <c r="AS2014" s="782">
        <v>12047515</v>
      </c>
      <c r="AT2014" s="782"/>
      <c r="AU2014" s="781"/>
      <c r="AV2014" s="782">
        <v>12072447</v>
      </c>
      <c r="AW2014" s="782"/>
      <c r="AX2014" s="782"/>
      <c r="AY2014" s="782">
        <v>12064574</v>
      </c>
      <c r="AZ2014" s="782">
        <v>12064576</v>
      </c>
      <c r="BA2014" s="781"/>
      <c r="BB2014" s="209">
        <v>23052995</v>
      </c>
    </row>
    <row r="2015" spans="1:54" ht="25" hidden="1" customHeight="1">
      <c r="B2015" s="424">
        <v>45728</v>
      </c>
      <c r="C2015" s="647" t="s">
        <v>1927</v>
      </c>
      <c r="D2015" s="185">
        <f t="shared" si="701"/>
        <v>2025</v>
      </c>
      <c r="E2015" s="425" t="e">
        <f>VLOOKUP($B2015,Week!$A$1:$C$1462,2,0)</f>
        <v>#N/A</v>
      </c>
      <c r="F2015" s="426" t="str">
        <f t="shared" si="702"/>
        <v>Mar</v>
      </c>
      <c r="G2015" s="427" t="s">
        <v>47</v>
      </c>
      <c r="H2015" s="427" t="s">
        <v>518</v>
      </c>
      <c r="I2015" s="427" t="s">
        <v>2702</v>
      </c>
      <c r="J2015" s="428" t="s">
        <v>70</v>
      </c>
      <c r="K2015" s="429" t="s">
        <v>94</v>
      </c>
      <c r="L2015" s="300" t="s">
        <v>2167</v>
      </c>
      <c r="M2015" s="428" t="s">
        <v>521</v>
      </c>
      <c r="N2015" s="427" t="s">
        <v>587</v>
      </c>
      <c r="O2015" s="427" t="s">
        <v>3198</v>
      </c>
      <c r="P2015" s="430">
        <v>18</v>
      </c>
      <c r="Q2015" s="430">
        <v>5</v>
      </c>
      <c r="R2015" s="431">
        <v>8.0000000000000002E-3</v>
      </c>
      <c r="S2015" s="427" t="s">
        <v>40</v>
      </c>
      <c r="T2015" s="427" t="s">
        <v>56</v>
      </c>
      <c r="U2015" s="427" t="s">
        <v>89</v>
      </c>
      <c r="V2015" s="432">
        <f>750</f>
        <v>750</v>
      </c>
      <c r="W2015" s="432">
        <f>67+683</f>
        <v>750</v>
      </c>
      <c r="X2015" s="433"/>
      <c r="Y2015" s="434">
        <f t="shared" si="707"/>
        <v>0</v>
      </c>
      <c r="Z2015" s="435">
        <f t="shared" si="708"/>
        <v>0</v>
      </c>
      <c r="AA2015" s="435">
        <f t="shared" si="703"/>
        <v>0</v>
      </c>
      <c r="AB2015" s="826">
        <v>1</v>
      </c>
      <c r="AC2015" s="432">
        <f t="shared" si="715"/>
        <v>0</v>
      </c>
      <c r="AD2015" s="209"/>
      <c r="AE2015" s="210">
        <f t="shared" si="710"/>
        <v>0</v>
      </c>
      <c r="AF2015" s="210">
        <f t="shared" si="711"/>
        <v>0</v>
      </c>
      <c r="AG2015" s="211" t="e">
        <f>(MID(O2015,1,3)/1000)/3</f>
        <v>#VALUE!</v>
      </c>
      <c r="AH2015" s="157" t="e">
        <f>(Z2015*AG2015)/1000</f>
        <v>#VALUE!</v>
      </c>
      <c r="AI2015" s="152">
        <f t="shared" si="714"/>
        <v>13500</v>
      </c>
      <c r="AK2015" s="156" t="s">
        <v>691</v>
      </c>
      <c r="AL2015" s="212" t="s">
        <v>690</v>
      </c>
      <c r="AM2015" s="198" t="e">
        <f t="shared" si="694"/>
        <v>#VALUE!</v>
      </c>
      <c r="AN2015" s="199">
        <f t="shared" si="705"/>
        <v>45728</v>
      </c>
      <c r="AO2015" s="159" t="s">
        <v>692</v>
      </c>
      <c r="AP2015" s="783" t="s">
        <v>628</v>
      </c>
      <c r="AQ2015" s="782"/>
      <c r="AR2015" s="782"/>
      <c r="AS2015" s="782"/>
      <c r="AT2015" s="782"/>
      <c r="AU2015" s="781"/>
      <c r="AV2015" s="782">
        <v>12080791</v>
      </c>
      <c r="AW2015" s="782" t="s">
        <v>641</v>
      </c>
      <c r="AX2015" s="782" t="s">
        <v>533</v>
      </c>
      <c r="AY2015" s="782"/>
      <c r="AZ2015" s="782"/>
      <c r="BA2015" s="781"/>
      <c r="BB2015" s="209">
        <v>23053184</v>
      </c>
    </row>
    <row r="2016" spans="1:54" ht="25" hidden="1" customHeight="1">
      <c r="B2016" s="424">
        <v>45728</v>
      </c>
      <c r="C2016" s="647" t="s">
        <v>1928</v>
      </c>
      <c r="D2016" s="185">
        <f t="shared" si="701"/>
        <v>2025</v>
      </c>
      <c r="E2016" s="425" t="e">
        <f>VLOOKUP($B2016,Week!$A$1:$C$1462,2,0)</f>
        <v>#N/A</v>
      </c>
      <c r="F2016" s="426" t="str">
        <f t="shared" si="702"/>
        <v>Mar</v>
      </c>
      <c r="G2016" s="427" t="s">
        <v>47</v>
      </c>
      <c r="H2016" s="427" t="s">
        <v>518</v>
      </c>
      <c r="I2016" s="427" t="s">
        <v>2702</v>
      </c>
      <c r="J2016" s="428" t="s">
        <v>70</v>
      </c>
      <c r="K2016" s="429" t="s">
        <v>94</v>
      </c>
      <c r="L2016" s="300" t="s">
        <v>2167</v>
      </c>
      <c r="M2016" s="428" t="s">
        <v>521</v>
      </c>
      <c r="N2016" s="427" t="s">
        <v>587</v>
      </c>
      <c r="O2016" s="427" t="s">
        <v>3198</v>
      </c>
      <c r="P2016" s="430">
        <v>18</v>
      </c>
      <c r="Q2016" s="430">
        <v>5</v>
      </c>
      <c r="R2016" s="431">
        <v>8.0000000000000002E-3</v>
      </c>
      <c r="S2016" s="427" t="s">
        <v>40</v>
      </c>
      <c r="T2016" s="427" t="s">
        <v>56</v>
      </c>
      <c r="U2016" s="427" t="s">
        <v>89</v>
      </c>
      <c r="V2016" s="432">
        <f>500</f>
        <v>500</v>
      </c>
      <c r="W2016" s="432">
        <f>821-683+362</f>
        <v>500</v>
      </c>
      <c r="X2016" s="433"/>
      <c r="Y2016" s="434">
        <f t="shared" ref="Y2016:Y2022" si="716">(W2016+X2016)-V2016</f>
        <v>0</v>
      </c>
      <c r="Z2016" s="435">
        <f t="shared" si="708"/>
        <v>0</v>
      </c>
      <c r="AA2016" s="435">
        <f t="shared" si="703"/>
        <v>0</v>
      </c>
      <c r="AB2016" s="826">
        <v>1</v>
      </c>
      <c r="AC2016" s="432">
        <f t="shared" si="715"/>
        <v>0</v>
      </c>
      <c r="AD2016" s="209"/>
      <c r="AE2016" s="210">
        <f t="shared" si="710"/>
        <v>0</v>
      </c>
      <c r="AF2016" s="210">
        <f t="shared" si="711"/>
        <v>0</v>
      </c>
      <c r="AG2016" s="211" t="e">
        <f>(MID(O2016,1,3)/1000)/3</f>
        <v>#VALUE!</v>
      </c>
      <c r="AH2016" s="157" t="e">
        <f t="shared" ref="AH2016:AH2022" si="717">(Z2016*AG2016)/1000</f>
        <v>#VALUE!</v>
      </c>
      <c r="AI2016" s="152">
        <f t="shared" si="714"/>
        <v>9000</v>
      </c>
      <c r="AK2016" s="156" t="s">
        <v>691</v>
      </c>
      <c r="AL2016" s="212" t="s">
        <v>690</v>
      </c>
      <c r="AM2016" s="198" t="e">
        <f t="shared" si="694"/>
        <v>#VALUE!</v>
      </c>
      <c r="AN2016" s="199">
        <f t="shared" si="705"/>
        <v>45728</v>
      </c>
      <c r="AO2016" s="159" t="s">
        <v>692</v>
      </c>
      <c r="AP2016" s="783" t="s">
        <v>628</v>
      </c>
      <c r="AQ2016" s="782"/>
      <c r="AR2016" s="782"/>
      <c r="AS2016" s="782"/>
      <c r="AT2016" s="782"/>
      <c r="AU2016" s="781"/>
      <c r="AV2016" s="782">
        <v>12080791</v>
      </c>
      <c r="AW2016" s="782" t="s">
        <v>641</v>
      </c>
      <c r="AX2016" s="782" t="s">
        <v>533</v>
      </c>
      <c r="AY2016" s="782"/>
      <c r="AZ2016" s="782"/>
      <c r="BA2016" s="781"/>
      <c r="BB2016" s="209">
        <v>23053184</v>
      </c>
    </row>
    <row r="2017" spans="1:54" ht="25" hidden="1" customHeight="1">
      <c r="B2017" s="424">
        <v>45728</v>
      </c>
      <c r="C2017" s="647" t="s">
        <v>1928</v>
      </c>
      <c r="D2017" s="185">
        <f t="shared" si="701"/>
        <v>2025</v>
      </c>
      <c r="E2017" s="425" t="e">
        <f>VLOOKUP($B2017,Week!$A$1:$C$1462,2,0)</f>
        <v>#N/A</v>
      </c>
      <c r="F2017" s="426" t="str">
        <f t="shared" si="702"/>
        <v>Mar</v>
      </c>
      <c r="G2017" s="427" t="s">
        <v>47</v>
      </c>
      <c r="H2017" s="427" t="s">
        <v>518</v>
      </c>
      <c r="I2017" s="427" t="s">
        <v>2702</v>
      </c>
      <c r="J2017" s="428" t="s">
        <v>70</v>
      </c>
      <c r="K2017" s="429" t="s">
        <v>94</v>
      </c>
      <c r="L2017" s="300" t="s">
        <v>2167</v>
      </c>
      <c r="M2017" s="428" t="s">
        <v>521</v>
      </c>
      <c r="N2017" s="427" t="s">
        <v>587</v>
      </c>
      <c r="O2017" s="427" t="s">
        <v>3198</v>
      </c>
      <c r="P2017" s="430">
        <v>18</v>
      </c>
      <c r="Q2017" s="430">
        <v>5</v>
      </c>
      <c r="R2017" s="431">
        <v>8.0000000000000002E-3</v>
      </c>
      <c r="S2017" s="427" t="s">
        <v>40</v>
      </c>
      <c r="T2017" s="427" t="s">
        <v>56</v>
      </c>
      <c r="U2017" s="427" t="s">
        <v>89</v>
      </c>
      <c r="V2017" s="432">
        <f>960-27</f>
        <v>933</v>
      </c>
      <c r="W2017" s="432">
        <f>510-362</f>
        <v>148</v>
      </c>
      <c r="X2017" s="433">
        <f>4711/6</f>
        <v>785.16666666666663</v>
      </c>
      <c r="Y2017" s="434">
        <f t="shared" si="716"/>
        <v>0.16666666666662877</v>
      </c>
      <c r="Z2017" s="435">
        <f t="shared" si="708"/>
        <v>0</v>
      </c>
      <c r="AA2017" s="435">
        <f t="shared" si="703"/>
        <v>0</v>
      </c>
      <c r="AB2017" s="826">
        <v>1</v>
      </c>
      <c r="AC2017" s="432">
        <f t="shared" si="715"/>
        <v>0</v>
      </c>
      <c r="AD2017" s="209"/>
      <c r="AE2017" s="210">
        <f t="shared" si="710"/>
        <v>0</v>
      </c>
      <c r="AF2017" s="210">
        <f t="shared" si="711"/>
        <v>0</v>
      </c>
      <c r="AG2017" s="211" t="e">
        <f>(MID(O2017,1,3)/1000)/3</f>
        <v>#VALUE!</v>
      </c>
      <c r="AH2017" s="157" t="e">
        <f t="shared" si="717"/>
        <v>#VALUE!</v>
      </c>
      <c r="AI2017" s="152">
        <f t="shared" si="714"/>
        <v>16794</v>
      </c>
      <c r="AK2017" s="156" t="s">
        <v>691</v>
      </c>
      <c r="AL2017" s="212" t="s">
        <v>690</v>
      </c>
      <c r="AM2017" s="198" t="e">
        <f t="shared" si="694"/>
        <v>#VALUE!</v>
      </c>
      <c r="AN2017" s="199">
        <f t="shared" si="705"/>
        <v>45728</v>
      </c>
      <c r="AO2017" s="159" t="s">
        <v>692</v>
      </c>
      <c r="AP2017" s="783" t="s">
        <v>628</v>
      </c>
      <c r="AQ2017" s="782"/>
      <c r="AR2017" s="782"/>
      <c r="AS2017" s="782"/>
      <c r="AT2017" s="782"/>
      <c r="AU2017" s="781"/>
      <c r="AV2017" s="782">
        <v>12080791</v>
      </c>
      <c r="AW2017" s="782" t="s">
        <v>641</v>
      </c>
      <c r="AX2017" s="782" t="s">
        <v>533</v>
      </c>
      <c r="AY2017" s="782"/>
      <c r="AZ2017" s="782"/>
      <c r="BA2017" s="781"/>
      <c r="BB2017" s="209">
        <v>23053184</v>
      </c>
    </row>
    <row r="2018" spans="1:54" ht="25" hidden="1" customHeight="1">
      <c r="B2018" s="271">
        <v>45728</v>
      </c>
      <c r="C2018" s="272" t="s">
        <v>1928</v>
      </c>
      <c r="D2018" s="185">
        <f t="shared" si="701"/>
        <v>2025</v>
      </c>
      <c r="E2018" s="272" t="e">
        <f>VLOOKUP($B2018,Week!$A$1:$C$1462,2,0)</f>
        <v>#N/A</v>
      </c>
      <c r="F2018" s="273" t="str">
        <f t="shared" si="702"/>
        <v>Mar</v>
      </c>
      <c r="G2018" s="274" t="s">
        <v>47</v>
      </c>
      <c r="H2018" s="274" t="s">
        <v>518</v>
      </c>
      <c r="I2018" s="274" t="s">
        <v>2702</v>
      </c>
      <c r="J2018" s="275" t="s">
        <v>70</v>
      </c>
      <c r="K2018" s="276" t="s">
        <v>556</v>
      </c>
      <c r="L2018" s="300" t="s">
        <v>2167</v>
      </c>
      <c r="M2018" s="275" t="s">
        <v>520</v>
      </c>
      <c r="N2018" s="423" t="s">
        <v>586</v>
      </c>
      <c r="O2018" s="274" t="s">
        <v>585</v>
      </c>
      <c r="P2018" s="277">
        <v>12</v>
      </c>
      <c r="Q2018" s="277">
        <v>5</v>
      </c>
      <c r="R2018" s="278">
        <v>6.0000000000000001E-3</v>
      </c>
      <c r="S2018" s="274" t="s">
        <v>55</v>
      </c>
      <c r="T2018" s="274" t="s">
        <v>56</v>
      </c>
      <c r="U2018" s="274" t="s">
        <v>57</v>
      </c>
      <c r="V2018" s="279">
        <f>300</f>
        <v>300</v>
      </c>
      <c r="W2018" s="279">
        <f>522-496+1+273</f>
        <v>300</v>
      </c>
      <c r="X2018" s="280"/>
      <c r="Y2018" s="281">
        <f t="shared" si="716"/>
        <v>0</v>
      </c>
      <c r="Z2018" s="282">
        <f t="shared" si="708"/>
        <v>0</v>
      </c>
      <c r="AA2018" s="282">
        <f t="shared" si="703"/>
        <v>0</v>
      </c>
      <c r="AB2018" s="812">
        <v>7.4999999999999997E-3</v>
      </c>
      <c r="AC2018" s="279">
        <f t="shared" si="715"/>
        <v>0</v>
      </c>
      <c r="AD2018" s="209"/>
      <c r="AE2018" s="210">
        <f t="shared" si="710"/>
        <v>0</v>
      </c>
      <c r="AF2018" s="210">
        <f t="shared" si="711"/>
        <v>0</v>
      </c>
      <c r="AG2018" s="211">
        <f t="shared" ref="AG2018:AG2034" si="718">MID(O2018,1,3)/1000</f>
        <v>0.13500000000000001</v>
      </c>
      <c r="AH2018" s="157">
        <f t="shared" si="717"/>
        <v>0</v>
      </c>
      <c r="AI2018" s="152">
        <f t="shared" si="714"/>
        <v>3600</v>
      </c>
      <c r="AK2018" s="156" t="s">
        <v>691</v>
      </c>
      <c r="AL2018" s="212" t="s">
        <v>690</v>
      </c>
      <c r="AM2018" s="198">
        <f t="shared" si="694"/>
        <v>0</v>
      </c>
      <c r="AN2018" s="199">
        <f t="shared" si="705"/>
        <v>45728</v>
      </c>
      <c r="AO2018" s="159" t="s">
        <v>692</v>
      </c>
      <c r="AP2018" s="781"/>
      <c r="AQ2018" s="782">
        <v>12071839</v>
      </c>
      <c r="AR2018" s="782">
        <v>12047514</v>
      </c>
      <c r="AS2018" s="782">
        <v>12047515</v>
      </c>
      <c r="AT2018" s="782"/>
      <c r="AU2018" s="781"/>
      <c r="AV2018" s="782">
        <v>12083307</v>
      </c>
      <c r="AW2018" s="782"/>
      <c r="AX2018" s="782"/>
      <c r="AY2018" s="782">
        <v>12083305</v>
      </c>
      <c r="AZ2018" s="782">
        <v>12083306</v>
      </c>
      <c r="BA2018" s="781"/>
      <c r="BB2018" s="209">
        <v>23053185</v>
      </c>
    </row>
    <row r="2019" spans="1:54" ht="25" hidden="1" customHeight="1">
      <c r="A2019" s="529" t="s">
        <v>1937</v>
      </c>
      <c r="B2019" s="357">
        <v>45728</v>
      </c>
      <c r="C2019" s="776" t="s">
        <v>1928</v>
      </c>
      <c r="D2019" s="185">
        <f t="shared" si="701"/>
        <v>2025</v>
      </c>
      <c r="E2019" s="358" t="e">
        <f>VLOOKUP($B2019,Week!$A$1:$C$1462,2,0)</f>
        <v>#N/A</v>
      </c>
      <c r="F2019" s="360" t="str">
        <f t="shared" si="702"/>
        <v>Mar</v>
      </c>
      <c r="G2019" s="359" t="s">
        <v>47</v>
      </c>
      <c r="H2019" s="359" t="s">
        <v>518</v>
      </c>
      <c r="I2019" s="359" t="s">
        <v>2702</v>
      </c>
      <c r="J2019" s="361" t="s">
        <v>70</v>
      </c>
      <c r="K2019" s="362" t="s">
        <v>94</v>
      </c>
      <c r="L2019" s="300" t="s">
        <v>2167</v>
      </c>
      <c r="M2019" s="361" t="s">
        <v>519</v>
      </c>
      <c r="N2019" s="436" t="s">
        <v>648</v>
      </c>
      <c r="O2019" s="359" t="s">
        <v>97</v>
      </c>
      <c r="P2019" s="363">
        <v>12</v>
      </c>
      <c r="Q2019" s="363">
        <v>5</v>
      </c>
      <c r="R2019" s="364">
        <v>8.0000000000000002E-3</v>
      </c>
      <c r="S2019" s="359" t="s">
        <v>40</v>
      </c>
      <c r="T2019" s="359" t="s">
        <v>56</v>
      </c>
      <c r="U2019" s="359" t="s">
        <v>57</v>
      </c>
      <c r="V2019" s="365">
        <v>12</v>
      </c>
      <c r="W2019" s="365">
        <v>12</v>
      </c>
      <c r="X2019" s="366"/>
      <c r="Y2019" s="367">
        <f t="shared" si="716"/>
        <v>0</v>
      </c>
      <c r="Z2019" s="368">
        <f t="shared" si="708"/>
        <v>0</v>
      </c>
      <c r="AA2019" s="368">
        <f t="shared" si="703"/>
        <v>0</v>
      </c>
      <c r="AB2019" s="819">
        <v>7.4999999999999997E-3</v>
      </c>
      <c r="AC2019" s="365">
        <f t="shared" si="715"/>
        <v>0</v>
      </c>
      <c r="AD2019" s="209"/>
      <c r="AE2019" s="210">
        <f t="shared" si="710"/>
        <v>0</v>
      </c>
      <c r="AF2019" s="210">
        <f t="shared" si="711"/>
        <v>0</v>
      </c>
      <c r="AG2019" s="211">
        <f t="shared" si="718"/>
        <v>0.14499999999999999</v>
      </c>
      <c r="AH2019" s="157">
        <f t="shared" si="717"/>
        <v>0</v>
      </c>
      <c r="AI2019" s="152">
        <f t="shared" si="714"/>
        <v>144</v>
      </c>
      <c r="AK2019" s="156" t="s">
        <v>691</v>
      </c>
      <c r="AL2019" s="574" t="s">
        <v>690</v>
      </c>
      <c r="AM2019" s="198">
        <f t="shared" si="694"/>
        <v>0</v>
      </c>
      <c r="AN2019" s="199">
        <f t="shared" si="705"/>
        <v>45728</v>
      </c>
      <c r="AO2019" s="159" t="s">
        <v>692</v>
      </c>
      <c r="AP2019" s="783" t="s">
        <v>628</v>
      </c>
      <c r="AQ2019" s="782">
        <v>12071839</v>
      </c>
      <c r="AR2019" s="782">
        <v>12047514</v>
      </c>
      <c r="AS2019" s="782">
        <v>12047515</v>
      </c>
      <c r="AT2019" s="782"/>
      <c r="AU2019" s="781"/>
      <c r="AV2019" s="782">
        <v>12080617</v>
      </c>
      <c r="AW2019" s="782"/>
      <c r="AX2019" s="782"/>
      <c r="AY2019" s="782">
        <v>12080618</v>
      </c>
      <c r="AZ2019" s="782">
        <v>12080619</v>
      </c>
      <c r="BA2019" s="781"/>
      <c r="BB2019" s="209">
        <v>23053185</v>
      </c>
    </row>
    <row r="2020" spans="1:54" ht="25" hidden="1" customHeight="1">
      <c r="B2020" s="357">
        <v>45728</v>
      </c>
      <c r="C2020" s="776" t="s">
        <v>1928</v>
      </c>
      <c r="D2020" s="185">
        <f t="shared" si="701"/>
        <v>2025</v>
      </c>
      <c r="E2020" s="358" t="e">
        <f>VLOOKUP($B2020,Week!$A$1:$C$1462,2,0)</f>
        <v>#N/A</v>
      </c>
      <c r="F2020" s="360" t="str">
        <f t="shared" si="702"/>
        <v>Mar</v>
      </c>
      <c r="G2020" s="359" t="s">
        <v>47</v>
      </c>
      <c r="H2020" s="359" t="s">
        <v>518</v>
      </c>
      <c r="I2020" s="359" t="s">
        <v>2702</v>
      </c>
      <c r="J2020" s="361" t="s">
        <v>70</v>
      </c>
      <c r="K2020" s="362" t="s">
        <v>94</v>
      </c>
      <c r="L2020" s="300" t="s">
        <v>2167</v>
      </c>
      <c r="M2020" s="361" t="s">
        <v>519</v>
      </c>
      <c r="N2020" s="359" t="s">
        <v>589</v>
      </c>
      <c r="O2020" s="359" t="s">
        <v>97</v>
      </c>
      <c r="P2020" s="363">
        <v>12</v>
      </c>
      <c r="Q2020" s="363">
        <v>5</v>
      </c>
      <c r="R2020" s="364">
        <v>8.0000000000000002E-3</v>
      </c>
      <c r="S2020" s="359" t="s">
        <v>40</v>
      </c>
      <c r="T2020" s="359" t="s">
        <v>56</v>
      </c>
      <c r="U2020" s="359" t="s">
        <v>57</v>
      </c>
      <c r="V2020" s="365">
        <f>1000</f>
        <v>1000</v>
      </c>
      <c r="W2020" s="365">
        <f>3566-3486+920</f>
        <v>1000</v>
      </c>
      <c r="X2020" s="366"/>
      <c r="Y2020" s="367">
        <f t="shared" si="716"/>
        <v>0</v>
      </c>
      <c r="Z2020" s="368">
        <f t="shared" si="708"/>
        <v>0</v>
      </c>
      <c r="AA2020" s="368">
        <f t="shared" si="703"/>
        <v>0</v>
      </c>
      <c r="AB2020" s="819">
        <v>7.4999999999999997E-3</v>
      </c>
      <c r="AC2020" s="365">
        <f t="shared" si="715"/>
        <v>0</v>
      </c>
      <c r="AD2020" s="209"/>
      <c r="AE2020" s="210">
        <f t="shared" si="710"/>
        <v>0</v>
      </c>
      <c r="AF2020" s="210">
        <f t="shared" si="711"/>
        <v>0</v>
      </c>
      <c r="AG2020" s="211">
        <f t="shared" si="718"/>
        <v>0.14499999999999999</v>
      </c>
      <c r="AH2020" s="157">
        <f t="shared" si="717"/>
        <v>0</v>
      </c>
      <c r="AI2020" s="152">
        <f t="shared" si="714"/>
        <v>12000</v>
      </c>
      <c r="AK2020" s="156" t="s">
        <v>691</v>
      </c>
      <c r="AL2020" s="574" t="s">
        <v>690</v>
      </c>
      <c r="AM2020" s="198">
        <f t="shared" si="694"/>
        <v>0</v>
      </c>
      <c r="AN2020" s="199">
        <f t="shared" si="705"/>
        <v>45728</v>
      </c>
      <c r="AO2020" s="159" t="s">
        <v>692</v>
      </c>
      <c r="AP2020" s="783" t="s">
        <v>628</v>
      </c>
      <c r="AQ2020" s="782">
        <v>12071839</v>
      </c>
      <c r="AR2020" s="782">
        <v>12047514</v>
      </c>
      <c r="AS2020" s="782">
        <v>12047515</v>
      </c>
      <c r="AT2020" s="782"/>
      <c r="AU2020" s="781"/>
      <c r="AV2020" s="782">
        <v>12080617</v>
      </c>
      <c r="AW2020" s="782"/>
      <c r="AX2020" s="782"/>
      <c r="AY2020" s="782">
        <v>12080618</v>
      </c>
      <c r="AZ2020" s="782">
        <v>12080619</v>
      </c>
      <c r="BA2020" s="781"/>
      <c r="BB2020" s="209">
        <v>23053185</v>
      </c>
    </row>
    <row r="2021" spans="1:54" ht="25" hidden="1" customHeight="1">
      <c r="A2021" s="529" t="s">
        <v>1827</v>
      </c>
      <c r="B2021" s="571">
        <v>45728</v>
      </c>
      <c r="C2021" s="235">
        <v>45737</v>
      </c>
      <c r="D2021" s="185">
        <f t="shared" si="701"/>
        <v>2025</v>
      </c>
      <c r="E2021" s="235" t="e">
        <f>VLOOKUP($B2021,Week!$A$1:$C$1462,2,0)</f>
        <v>#N/A</v>
      </c>
      <c r="F2021" s="237" t="str">
        <f t="shared" si="702"/>
        <v>Mar</v>
      </c>
      <c r="G2021" s="236" t="s">
        <v>2176</v>
      </c>
      <c r="H2021" s="756" t="s">
        <v>1827</v>
      </c>
      <c r="I2021" s="756" t="s">
        <v>1827</v>
      </c>
      <c r="J2021" s="774" t="s">
        <v>1828</v>
      </c>
      <c r="K2021" s="239" t="s">
        <v>94</v>
      </c>
      <c r="L2021" s="300" t="s">
        <v>2167</v>
      </c>
      <c r="M2021" s="238" t="s">
        <v>1303</v>
      </c>
      <c r="N2021" s="236" t="s">
        <v>263</v>
      </c>
      <c r="O2021" s="236" t="s">
        <v>195</v>
      </c>
      <c r="P2021" s="240">
        <v>24</v>
      </c>
      <c r="Q2021" s="240">
        <v>5</v>
      </c>
      <c r="R2021" s="241">
        <v>8.0000000000000002E-3</v>
      </c>
      <c r="S2021" s="236" t="s">
        <v>40</v>
      </c>
      <c r="T2021" s="236" t="s">
        <v>56</v>
      </c>
      <c r="U2021" s="236" t="s">
        <v>57</v>
      </c>
      <c r="V2021" s="242">
        <f>100</f>
        <v>100</v>
      </c>
      <c r="W2021" s="242">
        <v>100</v>
      </c>
      <c r="X2021" s="243"/>
      <c r="Y2021" s="244">
        <f t="shared" si="716"/>
        <v>0</v>
      </c>
      <c r="Z2021" s="245">
        <f t="shared" si="708"/>
        <v>0</v>
      </c>
      <c r="AA2021" s="245">
        <f t="shared" si="703"/>
        <v>0</v>
      </c>
      <c r="AB2021" s="809">
        <v>7.4999999999999997E-3</v>
      </c>
      <c r="AC2021" s="242">
        <f t="shared" ref="AC2021:AC2027" si="719">Z2021*AB2021</f>
        <v>0</v>
      </c>
      <c r="AD2021" s="209"/>
      <c r="AE2021" s="210"/>
      <c r="AF2021" s="210"/>
      <c r="AG2021" s="211">
        <f t="shared" si="718"/>
        <v>0.14499999999999999</v>
      </c>
      <c r="AH2021" s="157">
        <f t="shared" si="717"/>
        <v>0</v>
      </c>
      <c r="AI2021" s="152">
        <f t="shared" si="714"/>
        <v>2400</v>
      </c>
      <c r="AK2021" s="156" t="s">
        <v>691</v>
      </c>
      <c r="AL2021" s="574" t="s">
        <v>690</v>
      </c>
      <c r="AM2021" s="198">
        <f t="shared" ref="AM2021:AM2027" si="720">AG2021*Z2021</f>
        <v>0</v>
      </c>
      <c r="AN2021" s="199">
        <f t="shared" si="705"/>
        <v>45728</v>
      </c>
      <c r="AO2021" s="159" t="s">
        <v>692</v>
      </c>
      <c r="AP2021" s="783" t="s">
        <v>628</v>
      </c>
      <c r="AQ2021" s="782">
        <v>12071839</v>
      </c>
      <c r="AR2021" s="782">
        <v>12047514</v>
      </c>
      <c r="AS2021" s="782">
        <v>12047515</v>
      </c>
      <c r="AT2021" s="782"/>
      <c r="AU2021" s="781"/>
      <c r="AV2021" s="782">
        <v>12080613</v>
      </c>
      <c r="AW2021" s="782"/>
      <c r="AX2021" s="782"/>
      <c r="AY2021" s="782">
        <v>12080614</v>
      </c>
      <c r="AZ2021" s="782">
        <v>12080616</v>
      </c>
      <c r="BA2021" s="781"/>
    </row>
    <row r="2022" spans="1:54" ht="24.65" hidden="1" customHeight="1">
      <c r="B2022" s="411">
        <v>45728</v>
      </c>
      <c r="C2022" s="645" t="s">
        <v>1928</v>
      </c>
      <c r="D2022" s="185">
        <f t="shared" si="701"/>
        <v>2025</v>
      </c>
      <c r="E2022" s="412" t="e">
        <f>VLOOKUP($B2022,Week!$A$1:$C$1462,2,0)</f>
        <v>#N/A</v>
      </c>
      <c r="F2022" s="413" t="str">
        <f t="shared" si="702"/>
        <v>Mar</v>
      </c>
      <c r="G2022" s="414" t="s">
        <v>47</v>
      </c>
      <c r="H2022" s="414" t="s">
        <v>260</v>
      </c>
      <c r="I2022" s="414" t="s">
        <v>2702</v>
      </c>
      <c r="J2022" s="415" t="s">
        <v>261</v>
      </c>
      <c r="K2022" s="416" t="s">
        <v>94</v>
      </c>
      <c r="L2022" s="300" t="s">
        <v>2167</v>
      </c>
      <c r="M2022" s="415" t="s">
        <v>1303</v>
      </c>
      <c r="N2022" s="414" t="s">
        <v>263</v>
      </c>
      <c r="O2022" s="414" t="s">
        <v>195</v>
      </c>
      <c r="P2022" s="417">
        <v>24</v>
      </c>
      <c r="Q2022" s="417">
        <v>5</v>
      </c>
      <c r="R2022" s="418">
        <v>8.0000000000000002E-3</v>
      </c>
      <c r="S2022" s="414" t="s">
        <v>40</v>
      </c>
      <c r="T2022" s="414" t="s">
        <v>56</v>
      </c>
      <c r="U2022" s="414" t="s">
        <v>57</v>
      </c>
      <c r="V2022" s="419">
        <v>1495</v>
      </c>
      <c r="W2022" s="419">
        <v>1495</v>
      </c>
      <c r="X2022" s="420"/>
      <c r="Y2022" s="421">
        <f t="shared" si="716"/>
        <v>0</v>
      </c>
      <c r="Z2022" s="422">
        <f t="shared" si="708"/>
        <v>0</v>
      </c>
      <c r="AA2022" s="422">
        <f t="shared" si="703"/>
        <v>0</v>
      </c>
      <c r="AB2022" s="825">
        <v>7.4999999999999997E-3</v>
      </c>
      <c r="AC2022" s="419">
        <f t="shared" si="719"/>
        <v>0</v>
      </c>
      <c r="AD2022" s="209"/>
      <c r="AE2022" s="210">
        <f>SUM(Q2022*R2022*Z2022)/1000</f>
        <v>0</v>
      </c>
      <c r="AF2022" s="210">
        <f>AE2022/0.54</f>
        <v>0</v>
      </c>
      <c r="AG2022" s="211">
        <f t="shared" si="718"/>
        <v>0.14499999999999999</v>
      </c>
      <c r="AH2022" s="157">
        <f t="shared" si="717"/>
        <v>0</v>
      </c>
      <c r="AI2022" s="152">
        <f t="shared" si="714"/>
        <v>35880</v>
      </c>
      <c r="AK2022" s="156" t="s">
        <v>691</v>
      </c>
      <c r="AL2022" s="212" t="s">
        <v>690</v>
      </c>
      <c r="AM2022" s="198">
        <f t="shared" si="720"/>
        <v>0</v>
      </c>
      <c r="AN2022" s="199">
        <f t="shared" si="705"/>
        <v>45728</v>
      </c>
      <c r="AO2022" s="159" t="s">
        <v>692</v>
      </c>
      <c r="AP2022" s="783" t="s">
        <v>609</v>
      </c>
      <c r="AQ2022" s="782">
        <v>12071839</v>
      </c>
      <c r="AR2022" s="782">
        <v>12047514</v>
      </c>
      <c r="AS2022" s="782">
        <v>12047515</v>
      </c>
      <c r="AT2022" s="781"/>
      <c r="AU2022" s="781"/>
      <c r="AV2022" s="782">
        <v>12080613</v>
      </c>
      <c r="AW2022" s="781"/>
      <c r="AX2022" s="781"/>
      <c r="AY2022" s="782">
        <v>12080614</v>
      </c>
      <c r="AZ2022" s="782">
        <v>12080616</v>
      </c>
      <c r="BA2022" s="781"/>
      <c r="BB2022" s="209">
        <v>23053185</v>
      </c>
    </row>
    <row r="2023" spans="1:54" ht="25" hidden="1" customHeight="1">
      <c r="B2023" s="332">
        <v>45729</v>
      </c>
      <c r="C2023" s="333" t="s">
        <v>1928</v>
      </c>
      <c r="D2023" s="185">
        <f t="shared" si="701"/>
        <v>2025</v>
      </c>
      <c r="E2023" s="333" t="e">
        <f>VLOOKUP($B2023,Week!$A$1:$C$1462,2,0)</f>
        <v>#N/A</v>
      </c>
      <c r="F2023" s="334" t="str">
        <f t="shared" si="702"/>
        <v>Mar</v>
      </c>
      <c r="G2023" s="335" t="s">
        <v>47</v>
      </c>
      <c r="H2023" s="335" t="s">
        <v>518</v>
      </c>
      <c r="I2023" s="335" t="s">
        <v>2702</v>
      </c>
      <c r="J2023" s="336" t="s">
        <v>70</v>
      </c>
      <c r="K2023" s="337" t="s">
        <v>582</v>
      </c>
      <c r="L2023" s="300" t="s">
        <v>2167</v>
      </c>
      <c r="M2023" s="336" t="s">
        <v>534</v>
      </c>
      <c r="N2023" s="530" t="s">
        <v>578</v>
      </c>
      <c r="O2023" s="335" t="s">
        <v>583</v>
      </c>
      <c r="P2023" s="338">
        <v>12</v>
      </c>
      <c r="Q2023" s="338">
        <v>3</v>
      </c>
      <c r="R2023" s="339">
        <v>6.0000000000000001E-3</v>
      </c>
      <c r="S2023" s="335" t="s">
        <v>55</v>
      </c>
      <c r="T2023" s="335" t="s">
        <v>56</v>
      </c>
      <c r="U2023" s="335" t="s">
        <v>57</v>
      </c>
      <c r="V2023" s="341">
        <f>400</f>
        <v>400</v>
      </c>
      <c r="W2023" s="341">
        <f>20+1+379</f>
        <v>400</v>
      </c>
      <c r="X2023" s="342"/>
      <c r="Y2023" s="343">
        <f t="shared" ref="Y2023:Y2037" si="721">(W2023+X2023)-V2023</f>
        <v>0</v>
      </c>
      <c r="Z2023" s="344">
        <f t="shared" si="708"/>
        <v>0</v>
      </c>
      <c r="AA2023" s="344">
        <f t="shared" si="703"/>
        <v>0</v>
      </c>
      <c r="AB2023" s="817">
        <v>7.4999999999999997E-3</v>
      </c>
      <c r="AC2023" s="341">
        <f t="shared" si="719"/>
        <v>0</v>
      </c>
      <c r="AD2023" s="209"/>
      <c r="AE2023" s="210">
        <f>SUM(Q2023*R2023*Z2023)/1000</f>
        <v>0</v>
      </c>
      <c r="AF2023" s="210">
        <f>AE2023/0.54</f>
        <v>0</v>
      </c>
      <c r="AG2023" s="211">
        <f t="shared" si="718"/>
        <v>0.191</v>
      </c>
      <c r="AH2023" s="157">
        <f t="shared" ref="AH2023:AH2037" si="722">(Z2023*AG2023)/1000</f>
        <v>0</v>
      </c>
      <c r="AI2023" s="152">
        <f t="shared" si="714"/>
        <v>4800</v>
      </c>
      <c r="AK2023" s="156" t="s">
        <v>691</v>
      </c>
      <c r="AL2023" s="212" t="s">
        <v>690</v>
      </c>
      <c r="AM2023" s="198">
        <f t="shared" si="720"/>
        <v>0</v>
      </c>
      <c r="AN2023" s="199">
        <f t="shared" si="705"/>
        <v>45729</v>
      </c>
      <c r="AO2023" s="159" t="s">
        <v>692</v>
      </c>
      <c r="AP2023" s="781"/>
      <c r="AQ2023" s="782">
        <v>12071839</v>
      </c>
      <c r="AR2023" s="782">
        <v>12042650</v>
      </c>
      <c r="AS2023" s="782">
        <v>12042649</v>
      </c>
      <c r="AT2023" s="782"/>
      <c r="AU2023" s="781"/>
      <c r="AV2023" s="782">
        <v>12083313</v>
      </c>
      <c r="AW2023" s="782"/>
      <c r="AX2023" s="782"/>
      <c r="AY2023" s="782">
        <v>12083308</v>
      </c>
      <c r="AZ2023" s="782">
        <v>12083312</v>
      </c>
      <c r="BA2023" s="781"/>
      <c r="BB2023" s="209">
        <v>23053185</v>
      </c>
    </row>
    <row r="2024" spans="1:54" ht="25" hidden="1" customHeight="1">
      <c r="B2024" s="320">
        <v>45729</v>
      </c>
      <c r="C2024" s="321" t="s">
        <v>1928</v>
      </c>
      <c r="D2024" s="185">
        <f t="shared" si="701"/>
        <v>2025</v>
      </c>
      <c r="E2024" s="321" t="e">
        <f>VLOOKUP($B2024,Week!$A$1:$C$1462,2,0)</f>
        <v>#N/A</v>
      </c>
      <c r="F2024" s="322" t="str">
        <f t="shared" si="702"/>
        <v>Mar</v>
      </c>
      <c r="G2024" s="323" t="s">
        <v>47</v>
      </c>
      <c r="H2024" s="323" t="s">
        <v>518</v>
      </c>
      <c r="I2024" s="323" t="s">
        <v>2702</v>
      </c>
      <c r="J2024" s="324" t="s">
        <v>70</v>
      </c>
      <c r="K2024" s="325" t="s">
        <v>564</v>
      </c>
      <c r="L2024" s="300" t="s">
        <v>2167</v>
      </c>
      <c r="M2024" s="324" t="s">
        <v>558</v>
      </c>
      <c r="N2024" s="323" t="s">
        <v>559</v>
      </c>
      <c r="O2024" s="323" t="s">
        <v>560</v>
      </c>
      <c r="P2024" s="326">
        <v>12</v>
      </c>
      <c r="Q2024" s="326">
        <v>3</v>
      </c>
      <c r="R2024" s="327">
        <v>8.0000000000000002E-3</v>
      </c>
      <c r="S2024" s="323" t="s">
        <v>40</v>
      </c>
      <c r="T2024" s="323" t="s">
        <v>56</v>
      </c>
      <c r="U2024" s="323" t="s">
        <v>57</v>
      </c>
      <c r="V2024" s="397">
        <f>950</f>
        <v>950</v>
      </c>
      <c r="W2024" s="328">
        <f>22+1+927</f>
        <v>950</v>
      </c>
      <c r="X2024" s="329"/>
      <c r="Y2024" s="330">
        <f t="shared" si="721"/>
        <v>0</v>
      </c>
      <c r="Z2024" s="331">
        <f t="shared" si="708"/>
        <v>0</v>
      </c>
      <c r="AA2024" s="331">
        <f t="shared" si="703"/>
        <v>0</v>
      </c>
      <c r="AB2024" s="816">
        <v>7.4999999999999997E-3</v>
      </c>
      <c r="AC2024" s="328">
        <f t="shared" si="719"/>
        <v>0</v>
      </c>
      <c r="AD2024" s="209"/>
      <c r="AE2024" s="210">
        <f>SUM(Q2024*R2024*Z2024)/1000</f>
        <v>0</v>
      </c>
      <c r="AF2024" s="210">
        <f>AE2024/0.54</f>
        <v>0</v>
      </c>
      <c r="AG2024" s="211">
        <f t="shared" si="718"/>
        <v>0.22600000000000001</v>
      </c>
      <c r="AH2024" s="157">
        <f t="shared" si="722"/>
        <v>0</v>
      </c>
      <c r="AI2024" s="152">
        <f t="shared" si="714"/>
        <v>11400</v>
      </c>
      <c r="AK2024" s="156" t="s">
        <v>691</v>
      </c>
      <c r="AL2024" s="212" t="s">
        <v>690</v>
      </c>
      <c r="AM2024" s="198">
        <f t="shared" si="720"/>
        <v>0</v>
      </c>
      <c r="AN2024" s="199">
        <f t="shared" si="705"/>
        <v>45729</v>
      </c>
      <c r="AO2024" s="159" t="s">
        <v>692</v>
      </c>
      <c r="AP2024" s="783" t="s">
        <v>623</v>
      </c>
      <c r="AQ2024" s="782">
        <v>12071839</v>
      </c>
      <c r="AR2024" s="782">
        <v>12042650</v>
      </c>
      <c r="AS2024" s="782">
        <v>12042649</v>
      </c>
      <c r="AT2024" s="782"/>
      <c r="AU2024" s="781"/>
      <c r="AV2024" s="782">
        <v>12083156</v>
      </c>
      <c r="AW2024" s="782"/>
      <c r="AX2024" s="782"/>
      <c r="AY2024" s="782">
        <v>12083147</v>
      </c>
      <c r="AZ2024" s="782">
        <v>12083148</v>
      </c>
      <c r="BA2024" s="781"/>
      <c r="BB2024" s="209">
        <v>23053185</v>
      </c>
    </row>
    <row r="2025" spans="1:54" ht="24.65" hidden="1" customHeight="1">
      <c r="B2025" s="546">
        <v>45729</v>
      </c>
      <c r="C2025" s="547" t="s">
        <v>1928</v>
      </c>
      <c r="D2025" s="185">
        <f t="shared" si="701"/>
        <v>2025</v>
      </c>
      <c r="E2025" s="547" t="e">
        <f>VLOOKUP($B2025,Week!$A$1:$C$1462,2,0)</f>
        <v>#N/A</v>
      </c>
      <c r="F2025" s="548" t="str">
        <f t="shared" si="702"/>
        <v>Mar</v>
      </c>
      <c r="G2025" s="549" t="s">
        <v>47</v>
      </c>
      <c r="H2025" s="549" t="s">
        <v>518</v>
      </c>
      <c r="I2025" s="549" t="s">
        <v>2702</v>
      </c>
      <c r="J2025" s="550" t="s">
        <v>70</v>
      </c>
      <c r="K2025" s="551" t="s">
        <v>1020</v>
      </c>
      <c r="L2025" s="300" t="s">
        <v>2167</v>
      </c>
      <c r="M2025" s="550" t="s">
        <v>746</v>
      </c>
      <c r="N2025" s="618" t="s">
        <v>751</v>
      </c>
      <c r="O2025" s="549" t="s">
        <v>747</v>
      </c>
      <c r="P2025" s="552">
        <v>12</v>
      </c>
      <c r="Q2025" s="552">
        <v>5</v>
      </c>
      <c r="R2025" s="549">
        <v>6.1999999999999998E-3</v>
      </c>
      <c r="S2025" s="549" t="s">
        <v>352</v>
      </c>
      <c r="T2025" s="549" t="s">
        <v>56</v>
      </c>
      <c r="U2025" s="549" t="s">
        <v>739</v>
      </c>
      <c r="V2025" s="554">
        <f>700</f>
        <v>700</v>
      </c>
      <c r="W2025" s="554">
        <f>1456-686-750+18+9+653</f>
        <v>700</v>
      </c>
      <c r="X2025" s="555"/>
      <c r="Y2025" s="556">
        <f t="shared" si="721"/>
        <v>0</v>
      </c>
      <c r="Z2025" s="557">
        <f t="shared" si="708"/>
        <v>0</v>
      </c>
      <c r="AA2025" s="557">
        <f t="shared" si="703"/>
        <v>0</v>
      </c>
      <c r="AB2025" s="833">
        <v>1.2999999999999999E-2</v>
      </c>
      <c r="AC2025" s="554">
        <f>Z2025*AB2025</f>
        <v>0</v>
      </c>
      <c r="AD2025" s="209"/>
      <c r="AE2025" s="210">
        <f>SUM(Q2025*R2025*Z2025)/1000</f>
        <v>0</v>
      </c>
      <c r="AF2025" s="210">
        <f>AE2025/0.54</f>
        <v>0</v>
      </c>
      <c r="AG2025" s="211">
        <f t="shared" si="718"/>
        <v>0.14299999999999999</v>
      </c>
      <c r="AH2025" s="157">
        <f t="shared" si="722"/>
        <v>0</v>
      </c>
      <c r="AI2025" s="152">
        <f t="shared" si="714"/>
        <v>8400</v>
      </c>
      <c r="AK2025" s="156" t="s">
        <v>691</v>
      </c>
      <c r="AL2025" s="212" t="s">
        <v>690</v>
      </c>
      <c r="AM2025" s="198">
        <f>AG2025*Z2025</f>
        <v>0</v>
      </c>
      <c r="AN2025" s="199">
        <f t="shared" si="705"/>
        <v>45729</v>
      </c>
      <c r="AO2025" s="159" t="s">
        <v>692</v>
      </c>
      <c r="AP2025" s="783" t="s">
        <v>609</v>
      </c>
      <c r="AQ2025" s="782">
        <v>12071839</v>
      </c>
      <c r="AR2025" s="782">
        <v>12047514</v>
      </c>
      <c r="AS2025" s="782">
        <v>12047515</v>
      </c>
      <c r="AT2025" s="781"/>
      <c r="AU2025" s="781"/>
      <c r="AV2025" s="782">
        <v>12088316</v>
      </c>
      <c r="AW2025" s="781"/>
      <c r="AX2025" s="781"/>
      <c r="AY2025" s="782">
        <v>12089871</v>
      </c>
      <c r="AZ2025" s="782">
        <v>12089872</v>
      </c>
      <c r="BA2025" s="781"/>
      <c r="BB2025" s="209">
        <v>11042803</v>
      </c>
    </row>
    <row r="2026" spans="1:54" ht="24.65" hidden="1" customHeight="1">
      <c r="A2026" s="529" t="s">
        <v>1827</v>
      </c>
      <c r="B2026" s="571">
        <v>45729</v>
      </c>
      <c r="C2026" s="235">
        <v>45737</v>
      </c>
      <c r="D2026" s="185">
        <f t="shared" si="701"/>
        <v>2025</v>
      </c>
      <c r="E2026" s="235" t="e">
        <f>VLOOKUP($B2026,Week!$A$1:$C$1462,2,0)</f>
        <v>#N/A</v>
      </c>
      <c r="F2026" s="237" t="str">
        <f t="shared" si="702"/>
        <v>Mar</v>
      </c>
      <c r="G2026" s="236" t="s">
        <v>2176</v>
      </c>
      <c r="H2026" s="756" t="s">
        <v>1827</v>
      </c>
      <c r="I2026" s="756" t="s">
        <v>1827</v>
      </c>
      <c r="J2026" s="774" t="s">
        <v>1828</v>
      </c>
      <c r="K2026" s="239" t="s">
        <v>1020</v>
      </c>
      <c r="L2026" s="300" t="s">
        <v>2167</v>
      </c>
      <c r="M2026" s="238" t="s">
        <v>741</v>
      </c>
      <c r="N2026" s="756" t="s">
        <v>740</v>
      </c>
      <c r="O2026" s="236" t="s">
        <v>742</v>
      </c>
      <c r="P2026" s="240">
        <v>24</v>
      </c>
      <c r="Q2026" s="240">
        <v>5</v>
      </c>
      <c r="R2026" s="236">
        <v>6.1999999999999998E-3</v>
      </c>
      <c r="S2026" s="236" t="s">
        <v>352</v>
      </c>
      <c r="T2026" s="236" t="s">
        <v>56</v>
      </c>
      <c r="U2026" s="236" t="s">
        <v>739</v>
      </c>
      <c r="V2026" s="242">
        <f>100</f>
        <v>100</v>
      </c>
      <c r="W2026" s="242">
        <f>100</f>
        <v>100</v>
      </c>
      <c r="X2026" s="243"/>
      <c r="Y2026" s="244">
        <f t="shared" si="721"/>
        <v>0</v>
      </c>
      <c r="Z2026" s="245">
        <f t="shared" si="708"/>
        <v>0</v>
      </c>
      <c r="AA2026" s="245">
        <f t="shared" si="703"/>
        <v>0</v>
      </c>
      <c r="AB2026" s="809">
        <v>1.2999999999999999E-2</v>
      </c>
      <c r="AC2026" s="242">
        <f>Z2026*AB2026</f>
        <v>0</v>
      </c>
      <c r="AD2026" s="209"/>
      <c r="AE2026" s="210"/>
      <c r="AF2026" s="210"/>
      <c r="AG2026" s="211">
        <f t="shared" si="718"/>
        <v>0.14299999999999999</v>
      </c>
      <c r="AH2026" s="157">
        <f t="shared" si="722"/>
        <v>0</v>
      </c>
      <c r="AI2026" s="152">
        <f t="shared" si="714"/>
        <v>2400</v>
      </c>
      <c r="AK2026" s="156" t="s">
        <v>691</v>
      </c>
      <c r="AL2026" s="212" t="s">
        <v>690</v>
      </c>
      <c r="AM2026" s="198">
        <f>AG2026*Z2026</f>
        <v>0</v>
      </c>
      <c r="AN2026" s="199">
        <f t="shared" si="705"/>
        <v>45729</v>
      </c>
      <c r="AO2026" s="159" t="s">
        <v>692</v>
      </c>
      <c r="AP2026" s="783" t="s">
        <v>609</v>
      </c>
      <c r="AQ2026" s="782">
        <v>12071839</v>
      </c>
      <c r="AR2026" s="782">
        <v>12047514</v>
      </c>
      <c r="AS2026" s="782">
        <v>12047515</v>
      </c>
      <c r="AT2026" s="781"/>
      <c r="AU2026" s="781"/>
      <c r="AV2026" s="782">
        <v>12089668</v>
      </c>
      <c r="AW2026" s="781"/>
      <c r="AX2026" s="781"/>
      <c r="AY2026" s="782">
        <v>12094240</v>
      </c>
      <c r="AZ2026" s="782">
        <v>12094239</v>
      </c>
      <c r="BA2026" s="781"/>
    </row>
    <row r="2027" spans="1:54" ht="24.65" hidden="1" customHeight="1">
      <c r="B2027" s="246">
        <v>45729</v>
      </c>
      <c r="C2027" s="247" t="s">
        <v>1928</v>
      </c>
      <c r="D2027" s="185">
        <f t="shared" si="701"/>
        <v>2025</v>
      </c>
      <c r="E2027" s="247" t="e">
        <f>VLOOKUP($B2027,Week!$A$1:$C$1462,2,0)</f>
        <v>#N/A</v>
      </c>
      <c r="F2027" s="248" t="str">
        <f t="shared" si="702"/>
        <v>Mar</v>
      </c>
      <c r="G2027" s="249" t="s">
        <v>47</v>
      </c>
      <c r="H2027" s="249" t="s">
        <v>260</v>
      </c>
      <c r="I2027" s="249" t="s">
        <v>2702</v>
      </c>
      <c r="J2027" s="250" t="s">
        <v>70</v>
      </c>
      <c r="K2027" s="251" t="s">
        <v>1020</v>
      </c>
      <c r="L2027" s="300" t="s">
        <v>2167</v>
      </c>
      <c r="M2027" s="250" t="s">
        <v>741</v>
      </c>
      <c r="N2027" s="249" t="s">
        <v>740</v>
      </c>
      <c r="O2027" s="249" t="s">
        <v>742</v>
      </c>
      <c r="P2027" s="252">
        <v>24</v>
      </c>
      <c r="Q2027" s="252">
        <v>5</v>
      </c>
      <c r="R2027" s="249">
        <v>6.1999999999999998E-3</v>
      </c>
      <c r="S2027" s="249" t="s">
        <v>352</v>
      </c>
      <c r="T2027" s="249" t="s">
        <v>56</v>
      </c>
      <c r="U2027" s="249" t="s">
        <v>739</v>
      </c>
      <c r="V2027" s="254">
        <v>4700</v>
      </c>
      <c r="W2027" s="254">
        <f>32+4668</f>
        <v>4700</v>
      </c>
      <c r="X2027" s="255"/>
      <c r="Y2027" s="256">
        <f t="shared" si="721"/>
        <v>0</v>
      </c>
      <c r="Z2027" s="257">
        <f t="shared" si="708"/>
        <v>0</v>
      </c>
      <c r="AA2027" s="257">
        <f t="shared" si="703"/>
        <v>0</v>
      </c>
      <c r="AB2027" s="810">
        <v>1.2999999999999999E-2</v>
      </c>
      <c r="AC2027" s="254">
        <f t="shared" si="719"/>
        <v>0</v>
      </c>
      <c r="AD2027" s="209"/>
      <c r="AE2027" s="210">
        <f t="shared" ref="AE2027:AE2037" si="723">SUM(Q2027*R2027*Z2027)/1000</f>
        <v>0</v>
      </c>
      <c r="AF2027" s="210">
        <f t="shared" ref="AF2027:AF2037" si="724">AE2027/0.54</f>
        <v>0</v>
      </c>
      <c r="AG2027" s="211">
        <f t="shared" si="718"/>
        <v>0.14299999999999999</v>
      </c>
      <c r="AH2027" s="157">
        <f t="shared" si="722"/>
        <v>0</v>
      </c>
      <c r="AI2027" s="152">
        <f t="shared" si="714"/>
        <v>112800</v>
      </c>
      <c r="AK2027" s="156" t="s">
        <v>691</v>
      </c>
      <c r="AL2027" s="212" t="s">
        <v>690</v>
      </c>
      <c r="AM2027" s="198">
        <f t="shared" si="720"/>
        <v>0</v>
      </c>
      <c r="AN2027" s="199">
        <f t="shared" si="705"/>
        <v>45729</v>
      </c>
      <c r="AO2027" s="159" t="s">
        <v>692</v>
      </c>
      <c r="AP2027" s="783" t="s">
        <v>609</v>
      </c>
      <c r="AQ2027" s="782">
        <v>12071839</v>
      </c>
      <c r="AR2027" s="782">
        <v>12047514</v>
      </c>
      <c r="AS2027" s="782">
        <v>12047515</v>
      </c>
      <c r="AT2027" s="781"/>
      <c r="AU2027" s="781"/>
      <c r="AV2027" s="782">
        <v>12089668</v>
      </c>
      <c r="AW2027" s="781"/>
      <c r="AX2027" s="781"/>
      <c r="AY2027" s="782" t="s">
        <v>2146</v>
      </c>
      <c r="AZ2027" s="798" t="s">
        <v>2147</v>
      </c>
      <c r="BA2027" s="781"/>
      <c r="BB2027" s="209">
        <v>11042803</v>
      </c>
    </row>
    <row r="2028" spans="1:54" ht="25" hidden="1" customHeight="1">
      <c r="B2028" s="321">
        <v>45730</v>
      </c>
      <c r="C2028" s="321">
        <v>45748</v>
      </c>
      <c r="D2028" s="185">
        <f t="shared" si="701"/>
        <v>2025</v>
      </c>
      <c r="E2028" s="321" t="e">
        <f>VLOOKUP($B2028,Week!$A$1:$C$1462,2,0)</f>
        <v>#N/A</v>
      </c>
      <c r="F2028" s="322" t="str">
        <f t="shared" si="702"/>
        <v>Mar</v>
      </c>
      <c r="G2028" s="596" t="s">
        <v>1420</v>
      </c>
      <c r="H2028" s="323" t="s">
        <v>500</v>
      </c>
      <c r="I2028" s="323" t="s">
        <v>2772</v>
      </c>
      <c r="J2028" s="324" t="s">
        <v>679</v>
      </c>
      <c r="K2028" s="325" t="s">
        <v>227</v>
      </c>
      <c r="L2028" s="300" t="s">
        <v>2167</v>
      </c>
      <c r="M2028" s="324" t="s">
        <v>1416</v>
      </c>
      <c r="N2028" s="323" t="s">
        <v>1417</v>
      </c>
      <c r="O2028" s="323" t="s">
        <v>1418</v>
      </c>
      <c r="P2028" s="326">
        <v>36</v>
      </c>
      <c r="Q2028" s="326">
        <v>4</v>
      </c>
      <c r="R2028" s="327">
        <v>7.4999999999999997E-3</v>
      </c>
      <c r="S2028" s="323" t="s">
        <v>40</v>
      </c>
      <c r="T2028" s="323" t="s">
        <v>112</v>
      </c>
      <c r="U2028" s="323" t="s">
        <v>57</v>
      </c>
      <c r="V2028" s="328">
        <v>874</v>
      </c>
      <c r="W2028" s="328">
        <f>26+769</f>
        <v>795</v>
      </c>
      <c r="X2028" s="329">
        <f>2844/36</f>
        <v>79</v>
      </c>
      <c r="Y2028" s="330">
        <f t="shared" si="721"/>
        <v>0</v>
      </c>
      <c r="Z2028" s="331">
        <f t="shared" si="708"/>
        <v>0</v>
      </c>
      <c r="AA2028" s="331">
        <f t="shared" si="703"/>
        <v>0</v>
      </c>
      <c r="AB2028" s="816">
        <v>7.4999999999999997E-3</v>
      </c>
      <c r="AC2028" s="328">
        <f t="shared" ref="AC2028:AC2044" si="725">Z2028*AB2028</f>
        <v>0</v>
      </c>
      <c r="AD2028" s="209"/>
      <c r="AE2028" s="210">
        <f t="shared" si="723"/>
        <v>0</v>
      </c>
      <c r="AF2028" s="210">
        <f t="shared" si="724"/>
        <v>0</v>
      </c>
      <c r="AG2028" s="211">
        <f t="shared" si="718"/>
        <v>0.23899999999999999</v>
      </c>
      <c r="AH2028" s="157">
        <f t="shared" si="722"/>
        <v>0</v>
      </c>
      <c r="AI2028" s="152">
        <f t="shared" si="714"/>
        <v>31464</v>
      </c>
      <c r="AK2028" s="156" t="s">
        <v>691</v>
      </c>
      <c r="AL2028" s="574" t="s">
        <v>690</v>
      </c>
      <c r="AM2028" s="198">
        <f>AG2028*Z2028</f>
        <v>0</v>
      </c>
      <c r="AN2028" s="199">
        <f t="shared" si="705"/>
        <v>45730</v>
      </c>
      <c r="AO2028" s="159" t="s">
        <v>692</v>
      </c>
      <c r="AP2028" s="783" t="s">
        <v>612</v>
      </c>
      <c r="AQ2028" s="782">
        <v>12071839</v>
      </c>
      <c r="AR2028" s="782">
        <v>12042650</v>
      </c>
      <c r="AS2028" s="782">
        <v>12042649</v>
      </c>
      <c r="AT2028" s="782">
        <v>12076724</v>
      </c>
      <c r="AU2028" s="781"/>
      <c r="AV2028" s="782">
        <v>12076723</v>
      </c>
      <c r="AW2028" s="782">
        <v>12053504</v>
      </c>
      <c r="AX2028" s="782"/>
      <c r="AY2028" s="782"/>
      <c r="AZ2028" s="782"/>
      <c r="BA2028" s="781"/>
      <c r="BB2028" s="209">
        <v>23053185</v>
      </c>
    </row>
    <row r="2029" spans="1:54" ht="25" hidden="1" customHeight="1">
      <c r="B2029" s="357">
        <v>45730</v>
      </c>
      <c r="C2029" s="358">
        <v>45733</v>
      </c>
      <c r="D2029" s="185">
        <f t="shared" si="701"/>
        <v>2025</v>
      </c>
      <c r="E2029" s="358" t="e">
        <f>VLOOKUP($B2029,Week!$A$1:$C$1462,2,0)</f>
        <v>#N/A</v>
      </c>
      <c r="F2029" s="360" t="str">
        <f t="shared" si="702"/>
        <v>Mar</v>
      </c>
      <c r="G2029" s="436" t="s">
        <v>1980</v>
      </c>
      <c r="H2029" s="359" t="s">
        <v>225</v>
      </c>
      <c r="I2029" s="359" t="s">
        <v>2773</v>
      </c>
      <c r="J2029" s="361" t="s">
        <v>650</v>
      </c>
      <c r="K2029" s="362" t="s">
        <v>593</v>
      </c>
      <c r="L2029" s="300" t="s">
        <v>2167</v>
      </c>
      <c r="M2029" s="361" t="s">
        <v>717</v>
      </c>
      <c r="N2029" s="359" t="s">
        <v>719</v>
      </c>
      <c r="O2029" s="359" t="s">
        <v>230</v>
      </c>
      <c r="P2029" s="363">
        <v>12</v>
      </c>
      <c r="Q2029" s="363">
        <v>5</v>
      </c>
      <c r="R2029" s="364">
        <v>6.0000000000000001E-3</v>
      </c>
      <c r="S2029" s="359" t="s">
        <v>55</v>
      </c>
      <c r="T2029" s="359" t="s">
        <v>112</v>
      </c>
      <c r="U2029" s="359" t="s">
        <v>57</v>
      </c>
      <c r="V2029" s="365">
        <v>42</v>
      </c>
      <c r="W2029" s="365"/>
      <c r="X2029" s="366">
        <f>504/12</f>
        <v>42</v>
      </c>
      <c r="Y2029" s="367">
        <f t="shared" si="721"/>
        <v>0</v>
      </c>
      <c r="Z2029" s="368">
        <f t="shared" si="708"/>
        <v>0</v>
      </c>
      <c r="AA2029" s="368">
        <f t="shared" si="703"/>
        <v>0</v>
      </c>
      <c r="AB2029" s="819">
        <v>7.4999999999999997E-3</v>
      </c>
      <c r="AC2029" s="365">
        <f t="shared" si="725"/>
        <v>0</v>
      </c>
      <c r="AD2029" s="307" t="s">
        <v>1622</v>
      </c>
      <c r="AE2029" s="210">
        <f t="shared" si="723"/>
        <v>0</v>
      </c>
      <c r="AF2029" s="210">
        <f t="shared" si="724"/>
        <v>0</v>
      </c>
      <c r="AG2029" s="211">
        <f t="shared" si="718"/>
        <v>0.25800000000000001</v>
      </c>
      <c r="AH2029" s="157">
        <f t="shared" si="722"/>
        <v>0</v>
      </c>
      <c r="AI2029" s="152">
        <f t="shared" si="714"/>
        <v>504</v>
      </c>
      <c r="AK2029" s="156" t="s">
        <v>691</v>
      </c>
      <c r="AL2029" s="574" t="s">
        <v>690</v>
      </c>
      <c r="AM2029" s="198">
        <f t="shared" ref="AM2029:AM2034" si="726">AG2029*Z2029</f>
        <v>0</v>
      </c>
      <c r="AN2029" s="199">
        <f t="shared" si="705"/>
        <v>45730</v>
      </c>
      <c r="AO2029" s="159" t="s">
        <v>692</v>
      </c>
      <c r="AP2029" s="783" t="s">
        <v>612</v>
      </c>
      <c r="AQ2029" s="782">
        <v>12071839</v>
      </c>
      <c r="AR2029" s="782">
        <v>12042650</v>
      </c>
      <c r="AS2029" s="782">
        <v>12042649</v>
      </c>
      <c r="AT2029" s="782">
        <v>12088423</v>
      </c>
      <c r="AU2029" s="781"/>
      <c r="AV2029" s="782">
        <v>12088422</v>
      </c>
      <c r="AW2029" s="782"/>
      <c r="AX2029" s="782"/>
      <c r="AY2029" s="782"/>
      <c r="AZ2029" s="782"/>
      <c r="BA2029" s="781"/>
      <c r="BB2029" s="209">
        <v>23053185</v>
      </c>
    </row>
    <row r="2030" spans="1:54" ht="25" hidden="1" customHeight="1">
      <c r="B2030" s="357">
        <v>45730</v>
      </c>
      <c r="C2030" s="358">
        <v>45750</v>
      </c>
      <c r="D2030" s="185">
        <f t="shared" si="701"/>
        <v>2025</v>
      </c>
      <c r="E2030" s="358" t="e">
        <f>VLOOKUP($B2030,Week!$A$1:$C$1462,2,0)</f>
        <v>#N/A</v>
      </c>
      <c r="F2030" s="360" t="str">
        <f t="shared" si="702"/>
        <v>Mar</v>
      </c>
      <c r="G2030" s="436" t="s">
        <v>2018</v>
      </c>
      <c r="H2030" s="359" t="s">
        <v>225</v>
      </c>
      <c r="I2030" s="359" t="s">
        <v>2773</v>
      </c>
      <c r="J2030" s="361" t="s">
        <v>650</v>
      </c>
      <c r="K2030" s="362" t="s">
        <v>593</v>
      </c>
      <c r="L2030" s="300" t="s">
        <v>2167</v>
      </c>
      <c r="M2030" s="361" t="s">
        <v>717</v>
      </c>
      <c r="N2030" s="359" t="s">
        <v>719</v>
      </c>
      <c r="O2030" s="359" t="s">
        <v>230</v>
      </c>
      <c r="P2030" s="363">
        <v>12</v>
      </c>
      <c r="Q2030" s="363">
        <v>5</v>
      </c>
      <c r="R2030" s="364">
        <v>6.0000000000000001E-3</v>
      </c>
      <c r="S2030" s="359" t="s">
        <v>55</v>
      </c>
      <c r="T2030" s="359" t="s">
        <v>112</v>
      </c>
      <c r="U2030" s="359" t="s">
        <v>57</v>
      </c>
      <c r="V2030" s="365">
        <v>2600</v>
      </c>
      <c r="W2030" s="365"/>
      <c r="X2030" s="366">
        <f>31200/12</f>
        <v>2600</v>
      </c>
      <c r="Y2030" s="367">
        <f t="shared" si="721"/>
        <v>0</v>
      </c>
      <c r="Z2030" s="368">
        <f t="shared" si="708"/>
        <v>0</v>
      </c>
      <c r="AA2030" s="368">
        <f t="shared" si="703"/>
        <v>0</v>
      </c>
      <c r="AB2030" s="819">
        <v>7.4999999999999997E-3</v>
      </c>
      <c r="AC2030" s="365">
        <f t="shared" si="725"/>
        <v>0</v>
      </c>
      <c r="AD2030" s="307" t="s">
        <v>1622</v>
      </c>
      <c r="AE2030" s="210">
        <f t="shared" si="723"/>
        <v>0</v>
      </c>
      <c r="AF2030" s="210">
        <f t="shared" si="724"/>
        <v>0</v>
      </c>
      <c r="AG2030" s="211">
        <f t="shared" si="718"/>
        <v>0.25800000000000001</v>
      </c>
      <c r="AH2030" s="157">
        <f t="shared" si="722"/>
        <v>0</v>
      </c>
      <c r="AI2030" s="152">
        <f t="shared" si="714"/>
        <v>31200</v>
      </c>
      <c r="AK2030" s="156" t="s">
        <v>691</v>
      </c>
      <c r="AL2030" s="574" t="s">
        <v>690</v>
      </c>
      <c r="AM2030" s="198">
        <f t="shared" si="726"/>
        <v>0</v>
      </c>
      <c r="AN2030" s="199">
        <f t="shared" si="705"/>
        <v>45730</v>
      </c>
      <c r="AO2030" s="159" t="s">
        <v>692</v>
      </c>
      <c r="AP2030" s="783" t="s">
        <v>612</v>
      </c>
      <c r="AQ2030" s="782">
        <v>12071839</v>
      </c>
      <c r="AR2030" s="782">
        <v>12042650</v>
      </c>
      <c r="AS2030" s="782">
        <v>12042649</v>
      </c>
      <c r="AT2030" s="782">
        <v>12088423</v>
      </c>
      <c r="AU2030" s="781"/>
      <c r="AV2030" s="782">
        <v>12088422</v>
      </c>
      <c r="AW2030" s="782"/>
      <c r="AX2030" s="782"/>
      <c r="AY2030" s="782"/>
      <c r="AZ2030" s="782"/>
      <c r="BA2030" s="781"/>
      <c r="BB2030" s="209">
        <v>23053185</v>
      </c>
    </row>
    <row r="2031" spans="1:54" ht="24.65" hidden="1" customHeight="1">
      <c r="B2031" s="369">
        <v>45730</v>
      </c>
      <c r="C2031" s="370">
        <v>45749</v>
      </c>
      <c r="D2031" s="185">
        <f t="shared" si="701"/>
        <v>2025</v>
      </c>
      <c r="E2031" s="370" t="e">
        <f>VLOOKUP($B2031,Week!$A$1:$C$1462,2,0)</f>
        <v>#N/A</v>
      </c>
      <c r="F2031" s="372" t="str">
        <f t="shared" si="702"/>
        <v>Mar</v>
      </c>
      <c r="G2031" s="439" t="s">
        <v>2036</v>
      </c>
      <c r="H2031" s="371" t="s">
        <v>104</v>
      </c>
      <c r="I2031" s="371" t="s">
        <v>2772</v>
      </c>
      <c r="J2031" s="373" t="s">
        <v>105</v>
      </c>
      <c r="K2031" s="374" t="s">
        <v>593</v>
      </c>
      <c r="L2031" s="300" t="s">
        <v>2167</v>
      </c>
      <c r="M2031" s="373" t="s">
        <v>594</v>
      </c>
      <c r="N2031" s="371" t="s">
        <v>687</v>
      </c>
      <c r="O2031" s="371" t="s">
        <v>415</v>
      </c>
      <c r="P2031" s="375">
        <v>24</v>
      </c>
      <c r="Q2031" s="375">
        <v>5</v>
      </c>
      <c r="R2031" s="376">
        <v>6.0000000000000001E-3</v>
      </c>
      <c r="S2031" s="371" t="s">
        <v>55</v>
      </c>
      <c r="T2031" s="371" t="s">
        <v>112</v>
      </c>
      <c r="U2031" s="371" t="s">
        <v>57</v>
      </c>
      <c r="V2031" s="377">
        <f>700-155</f>
        <v>545</v>
      </c>
      <c r="W2031" s="377">
        <f>545</f>
        <v>545</v>
      </c>
      <c r="X2031" s="378"/>
      <c r="Y2031" s="379">
        <f t="shared" si="721"/>
        <v>0</v>
      </c>
      <c r="Z2031" s="380">
        <f t="shared" si="708"/>
        <v>0</v>
      </c>
      <c r="AA2031" s="380">
        <f t="shared" si="703"/>
        <v>0</v>
      </c>
      <c r="AB2031" s="820">
        <v>7.4999999999999997E-3</v>
      </c>
      <c r="AC2031" s="377">
        <f t="shared" si="725"/>
        <v>0</v>
      </c>
      <c r="AD2031" s="486"/>
      <c r="AE2031" s="210">
        <f t="shared" si="723"/>
        <v>0</v>
      </c>
      <c r="AF2031" s="210">
        <f t="shared" si="724"/>
        <v>0</v>
      </c>
      <c r="AG2031" s="211">
        <f t="shared" si="718"/>
        <v>0.25800000000000001</v>
      </c>
      <c r="AH2031" s="157">
        <f t="shared" si="722"/>
        <v>0</v>
      </c>
      <c r="AI2031" s="152">
        <f t="shared" si="714"/>
        <v>13080</v>
      </c>
      <c r="AK2031" s="156" t="s">
        <v>691</v>
      </c>
      <c r="AL2031" s="212" t="s">
        <v>690</v>
      </c>
      <c r="AM2031" s="198">
        <f>AG2031*Z2031</f>
        <v>0</v>
      </c>
      <c r="AN2031" s="199">
        <f t="shared" si="705"/>
        <v>45730</v>
      </c>
      <c r="AO2031" s="159" t="s">
        <v>692</v>
      </c>
      <c r="AP2031" s="783"/>
      <c r="AQ2031" s="782">
        <v>12071839</v>
      </c>
      <c r="AR2031" s="782">
        <v>12042650</v>
      </c>
      <c r="AS2031" s="782">
        <v>12042649</v>
      </c>
      <c r="AT2031" s="782">
        <v>12085742</v>
      </c>
      <c r="AU2031" s="781"/>
      <c r="AV2031" s="782">
        <v>12085744</v>
      </c>
      <c r="AW2031" s="782">
        <v>12049607</v>
      </c>
      <c r="AX2031" s="782"/>
      <c r="AY2031" s="782" t="s">
        <v>2151</v>
      </c>
      <c r="AZ2031" s="782"/>
      <c r="BA2031" s="781"/>
      <c r="BB2031" s="209">
        <v>23053185</v>
      </c>
    </row>
    <row r="2032" spans="1:54" ht="24.65" hidden="1" customHeight="1">
      <c r="B2032" s="411">
        <v>45730</v>
      </c>
      <c r="C2032" s="645" t="s">
        <v>1928</v>
      </c>
      <c r="D2032" s="185">
        <f t="shared" si="701"/>
        <v>2025</v>
      </c>
      <c r="E2032" s="412" t="e">
        <f>VLOOKUP($B2032,Week!$A$1:$C$1462,2,0)</f>
        <v>#N/A</v>
      </c>
      <c r="F2032" s="413" t="str">
        <f t="shared" si="702"/>
        <v>Mar</v>
      </c>
      <c r="G2032" s="414" t="s">
        <v>47</v>
      </c>
      <c r="H2032" s="414" t="s">
        <v>260</v>
      </c>
      <c r="I2032" s="414" t="s">
        <v>2702</v>
      </c>
      <c r="J2032" s="415" t="s">
        <v>261</v>
      </c>
      <c r="K2032" s="416" t="s">
        <v>94</v>
      </c>
      <c r="L2032" s="300" t="s">
        <v>2167</v>
      </c>
      <c r="M2032" s="415" t="s">
        <v>1303</v>
      </c>
      <c r="N2032" s="414" t="s">
        <v>263</v>
      </c>
      <c r="O2032" s="414" t="s">
        <v>195</v>
      </c>
      <c r="P2032" s="417">
        <v>24</v>
      </c>
      <c r="Q2032" s="417">
        <v>5</v>
      </c>
      <c r="R2032" s="418">
        <v>8.0000000000000002E-3</v>
      </c>
      <c r="S2032" s="414" t="s">
        <v>40</v>
      </c>
      <c r="T2032" s="414" t="s">
        <v>56</v>
      </c>
      <c r="U2032" s="414" t="s">
        <v>57</v>
      </c>
      <c r="V2032" s="419">
        <v>2520</v>
      </c>
      <c r="W2032" s="419">
        <f>2520</f>
        <v>2520</v>
      </c>
      <c r="X2032" s="420"/>
      <c r="Y2032" s="421">
        <f t="shared" si="721"/>
        <v>0</v>
      </c>
      <c r="Z2032" s="422">
        <f t="shared" si="708"/>
        <v>0</v>
      </c>
      <c r="AA2032" s="422">
        <f t="shared" si="703"/>
        <v>0</v>
      </c>
      <c r="AB2032" s="825">
        <v>7.4999999999999997E-3</v>
      </c>
      <c r="AC2032" s="419">
        <f t="shared" si="725"/>
        <v>0</v>
      </c>
      <c r="AD2032" s="209"/>
      <c r="AE2032" s="210">
        <f t="shared" si="723"/>
        <v>0</v>
      </c>
      <c r="AF2032" s="210">
        <f t="shared" si="724"/>
        <v>0</v>
      </c>
      <c r="AG2032" s="211">
        <f t="shared" si="718"/>
        <v>0.14499999999999999</v>
      </c>
      <c r="AH2032" s="157">
        <f t="shared" si="722"/>
        <v>0</v>
      </c>
      <c r="AI2032" s="152">
        <f t="shared" si="714"/>
        <v>60480</v>
      </c>
      <c r="AK2032" s="156" t="s">
        <v>691</v>
      </c>
      <c r="AL2032" s="212" t="s">
        <v>690</v>
      </c>
      <c r="AM2032" s="198">
        <f>AG2032*Z2032</f>
        <v>0</v>
      </c>
      <c r="AN2032" s="199">
        <f t="shared" si="705"/>
        <v>45730</v>
      </c>
      <c r="AO2032" s="159" t="s">
        <v>692</v>
      </c>
      <c r="AP2032" s="783" t="s">
        <v>609</v>
      </c>
      <c r="AQ2032" s="782">
        <v>12071839</v>
      </c>
      <c r="AR2032" s="782">
        <v>12047514</v>
      </c>
      <c r="AS2032" s="782">
        <v>12047515</v>
      </c>
      <c r="AT2032" s="781"/>
      <c r="AU2032" s="781"/>
      <c r="AV2032" s="782">
        <v>12080613</v>
      </c>
      <c r="AW2032" s="781"/>
      <c r="AX2032" s="781"/>
      <c r="AY2032" s="782">
        <v>12080614</v>
      </c>
      <c r="AZ2032" s="782">
        <v>12080616</v>
      </c>
      <c r="BA2032" s="781"/>
      <c r="BB2032" s="209">
        <v>23053185</v>
      </c>
    </row>
    <row r="2033" spans="1:54" ht="24.75" hidden="1" customHeight="1">
      <c r="B2033" s="295">
        <v>45731</v>
      </c>
      <c r="C2033" s="771" t="s">
        <v>1927</v>
      </c>
      <c r="D2033" s="185">
        <f t="shared" si="701"/>
        <v>2025</v>
      </c>
      <c r="E2033" s="296" t="e">
        <f>VLOOKUP($B2033,Week!$A$1:$C$1462,2,0)</f>
        <v>#N/A</v>
      </c>
      <c r="F2033" s="297" t="str">
        <f t="shared" si="702"/>
        <v>Mar</v>
      </c>
      <c r="G2033" s="648" t="s">
        <v>47</v>
      </c>
      <c r="H2033" s="298" t="s">
        <v>260</v>
      </c>
      <c r="I2033" s="298" t="s">
        <v>2702</v>
      </c>
      <c r="J2033" s="307" t="s">
        <v>904</v>
      </c>
      <c r="K2033" s="300" t="s">
        <v>176</v>
      </c>
      <c r="L2033" s="300" t="s">
        <v>2167</v>
      </c>
      <c r="M2033" s="299" t="s">
        <v>262</v>
      </c>
      <c r="N2033" s="298" t="s">
        <v>350</v>
      </c>
      <c r="O2033" s="298" t="s">
        <v>351</v>
      </c>
      <c r="P2033" s="301">
        <v>24</v>
      </c>
      <c r="Q2033" s="301">
        <v>5</v>
      </c>
      <c r="R2033" s="302">
        <v>6.1999999999999998E-3</v>
      </c>
      <c r="S2033" s="298" t="s">
        <v>352</v>
      </c>
      <c r="T2033" s="298" t="s">
        <v>56</v>
      </c>
      <c r="U2033" s="298" t="s">
        <v>57</v>
      </c>
      <c r="V2033" s="303">
        <f>4000-1058-6+10</f>
        <v>2946</v>
      </c>
      <c r="W2033" s="303">
        <v>2946</v>
      </c>
      <c r="X2033" s="304"/>
      <c r="Y2033" s="305">
        <f t="shared" si="721"/>
        <v>0</v>
      </c>
      <c r="Z2033" s="306">
        <f t="shared" si="708"/>
        <v>0</v>
      </c>
      <c r="AA2033" s="306">
        <f t="shared" si="703"/>
        <v>0</v>
      </c>
      <c r="AB2033" s="814">
        <v>7.4999999999999997E-3</v>
      </c>
      <c r="AC2033" s="303">
        <f t="shared" si="725"/>
        <v>0</v>
      </c>
      <c r="AD2033" s="573"/>
      <c r="AE2033" s="210">
        <f t="shared" si="723"/>
        <v>0</v>
      </c>
      <c r="AF2033" s="210">
        <f t="shared" si="724"/>
        <v>0</v>
      </c>
      <c r="AG2033" s="211">
        <f t="shared" si="718"/>
        <v>0.13</v>
      </c>
      <c r="AH2033" s="157">
        <f t="shared" si="722"/>
        <v>0</v>
      </c>
      <c r="AI2033" s="152">
        <f t="shared" si="714"/>
        <v>70704</v>
      </c>
      <c r="AK2033" s="156" t="s">
        <v>691</v>
      </c>
      <c r="AL2033" s="574" t="s">
        <v>690</v>
      </c>
      <c r="AM2033" s="198">
        <f t="shared" si="726"/>
        <v>0</v>
      </c>
      <c r="AN2033" s="199">
        <f t="shared" si="705"/>
        <v>45731</v>
      </c>
      <c r="AO2033" s="159" t="s">
        <v>692</v>
      </c>
      <c r="AP2033" s="783" t="s">
        <v>629</v>
      </c>
      <c r="AQ2033" s="782">
        <v>12071839</v>
      </c>
      <c r="AR2033" s="782">
        <v>12078867</v>
      </c>
      <c r="AS2033" s="782">
        <v>12068233</v>
      </c>
      <c r="AT2033" s="781"/>
      <c r="AU2033" s="781"/>
      <c r="AV2033" s="782">
        <v>12062075</v>
      </c>
      <c r="AW2033" s="781"/>
      <c r="AX2033" s="781"/>
      <c r="AY2033" s="782">
        <v>12086617</v>
      </c>
      <c r="AZ2033" s="781"/>
      <c r="BA2033" s="781"/>
      <c r="BB2033" s="209">
        <v>23053185</v>
      </c>
    </row>
    <row r="2034" spans="1:54" ht="24.75" hidden="1" customHeight="1">
      <c r="B2034" s="295">
        <v>45731</v>
      </c>
      <c r="C2034" s="771" t="s">
        <v>1928</v>
      </c>
      <c r="D2034" s="185">
        <f t="shared" si="701"/>
        <v>2025</v>
      </c>
      <c r="E2034" s="296" t="e">
        <f>VLOOKUP($B2034,Week!$A$1:$C$1462,2,0)</f>
        <v>#N/A</v>
      </c>
      <c r="F2034" s="297" t="str">
        <f t="shared" si="702"/>
        <v>Mar</v>
      </c>
      <c r="G2034" s="648" t="s">
        <v>47</v>
      </c>
      <c r="H2034" s="298" t="s">
        <v>260</v>
      </c>
      <c r="I2034" s="298" t="s">
        <v>2702</v>
      </c>
      <c r="J2034" s="307" t="s">
        <v>904</v>
      </c>
      <c r="K2034" s="300" t="s">
        <v>176</v>
      </c>
      <c r="L2034" s="300" t="s">
        <v>2167</v>
      </c>
      <c r="M2034" s="299" t="s">
        <v>262</v>
      </c>
      <c r="N2034" s="298" t="s">
        <v>350</v>
      </c>
      <c r="O2034" s="298" t="s">
        <v>351</v>
      </c>
      <c r="P2034" s="301">
        <v>24</v>
      </c>
      <c r="Q2034" s="301">
        <v>5</v>
      </c>
      <c r="R2034" s="302">
        <v>6.1999999999999998E-3</v>
      </c>
      <c r="S2034" s="298" t="s">
        <v>352</v>
      </c>
      <c r="T2034" s="298" t="s">
        <v>56</v>
      </c>
      <c r="U2034" s="298" t="s">
        <v>57</v>
      </c>
      <c r="V2034" s="303">
        <v>793</v>
      </c>
      <c r="W2034" s="303">
        <f>3739-2946</f>
        <v>793</v>
      </c>
      <c r="X2034" s="304"/>
      <c r="Y2034" s="305">
        <f t="shared" si="721"/>
        <v>0</v>
      </c>
      <c r="Z2034" s="306">
        <f t="shared" si="708"/>
        <v>0</v>
      </c>
      <c r="AA2034" s="306">
        <f t="shared" si="703"/>
        <v>0</v>
      </c>
      <c r="AB2034" s="814">
        <v>7.4999999999999997E-3</v>
      </c>
      <c r="AC2034" s="303">
        <f t="shared" si="725"/>
        <v>0</v>
      </c>
      <c r="AD2034" s="573"/>
      <c r="AE2034" s="210">
        <f t="shared" si="723"/>
        <v>0</v>
      </c>
      <c r="AF2034" s="210">
        <f t="shared" si="724"/>
        <v>0</v>
      </c>
      <c r="AG2034" s="211">
        <f t="shared" si="718"/>
        <v>0.13</v>
      </c>
      <c r="AH2034" s="157">
        <f t="shared" si="722"/>
        <v>0</v>
      </c>
      <c r="AI2034" s="152">
        <f t="shared" si="714"/>
        <v>19032</v>
      </c>
      <c r="AK2034" s="156" t="s">
        <v>691</v>
      </c>
      <c r="AL2034" s="574" t="s">
        <v>690</v>
      </c>
      <c r="AM2034" s="198">
        <f t="shared" si="726"/>
        <v>0</v>
      </c>
      <c r="AN2034" s="199">
        <f t="shared" si="705"/>
        <v>45731</v>
      </c>
      <c r="AO2034" s="159" t="s">
        <v>692</v>
      </c>
      <c r="AP2034" s="783" t="s">
        <v>629</v>
      </c>
      <c r="AQ2034" s="782">
        <v>12071839</v>
      </c>
      <c r="AR2034" s="782">
        <v>12078867</v>
      </c>
      <c r="AS2034" s="782">
        <v>12068233</v>
      </c>
      <c r="AT2034" s="781"/>
      <c r="AU2034" s="781"/>
      <c r="AV2034" s="782">
        <v>12062075</v>
      </c>
      <c r="AW2034" s="781"/>
      <c r="AX2034" s="781"/>
      <c r="AY2034" s="782">
        <v>12086617</v>
      </c>
      <c r="AZ2034" s="781"/>
      <c r="BA2034" s="781"/>
      <c r="BB2034" s="209">
        <v>23053185</v>
      </c>
    </row>
    <row r="2035" spans="1:54" ht="24.65" hidden="1" customHeight="1">
      <c r="B2035" s="466">
        <v>45731</v>
      </c>
      <c r="C2035" s="467">
        <v>45749</v>
      </c>
      <c r="D2035" s="185">
        <f t="shared" si="701"/>
        <v>2025</v>
      </c>
      <c r="E2035" s="467" t="e">
        <f>VLOOKUP($B2035,Week!$A$1:$C$1462,2,0)</f>
        <v>#N/A</v>
      </c>
      <c r="F2035" s="469" t="str">
        <f t="shared" si="702"/>
        <v>Mar</v>
      </c>
      <c r="G2035" s="641" t="s">
        <v>2035</v>
      </c>
      <c r="H2035" s="482" t="s">
        <v>104</v>
      </c>
      <c r="I2035" s="482" t="s">
        <v>2772</v>
      </c>
      <c r="J2035" s="483" t="s">
        <v>105</v>
      </c>
      <c r="K2035" s="484" t="s">
        <v>51</v>
      </c>
      <c r="L2035" s="300" t="s">
        <v>2167</v>
      </c>
      <c r="M2035" s="483" t="s">
        <v>674</v>
      </c>
      <c r="N2035" s="482" t="s">
        <v>677</v>
      </c>
      <c r="O2035" s="482" t="s">
        <v>501</v>
      </c>
      <c r="P2035" s="473">
        <v>36</v>
      </c>
      <c r="Q2035" s="473">
        <v>5</v>
      </c>
      <c r="R2035" s="474">
        <v>6.0000000000000001E-3</v>
      </c>
      <c r="S2035" s="482" t="s">
        <v>55</v>
      </c>
      <c r="T2035" s="482" t="s">
        <v>112</v>
      </c>
      <c r="U2035" s="482" t="s">
        <v>57</v>
      </c>
      <c r="V2035" s="475">
        <f>300</f>
        <v>300</v>
      </c>
      <c r="W2035" s="475">
        <f>5+295</f>
        <v>300</v>
      </c>
      <c r="X2035" s="476"/>
      <c r="Y2035" s="477">
        <f t="shared" si="721"/>
        <v>0</v>
      </c>
      <c r="Z2035" s="478">
        <f t="shared" si="708"/>
        <v>0</v>
      </c>
      <c r="AA2035" s="478">
        <f t="shared" si="703"/>
        <v>0</v>
      </c>
      <c r="AB2035" s="828">
        <v>7.4999999999999997E-3</v>
      </c>
      <c r="AC2035" s="475">
        <f t="shared" si="725"/>
        <v>0</v>
      </c>
      <c r="AD2035" s="486"/>
      <c r="AE2035" s="210">
        <f t="shared" si="723"/>
        <v>0</v>
      </c>
      <c r="AF2035" s="210">
        <f t="shared" si="724"/>
        <v>0</v>
      </c>
      <c r="AG2035" s="211">
        <v>0.14499999999999999</v>
      </c>
      <c r="AH2035" s="157">
        <f t="shared" si="722"/>
        <v>0</v>
      </c>
      <c r="AI2035" s="152">
        <v>19800</v>
      </c>
      <c r="AK2035" s="156" t="s">
        <v>691</v>
      </c>
      <c r="AL2035" s="212" t="s">
        <v>690</v>
      </c>
      <c r="AM2035" s="198">
        <f t="shared" ref="AM2035:AM2061" si="727">AG2035*Z2035</f>
        <v>0</v>
      </c>
      <c r="AN2035" s="199">
        <f t="shared" si="705"/>
        <v>45731</v>
      </c>
      <c r="AO2035" s="159" t="s">
        <v>692</v>
      </c>
      <c r="AP2035" s="781"/>
      <c r="AQ2035" s="782">
        <v>12071839</v>
      </c>
      <c r="AR2035" s="782">
        <v>12047514</v>
      </c>
      <c r="AS2035" s="782">
        <v>12047515</v>
      </c>
      <c r="AT2035" s="782">
        <v>12085743</v>
      </c>
      <c r="AU2035" s="781"/>
      <c r="AV2035" s="782">
        <v>12085745</v>
      </c>
      <c r="AW2035" s="782">
        <v>12024404</v>
      </c>
      <c r="AX2035" s="782"/>
      <c r="AY2035" s="782">
        <v>12085746</v>
      </c>
      <c r="AZ2035" s="782"/>
      <c r="BA2035" s="781"/>
      <c r="BB2035" s="209">
        <v>23053185</v>
      </c>
    </row>
    <row r="2036" spans="1:54" ht="24.65" hidden="1" customHeight="1">
      <c r="B2036" s="466">
        <v>45731</v>
      </c>
      <c r="C2036" s="467">
        <v>45749</v>
      </c>
      <c r="D2036" s="185">
        <f t="shared" si="701"/>
        <v>2025</v>
      </c>
      <c r="E2036" s="467" t="e">
        <f>VLOOKUP($B2036,Week!$A$1:$C$1462,2,0)</f>
        <v>#N/A</v>
      </c>
      <c r="F2036" s="469" t="str">
        <f t="shared" si="702"/>
        <v>Mar</v>
      </c>
      <c r="G2036" s="641" t="s">
        <v>2036</v>
      </c>
      <c r="H2036" s="482" t="s">
        <v>104</v>
      </c>
      <c r="I2036" s="482" t="s">
        <v>2772</v>
      </c>
      <c r="J2036" s="483" t="s">
        <v>105</v>
      </c>
      <c r="K2036" s="484" t="s">
        <v>51</v>
      </c>
      <c r="L2036" s="300" t="s">
        <v>2167</v>
      </c>
      <c r="M2036" s="483" t="s">
        <v>674</v>
      </c>
      <c r="N2036" s="482" t="s">
        <v>677</v>
      </c>
      <c r="O2036" s="482" t="s">
        <v>501</v>
      </c>
      <c r="P2036" s="473">
        <v>36</v>
      </c>
      <c r="Q2036" s="473">
        <v>5</v>
      </c>
      <c r="R2036" s="474">
        <v>6.0000000000000001E-3</v>
      </c>
      <c r="S2036" s="482" t="s">
        <v>55</v>
      </c>
      <c r="T2036" s="482" t="s">
        <v>112</v>
      </c>
      <c r="U2036" s="482" t="s">
        <v>57</v>
      </c>
      <c r="V2036" s="475">
        <f>450</f>
        <v>450</v>
      </c>
      <c r="W2036" s="475">
        <f>600-295</f>
        <v>305</v>
      </c>
      <c r="X2036" s="476">
        <f>(4796+424)/36</f>
        <v>145</v>
      </c>
      <c r="Y2036" s="477">
        <f t="shared" si="721"/>
        <v>0</v>
      </c>
      <c r="Z2036" s="478">
        <f t="shared" si="708"/>
        <v>0</v>
      </c>
      <c r="AA2036" s="478">
        <f t="shared" si="703"/>
        <v>0</v>
      </c>
      <c r="AB2036" s="828">
        <v>7.4999999999999997E-3</v>
      </c>
      <c r="AC2036" s="475">
        <f t="shared" si="725"/>
        <v>0</v>
      </c>
      <c r="AD2036" s="486"/>
      <c r="AE2036" s="210">
        <f t="shared" si="723"/>
        <v>0</v>
      </c>
      <c r="AF2036" s="210">
        <f t="shared" si="724"/>
        <v>0</v>
      </c>
      <c r="AG2036" s="211">
        <v>0.14499999999999999</v>
      </c>
      <c r="AH2036" s="157">
        <f t="shared" si="722"/>
        <v>0</v>
      </c>
      <c r="AI2036" s="152">
        <v>19800</v>
      </c>
      <c r="AK2036" s="156" t="s">
        <v>691</v>
      </c>
      <c r="AL2036" s="212" t="s">
        <v>690</v>
      </c>
      <c r="AM2036" s="198">
        <f t="shared" si="727"/>
        <v>0</v>
      </c>
      <c r="AN2036" s="199">
        <f t="shared" si="705"/>
        <v>45731</v>
      </c>
      <c r="AO2036" s="159" t="s">
        <v>692</v>
      </c>
      <c r="AP2036" s="781"/>
      <c r="AQ2036" s="782">
        <v>12071839</v>
      </c>
      <c r="AR2036" s="782">
        <v>12047514</v>
      </c>
      <c r="AS2036" s="782">
        <v>12047515</v>
      </c>
      <c r="AT2036" s="782">
        <v>12085743</v>
      </c>
      <c r="AU2036" s="781"/>
      <c r="AV2036" s="782">
        <v>12085745</v>
      </c>
      <c r="AW2036" s="782">
        <v>12024404</v>
      </c>
      <c r="AX2036" s="782"/>
      <c r="AY2036" s="782">
        <v>12085746</v>
      </c>
      <c r="AZ2036" s="782"/>
      <c r="BA2036" s="781"/>
      <c r="BB2036" s="209">
        <v>23053185</v>
      </c>
    </row>
    <row r="2037" spans="1:54" ht="24.65" hidden="1" customHeight="1">
      <c r="B2037" s="308">
        <v>45731</v>
      </c>
      <c r="C2037" s="309">
        <v>45750</v>
      </c>
      <c r="D2037" s="185">
        <f t="shared" si="701"/>
        <v>2025</v>
      </c>
      <c r="E2037" s="309" t="e">
        <f>VLOOKUP($B2037,Week!$A$1:$C$1462,2,0)</f>
        <v>#N/A</v>
      </c>
      <c r="F2037" s="310" t="str">
        <f t="shared" si="702"/>
        <v>Mar</v>
      </c>
      <c r="G2037" s="311" t="s">
        <v>2010</v>
      </c>
      <c r="H2037" s="311" t="s">
        <v>311</v>
      </c>
      <c r="I2037" s="311" t="s">
        <v>2772</v>
      </c>
      <c r="J2037" s="312" t="s">
        <v>738</v>
      </c>
      <c r="K2037" s="313" t="s">
        <v>107</v>
      </c>
      <c r="L2037" s="300" t="s">
        <v>2167</v>
      </c>
      <c r="M2037" s="312" t="s">
        <v>313</v>
      </c>
      <c r="N2037" s="311" t="s">
        <v>314</v>
      </c>
      <c r="O2037" s="311" t="s">
        <v>110</v>
      </c>
      <c r="P2037" s="314">
        <v>36</v>
      </c>
      <c r="Q2037" s="314">
        <v>5</v>
      </c>
      <c r="R2037" s="315">
        <v>7.4999999999999997E-3</v>
      </c>
      <c r="S2037" s="311" t="s">
        <v>111</v>
      </c>
      <c r="T2037" s="311" t="s">
        <v>112</v>
      </c>
      <c r="U2037" s="311" t="s">
        <v>57</v>
      </c>
      <c r="V2037" s="316">
        <v>792</v>
      </c>
      <c r="W2037" s="316">
        <f>722</f>
        <v>722</v>
      </c>
      <c r="X2037" s="317">
        <f>(2458+72)/36</f>
        <v>70.277777777777771</v>
      </c>
      <c r="Y2037" s="318">
        <f t="shared" si="721"/>
        <v>0.27777777777782831</v>
      </c>
      <c r="Z2037" s="319">
        <f t="shared" si="708"/>
        <v>0</v>
      </c>
      <c r="AA2037" s="319">
        <f t="shared" si="703"/>
        <v>0</v>
      </c>
      <c r="AB2037" s="815">
        <v>7.4999999999999997E-3</v>
      </c>
      <c r="AC2037" s="316">
        <f t="shared" si="725"/>
        <v>0</v>
      </c>
      <c r="AD2037" s="515"/>
      <c r="AE2037" s="210">
        <f t="shared" si="723"/>
        <v>0</v>
      </c>
      <c r="AF2037" s="210">
        <f t="shared" si="724"/>
        <v>0</v>
      </c>
      <c r="AG2037" s="211">
        <f>MID(O2037,1,3)/1000</f>
        <v>0.308</v>
      </c>
      <c r="AH2037" s="157">
        <f t="shared" si="722"/>
        <v>0</v>
      </c>
      <c r="AI2037" s="152">
        <f>V2037*P2037</f>
        <v>28512</v>
      </c>
      <c r="AK2037" s="156" t="s">
        <v>691</v>
      </c>
      <c r="AL2037" s="212" t="s">
        <v>690</v>
      </c>
      <c r="AM2037" s="198">
        <f t="shared" si="727"/>
        <v>0</v>
      </c>
      <c r="AN2037" s="199">
        <f t="shared" si="705"/>
        <v>45731</v>
      </c>
      <c r="AO2037" s="159" t="s">
        <v>692</v>
      </c>
      <c r="AP2037" s="783" t="s">
        <v>644</v>
      </c>
      <c r="AQ2037" s="782">
        <v>12063755</v>
      </c>
      <c r="AR2037" s="782">
        <v>12061353</v>
      </c>
      <c r="AS2037" s="782">
        <v>12061354</v>
      </c>
      <c r="AT2037" s="782">
        <v>12062266</v>
      </c>
      <c r="AU2037" s="781"/>
      <c r="AV2037" s="782">
        <v>12088159</v>
      </c>
      <c r="AW2037" s="782">
        <v>12088207</v>
      </c>
      <c r="AX2037" s="782"/>
      <c r="AY2037" s="782">
        <v>12062262</v>
      </c>
      <c r="AZ2037" s="782"/>
      <c r="BA2037" s="781"/>
      <c r="BB2037" s="209">
        <v>23053185</v>
      </c>
    </row>
    <row r="2038" spans="1:54" ht="25" hidden="1" customHeight="1">
      <c r="B2038" s="183">
        <v>45732</v>
      </c>
      <c r="C2038" s="184"/>
      <c r="D2038" s="185">
        <f t="shared" si="701"/>
        <v>2025</v>
      </c>
      <c r="E2038" s="185" t="e">
        <f>VLOOKUP($B2038,Week!$A$1:$C$1462,2,0)</f>
        <v>#N/A</v>
      </c>
      <c r="F2038" s="186" t="str">
        <f t="shared" si="702"/>
        <v>Mar</v>
      </c>
      <c r="G2038" s="185"/>
      <c r="H2038" s="185"/>
      <c r="I2038" s="185"/>
      <c r="J2038" s="187"/>
      <c r="K2038" s="188"/>
      <c r="L2038" s="300"/>
      <c r="M2038" s="187"/>
      <c r="N2038" s="185"/>
      <c r="O2038" s="185"/>
      <c r="P2038" s="189"/>
      <c r="Q2038" s="189"/>
      <c r="R2038" s="190"/>
      <c r="S2038" s="185"/>
      <c r="T2038" s="185"/>
      <c r="U2038" s="185"/>
      <c r="V2038" s="191"/>
      <c r="W2038" s="191"/>
      <c r="X2038" s="192"/>
      <c r="Y2038" s="193"/>
      <c r="Z2038" s="194"/>
      <c r="AA2038" s="194">
        <f t="shared" si="703"/>
        <v>0</v>
      </c>
      <c r="AB2038" s="805"/>
      <c r="AC2038" s="191">
        <f t="shared" si="725"/>
        <v>0</v>
      </c>
      <c r="AD2038" s="187"/>
      <c r="AE2038" s="195"/>
      <c r="AF2038" s="195"/>
      <c r="AG2038" s="196"/>
      <c r="AH2038" s="197"/>
      <c r="AK2038" s="156" t="s">
        <v>691</v>
      </c>
      <c r="AM2038" s="198">
        <f t="shared" si="727"/>
        <v>0</v>
      </c>
      <c r="AN2038" s="199">
        <f t="shared" si="705"/>
        <v>45732</v>
      </c>
      <c r="AO2038" s="159" t="s">
        <v>692</v>
      </c>
      <c r="AP2038" s="781"/>
      <c r="AQ2038" s="782"/>
      <c r="AR2038" s="782"/>
      <c r="AS2038" s="782"/>
      <c r="AT2038" s="782"/>
      <c r="AU2038" s="781"/>
      <c r="AV2038" s="782"/>
      <c r="AW2038" s="782"/>
      <c r="AX2038" s="782"/>
      <c r="AY2038" s="782"/>
      <c r="AZ2038" s="782"/>
      <c r="BA2038" s="781"/>
      <c r="BB2038" s="209"/>
    </row>
    <row r="2039" spans="1:54" ht="25" hidden="1" customHeight="1">
      <c r="A2039" s="630" t="s">
        <v>120</v>
      </c>
      <c r="B2039" s="466">
        <v>45733</v>
      </c>
      <c r="C2039" s="467">
        <v>45741</v>
      </c>
      <c r="D2039" s="185">
        <f t="shared" si="701"/>
        <v>2025</v>
      </c>
      <c r="E2039" s="468" t="e">
        <f>VLOOKUP($B2039,Week!$A$1:$C$1462,2,0)</f>
        <v>#N/A</v>
      </c>
      <c r="F2039" s="469" t="str">
        <f t="shared" si="702"/>
        <v>Mar</v>
      </c>
      <c r="G2039" s="470" t="s">
        <v>2041</v>
      </c>
      <c r="H2039" s="468" t="s">
        <v>82</v>
      </c>
      <c r="I2039" s="468" t="s">
        <v>82</v>
      </c>
      <c r="J2039" s="471" t="s">
        <v>720</v>
      </c>
      <c r="K2039" s="472" t="s">
        <v>85</v>
      </c>
      <c r="L2039" s="390" t="s">
        <v>2166</v>
      </c>
      <c r="M2039" s="471" t="s">
        <v>579</v>
      </c>
      <c r="N2039" s="468" t="s">
        <v>580</v>
      </c>
      <c r="O2039" s="468" t="s">
        <v>581</v>
      </c>
      <c r="P2039" s="473">
        <v>8</v>
      </c>
      <c r="Q2039" s="473">
        <v>60</v>
      </c>
      <c r="R2039" s="474">
        <v>6.8100000000000001E-3</v>
      </c>
      <c r="S2039" s="468" t="s">
        <v>76</v>
      </c>
      <c r="T2039" s="468" t="s">
        <v>56</v>
      </c>
      <c r="U2039" s="468" t="s">
        <v>89</v>
      </c>
      <c r="V2039" s="475">
        <f>1408</f>
        <v>1408</v>
      </c>
      <c r="W2039" s="475">
        <f>12+1396</f>
        <v>1408</v>
      </c>
      <c r="X2039" s="476"/>
      <c r="Y2039" s="477">
        <f t="shared" ref="Y2039:Y2044" si="728">(W2039+X2039)-V2039</f>
        <v>0</v>
      </c>
      <c r="Z2039" s="478">
        <f t="shared" ref="Z2039:Z2060" si="729">IF(Y2039&lt;0,((V2039*P2039)-((W2039+X2039)*P2039)),0)</f>
        <v>0</v>
      </c>
      <c r="AA2039" s="478">
        <f t="shared" si="703"/>
        <v>0</v>
      </c>
      <c r="AB2039" s="828">
        <v>6</v>
      </c>
      <c r="AC2039" s="475">
        <f t="shared" si="725"/>
        <v>0</v>
      </c>
      <c r="AD2039" s="209"/>
      <c r="AE2039" s="210">
        <f>SUM(Q2039*R2039*Z2039)/1000</f>
        <v>0</v>
      </c>
      <c r="AF2039" s="210">
        <f t="shared" ref="AF2039:AF2044" si="730">AE2039/0.54</f>
        <v>0</v>
      </c>
      <c r="AG2039" s="211">
        <f t="shared" ref="AG2039:AG2060" si="731">MID(O2039,1,3)/1000</f>
        <v>0.75</v>
      </c>
      <c r="AH2039" s="157">
        <f t="shared" ref="AH2039:AH2044" si="732">(Z2039*AG2039)/1000</f>
        <v>0</v>
      </c>
      <c r="AI2039" s="152">
        <f t="shared" ref="AI2039:AI2060" si="733">V2039*P2039</f>
        <v>11264</v>
      </c>
      <c r="AK2039" s="156" t="s">
        <v>691</v>
      </c>
      <c r="AL2039" s="156" t="s">
        <v>689</v>
      </c>
      <c r="AM2039" s="198">
        <f t="shared" si="727"/>
        <v>0</v>
      </c>
      <c r="AN2039" s="199">
        <f t="shared" si="705"/>
        <v>45733</v>
      </c>
      <c r="AO2039" s="159" t="s">
        <v>692</v>
      </c>
      <c r="AP2039" s="783" t="s">
        <v>622</v>
      </c>
      <c r="AQ2039" s="782">
        <v>12088677</v>
      </c>
      <c r="AR2039" s="782" t="s">
        <v>2142</v>
      </c>
      <c r="AS2039" s="782"/>
      <c r="AT2039" s="782">
        <v>12082897</v>
      </c>
      <c r="AU2039" s="781"/>
      <c r="AV2039" s="782">
        <v>12082898</v>
      </c>
      <c r="AW2039" s="782">
        <v>12082899</v>
      </c>
      <c r="AX2039" s="796" t="s">
        <v>621</v>
      </c>
      <c r="AY2039" s="782"/>
      <c r="AZ2039" s="782"/>
      <c r="BA2039" s="781"/>
      <c r="BB2039" s="209">
        <v>23053184</v>
      </c>
    </row>
    <row r="2040" spans="1:54" ht="24.75" hidden="1" customHeight="1">
      <c r="A2040" s="142" t="s">
        <v>120</v>
      </c>
      <c r="B2040" s="308">
        <v>45733</v>
      </c>
      <c r="C2040" s="644" t="s">
        <v>1928</v>
      </c>
      <c r="D2040" s="185">
        <f t="shared" si="701"/>
        <v>2025</v>
      </c>
      <c r="E2040" s="519" t="e">
        <f>VLOOKUP($B2040,Week!$A$1:$C$1462,2,0)</f>
        <v>#N/A</v>
      </c>
      <c r="F2040" s="520" t="str">
        <f t="shared" si="702"/>
        <v>Mar</v>
      </c>
      <c r="G2040" s="644" t="s">
        <v>47</v>
      </c>
      <c r="H2040" s="311" t="s">
        <v>518</v>
      </c>
      <c r="I2040" s="311" t="s">
        <v>2702</v>
      </c>
      <c r="J2040" s="312" t="s">
        <v>70</v>
      </c>
      <c r="K2040" s="313" t="s">
        <v>85</v>
      </c>
      <c r="L2040" s="390" t="s">
        <v>2166</v>
      </c>
      <c r="M2040" s="312" t="s">
        <v>515</v>
      </c>
      <c r="N2040" s="311" t="s">
        <v>588</v>
      </c>
      <c r="O2040" s="311" t="s">
        <v>546</v>
      </c>
      <c r="P2040" s="314">
        <v>12</v>
      </c>
      <c r="Q2040" s="314">
        <v>20</v>
      </c>
      <c r="R2040" s="315">
        <v>6.1999999999999998E-3</v>
      </c>
      <c r="S2040" s="311" t="s">
        <v>352</v>
      </c>
      <c r="T2040" s="311" t="s">
        <v>56</v>
      </c>
      <c r="U2040" s="311"/>
      <c r="V2040" s="316">
        <v>211</v>
      </c>
      <c r="W2040" s="316">
        <v>211</v>
      </c>
      <c r="X2040" s="317"/>
      <c r="Y2040" s="318">
        <f>(W2040+X2040)-V2040</f>
        <v>0</v>
      </c>
      <c r="Z2040" s="319">
        <f t="shared" si="729"/>
        <v>0</v>
      </c>
      <c r="AA2040" s="319">
        <f t="shared" si="703"/>
        <v>0</v>
      </c>
      <c r="AB2040" s="815"/>
      <c r="AC2040" s="316">
        <f t="shared" si="725"/>
        <v>0</v>
      </c>
      <c r="AD2040" s="209"/>
      <c r="AE2040" s="210">
        <f>SUM(Q2040*R2040*Z2040)/1000</f>
        <v>0</v>
      </c>
      <c r="AF2040" s="210">
        <f>AE2040/0.54</f>
        <v>0</v>
      </c>
      <c r="AG2040" s="211">
        <f t="shared" si="731"/>
        <v>0.22</v>
      </c>
      <c r="AH2040" s="157">
        <f>(Z2040*AG2040)/1000</f>
        <v>0</v>
      </c>
      <c r="AI2040" s="152">
        <f t="shared" si="733"/>
        <v>2532</v>
      </c>
      <c r="AK2040" s="156" t="s">
        <v>691</v>
      </c>
      <c r="AL2040" s="156" t="s">
        <v>689</v>
      </c>
      <c r="AM2040" s="198">
        <f t="shared" si="727"/>
        <v>0</v>
      </c>
      <c r="AN2040" s="199">
        <f t="shared" si="705"/>
        <v>45733</v>
      </c>
      <c r="AO2040" s="159" t="s">
        <v>692</v>
      </c>
      <c r="AP2040" s="783" t="s">
        <v>613</v>
      </c>
      <c r="AQ2040" s="782"/>
      <c r="AR2040" s="782" t="s">
        <v>614</v>
      </c>
      <c r="AS2040" s="782"/>
      <c r="AT2040" s="782"/>
      <c r="AU2040" s="781"/>
      <c r="AV2040" s="782">
        <v>12083143</v>
      </c>
      <c r="AW2040" s="782"/>
      <c r="AX2040" s="782" t="s">
        <v>2187</v>
      </c>
      <c r="AY2040" s="782"/>
      <c r="AZ2040" s="782"/>
      <c r="BA2040" s="781"/>
      <c r="BB2040" s="209"/>
    </row>
    <row r="2041" spans="1:54" ht="25" hidden="1" customHeight="1">
      <c r="A2041" s="630" t="s">
        <v>120</v>
      </c>
      <c r="B2041" s="466">
        <v>45734</v>
      </c>
      <c r="C2041" s="467">
        <v>45743</v>
      </c>
      <c r="D2041" s="185">
        <f t="shared" si="701"/>
        <v>2025</v>
      </c>
      <c r="E2041" s="468" t="e">
        <f>VLOOKUP($B2041,Week!$A$1:$C$1462,2,0)</f>
        <v>#N/A</v>
      </c>
      <c r="F2041" s="469" t="str">
        <f t="shared" si="702"/>
        <v>Mar</v>
      </c>
      <c r="G2041" s="470" t="s">
        <v>2039</v>
      </c>
      <c r="H2041" s="468" t="s">
        <v>82</v>
      </c>
      <c r="I2041" s="468" t="s">
        <v>82</v>
      </c>
      <c r="J2041" s="471" t="s">
        <v>720</v>
      </c>
      <c r="K2041" s="472" t="s">
        <v>85</v>
      </c>
      <c r="L2041" s="390" t="s">
        <v>2166</v>
      </c>
      <c r="M2041" s="471" t="s">
        <v>579</v>
      </c>
      <c r="N2041" s="468" t="s">
        <v>580</v>
      </c>
      <c r="O2041" s="468" t="s">
        <v>581</v>
      </c>
      <c r="P2041" s="473">
        <v>8</v>
      </c>
      <c r="Q2041" s="473">
        <v>60</v>
      </c>
      <c r="R2041" s="474">
        <v>6.8100000000000001E-3</v>
      </c>
      <c r="S2041" s="468" t="s">
        <v>76</v>
      </c>
      <c r="T2041" s="468" t="s">
        <v>56</v>
      </c>
      <c r="U2041" s="468" t="s">
        <v>89</v>
      </c>
      <c r="V2041" s="475">
        <f>1408</f>
        <v>1408</v>
      </c>
      <c r="W2041" s="475">
        <f>34+1374</f>
        <v>1408</v>
      </c>
      <c r="X2041" s="476"/>
      <c r="Y2041" s="477">
        <f t="shared" si="728"/>
        <v>0</v>
      </c>
      <c r="Z2041" s="478">
        <f t="shared" si="729"/>
        <v>0</v>
      </c>
      <c r="AA2041" s="478">
        <f t="shared" si="703"/>
        <v>0</v>
      </c>
      <c r="AB2041" s="828">
        <v>6</v>
      </c>
      <c r="AC2041" s="475">
        <f t="shared" si="725"/>
        <v>0</v>
      </c>
      <c r="AD2041" s="209"/>
      <c r="AE2041" s="210">
        <f>SUM(Q2041*R2041*Z2041)/1000</f>
        <v>0</v>
      </c>
      <c r="AF2041" s="210">
        <f t="shared" si="730"/>
        <v>0</v>
      </c>
      <c r="AG2041" s="211">
        <f t="shared" si="731"/>
        <v>0.75</v>
      </c>
      <c r="AH2041" s="157">
        <f t="shared" si="732"/>
        <v>0</v>
      </c>
      <c r="AI2041" s="152">
        <f t="shared" si="733"/>
        <v>11264</v>
      </c>
      <c r="AK2041" s="156" t="s">
        <v>691</v>
      </c>
      <c r="AL2041" s="156" t="s">
        <v>689</v>
      </c>
      <c r="AM2041" s="198">
        <f t="shared" si="727"/>
        <v>0</v>
      </c>
      <c r="AN2041" s="199">
        <f t="shared" si="705"/>
        <v>45734</v>
      </c>
      <c r="AO2041" s="159" t="s">
        <v>692</v>
      </c>
      <c r="AP2041" s="783" t="s">
        <v>622</v>
      </c>
      <c r="AQ2041" s="782">
        <v>12088677</v>
      </c>
      <c r="AR2041" s="782" t="s">
        <v>2142</v>
      </c>
      <c r="AS2041" s="782"/>
      <c r="AT2041" s="782">
        <v>12082897</v>
      </c>
      <c r="AU2041" s="781"/>
      <c r="AV2041" s="782">
        <v>12082898</v>
      </c>
      <c r="AW2041" s="782">
        <v>12082899</v>
      </c>
      <c r="AX2041" s="796" t="s">
        <v>621</v>
      </c>
      <c r="AY2041" s="782"/>
      <c r="AZ2041" s="782"/>
      <c r="BA2041" s="781"/>
      <c r="BB2041" s="209">
        <v>23053184</v>
      </c>
    </row>
    <row r="2042" spans="1:54" ht="25" hidden="1" customHeight="1">
      <c r="A2042" s="142" t="s">
        <v>120</v>
      </c>
      <c r="B2042" s="571">
        <v>45734</v>
      </c>
      <c r="C2042" s="235" t="s">
        <v>1928</v>
      </c>
      <c r="D2042" s="185">
        <f t="shared" si="701"/>
        <v>2025</v>
      </c>
      <c r="E2042" s="236" t="e">
        <f>VLOOKUP($B2042,Week!$A$1:$C$1462,2,0)</f>
        <v>#N/A</v>
      </c>
      <c r="F2042" s="237" t="str">
        <f t="shared" si="702"/>
        <v>Mar</v>
      </c>
      <c r="G2042" s="236" t="s">
        <v>47</v>
      </c>
      <c r="H2042" s="236" t="s">
        <v>47</v>
      </c>
      <c r="I2042" s="236" t="s">
        <v>2702</v>
      </c>
      <c r="J2042" s="238" t="s">
        <v>70</v>
      </c>
      <c r="K2042" s="239" t="s">
        <v>153</v>
      </c>
      <c r="L2042" s="390" t="s">
        <v>2166</v>
      </c>
      <c r="M2042" s="238" t="s">
        <v>154</v>
      </c>
      <c r="N2042" s="236" t="s">
        <v>155</v>
      </c>
      <c r="O2042" s="236" t="s">
        <v>156</v>
      </c>
      <c r="P2042" s="240">
        <v>8</v>
      </c>
      <c r="Q2042" s="240">
        <v>50</v>
      </c>
      <c r="R2042" s="241">
        <v>8.1300000000000001E-3</v>
      </c>
      <c r="S2042" s="236" t="s">
        <v>40</v>
      </c>
      <c r="T2042" s="236" t="s">
        <v>56</v>
      </c>
      <c r="U2042" s="236"/>
      <c r="V2042" s="242">
        <f>200</f>
        <v>200</v>
      </c>
      <c r="W2042" s="242">
        <f>200</f>
        <v>200</v>
      </c>
      <c r="X2042" s="243"/>
      <c r="Y2042" s="244">
        <f>(W2042+X2042)-V2042</f>
        <v>0</v>
      </c>
      <c r="Z2042" s="245">
        <f t="shared" si="729"/>
        <v>0</v>
      </c>
      <c r="AA2042" s="242">
        <f t="shared" si="703"/>
        <v>0</v>
      </c>
      <c r="AB2042" s="809"/>
      <c r="AC2042" s="242">
        <f t="shared" si="725"/>
        <v>0</v>
      </c>
      <c r="AD2042" s="443" t="s">
        <v>1733</v>
      </c>
      <c r="AE2042" s="220"/>
      <c r="AF2042" s="220"/>
      <c r="AG2042" s="211">
        <f t="shared" si="731"/>
        <v>0.6</v>
      </c>
      <c r="AH2042" s="157">
        <f>(Z2042*AG2042)/1000</f>
        <v>0</v>
      </c>
      <c r="AI2042" s="152">
        <f t="shared" si="733"/>
        <v>1600</v>
      </c>
      <c r="AK2042" s="156" t="s">
        <v>691</v>
      </c>
      <c r="AL2042" s="156" t="s">
        <v>689</v>
      </c>
      <c r="AM2042" s="198">
        <f t="shared" si="727"/>
        <v>0</v>
      </c>
      <c r="AN2042" s="199">
        <f t="shared" si="705"/>
        <v>45734</v>
      </c>
      <c r="AO2042" s="159" t="s">
        <v>692</v>
      </c>
      <c r="AP2042" s="781"/>
      <c r="AQ2042" s="781"/>
      <c r="AR2042" s="783" t="s">
        <v>529</v>
      </c>
      <c r="AS2042" s="781"/>
      <c r="AT2042" s="783"/>
      <c r="AU2042" s="783"/>
      <c r="AV2042" s="783" t="s">
        <v>530</v>
      </c>
      <c r="AW2042" s="781"/>
      <c r="AX2042" s="781" t="s">
        <v>93</v>
      </c>
      <c r="AY2042" s="781"/>
      <c r="AZ2042" s="782"/>
      <c r="BA2042" s="781"/>
    </row>
    <row r="2043" spans="1:54" ht="24.75" hidden="1" customHeight="1">
      <c r="A2043" s="142" t="s">
        <v>120</v>
      </c>
      <c r="B2043" s="308">
        <v>45734</v>
      </c>
      <c r="C2043" s="644" t="s">
        <v>1928</v>
      </c>
      <c r="D2043" s="185">
        <f t="shared" si="701"/>
        <v>2025</v>
      </c>
      <c r="E2043" s="519" t="e">
        <f>VLOOKUP($B2043,Week!$A$1:$C$1462,2,0)</f>
        <v>#N/A</v>
      </c>
      <c r="F2043" s="520" t="str">
        <f t="shared" si="702"/>
        <v>Mar</v>
      </c>
      <c r="G2043" s="644" t="s">
        <v>47</v>
      </c>
      <c r="H2043" s="311" t="s">
        <v>518</v>
      </c>
      <c r="I2043" s="311" t="s">
        <v>2702</v>
      </c>
      <c r="J2043" s="312" t="s">
        <v>70</v>
      </c>
      <c r="K2043" s="313" t="s">
        <v>85</v>
      </c>
      <c r="L2043" s="390" t="s">
        <v>2166</v>
      </c>
      <c r="M2043" s="312" t="s">
        <v>515</v>
      </c>
      <c r="N2043" s="311" t="s">
        <v>588</v>
      </c>
      <c r="O2043" s="311" t="s">
        <v>546</v>
      </c>
      <c r="P2043" s="314">
        <v>12</v>
      </c>
      <c r="Q2043" s="314">
        <v>20</v>
      </c>
      <c r="R2043" s="315">
        <v>6.1999999999999998E-3</v>
      </c>
      <c r="S2043" s="311" t="s">
        <v>352</v>
      </c>
      <c r="T2043" s="311" t="s">
        <v>56</v>
      </c>
      <c r="U2043" s="311"/>
      <c r="V2043" s="316">
        <v>177</v>
      </c>
      <c r="W2043" s="316">
        <v>177</v>
      </c>
      <c r="X2043" s="317"/>
      <c r="Y2043" s="318">
        <f>(W2043+X2043)-V2043</f>
        <v>0</v>
      </c>
      <c r="Z2043" s="319">
        <f t="shared" si="729"/>
        <v>0</v>
      </c>
      <c r="AA2043" s="319">
        <f t="shared" si="703"/>
        <v>0</v>
      </c>
      <c r="AB2043" s="815"/>
      <c r="AC2043" s="316">
        <f t="shared" si="725"/>
        <v>0</v>
      </c>
      <c r="AD2043" s="209"/>
      <c r="AE2043" s="210">
        <f t="shared" ref="AE2043:AE2060" si="734">SUM(Q2043*R2043*Z2043)/1000</f>
        <v>0</v>
      </c>
      <c r="AF2043" s="210">
        <f>AE2043/0.54</f>
        <v>0</v>
      </c>
      <c r="AG2043" s="211">
        <f t="shared" si="731"/>
        <v>0.22</v>
      </c>
      <c r="AH2043" s="157">
        <f>(Z2043*AG2043)/1000</f>
        <v>0</v>
      </c>
      <c r="AI2043" s="152">
        <f t="shared" si="733"/>
        <v>2124</v>
      </c>
      <c r="AK2043" s="156" t="s">
        <v>691</v>
      </c>
      <c r="AL2043" s="156" t="s">
        <v>689</v>
      </c>
      <c r="AM2043" s="198">
        <f t="shared" si="727"/>
        <v>0</v>
      </c>
      <c r="AN2043" s="199">
        <f t="shared" si="705"/>
        <v>45734</v>
      </c>
      <c r="AO2043" s="159" t="s">
        <v>692</v>
      </c>
      <c r="AP2043" s="783" t="s">
        <v>613</v>
      </c>
      <c r="AQ2043" s="782"/>
      <c r="AR2043" s="782" t="s">
        <v>614</v>
      </c>
      <c r="AS2043" s="782"/>
      <c r="AT2043" s="782"/>
      <c r="AU2043" s="781"/>
      <c r="AV2043" s="782">
        <v>12083143</v>
      </c>
      <c r="AW2043" s="782"/>
      <c r="AX2043" s="782" t="s">
        <v>2187</v>
      </c>
      <c r="AY2043" s="782"/>
      <c r="AZ2043" s="782"/>
      <c r="BA2043" s="781"/>
      <c r="BB2043" s="209"/>
    </row>
    <row r="2044" spans="1:54" ht="25" hidden="1" customHeight="1">
      <c r="A2044" s="630" t="s">
        <v>120</v>
      </c>
      <c r="B2044" s="466">
        <v>45735</v>
      </c>
      <c r="C2044" s="467">
        <v>45743</v>
      </c>
      <c r="D2044" s="185">
        <f t="shared" si="701"/>
        <v>2025</v>
      </c>
      <c r="E2044" s="468" t="e">
        <f>VLOOKUP($B2044,Week!$A$1:$C$1462,2,0)</f>
        <v>#N/A</v>
      </c>
      <c r="F2044" s="469" t="str">
        <f t="shared" si="702"/>
        <v>Mar</v>
      </c>
      <c r="G2044" s="470" t="s">
        <v>2042</v>
      </c>
      <c r="H2044" s="468" t="s">
        <v>82</v>
      </c>
      <c r="I2044" s="468" t="s">
        <v>82</v>
      </c>
      <c r="J2044" s="471" t="s">
        <v>720</v>
      </c>
      <c r="K2044" s="472" t="s">
        <v>85</v>
      </c>
      <c r="L2044" s="390" t="s">
        <v>2166</v>
      </c>
      <c r="M2044" s="471" t="s">
        <v>579</v>
      </c>
      <c r="N2044" s="468" t="s">
        <v>580</v>
      </c>
      <c r="O2044" s="468" t="s">
        <v>581</v>
      </c>
      <c r="P2044" s="473">
        <v>8</v>
      </c>
      <c r="Q2044" s="473">
        <v>60</v>
      </c>
      <c r="R2044" s="474">
        <v>6.8100000000000001E-3</v>
      </c>
      <c r="S2044" s="468" t="s">
        <v>76</v>
      </c>
      <c r="T2044" s="468" t="s">
        <v>56</v>
      </c>
      <c r="U2044" s="468" t="s">
        <v>89</v>
      </c>
      <c r="V2044" s="475">
        <f>1408</f>
        <v>1408</v>
      </c>
      <c r="W2044" s="475">
        <f>13+1395</f>
        <v>1408</v>
      </c>
      <c r="X2044" s="476"/>
      <c r="Y2044" s="477">
        <f t="shared" si="728"/>
        <v>0</v>
      </c>
      <c r="Z2044" s="478">
        <f t="shared" si="729"/>
        <v>0</v>
      </c>
      <c r="AA2044" s="478">
        <f t="shared" si="703"/>
        <v>0</v>
      </c>
      <c r="AB2044" s="828">
        <v>6</v>
      </c>
      <c r="AC2044" s="475">
        <f t="shared" si="725"/>
        <v>0</v>
      </c>
      <c r="AD2044" s="209"/>
      <c r="AE2044" s="210">
        <f t="shared" si="734"/>
        <v>0</v>
      </c>
      <c r="AF2044" s="210">
        <f t="shared" si="730"/>
        <v>0</v>
      </c>
      <c r="AG2044" s="211">
        <f t="shared" si="731"/>
        <v>0.75</v>
      </c>
      <c r="AH2044" s="157">
        <f t="shared" si="732"/>
        <v>0</v>
      </c>
      <c r="AI2044" s="152">
        <f t="shared" si="733"/>
        <v>11264</v>
      </c>
      <c r="AK2044" s="156" t="s">
        <v>691</v>
      </c>
      <c r="AL2044" s="156" t="s">
        <v>689</v>
      </c>
      <c r="AM2044" s="198">
        <f t="shared" si="727"/>
        <v>0</v>
      </c>
      <c r="AN2044" s="199">
        <f t="shared" si="705"/>
        <v>45735</v>
      </c>
      <c r="AO2044" s="159" t="s">
        <v>692</v>
      </c>
      <c r="AP2044" s="783" t="s">
        <v>622</v>
      </c>
      <c r="AQ2044" s="782">
        <v>12088677</v>
      </c>
      <c r="AR2044" s="782" t="s">
        <v>2142</v>
      </c>
      <c r="AS2044" s="782"/>
      <c r="AT2044" s="782">
        <v>12082897</v>
      </c>
      <c r="AU2044" s="781"/>
      <c r="AV2044" s="782">
        <v>12082898</v>
      </c>
      <c r="AW2044" s="782">
        <v>12082899</v>
      </c>
      <c r="AX2044" s="796" t="s">
        <v>621</v>
      </c>
      <c r="AY2044" s="782"/>
      <c r="AZ2044" s="782"/>
      <c r="BA2044" s="781"/>
      <c r="BB2044" s="209">
        <v>23053184</v>
      </c>
    </row>
    <row r="2045" spans="1:54" ht="25.15" hidden="1" customHeight="1">
      <c r="B2045" s="345">
        <v>45736</v>
      </c>
      <c r="C2045" s="346">
        <v>45754</v>
      </c>
      <c r="D2045" s="185">
        <f t="shared" si="701"/>
        <v>2025</v>
      </c>
      <c r="E2045" s="347" t="e">
        <f>VLOOKUP($B2045,Week!$A$1:$C$1462,2,0)</f>
        <v>#N/A</v>
      </c>
      <c r="F2045" s="348" t="str">
        <f t="shared" si="702"/>
        <v>Mar</v>
      </c>
      <c r="G2045" s="347" t="s">
        <v>1808</v>
      </c>
      <c r="H2045" s="347" t="s">
        <v>424</v>
      </c>
      <c r="I2045" s="347" t="s">
        <v>2772</v>
      </c>
      <c r="J2045" s="438" t="s">
        <v>425</v>
      </c>
      <c r="K2045" s="350" t="s">
        <v>176</v>
      </c>
      <c r="L2045" s="300" t="s">
        <v>2167</v>
      </c>
      <c r="M2045" s="349" t="s">
        <v>426</v>
      </c>
      <c r="N2045" s="347" t="s">
        <v>427</v>
      </c>
      <c r="O2045" s="347" t="s">
        <v>599</v>
      </c>
      <c r="P2045" s="351">
        <v>36</v>
      </c>
      <c r="Q2045" s="351">
        <v>5</v>
      </c>
      <c r="R2045" s="352">
        <v>7.4999999999999997E-3</v>
      </c>
      <c r="S2045" s="347" t="s">
        <v>111</v>
      </c>
      <c r="T2045" s="347" t="s">
        <v>112</v>
      </c>
      <c r="U2045" s="347" t="s">
        <v>57</v>
      </c>
      <c r="V2045" s="353">
        <v>1288</v>
      </c>
      <c r="W2045" s="353">
        <f>53+1204</f>
        <v>1257</v>
      </c>
      <c r="X2045" s="354">
        <f>1116/36</f>
        <v>31</v>
      </c>
      <c r="Y2045" s="355">
        <f t="shared" ref="Y2045:Y2060" si="735">(W2045+X2045)-V2045</f>
        <v>0</v>
      </c>
      <c r="Z2045" s="356">
        <f t="shared" si="729"/>
        <v>0</v>
      </c>
      <c r="AA2045" s="353">
        <f t="shared" si="703"/>
        <v>0</v>
      </c>
      <c r="AB2045" s="818">
        <v>7.4999999999999997E-3</v>
      </c>
      <c r="AC2045" s="353">
        <f t="shared" ref="AC2045:AC2050" si="736">Z2045*AB2045</f>
        <v>0</v>
      </c>
      <c r="AD2045" s="307" t="s">
        <v>2003</v>
      </c>
      <c r="AE2045" s="210">
        <f t="shared" si="734"/>
        <v>0</v>
      </c>
      <c r="AF2045" s="210">
        <f t="shared" ref="AF2045:AF2050" si="737">AE2045/0.54</f>
        <v>0</v>
      </c>
      <c r="AG2045" s="211">
        <f t="shared" si="731"/>
        <v>0.14799999999999999</v>
      </c>
      <c r="AH2045" s="157">
        <f t="shared" ref="AH2045:AH2050" si="738">(Z2045*AG2045)/1000</f>
        <v>0</v>
      </c>
      <c r="AI2045" s="152">
        <f t="shared" si="733"/>
        <v>46368</v>
      </c>
      <c r="AK2045" s="156" t="s">
        <v>691</v>
      </c>
      <c r="AL2045" s="574" t="s">
        <v>690</v>
      </c>
      <c r="AM2045" s="198">
        <f t="shared" si="727"/>
        <v>0</v>
      </c>
      <c r="AN2045" s="199">
        <f t="shared" si="705"/>
        <v>45736</v>
      </c>
      <c r="AO2045" s="159" t="s">
        <v>692</v>
      </c>
      <c r="AP2045" s="783" t="s">
        <v>609</v>
      </c>
      <c r="AQ2045" s="782">
        <v>12071839</v>
      </c>
      <c r="AR2045" s="782">
        <v>12080260</v>
      </c>
      <c r="AS2045" s="782">
        <v>12080259</v>
      </c>
      <c r="AT2045" s="782">
        <v>12094039</v>
      </c>
      <c r="AU2045" s="782"/>
      <c r="AV2045" s="782">
        <v>12062100</v>
      </c>
      <c r="AW2045" s="782">
        <v>12024404</v>
      </c>
      <c r="AX2045" s="781"/>
      <c r="AY2045" s="782">
        <v>12094024</v>
      </c>
      <c r="AZ2045" s="782"/>
      <c r="BA2045" s="781"/>
      <c r="BB2045" s="209">
        <v>23053185</v>
      </c>
    </row>
    <row r="2046" spans="1:54" ht="24.75" hidden="1" customHeight="1">
      <c r="B2046" s="333">
        <v>45736</v>
      </c>
      <c r="C2046" s="333">
        <v>45750</v>
      </c>
      <c r="D2046" s="185">
        <f t="shared" si="701"/>
        <v>2025</v>
      </c>
      <c r="E2046" s="335" t="e">
        <f>VLOOKUP($B2046,Week!$A$1:$C$1462,2,0)</f>
        <v>#N/A</v>
      </c>
      <c r="F2046" s="334" t="str">
        <f t="shared" si="702"/>
        <v>Mar</v>
      </c>
      <c r="G2046" s="335" t="s">
        <v>2050</v>
      </c>
      <c r="H2046" s="335" t="s">
        <v>363</v>
      </c>
      <c r="I2046" s="335" t="s">
        <v>2772</v>
      </c>
      <c r="J2046" s="336" t="s">
        <v>364</v>
      </c>
      <c r="K2046" s="337" t="s">
        <v>176</v>
      </c>
      <c r="L2046" s="300" t="s">
        <v>2167</v>
      </c>
      <c r="M2046" s="382" t="s">
        <v>646</v>
      </c>
      <c r="N2046" s="335" t="s">
        <v>647</v>
      </c>
      <c r="O2046" s="335" t="s">
        <v>599</v>
      </c>
      <c r="P2046" s="338">
        <v>36</v>
      </c>
      <c r="Q2046" s="338">
        <v>5</v>
      </c>
      <c r="R2046" s="339">
        <v>8.0000000000000002E-3</v>
      </c>
      <c r="S2046" s="335" t="s">
        <v>40</v>
      </c>
      <c r="T2046" s="335" t="s">
        <v>112</v>
      </c>
      <c r="U2046" s="335" t="s">
        <v>57</v>
      </c>
      <c r="V2046" s="341">
        <v>889</v>
      </c>
      <c r="W2046" s="341">
        <f>34+855</f>
        <v>889</v>
      </c>
      <c r="X2046" s="342"/>
      <c r="Y2046" s="343">
        <f t="shared" si="735"/>
        <v>0</v>
      </c>
      <c r="Z2046" s="344">
        <f t="shared" si="729"/>
        <v>0</v>
      </c>
      <c r="AA2046" s="344">
        <f t="shared" si="703"/>
        <v>0</v>
      </c>
      <c r="AB2046" s="821">
        <v>7.4999999999999997E-3</v>
      </c>
      <c r="AC2046" s="341">
        <f t="shared" si="736"/>
        <v>0</v>
      </c>
      <c r="AD2046" s="209"/>
      <c r="AE2046" s="210">
        <f t="shared" si="734"/>
        <v>0</v>
      </c>
      <c r="AF2046" s="210">
        <f t="shared" si="737"/>
        <v>0</v>
      </c>
      <c r="AG2046" s="211">
        <f t="shared" si="731"/>
        <v>0.14799999999999999</v>
      </c>
      <c r="AH2046" s="157">
        <f t="shared" si="738"/>
        <v>0</v>
      </c>
      <c r="AI2046" s="152">
        <f t="shared" si="733"/>
        <v>32004</v>
      </c>
      <c r="AK2046" s="156" t="s">
        <v>691</v>
      </c>
      <c r="AL2046" s="574" t="s">
        <v>690</v>
      </c>
      <c r="AM2046" s="198">
        <f t="shared" si="727"/>
        <v>0</v>
      </c>
      <c r="AN2046" s="199">
        <f t="shared" si="705"/>
        <v>45736</v>
      </c>
      <c r="AO2046" s="159" t="s">
        <v>692</v>
      </c>
      <c r="AP2046" s="781"/>
      <c r="AQ2046" s="782">
        <v>12071839</v>
      </c>
      <c r="AR2046" s="782">
        <v>12047514</v>
      </c>
      <c r="AS2046" s="782">
        <v>12047515</v>
      </c>
      <c r="AT2046" s="782">
        <v>12084374</v>
      </c>
      <c r="AU2046" s="781"/>
      <c r="AV2046" s="782">
        <v>12084372</v>
      </c>
      <c r="AW2046" s="782">
        <v>12024404</v>
      </c>
      <c r="AX2046" s="782"/>
      <c r="AY2046" s="782">
        <v>12084373</v>
      </c>
      <c r="AZ2046" s="782"/>
      <c r="BA2046" s="781"/>
      <c r="BB2046" s="209">
        <v>23053185</v>
      </c>
    </row>
    <row r="2047" spans="1:54" ht="25" hidden="1" customHeight="1">
      <c r="A2047" s="630" t="s">
        <v>120</v>
      </c>
      <c r="B2047" s="466">
        <v>45736</v>
      </c>
      <c r="C2047" s="467">
        <v>45747</v>
      </c>
      <c r="D2047" s="185">
        <f t="shared" si="701"/>
        <v>2025</v>
      </c>
      <c r="E2047" s="468" t="e">
        <f>VLOOKUP($B2047,Week!$A$1:$C$1462,2,0)</f>
        <v>#N/A</v>
      </c>
      <c r="F2047" s="469" t="str">
        <f t="shared" si="702"/>
        <v>Mar</v>
      </c>
      <c r="G2047" s="470" t="s">
        <v>2040</v>
      </c>
      <c r="H2047" s="468" t="s">
        <v>82</v>
      </c>
      <c r="I2047" s="468" t="s">
        <v>82</v>
      </c>
      <c r="J2047" s="471" t="s">
        <v>720</v>
      </c>
      <c r="K2047" s="472" t="s">
        <v>85</v>
      </c>
      <c r="L2047" s="390" t="s">
        <v>2166</v>
      </c>
      <c r="M2047" s="471" t="s">
        <v>579</v>
      </c>
      <c r="N2047" s="468" t="s">
        <v>580</v>
      </c>
      <c r="O2047" s="468" t="s">
        <v>581</v>
      </c>
      <c r="P2047" s="473">
        <v>8</v>
      </c>
      <c r="Q2047" s="473">
        <v>60</v>
      </c>
      <c r="R2047" s="474">
        <v>6.8100000000000001E-3</v>
      </c>
      <c r="S2047" s="468" t="s">
        <v>76</v>
      </c>
      <c r="T2047" s="468" t="s">
        <v>56</v>
      </c>
      <c r="U2047" s="468" t="s">
        <v>89</v>
      </c>
      <c r="V2047" s="475">
        <v>732</v>
      </c>
      <c r="W2047" s="475">
        <f>18+714</f>
        <v>732</v>
      </c>
      <c r="X2047" s="476"/>
      <c r="Y2047" s="477">
        <f t="shared" si="735"/>
        <v>0</v>
      </c>
      <c r="Z2047" s="478">
        <f t="shared" si="729"/>
        <v>0</v>
      </c>
      <c r="AA2047" s="478">
        <f t="shared" si="703"/>
        <v>0</v>
      </c>
      <c r="AB2047" s="828">
        <v>6</v>
      </c>
      <c r="AC2047" s="475">
        <f t="shared" si="736"/>
        <v>0</v>
      </c>
      <c r="AD2047" s="209"/>
      <c r="AE2047" s="210">
        <f t="shared" si="734"/>
        <v>0</v>
      </c>
      <c r="AF2047" s="210">
        <f t="shared" si="737"/>
        <v>0</v>
      </c>
      <c r="AG2047" s="211">
        <f t="shared" si="731"/>
        <v>0.75</v>
      </c>
      <c r="AH2047" s="157">
        <f t="shared" si="738"/>
        <v>0</v>
      </c>
      <c r="AI2047" s="152">
        <f t="shared" si="733"/>
        <v>5856</v>
      </c>
      <c r="AK2047" s="156" t="s">
        <v>691</v>
      </c>
      <c r="AL2047" s="156" t="s">
        <v>689</v>
      </c>
      <c r="AM2047" s="198">
        <f t="shared" si="727"/>
        <v>0</v>
      </c>
      <c r="AN2047" s="199">
        <f t="shared" si="705"/>
        <v>45736</v>
      </c>
      <c r="AO2047" s="159" t="s">
        <v>692</v>
      </c>
      <c r="AP2047" s="783" t="s">
        <v>622</v>
      </c>
      <c r="AQ2047" s="782">
        <v>12088677</v>
      </c>
      <c r="AR2047" s="782" t="s">
        <v>2142</v>
      </c>
      <c r="AS2047" s="782"/>
      <c r="AT2047" s="782">
        <v>12082897</v>
      </c>
      <c r="AU2047" s="781"/>
      <c r="AV2047" s="782">
        <v>12082898</v>
      </c>
      <c r="AW2047" s="782">
        <v>12082899</v>
      </c>
      <c r="AX2047" s="796" t="s">
        <v>621</v>
      </c>
      <c r="AY2047" s="782"/>
      <c r="AZ2047" s="782"/>
      <c r="BA2047" s="781"/>
      <c r="BB2047" s="209">
        <v>23053184</v>
      </c>
    </row>
    <row r="2048" spans="1:54" ht="24.75" hidden="1" customHeight="1">
      <c r="A2048" s="142" t="s">
        <v>120</v>
      </c>
      <c r="B2048" s="308">
        <v>45736</v>
      </c>
      <c r="C2048" s="644" t="s">
        <v>1928</v>
      </c>
      <c r="D2048" s="185">
        <f t="shared" si="701"/>
        <v>2025</v>
      </c>
      <c r="E2048" s="519" t="e">
        <f>VLOOKUP($B2048,Week!$A$1:$C$1462,2,0)</f>
        <v>#N/A</v>
      </c>
      <c r="F2048" s="520" t="str">
        <f t="shared" si="702"/>
        <v>Mar</v>
      </c>
      <c r="G2048" s="644" t="s">
        <v>47</v>
      </c>
      <c r="H2048" s="311" t="s">
        <v>518</v>
      </c>
      <c r="I2048" s="311" t="s">
        <v>2702</v>
      </c>
      <c r="J2048" s="312" t="s">
        <v>70</v>
      </c>
      <c r="K2048" s="313" t="s">
        <v>85</v>
      </c>
      <c r="L2048" s="390" t="s">
        <v>2166</v>
      </c>
      <c r="M2048" s="312" t="s">
        <v>515</v>
      </c>
      <c r="N2048" s="311" t="s">
        <v>588</v>
      </c>
      <c r="O2048" s="311" t="s">
        <v>546</v>
      </c>
      <c r="P2048" s="314">
        <v>12</v>
      </c>
      <c r="Q2048" s="314">
        <v>20</v>
      </c>
      <c r="R2048" s="315">
        <v>6.1999999999999998E-3</v>
      </c>
      <c r="S2048" s="311" t="s">
        <v>352</v>
      </c>
      <c r="T2048" s="311" t="s">
        <v>56</v>
      </c>
      <c r="U2048" s="311"/>
      <c r="V2048" s="316">
        <f>49</f>
        <v>49</v>
      </c>
      <c r="W2048" s="316">
        <v>49</v>
      </c>
      <c r="X2048" s="317"/>
      <c r="Y2048" s="318">
        <f t="shared" si="735"/>
        <v>0</v>
      </c>
      <c r="Z2048" s="319">
        <f t="shared" si="729"/>
        <v>0</v>
      </c>
      <c r="AA2048" s="319">
        <f t="shared" si="703"/>
        <v>0</v>
      </c>
      <c r="AB2048" s="815"/>
      <c r="AC2048" s="316">
        <f>Z2048*AB2048</f>
        <v>0</v>
      </c>
      <c r="AD2048" s="209"/>
      <c r="AE2048" s="210">
        <f t="shared" si="734"/>
        <v>0</v>
      </c>
      <c r="AF2048" s="210">
        <f>AE2048/0.54</f>
        <v>0</v>
      </c>
      <c r="AG2048" s="211">
        <f t="shared" si="731"/>
        <v>0.22</v>
      </c>
      <c r="AH2048" s="157">
        <f t="shared" si="738"/>
        <v>0</v>
      </c>
      <c r="AI2048" s="152">
        <f t="shared" si="733"/>
        <v>588</v>
      </c>
      <c r="AK2048" s="156" t="s">
        <v>691</v>
      </c>
      <c r="AL2048" s="156" t="s">
        <v>689</v>
      </c>
      <c r="AM2048" s="198">
        <f t="shared" si="727"/>
        <v>0</v>
      </c>
      <c r="AN2048" s="199">
        <f t="shared" si="705"/>
        <v>45736</v>
      </c>
      <c r="AO2048" s="159" t="s">
        <v>692</v>
      </c>
      <c r="AP2048" s="783" t="s">
        <v>613</v>
      </c>
      <c r="AQ2048" s="782"/>
      <c r="AR2048" s="782" t="s">
        <v>614</v>
      </c>
      <c r="AS2048" s="782"/>
      <c r="AT2048" s="782"/>
      <c r="AU2048" s="781"/>
      <c r="AV2048" s="782">
        <v>12083143</v>
      </c>
      <c r="AW2048" s="782"/>
      <c r="AX2048" s="782" t="s">
        <v>2187</v>
      </c>
      <c r="AY2048" s="782"/>
      <c r="AZ2048" s="782"/>
      <c r="BA2048" s="781"/>
      <c r="BB2048" s="209"/>
    </row>
    <row r="2049" spans="1:54" ht="24.75" hidden="1" customHeight="1">
      <c r="B2049" s="333">
        <v>45737</v>
      </c>
      <c r="C2049" s="333">
        <v>45750</v>
      </c>
      <c r="D2049" s="185">
        <f t="shared" si="701"/>
        <v>2025</v>
      </c>
      <c r="E2049" s="335" t="e">
        <f>VLOOKUP($B2049,Week!$A$1:$C$1462,2,0)</f>
        <v>#N/A</v>
      </c>
      <c r="F2049" s="334" t="str">
        <f t="shared" si="702"/>
        <v>Mar</v>
      </c>
      <c r="G2049" s="335" t="s">
        <v>2050</v>
      </c>
      <c r="H2049" s="335" t="s">
        <v>363</v>
      </c>
      <c r="I2049" s="335" t="s">
        <v>2772</v>
      </c>
      <c r="J2049" s="336" t="s">
        <v>364</v>
      </c>
      <c r="K2049" s="337" t="s">
        <v>176</v>
      </c>
      <c r="L2049" s="300" t="s">
        <v>2167</v>
      </c>
      <c r="M2049" s="382" t="s">
        <v>646</v>
      </c>
      <c r="N2049" s="335" t="s">
        <v>647</v>
      </c>
      <c r="O2049" s="335" t="s">
        <v>599</v>
      </c>
      <c r="P2049" s="338">
        <v>36</v>
      </c>
      <c r="Q2049" s="338">
        <v>5</v>
      </c>
      <c r="R2049" s="339">
        <v>8.0000000000000002E-3</v>
      </c>
      <c r="S2049" s="335" t="s">
        <v>40</v>
      </c>
      <c r="T2049" s="335" t="s">
        <v>112</v>
      </c>
      <c r="U2049" s="335" t="s">
        <v>57</v>
      </c>
      <c r="V2049" s="341">
        <f>1288-889</f>
        <v>399</v>
      </c>
      <c r="W2049" s="341">
        <v>399</v>
      </c>
      <c r="X2049" s="342"/>
      <c r="Y2049" s="343">
        <f t="shared" si="735"/>
        <v>0</v>
      </c>
      <c r="Z2049" s="344">
        <f t="shared" si="729"/>
        <v>0</v>
      </c>
      <c r="AA2049" s="344">
        <f t="shared" si="703"/>
        <v>0</v>
      </c>
      <c r="AB2049" s="821">
        <v>7.4999999999999997E-3</v>
      </c>
      <c r="AC2049" s="341">
        <f t="shared" si="736"/>
        <v>0</v>
      </c>
      <c r="AD2049" s="209"/>
      <c r="AE2049" s="210">
        <f t="shared" si="734"/>
        <v>0</v>
      </c>
      <c r="AF2049" s="210">
        <f t="shared" si="737"/>
        <v>0</v>
      </c>
      <c r="AG2049" s="211">
        <f t="shared" si="731"/>
        <v>0.14799999999999999</v>
      </c>
      <c r="AH2049" s="157">
        <f t="shared" si="738"/>
        <v>0</v>
      </c>
      <c r="AI2049" s="152">
        <f t="shared" si="733"/>
        <v>14364</v>
      </c>
      <c r="AK2049" s="156" t="s">
        <v>691</v>
      </c>
      <c r="AL2049" s="574" t="s">
        <v>690</v>
      </c>
      <c r="AM2049" s="198">
        <f t="shared" si="727"/>
        <v>0</v>
      </c>
      <c r="AN2049" s="199">
        <f t="shared" si="705"/>
        <v>45737</v>
      </c>
      <c r="AO2049" s="159" t="s">
        <v>692</v>
      </c>
      <c r="AP2049" s="781"/>
      <c r="AQ2049" s="782">
        <v>12071839</v>
      </c>
      <c r="AR2049" s="782">
        <v>12047514</v>
      </c>
      <c r="AS2049" s="782">
        <v>12047515</v>
      </c>
      <c r="AT2049" s="782">
        <v>12084374</v>
      </c>
      <c r="AU2049" s="781"/>
      <c r="AV2049" s="782">
        <v>12084372</v>
      </c>
      <c r="AW2049" s="782">
        <v>12024404</v>
      </c>
      <c r="AX2049" s="782"/>
      <c r="AY2049" s="782">
        <v>12084373</v>
      </c>
      <c r="AZ2049" s="782"/>
      <c r="BA2049" s="781"/>
      <c r="BB2049" s="209">
        <v>23053185</v>
      </c>
    </row>
    <row r="2050" spans="1:54" ht="24.75" hidden="1" customHeight="1">
      <c r="B2050" s="333">
        <v>45737</v>
      </c>
      <c r="C2050" s="333">
        <v>45750</v>
      </c>
      <c r="D2050" s="185">
        <f t="shared" si="701"/>
        <v>2025</v>
      </c>
      <c r="E2050" s="335" t="e">
        <f>VLOOKUP($B2050,Week!$A$1:$C$1462,2,0)</f>
        <v>#N/A</v>
      </c>
      <c r="F2050" s="334" t="str">
        <f t="shared" si="702"/>
        <v>Mar</v>
      </c>
      <c r="G2050" s="335" t="s">
        <v>2051</v>
      </c>
      <c r="H2050" s="335" t="s">
        <v>363</v>
      </c>
      <c r="I2050" s="335" t="s">
        <v>2772</v>
      </c>
      <c r="J2050" s="336" t="s">
        <v>364</v>
      </c>
      <c r="K2050" s="337" t="s">
        <v>176</v>
      </c>
      <c r="L2050" s="300" t="s">
        <v>2167</v>
      </c>
      <c r="M2050" s="382" t="s">
        <v>646</v>
      </c>
      <c r="N2050" s="335" t="s">
        <v>647</v>
      </c>
      <c r="O2050" s="335" t="s">
        <v>599</v>
      </c>
      <c r="P2050" s="338">
        <v>36</v>
      </c>
      <c r="Q2050" s="338">
        <v>5</v>
      </c>
      <c r="R2050" s="339">
        <v>8.0000000000000002E-3</v>
      </c>
      <c r="S2050" s="335" t="s">
        <v>40</v>
      </c>
      <c r="T2050" s="335" t="s">
        <v>112</v>
      </c>
      <c r="U2050" s="335" t="s">
        <v>57</v>
      </c>
      <c r="V2050" s="341">
        <f>1288</f>
        <v>1288</v>
      </c>
      <c r="W2050" s="341">
        <f>1686-399+1</f>
        <v>1288</v>
      </c>
      <c r="X2050" s="342"/>
      <c r="Y2050" s="343">
        <f t="shared" si="735"/>
        <v>0</v>
      </c>
      <c r="Z2050" s="344">
        <f t="shared" si="729"/>
        <v>0</v>
      </c>
      <c r="AA2050" s="344">
        <f t="shared" si="703"/>
        <v>0</v>
      </c>
      <c r="AB2050" s="821">
        <v>7.4999999999999997E-3</v>
      </c>
      <c r="AC2050" s="341">
        <f t="shared" si="736"/>
        <v>0</v>
      </c>
      <c r="AD2050" s="209"/>
      <c r="AE2050" s="210">
        <f t="shared" si="734"/>
        <v>0</v>
      </c>
      <c r="AF2050" s="210">
        <f t="shared" si="737"/>
        <v>0</v>
      </c>
      <c r="AG2050" s="211">
        <f t="shared" si="731"/>
        <v>0.14799999999999999</v>
      </c>
      <c r="AH2050" s="157">
        <f t="shared" si="738"/>
        <v>0</v>
      </c>
      <c r="AI2050" s="152">
        <f t="shared" si="733"/>
        <v>46368</v>
      </c>
      <c r="AK2050" s="156" t="s">
        <v>691</v>
      </c>
      <c r="AL2050" s="574" t="s">
        <v>690</v>
      </c>
      <c r="AM2050" s="198">
        <f t="shared" si="727"/>
        <v>0</v>
      </c>
      <c r="AN2050" s="199">
        <f t="shared" si="705"/>
        <v>45737</v>
      </c>
      <c r="AO2050" s="159" t="s">
        <v>692</v>
      </c>
      <c r="AP2050" s="781"/>
      <c r="AQ2050" s="782">
        <v>12071839</v>
      </c>
      <c r="AR2050" s="782">
        <v>12047514</v>
      </c>
      <c r="AS2050" s="782">
        <v>12047515</v>
      </c>
      <c r="AT2050" s="782">
        <v>12084374</v>
      </c>
      <c r="AU2050" s="781"/>
      <c r="AV2050" s="782">
        <v>12084372</v>
      </c>
      <c r="AW2050" s="782">
        <v>12024404</v>
      </c>
      <c r="AX2050" s="782"/>
      <c r="AY2050" s="782" t="s">
        <v>2154</v>
      </c>
      <c r="AZ2050" s="782"/>
      <c r="BA2050" s="781"/>
      <c r="BB2050" s="209">
        <v>23053185</v>
      </c>
    </row>
    <row r="2051" spans="1:54" ht="25" hidden="1" customHeight="1">
      <c r="B2051" s="332">
        <v>45737</v>
      </c>
      <c r="C2051" s="333">
        <v>45750</v>
      </c>
      <c r="D2051" s="185">
        <f t="shared" si="701"/>
        <v>2025</v>
      </c>
      <c r="E2051" s="333" t="e">
        <f>VLOOKUP($B2051,Week!$A$1:$C$1462,2,0)</f>
        <v>#N/A</v>
      </c>
      <c r="F2051" s="334" t="str">
        <f t="shared" si="702"/>
        <v>Mar</v>
      </c>
      <c r="G2051" s="335" t="s">
        <v>2020</v>
      </c>
      <c r="H2051" s="335" t="s">
        <v>675</v>
      </c>
      <c r="I2051" s="335" t="s">
        <v>2772</v>
      </c>
      <c r="J2051" s="336" t="s">
        <v>709</v>
      </c>
      <c r="K2051" s="337" t="s">
        <v>1652</v>
      </c>
      <c r="L2051" s="300" t="s">
        <v>2167</v>
      </c>
      <c r="M2051" s="336" t="s">
        <v>682</v>
      </c>
      <c r="N2051" s="530" t="s">
        <v>712</v>
      </c>
      <c r="O2051" s="335" t="s">
        <v>602</v>
      </c>
      <c r="P2051" s="338">
        <v>8</v>
      </c>
      <c r="Q2051" s="338">
        <v>3</v>
      </c>
      <c r="R2051" s="339">
        <v>6.0000000000000001E-3</v>
      </c>
      <c r="S2051" s="335" t="s">
        <v>55</v>
      </c>
      <c r="T2051" s="335" t="s">
        <v>112</v>
      </c>
      <c r="U2051" s="340" t="s">
        <v>724</v>
      </c>
      <c r="V2051" s="341">
        <f>864</f>
        <v>864</v>
      </c>
      <c r="W2051" s="341"/>
      <c r="X2051" s="342">
        <f>(924+309+5753+208)/8</f>
        <v>899.25</v>
      </c>
      <c r="Y2051" s="343">
        <f t="shared" si="735"/>
        <v>35.25</v>
      </c>
      <c r="Z2051" s="344">
        <f t="shared" si="729"/>
        <v>0</v>
      </c>
      <c r="AA2051" s="344">
        <f t="shared" si="703"/>
        <v>0</v>
      </c>
      <c r="AB2051" s="817">
        <v>5.8999999999999997E-2</v>
      </c>
      <c r="AC2051" s="341">
        <f t="shared" ref="AC2051:AC2082" si="739">Z2051*AB2051</f>
        <v>0</v>
      </c>
      <c r="AD2051" s="443" t="s">
        <v>2197</v>
      </c>
      <c r="AE2051" s="210">
        <f t="shared" si="734"/>
        <v>0</v>
      </c>
      <c r="AF2051" s="210">
        <f t="shared" ref="AF2051:AF2056" si="740">AE2051/0.54</f>
        <v>0</v>
      </c>
      <c r="AG2051" s="211">
        <f t="shared" si="731"/>
        <v>0.30199999999999999</v>
      </c>
      <c r="AH2051" s="157">
        <v>0.26621999999999996</v>
      </c>
      <c r="AI2051" s="152">
        <f t="shared" si="733"/>
        <v>6912</v>
      </c>
      <c r="AK2051" s="156" t="s">
        <v>691</v>
      </c>
      <c r="AL2051" s="574" t="s">
        <v>690</v>
      </c>
      <c r="AM2051" s="198">
        <f t="shared" si="727"/>
        <v>0</v>
      </c>
      <c r="AN2051" s="199">
        <f t="shared" si="705"/>
        <v>45737</v>
      </c>
      <c r="AO2051" s="159" t="s">
        <v>692</v>
      </c>
      <c r="AP2051" s="781" t="s">
        <v>642</v>
      </c>
      <c r="AQ2051" s="782">
        <v>12063755</v>
      </c>
      <c r="AR2051" s="782">
        <v>12061353</v>
      </c>
      <c r="AS2051" s="782">
        <v>12061354</v>
      </c>
      <c r="AT2051" s="782">
        <v>12090030</v>
      </c>
      <c r="AU2051" s="781"/>
      <c r="AV2051" s="782">
        <v>12089992</v>
      </c>
      <c r="AW2051" s="782"/>
      <c r="AX2051" s="782"/>
      <c r="AY2051" s="782"/>
      <c r="AZ2051" s="782"/>
      <c r="BA2051" s="781"/>
      <c r="BB2051" s="209">
        <v>23099860</v>
      </c>
    </row>
    <row r="2052" spans="1:54" ht="25" hidden="1" customHeight="1">
      <c r="A2052" s="630" t="s">
        <v>120</v>
      </c>
      <c r="B2052" s="466">
        <v>45737</v>
      </c>
      <c r="C2052" s="467">
        <v>45747</v>
      </c>
      <c r="D2052" s="185">
        <f t="shared" si="701"/>
        <v>2025</v>
      </c>
      <c r="E2052" s="468" t="e">
        <f>VLOOKUP($B2052,Week!$A$1:$C$1462,2,0)</f>
        <v>#N/A</v>
      </c>
      <c r="F2052" s="469" t="str">
        <f t="shared" si="702"/>
        <v>Mar</v>
      </c>
      <c r="G2052" s="470" t="s">
        <v>2040</v>
      </c>
      <c r="H2052" s="468" t="s">
        <v>82</v>
      </c>
      <c r="I2052" s="468" t="s">
        <v>82</v>
      </c>
      <c r="J2052" s="471" t="s">
        <v>720</v>
      </c>
      <c r="K2052" s="472" t="s">
        <v>85</v>
      </c>
      <c r="L2052" s="390" t="s">
        <v>2166</v>
      </c>
      <c r="M2052" s="471" t="s">
        <v>579</v>
      </c>
      <c r="N2052" s="468" t="s">
        <v>580</v>
      </c>
      <c r="O2052" s="468" t="s">
        <v>581</v>
      </c>
      <c r="P2052" s="473">
        <v>8</v>
      </c>
      <c r="Q2052" s="473">
        <v>60</v>
      </c>
      <c r="R2052" s="474">
        <v>6.8100000000000001E-3</v>
      </c>
      <c r="S2052" s="468" t="s">
        <v>76</v>
      </c>
      <c r="T2052" s="468" t="s">
        <v>56</v>
      </c>
      <c r="U2052" s="468" t="s">
        <v>89</v>
      </c>
      <c r="V2052" s="475">
        <f>1408-732</f>
        <v>676</v>
      </c>
      <c r="W2052" s="475">
        <v>676</v>
      </c>
      <c r="X2052" s="476"/>
      <c r="Y2052" s="477">
        <f t="shared" si="735"/>
        <v>0</v>
      </c>
      <c r="Z2052" s="478">
        <f t="shared" si="729"/>
        <v>0</v>
      </c>
      <c r="AA2052" s="478">
        <f t="shared" si="703"/>
        <v>0</v>
      </c>
      <c r="AB2052" s="828">
        <v>6</v>
      </c>
      <c r="AC2052" s="475">
        <f t="shared" si="739"/>
        <v>0</v>
      </c>
      <c r="AD2052" s="209"/>
      <c r="AE2052" s="210">
        <f t="shared" si="734"/>
        <v>0</v>
      </c>
      <c r="AF2052" s="210">
        <f t="shared" si="740"/>
        <v>0</v>
      </c>
      <c r="AG2052" s="211">
        <f t="shared" si="731"/>
        <v>0.75</v>
      </c>
      <c r="AH2052" s="157">
        <f>(Z2052*AG2052)/1000</f>
        <v>0</v>
      </c>
      <c r="AI2052" s="152">
        <f t="shared" si="733"/>
        <v>5408</v>
      </c>
      <c r="AK2052" s="156" t="s">
        <v>691</v>
      </c>
      <c r="AL2052" s="156" t="s">
        <v>689</v>
      </c>
      <c r="AM2052" s="198">
        <f t="shared" si="727"/>
        <v>0</v>
      </c>
      <c r="AN2052" s="199">
        <f t="shared" si="705"/>
        <v>45737</v>
      </c>
      <c r="AO2052" s="159" t="s">
        <v>692</v>
      </c>
      <c r="AP2052" s="783" t="s">
        <v>622</v>
      </c>
      <c r="AQ2052" s="782">
        <v>12088677</v>
      </c>
      <c r="AR2052" s="782" t="s">
        <v>2142</v>
      </c>
      <c r="AS2052" s="782"/>
      <c r="AT2052" s="782">
        <v>12082897</v>
      </c>
      <c r="AU2052" s="781"/>
      <c r="AV2052" s="782">
        <v>12082898</v>
      </c>
      <c r="AW2052" s="782">
        <v>12082899</v>
      </c>
      <c r="AX2052" s="796" t="s">
        <v>621</v>
      </c>
      <c r="AY2052" s="782"/>
      <c r="AZ2052" s="782"/>
      <c r="BA2052" s="781"/>
      <c r="BB2052" s="209">
        <v>23053184</v>
      </c>
    </row>
    <row r="2053" spans="1:54" ht="25" hidden="1" customHeight="1">
      <c r="A2053" s="754" t="s">
        <v>438</v>
      </c>
      <c r="B2053" s="332">
        <v>45738</v>
      </c>
      <c r="C2053" s="333">
        <v>45750</v>
      </c>
      <c r="D2053" s="185">
        <f t="shared" ref="D2053:D2116" si="741">IF(B2053="","",YEAR(B2053))</f>
        <v>2025</v>
      </c>
      <c r="E2053" s="335" t="e">
        <f>VLOOKUP($B2053,Week!$A$1:$C$1462,2,0)</f>
        <v>#N/A</v>
      </c>
      <c r="F2053" s="334" t="str">
        <f t="shared" ref="F2053:F2116" si="742">IF(B2053="","",TEXT(B2053,"[$-409]mmm"))</f>
        <v>Mar</v>
      </c>
      <c r="G2053" s="530" t="s">
        <v>2020</v>
      </c>
      <c r="H2053" s="335" t="s">
        <v>675</v>
      </c>
      <c r="I2053" s="335" t="s">
        <v>2772</v>
      </c>
      <c r="J2053" s="336" t="s">
        <v>709</v>
      </c>
      <c r="K2053" s="337" t="s">
        <v>671</v>
      </c>
      <c r="L2053" s="300" t="s">
        <v>2167</v>
      </c>
      <c r="M2053" s="336" t="s">
        <v>661</v>
      </c>
      <c r="N2053" s="335" t="s">
        <v>714</v>
      </c>
      <c r="O2053" s="335" t="s">
        <v>566</v>
      </c>
      <c r="P2053" s="338">
        <v>16</v>
      </c>
      <c r="Q2053" s="338">
        <v>6</v>
      </c>
      <c r="R2053" s="339">
        <v>8.1300000000000001E-3</v>
      </c>
      <c r="S2053" s="335" t="s">
        <v>55</v>
      </c>
      <c r="T2053" s="335" t="s">
        <v>112</v>
      </c>
      <c r="U2053" s="335" t="s">
        <v>662</v>
      </c>
      <c r="V2053" s="341">
        <f>372</f>
        <v>372</v>
      </c>
      <c r="W2053" s="341">
        <v>372</v>
      </c>
      <c r="X2053" s="342"/>
      <c r="Y2053" s="343">
        <f t="shared" si="735"/>
        <v>0</v>
      </c>
      <c r="Z2053" s="344">
        <f t="shared" si="729"/>
        <v>0</v>
      </c>
      <c r="AA2053" s="344">
        <f t="shared" ref="AA2053:AA2116" si="743">Q2053*Z2053</f>
        <v>0</v>
      </c>
      <c r="AB2053" s="817">
        <v>1</v>
      </c>
      <c r="AC2053" s="341">
        <f t="shared" si="739"/>
        <v>0</v>
      </c>
      <c r="AD2053" s="336" t="s">
        <v>2295</v>
      </c>
      <c r="AE2053" s="533">
        <f t="shared" si="734"/>
        <v>0</v>
      </c>
      <c r="AF2053" s="533">
        <f t="shared" si="740"/>
        <v>0</v>
      </c>
      <c r="AG2053" s="211">
        <f t="shared" si="731"/>
        <v>0.11700000000000001</v>
      </c>
      <c r="AH2053" s="157">
        <f>(Z2053*AG2053)/1000</f>
        <v>0</v>
      </c>
      <c r="AI2053" s="152">
        <f t="shared" si="733"/>
        <v>5952</v>
      </c>
      <c r="AK2053" s="156" t="s">
        <v>691</v>
      </c>
      <c r="AL2053" s="212" t="s">
        <v>690</v>
      </c>
      <c r="AM2053" s="198">
        <f t="shared" si="727"/>
        <v>0</v>
      </c>
      <c r="AN2053" s="199">
        <f t="shared" ref="AN2053:AN2116" si="744">B2053</f>
        <v>45738</v>
      </c>
      <c r="AO2053" s="159" t="s">
        <v>692</v>
      </c>
      <c r="AP2053" s="797"/>
      <c r="AQ2053" s="798"/>
      <c r="AR2053" s="798" t="s">
        <v>2144</v>
      </c>
      <c r="AS2053" s="798"/>
      <c r="AT2053" s="782">
        <v>12090031</v>
      </c>
      <c r="AU2053" s="799"/>
      <c r="AV2053" s="782">
        <v>12090032</v>
      </c>
      <c r="AW2053" s="798"/>
      <c r="AX2053" s="798" t="s">
        <v>2145</v>
      </c>
      <c r="AY2053" s="798"/>
      <c r="AZ2053" s="798"/>
      <c r="BA2053" s="799"/>
      <c r="BB2053" s="209">
        <v>23099087</v>
      </c>
    </row>
    <row r="2054" spans="1:54" ht="25" hidden="1" customHeight="1">
      <c r="A2054" s="440"/>
      <c r="B2054" s="332">
        <v>45738</v>
      </c>
      <c r="C2054" s="333">
        <v>45750</v>
      </c>
      <c r="D2054" s="185">
        <f t="shared" si="741"/>
        <v>2025</v>
      </c>
      <c r="E2054" s="333" t="e">
        <f>VLOOKUP($B2054,Week!$A$1:$C$1462,2,0)</f>
        <v>#N/A</v>
      </c>
      <c r="F2054" s="334" t="str">
        <f t="shared" si="742"/>
        <v>Mar</v>
      </c>
      <c r="G2054" s="335" t="s">
        <v>2020</v>
      </c>
      <c r="H2054" s="335" t="s">
        <v>675</v>
      </c>
      <c r="I2054" s="335" t="s">
        <v>2772</v>
      </c>
      <c r="J2054" s="336" t="s">
        <v>709</v>
      </c>
      <c r="K2054" s="337" t="s">
        <v>1651</v>
      </c>
      <c r="L2054" s="300" t="s">
        <v>2167</v>
      </c>
      <c r="M2054" s="336" t="s">
        <v>683</v>
      </c>
      <c r="N2054" s="530" t="s">
        <v>713</v>
      </c>
      <c r="O2054" s="335" t="s">
        <v>684</v>
      </c>
      <c r="P2054" s="338">
        <v>8</v>
      </c>
      <c r="Q2054" s="338">
        <v>3</v>
      </c>
      <c r="R2054" s="339">
        <v>6.0000000000000001E-3</v>
      </c>
      <c r="S2054" s="335" t="s">
        <v>55</v>
      </c>
      <c r="T2054" s="335" t="s">
        <v>112</v>
      </c>
      <c r="U2054" s="340" t="s">
        <v>716</v>
      </c>
      <c r="V2054" s="341">
        <f>150</f>
        <v>150</v>
      </c>
      <c r="W2054" s="341"/>
      <c r="X2054" s="342">
        <f>1479/8</f>
        <v>184.875</v>
      </c>
      <c r="Y2054" s="343">
        <f t="shared" si="735"/>
        <v>34.875</v>
      </c>
      <c r="Z2054" s="344">
        <f t="shared" si="729"/>
        <v>0</v>
      </c>
      <c r="AA2054" s="344">
        <f t="shared" si="743"/>
        <v>0</v>
      </c>
      <c r="AB2054" s="817">
        <v>1</v>
      </c>
      <c r="AC2054" s="341">
        <f t="shared" si="739"/>
        <v>0</v>
      </c>
      <c r="AD2054" s="443" t="s">
        <v>672</v>
      </c>
      <c r="AE2054" s="210">
        <f t="shared" si="734"/>
        <v>0</v>
      </c>
      <c r="AF2054" s="210">
        <f t="shared" si="740"/>
        <v>0</v>
      </c>
      <c r="AG2054" s="211">
        <f t="shared" si="731"/>
        <v>0.219</v>
      </c>
      <c r="AH2054" s="157">
        <v>0.26621999999999996</v>
      </c>
      <c r="AI2054" s="152">
        <f t="shared" si="733"/>
        <v>1200</v>
      </c>
      <c r="AK2054" s="156" t="s">
        <v>691</v>
      </c>
      <c r="AL2054" s="574" t="s">
        <v>690</v>
      </c>
      <c r="AM2054" s="198">
        <f t="shared" si="727"/>
        <v>0</v>
      </c>
      <c r="AN2054" s="199">
        <f t="shared" si="744"/>
        <v>45738</v>
      </c>
      <c r="AO2054" s="159" t="s">
        <v>692</v>
      </c>
      <c r="AP2054" s="781" t="s">
        <v>642</v>
      </c>
      <c r="AQ2054" s="782">
        <v>12071839</v>
      </c>
      <c r="AR2054" s="782">
        <v>12042650</v>
      </c>
      <c r="AS2054" s="782">
        <v>12042649</v>
      </c>
      <c r="AT2054" s="782">
        <v>12089991</v>
      </c>
      <c r="AU2054" s="781"/>
      <c r="AV2054" s="782">
        <v>12089989</v>
      </c>
      <c r="AW2054" s="781"/>
      <c r="AX2054" s="781"/>
      <c r="AY2054" s="781"/>
      <c r="AZ2054" s="782"/>
      <c r="BA2054" s="781"/>
      <c r="BB2054" s="209">
        <v>23099087</v>
      </c>
    </row>
    <row r="2055" spans="1:54" ht="24.75" hidden="1" customHeight="1">
      <c r="B2055" s="320">
        <v>45738</v>
      </c>
      <c r="C2055" s="321">
        <v>45750</v>
      </c>
      <c r="D2055" s="185">
        <f t="shared" si="741"/>
        <v>2025</v>
      </c>
      <c r="E2055" s="321" t="e">
        <f>VLOOKUP($B2055,Week!$A$1:$C$1462,2,0)</f>
        <v>#N/A</v>
      </c>
      <c r="F2055" s="322" t="str">
        <f t="shared" si="742"/>
        <v>Mar</v>
      </c>
      <c r="G2055" s="323" t="s">
        <v>2020</v>
      </c>
      <c r="H2055" s="323" t="s">
        <v>675</v>
      </c>
      <c r="I2055" s="323" t="s">
        <v>2772</v>
      </c>
      <c r="J2055" s="324" t="s">
        <v>709</v>
      </c>
      <c r="K2055" s="325" t="s">
        <v>107</v>
      </c>
      <c r="L2055" s="300" t="s">
        <v>2167</v>
      </c>
      <c r="M2055" s="324" t="s">
        <v>313</v>
      </c>
      <c r="N2055" s="596" t="s">
        <v>710</v>
      </c>
      <c r="O2055" s="323" t="s">
        <v>592</v>
      </c>
      <c r="P2055" s="326">
        <v>8</v>
      </c>
      <c r="Q2055" s="326">
        <v>4</v>
      </c>
      <c r="R2055" s="327">
        <v>7.4999999999999997E-3</v>
      </c>
      <c r="S2055" s="323" t="s">
        <v>111</v>
      </c>
      <c r="T2055" s="323" t="s">
        <v>112</v>
      </c>
      <c r="U2055" s="323" t="s">
        <v>57</v>
      </c>
      <c r="V2055" s="328">
        <f>1296</f>
        <v>1296</v>
      </c>
      <c r="W2055" s="328"/>
      <c r="X2055" s="329">
        <f>(748+9882)/8</f>
        <v>1328.75</v>
      </c>
      <c r="Y2055" s="330">
        <f t="shared" si="735"/>
        <v>32.75</v>
      </c>
      <c r="Z2055" s="331">
        <f t="shared" si="729"/>
        <v>0</v>
      </c>
      <c r="AA2055" s="331">
        <f t="shared" si="743"/>
        <v>0</v>
      </c>
      <c r="AB2055" s="816">
        <v>7.4999999999999997E-3</v>
      </c>
      <c r="AC2055" s="328">
        <f t="shared" si="739"/>
        <v>0</v>
      </c>
      <c r="AD2055" s="443"/>
      <c r="AE2055" s="210">
        <f t="shared" si="734"/>
        <v>0</v>
      </c>
      <c r="AF2055" s="210">
        <f t="shared" si="740"/>
        <v>0</v>
      </c>
      <c r="AG2055" s="211">
        <f t="shared" si="731"/>
        <v>0.30499999999999999</v>
      </c>
      <c r="AH2055" s="157">
        <f>(Z2055*AG2055)/1000</f>
        <v>0</v>
      </c>
      <c r="AI2055" s="152">
        <f t="shared" si="733"/>
        <v>10368</v>
      </c>
      <c r="AK2055" s="156" t="s">
        <v>691</v>
      </c>
      <c r="AL2055" s="212" t="s">
        <v>690</v>
      </c>
      <c r="AM2055" s="198">
        <f t="shared" si="727"/>
        <v>0</v>
      </c>
      <c r="AN2055" s="199">
        <f t="shared" si="744"/>
        <v>45738</v>
      </c>
      <c r="AO2055" s="159" t="s">
        <v>692</v>
      </c>
      <c r="AP2055" s="781" t="s">
        <v>642</v>
      </c>
      <c r="AQ2055" s="782">
        <v>12071839</v>
      </c>
      <c r="AR2055" s="782">
        <v>12042650</v>
      </c>
      <c r="AS2055" s="782">
        <v>12042649</v>
      </c>
      <c r="AT2055" s="782">
        <v>12089991</v>
      </c>
      <c r="AU2055" s="781"/>
      <c r="AV2055" s="782">
        <v>12089989</v>
      </c>
      <c r="AW2055" s="781"/>
      <c r="AX2055" s="781"/>
      <c r="AY2055" s="781"/>
      <c r="AZ2055" s="782"/>
      <c r="BA2055" s="781"/>
      <c r="BB2055" s="209">
        <v>23053185</v>
      </c>
    </row>
    <row r="2056" spans="1:54" ht="24.65" hidden="1" customHeight="1">
      <c r="B2056" s="308">
        <v>45738</v>
      </c>
      <c r="C2056" s="309">
        <v>45757</v>
      </c>
      <c r="D2056" s="185">
        <f t="shared" si="741"/>
        <v>2025</v>
      </c>
      <c r="E2056" s="309" t="e">
        <f>VLOOKUP($B2056,Week!$A$1:$C$1462,2,0)</f>
        <v>#N/A</v>
      </c>
      <c r="F2056" s="310" t="str">
        <f t="shared" si="742"/>
        <v>Mar</v>
      </c>
      <c r="G2056" s="311" t="s">
        <v>2034</v>
      </c>
      <c r="H2056" s="311" t="s">
        <v>311</v>
      </c>
      <c r="I2056" s="311" t="s">
        <v>2772</v>
      </c>
      <c r="J2056" s="312" t="s">
        <v>738</v>
      </c>
      <c r="K2056" s="313" t="s">
        <v>107</v>
      </c>
      <c r="L2056" s="300" t="s">
        <v>2167</v>
      </c>
      <c r="M2056" s="312" t="s">
        <v>313</v>
      </c>
      <c r="N2056" s="311" t="s">
        <v>314</v>
      </c>
      <c r="O2056" s="311" t="s">
        <v>110</v>
      </c>
      <c r="P2056" s="314">
        <v>36</v>
      </c>
      <c r="Q2056" s="314">
        <v>5</v>
      </c>
      <c r="R2056" s="315">
        <v>7.4999999999999997E-3</v>
      </c>
      <c r="S2056" s="311" t="s">
        <v>111</v>
      </c>
      <c r="T2056" s="311" t="s">
        <v>112</v>
      </c>
      <c r="U2056" s="311" t="s">
        <v>57</v>
      </c>
      <c r="V2056" s="316">
        <v>792</v>
      </c>
      <c r="W2056" s="316">
        <v>753</v>
      </c>
      <c r="X2056" s="317">
        <f>(1418)/36</f>
        <v>39.388888888888886</v>
      </c>
      <c r="Y2056" s="318">
        <f t="shared" si="735"/>
        <v>0.38888888888891415</v>
      </c>
      <c r="Z2056" s="319">
        <f t="shared" si="729"/>
        <v>0</v>
      </c>
      <c r="AA2056" s="319">
        <f t="shared" si="743"/>
        <v>0</v>
      </c>
      <c r="AB2056" s="815">
        <v>7.4999999999999997E-3</v>
      </c>
      <c r="AC2056" s="316">
        <f t="shared" si="739"/>
        <v>0</v>
      </c>
      <c r="AD2056" s="515"/>
      <c r="AE2056" s="210">
        <f t="shared" si="734"/>
        <v>0</v>
      </c>
      <c r="AF2056" s="210">
        <f t="shared" si="740"/>
        <v>0</v>
      </c>
      <c r="AG2056" s="211">
        <f t="shared" si="731"/>
        <v>0.308</v>
      </c>
      <c r="AH2056" s="157">
        <f>(Z2056*AG2056)/1000</f>
        <v>0</v>
      </c>
      <c r="AI2056" s="152">
        <f t="shared" si="733"/>
        <v>28512</v>
      </c>
      <c r="AK2056" s="156" t="s">
        <v>691</v>
      </c>
      <c r="AL2056" s="212" t="s">
        <v>690</v>
      </c>
      <c r="AM2056" s="198">
        <f t="shared" si="727"/>
        <v>0</v>
      </c>
      <c r="AN2056" s="199">
        <f t="shared" si="744"/>
        <v>45738</v>
      </c>
      <c r="AO2056" s="159" t="s">
        <v>692</v>
      </c>
      <c r="AP2056" s="783" t="s">
        <v>643</v>
      </c>
      <c r="AQ2056" s="782">
        <v>12063755</v>
      </c>
      <c r="AR2056" s="782">
        <v>12061353</v>
      </c>
      <c r="AS2056" s="782">
        <v>12061354</v>
      </c>
      <c r="AT2056" s="782">
        <v>12062266</v>
      </c>
      <c r="AU2056" s="781"/>
      <c r="AV2056" s="782">
        <v>12088159</v>
      </c>
      <c r="AW2056" s="782">
        <v>12088207</v>
      </c>
      <c r="AX2056" s="782"/>
      <c r="AY2056" s="782">
        <v>12062262</v>
      </c>
      <c r="AZ2056" s="782"/>
      <c r="BA2056" s="781"/>
      <c r="BB2056" s="209">
        <v>23053185</v>
      </c>
    </row>
    <row r="2057" spans="1:54" ht="24.65" hidden="1" customHeight="1">
      <c r="B2057" s="308">
        <v>45738</v>
      </c>
      <c r="C2057" s="309">
        <v>45764</v>
      </c>
      <c r="D2057" s="185">
        <f t="shared" si="741"/>
        <v>2025</v>
      </c>
      <c r="E2057" s="309" t="e">
        <f>VLOOKUP($B2057,Week!$A$1:$C$1462,2,0)</f>
        <v>#N/A</v>
      </c>
      <c r="F2057" s="310" t="str">
        <f t="shared" si="742"/>
        <v>Mar</v>
      </c>
      <c r="G2057" s="311" t="s">
        <v>2054</v>
      </c>
      <c r="H2057" s="311" t="s">
        <v>311</v>
      </c>
      <c r="I2057" s="311" t="s">
        <v>2772</v>
      </c>
      <c r="J2057" s="312" t="s">
        <v>738</v>
      </c>
      <c r="K2057" s="313" t="s">
        <v>107</v>
      </c>
      <c r="L2057" s="300" t="s">
        <v>2167</v>
      </c>
      <c r="M2057" s="312" t="s">
        <v>313</v>
      </c>
      <c r="N2057" s="311" t="s">
        <v>314</v>
      </c>
      <c r="O2057" s="311" t="s">
        <v>110</v>
      </c>
      <c r="P2057" s="314">
        <v>36</v>
      </c>
      <c r="Q2057" s="314">
        <v>5</v>
      </c>
      <c r="R2057" s="315">
        <v>7.4999999999999997E-3</v>
      </c>
      <c r="S2057" s="311" t="s">
        <v>111</v>
      </c>
      <c r="T2057" s="311" t="s">
        <v>112</v>
      </c>
      <c r="U2057" s="311" t="s">
        <v>57</v>
      </c>
      <c r="V2057" s="316">
        <v>792</v>
      </c>
      <c r="W2057" s="316">
        <f>1227-753</f>
        <v>474</v>
      </c>
      <c r="X2057" s="317">
        <f>11448/36</f>
        <v>318</v>
      </c>
      <c r="Y2057" s="318">
        <f t="shared" si="735"/>
        <v>0</v>
      </c>
      <c r="Z2057" s="319">
        <f t="shared" si="729"/>
        <v>0</v>
      </c>
      <c r="AA2057" s="319">
        <f t="shared" si="743"/>
        <v>0</v>
      </c>
      <c r="AB2057" s="815">
        <v>7.4999999999999997E-3</v>
      </c>
      <c r="AC2057" s="316">
        <f t="shared" si="739"/>
        <v>0</v>
      </c>
      <c r="AD2057" s="515"/>
      <c r="AE2057" s="210">
        <f t="shared" si="734"/>
        <v>0</v>
      </c>
      <c r="AF2057" s="210">
        <f>AE2057/0.54</f>
        <v>0</v>
      </c>
      <c r="AG2057" s="211">
        <f t="shared" si="731"/>
        <v>0.308</v>
      </c>
      <c r="AH2057" s="157">
        <f>(Z2057*AG2057)/1000</f>
        <v>0</v>
      </c>
      <c r="AI2057" s="152">
        <f t="shared" si="733"/>
        <v>28512</v>
      </c>
      <c r="AK2057" s="156" t="s">
        <v>691</v>
      </c>
      <c r="AL2057" s="212" t="s">
        <v>690</v>
      </c>
      <c r="AM2057" s="198">
        <f t="shared" si="727"/>
        <v>0</v>
      </c>
      <c r="AN2057" s="199">
        <f t="shared" si="744"/>
        <v>45738</v>
      </c>
      <c r="AO2057" s="159" t="s">
        <v>692</v>
      </c>
      <c r="AP2057" s="783" t="s">
        <v>643</v>
      </c>
      <c r="AQ2057" s="782">
        <v>12063755</v>
      </c>
      <c r="AR2057" s="782">
        <v>12061353</v>
      </c>
      <c r="AS2057" s="782">
        <v>12061354</v>
      </c>
      <c r="AT2057" s="782">
        <v>12062266</v>
      </c>
      <c r="AU2057" s="781"/>
      <c r="AV2057" s="782">
        <v>12088159</v>
      </c>
      <c r="AW2057" s="782">
        <v>12088207</v>
      </c>
      <c r="AX2057" s="782"/>
      <c r="AY2057" s="782">
        <v>12062262</v>
      </c>
      <c r="AZ2057" s="782"/>
      <c r="BA2057" s="781"/>
      <c r="BB2057" s="209">
        <v>23053185</v>
      </c>
    </row>
    <row r="2058" spans="1:54" ht="25" hidden="1" customHeight="1">
      <c r="B2058" s="258">
        <v>45738</v>
      </c>
      <c r="C2058" s="259">
        <v>45755</v>
      </c>
      <c r="D2058" s="185">
        <f t="shared" si="741"/>
        <v>2025</v>
      </c>
      <c r="E2058" s="259" t="e">
        <f>VLOOKUP($B2058,Week!$A$1:$C$1462,2,0)</f>
        <v>#N/A</v>
      </c>
      <c r="F2058" s="261" t="str">
        <f t="shared" si="742"/>
        <v>Mar</v>
      </c>
      <c r="G2058" s="260" t="s">
        <v>1972</v>
      </c>
      <c r="H2058" s="260" t="s">
        <v>424</v>
      </c>
      <c r="I2058" s="260" t="s">
        <v>2772</v>
      </c>
      <c r="J2058" s="263" t="s">
        <v>653</v>
      </c>
      <c r="K2058" s="264" t="s">
        <v>1646</v>
      </c>
      <c r="L2058" s="300" t="s">
        <v>2167</v>
      </c>
      <c r="M2058" s="263" t="s">
        <v>654</v>
      </c>
      <c r="N2058" s="260" t="s">
        <v>656</v>
      </c>
      <c r="O2058" s="260" t="s">
        <v>655</v>
      </c>
      <c r="P2058" s="265">
        <v>24</v>
      </c>
      <c r="Q2058" s="265">
        <v>5</v>
      </c>
      <c r="R2058" s="266">
        <v>7.4999999999999997E-3</v>
      </c>
      <c r="S2058" s="260" t="s">
        <v>40</v>
      </c>
      <c r="T2058" s="260" t="s">
        <v>112</v>
      </c>
      <c r="U2058" s="775" t="s">
        <v>1894</v>
      </c>
      <c r="V2058" s="267">
        <v>924</v>
      </c>
      <c r="W2058" s="267">
        <f>89</f>
        <v>89</v>
      </c>
      <c r="X2058" s="268">
        <f>(878+20022)/24</f>
        <v>870.83333333333337</v>
      </c>
      <c r="Y2058" s="269">
        <f t="shared" si="735"/>
        <v>35.833333333333371</v>
      </c>
      <c r="Z2058" s="270">
        <f t="shared" si="729"/>
        <v>0</v>
      </c>
      <c r="AA2058" s="270">
        <f t="shared" si="743"/>
        <v>0</v>
      </c>
      <c r="AB2058" s="811">
        <v>3.8699999999999998E-2</v>
      </c>
      <c r="AC2058" s="267">
        <f t="shared" si="739"/>
        <v>0</v>
      </c>
      <c r="AD2058" s="307" t="s">
        <v>2003</v>
      </c>
      <c r="AE2058" s="210">
        <f t="shared" si="734"/>
        <v>0</v>
      </c>
      <c r="AF2058" s="210">
        <f>AE2058/0.54</f>
        <v>0</v>
      </c>
      <c r="AG2058" s="211">
        <f t="shared" si="731"/>
        <v>0.307</v>
      </c>
      <c r="AH2058" s="157">
        <f>(Z2058*AG2058)/1000</f>
        <v>0</v>
      </c>
      <c r="AI2058" s="152">
        <f t="shared" si="733"/>
        <v>22176</v>
      </c>
      <c r="AK2058" s="156" t="s">
        <v>691</v>
      </c>
      <c r="AL2058" s="212" t="s">
        <v>690</v>
      </c>
      <c r="AM2058" s="198">
        <f t="shared" si="727"/>
        <v>0</v>
      </c>
      <c r="AN2058" s="199">
        <f t="shared" si="744"/>
        <v>45738</v>
      </c>
      <c r="AO2058" s="159" t="s">
        <v>692</v>
      </c>
      <c r="AP2058" s="783" t="s">
        <v>644</v>
      </c>
      <c r="AQ2058" s="782">
        <v>12063755</v>
      </c>
      <c r="AR2058" s="782">
        <v>12081257</v>
      </c>
      <c r="AS2058" s="782">
        <v>12081260</v>
      </c>
      <c r="AT2058" s="782">
        <v>12094048</v>
      </c>
      <c r="AU2058" s="781"/>
      <c r="AV2058" s="782">
        <v>12084608</v>
      </c>
      <c r="AW2058" s="782">
        <v>12068154</v>
      </c>
      <c r="AX2058" s="782"/>
      <c r="AY2058" s="782">
        <v>12094049</v>
      </c>
      <c r="AZ2058" s="782"/>
      <c r="BA2058" s="781"/>
      <c r="BB2058" s="209">
        <v>23053185</v>
      </c>
    </row>
    <row r="2059" spans="1:54" ht="25" hidden="1" customHeight="1">
      <c r="B2059" s="258">
        <v>45738</v>
      </c>
      <c r="C2059" s="259">
        <v>45755</v>
      </c>
      <c r="D2059" s="185">
        <f t="shared" si="741"/>
        <v>2025</v>
      </c>
      <c r="E2059" s="259" t="e">
        <f>VLOOKUP($B2059,Week!$A$1:$C$1462,2,0)</f>
        <v>#N/A</v>
      </c>
      <c r="F2059" s="261" t="str">
        <f t="shared" si="742"/>
        <v>Mar</v>
      </c>
      <c r="G2059" s="260" t="s">
        <v>1973</v>
      </c>
      <c r="H2059" s="260" t="s">
        <v>697</v>
      </c>
      <c r="I2059" s="260" t="s">
        <v>2772</v>
      </c>
      <c r="J2059" s="263" t="s">
        <v>653</v>
      </c>
      <c r="K2059" s="264" t="s">
        <v>1646</v>
      </c>
      <c r="L2059" s="300" t="s">
        <v>2167</v>
      </c>
      <c r="M2059" s="263" t="s">
        <v>654</v>
      </c>
      <c r="N2059" s="260" t="s">
        <v>656</v>
      </c>
      <c r="O2059" s="260" t="s">
        <v>655</v>
      </c>
      <c r="P2059" s="265">
        <v>24</v>
      </c>
      <c r="Q2059" s="265">
        <v>5</v>
      </c>
      <c r="R2059" s="266">
        <v>7.4999999999999997E-3</v>
      </c>
      <c r="S2059" s="260" t="s">
        <v>40</v>
      </c>
      <c r="T2059" s="260" t="s">
        <v>112</v>
      </c>
      <c r="U2059" s="775" t="s">
        <v>1894</v>
      </c>
      <c r="V2059" s="267">
        <f>924</f>
        <v>924</v>
      </c>
      <c r="W2059" s="267"/>
      <c r="X2059" s="268">
        <f>22176/24</f>
        <v>924</v>
      </c>
      <c r="Y2059" s="269">
        <f t="shared" si="735"/>
        <v>0</v>
      </c>
      <c r="Z2059" s="270">
        <f t="shared" si="729"/>
        <v>0</v>
      </c>
      <c r="AA2059" s="270">
        <f t="shared" si="743"/>
        <v>0</v>
      </c>
      <c r="AB2059" s="811">
        <v>3.8699999999999998E-2</v>
      </c>
      <c r="AC2059" s="267">
        <f t="shared" si="739"/>
        <v>0</v>
      </c>
      <c r="AD2059" s="307" t="s">
        <v>2003</v>
      </c>
      <c r="AE2059" s="210">
        <f t="shared" si="734"/>
        <v>0</v>
      </c>
      <c r="AF2059" s="210">
        <f>AE2059/0.54</f>
        <v>0</v>
      </c>
      <c r="AG2059" s="211">
        <f t="shared" si="731"/>
        <v>0.307</v>
      </c>
      <c r="AH2059" s="157">
        <f>(Z2059*AG2059)/1000</f>
        <v>0</v>
      </c>
      <c r="AI2059" s="152">
        <f t="shared" si="733"/>
        <v>22176</v>
      </c>
      <c r="AK2059" s="156" t="s">
        <v>691</v>
      </c>
      <c r="AL2059" s="212" t="s">
        <v>690</v>
      </c>
      <c r="AM2059" s="198">
        <f t="shared" si="727"/>
        <v>0</v>
      </c>
      <c r="AN2059" s="199">
        <f t="shared" si="744"/>
        <v>45738</v>
      </c>
      <c r="AO2059" s="159" t="s">
        <v>692</v>
      </c>
      <c r="AP2059" s="783" t="s">
        <v>644</v>
      </c>
      <c r="AQ2059" s="782">
        <v>12063755</v>
      </c>
      <c r="AR2059" s="782">
        <v>12081257</v>
      </c>
      <c r="AS2059" s="782">
        <v>12081260</v>
      </c>
      <c r="AT2059" s="782">
        <v>12094048</v>
      </c>
      <c r="AU2059" s="781"/>
      <c r="AV2059" s="782">
        <v>12084608</v>
      </c>
      <c r="AW2059" s="782">
        <v>12068154</v>
      </c>
      <c r="AX2059" s="782"/>
      <c r="AY2059" s="782">
        <v>12094049</v>
      </c>
      <c r="AZ2059" s="782"/>
      <c r="BA2059" s="781"/>
      <c r="BB2059" s="209">
        <v>23105470</v>
      </c>
    </row>
    <row r="2060" spans="1:54" ht="25" hidden="1" customHeight="1">
      <c r="B2060" s="332">
        <v>45738</v>
      </c>
      <c r="C2060" s="333">
        <v>45750</v>
      </c>
      <c r="D2060" s="185">
        <f t="shared" si="741"/>
        <v>2025</v>
      </c>
      <c r="E2060" s="333" t="e">
        <f>VLOOKUP($B2060,Week!$A$1:$C$1462,2,0)</f>
        <v>#N/A</v>
      </c>
      <c r="F2060" s="334" t="str">
        <f t="shared" si="742"/>
        <v>Mar</v>
      </c>
      <c r="G2060" s="335" t="s">
        <v>2020</v>
      </c>
      <c r="H2060" s="335" t="s">
        <v>675</v>
      </c>
      <c r="I2060" s="335" t="s">
        <v>2772</v>
      </c>
      <c r="J2060" s="336" t="s">
        <v>709</v>
      </c>
      <c r="K2060" s="337" t="s">
        <v>1649</v>
      </c>
      <c r="L2060" s="300" t="s">
        <v>2167</v>
      </c>
      <c r="M2060" s="336" t="s">
        <v>603</v>
      </c>
      <c r="N2060" s="530" t="s">
        <v>711</v>
      </c>
      <c r="O2060" s="335" t="s">
        <v>602</v>
      </c>
      <c r="P2060" s="338">
        <v>8</v>
      </c>
      <c r="Q2060" s="338">
        <v>3</v>
      </c>
      <c r="R2060" s="339">
        <v>6.0000000000000001E-3</v>
      </c>
      <c r="S2060" s="335" t="s">
        <v>55</v>
      </c>
      <c r="T2060" s="335" t="s">
        <v>112</v>
      </c>
      <c r="U2060" s="340" t="s">
        <v>1894</v>
      </c>
      <c r="V2060" s="341">
        <f>756</f>
        <v>756</v>
      </c>
      <c r="W2060" s="341"/>
      <c r="X2060" s="342">
        <f>(1090+2021+4759)/8</f>
        <v>983.75</v>
      </c>
      <c r="Y2060" s="343">
        <f t="shared" si="735"/>
        <v>227.75</v>
      </c>
      <c r="Z2060" s="344">
        <f t="shared" si="729"/>
        <v>0</v>
      </c>
      <c r="AA2060" s="344">
        <f t="shared" si="743"/>
        <v>0</v>
      </c>
      <c r="AB2060" s="817">
        <v>3.8699999999999998E-2</v>
      </c>
      <c r="AC2060" s="341">
        <f t="shared" si="739"/>
        <v>0</v>
      </c>
      <c r="AD2060" s="443" t="s">
        <v>2196</v>
      </c>
      <c r="AE2060" s="210">
        <f t="shared" si="734"/>
        <v>0</v>
      </c>
      <c r="AF2060" s="210">
        <f>AE2060/0.54</f>
        <v>0</v>
      </c>
      <c r="AG2060" s="211">
        <f t="shared" si="731"/>
        <v>0.30199999999999999</v>
      </c>
      <c r="AH2060" s="157">
        <v>0.26621999999999996</v>
      </c>
      <c r="AI2060" s="152">
        <f t="shared" si="733"/>
        <v>6048</v>
      </c>
      <c r="AK2060" s="156" t="s">
        <v>691</v>
      </c>
      <c r="AL2060" s="212" t="s">
        <v>690</v>
      </c>
      <c r="AM2060" s="198">
        <f t="shared" si="727"/>
        <v>0</v>
      </c>
      <c r="AN2060" s="199">
        <f t="shared" si="744"/>
        <v>45738</v>
      </c>
      <c r="AO2060" s="159" t="s">
        <v>692</v>
      </c>
      <c r="AP2060" s="781" t="s">
        <v>642</v>
      </c>
      <c r="AQ2060" s="782">
        <v>12063755</v>
      </c>
      <c r="AR2060" s="782">
        <v>12061353</v>
      </c>
      <c r="AS2060" s="782">
        <v>12061354</v>
      </c>
      <c r="AT2060" s="782">
        <v>12089985</v>
      </c>
      <c r="AU2060" s="781"/>
      <c r="AV2060" s="782">
        <v>12089988</v>
      </c>
      <c r="AW2060" s="782"/>
      <c r="AX2060" s="782"/>
      <c r="AY2060" s="782"/>
      <c r="AZ2060" s="782"/>
      <c r="BA2060" s="781"/>
      <c r="BB2060" s="209">
        <v>23105470</v>
      </c>
    </row>
    <row r="2061" spans="1:54" ht="24.65" hidden="1" customHeight="1">
      <c r="B2061" s="183">
        <v>45739</v>
      </c>
      <c r="C2061" s="184"/>
      <c r="D2061" s="185">
        <f t="shared" si="741"/>
        <v>2025</v>
      </c>
      <c r="E2061" s="185" t="e">
        <f>VLOOKUP($B2061,Week!$A$1:$C$1462,2,0)</f>
        <v>#N/A</v>
      </c>
      <c r="F2061" s="186" t="str">
        <f t="shared" si="742"/>
        <v>Mar</v>
      </c>
      <c r="G2061" s="185"/>
      <c r="H2061" s="185"/>
      <c r="I2061" s="185"/>
      <c r="J2061" s="187"/>
      <c r="K2061" s="188"/>
      <c r="L2061" s="300"/>
      <c r="M2061" s="187"/>
      <c r="N2061" s="185"/>
      <c r="O2061" s="185"/>
      <c r="P2061" s="189"/>
      <c r="Q2061" s="189"/>
      <c r="R2061" s="190"/>
      <c r="S2061" s="185"/>
      <c r="T2061" s="185"/>
      <c r="U2061" s="185"/>
      <c r="V2061" s="191"/>
      <c r="W2061" s="191"/>
      <c r="X2061" s="192"/>
      <c r="Y2061" s="193"/>
      <c r="Z2061" s="194"/>
      <c r="AA2061" s="194">
        <f t="shared" si="743"/>
        <v>0</v>
      </c>
      <c r="AB2061" s="805"/>
      <c r="AC2061" s="191">
        <f t="shared" si="739"/>
        <v>0</v>
      </c>
      <c r="AD2061" s="187"/>
      <c r="AE2061" s="195"/>
      <c r="AF2061" s="195"/>
      <c r="AG2061" s="196"/>
      <c r="AH2061" s="197"/>
      <c r="AK2061" s="156" t="s">
        <v>691</v>
      </c>
      <c r="AM2061" s="198">
        <f t="shared" si="727"/>
        <v>0</v>
      </c>
      <c r="AN2061" s="199">
        <f t="shared" si="744"/>
        <v>45739</v>
      </c>
      <c r="AO2061" s="159" t="s">
        <v>692</v>
      </c>
      <c r="AP2061" s="781"/>
      <c r="AQ2061" s="782"/>
      <c r="AR2061" s="782"/>
      <c r="AS2061" s="782"/>
      <c r="AT2061" s="782"/>
      <c r="AU2061" s="781"/>
      <c r="AV2061" s="782"/>
      <c r="AW2061" s="782"/>
      <c r="AX2061" s="782"/>
      <c r="AY2061" s="782"/>
      <c r="AZ2061" s="782"/>
      <c r="BA2061" s="781"/>
      <c r="BB2061" s="209"/>
    </row>
    <row r="2062" spans="1:54" ht="25" hidden="1" customHeight="1">
      <c r="A2062" s="142" t="s">
        <v>120</v>
      </c>
      <c r="B2062" s="385">
        <v>45740</v>
      </c>
      <c r="C2062" s="386">
        <v>45754</v>
      </c>
      <c r="D2062" s="185">
        <f t="shared" si="741"/>
        <v>2025</v>
      </c>
      <c r="E2062" s="386" t="e">
        <f>VLOOKUP($B2062,Week!$A$1:$C$1462,2,0)</f>
        <v>#N/A</v>
      </c>
      <c r="F2062" s="387" t="str">
        <f t="shared" si="742"/>
        <v>Mar</v>
      </c>
      <c r="G2062" s="388" t="s">
        <v>2027</v>
      </c>
      <c r="H2062" s="388" t="s">
        <v>500</v>
      </c>
      <c r="I2062" s="388" t="s">
        <v>2772</v>
      </c>
      <c r="J2062" s="389" t="s">
        <v>285</v>
      </c>
      <c r="K2062" s="390" t="s">
        <v>153</v>
      </c>
      <c r="L2062" s="390" t="s">
        <v>2166</v>
      </c>
      <c r="M2062" s="389" t="s">
        <v>165</v>
      </c>
      <c r="N2062" s="388" t="s">
        <v>286</v>
      </c>
      <c r="O2062" s="388" t="s">
        <v>503</v>
      </c>
      <c r="P2062" s="391">
        <v>40</v>
      </c>
      <c r="Q2062" s="391">
        <v>12</v>
      </c>
      <c r="R2062" s="392">
        <v>6.8100000000000001E-3</v>
      </c>
      <c r="S2062" s="388" t="s">
        <v>76</v>
      </c>
      <c r="T2062" s="388" t="s">
        <v>56</v>
      </c>
      <c r="U2062" s="388" t="s">
        <v>89</v>
      </c>
      <c r="V2062" s="393">
        <f>588</f>
        <v>588</v>
      </c>
      <c r="W2062" s="393">
        <f>581</f>
        <v>581</v>
      </c>
      <c r="X2062" s="394">
        <f>(280)/40</f>
        <v>7</v>
      </c>
      <c r="Y2062" s="395">
        <f t="shared" ref="Y2062:Y2074" si="745">(W2062+X2062)-V2062</f>
        <v>0</v>
      </c>
      <c r="Z2062" s="396">
        <f t="shared" ref="Z2062:Z2080" si="746">IF(Y2062&lt;0,((V2062*P2062)-((W2062+X2062)*P2062)),0)</f>
        <v>0</v>
      </c>
      <c r="AA2062" s="396">
        <f t="shared" si="743"/>
        <v>0</v>
      </c>
      <c r="AB2062" s="823">
        <v>2</v>
      </c>
      <c r="AC2062" s="393">
        <f t="shared" si="739"/>
        <v>0</v>
      </c>
      <c r="AD2062" s="209"/>
      <c r="AE2062" s="210">
        <f t="shared" ref="AE2062:AE2080" si="747">SUM(Q2062*R2062*Z2062)/1000</f>
        <v>0</v>
      </c>
      <c r="AF2062" s="210">
        <f>AE2062/0.54</f>
        <v>0</v>
      </c>
      <c r="AG2062" s="211">
        <f t="shared" ref="AG2062:AG2080" si="748">MID(O2062,1,3)/1000</f>
        <v>0.154</v>
      </c>
      <c r="AH2062" s="157">
        <f t="shared" ref="AH2062:AH2074" si="749">(Z2062*AG2062)/1000</f>
        <v>0</v>
      </c>
      <c r="AI2062" s="152">
        <f t="shared" ref="AI2062:AI2080" si="750">V2062*P2062</f>
        <v>23520</v>
      </c>
      <c r="AK2062" s="156" t="s">
        <v>691</v>
      </c>
      <c r="AL2062" s="156" t="s">
        <v>689</v>
      </c>
      <c r="AM2062" s="198">
        <f t="shared" ref="AM2062:AM2074" si="751">AG2062*Z2062</f>
        <v>0</v>
      </c>
      <c r="AN2062" s="199">
        <f t="shared" si="744"/>
        <v>45740</v>
      </c>
      <c r="AO2062" s="159" t="s">
        <v>692</v>
      </c>
      <c r="AP2062" s="783" t="s">
        <v>611</v>
      </c>
      <c r="AQ2062" s="782">
        <v>12088677</v>
      </c>
      <c r="AR2062" s="782">
        <v>12019692</v>
      </c>
      <c r="AS2062" s="781"/>
      <c r="AT2062" s="782">
        <v>12065371</v>
      </c>
      <c r="AU2062" s="782"/>
      <c r="AV2062" s="782">
        <v>12055895</v>
      </c>
      <c r="AW2062" s="782">
        <v>12034747</v>
      </c>
      <c r="AX2062" s="782" t="s">
        <v>398</v>
      </c>
      <c r="AY2062" s="781" t="s">
        <v>290</v>
      </c>
      <c r="AZ2062" s="781"/>
      <c r="BA2062" s="781"/>
      <c r="BB2062" s="209">
        <v>23053184</v>
      </c>
    </row>
    <row r="2063" spans="1:54" ht="25" hidden="1" customHeight="1">
      <c r="A2063" s="142" t="s">
        <v>120</v>
      </c>
      <c r="B2063" s="271">
        <v>45740</v>
      </c>
      <c r="C2063" s="272">
        <v>45754</v>
      </c>
      <c r="D2063" s="185">
        <f t="shared" si="741"/>
        <v>2025</v>
      </c>
      <c r="E2063" s="272" t="e">
        <f>VLOOKUP($B2063,Week!$A$1:$C$1462,2,0)</f>
        <v>#N/A</v>
      </c>
      <c r="F2063" s="273" t="str">
        <f t="shared" si="742"/>
        <v>Mar</v>
      </c>
      <c r="G2063" s="274" t="s">
        <v>2028</v>
      </c>
      <c r="H2063" s="274" t="s">
        <v>500</v>
      </c>
      <c r="I2063" s="274" t="s">
        <v>2772</v>
      </c>
      <c r="J2063" s="275" t="s">
        <v>285</v>
      </c>
      <c r="K2063" s="276" t="s">
        <v>153</v>
      </c>
      <c r="L2063" s="390" t="s">
        <v>2166</v>
      </c>
      <c r="M2063" s="275" t="s">
        <v>86</v>
      </c>
      <c r="N2063" s="274" t="s">
        <v>547</v>
      </c>
      <c r="O2063" s="274" t="s">
        <v>548</v>
      </c>
      <c r="P2063" s="277">
        <v>10</v>
      </c>
      <c r="Q2063" s="277">
        <v>50</v>
      </c>
      <c r="R2063" s="278">
        <v>6.8100000000000001E-3</v>
      </c>
      <c r="S2063" s="274" t="s">
        <v>76</v>
      </c>
      <c r="T2063" s="274" t="s">
        <v>56</v>
      </c>
      <c r="U2063" s="274" t="s">
        <v>89</v>
      </c>
      <c r="V2063" s="279">
        <v>700</v>
      </c>
      <c r="W2063" s="279">
        <f>1+699</f>
        <v>700</v>
      </c>
      <c r="X2063" s="280"/>
      <c r="Y2063" s="281">
        <f t="shared" si="745"/>
        <v>0</v>
      </c>
      <c r="Z2063" s="282">
        <f t="shared" si="746"/>
        <v>0</v>
      </c>
      <c r="AA2063" s="282">
        <f t="shared" si="743"/>
        <v>0</v>
      </c>
      <c r="AB2063" s="812">
        <v>6</v>
      </c>
      <c r="AC2063" s="279">
        <f t="shared" si="739"/>
        <v>0</v>
      </c>
      <c r="AD2063" s="209"/>
      <c r="AE2063" s="210">
        <f t="shared" si="747"/>
        <v>0</v>
      </c>
      <c r="AF2063" s="210">
        <f>AE2063/0.54</f>
        <v>0</v>
      </c>
      <c r="AG2063" s="211">
        <f t="shared" si="748"/>
        <v>0.63</v>
      </c>
      <c r="AH2063" s="157">
        <f t="shared" si="749"/>
        <v>0</v>
      </c>
      <c r="AI2063" s="152">
        <f t="shared" si="750"/>
        <v>7000</v>
      </c>
      <c r="AK2063" s="156" t="s">
        <v>691</v>
      </c>
      <c r="AL2063" s="156" t="s">
        <v>689</v>
      </c>
      <c r="AM2063" s="198">
        <f t="shared" si="751"/>
        <v>0</v>
      </c>
      <c r="AN2063" s="199">
        <f t="shared" si="744"/>
        <v>45740</v>
      </c>
      <c r="AO2063" s="159" t="s">
        <v>692</v>
      </c>
      <c r="AP2063" s="783" t="s">
        <v>620</v>
      </c>
      <c r="AQ2063" s="796" t="s">
        <v>422</v>
      </c>
      <c r="AR2063" s="782">
        <v>12055234</v>
      </c>
      <c r="AS2063" s="781"/>
      <c r="AT2063" s="782"/>
      <c r="AU2063" s="782"/>
      <c r="AV2063" s="782">
        <v>12062809</v>
      </c>
      <c r="AW2063" s="782"/>
      <c r="AX2063" s="782" t="s">
        <v>619</v>
      </c>
      <c r="AY2063" s="781"/>
      <c r="AZ2063" s="781"/>
      <c r="BA2063" s="781"/>
      <c r="BB2063" s="209">
        <v>23053184</v>
      </c>
    </row>
    <row r="2064" spans="1:54" ht="25" hidden="1" customHeight="1">
      <c r="A2064" s="142" t="s">
        <v>120</v>
      </c>
      <c r="B2064" s="385">
        <v>45741</v>
      </c>
      <c r="C2064" s="386">
        <v>45754</v>
      </c>
      <c r="D2064" s="185">
        <f t="shared" si="741"/>
        <v>2025</v>
      </c>
      <c r="E2064" s="386" t="e">
        <f>VLOOKUP($B2064,Week!$A$1:$C$1462,2,0)</f>
        <v>#N/A</v>
      </c>
      <c r="F2064" s="387" t="str">
        <f t="shared" si="742"/>
        <v>Mar</v>
      </c>
      <c r="G2064" s="388" t="s">
        <v>2027</v>
      </c>
      <c r="H2064" s="388" t="s">
        <v>500</v>
      </c>
      <c r="I2064" s="388" t="s">
        <v>2772</v>
      </c>
      <c r="J2064" s="389" t="s">
        <v>285</v>
      </c>
      <c r="K2064" s="390" t="s">
        <v>153</v>
      </c>
      <c r="L2064" s="390" t="s">
        <v>2166</v>
      </c>
      <c r="M2064" s="389" t="s">
        <v>165</v>
      </c>
      <c r="N2064" s="388" t="s">
        <v>286</v>
      </c>
      <c r="O2064" s="388" t="s">
        <v>503</v>
      </c>
      <c r="P2064" s="391">
        <v>40</v>
      </c>
      <c r="Q2064" s="391">
        <v>12</v>
      </c>
      <c r="R2064" s="392">
        <v>6.8100000000000001E-3</v>
      </c>
      <c r="S2064" s="388" t="s">
        <v>76</v>
      </c>
      <c r="T2064" s="388" t="s">
        <v>56</v>
      </c>
      <c r="U2064" s="388" t="s">
        <v>89</v>
      </c>
      <c r="V2064" s="393">
        <v>553</v>
      </c>
      <c r="W2064" s="393">
        <f>553</f>
        <v>553</v>
      </c>
      <c r="X2064" s="394"/>
      <c r="Y2064" s="395">
        <f t="shared" si="745"/>
        <v>0</v>
      </c>
      <c r="Z2064" s="396">
        <f t="shared" si="746"/>
        <v>0</v>
      </c>
      <c r="AA2064" s="396">
        <f t="shared" si="743"/>
        <v>0</v>
      </c>
      <c r="AB2064" s="823">
        <v>2</v>
      </c>
      <c r="AC2064" s="393">
        <f t="shared" si="739"/>
        <v>0</v>
      </c>
      <c r="AD2064" s="209"/>
      <c r="AE2064" s="210">
        <f t="shared" si="747"/>
        <v>0</v>
      </c>
      <c r="AF2064" s="210">
        <f>AE2064/0.54</f>
        <v>0</v>
      </c>
      <c r="AG2064" s="211">
        <f t="shared" si="748"/>
        <v>0.154</v>
      </c>
      <c r="AH2064" s="157">
        <f t="shared" si="749"/>
        <v>0</v>
      </c>
      <c r="AI2064" s="152">
        <f t="shared" si="750"/>
        <v>22120</v>
      </c>
      <c r="AK2064" s="156" t="s">
        <v>691</v>
      </c>
      <c r="AL2064" s="156" t="s">
        <v>689</v>
      </c>
      <c r="AM2064" s="198">
        <f t="shared" si="751"/>
        <v>0</v>
      </c>
      <c r="AN2064" s="199">
        <f t="shared" si="744"/>
        <v>45741</v>
      </c>
      <c r="AO2064" s="159" t="s">
        <v>692</v>
      </c>
      <c r="AP2064" s="783" t="s">
        <v>611</v>
      </c>
      <c r="AQ2064" s="782">
        <v>12088677</v>
      </c>
      <c r="AR2064" s="782">
        <v>12019692</v>
      </c>
      <c r="AS2064" s="781"/>
      <c r="AT2064" s="782">
        <v>12065371</v>
      </c>
      <c r="AU2064" s="782"/>
      <c r="AV2064" s="782">
        <v>12055895</v>
      </c>
      <c r="AW2064" s="782">
        <v>12034747</v>
      </c>
      <c r="AX2064" s="782" t="s">
        <v>398</v>
      </c>
      <c r="AY2064" s="781" t="s">
        <v>290</v>
      </c>
      <c r="AZ2064" s="781"/>
      <c r="BA2064" s="781"/>
      <c r="BB2064" s="209">
        <v>23053184</v>
      </c>
    </row>
    <row r="2065" spans="1:54" ht="25" hidden="1" customHeight="1">
      <c r="A2065" s="142" t="s">
        <v>120</v>
      </c>
      <c r="B2065" s="271">
        <v>45741</v>
      </c>
      <c r="C2065" s="272">
        <v>45754</v>
      </c>
      <c r="D2065" s="185">
        <f t="shared" si="741"/>
        <v>2025</v>
      </c>
      <c r="E2065" s="272" t="e">
        <f>VLOOKUP($B2065,Week!$A$1:$C$1462,2,0)</f>
        <v>#N/A</v>
      </c>
      <c r="F2065" s="273" t="str">
        <f t="shared" si="742"/>
        <v>Mar</v>
      </c>
      <c r="G2065" s="274" t="s">
        <v>2028</v>
      </c>
      <c r="H2065" s="274" t="s">
        <v>500</v>
      </c>
      <c r="I2065" s="274" t="s">
        <v>2772</v>
      </c>
      <c r="J2065" s="275" t="s">
        <v>285</v>
      </c>
      <c r="K2065" s="276" t="s">
        <v>153</v>
      </c>
      <c r="L2065" s="390" t="s">
        <v>2166</v>
      </c>
      <c r="M2065" s="275" t="s">
        <v>86</v>
      </c>
      <c r="N2065" s="274" t="s">
        <v>547</v>
      </c>
      <c r="O2065" s="274" t="s">
        <v>548</v>
      </c>
      <c r="P2065" s="277">
        <v>10</v>
      </c>
      <c r="Q2065" s="277">
        <v>50</v>
      </c>
      <c r="R2065" s="278">
        <v>6.8100000000000001E-3</v>
      </c>
      <c r="S2065" s="274" t="s">
        <v>76</v>
      </c>
      <c r="T2065" s="274" t="s">
        <v>56</v>
      </c>
      <c r="U2065" s="274" t="s">
        <v>89</v>
      </c>
      <c r="V2065" s="279">
        <f>685</f>
        <v>685</v>
      </c>
      <c r="W2065" s="279">
        <f>685</f>
        <v>685</v>
      </c>
      <c r="X2065" s="280"/>
      <c r="Y2065" s="281">
        <f t="shared" si="745"/>
        <v>0</v>
      </c>
      <c r="Z2065" s="282">
        <f t="shared" si="746"/>
        <v>0</v>
      </c>
      <c r="AA2065" s="282">
        <f t="shared" si="743"/>
        <v>0</v>
      </c>
      <c r="AB2065" s="812">
        <v>6</v>
      </c>
      <c r="AC2065" s="279">
        <f t="shared" si="739"/>
        <v>0</v>
      </c>
      <c r="AD2065" s="209"/>
      <c r="AE2065" s="210">
        <f t="shared" si="747"/>
        <v>0</v>
      </c>
      <c r="AF2065" s="210">
        <f t="shared" ref="AF2065:AF2071" si="752">AE2065/0.54</f>
        <v>0</v>
      </c>
      <c r="AG2065" s="211">
        <f t="shared" si="748"/>
        <v>0.63</v>
      </c>
      <c r="AH2065" s="157">
        <f t="shared" si="749"/>
        <v>0</v>
      </c>
      <c r="AI2065" s="152">
        <f t="shared" si="750"/>
        <v>6850</v>
      </c>
      <c r="AK2065" s="156" t="s">
        <v>691</v>
      </c>
      <c r="AL2065" s="156" t="s">
        <v>689</v>
      </c>
      <c r="AM2065" s="198">
        <f t="shared" si="751"/>
        <v>0</v>
      </c>
      <c r="AN2065" s="199">
        <f t="shared" si="744"/>
        <v>45741</v>
      </c>
      <c r="AO2065" s="159" t="s">
        <v>692</v>
      </c>
      <c r="AP2065" s="783" t="s">
        <v>620</v>
      </c>
      <c r="AQ2065" s="796" t="s">
        <v>422</v>
      </c>
      <c r="AR2065" s="782">
        <v>12055234</v>
      </c>
      <c r="AS2065" s="781"/>
      <c r="AT2065" s="782"/>
      <c r="AU2065" s="782"/>
      <c r="AV2065" s="782">
        <v>12062809</v>
      </c>
      <c r="AW2065" s="782"/>
      <c r="AX2065" s="782" t="s">
        <v>619</v>
      </c>
      <c r="AY2065" s="781"/>
      <c r="AZ2065" s="781"/>
      <c r="BA2065" s="781"/>
      <c r="BB2065" s="209">
        <v>23053184</v>
      </c>
    </row>
    <row r="2066" spans="1:54" ht="25" hidden="1" customHeight="1">
      <c r="B2066" s="600">
        <v>45742</v>
      </c>
      <c r="C2066" s="546">
        <v>45754</v>
      </c>
      <c r="D2066" s="185">
        <f t="shared" si="741"/>
        <v>2025</v>
      </c>
      <c r="E2066" s="547" t="e">
        <f>VLOOKUP($B2066,Week!$A$1:$C$1462,2,0)</f>
        <v>#N/A</v>
      </c>
      <c r="F2066" s="548" t="str">
        <f t="shared" si="742"/>
        <v>Mar</v>
      </c>
      <c r="G2066" s="549" t="s">
        <v>2136</v>
      </c>
      <c r="H2066" s="549" t="s">
        <v>500</v>
      </c>
      <c r="I2066" s="549" t="s">
        <v>2772</v>
      </c>
      <c r="J2066" s="550" t="s">
        <v>285</v>
      </c>
      <c r="K2066" s="551" t="s">
        <v>176</v>
      </c>
      <c r="L2066" s="300" t="s">
        <v>2167</v>
      </c>
      <c r="M2066" s="550" t="s">
        <v>336</v>
      </c>
      <c r="N2066" s="549" t="s">
        <v>1168</v>
      </c>
      <c r="O2066" s="549" t="s">
        <v>179</v>
      </c>
      <c r="P2066" s="552">
        <v>36</v>
      </c>
      <c r="Q2066" s="552">
        <v>5</v>
      </c>
      <c r="R2066" s="553">
        <v>7.4999999999999997E-3</v>
      </c>
      <c r="S2066" s="549" t="s">
        <v>111</v>
      </c>
      <c r="T2066" s="549" t="s">
        <v>112</v>
      </c>
      <c r="U2066" s="549" t="s">
        <v>113</v>
      </c>
      <c r="V2066" s="554">
        <f>200</f>
        <v>200</v>
      </c>
      <c r="W2066" s="554">
        <f>200</f>
        <v>200</v>
      </c>
      <c r="X2066" s="555"/>
      <c r="Y2066" s="556">
        <f t="shared" ref="Y2066:Y2071" si="753">(W2066+X2066)-V2066</f>
        <v>0</v>
      </c>
      <c r="Z2066" s="557">
        <f t="shared" si="746"/>
        <v>0</v>
      </c>
      <c r="AA2066" s="557">
        <f t="shared" si="743"/>
        <v>0</v>
      </c>
      <c r="AB2066" s="833">
        <v>9.7000000000000003E-3</v>
      </c>
      <c r="AC2066" s="554">
        <f t="shared" si="739"/>
        <v>0</v>
      </c>
      <c r="AD2066" s="307" t="s">
        <v>2133</v>
      </c>
      <c r="AE2066" s="210">
        <f t="shared" si="747"/>
        <v>0</v>
      </c>
      <c r="AF2066" s="210">
        <f t="shared" si="752"/>
        <v>0</v>
      </c>
      <c r="AG2066" s="211">
        <f t="shared" si="748"/>
        <v>0.14499999999999999</v>
      </c>
      <c r="AH2066" s="157">
        <f t="shared" ref="AH2066:AH2071" si="754">(Z2066*AG2066)/1000</f>
        <v>0</v>
      </c>
      <c r="AI2066" s="152">
        <f t="shared" si="750"/>
        <v>7200</v>
      </c>
      <c r="AK2066" s="156" t="s">
        <v>691</v>
      </c>
      <c r="AL2066" s="574" t="s">
        <v>690</v>
      </c>
      <c r="AM2066" s="198">
        <f t="shared" ref="AM2066:AM2071" si="755">AG2066*Z2066</f>
        <v>0</v>
      </c>
      <c r="AN2066" s="199">
        <f t="shared" si="744"/>
        <v>45742</v>
      </c>
      <c r="AO2066" s="159" t="s">
        <v>692</v>
      </c>
      <c r="AP2066" s="783" t="s">
        <v>639</v>
      </c>
      <c r="AQ2066" s="782">
        <v>12071839</v>
      </c>
      <c r="AR2066" s="782">
        <v>12047514</v>
      </c>
      <c r="AS2066" s="782">
        <v>12047515</v>
      </c>
      <c r="AT2066" s="782">
        <v>12054919</v>
      </c>
      <c r="AU2066" s="781"/>
      <c r="AV2066" s="782">
        <v>12054869</v>
      </c>
      <c r="AW2066" s="782">
        <v>12024404</v>
      </c>
      <c r="AX2066" s="781"/>
      <c r="AY2066" s="782">
        <v>12094132</v>
      </c>
      <c r="AZ2066" s="781" t="s">
        <v>2188</v>
      </c>
      <c r="BA2066" s="781"/>
      <c r="BB2066" s="209">
        <v>23054743</v>
      </c>
    </row>
    <row r="2067" spans="1:54" ht="25" hidden="1" customHeight="1">
      <c r="B2067" s="383">
        <v>45742</v>
      </c>
      <c r="C2067" s="383">
        <v>45752</v>
      </c>
      <c r="D2067" s="185">
        <f t="shared" si="741"/>
        <v>2025</v>
      </c>
      <c r="E2067" s="224" t="e">
        <f>VLOOKUP($B2067,Week!$A$1:$C$1462,2,0)</f>
        <v>#N/A</v>
      </c>
      <c r="F2067" s="226" t="str">
        <f t="shared" si="742"/>
        <v>Mar</v>
      </c>
      <c r="G2067" s="225" t="s">
        <v>2021</v>
      </c>
      <c r="H2067" s="225" t="s">
        <v>225</v>
      </c>
      <c r="I2067" s="225" t="s">
        <v>2773</v>
      </c>
      <c r="J2067" s="227" t="s">
        <v>335</v>
      </c>
      <c r="K2067" s="228" t="s">
        <v>176</v>
      </c>
      <c r="L2067" s="300" t="s">
        <v>2167</v>
      </c>
      <c r="M2067" s="227" t="s">
        <v>336</v>
      </c>
      <c r="N2067" s="225" t="s">
        <v>337</v>
      </c>
      <c r="O2067" s="225" t="s">
        <v>179</v>
      </c>
      <c r="P2067" s="229">
        <v>36</v>
      </c>
      <c r="Q2067" s="229">
        <v>5</v>
      </c>
      <c r="R2067" s="230">
        <v>7.4999999999999997E-3</v>
      </c>
      <c r="S2067" s="225" t="s">
        <v>111</v>
      </c>
      <c r="T2067" s="225" t="s">
        <v>112</v>
      </c>
      <c r="U2067" s="225" t="s">
        <v>113</v>
      </c>
      <c r="V2067" s="231">
        <f>1288-352</f>
        <v>936</v>
      </c>
      <c r="W2067" s="231">
        <f>1+935</f>
        <v>936</v>
      </c>
      <c r="X2067" s="232"/>
      <c r="Y2067" s="233">
        <f t="shared" si="753"/>
        <v>0</v>
      </c>
      <c r="Z2067" s="234">
        <f t="shared" si="746"/>
        <v>0</v>
      </c>
      <c r="AA2067" s="234">
        <f t="shared" si="743"/>
        <v>0</v>
      </c>
      <c r="AB2067" s="822">
        <v>9.7000000000000003E-3</v>
      </c>
      <c r="AC2067" s="231">
        <f t="shared" si="739"/>
        <v>0</v>
      </c>
      <c r="AD2067" s="209"/>
      <c r="AE2067" s="210">
        <f t="shared" si="747"/>
        <v>0</v>
      </c>
      <c r="AF2067" s="210">
        <f t="shared" si="752"/>
        <v>0</v>
      </c>
      <c r="AG2067" s="211">
        <f t="shared" si="748"/>
        <v>0.14499999999999999</v>
      </c>
      <c r="AH2067" s="157">
        <f t="shared" si="754"/>
        <v>0</v>
      </c>
      <c r="AI2067" s="152">
        <f t="shared" si="750"/>
        <v>33696</v>
      </c>
      <c r="AK2067" s="156" t="s">
        <v>691</v>
      </c>
      <c r="AL2067" s="574" t="s">
        <v>690</v>
      </c>
      <c r="AM2067" s="198">
        <f t="shared" si="755"/>
        <v>0</v>
      </c>
      <c r="AN2067" s="199">
        <f t="shared" si="744"/>
        <v>45742</v>
      </c>
      <c r="AO2067" s="159" t="s">
        <v>692</v>
      </c>
      <c r="AP2067" s="783" t="s">
        <v>639</v>
      </c>
      <c r="AQ2067" s="782">
        <v>12071839</v>
      </c>
      <c r="AR2067" s="782">
        <v>12047514</v>
      </c>
      <c r="AS2067" s="782">
        <v>12047515</v>
      </c>
      <c r="AT2067" s="782">
        <v>12054919</v>
      </c>
      <c r="AU2067" s="781"/>
      <c r="AV2067" s="782">
        <v>12054869</v>
      </c>
      <c r="AW2067" s="782">
        <v>12024404</v>
      </c>
      <c r="AX2067" s="781"/>
      <c r="AY2067" s="782">
        <v>12094132</v>
      </c>
      <c r="AZ2067" s="781"/>
      <c r="BA2067" s="781"/>
      <c r="BB2067" s="209">
        <v>23054743</v>
      </c>
    </row>
    <row r="2068" spans="1:54" ht="25" hidden="1" customHeight="1">
      <c r="B2068" s="383">
        <v>45742</v>
      </c>
      <c r="C2068" s="383">
        <v>45752</v>
      </c>
      <c r="D2068" s="185">
        <f t="shared" si="741"/>
        <v>2025</v>
      </c>
      <c r="E2068" s="224" t="e">
        <f>VLOOKUP($B2068,Week!$A$1:$C$1462,2,0)</f>
        <v>#N/A</v>
      </c>
      <c r="F2068" s="226" t="str">
        <f t="shared" si="742"/>
        <v>Mar</v>
      </c>
      <c r="G2068" s="225" t="s">
        <v>2022</v>
      </c>
      <c r="H2068" s="225" t="s">
        <v>225</v>
      </c>
      <c r="I2068" s="225" t="s">
        <v>2773</v>
      </c>
      <c r="J2068" s="227" t="s">
        <v>335</v>
      </c>
      <c r="K2068" s="228" t="s">
        <v>176</v>
      </c>
      <c r="L2068" s="300" t="s">
        <v>2167</v>
      </c>
      <c r="M2068" s="227" t="s">
        <v>336</v>
      </c>
      <c r="N2068" s="225" t="s">
        <v>337</v>
      </c>
      <c r="O2068" s="225" t="s">
        <v>179</v>
      </c>
      <c r="P2068" s="229">
        <v>36</v>
      </c>
      <c r="Q2068" s="229">
        <v>5</v>
      </c>
      <c r="R2068" s="230">
        <v>7.4999999999999997E-3</v>
      </c>
      <c r="S2068" s="225" t="s">
        <v>111</v>
      </c>
      <c r="T2068" s="225" t="s">
        <v>112</v>
      </c>
      <c r="U2068" s="225" t="s">
        <v>113</v>
      </c>
      <c r="V2068" s="231">
        <f>837</f>
        <v>837</v>
      </c>
      <c r="W2068" s="231">
        <f>1772-935</f>
        <v>837</v>
      </c>
      <c r="X2068" s="232"/>
      <c r="Y2068" s="233">
        <f t="shared" si="753"/>
        <v>0</v>
      </c>
      <c r="Z2068" s="234">
        <f t="shared" si="746"/>
        <v>0</v>
      </c>
      <c r="AA2068" s="234">
        <f t="shared" si="743"/>
        <v>0</v>
      </c>
      <c r="AB2068" s="822">
        <v>9.7000000000000003E-3</v>
      </c>
      <c r="AC2068" s="231">
        <f t="shared" si="739"/>
        <v>0</v>
      </c>
      <c r="AD2068" s="209"/>
      <c r="AE2068" s="210">
        <f t="shared" si="747"/>
        <v>0</v>
      </c>
      <c r="AF2068" s="210">
        <f t="shared" si="752"/>
        <v>0</v>
      </c>
      <c r="AG2068" s="211">
        <f t="shared" si="748"/>
        <v>0.14499999999999999</v>
      </c>
      <c r="AH2068" s="157">
        <f t="shared" si="754"/>
        <v>0</v>
      </c>
      <c r="AI2068" s="152">
        <f t="shared" si="750"/>
        <v>30132</v>
      </c>
      <c r="AK2068" s="156" t="s">
        <v>691</v>
      </c>
      <c r="AL2068" s="574" t="s">
        <v>690</v>
      </c>
      <c r="AM2068" s="198">
        <f t="shared" si="755"/>
        <v>0</v>
      </c>
      <c r="AN2068" s="199">
        <f t="shared" si="744"/>
        <v>45742</v>
      </c>
      <c r="AO2068" s="159" t="s">
        <v>692</v>
      </c>
      <c r="AP2068" s="783" t="s">
        <v>639</v>
      </c>
      <c r="AQ2068" s="782">
        <v>12071839</v>
      </c>
      <c r="AR2068" s="782">
        <v>12047514</v>
      </c>
      <c r="AS2068" s="782">
        <v>12047515</v>
      </c>
      <c r="AT2068" s="782">
        <v>12054919</v>
      </c>
      <c r="AU2068" s="781"/>
      <c r="AV2068" s="782">
        <v>12054869</v>
      </c>
      <c r="AW2068" s="782">
        <v>12024404</v>
      </c>
      <c r="AX2068" s="781"/>
      <c r="AY2068" s="782">
        <v>12094132</v>
      </c>
      <c r="AZ2068" s="781"/>
      <c r="BA2068" s="781"/>
      <c r="BB2068" s="209">
        <v>23054743</v>
      </c>
    </row>
    <row r="2069" spans="1:54" ht="25" hidden="1" customHeight="1">
      <c r="B2069" s="488">
        <v>45742</v>
      </c>
      <c r="C2069" s="487">
        <v>45754</v>
      </c>
      <c r="D2069" s="185">
        <f t="shared" si="741"/>
        <v>2025</v>
      </c>
      <c r="E2069" s="614" t="e">
        <f>VLOOKUP($B2069,Week!$A$1:$C$1462,2,0)</f>
        <v>#N/A</v>
      </c>
      <c r="F2069" s="445" t="str">
        <f t="shared" si="742"/>
        <v>Mar</v>
      </c>
      <c r="G2069" s="615" t="s">
        <v>1916</v>
      </c>
      <c r="H2069" s="444" t="s">
        <v>1259</v>
      </c>
      <c r="I2069" s="444" t="s">
        <v>2772</v>
      </c>
      <c r="J2069" s="490" t="s">
        <v>512</v>
      </c>
      <c r="K2069" s="491" t="s">
        <v>1643</v>
      </c>
      <c r="L2069" s="300" t="s">
        <v>2167</v>
      </c>
      <c r="M2069" s="490" t="s">
        <v>336</v>
      </c>
      <c r="N2069" s="615" t="s">
        <v>1919</v>
      </c>
      <c r="O2069" s="444" t="s">
        <v>743</v>
      </c>
      <c r="P2069" s="492">
        <v>36</v>
      </c>
      <c r="Q2069" s="492">
        <v>5</v>
      </c>
      <c r="R2069" s="493">
        <v>7.4999999999999997E-3</v>
      </c>
      <c r="S2069" s="444" t="s">
        <v>40</v>
      </c>
      <c r="T2069" s="444" t="s">
        <v>112</v>
      </c>
      <c r="U2069" s="616" t="s">
        <v>1894</v>
      </c>
      <c r="V2069" s="494">
        <v>1288</v>
      </c>
      <c r="W2069" s="494">
        <f>1288</f>
        <v>1288</v>
      </c>
      <c r="X2069" s="495"/>
      <c r="Y2069" s="496">
        <f t="shared" si="753"/>
        <v>0</v>
      </c>
      <c r="Z2069" s="497">
        <f t="shared" si="746"/>
        <v>0</v>
      </c>
      <c r="AA2069" s="497">
        <f t="shared" si="743"/>
        <v>0</v>
      </c>
      <c r="AB2069" s="829">
        <v>2.2419999999999999E-2</v>
      </c>
      <c r="AC2069" s="494">
        <f t="shared" si="739"/>
        <v>0</v>
      </c>
      <c r="AD2069" s="307" t="s">
        <v>2132</v>
      </c>
      <c r="AE2069" s="210">
        <f t="shared" si="747"/>
        <v>0</v>
      </c>
      <c r="AF2069" s="210">
        <f t="shared" si="752"/>
        <v>0</v>
      </c>
      <c r="AG2069" s="211">
        <f t="shared" si="748"/>
        <v>0.14699999999999999</v>
      </c>
      <c r="AH2069" s="157">
        <f t="shared" si="754"/>
        <v>0</v>
      </c>
      <c r="AI2069" s="152">
        <f t="shared" si="750"/>
        <v>46368</v>
      </c>
      <c r="AK2069" s="156" t="s">
        <v>691</v>
      </c>
      <c r="AL2069" s="574" t="s">
        <v>690</v>
      </c>
      <c r="AM2069" s="198">
        <f t="shared" si="755"/>
        <v>0</v>
      </c>
      <c r="AN2069" s="199">
        <f t="shared" si="744"/>
        <v>45742</v>
      </c>
      <c r="AO2069" s="159" t="s">
        <v>692</v>
      </c>
      <c r="AP2069" s="783" t="s">
        <v>639</v>
      </c>
      <c r="AQ2069" s="782">
        <v>12071839</v>
      </c>
      <c r="AR2069" s="782">
        <v>12047514</v>
      </c>
      <c r="AS2069" s="782">
        <v>12047515</v>
      </c>
      <c r="AT2069" s="782">
        <v>12089764</v>
      </c>
      <c r="AU2069" s="781"/>
      <c r="AV2069" s="782">
        <v>12089763</v>
      </c>
      <c r="AW2069" s="782">
        <v>12024404</v>
      </c>
      <c r="AX2069" s="781"/>
      <c r="AY2069" s="782">
        <v>12089765</v>
      </c>
      <c r="AZ2069" s="799" t="s">
        <v>2152</v>
      </c>
      <c r="BA2069" s="781"/>
      <c r="BB2069" s="209">
        <v>23105470</v>
      </c>
    </row>
    <row r="2070" spans="1:54" ht="25" hidden="1" customHeight="1">
      <c r="B2070" s="558">
        <v>45742</v>
      </c>
      <c r="C2070" s="308">
        <v>45754</v>
      </c>
      <c r="D2070" s="185">
        <f t="shared" si="741"/>
        <v>2025</v>
      </c>
      <c r="E2070" s="309" t="e">
        <f>VLOOKUP($B2070,Week!$A$1:$C$1462,2,0)</f>
        <v>#N/A</v>
      </c>
      <c r="F2070" s="310" t="str">
        <f t="shared" si="742"/>
        <v>Mar</v>
      </c>
      <c r="G2070" s="311" t="s">
        <v>2136</v>
      </c>
      <c r="H2070" s="311" t="s">
        <v>500</v>
      </c>
      <c r="I2070" s="311" t="s">
        <v>2772</v>
      </c>
      <c r="J2070" s="312" t="s">
        <v>285</v>
      </c>
      <c r="K2070" s="313" t="s">
        <v>1643</v>
      </c>
      <c r="L2070" s="300" t="s">
        <v>2167</v>
      </c>
      <c r="M2070" s="313" t="s">
        <v>1318</v>
      </c>
      <c r="N2070" s="311" t="s">
        <v>1167</v>
      </c>
      <c r="O2070" s="311" t="s">
        <v>743</v>
      </c>
      <c r="P2070" s="314">
        <v>36</v>
      </c>
      <c r="Q2070" s="314">
        <v>5</v>
      </c>
      <c r="R2070" s="315">
        <v>7.4999999999999997E-3</v>
      </c>
      <c r="S2070" s="311" t="s">
        <v>40</v>
      </c>
      <c r="T2070" s="311" t="s">
        <v>112</v>
      </c>
      <c r="U2070" s="629" t="s">
        <v>1894</v>
      </c>
      <c r="V2070" s="316">
        <f>250</f>
        <v>250</v>
      </c>
      <c r="W2070" s="316">
        <v>250</v>
      </c>
      <c r="X2070" s="317">
        <f>181/36</f>
        <v>5.0277777777777777</v>
      </c>
      <c r="Y2070" s="318">
        <f t="shared" si="753"/>
        <v>5.0277777777777715</v>
      </c>
      <c r="Z2070" s="319">
        <f t="shared" si="746"/>
        <v>0</v>
      </c>
      <c r="AA2070" s="319">
        <f t="shared" si="743"/>
        <v>0</v>
      </c>
      <c r="AB2070" s="815">
        <v>2.2419999999999999E-2</v>
      </c>
      <c r="AC2070" s="316">
        <f t="shared" si="739"/>
        <v>0</v>
      </c>
      <c r="AD2070" s="307" t="s">
        <v>2132</v>
      </c>
      <c r="AE2070" s="210">
        <f t="shared" si="747"/>
        <v>0</v>
      </c>
      <c r="AF2070" s="210">
        <f t="shared" si="752"/>
        <v>0</v>
      </c>
      <c r="AG2070" s="211">
        <f t="shared" si="748"/>
        <v>0.14699999999999999</v>
      </c>
      <c r="AH2070" s="157">
        <f t="shared" si="754"/>
        <v>0</v>
      </c>
      <c r="AI2070" s="152">
        <f t="shared" si="750"/>
        <v>9000</v>
      </c>
      <c r="AK2070" s="156" t="s">
        <v>691</v>
      </c>
      <c r="AL2070" s="574" t="s">
        <v>690</v>
      </c>
      <c r="AM2070" s="198">
        <f t="shared" si="755"/>
        <v>0</v>
      </c>
      <c r="AN2070" s="199">
        <f t="shared" si="744"/>
        <v>45742</v>
      </c>
      <c r="AO2070" s="159" t="s">
        <v>692</v>
      </c>
      <c r="AP2070" s="783" t="s">
        <v>639</v>
      </c>
      <c r="AQ2070" s="782">
        <v>12071839</v>
      </c>
      <c r="AR2070" s="782">
        <v>12047514</v>
      </c>
      <c r="AS2070" s="782">
        <v>12047515</v>
      </c>
      <c r="AT2070" s="782">
        <v>12089764</v>
      </c>
      <c r="AU2070" s="781"/>
      <c r="AV2070" s="782">
        <v>12089763</v>
      </c>
      <c r="AW2070" s="782">
        <v>12024404</v>
      </c>
      <c r="AX2070" s="781"/>
      <c r="AY2070" s="782">
        <v>12089765</v>
      </c>
      <c r="AZ2070" s="799" t="s">
        <v>2153</v>
      </c>
      <c r="BA2070" s="781"/>
      <c r="BB2070" s="209">
        <v>23105470</v>
      </c>
    </row>
    <row r="2071" spans="1:54" ht="25" hidden="1" customHeight="1">
      <c r="B2071" s="272">
        <v>45742</v>
      </c>
      <c r="C2071" s="272">
        <v>45775</v>
      </c>
      <c r="D2071" s="185">
        <f t="shared" si="741"/>
        <v>2025</v>
      </c>
      <c r="E2071" s="272" t="e">
        <f>VLOOKUP($B2071,Week!$A$1:$C$1462,2,0)</f>
        <v>#N/A</v>
      </c>
      <c r="F2071" s="273" t="str">
        <f t="shared" si="742"/>
        <v>Mar</v>
      </c>
      <c r="G2071" s="272" t="s">
        <v>2169</v>
      </c>
      <c r="H2071" s="274" t="s">
        <v>431</v>
      </c>
      <c r="I2071" s="274" t="s">
        <v>2772</v>
      </c>
      <c r="J2071" s="275" t="s">
        <v>432</v>
      </c>
      <c r="K2071" s="276" t="s">
        <v>1643</v>
      </c>
      <c r="L2071" s="300" t="s">
        <v>2167</v>
      </c>
      <c r="M2071" s="276" t="s">
        <v>1672</v>
      </c>
      <c r="N2071" s="274" t="s">
        <v>1692</v>
      </c>
      <c r="O2071" s="274" t="s">
        <v>1673</v>
      </c>
      <c r="P2071" s="277">
        <v>8</v>
      </c>
      <c r="Q2071" s="277">
        <v>4</v>
      </c>
      <c r="R2071" s="278">
        <v>8.1300000000000001E-3</v>
      </c>
      <c r="S2071" s="274" t="s">
        <v>40</v>
      </c>
      <c r="T2071" s="274" t="s">
        <v>112</v>
      </c>
      <c r="U2071" s="853" t="s">
        <v>1894</v>
      </c>
      <c r="V2071" s="279">
        <v>1360</v>
      </c>
      <c r="W2071" s="279"/>
      <c r="X2071" s="280">
        <f>12011/8</f>
        <v>1501.375</v>
      </c>
      <c r="Y2071" s="281">
        <f t="shared" si="753"/>
        <v>141.375</v>
      </c>
      <c r="Z2071" s="282">
        <f t="shared" si="746"/>
        <v>0</v>
      </c>
      <c r="AA2071" s="282">
        <f t="shared" si="743"/>
        <v>0</v>
      </c>
      <c r="AB2071" s="812">
        <v>2.2419999999999999E-2</v>
      </c>
      <c r="AC2071" s="279">
        <f t="shared" si="739"/>
        <v>0</v>
      </c>
      <c r="AD2071" s="209"/>
      <c r="AE2071" s="210">
        <f t="shared" si="747"/>
        <v>0</v>
      </c>
      <c r="AF2071" s="210">
        <f t="shared" si="752"/>
        <v>0</v>
      </c>
      <c r="AG2071" s="211">
        <f t="shared" si="748"/>
        <v>0.129</v>
      </c>
      <c r="AH2071" s="157">
        <f t="shared" si="754"/>
        <v>0</v>
      </c>
      <c r="AI2071" s="152">
        <f t="shared" si="750"/>
        <v>10880</v>
      </c>
      <c r="AK2071" s="156" t="s">
        <v>691</v>
      </c>
      <c r="AL2071" s="212" t="s">
        <v>690</v>
      </c>
      <c r="AM2071" s="198">
        <f t="shared" si="755"/>
        <v>0</v>
      </c>
      <c r="AN2071" s="199">
        <f t="shared" si="744"/>
        <v>45742</v>
      </c>
      <c r="AO2071" s="159" t="s">
        <v>692</v>
      </c>
      <c r="AP2071" s="783" t="s">
        <v>613</v>
      </c>
      <c r="AQ2071" s="782">
        <v>12071839</v>
      </c>
      <c r="AR2071" s="782">
        <v>12047514</v>
      </c>
      <c r="AS2071" s="782">
        <v>12047515</v>
      </c>
      <c r="AT2071" s="782">
        <v>12092474</v>
      </c>
      <c r="AU2071" s="782"/>
      <c r="AV2071" s="782">
        <v>12092526</v>
      </c>
      <c r="AW2071" s="782"/>
      <c r="AX2071" s="782"/>
      <c r="AY2071" s="782"/>
      <c r="AZ2071" s="782"/>
      <c r="BA2071" s="781"/>
    </row>
    <row r="2072" spans="1:54" ht="25" hidden="1" customHeight="1">
      <c r="A2072" s="142" t="s">
        <v>120</v>
      </c>
      <c r="B2072" s="385">
        <v>45743</v>
      </c>
      <c r="C2072" s="386">
        <v>45754</v>
      </c>
      <c r="D2072" s="185">
        <f t="shared" si="741"/>
        <v>2025</v>
      </c>
      <c r="E2072" s="386" t="e">
        <f>VLOOKUP($B2072,Week!$A$1:$C$1462,2,0)</f>
        <v>#N/A</v>
      </c>
      <c r="F2072" s="387" t="str">
        <f t="shared" si="742"/>
        <v>Mar</v>
      </c>
      <c r="G2072" s="388" t="s">
        <v>2027</v>
      </c>
      <c r="H2072" s="388" t="s">
        <v>500</v>
      </c>
      <c r="I2072" s="388" t="s">
        <v>2772</v>
      </c>
      <c r="J2072" s="389" t="s">
        <v>285</v>
      </c>
      <c r="K2072" s="390" t="s">
        <v>153</v>
      </c>
      <c r="L2072" s="390" t="s">
        <v>2166</v>
      </c>
      <c r="M2072" s="389" t="s">
        <v>165</v>
      </c>
      <c r="N2072" s="388" t="s">
        <v>286</v>
      </c>
      <c r="O2072" s="388" t="s">
        <v>503</v>
      </c>
      <c r="P2072" s="391">
        <v>40</v>
      </c>
      <c r="Q2072" s="391">
        <v>12</v>
      </c>
      <c r="R2072" s="392">
        <v>6.8100000000000001E-3</v>
      </c>
      <c r="S2072" s="388" t="s">
        <v>76</v>
      </c>
      <c r="T2072" s="388" t="s">
        <v>56</v>
      </c>
      <c r="U2072" s="388" t="s">
        <v>89</v>
      </c>
      <c r="V2072" s="393">
        <f>1624-588-553</f>
        <v>483</v>
      </c>
      <c r="W2072" s="393">
        <v>483</v>
      </c>
      <c r="X2072" s="394"/>
      <c r="Y2072" s="395">
        <f t="shared" si="745"/>
        <v>0</v>
      </c>
      <c r="Z2072" s="396">
        <f t="shared" si="746"/>
        <v>0</v>
      </c>
      <c r="AA2072" s="396">
        <f t="shared" si="743"/>
        <v>0</v>
      </c>
      <c r="AB2072" s="823">
        <v>2</v>
      </c>
      <c r="AC2072" s="393">
        <f t="shared" si="739"/>
        <v>0</v>
      </c>
      <c r="AD2072" s="209"/>
      <c r="AE2072" s="210">
        <f t="shared" si="747"/>
        <v>0</v>
      </c>
      <c r="AF2072" s="210">
        <f t="shared" ref="AF2072:AF2080" si="756">AE2072/0.54</f>
        <v>0</v>
      </c>
      <c r="AG2072" s="211">
        <f t="shared" si="748"/>
        <v>0.154</v>
      </c>
      <c r="AH2072" s="157">
        <f t="shared" si="749"/>
        <v>0</v>
      </c>
      <c r="AI2072" s="152">
        <f t="shared" si="750"/>
        <v>19320</v>
      </c>
      <c r="AK2072" s="156" t="s">
        <v>691</v>
      </c>
      <c r="AL2072" s="156" t="s">
        <v>689</v>
      </c>
      <c r="AM2072" s="198">
        <f t="shared" si="751"/>
        <v>0</v>
      </c>
      <c r="AN2072" s="199">
        <f t="shared" si="744"/>
        <v>45743</v>
      </c>
      <c r="AO2072" s="159" t="s">
        <v>692</v>
      </c>
      <c r="AP2072" s="783" t="s">
        <v>611</v>
      </c>
      <c r="AQ2072" s="782">
        <v>12088677</v>
      </c>
      <c r="AR2072" s="782">
        <v>12019692</v>
      </c>
      <c r="AS2072" s="781"/>
      <c r="AT2072" s="782">
        <v>12065371</v>
      </c>
      <c r="AU2072" s="782"/>
      <c r="AV2072" s="782">
        <v>12055895</v>
      </c>
      <c r="AW2072" s="782">
        <v>12034747</v>
      </c>
      <c r="AX2072" s="782" t="s">
        <v>398</v>
      </c>
      <c r="AY2072" s="781" t="s">
        <v>290</v>
      </c>
      <c r="AZ2072" s="781"/>
      <c r="BA2072" s="781"/>
      <c r="BB2072" s="209">
        <v>23053184</v>
      </c>
    </row>
    <row r="2073" spans="1:54" ht="25" hidden="1" customHeight="1">
      <c r="A2073" s="142" t="s">
        <v>120</v>
      </c>
      <c r="B2073" s="385">
        <v>45743</v>
      </c>
      <c r="C2073" s="386">
        <v>45768</v>
      </c>
      <c r="D2073" s="185">
        <f t="shared" si="741"/>
        <v>2025</v>
      </c>
      <c r="E2073" s="386" t="e">
        <f>VLOOKUP($B2073,Week!$A$1:$C$1462,2,0)</f>
        <v>#N/A</v>
      </c>
      <c r="F2073" s="387" t="str">
        <f t="shared" si="742"/>
        <v>Mar</v>
      </c>
      <c r="G2073" s="388" t="s">
        <v>2029</v>
      </c>
      <c r="H2073" s="388" t="s">
        <v>500</v>
      </c>
      <c r="I2073" s="388" t="s">
        <v>2772</v>
      </c>
      <c r="J2073" s="389" t="s">
        <v>285</v>
      </c>
      <c r="K2073" s="390" t="s">
        <v>153</v>
      </c>
      <c r="L2073" s="390" t="s">
        <v>2166</v>
      </c>
      <c r="M2073" s="389" t="s">
        <v>165</v>
      </c>
      <c r="N2073" s="388" t="s">
        <v>286</v>
      </c>
      <c r="O2073" s="388" t="s">
        <v>503</v>
      </c>
      <c r="P2073" s="391">
        <v>40</v>
      </c>
      <c r="Q2073" s="391">
        <v>12</v>
      </c>
      <c r="R2073" s="392">
        <v>6.8100000000000001E-3</v>
      </c>
      <c r="S2073" s="388" t="s">
        <v>76</v>
      </c>
      <c r="T2073" s="388" t="s">
        <v>56</v>
      </c>
      <c r="U2073" s="388" t="s">
        <v>89</v>
      </c>
      <c r="V2073" s="393">
        <v>168</v>
      </c>
      <c r="W2073" s="393">
        <f>651-483</f>
        <v>168</v>
      </c>
      <c r="X2073" s="394"/>
      <c r="Y2073" s="395">
        <f>(W2073+X2073)-V2073</f>
        <v>0</v>
      </c>
      <c r="Z2073" s="396">
        <f t="shared" si="746"/>
        <v>0</v>
      </c>
      <c r="AA2073" s="396">
        <f t="shared" si="743"/>
        <v>0</v>
      </c>
      <c r="AB2073" s="823">
        <v>2</v>
      </c>
      <c r="AC2073" s="393">
        <f t="shared" si="739"/>
        <v>0</v>
      </c>
      <c r="AD2073" s="209"/>
      <c r="AE2073" s="210">
        <f t="shared" si="747"/>
        <v>0</v>
      </c>
      <c r="AF2073" s="210">
        <f t="shared" si="756"/>
        <v>0</v>
      </c>
      <c r="AG2073" s="211">
        <f t="shared" si="748"/>
        <v>0.154</v>
      </c>
      <c r="AH2073" s="157">
        <f>(Z2073*AG2073)/1000</f>
        <v>0</v>
      </c>
      <c r="AI2073" s="152">
        <f t="shared" si="750"/>
        <v>6720</v>
      </c>
      <c r="AK2073" s="156" t="s">
        <v>691</v>
      </c>
      <c r="AL2073" s="156" t="s">
        <v>689</v>
      </c>
      <c r="AM2073" s="198">
        <f t="shared" si="751"/>
        <v>0</v>
      </c>
      <c r="AN2073" s="199">
        <f t="shared" si="744"/>
        <v>45743</v>
      </c>
      <c r="AO2073" s="159" t="s">
        <v>692</v>
      </c>
      <c r="AP2073" s="783" t="s">
        <v>611</v>
      </c>
      <c r="AQ2073" s="782">
        <v>12088677</v>
      </c>
      <c r="AR2073" s="782">
        <v>12019692</v>
      </c>
      <c r="AS2073" s="781"/>
      <c r="AT2073" s="782">
        <v>12065371</v>
      </c>
      <c r="AU2073" s="782"/>
      <c r="AV2073" s="782">
        <v>12055895</v>
      </c>
      <c r="AW2073" s="782">
        <v>12034747</v>
      </c>
      <c r="AX2073" s="782" t="s">
        <v>398</v>
      </c>
      <c r="AY2073" s="781" t="s">
        <v>290</v>
      </c>
      <c r="AZ2073" s="781"/>
      <c r="BA2073" s="781"/>
      <c r="BB2073" s="209">
        <v>23053184</v>
      </c>
    </row>
    <row r="2074" spans="1:54" ht="25" hidden="1" customHeight="1">
      <c r="A2074" s="142" t="s">
        <v>120</v>
      </c>
      <c r="B2074" s="271">
        <v>45743</v>
      </c>
      <c r="C2074" s="272">
        <v>45754</v>
      </c>
      <c r="D2074" s="185">
        <f t="shared" si="741"/>
        <v>2025</v>
      </c>
      <c r="E2074" s="272" t="e">
        <f>VLOOKUP($B2074,Week!$A$1:$C$1462,2,0)</f>
        <v>#N/A</v>
      </c>
      <c r="F2074" s="273" t="str">
        <f t="shared" si="742"/>
        <v>Mar</v>
      </c>
      <c r="G2074" s="274" t="s">
        <v>2028</v>
      </c>
      <c r="H2074" s="274" t="s">
        <v>500</v>
      </c>
      <c r="I2074" s="274" t="s">
        <v>2772</v>
      </c>
      <c r="J2074" s="275" t="s">
        <v>285</v>
      </c>
      <c r="K2074" s="276" t="s">
        <v>153</v>
      </c>
      <c r="L2074" s="390" t="s">
        <v>2166</v>
      </c>
      <c r="M2074" s="275" t="s">
        <v>86</v>
      </c>
      <c r="N2074" s="274" t="s">
        <v>547</v>
      </c>
      <c r="O2074" s="274" t="s">
        <v>548</v>
      </c>
      <c r="P2074" s="277">
        <v>10</v>
      </c>
      <c r="Q2074" s="277">
        <v>50</v>
      </c>
      <c r="R2074" s="278">
        <v>6.8100000000000001E-3</v>
      </c>
      <c r="S2074" s="274" t="s">
        <v>76</v>
      </c>
      <c r="T2074" s="274" t="s">
        <v>56</v>
      </c>
      <c r="U2074" s="274" t="s">
        <v>89</v>
      </c>
      <c r="V2074" s="279">
        <f>2056-700-685</f>
        <v>671</v>
      </c>
      <c r="W2074" s="279">
        <v>671</v>
      </c>
      <c r="X2074" s="280"/>
      <c r="Y2074" s="281">
        <f t="shared" si="745"/>
        <v>0</v>
      </c>
      <c r="Z2074" s="282">
        <f t="shared" si="746"/>
        <v>0</v>
      </c>
      <c r="AA2074" s="282">
        <f t="shared" si="743"/>
        <v>0</v>
      </c>
      <c r="AB2074" s="812">
        <v>6</v>
      </c>
      <c r="AC2074" s="279">
        <f t="shared" si="739"/>
        <v>0</v>
      </c>
      <c r="AD2074" s="209"/>
      <c r="AE2074" s="210">
        <f t="shared" si="747"/>
        <v>0</v>
      </c>
      <c r="AF2074" s="210">
        <f t="shared" si="756"/>
        <v>0</v>
      </c>
      <c r="AG2074" s="211">
        <f t="shared" si="748"/>
        <v>0.63</v>
      </c>
      <c r="AH2074" s="157">
        <f t="shared" si="749"/>
        <v>0</v>
      </c>
      <c r="AI2074" s="152">
        <f t="shared" si="750"/>
        <v>6710</v>
      </c>
      <c r="AK2074" s="156" t="s">
        <v>691</v>
      </c>
      <c r="AL2074" s="156" t="s">
        <v>689</v>
      </c>
      <c r="AM2074" s="198">
        <f t="shared" si="751"/>
        <v>0</v>
      </c>
      <c r="AN2074" s="199">
        <f t="shared" si="744"/>
        <v>45743</v>
      </c>
      <c r="AO2074" s="159" t="s">
        <v>692</v>
      </c>
      <c r="AP2074" s="783" t="s">
        <v>620</v>
      </c>
      <c r="AQ2074" s="796" t="s">
        <v>422</v>
      </c>
      <c r="AR2074" s="782">
        <v>12055234</v>
      </c>
      <c r="AS2074" s="781"/>
      <c r="AT2074" s="782"/>
      <c r="AU2074" s="782"/>
      <c r="AV2074" s="782">
        <v>12062809</v>
      </c>
      <c r="AW2074" s="782"/>
      <c r="AX2074" s="782" t="s">
        <v>619</v>
      </c>
      <c r="AY2074" s="781"/>
      <c r="AZ2074" s="781"/>
      <c r="BA2074" s="781"/>
      <c r="BB2074" s="209">
        <v>23053184</v>
      </c>
    </row>
    <row r="2075" spans="1:54" ht="25" hidden="1" customHeight="1">
      <c r="A2075" s="142" t="s">
        <v>120</v>
      </c>
      <c r="B2075" s="385">
        <v>45744</v>
      </c>
      <c r="C2075" s="386">
        <v>45768</v>
      </c>
      <c r="D2075" s="185">
        <f t="shared" si="741"/>
        <v>2025</v>
      </c>
      <c r="E2075" s="386" t="e">
        <f>VLOOKUP($B2075,Week!$A$1:$C$1462,2,0)</f>
        <v>#N/A</v>
      </c>
      <c r="F2075" s="387" t="str">
        <f t="shared" si="742"/>
        <v>Mar</v>
      </c>
      <c r="G2075" s="388" t="s">
        <v>2029</v>
      </c>
      <c r="H2075" s="388" t="s">
        <v>500</v>
      </c>
      <c r="I2075" s="388" t="s">
        <v>2772</v>
      </c>
      <c r="J2075" s="389" t="s">
        <v>285</v>
      </c>
      <c r="K2075" s="390" t="s">
        <v>153</v>
      </c>
      <c r="L2075" s="390" t="s">
        <v>2166</v>
      </c>
      <c r="M2075" s="389" t="s">
        <v>165</v>
      </c>
      <c r="N2075" s="388" t="s">
        <v>286</v>
      </c>
      <c r="O2075" s="388" t="s">
        <v>503</v>
      </c>
      <c r="P2075" s="391">
        <v>40</v>
      </c>
      <c r="Q2075" s="391">
        <v>12</v>
      </c>
      <c r="R2075" s="392">
        <v>6.8100000000000001E-3</v>
      </c>
      <c r="S2075" s="388" t="s">
        <v>76</v>
      </c>
      <c r="T2075" s="388" t="s">
        <v>56</v>
      </c>
      <c r="U2075" s="388" t="s">
        <v>89</v>
      </c>
      <c r="V2075" s="393">
        <v>1287</v>
      </c>
      <c r="W2075" s="393">
        <v>1287</v>
      </c>
      <c r="X2075" s="394"/>
      <c r="Y2075" s="395">
        <f t="shared" ref="Y2075:Y2080" si="757">(W2075+X2075)-V2075</f>
        <v>0</v>
      </c>
      <c r="Z2075" s="396">
        <f t="shared" si="746"/>
        <v>0</v>
      </c>
      <c r="AA2075" s="396">
        <f t="shared" si="743"/>
        <v>0</v>
      </c>
      <c r="AB2075" s="823">
        <v>2</v>
      </c>
      <c r="AC2075" s="393">
        <f t="shared" si="739"/>
        <v>0</v>
      </c>
      <c r="AD2075" s="209"/>
      <c r="AE2075" s="210">
        <f t="shared" si="747"/>
        <v>0</v>
      </c>
      <c r="AF2075" s="210">
        <f t="shared" si="756"/>
        <v>0</v>
      </c>
      <c r="AG2075" s="211">
        <f t="shared" si="748"/>
        <v>0.154</v>
      </c>
      <c r="AH2075" s="157">
        <f t="shared" ref="AH2075:AH2080" si="758">(Z2075*AG2075)/1000</f>
        <v>0</v>
      </c>
      <c r="AI2075" s="152">
        <f t="shared" si="750"/>
        <v>51480</v>
      </c>
      <c r="AK2075" s="156" t="s">
        <v>691</v>
      </c>
      <c r="AL2075" s="156" t="s">
        <v>689</v>
      </c>
      <c r="AM2075" s="198">
        <f t="shared" ref="AM2075:AM2118" si="759">AG2075*Z2075</f>
        <v>0</v>
      </c>
      <c r="AN2075" s="199">
        <f t="shared" si="744"/>
        <v>45744</v>
      </c>
      <c r="AO2075" s="159" t="s">
        <v>692</v>
      </c>
      <c r="AP2075" s="783" t="s">
        <v>611</v>
      </c>
      <c r="AQ2075" s="782">
        <v>12088677</v>
      </c>
      <c r="AR2075" s="782">
        <v>12019692</v>
      </c>
      <c r="AS2075" s="781"/>
      <c r="AT2075" s="782">
        <v>12065371</v>
      </c>
      <c r="AU2075" s="782"/>
      <c r="AV2075" s="782">
        <v>12055895</v>
      </c>
      <c r="AW2075" s="782">
        <v>12034747</v>
      </c>
      <c r="AX2075" s="782" t="s">
        <v>398</v>
      </c>
      <c r="AY2075" s="781" t="s">
        <v>290</v>
      </c>
      <c r="AZ2075" s="781"/>
      <c r="BA2075" s="781"/>
      <c r="BB2075" s="209">
        <v>23053184</v>
      </c>
    </row>
    <row r="2076" spans="1:54" ht="25" hidden="1" customHeight="1">
      <c r="B2076" s="383">
        <v>45745</v>
      </c>
      <c r="C2076" s="383">
        <v>45752</v>
      </c>
      <c r="D2076" s="185">
        <f t="shared" si="741"/>
        <v>2025</v>
      </c>
      <c r="E2076" s="224" t="e">
        <f>VLOOKUP($B2076,Week!$A$1:$C$1462,2,0)</f>
        <v>#N/A</v>
      </c>
      <c r="F2076" s="226" t="str">
        <f t="shared" si="742"/>
        <v>Mar</v>
      </c>
      <c r="G2076" s="225" t="s">
        <v>2022</v>
      </c>
      <c r="H2076" s="225" t="s">
        <v>225</v>
      </c>
      <c r="I2076" s="225" t="s">
        <v>2773</v>
      </c>
      <c r="J2076" s="227" t="s">
        <v>335</v>
      </c>
      <c r="K2076" s="228" t="s">
        <v>176</v>
      </c>
      <c r="L2076" s="300" t="s">
        <v>2167</v>
      </c>
      <c r="M2076" s="227" t="s">
        <v>336</v>
      </c>
      <c r="N2076" s="225" t="s">
        <v>337</v>
      </c>
      <c r="O2076" s="225" t="s">
        <v>179</v>
      </c>
      <c r="P2076" s="229">
        <v>36</v>
      </c>
      <c r="Q2076" s="229">
        <v>5</v>
      </c>
      <c r="R2076" s="230">
        <v>7.4999999999999997E-3</v>
      </c>
      <c r="S2076" s="225" t="s">
        <v>111</v>
      </c>
      <c r="T2076" s="225" t="s">
        <v>112</v>
      </c>
      <c r="U2076" s="225" t="s">
        <v>113</v>
      </c>
      <c r="V2076" s="231">
        <f>1288-837</f>
        <v>451</v>
      </c>
      <c r="W2076" s="231">
        <f>25+426</f>
        <v>451</v>
      </c>
      <c r="X2076" s="232"/>
      <c r="Y2076" s="233">
        <f t="shared" si="757"/>
        <v>0</v>
      </c>
      <c r="Z2076" s="234">
        <f t="shared" si="746"/>
        <v>0</v>
      </c>
      <c r="AA2076" s="234">
        <f t="shared" si="743"/>
        <v>0</v>
      </c>
      <c r="AB2076" s="822">
        <v>9.7000000000000003E-3</v>
      </c>
      <c r="AC2076" s="231">
        <f t="shared" si="739"/>
        <v>0</v>
      </c>
      <c r="AD2076" s="209"/>
      <c r="AE2076" s="210">
        <f t="shared" si="747"/>
        <v>0</v>
      </c>
      <c r="AF2076" s="210">
        <f t="shared" si="756"/>
        <v>0</v>
      </c>
      <c r="AG2076" s="211">
        <f t="shared" si="748"/>
        <v>0.14499999999999999</v>
      </c>
      <c r="AH2076" s="157">
        <f t="shared" si="758"/>
        <v>0</v>
      </c>
      <c r="AI2076" s="152">
        <f t="shared" si="750"/>
        <v>16236</v>
      </c>
      <c r="AK2076" s="156" t="s">
        <v>691</v>
      </c>
      <c r="AL2076" s="574" t="s">
        <v>690</v>
      </c>
      <c r="AM2076" s="198">
        <f t="shared" si="759"/>
        <v>0</v>
      </c>
      <c r="AN2076" s="199">
        <f t="shared" si="744"/>
        <v>45745</v>
      </c>
      <c r="AO2076" s="159" t="s">
        <v>692</v>
      </c>
      <c r="AP2076" s="783" t="s">
        <v>639</v>
      </c>
      <c r="AQ2076" s="782">
        <v>12071839</v>
      </c>
      <c r="AR2076" s="782">
        <v>12047514</v>
      </c>
      <c r="AS2076" s="782">
        <v>12047515</v>
      </c>
      <c r="AT2076" s="782">
        <v>12054919</v>
      </c>
      <c r="AU2076" s="781"/>
      <c r="AV2076" s="782">
        <v>12054869</v>
      </c>
      <c r="AW2076" s="782">
        <v>12024404</v>
      </c>
      <c r="AX2076" s="781"/>
      <c r="AY2076" s="782">
        <v>12094132</v>
      </c>
      <c r="AZ2076" s="781"/>
      <c r="BA2076" s="781"/>
      <c r="BB2076" s="209">
        <v>23054743</v>
      </c>
    </row>
    <row r="2077" spans="1:54" ht="25" hidden="1" customHeight="1">
      <c r="B2077" s="383">
        <v>45745</v>
      </c>
      <c r="C2077" s="383">
        <v>45766</v>
      </c>
      <c r="D2077" s="185">
        <f t="shared" si="741"/>
        <v>2025</v>
      </c>
      <c r="E2077" s="224" t="e">
        <f>VLOOKUP($B2077,Week!$A$1:$C$1462,2,0)</f>
        <v>#N/A</v>
      </c>
      <c r="F2077" s="226" t="str">
        <f t="shared" si="742"/>
        <v>Mar</v>
      </c>
      <c r="G2077" s="225" t="s">
        <v>2023</v>
      </c>
      <c r="H2077" s="225" t="s">
        <v>225</v>
      </c>
      <c r="I2077" s="225" t="s">
        <v>2773</v>
      </c>
      <c r="J2077" s="227" t="s">
        <v>335</v>
      </c>
      <c r="K2077" s="228" t="s">
        <v>176</v>
      </c>
      <c r="L2077" s="300" t="s">
        <v>2167</v>
      </c>
      <c r="M2077" s="227" t="s">
        <v>336</v>
      </c>
      <c r="N2077" s="225" t="s">
        <v>337</v>
      </c>
      <c r="O2077" s="225" t="s">
        <v>179</v>
      </c>
      <c r="P2077" s="229">
        <v>36</v>
      </c>
      <c r="Q2077" s="229">
        <v>5</v>
      </c>
      <c r="R2077" s="230">
        <v>7.4999999999999997E-3</v>
      </c>
      <c r="S2077" s="225" t="s">
        <v>111</v>
      </c>
      <c r="T2077" s="225" t="s">
        <v>112</v>
      </c>
      <c r="U2077" s="225" t="s">
        <v>113</v>
      </c>
      <c r="V2077" s="231">
        <v>1288</v>
      </c>
      <c r="W2077" s="231">
        <f>1479-426+2</f>
        <v>1055</v>
      </c>
      <c r="X2077" s="232">
        <f>(8391)/36</f>
        <v>233.08333333333334</v>
      </c>
      <c r="Y2077" s="233">
        <f t="shared" si="757"/>
        <v>8.3333333333257542E-2</v>
      </c>
      <c r="Z2077" s="234">
        <f t="shared" si="746"/>
        <v>0</v>
      </c>
      <c r="AA2077" s="234">
        <f t="shared" si="743"/>
        <v>0</v>
      </c>
      <c r="AB2077" s="822">
        <v>9.7000000000000003E-3</v>
      </c>
      <c r="AC2077" s="231">
        <f t="shared" si="739"/>
        <v>0</v>
      </c>
      <c r="AD2077" s="209"/>
      <c r="AE2077" s="210">
        <f t="shared" si="747"/>
        <v>0</v>
      </c>
      <c r="AF2077" s="210">
        <f t="shared" si="756"/>
        <v>0</v>
      </c>
      <c r="AG2077" s="211">
        <f t="shared" si="748"/>
        <v>0.14499999999999999</v>
      </c>
      <c r="AH2077" s="157">
        <f t="shared" si="758"/>
        <v>0</v>
      </c>
      <c r="AI2077" s="152">
        <f t="shared" si="750"/>
        <v>46368</v>
      </c>
      <c r="AK2077" s="156" t="s">
        <v>691</v>
      </c>
      <c r="AL2077" s="574" t="s">
        <v>690</v>
      </c>
      <c r="AM2077" s="198">
        <f t="shared" si="759"/>
        <v>0</v>
      </c>
      <c r="AN2077" s="199">
        <f t="shared" si="744"/>
        <v>45745</v>
      </c>
      <c r="AO2077" s="159" t="s">
        <v>692</v>
      </c>
      <c r="AP2077" s="783" t="s">
        <v>639</v>
      </c>
      <c r="AQ2077" s="782">
        <v>12071839</v>
      </c>
      <c r="AR2077" s="782">
        <v>12047514</v>
      </c>
      <c r="AS2077" s="782">
        <v>12047515</v>
      </c>
      <c r="AT2077" s="782">
        <v>12054919</v>
      </c>
      <c r="AU2077" s="781"/>
      <c r="AV2077" s="782">
        <v>12054869</v>
      </c>
      <c r="AW2077" s="782">
        <v>12024404</v>
      </c>
      <c r="AX2077" s="781"/>
      <c r="AY2077" s="782">
        <v>12094132</v>
      </c>
      <c r="AZ2077" s="781"/>
      <c r="BA2077" s="781"/>
      <c r="BB2077" s="209">
        <v>23054743</v>
      </c>
    </row>
    <row r="2078" spans="1:54" ht="24.65" hidden="1" customHeight="1">
      <c r="B2078" s="757">
        <v>45745</v>
      </c>
      <c r="C2078" s="758">
        <v>45755</v>
      </c>
      <c r="D2078" s="185">
        <f t="shared" si="741"/>
        <v>2025</v>
      </c>
      <c r="E2078" s="758" t="e">
        <f>VLOOKUP($B2078,Week!$A$1:$C$1462,2,0)</f>
        <v>#N/A</v>
      </c>
      <c r="F2078" s="759" t="str">
        <f t="shared" si="742"/>
        <v>Mar</v>
      </c>
      <c r="G2078" s="760" t="s">
        <v>2158</v>
      </c>
      <c r="H2078" s="761" t="s">
        <v>424</v>
      </c>
      <c r="I2078" s="761" t="s">
        <v>2772</v>
      </c>
      <c r="J2078" s="762" t="s">
        <v>425</v>
      </c>
      <c r="K2078" s="763" t="s">
        <v>593</v>
      </c>
      <c r="L2078" s="300" t="s">
        <v>2167</v>
      </c>
      <c r="M2078" s="762" t="s">
        <v>594</v>
      </c>
      <c r="N2078" s="761" t="s">
        <v>1671</v>
      </c>
      <c r="O2078" s="761" t="s">
        <v>415</v>
      </c>
      <c r="P2078" s="764">
        <v>24</v>
      </c>
      <c r="Q2078" s="764">
        <v>5</v>
      </c>
      <c r="R2078" s="765">
        <v>6.0000000000000001E-3</v>
      </c>
      <c r="S2078" s="761" t="s">
        <v>55</v>
      </c>
      <c r="T2078" s="761" t="s">
        <v>112</v>
      </c>
      <c r="U2078" s="761" t="s">
        <v>57</v>
      </c>
      <c r="V2078" s="766">
        <f>1176</f>
        <v>1176</v>
      </c>
      <c r="W2078" s="766">
        <f>779</f>
        <v>779</v>
      </c>
      <c r="X2078" s="767">
        <f>(11773)/24</f>
        <v>490.54166666666669</v>
      </c>
      <c r="Y2078" s="768">
        <f t="shared" si="757"/>
        <v>93.541666666666742</v>
      </c>
      <c r="Z2078" s="769">
        <f t="shared" si="746"/>
        <v>0</v>
      </c>
      <c r="AA2078" s="769">
        <f t="shared" si="743"/>
        <v>0</v>
      </c>
      <c r="AB2078" s="837">
        <v>7.4999999999999997E-3</v>
      </c>
      <c r="AC2078" s="766">
        <f t="shared" si="739"/>
        <v>0</v>
      </c>
      <c r="AD2078" s="486"/>
      <c r="AE2078" s="210">
        <f t="shared" si="747"/>
        <v>0</v>
      </c>
      <c r="AF2078" s="210">
        <f t="shared" si="756"/>
        <v>0</v>
      </c>
      <c r="AG2078" s="211">
        <f t="shared" si="748"/>
        <v>0.25800000000000001</v>
      </c>
      <c r="AH2078" s="157">
        <f t="shared" si="758"/>
        <v>0</v>
      </c>
      <c r="AI2078" s="152">
        <f t="shared" si="750"/>
        <v>28224</v>
      </c>
      <c r="AK2078" s="156" t="s">
        <v>691</v>
      </c>
      <c r="AL2078" s="212" t="s">
        <v>690</v>
      </c>
      <c r="AM2078" s="198">
        <f t="shared" si="759"/>
        <v>0</v>
      </c>
      <c r="AN2078" s="199">
        <f t="shared" si="744"/>
        <v>45745</v>
      </c>
      <c r="AO2078" s="159" t="s">
        <v>692</v>
      </c>
      <c r="AP2078" s="783"/>
      <c r="AQ2078" s="782">
        <v>12071839</v>
      </c>
      <c r="AR2078" s="782">
        <v>12042650</v>
      </c>
      <c r="AS2078" s="782">
        <v>12042649</v>
      </c>
      <c r="AT2078" s="782">
        <v>12092034</v>
      </c>
      <c r="AU2078" s="781"/>
      <c r="AV2078" s="782">
        <v>12092685</v>
      </c>
      <c r="AW2078" s="782"/>
      <c r="AX2078" s="782"/>
      <c r="AY2078" s="782">
        <v>12092033</v>
      </c>
      <c r="AZ2078" s="782"/>
      <c r="BA2078" s="781"/>
      <c r="BB2078" s="209">
        <v>23053185</v>
      </c>
    </row>
    <row r="2079" spans="1:54" ht="25" hidden="1" customHeight="1">
      <c r="B2079" s="498">
        <v>45745</v>
      </c>
      <c r="C2079" s="499">
        <v>45771</v>
      </c>
      <c r="D2079" s="185">
        <f t="shared" si="741"/>
        <v>2025</v>
      </c>
      <c r="E2079" s="499" t="e">
        <f>VLOOKUP($B2079,Week!$A$1:$C$1462,2,0)</f>
        <v>#N/A</v>
      </c>
      <c r="F2079" s="500" t="str">
        <f t="shared" si="742"/>
        <v>Mar</v>
      </c>
      <c r="G2079" s="501" t="s">
        <v>2134</v>
      </c>
      <c r="H2079" s="501" t="s">
        <v>311</v>
      </c>
      <c r="I2079" s="501" t="s">
        <v>2772</v>
      </c>
      <c r="J2079" s="502" t="s">
        <v>738</v>
      </c>
      <c r="K2079" s="503" t="s">
        <v>1646</v>
      </c>
      <c r="L2079" s="300" t="s">
        <v>2167</v>
      </c>
      <c r="M2079" s="502" t="s">
        <v>654</v>
      </c>
      <c r="N2079" s="501" t="s">
        <v>726</v>
      </c>
      <c r="O2079" s="501" t="s">
        <v>655</v>
      </c>
      <c r="P2079" s="504">
        <v>24</v>
      </c>
      <c r="Q2079" s="504">
        <v>5</v>
      </c>
      <c r="R2079" s="505">
        <v>7.4999999999999997E-3</v>
      </c>
      <c r="S2079" s="501" t="s">
        <v>40</v>
      </c>
      <c r="T2079" s="501" t="s">
        <v>112</v>
      </c>
      <c r="U2079" s="506" t="s">
        <v>1894</v>
      </c>
      <c r="V2079" s="507">
        <v>924</v>
      </c>
      <c r="W2079" s="507">
        <f>881</f>
        <v>881</v>
      </c>
      <c r="X2079" s="508">
        <f>(980+1691)/24</f>
        <v>111.29166666666667</v>
      </c>
      <c r="Y2079" s="509">
        <f t="shared" si="757"/>
        <v>68.291666666666629</v>
      </c>
      <c r="Z2079" s="510">
        <f t="shared" si="746"/>
        <v>0</v>
      </c>
      <c r="AA2079" s="510">
        <f t="shared" si="743"/>
        <v>0</v>
      </c>
      <c r="AB2079" s="830">
        <v>3.8699999999999998E-2</v>
      </c>
      <c r="AC2079" s="507">
        <f t="shared" si="739"/>
        <v>0</v>
      </c>
      <c r="AD2079" s="209"/>
      <c r="AE2079" s="210">
        <f t="shared" si="747"/>
        <v>0</v>
      </c>
      <c r="AF2079" s="210">
        <f t="shared" si="756"/>
        <v>0</v>
      </c>
      <c r="AG2079" s="211">
        <f t="shared" si="748"/>
        <v>0.307</v>
      </c>
      <c r="AH2079" s="157">
        <f t="shared" si="758"/>
        <v>0</v>
      </c>
      <c r="AI2079" s="152">
        <f t="shared" si="750"/>
        <v>22176</v>
      </c>
      <c r="AK2079" s="156" t="s">
        <v>691</v>
      </c>
      <c r="AL2079" s="212" t="s">
        <v>690</v>
      </c>
      <c r="AM2079" s="198">
        <f t="shared" si="759"/>
        <v>0</v>
      </c>
      <c r="AN2079" s="199">
        <f t="shared" si="744"/>
        <v>45745</v>
      </c>
      <c r="AO2079" s="159" t="s">
        <v>692</v>
      </c>
      <c r="AP2079" s="781" t="s">
        <v>642</v>
      </c>
      <c r="AQ2079" s="782">
        <v>12063755</v>
      </c>
      <c r="AR2079" s="782">
        <v>12061353</v>
      </c>
      <c r="AS2079" s="782">
        <v>12061354</v>
      </c>
      <c r="AT2079" s="782">
        <v>12089274</v>
      </c>
      <c r="AU2079" s="781"/>
      <c r="AV2079" s="782">
        <v>12089275</v>
      </c>
      <c r="AW2079" s="782">
        <v>12068154</v>
      </c>
      <c r="AX2079" s="782"/>
      <c r="AY2079" s="782">
        <v>12089276</v>
      </c>
      <c r="AZ2079" s="782"/>
      <c r="BA2079" s="781"/>
      <c r="BB2079" s="209">
        <v>23105470</v>
      </c>
    </row>
    <row r="2080" spans="1:54" ht="25" hidden="1" customHeight="1">
      <c r="B2080" s="258">
        <v>45745</v>
      </c>
      <c r="C2080" s="259">
        <v>45755</v>
      </c>
      <c r="D2080" s="185">
        <f t="shared" si="741"/>
        <v>2025</v>
      </c>
      <c r="E2080" s="259" t="e">
        <f>VLOOKUP($B2080,Week!$A$1:$C$1462,2,0)</f>
        <v>#N/A</v>
      </c>
      <c r="F2080" s="261" t="str">
        <f t="shared" si="742"/>
        <v>Mar</v>
      </c>
      <c r="G2080" s="260" t="s">
        <v>2178</v>
      </c>
      <c r="H2080" s="260" t="s">
        <v>697</v>
      </c>
      <c r="I2080" s="260" t="s">
        <v>2772</v>
      </c>
      <c r="J2080" s="263" t="s">
        <v>653</v>
      </c>
      <c r="K2080" s="264" t="s">
        <v>1646</v>
      </c>
      <c r="L2080" s="300" t="s">
        <v>2167</v>
      </c>
      <c r="M2080" s="263" t="s">
        <v>654</v>
      </c>
      <c r="N2080" s="260" t="s">
        <v>656</v>
      </c>
      <c r="O2080" s="260" t="s">
        <v>655</v>
      </c>
      <c r="P2080" s="265">
        <v>24</v>
      </c>
      <c r="Q2080" s="265">
        <v>5</v>
      </c>
      <c r="R2080" s="266">
        <v>7.4999999999999997E-3</v>
      </c>
      <c r="S2080" s="260" t="s">
        <v>40</v>
      </c>
      <c r="T2080" s="260" t="s">
        <v>112</v>
      </c>
      <c r="U2080" s="621" t="s">
        <v>1894</v>
      </c>
      <c r="V2080" s="267">
        <f>924</f>
        <v>924</v>
      </c>
      <c r="W2080" s="267">
        <f>122+5</f>
        <v>127</v>
      </c>
      <c r="X2080" s="268">
        <f>19821/24</f>
        <v>825.875</v>
      </c>
      <c r="Y2080" s="269">
        <f t="shared" si="757"/>
        <v>28.875</v>
      </c>
      <c r="Z2080" s="270">
        <f t="shared" si="746"/>
        <v>0</v>
      </c>
      <c r="AA2080" s="270">
        <f t="shared" si="743"/>
        <v>0</v>
      </c>
      <c r="AB2080" s="811">
        <v>3.8699999999999998E-2</v>
      </c>
      <c r="AC2080" s="267">
        <f t="shared" si="739"/>
        <v>0</v>
      </c>
      <c r="AD2080" s="443"/>
      <c r="AE2080" s="210">
        <f t="shared" si="747"/>
        <v>0</v>
      </c>
      <c r="AF2080" s="210">
        <f t="shared" si="756"/>
        <v>0</v>
      </c>
      <c r="AG2080" s="211">
        <f t="shared" si="748"/>
        <v>0.307</v>
      </c>
      <c r="AH2080" s="157">
        <f t="shared" si="758"/>
        <v>0</v>
      </c>
      <c r="AI2080" s="152">
        <f t="shared" si="750"/>
        <v>22176</v>
      </c>
      <c r="AK2080" s="156" t="s">
        <v>691</v>
      </c>
      <c r="AL2080" s="212" t="s">
        <v>690</v>
      </c>
      <c r="AM2080" s="198">
        <f t="shared" si="759"/>
        <v>0</v>
      </c>
      <c r="AN2080" s="199">
        <f t="shared" si="744"/>
        <v>45745</v>
      </c>
      <c r="AO2080" s="159" t="s">
        <v>692</v>
      </c>
      <c r="AP2080" s="781" t="s">
        <v>642</v>
      </c>
      <c r="AQ2080" s="782">
        <v>12063755</v>
      </c>
      <c r="AR2080" s="782">
        <v>12081257</v>
      </c>
      <c r="AS2080" s="782">
        <v>12081260</v>
      </c>
      <c r="AT2080" s="782">
        <v>12094048</v>
      </c>
      <c r="AU2080" s="781"/>
      <c r="AV2080" s="782">
        <v>12084608</v>
      </c>
      <c r="AW2080" s="782">
        <v>12068154</v>
      </c>
      <c r="AX2080" s="782"/>
      <c r="AY2080" s="782">
        <v>12094049</v>
      </c>
      <c r="AZ2080" s="782"/>
      <c r="BA2080" s="781"/>
      <c r="BB2080" s="209">
        <v>23105470</v>
      </c>
    </row>
    <row r="2081" spans="1:54" ht="25" hidden="1" customHeight="1">
      <c r="B2081" s="183">
        <v>45746</v>
      </c>
      <c r="C2081" s="184"/>
      <c r="D2081" s="185">
        <f t="shared" si="741"/>
        <v>2025</v>
      </c>
      <c r="E2081" s="185" t="e">
        <f>VLOOKUP($B2081,Week!$A$1:$C$1462,2,0)</f>
        <v>#N/A</v>
      </c>
      <c r="F2081" s="186" t="str">
        <f t="shared" si="742"/>
        <v>Mar</v>
      </c>
      <c r="G2081" s="185"/>
      <c r="H2081" s="185"/>
      <c r="I2081" s="185"/>
      <c r="J2081" s="187"/>
      <c r="K2081" s="188"/>
      <c r="L2081" s="300"/>
      <c r="M2081" s="187"/>
      <c r="N2081" s="185"/>
      <c r="O2081" s="185"/>
      <c r="P2081" s="189"/>
      <c r="Q2081" s="189"/>
      <c r="R2081" s="190"/>
      <c r="S2081" s="185"/>
      <c r="T2081" s="185"/>
      <c r="U2081" s="185"/>
      <c r="V2081" s="191"/>
      <c r="W2081" s="191"/>
      <c r="X2081" s="192"/>
      <c r="Y2081" s="193"/>
      <c r="Z2081" s="194"/>
      <c r="AA2081" s="194">
        <f t="shared" si="743"/>
        <v>0</v>
      </c>
      <c r="AB2081" s="805"/>
      <c r="AC2081" s="191">
        <f t="shared" si="739"/>
        <v>0</v>
      </c>
      <c r="AD2081" s="187"/>
      <c r="AE2081" s="195"/>
      <c r="AF2081" s="195"/>
      <c r="AG2081" s="196"/>
      <c r="AH2081" s="197"/>
      <c r="AK2081" s="156" t="s">
        <v>691</v>
      </c>
      <c r="AM2081" s="198">
        <f t="shared" si="759"/>
        <v>0</v>
      </c>
      <c r="AN2081" s="199">
        <f t="shared" si="744"/>
        <v>45746</v>
      </c>
      <c r="AO2081" s="159" t="s">
        <v>692</v>
      </c>
      <c r="AP2081" s="781"/>
      <c r="AQ2081" s="782"/>
      <c r="AR2081" s="782"/>
      <c r="AS2081" s="782"/>
      <c r="AT2081" s="782"/>
      <c r="AU2081" s="781"/>
      <c r="AV2081" s="782"/>
      <c r="AW2081" s="782"/>
      <c r="AX2081" s="782"/>
      <c r="AY2081" s="782"/>
      <c r="AZ2081" s="782"/>
      <c r="BA2081" s="781"/>
      <c r="BB2081" s="209"/>
    </row>
    <row r="2082" spans="1:54" ht="24.75" hidden="1" customHeight="1">
      <c r="B2082" s="295">
        <v>45747</v>
      </c>
      <c r="C2082" s="771" t="s">
        <v>1928</v>
      </c>
      <c r="D2082" s="185">
        <f t="shared" si="741"/>
        <v>2025</v>
      </c>
      <c r="E2082" s="296" t="e">
        <f>VLOOKUP($B2082,Week!$A$1:$C$1462,2,0)</f>
        <v>#N/A</v>
      </c>
      <c r="F2082" s="297" t="str">
        <f t="shared" si="742"/>
        <v>Mar</v>
      </c>
      <c r="G2082" s="648" t="s">
        <v>47</v>
      </c>
      <c r="H2082" s="298" t="s">
        <v>260</v>
      </c>
      <c r="I2082" s="298" t="s">
        <v>2702</v>
      </c>
      <c r="J2082" s="307" t="s">
        <v>904</v>
      </c>
      <c r="K2082" s="300" t="s">
        <v>176</v>
      </c>
      <c r="L2082" s="300" t="s">
        <v>2167</v>
      </c>
      <c r="M2082" s="299" t="s">
        <v>262</v>
      </c>
      <c r="N2082" s="298" t="s">
        <v>350</v>
      </c>
      <c r="O2082" s="298" t="s">
        <v>351</v>
      </c>
      <c r="P2082" s="301">
        <v>24</v>
      </c>
      <c r="Q2082" s="301">
        <v>5</v>
      </c>
      <c r="R2082" s="302">
        <v>6.1999999999999998E-3</v>
      </c>
      <c r="S2082" s="298" t="s">
        <v>352</v>
      </c>
      <c r="T2082" s="298" t="s">
        <v>56</v>
      </c>
      <c r="U2082" s="298" t="s">
        <v>57</v>
      </c>
      <c r="V2082" s="303">
        <v>6678</v>
      </c>
      <c r="W2082" s="303">
        <f>6678</f>
        <v>6678</v>
      </c>
      <c r="X2082" s="304"/>
      <c r="Y2082" s="305">
        <f t="shared" ref="Y2082:Y2096" si="760">(W2082+X2082)-V2082</f>
        <v>0</v>
      </c>
      <c r="Z2082" s="306">
        <f t="shared" ref="Z2082:Z2096" si="761">IF(Y2082&lt;0,((V2082*P2082)-((W2082+X2082)*P2082)),0)</f>
        <v>0</v>
      </c>
      <c r="AA2082" s="306">
        <f t="shared" si="743"/>
        <v>0</v>
      </c>
      <c r="AB2082" s="814">
        <v>7.4999999999999997E-3</v>
      </c>
      <c r="AC2082" s="303">
        <f t="shared" si="739"/>
        <v>0</v>
      </c>
      <c r="AD2082" s="573"/>
      <c r="AE2082" s="210">
        <f t="shared" ref="AE2082:AE2096" si="762">SUM(Q2082*R2082*Z2082)/1000</f>
        <v>0</v>
      </c>
      <c r="AF2082" s="210">
        <f t="shared" ref="AF2082:AF2096" si="763">AE2082/0.54</f>
        <v>0</v>
      </c>
      <c r="AG2082" s="211">
        <f t="shared" ref="AG2082:AG2092" si="764">MID(O2082,1,3)/1000</f>
        <v>0.13</v>
      </c>
      <c r="AH2082" s="157">
        <f t="shared" ref="AH2082:AH2096" si="765">(Z2082*AG2082)/1000</f>
        <v>0</v>
      </c>
      <c r="AI2082" s="152">
        <f t="shared" ref="AI2082:AI2092" si="766">V2082*P2082</f>
        <v>160272</v>
      </c>
      <c r="AK2082" s="156" t="s">
        <v>691</v>
      </c>
      <c r="AL2082" s="574" t="s">
        <v>690</v>
      </c>
      <c r="AM2082" s="198">
        <f t="shared" si="759"/>
        <v>0</v>
      </c>
      <c r="AN2082" s="199">
        <f t="shared" si="744"/>
        <v>45747</v>
      </c>
      <c r="AO2082" s="159" t="s">
        <v>692</v>
      </c>
      <c r="AP2082" s="783" t="s">
        <v>629</v>
      </c>
      <c r="AQ2082" s="782">
        <v>12071839</v>
      </c>
      <c r="AR2082" s="782">
        <v>12078867</v>
      </c>
      <c r="AS2082" s="782">
        <v>12068233</v>
      </c>
      <c r="AT2082" s="781"/>
      <c r="AU2082" s="781"/>
      <c r="AV2082" s="782">
        <v>12062075</v>
      </c>
      <c r="AW2082" s="781"/>
      <c r="AX2082" s="781"/>
      <c r="AY2082" s="782">
        <v>12086617</v>
      </c>
      <c r="AZ2082" s="781"/>
      <c r="BA2082" s="781"/>
      <c r="BB2082" s="209">
        <v>23053185</v>
      </c>
    </row>
    <row r="2083" spans="1:54" ht="25" hidden="1" customHeight="1">
      <c r="A2083" s="630" t="s">
        <v>120</v>
      </c>
      <c r="B2083" s="466">
        <v>45748</v>
      </c>
      <c r="C2083" s="467">
        <v>45757</v>
      </c>
      <c r="D2083" s="185">
        <f t="shared" si="741"/>
        <v>2025</v>
      </c>
      <c r="E2083" s="468" t="e">
        <f>VLOOKUP($B2083,Week!$A$1:$C$1462,2,0)</f>
        <v>#N/A</v>
      </c>
      <c r="F2083" s="469" t="str">
        <f t="shared" si="742"/>
        <v>Apr</v>
      </c>
      <c r="G2083" s="470" t="s">
        <v>2181</v>
      </c>
      <c r="H2083" s="468" t="s">
        <v>82</v>
      </c>
      <c r="I2083" s="468" t="s">
        <v>82</v>
      </c>
      <c r="J2083" s="471" t="s">
        <v>720</v>
      </c>
      <c r="K2083" s="472" t="s">
        <v>85</v>
      </c>
      <c r="L2083" s="390" t="s">
        <v>2166</v>
      </c>
      <c r="M2083" s="471" t="s">
        <v>579</v>
      </c>
      <c r="N2083" s="468" t="s">
        <v>580</v>
      </c>
      <c r="O2083" s="468" t="s">
        <v>581</v>
      </c>
      <c r="P2083" s="473">
        <v>8</v>
      </c>
      <c r="Q2083" s="473">
        <v>60</v>
      </c>
      <c r="R2083" s="474">
        <v>6.8100000000000001E-3</v>
      </c>
      <c r="S2083" s="468" t="s">
        <v>76</v>
      </c>
      <c r="T2083" s="468" t="s">
        <v>56</v>
      </c>
      <c r="U2083" s="468" t="s">
        <v>89</v>
      </c>
      <c r="V2083" s="475">
        <v>1408</v>
      </c>
      <c r="W2083" s="475">
        <f>29+1379</f>
        <v>1408</v>
      </c>
      <c r="X2083" s="476"/>
      <c r="Y2083" s="477">
        <f t="shared" si="760"/>
        <v>0</v>
      </c>
      <c r="Z2083" s="478">
        <f t="shared" si="761"/>
        <v>0</v>
      </c>
      <c r="AA2083" s="478">
        <f t="shared" si="743"/>
        <v>0</v>
      </c>
      <c r="AB2083" s="828">
        <v>6</v>
      </c>
      <c r="AC2083" s="475">
        <f t="shared" ref="AC2083:AC2107" si="767">Z2083*AB2083</f>
        <v>0</v>
      </c>
      <c r="AD2083" s="209"/>
      <c r="AE2083" s="210">
        <f t="shared" si="762"/>
        <v>0</v>
      </c>
      <c r="AF2083" s="210">
        <f t="shared" si="763"/>
        <v>0</v>
      </c>
      <c r="AG2083" s="211">
        <f t="shared" si="764"/>
        <v>0.75</v>
      </c>
      <c r="AH2083" s="157">
        <f t="shared" si="765"/>
        <v>0</v>
      </c>
      <c r="AI2083" s="152">
        <f t="shared" si="766"/>
        <v>11264</v>
      </c>
      <c r="AK2083" s="156" t="s">
        <v>691</v>
      </c>
      <c r="AL2083" s="156" t="s">
        <v>689</v>
      </c>
      <c r="AM2083" s="198">
        <f t="shared" si="759"/>
        <v>0</v>
      </c>
      <c r="AN2083" s="199">
        <f t="shared" si="744"/>
        <v>45748</v>
      </c>
      <c r="AO2083" s="159" t="s">
        <v>692</v>
      </c>
      <c r="AP2083" s="783" t="s">
        <v>622</v>
      </c>
      <c r="AQ2083" s="782">
        <v>12088677</v>
      </c>
      <c r="AR2083" s="782" t="s">
        <v>2142</v>
      </c>
      <c r="AS2083" s="782"/>
      <c r="AT2083" s="782">
        <v>12082897</v>
      </c>
      <c r="AU2083" s="781"/>
      <c r="AV2083" s="782">
        <v>12082898</v>
      </c>
      <c r="AW2083" s="782">
        <v>12082899</v>
      </c>
      <c r="AX2083" s="796" t="s">
        <v>621</v>
      </c>
      <c r="AY2083" s="782"/>
      <c r="AZ2083" s="782"/>
      <c r="BA2083" s="781"/>
      <c r="BB2083" s="209">
        <v>23053184</v>
      </c>
    </row>
    <row r="2084" spans="1:54" ht="25" hidden="1" customHeight="1">
      <c r="A2084" s="142" t="s">
        <v>120</v>
      </c>
      <c r="B2084" s="385">
        <v>45748</v>
      </c>
      <c r="C2084" s="386">
        <v>45768</v>
      </c>
      <c r="D2084" s="185">
        <f t="shared" si="741"/>
        <v>2025</v>
      </c>
      <c r="E2084" s="386" t="e">
        <f>VLOOKUP($B2084,Week!$A$1:$C$1462,2,0)</f>
        <v>#N/A</v>
      </c>
      <c r="F2084" s="387" t="str">
        <f t="shared" si="742"/>
        <v>Apr</v>
      </c>
      <c r="G2084" s="388" t="s">
        <v>2029</v>
      </c>
      <c r="H2084" s="388" t="s">
        <v>500</v>
      </c>
      <c r="I2084" s="388" t="s">
        <v>2772</v>
      </c>
      <c r="J2084" s="389" t="s">
        <v>285</v>
      </c>
      <c r="K2084" s="390" t="s">
        <v>153</v>
      </c>
      <c r="L2084" s="390" t="s">
        <v>2166</v>
      </c>
      <c r="M2084" s="389" t="s">
        <v>165</v>
      </c>
      <c r="N2084" s="388" t="s">
        <v>286</v>
      </c>
      <c r="O2084" s="388" t="s">
        <v>503</v>
      </c>
      <c r="P2084" s="391">
        <v>40</v>
      </c>
      <c r="Q2084" s="391">
        <v>12</v>
      </c>
      <c r="R2084" s="392">
        <v>6.8100000000000001E-3</v>
      </c>
      <c r="S2084" s="388" t="s">
        <v>76</v>
      </c>
      <c r="T2084" s="388" t="s">
        <v>56</v>
      </c>
      <c r="U2084" s="388" t="s">
        <v>89</v>
      </c>
      <c r="V2084" s="393">
        <f>1624-168-1287</f>
        <v>169</v>
      </c>
      <c r="W2084" s="393">
        <v>169</v>
      </c>
      <c r="X2084" s="394"/>
      <c r="Y2084" s="395">
        <f t="shared" si="760"/>
        <v>0</v>
      </c>
      <c r="Z2084" s="396">
        <f t="shared" si="761"/>
        <v>0</v>
      </c>
      <c r="AA2084" s="396">
        <f t="shared" si="743"/>
        <v>0</v>
      </c>
      <c r="AB2084" s="823">
        <v>2</v>
      </c>
      <c r="AC2084" s="393">
        <f t="shared" si="767"/>
        <v>0</v>
      </c>
      <c r="AD2084" s="209"/>
      <c r="AE2084" s="210">
        <f t="shared" si="762"/>
        <v>0</v>
      </c>
      <c r="AF2084" s="210">
        <f t="shared" si="763"/>
        <v>0</v>
      </c>
      <c r="AG2084" s="211">
        <f t="shared" si="764"/>
        <v>0.154</v>
      </c>
      <c r="AH2084" s="157">
        <f t="shared" si="765"/>
        <v>0</v>
      </c>
      <c r="AI2084" s="152">
        <f t="shared" si="766"/>
        <v>6760</v>
      </c>
      <c r="AK2084" s="156" t="s">
        <v>691</v>
      </c>
      <c r="AL2084" s="156" t="s">
        <v>689</v>
      </c>
      <c r="AM2084" s="198">
        <f t="shared" si="759"/>
        <v>0</v>
      </c>
      <c r="AN2084" s="199">
        <f t="shared" si="744"/>
        <v>45748</v>
      </c>
      <c r="AO2084" s="159" t="s">
        <v>692</v>
      </c>
      <c r="AP2084" s="783" t="s">
        <v>611</v>
      </c>
      <c r="AQ2084" s="782">
        <v>12088677</v>
      </c>
      <c r="AR2084" s="782">
        <v>12019692</v>
      </c>
      <c r="AS2084" s="781"/>
      <c r="AT2084" s="782">
        <v>12065371</v>
      </c>
      <c r="AU2084" s="782"/>
      <c r="AV2084" s="782">
        <v>12055895</v>
      </c>
      <c r="AW2084" s="782">
        <v>12034747</v>
      </c>
      <c r="AX2084" s="782" t="s">
        <v>398</v>
      </c>
      <c r="AY2084" s="781" t="s">
        <v>290</v>
      </c>
      <c r="AZ2084" s="781"/>
      <c r="BA2084" s="781"/>
      <c r="BB2084" s="209">
        <v>23053184</v>
      </c>
    </row>
    <row r="2085" spans="1:54" ht="25" hidden="1" customHeight="1">
      <c r="A2085" s="630" t="s">
        <v>120</v>
      </c>
      <c r="B2085" s="466">
        <v>45749</v>
      </c>
      <c r="C2085" s="467">
        <v>45757</v>
      </c>
      <c r="D2085" s="185">
        <f t="shared" si="741"/>
        <v>2025</v>
      </c>
      <c r="E2085" s="468" t="e">
        <f>VLOOKUP($B2085,Week!$A$1:$C$1462,2,0)</f>
        <v>#N/A</v>
      </c>
      <c r="F2085" s="469" t="str">
        <f t="shared" si="742"/>
        <v>Apr</v>
      </c>
      <c r="G2085" s="470" t="s">
        <v>2179</v>
      </c>
      <c r="H2085" s="468" t="s">
        <v>82</v>
      </c>
      <c r="I2085" s="468" t="s">
        <v>82</v>
      </c>
      <c r="J2085" s="471" t="s">
        <v>720</v>
      </c>
      <c r="K2085" s="472" t="s">
        <v>85</v>
      </c>
      <c r="L2085" s="390" t="s">
        <v>2166</v>
      </c>
      <c r="M2085" s="471" t="s">
        <v>579</v>
      </c>
      <c r="N2085" s="468" t="s">
        <v>580</v>
      </c>
      <c r="O2085" s="468" t="s">
        <v>581</v>
      </c>
      <c r="P2085" s="473">
        <v>8</v>
      </c>
      <c r="Q2085" s="473">
        <v>60</v>
      </c>
      <c r="R2085" s="474">
        <v>6.8100000000000001E-3</v>
      </c>
      <c r="S2085" s="468" t="s">
        <v>76</v>
      </c>
      <c r="T2085" s="468" t="s">
        <v>56</v>
      </c>
      <c r="U2085" s="468" t="s">
        <v>89</v>
      </c>
      <c r="V2085" s="475">
        <f>1408</f>
        <v>1408</v>
      </c>
      <c r="W2085" s="475">
        <f>30+1378</f>
        <v>1408</v>
      </c>
      <c r="X2085" s="476"/>
      <c r="Y2085" s="477">
        <f t="shared" si="760"/>
        <v>0</v>
      </c>
      <c r="Z2085" s="478">
        <f t="shared" si="761"/>
        <v>0</v>
      </c>
      <c r="AA2085" s="478">
        <f t="shared" si="743"/>
        <v>0</v>
      </c>
      <c r="AB2085" s="828">
        <v>6</v>
      </c>
      <c r="AC2085" s="475">
        <f t="shared" si="767"/>
        <v>0</v>
      </c>
      <c r="AD2085" s="209"/>
      <c r="AE2085" s="210">
        <f t="shared" si="762"/>
        <v>0</v>
      </c>
      <c r="AF2085" s="210">
        <f t="shared" si="763"/>
        <v>0</v>
      </c>
      <c r="AG2085" s="211">
        <f t="shared" si="764"/>
        <v>0.75</v>
      </c>
      <c r="AH2085" s="157">
        <f t="shared" si="765"/>
        <v>0</v>
      </c>
      <c r="AI2085" s="152">
        <f t="shared" si="766"/>
        <v>11264</v>
      </c>
      <c r="AK2085" s="156" t="s">
        <v>691</v>
      </c>
      <c r="AL2085" s="156" t="s">
        <v>689</v>
      </c>
      <c r="AM2085" s="198">
        <f t="shared" si="759"/>
        <v>0</v>
      </c>
      <c r="AN2085" s="199">
        <f t="shared" si="744"/>
        <v>45749</v>
      </c>
      <c r="AO2085" s="159" t="s">
        <v>692</v>
      </c>
      <c r="AP2085" s="783" t="s">
        <v>622</v>
      </c>
      <c r="AQ2085" s="782">
        <v>12088677</v>
      </c>
      <c r="AR2085" s="782" t="s">
        <v>2142</v>
      </c>
      <c r="AS2085" s="782"/>
      <c r="AT2085" s="782">
        <v>12082897</v>
      </c>
      <c r="AU2085" s="781"/>
      <c r="AV2085" s="782">
        <v>12082898</v>
      </c>
      <c r="AW2085" s="782">
        <v>12082899</v>
      </c>
      <c r="AX2085" s="796" t="s">
        <v>621</v>
      </c>
      <c r="AY2085" s="782"/>
      <c r="AZ2085" s="782"/>
      <c r="BA2085" s="781"/>
      <c r="BB2085" s="209">
        <v>23053184</v>
      </c>
    </row>
    <row r="2086" spans="1:54" ht="25" hidden="1" customHeight="1">
      <c r="A2086" s="142" t="s">
        <v>120</v>
      </c>
      <c r="B2086" s="546">
        <v>45749</v>
      </c>
      <c r="C2086" s="547">
        <v>45775</v>
      </c>
      <c r="D2086" s="185">
        <f t="shared" si="741"/>
        <v>2025</v>
      </c>
      <c r="E2086" s="547" t="e">
        <f>VLOOKUP($B2086,Week!$A$1:$C$1462,2,0)</f>
        <v>#N/A</v>
      </c>
      <c r="F2086" s="548" t="str">
        <f t="shared" si="742"/>
        <v>Apr</v>
      </c>
      <c r="G2086" s="549" t="s">
        <v>2169</v>
      </c>
      <c r="H2086" s="549" t="s">
        <v>431</v>
      </c>
      <c r="I2086" s="549" t="s">
        <v>2772</v>
      </c>
      <c r="J2086" s="550" t="s">
        <v>432</v>
      </c>
      <c r="K2086" s="551" t="s">
        <v>85</v>
      </c>
      <c r="L2086" s="390" t="s">
        <v>2166</v>
      </c>
      <c r="M2086" s="550" t="s">
        <v>86</v>
      </c>
      <c r="N2086" s="549" t="s">
        <v>550</v>
      </c>
      <c r="O2086" s="549" t="s">
        <v>548</v>
      </c>
      <c r="P2086" s="552">
        <v>10</v>
      </c>
      <c r="Q2086" s="552">
        <v>50</v>
      </c>
      <c r="R2086" s="553">
        <v>8.1300000000000001E-3</v>
      </c>
      <c r="S2086" s="549" t="s">
        <v>40</v>
      </c>
      <c r="T2086" s="549" t="s">
        <v>112</v>
      </c>
      <c r="U2086" s="549" t="s">
        <v>89</v>
      </c>
      <c r="V2086" s="554">
        <v>179</v>
      </c>
      <c r="W2086" s="554"/>
      <c r="X2086" s="555">
        <f>1790/10</f>
        <v>179</v>
      </c>
      <c r="Y2086" s="556">
        <f t="shared" si="760"/>
        <v>0</v>
      </c>
      <c r="Z2086" s="557">
        <f t="shared" si="761"/>
        <v>0</v>
      </c>
      <c r="AA2086" s="557">
        <f t="shared" si="743"/>
        <v>0</v>
      </c>
      <c r="AB2086" s="833">
        <v>6</v>
      </c>
      <c r="AC2086" s="554">
        <f t="shared" si="767"/>
        <v>0</v>
      </c>
      <c r="AD2086" s="209"/>
      <c r="AE2086" s="210">
        <f t="shared" si="762"/>
        <v>0</v>
      </c>
      <c r="AF2086" s="210">
        <f t="shared" si="763"/>
        <v>0</v>
      </c>
      <c r="AG2086" s="211">
        <f t="shared" si="764"/>
        <v>0.63</v>
      </c>
      <c r="AH2086" s="157">
        <f t="shared" si="765"/>
        <v>0</v>
      </c>
      <c r="AI2086" s="152">
        <f t="shared" si="766"/>
        <v>1790</v>
      </c>
      <c r="AK2086" s="156" t="s">
        <v>691</v>
      </c>
      <c r="AL2086" s="156" t="s">
        <v>689</v>
      </c>
      <c r="AM2086" s="198">
        <f t="shared" si="759"/>
        <v>0</v>
      </c>
      <c r="AN2086" s="199">
        <f t="shared" si="744"/>
        <v>45749</v>
      </c>
      <c r="AO2086" s="159" t="s">
        <v>692</v>
      </c>
      <c r="AP2086" s="783" t="s">
        <v>618</v>
      </c>
      <c r="AQ2086" s="782" t="s">
        <v>549</v>
      </c>
      <c r="AR2086" s="796" t="s">
        <v>529</v>
      </c>
      <c r="AS2086" s="782"/>
      <c r="AT2086" s="796" t="s">
        <v>551</v>
      </c>
      <c r="AU2086" s="781"/>
      <c r="AV2086" s="796" t="s">
        <v>552</v>
      </c>
      <c r="AW2086" s="782"/>
      <c r="AX2086" s="782" t="s">
        <v>93</v>
      </c>
      <c r="AY2086" s="782"/>
      <c r="AZ2086" s="782"/>
      <c r="BA2086" s="781"/>
    </row>
    <row r="2087" spans="1:54" ht="25" hidden="1" customHeight="1">
      <c r="A2087" s="630" t="s">
        <v>120</v>
      </c>
      <c r="B2087" s="466">
        <v>45750</v>
      </c>
      <c r="C2087" s="467">
        <v>45758</v>
      </c>
      <c r="D2087" s="185">
        <f t="shared" si="741"/>
        <v>2025</v>
      </c>
      <c r="E2087" s="468" t="e">
        <f>VLOOKUP($B2087,Week!$A$1:$C$1462,2,0)</f>
        <v>#N/A</v>
      </c>
      <c r="F2087" s="469" t="str">
        <f t="shared" si="742"/>
        <v>Apr</v>
      </c>
      <c r="G2087" s="470" t="s">
        <v>2182</v>
      </c>
      <c r="H2087" s="468" t="s">
        <v>82</v>
      </c>
      <c r="I2087" s="468" t="s">
        <v>82</v>
      </c>
      <c r="J2087" s="471" t="s">
        <v>720</v>
      </c>
      <c r="K2087" s="472" t="s">
        <v>85</v>
      </c>
      <c r="L2087" s="390" t="s">
        <v>2166</v>
      </c>
      <c r="M2087" s="471" t="s">
        <v>579</v>
      </c>
      <c r="N2087" s="468" t="s">
        <v>580</v>
      </c>
      <c r="O2087" s="468" t="s">
        <v>581</v>
      </c>
      <c r="P2087" s="473">
        <v>8</v>
      </c>
      <c r="Q2087" s="473">
        <v>60</v>
      </c>
      <c r="R2087" s="474">
        <v>6.8100000000000001E-3</v>
      </c>
      <c r="S2087" s="468" t="s">
        <v>76</v>
      </c>
      <c r="T2087" s="468" t="s">
        <v>56</v>
      </c>
      <c r="U2087" s="468" t="s">
        <v>89</v>
      </c>
      <c r="V2087" s="475">
        <f>1222</f>
        <v>1222</v>
      </c>
      <c r="W2087" s="475">
        <f>34+1188</f>
        <v>1222</v>
      </c>
      <c r="X2087" s="476"/>
      <c r="Y2087" s="477">
        <f t="shared" si="760"/>
        <v>0</v>
      </c>
      <c r="Z2087" s="478">
        <f t="shared" si="761"/>
        <v>0</v>
      </c>
      <c r="AA2087" s="478">
        <f t="shared" si="743"/>
        <v>0</v>
      </c>
      <c r="AB2087" s="828">
        <v>6</v>
      </c>
      <c r="AC2087" s="475">
        <f t="shared" si="767"/>
        <v>0</v>
      </c>
      <c r="AD2087" s="209"/>
      <c r="AE2087" s="210">
        <f t="shared" si="762"/>
        <v>0</v>
      </c>
      <c r="AF2087" s="210">
        <f t="shared" si="763"/>
        <v>0</v>
      </c>
      <c r="AG2087" s="211">
        <f t="shared" si="764"/>
        <v>0.75</v>
      </c>
      <c r="AH2087" s="157">
        <f t="shared" si="765"/>
        <v>0</v>
      </c>
      <c r="AI2087" s="152">
        <f t="shared" si="766"/>
        <v>9776</v>
      </c>
      <c r="AK2087" s="156" t="s">
        <v>691</v>
      </c>
      <c r="AL2087" s="156" t="s">
        <v>689</v>
      </c>
      <c r="AM2087" s="198">
        <f t="shared" si="759"/>
        <v>0</v>
      </c>
      <c r="AN2087" s="199">
        <f t="shared" si="744"/>
        <v>45750</v>
      </c>
      <c r="AO2087" s="159" t="s">
        <v>692</v>
      </c>
      <c r="AP2087" s="783" t="s">
        <v>622</v>
      </c>
      <c r="AQ2087" s="782">
        <v>12088677</v>
      </c>
      <c r="AR2087" s="782" t="s">
        <v>2142</v>
      </c>
      <c r="AS2087" s="782"/>
      <c r="AT2087" s="782">
        <v>12082897</v>
      </c>
      <c r="AU2087" s="781"/>
      <c r="AV2087" s="782">
        <v>12082898</v>
      </c>
      <c r="AW2087" s="782">
        <v>12082899</v>
      </c>
      <c r="AX2087" s="796" t="s">
        <v>621</v>
      </c>
      <c r="AY2087" s="782"/>
      <c r="AZ2087" s="782"/>
      <c r="BA2087" s="781"/>
      <c r="BB2087" s="209">
        <v>23053184</v>
      </c>
    </row>
    <row r="2088" spans="1:54" ht="25" hidden="1" customHeight="1">
      <c r="A2088" s="142" t="s">
        <v>120</v>
      </c>
      <c r="B2088" s="546">
        <v>45750</v>
      </c>
      <c r="C2088" s="547">
        <v>45775</v>
      </c>
      <c r="D2088" s="185">
        <f t="shared" si="741"/>
        <v>2025</v>
      </c>
      <c r="E2088" s="547" t="e">
        <f>VLOOKUP($B2088,Week!$A$1:$C$1462,2,0)</f>
        <v>#N/A</v>
      </c>
      <c r="F2088" s="548" t="str">
        <f t="shared" si="742"/>
        <v>Apr</v>
      </c>
      <c r="G2088" s="549" t="s">
        <v>2169</v>
      </c>
      <c r="H2088" s="549" t="s">
        <v>431</v>
      </c>
      <c r="I2088" s="549" t="s">
        <v>2772</v>
      </c>
      <c r="J2088" s="550" t="s">
        <v>432</v>
      </c>
      <c r="K2088" s="551" t="s">
        <v>85</v>
      </c>
      <c r="L2088" s="390" t="s">
        <v>2166</v>
      </c>
      <c r="M2088" s="550" t="s">
        <v>86</v>
      </c>
      <c r="N2088" s="549" t="s">
        <v>550</v>
      </c>
      <c r="O2088" s="549" t="s">
        <v>548</v>
      </c>
      <c r="P2088" s="552">
        <v>10</v>
      </c>
      <c r="Q2088" s="552">
        <v>50</v>
      </c>
      <c r="R2088" s="553">
        <v>8.1300000000000001E-3</v>
      </c>
      <c r="S2088" s="549" t="s">
        <v>40</v>
      </c>
      <c r="T2088" s="549" t="s">
        <v>112</v>
      </c>
      <c r="U2088" s="549" t="s">
        <v>89</v>
      </c>
      <c r="V2088" s="554">
        <f>500-179</f>
        <v>321</v>
      </c>
      <c r="W2088" s="554"/>
      <c r="X2088" s="555">
        <f>3370/10</f>
        <v>337</v>
      </c>
      <c r="Y2088" s="556">
        <f t="shared" si="760"/>
        <v>16</v>
      </c>
      <c r="Z2088" s="557">
        <f t="shared" si="761"/>
        <v>0</v>
      </c>
      <c r="AA2088" s="557">
        <f t="shared" si="743"/>
        <v>0</v>
      </c>
      <c r="AB2088" s="833">
        <v>6</v>
      </c>
      <c r="AC2088" s="554">
        <f t="shared" si="767"/>
        <v>0</v>
      </c>
      <c r="AD2088" s="209"/>
      <c r="AE2088" s="210">
        <f t="shared" si="762"/>
        <v>0</v>
      </c>
      <c r="AF2088" s="210">
        <f t="shared" si="763"/>
        <v>0</v>
      </c>
      <c r="AG2088" s="211">
        <f t="shared" si="764"/>
        <v>0.63</v>
      </c>
      <c r="AH2088" s="157">
        <f t="shared" si="765"/>
        <v>0</v>
      </c>
      <c r="AI2088" s="152">
        <f t="shared" si="766"/>
        <v>3210</v>
      </c>
      <c r="AK2088" s="156" t="s">
        <v>691</v>
      </c>
      <c r="AL2088" s="156" t="s">
        <v>689</v>
      </c>
      <c r="AM2088" s="198">
        <f t="shared" si="759"/>
        <v>0</v>
      </c>
      <c r="AN2088" s="199">
        <f t="shared" si="744"/>
        <v>45750</v>
      </c>
      <c r="AO2088" s="159" t="s">
        <v>692</v>
      </c>
      <c r="AP2088" s="783" t="s">
        <v>618</v>
      </c>
      <c r="AQ2088" s="782" t="s">
        <v>549</v>
      </c>
      <c r="AR2088" s="796" t="s">
        <v>529</v>
      </c>
      <c r="AS2088" s="782"/>
      <c r="AT2088" s="796" t="s">
        <v>551</v>
      </c>
      <c r="AU2088" s="781"/>
      <c r="AV2088" s="796" t="s">
        <v>552</v>
      </c>
      <c r="AW2088" s="782"/>
      <c r="AX2088" s="782" t="s">
        <v>93</v>
      </c>
      <c r="AY2088" s="782"/>
      <c r="AZ2088" s="782"/>
      <c r="BA2088" s="781"/>
    </row>
    <row r="2089" spans="1:54" ht="25" hidden="1" customHeight="1">
      <c r="B2089" s="357">
        <v>45751</v>
      </c>
      <c r="C2089" s="358">
        <v>45770</v>
      </c>
      <c r="D2089" s="185">
        <f t="shared" si="741"/>
        <v>2025</v>
      </c>
      <c r="E2089" s="358" t="e">
        <f>VLOOKUP($B2089,Week!$A$1:$C$1462,2,0)</f>
        <v>#N/A</v>
      </c>
      <c r="F2089" s="360" t="str">
        <f t="shared" si="742"/>
        <v>Apr</v>
      </c>
      <c r="G2089" s="436" t="s">
        <v>2046</v>
      </c>
      <c r="H2089" s="359" t="s">
        <v>225</v>
      </c>
      <c r="I2089" s="359" t="s">
        <v>2773</v>
      </c>
      <c r="J2089" s="361" t="s">
        <v>650</v>
      </c>
      <c r="K2089" s="362" t="s">
        <v>593</v>
      </c>
      <c r="L2089" s="300" t="s">
        <v>2167</v>
      </c>
      <c r="M2089" s="361" t="s">
        <v>717</v>
      </c>
      <c r="N2089" s="359" t="s">
        <v>719</v>
      </c>
      <c r="O2089" s="359" t="s">
        <v>230</v>
      </c>
      <c r="P2089" s="363">
        <v>12</v>
      </c>
      <c r="Q2089" s="363">
        <v>5</v>
      </c>
      <c r="R2089" s="364">
        <v>6.0000000000000001E-3</v>
      </c>
      <c r="S2089" s="359" t="s">
        <v>55</v>
      </c>
      <c r="T2089" s="359" t="s">
        <v>112</v>
      </c>
      <c r="U2089" s="359" t="s">
        <v>57</v>
      </c>
      <c r="V2089" s="365">
        <v>2600</v>
      </c>
      <c r="W2089" s="365"/>
      <c r="X2089" s="366">
        <f>(1157+30043)/12</f>
        <v>2600</v>
      </c>
      <c r="Y2089" s="367">
        <f t="shared" si="760"/>
        <v>0</v>
      </c>
      <c r="Z2089" s="368">
        <f t="shared" si="761"/>
        <v>0</v>
      </c>
      <c r="AA2089" s="368">
        <f t="shared" si="743"/>
        <v>0</v>
      </c>
      <c r="AB2089" s="819">
        <v>7.4999999999999997E-3</v>
      </c>
      <c r="AC2089" s="365">
        <f t="shared" si="767"/>
        <v>0</v>
      </c>
      <c r="AD2089" s="307" t="s">
        <v>1622</v>
      </c>
      <c r="AE2089" s="210">
        <f t="shared" si="762"/>
        <v>0</v>
      </c>
      <c r="AF2089" s="210">
        <f t="shared" si="763"/>
        <v>0</v>
      </c>
      <c r="AG2089" s="211">
        <f t="shared" si="764"/>
        <v>0.25800000000000001</v>
      </c>
      <c r="AH2089" s="157">
        <f t="shared" si="765"/>
        <v>0</v>
      </c>
      <c r="AI2089" s="152">
        <f t="shared" si="766"/>
        <v>31200</v>
      </c>
      <c r="AK2089" s="156" t="s">
        <v>691</v>
      </c>
      <c r="AL2089" s="574" t="s">
        <v>690</v>
      </c>
      <c r="AM2089" s="198">
        <f t="shared" si="759"/>
        <v>0</v>
      </c>
      <c r="AN2089" s="199">
        <f t="shared" si="744"/>
        <v>45751</v>
      </c>
      <c r="AO2089" s="159" t="s">
        <v>692</v>
      </c>
      <c r="AP2089" s="783" t="s">
        <v>612</v>
      </c>
      <c r="AQ2089" s="782">
        <v>12071839</v>
      </c>
      <c r="AR2089" s="782">
        <v>12042650</v>
      </c>
      <c r="AS2089" s="782">
        <v>12042649</v>
      </c>
      <c r="AT2089" s="782">
        <v>12088423</v>
      </c>
      <c r="AU2089" s="781"/>
      <c r="AV2089" s="782">
        <v>12088422</v>
      </c>
      <c r="AW2089" s="782"/>
      <c r="AX2089" s="782"/>
      <c r="AY2089" s="782"/>
      <c r="AZ2089" s="782"/>
      <c r="BA2089" s="781"/>
      <c r="BB2089" s="209">
        <v>23053185</v>
      </c>
    </row>
    <row r="2090" spans="1:54" ht="24.75" hidden="1" customHeight="1">
      <c r="B2090" s="295">
        <v>45751</v>
      </c>
      <c r="C2090" s="771" t="s">
        <v>1928</v>
      </c>
      <c r="D2090" s="185">
        <f t="shared" si="741"/>
        <v>2025</v>
      </c>
      <c r="E2090" s="296" t="e">
        <f>VLOOKUP($B2090,Week!$A$1:$C$1462,2,0)</f>
        <v>#N/A</v>
      </c>
      <c r="F2090" s="297" t="str">
        <f t="shared" si="742"/>
        <v>Apr</v>
      </c>
      <c r="G2090" s="648" t="s">
        <v>47</v>
      </c>
      <c r="H2090" s="298" t="s">
        <v>260</v>
      </c>
      <c r="I2090" s="298" t="s">
        <v>2702</v>
      </c>
      <c r="J2090" s="307" t="s">
        <v>904</v>
      </c>
      <c r="K2090" s="300" t="s">
        <v>176</v>
      </c>
      <c r="L2090" s="300" t="s">
        <v>2167</v>
      </c>
      <c r="M2090" s="299" t="s">
        <v>262</v>
      </c>
      <c r="N2090" s="298" t="s">
        <v>350</v>
      </c>
      <c r="O2090" s="298" t="s">
        <v>351</v>
      </c>
      <c r="P2090" s="301">
        <v>24</v>
      </c>
      <c r="Q2090" s="301">
        <v>5</v>
      </c>
      <c r="R2090" s="302">
        <v>6.1999999999999998E-3</v>
      </c>
      <c r="S2090" s="298" t="s">
        <v>352</v>
      </c>
      <c r="T2090" s="298" t="s">
        <v>56</v>
      </c>
      <c r="U2090" s="298" t="s">
        <v>57</v>
      </c>
      <c r="V2090" s="303">
        <v>4638</v>
      </c>
      <c r="W2090" s="303">
        <f>4638</f>
        <v>4638</v>
      </c>
      <c r="X2090" s="304"/>
      <c r="Y2090" s="305">
        <f t="shared" si="760"/>
        <v>0</v>
      </c>
      <c r="Z2090" s="306">
        <f t="shared" si="761"/>
        <v>0</v>
      </c>
      <c r="AA2090" s="306">
        <f t="shared" si="743"/>
        <v>0</v>
      </c>
      <c r="AB2090" s="814">
        <v>7.4999999999999997E-3</v>
      </c>
      <c r="AC2090" s="303">
        <f t="shared" si="767"/>
        <v>0</v>
      </c>
      <c r="AD2090" s="573"/>
      <c r="AE2090" s="210">
        <f t="shared" si="762"/>
        <v>0</v>
      </c>
      <c r="AF2090" s="210">
        <f t="shared" si="763"/>
        <v>0</v>
      </c>
      <c r="AG2090" s="211">
        <f t="shared" si="764"/>
        <v>0.13</v>
      </c>
      <c r="AH2090" s="157">
        <f t="shared" si="765"/>
        <v>0</v>
      </c>
      <c r="AI2090" s="152">
        <f t="shared" si="766"/>
        <v>111312</v>
      </c>
      <c r="AK2090" s="156" t="s">
        <v>691</v>
      </c>
      <c r="AL2090" s="574" t="s">
        <v>690</v>
      </c>
      <c r="AM2090" s="198">
        <f t="shared" si="759"/>
        <v>0</v>
      </c>
      <c r="AN2090" s="199">
        <f t="shared" si="744"/>
        <v>45751</v>
      </c>
      <c r="AO2090" s="159" t="s">
        <v>692</v>
      </c>
      <c r="AP2090" s="783" t="s">
        <v>629</v>
      </c>
      <c r="AQ2090" s="782">
        <v>12071839</v>
      </c>
      <c r="AR2090" s="782">
        <v>12078867</v>
      </c>
      <c r="AS2090" s="782">
        <v>12068233</v>
      </c>
      <c r="AT2090" s="781"/>
      <c r="AU2090" s="781"/>
      <c r="AV2090" s="782">
        <v>12062075</v>
      </c>
      <c r="AW2090" s="781"/>
      <c r="AX2090" s="781"/>
      <c r="AY2090" s="782">
        <v>12086617</v>
      </c>
      <c r="AZ2090" s="781"/>
      <c r="BA2090" s="781"/>
      <c r="BB2090" s="209">
        <v>23053185</v>
      </c>
    </row>
    <row r="2091" spans="1:54" ht="24.75" hidden="1" customHeight="1">
      <c r="B2091" s="295">
        <v>45752</v>
      </c>
      <c r="C2091" s="771" t="s">
        <v>1928</v>
      </c>
      <c r="D2091" s="185">
        <f t="shared" si="741"/>
        <v>2025</v>
      </c>
      <c r="E2091" s="296" t="e">
        <f>VLOOKUP($B2091,Week!$A$1:$C$1462,2,0)</f>
        <v>#N/A</v>
      </c>
      <c r="F2091" s="297" t="str">
        <f t="shared" si="742"/>
        <v>Apr</v>
      </c>
      <c r="G2091" s="648" t="s">
        <v>47</v>
      </c>
      <c r="H2091" s="298" t="s">
        <v>260</v>
      </c>
      <c r="I2091" s="298" t="s">
        <v>2702</v>
      </c>
      <c r="J2091" s="307" t="s">
        <v>904</v>
      </c>
      <c r="K2091" s="300" t="s">
        <v>176</v>
      </c>
      <c r="L2091" s="300" t="s">
        <v>2167</v>
      </c>
      <c r="M2091" s="299" t="s">
        <v>262</v>
      </c>
      <c r="N2091" s="298" t="s">
        <v>350</v>
      </c>
      <c r="O2091" s="298" t="s">
        <v>351</v>
      </c>
      <c r="P2091" s="301">
        <v>24</v>
      </c>
      <c r="Q2091" s="301">
        <v>5</v>
      </c>
      <c r="R2091" s="302">
        <v>6.1999999999999998E-3</v>
      </c>
      <c r="S2091" s="298" t="s">
        <v>352</v>
      </c>
      <c r="T2091" s="298" t="s">
        <v>56</v>
      </c>
      <c r="U2091" s="298" t="s">
        <v>57</v>
      </c>
      <c r="V2091" s="303">
        <v>1125</v>
      </c>
      <c r="W2091" s="303">
        <v>1125</v>
      </c>
      <c r="X2091" s="304"/>
      <c r="Y2091" s="305">
        <f t="shared" si="760"/>
        <v>0</v>
      </c>
      <c r="Z2091" s="306">
        <f t="shared" si="761"/>
        <v>0</v>
      </c>
      <c r="AA2091" s="306">
        <f t="shared" si="743"/>
        <v>0</v>
      </c>
      <c r="AB2091" s="814">
        <v>7.4999999999999997E-3</v>
      </c>
      <c r="AC2091" s="303">
        <f t="shared" si="767"/>
        <v>0</v>
      </c>
      <c r="AD2091" s="573"/>
      <c r="AE2091" s="210">
        <f t="shared" si="762"/>
        <v>0</v>
      </c>
      <c r="AF2091" s="210">
        <f t="shared" si="763"/>
        <v>0</v>
      </c>
      <c r="AG2091" s="211">
        <f t="shared" si="764"/>
        <v>0.13</v>
      </c>
      <c r="AH2091" s="157">
        <f t="shared" si="765"/>
        <v>0</v>
      </c>
      <c r="AI2091" s="152">
        <f t="shared" si="766"/>
        <v>27000</v>
      </c>
      <c r="AK2091" s="156" t="s">
        <v>691</v>
      </c>
      <c r="AL2091" s="574" t="s">
        <v>690</v>
      </c>
      <c r="AM2091" s="198">
        <f t="shared" si="759"/>
        <v>0</v>
      </c>
      <c r="AN2091" s="199">
        <f t="shared" si="744"/>
        <v>45752</v>
      </c>
      <c r="AO2091" s="159" t="s">
        <v>692</v>
      </c>
      <c r="AP2091" s="783" t="s">
        <v>629</v>
      </c>
      <c r="AQ2091" s="782">
        <v>12071839</v>
      </c>
      <c r="AR2091" s="782">
        <v>12078867</v>
      </c>
      <c r="AS2091" s="782">
        <v>12068233</v>
      </c>
      <c r="AT2091" s="781"/>
      <c r="AU2091" s="781"/>
      <c r="AV2091" s="782">
        <v>12062075</v>
      </c>
      <c r="AW2091" s="781"/>
      <c r="AX2091" s="781"/>
      <c r="AY2091" s="782">
        <v>12086617</v>
      </c>
      <c r="AZ2091" s="781"/>
      <c r="BA2091" s="781"/>
      <c r="BB2091" s="209">
        <v>23053185</v>
      </c>
    </row>
    <row r="2092" spans="1:54" ht="25" hidden="1" customHeight="1">
      <c r="B2092" s="213">
        <v>45752</v>
      </c>
      <c r="C2092" s="214">
        <v>45771</v>
      </c>
      <c r="D2092" s="185">
        <f t="shared" si="741"/>
        <v>2025</v>
      </c>
      <c r="E2092" s="215" t="e">
        <f>VLOOKUP($B2092,Week!$A$1:$C$1462,2,0)</f>
        <v>#N/A</v>
      </c>
      <c r="F2092" s="216" t="str">
        <f t="shared" si="742"/>
        <v>Apr</v>
      </c>
      <c r="G2092" s="215" t="s">
        <v>2026</v>
      </c>
      <c r="H2092" s="215" t="s">
        <v>134</v>
      </c>
      <c r="I2092" s="215" t="s">
        <v>2772</v>
      </c>
      <c r="J2092" s="209" t="s">
        <v>164</v>
      </c>
      <c r="K2092" s="217" t="s">
        <v>1648</v>
      </c>
      <c r="L2092" s="300" t="s">
        <v>2167</v>
      </c>
      <c r="M2092" s="209" t="s">
        <v>193</v>
      </c>
      <c r="N2092" s="215" t="s">
        <v>205</v>
      </c>
      <c r="O2092" s="215" t="s">
        <v>206</v>
      </c>
      <c r="P2092" s="218">
        <v>24</v>
      </c>
      <c r="Q2092" s="218">
        <v>5</v>
      </c>
      <c r="R2092" s="219">
        <v>8.0000000000000002E-3</v>
      </c>
      <c r="S2092" s="215" t="s">
        <v>40</v>
      </c>
      <c r="T2092" s="215" t="s">
        <v>56</v>
      </c>
      <c r="U2092" s="480" t="s">
        <v>499</v>
      </c>
      <c r="V2092" s="220">
        <f>500</f>
        <v>500</v>
      </c>
      <c r="W2092" s="220">
        <f>500</f>
        <v>500</v>
      </c>
      <c r="X2092" s="221">
        <f>232/24</f>
        <v>9.6666666666666661</v>
      </c>
      <c r="Y2092" s="222">
        <f t="shared" si="760"/>
        <v>9.6666666666666856</v>
      </c>
      <c r="Z2092" s="223">
        <f t="shared" si="761"/>
        <v>0</v>
      </c>
      <c r="AA2092" s="220">
        <f t="shared" si="743"/>
        <v>0</v>
      </c>
      <c r="AB2092" s="807">
        <v>1</v>
      </c>
      <c r="AC2092" s="220">
        <f t="shared" si="767"/>
        <v>0</v>
      </c>
      <c r="AD2092" s="381"/>
      <c r="AE2092" s="210">
        <f t="shared" si="762"/>
        <v>0</v>
      </c>
      <c r="AF2092" s="210">
        <f t="shared" si="763"/>
        <v>0</v>
      </c>
      <c r="AG2092" s="211">
        <f t="shared" si="764"/>
        <v>0.115</v>
      </c>
      <c r="AH2092" s="157">
        <f t="shared" si="765"/>
        <v>0</v>
      </c>
      <c r="AI2092" s="152">
        <f t="shared" si="766"/>
        <v>12000</v>
      </c>
      <c r="AK2092" s="156" t="s">
        <v>691</v>
      </c>
      <c r="AL2092" s="212" t="s">
        <v>690</v>
      </c>
      <c r="AM2092" s="198">
        <f t="shared" si="759"/>
        <v>0</v>
      </c>
      <c r="AN2092" s="199">
        <f t="shared" si="744"/>
        <v>45752</v>
      </c>
      <c r="AO2092" s="159" t="s">
        <v>692</v>
      </c>
      <c r="AP2092" s="783" t="s">
        <v>610</v>
      </c>
      <c r="AQ2092" s="782">
        <v>12071839</v>
      </c>
      <c r="AR2092" s="782">
        <v>12047514</v>
      </c>
      <c r="AS2092" s="782">
        <v>12047515</v>
      </c>
      <c r="AT2092" s="782"/>
      <c r="AU2092" s="782">
        <v>12026902</v>
      </c>
      <c r="AV2092" s="782">
        <v>12054722</v>
      </c>
      <c r="AW2092" s="782">
        <v>12026904</v>
      </c>
      <c r="AX2092" s="782"/>
      <c r="AY2092" s="782">
        <v>12094111</v>
      </c>
      <c r="AZ2092" s="782">
        <v>12094113</v>
      </c>
      <c r="BA2092" s="782">
        <v>12094114</v>
      </c>
      <c r="BB2092" s="209">
        <v>23052995</v>
      </c>
    </row>
    <row r="2093" spans="1:54" ht="24.65" hidden="1" customHeight="1">
      <c r="B2093" s="283">
        <v>45752</v>
      </c>
      <c r="C2093" s="284">
        <v>45766</v>
      </c>
      <c r="D2093" s="185">
        <f t="shared" si="741"/>
        <v>2025</v>
      </c>
      <c r="E2093" s="284" t="e">
        <f>VLOOKUP($B2093,Week!$A$1:$C$1462,2,0)</f>
        <v>#N/A</v>
      </c>
      <c r="F2093" s="285" t="str">
        <f t="shared" si="742"/>
        <v>Apr</v>
      </c>
      <c r="G2093" s="631" t="s">
        <v>2015</v>
      </c>
      <c r="H2093" s="624" t="s">
        <v>104</v>
      </c>
      <c r="I2093" s="624" t="s">
        <v>2772</v>
      </c>
      <c r="J2093" s="625" t="s">
        <v>105</v>
      </c>
      <c r="K2093" s="288" t="s">
        <v>51</v>
      </c>
      <c r="L2093" s="300" t="s">
        <v>2167</v>
      </c>
      <c r="M2093" s="287" t="s">
        <v>595</v>
      </c>
      <c r="N2093" s="286" t="s">
        <v>597</v>
      </c>
      <c r="O2093" s="286" t="s">
        <v>187</v>
      </c>
      <c r="P2093" s="289">
        <v>8</v>
      </c>
      <c r="Q2093" s="289">
        <v>5</v>
      </c>
      <c r="R2093" s="290">
        <v>6.0000000000000001E-3</v>
      </c>
      <c r="S2093" s="286" t="s">
        <v>55</v>
      </c>
      <c r="T2093" s="286" t="s">
        <v>112</v>
      </c>
      <c r="U2093" s="286" t="s">
        <v>57</v>
      </c>
      <c r="V2093" s="291">
        <f>400</f>
        <v>400</v>
      </c>
      <c r="W2093" s="291"/>
      <c r="X2093" s="292">
        <f>(606-424-19+3633)/8</f>
        <v>474.5</v>
      </c>
      <c r="Y2093" s="293">
        <f t="shared" si="760"/>
        <v>74.5</v>
      </c>
      <c r="Z2093" s="294">
        <f t="shared" si="761"/>
        <v>0</v>
      </c>
      <c r="AA2093" s="294">
        <f t="shared" si="743"/>
        <v>0</v>
      </c>
      <c r="AB2093" s="813">
        <v>7.4999999999999997E-3</v>
      </c>
      <c r="AC2093" s="291">
        <f t="shared" si="767"/>
        <v>0</v>
      </c>
      <c r="AD2093" s="486"/>
      <c r="AE2093" s="210">
        <f t="shared" si="762"/>
        <v>0</v>
      </c>
      <c r="AF2093" s="210">
        <f t="shared" si="763"/>
        <v>0</v>
      </c>
      <c r="AG2093" s="211">
        <v>0.14499999999999999</v>
      </c>
      <c r="AH2093" s="157">
        <f t="shared" si="765"/>
        <v>0</v>
      </c>
      <c r="AI2093" s="152">
        <v>19800</v>
      </c>
      <c r="AK2093" s="156" t="s">
        <v>691</v>
      </c>
      <c r="AL2093" s="212" t="s">
        <v>690</v>
      </c>
      <c r="AM2093" s="198">
        <f t="shared" si="759"/>
        <v>0</v>
      </c>
      <c r="AN2093" s="199">
        <f t="shared" si="744"/>
        <v>45752</v>
      </c>
      <c r="AO2093" s="159" t="s">
        <v>692</v>
      </c>
      <c r="AP2093" s="781"/>
      <c r="AQ2093" s="782">
        <v>12071839</v>
      </c>
      <c r="AR2093" s="782">
        <v>12047514</v>
      </c>
      <c r="AS2093" s="782">
        <v>12047515</v>
      </c>
      <c r="AT2093" s="782">
        <v>12083107</v>
      </c>
      <c r="AU2093" s="781"/>
      <c r="AV2093" s="782">
        <v>12084002</v>
      </c>
      <c r="AW2093" s="782"/>
      <c r="AX2093" s="782"/>
      <c r="AY2093" s="782"/>
      <c r="AZ2093" s="782"/>
      <c r="BA2093" s="781"/>
      <c r="BB2093" s="209">
        <v>23053185</v>
      </c>
    </row>
    <row r="2094" spans="1:54" ht="25" hidden="1" customHeight="1">
      <c r="B2094" s="358">
        <v>45752</v>
      </c>
      <c r="C2094" s="358">
        <v>45775</v>
      </c>
      <c r="D2094" s="185">
        <f t="shared" si="741"/>
        <v>2025</v>
      </c>
      <c r="E2094" s="358" t="e">
        <f>VLOOKUP($B2094,Week!$A$1:$C$1462,2,0)</f>
        <v>#N/A</v>
      </c>
      <c r="F2094" s="360" t="str">
        <f t="shared" si="742"/>
        <v>Apr</v>
      </c>
      <c r="G2094" s="358" t="s">
        <v>2169</v>
      </c>
      <c r="H2094" s="359" t="s">
        <v>431</v>
      </c>
      <c r="I2094" s="359" t="s">
        <v>2772</v>
      </c>
      <c r="J2094" s="361" t="s">
        <v>432</v>
      </c>
      <c r="K2094" s="362" t="s">
        <v>365</v>
      </c>
      <c r="L2094" s="300" t="s">
        <v>2167</v>
      </c>
      <c r="M2094" s="361" t="s">
        <v>561</v>
      </c>
      <c r="N2094" s="359" t="s">
        <v>562</v>
      </c>
      <c r="O2094" s="359" t="s">
        <v>187</v>
      </c>
      <c r="P2094" s="363">
        <v>8</v>
      </c>
      <c r="Q2094" s="363">
        <v>4</v>
      </c>
      <c r="R2094" s="364">
        <v>7.4999999999999997E-3</v>
      </c>
      <c r="S2094" s="359" t="s">
        <v>111</v>
      </c>
      <c r="T2094" s="359" t="s">
        <v>112</v>
      </c>
      <c r="U2094" s="359" t="s">
        <v>57</v>
      </c>
      <c r="V2094" s="365">
        <f>1200</f>
        <v>1200</v>
      </c>
      <c r="W2094" s="365"/>
      <c r="X2094" s="366">
        <f>12068/8</f>
        <v>1508.5</v>
      </c>
      <c r="Y2094" s="367">
        <f t="shared" si="760"/>
        <v>308.5</v>
      </c>
      <c r="Z2094" s="368">
        <f t="shared" si="761"/>
        <v>0</v>
      </c>
      <c r="AA2094" s="368">
        <f t="shared" si="743"/>
        <v>0</v>
      </c>
      <c r="AB2094" s="819">
        <v>7.4999999999999997E-3</v>
      </c>
      <c r="AC2094" s="365">
        <f t="shared" si="767"/>
        <v>0</v>
      </c>
      <c r="AD2094" s="209"/>
      <c r="AE2094" s="210">
        <f t="shared" si="762"/>
        <v>0</v>
      </c>
      <c r="AF2094" s="210">
        <f t="shared" si="763"/>
        <v>0</v>
      </c>
      <c r="AG2094" s="211">
        <f>MID(O2094,1,3)/1000</f>
        <v>0.14499999999999999</v>
      </c>
      <c r="AH2094" s="157">
        <f t="shared" si="765"/>
        <v>0</v>
      </c>
      <c r="AI2094" s="152">
        <f>V2094*P2094</f>
        <v>9600</v>
      </c>
      <c r="AK2094" s="156" t="s">
        <v>691</v>
      </c>
      <c r="AL2094" s="212" t="s">
        <v>690</v>
      </c>
      <c r="AM2094" s="198">
        <f t="shared" si="759"/>
        <v>0</v>
      </c>
      <c r="AN2094" s="199">
        <f t="shared" si="744"/>
        <v>45752</v>
      </c>
      <c r="AO2094" s="159" t="s">
        <v>692</v>
      </c>
      <c r="AP2094" s="783" t="s">
        <v>613</v>
      </c>
      <c r="AQ2094" s="782">
        <v>12071839</v>
      </c>
      <c r="AR2094" s="782">
        <v>12047514</v>
      </c>
      <c r="AS2094" s="782">
        <v>12047515</v>
      </c>
      <c r="AT2094" s="782">
        <v>12062626</v>
      </c>
      <c r="AU2094" s="782" t="s">
        <v>563</v>
      </c>
      <c r="AV2094" s="782">
        <v>12062625</v>
      </c>
      <c r="AW2094" s="782"/>
      <c r="AX2094" s="782"/>
      <c r="AY2094" s="782"/>
      <c r="AZ2094" s="782"/>
      <c r="BA2094" s="781"/>
    </row>
    <row r="2095" spans="1:54" ht="25" hidden="1" customHeight="1">
      <c r="B2095" s="583">
        <v>45752</v>
      </c>
      <c r="C2095" s="777" t="s">
        <v>1927</v>
      </c>
      <c r="D2095" s="185">
        <f t="shared" si="741"/>
        <v>2025</v>
      </c>
      <c r="E2095" s="777" t="e">
        <f>VLOOKUP($B2095,Week!$A$1:$C$1462,2,0)</f>
        <v>#N/A</v>
      </c>
      <c r="F2095" s="778" t="str">
        <f t="shared" si="742"/>
        <v>Apr</v>
      </c>
      <c r="G2095" s="586" t="s">
        <v>47</v>
      </c>
      <c r="H2095" s="586" t="s">
        <v>518</v>
      </c>
      <c r="I2095" s="586" t="s">
        <v>2702</v>
      </c>
      <c r="J2095" s="587" t="s">
        <v>70</v>
      </c>
      <c r="K2095" s="588" t="s">
        <v>227</v>
      </c>
      <c r="L2095" s="300" t="s">
        <v>2167</v>
      </c>
      <c r="M2095" s="587" t="s">
        <v>2006</v>
      </c>
      <c r="N2095" s="586" t="s">
        <v>2004</v>
      </c>
      <c r="O2095" s="586" t="s">
        <v>2005</v>
      </c>
      <c r="P2095" s="589">
        <v>12</v>
      </c>
      <c r="Q2095" s="589">
        <v>3</v>
      </c>
      <c r="R2095" s="590">
        <v>8.0000000000000002E-3</v>
      </c>
      <c r="S2095" s="586" t="s">
        <v>352</v>
      </c>
      <c r="T2095" s="586" t="s">
        <v>56</v>
      </c>
      <c r="U2095" s="586" t="s">
        <v>2007</v>
      </c>
      <c r="V2095" s="779">
        <f>1600-821</f>
        <v>779</v>
      </c>
      <c r="W2095" s="592">
        <f>477</f>
        <v>477</v>
      </c>
      <c r="X2095" s="593">
        <v>302</v>
      </c>
      <c r="Y2095" s="594">
        <f t="shared" si="760"/>
        <v>0</v>
      </c>
      <c r="Z2095" s="595">
        <f t="shared" si="761"/>
        <v>0</v>
      </c>
      <c r="AA2095" s="595">
        <f t="shared" si="743"/>
        <v>0</v>
      </c>
      <c r="AB2095" s="835">
        <v>0.05</v>
      </c>
      <c r="AC2095" s="592">
        <f t="shared" si="767"/>
        <v>0</v>
      </c>
      <c r="AD2095" s="209"/>
      <c r="AE2095" s="210">
        <f t="shared" si="762"/>
        <v>0</v>
      </c>
      <c r="AF2095" s="210">
        <f t="shared" si="763"/>
        <v>0</v>
      </c>
      <c r="AG2095" s="211">
        <f>MID(O2095,1,3)/1000</f>
        <v>0.22700000000000001</v>
      </c>
      <c r="AH2095" s="157">
        <f t="shared" si="765"/>
        <v>0</v>
      </c>
      <c r="AI2095" s="152">
        <f>V2095*P2095</f>
        <v>9348</v>
      </c>
      <c r="AK2095" s="156" t="s">
        <v>691</v>
      </c>
      <c r="AL2095" s="212" t="s">
        <v>690</v>
      </c>
      <c r="AM2095" s="198">
        <f t="shared" si="759"/>
        <v>0</v>
      </c>
      <c r="AN2095" s="199">
        <f t="shared" si="744"/>
        <v>45752</v>
      </c>
      <c r="AO2095" s="159" t="s">
        <v>692</v>
      </c>
      <c r="AP2095" s="783" t="s">
        <v>623</v>
      </c>
      <c r="AQ2095" s="782">
        <v>12071839</v>
      </c>
      <c r="AR2095" s="782">
        <v>12042650</v>
      </c>
      <c r="AS2095" s="782">
        <v>12042649</v>
      </c>
      <c r="AT2095" s="782"/>
      <c r="AU2095" s="781"/>
      <c r="AV2095" s="782">
        <v>12094036</v>
      </c>
      <c r="AW2095" s="782"/>
      <c r="AX2095" s="782"/>
      <c r="AY2095" s="782">
        <v>12094035</v>
      </c>
      <c r="AZ2095" s="782">
        <v>12094041</v>
      </c>
      <c r="BA2095" s="781"/>
      <c r="BB2095" s="209">
        <v>11044165</v>
      </c>
    </row>
    <row r="2096" spans="1:54" ht="25" hidden="1" customHeight="1">
      <c r="B2096" s="583">
        <v>45752</v>
      </c>
      <c r="C2096" s="777" t="s">
        <v>1928</v>
      </c>
      <c r="D2096" s="185">
        <f t="shared" si="741"/>
        <v>2025</v>
      </c>
      <c r="E2096" s="777" t="e">
        <f>VLOOKUP($B2096,Week!$A$1:$C$1462,2,0)</f>
        <v>#N/A</v>
      </c>
      <c r="F2096" s="778" t="str">
        <f t="shared" si="742"/>
        <v>Apr</v>
      </c>
      <c r="G2096" s="586" t="s">
        <v>47</v>
      </c>
      <c r="H2096" s="586" t="s">
        <v>518</v>
      </c>
      <c r="I2096" s="586" t="s">
        <v>2702</v>
      </c>
      <c r="J2096" s="587" t="s">
        <v>70</v>
      </c>
      <c r="K2096" s="588" t="s">
        <v>227</v>
      </c>
      <c r="L2096" s="300" t="s">
        <v>2167</v>
      </c>
      <c r="M2096" s="587" t="s">
        <v>2006</v>
      </c>
      <c r="N2096" s="586" t="s">
        <v>2004</v>
      </c>
      <c r="O2096" s="586" t="s">
        <v>2005</v>
      </c>
      <c r="P2096" s="589">
        <v>12</v>
      </c>
      <c r="Q2096" s="589">
        <v>3</v>
      </c>
      <c r="R2096" s="590">
        <v>8.0000000000000002E-3</v>
      </c>
      <c r="S2096" s="586" t="s">
        <v>352</v>
      </c>
      <c r="T2096" s="586" t="s">
        <v>56</v>
      </c>
      <c r="U2096" s="586" t="s">
        <v>2007</v>
      </c>
      <c r="V2096" s="779">
        <f>6051</f>
        <v>6051</v>
      </c>
      <c r="W2096" s="592">
        <f>6353-302</f>
        <v>6051</v>
      </c>
      <c r="X2096" s="593"/>
      <c r="Y2096" s="594">
        <f t="shared" si="760"/>
        <v>0</v>
      </c>
      <c r="Z2096" s="595">
        <f t="shared" si="761"/>
        <v>0</v>
      </c>
      <c r="AA2096" s="595">
        <f t="shared" si="743"/>
        <v>0</v>
      </c>
      <c r="AB2096" s="835">
        <v>0.05</v>
      </c>
      <c r="AC2096" s="592">
        <f t="shared" si="767"/>
        <v>0</v>
      </c>
      <c r="AD2096" s="209"/>
      <c r="AE2096" s="210">
        <f t="shared" si="762"/>
        <v>0</v>
      </c>
      <c r="AF2096" s="210">
        <f t="shared" si="763"/>
        <v>0</v>
      </c>
      <c r="AG2096" s="211">
        <f>MID(O2096,1,3)/1000</f>
        <v>0.22700000000000001</v>
      </c>
      <c r="AH2096" s="157">
        <f t="shared" si="765"/>
        <v>0</v>
      </c>
      <c r="AI2096" s="152">
        <f>V2096*P2096</f>
        <v>72612</v>
      </c>
      <c r="AK2096" s="156" t="s">
        <v>691</v>
      </c>
      <c r="AL2096" s="212" t="s">
        <v>690</v>
      </c>
      <c r="AM2096" s="198">
        <f t="shared" si="759"/>
        <v>0</v>
      </c>
      <c r="AN2096" s="199">
        <f t="shared" si="744"/>
        <v>45752</v>
      </c>
      <c r="AO2096" s="159" t="s">
        <v>692</v>
      </c>
      <c r="AP2096" s="783" t="s">
        <v>623</v>
      </c>
      <c r="AQ2096" s="782">
        <v>12071839</v>
      </c>
      <c r="AR2096" s="782">
        <v>12042650</v>
      </c>
      <c r="AS2096" s="782">
        <v>12042649</v>
      </c>
      <c r="AT2096" s="782"/>
      <c r="AU2096" s="781"/>
      <c r="AV2096" s="782">
        <v>12094036</v>
      </c>
      <c r="AW2096" s="782"/>
      <c r="AX2096" s="782"/>
      <c r="AY2096" s="782">
        <v>12094035</v>
      </c>
      <c r="AZ2096" s="782">
        <v>12094041</v>
      </c>
      <c r="BA2096" s="781"/>
      <c r="BB2096" s="209">
        <v>11044165</v>
      </c>
    </row>
    <row r="2097" spans="1:54" ht="25" hidden="1" customHeight="1">
      <c r="B2097" s="183">
        <v>45753</v>
      </c>
      <c r="C2097" s="184"/>
      <c r="D2097" s="185">
        <f t="shared" si="741"/>
        <v>2025</v>
      </c>
      <c r="E2097" s="185" t="e">
        <f>VLOOKUP($B2097,Week!$A$1:$C$1462,2,0)</f>
        <v>#N/A</v>
      </c>
      <c r="F2097" s="186" t="str">
        <f t="shared" si="742"/>
        <v>Apr</v>
      </c>
      <c r="G2097" s="185"/>
      <c r="H2097" s="185"/>
      <c r="I2097" s="185"/>
      <c r="J2097" s="187"/>
      <c r="K2097" s="188"/>
      <c r="L2097" s="300"/>
      <c r="M2097" s="187"/>
      <c r="N2097" s="185"/>
      <c r="O2097" s="185"/>
      <c r="P2097" s="189"/>
      <c r="Q2097" s="189"/>
      <c r="R2097" s="190"/>
      <c r="S2097" s="185"/>
      <c r="T2097" s="185"/>
      <c r="U2097" s="185"/>
      <c r="V2097" s="191"/>
      <c r="W2097" s="191"/>
      <c r="X2097" s="192"/>
      <c r="Y2097" s="193"/>
      <c r="Z2097" s="194"/>
      <c r="AA2097" s="194">
        <f t="shared" si="743"/>
        <v>0</v>
      </c>
      <c r="AB2097" s="805"/>
      <c r="AC2097" s="191">
        <f t="shared" si="767"/>
        <v>0</v>
      </c>
      <c r="AD2097" s="187"/>
      <c r="AE2097" s="195"/>
      <c r="AF2097" s="195"/>
      <c r="AG2097" s="196"/>
      <c r="AH2097" s="197"/>
      <c r="AK2097" s="156" t="s">
        <v>691</v>
      </c>
      <c r="AM2097" s="198">
        <f t="shared" si="759"/>
        <v>0</v>
      </c>
      <c r="AN2097" s="199">
        <f t="shared" si="744"/>
        <v>45753</v>
      </c>
      <c r="AO2097" s="159" t="s">
        <v>692</v>
      </c>
      <c r="AP2097" s="781"/>
      <c r="AQ2097" s="782"/>
      <c r="AR2097" s="782"/>
      <c r="AS2097" s="782"/>
      <c r="AT2097" s="782"/>
      <c r="AU2097" s="781"/>
      <c r="AV2097" s="782"/>
      <c r="AW2097" s="782"/>
      <c r="AX2097" s="782"/>
      <c r="AY2097" s="782"/>
      <c r="AZ2097" s="782"/>
      <c r="BA2097" s="781"/>
      <c r="BB2097" s="209"/>
    </row>
    <row r="2098" spans="1:54" ht="25" hidden="1" customHeight="1">
      <c r="A2098" s="630" t="s">
        <v>120</v>
      </c>
      <c r="B2098" s="466">
        <v>45754</v>
      </c>
      <c r="C2098" s="467">
        <v>45758</v>
      </c>
      <c r="D2098" s="185">
        <f t="shared" si="741"/>
        <v>2025</v>
      </c>
      <c r="E2098" s="468" t="e">
        <f>VLOOKUP($B2098,Week!$A$1:$C$1462,2,0)</f>
        <v>#N/A</v>
      </c>
      <c r="F2098" s="469" t="str">
        <f t="shared" si="742"/>
        <v>Apr</v>
      </c>
      <c r="G2098" s="470" t="s">
        <v>2182</v>
      </c>
      <c r="H2098" s="468" t="s">
        <v>82</v>
      </c>
      <c r="I2098" s="468" t="s">
        <v>82</v>
      </c>
      <c r="J2098" s="471" t="s">
        <v>720</v>
      </c>
      <c r="K2098" s="472" t="s">
        <v>85</v>
      </c>
      <c r="L2098" s="390" t="s">
        <v>2166</v>
      </c>
      <c r="M2098" s="471" t="s">
        <v>579</v>
      </c>
      <c r="N2098" s="468" t="s">
        <v>580</v>
      </c>
      <c r="O2098" s="468" t="s">
        <v>581</v>
      </c>
      <c r="P2098" s="473">
        <v>8</v>
      </c>
      <c r="Q2098" s="473">
        <v>60</v>
      </c>
      <c r="R2098" s="474">
        <v>6.8100000000000001E-3</v>
      </c>
      <c r="S2098" s="468" t="s">
        <v>76</v>
      </c>
      <c r="T2098" s="468" t="s">
        <v>56</v>
      </c>
      <c r="U2098" s="468" t="s">
        <v>89</v>
      </c>
      <c r="V2098" s="475">
        <f>1408-1222</f>
        <v>186</v>
      </c>
      <c r="W2098" s="475">
        <v>186</v>
      </c>
      <c r="X2098" s="476"/>
      <c r="Y2098" s="477">
        <f t="shared" ref="Y2098:Y2118" si="768">(W2098+X2098)-V2098</f>
        <v>0</v>
      </c>
      <c r="Z2098" s="478">
        <f t="shared" ref="Z2098:Z2131" si="769">IF(Y2098&lt;0,((V2098*P2098)-((W2098+X2098)*P2098)),0)</f>
        <v>0</v>
      </c>
      <c r="AA2098" s="478">
        <f t="shared" si="743"/>
        <v>0</v>
      </c>
      <c r="AB2098" s="828">
        <v>6</v>
      </c>
      <c r="AC2098" s="475">
        <f t="shared" si="767"/>
        <v>0</v>
      </c>
      <c r="AD2098" s="209"/>
      <c r="AE2098" s="210">
        <f t="shared" ref="AE2098:AE2131" si="770">SUM(Q2098*R2098*Z2098)/1000</f>
        <v>0</v>
      </c>
      <c r="AF2098" s="210">
        <f t="shared" ref="AF2098:AF2119" si="771">AE2098/0.54</f>
        <v>0</v>
      </c>
      <c r="AG2098" s="211">
        <f>MID(O2098,1,3)/1000</f>
        <v>0.75</v>
      </c>
      <c r="AH2098" s="157">
        <f t="shared" ref="AH2098:AH2116" si="772">(Z2098*AG2098)/1000</f>
        <v>0</v>
      </c>
      <c r="AI2098" s="152">
        <f t="shared" ref="AI2098:AI2131" si="773">V2098*P2098</f>
        <v>1488</v>
      </c>
      <c r="AK2098" s="156" t="s">
        <v>691</v>
      </c>
      <c r="AL2098" s="156" t="s">
        <v>689</v>
      </c>
      <c r="AM2098" s="198">
        <f t="shared" si="759"/>
        <v>0</v>
      </c>
      <c r="AN2098" s="199">
        <f t="shared" si="744"/>
        <v>45754</v>
      </c>
      <c r="AO2098" s="159" t="s">
        <v>692</v>
      </c>
      <c r="AP2098" s="783" t="s">
        <v>622</v>
      </c>
      <c r="AQ2098" s="782">
        <v>12088677</v>
      </c>
      <c r="AR2098" s="782" t="s">
        <v>2142</v>
      </c>
      <c r="AS2098" s="782"/>
      <c r="AT2098" s="782">
        <v>12082897</v>
      </c>
      <c r="AU2098" s="781"/>
      <c r="AV2098" s="782">
        <v>12082898</v>
      </c>
      <c r="AW2098" s="782">
        <v>12082899</v>
      </c>
      <c r="AX2098" s="796" t="s">
        <v>621</v>
      </c>
      <c r="AY2098" s="782"/>
      <c r="AZ2098" s="782"/>
      <c r="BA2098" s="781"/>
      <c r="BB2098" s="209">
        <v>23053184</v>
      </c>
    </row>
    <row r="2099" spans="1:54" ht="25" hidden="1" customHeight="1">
      <c r="A2099" s="630" t="s">
        <v>120</v>
      </c>
      <c r="B2099" s="466">
        <v>45754</v>
      </c>
      <c r="C2099" s="467">
        <v>45758</v>
      </c>
      <c r="D2099" s="185">
        <f t="shared" si="741"/>
        <v>2025</v>
      </c>
      <c r="E2099" s="468" t="e">
        <f>VLOOKUP($B2099,Week!$A$1:$C$1462,2,0)</f>
        <v>#N/A</v>
      </c>
      <c r="F2099" s="469" t="str">
        <f t="shared" si="742"/>
        <v>Apr</v>
      </c>
      <c r="G2099" s="470" t="s">
        <v>2180</v>
      </c>
      <c r="H2099" s="468" t="s">
        <v>82</v>
      </c>
      <c r="I2099" s="468" t="s">
        <v>82</v>
      </c>
      <c r="J2099" s="471" t="s">
        <v>720</v>
      </c>
      <c r="K2099" s="472" t="s">
        <v>85</v>
      </c>
      <c r="L2099" s="390" t="s">
        <v>2166</v>
      </c>
      <c r="M2099" s="471" t="s">
        <v>579</v>
      </c>
      <c r="N2099" s="468" t="s">
        <v>580</v>
      </c>
      <c r="O2099" s="468" t="s">
        <v>581</v>
      </c>
      <c r="P2099" s="473">
        <v>8</v>
      </c>
      <c r="Q2099" s="473">
        <v>60</v>
      </c>
      <c r="R2099" s="474">
        <v>6.8100000000000001E-3</v>
      </c>
      <c r="S2099" s="468" t="s">
        <v>76</v>
      </c>
      <c r="T2099" s="468" t="s">
        <v>56</v>
      </c>
      <c r="U2099" s="468" t="s">
        <v>89</v>
      </c>
      <c r="V2099" s="475">
        <f>1408</f>
        <v>1408</v>
      </c>
      <c r="W2099" s="475">
        <v>1408</v>
      </c>
      <c r="X2099" s="476"/>
      <c r="Y2099" s="477">
        <f t="shared" si="768"/>
        <v>0</v>
      </c>
      <c r="Z2099" s="478">
        <f t="shared" si="769"/>
        <v>0</v>
      </c>
      <c r="AA2099" s="478">
        <f t="shared" si="743"/>
        <v>0</v>
      </c>
      <c r="AB2099" s="828">
        <v>6</v>
      </c>
      <c r="AC2099" s="475">
        <f t="shared" si="767"/>
        <v>0</v>
      </c>
      <c r="AD2099" s="209"/>
      <c r="AE2099" s="210">
        <f t="shared" si="770"/>
        <v>0</v>
      </c>
      <c r="AF2099" s="210">
        <f t="shared" si="771"/>
        <v>0</v>
      </c>
      <c r="AG2099" s="211">
        <f>MID(O2099,1,3)/1000</f>
        <v>0.75</v>
      </c>
      <c r="AH2099" s="157">
        <f t="shared" si="772"/>
        <v>0</v>
      </c>
      <c r="AI2099" s="152">
        <f t="shared" si="773"/>
        <v>11264</v>
      </c>
      <c r="AK2099" s="156" t="s">
        <v>691</v>
      </c>
      <c r="AL2099" s="156" t="s">
        <v>689</v>
      </c>
      <c r="AM2099" s="198">
        <f t="shared" si="759"/>
        <v>0</v>
      </c>
      <c r="AN2099" s="199">
        <f t="shared" si="744"/>
        <v>45754</v>
      </c>
      <c r="AO2099" s="159" t="s">
        <v>692</v>
      </c>
      <c r="AP2099" s="783" t="s">
        <v>622</v>
      </c>
      <c r="AQ2099" s="782">
        <v>12088677</v>
      </c>
      <c r="AR2099" s="782" t="s">
        <v>2142</v>
      </c>
      <c r="AS2099" s="782"/>
      <c r="AT2099" s="782">
        <v>12082897</v>
      </c>
      <c r="AU2099" s="781"/>
      <c r="AV2099" s="782">
        <v>12082898</v>
      </c>
      <c r="AW2099" s="782">
        <v>12082899</v>
      </c>
      <c r="AX2099" s="796" t="s">
        <v>621</v>
      </c>
      <c r="AY2099" s="782"/>
      <c r="AZ2099" s="782"/>
      <c r="BA2099" s="781"/>
      <c r="BB2099" s="209">
        <v>23053184</v>
      </c>
    </row>
    <row r="2100" spans="1:54" ht="24.75" hidden="1" customHeight="1">
      <c r="B2100" s="295">
        <v>45755</v>
      </c>
      <c r="C2100" s="771" t="s">
        <v>1928</v>
      </c>
      <c r="D2100" s="185">
        <f t="shared" si="741"/>
        <v>2025</v>
      </c>
      <c r="E2100" s="296" t="e">
        <f>VLOOKUP($B2100,Week!$A$1:$C$1462,2,0)</f>
        <v>#N/A</v>
      </c>
      <c r="F2100" s="297" t="str">
        <f t="shared" si="742"/>
        <v>Apr</v>
      </c>
      <c r="G2100" s="648" t="s">
        <v>47</v>
      </c>
      <c r="H2100" s="298" t="s">
        <v>260</v>
      </c>
      <c r="I2100" s="298" t="s">
        <v>2702</v>
      </c>
      <c r="J2100" s="307" t="s">
        <v>904</v>
      </c>
      <c r="K2100" s="300" t="s">
        <v>176</v>
      </c>
      <c r="L2100" s="300" t="s">
        <v>2167</v>
      </c>
      <c r="M2100" s="299" t="s">
        <v>262</v>
      </c>
      <c r="N2100" s="298" t="s">
        <v>350</v>
      </c>
      <c r="O2100" s="298" t="s">
        <v>351</v>
      </c>
      <c r="P2100" s="301">
        <v>24</v>
      </c>
      <c r="Q2100" s="301">
        <v>5</v>
      </c>
      <c r="R2100" s="302">
        <v>6.1999999999999998E-3</v>
      </c>
      <c r="S2100" s="298" t="s">
        <v>352</v>
      </c>
      <c r="T2100" s="298" t="s">
        <v>56</v>
      </c>
      <c r="U2100" s="298" t="s">
        <v>57</v>
      </c>
      <c r="V2100" s="303">
        <f>15000-793-6678-4638-1125</f>
        <v>1766</v>
      </c>
      <c r="W2100" s="303">
        <v>1766</v>
      </c>
      <c r="X2100" s="304"/>
      <c r="Y2100" s="305">
        <f t="shared" si="768"/>
        <v>0</v>
      </c>
      <c r="Z2100" s="306">
        <f t="shared" si="769"/>
        <v>0</v>
      </c>
      <c r="AA2100" s="306">
        <f t="shared" si="743"/>
        <v>0</v>
      </c>
      <c r="AB2100" s="814">
        <v>7.4999999999999997E-3</v>
      </c>
      <c r="AC2100" s="303">
        <f t="shared" si="767"/>
        <v>0</v>
      </c>
      <c r="AD2100" s="573"/>
      <c r="AE2100" s="210">
        <f t="shared" si="770"/>
        <v>0</v>
      </c>
      <c r="AF2100" s="210">
        <f t="shared" si="771"/>
        <v>0</v>
      </c>
      <c r="AG2100" s="211">
        <f>MID(O2100,1,3)/1000</f>
        <v>0.13</v>
      </c>
      <c r="AH2100" s="157">
        <f t="shared" si="772"/>
        <v>0</v>
      </c>
      <c r="AI2100" s="152">
        <f t="shared" si="773"/>
        <v>42384</v>
      </c>
      <c r="AK2100" s="156" t="s">
        <v>691</v>
      </c>
      <c r="AL2100" s="574" t="s">
        <v>690</v>
      </c>
      <c r="AM2100" s="198">
        <f t="shared" si="759"/>
        <v>0</v>
      </c>
      <c r="AN2100" s="199">
        <f t="shared" si="744"/>
        <v>45755</v>
      </c>
      <c r="AO2100" s="159" t="s">
        <v>692</v>
      </c>
      <c r="AP2100" s="783" t="s">
        <v>629</v>
      </c>
      <c r="AQ2100" s="782">
        <v>12071839</v>
      </c>
      <c r="AR2100" s="782">
        <v>12078867</v>
      </c>
      <c r="AS2100" s="782">
        <v>12068233</v>
      </c>
      <c r="AT2100" s="781"/>
      <c r="AU2100" s="781"/>
      <c r="AV2100" s="782">
        <v>12062075</v>
      </c>
      <c r="AW2100" s="781"/>
      <c r="AX2100" s="781"/>
      <c r="AY2100" s="782">
        <v>12086617</v>
      </c>
      <c r="AZ2100" s="781"/>
      <c r="BA2100" s="781"/>
      <c r="BB2100" s="209">
        <v>23053185</v>
      </c>
    </row>
    <row r="2101" spans="1:54" ht="24.75" hidden="1" customHeight="1">
      <c r="B2101" s="295">
        <v>45755</v>
      </c>
      <c r="C2101" s="771" t="s">
        <v>1929</v>
      </c>
      <c r="D2101" s="185">
        <f t="shared" si="741"/>
        <v>2025</v>
      </c>
      <c r="E2101" s="296" t="e">
        <f>VLOOKUP($B2101,Week!$A$1:$C$1462,2,0)</f>
        <v>#N/A</v>
      </c>
      <c r="F2101" s="297" t="str">
        <f t="shared" si="742"/>
        <v>Apr</v>
      </c>
      <c r="G2101" s="648" t="s">
        <v>47</v>
      </c>
      <c r="H2101" s="298" t="s">
        <v>260</v>
      </c>
      <c r="I2101" s="298" t="s">
        <v>2702</v>
      </c>
      <c r="J2101" s="307" t="s">
        <v>904</v>
      </c>
      <c r="K2101" s="300" t="s">
        <v>176</v>
      </c>
      <c r="L2101" s="300" t="s">
        <v>2167</v>
      </c>
      <c r="M2101" s="299" t="s">
        <v>262</v>
      </c>
      <c r="N2101" s="298" t="s">
        <v>350</v>
      </c>
      <c r="O2101" s="298" t="s">
        <v>351</v>
      </c>
      <c r="P2101" s="301">
        <v>24</v>
      </c>
      <c r="Q2101" s="301">
        <v>5</v>
      </c>
      <c r="R2101" s="302">
        <v>6.1999999999999998E-3</v>
      </c>
      <c r="S2101" s="298" t="s">
        <v>352</v>
      </c>
      <c r="T2101" s="298" t="s">
        <v>56</v>
      </c>
      <c r="U2101" s="298" t="s">
        <v>57</v>
      </c>
      <c r="V2101" s="303">
        <v>4546</v>
      </c>
      <c r="W2101" s="303">
        <f>6312-1766</f>
        <v>4546</v>
      </c>
      <c r="X2101" s="304"/>
      <c r="Y2101" s="305">
        <f t="shared" si="768"/>
        <v>0</v>
      </c>
      <c r="Z2101" s="306">
        <f t="shared" si="769"/>
        <v>0</v>
      </c>
      <c r="AA2101" s="306">
        <f t="shared" si="743"/>
        <v>0</v>
      </c>
      <c r="AB2101" s="814">
        <v>7.4999999999999997E-3</v>
      </c>
      <c r="AC2101" s="303">
        <f t="shared" si="767"/>
        <v>0</v>
      </c>
      <c r="AD2101" s="573" t="s">
        <v>2017</v>
      </c>
      <c r="AE2101" s="210">
        <f t="shared" si="770"/>
        <v>0</v>
      </c>
      <c r="AF2101" s="210">
        <f t="shared" si="771"/>
        <v>0</v>
      </c>
      <c r="AG2101" s="211">
        <f>MID(O2101,1,3)/1000</f>
        <v>0.13</v>
      </c>
      <c r="AH2101" s="157">
        <f t="shared" si="772"/>
        <v>0</v>
      </c>
      <c r="AI2101" s="152">
        <f t="shared" si="773"/>
        <v>109104</v>
      </c>
      <c r="AK2101" s="156" t="s">
        <v>691</v>
      </c>
      <c r="AL2101" s="574" t="s">
        <v>690</v>
      </c>
      <c r="AM2101" s="198">
        <f t="shared" si="759"/>
        <v>0</v>
      </c>
      <c r="AN2101" s="199">
        <f t="shared" si="744"/>
        <v>45755</v>
      </c>
      <c r="AO2101" s="159" t="s">
        <v>692</v>
      </c>
      <c r="AP2101" s="783" t="s">
        <v>629</v>
      </c>
      <c r="AQ2101" s="782">
        <v>12071839</v>
      </c>
      <c r="AR2101" s="782">
        <v>12078867</v>
      </c>
      <c r="AS2101" s="782">
        <v>12068233</v>
      </c>
      <c r="AT2101" s="781"/>
      <c r="AU2101" s="781"/>
      <c r="AV2101" s="782">
        <v>12062075</v>
      </c>
      <c r="AW2101" s="781"/>
      <c r="AX2101" s="781"/>
      <c r="AY2101" s="782">
        <v>12086617</v>
      </c>
      <c r="AZ2101" s="781"/>
      <c r="BA2101" s="781"/>
      <c r="BB2101" s="209">
        <v>23053185</v>
      </c>
    </row>
    <row r="2102" spans="1:54" ht="25" hidden="1" customHeight="1">
      <c r="B2102" s="424">
        <v>45756</v>
      </c>
      <c r="C2102" s="647" t="s">
        <v>1928</v>
      </c>
      <c r="D2102" s="185">
        <f t="shared" si="741"/>
        <v>2025</v>
      </c>
      <c r="E2102" s="425" t="e">
        <f>VLOOKUP($B2102,Week!$A$1:$C$1462,2,0)</f>
        <v>#N/A</v>
      </c>
      <c r="F2102" s="426" t="str">
        <f t="shared" si="742"/>
        <v>Apr</v>
      </c>
      <c r="G2102" s="427" t="s">
        <v>47</v>
      </c>
      <c r="H2102" s="427" t="s">
        <v>518</v>
      </c>
      <c r="I2102" s="427" t="s">
        <v>2702</v>
      </c>
      <c r="J2102" s="428" t="s">
        <v>70</v>
      </c>
      <c r="K2102" s="429" t="s">
        <v>94</v>
      </c>
      <c r="L2102" s="300" t="s">
        <v>2167</v>
      </c>
      <c r="M2102" s="428" t="s">
        <v>521</v>
      </c>
      <c r="N2102" s="427" t="s">
        <v>587</v>
      </c>
      <c r="O2102" s="427" t="s">
        <v>3198</v>
      </c>
      <c r="P2102" s="430">
        <v>18</v>
      </c>
      <c r="Q2102" s="430">
        <v>5</v>
      </c>
      <c r="R2102" s="431">
        <v>8.0000000000000002E-3</v>
      </c>
      <c r="S2102" s="427" t="s">
        <v>40</v>
      </c>
      <c r="T2102" s="427" t="s">
        <v>56</v>
      </c>
      <c r="U2102" s="427" t="s">
        <v>89</v>
      </c>
      <c r="V2102" s="432">
        <f>960-933</f>
        <v>27</v>
      </c>
      <c r="W2102" s="432">
        <v>27</v>
      </c>
      <c r="X2102" s="433"/>
      <c r="Y2102" s="434">
        <f t="shared" si="768"/>
        <v>0</v>
      </c>
      <c r="Z2102" s="435">
        <f t="shared" si="769"/>
        <v>0</v>
      </c>
      <c r="AA2102" s="435">
        <f t="shared" si="743"/>
        <v>0</v>
      </c>
      <c r="AB2102" s="826">
        <v>1</v>
      </c>
      <c r="AC2102" s="432">
        <f t="shared" si="767"/>
        <v>0</v>
      </c>
      <c r="AD2102" s="209"/>
      <c r="AE2102" s="210">
        <f t="shared" si="770"/>
        <v>0</v>
      </c>
      <c r="AF2102" s="210">
        <f t="shared" si="771"/>
        <v>0</v>
      </c>
      <c r="AG2102" s="211" t="e">
        <f>(MID(O2102,1,3)/1000)/3</f>
        <v>#VALUE!</v>
      </c>
      <c r="AH2102" s="157" t="e">
        <f t="shared" si="772"/>
        <v>#VALUE!</v>
      </c>
      <c r="AI2102" s="152">
        <f t="shared" si="773"/>
        <v>486</v>
      </c>
      <c r="AK2102" s="156" t="s">
        <v>691</v>
      </c>
      <c r="AL2102" s="212" t="s">
        <v>690</v>
      </c>
      <c r="AM2102" s="198" t="e">
        <f t="shared" si="759"/>
        <v>#VALUE!</v>
      </c>
      <c r="AN2102" s="199">
        <f t="shared" si="744"/>
        <v>45756</v>
      </c>
      <c r="AO2102" s="159" t="s">
        <v>692</v>
      </c>
      <c r="AP2102" s="783" t="s">
        <v>628</v>
      </c>
      <c r="AQ2102" s="782"/>
      <c r="AR2102" s="782"/>
      <c r="AS2102" s="782"/>
      <c r="AT2102" s="782"/>
      <c r="AU2102" s="781"/>
      <c r="AV2102" s="782">
        <v>12080791</v>
      </c>
      <c r="AW2102" s="782" t="s">
        <v>641</v>
      </c>
      <c r="AX2102" s="782" t="s">
        <v>533</v>
      </c>
      <c r="AY2102" s="782"/>
      <c r="AZ2102" s="782"/>
      <c r="BA2102" s="781"/>
      <c r="BB2102" s="209">
        <v>23053184</v>
      </c>
    </row>
    <row r="2103" spans="1:54" ht="25" hidden="1" customHeight="1">
      <c r="B2103" s="424">
        <v>45756</v>
      </c>
      <c r="C2103" s="647" t="s">
        <v>1928</v>
      </c>
      <c r="D2103" s="185">
        <f t="shared" si="741"/>
        <v>2025</v>
      </c>
      <c r="E2103" s="425" t="e">
        <f>VLOOKUP($B2103,Week!$A$1:$C$1462,2,0)</f>
        <v>#N/A</v>
      </c>
      <c r="F2103" s="426" t="str">
        <f t="shared" si="742"/>
        <v>Apr</v>
      </c>
      <c r="G2103" s="427" t="s">
        <v>47</v>
      </c>
      <c r="H2103" s="427" t="s">
        <v>518</v>
      </c>
      <c r="I2103" s="427" t="s">
        <v>2702</v>
      </c>
      <c r="J2103" s="428" t="s">
        <v>70</v>
      </c>
      <c r="K2103" s="429" t="s">
        <v>94</v>
      </c>
      <c r="L2103" s="300" t="s">
        <v>2167</v>
      </c>
      <c r="M2103" s="428" t="s">
        <v>521</v>
      </c>
      <c r="N2103" s="427" t="s">
        <v>587</v>
      </c>
      <c r="O2103" s="427" t="s">
        <v>3198</v>
      </c>
      <c r="P2103" s="430">
        <v>18</v>
      </c>
      <c r="Q2103" s="430">
        <v>5</v>
      </c>
      <c r="R2103" s="431">
        <v>8.0000000000000002E-3</v>
      </c>
      <c r="S2103" s="427" t="s">
        <v>40</v>
      </c>
      <c r="T2103" s="427" t="s">
        <v>56</v>
      </c>
      <c r="U2103" s="427" t="s">
        <v>89</v>
      </c>
      <c r="V2103" s="432">
        <f>500</f>
        <v>500</v>
      </c>
      <c r="W2103" s="432">
        <f>500</f>
        <v>500</v>
      </c>
      <c r="X2103" s="433"/>
      <c r="Y2103" s="434">
        <f t="shared" si="768"/>
        <v>0</v>
      </c>
      <c r="Z2103" s="435">
        <f t="shared" si="769"/>
        <v>0</v>
      </c>
      <c r="AA2103" s="435">
        <f t="shared" si="743"/>
        <v>0</v>
      </c>
      <c r="AB2103" s="826">
        <v>1</v>
      </c>
      <c r="AC2103" s="432">
        <f t="shared" si="767"/>
        <v>0</v>
      </c>
      <c r="AD2103" s="209"/>
      <c r="AE2103" s="210">
        <f t="shared" si="770"/>
        <v>0</v>
      </c>
      <c r="AF2103" s="210">
        <f t="shared" si="771"/>
        <v>0</v>
      </c>
      <c r="AG2103" s="211" t="e">
        <f>(MID(O2103,1,3)/1000)/3</f>
        <v>#VALUE!</v>
      </c>
      <c r="AH2103" s="157" t="e">
        <f t="shared" si="772"/>
        <v>#VALUE!</v>
      </c>
      <c r="AI2103" s="152">
        <f t="shared" si="773"/>
        <v>9000</v>
      </c>
      <c r="AK2103" s="156" t="s">
        <v>691</v>
      </c>
      <c r="AL2103" s="212" t="s">
        <v>690</v>
      </c>
      <c r="AM2103" s="198" t="e">
        <f t="shared" si="759"/>
        <v>#VALUE!</v>
      </c>
      <c r="AN2103" s="199">
        <f t="shared" si="744"/>
        <v>45756</v>
      </c>
      <c r="AO2103" s="159" t="s">
        <v>692</v>
      </c>
      <c r="AP2103" s="783" t="s">
        <v>628</v>
      </c>
      <c r="AQ2103" s="782"/>
      <c r="AR2103" s="782"/>
      <c r="AS2103" s="782"/>
      <c r="AT2103" s="782"/>
      <c r="AU2103" s="781"/>
      <c r="AV2103" s="782">
        <v>12080791</v>
      </c>
      <c r="AW2103" s="782" t="s">
        <v>641</v>
      </c>
      <c r="AX2103" s="782" t="s">
        <v>533</v>
      </c>
      <c r="AY2103" s="782"/>
      <c r="AZ2103" s="782"/>
      <c r="BA2103" s="781"/>
      <c r="BB2103" s="209">
        <v>23053184</v>
      </c>
    </row>
    <row r="2104" spans="1:54" ht="24.65" hidden="1" customHeight="1">
      <c r="A2104" s="529" t="s">
        <v>1812</v>
      </c>
      <c r="B2104" s="357">
        <v>45756</v>
      </c>
      <c r="C2104" s="358" t="s">
        <v>1928</v>
      </c>
      <c r="D2104" s="185">
        <f t="shared" si="741"/>
        <v>2025</v>
      </c>
      <c r="E2104" s="358" t="e">
        <f>VLOOKUP($B2104,Week!$A$1:$C$1462,2,0)</f>
        <v>#N/A</v>
      </c>
      <c r="F2104" s="360" t="str">
        <f t="shared" si="742"/>
        <v>Apr</v>
      </c>
      <c r="G2104" s="359" t="s">
        <v>2177</v>
      </c>
      <c r="H2104" s="359" t="s">
        <v>1820</v>
      </c>
      <c r="I2104" s="359" t="s">
        <v>1820</v>
      </c>
      <c r="J2104" s="437" t="s">
        <v>1821</v>
      </c>
      <c r="K2104" s="362" t="s">
        <v>94</v>
      </c>
      <c r="L2104" s="300" t="s">
        <v>2167</v>
      </c>
      <c r="M2104" s="361" t="s">
        <v>1823</v>
      </c>
      <c r="N2104" s="436" t="s">
        <v>1818</v>
      </c>
      <c r="O2104" s="359" t="s">
        <v>97</v>
      </c>
      <c r="P2104" s="363">
        <v>12</v>
      </c>
      <c r="Q2104" s="363">
        <v>5</v>
      </c>
      <c r="R2104" s="364">
        <v>8.0000000000000002E-3</v>
      </c>
      <c r="S2104" s="359" t="s">
        <v>40</v>
      </c>
      <c r="T2104" s="359" t="s">
        <v>56</v>
      </c>
      <c r="U2104" s="359" t="s">
        <v>57</v>
      </c>
      <c r="V2104" s="365">
        <f>100</f>
        <v>100</v>
      </c>
      <c r="W2104" s="365">
        <f>100</f>
        <v>100</v>
      </c>
      <c r="X2104" s="366"/>
      <c r="Y2104" s="367">
        <f t="shared" si="768"/>
        <v>0</v>
      </c>
      <c r="Z2104" s="368">
        <f t="shared" si="769"/>
        <v>0</v>
      </c>
      <c r="AA2104" s="368">
        <f t="shared" si="743"/>
        <v>0</v>
      </c>
      <c r="AB2104" s="819">
        <v>7.4999999999999997E-3</v>
      </c>
      <c r="AC2104" s="365">
        <f t="shared" si="767"/>
        <v>0</v>
      </c>
      <c r="AD2104" s="209"/>
      <c r="AE2104" s="210">
        <f t="shared" si="770"/>
        <v>0</v>
      </c>
      <c r="AF2104" s="210">
        <f t="shared" si="771"/>
        <v>0</v>
      </c>
      <c r="AG2104" s="211">
        <f t="shared" ref="AG2104:AG2131" si="774">MID(O2104,1,3)/1000</f>
        <v>0.14499999999999999</v>
      </c>
      <c r="AH2104" s="157">
        <f t="shared" si="772"/>
        <v>0</v>
      </c>
      <c r="AI2104" s="152">
        <f t="shared" si="773"/>
        <v>1200</v>
      </c>
      <c r="AK2104" s="156" t="s">
        <v>691</v>
      </c>
      <c r="AL2104" s="574" t="s">
        <v>690</v>
      </c>
      <c r="AM2104" s="198">
        <f t="shared" si="759"/>
        <v>0</v>
      </c>
      <c r="AN2104" s="199">
        <f t="shared" si="744"/>
        <v>45756</v>
      </c>
      <c r="AO2104" s="159" t="s">
        <v>692</v>
      </c>
      <c r="AP2104" s="783" t="s">
        <v>628</v>
      </c>
      <c r="AQ2104" s="782">
        <v>12071839</v>
      </c>
      <c r="AR2104" s="782">
        <v>12047514</v>
      </c>
      <c r="AS2104" s="782">
        <v>12047515</v>
      </c>
      <c r="AT2104" s="782"/>
      <c r="AU2104" s="781"/>
      <c r="AV2104" s="782">
        <v>12080617</v>
      </c>
      <c r="AW2104" s="782"/>
      <c r="AX2104" s="782"/>
      <c r="AY2104" s="782">
        <v>12094231</v>
      </c>
      <c r="AZ2104" s="782">
        <v>1209232</v>
      </c>
      <c r="BA2104" s="781"/>
    </row>
    <row r="2105" spans="1:54" ht="25" hidden="1" customHeight="1">
      <c r="B2105" s="357">
        <v>45756</v>
      </c>
      <c r="C2105" s="776" t="s">
        <v>1928</v>
      </c>
      <c r="D2105" s="185">
        <f t="shared" si="741"/>
        <v>2025</v>
      </c>
      <c r="E2105" s="358" t="e">
        <f>VLOOKUP($B2105,Week!$A$1:$C$1462,2,0)</f>
        <v>#N/A</v>
      </c>
      <c r="F2105" s="360" t="str">
        <f t="shared" si="742"/>
        <v>Apr</v>
      </c>
      <c r="G2105" s="359" t="s">
        <v>47</v>
      </c>
      <c r="H2105" s="359" t="s">
        <v>518</v>
      </c>
      <c r="I2105" s="359" t="s">
        <v>2702</v>
      </c>
      <c r="J2105" s="361" t="s">
        <v>70</v>
      </c>
      <c r="K2105" s="362" t="s">
        <v>94</v>
      </c>
      <c r="L2105" s="300" t="s">
        <v>2167</v>
      </c>
      <c r="M2105" s="361" t="s">
        <v>519</v>
      </c>
      <c r="N2105" s="359" t="s">
        <v>589</v>
      </c>
      <c r="O2105" s="359" t="s">
        <v>97</v>
      </c>
      <c r="P2105" s="363">
        <v>12</v>
      </c>
      <c r="Q2105" s="363">
        <v>5</v>
      </c>
      <c r="R2105" s="364">
        <v>8.0000000000000002E-3</v>
      </c>
      <c r="S2105" s="359" t="s">
        <v>40</v>
      </c>
      <c r="T2105" s="359" t="s">
        <v>56</v>
      </c>
      <c r="U2105" s="359" t="s">
        <v>57</v>
      </c>
      <c r="V2105" s="365">
        <f>2500-1000</f>
        <v>1500</v>
      </c>
      <c r="W2105" s="365">
        <f>9+1491</f>
        <v>1500</v>
      </c>
      <c r="X2105" s="366"/>
      <c r="Y2105" s="367">
        <f t="shared" si="768"/>
        <v>0</v>
      </c>
      <c r="Z2105" s="368">
        <f t="shared" si="769"/>
        <v>0</v>
      </c>
      <c r="AA2105" s="368">
        <f t="shared" si="743"/>
        <v>0</v>
      </c>
      <c r="AB2105" s="819">
        <v>7.4999999999999997E-3</v>
      </c>
      <c r="AC2105" s="365">
        <f t="shared" si="767"/>
        <v>0</v>
      </c>
      <c r="AD2105" s="209"/>
      <c r="AE2105" s="210">
        <f t="shared" si="770"/>
        <v>0</v>
      </c>
      <c r="AF2105" s="210">
        <f t="shared" si="771"/>
        <v>0</v>
      </c>
      <c r="AG2105" s="211">
        <f t="shared" si="774"/>
        <v>0.14499999999999999</v>
      </c>
      <c r="AH2105" s="157">
        <f t="shared" si="772"/>
        <v>0</v>
      </c>
      <c r="AI2105" s="152">
        <f t="shared" si="773"/>
        <v>18000</v>
      </c>
      <c r="AK2105" s="156" t="s">
        <v>691</v>
      </c>
      <c r="AL2105" s="574" t="s">
        <v>690</v>
      </c>
      <c r="AM2105" s="198">
        <f t="shared" si="759"/>
        <v>0</v>
      </c>
      <c r="AN2105" s="199">
        <f t="shared" si="744"/>
        <v>45756</v>
      </c>
      <c r="AO2105" s="159" t="s">
        <v>692</v>
      </c>
      <c r="AP2105" s="783" t="s">
        <v>628</v>
      </c>
      <c r="AQ2105" s="782">
        <v>12071839</v>
      </c>
      <c r="AR2105" s="782">
        <v>12047514</v>
      </c>
      <c r="AS2105" s="782">
        <v>12047515</v>
      </c>
      <c r="AT2105" s="782"/>
      <c r="AU2105" s="781"/>
      <c r="AV2105" s="782">
        <v>12080617</v>
      </c>
      <c r="AW2105" s="782"/>
      <c r="AX2105" s="782"/>
      <c r="AY2105" s="782">
        <v>12094231</v>
      </c>
      <c r="AZ2105" s="782">
        <v>1209232</v>
      </c>
      <c r="BA2105" s="781"/>
      <c r="BB2105" s="209">
        <v>23053185</v>
      </c>
    </row>
    <row r="2106" spans="1:54" ht="24.65" hidden="1" customHeight="1">
      <c r="B2106" s="411">
        <v>45756</v>
      </c>
      <c r="C2106" s="645" t="s">
        <v>1928</v>
      </c>
      <c r="D2106" s="185">
        <f t="shared" si="741"/>
        <v>2025</v>
      </c>
      <c r="E2106" s="412" t="e">
        <f>VLOOKUP($B2106,Week!$A$1:$C$1462,2,0)</f>
        <v>#N/A</v>
      </c>
      <c r="F2106" s="413" t="str">
        <f t="shared" si="742"/>
        <v>Apr</v>
      </c>
      <c r="G2106" s="414" t="s">
        <v>47</v>
      </c>
      <c r="H2106" s="414" t="s">
        <v>260</v>
      </c>
      <c r="I2106" s="414" t="s">
        <v>2702</v>
      </c>
      <c r="J2106" s="415" t="s">
        <v>261</v>
      </c>
      <c r="K2106" s="416" t="s">
        <v>94</v>
      </c>
      <c r="L2106" s="300" t="s">
        <v>2167</v>
      </c>
      <c r="M2106" s="415" t="s">
        <v>1303</v>
      </c>
      <c r="N2106" s="414" t="s">
        <v>263</v>
      </c>
      <c r="O2106" s="414" t="s">
        <v>195</v>
      </c>
      <c r="P2106" s="417">
        <v>24</v>
      </c>
      <c r="Q2106" s="417">
        <v>5</v>
      </c>
      <c r="R2106" s="418">
        <v>8.0000000000000002E-3</v>
      </c>
      <c r="S2106" s="414" t="s">
        <v>40</v>
      </c>
      <c r="T2106" s="414" t="s">
        <v>56</v>
      </c>
      <c r="U2106" s="414" t="s">
        <v>57</v>
      </c>
      <c r="V2106" s="419">
        <v>4374</v>
      </c>
      <c r="W2106" s="419">
        <f>4374</f>
        <v>4374</v>
      </c>
      <c r="X2106" s="420"/>
      <c r="Y2106" s="421">
        <f t="shared" si="768"/>
        <v>0</v>
      </c>
      <c r="Z2106" s="422">
        <f t="shared" si="769"/>
        <v>0</v>
      </c>
      <c r="AA2106" s="422">
        <f t="shared" si="743"/>
        <v>0</v>
      </c>
      <c r="AB2106" s="825">
        <v>7.4999999999999997E-3</v>
      </c>
      <c r="AC2106" s="419">
        <f t="shared" si="767"/>
        <v>0</v>
      </c>
      <c r="AD2106" s="209"/>
      <c r="AE2106" s="210">
        <f t="shared" si="770"/>
        <v>0</v>
      </c>
      <c r="AF2106" s="210">
        <f t="shared" si="771"/>
        <v>0</v>
      </c>
      <c r="AG2106" s="211">
        <f t="shared" si="774"/>
        <v>0.14499999999999999</v>
      </c>
      <c r="AH2106" s="157">
        <f t="shared" si="772"/>
        <v>0</v>
      </c>
      <c r="AI2106" s="152">
        <f t="shared" si="773"/>
        <v>104976</v>
      </c>
      <c r="AK2106" s="156" t="s">
        <v>691</v>
      </c>
      <c r="AL2106" s="212" t="s">
        <v>690</v>
      </c>
      <c r="AM2106" s="198">
        <f t="shared" si="759"/>
        <v>0</v>
      </c>
      <c r="AN2106" s="199">
        <f t="shared" si="744"/>
        <v>45756</v>
      </c>
      <c r="AO2106" s="159" t="s">
        <v>692</v>
      </c>
      <c r="AP2106" s="783" t="s">
        <v>609</v>
      </c>
      <c r="AQ2106" s="782">
        <v>12071839</v>
      </c>
      <c r="AR2106" s="782">
        <v>12047514</v>
      </c>
      <c r="AS2106" s="782">
        <v>12047515</v>
      </c>
      <c r="AT2106" s="781"/>
      <c r="AU2106" s="781"/>
      <c r="AV2106" s="782">
        <v>12080613</v>
      </c>
      <c r="AW2106" s="781"/>
      <c r="AX2106" s="781"/>
      <c r="AY2106" s="782">
        <v>12080614</v>
      </c>
      <c r="AZ2106" s="782">
        <v>12080616</v>
      </c>
      <c r="BA2106" s="781"/>
      <c r="BB2106" s="209">
        <v>23053185</v>
      </c>
    </row>
    <row r="2107" spans="1:54" ht="24.65" hidden="1" customHeight="1">
      <c r="A2107" s="529" t="s">
        <v>1812</v>
      </c>
      <c r="B2107" s="546">
        <v>45756</v>
      </c>
      <c r="C2107" s="547" t="s">
        <v>1928</v>
      </c>
      <c r="D2107" s="185">
        <f t="shared" si="741"/>
        <v>2025</v>
      </c>
      <c r="E2107" s="547" t="e">
        <f>VLOOKUP($B2107,Week!$A$1:$C$1462,2,0)</f>
        <v>#N/A</v>
      </c>
      <c r="F2107" s="548" t="str">
        <f t="shared" si="742"/>
        <v>Apr</v>
      </c>
      <c r="G2107" s="549" t="s">
        <v>2177</v>
      </c>
      <c r="H2107" s="549" t="s">
        <v>1820</v>
      </c>
      <c r="I2107" s="549" t="s">
        <v>1820</v>
      </c>
      <c r="J2107" s="772" t="s">
        <v>1821</v>
      </c>
      <c r="K2107" s="551" t="s">
        <v>1020</v>
      </c>
      <c r="L2107" s="300" t="s">
        <v>2167</v>
      </c>
      <c r="M2107" s="550" t="s">
        <v>1824</v>
      </c>
      <c r="N2107" s="618" t="s">
        <v>1817</v>
      </c>
      <c r="O2107" s="549" t="s">
        <v>747</v>
      </c>
      <c r="P2107" s="552">
        <v>12</v>
      </c>
      <c r="Q2107" s="552">
        <v>5</v>
      </c>
      <c r="R2107" s="549">
        <v>6.1999999999999998E-3</v>
      </c>
      <c r="S2107" s="549" t="s">
        <v>352</v>
      </c>
      <c r="T2107" s="549" t="s">
        <v>56</v>
      </c>
      <c r="U2107" s="549" t="s">
        <v>739</v>
      </c>
      <c r="V2107" s="554">
        <f>100</f>
        <v>100</v>
      </c>
      <c r="W2107" s="554">
        <f>100</f>
        <v>100</v>
      </c>
      <c r="X2107" s="555"/>
      <c r="Y2107" s="556">
        <f t="shared" si="768"/>
        <v>0</v>
      </c>
      <c r="Z2107" s="557">
        <f t="shared" si="769"/>
        <v>0</v>
      </c>
      <c r="AA2107" s="557">
        <f t="shared" si="743"/>
        <v>0</v>
      </c>
      <c r="AB2107" s="833">
        <v>1.2999999999999999E-2</v>
      </c>
      <c r="AC2107" s="554">
        <f t="shared" si="767"/>
        <v>0</v>
      </c>
      <c r="AD2107" s="209"/>
      <c r="AE2107" s="210">
        <f t="shared" si="770"/>
        <v>0</v>
      </c>
      <c r="AF2107" s="210">
        <f t="shared" si="771"/>
        <v>0</v>
      </c>
      <c r="AG2107" s="211">
        <f t="shared" si="774"/>
        <v>0.14299999999999999</v>
      </c>
      <c r="AH2107" s="157">
        <f t="shared" si="772"/>
        <v>0</v>
      </c>
      <c r="AI2107" s="152">
        <f t="shared" si="773"/>
        <v>1200</v>
      </c>
      <c r="AK2107" s="156" t="s">
        <v>691</v>
      </c>
      <c r="AL2107" s="212" t="s">
        <v>690</v>
      </c>
      <c r="AM2107" s="198">
        <f t="shared" si="759"/>
        <v>0</v>
      </c>
      <c r="AN2107" s="199">
        <f t="shared" si="744"/>
        <v>45756</v>
      </c>
      <c r="AO2107" s="159" t="s">
        <v>692</v>
      </c>
      <c r="AP2107" s="783" t="s">
        <v>609</v>
      </c>
      <c r="AQ2107" s="782">
        <v>12071839</v>
      </c>
      <c r="AR2107" s="782">
        <v>12047514</v>
      </c>
      <c r="AS2107" s="782">
        <v>12047515</v>
      </c>
      <c r="AT2107" s="781"/>
      <c r="AU2107" s="781"/>
      <c r="AV2107" s="782">
        <v>12088316</v>
      </c>
      <c r="AW2107" s="781"/>
      <c r="AX2107" s="781"/>
      <c r="AY2107" s="782">
        <v>12089871</v>
      </c>
      <c r="AZ2107" s="782">
        <v>12089872</v>
      </c>
      <c r="BA2107" s="781" t="s">
        <v>2191</v>
      </c>
    </row>
    <row r="2108" spans="1:54" ht="24.65" hidden="1" customHeight="1">
      <c r="B2108" s="546">
        <v>45756</v>
      </c>
      <c r="C2108" s="547" t="s">
        <v>1928</v>
      </c>
      <c r="D2108" s="185">
        <f t="shared" si="741"/>
        <v>2025</v>
      </c>
      <c r="E2108" s="547" t="e">
        <f>VLOOKUP($B2108,Week!$A$1:$C$1462,2,0)</f>
        <v>#N/A</v>
      </c>
      <c r="F2108" s="548" t="str">
        <f t="shared" si="742"/>
        <v>Apr</v>
      </c>
      <c r="G2108" s="549" t="s">
        <v>47</v>
      </c>
      <c r="H2108" s="549" t="s">
        <v>518</v>
      </c>
      <c r="I2108" s="549" t="s">
        <v>2702</v>
      </c>
      <c r="J2108" s="550" t="s">
        <v>70</v>
      </c>
      <c r="K2108" s="551" t="s">
        <v>1020</v>
      </c>
      <c r="L2108" s="300" t="s">
        <v>2167</v>
      </c>
      <c r="M2108" s="550" t="s">
        <v>746</v>
      </c>
      <c r="N2108" s="618" t="s">
        <v>751</v>
      </c>
      <c r="O2108" s="549" t="s">
        <v>747</v>
      </c>
      <c r="P2108" s="552">
        <v>12</v>
      </c>
      <c r="Q2108" s="552">
        <v>5</v>
      </c>
      <c r="R2108" s="549">
        <v>6.1999999999999998E-3</v>
      </c>
      <c r="S2108" s="549" t="s">
        <v>352</v>
      </c>
      <c r="T2108" s="549" t="s">
        <v>56</v>
      </c>
      <c r="U2108" s="549" t="s">
        <v>739</v>
      </c>
      <c r="V2108" s="554">
        <f>900</f>
        <v>900</v>
      </c>
      <c r="W2108" s="554">
        <f>669-653+884</f>
        <v>900</v>
      </c>
      <c r="X2108" s="555"/>
      <c r="Y2108" s="556">
        <f t="shared" si="768"/>
        <v>0</v>
      </c>
      <c r="Z2108" s="557">
        <f t="shared" si="769"/>
        <v>0</v>
      </c>
      <c r="AA2108" s="557">
        <f t="shared" si="743"/>
        <v>0</v>
      </c>
      <c r="AB2108" s="833">
        <v>1.2999999999999999E-2</v>
      </c>
      <c r="AC2108" s="554">
        <f t="shared" ref="AC2108:AC2116" si="775">Z2108*AB2108</f>
        <v>0</v>
      </c>
      <c r="AD2108" s="209"/>
      <c r="AE2108" s="210">
        <f t="shared" si="770"/>
        <v>0</v>
      </c>
      <c r="AF2108" s="210">
        <f t="shared" si="771"/>
        <v>0</v>
      </c>
      <c r="AG2108" s="211">
        <f t="shared" si="774"/>
        <v>0.14299999999999999</v>
      </c>
      <c r="AH2108" s="157">
        <f t="shared" si="772"/>
        <v>0</v>
      </c>
      <c r="AI2108" s="152">
        <f t="shared" si="773"/>
        <v>10800</v>
      </c>
      <c r="AK2108" s="156" t="s">
        <v>691</v>
      </c>
      <c r="AL2108" s="212" t="s">
        <v>690</v>
      </c>
      <c r="AM2108" s="198">
        <f t="shared" si="759"/>
        <v>0</v>
      </c>
      <c r="AN2108" s="199">
        <f t="shared" si="744"/>
        <v>45756</v>
      </c>
      <c r="AO2108" s="159" t="s">
        <v>692</v>
      </c>
      <c r="AP2108" s="783" t="s">
        <v>609</v>
      </c>
      <c r="AQ2108" s="782">
        <v>12071839</v>
      </c>
      <c r="AR2108" s="782">
        <v>12047514</v>
      </c>
      <c r="AS2108" s="782">
        <v>12047515</v>
      </c>
      <c r="AT2108" s="781"/>
      <c r="AU2108" s="781"/>
      <c r="AV2108" s="782">
        <v>12088316</v>
      </c>
      <c r="AW2108" s="781"/>
      <c r="AX2108" s="781"/>
      <c r="AY2108" s="782">
        <v>12089871</v>
      </c>
      <c r="AZ2108" s="782">
        <v>12089872</v>
      </c>
      <c r="BA2108" s="781"/>
      <c r="BB2108" s="209">
        <v>11042803</v>
      </c>
    </row>
    <row r="2109" spans="1:54" ht="24.65" hidden="1" customHeight="1">
      <c r="B2109" s="602">
        <v>45757</v>
      </c>
      <c r="C2109" s="603">
        <v>45766</v>
      </c>
      <c r="D2109" s="185">
        <f t="shared" si="741"/>
        <v>2025</v>
      </c>
      <c r="E2109" s="603" t="e">
        <f>VLOOKUP($B2109,Week!$A$1:$C$1462,2,0)</f>
        <v>#N/A</v>
      </c>
      <c r="F2109" s="605" t="str">
        <f t="shared" si="742"/>
        <v>Apr</v>
      </c>
      <c r="G2109" s="847" t="s">
        <v>2217</v>
      </c>
      <c r="H2109" s="604" t="s">
        <v>82</v>
      </c>
      <c r="I2109" s="604" t="s">
        <v>82</v>
      </c>
      <c r="J2109" s="606" t="s">
        <v>235</v>
      </c>
      <c r="K2109" s="607" t="s">
        <v>107</v>
      </c>
      <c r="L2109" s="300" t="s">
        <v>2167</v>
      </c>
      <c r="M2109" s="606" t="s">
        <v>654</v>
      </c>
      <c r="N2109" s="604" t="s">
        <v>753</v>
      </c>
      <c r="O2109" s="604" t="s">
        <v>110</v>
      </c>
      <c r="P2109" s="608">
        <v>36</v>
      </c>
      <c r="Q2109" s="608">
        <v>5</v>
      </c>
      <c r="R2109" s="609">
        <v>7.4999999999999997E-3</v>
      </c>
      <c r="S2109" s="604" t="s">
        <v>111</v>
      </c>
      <c r="T2109" s="604" t="s">
        <v>112</v>
      </c>
      <c r="U2109" s="604" t="s">
        <v>113</v>
      </c>
      <c r="V2109" s="610">
        <v>320</v>
      </c>
      <c r="W2109" s="610">
        <f>4+206</f>
        <v>210</v>
      </c>
      <c r="X2109" s="611">
        <f>(4411)/36</f>
        <v>122.52777777777777</v>
      </c>
      <c r="Y2109" s="612">
        <f t="shared" si="768"/>
        <v>12.527777777777771</v>
      </c>
      <c r="Z2109" s="613">
        <f t="shared" si="769"/>
        <v>0</v>
      </c>
      <c r="AA2109" s="613">
        <f t="shared" si="743"/>
        <v>0</v>
      </c>
      <c r="AB2109" s="836">
        <v>9.7000000000000003E-3</v>
      </c>
      <c r="AC2109" s="610">
        <f t="shared" si="775"/>
        <v>0</v>
      </c>
      <c r="AD2109" s="307" t="s">
        <v>1048</v>
      </c>
      <c r="AE2109" s="210">
        <f t="shared" si="770"/>
        <v>0</v>
      </c>
      <c r="AF2109" s="210">
        <f t="shared" si="771"/>
        <v>0</v>
      </c>
      <c r="AG2109" s="211">
        <f t="shared" si="774"/>
        <v>0.308</v>
      </c>
      <c r="AH2109" s="157">
        <f t="shared" si="772"/>
        <v>0</v>
      </c>
      <c r="AI2109" s="152">
        <f t="shared" si="773"/>
        <v>11520</v>
      </c>
      <c r="AK2109" s="156" t="s">
        <v>691</v>
      </c>
      <c r="AL2109" s="212" t="s">
        <v>690</v>
      </c>
      <c r="AM2109" s="198">
        <f t="shared" si="759"/>
        <v>0</v>
      </c>
      <c r="AN2109" s="199">
        <f t="shared" si="744"/>
        <v>45757</v>
      </c>
      <c r="AO2109" s="159" t="s">
        <v>692</v>
      </c>
      <c r="AP2109" s="783" t="s">
        <v>644</v>
      </c>
      <c r="AQ2109" s="782">
        <v>12063755</v>
      </c>
      <c r="AR2109" s="782">
        <v>12061353</v>
      </c>
      <c r="AS2109" s="782">
        <v>12061354</v>
      </c>
      <c r="AT2109" s="782">
        <v>12083204</v>
      </c>
      <c r="AU2109" s="781"/>
      <c r="AV2109" s="782">
        <v>12088305</v>
      </c>
      <c r="AW2109" s="782">
        <v>12088207</v>
      </c>
      <c r="AX2109" s="782"/>
      <c r="AY2109" s="782">
        <v>12083424</v>
      </c>
      <c r="AZ2109" s="782"/>
      <c r="BA2109" s="781"/>
      <c r="BB2109" s="209">
        <v>23054743</v>
      </c>
    </row>
    <row r="2110" spans="1:54" ht="24.65" hidden="1" customHeight="1">
      <c r="B2110" s="308">
        <v>45757</v>
      </c>
      <c r="C2110" s="309">
        <v>45771</v>
      </c>
      <c r="D2110" s="185">
        <f t="shared" si="741"/>
        <v>2025</v>
      </c>
      <c r="E2110" s="309" t="e">
        <f>VLOOKUP($B2110,Week!$A$1:$C$1462,2,0)</f>
        <v>#N/A</v>
      </c>
      <c r="F2110" s="310" t="str">
        <f t="shared" si="742"/>
        <v>Apr</v>
      </c>
      <c r="G2110" s="311" t="s">
        <v>2126</v>
      </c>
      <c r="H2110" s="311" t="s">
        <v>311</v>
      </c>
      <c r="I2110" s="311" t="s">
        <v>2772</v>
      </c>
      <c r="J2110" s="312" t="s">
        <v>738</v>
      </c>
      <c r="K2110" s="313" t="s">
        <v>107</v>
      </c>
      <c r="L2110" s="300" t="s">
        <v>2167</v>
      </c>
      <c r="M2110" s="312" t="s">
        <v>313</v>
      </c>
      <c r="N2110" s="311" t="s">
        <v>314</v>
      </c>
      <c r="O2110" s="311" t="s">
        <v>110</v>
      </c>
      <c r="P2110" s="314">
        <v>36</v>
      </c>
      <c r="Q2110" s="314">
        <v>5</v>
      </c>
      <c r="R2110" s="315">
        <v>7.4999999999999997E-3</v>
      </c>
      <c r="S2110" s="311" t="s">
        <v>111</v>
      </c>
      <c r="T2110" s="311" t="s">
        <v>112</v>
      </c>
      <c r="U2110" s="311" t="s">
        <v>57</v>
      </c>
      <c r="V2110" s="316">
        <v>792</v>
      </c>
      <c r="W2110" s="316">
        <f>792</f>
        <v>792</v>
      </c>
      <c r="X2110" s="317"/>
      <c r="Y2110" s="318">
        <f t="shared" si="768"/>
        <v>0</v>
      </c>
      <c r="Z2110" s="319">
        <f t="shared" si="769"/>
        <v>0</v>
      </c>
      <c r="AA2110" s="319">
        <f t="shared" si="743"/>
        <v>0</v>
      </c>
      <c r="AB2110" s="815">
        <v>7.4999999999999997E-3</v>
      </c>
      <c r="AC2110" s="316">
        <f t="shared" si="775"/>
        <v>0</v>
      </c>
      <c r="AD2110" s="515"/>
      <c r="AE2110" s="210">
        <f t="shared" si="770"/>
        <v>0</v>
      </c>
      <c r="AF2110" s="210">
        <f t="shared" si="771"/>
        <v>0</v>
      </c>
      <c r="AG2110" s="211">
        <f t="shared" si="774"/>
        <v>0.308</v>
      </c>
      <c r="AH2110" s="157">
        <f t="shared" si="772"/>
        <v>0</v>
      </c>
      <c r="AI2110" s="152">
        <f t="shared" si="773"/>
        <v>28512</v>
      </c>
      <c r="AK2110" s="156" t="s">
        <v>691</v>
      </c>
      <c r="AL2110" s="212" t="s">
        <v>690</v>
      </c>
      <c r="AM2110" s="198">
        <f t="shared" si="759"/>
        <v>0</v>
      </c>
      <c r="AN2110" s="199">
        <f t="shared" si="744"/>
        <v>45757</v>
      </c>
      <c r="AO2110" s="159" t="s">
        <v>692</v>
      </c>
      <c r="AP2110" s="783" t="s">
        <v>644</v>
      </c>
      <c r="AQ2110" s="782">
        <v>12063755</v>
      </c>
      <c r="AR2110" s="782">
        <v>12061353</v>
      </c>
      <c r="AS2110" s="782">
        <v>12061354</v>
      </c>
      <c r="AT2110" s="782">
        <v>12062266</v>
      </c>
      <c r="AU2110" s="781"/>
      <c r="AV2110" s="782">
        <v>12088159</v>
      </c>
      <c r="AW2110" s="782">
        <v>12088207</v>
      </c>
      <c r="AX2110" s="782"/>
      <c r="AY2110" s="782">
        <v>12062262</v>
      </c>
      <c r="AZ2110" s="782"/>
      <c r="BA2110" s="781"/>
      <c r="BB2110" s="209">
        <v>23053185</v>
      </c>
    </row>
    <row r="2111" spans="1:54" ht="24.65" hidden="1" customHeight="1">
      <c r="B2111" s="308">
        <v>45757</v>
      </c>
      <c r="C2111" s="309">
        <v>45785</v>
      </c>
      <c r="D2111" s="185">
        <f t="shared" si="741"/>
        <v>2025</v>
      </c>
      <c r="E2111" s="309" t="e">
        <f>VLOOKUP($B2111,Week!$A$1:$C$1462,2,0)</f>
        <v>#N/A</v>
      </c>
      <c r="F2111" s="310" t="str">
        <f t="shared" si="742"/>
        <v>Apr</v>
      </c>
      <c r="G2111" s="311" t="s">
        <v>2128</v>
      </c>
      <c r="H2111" s="311" t="s">
        <v>311</v>
      </c>
      <c r="I2111" s="311" t="s">
        <v>2772</v>
      </c>
      <c r="J2111" s="312" t="s">
        <v>738</v>
      </c>
      <c r="K2111" s="313" t="s">
        <v>107</v>
      </c>
      <c r="L2111" s="300" t="s">
        <v>2167</v>
      </c>
      <c r="M2111" s="312" t="s">
        <v>313</v>
      </c>
      <c r="N2111" s="311" t="s">
        <v>314</v>
      </c>
      <c r="O2111" s="311" t="s">
        <v>110</v>
      </c>
      <c r="P2111" s="314">
        <v>36</v>
      </c>
      <c r="Q2111" s="314">
        <v>5</v>
      </c>
      <c r="R2111" s="315">
        <v>7.4999999999999997E-3</v>
      </c>
      <c r="S2111" s="311" t="s">
        <v>111</v>
      </c>
      <c r="T2111" s="311" t="s">
        <v>112</v>
      </c>
      <c r="U2111" s="311" t="s">
        <v>57</v>
      </c>
      <c r="V2111" s="316">
        <v>792</v>
      </c>
      <c r="W2111" s="316">
        <v>792</v>
      </c>
      <c r="X2111" s="317"/>
      <c r="Y2111" s="318">
        <f t="shared" si="768"/>
        <v>0</v>
      </c>
      <c r="Z2111" s="319">
        <f t="shared" si="769"/>
        <v>0</v>
      </c>
      <c r="AA2111" s="319">
        <f t="shared" si="743"/>
        <v>0</v>
      </c>
      <c r="AB2111" s="815">
        <v>7.4999999999999997E-3</v>
      </c>
      <c r="AC2111" s="316">
        <f t="shared" si="775"/>
        <v>0</v>
      </c>
      <c r="AD2111" s="515"/>
      <c r="AE2111" s="210">
        <f t="shared" si="770"/>
        <v>0</v>
      </c>
      <c r="AF2111" s="210">
        <f t="shared" si="771"/>
        <v>0</v>
      </c>
      <c r="AG2111" s="211">
        <f t="shared" si="774"/>
        <v>0.308</v>
      </c>
      <c r="AH2111" s="157">
        <f t="shared" si="772"/>
        <v>0</v>
      </c>
      <c r="AI2111" s="152">
        <f t="shared" si="773"/>
        <v>28512</v>
      </c>
      <c r="AK2111" s="156" t="s">
        <v>691</v>
      </c>
      <c r="AL2111" s="212" t="s">
        <v>690</v>
      </c>
      <c r="AM2111" s="198">
        <f t="shared" si="759"/>
        <v>0</v>
      </c>
      <c r="AN2111" s="199">
        <f t="shared" si="744"/>
        <v>45757</v>
      </c>
      <c r="AO2111" s="159" t="s">
        <v>692</v>
      </c>
      <c r="AP2111" s="783" t="s">
        <v>644</v>
      </c>
      <c r="AQ2111" s="782">
        <v>12063755</v>
      </c>
      <c r="AR2111" s="782">
        <v>12061353</v>
      </c>
      <c r="AS2111" s="782">
        <v>12061354</v>
      </c>
      <c r="AT2111" s="782">
        <v>12062266</v>
      </c>
      <c r="AU2111" s="781"/>
      <c r="AV2111" s="782">
        <v>12088159</v>
      </c>
      <c r="AW2111" s="782">
        <v>12088207</v>
      </c>
      <c r="AX2111" s="782"/>
      <c r="AY2111" s="782">
        <v>12094237</v>
      </c>
      <c r="AZ2111" s="782"/>
      <c r="BA2111" s="781"/>
      <c r="BB2111" s="209">
        <v>23053185</v>
      </c>
    </row>
    <row r="2112" spans="1:54" ht="24.65" hidden="1" customHeight="1">
      <c r="B2112" s="308">
        <v>45757</v>
      </c>
      <c r="C2112" s="309">
        <v>45793</v>
      </c>
      <c r="D2112" s="185">
        <f t="shared" si="741"/>
        <v>2025</v>
      </c>
      <c r="E2112" s="309" t="e">
        <f>VLOOKUP($B2112,Week!$A$1:$C$1462,2,0)</f>
        <v>#N/A</v>
      </c>
      <c r="F2112" s="310" t="str">
        <f t="shared" si="742"/>
        <v>Apr</v>
      </c>
      <c r="G2112" s="311" t="s">
        <v>2127</v>
      </c>
      <c r="H2112" s="311" t="s">
        <v>311</v>
      </c>
      <c r="I2112" s="311" t="s">
        <v>2772</v>
      </c>
      <c r="J2112" s="312" t="s">
        <v>738</v>
      </c>
      <c r="K2112" s="313" t="s">
        <v>107</v>
      </c>
      <c r="L2112" s="300" t="s">
        <v>2167</v>
      </c>
      <c r="M2112" s="312" t="s">
        <v>313</v>
      </c>
      <c r="N2112" s="311" t="s">
        <v>314</v>
      </c>
      <c r="O2112" s="311" t="s">
        <v>110</v>
      </c>
      <c r="P2112" s="314">
        <v>36</v>
      </c>
      <c r="Q2112" s="314">
        <v>5</v>
      </c>
      <c r="R2112" s="315">
        <v>7.4999999999999997E-3</v>
      </c>
      <c r="S2112" s="311" t="s">
        <v>111</v>
      </c>
      <c r="T2112" s="311" t="s">
        <v>112</v>
      </c>
      <c r="U2112" s="311" t="s">
        <v>57</v>
      </c>
      <c r="V2112" s="316">
        <v>792</v>
      </c>
      <c r="W2112" s="316">
        <v>792</v>
      </c>
      <c r="X2112" s="317"/>
      <c r="Y2112" s="318">
        <f t="shared" si="768"/>
        <v>0</v>
      </c>
      <c r="Z2112" s="319">
        <f t="shared" si="769"/>
        <v>0</v>
      </c>
      <c r="AA2112" s="319">
        <f t="shared" si="743"/>
        <v>0</v>
      </c>
      <c r="AB2112" s="815">
        <v>7.4999999999999997E-3</v>
      </c>
      <c r="AC2112" s="316">
        <f>Z2112*AB2112</f>
        <v>0</v>
      </c>
      <c r="AD2112" s="515"/>
      <c r="AE2112" s="210">
        <f t="shared" si="770"/>
        <v>0</v>
      </c>
      <c r="AF2112" s="210">
        <f t="shared" si="771"/>
        <v>0</v>
      </c>
      <c r="AG2112" s="211">
        <f t="shared" si="774"/>
        <v>0.308</v>
      </c>
      <c r="AH2112" s="157">
        <f t="shared" si="772"/>
        <v>0</v>
      </c>
      <c r="AI2112" s="152">
        <f t="shared" si="773"/>
        <v>28512</v>
      </c>
      <c r="AK2112" s="156" t="s">
        <v>691</v>
      </c>
      <c r="AL2112" s="212" t="s">
        <v>690</v>
      </c>
      <c r="AM2112" s="198">
        <f t="shared" si="759"/>
        <v>0</v>
      </c>
      <c r="AN2112" s="199">
        <f t="shared" si="744"/>
        <v>45757</v>
      </c>
      <c r="AO2112" s="159" t="s">
        <v>692</v>
      </c>
      <c r="AP2112" s="783" t="s">
        <v>644</v>
      </c>
      <c r="AQ2112" s="782">
        <v>12063755</v>
      </c>
      <c r="AR2112" s="782">
        <v>12061353</v>
      </c>
      <c r="AS2112" s="782">
        <v>12061354</v>
      </c>
      <c r="AT2112" s="782">
        <v>12062266</v>
      </c>
      <c r="AU2112" s="781"/>
      <c r="AV2112" s="782">
        <v>12088159</v>
      </c>
      <c r="AW2112" s="782">
        <v>12088207</v>
      </c>
      <c r="AX2112" s="782"/>
      <c r="AY2112" s="782">
        <v>12062262</v>
      </c>
      <c r="AZ2112" s="782"/>
      <c r="BA2112" s="781"/>
      <c r="BB2112" s="209">
        <v>23053185</v>
      </c>
    </row>
    <row r="2113" spans="1:54" ht="24.65" hidden="1" customHeight="1">
      <c r="B2113" s="308">
        <v>45757</v>
      </c>
      <c r="C2113" s="309">
        <v>45799</v>
      </c>
      <c r="D2113" s="185">
        <f t="shared" si="741"/>
        <v>2025</v>
      </c>
      <c r="E2113" s="309" t="e">
        <f>VLOOKUP($B2113,Week!$A$1:$C$1462,2,0)</f>
        <v>#N/A</v>
      </c>
      <c r="F2113" s="310" t="str">
        <f t="shared" si="742"/>
        <v>Apr</v>
      </c>
      <c r="G2113" s="311" t="s">
        <v>2170</v>
      </c>
      <c r="H2113" s="311" t="s">
        <v>311</v>
      </c>
      <c r="I2113" s="311" t="s">
        <v>2772</v>
      </c>
      <c r="J2113" s="312" t="s">
        <v>738</v>
      </c>
      <c r="K2113" s="313" t="s">
        <v>107</v>
      </c>
      <c r="L2113" s="300" t="s">
        <v>2167</v>
      </c>
      <c r="M2113" s="312" t="s">
        <v>313</v>
      </c>
      <c r="N2113" s="311" t="s">
        <v>314</v>
      </c>
      <c r="O2113" s="311" t="s">
        <v>110</v>
      </c>
      <c r="P2113" s="314">
        <v>36</v>
      </c>
      <c r="Q2113" s="314">
        <v>5</v>
      </c>
      <c r="R2113" s="315">
        <v>7.4999999999999997E-3</v>
      </c>
      <c r="S2113" s="311" t="s">
        <v>111</v>
      </c>
      <c r="T2113" s="311" t="s">
        <v>112</v>
      </c>
      <c r="U2113" s="311" t="s">
        <v>57</v>
      </c>
      <c r="V2113" s="316">
        <v>792</v>
      </c>
      <c r="W2113" s="316">
        <f>3052-792-792-792</f>
        <v>676</v>
      </c>
      <c r="X2113" s="317">
        <f>(4176)/36</f>
        <v>116</v>
      </c>
      <c r="Y2113" s="318">
        <f t="shared" si="768"/>
        <v>0</v>
      </c>
      <c r="Z2113" s="319">
        <f t="shared" si="769"/>
        <v>0</v>
      </c>
      <c r="AA2113" s="319">
        <f t="shared" si="743"/>
        <v>0</v>
      </c>
      <c r="AB2113" s="815">
        <v>7.4999999999999997E-3</v>
      </c>
      <c r="AC2113" s="316">
        <f t="shared" si="775"/>
        <v>0</v>
      </c>
      <c r="AD2113" s="515"/>
      <c r="AE2113" s="210">
        <f t="shared" si="770"/>
        <v>0</v>
      </c>
      <c r="AF2113" s="210">
        <f t="shared" si="771"/>
        <v>0</v>
      </c>
      <c r="AG2113" s="211">
        <f t="shared" si="774"/>
        <v>0.308</v>
      </c>
      <c r="AH2113" s="157">
        <f t="shared" si="772"/>
        <v>0</v>
      </c>
      <c r="AI2113" s="152">
        <f t="shared" si="773"/>
        <v>28512</v>
      </c>
      <c r="AK2113" s="156" t="s">
        <v>691</v>
      </c>
      <c r="AL2113" s="212" t="s">
        <v>690</v>
      </c>
      <c r="AM2113" s="198">
        <f t="shared" si="759"/>
        <v>0</v>
      </c>
      <c r="AN2113" s="199">
        <f t="shared" si="744"/>
        <v>45757</v>
      </c>
      <c r="AO2113" s="159" t="s">
        <v>692</v>
      </c>
      <c r="AP2113" s="783" t="s">
        <v>644</v>
      </c>
      <c r="AQ2113" s="782">
        <v>12063755</v>
      </c>
      <c r="AR2113" s="782">
        <v>12061353</v>
      </c>
      <c r="AS2113" s="782">
        <v>12061354</v>
      </c>
      <c r="AT2113" s="782">
        <v>12062266</v>
      </c>
      <c r="AU2113" s="781"/>
      <c r="AV2113" s="782">
        <v>12088159</v>
      </c>
      <c r="AW2113" s="782">
        <v>12088207</v>
      </c>
      <c r="AX2113" s="782"/>
      <c r="AY2113" s="782">
        <v>12094237</v>
      </c>
      <c r="AZ2113" s="782"/>
      <c r="BA2113" s="781"/>
      <c r="BB2113" s="209">
        <v>23053185</v>
      </c>
    </row>
    <row r="2114" spans="1:54" ht="24.75" hidden="1" customHeight="1">
      <c r="B2114" s="320">
        <v>45757</v>
      </c>
      <c r="C2114" s="321">
        <v>45777</v>
      </c>
      <c r="D2114" s="185">
        <f t="shared" si="741"/>
        <v>2025</v>
      </c>
      <c r="E2114" s="321" t="e">
        <f>VLOOKUP($B2114,Week!$A$1:$C$1462,2,0)</f>
        <v>#N/A</v>
      </c>
      <c r="F2114" s="322" t="str">
        <f t="shared" si="742"/>
        <v>Apr</v>
      </c>
      <c r="G2114" s="323" t="s">
        <v>2137</v>
      </c>
      <c r="H2114" s="323" t="s">
        <v>311</v>
      </c>
      <c r="I2114" s="323" t="s">
        <v>2772</v>
      </c>
      <c r="J2114" s="324" t="s">
        <v>738</v>
      </c>
      <c r="K2114" s="325" t="s">
        <v>107</v>
      </c>
      <c r="L2114" s="300" t="s">
        <v>2167</v>
      </c>
      <c r="M2114" s="324" t="s">
        <v>313</v>
      </c>
      <c r="N2114" s="323" t="s">
        <v>591</v>
      </c>
      <c r="O2114" s="323" t="s">
        <v>592</v>
      </c>
      <c r="P2114" s="326">
        <v>8</v>
      </c>
      <c r="Q2114" s="326">
        <v>4</v>
      </c>
      <c r="R2114" s="327">
        <v>7.4999999999999997E-3</v>
      </c>
      <c r="S2114" s="323" t="s">
        <v>111</v>
      </c>
      <c r="T2114" s="323" t="s">
        <v>112</v>
      </c>
      <c r="U2114" s="323" t="s">
        <v>57</v>
      </c>
      <c r="V2114" s="328">
        <f>400</f>
        <v>400</v>
      </c>
      <c r="W2114" s="328"/>
      <c r="X2114" s="329">
        <f>(100+3408)/8</f>
        <v>438.5</v>
      </c>
      <c r="Y2114" s="330">
        <f t="shared" si="768"/>
        <v>38.5</v>
      </c>
      <c r="Z2114" s="331">
        <f t="shared" si="769"/>
        <v>0</v>
      </c>
      <c r="AA2114" s="331">
        <f t="shared" si="743"/>
        <v>0</v>
      </c>
      <c r="AB2114" s="816">
        <v>7.4999999999999997E-3</v>
      </c>
      <c r="AC2114" s="328">
        <f t="shared" si="775"/>
        <v>0</v>
      </c>
      <c r="AD2114" s="443"/>
      <c r="AE2114" s="210">
        <f t="shared" si="770"/>
        <v>0</v>
      </c>
      <c r="AF2114" s="210">
        <f t="shared" si="771"/>
        <v>0</v>
      </c>
      <c r="AG2114" s="211">
        <f t="shared" si="774"/>
        <v>0.30499999999999999</v>
      </c>
      <c r="AH2114" s="157">
        <f t="shared" si="772"/>
        <v>0</v>
      </c>
      <c r="AI2114" s="152">
        <f t="shared" si="773"/>
        <v>3200</v>
      </c>
      <c r="AK2114" s="156" t="s">
        <v>691</v>
      </c>
      <c r="AL2114" s="212" t="s">
        <v>690</v>
      </c>
      <c r="AM2114" s="198">
        <f t="shared" si="759"/>
        <v>0</v>
      </c>
      <c r="AN2114" s="199">
        <f t="shared" si="744"/>
        <v>45757</v>
      </c>
      <c r="AO2114" s="159" t="s">
        <v>692</v>
      </c>
      <c r="AP2114" s="783" t="s">
        <v>643</v>
      </c>
      <c r="AQ2114" s="782">
        <v>12063755</v>
      </c>
      <c r="AR2114" s="782">
        <v>12061353</v>
      </c>
      <c r="AS2114" s="782">
        <v>12061354</v>
      </c>
      <c r="AT2114" s="782">
        <v>12088679</v>
      </c>
      <c r="AU2114" s="781"/>
      <c r="AV2114" s="782">
        <v>12061557</v>
      </c>
      <c r="AW2114" s="782"/>
      <c r="AX2114" s="782"/>
      <c r="AY2114" s="782"/>
      <c r="AZ2114" s="782"/>
      <c r="BA2114" s="781"/>
      <c r="BB2114" s="209">
        <v>23053185</v>
      </c>
    </row>
    <row r="2115" spans="1:54" ht="24.75" hidden="1" customHeight="1">
      <c r="B2115" s="320">
        <v>45757</v>
      </c>
      <c r="C2115" s="321">
        <v>45792</v>
      </c>
      <c r="D2115" s="185">
        <f t="shared" si="741"/>
        <v>2025</v>
      </c>
      <c r="E2115" s="321" t="e">
        <f>VLOOKUP($B2115,Week!$A$1:$C$1462,2,0)</f>
        <v>#N/A</v>
      </c>
      <c r="F2115" s="322" t="str">
        <f t="shared" si="742"/>
        <v>Apr</v>
      </c>
      <c r="G2115" s="323" t="s">
        <v>2044</v>
      </c>
      <c r="H2115" s="323" t="s">
        <v>675</v>
      </c>
      <c r="I2115" s="323" t="s">
        <v>2772</v>
      </c>
      <c r="J2115" s="324" t="s">
        <v>709</v>
      </c>
      <c r="K2115" s="325" t="s">
        <v>107</v>
      </c>
      <c r="L2115" s="300" t="s">
        <v>2167</v>
      </c>
      <c r="M2115" s="324" t="s">
        <v>313</v>
      </c>
      <c r="N2115" s="596" t="s">
        <v>710</v>
      </c>
      <c r="O2115" s="323" t="s">
        <v>592</v>
      </c>
      <c r="P2115" s="326">
        <v>8</v>
      </c>
      <c r="Q2115" s="326">
        <v>4</v>
      </c>
      <c r="R2115" s="327">
        <v>7.4999999999999997E-3</v>
      </c>
      <c r="S2115" s="323" t="s">
        <v>111</v>
      </c>
      <c r="T2115" s="323" t="s">
        <v>112</v>
      </c>
      <c r="U2115" s="323" t="s">
        <v>57</v>
      </c>
      <c r="V2115" s="328">
        <f>710</f>
        <v>710</v>
      </c>
      <c r="W2115" s="328"/>
      <c r="X2115" s="329">
        <f>(262+5418)/8</f>
        <v>710</v>
      </c>
      <c r="Y2115" s="330">
        <f t="shared" si="768"/>
        <v>0</v>
      </c>
      <c r="Z2115" s="331">
        <f t="shared" si="769"/>
        <v>0</v>
      </c>
      <c r="AA2115" s="331">
        <f t="shared" si="743"/>
        <v>0</v>
      </c>
      <c r="AB2115" s="816">
        <v>7.4999999999999997E-3</v>
      </c>
      <c r="AC2115" s="328">
        <f t="shared" si="775"/>
        <v>0</v>
      </c>
      <c r="AD2115" s="443"/>
      <c r="AE2115" s="210">
        <f t="shared" si="770"/>
        <v>0</v>
      </c>
      <c r="AF2115" s="210">
        <f t="shared" si="771"/>
        <v>0</v>
      </c>
      <c r="AG2115" s="211">
        <f t="shared" si="774"/>
        <v>0.30499999999999999</v>
      </c>
      <c r="AH2115" s="157">
        <f t="shared" si="772"/>
        <v>0</v>
      </c>
      <c r="AI2115" s="152">
        <f t="shared" si="773"/>
        <v>5680</v>
      </c>
      <c r="AK2115" s="156" t="s">
        <v>691</v>
      </c>
      <c r="AL2115" s="212" t="s">
        <v>690</v>
      </c>
      <c r="AM2115" s="198">
        <f t="shared" si="759"/>
        <v>0</v>
      </c>
      <c r="AN2115" s="199">
        <f t="shared" si="744"/>
        <v>45757</v>
      </c>
      <c r="AO2115" s="159" t="s">
        <v>692</v>
      </c>
      <c r="AP2115" s="783" t="s">
        <v>643</v>
      </c>
      <c r="AQ2115" s="782">
        <v>12063755</v>
      </c>
      <c r="AR2115" s="782">
        <v>12061353</v>
      </c>
      <c r="AS2115" s="782">
        <v>12061354</v>
      </c>
      <c r="AT2115" s="782">
        <v>12089987</v>
      </c>
      <c r="AU2115" s="781"/>
      <c r="AV2115" s="782">
        <v>12089986</v>
      </c>
      <c r="AW2115" s="782"/>
      <c r="AX2115" s="782"/>
      <c r="AY2115" s="782"/>
      <c r="AZ2115" s="782"/>
      <c r="BA2115" s="781"/>
      <c r="BB2115" s="209">
        <v>23053185</v>
      </c>
    </row>
    <row r="2116" spans="1:54" ht="25" hidden="1" customHeight="1">
      <c r="B2116" s="308">
        <v>45757</v>
      </c>
      <c r="C2116" s="309">
        <v>45775</v>
      </c>
      <c r="D2116" s="185">
        <f t="shared" si="741"/>
        <v>2025</v>
      </c>
      <c r="E2116" s="309" t="e">
        <f>VLOOKUP($B2116,Week!$A$1:$C$1462,2,0)</f>
        <v>#N/A</v>
      </c>
      <c r="F2116" s="310" t="str">
        <f t="shared" si="742"/>
        <v>Apr</v>
      </c>
      <c r="G2116" s="311" t="s">
        <v>2169</v>
      </c>
      <c r="H2116" s="311" t="s">
        <v>431</v>
      </c>
      <c r="I2116" s="311" t="s">
        <v>2772</v>
      </c>
      <c r="J2116" s="312" t="s">
        <v>432</v>
      </c>
      <c r="K2116" s="313" t="s">
        <v>107</v>
      </c>
      <c r="L2116" s="300" t="s">
        <v>2167</v>
      </c>
      <c r="M2116" s="312" t="s">
        <v>136</v>
      </c>
      <c r="N2116" s="311" t="s">
        <v>542</v>
      </c>
      <c r="O2116" s="311" t="s">
        <v>543</v>
      </c>
      <c r="P2116" s="314">
        <v>8</v>
      </c>
      <c r="Q2116" s="314">
        <v>3</v>
      </c>
      <c r="R2116" s="315">
        <v>7.4999999999999997E-3</v>
      </c>
      <c r="S2116" s="311" t="s">
        <v>111</v>
      </c>
      <c r="T2116" s="311" t="s">
        <v>112</v>
      </c>
      <c r="U2116" s="311" t="s">
        <v>57</v>
      </c>
      <c r="V2116" s="316">
        <f>720</f>
        <v>720</v>
      </c>
      <c r="W2116" s="316"/>
      <c r="X2116" s="317">
        <f>(211+6757)/8</f>
        <v>871</v>
      </c>
      <c r="Y2116" s="318">
        <f t="shared" si="768"/>
        <v>151</v>
      </c>
      <c r="Z2116" s="319">
        <f t="shared" si="769"/>
        <v>0</v>
      </c>
      <c r="AA2116" s="319">
        <f t="shared" si="743"/>
        <v>0</v>
      </c>
      <c r="AB2116" s="815">
        <v>7.4999999999999997E-3</v>
      </c>
      <c r="AC2116" s="316">
        <f t="shared" si="775"/>
        <v>0</v>
      </c>
      <c r="AD2116" s="209"/>
      <c r="AE2116" s="210">
        <f t="shared" si="770"/>
        <v>0</v>
      </c>
      <c r="AF2116" s="210">
        <f t="shared" si="771"/>
        <v>0</v>
      </c>
      <c r="AG2116" s="211">
        <f t="shared" si="774"/>
        <v>0.309</v>
      </c>
      <c r="AH2116" s="157">
        <f t="shared" si="772"/>
        <v>0</v>
      </c>
      <c r="AI2116" s="152">
        <f t="shared" si="773"/>
        <v>5760</v>
      </c>
      <c r="AK2116" s="156" t="s">
        <v>691</v>
      </c>
      <c r="AL2116" s="212" t="s">
        <v>690</v>
      </c>
      <c r="AM2116" s="198">
        <f t="shared" si="759"/>
        <v>0</v>
      </c>
      <c r="AN2116" s="199">
        <f t="shared" si="744"/>
        <v>45757</v>
      </c>
      <c r="AO2116" s="159" t="s">
        <v>692</v>
      </c>
      <c r="AP2116" s="781"/>
      <c r="AQ2116" s="782">
        <v>12063755</v>
      </c>
      <c r="AR2116" s="782">
        <v>12061353</v>
      </c>
      <c r="AS2116" s="782">
        <v>12061354</v>
      </c>
      <c r="AT2116" s="782">
        <v>12083615</v>
      </c>
      <c r="AU2116" s="781"/>
      <c r="AV2116" s="782">
        <v>12062186</v>
      </c>
      <c r="AW2116" s="782"/>
      <c r="AX2116" s="782"/>
      <c r="AY2116" s="782"/>
      <c r="AZ2116" s="782"/>
      <c r="BA2116" s="781"/>
    </row>
    <row r="2117" spans="1:54" ht="25" hidden="1" customHeight="1">
      <c r="A2117" s="623"/>
      <c r="B2117" s="332">
        <v>45757</v>
      </c>
      <c r="C2117" s="333">
        <v>45777</v>
      </c>
      <c r="D2117" s="185">
        <f t="shared" ref="D2117:D2180" si="776">IF(B2117="","",YEAR(B2117))</f>
        <v>2025</v>
      </c>
      <c r="E2117" s="333" t="e">
        <f>VLOOKUP($B2117,Week!$A$1:$C$1462,2,0)</f>
        <v>#N/A</v>
      </c>
      <c r="F2117" s="334" t="str">
        <f t="shared" ref="F2117:F2180" si="777">IF(B2117="","",TEXT(B2117,"[$-409]mmm"))</f>
        <v>Apr</v>
      </c>
      <c r="G2117" s="335" t="s">
        <v>2137</v>
      </c>
      <c r="H2117" s="335" t="s">
        <v>311</v>
      </c>
      <c r="I2117" s="335" t="s">
        <v>2772</v>
      </c>
      <c r="J2117" s="336" t="s">
        <v>738</v>
      </c>
      <c r="K2117" s="337" t="s">
        <v>1652</v>
      </c>
      <c r="L2117" s="300" t="s">
        <v>2167</v>
      </c>
      <c r="M2117" s="336" t="s">
        <v>682</v>
      </c>
      <c r="N2117" s="335" t="s">
        <v>693</v>
      </c>
      <c r="O2117" s="335" t="s">
        <v>602</v>
      </c>
      <c r="P2117" s="338">
        <v>8</v>
      </c>
      <c r="Q2117" s="338">
        <v>3</v>
      </c>
      <c r="R2117" s="339">
        <v>6.0000000000000001E-3</v>
      </c>
      <c r="S2117" s="335" t="s">
        <v>55</v>
      </c>
      <c r="T2117" s="335" t="s">
        <v>112</v>
      </c>
      <c r="U2117" s="340" t="s">
        <v>724</v>
      </c>
      <c r="V2117" s="341">
        <f>240</f>
        <v>240</v>
      </c>
      <c r="W2117" s="341"/>
      <c r="X2117" s="342">
        <f>2088/8</f>
        <v>261</v>
      </c>
      <c r="Y2117" s="343">
        <f t="shared" si="768"/>
        <v>21</v>
      </c>
      <c r="Z2117" s="344">
        <f t="shared" si="769"/>
        <v>0</v>
      </c>
      <c r="AA2117" s="344">
        <f t="shared" ref="AA2117:AA2180" si="778">Q2117*Z2117</f>
        <v>0</v>
      </c>
      <c r="AB2117" s="817">
        <v>5.8823E-2</v>
      </c>
      <c r="AC2117" s="341">
        <f>Z2117*AB2117</f>
        <v>0</v>
      </c>
      <c r="AD2117" s="443"/>
      <c r="AE2117" s="210">
        <f t="shared" si="770"/>
        <v>0</v>
      </c>
      <c r="AF2117" s="210">
        <f t="shared" si="771"/>
        <v>0</v>
      </c>
      <c r="AG2117" s="211">
        <f t="shared" si="774"/>
        <v>0.30199999999999999</v>
      </c>
      <c r="AH2117" s="157">
        <v>0.26621999999999996</v>
      </c>
      <c r="AI2117" s="152">
        <f t="shared" si="773"/>
        <v>1920</v>
      </c>
      <c r="AK2117" s="156" t="s">
        <v>691</v>
      </c>
      <c r="AL2117" s="574" t="s">
        <v>690</v>
      </c>
      <c r="AM2117" s="198">
        <f t="shared" si="759"/>
        <v>0</v>
      </c>
      <c r="AN2117" s="199">
        <f t="shared" ref="AN2117:AN2172" si="779">B2117</f>
        <v>45757</v>
      </c>
      <c r="AO2117" s="159" t="s">
        <v>692</v>
      </c>
      <c r="AP2117" s="781" t="s">
        <v>642</v>
      </c>
      <c r="AQ2117" s="782">
        <v>12063755</v>
      </c>
      <c r="AR2117" s="782">
        <v>12061353</v>
      </c>
      <c r="AS2117" s="782">
        <v>12061354</v>
      </c>
      <c r="AT2117" s="782">
        <v>12087120</v>
      </c>
      <c r="AU2117" s="781"/>
      <c r="AV2117" s="782">
        <v>12087118</v>
      </c>
      <c r="AW2117" s="781"/>
      <c r="AX2117" s="781"/>
      <c r="AY2117" s="781"/>
      <c r="AZ2117" s="782"/>
      <c r="BA2117" s="781"/>
      <c r="BB2117" s="209">
        <v>23099860</v>
      </c>
    </row>
    <row r="2118" spans="1:54" ht="25" hidden="1" customHeight="1">
      <c r="B2118" s="332">
        <v>45757</v>
      </c>
      <c r="C2118" s="333">
        <v>45792</v>
      </c>
      <c r="D2118" s="185">
        <f t="shared" si="776"/>
        <v>2025</v>
      </c>
      <c r="E2118" s="333" t="e">
        <f>VLOOKUP($B2118,Week!$A$1:$C$1462,2,0)</f>
        <v>#N/A</v>
      </c>
      <c r="F2118" s="334" t="str">
        <f t="shared" si="777"/>
        <v>Apr</v>
      </c>
      <c r="G2118" s="335" t="s">
        <v>2044</v>
      </c>
      <c r="H2118" s="335" t="s">
        <v>675</v>
      </c>
      <c r="I2118" s="335" t="s">
        <v>2772</v>
      </c>
      <c r="J2118" s="336" t="s">
        <v>709</v>
      </c>
      <c r="K2118" s="337" t="s">
        <v>1652</v>
      </c>
      <c r="L2118" s="300" t="s">
        <v>2167</v>
      </c>
      <c r="M2118" s="336" t="s">
        <v>682</v>
      </c>
      <c r="N2118" s="530" t="s">
        <v>712</v>
      </c>
      <c r="O2118" s="335" t="s">
        <v>602</v>
      </c>
      <c r="P2118" s="338">
        <v>8</v>
      </c>
      <c r="Q2118" s="338">
        <v>3</v>
      </c>
      <c r="R2118" s="339">
        <v>6.0000000000000001E-3</v>
      </c>
      <c r="S2118" s="335" t="s">
        <v>55</v>
      </c>
      <c r="T2118" s="335" t="s">
        <v>112</v>
      </c>
      <c r="U2118" s="340" t="s">
        <v>724</v>
      </c>
      <c r="V2118" s="341">
        <f>270</f>
        <v>270</v>
      </c>
      <c r="W2118" s="341"/>
      <c r="X2118" s="342">
        <f>(238+1922)/8</f>
        <v>270</v>
      </c>
      <c r="Y2118" s="343">
        <f t="shared" si="768"/>
        <v>0</v>
      </c>
      <c r="Z2118" s="344">
        <f t="shared" si="769"/>
        <v>0</v>
      </c>
      <c r="AA2118" s="344">
        <f t="shared" si="778"/>
        <v>0</v>
      </c>
      <c r="AB2118" s="817">
        <v>5.8823E-2</v>
      </c>
      <c r="AC2118" s="341">
        <f>Z2118*AB2118</f>
        <v>0</v>
      </c>
      <c r="AD2118" s="443"/>
      <c r="AE2118" s="210">
        <f t="shared" si="770"/>
        <v>0</v>
      </c>
      <c r="AF2118" s="210">
        <f t="shared" si="771"/>
        <v>0</v>
      </c>
      <c r="AG2118" s="211">
        <f t="shared" si="774"/>
        <v>0.30199999999999999</v>
      </c>
      <c r="AH2118" s="157">
        <v>0.26621999999999996</v>
      </c>
      <c r="AI2118" s="152">
        <f t="shared" si="773"/>
        <v>2160</v>
      </c>
      <c r="AK2118" s="156" t="s">
        <v>691</v>
      </c>
      <c r="AL2118" s="574" t="s">
        <v>690</v>
      </c>
      <c r="AM2118" s="198">
        <f t="shared" si="759"/>
        <v>0</v>
      </c>
      <c r="AN2118" s="199">
        <f t="shared" si="779"/>
        <v>45757</v>
      </c>
      <c r="AO2118" s="159" t="s">
        <v>692</v>
      </c>
      <c r="AP2118" s="781" t="s">
        <v>642</v>
      </c>
      <c r="AQ2118" s="782">
        <v>12063755</v>
      </c>
      <c r="AR2118" s="782">
        <v>12061353</v>
      </c>
      <c r="AS2118" s="782">
        <v>12061354</v>
      </c>
      <c r="AT2118" s="782">
        <v>12090030</v>
      </c>
      <c r="AU2118" s="781"/>
      <c r="AV2118" s="782">
        <v>12089992</v>
      </c>
      <c r="AW2118" s="781"/>
      <c r="AX2118" s="781"/>
      <c r="AY2118" s="781"/>
      <c r="AZ2118" s="782"/>
      <c r="BA2118" s="781"/>
      <c r="BB2118" s="209">
        <v>23099860</v>
      </c>
    </row>
    <row r="2119" spans="1:54" ht="25" hidden="1" customHeight="1">
      <c r="A2119" s="754" t="s">
        <v>438</v>
      </c>
      <c r="B2119" s="332">
        <v>45758</v>
      </c>
      <c r="C2119" s="333">
        <v>45777</v>
      </c>
      <c r="D2119" s="185">
        <f t="shared" si="776"/>
        <v>2025</v>
      </c>
      <c r="E2119" s="335" t="e">
        <f>VLOOKUP($B2119,Week!$A$1:$C$1462,2,0)</f>
        <v>#N/A</v>
      </c>
      <c r="F2119" s="334" t="str">
        <f t="shared" si="777"/>
        <v>Apr</v>
      </c>
      <c r="G2119" s="335" t="s">
        <v>2137</v>
      </c>
      <c r="H2119" s="335" t="s">
        <v>311</v>
      </c>
      <c r="I2119" s="335" t="s">
        <v>2772</v>
      </c>
      <c r="J2119" s="336" t="s">
        <v>738</v>
      </c>
      <c r="K2119" s="337" t="s">
        <v>671</v>
      </c>
      <c r="L2119" s="300" t="s">
        <v>2167</v>
      </c>
      <c r="M2119" s="336" t="s">
        <v>661</v>
      </c>
      <c r="N2119" s="335" t="s">
        <v>666</v>
      </c>
      <c r="O2119" s="335" t="s">
        <v>566</v>
      </c>
      <c r="P2119" s="338">
        <v>16</v>
      </c>
      <c r="Q2119" s="338">
        <v>6</v>
      </c>
      <c r="R2119" s="339">
        <v>6.0000000000000001E-3</v>
      </c>
      <c r="S2119" s="335" t="s">
        <v>55</v>
      </c>
      <c r="T2119" s="335" t="s">
        <v>112</v>
      </c>
      <c r="U2119" s="335" t="s">
        <v>662</v>
      </c>
      <c r="V2119" s="341">
        <f>300</f>
        <v>300</v>
      </c>
      <c r="W2119" s="341">
        <f>3+221+76</f>
        <v>300</v>
      </c>
      <c r="X2119" s="342"/>
      <c r="Y2119" s="343">
        <f t="shared" ref="Y2119:Y2126" si="780">(W2119+X2119)-V2119</f>
        <v>0</v>
      </c>
      <c r="Z2119" s="344">
        <f t="shared" si="769"/>
        <v>0</v>
      </c>
      <c r="AA2119" s="344">
        <f t="shared" si="778"/>
        <v>0</v>
      </c>
      <c r="AB2119" s="817">
        <v>1</v>
      </c>
      <c r="AC2119" s="341">
        <f t="shared" ref="AC2119:AC2126" si="781">Z2119*AB2119</f>
        <v>0</v>
      </c>
      <c r="AD2119" s="336" t="s">
        <v>2295</v>
      </c>
      <c r="AE2119" s="533">
        <f t="shared" si="770"/>
        <v>0</v>
      </c>
      <c r="AF2119" s="533">
        <f t="shared" si="771"/>
        <v>0</v>
      </c>
      <c r="AG2119" s="211">
        <f t="shared" si="774"/>
        <v>0.11700000000000001</v>
      </c>
      <c r="AH2119" s="157">
        <f t="shared" ref="AH2119:AH2124" si="782">(Z2119*AG2119)/1000</f>
        <v>0</v>
      </c>
      <c r="AI2119" s="152">
        <f t="shared" si="773"/>
        <v>4800</v>
      </c>
      <c r="AK2119" s="156" t="s">
        <v>691</v>
      </c>
      <c r="AL2119" s="212" t="s">
        <v>690</v>
      </c>
      <c r="AM2119" s="198">
        <f t="shared" ref="AM2119:AM2126" si="783">AG2119*Z2119</f>
        <v>0</v>
      </c>
      <c r="AN2119" s="199">
        <f t="shared" si="779"/>
        <v>45758</v>
      </c>
      <c r="AO2119" s="159" t="s">
        <v>692</v>
      </c>
      <c r="AP2119" s="781"/>
      <c r="AQ2119" s="782"/>
      <c r="AR2119" s="782" t="s">
        <v>2144</v>
      </c>
      <c r="AS2119" s="782"/>
      <c r="AT2119" s="782">
        <v>12085802</v>
      </c>
      <c r="AU2119" s="781"/>
      <c r="AV2119" s="782">
        <v>12085309</v>
      </c>
      <c r="AW2119" s="782"/>
      <c r="AX2119" s="798" t="s">
        <v>2145</v>
      </c>
      <c r="AY2119" s="798"/>
      <c r="AZ2119" s="782"/>
      <c r="BA2119" s="781"/>
      <c r="BB2119" s="209">
        <v>23094763</v>
      </c>
    </row>
    <row r="2120" spans="1:54" ht="25" hidden="1" customHeight="1">
      <c r="A2120" s="754" t="s">
        <v>438</v>
      </c>
      <c r="B2120" s="332">
        <v>45758</v>
      </c>
      <c r="C2120" s="333">
        <v>45792</v>
      </c>
      <c r="D2120" s="185">
        <f t="shared" si="776"/>
        <v>2025</v>
      </c>
      <c r="E2120" s="335" t="e">
        <f>VLOOKUP($B2120,Week!$A$1:$C$1462,2,0)</f>
        <v>#N/A</v>
      </c>
      <c r="F2120" s="334" t="str">
        <f t="shared" si="777"/>
        <v>Apr</v>
      </c>
      <c r="G2120" s="530" t="s">
        <v>2044</v>
      </c>
      <c r="H2120" s="335" t="s">
        <v>675</v>
      </c>
      <c r="I2120" s="335" t="s">
        <v>2772</v>
      </c>
      <c r="J2120" s="336" t="s">
        <v>709</v>
      </c>
      <c r="K2120" s="337" t="s">
        <v>671</v>
      </c>
      <c r="L2120" s="300" t="s">
        <v>2167</v>
      </c>
      <c r="M2120" s="336" t="s">
        <v>661</v>
      </c>
      <c r="N2120" s="335" t="s">
        <v>714</v>
      </c>
      <c r="O2120" s="335" t="s">
        <v>566</v>
      </c>
      <c r="P2120" s="338">
        <v>16</v>
      </c>
      <c r="Q2120" s="338">
        <v>6</v>
      </c>
      <c r="R2120" s="339">
        <v>6.0000000000000001E-3</v>
      </c>
      <c r="S2120" s="335" t="s">
        <v>55</v>
      </c>
      <c r="T2120" s="335" t="s">
        <v>112</v>
      </c>
      <c r="U2120" s="335" t="s">
        <v>662</v>
      </c>
      <c r="V2120" s="341">
        <f>144</f>
        <v>144</v>
      </c>
      <c r="W2120" s="341">
        <f>17+127</f>
        <v>144</v>
      </c>
      <c r="X2120" s="342"/>
      <c r="Y2120" s="343">
        <f t="shared" si="780"/>
        <v>0</v>
      </c>
      <c r="Z2120" s="344">
        <f t="shared" si="769"/>
        <v>0</v>
      </c>
      <c r="AA2120" s="344">
        <f t="shared" si="778"/>
        <v>0</v>
      </c>
      <c r="AB2120" s="817">
        <v>1</v>
      </c>
      <c r="AC2120" s="341">
        <f t="shared" si="781"/>
        <v>0</v>
      </c>
      <c r="AD2120" s="336" t="s">
        <v>2295</v>
      </c>
      <c r="AE2120" s="533">
        <f t="shared" si="770"/>
        <v>0</v>
      </c>
      <c r="AF2120" s="533">
        <f t="shared" ref="AF2120:AF2126" si="784">AE2120/0.54</f>
        <v>0</v>
      </c>
      <c r="AG2120" s="211">
        <f t="shared" si="774"/>
        <v>0.11700000000000001</v>
      </c>
      <c r="AH2120" s="157">
        <f t="shared" si="782"/>
        <v>0</v>
      </c>
      <c r="AI2120" s="152">
        <f t="shared" si="773"/>
        <v>2304</v>
      </c>
      <c r="AK2120" s="156" t="s">
        <v>691</v>
      </c>
      <c r="AL2120" s="212" t="s">
        <v>690</v>
      </c>
      <c r="AM2120" s="198">
        <f t="shared" si="783"/>
        <v>0</v>
      </c>
      <c r="AN2120" s="199">
        <f t="shared" si="779"/>
        <v>45758</v>
      </c>
      <c r="AO2120" s="159" t="s">
        <v>692</v>
      </c>
      <c r="AP2120" s="797"/>
      <c r="AQ2120" s="798"/>
      <c r="AR2120" s="798" t="s">
        <v>2144</v>
      </c>
      <c r="AS2120" s="798"/>
      <c r="AT2120" s="782">
        <v>12090031</v>
      </c>
      <c r="AU2120" s="799"/>
      <c r="AV2120" s="782">
        <v>12090032</v>
      </c>
      <c r="AW2120" s="798"/>
      <c r="AX2120" s="798" t="s">
        <v>2145</v>
      </c>
      <c r="AY2120" s="798"/>
      <c r="AZ2120" s="798"/>
      <c r="BA2120" s="799"/>
      <c r="BB2120" s="209">
        <v>23094763</v>
      </c>
    </row>
    <row r="2121" spans="1:54" ht="25" hidden="1" customHeight="1">
      <c r="B2121" s="357">
        <v>45758</v>
      </c>
      <c r="C2121" s="358">
        <v>45777</v>
      </c>
      <c r="D2121" s="185">
        <f t="shared" si="776"/>
        <v>2025</v>
      </c>
      <c r="E2121" s="358" t="e">
        <f>VLOOKUP($B2121,Week!$A$1:$C$1462,2,0)</f>
        <v>#N/A</v>
      </c>
      <c r="F2121" s="360" t="str">
        <f t="shared" si="777"/>
        <v>Apr</v>
      </c>
      <c r="G2121" s="436" t="s">
        <v>2138</v>
      </c>
      <c r="H2121" s="359" t="s">
        <v>225</v>
      </c>
      <c r="I2121" s="359" t="s">
        <v>2773</v>
      </c>
      <c r="J2121" s="361" t="s">
        <v>650</v>
      </c>
      <c r="K2121" s="362" t="s">
        <v>593</v>
      </c>
      <c r="L2121" s="300" t="s">
        <v>2167</v>
      </c>
      <c r="M2121" s="361" t="s">
        <v>717</v>
      </c>
      <c r="N2121" s="359" t="s">
        <v>719</v>
      </c>
      <c r="O2121" s="359" t="s">
        <v>230</v>
      </c>
      <c r="P2121" s="363">
        <v>12</v>
      </c>
      <c r="Q2121" s="363">
        <v>5</v>
      </c>
      <c r="R2121" s="364">
        <v>6.0000000000000001E-3</v>
      </c>
      <c r="S2121" s="359" t="s">
        <v>55</v>
      </c>
      <c r="T2121" s="359" t="s">
        <v>112</v>
      </c>
      <c r="U2121" s="359" t="s">
        <v>57</v>
      </c>
      <c r="V2121" s="365">
        <v>2600</v>
      </c>
      <c r="W2121" s="365"/>
      <c r="X2121" s="366">
        <f>(1787+29413)/12</f>
        <v>2600</v>
      </c>
      <c r="Y2121" s="367">
        <f>(W2121+X2121)-V2121</f>
        <v>0</v>
      </c>
      <c r="Z2121" s="368">
        <f t="shared" si="769"/>
        <v>0</v>
      </c>
      <c r="AA2121" s="368">
        <f t="shared" si="778"/>
        <v>0</v>
      </c>
      <c r="AB2121" s="819">
        <v>7.4999999999999997E-3</v>
      </c>
      <c r="AC2121" s="365">
        <f>Z2121*AB2121</f>
        <v>0</v>
      </c>
      <c r="AD2121" s="307" t="s">
        <v>1622</v>
      </c>
      <c r="AE2121" s="210">
        <f t="shared" si="770"/>
        <v>0</v>
      </c>
      <c r="AF2121" s="210">
        <f>AE2121/0.54</f>
        <v>0</v>
      </c>
      <c r="AG2121" s="211">
        <f t="shared" si="774"/>
        <v>0.25800000000000001</v>
      </c>
      <c r="AH2121" s="157">
        <f>(Z2121*AG2121)/1000</f>
        <v>0</v>
      </c>
      <c r="AI2121" s="152">
        <f t="shared" si="773"/>
        <v>31200</v>
      </c>
      <c r="AK2121" s="156" t="s">
        <v>691</v>
      </c>
      <c r="AL2121" s="574" t="s">
        <v>690</v>
      </c>
      <c r="AM2121" s="198">
        <f>AG2121*Z2121</f>
        <v>0</v>
      </c>
      <c r="AN2121" s="199">
        <f t="shared" si="779"/>
        <v>45758</v>
      </c>
      <c r="AO2121" s="159" t="s">
        <v>692</v>
      </c>
      <c r="AP2121" s="783" t="s">
        <v>612</v>
      </c>
      <c r="AQ2121" s="782">
        <v>12071839</v>
      </c>
      <c r="AR2121" s="782">
        <v>12042650</v>
      </c>
      <c r="AS2121" s="782">
        <v>12042649</v>
      </c>
      <c r="AT2121" s="782">
        <v>12088423</v>
      </c>
      <c r="AU2121" s="781"/>
      <c r="AV2121" s="782">
        <v>12088422</v>
      </c>
      <c r="AW2121" s="782"/>
      <c r="AX2121" s="782"/>
      <c r="AY2121" s="782"/>
      <c r="AZ2121" s="782"/>
      <c r="BA2121" s="781"/>
      <c r="BB2121" s="209">
        <v>23053185</v>
      </c>
    </row>
    <row r="2122" spans="1:54" ht="25" hidden="1" customHeight="1">
      <c r="B2122" s="357">
        <v>45758</v>
      </c>
      <c r="C2122" s="358">
        <v>45791</v>
      </c>
      <c r="D2122" s="185">
        <f t="shared" si="776"/>
        <v>2025</v>
      </c>
      <c r="E2122" s="358" t="e">
        <f>VLOOKUP($B2122,Week!$A$1:$C$1462,2,0)</f>
        <v>#N/A</v>
      </c>
      <c r="F2122" s="360" t="str">
        <f t="shared" si="777"/>
        <v>Apr</v>
      </c>
      <c r="G2122" s="436" t="s">
        <v>2288</v>
      </c>
      <c r="H2122" s="359" t="s">
        <v>225</v>
      </c>
      <c r="I2122" s="359" t="s">
        <v>2773</v>
      </c>
      <c r="J2122" s="361" t="s">
        <v>650</v>
      </c>
      <c r="K2122" s="362" t="s">
        <v>593</v>
      </c>
      <c r="L2122" s="300" t="s">
        <v>2167</v>
      </c>
      <c r="M2122" s="361" t="s">
        <v>717</v>
      </c>
      <c r="N2122" s="359" t="s">
        <v>719</v>
      </c>
      <c r="O2122" s="359" t="s">
        <v>230</v>
      </c>
      <c r="P2122" s="363">
        <v>12</v>
      </c>
      <c r="Q2122" s="363">
        <v>5</v>
      </c>
      <c r="R2122" s="364">
        <v>6.0000000000000001E-3</v>
      </c>
      <c r="S2122" s="359" t="s">
        <v>55</v>
      </c>
      <c r="T2122" s="359" t="s">
        <v>112</v>
      </c>
      <c r="U2122" s="359" t="s">
        <v>57</v>
      </c>
      <c r="V2122" s="365">
        <v>2600</v>
      </c>
      <c r="W2122" s="365"/>
      <c r="X2122" s="366">
        <f>31200/12</f>
        <v>2600</v>
      </c>
      <c r="Y2122" s="367">
        <f>(W2122+X2122)-V2122</f>
        <v>0</v>
      </c>
      <c r="Z2122" s="368">
        <f t="shared" si="769"/>
        <v>0</v>
      </c>
      <c r="AA2122" s="368">
        <f t="shared" si="778"/>
        <v>0</v>
      </c>
      <c r="AB2122" s="819">
        <v>7.4999999999999997E-3</v>
      </c>
      <c r="AC2122" s="365">
        <f>Z2122*AB2122</f>
        <v>0</v>
      </c>
      <c r="AD2122" s="307" t="s">
        <v>1622</v>
      </c>
      <c r="AE2122" s="210">
        <f t="shared" si="770"/>
        <v>0</v>
      </c>
      <c r="AF2122" s="210">
        <f>AE2122/0.54</f>
        <v>0</v>
      </c>
      <c r="AG2122" s="211">
        <f t="shared" si="774"/>
        <v>0.25800000000000001</v>
      </c>
      <c r="AH2122" s="157">
        <f>(Z2122*AG2122)/1000</f>
        <v>0</v>
      </c>
      <c r="AI2122" s="152">
        <f t="shared" si="773"/>
        <v>31200</v>
      </c>
      <c r="AK2122" s="156" t="s">
        <v>691</v>
      </c>
      <c r="AL2122" s="574" t="s">
        <v>690</v>
      </c>
      <c r="AM2122" s="198">
        <f>AG2122*Z2122</f>
        <v>0</v>
      </c>
      <c r="AN2122" s="199">
        <f t="shared" si="779"/>
        <v>45758</v>
      </c>
      <c r="AO2122" s="159" t="s">
        <v>692</v>
      </c>
      <c r="AP2122" s="783" t="s">
        <v>612</v>
      </c>
      <c r="AQ2122" s="782">
        <v>12071839</v>
      </c>
      <c r="AR2122" s="782">
        <v>12042650</v>
      </c>
      <c r="AS2122" s="782">
        <v>12042649</v>
      </c>
      <c r="AT2122" s="782">
        <v>12088423</v>
      </c>
      <c r="AU2122" s="781"/>
      <c r="AV2122" s="782">
        <v>12088422</v>
      </c>
      <c r="AW2122" s="782"/>
      <c r="AX2122" s="782"/>
      <c r="AY2122" s="782"/>
      <c r="AZ2122" s="782"/>
      <c r="BA2122" s="781"/>
      <c r="BB2122" s="209">
        <v>23053185</v>
      </c>
    </row>
    <row r="2123" spans="1:54" ht="24.65" hidden="1" customHeight="1">
      <c r="B2123" s="369">
        <v>45758</v>
      </c>
      <c r="C2123" s="370">
        <v>45766</v>
      </c>
      <c r="D2123" s="185">
        <f t="shared" si="776"/>
        <v>2025</v>
      </c>
      <c r="E2123" s="370" t="e">
        <f>VLOOKUP($B2123,Week!$A$1:$C$1462,2,0)</f>
        <v>#N/A</v>
      </c>
      <c r="F2123" s="372" t="str">
        <f t="shared" si="777"/>
        <v>Apr</v>
      </c>
      <c r="G2123" s="439" t="s">
        <v>2015</v>
      </c>
      <c r="H2123" s="371" t="s">
        <v>104</v>
      </c>
      <c r="I2123" s="371" t="s">
        <v>2772</v>
      </c>
      <c r="J2123" s="373" t="s">
        <v>105</v>
      </c>
      <c r="K2123" s="374" t="s">
        <v>593</v>
      </c>
      <c r="L2123" s="300" t="s">
        <v>2167</v>
      </c>
      <c r="M2123" s="373" t="s">
        <v>594</v>
      </c>
      <c r="N2123" s="371" t="s">
        <v>687</v>
      </c>
      <c r="O2123" s="371" t="s">
        <v>415</v>
      </c>
      <c r="P2123" s="375">
        <v>24</v>
      </c>
      <c r="Q2123" s="375">
        <v>5</v>
      </c>
      <c r="R2123" s="376">
        <v>6.0000000000000001E-3</v>
      </c>
      <c r="S2123" s="371" t="s">
        <v>55</v>
      </c>
      <c r="T2123" s="371" t="s">
        <v>112</v>
      </c>
      <c r="U2123" s="371" t="s">
        <v>57</v>
      </c>
      <c r="V2123" s="377">
        <f>800</f>
        <v>800</v>
      </c>
      <c r="W2123" s="377">
        <f>118+175+139+1+31+336</f>
        <v>800</v>
      </c>
      <c r="X2123" s="378">
        <f>(370)/24</f>
        <v>15.416666666666666</v>
      </c>
      <c r="Y2123" s="379">
        <f>(W2123+X2123)-V2123</f>
        <v>15.416666666666629</v>
      </c>
      <c r="Z2123" s="380">
        <f t="shared" si="769"/>
        <v>0</v>
      </c>
      <c r="AA2123" s="380">
        <f t="shared" si="778"/>
        <v>0</v>
      </c>
      <c r="AB2123" s="820">
        <v>7.4999999999999997E-3</v>
      </c>
      <c r="AC2123" s="377">
        <f>Z2123*AB2123</f>
        <v>0</v>
      </c>
      <c r="AD2123" s="486"/>
      <c r="AE2123" s="210">
        <f t="shared" si="770"/>
        <v>0</v>
      </c>
      <c r="AF2123" s="210">
        <f>AE2123/0.54</f>
        <v>0</v>
      </c>
      <c r="AG2123" s="211">
        <f t="shared" si="774"/>
        <v>0.25800000000000001</v>
      </c>
      <c r="AH2123" s="157">
        <f>(Z2123*AG2123)/1000</f>
        <v>0</v>
      </c>
      <c r="AI2123" s="152">
        <f t="shared" si="773"/>
        <v>19200</v>
      </c>
      <c r="AK2123" s="156" t="s">
        <v>691</v>
      </c>
      <c r="AL2123" s="212" t="s">
        <v>690</v>
      </c>
      <c r="AM2123" s="198">
        <f>AG2123*Z2123</f>
        <v>0</v>
      </c>
      <c r="AN2123" s="199">
        <f t="shared" si="779"/>
        <v>45758</v>
      </c>
      <c r="AO2123" s="159" t="s">
        <v>692</v>
      </c>
      <c r="AP2123" s="783"/>
      <c r="AQ2123" s="782">
        <v>12071839</v>
      </c>
      <c r="AR2123" s="782">
        <v>12042650</v>
      </c>
      <c r="AS2123" s="782">
        <v>12042649</v>
      </c>
      <c r="AT2123" s="782">
        <v>12085742</v>
      </c>
      <c r="AU2123" s="781"/>
      <c r="AV2123" s="782">
        <v>12085744</v>
      </c>
      <c r="AW2123" s="782">
        <v>12049607</v>
      </c>
      <c r="AX2123" s="782"/>
      <c r="AY2123" s="782">
        <v>12094129</v>
      </c>
      <c r="AZ2123" s="782"/>
      <c r="BA2123" s="781"/>
      <c r="BB2123" s="209">
        <v>23053185</v>
      </c>
    </row>
    <row r="2124" spans="1:54" ht="25" hidden="1" customHeight="1">
      <c r="A2124" s="440"/>
      <c r="B2124" s="583">
        <v>45758</v>
      </c>
      <c r="C2124" s="583">
        <v>45769</v>
      </c>
      <c r="D2124" s="185">
        <f t="shared" si="776"/>
        <v>2025</v>
      </c>
      <c r="E2124" s="584" t="e">
        <f>VLOOKUP($B2124,Week!$A$1:$C$1462,2,0)</f>
        <v>#N/A</v>
      </c>
      <c r="F2124" s="585" t="str">
        <f t="shared" si="777"/>
        <v>Apr</v>
      </c>
      <c r="G2124" s="586" t="s">
        <v>2043</v>
      </c>
      <c r="H2124" s="586" t="s">
        <v>134</v>
      </c>
      <c r="I2124" s="586" t="s">
        <v>2772</v>
      </c>
      <c r="J2124" s="587" t="s">
        <v>164</v>
      </c>
      <c r="K2124" s="588" t="s">
        <v>707</v>
      </c>
      <c r="L2124" s="300" t="s">
        <v>2167</v>
      </c>
      <c r="M2124" s="587" t="s">
        <v>1636</v>
      </c>
      <c r="N2124" s="586" t="s">
        <v>1634</v>
      </c>
      <c r="O2124" s="586" t="s">
        <v>1635</v>
      </c>
      <c r="P2124" s="589">
        <v>24</v>
      </c>
      <c r="Q2124" s="589">
        <v>3</v>
      </c>
      <c r="R2124" s="590">
        <v>8.0000000000000002E-3</v>
      </c>
      <c r="S2124" s="586" t="s">
        <v>40</v>
      </c>
      <c r="T2124" s="586" t="s">
        <v>112</v>
      </c>
      <c r="U2124" s="591" t="s">
        <v>1633</v>
      </c>
      <c r="V2124" s="592">
        <f>420</f>
        <v>420</v>
      </c>
      <c r="W2124" s="592">
        <f>4+381+1+34</f>
        <v>420</v>
      </c>
      <c r="X2124" s="593">
        <f>112/24</f>
        <v>4.666666666666667</v>
      </c>
      <c r="Y2124" s="594">
        <f t="shared" si="780"/>
        <v>4.6666666666666856</v>
      </c>
      <c r="Z2124" s="595">
        <f t="shared" si="769"/>
        <v>0</v>
      </c>
      <c r="AA2124" s="595">
        <f t="shared" si="778"/>
        <v>0</v>
      </c>
      <c r="AB2124" s="835">
        <v>6.5000000000000002E-2</v>
      </c>
      <c r="AC2124" s="592">
        <f t="shared" si="781"/>
        <v>0</v>
      </c>
      <c r="AD2124" s="443"/>
      <c r="AE2124" s="210">
        <f t="shared" si="770"/>
        <v>0</v>
      </c>
      <c r="AF2124" s="210">
        <f t="shared" si="784"/>
        <v>0</v>
      </c>
      <c r="AG2124" s="211">
        <f t="shared" si="774"/>
        <v>0.25</v>
      </c>
      <c r="AH2124" s="157">
        <f t="shared" si="782"/>
        <v>0</v>
      </c>
      <c r="AI2124" s="152">
        <f t="shared" si="773"/>
        <v>10080</v>
      </c>
      <c r="AK2124" s="156" t="s">
        <v>691</v>
      </c>
      <c r="AL2124" s="212" t="s">
        <v>690</v>
      </c>
      <c r="AM2124" s="198">
        <f t="shared" si="783"/>
        <v>0</v>
      </c>
      <c r="AN2124" s="199">
        <f t="shared" si="779"/>
        <v>45758</v>
      </c>
      <c r="AO2124" s="159" t="s">
        <v>692</v>
      </c>
      <c r="AP2124" s="781"/>
      <c r="AQ2124" s="782">
        <v>12071839</v>
      </c>
      <c r="AR2124" s="782">
        <v>12042650</v>
      </c>
      <c r="AS2124" s="782">
        <v>12042649</v>
      </c>
      <c r="AT2124" s="782"/>
      <c r="AU2124" s="783" t="s">
        <v>2156</v>
      </c>
      <c r="AV2124" s="782">
        <v>12091944</v>
      </c>
      <c r="AW2124" s="782" t="s">
        <v>2157</v>
      </c>
      <c r="AX2124" s="782"/>
      <c r="AY2124" s="782">
        <v>12094273</v>
      </c>
      <c r="AZ2124" s="782">
        <v>12094274</v>
      </c>
      <c r="BA2124" s="782">
        <v>12094275</v>
      </c>
      <c r="BB2124" s="209">
        <v>23105543</v>
      </c>
    </row>
    <row r="2125" spans="1:54" ht="25" hidden="1" customHeight="1">
      <c r="A2125" s="440"/>
      <c r="B2125" s="332">
        <v>45758</v>
      </c>
      <c r="C2125" s="333">
        <v>45792</v>
      </c>
      <c r="D2125" s="185">
        <f t="shared" si="776"/>
        <v>2025</v>
      </c>
      <c r="E2125" s="333" t="e">
        <f>VLOOKUP($B2125,Week!$A$1:$C$1462,2,0)</f>
        <v>#N/A</v>
      </c>
      <c r="F2125" s="334" t="str">
        <f t="shared" si="777"/>
        <v>Apr</v>
      </c>
      <c r="G2125" s="335" t="s">
        <v>2044</v>
      </c>
      <c r="H2125" s="335" t="s">
        <v>675</v>
      </c>
      <c r="I2125" s="335" t="s">
        <v>2772</v>
      </c>
      <c r="J2125" s="336" t="s">
        <v>709</v>
      </c>
      <c r="K2125" s="337" t="s">
        <v>1651</v>
      </c>
      <c r="L2125" s="300" t="s">
        <v>2167</v>
      </c>
      <c r="M2125" s="336" t="s">
        <v>683</v>
      </c>
      <c r="N2125" s="530" t="s">
        <v>713</v>
      </c>
      <c r="O2125" s="335" t="s">
        <v>684</v>
      </c>
      <c r="P2125" s="338">
        <v>8</v>
      </c>
      <c r="Q2125" s="338">
        <v>3</v>
      </c>
      <c r="R2125" s="339">
        <v>6.0000000000000001E-3</v>
      </c>
      <c r="S2125" s="335" t="s">
        <v>55</v>
      </c>
      <c r="T2125" s="335" t="s">
        <v>112</v>
      </c>
      <c r="U2125" s="340" t="s">
        <v>716</v>
      </c>
      <c r="V2125" s="341">
        <f>108</f>
        <v>108</v>
      </c>
      <c r="W2125" s="341"/>
      <c r="X2125" s="342">
        <f>(864)/8</f>
        <v>108</v>
      </c>
      <c r="Y2125" s="343">
        <f t="shared" si="780"/>
        <v>0</v>
      </c>
      <c r="Z2125" s="344">
        <f t="shared" si="769"/>
        <v>0</v>
      </c>
      <c r="AA2125" s="344">
        <f t="shared" si="778"/>
        <v>0</v>
      </c>
      <c r="AB2125" s="817">
        <v>1</v>
      </c>
      <c r="AC2125" s="341">
        <f t="shared" si="781"/>
        <v>0</v>
      </c>
      <c r="AD2125" s="443" t="s">
        <v>672</v>
      </c>
      <c r="AE2125" s="210">
        <f t="shared" si="770"/>
        <v>0</v>
      </c>
      <c r="AF2125" s="210">
        <f t="shared" si="784"/>
        <v>0</v>
      </c>
      <c r="AG2125" s="211">
        <f t="shared" si="774"/>
        <v>0.219</v>
      </c>
      <c r="AH2125" s="157">
        <v>0.26621999999999996</v>
      </c>
      <c r="AI2125" s="152">
        <f t="shared" si="773"/>
        <v>864</v>
      </c>
      <c r="AK2125" s="156" t="s">
        <v>691</v>
      </c>
      <c r="AL2125" s="574" t="s">
        <v>690</v>
      </c>
      <c r="AM2125" s="198">
        <f t="shared" si="783"/>
        <v>0</v>
      </c>
      <c r="AN2125" s="199">
        <f t="shared" si="779"/>
        <v>45758</v>
      </c>
      <c r="AO2125" s="159" t="s">
        <v>692</v>
      </c>
      <c r="AP2125" s="781" t="s">
        <v>642</v>
      </c>
      <c r="AQ2125" s="782">
        <v>12071839</v>
      </c>
      <c r="AR2125" s="782">
        <v>12042650</v>
      </c>
      <c r="AS2125" s="782">
        <v>12042649</v>
      </c>
      <c r="AT2125" s="782">
        <v>12089991</v>
      </c>
      <c r="AU2125" s="781"/>
      <c r="AV2125" s="782">
        <v>12089989</v>
      </c>
      <c r="AW2125" s="781"/>
      <c r="AX2125" s="781"/>
      <c r="AY2125" s="781"/>
      <c r="AZ2125" s="782"/>
      <c r="BA2125" s="781"/>
      <c r="BB2125" s="209">
        <v>23099087</v>
      </c>
    </row>
    <row r="2126" spans="1:54" ht="25" hidden="1" customHeight="1">
      <c r="A2126" s="440"/>
      <c r="B2126" s="332">
        <v>45758</v>
      </c>
      <c r="C2126" s="333">
        <v>45820</v>
      </c>
      <c r="D2126" s="185">
        <f t="shared" si="776"/>
        <v>2025</v>
      </c>
      <c r="E2126" s="333" t="e">
        <f>VLOOKUP($B2126,Week!$A$1:$C$1462,2,0)</f>
        <v>#N/A</v>
      </c>
      <c r="F2126" s="334" t="str">
        <f t="shared" si="777"/>
        <v>Apr</v>
      </c>
      <c r="G2126" s="335" t="s">
        <v>2045</v>
      </c>
      <c r="H2126" s="335" t="s">
        <v>675</v>
      </c>
      <c r="I2126" s="335" t="s">
        <v>2772</v>
      </c>
      <c r="J2126" s="336" t="s">
        <v>709</v>
      </c>
      <c r="K2126" s="337" t="s">
        <v>1651</v>
      </c>
      <c r="L2126" s="300" t="s">
        <v>2167</v>
      </c>
      <c r="M2126" s="336" t="s">
        <v>683</v>
      </c>
      <c r="N2126" s="530" t="s">
        <v>713</v>
      </c>
      <c r="O2126" s="335" t="s">
        <v>684</v>
      </c>
      <c r="P2126" s="338">
        <v>8</v>
      </c>
      <c r="Q2126" s="338">
        <v>3</v>
      </c>
      <c r="R2126" s="339">
        <v>6.0000000000000001E-3</v>
      </c>
      <c r="S2126" s="335" t="s">
        <v>55</v>
      </c>
      <c r="T2126" s="335" t="s">
        <v>112</v>
      </c>
      <c r="U2126" s="340" t="s">
        <v>716</v>
      </c>
      <c r="V2126" s="341">
        <f>140</f>
        <v>140</v>
      </c>
      <c r="W2126" s="341"/>
      <c r="X2126" s="342">
        <f>(1051-864+1095)/8</f>
        <v>160.25</v>
      </c>
      <c r="Y2126" s="343">
        <f t="shared" si="780"/>
        <v>20.25</v>
      </c>
      <c r="Z2126" s="344">
        <f t="shared" si="769"/>
        <v>0</v>
      </c>
      <c r="AA2126" s="344">
        <f t="shared" si="778"/>
        <v>0</v>
      </c>
      <c r="AB2126" s="817">
        <v>1</v>
      </c>
      <c r="AC2126" s="341">
        <f t="shared" si="781"/>
        <v>0</v>
      </c>
      <c r="AD2126" s="443" t="s">
        <v>672</v>
      </c>
      <c r="AE2126" s="210">
        <f t="shared" si="770"/>
        <v>0</v>
      </c>
      <c r="AF2126" s="210">
        <f t="shared" si="784"/>
        <v>0</v>
      </c>
      <c r="AG2126" s="211">
        <f t="shared" si="774"/>
        <v>0.219</v>
      </c>
      <c r="AH2126" s="157">
        <v>0.26621999999999996</v>
      </c>
      <c r="AI2126" s="152">
        <f t="shared" si="773"/>
        <v>1120</v>
      </c>
      <c r="AK2126" s="156" t="s">
        <v>691</v>
      </c>
      <c r="AL2126" s="574" t="s">
        <v>690</v>
      </c>
      <c r="AM2126" s="198">
        <f t="shared" si="783"/>
        <v>0</v>
      </c>
      <c r="AN2126" s="199">
        <f t="shared" si="779"/>
        <v>45758</v>
      </c>
      <c r="AO2126" s="159" t="s">
        <v>692</v>
      </c>
      <c r="AP2126" s="781" t="s">
        <v>642</v>
      </c>
      <c r="AQ2126" s="782">
        <v>12071839</v>
      </c>
      <c r="AR2126" s="782">
        <v>12042650</v>
      </c>
      <c r="AS2126" s="782">
        <v>12042649</v>
      </c>
      <c r="AT2126" s="782">
        <v>12089991</v>
      </c>
      <c r="AU2126" s="781"/>
      <c r="AV2126" s="782">
        <v>12089989</v>
      </c>
      <c r="AW2126" s="781"/>
      <c r="AX2126" s="781"/>
      <c r="AY2126" s="781"/>
      <c r="AZ2126" s="782"/>
      <c r="BA2126" s="781"/>
      <c r="BB2126" s="209">
        <v>23099087</v>
      </c>
    </row>
    <row r="2127" spans="1:54" ht="25" hidden="1" customHeight="1">
      <c r="B2127" s="332">
        <v>45758</v>
      </c>
      <c r="C2127" s="333">
        <v>45777</v>
      </c>
      <c r="D2127" s="185">
        <f t="shared" si="776"/>
        <v>2025</v>
      </c>
      <c r="E2127" s="333" t="e">
        <f>VLOOKUP($B2127,Week!$A$1:$C$1462,2,0)</f>
        <v>#N/A</v>
      </c>
      <c r="F2127" s="334" t="str">
        <f t="shared" si="777"/>
        <v>Apr</v>
      </c>
      <c r="G2127" s="335" t="s">
        <v>2137</v>
      </c>
      <c r="H2127" s="335" t="s">
        <v>311</v>
      </c>
      <c r="I2127" s="335" t="s">
        <v>2772</v>
      </c>
      <c r="J2127" s="336" t="s">
        <v>738</v>
      </c>
      <c r="K2127" s="337" t="s">
        <v>1649</v>
      </c>
      <c r="L2127" s="300" t="s">
        <v>2167</v>
      </c>
      <c r="M2127" s="336" t="s">
        <v>603</v>
      </c>
      <c r="N2127" s="335" t="s">
        <v>605</v>
      </c>
      <c r="O2127" s="335" t="s">
        <v>602</v>
      </c>
      <c r="P2127" s="338">
        <v>8</v>
      </c>
      <c r="Q2127" s="338">
        <v>3</v>
      </c>
      <c r="R2127" s="339">
        <v>6.0000000000000001E-3</v>
      </c>
      <c r="S2127" s="335" t="s">
        <v>55</v>
      </c>
      <c r="T2127" s="335" t="s">
        <v>112</v>
      </c>
      <c r="U2127" s="340" t="s">
        <v>1894</v>
      </c>
      <c r="V2127" s="341">
        <f>370</f>
        <v>370</v>
      </c>
      <c r="W2127" s="341"/>
      <c r="X2127" s="342">
        <f>(160+3024)/8</f>
        <v>398</v>
      </c>
      <c r="Y2127" s="343">
        <f>(W2127+X2127)-V2127</f>
        <v>28</v>
      </c>
      <c r="Z2127" s="344">
        <f t="shared" si="769"/>
        <v>0</v>
      </c>
      <c r="AA2127" s="344">
        <f t="shared" si="778"/>
        <v>0</v>
      </c>
      <c r="AB2127" s="817">
        <v>3.8699999999999998E-2</v>
      </c>
      <c r="AC2127" s="341">
        <f t="shared" ref="AC2127:AC2148" si="785">Z2127*AB2127</f>
        <v>0</v>
      </c>
      <c r="AD2127" s="443"/>
      <c r="AE2127" s="210">
        <f t="shared" si="770"/>
        <v>0</v>
      </c>
      <c r="AF2127" s="210">
        <f>AE2127/0.54</f>
        <v>0</v>
      </c>
      <c r="AG2127" s="211">
        <f t="shared" si="774"/>
        <v>0.30199999999999999</v>
      </c>
      <c r="AH2127" s="157">
        <v>0.26621999999999996</v>
      </c>
      <c r="AI2127" s="152">
        <f t="shared" si="773"/>
        <v>2960</v>
      </c>
      <c r="AK2127" s="156" t="s">
        <v>691</v>
      </c>
      <c r="AL2127" s="156" t="s">
        <v>690</v>
      </c>
      <c r="AM2127" s="198">
        <f t="shared" ref="AM2127:AM2150" si="786">AG2127*Z2127</f>
        <v>0</v>
      </c>
      <c r="AN2127" s="199">
        <f t="shared" si="779"/>
        <v>45758</v>
      </c>
      <c r="AO2127" s="159" t="s">
        <v>692</v>
      </c>
      <c r="AP2127" s="781" t="s">
        <v>642</v>
      </c>
      <c r="AQ2127" s="782">
        <v>12063755</v>
      </c>
      <c r="AR2127" s="782">
        <v>12061353</v>
      </c>
      <c r="AS2127" s="782">
        <v>12061354</v>
      </c>
      <c r="AT2127" s="782">
        <v>12084733</v>
      </c>
      <c r="AU2127" s="781"/>
      <c r="AV2127" s="782">
        <v>12084732</v>
      </c>
      <c r="AW2127" s="781"/>
      <c r="AX2127" s="781"/>
      <c r="AY2127" s="781"/>
      <c r="AZ2127" s="782"/>
      <c r="BA2127" s="781"/>
      <c r="BB2127" s="209">
        <v>23105470</v>
      </c>
    </row>
    <row r="2128" spans="1:54" ht="25" hidden="1" customHeight="1">
      <c r="B2128" s="332">
        <v>45758</v>
      </c>
      <c r="C2128" s="333">
        <v>45792</v>
      </c>
      <c r="D2128" s="185">
        <f t="shared" si="776"/>
        <v>2025</v>
      </c>
      <c r="E2128" s="333" t="e">
        <f>VLOOKUP($B2128,Week!$A$1:$C$1462,2,0)</f>
        <v>#N/A</v>
      </c>
      <c r="F2128" s="334" t="str">
        <f t="shared" si="777"/>
        <v>Apr</v>
      </c>
      <c r="G2128" s="335" t="s">
        <v>2044</v>
      </c>
      <c r="H2128" s="335" t="s">
        <v>675</v>
      </c>
      <c r="I2128" s="335" t="s">
        <v>2772</v>
      </c>
      <c r="J2128" s="336" t="s">
        <v>709</v>
      </c>
      <c r="K2128" s="337" t="s">
        <v>1649</v>
      </c>
      <c r="L2128" s="300" t="s">
        <v>2167</v>
      </c>
      <c r="M2128" s="336" t="s">
        <v>603</v>
      </c>
      <c r="N2128" s="530" t="s">
        <v>711</v>
      </c>
      <c r="O2128" s="335" t="s">
        <v>602</v>
      </c>
      <c r="P2128" s="338">
        <v>8</v>
      </c>
      <c r="Q2128" s="338">
        <v>3</v>
      </c>
      <c r="R2128" s="339">
        <v>6.0000000000000001E-3</v>
      </c>
      <c r="S2128" s="335" t="s">
        <v>55</v>
      </c>
      <c r="T2128" s="335" t="s">
        <v>112</v>
      </c>
      <c r="U2128" s="340" t="s">
        <v>1894</v>
      </c>
      <c r="V2128" s="341">
        <f>216</f>
        <v>216</v>
      </c>
      <c r="W2128" s="341"/>
      <c r="X2128" s="342">
        <f>1728/8</f>
        <v>216</v>
      </c>
      <c r="Y2128" s="343">
        <f>(W2128+X2128)-V2128</f>
        <v>0</v>
      </c>
      <c r="Z2128" s="344">
        <f t="shared" si="769"/>
        <v>0</v>
      </c>
      <c r="AA2128" s="344">
        <f t="shared" si="778"/>
        <v>0</v>
      </c>
      <c r="AB2128" s="817">
        <v>3.8699999999999998E-2</v>
      </c>
      <c r="AC2128" s="341">
        <f t="shared" si="785"/>
        <v>0</v>
      </c>
      <c r="AD2128" s="443"/>
      <c r="AE2128" s="210">
        <f t="shared" si="770"/>
        <v>0</v>
      </c>
      <c r="AF2128" s="210">
        <f>AE2128/0.54</f>
        <v>0</v>
      </c>
      <c r="AG2128" s="211">
        <f t="shared" si="774"/>
        <v>0.30199999999999999</v>
      </c>
      <c r="AH2128" s="157">
        <v>0.26621999999999996</v>
      </c>
      <c r="AI2128" s="152">
        <f t="shared" si="773"/>
        <v>1728</v>
      </c>
      <c r="AK2128" s="156" t="s">
        <v>691</v>
      </c>
      <c r="AL2128" s="212" t="s">
        <v>690</v>
      </c>
      <c r="AM2128" s="198">
        <f t="shared" si="786"/>
        <v>0</v>
      </c>
      <c r="AN2128" s="199">
        <f t="shared" si="779"/>
        <v>45758</v>
      </c>
      <c r="AO2128" s="159" t="s">
        <v>692</v>
      </c>
      <c r="AP2128" s="781" t="s">
        <v>642</v>
      </c>
      <c r="AQ2128" s="782">
        <v>12063755</v>
      </c>
      <c r="AR2128" s="782">
        <v>12061353</v>
      </c>
      <c r="AS2128" s="782">
        <v>12061354</v>
      </c>
      <c r="AT2128" s="782">
        <v>12089985</v>
      </c>
      <c r="AU2128" s="781"/>
      <c r="AV2128" s="782">
        <v>12089988</v>
      </c>
      <c r="AW2128" s="781"/>
      <c r="AX2128" s="781"/>
      <c r="AY2128" s="781"/>
      <c r="AZ2128" s="782"/>
      <c r="BA2128" s="781"/>
      <c r="BB2128" s="209">
        <v>23105470</v>
      </c>
    </row>
    <row r="2129" spans="1:54" ht="24.75" hidden="1" customHeight="1">
      <c r="B2129" s="295">
        <v>45759</v>
      </c>
      <c r="C2129" s="771" t="s">
        <v>1929</v>
      </c>
      <c r="D2129" s="185">
        <f t="shared" si="776"/>
        <v>2025</v>
      </c>
      <c r="E2129" s="296" t="e">
        <f>VLOOKUP($B2129,Week!$A$1:$C$1462,2,0)</f>
        <v>#N/A</v>
      </c>
      <c r="F2129" s="297" t="str">
        <f t="shared" si="777"/>
        <v>Apr</v>
      </c>
      <c r="G2129" s="648" t="s">
        <v>47</v>
      </c>
      <c r="H2129" s="298" t="s">
        <v>260</v>
      </c>
      <c r="I2129" s="298" t="s">
        <v>2702</v>
      </c>
      <c r="J2129" s="307" t="s">
        <v>904</v>
      </c>
      <c r="K2129" s="300" t="s">
        <v>176</v>
      </c>
      <c r="L2129" s="300" t="s">
        <v>2167</v>
      </c>
      <c r="M2129" s="299" t="s">
        <v>262</v>
      </c>
      <c r="N2129" s="298" t="s">
        <v>350</v>
      </c>
      <c r="O2129" s="298" t="s">
        <v>351</v>
      </c>
      <c r="P2129" s="301">
        <v>24</v>
      </c>
      <c r="Q2129" s="301">
        <v>5</v>
      </c>
      <c r="R2129" s="302">
        <v>6.1999999999999998E-3</v>
      </c>
      <c r="S2129" s="298" t="s">
        <v>352</v>
      </c>
      <c r="T2129" s="298" t="s">
        <v>56</v>
      </c>
      <c r="U2129" s="298" t="s">
        <v>57</v>
      </c>
      <c r="V2129" s="303">
        <v>3716</v>
      </c>
      <c r="W2129" s="303">
        <f>3716</f>
        <v>3716</v>
      </c>
      <c r="X2129" s="304"/>
      <c r="Y2129" s="305">
        <f>(W2129+X2129)-V2129</f>
        <v>0</v>
      </c>
      <c r="Z2129" s="306">
        <f t="shared" si="769"/>
        <v>0</v>
      </c>
      <c r="AA2129" s="306">
        <f t="shared" si="778"/>
        <v>0</v>
      </c>
      <c r="AB2129" s="814">
        <v>7.4999999999999997E-3</v>
      </c>
      <c r="AC2129" s="303">
        <f t="shared" si="785"/>
        <v>0</v>
      </c>
      <c r="AD2129" s="573" t="s">
        <v>2017</v>
      </c>
      <c r="AE2129" s="210">
        <f t="shared" si="770"/>
        <v>0</v>
      </c>
      <c r="AF2129" s="210">
        <f>AE2129/0.54</f>
        <v>0</v>
      </c>
      <c r="AG2129" s="211">
        <f t="shared" si="774"/>
        <v>0.13</v>
      </c>
      <c r="AH2129" s="157">
        <f>(Z2129*AG2129)/1000</f>
        <v>0</v>
      </c>
      <c r="AI2129" s="152">
        <f t="shared" si="773"/>
        <v>89184</v>
      </c>
      <c r="AK2129" s="156" t="s">
        <v>691</v>
      </c>
      <c r="AL2129" s="574" t="s">
        <v>690</v>
      </c>
      <c r="AM2129" s="198">
        <f t="shared" si="786"/>
        <v>0</v>
      </c>
      <c r="AN2129" s="199">
        <f t="shared" si="779"/>
        <v>45759</v>
      </c>
      <c r="AO2129" s="159" t="s">
        <v>692</v>
      </c>
      <c r="AP2129" s="783" t="s">
        <v>629</v>
      </c>
      <c r="AQ2129" s="782">
        <v>12071839</v>
      </c>
      <c r="AR2129" s="782">
        <v>12078867</v>
      </c>
      <c r="AS2129" s="782">
        <v>12068233</v>
      </c>
      <c r="AT2129" s="781"/>
      <c r="AU2129" s="781"/>
      <c r="AV2129" s="782">
        <v>12062075</v>
      </c>
      <c r="AW2129" s="781"/>
      <c r="AX2129" s="781"/>
      <c r="AY2129" s="782">
        <v>12086617</v>
      </c>
      <c r="AZ2129" s="781"/>
      <c r="BA2129" s="781"/>
      <c r="BB2129" s="209">
        <v>23053185</v>
      </c>
    </row>
    <row r="2130" spans="1:54" ht="25" hidden="1" customHeight="1">
      <c r="B2130" s="743">
        <v>45759</v>
      </c>
      <c r="C2130" s="848" t="s">
        <v>1928</v>
      </c>
      <c r="D2130" s="746">
        <f t="shared" si="776"/>
        <v>2025</v>
      </c>
      <c r="E2130" s="744" t="e">
        <f>VLOOKUP($B2130,Week!$A$1:$C$1462,2,0)</f>
        <v>#N/A</v>
      </c>
      <c r="F2130" s="745" t="str">
        <f t="shared" si="777"/>
        <v>Apr</v>
      </c>
      <c r="G2130" s="746" t="s">
        <v>47</v>
      </c>
      <c r="H2130" s="746" t="s">
        <v>518</v>
      </c>
      <c r="I2130" s="746" t="s">
        <v>2702</v>
      </c>
      <c r="J2130" s="747" t="s">
        <v>70</v>
      </c>
      <c r="K2130" s="748" t="s">
        <v>227</v>
      </c>
      <c r="L2130" s="748" t="s">
        <v>2167</v>
      </c>
      <c r="M2130" s="747" t="s">
        <v>2200</v>
      </c>
      <c r="N2130" s="746" t="s">
        <v>2198</v>
      </c>
      <c r="O2130" s="746" t="s">
        <v>2199</v>
      </c>
      <c r="P2130" s="749">
        <v>18</v>
      </c>
      <c r="Q2130" s="749">
        <v>3</v>
      </c>
      <c r="R2130" s="849">
        <v>8.0000000000000002E-3</v>
      </c>
      <c r="S2130" s="746" t="s">
        <v>352</v>
      </c>
      <c r="T2130" s="746" t="s">
        <v>56</v>
      </c>
      <c r="U2130" s="746" t="s">
        <v>2007</v>
      </c>
      <c r="V2130" s="850">
        <f>1667</f>
        <v>1667</v>
      </c>
      <c r="W2130" s="750"/>
      <c r="X2130" s="751">
        <f>(10002)/6</f>
        <v>1667</v>
      </c>
      <c r="Y2130" s="752">
        <f>(W2130+X2130)-V2130</f>
        <v>0</v>
      </c>
      <c r="Z2130" s="753">
        <f t="shared" si="769"/>
        <v>0</v>
      </c>
      <c r="AA2130" s="753">
        <f t="shared" si="778"/>
        <v>0</v>
      </c>
      <c r="AB2130" s="838">
        <v>0.05</v>
      </c>
      <c r="AC2130" s="750">
        <f t="shared" si="785"/>
        <v>0</v>
      </c>
      <c r="AD2130" s="209"/>
      <c r="AE2130" s="210">
        <f t="shared" si="770"/>
        <v>0</v>
      </c>
      <c r="AF2130" s="210">
        <f>AE2130/0.54</f>
        <v>0</v>
      </c>
      <c r="AG2130" s="211">
        <f t="shared" si="774"/>
        <v>0.68100000000000005</v>
      </c>
      <c r="AH2130" s="157">
        <f>(Z2130*AG2130)/1000</f>
        <v>0</v>
      </c>
      <c r="AI2130" s="152">
        <f t="shared" si="773"/>
        <v>30006</v>
      </c>
      <c r="AK2130" s="156" t="s">
        <v>691</v>
      </c>
      <c r="AL2130" s="212" t="s">
        <v>690</v>
      </c>
      <c r="AM2130" s="198">
        <f t="shared" si="786"/>
        <v>0</v>
      </c>
      <c r="AN2130" s="199">
        <f t="shared" si="779"/>
        <v>45759</v>
      </c>
      <c r="AO2130" s="159" t="s">
        <v>692</v>
      </c>
      <c r="AP2130" s="783" t="s">
        <v>623</v>
      </c>
      <c r="AQ2130" s="782">
        <v>12071839</v>
      </c>
      <c r="AR2130" s="782">
        <v>12042650</v>
      </c>
      <c r="AS2130" s="782">
        <v>12042649</v>
      </c>
      <c r="AT2130" s="782"/>
      <c r="AU2130" s="781"/>
      <c r="AV2130" s="782">
        <v>12094033</v>
      </c>
      <c r="AW2130" s="782"/>
      <c r="AX2130" s="782" t="s">
        <v>2225</v>
      </c>
      <c r="AY2130" s="782">
        <v>12094035</v>
      </c>
      <c r="AZ2130" s="782">
        <v>12094041</v>
      </c>
      <c r="BA2130" s="781" t="s">
        <v>2226</v>
      </c>
      <c r="BB2130" s="209">
        <v>11044165</v>
      </c>
    </row>
    <row r="2131" spans="1:54" ht="25" hidden="1" customHeight="1">
      <c r="B2131" s="583">
        <v>45759</v>
      </c>
      <c r="C2131" s="777" t="s">
        <v>1928</v>
      </c>
      <c r="D2131" s="185">
        <f t="shared" si="776"/>
        <v>2025</v>
      </c>
      <c r="E2131" s="777" t="e">
        <f>VLOOKUP($B2131,Week!$A$1:$C$1462,2,0)</f>
        <v>#N/A</v>
      </c>
      <c r="F2131" s="778" t="str">
        <f t="shared" si="777"/>
        <v>Apr</v>
      </c>
      <c r="G2131" s="586" t="s">
        <v>47</v>
      </c>
      <c r="H2131" s="586" t="s">
        <v>518</v>
      </c>
      <c r="I2131" s="586" t="s">
        <v>2702</v>
      </c>
      <c r="J2131" s="587" t="s">
        <v>70</v>
      </c>
      <c r="K2131" s="588" t="s">
        <v>227</v>
      </c>
      <c r="L2131" s="300" t="s">
        <v>2167</v>
      </c>
      <c r="M2131" s="587" t="s">
        <v>2006</v>
      </c>
      <c r="N2131" s="586" t="s">
        <v>2004</v>
      </c>
      <c r="O2131" s="586" t="s">
        <v>2005</v>
      </c>
      <c r="P2131" s="589">
        <v>12</v>
      </c>
      <c r="Q2131" s="589">
        <v>3</v>
      </c>
      <c r="R2131" s="590">
        <v>8.0000000000000002E-3</v>
      </c>
      <c r="S2131" s="586" t="s">
        <v>352</v>
      </c>
      <c r="T2131" s="586" t="s">
        <v>56</v>
      </c>
      <c r="U2131" s="586" t="s">
        <v>2007</v>
      </c>
      <c r="V2131" s="779">
        <f>7500-6051-146</f>
        <v>1303</v>
      </c>
      <c r="W2131" s="592">
        <f>483+362+458</f>
        <v>1303</v>
      </c>
      <c r="X2131" s="593"/>
      <c r="Y2131" s="594">
        <f>(W2131+X2131)-V2131</f>
        <v>0</v>
      </c>
      <c r="Z2131" s="595">
        <f t="shared" si="769"/>
        <v>0</v>
      </c>
      <c r="AA2131" s="595">
        <f t="shared" si="778"/>
        <v>0</v>
      </c>
      <c r="AB2131" s="835">
        <v>0.05</v>
      </c>
      <c r="AC2131" s="592">
        <f t="shared" si="785"/>
        <v>0</v>
      </c>
      <c r="AD2131" s="209"/>
      <c r="AE2131" s="210">
        <f t="shared" si="770"/>
        <v>0</v>
      </c>
      <c r="AF2131" s="210">
        <f>AE2131/0.54</f>
        <v>0</v>
      </c>
      <c r="AG2131" s="211">
        <f t="shared" si="774"/>
        <v>0.22700000000000001</v>
      </c>
      <c r="AH2131" s="157">
        <f>(Z2131*AG2131)/1000</f>
        <v>0</v>
      </c>
      <c r="AI2131" s="152">
        <f t="shared" si="773"/>
        <v>15636</v>
      </c>
      <c r="AK2131" s="156" t="s">
        <v>691</v>
      </c>
      <c r="AL2131" s="212" t="s">
        <v>690</v>
      </c>
      <c r="AM2131" s="198">
        <f t="shared" si="786"/>
        <v>0</v>
      </c>
      <c r="AN2131" s="199">
        <f t="shared" si="779"/>
        <v>45759</v>
      </c>
      <c r="AO2131" s="159" t="s">
        <v>692</v>
      </c>
      <c r="AP2131" s="783" t="s">
        <v>623</v>
      </c>
      <c r="AQ2131" s="782">
        <v>12071839</v>
      </c>
      <c r="AR2131" s="782">
        <v>12042650</v>
      </c>
      <c r="AS2131" s="782">
        <v>12042649</v>
      </c>
      <c r="AT2131" s="782"/>
      <c r="AU2131" s="781"/>
      <c r="AV2131" s="782">
        <v>12094036</v>
      </c>
      <c r="AW2131" s="782"/>
      <c r="AX2131" s="782"/>
      <c r="AY2131" s="782">
        <v>12094035</v>
      </c>
      <c r="AZ2131" s="782">
        <v>12094041</v>
      </c>
      <c r="BA2131" s="781"/>
      <c r="BB2131" s="209">
        <v>11044165</v>
      </c>
    </row>
    <row r="2132" spans="1:54" ht="25" hidden="1" customHeight="1">
      <c r="B2132" s="183">
        <v>45760</v>
      </c>
      <c r="C2132" s="184"/>
      <c r="D2132" s="185">
        <f t="shared" si="776"/>
        <v>2025</v>
      </c>
      <c r="E2132" s="185" t="e">
        <f>VLOOKUP($B2132,Week!$A$1:$C$1462,2,0)</f>
        <v>#N/A</v>
      </c>
      <c r="F2132" s="186" t="str">
        <f t="shared" si="777"/>
        <v>Apr</v>
      </c>
      <c r="G2132" s="481"/>
      <c r="H2132" s="185"/>
      <c r="I2132" s="185"/>
      <c r="J2132" s="187"/>
      <c r="K2132" s="188"/>
      <c r="L2132" s="300"/>
      <c r="M2132" s="187"/>
      <c r="N2132" s="185"/>
      <c r="O2132" s="185"/>
      <c r="P2132" s="189"/>
      <c r="Q2132" s="189"/>
      <c r="R2132" s="190"/>
      <c r="S2132" s="185"/>
      <c r="T2132" s="185"/>
      <c r="U2132" s="185"/>
      <c r="V2132" s="191"/>
      <c r="W2132" s="191"/>
      <c r="X2132" s="192"/>
      <c r="Y2132" s="193"/>
      <c r="Z2132" s="194"/>
      <c r="AA2132" s="194">
        <f t="shared" si="778"/>
        <v>0</v>
      </c>
      <c r="AB2132" s="805"/>
      <c r="AC2132" s="191">
        <f t="shared" si="785"/>
        <v>0</v>
      </c>
      <c r="AD2132" s="187"/>
      <c r="AE2132" s="195"/>
      <c r="AF2132" s="195"/>
      <c r="AG2132" s="196"/>
      <c r="AH2132" s="197"/>
      <c r="AK2132" s="156" t="s">
        <v>691</v>
      </c>
      <c r="AM2132" s="198">
        <f t="shared" si="786"/>
        <v>0</v>
      </c>
      <c r="AN2132" s="199">
        <f t="shared" si="779"/>
        <v>45760</v>
      </c>
      <c r="AO2132" s="159" t="s">
        <v>692</v>
      </c>
      <c r="AP2132" s="781"/>
      <c r="AQ2132" s="782"/>
      <c r="AR2132" s="782"/>
      <c r="AS2132" s="782"/>
      <c r="AT2132" s="782"/>
      <c r="AU2132" s="781"/>
      <c r="AV2132" s="782"/>
      <c r="AW2132" s="782"/>
      <c r="AX2132" s="782"/>
      <c r="AY2132" s="782"/>
      <c r="AZ2132" s="782"/>
      <c r="BA2132" s="781"/>
      <c r="BB2132" s="209"/>
    </row>
    <row r="2133" spans="1:54" ht="25" hidden="1" customHeight="1">
      <c r="B2133" s="183">
        <v>45761</v>
      </c>
      <c r="C2133" s="184"/>
      <c r="D2133" s="185">
        <f t="shared" si="776"/>
        <v>2025</v>
      </c>
      <c r="E2133" s="185" t="e">
        <f>VLOOKUP($B2133,Week!$A$1:$C$1462,2,0)</f>
        <v>#N/A</v>
      </c>
      <c r="F2133" s="186" t="str">
        <f t="shared" si="777"/>
        <v>Apr</v>
      </c>
      <c r="G2133" s="481"/>
      <c r="H2133" s="185"/>
      <c r="I2133" s="185"/>
      <c r="J2133" s="187"/>
      <c r="K2133" s="188"/>
      <c r="L2133" s="300"/>
      <c r="M2133" s="187"/>
      <c r="N2133" s="185"/>
      <c r="O2133" s="185"/>
      <c r="P2133" s="189"/>
      <c r="Q2133" s="189"/>
      <c r="R2133" s="190"/>
      <c r="S2133" s="185"/>
      <c r="T2133" s="185"/>
      <c r="U2133" s="185"/>
      <c r="V2133" s="191"/>
      <c r="W2133" s="191"/>
      <c r="X2133" s="192"/>
      <c r="Y2133" s="193"/>
      <c r="Z2133" s="194"/>
      <c r="AA2133" s="194">
        <f t="shared" si="778"/>
        <v>0</v>
      </c>
      <c r="AB2133" s="805"/>
      <c r="AC2133" s="191">
        <f t="shared" si="785"/>
        <v>0</v>
      </c>
      <c r="AD2133" s="187"/>
      <c r="AE2133" s="195"/>
      <c r="AF2133" s="195"/>
      <c r="AG2133" s="196"/>
      <c r="AH2133" s="197"/>
      <c r="AK2133" s="156" t="s">
        <v>691</v>
      </c>
      <c r="AM2133" s="198">
        <f t="shared" si="786"/>
        <v>0</v>
      </c>
      <c r="AN2133" s="199">
        <f t="shared" si="779"/>
        <v>45761</v>
      </c>
      <c r="AO2133" s="159" t="s">
        <v>692</v>
      </c>
      <c r="AP2133" s="781"/>
      <c r="AQ2133" s="782"/>
      <c r="AR2133" s="782"/>
      <c r="AS2133" s="782"/>
      <c r="AT2133" s="782"/>
      <c r="AU2133" s="781"/>
      <c r="AV2133" s="782"/>
      <c r="AW2133" s="782"/>
      <c r="AX2133" s="782"/>
      <c r="AY2133" s="782"/>
      <c r="AZ2133" s="782"/>
      <c r="BA2133" s="781"/>
      <c r="BB2133" s="209"/>
    </row>
    <row r="2134" spans="1:54" ht="25" hidden="1" customHeight="1">
      <c r="B2134" s="183">
        <v>45762</v>
      </c>
      <c r="C2134" s="184"/>
      <c r="D2134" s="185">
        <f t="shared" si="776"/>
        <v>2025</v>
      </c>
      <c r="E2134" s="185" t="e">
        <f>VLOOKUP($B2134,Week!$A$1:$C$1462,2,0)</f>
        <v>#N/A</v>
      </c>
      <c r="F2134" s="186" t="str">
        <f t="shared" si="777"/>
        <v>Apr</v>
      </c>
      <c r="G2134" s="481"/>
      <c r="H2134" s="185"/>
      <c r="I2134" s="185"/>
      <c r="J2134" s="187"/>
      <c r="K2134" s="188"/>
      <c r="L2134" s="300"/>
      <c r="M2134" s="187"/>
      <c r="N2134" s="185"/>
      <c r="O2134" s="185"/>
      <c r="P2134" s="189"/>
      <c r="Q2134" s="189"/>
      <c r="R2134" s="190"/>
      <c r="S2134" s="185"/>
      <c r="T2134" s="185"/>
      <c r="U2134" s="185"/>
      <c r="V2134" s="191"/>
      <c r="W2134" s="191"/>
      <c r="X2134" s="192"/>
      <c r="Y2134" s="193"/>
      <c r="Z2134" s="194"/>
      <c r="AA2134" s="194">
        <f t="shared" si="778"/>
        <v>0</v>
      </c>
      <c r="AB2134" s="805"/>
      <c r="AC2134" s="191">
        <f t="shared" si="785"/>
        <v>0</v>
      </c>
      <c r="AD2134" s="187"/>
      <c r="AE2134" s="195"/>
      <c r="AF2134" s="195"/>
      <c r="AG2134" s="196"/>
      <c r="AH2134" s="197"/>
      <c r="AK2134" s="156" t="s">
        <v>691</v>
      </c>
      <c r="AM2134" s="198">
        <f t="shared" si="786"/>
        <v>0</v>
      </c>
      <c r="AN2134" s="199">
        <f t="shared" si="779"/>
        <v>45762</v>
      </c>
      <c r="AO2134" s="159" t="s">
        <v>692</v>
      </c>
      <c r="AP2134" s="781"/>
      <c r="AQ2134" s="782"/>
      <c r="AR2134" s="782"/>
      <c r="AS2134" s="782"/>
      <c r="AT2134" s="782"/>
      <c r="AU2134" s="781"/>
      <c r="AV2134" s="782"/>
      <c r="AW2134" s="782"/>
      <c r="AX2134" s="782"/>
      <c r="AY2134" s="782"/>
      <c r="AZ2134" s="782"/>
      <c r="BA2134" s="781"/>
      <c r="BB2134" s="209"/>
    </row>
    <row r="2135" spans="1:54" ht="25" hidden="1" customHeight="1">
      <c r="B2135" s="183">
        <v>45763</v>
      </c>
      <c r="C2135" s="184"/>
      <c r="D2135" s="185">
        <f t="shared" si="776"/>
        <v>2025</v>
      </c>
      <c r="E2135" s="185" t="e">
        <f>VLOOKUP($B2135,Week!$A$1:$C$1462,2,0)</f>
        <v>#N/A</v>
      </c>
      <c r="F2135" s="186" t="str">
        <f t="shared" si="777"/>
        <v>Apr</v>
      </c>
      <c r="G2135" s="481"/>
      <c r="H2135" s="185"/>
      <c r="I2135" s="185"/>
      <c r="J2135" s="187"/>
      <c r="K2135" s="188"/>
      <c r="L2135" s="300"/>
      <c r="M2135" s="187"/>
      <c r="N2135" s="185"/>
      <c r="O2135" s="185"/>
      <c r="P2135" s="189"/>
      <c r="Q2135" s="189"/>
      <c r="R2135" s="190"/>
      <c r="S2135" s="185"/>
      <c r="T2135" s="185"/>
      <c r="U2135" s="185"/>
      <c r="V2135" s="191"/>
      <c r="W2135" s="191"/>
      <c r="X2135" s="192"/>
      <c r="Y2135" s="193"/>
      <c r="Z2135" s="194"/>
      <c r="AA2135" s="194">
        <f t="shared" si="778"/>
        <v>0</v>
      </c>
      <c r="AB2135" s="805"/>
      <c r="AC2135" s="191">
        <f t="shared" si="785"/>
        <v>0</v>
      </c>
      <c r="AD2135" s="187"/>
      <c r="AE2135" s="195"/>
      <c r="AF2135" s="195"/>
      <c r="AG2135" s="196"/>
      <c r="AH2135" s="197"/>
      <c r="AK2135" s="156" t="s">
        <v>691</v>
      </c>
      <c r="AM2135" s="198">
        <f t="shared" si="786"/>
        <v>0</v>
      </c>
      <c r="AN2135" s="199">
        <f t="shared" si="779"/>
        <v>45763</v>
      </c>
      <c r="AO2135" s="159" t="s">
        <v>692</v>
      </c>
      <c r="AP2135" s="781"/>
      <c r="AQ2135" s="782"/>
      <c r="AR2135" s="782"/>
      <c r="AS2135" s="782"/>
      <c r="AT2135" s="782"/>
      <c r="AU2135" s="781"/>
      <c r="AV2135" s="782"/>
      <c r="AW2135" s="782"/>
      <c r="AX2135" s="782"/>
      <c r="AY2135" s="782"/>
      <c r="AZ2135" s="782"/>
      <c r="BA2135" s="781"/>
      <c r="BB2135" s="209"/>
    </row>
    <row r="2136" spans="1:54" ht="25" hidden="1" customHeight="1">
      <c r="A2136" s="630" t="s">
        <v>120</v>
      </c>
      <c r="B2136" s="466">
        <v>45764</v>
      </c>
      <c r="C2136" s="467">
        <v>45771</v>
      </c>
      <c r="D2136" s="185">
        <f t="shared" si="776"/>
        <v>2025</v>
      </c>
      <c r="E2136" s="468" t="e">
        <f>VLOOKUP($B2136,Week!$A$1:$C$1462,2,0)</f>
        <v>#N/A</v>
      </c>
      <c r="F2136" s="469" t="str">
        <f t="shared" si="777"/>
        <v>Apr</v>
      </c>
      <c r="G2136" s="470" t="s">
        <v>2184</v>
      </c>
      <c r="H2136" s="468" t="s">
        <v>82</v>
      </c>
      <c r="I2136" s="468" t="s">
        <v>82</v>
      </c>
      <c r="J2136" s="471" t="s">
        <v>720</v>
      </c>
      <c r="K2136" s="472" t="s">
        <v>85</v>
      </c>
      <c r="L2136" s="390" t="s">
        <v>2166</v>
      </c>
      <c r="M2136" s="471" t="s">
        <v>579</v>
      </c>
      <c r="N2136" s="468" t="s">
        <v>580</v>
      </c>
      <c r="O2136" s="468" t="s">
        <v>581</v>
      </c>
      <c r="P2136" s="473">
        <v>8</v>
      </c>
      <c r="Q2136" s="473">
        <v>60</v>
      </c>
      <c r="R2136" s="474">
        <v>6.8100000000000001E-3</v>
      </c>
      <c r="S2136" s="468" t="s">
        <v>76</v>
      </c>
      <c r="T2136" s="468" t="s">
        <v>56</v>
      </c>
      <c r="U2136" s="468" t="s">
        <v>89</v>
      </c>
      <c r="V2136" s="475">
        <v>1408</v>
      </c>
      <c r="W2136" s="475">
        <f>29+1379</f>
        <v>1408</v>
      </c>
      <c r="X2136" s="476"/>
      <c r="Y2136" s="477">
        <f t="shared" ref="Y2136:Y2142" si="787">(W2136+X2136)-V2136</f>
        <v>0</v>
      </c>
      <c r="Z2136" s="478">
        <f t="shared" ref="Z2136:Z2142" si="788">IF(Y2136&lt;0,((V2136*P2136)-((W2136+X2136)*P2136)),0)</f>
        <v>0</v>
      </c>
      <c r="AA2136" s="478">
        <f t="shared" si="778"/>
        <v>0</v>
      </c>
      <c r="AB2136" s="828">
        <v>6</v>
      </c>
      <c r="AC2136" s="475">
        <f t="shared" si="785"/>
        <v>0</v>
      </c>
      <c r="AD2136" s="209"/>
      <c r="AE2136" s="210">
        <f t="shared" ref="AE2136:AE2142" si="789">SUM(Q2136*R2136*Z2136)/1000</f>
        <v>0</v>
      </c>
      <c r="AF2136" s="210">
        <f t="shared" ref="AF2136:AF2142" si="790">AE2136/0.54</f>
        <v>0</v>
      </c>
      <c r="AG2136" s="211">
        <f>MID(O2136,1,3)/1000</f>
        <v>0.75</v>
      </c>
      <c r="AH2136" s="157">
        <f t="shared" ref="AH2136:AH2142" si="791">(Z2136*AG2136)/1000</f>
        <v>0</v>
      </c>
      <c r="AI2136" s="152">
        <f t="shared" ref="AI2136:AI2142" si="792">V2136*P2136</f>
        <v>11264</v>
      </c>
      <c r="AK2136" s="156" t="s">
        <v>691</v>
      </c>
      <c r="AL2136" s="156" t="s">
        <v>689</v>
      </c>
      <c r="AM2136" s="198">
        <f t="shared" si="786"/>
        <v>0</v>
      </c>
      <c r="AN2136" s="199">
        <f t="shared" si="779"/>
        <v>45764</v>
      </c>
      <c r="AO2136" s="159" t="s">
        <v>692</v>
      </c>
      <c r="AP2136" s="783" t="s">
        <v>622</v>
      </c>
      <c r="AQ2136" s="782">
        <v>12088677</v>
      </c>
      <c r="AR2136" s="782" t="s">
        <v>2142</v>
      </c>
      <c r="AS2136" s="782"/>
      <c r="AT2136" s="782">
        <v>12082897</v>
      </c>
      <c r="AU2136" s="781"/>
      <c r="AV2136" s="782">
        <v>12082898</v>
      </c>
      <c r="AW2136" s="782">
        <v>12082899</v>
      </c>
      <c r="AX2136" s="796" t="s">
        <v>621</v>
      </c>
      <c r="AY2136" s="782"/>
      <c r="AZ2136" s="782"/>
      <c r="BA2136" s="781"/>
      <c r="BB2136" s="209">
        <v>23053184</v>
      </c>
    </row>
    <row r="2137" spans="1:54" ht="24.75" hidden="1" customHeight="1">
      <c r="A2137" s="142" t="s">
        <v>120</v>
      </c>
      <c r="B2137" s="308">
        <v>45764</v>
      </c>
      <c r="C2137" s="644" t="s">
        <v>1928</v>
      </c>
      <c r="D2137" s="185">
        <f t="shared" si="776"/>
        <v>2025</v>
      </c>
      <c r="E2137" s="519" t="e">
        <f>VLOOKUP($B2137,Week!$A$1:$C$1462,2,0)</f>
        <v>#N/A</v>
      </c>
      <c r="F2137" s="520" t="str">
        <f t="shared" si="777"/>
        <v>Apr</v>
      </c>
      <c r="G2137" s="644" t="s">
        <v>47</v>
      </c>
      <c r="H2137" s="311" t="s">
        <v>518</v>
      </c>
      <c r="I2137" s="311" t="s">
        <v>2702</v>
      </c>
      <c r="J2137" s="312" t="s">
        <v>70</v>
      </c>
      <c r="K2137" s="313" t="s">
        <v>85</v>
      </c>
      <c r="L2137" s="390" t="s">
        <v>2166</v>
      </c>
      <c r="M2137" s="312" t="s">
        <v>515</v>
      </c>
      <c r="N2137" s="311" t="s">
        <v>588</v>
      </c>
      <c r="O2137" s="311" t="s">
        <v>546</v>
      </c>
      <c r="P2137" s="314">
        <v>12</v>
      </c>
      <c r="Q2137" s="314">
        <v>20</v>
      </c>
      <c r="R2137" s="315">
        <v>6.1999999999999998E-3</v>
      </c>
      <c r="S2137" s="311" t="s">
        <v>352</v>
      </c>
      <c r="T2137" s="311" t="s">
        <v>56</v>
      </c>
      <c r="U2137" s="311"/>
      <c r="V2137" s="316">
        <f>336</f>
        <v>336</v>
      </c>
      <c r="W2137" s="316">
        <v>336</v>
      </c>
      <c r="X2137" s="317"/>
      <c r="Y2137" s="318">
        <f t="shared" si="787"/>
        <v>0</v>
      </c>
      <c r="Z2137" s="319">
        <f t="shared" si="788"/>
        <v>0</v>
      </c>
      <c r="AA2137" s="319">
        <f t="shared" si="778"/>
        <v>0</v>
      </c>
      <c r="AB2137" s="815"/>
      <c r="AC2137" s="316">
        <f t="shared" si="785"/>
        <v>0</v>
      </c>
      <c r="AD2137" s="209"/>
      <c r="AE2137" s="210">
        <f t="shared" si="789"/>
        <v>0</v>
      </c>
      <c r="AF2137" s="210">
        <f t="shared" si="790"/>
        <v>0</v>
      </c>
      <c r="AG2137" s="211">
        <f>MID(O2137,1,3)/1000</f>
        <v>0.22</v>
      </c>
      <c r="AH2137" s="157">
        <f t="shared" si="791"/>
        <v>0</v>
      </c>
      <c r="AI2137" s="152">
        <f t="shared" si="792"/>
        <v>4032</v>
      </c>
      <c r="AK2137" s="156" t="s">
        <v>691</v>
      </c>
      <c r="AL2137" s="156" t="s">
        <v>689</v>
      </c>
      <c r="AM2137" s="198">
        <f t="shared" si="786"/>
        <v>0</v>
      </c>
      <c r="AN2137" s="199">
        <f t="shared" si="779"/>
        <v>45764</v>
      </c>
      <c r="AO2137" s="159" t="s">
        <v>692</v>
      </c>
      <c r="AP2137" s="783" t="s">
        <v>613</v>
      </c>
      <c r="AQ2137" s="782"/>
      <c r="AR2137" s="782" t="s">
        <v>614</v>
      </c>
      <c r="AS2137" s="782"/>
      <c r="AT2137" s="782"/>
      <c r="AU2137" s="781"/>
      <c r="AV2137" s="782">
        <v>12083143</v>
      </c>
      <c r="AW2137" s="782"/>
      <c r="AX2137" s="782" t="s">
        <v>2187</v>
      </c>
      <c r="AY2137" s="782"/>
      <c r="AZ2137" s="782"/>
      <c r="BA2137" s="781"/>
      <c r="BB2137" s="209"/>
    </row>
    <row r="2138" spans="1:54" ht="25" hidden="1" customHeight="1">
      <c r="A2138" s="630" t="s">
        <v>120</v>
      </c>
      <c r="B2138" s="466">
        <v>45765</v>
      </c>
      <c r="C2138" s="467">
        <v>45771</v>
      </c>
      <c r="D2138" s="185">
        <f t="shared" si="776"/>
        <v>2025</v>
      </c>
      <c r="E2138" s="468" t="e">
        <f>VLOOKUP($B2138,Week!$A$1:$C$1462,2,0)</f>
        <v>#N/A</v>
      </c>
      <c r="F2138" s="469" t="str">
        <f t="shared" si="777"/>
        <v>Apr</v>
      </c>
      <c r="G2138" s="470" t="s">
        <v>2185</v>
      </c>
      <c r="H2138" s="468" t="s">
        <v>82</v>
      </c>
      <c r="I2138" s="468" t="s">
        <v>82</v>
      </c>
      <c r="J2138" s="471" t="s">
        <v>720</v>
      </c>
      <c r="K2138" s="472" t="s">
        <v>85</v>
      </c>
      <c r="L2138" s="390" t="s">
        <v>2166</v>
      </c>
      <c r="M2138" s="471" t="s">
        <v>579</v>
      </c>
      <c r="N2138" s="468" t="s">
        <v>580</v>
      </c>
      <c r="O2138" s="468" t="s">
        <v>581</v>
      </c>
      <c r="P2138" s="473">
        <v>8</v>
      </c>
      <c r="Q2138" s="473">
        <v>60</v>
      </c>
      <c r="R2138" s="474">
        <v>6.8100000000000001E-3</v>
      </c>
      <c r="S2138" s="468" t="s">
        <v>76</v>
      </c>
      <c r="T2138" s="468" t="s">
        <v>56</v>
      </c>
      <c r="U2138" s="468" t="s">
        <v>89</v>
      </c>
      <c r="V2138" s="475">
        <v>1408</v>
      </c>
      <c r="W2138" s="475">
        <f>62+1346</f>
        <v>1408</v>
      </c>
      <c r="X2138" s="476"/>
      <c r="Y2138" s="477">
        <f t="shared" si="787"/>
        <v>0</v>
      </c>
      <c r="Z2138" s="478">
        <f t="shared" si="788"/>
        <v>0</v>
      </c>
      <c r="AA2138" s="478">
        <f t="shared" si="778"/>
        <v>0</v>
      </c>
      <c r="AB2138" s="828">
        <v>6</v>
      </c>
      <c r="AC2138" s="475">
        <f t="shared" si="785"/>
        <v>0</v>
      </c>
      <c r="AD2138" s="209"/>
      <c r="AE2138" s="210">
        <f t="shared" si="789"/>
        <v>0</v>
      </c>
      <c r="AF2138" s="210">
        <f t="shared" si="790"/>
        <v>0</v>
      </c>
      <c r="AG2138" s="211">
        <f>MID(O2138,1,3)/1000</f>
        <v>0.75</v>
      </c>
      <c r="AH2138" s="157">
        <f t="shared" si="791"/>
        <v>0</v>
      </c>
      <c r="AI2138" s="152">
        <f t="shared" si="792"/>
        <v>11264</v>
      </c>
      <c r="AK2138" s="156" t="s">
        <v>691</v>
      </c>
      <c r="AL2138" s="156" t="s">
        <v>689</v>
      </c>
      <c r="AM2138" s="198">
        <f t="shared" si="786"/>
        <v>0</v>
      </c>
      <c r="AN2138" s="199">
        <f t="shared" si="779"/>
        <v>45765</v>
      </c>
      <c r="AO2138" s="159" t="s">
        <v>692</v>
      </c>
      <c r="AP2138" s="783" t="s">
        <v>622</v>
      </c>
      <c r="AQ2138" s="782">
        <v>12088677</v>
      </c>
      <c r="AR2138" s="782" t="s">
        <v>2142</v>
      </c>
      <c r="AS2138" s="782"/>
      <c r="AT2138" s="782">
        <v>12082897</v>
      </c>
      <c r="AU2138" s="781"/>
      <c r="AV2138" s="782">
        <v>12082898</v>
      </c>
      <c r="AW2138" s="782">
        <v>12082899</v>
      </c>
      <c r="AX2138" s="796" t="s">
        <v>621</v>
      </c>
      <c r="AY2138" s="782"/>
      <c r="AZ2138" s="782"/>
      <c r="BA2138" s="781"/>
      <c r="BB2138" s="209">
        <v>23053184</v>
      </c>
    </row>
    <row r="2139" spans="1:54" ht="25" hidden="1" customHeight="1">
      <c r="A2139" s="142" t="s">
        <v>120</v>
      </c>
      <c r="B2139" s="559">
        <v>45765</v>
      </c>
      <c r="C2139" s="560">
        <v>45771</v>
      </c>
      <c r="D2139" s="185">
        <f t="shared" si="776"/>
        <v>2025</v>
      </c>
      <c r="E2139" s="561" t="e">
        <f>VLOOKUP($B2139,Week!$A$1:$C$1462,2,0)</f>
        <v>#N/A</v>
      </c>
      <c r="F2139" s="562" t="str">
        <f t="shared" si="777"/>
        <v>Apr</v>
      </c>
      <c r="G2139" s="561" t="s">
        <v>2026</v>
      </c>
      <c r="H2139" s="561" t="s">
        <v>134</v>
      </c>
      <c r="I2139" s="561" t="s">
        <v>2772</v>
      </c>
      <c r="J2139" s="563" t="s">
        <v>164</v>
      </c>
      <c r="K2139" s="564" t="s">
        <v>355</v>
      </c>
      <c r="L2139" s="390" t="s">
        <v>2166</v>
      </c>
      <c r="M2139" s="563" t="s">
        <v>356</v>
      </c>
      <c r="N2139" s="561" t="s">
        <v>652</v>
      </c>
      <c r="O2139" s="561" t="s">
        <v>508</v>
      </c>
      <c r="P2139" s="565">
        <v>18</v>
      </c>
      <c r="Q2139" s="565">
        <v>8</v>
      </c>
      <c r="R2139" s="566">
        <v>6.0000000000000001E-3</v>
      </c>
      <c r="S2139" s="561" t="s">
        <v>55</v>
      </c>
      <c r="T2139" s="561" t="s">
        <v>56</v>
      </c>
      <c r="U2139" s="561" t="s">
        <v>89</v>
      </c>
      <c r="V2139" s="567">
        <f>600</f>
        <v>600</v>
      </c>
      <c r="W2139" s="567">
        <f>600</f>
        <v>600</v>
      </c>
      <c r="X2139" s="568"/>
      <c r="Y2139" s="569">
        <f t="shared" si="787"/>
        <v>0</v>
      </c>
      <c r="Z2139" s="570">
        <f t="shared" si="788"/>
        <v>0</v>
      </c>
      <c r="AA2139" s="570">
        <f t="shared" si="778"/>
        <v>0</v>
      </c>
      <c r="AB2139" s="834">
        <v>2</v>
      </c>
      <c r="AC2139" s="567">
        <f t="shared" si="785"/>
        <v>0</v>
      </c>
      <c r="AD2139" s="209"/>
      <c r="AE2139" s="210">
        <f t="shared" si="789"/>
        <v>0</v>
      </c>
      <c r="AF2139" s="210">
        <f t="shared" si="790"/>
        <v>0</v>
      </c>
      <c r="AG2139" s="211">
        <f>MID(O2139,1,2)/1000</f>
        <v>0.09</v>
      </c>
      <c r="AH2139" s="157">
        <f t="shared" si="791"/>
        <v>0</v>
      </c>
      <c r="AI2139" s="152">
        <f t="shared" si="792"/>
        <v>10800</v>
      </c>
      <c r="AK2139" s="156" t="s">
        <v>691</v>
      </c>
      <c r="AL2139" s="156" t="s">
        <v>689</v>
      </c>
      <c r="AM2139" s="198">
        <f t="shared" si="786"/>
        <v>0</v>
      </c>
      <c r="AN2139" s="199">
        <f t="shared" si="779"/>
        <v>45765</v>
      </c>
      <c r="AO2139" s="159" t="s">
        <v>692</v>
      </c>
      <c r="AP2139" s="783"/>
      <c r="AQ2139" s="782"/>
      <c r="AR2139" s="782" t="s">
        <v>531</v>
      </c>
      <c r="AS2139" s="782"/>
      <c r="AT2139" s="782"/>
      <c r="AU2139" s="782">
        <v>12054219</v>
      </c>
      <c r="AV2139" s="782">
        <v>12084877</v>
      </c>
      <c r="AW2139" s="782"/>
      <c r="AX2139" s="782" t="s">
        <v>2155</v>
      </c>
      <c r="AY2139" s="782"/>
      <c r="AZ2139" s="782"/>
      <c r="BA2139" s="781"/>
      <c r="BB2139" s="209">
        <v>23053184</v>
      </c>
    </row>
    <row r="2140" spans="1:54" ht="24.65" hidden="1" customHeight="1">
      <c r="A2140" s="142" t="s">
        <v>120</v>
      </c>
      <c r="B2140" s="258">
        <v>45766</v>
      </c>
      <c r="C2140" s="259">
        <v>45771</v>
      </c>
      <c r="D2140" s="185">
        <f t="shared" si="776"/>
        <v>2025</v>
      </c>
      <c r="E2140" s="260" t="e">
        <f>VLOOKUP($B2140,Week!$A$1:$C$1462,2,0)</f>
        <v>#N/A</v>
      </c>
      <c r="F2140" s="261" t="str">
        <f t="shared" si="777"/>
        <v>Apr</v>
      </c>
      <c r="G2140" s="262" t="s">
        <v>2026</v>
      </c>
      <c r="H2140" s="260" t="s">
        <v>134</v>
      </c>
      <c r="I2140" s="260" t="s">
        <v>2772</v>
      </c>
      <c r="J2140" s="263" t="s">
        <v>164</v>
      </c>
      <c r="K2140" s="264" t="s">
        <v>153</v>
      </c>
      <c r="L2140" s="390" t="s">
        <v>2166</v>
      </c>
      <c r="M2140" s="263" t="s">
        <v>165</v>
      </c>
      <c r="N2140" s="260" t="s">
        <v>166</v>
      </c>
      <c r="O2140" s="260" t="s">
        <v>502</v>
      </c>
      <c r="P2140" s="265">
        <v>20</v>
      </c>
      <c r="Q2140" s="265">
        <v>12</v>
      </c>
      <c r="R2140" s="266">
        <v>6.8100000000000001E-3</v>
      </c>
      <c r="S2140" s="260" t="s">
        <v>76</v>
      </c>
      <c r="T2140" s="260" t="s">
        <v>56</v>
      </c>
      <c r="U2140" s="260" t="s">
        <v>89</v>
      </c>
      <c r="V2140" s="267">
        <f>2000</f>
        <v>2000</v>
      </c>
      <c r="W2140" s="267">
        <f>1459</f>
        <v>1459</v>
      </c>
      <c r="X2140" s="268">
        <f>(160+11160-500)/20</f>
        <v>541</v>
      </c>
      <c r="Y2140" s="269">
        <f t="shared" si="787"/>
        <v>0</v>
      </c>
      <c r="Z2140" s="270">
        <f t="shared" si="788"/>
        <v>0</v>
      </c>
      <c r="AA2140" s="270">
        <f t="shared" si="778"/>
        <v>0</v>
      </c>
      <c r="AB2140" s="811">
        <v>2</v>
      </c>
      <c r="AC2140" s="267">
        <f t="shared" si="785"/>
        <v>0</v>
      </c>
      <c r="AD2140" s="209" t="s">
        <v>168</v>
      </c>
      <c r="AE2140" s="210">
        <f t="shared" si="789"/>
        <v>0</v>
      </c>
      <c r="AF2140" s="210">
        <f t="shared" si="790"/>
        <v>0</v>
      </c>
      <c r="AG2140" s="211">
        <f>MID(O2140,1,3)/1000</f>
        <v>0.154</v>
      </c>
      <c r="AH2140" s="157">
        <f t="shared" si="791"/>
        <v>0</v>
      </c>
      <c r="AI2140" s="152">
        <f t="shared" si="792"/>
        <v>40000</v>
      </c>
      <c r="AK2140" s="156" t="s">
        <v>691</v>
      </c>
      <c r="AL2140" s="156" t="s">
        <v>689</v>
      </c>
      <c r="AM2140" s="198">
        <f t="shared" si="786"/>
        <v>0</v>
      </c>
      <c r="AN2140" s="199">
        <f t="shared" si="779"/>
        <v>45766</v>
      </c>
      <c r="AO2140" s="159" t="s">
        <v>692</v>
      </c>
      <c r="AP2140" s="783" t="s">
        <v>610</v>
      </c>
      <c r="AQ2140" s="783" t="s">
        <v>631</v>
      </c>
      <c r="AR2140" s="783" t="s">
        <v>523</v>
      </c>
      <c r="AS2140" s="781"/>
      <c r="AT2140" s="782">
        <v>12055919</v>
      </c>
      <c r="AU2140" s="781"/>
      <c r="AV2140" s="783" t="s">
        <v>544</v>
      </c>
      <c r="AW2140" s="781"/>
      <c r="AX2140" s="782" t="s">
        <v>398</v>
      </c>
      <c r="AY2140" s="781"/>
      <c r="AZ2140" s="781"/>
      <c r="BA2140" s="781"/>
      <c r="BB2140" s="209">
        <v>23053184</v>
      </c>
    </row>
    <row r="2141" spans="1:54" ht="24.65" hidden="1" customHeight="1">
      <c r="A2141" s="142" t="s">
        <v>120</v>
      </c>
      <c r="B2141" s="357">
        <v>45766</v>
      </c>
      <c r="C2141" s="358">
        <v>45783</v>
      </c>
      <c r="D2141" s="185">
        <f t="shared" si="776"/>
        <v>2025</v>
      </c>
      <c r="E2141" s="359" t="e">
        <f>VLOOKUP($B2141,Week!$A$1:$C$1462,2,0)</f>
        <v>#N/A</v>
      </c>
      <c r="F2141" s="360" t="str">
        <f t="shared" si="777"/>
        <v>Apr</v>
      </c>
      <c r="G2141" s="359" t="s">
        <v>1888</v>
      </c>
      <c r="H2141" s="359" t="s">
        <v>344</v>
      </c>
      <c r="I2141" s="359" t="s">
        <v>2772</v>
      </c>
      <c r="J2141" s="361" t="s">
        <v>345</v>
      </c>
      <c r="K2141" s="362" t="s">
        <v>355</v>
      </c>
      <c r="L2141" s="390" t="s">
        <v>2166</v>
      </c>
      <c r="M2141" s="361" t="s">
        <v>356</v>
      </c>
      <c r="N2141" s="359" t="s">
        <v>357</v>
      </c>
      <c r="O2141" s="359" t="s">
        <v>508</v>
      </c>
      <c r="P2141" s="363">
        <v>18</v>
      </c>
      <c r="Q2141" s="363">
        <v>8</v>
      </c>
      <c r="R2141" s="364">
        <v>6.0000000000000001E-3</v>
      </c>
      <c r="S2141" s="359" t="s">
        <v>55</v>
      </c>
      <c r="T2141" s="359" t="s">
        <v>56</v>
      </c>
      <c r="U2141" s="359" t="s">
        <v>89</v>
      </c>
      <c r="V2141" s="365">
        <f>250</f>
        <v>250</v>
      </c>
      <c r="W2141" s="365">
        <f>62+188</f>
        <v>250</v>
      </c>
      <c r="X2141" s="366"/>
      <c r="Y2141" s="367">
        <f t="shared" si="787"/>
        <v>0</v>
      </c>
      <c r="Z2141" s="368">
        <f t="shared" si="788"/>
        <v>0</v>
      </c>
      <c r="AA2141" s="368">
        <f t="shared" si="778"/>
        <v>0</v>
      </c>
      <c r="AB2141" s="819">
        <v>2</v>
      </c>
      <c r="AC2141" s="365">
        <f t="shared" si="785"/>
        <v>0</v>
      </c>
      <c r="AD2141" s="443"/>
      <c r="AE2141" s="210">
        <f t="shared" si="789"/>
        <v>0</v>
      </c>
      <c r="AF2141" s="210">
        <f t="shared" si="790"/>
        <v>0</v>
      </c>
      <c r="AG2141" s="211">
        <f>MID(O2141,1,2)/1000</f>
        <v>0.09</v>
      </c>
      <c r="AH2141" s="157">
        <f t="shared" si="791"/>
        <v>0</v>
      </c>
      <c r="AI2141" s="152">
        <f t="shared" si="792"/>
        <v>4500</v>
      </c>
      <c r="AK2141" s="156" t="s">
        <v>691</v>
      </c>
      <c r="AL2141" s="156" t="s">
        <v>689</v>
      </c>
      <c r="AM2141" s="198">
        <f t="shared" si="786"/>
        <v>0</v>
      </c>
      <c r="AN2141" s="199">
        <f t="shared" si="779"/>
        <v>45766</v>
      </c>
      <c r="AO2141" s="159" t="s">
        <v>692</v>
      </c>
      <c r="AP2141" s="781"/>
      <c r="AQ2141" s="782"/>
      <c r="AR2141" s="782" t="s">
        <v>531</v>
      </c>
      <c r="AS2141" s="782"/>
      <c r="AT2141" s="782"/>
      <c r="AU2141" s="782">
        <v>12054219</v>
      </c>
      <c r="AV2141" s="782">
        <v>12054239</v>
      </c>
      <c r="AW2141" s="782"/>
      <c r="AX2141" s="782" t="s">
        <v>532</v>
      </c>
      <c r="AY2141" s="782"/>
      <c r="AZ2141" s="782"/>
      <c r="BA2141" s="781"/>
      <c r="BB2141" s="209">
        <v>23053184</v>
      </c>
    </row>
    <row r="2142" spans="1:54" ht="25" hidden="1" customHeight="1">
      <c r="A2142" s="142" t="s">
        <v>120</v>
      </c>
      <c r="B2142" s="369">
        <v>45766</v>
      </c>
      <c r="C2142" s="370">
        <v>45783</v>
      </c>
      <c r="D2142" s="185">
        <f t="shared" si="776"/>
        <v>2025</v>
      </c>
      <c r="E2142" s="371" t="e">
        <f>VLOOKUP($B2142,Week!$A$1:$C$1462,2,0)</f>
        <v>#N/A</v>
      </c>
      <c r="F2142" s="372" t="str">
        <f t="shared" si="777"/>
        <v>Apr</v>
      </c>
      <c r="G2142" s="371" t="s">
        <v>1888</v>
      </c>
      <c r="H2142" s="371" t="s">
        <v>344</v>
      </c>
      <c r="I2142" s="371" t="s">
        <v>2772</v>
      </c>
      <c r="J2142" s="373" t="s">
        <v>345</v>
      </c>
      <c r="K2142" s="374" t="s">
        <v>153</v>
      </c>
      <c r="L2142" s="390" t="s">
        <v>2166</v>
      </c>
      <c r="M2142" s="373" t="s">
        <v>214</v>
      </c>
      <c r="N2142" s="371" t="s">
        <v>346</v>
      </c>
      <c r="O2142" s="371" t="s">
        <v>509</v>
      </c>
      <c r="P2142" s="375">
        <v>18</v>
      </c>
      <c r="Q2142" s="375">
        <v>8</v>
      </c>
      <c r="R2142" s="376">
        <v>6.8100000000000001E-3</v>
      </c>
      <c r="S2142" s="371" t="s">
        <v>76</v>
      </c>
      <c r="T2142" s="371" t="s">
        <v>56</v>
      </c>
      <c r="U2142" s="371" t="s">
        <v>89</v>
      </c>
      <c r="V2142" s="377">
        <v>689</v>
      </c>
      <c r="W2142" s="377">
        <f>182</f>
        <v>182</v>
      </c>
      <c r="X2142" s="378">
        <f>(9126)/18</f>
        <v>507</v>
      </c>
      <c r="Y2142" s="379">
        <f t="shared" si="787"/>
        <v>0</v>
      </c>
      <c r="Z2142" s="380">
        <f t="shared" si="788"/>
        <v>0</v>
      </c>
      <c r="AA2142" s="380">
        <f t="shared" si="778"/>
        <v>0</v>
      </c>
      <c r="AB2142" s="820">
        <v>1</v>
      </c>
      <c r="AC2142" s="377">
        <f t="shared" si="785"/>
        <v>0</v>
      </c>
      <c r="AD2142" s="443"/>
      <c r="AE2142" s="210">
        <f t="shared" si="789"/>
        <v>0</v>
      </c>
      <c r="AF2142" s="210">
        <f t="shared" si="790"/>
        <v>0</v>
      </c>
      <c r="AG2142" s="211">
        <f>MID(O2142,1,3)/1000</f>
        <v>0.10100000000000001</v>
      </c>
      <c r="AH2142" s="157">
        <f t="shared" si="791"/>
        <v>0</v>
      </c>
      <c r="AI2142" s="152">
        <f t="shared" si="792"/>
        <v>12402</v>
      </c>
      <c r="AK2142" s="156" t="s">
        <v>691</v>
      </c>
      <c r="AL2142" s="156" t="s">
        <v>689</v>
      </c>
      <c r="AM2142" s="198">
        <f t="shared" si="786"/>
        <v>0</v>
      </c>
      <c r="AN2142" s="199">
        <f t="shared" si="779"/>
        <v>45766</v>
      </c>
      <c r="AO2142" s="159" t="s">
        <v>692</v>
      </c>
      <c r="AP2142" s="781"/>
      <c r="AQ2142" s="783" t="s">
        <v>631</v>
      </c>
      <c r="AR2142" s="782">
        <v>12038019</v>
      </c>
      <c r="AS2142" s="781"/>
      <c r="AT2142" s="800">
        <v>12055751</v>
      </c>
      <c r="AU2142" s="781"/>
      <c r="AV2142" s="800">
        <v>12049471</v>
      </c>
      <c r="AW2142" s="781"/>
      <c r="AX2142" s="781" t="s">
        <v>162</v>
      </c>
      <c r="AY2142" s="781"/>
      <c r="AZ2142" s="781"/>
      <c r="BA2142" s="781"/>
      <c r="BB2142" s="209">
        <v>23053184</v>
      </c>
    </row>
    <row r="2143" spans="1:54" ht="25" hidden="1" customHeight="1">
      <c r="B2143" s="183">
        <v>45767</v>
      </c>
      <c r="C2143" s="184"/>
      <c r="D2143" s="185">
        <f t="shared" si="776"/>
        <v>2025</v>
      </c>
      <c r="E2143" s="185" t="e">
        <f>VLOOKUP($B2143,Week!$A$1:$C$1462,2,0)</f>
        <v>#N/A</v>
      </c>
      <c r="F2143" s="186" t="str">
        <f t="shared" si="777"/>
        <v>Apr</v>
      </c>
      <c r="G2143" s="481"/>
      <c r="H2143" s="185"/>
      <c r="I2143" s="185"/>
      <c r="J2143" s="187"/>
      <c r="K2143" s="188"/>
      <c r="L2143" s="300"/>
      <c r="M2143" s="187"/>
      <c r="N2143" s="185"/>
      <c r="O2143" s="185"/>
      <c r="P2143" s="189"/>
      <c r="Q2143" s="189"/>
      <c r="R2143" s="190"/>
      <c r="S2143" s="185"/>
      <c r="T2143" s="185"/>
      <c r="U2143" s="185"/>
      <c r="V2143" s="191"/>
      <c r="W2143" s="191"/>
      <c r="X2143" s="192"/>
      <c r="Y2143" s="193"/>
      <c r="Z2143" s="194"/>
      <c r="AA2143" s="194">
        <f t="shared" si="778"/>
        <v>0</v>
      </c>
      <c r="AB2143" s="805"/>
      <c r="AC2143" s="191">
        <f t="shared" si="785"/>
        <v>0</v>
      </c>
      <c r="AD2143" s="187"/>
      <c r="AE2143" s="195"/>
      <c r="AF2143" s="195"/>
      <c r="AG2143" s="196"/>
      <c r="AH2143" s="197"/>
      <c r="AK2143" s="156" t="s">
        <v>691</v>
      </c>
      <c r="AM2143" s="198">
        <f t="shared" si="786"/>
        <v>0</v>
      </c>
      <c r="AN2143" s="199">
        <f t="shared" si="779"/>
        <v>45767</v>
      </c>
      <c r="AO2143" s="159" t="s">
        <v>692</v>
      </c>
      <c r="AP2143" s="781"/>
      <c r="AQ2143" s="782"/>
      <c r="AR2143" s="782"/>
      <c r="AS2143" s="782"/>
      <c r="AT2143" s="782"/>
      <c r="AU2143" s="781"/>
      <c r="AV2143" s="782"/>
      <c r="AW2143" s="782"/>
      <c r="AX2143" s="782"/>
      <c r="AY2143" s="782"/>
      <c r="AZ2143" s="782"/>
      <c r="BA2143" s="781"/>
      <c r="BB2143" s="209"/>
    </row>
    <row r="2144" spans="1:54" ht="25" hidden="1" customHeight="1">
      <c r="A2144" s="142" t="s">
        <v>120</v>
      </c>
      <c r="B2144" s="581">
        <v>45768</v>
      </c>
      <c r="C2144" s="333">
        <v>45779</v>
      </c>
      <c r="D2144" s="185">
        <f t="shared" si="776"/>
        <v>2025</v>
      </c>
      <c r="E2144" s="335" t="e">
        <f>VLOOKUP($B2144,Week!$A$1:$C$1462,2,0)</f>
        <v>#N/A</v>
      </c>
      <c r="F2144" s="334" t="str">
        <f t="shared" si="777"/>
        <v>Apr</v>
      </c>
      <c r="G2144" s="530" t="s">
        <v>2195</v>
      </c>
      <c r="H2144" s="335" t="s">
        <v>82</v>
      </c>
      <c r="I2144" s="335" t="s">
        <v>82</v>
      </c>
      <c r="J2144" s="336" t="s">
        <v>235</v>
      </c>
      <c r="K2144" s="337" t="s">
        <v>85</v>
      </c>
      <c r="L2144" s="390" t="s">
        <v>2166</v>
      </c>
      <c r="M2144" s="336" t="s">
        <v>86</v>
      </c>
      <c r="N2144" s="335" t="s">
        <v>273</v>
      </c>
      <c r="O2144" s="335" t="s">
        <v>507</v>
      </c>
      <c r="P2144" s="338">
        <v>8</v>
      </c>
      <c r="Q2144" s="338">
        <v>50</v>
      </c>
      <c r="R2144" s="339">
        <v>6.8100000000000001E-3</v>
      </c>
      <c r="S2144" s="335" t="s">
        <v>76</v>
      </c>
      <c r="T2144" s="335" t="s">
        <v>56</v>
      </c>
      <c r="U2144" s="335" t="s">
        <v>89</v>
      </c>
      <c r="V2144" s="341">
        <v>441</v>
      </c>
      <c r="W2144" s="341">
        <f>441</f>
        <v>441</v>
      </c>
      <c r="X2144" s="342"/>
      <c r="Y2144" s="343">
        <f t="shared" ref="Y2144:Y2151" si="793">(W2144+X2144)-V2144</f>
        <v>0</v>
      </c>
      <c r="Z2144" s="344">
        <f t="shared" ref="Z2144:Z2178" si="794">IF(Y2144&lt;0,((V2144*P2144)-((W2144+X2144)*P2144)),0)</f>
        <v>0</v>
      </c>
      <c r="AA2144" s="344">
        <f t="shared" si="778"/>
        <v>0</v>
      </c>
      <c r="AB2144" s="817">
        <v>6</v>
      </c>
      <c r="AC2144" s="341">
        <f t="shared" si="785"/>
        <v>0</v>
      </c>
      <c r="AD2144" s="443"/>
      <c r="AE2144" s="210">
        <f t="shared" ref="AE2144:AE2178" si="795">SUM(Q2144*R2144*Z2144)/1000</f>
        <v>0</v>
      </c>
      <c r="AF2144" s="210">
        <f>AE2144/0.54</f>
        <v>0</v>
      </c>
      <c r="AG2144" s="211">
        <f t="shared" ref="AG2144:AG2164" si="796">MID(O2144,1,3)/1000</f>
        <v>0.63</v>
      </c>
      <c r="AH2144" s="157">
        <f t="shared" ref="AH2144:AH2151" si="797">(Z2144*AG2144)/1000</f>
        <v>0</v>
      </c>
      <c r="AI2144" s="152">
        <f t="shared" ref="AI2144:AI2178" si="798">V2144*P2144</f>
        <v>3528</v>
      </c>
      <c r="AK2144" s="156" t="s">
        <v>691</v>
      </c>
      <c r="AL2144" s="156" t="s">
        <v>689</v>
      </c>
      <c r="AM2144" s="198">
        <f t="shared" si="786"/>
        <v>0</v>
      </c>
      <c r="AN2144" s="199">
        <f t="shared" si="779"/>
        <v>45768</v>
      </c>
      <c r="AO2144" s="159" t="s">
        <v>692</v>
      </c>
      <c r="AP2144" s="781"/>
      <c r="AQ2144" s="782">
        <v>12088677</v>
      </c>
      <c r="AR2144" s="782">
        <v>12055234</v>
      </c>
      <c r="AS2144" s="782"/>
      <c r="AT2144" s="782">
        <v>12056345</v>
      </c>
      <c r="AU2144" s="781"/>
      <c r="AV2144" s="782">
        <v>12056200</v>
      </c>
      <c r="AW2144" s="782"/>
      <c r="AX2144" s="782" t="s">
        <v>93</v>
      </c>
      <c r="AY2144" s="782"/>
      <c r="AZ2144" s="782"/>
      <c r="BA2144" s="781"/>
    </row>
    <row r="2145" spans="1:54" ht="25" hidden="1" customHeight="1">
      <c r="A2145" s="142" t="s">
        <v>120</v>
      </c>
      <c r="B2145" s="369">
        <v>45768</v>
      </c>
      <c r="C2145" s="370">
        <v>45783</v>
      </c>
      <c r="D2145" s="185">
        <f t="shared" si="776"/>
        <v>2025</v>
      </c>
      <c r="E2145" s="371" t="e">
        <f>VLOOKUP($B2145,Week!$A$1:$C$1462,2,0)</f>
        <v>#N/A</v>
      </c>
      <c r="F2145" s="372" t="str">
        <f t="shared" si="777"/>
        <v>Apr</v>
      </c>
      <c r="G2145" s="371" t="s">
        <v>1888</v>
      </c>
      <c r="H2145" s="371" t="s">
        <v>344</v>
      </c>
      <c r="I2145" s="371" t="s">
        <v>2772</v>
      </c>
      <c r="J2145" s="373" t="s">
        <v>345</v>
      </c>
      <c r="K2145" s="374" t="s">
        <v>153</v>
      </c>
      <c r="L2145" s="390" t="s">
        <v>2166</v>
      </c>
      <c r="M2145" s="373" t="s">
        <v>214</v>
      </c>
      <c r="N2145" s="371" t="s">
        <v>346</v>
      </c>
      <c r="O2145" s="371" t="s">
        <v>509</v>
      </c>
      <c r="P2145" s="375">
        <v>18</v>
      </c>
      <c r="Q2145" s="375">
        <v>8</v>
      </c>
      <c r="R2145" s="376">
        <v>6.8100000000000001E-3</v>
      </c>
      <c r="S2145" s="371" t="s">
        <v>76</v>
      </c>
      <c r="T2145" s="371" t="s">
        <v>56</v>
      </c>
      <c r="U2145" s="371" t="s">
        <v>89</v>
      </c>
      <c r="V2145" s="377">
        <f>1650-689</f>
        <v>961</v>
      </c>
      <c r="W2145" s="377">
        <f>678</f>
        <v>678</v>
      </c>
      <c r="X2145" s="378">
        <f>(5598)/18</f>
        <v>311</v>
      </c>
      <c r="Y2145" s="379">
        <f t="shared" si="793"/>
        <v>28</v>
      </c>
      <c r="Z2145" s="380">
        <f t="shared" si="794"/>
        <v>0</v>
      </c>
      <c r="AA2145" s="380">
        <f t="shared" si="778"/>
        <v>0</v>
      </c>
      <c r="AB2145" s="820">
        <v>1</v>
      </c>
      <c r="AC2145" s="377">
        <f t="shared" si="785"/>
        <v>0</v>
      </c>
      <c r="AD2145" s="443"/>
      <c r="AE2145" s="210">
        <f t="shared" si="795"/>
        <v>0</v>
      </c>
      <c r="AF2145" s="210">
        <f>AE2145/0.54</f>
        <v>0</v>
      </c>
      <c r="AG2145" s="211">
        <f t="shared" si="796"/>
        <v>0.10100000000000001</v>
      </c>
      <c r="AH2145" s="157">
        <f t="shared" si="797"/>
        <v>0</v>
      </c>
      <c r="AI2145" s="152">
        <f t="shared" si="798"/>
        <v>17298</v>
      </c>
      <c r="AK2145" s="156" t="s">
        <v>691</v>
      </c>
      <c r="AL2145" s="156" t="s">
        <v>689</v>
      </c>
      <c r="AM2145" s="198">
        <f t="shared" si="786"/>
        <v>0</v>
      </c>
      <c r="AN2145" s="199">
        <f t="shared" si="779"/>
        <v>45768</v>
      </c>
      <c r="AO2145" s="159" t="s">
        <v>692</v>
      </c>
      <c r="AP2145" s="781"/>
      <c r="AQ2145" s="783" t="s">
        <v>631</v>
      </c>
      <c r="AR2145" s="782">
        <v>12038019</v>
      </c>
      <c r="AS2145" s="781"/>
      <c r="AT2145" s="800">
        <v>12055751</v>
      </c>
      <c r="AU2145" s="781"/>
      <c r="AV2145" s="800">
        <v>12049471</v>
      </c>
      <c r="AW2145" s="781"/>
      <c r="AX2145" s="781" t="s">
        <v>162</v>
      </c>
      <c r="AY2145" s="781"/>
      <c r="AZ2145" s="781"/>
      <c r="BA2145" s="781"/>
      <c r="BB2145" s="209">
        <v>23053184</v>
      </c>
    </row>
    <row r="2146" spans="1:54" ht="25" hidden="1" customHeight="1">
      <c r="A2146" s="142" t="s">
        <v>120</v>
      </c>
      <c r="B2146" s="385">
        <v>45768</v>
      </c>
      <c r="C2146" s="386">
        <v>45790</v>
      </c>
      <c r="D2146" s="185">
        <f t="shared" si="776"/>
        <v>2025</v>
      </c>
      <c r="E2146" s="386" t="e">
        <f>VLOOKUP($B2146,Week!$A$1:$C$1462,2,0)</f>
        <v>#N/A</v>
      </c>
      <c r="F2146" s="387" t="str">
        <f t="shared" si="777"/>
        <v>Apr</v>
      </c>
      <c r="G2146" s="388" t="s">
        <v>2030</v>
      </c>
      <c r="H2146" s="388" t="s">
        <v>500</v>
      </c>
      <c r="I2146" s="388" t="s">
        <v>2772</v>
      </c>
      <c r="J2146" s="389" t="s">
        <v>285</v>
      </c>
      <c r="K2146" s="390" t="s">
        <v>153</v>
      </c>
      <c r="L2146" s="390" t="s">
        <v>2166</v>
      </c>
      <c r="M2146" s="389" t="s">
        <v>165</v>
      </c>
      <c r="N2146" s="388" t="s">
        <v>286</v>
      </c>
      <c r="O2146" s="388" t="s">
        <v>503</v>
      </c>
      <c r="P2146" s="391">
        <v>40</v>
      </c>
      <c r="Q2146" s="391">
        <v>12</v>
      </c>
      <c r="R2146" s="392">
        <v>6.8100000000000001E-3</v>
      </c>
      <c r="S2146" s="388" t="s">
        <v>76</v>
      </c>
      <c r="T2146" s="388" t="s">
        <v>56</v>
      </c>
      <c r="U2146" s="388" t="s">
        <v>89</v>
      </c>
      <c r="V2146" s="393">
        <v>614</v>
      </c>
      <c r="W2146" s="393">
        <f>572</f>
        <v>572</v>
      </c>
      <c r="X2146" s="394">
        <f>(720+440+500+20)/40</f>
        <v>42</v>
      </c>
      <c r="Y2146" s="395">
        <f t="shared" si="793"/>
        <v>0</v>
      </c>
      <c r="Z2146" s="396">
        <f t="shared" si="794"/>
        <v>0</v>
      </c>
      <c r="AA2146" s="396">
        <f t="shared" si="778"/>
        <v>0</v>
      </c>
      <c r="AB2146" s="823">
        <v>2</v>
      </c>
      <c r="AC2146" s="393">
        <f t="shared" si="785"/>
        <v>0</v>
      </c>
      <c r="AD2146" s="209"/>
      <c r="AE2146" s="210">
        <f t="shared" si="795"/>
        <v>0</v>
      </c>
      <c r="AF2146" s="210">
        <f>AE2146/0.54</f>
        <v>0</v>
      </c>
      <c r="AG2146" s="211">
        <f t="shared" si="796"/>
        <v>0.154</v>
      </c>
      <c r="AH2146" s="157">
        <f t="shared" si="797"/>
        <v>0</v>
      </c>
      <c r="AI2146" s="152">
        <f t="shared" si="798"/>
        <v>24560</v>
      </c>
      <c r="AK2146" s="156" t="s">
        <v>691</v>
      </c>
      <c r="AL2146" s="156" t="s">
        <v>689</v>
      </c>
      <c r="AM2146" s="198">
        <f t="shared" si="786"/>
        <v>0</v>
      </c>
      <c r="AN2146" s="199">
        <f t="shared" si="779"/>
        <v>45768</v>
      </c>
      <c r="AO2146" s="159" t="s">
        <v>692</v>
      </c>
      <c r="AP2146" s="783" t="s">
        <v>611</v>
      </c>
      <c r="AQ2146" s="782">
        <v>12088677</v>
      </c>
      <c r="AR2146" s="782">
        <v>12019692</v>
      </c>
      <c r="AS2146" s="781"/>
      <c r="AT2146" s="782">
        <v>12065371</v>
      </c>
      <c r="AU2146" s="782"/>
      <c r="AV2146" s="782">
        <v>12055895</v>
      </c>
      <c r="AW2146" s="782">
        <v>12034747</v>
      </c>
      <c r="AX2146" s="782" t="s">
        <v>398</v>
      </c>
      <c r="AY2146" s="781" t="s">
        <v>290</v>
      </c>
      <c r="AZ2146" s="781"/>
      <c r="BA2146" s="781"/>
      <c r="BB2146" s="209">
        <v>23053184</v>
      </c>
    </row>
    <row r="2147" spans="1:54" ht="25" hidden="1" customHeight="1">
      <c r="A2147" s="142" t="s">
        <v>120</v>
      </c>
      <c r="B2147" s="581">
        <v>45769</v>
      </c>
      <c r="C2147" s="333">
        <v>45779</v>
      </c>
      <c r="D2147" s="185">
        <f t="shared" si="776"/>
        <v>2025</v>
      </c>
      <c r="E2147" s="335" t="e">
        <f>VLOOKUP($B2147,Week!$A$1:$C$1462,2,0)</f>
        <v>#N/A</v>
      </c>
      <c r="F2147" s="334" t="str">
        <f t="shared" si="777"/>
        <v>Apr</v>
      </c>
      <c r="G2147" s="530" t="s">
        <v>2195</v>
      </c>
      <c r="H2147" s="335" t="s">
        <v>82</v>
      </c>
      <c r="I2147" s="335" t="s">
        <v>82</v>
      </c>
      <c r="J2147" s="336" t="s">
        <v>235</v>
      </c>
      <c r="K2147" s="337" t="s">
        <v>85</v>
      </c>
      <c r="L2147" s="390" t="s">
        <v>2166</v>
      </c>
      <c r="M2147" s="336" t="s">
        <v>86</v>
      </c>
      <c r="N2147" s="335" t="s">
        <v>273</v>
      </c>
      <c r="O2147" s="335" t="s">
        <v>507</v>
      </c>
      <c r="P2147" s="338">
        <v>8</v>
      </c>
      <c r="Q2147" s="338">
        <v>50</v>
      </c>
      <c r="R2147" s="339">
        <v>6.8100000000000001E-3</v>
      </c>
      <c r="S2147" s="335" t="s">
        <v>76</v>
      </c>
      <c r="T2147" s="335" t="s">
        <v>56</v>
      </c>
      <c r="U2147" s="335" t="s">
        <v>89</v>
      </c>
      <c r="V2147" s="341">
        <f>600-441</f>
        <v>159</v>
      </c>
      <c r="W2147" s="341">
        <v>159</v>
      </c>
      <c r="X2147" s="342"/>
      <c r="Y2147" s="343">
        <f t="shared" si="793"/>
        <v>0</v>
      </c>
      <c r="Z2147" s="344">
        <f t="shared" si="794"/>
        <v>0</v>
      </c>
      <c r="AA2147" s="344">
        <f t="shared" si="778"/>
        <v>0</v>
      </c>
      <c r="AB2147" s="817">
        <v>6</v>
      </c>
      <c r="AC2147" s="341">
        <f t="shared" si="785"/>
        <v>0</v>
      </c>
      <c r="AD2147" s="443"/>
      <c r="AE2147" s="210">
        <f t="shared" si="795"/>
        <v>0</v>
      </c>
      <c r="AF2147" s="210">
        <f>AE2147/0.54</f>
        <v>0</v>
      </c>
      <c r="AG2147" s="211">
        <f t="shared" si="796"/>
        <v>0.63</v>
      </c>
      <c r="AH2147" s="157">
        <f t="shared" si="797"/>
        <v>0</v>
      </c>
      <c r="AI2147" s="152">
        <f t="shared" si="798"/>
        <v>1272</v>
      </c>
      <c r="AK2147" s="156" t="s">
        <v>691</v>
      </c>
      <c r="AL2147" s="156" t="s">
        <v>689</v>
      </c>
      <c r="AM2147" s="198">
        <f t="shared" si="786"/>
        <v>0</v>
      </c>
      <c r="AN2147" s="199">
        <f t="shared" si="779"/>
        <v>45769</v>
      </c>
      <c r="AO2147" s="159" t="s">
        <v>692</v>
      </c>
      <c r="AP2147" s="781"/>
      <c r="AQ2147" s="782">
        <v>12088677</v>
      </c>
      <c r="AR2147" s="782">
        <v>12055234</v>
      </c>
      <c r="AS2147" s="782"/>
      <c r="AT2147" s="782">
        <v>12056345</v>
      </c>
      <c r="AU2147" s="781"/>
      <c r="AV2147" s="782">
        <v>12056200</v>
      </c>
      <c r="AW2147" s="782"/>
      <c r="AX2147" s="782" t="s">
        <v>93</v>
      </c>
      <c r="AY2147" s="782"/>
      <c r="AZ2147" s="782"/>
      <c r="BA2147" s="781"/>
    </row>
    <row r="2148" spans="1:54" ht="25" hidden="1" customHeight="1">
      <c r="A2148" s="142" t="s">
        <v>120</v>
      </c>
      <c r="B2148" s="582">
        <v>45769</v>
      </c>
      <c r="C2148" s="535">
        <v>45779</v>
      </c>
      <c r="D2148" s="185">
        <f t="shared" si="776"/>
        <v>2025</v>
      </c>
      <c r="E2148" s="535" t="e">
        <f>VLOOKUP($B2148,Week!$A$1:$C$1462,2,0)</f>
        <v>#N/A</v>
      </c>
      <c r="F2148" s="536" t="str">
        <f t="shared" si="777"/>
        <v>Apr</v>
      </c>
      <c r="G2148" s="843" t="s">
        <v>2195</v>
      </c>
      <c r="H2148" s="537" t="s">
        <v>82</v>
      </c>
      <c r="I2148" s="537" t="s">
        <v>82</v>
      </c>
      <c r="J2148" s="538" t="s">
        <v>235</v>
      </c>
      <c r="K2148" s="539" t="s">
        <v>85</v>
      </c>
      <c r="L2148" s="390" t="s">
        <v>2166</v>
      </c>
      <c r="M2148" s="538" t="s">
        <v>165</v>
      </c>
      <c r="N2148" s="537" t="s">
        <v>258</v>
      </c>
      <c r="O2148" s="537" t="s">
        <v>705</v>
      </c>
      <c r="P2148" s="540">
        <v>20</v>
      </c>
      <c r="Q2148" s="540">
        <v>12</v>
      </c>
      <c r="R2148" s="541">
        <v>6.8100000000000001E-3</v>
      </c>
      <c r="S2148" s="537" t="s">
        <v>76</v>
      </c>
      <c r="T2148" s="537" t="s">
        <v>56</v>
      </c>
      <c r="U2148" s="537" t="s">
        <v>89</v>
      </c>
      <c r="V2148" s="542">
        <f>2200</f>
        <v>2200</v>
      </c>
      <c r="W2148" s="542">
        <f>2195+1+4</f>
        <v>2200</v>
      </c>
      <c r="X2148" s="543"/>
      <c r="Y2148" s="544">
        <f t="shared" si="793"/>
        <v>0</v>
      </c>
      <c r="Z2148" s="545">
        <f t="shared" si="794"/>
        <v>0</v>
      </c>
      <c r="AA2148" s="545">
        <f t="shared" si="778"/>
        <v>0</v>
      </c>
      <c r="AB2148" s="832">
        <v>2</v>
      </c>
      <c r="AC2148" s="542">
        <f t="shared" si="785"/>
        <v>0</v>
      </c>
      <c r="AD2148" s="209"/>
      <c r="AE2148" s="210">
        <f t="shared" si="795"/>
        <v>0</v>
      </c>
      <c r="AF2148" s="210">
        <f>AE2148/0.54</f>
        <v>0</v>
      </c>
      <c r="AG2148" s="211">
        <f t="shared" si="796"/>
        <v>0.14399999999999999</v>
      </c>
      <c r="AH2148" s="157">
        <f t="shared" si="797"/>
        <v>0</v>
      </c>
      <c r="AI2148" s="152">
        <f t="shared" si="798"/>
        <v>44000</v>
      </c>
      <c r="AK2148" s="156" t="s">
        <v>691</v>
      </c>
      <c r="AL2148" s="156" t="s">
        <v>689</v>
      </c>
      <c r="AM2148" s="198">
        <f t="shared" si="786"/>
        <v>0</v>
      </c>
      <c r="AN2148" s="199">
        <f t="shared" si="779"/>
        <v>45769</v>
      </c>
      <c r="AO2148" s="159" t="s">
        <v>692</v>
      </c>
      <c r="AP2148" s="781"/>
      <c r="AQ2148" s="782">
        <v>12071839</v>
      </c>
      <c r="AR2148" s="783" t="s">
        <v>523</v>
      </c>
      <c r="AS2148" s="781"/>
      <c r="AT2148" s="783" t="s">
        <v>524</v>
      </c>
      <c r="AU2148" s="781"/>
      <c r="AV2148" s="782">
        <v>12027007</v>
      </c>
      <c r="AW2148" s="782"/>
      <c r="AX2148" s="782" t="s">
        <v>398</v>
      </c>
      <c r="AY2148" s="782"/>
      <c r="AZ2148" s="782"/>
      <c r="BA2148" s="781"/>
    </row>
    <row r="2149" spans="1:54" ht="25" hidden="1" customHeight="1">
      <c r="B2149" s="320">
        <v>45770</v>
      </c>
      <c r="C2149" s="844" t="s">
        <v>1928</v>
      </c>
      <c r="D2149" s="185">
        <f t="shared" si="776"/>
        <v>2025</v>
      </c>
      <c r="E2149" s="321" t="e">
        <f>VLOOKUP($B2149,Week!$A$1:$C$1462,2,0)</f>
        <v>#N/A</v>
      </c>
      <c r="F2149" s="322" t="str">
        <f t="shared" si="777"/>
        <v>Apr</v>
      </c>
      <c r="G2149" s="323" t="s">
        <v>47</v>
      </c>
      <c r="H2149" s="323" t="s">
        <v>518</v>
      </c>
      <c r="I2149" s="323" t="s">
        <v>2702</v>
      </c>
      <c r="J2149" s="324" t="s">
        <v>70</v>
      </c>
      <c r="K2149" s="325" t="s">
        <v>564</v>
      </c>
      <c r="L2149" s="300" t="s">
        <v>2167</v>
      </c>
      <c r="M2149" s="324" t="s">
        <v>558</v>
      </c>
      <c r="N2149" s="323" t="s">
        <v>559</v>
      </c>
      <c r="O2149" s="323" t="s">
        <v>560</v>
      </c>
      <c r="P2149" s="326">
        <v>12</v>
      </c>
      <c r="Q2149" s="326">
        <v>3</v>
      </c>
      <c r="R2149" s="327">
        <v>8.0000000000000002E-3</v>
      </c>
      <c r="S2149" s="323" t="s">
        <v>40</v>
      </c>
      <c r="T2149" s="323" t="s">
        <v>56</v>
      </c>
      <c r="U2149" s="323" t="s">
        <v>57</v>
      </c>
      <c r="V2149" s="397">
        <v>150</v>
      </c>
      <c r="W2149" s="328">
        <f>38+1+111</f>
        <v>150</v>
      </c>
      <c r="X2149" s="329"/>
      <c r="Y2149" s="330">
        <f t="shared" si="793"/>
        <v>0</v>
      </c>
      <c r="Z2149" s="331">
        <f t="shared" si="794"/>
        <v>0</v>
      </c>
      <c r="AA2149" s="331">
        <f t="shared" si="778"/>
        <v>0</v>
      </c>
      <c r="AB2149" s="816">
        <v>7.4999999999999997E-3</v>
      </c>
      <c r="AC2149" s="328">
        <f t="shared" ref="AC2149:AC2156" si="799">Z2149*AB2149</f>
        <v>0</v>
      </c>
      <c r="AD2149" s="209"/>
      <c r="AE2149" s="210">
        <f t="shared" si="795"/>
        <v>0</v>
      </c>
      <c r="AF2149" s="210">
        <f t="shared" ref="AF2149:AF2156" si="800">AE2149/0.54</f>
        <v>0</v>
      </c>
      <c r="AG2149" s="211">
        <f t="shared" si="796"/>
        <v>0.22600000000000001</v>
      </c>
      <c r="AH2149" s="157">
        <f t="shared" si="797"/>
        <v>0</v>
      </c>
      <c r="AI2149" s="152">
        <f t="shared" si="798"/>
        <v>1800</v>
      </c>
      <c r="AK2149" s="156" t="s">
        <v>691</v>
      </c>
      <c r="AL2149" s="212" t="s">
        <v>690</v>
      </c>
      <c r="AM2149" s="198">
        <f t="shared" si="786"/>
        <v>0</v>
      </c>
      <c r="AN2149" s="199">
        <f t="shared" si="779"/>
        <v>45770</v>
      </c>
      <c r="AO2149" s="159" t="s">
        <v>692</v>
      </c>
      <c r="AP2149" s="783" t="s">
        <v>623</v>
      </c>
      <c r="AQ2149" s="782">
        <v>12071839</v>
      </c>
      <c r="AR2149" s="782">
        <v>12042650</v>
      </c>
      <c r="AS2149" s="782">
        <v>12042649</v>
      </c>
      <c r="AT2149" s="782"/>
      <c r="AU2149" s="781"/>
      <c r="AV2149" s="782">
        <v>12083156</v>
      </c>
      <c r="AW2149" s="782"/>
      <c r="AX2149" s="782"/>
      <c r="AY2149" s="782">
        <v>12094235</v>
      </c>
      <c r="AZ2149" s="782">
        <v>12094236</v>
      </c>
      <c r="BA2149" s="781"/>
      <c r="BB2149" s="209">
        <v>23053185</v>
      </c>
    </row>
    <row r="2150" spans="1:54" ht="25" hidden="1" customHeight="1">
      <c r="B2150" s="320">
        <v>45770</v>
      </c>
      <c r="C2150" s="321" t="s">
        <v>1929</v>
      </c>
      <c r="D2150" s="185">
        <f t="shared" si="776"/>
        <v>2025</v>
      </c>
      <c r="E2150" s="321" t="e">
        <f>VLOOKUP($B2150,Week!$A$1:$C$1462,2,0)</f>
        <v>#N/A</v>
      </c>
      <c r="F2150" s="322" t="str">
        <f t="shared" si="777"/>
        <v>Apr</v>
      </c>
      <c r="G2150" s="323" t="s">
        <v>47</v>
      </c>
      <c r="H2150" s="323" t="s">
        <v>518</v>
      </c>
      <c r="I2150" s="323" t="s">
        <v>2702</v>
      </c>
      <c r="J2150" s="324" t="s">
        <v>70</v>
      </c>
      <c r="K2150" s="325" t="s">
        <v>564</v>
      </c>
      <c r="L2150" s="300" t="s">
        <v>2167</v>
      </c>
      <c r="M2150" s="324" t="s">
        <v>558</v>
      </c>
      <c r="N2150" s="323" t="s">
        <v>559</v>
      </c>
      <c r="O2150" s="323" t="s">
        <v>560</v>
      </c>
      <c r="P2150" s="326">
        <v>12</v>
      </c>
      <c r="Q2150" s="326">
        <v>3</v>
      </c>
      <c r="R2150" s="327">
        <v>8.0000000000000002E-3</v>
      </c>
      <c r="S2150" s="323" t="s">
        <v>40</v>
      </c>
      <c r="T2150" s="323" t="s">
        <v>56</v>
      </c>
      <c r="U2150" s="323" t="s">
        <v>57</v>
      </c>
      <c r="V2150" s="397">
        <f>400</f>
        <v>400</v>
      </c>
      <c r="W2150" s="328">
        <f>511-111</f>
        <v>400</v>
      </c>
      <c r="X2150" s="329"/>
      <c r="Y2150" s="330">
        <f t="shared" si="793"/>
        <v>0</v>
      </c>
      <c r="Z2150" s="331">
        <f t="shared" si="794"/>
        <v>0</v>
      </c>
      <c r="AA2150" s="331">
        <f t="shared" si="778"/>
        <v>0</v>
      </c>
      <c r="AB2150" s="816">
        <v>7.4999999999999997E-3</v>
      </c>
      <c r="AC2150" s="328">
        <f t="shared" si="799"/>
        <v>0</v>
      </c>
      <c r="AD2150" s="209"/>
      <c r="AE2150" s="210">
        <f t="shared" si="795"/>
        <v>0</v>
      </c>
      <c r="AF2150" s="210">
        <f t="shared" si="800"/>
        <v>0</v>
      </c>
      <c r="AG2150" s="211">
        <f t="shared" si="796"/>
        <v>0.22600000000000001</v>
      </c>
      <c r="AH2150" s="157">
        <f t="shared" si="797"/>
        <v>0</v>
      </c>
      <c r="AI2150" s="152">
        <f t="shared" si="798"/>
        <v>4800</v>
      </c>
      <c r="AK2150" s="156" t="s">
        <v>691</v>
      </c>
      <c r="AL2150" s="212" t="s">
        <v>690</v>
      </c>
      <c r="AM2150" s="198">
        <f t="shared" si="786"/>
        <v>0</v>
      </c>
      <c r="AN2150" s="199">
        <f t="shared" si="779"/>
        <v>45770</v>
      </c>
      <c r="AO2150" s="159" t="s">
        <v>692</v>
      </c>
      <c r="AP2150" s="783" t="s">
        <v>623</v>
      </c>
      <c r="AQ2150" s="782">
        <v>12071839</v>
      </c>
      <c r="AR2150" s="782">
        <v>12042650</v>
      </c>
      <c r="AS2150" s="782">
        <v>12042649</v>
      </c>
      <c r="AT2150" s="782"/>
      <c r="AU2150" s="781"/>
      <c r="AV2150" s="782">
        <v>12083156</v>
      </c>
      <c r="AW2150" s="782"/>
      <c r="AX2150" s="782"/>
      <c r="AY2150" s="782">
        <v>12094235</v>
      </c>
      <c r="AZ2150" s="782">
        <v>12094236</v>
      </c>
      <c r="BA2150" s="781"/>
      <c r="BB2150" s="209">
        <v>23053185</v>
      </c>
    </row>
    <row r="2151" spans="1:54" ht="25" hidden="1" customHeight="1">
      <c r="B2151" s="332">
        <v>45770</v>
      </c>
      <c r="C2151" s="333" t="s">
        <v>1928</v>
      </c>
      <c r="D2151" s="185">
        <f t="shared" si="776"/>
        <v>2025</v>
      </c>
      <c r="E2151" s="333" t="e">
        <f>VLOOKUP($B2151,Week!$A$1:$C$1462,2,0)</f>
        <v>#N/A</v>
      </c>
      <c r="F2151" s="334" t="str">
        <f t="shared" si="777"/>
        <v>Apr</v>
      </c>
      <c r="G2151" s="335" t="s">
        <v>47</v>
      </c>
      <c r="H2151" s="335" t="s">
        <v>518</v>
      </c>
      <c r="I2151" s="335" t="s">
        <v>2702</v>
      </c>
      <c r="J2151" s="336" t="s">
        <v>70</v>
      </c>
      <c r="K2151" s="337" t="s">
        <v>582</v>
      </c>
      <c r="L2151" s="300" t="s">
        <v>2167</v>
      </c>
      <c r="M2151" s="336" t="s">
        <v>534</v>
      </c>
      <c r="N2151" s="530" t="s">
        <v>578</v>
      </c>
      <c r="O2151" s="335" t="s">
        <v>583</v>
      </c>
      <c r="P2151" s="338">
        <v>12</v>
      </c>
      <c r="Q2151" s="338">
        <v>3</v>
      </c>
      <c r="R2151" s="339">
        <v>6.0000000000000001E-3</v>
      </c>
      <c r="S2151" s="335" t="s">
        <v>55</v>
      </c>
      <c r="T2151" s="335" t="s">
        <v>56</v>
      </c>
      <c r="U2151" s="335" t="s">
        <v>57</v>
      </c>
      <c r="V2151" s="341">
        <f>200</f>
        <v>200</v>
      </c>
      <c r="W2151" s="341">
        <f>10+1+189</f>
        <v>200</v>
      </c>
      <c r="X2151" s="342"/>
      <c r="Y2151" s="343">
        <f t="shared" si="793"/>
        <v>0</v>
      </c>
      <c r="Z2151" s="344">
        <f t="shared" si="794"/>
        <v>0</v>
      </c>
      <c r="AA2151" s="344">
        <f t="shared" si="778"/>
        <v>0</v>
      </c>
      <c r="AB2151" s="817">
        <v>7.4999999999999997E-3</v>
      </c>
      <c r="AC2151" s="341">
        <f>Z2151*AB2151</f>
        <v>0</v>
      </c>
      <c r="AD2151" s="209"/>
      <c r="AE2151" s="210">
        <f t="shared" si="795"/>
        <v>0</v>
      </c>
      <c r="AF2151" s="210">
        <f>AE2151/0.54</f>
        <v>0</v>
      </c>
      <c r="AG2151" s="211">
        <f t="shared" si="796"/>
        <v>0.191</v>
      </c>
      <c r="AH2151" s="157">
        <f t="shared" si="797"/>
        <v>0</v>
      </c>
      <c r="AI2151" s="152">
        <f t="shared" si="798"/>
        <v>2400</v>
      </c>
      <c r="AK2151" s="156" t="s">
        <v>691</v>
      </c>
      <c r="AL2151" s="212" t="s">
        <v>690</v>
      </c>
      <c r="AM2151" s="198">
        <f t="shared" ref="AM2151:AM2156" si="801">AG2151*Z2151</f>
        <v>0</v>
      </c>
      <c r="AN2151" s="199">
        <f t="shared" si="779"/>
        <v>45770</v>
      </c>
      <c r="AO2151" s="159" t="s">
        <v>692</v>
      </c>
      <c r="AP2151" s="781"/>
      <c r="AQ2151" s="782">
        <v>12071839</v>
      </c>
      <c r="AR2151" s="782">
        <v>12042650</v>
      </c>
      <c r="AS2151" s="782">
        <v>12042649</v>
      </c>
      <c r="AT2151" s="782"/>
      <c r="AU2151" s="781"/>
      <c r="AV2151" s="782">
        <v>12083313</v>
      </c>
      <c r="AW2151" s="782"/>
      <c r="AX2151" s="782"/>
      <c r="AY2151" s="782">
        <v>12083308</v>
      </c>
      <c r="AZ2151" s="782">
        <v>12083312</v>
      </c>
      <c r="BA2151" s="781"/>
      <c r="BB2151" s="209">
        <v>23053185</v>
      </c>
    </row>
    <row r="2152" spans="1:54" ht="25" hidden="1" customHeight="1">
      <c r="B2152" s="332">
        <v>45770</v>
      </c>
      <c r="C2152" s="333" t="s">
        <v>1929</v>
      </c>
      <c r="D2152" s="185">
        <f t="shared" si="776"/>
        <v>2025</v>
      </c>
      <c r="E2152" s="333" t="e">
        <f>VLOOKUP($B2152,Week!$A$1:$C$1462,2,0)</f>
        <v>#N/A</v>
      </c>
      <c r="F2152" s="334" t="str">
        <f t="shared" si="777"/>
        <v>Apr</v>
      </c>
      <c r="G2152" s="335" t="s">
        <v>47</v>
      </c>
      <c r="H2152" s="335" t="s">
        <v>518</v>
      </c>
      <c r="I2152" s="335" t="s">
        <v>2702</v>
      </c>
      <c r="J2152" s="336" t="s">
        <v>70</v>
      </c>
      <c r="K2152" s="337" t="s">
        <v>582</v>
      </c>
      <c r="L2152" s="300" t="s">
        <v>2167</v>
      </c>
      <c r="M2152" s="336" t="s">
        <v>534</v>
      </c>
      <c r="N2152" s="530" t="s">
        <v>578</v>
      </c>
      <c r="O2152" s="335" t="s">
        <v>583</v>
      </c>
      <c r="P2152" s="338">
        <v>12</v>
      </c>
      <c r="Q2152" s="338">
        <v>3</v>
      </c>
      <c r="R2152" s="339">
        <v>6.0000000000000001E-3</v>
      </c>
      <c r="S2152" s="335" t="s">
        <v>55</v>
      </c>
      <c r="T2152" s="335" t="s">
        <v>56</v>
      </c>
      <c r="U2152" s="335" t="s">
        <v>57</v>
      </c>
      <c r="V2152" s="341">
        <f>400</f>
        <v>400</v>
      </c>
      <c r="W2152" s="341">
        <f>597-189</f>
        <v>408</v>
      </c>
      <c r="X2152" s="342"/>
      <c r="Y2152" s="343">
        <f t="shared" ref="Y2152:Y2157" si="802">(W2152+X2152)-V2152</f>
        <v>8</v>
      </c>
      <c r="Z2152" s="344">
        <f t="shared" si="794"/>
        <v>0</v>
      </c>
      <c r="AA2152" s="344">
        <f t="shared" si="778"/>
        <v>0</v>
      </c>
      <c r="AB2152" s="817">
        <v>7.4999999999999997E-3</v>
      </c>
      <c r="AC2152" s="341">
        <f t="shared" si="799"/>
        <v>0</v>
      </c>
      <c r="AD2152" s="209"/>
      <c r="AE2152" s="210">
        <f t="shared" si="795"/>
        <v>0</v>
      </c>
      <c r="AF2152" s="210">
        <f t="shared" si="800"/>
        <v>0</v>
      </c>
      <c r="AG2152" s="211">
        <f t="shared" si="796"/>
        <v>0.191</v>
      </c>
      <c r="AH2152" s="157">
        <f t="shared" ref="AH2152:AH2157" si="803">(Z2152*AG2152)/1000</f>
        <v>0</v>
      </c>
      <c r="AI2152" s="152">
        <f t="shared" si="798"/>
        <v>4800</v>
      </c>
      <c r="AK2152" s="156" t="s">
        <v>691</v>
      </c>
      <c r="AL2152" s="212" t="s">
        <v>690</v>
      </c>
      <c r="AM2152" s="198">
        <f t="shared" si="801"/>
        <v>0</v>
      </c>
      <c r="AN2152" s="199">
        <f t="shared" si="779"/>
        <v>45770</v>
      </c>
      <c r="AO2152" s="159" t="s">
        <v>692</v>
      </c>
      <c r="AP2152" s="781"/>
      <c r="AQ2152" s="782">
        <v>12071839</v>
      </c>
      <c r="AR2152" s="782">
        <v>12042650</v>
      </c>
      <c r="AS2152" s="782">
        <v>12042649</v>
      </c>
      <c r="AT2152" s="782"/>
      <c r="AU2152" s="781"/>
      <c r="AV2152" s="782">
        <v>12083313</v>
      </c>
      <c r="AW2152" s="782"/>
      <c r="AX2152" s="782"/>
      <c r="AY2152" s="782">
        <v>12083308</v>
      </c>
      <c r="AZ2152" s="782">
        <v>12083312</v>
      </c>
      <c r="BA2152" s="781"/>
      <c r="BB2152" s="209">
        <v>23053185</v>
      </c>
    </row>
    <row r="2153" spans="1:54" ht="25" hidden="1" customHeight="1">
      <c r="B2153" s="271">
        <v>45770</v>
      </c>
      <c r="C2153" s="272" t="s">
        <v>1928</v>
      </c>
      <c r="D2153" s="185">
        <f t="shared" si="776"/>
        <v>2025</v>
      </c>
      <c r="E2153" s="272" t="e">
        <f>VLOOKUP($B2153,Week!$A$1:$C$1462,2,0)</f>
        <v>#N/A</v>
      </c>
      <c r="F2153" s="273" t="str">
        <f t="shared" si="777"/>
        <v>Apr</v>
      </c>
      <c r="G2153" s="274" t="s">
        <v>47</v>
      </c>
      <c r="H2153" s="274" t="s">
        <v>518</v>
      </c>
      <c r="I2153" s="274" t="s">
        <v>2702</v>
      </c>
      <c r="J2153" s="275" t="s">
        <v>70</v>
      </c>
      <c r="K2153" s="276" t="s">
        <v>556</v>
      </c>
      <c r="L2153" s="300" t="s">
        <v>2167</v>
      </c>
      <c r="M2153" s="275" t="s">
        <v>520</v>
      </c>
      <c r="N2153" s="423" t="s">
        <v>586</v>
      </c>
      <c r="O2153" s="274" t="s">
        <v>585</v>
      </c>
      <c r="P2153" s="277">
        <v>12</v>
      </c>
      <c r="Q2153" s="277">
        <v>5</v>
      </c>
      <c r="R2153" s="278">
        <v>6.0000000000000001E-3</v>
      </c>
      <c r="S2153" s="274" t="s">
        <v>55</v>
      </c>
      <c r="T2153" s="274" t="s">
        <v>56</v>
      </c>
      <c r="U2153" s="274" t="s">
        <v>57</v>
      </c>
      <c r="V2153" s="279">
        <f>100</f>
        <v>100</v>
      </c>
      <c r="W2153" s="279">
        <f>15+1+84</f>
        <v>100</v>
      </c>
      <c r="X2153" s="280"/>
      <c r="Y2153" s="281">
        <f t="shared" si="802"/>
        <v>0</v>
      </c>
      <c r="Z2153" s="282">
        <f t="shared" si="794"/>
        <v>0</v>
      </c>
      <c r="AA2153" s="282">
        <f t="shared" si="778"/>
        <v>0</v>
      </c>
      <c r="AB2153" s="812">
        <v>7.4999999999999997E-3</v>
      </c>
      <c r="AC2153" s="279">
        <f>Z2153*AB2153</f>
        <v>0</v>
      </c>
      <c r="AD2153" s="209"/>
      <c r="AE2153" s="210">
        <f t="shared" si="795"/>
        <v>0</v>
      </c>
      <c r="AF2153" s="210">
        <f>AE2153/0.54</f>
        <v>0</v>
      </c>
      <c r="AG2153" s="211">
        <f t="shared" si="796"/>
        <v>0.13500000000000001</v>
      </c>
      <c r="AH2153" s="157">
        <f t="shared" si="803"/>
        <v>0</v>
      </c>
      <c r="AI2153" s="152">
        <f t="shared" si="798"/>
        <v>1200</v>
      </c>
      <c r="AK2153" s="156" t="s">
        <v>691</v>
      </c>
      <c r="AL2153" s="212" t="s">
        <v>690</v>
      </c>
      <c r="AM2153" s="198">
        <f t="shared" si="801"/>
        <v>0</v>
      </c>
      <c r="AN2153" s="199">
        <f t="shared" si="779"/>
        <v>45770</v>
      </c>
      <c r="AO2153" s="159" t="s">
        <v>692</v>
      </c>
      <c r="AP2153" s="781"/>
      <c r="AQ2153" s="782">
        <v>12071839</v>
      </c>
      <c r="AR2153" s="782">
        <v>12047514</v>
      </c>
      <c r="AS2153" s="782">
        <v>12047515</v>
      </c>
      <c r="AT2153" s="782"/>
      <c r="AU2153" s="781"/>
      <c r="AV2153" s="782">
        <v>12083307</v>
      </c>
      <c r="AW2153" s="782"/>
      <c r="AX2153" s="782"/>
      <c r="AY2153" s="782" t="s">
        <v>2189</v>
      </c>
      <c r="AZ2153" s="782" t="s">
        <v>2190</v>
      </c>
      <c r="BA2153" s="781"/>
      <c r="BB2153" s="209">
        <v>23053185</v>
      </c>
    </row>
    <row r="2154" spans="1:54" ht="25" hidden="1" customHeight="1">
      <c r="B2154" s="271">
        <v>45770</v>
      </c>
      <c r="C2154" s="272" t="s">
        <v>1929</v>
      </c>
      <c r="D2154" s="185">
        <f t="shared" si="776"/>
        <v>2025</v>
      </c>
      <c r="E2154" s="272" t="e">
        <f>VLOOKUP($B2154,Week!$A$1:$C$1462,2,0)</f>
        <v>#N/A</v>
      </c>
      <c r="F2154" s="273" t="str">
        <f t="shared" si="777"/>
        <v>Apr</v>
      </c>
      <c r="G2154" s="274" t="s">
        <v>47</v>
      </c>
      <c r="H2154" s="274" t="s">
        <v>518</v>
      </c>
      <c r="I2154" s="274" t="s">
        <v>2702</v>
      </c>
      <c r="J2154" s="275" t="s">
        <v>70</v>
      </c>
      <c r="K2154" s="276" t="s">
        <v>556</v>
      </c>
      <c r="L2154" s="300" t="s">
        <v>2167</v>
      </c>
      <c r="M2154" s="275" t="s">
        <v>520</v>
      </c>
      <c r="N2154" s="423" t="s">
        <v>586</v>
      </c>
      <c r="O2154" s="274" t="s">
        <v>585</v>
      </c>
      <c r="P2154" s="277">
        <v>12</v>
      </c>
      <c r="Q2154" s="277">
        <v>5</v>
      </c>
      <c r="R2154" s="278">
        <v>6.0000000000000001E-3</v>
      </c>
      <c r="S2154" s="274" t="s">
        <v>55</v>
      </c>
      <c r="T2154" s="274" t="s">
        <v>56</v>
      </c>
      <c r="U2154" s="274" t="s">
        <v>57</v>
      </c>
      <c r="V2154" s="279">
        <f>300</f>
        <v>300</v>
      </c>
      <c r="W2154" s="279">
        <v>300</v>
      </c>
      <c r="X2154" s="280"/>
      <c r="Y2154" s="281">
        <f t="shared" si="802"/>
        <v>0</v>
      </c>
      <c r="Z2154" s="282">
        <f t="shared" si="794"/>
        <v>0</v>
      </c>
      <c r="AA2154" s="282">
        <f t="shared" si="778"/>
        <v>0</v>
      </c>
      <c r="AB2154" s="812">
        <v>7.4999999999999997E-3</v>
      </c>
      <c r="AC2154" s="279">
        <f t="shared" si="799"/>
        <v>0</v>
      </c>
      <c r="AD2154" s="209"/>
      <c r="AE2154" s="210">
        <f t="shared" si="795"/>
        <v>0</v>
      </c>
      <c r="AF2154" s="210">
        <f t="shared" si="800"/>
        <v>0</v>
      </c>
      <c r="AG2154" s="211">
        <f t="shared" si="796"/>
        <v>0.13500000000000001</v>
      </c>
      <c r="AH2154" s="157">
        <f t="shared" si="803"/>
        <v>0</v>
      </c>
      <c r="AI2154" s="152">
        <f t="shared" si="798"/>
        <v>3600</v>
      </c>
      <c r="AK2154" s="156" t="s">
        <v>691</v>
      </c>
      <c r="AL2154" s="212" t="s">
        <v>690</v>
      </c>
      <c r="AM2154" s="198">
        <f t="shared" si="801"/>
        <v>0</v>
      </c>
      <c r="AN2154" s="199">
        <f t="shared" si="779"/>
        <v>45770</v>
      </c>
      <c r="AO2154" s="159" t="s">
        <v>692</v>
      </c>
      <c r="AP2154" s="781"/>
      <c r="AQ2154" s="782">
        <v>12071839</v>
      </c>
      <c r="AR2154" s="782">
        <v>12047514</v>
      </c>
      <c r="AS2154" s="782">
        <v>12047515</v>
      </c>
      <c r="AT2154" s="782"/>
      <c r="AU2154" s="781"/>
      <c r="AV2154" s="782">
        <v>12083307</v>
      </c>
      <c r="AW2154" s="782"/>
      <c r="AX2154" s="782"/>
      <c r="AY2154" s="782" t="s">
        <v>2189</v>
      </c>
      <c r="AZ2154" s="782" t="s">
        <v>2190</v>
      </c>
      <c r="BA2154" s="781"/>
      <c r="BB2154" s="209">
        <v>23053185</v>
      </c>
    </row>
    <row r="2155" spans="1:54" ht="25" hidden="1" customHeight="1">
      <c r="B2155" s="398">
        <v>45770</v>
      </c>
      <c r="C2155" s="399" t="s">
        <v>1928</v>
      </c>
      <c r="D2155" s="185">
        <f t="shared" si="776"/>
        <v>2025</v>
      </c>
      <c r="E2155" s="399" t="e">
        <f>VLOOKUP($B2155,Week!$A$1:$C$1462,2,0)</f>
        <v>#N/A</v>
      </c>
      <c r="F2155" s="400" t="str">
        <f t="shared" si="777"/>
        <v>Apr</v>
      </c>
      <c r="G2155" s="401" t="s">
        <v>47</v>
      </c>
      <c r="H2155" s="401" t="s">
        <v>518</v>
      </c>
      <c r="I2155" s="401" t="s">
        <v>2702</v>
      </c>
      <c r="J2155" s="402" t="s">
        <v>70</v>
      </c>
      <c r="K2155" s="403" t="s">
        <v>1645</v>
      </c>
      <c r="L2155" s="300" t="s">
        <v>2167</v>
      </c>
      <c r="M2155" s="402" t="s">
        <v>553</v>
      </c>
      <c r="N2155" s="404" t="s">
        <v>557</v>
      </c>
      <c r="O2155" s="401" t="s">
        <v>101</v>
      </c>
      <c r="P2155" s="405">
        <v>12</v>
      </c>
      <c r="Q2155" s="405">
        <v>5</v>
      </c>
      <c r="R2155" s="406">
        <v>8.0000000000000002E-3</v>
      </c>
      <c r="S2155" s="401" t="s">
        <v>40</v>
      </c>
      <c r="T2155" s="401" t="s">
        <v>56</v>
      </c>
      <c r="U2155" s="770" t="s">
        <v>499</v>
      </c>
      <c r="V2155" s="407">
        <f>200+300</f>
        <v>500</v>
      </c>
      <c r="W2155" s="407">
        <f>2+1+497</f>
        <v>500</v>
      </c>
      <c r="X2155" s="408"/>
      <c r="Y2155" s="409">
        <f t="shared" si="802"/>
        <v>0</v>
      </c>
      <c r="Z2155" s="410">
        <f t="shared" si="794"/>
        <v>0</v>
      </c>
      <c r="AA2155" s="410">
        <f t="shared" si="778"/>
        <v>0</v>
      </c>
      <c r="AB2155" s="824">
        <v>1</v>
      </c>
      <c r="AC2155" s="407">
        <f t="shared" si="799"/>
        <v>0</v>
      </c>
      <c r="AD2155" s="443"/>
      <c r="AE2155" s="210">
        <f t="shared" si="795"/>
        <v>0</v>
      </c>
      <c r="AF2155" s="210">
        <f t="shared" si="800"/>
        <v>0</v>
      </c>
      <c r="AG2155" s="211">
        <f t="shared" si="796"/>
        <v>0.115</v>
      </c>
      <c r="AH2155" s="157">
        <f t="shared" si="803"/>
        <v>0</v>
      </c>
      <c r="AI2155" s="152">
        <f t="shared" si="798"/>
        <v>6000</v>
      </c>
      <c r="AK2155" s="156" t="s">
        <v>691</v>
      </c>
      <c r="AL2155" s="212" t="s">
        <v>690</v>
      </c>
      <c r="AM2155" s="198">
        <f t="shared" si="801"/>
        <v>0</v>
      </c>
      <c r="AN2155" s="199">
        <f t="shared" si="779"/>
        <v>45770</v>
      </c>
      <c r="AO2155" s="159" t="s">
        <v>692</v>
      </c>
      <c r="AP2155" s="783" t="s">
        <v>623</v>
      </c>
      <c r="AQ2155" s="782">
        <v>12071839</v>
      </c>
      <c r="AR2155" s="782">
        <v>12047514</v>
      </c>
      <c r="AS2155" s="782">
        <v>12047515</v>
      </c>
      <c r="AT2155" s="782"/>
      <c r="AU2155" s="781"/>
      <c r="AV2155" s="782">
        <v>12072447</v>
      </c>
      <c r="AW2155" s="782"/>
      <c r="AX2155" s="782"/>
      <c r="AY2155" s="782">
        <v>12064574</v>
      </c>
      <c r="AZ2155" s="782">
        <v>12064576</v>
      </c>
      <c r="BA2155" s="781"/>
      <c r="BB2155" s="209">
        <v>23052995</v>
      </c>
    </row>
    <row r="2156" spans="1:54" ht="25" hidden="1" customHeight="1">
      <c r="B2156" s="398">
        <v>45770</v>
      </c>
      <c r="C2156" s="399" t="s">
        <v>1929</v>
      </c>
      <c r="D2156" s="185">
        <f t="shared" si="776"/>
        <v>2025</v>
      </c>
      <c r="E2156" s="399" t="e">
        <f>VLOOKUP($B2156,Week!$A$1:$C$1462,2,0)</f>
        <v>#N/A</v>
      </c>
      <c r="F2156" s="400" t="str">
        <f t="shared" si="777"/>
        <v>Apr</v>
      </c>
      <c r="G2156" s="401" t="s">
        <v>47</v>
      </c>
      <c r="H2156" s="401" t="s">
        <v>518</v>
      </c>
      <c r="I2156" s="401" t="s">
        <v>2702</v>
      </c>
      <c r="J2156" s="402" t="s">
        <v>70</v>
      </c>
      <c r="K2156" s="403" t="s">
        <v>1645</v>
      </c>
      <c r="L2156" s="300" t="s">
        <v>2167</v>
      </c>
      <c r="M2156" s="402" t="s">
        <v>553</v>
      </c>
      <c r="N2156" s="404" t="s">
        <v>557</v>
      </c>
      <c r="O2156" s="401" t="s">
        <v>101</v>
      </c>
      <c r="P2156" s="405">
        <v>12</v>
      </c>
      <c r="Q2156" s="405">
        <v>5</v>
      </c>
      <c r="R2156" s="406">
        <v>8.0000000000000002E-3</v>
      </c>
      <c r="S2156" s="401" t="s">
        <v>40</v>
      </c>
      <c r="T2156" s="401" t="s">
        <v>56</v>
      </c>
      <c r="U2156" s="770" t="s">
        <v>499</v>
      </c>
      <c r="V2156" s="407">
        <v>703</v>
      </c>
      <c r="W2156" s="407">
        <f>700+3</f>
        <v>703</v>
      </c>
      <c r="X2156" s="408"/>
      <c r="Y2156" s="409">
        <f t="shared" si="802"/>
        <v>0</v>
      </c>
      <c r="Z2156" s="410">
        <f t="shared" si="794"/>
        <v>0</v>
      </c>
      <c r="AA2156" s="410">
        <f t="shared" si="778"/>
        <v>0</v>
      </c>
      <c r="AB2156" s="824">
        <v>1</v>
      </c>
      <c r="AC2156" s="407">
        <f t="shared" si="799"/>
        <v>0</v>
      </c>
      <c r="AD2156" s="443"/>
      <c r="AE2156" s="210">
        <f t="shared" si="795"/>
        <v>0</v>
      </c>
      <c r="AF2156" s="210">
        <f t="shared" si="800"/>
        <v>0</v>
      </c>
      <c r="AG2156" s="211">
        <f t="shared" si="796"/>
        <v>0.115</v>
      </c>
      <c r="AH2156" s="157">
        <f t="shared" si="803"/>
        <v>0</v>
      </c>
      <c r="AI2156" s="152">
        <f t="shared" si="798"/>
        <v>8436</v>
      </c>
      <c r="AK2156" s="156" t="s">
        <v>691</v>
      </c>
      <c r="AL2156" s="212" t="s">
        <v>690</v>
      </c>
      <c r="AM2156" s="198">
        <f t="shared" si="801"/>
        <v>0</v>
      </c>
      <c r="AN2156" s="199">
        <f t="shared" si="779"/>
        <v>45770</v>
      </c>
      <c r="AO2156" s="159" t="s">
        <v>692</v>
      </c>
      <c r="AP2156" s="783" t="s">
        <v>623</v>
      </c>
      <c r="AQ2156" s="782">
        <v>12071839</v>
      </c>
      <c r="AR2156" s="782">
        <v>12047514</v>
      </c>
      <c r="AS2156" s="782">
        <v>12047515</v>
      </c>
      <c r="AT2156" s="782"/>
      <c r="AU2156" s="781"/>
      <c r="AV2156" s="782">
        <v>12072447</v>
      </c>
      <c r="AW2156" s="782"/>
      <c r="AX2156" s="782"/>
      <c r="AY2156" s="782">
        <v>12064574</v>
      </c>
      <c r="AZ2156" s="782">
        <v>12064576</v>
      </c>
      <c r="BA2156" s="781"/>
      <c r="BB2156" s="209">
        <v>23052995</v>
      </c>
    </row>
    <row r="2157" spans="1:54" ht="24.65" hidden="1" customHeight="1">
      <c r="B2157" s="411">
        <v>45770</v>
      </c>
      <c r="C2157" s="645" t="s">
        <v>1928</v>
      </c>
      <c r="D2157" s="185">
        <f t="shared" si="776"/>
        <v>2025</v>
      </c>
      <c r="E2157" s="412" t="e">
        <f>VLOOKUP($B2157,Week!$A$1:$C$1462,2,0)</f>
        <v>#N/A</v>
      </c>
      <c r="F2157" s="413" t="str">
        <f t="shared" si="777"/>
        <v>Apr</v>
      </c>
      <c r="G2157" s="414" t="s">
        <v>47</v>
      </c>
      <c r="H2157" s="414" t="s">
        <v>260</v>
      </c>
      <c r="I2157" s="414" t="s">
        <v>2702</v>
      </c>
      <c r="J2157" s="415" t="s">
        <v>261</v>
      </c>
      <c r="K2157" s="416" t="s">
        <v>94</v>
      </c>
      <c r="L2157" s="300" t="s">
        <v>2167</v>
      </c>
      <c r="M2157" s="415" t="s">
        <v>1303</v>
      </c>
      <c r="N2157" s="414" t="s">
        <v>263</v>
      </c>
      <c r="O2157" s="414" t="s">
        <v>195</v>
      </c>
      <c r="P2157" s="417">
        <v>24</v>
      </c>
      <c r="Q2157" s="417">
        <v>5</v>
      </c>
      <c r="R2157" s="418">
        <v>8.0000000000000002E-3</v>
      </c>
      <c r="S2157" s="414" t="s">
        <v>40</v>
      </c>
      <c r="T2157" s="414" t="s">
        <v>56</v>
      </c>
      <c r="U2157" s="414" t="s">
        <v>57</v>
      </c>
      <c r="V2157" s="419">
        <f>12500-104-1495-2520-4374+2+7</f>
        <v>4016</v>
      </c>
      <c r="W2157" s="419">
        <f>4016</f>
        <v>4016</v>
      </c>
      <c r="X2157" s="420"/>
      <c r="Y2157" s="421">
        <f t="shared" si="802"/>
        <v>0</v>
      </c>
      <c r="Z2157" s="422">
        <f t="shared" si="794"/>
        <v>0</v>
      </c>
      <c r="AA2157" s="422">
        <f t="shared" si="778"/>
        <v>0</v>
      </c>
      <c r="AB2157" s="825">
        <v>7.4999999999999997E-3</v>
      </c>
      <c r="AC2157" s="419">
        <f t="shared" ref="AC2157:AC2188" si="804">Z2157*AB2157</f>
        <v>0</v>
      </c>
      <c r="AD2157" s="209"/>
      <c r="AE2157" s="210">
        <f t="shared" si="795"/>
        <v>0</v>
      </c>
      <c r="AF2157" s="210">
        <f t="shared" ref="AF2157:AF2165" si="805">AE2157/0.54</f>
        <v>0</v>
      </c>
      <c r="AG2157" s="211">
        <f t="shared" si="796"/>
        <v>0.14499999999999999</v>
      </c>
      <c r="AH2157" s="157">
        <f t="shared" si="803"/>
        <v>0</v>
      </c>
      <c r="AI2157" s="152">
        <f t="shared" si="798"/>
        <v>96384</v>
      </c>
      <c r="AK2157" s="156" t="s">
        <v>691</v>
      </c>
      <c r="AL2157" s="212" t="s">
        <v>690</v>
      </c>
      <c r="AM2157" s="198">
        <f t="shared" ref="AM2157:AM2164" si="806">AG2157*Z2157</f>
        <v>0</v>
      </c>
      <c r="AN2157" s="199">
        <f t="shared" si="779"/>
        <v>45770</v>
      </c>
      <c r="AO2157" s="159" t="s">
        <v>692</v>
      </c>
      <c r="AP2157" s="783" t="s">
        <v>609</v>
      </c>
      <c r="AQ2157" s="782">
        <v>12071839</v>
      </c>
      <c r="AR2157" s="782">
        <v>12047514</v>
      </c>
      <c r="AS2157" s="782">
        <v>12047515</v>
      </c>
      <c r="AT2157" s="781"/>
      <c r="AU2157" s="781"/>
      <c r="AV2157" s="782">
        <v>12080613</v>
      </c>
      <c r="AW2157" s="781"/>
      <c r="AX2157" s="781"/>
      <c r="AY2157" s="782">
        <v>12094241</v>
      </c>
      <c r="AZ2157" s="782">
        <v>12094242</v>
      </c>
      <c r="BA2157" s="781"/>
      <c r="BB2157" s="209">
        <v>23053185</v>
      </c>
    </row>
    <row r="2158" spans="1:54" ht="24.65" hidden="1" customHeight="1">
      <c r="B2158" s="411">
        <v>45770</v>
      </c>
      <c r="C2158" s="645" t="s">
        <v>1929</v>
      </c>
      <c r="D2158" s="185">
        <f t="shared" si="776"/>
        <v>2025</v>
      </c>
      <c r="E2158" s="412" t="e">
        <f>VLOOKUP($B2158,Week!$A$1:$C$1462,2,0)</f>
        <v>#N/A</v>
      </c>
      <c r="F2158" s="413" t="str">
        <f t="shared" si="777"/>
        <v>Apr</v>
      </c>
      <c r="G2158" s="414" t="s">
        <v>47</v>
      </c>
      <c r="H2158" s="414" t="s">
        <v>260</v>
      </c>
      <c r="I2158" s="414" t="s">
        <v>2702</v>
      </c>
      <c r="J2158" s="415" t="s">
        <v>261</v>
      </c>
      <c r="K2158" s="416" t="s">
        <v>94</v>
      </c>
      <c r="L2158" s="300" t="s">
        <v>2167</v>
      </c>
      <c r="M2158" s="415" t="s">
        <v>1303</v>
      </c>
      <c r="N2158" s="414" t="s">
        <v>263</v>
      </c>
      <c r="O2158" s="414" t="s">
        <v>195</v>
      </c>
      <c r="P2158" s="417">
        <v>24</v>
      </c>
      <c r="Q2158" s="417">
        <v>5</v>
      </c>
      <c r="R2158" s="418">
        <v>8.0000000000000002E-3</v>
      </c>
      <c r="S2158" s="414" t="s">
        <v>40</v>
      </c>
      <c r="T2158" s="414" t="s">
        <v>56</v>
      </c>
      <c r="U2158" s="414" t="s">
        <v>57</v>
      </c>
      <c r="V2158" s="419">
        <v>458</v>
      </c>
      <c r="W2158" s="419">
        <f>4474-4016</f>
        <v>458</v>
      </c>
      <c r="X2158" s="420"/>
      <c r="Y2158" s="421">
        <f t="shared" ref="Y2158:Y2164" si="807">(W2158+X2158)-V2158</f>
        <v>0</v>
      </c>
      <c r="Z2158" s="422">
        <f t="shared" si="794"/>
        <v>0</v>
      </c>
      <c r="AA2158" s="422">
        <f t="shared" si="778"/>
        <v>0</v>
      </c>
      <c r="AB2158" s="825">
        <v>7.4999999999999997E-3</v>
      </c>
      <c r="AC2158" s="419">
        <f t="shared" si="804"/>
        <v>0</v>
      </c>
      <c r="AD2158" s="209"/>
      <c r="AE2158" s="210">
        <f t="shared" si="795"/>
        <v>0</v>
      </c>
      <c r="AF2158" s="210">
        <f t="shared" si="805"/>
        <v>0</v>
      </c>
      <c r="AG2158" s="211">
        <f t="shared" si="796"/>
        <v>0.14499999999999999</v>
      </c>
      <c r="AH2158" s="157">
        <f t="shared" ref="AH2158:AH2164" si="808">(Z2158*AG2158)/1000</f>
        <v>0</v>
      </c>
      <c r="AI2158" s="152">
        <f t="shared" si="798"/>
        <v>10992</v>
      </c>
      <c r="AK2158" s="156" t="s">
        <v>691</v>
      </c>
      <c r="AL2158" s="212" t="s">
        <v>690</v>
      </c>
      <c r="AM2158" s="198">
        <f t="shared" si="806"/>
        <v>0</v>
      </c>
      <c r="AN2158" s="199">
        <f t="shared" si="779"/>
        <v>45770</v>
      </c>
      <c r="AO2158" s="159" t="s">
        <v>692</v>
      </c>
      <c r="AP2158" s="783" t="s">
        <v>609</v>
      </c>
      <c r="AQ2158" s="782">
        <v>12071839</v>
      </c>
      <c r="AR2158" s="782">
        <v>12047514</v>
      </c>
      <c r="AS2158" s="782">
        <v>12047515</v>
      </c>
      <c r="AT2158" s="781"/>
      <c r="AU2158" s="781"/>
      <c r="AV2158" s="782">
        <v>12080613</v>
      </c>
      <c r="AW2158" s="781"/>
      <c r="AX2158" s="781"/>
      <c r="AY2158" s="782">
        <v>12094241</v>
      </c>
      <c r="AZ2158" s="782">
        <v>12094242</v>
      </c>
      <c r="BA2158" s="781"/>
      <c r="BB2158" s="209">
        <v>23053185</v>
      </c>
    </row>
    <row r="2159" spans="1:54" ht="25" hidden="1" customHeight="1">
      <c r="A2159" s="529" t="s">
        <v>1937</v>
      </c>
      <c r="B2159" s="357">
        <v>45771</v>
      </c>
      <c r="C2159" s="776" t="s">
        <v>1929</v>
      </c>
      <c r="D2159" s="185">
        <f t="shared" si="776"/>
        <v>2025</v>
      </c>
      <c r="E2159" s="358" t="e">
        <f>VLOOKUP($B2159,Week!$A$1:$C$1462,2,0)</f>
        <v>#N/A</v>
      </c>
      <c r="F2159" s="360" t="str">
        <f t="shared" si="777"/>
        <v>Apr</v>
      </c>
      <c r="G2159" s="359" t="s">
        <v>47</v>
      </c>
      <c r="H2159" s="359" t="s">
        <v>518</v>
      </c>
      <c r="I2159" s="359" t="s">
        <v>2702</v>
      </c>
      <c r="J2159" s="361" t="s">
        <v>70</v>
      </c>
      <c r="K2159" s="362" t="s">
        <v>94</v>
      </c>
      <c r="L2159" s="300" t="s">
        <v>2167</v>
      </c>
      <c r="M2159" s="361" t="s">
        <v>519</v>
      </c>
      <c r="N2159" s="436" t="s">
        <v>648</v>
      </c>
      <c r="O2159" s="359" t="s">
        <v>97</v>
      </c>
      <c r="P2159" s="363">
        <v>12</v>
      </c>
      <c r="Q2159" s="363">
        <v>5</v>
      </c>
      <c r="R2159" s="364">
        <v>8.0000000000000002E-3</v>
      </c>
      <c r="S2159" s="359" t="s">
        <v>40</v>
      </c>
      <c r="T2159" s="359" t="s">
        <v>56</v>
      </c>
      <c r="U2159" s="359" t="s">
        <v>57</v>
      </c>
      <c r="V2159" s="365">
        <v>12</v>
      </c>
      <c r="W2159" s="365">
        <v>12</v>
      </c>
      <c r="X2159" s="366"/>
      <c r="Y2159" s="367">
        <f t="shared" si="807"/>
        <v>0</v>
      </c>
      <c r="Z2159" s="368">
        <f t="shared" si="794"/>
        <v>0</v>
      </c>
      <c r="AA2159" s="368">
        <f t="shared" si="778"/>
        <v>0</v>
      </c>
      <c r="AB2159" s="819">
        <v>7.4999999999999997E-3</v>
      </c>
      <c r="AC2159" s="365">
        <f t="shared" si="804"/>
        <v>0</v>
      </c>
      <c r="AD2159" s="209"/>
      <c r="AE2159" s="210">
        <f t="shared" si="795"/>
        <v>0</v>
      </c>
      <c r="AF2159" s="210">
        <f t="shared" si="805"/>
        <v>0</v>
      </c>
      <c r="AG2159" s="211">
        <f t="shared" si="796"/>
        <v>0.14499999999999999</v>
      </c>
      <c r="AH2159" s="157">
        <f t="shared" si="808"/>
        <v>0</v>
      </c>
      <c r="AI2159" s="152">
        <f t="shared" si="798"/>
        <v>144</v>
      </c>
      <c r="AK2159" s="156" t="s">
        <v>691</v>
      </c>
      <c r="AL2159" s="574" t="s">
        <v>690</v>
      </c>
      <c r="AM2159" s="198">
        <f t="shared" si="806"/>
        <v>0</v>
      </c>
      <c r="AN2159" s="199">
        <f t="shared" si="779"/>
        <v>45771</v>
      </c>
      <c r="AO2159" s="159" t="s">
        <v>692</v>
      </c>
      <c r="AP2159" s="783" t="s">
        <v>628</v>
      </c>
      <c r="AQ2159" s="782">
        <v>12071839</v>
      </c>
      <c r="AR2159" s="782">
        <v>12047514</v>
      </c>
      <c r="AS2159" s="782">
        <v>12047515</v>
      </c>
      <c r="AT2159" s="782"/>
      <c r="AU2159" s="781"/>
      <c r="AV2159" s="782">
        <v>12080617</v>
      </c>
      <c r="AW2159" s="782"/>
      <c r="AX2159" s="782"/>
      <c r="AY2159" s="782">
        <v>12094231</v>
      </c>
      <c r="AZ2159" s="782">
        <v>1209232</v>
      </c>
      <c r="BA2159" s="781"/>
      <c r="BB2159" s="209">
        <v>23053185</v>
      </c>
    </row>
    <row r="2160" spans="1:54" ht="24.65" hidden="1" customHeight="1">
      <c r="A2160" s="529" t="s">
        <v>1812</v>
      </c>
      <c r="B2160" s="357">
        <v>45771</v>
      </c>
      <c r="C2160" s="358">
        <v>45787</v>
      </c>
      <c r="D2160" s="185">
        <f t="shared" si="776"/>
        <v>2025</v>
      </c>
      <c r="E2160" s="358" t="e">
        <f>VLOOKUP($B2160,Week!$A$1:$C$1462,2,0)</f>
        <v>#N/A</v>
      </c>
      <c r="F2160" s="360" t="str">
        <f t="shared" si="777"/>
        <v>Apr</v>
      </c>
      <c r="G2160" s="359" t="s">
        <v>2211</v>
      </c>
      <c r="H2160" s="359" t="s">
        <v>1820</v>
      </c>
      <c r="I2160" s="359" t="s">
        <v>1820</v>
      </c>
      <c r="J2160" s="437" t="s">
        <v>1821</v>
      </c>
      <c r="K2160" s="362" t="s">
        <v>94</v>
      </c>
      <c r="L2160" s="300" t="s">
        <v>2167</v>
      </c>
      <c r="M2160" s="361" t="s">
        <v>1823</v>
      </c>
      <c r="N2160" s="436" t="s">
        <v>1818</v>
      </c>
      <c r="O2160" s="359" t="s">
        <v>97</v>
      </c>
      <c r="P2160" s="363">
        <v>12</v>
      </c>
      <c r="Q2160" s="363">
        <v>5</v>
      </c>
      <c r="R2160" s="364">
        <v>8.0000000000000002E-3</v>
      </c>
      <c r="S2160" s="359" t="s">
        <v>40</v>
      </c>
      <c r="T2160" s="359" t="s">
        <v>56</v>
      </c>
      <c r="U2160" s="359" t="s">
        <v>57</v>
      </c>
      <c r="V2160" s="365">
        <f>100</f>
        <v>100</v>
      </c>
      <c r="W2160" s="365">
        <v>100</v>
      </c>
      <c r="X2160" s="366"/>
      <c r="Y2160" s="367">
        <f t="shared" si="807"/>
        <v>0</v>
      </c>
      <c r="Z2160" s="368">
        <f t="shared" si="794"/>
        <v>0</v>
      </c>
      <c r="AA2160" s="368">
        <f t="shared" si="778"/>
        <v>0</v>
      </c>
      <c r="AB2160" s="819">
        <v>7.4999999999999997E-3</v>
      </c>
      <c r="AC2160" s="365">
        <f t="shared" si="804"/>
        <v>0</v>
      </c>
      <c r="AD2160" s="209"/>
      <c r="AE2160" s="210">
        <f t="shared" si="795"/>
        <v>0</v>
      </c>
      <c r="AF2160" s="210">
        <f t="shared" si="805"/>
        <v>0</v>
      </c>
      <c r="AG2160" s="211">
        <f t="shared" si="796"/>
        <v>0.14499999999999999</v>
      </c>
      <c r="AH2160" s="157">
        <f t="shared" si="808"/>
        <v>0</v>
      </c>
      <c r="AI2160" s="152">
        <f t="shared" si="798"/>
        <v>1200</v>
      </c>
      <c r="AK2160" s="156" t="s">
        <v>691</v>
      </c>
      <c r="AL2160" s="574" t="s">
        <v>690</v>
      </c>
      <c r="AM2160" s="198">
        <f t="shared" si="806"/>
        <v>0</v>
      </c>
      <c r="AN2160" s="199">
        <f t="shared" si="779"/>
        <v>45771</v>
      </c>
      <c r="AO2160" s="159" t="s">
        <v>692</v>
      </c>
      <c r="AP2160" s="783" t="s">
        <v>628</v>
      </c>
      <c r="AQ2160" s="782">
        <v>12071839</v>
      </c>
      <c r="AR2160" s="782">
        <v>12047514</v>
      </c>
      <c r="AS2160" s="782">
        <v>12047515</v>
      </c>
      <c r="AT2160" s="782"/>
      <c r="AU2160" s="781"/>
      <c r="AV2160" s="782">
        <v>12080617</v>
      </c>
      <c r="AW2160" s="782"/>
      <c r="AX2160" s="782"/>
      <c r="AY2160" s="782">
        <v>12094231</v>
      </c>
      <c r="AZ2160" s="782">
        <v>1209232</v>
      </c>
      <c r="BA2160" s="781"/>
      <c r="BB2160" s="209">
        <v>23053185</v>
      </c>
    </row>
    <row r="2161" spans="1:54" ht="25" hidden="1" customHeight="1">
      <c r="B2161" s="357">
        <v>45771</v>
      </c>
      <c r="C2161" s="776" t="s">
        <v>1928</v>
      </c>
      <c r="D2161" s="185">
        <f t="shared" si="776"/>
        <v>2025</v>
      </c>
      <c r="E2161" s="358" t="e">
        <f>VLOOKUP($B2161,Week!$A$1:$C$1462,2,0)</f>
        <v>#N/A</v>
      </c>
      <c r="F2161" s="360" t="str">
        <f t="shared" si="777"/>
        <v>Apr</v>
      </c>
      <c r="G2161" s="359" t="s">
        <v>47</v>
      </c>
      <c r="H2161" s="359" t="s">
        <v>518</v>
      </c>
      <c r="I2161" s="359" t="s">
        <v>2702</v>
      </c>
      <c r="J2161" s="361" t="s">
        <v>70</v>
      </c>
      <c r="K2161" s="362" t="s">
        <v>94</v>
      </c>
      <c r="L2161" s="300" t="s">
        <v>2167</v>
      </c>
      <c r="M2161" s="361" t="s">
        <v>519</v>
      </c>
      <c r="N2161" s="359" t="s">
        <v>589</v>
      </c>
      <c r="O2161" s="359" t="s">
        <v>97</v>
      </c>
      <c r="P2161" s="363">
        <v>12</v>
      </c>
      <c r="Q2161" s="363">
        <v>5</v>
      </c>
      <c r="R2161" s="364">
        <v>8.0000000000000002E-3</v>
      </c>
      <c r="S2161" s="359" t="s">
        <v>40</v>
      </c>
      <c r="T2161" s="359" t="s">
        <v>56</v>
      </c>
      <c r="U2161" s="359" t="s">
        <v>57</v>
      </c>
      <c r="V2161" s="365">
        <f>2700</f>
        <v>2700</v>
      </c>
      <c r="W2161" s="365">
        <f>16+9+2675</f>
        <v>2700</v>
      </c>
      <c r="X2161" s="366"/>
      <c r="Y2161" s="367">
        <f t="shared" si="807"/>
        <v>0</v>
      </c>
      <c r="Z2161" s="368">
        <f t="shared" si="794"/>
        <v>0</v>
      </c>
      <c r="AA2161" s="368">
        <f t="shared" si="778"/>
        <v>0</v>
      </c>
      <c r="AB2161" s="819">
        <v>7.4999999999999997E-3</v>
      </c>
      <c r="AC2161" s="365">
        <f t="shared" si="804"/>
        <v>0</v>
      </c>
      <c r="AD2161" s="209"/>
      <c r="AE2161" s="210">
        <f t="shared" si="795"/>
        <v>0</v>
      </c>
      <c r="AF2161" s="210">
        <f t="shared" si="805"/>
        <v>0</v>
      </c>
      <c r="AG2161" s="211">
        <f t="shared" si="796"/>
        <v>0.14499999999999999</v>
      </c>
      <c r="AH2161" s="157">
        <f t="shared" si="808"/>
        <v>0</v>
      </c>
      <c r="AI2161" s="152">
        <f t="shared" si="798"/>
        <v>32400</v>
      </c>
      <c r="AK2161" s="156" t="s">
        <v>691</v>
      </c>
      <c r="AL2161" s="574" t="s">
        <v>690</v>
      </c>
      <c r="AM2161" s="198">
        <f t="shared" si="806"/>
        <v>0</v>
      </c>
      <c r="AN2161" s="199">
        <f t="shared" si="779"/>
        <v>45771</v>
      </c>
      <c r="AO2161" s="159" t="s">
        <v>692</v>
      </c>
      <c r="AP2161" s="783" t="s">
        <v>628</v>
      </c>
      <c r="AQ2161" s="782">
        <v>12071839</v>
      </c>
      <c r="AR2161" s="782">
        <v>12047514</v>
      </c>
      <c r="AS2161" s="782">
        <v>12047515</v>
      </c>
      <c r="AT2161" s="782"/>
      <c r="AU2161" s="781"/>
      <c r="AV2161" s="782">
        <v>12080617</v>
      </c>
      <c r="AW2161" s="782"/>
      <c r="AX2161" s="782"/>
      <c r="AY2161" s="782">
        <v>12094231</v>
      </c>
      <c r="AZ2161" s="782">
        <v>1209232</v>
      </c>
      <c r="BA2161" s="781"/>
      <c r="BB2161" s="209">
        <v>23053185</v>
      </c>
    </row>
    <row r="2162" spans="1:54" ht="25" hidden="1" customHeight="1">
      <c r="B2162" s="357">
        <v>45771</v>
      </c>
      <c r="C2162" s="776" t="s">
        <v>1929</v>
      </c>
      <c r="D2162" s="185">
        <f t="shared" si="776"/>
        <v>2025</v>
      </c>
      <c r="E2162" s="358" t="e">
        <f>VLOOKUP($B2162,Week!$A$1:$C$1462,2,0)</f>
        <v>#N/A</v>
      </c>
      <c r="F2162" s="360" t="str">
        <f t="shared" si="777"/>
        <v>Apr</v>
      </c>
      <c r="G2162" s="359" t="s">
        <v>47</v>
      </c>
      <c r="H2162" s="359" t="s">
        <v>518</v>
      </c>
      <c r="I2162" s="359" t="s">
        <v>2702</v>
      </c>
      <c r="J2162" s="361" t="s">
        <v>70</v>
      </c>
      <c r="K2162" s="362" t="s">
        <v>94</v>
      </c>
      <c r="L2162" s="300" t="s">
        <v>2167</v>
      </c>
      <c r="M2162" s="361" t="s">
        <v>519</v>
      </c>
      <c r="N2162" s="359" t="s">
        <v>589</v>
      </c>
      <c r="O2162" s="359" t="s">
        <v>97</v>
      </c>
      <c r="P2162" s="363">
        <v>12</v>
      </c>
      <c r="Q2162" s="363">
        <v>5</v>
      </c>
      <c r="R2162" s="364">
        <v>8.0000000000000002E-3</v>
      </c>
      <c r="S2162" s="359" t="s">
        <v>40</v>
      </c>
      <c r="T2162" s="359" t="s">
        <v>56</v>
      </c>
      <c r="U2162" s="359" t="s">
        <v>57</v>
      </c>
      <c r="V2162" s="365">
        <v>3509</v>
      </c>
      <c r="W2162" s="365">
        <f>6184-2675</f>
        <v>3509</v>
      </c>
      <c r="X2162" s="366"/>
      <c r="Y2162" s="367">
        <f t="shared" si="807"/>
        <v>0</v>
      </c>
      <c r="Z2162" s="368">
        <f t="shared" si="794"/>
        <v>0</v>
      </c>
      <c r="AA2162" s="368">
        <f t="shared" si="778"/>
        <v>0</v>
      </c>
      <c r="AB2162" s="819">
        <v>7.4999999999999997E-3</v>
      </c>
      <c r="AC2162" s="365">
        <f t="shared" si="804"/>
        <v>0</v>
      </c>
      <c r="AD2162" s="209"/>
      <c r="AE2162" s="210">
        <f t="shared" si="795"/>
        <v>0</v>
      </c>
      <c r="AF2162" s="210">
        <f t="shared" si="805"/>
        <v>0</v>
      </c>
      <c r="AG2162" s="211">
        <f t="shared" si="796"/>
        <v>0.14499999999999999</v>
      </c>
      <c r="AH2162" s="157">
        <f t="shared" si="808"/>
        <v>0</v>
      </c>
      <c r="AI2162" s="152">
        <f t="shared" si="798"/>
        <v>42108</v>
      </c>
      <c r="AK2162" s="156" t="s">
        <v>691</v>
      </c>
      <c r="AL2162" s="574" t="s">
        <v>690</v>
      </c>
      <c r="AM2162" s="198">
        <f t="shared" si="806"/>
        <v>0</v>
      </c>
      <c r="AN2162" s="199">
        <f t="shared" si="779"/>
        <v>45771</v>
      </c>
      <c r="AO2162" s="159" t="s">
        <v>692</v>
      </c>
      <c r="AP2162" s="783" t="s">
        <v>628</v>
      </c>
      <c r="AQ2162" s="782">
        <v>12071839</v>
      </c>
      <c r="AR2162" s="782">
        <v>12047514</v>
      </c>
      <c r="AS2162" s="782">
        <v>12047515</v>
      </c>
      <c r="AT2162" s="782"/>
      <c r="AU2162" s="781"/>
      <c r="AV2162" s="782">
        <v>12080617</v>
      </c>
      <c r="AW2162" s="782"/>
      <c r="AX2162" s="782"/>
      <c r="AY2162" s="782">
        <v>12094231</v>
      </c>
      <c r="AZ2162" s="782">
        <v>1209232</v>
      </c>
      <c r="BA2162" s="781"/>
      <c r="BB2162" s="209">
        <v>23053185</v>
      </c>
    </row>
    <row r="2163" spans="1:54" ht="25" hidden="1" customHeight="1">
      <c r="A2163" s="529" t="s">
        <v>1827</v>
      </c>
      <c r="B2163" s="571">
        <v>45771</v>
      </c>
      <c r="C2163" s="235">
        <v>45787</v>
      </c>
      <c r="D2163" s="185">
        <f t="shared" si="776"/>
        <v>2025</v>
      </c>
      <c r="E2163" s="235" t="e">
        <f>VLOOKUP($B2163,Week!$A$1:$C$1462,2,0)</f>
        <v>#N/A</v>
      </c>
      <c r="F2163" s="237" t="str">
        <f t="shared" si="777"/>
        <v>Apr</v>
      </c>
      <c r="G2163" s="236" t="s">
        <v>2210</v>
      </c>
      <c r="H2163" s="756" t="s">
        <v>1827</v>
      </c>
      <c r="I2163" s="756" t="s">
        <v>1827</v>
      </c>
      <c r="J2163" s="774" t="s">
        <v>1828</v>
      </c>
      <c r="K2163" s="239" t="s">
        <v>94</v>
      </c>
      <c r="L2163" s="300" t="s">
        <v>2167</v>
      </c>
      <c r="M2163" s="238" t="s">
        <v>1303</v>
      </c>
      <c r="N2163" s="236" t="s">
        <v>263</v>
      </c>
      <c r="O2163" s="236" t="s">
        <v>195</v>
      </c>
      <c r="P2163" s="240">
        <v>24</v>
      </c>
      <c r="Q2163" s="240">
        <v>5</v>
      </c>
      <c r="R2163" s="241">
        <v>8.0000000000000002E-3</v>
      </c>
      <c r="S2163" s="236" t="s">
        <v>40</v>
      </c>
      <c r="T2163" s="236" t="s">
        <v>56</v>
      </c>
      <c r="U2163" s="236" t="s">
        <v>57</v>
      </c>
      <c r="V2163" s="242">
        <f>50</f>
        <v>50</v>
      </c>
      <c r="W2163" s="242">
        <v>50</v>
      </c>
      <c r="X2163" s="243"/>
      <c r="Y2163" s="244">
        <f t="shared" si="807"/>
        <v>0</v>
      </c>
      <c r="Z2163" s="245">
        <f t="shared" si="794"/>
        <v>0</v>
      </c>
      <c r="AA2163" s="245">
        <f t="shared" si="778"/>
        <v>0</v>
      </c>
      <c r="AB2163" s="809">
        <v>7.4999999999999997E-3</v>
      </c>
      <c r="AC2163" s="242">
        <f t="shared" si="804"/>
        <v>0</v>
      </c>
      <c r="AD2163" s="209"/>
      <c r="AE2163" s="210">
        <f t="shared" si="795"/>
        <v>0</v>
      </c>
      <c r="AF2163" s="210">
        <f t="shared" si="805"/>
        <v>0</v>
      </c>
      <c r="AG2163" s="211">
        <f t="shared" si="796"/>
        <v>0.14499999999999999</v>
      </c>
      <c r="AH2163" s="157">
        <f t="shared" si="808"/>
        <v>0</v>
      </c>
      <c r="AI2163" s="152">
        <f t="shared" si="798"/>
        <v>1200</v>
      </c>
      <c r="AK2163" s="156" t="s">
        <v>691</v>
      </c>
      <c r="AL2163" s="574" t="s">
        <v>690</v>
      </c>
      <c r="AM2163" s="198">
        <f t="shared" si="806"/>
        <v>0</v>
      </c>
      <c r="AN2163" s="199">
        <f t="shared" si="779"/>
        <v>45771</v>
      </c>
      <c r="AO2163" s="159" t="s">
        <v>692</v>
      </c>
      <c r="AP2163" s="783" t="s">
        <v>628</v>
      </c>
      <c r="AQ2163" s="782">
        <v>12071839</v>
      </c>
      <c r="AR2163" s="782">
        <v>12047514</v>
      </c>
      <c r="AS2163" s="782">
        <v>12047515</v>
      </c>
      <c r="AT2163" s="782"/>
      <c r="AU2163" s="781"/>
      <c r="AV2163" s="782">
        <v>12080613</v>
      </c>
      <c r="AW2163" s="782"/>
      <c r="AX2163" s="782"/>
      <c r="AY2163" s="782">
        <v>12094241</v>
      </c>
      <c r="AZ2163" s="782">
        <v>12094242</v>
      </c>
      <c r="BA2163" s="781"/>
      <c r="BB2163" s="209">
        <v>23053185</v>
      </c>
    </row>
    <row r="2164" spans="1:54" ht="24.65" hidden="1" customHeight="1">
      <c r="B2164" s="411">
        <v>45771</v>
      </c>
      <c r="C2164" s="645" t="s">
        <v>1929</v>
      </c>
      <c r="D2164" s="185">
        <f t="shared" si="776"/>
        <v>2025</v>
      </c>
      <c r="E2164" s="412" t="e">
        <f>VLOOKUP($B2164,Week!$A$1:$C$1462,2,0)</f>
        <v>#N/A</v>
      </c>
      <c r="F2164" s="413" t="str">
        <f t="shared" si="777"/>
        <v>Apr</v>
      </c>
      <c r="G2164" s="414" t="s">
        <v>47</v>
      </c>
      <c r="H2164" s="414" t="s">
        <v>260</v>
      </c>
      <c r="I2164" s="414" t="s">
        <v>2702</v>
      </c>
      <c r="J2164" s="415" t="s">
        <v>261</v>
      </c>
      <c r="K2164" s="416" t="s">
        <v>94</v>
      </c>
      <c r="L2164" s="300" t="s">
        <v>2167</v>
      </c>
      <c r="M2164" s="415" t="s">
        <v>1303</v>
      </c>
      <c r="N2164" s="414" t="s">
        <v>263</v>
      </c>
      <c r="O2164" s="414" t="s">
        <v>195</v>
      </c>
      <c r="P2164" s="417">
        <v>24</v>
      </c>
      <c r="Q2164" s="417">
        <v>5</v>
      </c>
      <c r="R2164" s="418">
        <v>8.0000000000000002E-3</v>
      </c>
      <c r="S2164" s="414" t="s">
        <v>40</v>
      </c>
      <c r="T2164" s="414" t="s">
        <v>56</v>
      </c>
      <c r="U2164" s="414" t="s">
        <v>57</v>
      </c>
      <c r="V2164" s="419">
        <v>204</v>
      </c>
      <c r="W2164" s="419">
        <v>204</v>
      </c>
      <c r="X2164" s="420"/>
      <c r="Y2164" s="421">
        <f t="shared" si="807"/>
        <v>0</v>
      </c>
      <c r="Z2164" s="422">
        <f t="shared" si="794"/>
        <v>0</v>
      </c>
      <c r="AA2164" s="422">
        <f t="shared" si="778"/>
        <v>0</v>
      </c>
      <c r="AB2164" s="825">
        <v>7.4999999999999997E-3</v>
      </c>
      <c r="AC2164" s="419">
        <f t="shared" si="804"/>
        <v>0</v>
      </c>
      <c r="AD2164" s="209"/>
      <c r="AE2164" s="210">
        <f t="shared" si="795"/>
        <v>0</v>
      </c>
      <c r="AF2164" s="210">
        <f t="shared" si="805"/>
        <v>0</v>
      </c>
      <c r="AG2164" s="211">
        <f t="shared" si="796"/>
        <v>0.14499999999999999</v>
      </c>
      <c r="AH2164" s="157">
        <f t="shared" si="808"/>
        <v>0</v>
      </c>
      <c r="AI2164" s="152">
        <f t="shared" si="798"/>
        <v>4896</v>
      </c>
      <c r="AK2164" s="156" t="s">
        <v>691</v>
      </c>
      <c r="AL2164" s="212" t="s">
        <v>690</v>
      </c>
      <c r="AM2164" s="198">
        <f t="shared" si="806"/>
        <v>0</v>
      </c>
      <c r="AN2164" s="199">
        <f t="shared" si="779"/>
        <v>45771</v>
      </c>
      <c r="AO2164" s="159" t="s">
        <v>692</v>
      </c>
      <c r="AP2164" s="783" t="s">
        <v>609</v>
      </c>
      <c r="AQ2164" s="782">
        <v>12071839</v>
      </c>
      <c r="AR2164" s="782">
        <v>12047514</v>
      </c>
      <c r="AS2164" s="782">
        <v>12047515</v>
      </c>
      <c r="AT2164" s="781"/>
      <c r="AU2164" s="781"/>
      <c r="AV2164" s="782">
        <v>12080613</v>
      </c>
      <c r="AW2164" s="781"/>
      <c r="AX2164" s="781"/>
      <c r="AY2164" s="782">
        <v>12094241</v>
      </c>
      <c r="AZ2164" s="782">
        <v>12094242</v>
      </c>
      <c r="BA2164" s="781"/>
      <c r="BB2164" s="209">
        <v>23053185</v>
      </c>
    </row>
    <row r="2165" spans="1:54" ht="25" hidden="1" customHeight="1">
      <c r="B2165" s="424">
        <v>45771</v>
      </c>
      <c r="C2165" s="647" t="s">
        <v>1928</v>
      </c>
      <c r="D2165" s="185">
        <f t="shared" si="776"/>
        <v>2025</v>
      </c>
      <c r="E2165" s="425" t="e">
        <f>VLOOKUP($B2165,Week!$A$1:$C$1462,2,0)</f>
        <v>#N/A</v>
      </c>
      <c r="F2165" s="426" t="str">
        <f t="shared" si="777"/>
        <v>Apr</v>
      </c>
      <c r="G2165" s="427" t="s">
        <v>47</v>
      </c>
      <c r="H2165" s="427" t="s">
        <v>518</v>
      </c>
      <c r="I2165" s="427" t="s">
        <v>2702</v>
      </c>
      <c r="J2165" s="428" t="s">
        <v>70</v>
      </c>
      <c r="K2165" s="429" t="s">
        <v>94</v>
      </c>
      <c r="L2165" s="300" t="s">
        <v>2167</v>
      </c>
      <c r="M2165" s="428" t="s">
        <v>521</v>
      </c>
      <c r="N2165" s="427" t="s">
        <v>587</v>
      </c>
      <c r="O2165" s="427" t="s">
        <v>3198</v>
      </c>
      <c r="P2165" s="430">
        <v>18</v>
      </c>
      <c r="Q2165" s="430">
        <v>5</v>
      </c>
      <c r="R2165" s="431">
        <v>8.0000000000000002E-3</v>
      </c>
      <c r="S2165" s="427" t="s">
        <v>40</v>
      </c>
      <c r="T2165" s="427" t="s">
        <v>56</v>
      </c>
      <c r="U2165" s="427" t="s">
        <v>89</v>
      </c>
      <c r="V2165" s="432">
        <f>2367-960-500</f>
        <v>907</v>
      </c>
      <c r="W2165" s="432">
        <f>328+579</f>
        <v>907</v>
      </c>
      <c r="X2165" s="433"/>
      <c r="Y2165" s="434">
        <f t="shared" ref="Y2165:Y2171" si="809">(W2165+X2165)-V2165</f>
        <v>0</v>
      </c>
      <c r="Z2165" s="435">
        <f t="shared" si="794"/>
        <v>0</v>
      </c>
      <c r="AA2165" s="435">
        <f t="shared" si="778"/>
        <v>0</v>
      </c>
      <c r="AB2165" s="826">
        <v>1</v>
      </c>
      <c r="AC2165" s="432">
        <f t="shared" si="804"/>
        <v>0</v>
      </c>
      <c r="AD2165" s="209"/>
      <c r="AE2165" s="210">
        <f t="shared" si="795"/>
        <v>0</v>
      </c>
      <c r="AF2165" s="210">
        <f t="shared" si="805"/>
        <v>0</v>
      </c>
      <c r="AG2165" s="211" t="e">
        <f>(MID(O2165,1,3)/1000)/3</f>
        <v>#VALUE!</v>
      </c>
      <c r="AH2165" s="157" t="e">
        <f t="shared" ref="AH2165:AH2171" si="810">(Z2165*AG2165)/1000</f>
        <v>#VALUE!</v>
      </c>
      <c r="AI2165" s="152">
        <f t="shared" si="798"/>
        <v>16326</v>
      </c>
      <c r="AK2165" s="156" t="s">
        <v>691</v>
      </c>
      <c r="AL2165" s="212" t="s">
        <v>690</v>
      </c>
      <c r="AM2165" s="198" t="e">
        <f t="shared" ref="AM2165:AM2170" si="811">AG2165*Z2165</f>
        <v>#VALUE!</v>
      </c>
      <c r="AN2165" s="199">
        <f t="shared" si="779"/>
        <v>45771</v>
      </c>
      <c r="AO2165" s="159" t="s">
        <v>692</v>
      </c>
      <c r="AP2165" s="783" t="s">
        <v>628</v>
      </c>
      <c r="AQ2165" s="782"/>
      <c r="AR2165" s="782"/>
      <c r="AS2165" s="782"/>
      <c r="AT2165" s="782"/>
      <c r="AU2165" s="781"/>
      <c r="AV2165" s="782">
        <v>12080791</v>
      </c>
      <c r="AW2165" s="782" t="s">
        <v>641</v>
      </c>
      <c r="AX2165" s="782" t="s">
        <v>533</v>
      </c>
      <c r="AY2165" s="782"/>
      <c r="AZ2165" s="782"/>
      <c r="BA2165" s="781"/>
      <c r="BB2165" s="209">
        <v>23053184</v>
      </c>
    </row>
    <row r="2166" spans="1:54" ht="25" hidden="1" customHeight="1">
      <c r="B2166" s="424">
        <v>45771</v>
      </c>
      <c r="C2166" s="647" t="s">
        <v>1929</v>
      </c>
      <c r="D2166" s="185">
        <f t="shared" si="776"/>
        <v>2025</v>
      </c>
      <c r="E2166" s="425" t="e">
        <f>VLOOKUP($B2166,Week!$A$1:$C$1462,2,0)</f>
        <v>#N/A</v>
      </c>
      <c r="F2166" s="426" t="str">
        <f t="shared" si="777"/>
        <v>Apr</v>
      </c>
      <c r="G2166" s="427" t="s">
        <v>47</v>
      </c>
      <c r="H2166" s="427" t="s">
        <v>518</v>
      </c>
      <c r="I2166" s="427" t="s">
        <v>2702</v>
      </c>
      <c r="J2166" s="428" t="s">
        <v>70</v>
      </c>
      <c r="K2166" s="429" t="s">
        <v>94</v>
      </c>
      <c r="L2166" s="300" t="s">
        <v>2167</v>
      </c>
      <c r="M2166" s="428" t="s">
        <v>521</v>
      </c>
      <c r="N2166" s="427" t="s">
        <v>587</v>
      </c>
      <c r="O2166" s="427" t="s">
        <v>3198</v>
      </c>
      <c r="P2166" s="430">
        <v>18</v>
      </c>
      <c r="Q2166" s="430">
        <v>5</v>
      </c>
      <c r="R2166" s="431">
        <v>8.0000000000000002E-3</v>
      </c>
      <c r="S2166" s="427" t="s">
        <v>40</v>
      </c>
      <c r="T2166" s="427" t="s">
        <v>56</v>
      </c>
      <c r="U2166" s="427" t="s">
        <v>89</v>
      </c>
      <c r="V2166" s="432">
        <f>1200</f>
        <v>1200</v>
      </c>
      <c r="W2166" s="432">
        <f>1292-579+480+7</f>
        <v>1200</v>
      </c>
      <c r="X2166" s="433"/>
      <c r="Y2166" s="434">
        <f t="shared" si="809"/>
        <v>0</v>
      </c>
      <c r="Z2166" s="435">
        <f t="shared" si="794"/>
        <v>0</v>
      </c>
      <c r="AA2166" s="435">
        <f t="shared" si="778"/>
        <v>0</v>
      </c>
      <c r="AB2166" s="826">
        <v>1</v>
      </c>
      <c r="AC2166" s="432">
        <f t="shared" si="804"/>
        <v>0</v>
      </c>
      <c r="AD2166" s="209"/>
      <c r="AE2166" s="210">
        <f t="shared" si="795"/>
        <v>0</v>
      </c>
      <c r="AF2166" s="210">
        <f t="shared" ref="AF2166:AF2172" si="812">AE2166/0.54</f>
        <v>0</v>
      </c>
      <c r="AG2166" s="211" t="e">
        <f>(MID(O2166,1,3)/1000)/3</f>
        <v>#VALUE!</v>
      </c>
      <c r="AH2166" s="157" t="e">
        <f t="shared" si="810"/>
        <v>#VALUE!</v>
      </c>
      <c r="AI2166" s="152">
        <f t="shared" si="798"/>
        <v>21600</v>
      </c>
      <c r="AK2166" s="156" t="s">
        <v>691</v>
      </c>
      <c r="AL2166" s="212" t="s">
        <v>690</v>
      </c>
      <c r="AM2166" s="198" t="e">
        <f t="shared" si="811"/>
        <v>#VALUE!</v>
      </c>
      <c r="AN2166" s="199">
        <f t="shared" si="779"/>
        <v>45771</v>
      </c>
      <c r="AO2166" s="159" t="s">
        <v>692</v>
      </c>
      <c r="AP2166" s="783" t="s">
        <v>628</v>
      </c>
      <c r="AQ2166" s="782"/>
      <c r="AR2166" s="782"/>
      <c r="AS2166" s="782"/>
      <c r="AT2166" s="782"/>
      <c r="AU2166" s="781"/>
      <c r="AV2166" s="782">
        <v>12080791</v>
      </c>
      <c r="AW2166" s="782" t="s">
        <v>641</v>
      </c>
      <c r="AX2166" s="782" t="s">
        <v>533</v>
      </c>
      <c r="AY2166" s="782"/>
      <c r="AZ2166" s="782"/>
      <c r="BA2166" s="781"/>
      <c r="BB2166" s="209">
        <v>23053184</v>
      </c>
    </row>
    <row r="2167" spans="1:54" ht="24.65" hidden="1" customHeight="1">
      <c r="A2167" s="529" t="s">
        <v>1827</v>
      </c>
      <c r="B2167" s="571">
        <v>45771</v>
      </c>
      <c r="C2167" s="235">
        <v>45787</v>
      </c>
      <c r="D2167" s="185">
        <f t="shared" si="776"/>
        <v>2025</v>
      </c>
      <c r="E2167" s="235" t="e">
        <f>VLOOKUP($B2167,Week!$A$1:$C$1462,2,0)</f>
        <v>#N/A</v>
      </c>
      <c r="F2167" s="237" t="str">
        <f t="shared" si="777"/>
        <v>Apr</v>
      </c>
      <c r="G2167" s="236" t="s">
        <v>2210</v>
      </c>
      <c r="H2167" s="756" t="s">
        <v>1827</v>
      </c>
      <c r="I2167" s="756" t="s">
        <v>1827</v>
      </c>
      <c r="J2167" s="774" t="s">
        <v>1828</v>
      </c>
      <c r="K2167" s="239" t="s">
        <v>1020</v>
      </c>
      <c r="L2167" s="300" t="s">
        <v>2167</v>
      </c>
      <c r="M2167" s="238" t="s">
        <v>741</v>
      </c>
      <c r="N2167" s="756" t="s">
        <v>740</v>
      </c>
      <c r="O2167" s="236" t="s">
        <v>742</v>
      </c>
      <c r="P2167" s="240">
        <v>24</v>
      </c>
      <c r="Q2167" s="240">
        <v>5</v>
      </c>
      <c r="R2167" s="236">
        <v>6.1999999999999998E-3</v>
      </c>
      <c r="S2167" s="236" t="s">
        <v>352</v>
      </c>
      <c r="T2167" s="236" t="s">
        <v>56</v>
      </c>
      <c r="U2167" s="236" t="s">
        <v>739</v>
      </c>
      <c r="V2167" s="242">
        <f>50</f>
        <v>50</v>
      </c>
      <c r="W2167" s="242">
        <v>50</v>
      </c>
      <c r="X2167" s="243"/>
      <c r="Y2167" s="244">
        <f>(W2167+X2167)-V2167</f>
        <v>0</v>
      </c>
      <c r="Z2167" s="245">
        <f t="shared" si="794"/>
        <v>0</v>
      </c>
      <c r="AA2167" s="245">
        <f t="shared" si="778"/>
        <v>0</v>
      </c>
      <c r="AB2167" s="809">
        <v>1.2999999999999999E-2</v>
      </c>
      <c r="AC2167" s="242">
        <f t="shared" si="804"/>
        <v>0</v>
      </c>
      <c r="AD2167" s="209"/>
      <c r="AE2167" s="210">
        <f t="shared" si="795"/>
        <v>0</v>
      </c>
      <c r="AF2167" s="210">
        <f>AE2167/0.54</f>
        <v>0</v>
      </c>
      <c r="AG2167" s="211">
        <f t="shared" ref="AG2167:AG2178" si="813">MID(O2167,1,3)/1000</f>
        <v>0.14299999999999999</v>
      </c>
      <c r="AH2167" s="157">
        <f>(Z2167*AG2167)/1000</f>
        <v>0</v>
      </c>
      <c r="AI2167" s="152">
        <f t="shared" si="798"/>
        <v>1200</v>
      </c>
      <c r="AK2167" s="156" t="s">
        <v>691</v>
      </c>
      <c r="AL2167" s="212" t="s">
        <v>690</v>
      </c>
      <c r="AM2167" s="198">
        <f t="shared" si="811"/>
        <v>0</v>
      </c>
      <c r="AN2167" s="199">
        <f t="shared" si="779"/>
        <v>45771</v>
      </c>
      <c r="AO2167" s="159" t="s">
        <v>692</v>
      </c>
      <c r="AP2167" s="783" t="s">
        <v>609</v>
      </c>
      <c r="AQ2167" s="782">
        <v>12071839</v>
      </c>
      <c r="AR2167" s="782">
        <v>12047514</v>
      </c>
      <c r="AS2167" s="782">
        <v>12047515</v>
      </c>
      <c r="AT2167" s="781"/>
      <c r="AU2167" s="781"/>
      <c r="AV2167" s="782">
        <v>12089668</v>
      </c>
      <c r="AW2167" s="781"/>
      <c r="AX2167" s="781"/>
      <c r="AY2167" s="782" t="s">
        <v>2227</v>
      </c>
      <c r="AZ2167" s="798" t="s">
        <v>2228</v>
      </c>
      <c r="BA2167" s="781"/>
      <c r="BB2167" s="209">
        <v>11042803</v>
      </c>
    </row>
    <row r="2168" spans="1:54" ht="24.65" hidden="1" customHeight="1">
      <c r="A2168" s="529" t="s">
        <v>1827</v>
      </c>
      <c r="B2168" s="571">
        <v>45771</v>
      </c>
      <c r="C2168" s="235">
        <v>45818</v>
      </c>
      <c r="D2168" s="185">
        <f t="shared" si="776"/>
        <v>2025</v>
      </c>
      <c r="E2168" s="235" t="e">
        <f>VLOOKUP($B2168,Week!$A$1:$C$1462,2,0)</f>
        <v>#N/A</v>
      </c>
      <c r="F2168" s="237" t="str">
        <f t="shared" si="777"/>
        <v>Apr</v>
      </c>
      <c r="G2168" s="236" t="s">
        <v>2210</v>
      </c>
      <c r="H2168" s="756" t="s">
        <v>1827</v>
      </c>
      <c r="I2168" s="756" t="s">
        <v>1827</v>
      </c>
      <c r="J2168" s="774" t="s">
        <v>1828</v>
      </c>
      <c r="K2168" s="239" t="s">
        <v>1020</v>
      </c>
      <c r="L2168" s="300" t="s">
        <v>2167</v>
      </c>
      <c r="M2168" s="238" t="s">
        <v>741</v>
      </c>
      <c r="N2168" s="756" t="s">
        <v>740</v>
      </c>
      <c r="O2168" s="236" t="s">
        <v>742</v>
      </c>
      <c r="P2168" s="240">
        <v>24</v>
      </c>
      <c r="Q2168" s="240">
        <v>5</v>
      </c>
      <c r="R2168" s="236">
        <v>6.1999999999999998E-3</v>
      </c>
      <c r="S2168" s="236" t="s">
        <v>352</v>
      </c>
      <c r="T2168" s="236" t="s">
        <v>56</v>
      </c>
      <c r="U2168" s="236" t="s">
        <v>739</v>
      </c>
      <c r="V2168" s="242">
        <f>50</f>
        <v>50</v>
      </c>
      <c r="W2168" s="242">
        <v>50</v>
      </c>
      <c r="X2168" s="243"/>
      <c r="Y2168" s="244">
        <f>(W2168+X2168)-V2168</f>
        <v>0</v>
      </c>
      <c r="Z2168" s="245">
        <f t="shared" si="794"/>
        <v>0</v>
      </c>
      <c r="AA2168" s="245">
        <f t="shared" si="778"/>
        <v>0</v>
      </c>
      <c r="AB2168" s="809">
        <v>1.2999999999999999E-2</v>
      </c>
      <c r="AC2168" s="242">
        <f t="shared" si="804"/>
        <v>0</v>
      </c>
      <c r="AD2168" s="209"/>
      <c r="AE2168" s="210">
        <f t="shared" si="795"/>
        <v>0</v>
      </c>
      <c r="AF2168" s="210">
        <f>AE2168/0.54</f>
        <v>0</v>
      </c>
      <c r="AG2168" s="211">
        <f t="shared" si="813"/>
        <v>0.14299999999999999</v>
      </c>
      <c r="AH2168" s="157">
        <f>(Z2168*AG2168)/1000</f>
        <v>0</v>
      </c>
      <c r="AI2168" s="152">
        <f t="shared" si="798"/>
        <v>1200</v>
      </c>
      <c r="AK2168" s="156" t="s">
        <v>691</v>
      </c>
      <c r="AL2168" s="212" t="s">
        <v>690</v>
      </c>
      <c r="AM2168" s="198">
        <f t="shared" si="811"/>
        <v>0</v>
      </c>
      <c r="AN2168" s="199">
        <f t="shared" si="779"/>
        <v>45771</v>
      </c>
      <c r="AO2168" s="159" t="s">
        <v>692</v>
      </c>
      <c r="AP2168" s="783" t="s">
        <v>609</v>
      </c>
      <c r="AQ2168" s="782">
        <v>12071839</v>
      </c>
      <c r="AR2168" s="782">
        <v>12047514</v>
      </c>
      <c r="AS2168" s="782">
        <v>12047515</v>
      </c>
      <c r="AT2168" s="781"/>
      <c r="AU2168" s="781"/>
      <c r="AV2168" s="782">
        <v>12089668</v>
      </c>
      <c r="AW2168" s="781"/>
      <c r="AX2168" s="781"/>
      <c r="AY2168" s="782" t="s">
        <v>2227</v>
      </c>
      <c r="AZ2168" s="798" t="s">
        <v>2228</v>
      </c>
      <c r="BA2168" s="781"/>
      <c r="BB2168" s="209"/>
    </row>
    <row r="2169" spans="1:54" ht="24.65" hidden="1" customHeight="1">
      <c r="A2169" s="529" t="s">
        <v>1827</v>
      </c>
      <c r="B2169" s="571">
        <v>45771</v>
      </c>
      <c r="C2169" s="235">
        <v>45823</v>
      </c>
      <c r="D2169" s="185">
        <f t="shared" si="776"/>
        <v>2025</v>
      </c>
      <c r="E2169" s="235" t="e">
        <f>VLOOKUP($B2169,Week!$A$1:$C$1462,2,0)</f>
        <v>#N/A</v>
      </c>
      <c r="F2169" s="237" t="str">
        <f t="shared" si="777"/>
        <v>Apr</v>
      </c>
      <c r="G2169" s="236" t="s">
        <v>2294</v>
      </c>
      <c r="H2169" s="756" t="s">
        <v>1827</v>
      </c>
      <c r="I2169" s="756" t="s">
        <v>1827</v>
      </c>
      <c r="J2169" s="774" t="s">
        <v>1828</v>
      </c>
      <c r="K2169" s="239" t="s">
        <v>1020</v>
      </c>
      <c r="L2169" s="300" t="s">
        <v>2167</v>
      </c>
      <c r="M2169" s="238" t="s">
        <v>741</v>
      </c>
      <c r="N2169" s="756" t="s">
        <v>740</v>
      </c>
      <c r="O2169" s="236" t="s">
        <v>742</v>
      </c>
      <c r="P2169" s="240">
        <v>24</v>
      </c>
      <c r="Q2169" s="240">
        <v>5</v>
      </c>
      <c r="R2169" s="236">
        <v>6.1999999999999998E-3</v>
      </c>
      <c r="S2169" s="236" t="s">
        <v>352</v>
      </c>
      <c r="T2169" s="236" t="s">
        <v>56</v>
      </c>
      <c r="U2169" s="236" t="s">
        <v>739</v>
      </c>
      <c r="V2169" s="242">
        <f>100</f>
        <v>100</v>
      </c>
      <c r="W2169" s="242">
        <v>100</v>
      </c>
      <c r="X2169" s="243"/>
      <c r="Y2169" s="244">
        <f t="shared" si="809"/>
        <v>0</v>
      </c>
      <c r="Z2169" s="245">
        <f t="shared" si="794"/>
        <v>0</v>
      </c>
      <c r="AA2169" s="245">
        <f t="shared" si="778"/>
        <v>0</v>
      </c>
      <c r="AB2169" s="809">
        <v>1.2999999999999999E-2</v>
      </c>
      <c r="AC2169" s="242">
        <f t="shared" si="804"/>
        <v>0</v>
      </c>
      <c r="AD2169" s="209"/>
      <c r="AE2169" s="210">
        <f t="shared" si="795"/>
        <v>0</v>
      </c>
      <c r="AF2169" s="210">
        <f t="shared" si="812"/>
        <v>0</v>
      </c>
      <c r="AG2169" s="211">
        <f t="shared" si="813"/>
        <v>0.14299999999999999</v>
      </c>
      <c r="AH2169" s="157">
        <f t="shared" si="810"/>
        <v>0</v>
      </c>
      <c r="AI2169" s="152">
        <f t="shared" si="798"/>
        <v>2400</v>
      </c>
      <c r="AK2169" s="156" t="s">
        <v>691</v>
      </c>
      <c r="AL2169" s="212" t="s">
        <v>690</v>
      </c>
      <c r="AM2169" s="198">
        <f t="shared" si="811"/>
        <v>0</v>
      </c>
      <c r="AN2169" s="199">
        <f t="shared" si="779"/>
        <v>45771</v>
      </c>
      <c r="AO2169" s="159" t="s">
        <v>692</v>
      </c>
      <c r="AP2169" s="783" t="s">
        <v>609</v>
      </c>
      <c r="AQ2169" s="782">
        <v>12071839</v>
      </c>
      <c r="AR2169" s="782">
        <v>12047514</v>
      </c>
      <c r="AS2169" s="782">
        <v>12047515</v>
      </c>
      <c r="AT2169" s="781"/>
      <c r="AU2169" s="781"/>
      <c r="AV2169" s="782">
        <v>12089668</v>
      </c>
      <c r="AW2169" s="781"/>
      <c r="AX2169" s="781"/>
      <c r="AY2169" s="782" t="s">
        <v>2227</v>
      </c>
      <c r="AZ2169" s="798" t="s">
        <v>2228</v>
      </c>
      <c r="BA2169" s="781"/>
      <c r="BB2169" s="209">
        <v>11042803</v>
      </c>
    </row>
    <row r="2170" spans="1:54" ht="24.65" hidden="1" customHeight="1">
      <c r="B2170" s="246">
        <v>45771</v>
      </c>
      <c r="C2170" s="247" t="s">
        <v>1928</v>
      </c>
      <c r="D2170" s="185">
        <f t="shared" si="776"/>
        <v>2025</v>
      </c>
      <c r="E2170" s="247" t="e">
        <f>VLOOKUP($B2170,Week!$A$1:$C$1462,2,0)</f>
        <v>#N/A</v>
      </c>
      <c r="F2170" s="248" t="str">
        <f t="shared" si="777"/>
        <v>Apr</v>
      </c>
      <c r="G2170" s="249" t="s">
        <v>47</v>
      </c>
      <c r="H2170" s="249" t="s">
        <v>260</v>
      </c>
      <c r="I2170" s="249" t="s">
        <v>2702</v>
      </c>
      <c r="J2170" s="250" t="s">
        <v>70</v>
      </c>
      <c r="K2170" s="251" t="s">
        <v>1020</v>
      </c>
      <c r="L2170" s="300" t="s">
        <v>2167</v>
      </c>
      <c r="M2170" s="250" t="s">
        <v>741</v>
      </c>
      <c r="N2170" s="249" t="s">
        <v>740</v>
      </c>
      <c r="O2170" s="249" t="s">
        <v>742</v>
      </c>
      <c r="P2170" s="252">
        <v>24</v>
      </c>
      <c r="Q2170" s="252">
        <v>5</v>
      </c>
      <c r="R2170" s="249">
        <v>6.1999999999999998E-3</v>
      </c>
      <c r="S2170" s="249" t="s">
        <v>352</v>
      </c>
      <c r="T2170" s="249" t="s">
        <v>56</v>
      </c>
      <c r="U2170" s="249" t="s">
        <v>739</v>
      </c>
      <c r="V2170" s="254">
        <v>256</v>
      </c>
      <c r="W2170" s="254">
        <v>256</v>
      </c>
      <c r="X2170" s="255"/>
      <c r="Y2170" s="256">
        <f t="shared" si="809"/>
        <v>0</v>
      </c>
      <c r="Z2170" s="257">
        <f t="shared" si="794"/>
        <v>0</v>
      </c>
      <c r="AA2170" s="257">
        <f t="shared" si="778"/>
        <v>0</v>
      </c>
      <c r="AB2170" s="810">
        <v>1.2999999999999999E-2</v>
      </c>
      <c r="AC2170" s="254">
        <f t="shared" si="804"/>
        <v>0</v>
      </c>
      <c r="AD2170" s="209"/>
      <c r="AE2170" s="210">
        <f t="shared" si="795"/>
        <v>0</v>
      </c>
      <c r="AF2170" s="210">
        <f>AE2170/0.54</f>
        <v>0</v>
      </c>
      <c r="AG2170" s="211">
        <f t="shared" si="813"/>
        <v>0.14299999999999999</v>
      </c>
      <c r="AH2170" s="157">
        <f t="shared" si="810"/>
        <v>0</v>
      </c>
      <c r="AI2170" s="152">
        <f t="shared" si="798"/>
        <v>6144</v>
      </c>
      <c r="AK2170" s="156" t="s">
        <v>691</v>
      </c>
      <c r="AL2170" s="212" t="s">
        <v>690</v>
      </c>
      <c r="AM2170" s="198">
        <f t="shared" si="811"/>
        <v>0</v>
      </c>
      <c r="AN2170" s="199">
        <f t="shared" si="779"/>
        <v>45771</v>
      </c>
      <c r="AO2170" s="159" t="s">
        <v>692</v>
      </c>
      <c r="AP2170" s="783" t="s">
        <v>609</v>
      </c>
      <c r="AQ2170" s="782">
        <v>12071839</v>
      </c>
      <c r="AR2170" s="782">
        <v>12047514</v>
      </c>
      <c r="AS2170" s="782">
        <v>12047515</v>
      </c>
      <c r="AT2170" s="781"/>
      <c r="AU2170" s="781"/>
      <c r="AV2170" s="782">
        <v>12089668</v>
      </c>
      <c r="AW2170" s="781"/>
      <c r="AX2170" s="781"/>
      <c r="AY2170" s="782" t="s">
        <v>2227</v>
      </c>
      <c r="AZ2170" s="798" t="s">
        <v>2228</v>
      </c>
      <c r="BA2170" s="781"/>
      <c r="BB2170" s="209">
        <v>11042803</v>
      </c>
    </row>
    <row r="2171" spans="1:54" ht="24.65" hidden="1" customHeight="1">
      <c r="A2171" s="529" t="s">
        <v>1812</v>
      </c>
      <c r="B2171" s="546">
        <v>45771</v>
      </c>
      <c r="C2171" s="547">
        <v>45787</v>
      </c>
      <c r="D2171" s="185">
        <f t="shared" si="776"/>
        <v>2025</v>
      </c>
      <c r="E2171" s="547" t="e">
        <f>VLOOKUP($B2171,Week!$A$1:$C$1462,2,0)</f>
        <v>#N/A</v>
      </c>
      <c r="F2171" s="548" t="str">
        <f t="shared" si="777"/>
        <v>Apr</v>
      </c>
      <c r="G2171" s="549" t="s">
        <v>2211</v>
      </c>
      <c r="H2171" s="549" t="s">
        <v>1820</v>
      </c>
      <c r="I2171" s="549" t="s">
        <v>1820</v>
      </c>
      <c r="J2171" s="772" t="s">
        <v>1821</v>
      </c>
      <c r="K2171" s="551" t="s">
        <v>1020</v>
      </c>
      <c r="L2171" s="300" t="s">
        <v>2167</v>
      </c>
      <c r="M2171" s="550" t="s">
        <v>1824</v>
      </c>
      <c r="N2171" s="618" t="s">
        <v>1817</v>
      </c>
      <c r="O2171" s="549" t="s">
        <v>747</v>
      </c>
      <c r="P2171" s="552">
        <v>12</v>
      </c>
      <c r="Q2171" s="552">
        <v>5</v>
      </c>
      <c r="R2171" s="549">
        <v>6.1999999999999998E-3</v>
      </c>
      <c r="S2171" s="549" t="s">
        <v>352</v>
      </c>
      <c r="T2171" s="549" t="s">
        <v>56</v>
      </c>
      <c r="U2171" s="549" t="s">
        <v>739</v>
      </c>
      <c r="V2171" s="554">
        <f>100</f>
        <v>100</v>
      </c>
      <c r="W2171" s="554">
        <v>100</v>
      </c>
      <c r="X2171" s="555"/>
      <c r="Y2171" s="556">
        <f t="shared" si="809"/>
        <v>0</v>
      </c>
      <c r="Z2171" s="557">
        <f t="shared" si="794"/>
        <v>0</v>
      </c>
      <c r="AA2171" s="557">
        <f t="shared" si="778"/>
        <v>0</v>
      </c>
      <c r="AB2171" s="833">
        <v>1.2999999999999999E-2</v>
      </c>
      <c r="AC2171" s="554">
        <f t="shared" si="804"/>
        <v>0</v>
      </c>
      <c r="AD2171" s="209"/>
      <c r="AE2171" s="210">
        <f t="shared" si="795"/>
        <v>0</v>
      </c>
      <c r="AF2171" s="210">
        <f t="shared" si="812"/>
        <v>0</v>
      </c>
      <c r="AG2171" s="211">
        <f t="shared" si="813"/>
        <v>0.14299999999999999</v>
      </c>
      <c r="AH2171" s="157">
        <f t="shared" si="810"/>
        <v>0</v>
      </c>
      <c r="AI2171" s="152">
        <f t="shared" si="798"/>
        <v>1200</v>
      </c>
      <c r="AK2171" s="156" t="s">
        <v>691</v>
      </c>
      <c r="AL2171" s="212" t="s">
        <v>690</v>
      </c>
      <c r="AM2171" s="198">
        <f t="shared" ref="AM2171:AM2181" si="814">AG2171*Z2171</f>
        <v>0</v>
      </c>
      <c r="AN2171" s="199">
        <f t="shared" si="779"/>
        <v>45771</v>
      </c>
      <c r="AO2171" s="159" t="s">
        <v>692</v>
      </c>
      <c r="AP2171" s="783" t="s">
        <v>609</v>
      </c>
      <c r="AQ2171" s="782">
        <v>12071839</v>
      </c>
      <c r="AR2171" s="782">
        <v>12047514</v>
      </c>
      <c r="AS2171" s="782">
        <v>12047515</v>
      </c>
      <c r="AT2171" s="781"/>
      <c r="AU2171" s="781"/>
      <c r="AV2171" s="782">
        <v>12088316</v>
      </c>
      <c r="AW2171" s="781"/>
      <c r="AX2171" s="781"/>
      <c r="AY2171" s="782">
        <v>12089871</v>
      </c>
      <c r="AZ2171" s="782">
        <v>12089872</v>
      </c>
      <c r="BA2171" s="781" t="s">
        <v>2191</v>
      </c>
      <c r="BB2171" s="209">
        <v>11042803</v>
      </c>
    </row>
    <row r="2172" spans="1:54" ht="24.65" hidden="1" customHeight="1">
      <c r="B2172" s="546">
        <v>45771</v>
      </c>
      <c r="C2172" s="547" t="s">
        <v>1929</v>
      </c>
      <c r="D2172" s="185">
        <f t="shared" si="776"/>
        <v>2025</v>
      </c>
      <c r="E2172" s="547" t="e">
        <f>VLOOKUP($B2172,Week!$A$1:$C$1462,2,0)</f>
        <v>#N/A</v>
      </c>
      <c r="F2172" s="548" t="str">
        <f t="shared" si="777"/>
        <v>Apr</v>
      </c>
      <c r="G2172" s="549" t="s">
        <v>47</v>
      </c>
      <c r="H2172" s="549" t="s">
        <v>518</v>
      </c>
      <c r="I2172" s="549" t="s">
        <v>2702</v>
      </c>
      <c r="J2172" s="550" t="s">
        <v>70</v>
      </c>
      <c r="K2172" s="551" t="s">
        <v>1020</v>
      </c>
      <c r="L2172" s="300" t="s">
        <v>2167</v>
      </c>
      <c r="M2172" s="550" t="s">
        <v>746</v>
      </c>
      <c r="N2172" s="618" t="s">
        <v>751</v>
      </c>
      <c r="O2172" s="549" t="s">
        <v>747</v>
      </c>
      <c r="P2172" s="552">
        <v>12</v>
      </c>
      <c r="Q2172" s="552">
        <v>5</v>
      </c>
      <c r="R2172" s="549">
        <v>6.1999999999999998E-3</v>
      </c>
      <c r="S2172" s="549" t="s">
        <v>352</v>
      </c>
      <c r="T2172" s="549" t="s">
        <v>56</v>
      </c>
      <c r="U2172" s="549" t="s">
        <v>739</v>
      </c>
      <c r="V2172" s="554">
        <f>900+5</f>
        <v>905</v>
      </c>
      <c r="W2172" s="554">
        <f>20+880+5</f>
        <v>905</v>
      </c>
      <c r="X2172" s="555"/>
      <c r="Y2172" s="556">
        <f t="shared" ref="Y2172:Y2178" si="815">(W2172+X2172)-V2172</f>
        <v>0</v>
      </c>
      <c r="Z2172" s="557">
        <f t="shared" si="794"/>
        <v>0</v>
      </c>
      <c r="AA2172" s="557">
        <f t="shared" si="778"/>
        <v>0</v>
      </c>
      <c r="AB2172" s="833">
        <v>1.2999999999999999E-2</v>
      </c>
      <c r="AC2172" s="554">
        <f t="shared" si="804"/>
        <v>0</v>
      </c>
      <c r="AD2172" s="209"/>
      <c r="AE2172" s="210">
        <f t="shared" si="795"/>
        <v>0</v>
      </c>
      <c r="AF2172" s="210">
        <f t="shared" si="812"/>
        <v>0</v>
      </c>
      <c r="AG2172" s="211">
        <f t="shared" si="813"/>
        <v>0.14299999999999999</v>
      </c>
      <c r="AH2172" s="157">
        <f t="shared" ref="AH2172:AH2177" si="816">(Z2172*AG2172)/1000</f>
        <v>0</v>
      </c>
      <c r="AI2172" s="152">
        <f t="shared" si="798"/>
        <v>10860</v>
      </c>
      <c r="AK2172" s="156" t="s">
        <v>691</v>
      </c>
      <c r="AL2172" s="212" t="s">
        <v>690</v>
      </c>
      <c r="AM2172" s="198">
        <f t="shared" si="814"/>
        <v>0</v>
      </c>
      <c r="AN2172" s="199">
        <f t="shared" si="779"/>
        <v>45771</v>
      </c>
      <c r="AO2172" s="159" t="s">
        <v>692</v>
      </c>
      <c r="AP2172" s="783" t="s">
        <v>609</v>
      </c>
      <c r="AQ2172" s="782">
        <v>12071839</v>
      </c>
      <c r="AR2172" s="782">
        <v>12047514</v>
      </c>
      <c r="AS2172" s="782">
        <v>12047515</v>
      </c>
      <c r="AT2172" s="781"/>
      <c r="AU2172" s="781"/>
      <c r="AV2172" s="782">
        <v>12088316</v>
      </c>
      <c r="AW2172" s="781"/>
      <c r="AX2172" s="781"/>
      <c r="AY2172" s="782" t="s">
        <v>2192</v>
      </c>
      <c r="AZ2172" s="782" t="s">
        <v>2193</v>
      </c>
      <c r="BA2172" s="781"/>
      <c r="BB2172" s="209">
        <v>11042803</v>
      </c>
    </row>
    <row r="2173" spans="1:54" ht="25.15" hidden="1" customHeight="1">
      <c r="B2173" s="345">
        <v>45772</v>
      </c>
      <c r="C2173" s="346">
        <v>45790</v>
      </c>
      <c r="D2173" s="185">
        <f t="shared" si="776"/>
        <v>2025</v>
      </c>
      <c r="E2173" s="347" t="e">
        <f>VLOOKUP($B2173,Week!$A$1:$C$1462,2,0)</f>
        <v>#N/A</v>
      </c>
      <c r="F2173" s="348" t="str">
        <f t="shared" si="777"/>
        <v>Apr</v>
      </c>
      <c r="G2173" s="347" t="s">
        <v>1809</v>
      </c>
      <c r="H2173" s="347" t="s">
        <v>424</v>
      </c>
      <c r="I2173" s="347" t="s">
        <v>2772</v>
      </c>
      <c r="J2173" s="438" t="s">
        <v>425</v>
      </c>
      <c r="K2173" s="350" t="s">
        <v>176</v>
      </c>
      <c r="L2173" s="300" t="s">
        <v>2167</v>
      </c>
      <c r="M2173" s="349" t="s">
        <v>426</v>
      </c>
      <c r="N2173" s="347" t="s">
        <v>427</v>
      </c>
      <c r="O2173" s="347" t="s">
        <v>599</v>
      </c>
      <c r="P2173" s="351">
        <v>36</v>
      </c>
      <c r="Q2173" s="351">
        <v>5</v>
      </c>
      <c r="R2173" s="352">
        <v>7.4999999999999997E-3</v>
      </c>
      <c r="S2173" s="347" t="s">
        <v>111</v>
      </c>
      <c r="T2173" s="347" t="s">
        <v>112</v>
      </c>
      <c r="U2173" s="347" t="s">
        <v>57</v>
      </c>
      <c r="V2173" s="353">
        <v>1288</v>
      </c>
      <c r="W2173" s="353">
        <f>20+1268</f>
        <v>1288</v>
      </c>
      <c r="X2173" s="354"/>
      <c r="Y2173" s="355">
        <f t="shared" si="815"/>
        <v>0</v>
      </c>
      <c r="Z2173" s="356">
        <f t="shared" si="794"/>
        <v>0</v>
      </c>
      <c r="AA2173" s="353">
        <f t="shared" si="778"/>
        <v>0</v>
      </c>
      <c r="AB2173" s="818">
        <v>7.4999999999999997E-3</v>
      </c>
      <c r="AC2173" s="353">
        <f t="shared" si="804"/>
        <v>0</v>
      </c>
      <c r="AD2173" s="307" t="s">
        <v>2003</v>
      </c>
      <c r="AE2173" s="210">
        <f t="shared" si="795"/>
        <v>0</v>
      </c>
      <c r="AF2173" s="210">
        <f t="shared" ref="AF2173:AF2178" si="817">AE2173/0.54</f>
        <v>0</v>
      </c>
      <c r="AG2173" s="211">
        <f t="shared" si="813"/>
        <v>0.14799999999999999</v>
      </c>
      <c r="AH2173" s="157">
        <f t="shared" si="816"/>
        <v>0</v>
      </c>
      <c r="AI2173" s="152">
        <f t="shared" si="798"/>
        <v>46368</v>
      </c>
      <c r="AK2173" s="156" t="s">
        <v>691</v>
      </c>
      <c r="AL2173" s="574" t="s">
        <v>690</v>
      </c>
      <c r="AM2173" s="198">
        <f t="shared" si="814"/>
        <v>0</v>
      </c>
      <c r="AN2173" s="199">
        <f>B2545</f>
        <v>45897</v>
      </c>
      <c r="AO2173" s="159" t="s">
        <v>692</v>
      </c>
      <c r="AP2173" s="783" t="s">
        <v>609</v>
      </c>
      <c r="AQ2173" s="782">
        <v>12071839</v>
      </c>
      <c r="AR2173" s="782">
        <v>12080260</v>
      </c>
      <c r="AS2173" s="782">
        <v>12080259</v>
      </c>
      <c r="AT2173" s="782">
        <v>12094039</v>
      </c>
      <c r="AU2173" s="782"/>
      <c r="AV2173" s="782">
        <v>12062100</v>
      </c>
      <c r="AW2173" s="782">
        <v>12024404</v>
      </c>
      <c r="AX2173" s="781"/>
      <c r="AY2173" s="782">
        <v>12094024</v>
      </c>
      <c r="AZ2173" s="782"/>
      <c r="BA2173" s="781"/>
      <c r="BB2173" s="209">
        <v>23053185</v>
      </c>
    </row>
    <row r="2174" spans="1:54" ht="24.65" hidden="1" customHeight="1">
      <c r="B2174" s="411">
        <v>45772</v>
      </c>
      <c r="C2174" s="645" t="s">
        <v>1929</v>
      </c>
      <c r="D2174" s="185">
        <f t="shared" si="776"/>
        <v>2025</v>
      </c>
      <c r="E2174" s="412" t="e">
        <f>VLOOKUP($B2174,Week!$A$1:$C$1462,2,0)</f>
        <v>#N/A</v>
      </c>
      <c r="F2174" s="413" t="str">
        <f t="shared" si="777"/>
        <v>Apr</v>
      </c>
      <c r="G2174" s="414" t="s">
        <v>47</v>
      </c>
      <c r="H2174" s="414" t="s">
        <v>260</v>
      </c>
      <c r="I2174" s="414" t="s">
        <v>2702</v>
      </c>
      <c r="J2174" s="415" t="s">
        <v>261</v>
      </c>
      <c r="K2174" s="416" t="s">
        <v>94</v>
      </c>
      <c r="L2174" s="300" t="s">
        <v>2167</v>
      </c>
      <c r="M2174" s="415" t="s">
        <v>1303</v>
      </c>
      <c r="N2174" s="414" t="s">
        <v>263</v>
      </c>
      <c r="O2174" s="414" t="s">
        <v>195</v>
      </c>
      <c r="P2174" s="417">
        <v>24</v>
      </c>
      <c r="Q2174" s="417">
        <v>5</v>
      </c>
      <c r="R2174" s="418">
        <v>8.0000000000000002E-3</v>
      </c>
      <c r="S2174" s="414" t="s">
        <v>40</v>
      </c>
      <c r="T2174" s="414" t="s">
        <v>56</v>
      </c>
      <c r="U2174" s="414" t="s">
        <v>57</v>
      </c>
      <c r="V2174" s="419">
        <v>4316</v>
      </c>
      <c r="W2174" s="419">
        <f>4316</f>
        <v>4316</v>
      </c>
      <c r="X2174" s="420"/>
      <c r="Y2174" s="421">
        <f t="shared" si="815"/>
        <v>0</v>
      </c>
      <c r="Z2174" s="422">
        <f t="shared" si="794"/>
        <v>0</v>
      </c>
      <c r="AA2174" s="422">
        <f t="shared" si="778"/>
        <v>0</v>
      </c>
      <c r="AB2174" s="825">
        <v>7.4999999999999997E-3</v>
      </c>
      <c r="AC2174" s="419">
        <f t="shared" si="804"/>
        <v>0</v>
      </c>
      <c r="AD2174" s="209"/>
      <c r="AE2174" s="210">
        <f t="shared" si="795"/>
        <v>0</v>
      </c>
      <c r="AF2174" s="210">
        <f t="shared" si="817"/>
        <v>0</v>
      </c>
      <c r="AG2174" s="211">
        <f t="shared" si="813"/>
        <v>0.14499999999999999</v>
      </c>
      <c r="AH2174" s="157">
        <f t="shared" si="816"/>
        <v>0</v>
      </c>
      <c r="AI2174" s="152">
        <f t="shared" si="798"/>
        <v>103584</v>
      </c>
      <c r="AK2174" s="156" t="s">
        <v>691</v>
      </c>
      <c r="AL2174" s="212" t="s">
        <v>690</v>
      </c>
      <c r="AM2174" s="198">
        <f t="shared" si="814"/>
        <v>0</v>
      </c>
      <c r="AN2174" s="199">
        <f t="shared" ref="AN2174:AN2237" si="818">B2174</f>
        <v>45772</v>
      </c>
      <c r="AO2174" s="159" t="s">
        <v>692</v>
      </c>
      <c r="AP2174" s="783" t="s">
        <v>609</v>
      </c>
      <c r="AQ2174" s="782">
        <v>12071839</v>
      </c>
      <c r="AR2174" s="782">
        <v>12047514</v>
      </c>
      <c r="AS2174" s="782">
        <v>12047515</v>
      </c>
      <c r="AT2174" s="781"/>
      <c r="AU2174" s="781"/>
      <c r="AV2174" s="782">
        <v>12080613</v>
      </c>
      <c r="AW2174" s="781"/>
      <c r="AX2174" s="781"/>
      <c r="AY2174" s="782">
        <v>12094241</v>
      </c>
      <c r="AZ2174" s="782">
        <v>12094242</v>
      </c>
      <c r="BA2174" s="781"/>
      <c r="BB2174" s="209">
        <v>23053185</v>
      </c>
    </row>
    <row r="2175" spans="1:54" ht="24.75" hidden="1" customHeight="1">
      <c r="B2175" s="295">
        <v>45773</v>
      </c>
      <c r="C2175" s="771" t="s">
        <v>1929</v>
      </c>
      <c r="D2175" s="185">
        <f t="shared" si="776"/>
        <v>2025</v>
      </c>
      <c r="E2175" s="296" t="e">
        <f>VLOOKUP($B2175,Week!$A$1:$C$1462,2,0)</f>
        <v>#N/A</v>
      </c>
      <c r="F2175" s="297" t="str">
        <f t="shared" si="777"/>
        <v>Apr</v>
      </c>
      <c r="G2175" s="648" t="s">
        <v>47</v>
      </c>
      <c r="H2175" s="298" t="s">
        <v>260</v>
      </c>
      <c r="I2175" s="298" t="s">
        <v>2702</v>
      </c>
      <c r="J2175" s="307" t="s">
        <v>904</v>
      </c>
      <c r="K2175" s="300" t="s">
        <v>176</v>
      </c>
      <c r="L2175" s="300" t="s">
        <v>2167</v>
      </c>
      <c r="M2175" s="299" t="s">
        <v>262</v>
      </c>
      <c r="N2175" s="298" t="s">
        <v>350</v>
      </c>
      <c r="O2175" s="298" t="s">
        <v>351</v>
      </c>
      <c r="P2175" s="301">
        <v>24</v>
      </c>
      <c r="Q2175" s="301">
        <v>5</v>
      </c>
      <c r="R2175" s="302">
        <v>6.1999999999999998E-3</v>
      </c>
      <c r="S2175" s="298" t="s">
        <v>352</v>
      </c>
      <c r="T2175" s="298" t="s">
        <v>56</v>
      </c>
      <c r="U2175" s="298" t="s">
        <v>57</v>
      </c>
      <c r="V2175" s="303">
        <v>2710</v>
      </c>
      <c r="W2175" s="303">
        <v>2710</v>
      </c>
      <c r="X2175" s="304"/>
      <c r="Y2175" s="305">
        <f t="shared" si="815"/>
        <v>0</v>
      </c>
      <c r="Z2175" s="306">
        <f t="shared" si="794"/>
        <v>0</v>
      </c>
      <c r="AA2175" s="306">
        <f t="shared" si="778"/>
        <v>0</v>
      </c>
      <c r="AB2175" s="814">
        <v>7.4999999999999997E-3</v>
      </c>
      <c r="AC2175" s="303">
        <f t="shared" si="804"/>
        <v>0</v>
      </c>
      <c r="AD2175" s="573" t="s">
        <v>2017</v>
      </c>
      <c r="AE2175" s="210">
        <f t="shared" si="795"/>
        <v>0</v>
      </c>
      <c r="AF2175" s="210">
        <f t="shared" si="817"/>
        <v>0</v>
      </c>
      <c r="AG2175" s="211">
        <f t="shared" si="813"/>
        <v>0.13</v>
      </c>
      <c r="AH2175" s="157">
        <f t="shared" si="816"/>
        <v>0</v>
      </c>
      <c r="AI2175" s="152">
        <f t="shared" si="798"/>
        <v>65040</v>
      </c>
      <c r="AK2175" s="156" t="s">
        <v>691</v>
      </c>
      <c r="AL2175" s="574" t="s">
        <v>690</v>
      </c>
      <c r="AM2175" s="198">
        <f t="shared" si="814"/>
        <v>0</v>
      </c>
      <c r="AN2175" s="199">
        <f t="shared" si="818"/>
        <v>45773</v>
      </c>
      <c r="AO2175" s="159" t="s">
        <v>692</v>
      </c>
      <c r="AP2175" s="783" t="s">
        <v>629</v>
      </c>
      <c r="AQ2175" s="782">
        <v>12071839</v>
      </c>
      <c r="AR2175" s="782">
        <v>12078867</v>
      </c>
      <c r="AS2175" s="782">
        <v>12068233</v>
      </c>
      <c r="AT2175" s="781"/>
      <c r="AU2175" s="781"/>
      <c r="AV2175" s="782">
        <v>12062075</v>
      </c>
      <c r="AW2175" s="781"/>
      <c r="AX2175" s="781"/>
      <c r="AY2175" s="782">
        <v>12086617</v>
      </c>
      <c r="AZ2175" s="781"/>
      <c r="BA2175" s="781"/>
      <c r="BB2175" s="209">
        <v>23053185</v>
      </c>
    </row>
    <row r="2176" spans="1:54" ht="25" hidden="1" customHeight="1">
      <c r="B2176" s="321">
        <v>45773</v>
      </c>
      <c r="C2176" s="321">
        <v>45790</v>
      </c>
      <c r="D2176" s="185">
        <f t="shared" si="776"/>
        <v>2025</v>
      </c>
      <c r="E2176" s="321" t="e">
        <f>VLOOKUP($B2176,Week!$A$1:$C$1462,2,0)</f>
        <v>#N/A</v>
      </c>
      <c r="F2176" s="322" t="str">
        <f t="shared" si="777"/>
        <v>Apr</v>
      </c>
      <c r="G2176" s="596" t="s">
        <v>2174</v>
      </c>
      <c r="H2176" s="323" t="s">
        <v>500</v>
      </c>
      <c r="I2176" s="323" t="s">
        <v>2772</v>
      </c>
      <c r="J2176" s="324" t="s">
        <v>679</v>
      </c>
      <c r="K2176" s="325" t="s">
        <v>227</v>
      </c>
      <c r="L2176" s="300" t="s">
        <v>2167</v>
      </c>
      <c r="M2176" s="324" t="s">
        <v>1416</v>
      </c>
      <c r="N2176" s="323" t="s">
        <v>1417</v>
      </c>
      <c r="O2176" s="323" t="s">
        <v>1418</v>
      </c>
      <c r="P2176" s="326">
        <v>36</v>
      </c>
      <c r="Q2176" s="326">
        <v>4</v>
      </c>
      <c r="R2176" s="327">
        <v>7.4999999999999997E-3</v>
      </c>
      <c r="S2176" s="323" t="s">
        <v>40</v>
      </c>
      <c r="T2176" s="323" t="s">
        <v>112</v>
      </c>
      <c r="U2176" s="323" t="s">
        <v>57</v>
      </c>
      <c r="V2176" s="328">
        <v>874</v>
      </c>
      <c r="W2176" s="328">
        <f>452</f>
        <v>452</v>
      </c>
      <c r="X2176" s="329">
        <f>(2304+12888)/36</f>
        <v>422</v>
      </c>
      <c r="Y2176" s="330">
        <f t="shared" si="815"/>
        <v>0</v>
      </c>
      <c r="Z2176" s="331">
        <f t="shared" si="794"/>
        <v>0</v>
      </c>
      <c r="AA2176" s="331">
        <f t="shared" si="778"/>
        <v>0</v>
      </c>
      <c r="AB2176" s="816">
        <v>7.4999999999999997E-3</v>
      </c>
      <c r="AC2176" s="328">
        <f t="shared" si="804"/>
        <v>0</v>
      </c>
      <c r="AD2176" s="209"/>
      <c r="AE2176" s="210">
        <f t="shared" si="795"/>
        <v>0</v>
      </c>
      <c r="AF2176" s="210">
        <f t="shared" si="817"/>
        <v>0</v>
      </c>
      <c r="AG2176" s="211">
        <f t="shared" si="813"/>
        <v>0.23899999999999999</v>
      </c>
      <c r="AH2176" s="157">
        <f t="shared" si="816"/>
        <v>0</v>
      </c>
      <c r="AI2176" s="152">
        <f t="shared" si="798"/>
        <v>31464</v>
      </c>
      <c r="AK2176" s="156" t="s">
        <v>691</v>
      </c>
      <c r="AL2176" s="574" t="s">
        <v>690</v>
      </c>
      <c r="AM2176" s="198">
        <f t="shared" si="814"/>
        <v>0</v>
      </c>
      <c r="AN2176" s="199">
        <f t="shared" si="818"/>
        <v>45773</v>
      </c>
      <c r="AO2176" s="159" t="s">
        <v>692</v>
      </c>
      <c r="AP2176" s="783" t="s">
        <v>612</v>
      </c>
      <c r="AQ2176" s="782">
        <v>12071839</v>
      </c>
      <c r="AR2176" s="782">
        <v>12042650</v>
      </c>
      <c r="AS2176" s="782">
        <v>12042649</v>
      </c>
      <c r="AT2176" s="782">
        <v>12076724</v>
      </c>
      <c r="AU2176" s="781"/>
      <c r="AV2176" s="782">
        <v>12076723</v>
      </c>
      <c r="AW2176" s="782">
        <v>12053504</v>
      </c>
      <c r="AX2176" s="782"/>
      <c r="AY2176" s="782"/>
      <c r="AZ2176" s="782"/>
      <c r="BA2176" s="781"/>
      <c r="BB2176" s="209">
        <v>23053185</v>
      </c>
    </row>
    <row r="2177" spans="1:54" ht="25" hidden="1" customHeight="1">
      <c r="B2177" s="498">
        <v>45773</v>
      </c>
      <c r="C2177" s="499">
        <v>45785</v>
      </c>
      <c r="D2177" s="185">
        <f t="shared" si="776"/>
        <v>2025</v>
      </c>
      <c r="E2177" s="499" t="e">
        <f>VLOOKUP($B2177,Week!$A$1:$C$1462,2,0)</f>
        <v>#N/A</v>
      </c>
      <c r="F2177" s="500" t="str">
        <f t="shared" si="777"/>
        <v>Apr</v>
      </c>
      <c r="G2177" s="501" t="s">
        <v>2135</v>
      </c>
      <c r="H2177" s="501" t="s">
        <v>311</v>
      </c>
      <c r="I2177" s="501" t="s">
        <v>2772</v>
      </c>
      <c r="J2177" s="502" t="s">
        <v>738</v>
      </c>
      <c r="K2177" s="503" t="s">
        <v>1646</v>
      </c>
      <c r="L2177" s="300" t="s">
        <v>2167</v>
      </c>
      <c r="M2177" s="502" t="s">
        <v>654</v>
      </c>
      <c r="N2177" s="501" t="s">
        <v>726</v>
      </c>
      <c r="O2177" s="501" t="s">
        <v>655</v>
      </c>
      <c r="P2177" s="504">
        <v>24</v>
      </c>
      <c r="Q2177" s="504">
        <v>5</v>
      </c>
      <c r="R2177" s="505">
        <v>7.4999999999999997E-3</v>
      </c>
      <c r="S2177" s="501" t="s">
        <v>40</v>
      </c>
      <c r="T2177" s="501" t="s">
        <v>112</v>
      </c>
      <c r="U2177" s="506" t="s">
        <v>1894</v>
      </c>
      <c r="V2177" s="507">
        <v>924</v>
      </c>
      <c r="W2177" s="507">
        <f>68+835</f>
        <v>903</v>
      </c>
      <c r="X2177" s="508">
        <f>(504)/24</f>
        <v>21</v>
      </c>
      <c r="Y2177" s="509">
        <f t="shared" si="815"/>
        <v>0</v>
      </c>
      <c r="Z2177" s="510">
        <f t="shared" si="794"/>
        <v>0</v>
      </c>
      <c r="AA2177" s="510">
        <f t="shared" si="778"/>
        <v>0</v>
      </c>
      <c r="AB2177" s="830">
        <v>3.8699999999999998E-2</v>
      </c>
      <c r="AC2177" s="507">
        <f t="shared" si="804"/>
        <v>0</v>
      </c>
      <c r="AD2177" s="209"/>
      <c r="AE2177" s="210">
        <f t="shared" si="795"/>
        <v>0</v>
      </c>
      <c r="AF2177" s="210">
        <f t="shared" si="817"/>
        <v>0</v>
      </c>
      <c r="AG2177" s="211">
        <f t="shared" si="813"/>
        <v>0.307</v>
      </c>
      <c r="AH2177" s="157">
        <f t="shared" si="816"/>
        <v>0</v>
      </c>
      <c r="AI2177" s="152">
        <f t="shared" si="798"/>
        <v>22176</v>
      </c>
      <c r="AK2177" s="156" t="s">
        <v>691</v>
      </c>
      <c r="AL2177" s="212" t="s">
        <v>690</v>
      </c>
      <c r="AM2177" s="198">
        <f t="shared" si="814"/>
        <v>0</v>
      </c>
      <c r="AN2177" s="199">
        <f t="shared" si="818"/>
        <v>45773</v>
      </c>
      <c r="AO2177" s="159" t="s">
        <v>692</v>
      </c>
      <c r="AP2177" s="781" t="s">
        <v>642</v>
      </c>
      <c r="AQ2177" s="782">
        <v>12063755</v>
      </c>
      <c r="AR2177" s="782">
        <v>12061353</v>
      </c>
      <c r="AS2177" s="782">
        <v>12061354</v>
      </c>
      <c r="AT2177" s="782">
        <v>12089274</v>
      </c>
      <c r="AU2177" s="781"/>
      <c r="AV2177" s="782">
        <v>12089275</v>
      </c>
      <c r="AW2177" s="782">
        <v>12068154</v>
      </c>
      <c r="AX2177" s="782"/>
      <c r="AY2177" s="782">
        <v>12089276</v>
      </c>
      <c r="AZ2177" s="782"/>
      <c r="BA2177" s="781"/>
      <c r="BB2177" s="209">
        <v>23105470</v>
      </c>
    </row>
    <row r="2178" spans="1:54" ht="25" hidden="1" customHeight="1">
      <c r="B2178" s="425">
        <v>45773</v>
      </c>
      <c r="C2178" s="425">
        <v>45783</v>
      </c>
      <c r="D2178" s="185">
        <f t="shared" si="776"/>
        <v>2025</v>
      </c>
      <c r="E2178" s="425" t="e">
        <f>VLOOKUP($B2178,Week!$A$1:$C$1462,2,0)</f>
        <v>#N/A</v>
      </c>
      <c r="F2178" s="426" t="str">
        <f t="shared" si="777"/>
        <v>Apr</v>
      </c>
      <c r="G2178" s="427" t="s">
        <v>2048</v>
      </c>
      <c r="H2178" s="427" t="s">
        <v>600</v>
      </c>
      <c r="I2178" s="427" t="s">
        <v>2772</v>
      </c>
      <c r="J2178" s="428" t="s">
        <v>708</v>
      </c>
      <c r="K2178" s="429" t="s">
        <v>1650</v>
      </c>
      <c r="L2178" s="300" t="s">
        <v>2167</v>
      </c>
      <c r="M2178" s="428" t="s">
        <v>603</v>
      </c>
      <c r="N2178" s="427" t="s">
        <v>1256</v>
      </c>
      <c r="O2178" s="427" t="s">
        <v>659</v>
      </c>
      <c r="P2178" s="430">
        <v>12</v>
      </c>
      <c r="Q2178" s="430">
        <v>3</v>
      </c>
      <c r="R2178" s="431">
        <v>6.0000000000000001E-3</v>
      </c>
      <c r="S2178" s="427" t="s">
        <v>55</v>
      </c>
      <c r="T2178" s="427" t="s">
        <v>112</v>
      </c>
      <c r="U2178" s="632" t="s">
        <v>1894</v>
      </c>
      <c r="V2178" s="432">
        <f>2520</f>
        <v>2520</v>
      </c>
      <c r="W2178" s="432">
        <f>2310+210</f>
        <v>2520</v>
      </c>
      <c r="X2178" s="433"/>
      <c r="Y2178" s="434">
        <f t="shared" si="815"/>
        <v>0</v>
      </c>
      <c r="Z2178" s="435">
        <f t="shared" si="794"/>
        <v>0</v>
      </c>
      <c r="AA2178" s="435">
        <f t="shared" si="778"/>
        <v>0</v>
      </c>
      <c r="AB2178" s="826">
        <v>3.8699999999999998E-2</v>
      </c>
      <c r="AC2178" s="432">
        <f t="shared" si="804"/>
        <v>0</v>
      </c>
      <c r="AD2178" s="307" t="s">
        <v>1509</v>
      </c>
      <c r="AE2178" s="210">
        <f t="shared" si="795"/>
        <v>0</v>
      </c>
      <c r="AF2178" s="210">
        <f t="shared" si="817"/>
        <v>0</v>
      </c>
      <c r="AG2178" s="211">
        <f t="shared" si="813"/>
        <v>0.30199999999999999</v>
      </c>
      <c r="AH2178" s="157">
        <v>0.26621999999999996</v>
      </c>
      <c r="AI2178" s="152">
        <f t="shared" si="798"/>
        <v>30240</v>
      </c>
      <c r="AK2178" s="156" t="s">
        <v>691</v>
      </c>
      <c r="AL2178" s="212" t="s">
        <v>690</v>
      </c>
      <c r="AM2178" s="198">
        <f t="shared" si="814"/>
        <v>0</v>
      </c>
      <c r="AN2178" s="199">
        <f t="shared" si="818"/>
        <v>45773</v>
      </c>
      <c r="AO2178" s="159" t="s">
        <v>692</v>
      </c>
      <c r="AP2178" s="781" t="s">
        <v>642</v>
      </c>
      <c r="AQ2178" s="782">
        <v>12063755</v>
      </c>
      <c r="AR2178" s="782">
        <v>12061353</v>
      </c>
      <c r="AS2178" s="782">
        <v>12061354</v>
      </c>
      <c r="AT2178" s="782"/>
      <c r="AU2178" s="781"/>
      <c r="AV2178" s="782">
        <v>12089687</v>
      </c>
      <c r="AW2178" s="781"/>
      <c r="AX2178" s="782"/>
      <c r="AY2178" s="782">
        <v>12094276</v>
      </c>
      <c r="AZ2178" s="782">
        <v>12094277</v>
      </c>
      <c r="BA2178" s="783" t="s">
        <v>2229</v>
      </c>
      <c r="BB2178" s="209">
        <v>23105470</v>
      </c>
    </row>
    <row r="2179" spans="1:54" ht="25" hidden="1" customHeight="1">
      <c r="B2179" s="183">
        <v>45774</v>
      </c>
      <c r="C2179" s="184"/>
      <c r="D2179" s="185">
        <f t="shared" si="776"/>
        <v>2025</v>
      </c>
      <c r="E2179" s="185" t="e">
        <f>VLOOKUP($B2179,Week!$A$1:$C$1462,2,0)</f>
        <v>#N/A</v>
      </c>
      <c r="F2179" s="186" t="str">
        <f t="shared" si="777"/>
        <v>Apr</v>
      </c>
      <c r="G2179" s="481"/>
      <c r="H2179" s="185"/>
      <c r="I2179" s="185"/>
      <c r="J2179" s="187"/>
      <c r="K2179" s="188"/>
      <c r="L2179" s="300"/>
      <c r="M2179" s="187"/>
      <c r="N2179" s="185"/>
      <c r="O2179" s="185"/>
      <c r="P2179" s="189"/>
      <c r="Q2179" s="189"/>
      <c r="R2179" s="190"/>
      <c r="S2179" s="185"/>
      <c r="T2179" s="185"/>
      <c r="U2179" s="185"/>
      <c r="V2179" s="191"/>
      <c r="W2179" s="191"/>
      <c r="X2179" s="192"/>
      <c r="Y2179" s="193"/>
      <c r="Z2179" s="194"/>
      <c r="AA2179" s="194">
        <f t="shared" si="778"/>
        <v>0</v>
      </c>
      <c r="AB2179" s="805"/>
      <c r="AC2179" s="191">
        <f t="shared" si="804"/>
        <v>0</v>
      </c>
      <c r="AD2179" s="187"/>
      <c r="AE2179" s="195"/>
      <c r="AF2179" s="195"/>
      <c r="AG2179" s="196"/>
      <c r="AH2179" s="197"/>
      <c r="AK2179" s="156" t="s">
        <v>691</v>
      </c>
      <c r="AM2179" s="198">
        <f t="shared" si="814"/>
        <v>0</v>
      </c>
      <c r="AN2179" s="199">
        <f t="shared" si="818"/>
        <v>45774</v>
      </c>
      <c r="AO2179" s="159" t="s">
        <v>692</v>
      </c>
      <c r="AP2179" s="781"/>
      <c r="AQ2179" s="782"/>
      <c r="AR2179" s="782"/>
      <c r="AS2179" s="782"/>
      <c r="AT2179" s="782"/>
      <c r="AU2179" s="781"/>
      <c r="AV2179" s="782"/>
      <c r="AW2179" s="782"/>
      <c r="AX2179" s="782"/>
      <c r="AY2179" s="782"/>
      <c r="AZ2179" s="782"/>
      <c r="BA2179" s="781"/>
      <c r="BB2179" s="209"/>
    </row>
    <row r="2180" spans="1:54" ht="24.75" hidden="1" customHeight="1">
      <c r="A2180" s="142" t="s">
        <v>120</v>
      </c>
      <c r="B2180" s="308">
        <v>45775</v>
      </c>
      <c r="C2180" s="644" t="s">
        <v>1929</v>
      </c>
      <c r="D2180" s="185">
        <f t="shared" si="776"/>
        <v>2025</v>
      </c>
      <c r="E2180" s="519" t="e">
        <f>VLOOKUP($B2180,Week!$A$1:$C$1462,2,0)</f>
        <v>#N/A</v>
      </c>
      <c r="F2180" s="520" t="str">
        <f t="shared" si="777"/>
        <v>Apr</v>
      </c>
      <c r="G2180" s="644" t="s">
        <v>47</v>
      </c>
      <c r="H2180" s="311" t="s">
        <v>518</v>
      </c>
      <c r="I2180" s="311" t="s">
        <v>2702</v>
      </c>
      <c r="J2180" s="312" t="s">
        <v>70</v>
      </c>
      <c r="K2180" s="313" t="s">
        <v>85</v>
      </c>
      <c r="L2180" s="390" t="s">
        <v>2166</v>
      </c>
      <c r="M2180" s="312" t="s">
        <v>515</v>
      </c>
      <c r="N2180" s="311" t="s">
        <v>588</v>
      </c>
      <c r="O2180" s="311" t="s">
        <v>546</v>
      </c>
      <c r="P2180" s="314">
        <v>12</v>
      </c>
      <c r="Q2180" s="314">
        <v>20</v>
      </c>
      <c r="R2180" s="315">
        <v>6.1999999999999998E-3</v>
      </c>
      <c r="S2180" s="311" t="s">
        <v>352</v>
      </c>
      <c r="T2180" s="311" t="s">
        <v>56</v>
      </c>
      <c r="U2180" s="311"/>
      <c r="V2180" s="316">
        <f>600</f>
        <v>600</v>
      </c>
      <c r="W2180" s="316">
        <f>30+570</f>
        <v>600</v>
      </c>
      <c r="X2180" s="317"/>
      <c r="Y2180" s="318">
        <f>(W2180+X2180)-V2180</f>
        <v>0</v>
      </c>
      <c r="Z2180" s="319">
        <f t="shared" ref="Z2180:Z2190" si="819">IF(Y2180&lt;0,((V2180*P2180)-((W2180+X2180)*P2180)),0)</f>
        <v>0</v>
      </c>
      <c r="AA2180" s="319">
        <f t="shared" si="778"/>
        <v>0</v>
      </c>
      <c r="AB2180" s="815"/>
      <c r="AC2180" s="316">
        <f t="shared" si="804"/>
        <v>0</v>
      </c>
      <c r="AD2180" s="209"/>
      <c r="AE2180" s="210">
        <f t="shared" ref="AE2180:AE2190" si="820">SUM(Q2180*R2180*Z2180)/1000</f>
        <v>0</v>
      </c>
      <c r="AF2180" s="210">
        <f t="shared" ref="AF2180:AF2190" si="821">AE2180/0.54</f>
        <v>0</v>
      </c>
      <c r="AG2180" s="211">
        <f t="shared" ref="AG2180:AG2190" si="822">MID(O2180,1,3)/1000</f>
        <v>0.22</v>
      </c>
      <c r="AH2180" s="157">
        <f>(Z2180*AG2180)/1000</f>
        <v>0</v>
      </c>
      <c r="AI2180" s="152">
        <f t="shared" ref="AI2180:AI2190" si="823">V2180*P2180</f>
        <v>7200</v>
      </c>
      <c r="AK2180" s="156" t="s">
        <v>691</v>
      </c>
      <c r="AL2180" s="156" t="s">
        <v>689</v>
      </c>
      <c r="AM2180" s="198">
        <f t="shared" si="814"/>
        <v>0</v>
      </c>
      <c r="AN2180" s="199">
        <f t="shared" si="818"/>
        <v>45775</v>
      </c>
      <c r="AO2180" s="159" t="s">
        <v>692</v>
      </c>
      <c r="AP2180" s="783" t="s">
        <v>613</v>
      </c>
      <c r="AQ2180" s="782"/>
      <c r="AR2180" s="782" t="s">
        <v>614</v>
      </c>
      <c r="AS2180" s="782"/>
      <c r="AT2180" s="782"/>
      <c r="AU2180" s="781"/>
      <c r="AV2180" s="782">
        <v>12083143</v>
      </c>
      <c r="AW2180" s="782"/>
      <c r="AX2180" s="782" t="s">
        <v>2187</v>
      </c>
      <c r="AY2180" s="782"/>
      <c r="AZ2180" s="782"/>
      <c r="BA2180" s="781"/>
      <c r="BB2180" s="209"/>
    </row>
    <row r="2181" spans="1:54" ht="25" hidden="1" customHeight="1">
      <c r="A2181" s="142" t="s">
        <v>120</v>
      </c>
      <c r="B2181" s="385">
        <v>45775</v>
      </c>
      <c r="C2181" s="386">
        <v>45790</v>
      </c>
      <c r="D2181" s="185">
        <f t="shared" ref="D2181:D2244" si="824">IF(B2181="","",YEAR(B2181))</f>
        <v>2025</v>
      </c>
      <c r="E2181" s="386" t="e">
        <f>VLOOKUP($B2181,Week!$A$1:$C$1462,2,0)</f>
        <v>#N/A</v>
      </c>
      <c r="F2181" s="387" t="str">
        <f t="shared" ref="F2181:F2244" si="825">IF(B2181="","",TEXT(B2181,"[$-409]mmm"))</f>
        <v>Apr</v>
      </c>
      <c r="G2181" s="388" t="s">
        <v>2030</v>
      </c>
      <c r="H2181" s="388" t="s">
        <v>500</v>
      </c>
      <c r="I2181" s="388" t="s">
        <v>2772</v>
      </c>
      <c r="J2181" s="389" t="s">
        <v>285</v>
      </c>
      <c r="K2181" s="390" t="s">
        <v>153</v>
      </c>
      <c r="L2181" s="390" t="s">
        <v>2166</v>
      </c>
      <c r="M2181" s="389" t="s">
        <v>165</v>
      </c>
      <c r="N2181" s="388" t="s">
        <v>286</v>
      </c>
      <c r="O2181" s="388" t="s">
        <v>503</v>
      </c>
      <c r="P2181" s="391">
        <v>40</v>
      </c>
      <c r="Q2181" s="391">
        <v>12</v>
      </c>
      <c r="R2181" s="392">
        <v>6.8100000000000001E-3</v>
      </c>
      <c r="S2181" s="388" t="s">
        <v>76</v>
      </c>
      <c r="T2181" s="388" t="s">
        <v>56</v>
      </c>
      <c r="U2181" s="388" t="s">
        <v>89</v>
      </c>
      <c r="V2181" s="393">
        <f>1624-614</f>
        <v>1010</v>
      </c>
      <c r="W2181" s="393">
        <f>752</f>
        <v>752</v>
      </c>
      <c r="X2181" s="394">
        <f>(10320)/40</f>
        <v>258</v>
      </c>
      <c r="Y2181" s="395">
        <f>(W2181+X2181)-V2181</f>
        <v>0</v>
      </c>
      <c r="Z2181" s="396">
        <f t="shared" si="819"/>
        <v>0</v>
      </c>
      <c r="AA2181" s="396">
        <f t="shared" ref="AA2181:AA2244" si="826">Q2181*Z2181</f>
        <v>0</v>
      </c>
      <c r="AB2181" s="823">
        <v>2</v>
      </c>
      <c r="AC2181" s="393">
        <f t="shared" si="804"/>
        <v>0</v>
      </c>
      <c r="AD2181" s="209"/>
      <c r="AE2181" s="210">
        <f t="shared" si="820"/>
        <v>0</v>
      </c>
      <c r="AF2181" s="210">
        <f t="shared" si="821"/>
        <v>0</v>
      </c>
      <c r="AG2181" s="211">
        <f t="shared" si="822"/>
        <v>0.154</v>
      </c>
      <c r="AH2181" s="157">
        <f>(Z2181*AG2181)/1000</f>
        <v>0</v>
      </c>
      <c r="AI2181" s="152">
        <f t="shared" si="823"/>
        <v>40400</v>
      </c>
      <c r="AK2181" s="156" t="s">
        <v>691</v>
      </c>
      <c r="AL2181" s="156" t="s">
        <v>689</v>
      </c>
      <c r="AM2181" s="198">
        <f t="shared" si="814"/>
        <v>0</v>
      </c>
      <c r="AN2181" s="199">
        <f t="shared" si="818"/>
        <v>45775</v>
      </c>
      <c r="AO2181" s="159" t="s">
        <v>692</v>
      </c>
      <c r="AP2181" s="783" t="s">
        <v>611</v>
      </c>
      <c r="AQ2181" s="782">
        <v>12088677</v>
      </c>
      <c r="AR2181" s="782">
        <v>12019692</v>
      </c>
      <c r="AS2181" s="781"/>
      <c r="AT2181" s="782">
        <v>12065371</v>
      </c>
      <c r="AU2181" s="782"/>
      <c r="AV2181" s="782">
        <v>12055895</v>
      </c>
      <c r="AW2181" s="782">
        <v>12034747</v>
      </c>
      <c r="AX2181" s="782" t="s">
        <v>398</v>
      </c>
      <c r="AY2181" s="781" t="s">
        <v>290</v>
      </c>
      <c r="AZ2181" s="781"/>
      <c r="BA2181" s="781"/>
      <c r="BB2181" s="209">
        <v>23053184</v>
      </c>
    </row>
    <row r="2182" spans="1:54" ht="25" hidden="1" customHeight="1">
      <c r="A2182" s="142" t="s">
        <v>120</v>
      </c>
      <c r="B2182" s="571">
        <v>45775</v>
      </c>
      <c r="C2182" s="845" t="s">
        <v>1929</v>
      </c>
      <c r="D2182" s="185">
        <f t="shared" si="824"/>
        <v>2025</v>
      </c>
      <c r="E2182" s="236" t="e">
        <f>VLOOKUP($B2182,Week!$A$1:$C$1462,2,0)</f>
        <v>#N/A</v>
      </c>
      <c r="F2182" s="237" t="str">
        <f t="shared" si="825"/>
        <v>Apr</v>
      </c>
      <c r="G2182" s="236" t="s">
        <v>47</v>
      </c>
      <c r="H2182" s="236" t="s">
        <v>47</v>
      </c>
      <c r="I2182" s="236" t="s">
        <v>2702</v>
      </c>
      <c r="J2182" s="238" t="s">
        <v>70</v>
      </c>
      <c r="K2182" s="239" t="s">
        <v>153</v>
      </c>
      <c r="L2182" s="390" t="s">
        <v>2166</v>
      </c>
      <c r="M2182" s="238" t="s">
        <v>154</v>
      </c>
      <c r="N2182" s="236" t="s">
        <v>155</v>
      </c>
      <c r="O2182" s="236" t="s">
        <v>156</v>
      </c>
      <c r="P2182" s="240">
        <v>8</v>
      </c>
      <c r="Q2182" s="240">
        <v>50</v>
      </c>
      <c r="R2182" s="241">
        <v>8.1300000000000001E-3</v>
      </c>
      <c r="S2182" s="236" t="s">
        <v>40</v>
      </c>
      <c r="T2182" s="236" t="s">
        <v>56</v>
      </c>
      <c r="U2182" s="236"/>
      <c r="V2182" s="242">
        <f>100</f>
        <v>100</v>
      </c>
      <c r="W2182" s="242">
        <v>100</v>
      </c>
      <c r="X2182" s="243"/>
      <c r="Y2182" s="244">
        <f t="shared" ref="Y2182:Y2188" si="827">(W2182+X2182)-V2182</f>
        <v>0</v>
      </c>
      <c r="Z2182" s="245">
        <f t="shared" si="819"/>
        <v>0</v>
      </c>
      <c r="AA2182" s="242">
        <f t="shared" si="826"/>
        <v>0</v>
      </c>
      <c r="AB2182" s="809"/>
      <c r="AC2182" s="242">
        <f t="shared" si="804"/>
        <v>0</v>
      </c>
      <c r="AD2182" s="443"/>
      <c r="AE2182" s="210">
        <f t="shared" si="820"/>
        <v>0</v>
      </c>
      <c r="AF2182" s="220">
        <f t="shared" si="821"/>
        <v>0</v>
      </c>
      <c r="AG2182" s="211">
        <f t="shared" si="822"/>
        <v>0.6</v>
      </c>
      <c r="AH2182" s="157">
        <f t="shared" ref="AH2182:AH2188" si="828">(Z2182*AG2182)/1000</f>
        <v>0</v>
      </c>
      <c r="AI2182" s="152">
        <f t="shared" si="823"/>
        <v>800</v>
      </c>
      <c r="AK2182" s="156" t="s">
        <v>691</v>
      </c>
      <c r="AL2182" s="156" t="s">
        <v>689</v>
      </c>
      <c r="AM2182" s="198">
        <f t="shared" ref="AM2182:AM2188" si="829">AG2182*Z2182</f>
        <v>0</v>
      </c>
      <c r="AN2182" s="199">
        <f t="shared" si="818"/>
        <v>45775</v>
      </c>
      <c r="AO2182" s="159" t="s">
        <v>692</v>
      </c>
      <c r="AP2182" s="781"/>
      <c r="AQ2182" s="781"/>
      <c r="AR2182" s="783" t="s">
        <v>529</v>
      </c>
      <c r="AS2182" s="781"/>
      <c r="AT2182" s="783"/>
      <c r="AU2182" s="783"/>
      <c r="AV2182" s="783" t="s">
        <v>530</v>
      </c>
      <c r="AW2182" s="781"/>
      <c r="AX2182" s="781" t="s">
        <v>93</v>
      </c>
      <c r="AY2182" s="781"/>
      <c r="AZ2182" s="782"/>
      <c r="BA2182" s="781"/>
    </row>
    <row r="2183" spans="1:54" ht="25" hidden="1" customHeight="1">
      <c r="B2183" s="213">
        <v>45776</v>
      </c>
      <c r="C2183" s="578">
        <v>45785</v>
      </c>
      <c r="D2183" s="185">
        <f t="shared" si="824"/>
        <v>2025</v>
      </c>
      <c r="E2183" s="215" t="e">
        <f>VLOOKUP($B2183,Week!$A$1:$C$1462,2,0)</f>
        <v>#N/A</v>
      </c>
      <c r="F2183" s="216" t="str">
        <f t="shared" si="825"/>
        <v>Apr</v>
      </c>
      <c r="G2183" s="215" t="s">
        <v>1866</v>
      </c>
      <c r="H2183" s="215" t="s">
        <v>104</v>
      </c>
      <c r="I2183" s="215" t="s">
        <v>2772</v>
      </c>
      <c r="J2183" s="209" t="s">
        <v>105</v>
      </c>
      <c r="K2183" s="217" t="s">
        <v>107</v>
      </c>
      <c r="L2183" s="300" t="s">
        <v>2167</v>
      </c>
      <c r="M2183" s="209" t="s">
        <v>108</v>
      </c>
      <c r="N2183" s="215" t="s">
        <v>109</v>
      </c>
      <c r="O2183" s="215" t="s">
        <v>110</v>
      </c>
      <c r="P2183" s="218">
        <v>36</v>
      </c>
      <c r="Q2183" s="218">
        <v>5</v>
      </c>
      <c r="R2183" s="219">
        <v>7.4999999999999997E-3</v>
      </c>
      <c r="S2183" s="215" t="s">
        <v>111</v>
      </c>
      <c r="T2183" s="215" t="s">
        <v>112</v>
      </c>
      <c r="U2183" s="215" t="s">
        <v>113</v>
      </c>
      <c r="V2183" s="220">
        <v>172</v>
      </c>
      <c r="W2183" s="220">
        <v>172</v>
      </c>
      <c r="X2183" s="221"/>
      <c r="Y2183" s="222">
        <f>(W2183+X2183)-V2183</f>
        <v>0</v>
      </c>
      <c r="Z2183" s="223">
        <f t="shared" si="819"/>
        <v>0</v>
      </c>
      <c r="AA2183" s="223">
        <f t="shared" si="826"/>
        <v>0</v>
      </c>
      <c r="AB2183" s="807">
        <v>9.7000000000000003E-3</v>
      </c>
      <c r="AC2183" s="220">
        <f t="shared" si="804"/>
        <v>0</v>
      </c>
      <c r="AD2183" s="209"/>
      <c r="AE2183" s="210">
        <f t="shared" si="820"/>
        <v>0</v>
      </c>
      <c r="AF2183" s="210">
        <f t="shared" si="821"/>
        <v>0</v>
      </c>
      <c r="AG2183" s="211">
        <f t="shared" si="822"/>
        <v>0.308</v>
      </c>
      <c r="AH2183" s="157">
        <f>(Z2183*AG2183)/1000</f>
        <v>0</v>
      </c>
      <c r="AI2183" s="152">
        <f t="shared" si="823"/>
        <v>6192</v>
      </c>
      <c r="AK2183" s="156" t="s">
        <v>691</v>
      </c>
      <c r="AL2183" s="574" t="s">
        <v>690</v>
      </c>
      <c r="AM2183" s="198">
        <f>AG2183*Z2183</f>
        <v>0</v>
      </c>
      <c r="AN2183" s="199">
        <f t="shared" si="818"/>
        <v>45776</v>
      </c>
      <c r="AO2183" s="159" t="s">
        <v>692</v>
      </c>
      <c r="AP2183" s="781"/>
      <c r="AQ2183" s="782">
        <v>12063755</v>
      </c>
      <c r="AR2183" s="782">
        <v>12061353</v>
      </c>
      <c r="AS2183" s="782">
        <v>12061354</v>
      </c>
      <c r="AT2183" s="782">
        <v>12068566</v>
      </c>
      <c r="AU2183" s="781"/>
      <c r="AV2183" s="782">
        <v>12088206</v>
      </c>
      <c r="AW2183" s="782">
        <v>12088207</v>
      </c>
      <c r="AX2183" s="782"/>
      <c r="AY2183" s="782">
        <v>12068565</v>
      </c>
      <c r="AZ2183" s="782"/>
      <c r="BA2183" s="781"/>
      <c r="BB2183" s="209">
        <v>23054743</v>
      </c>
    </row>
    <row r="2184" spans="1:54" ht="25.15" hidden="1" customHeight="1">
      <c r="B2184" s="345">
        <v>45776</v>
      </c>
      <c r="C2184" s="346">
        <v>45790</v>
      </c>
      <c r="D2184" s="185">
        <f t="shared" si="824"/>
        <v>2025</v>
      </c>
      <c r="E2184" s="347" t="e">
        <f>VLOOKUP($B2184,Week!$A$1:$C$1462,2,0)</f>
        <v>#N/A</v>
      </c>
      <c r="F2184" s="348" t="str">
        <f t="shared" si="825"/>
        <v>Apr</v>
      </c>
      <c r="G2184" s="347" t="s">
        <v>1810</v>
      </c>
      <c r="H2184" s="347" t="s">
        <v>424</v>
      </c>
      <c r="I2184" s="347" t="s">
        <v>2772</v>
      </c>
      <c r="J2184" s="438" t="s">
        <v>425</v>
      </c>
      <c r="K2184" s="350" t="s">
        <v>176</v>
      </c>
      <c r="L2184" s="300" t="s">
        <v>2167</v>
      </c>
      <c r="M2184" s="349" t="s">
        <v>426</v>
      </c>
      <c r="N2184" s="347" t="s">
        <v>427</v>
      </c>
      <c r="O2184" s="347" t="s">
        <v>599</v>
      </c>
      <c r="P2184" s="351">
        <v>36</v>
      </c>
      <c r="Q2184" s="351">
        <v>5</v>
      </c>
      <c r="R2184" s="352">
        <v>7.4999999999999997E-3</v>
      </c>
      <c r="S2184" s="347" t="s">
        <v>111</v>
      </c>
      <c r="T2184" s="347" t="s">
        <v>112</v>
      </c>
      <c r="U2184" s="347" t="s">
        <v>57</v>
      </c>
      <c r="V2184" s="353">
        <v>1288</v>
      </c>
      <c r="W2184" s="353">
        <f>25+1263</f>
        <v>1288</v>
      </c>
      <c r="X2184" s="354"/>
      <c r="Y2184" s="355">
        <f>(W2184+X2184)-V2184</f>
        <v>0</v>
      </c>
      <c r="Z2184" s="356">
        <f t="shared" si="819"/>
        <v>0</v>
      </c>
      <c r="AA2184" s="353">
        <f t="shared" si="826"/>
        <v>0</v>
      </c>
      <c r="AB2184" s="818">
        <v>7.4999999999999997E-3</v>
      </c>
      <c r="AC2184" s="353">
        <f t="shared" si="804"/>
        <v>0</v>
      </c>
      <c r="AD2184" s="307" t="s">
        <v>2003</v>
      </c>
      <c r="AE2184" s="210">
        <f t="shared" si="820"/>
        <v>0</v>
      </c>
      <c r="AF2184" s="210">
        <f t="shared" si="821"/>
        <v>0</v>
      </c>
      <c r="AG2184" s="211">
        <f t="shared" si="822"/>
        <v>0.14799999999999999</v>
      </c>
      <c r="AH2184" s="157">
        <f>(Z2184*AG2184)/1000</f>
        <v>0</v>
      </c>
      <c r="AI2184" s="152">
        <f t="shared" si="823"/>
        <v>46368</v>
      </c>
      <c r="AK2184" s="156" t="s">
        <v>691</v>
      </c>
      <c r="AL2184" s="574" t="s">
        <v>690</v>
      </c>
      <c r="AM2184" s="198">
        <f>AG2184*Z2184</f>
        <v>0</v>
      </c>
      <c r="AN2184" s="199">
        <f t="shared" si="818"/>
        <v>45776</v>
      </c>
      <c r="AO2184" s="159" t="s">
        <v>692</v>
      </c>
      <c r="AP2184" s="783" t="s">
        <v>609</v>
      </c>
      <c r="AQ2184" s="782">
        <v>12071839</v>
      </c>
      <c r="AR2184" s="782">
        <v>12080260</v>
      </c>
      <c r="AS2184" s="782">
        <v>12080259</v>
      </c>
      <c r="AT2184" s="782">
        <v>12094039</v>
      </c>
      <c r="AU2184" s="782"/>
      <c r="AV2184" s="782">
        <v>12062100</v>
      </c>
      <c r="AW2184" s="782">
        <v>12024404</v>
      </c>
      <c r="AX2184" s="781"/>
      <c r="AY2184" s="782">
        <v>12094024</v>
      </c>
      <c r="AZ2184" s="782"/>
      <c r="BA2184" s="781"/>
      <c r="BB2184" s="209">
        <v>23053185</v>
      </c>
    </row>
    <row r="2185" spans="1:54" ht="25" hidden="1" customHeight="1">
      <c r="A2185" s="142" t="s">
        <v>120</v>
      </c>
      <c r="B2185" s="271">
        <v>45776</v>
      </c>
      <c r="C2185" s="272">
        <v>45796</v>
      </c>
      <c r="D2185" s="185">
        <f t="shared" si="824"/>
        <v>2025</v>
      </c>
      <c r="E2185" s="272" t="e">
        <f>VLOOKUP($B2185,Week!$A$1:$C$1462,2,0)</f>
        <v>#N/A</v>
      </c>
      <c r="F2185" s="273" t="str">
        <f t="shared" si="825"/>
        <v>Apr</v>
      </c>
      <c r="G2185" s="274" t="s">
        <v>2031</v>
      </c>
      <c r="H2185" s="274" t="s">
        <v>500</v>
      </c>
      <c r="I2185" s="274" t="s">
        <v>2772</v>
      </c>
      <c r="J2185" s="275" t="s">
        <v>285</v>
      </c>
      <c r="K2185" s="276" t="s">
        <v>153</v>
      </c>
      <c r="L2185" s="390" t="s">
        <v>2166</v>
      </c>
      <c r="M2185" s="275" t="s">
        <v>86</v>
      </c>
      <c r="N2185" s="274" t="s">
        <v>547</v>
      </c>
      <c r="O2185" s="274" t="s">
        <v>548</v>
      </c>
      <c r="P2185" s="277">
        <v>10</v>
      </c>
      <c r="Q2185" s="277">
        <v>50</v>
      </c>
      <c r="R2185" s="278">
        <v>6.8100000000000001E-3</v>
      </c>
      <c r="S2185" s="274" t="s">
        <v>76</v>
      </c>
      <c r="T2185" s="274" t="s">
        <v>56</v>
      </c>
      <c r="U2185" s="274" t="s">
        <v>89</v>
      </c>
      <c r="V2185" s="279">
        <v>819</v>
      </c>
      <c r="W2185" s="279">
        <f>2+817</f>
        <v>819</v>
      </c>
      <c r="X2185" s="280"/>
      <c r="Y2185" s="281">
        <f>(W2185+X2185)-V2185</f>
        <v>0</v>
      </c>
      <c r="Z2185" s="282">
        <f t="shared" si="819"/>
        <v>0</v>
      </c>
      <c r="AA2185" s="282">
        <f t="shared" si="826"/>
        <v>0</v>
      </c>
      <c r="AB2185" s="812">
        <v>6</v>
      </c>
      <c r="AC2185" s="279">
        <f t="shared" si="804"/>
        <v>0</v>
      </c>
      <c r="AD2185" s="209"/>
      <c r="AE2185" s="210">
        <f t="shared" si="820"/>
        <v>0</v>
      </c>
      <c r="AF2185" s="210">
        <f t="shared" si="821"/>
        <v>0</v>
      </c>
      <c r="AG2185" s="211">
        <f t="shared" si="822"/>
        <v>0.63</v>
      </c>
      <c r="AH2185" s="157">
        <f>(Z2185*AG2185)/1000</f>
        <v>0</v>
      </c>
      <c r="AI2185" s="152">
        <f t="shared" si="823"/>
        <v>8190</v>
      </c>
      <c r="AK2185" s="156" t="s">
        <v>691</v>
      </c>
      <c r="AL2185" s="156" t="s">
        <v>689</v>
      </c>
      <c r="AM2185" s="198">
        <f>AG2185*Z2185</f>
        <v>0</v>
      </c>
      <c r="AN2185" s="199">
        <f t="shared" si="818"/>
        <v>45776</v>
      </c>
      <c r="AO2185" s="159" t="s">
        <v>692</v>
      </c>
      <c r="AP2185" s="783" t="s">
        <v>620</v>
      </c>
      <c r="AQ2185" s="796" t="s">
        <v>422</v>
      </c>
      <c r="AR2185" s="782">
        <v>12055234</v>
      </c>
      <c r="AS2185" s="781"/>
      <c r="AT2185" s="782"/>
      <c r="AU2185" s="782"/>
      <c r="AV2185" s="782">
        <v>12062809</v>
      </c>
      <c r="AW2185" s="782"/>
      <c r="AX2185" s="782" t="s">
        <v>619</v>
      </c>
      <c r="AY2185" s="781"/>
      <c r="AZ2185" s="781"/>
      <c r="BA2185" s="781"/>
      <c r="BB2185" s="209">
        <v>23053184</v>
      </c>
    </row>
    <row r="2186" spans="1:54" ht="25" hidden="1" customHeight="1">
      <c r="B2186" s="213">
        <v>45777</v>
      </c>
      <c r="C2186" s="578">
        <v>45785</v>
      </c>
      <c r="D2186" s="185">
        <f t="shared" si="824"/>
        <v>2025</v>
      </c>
      <c r="E2186" s="215" t="e">
        <f>VLOOKUP($B2186,Week!$A$1:$C$1462,2,0)</f>
        <v>#N/A</v>
      </c>
      <c r="F2186" s="216" t="str">
        <f t="shared" si="825"/>
        <v>Apr</v>
      </c>
      <c r="G2186" s="215" t="s">
        <v>1866</v>
      </c>
      <c r="H2186" s="215" t="s">
        <v>104</v>
      </c>
      <c r="I2186" s="215" t="s">
        <v>2772</v>
      </c>
      <c r="J2186" s="209" t="s">
        <v>105</v>
      </c>
      <c r="K2186" s="217" t="s">
        <v>107</v>
      </c>
      <c r="L2186" s="300" t="s">
        <v>2167</v>
      </c>
      <c r="M2186" s="209" t="s">
        <v>108</v>
      </c>
      <c r="N2186" s="215" t="s">
        <v>109</v>
      </c>
      <c r="O2186" s="215" t="s">
        <v>110</v>
      </c>
      <c r="P2186" s="218">
        <v>36</v>
      </c>
      <c r="Q2186" s="218">
        <v>5</v>
      </c>
      <c r="R2186" s="219">
        <v>7.4999999999999997E-3</v>
      </c>
      <c r="S2186" s="215" t="s">
        <v>111</v>
      </c>
      <c r="T2186" s="215" t="s">
        <v>112</v>
      </c>
      <c r="U2186" s="215" t="s">
        <v>113</v>
      </c>
      <c r="V2186" s="220">
        <f>792-172</f>
        <v>620</v>
      </c>
      <c r="W2186" s="220">
        <v>620</v>
      </c>
      <c r="X2186" s="221"/>
      <c r="Y2186" s="222">
        <f t="shared" si="827"/>
        <v>0</v>
      </c>
      <c r="Z2186" s="223">
        <f t="shared" si="819"/>
        <v>0</v>
      </c>
      <c r="AA2186" s="223">
        <f t="shared" si="826"/>
        <v>0</v>
      </c>
      <c r="AB2186" s="807">
        <v>9.7000000000000003E-3</v>
      </c>
      <c r="AC2186" s="220">
        <f t="shared" si="804"/>
        <v>0</v>
      </c>
      <c r="AD2186" s="209"/>
      <c r="AE2186" s="210">
        <f t="shared" si="820"/>
        <v>0</v>
      </c>
      <c r="AF2186" s="210">
        <f t="shared" si="821"/>
        <v>0</v>
      </c>
      <c r="AG2186" s="211">
        <f t="shared" si="822"/>
        <v>0.308</v>
      </c>
      <c r="AH2186" s="157">
        <f t="shared" si="828"/>
        <v>0</v>
      </c>
      <c r="AI2186" s="152">
        <f t="shared" si="823"/>
        <v>22320</v>
      </c>
      <c r="AK2186" s="156" t="s">
        <v>691</v>
      </c>
      <c r="AL2186" s="574" t="s">
        <v>690</v>
      </c>
      <c r="AM2186" s="198">
        <f t="shared" si="829"/>
        <v>0</v>
      </c>
      <c r="AN2186" s="199">
        <f t="shared" si="818"/>
        <v>45777</v>
      </c>
      <c r="AO2186" s="159" t="s">
        <v>692</v>
      </c>
      <c r="AP2186" s="781"/>
      <c r="AQ2186" s="782">
        <v>12063755</v>
      </c>
      <c r="AR2186" s="782">
        <v>12061353</v>
      </c>
      <c r="AS2186" s="782">
        <v>12061354</v>
      </c>
      <c r="AT2186" s="782">
        <v>12068566</v>
      </c>
      <c r="AU2186" s="781"/>
      <c r="AV2186" s="782">
        <v>12088206</v>
      </c>
      <c r="AW2186" s="782">
        <v>12088207</v>
      </c>
      <c r="AX2186" s="782"/>
      <c r="AY2186" s="782">
        <v>12068565</v>
      </c>
      <c r="AZ2186" s="782"/>
      <c r="BA2186" s="781"/>
      <c r="BB2186" s="209">
        <v>23054743</v>
      </c>
    </row>
    <row r="2187" spans="1:54" ht="25" hidden="1" customHeight="1">
      <c r="B2187" s="213">
        <v>45777</v>
      </c>
      <c r="C2187" s="578">
        <v>45785</v>
      </c>
      <c r="D2187" s="185">
        <f t="shared" si="824"/>
        <v>2025</v>
      </c>
      <c r="E2187" s="215" t="e">
        <f>VLOOKUP($B2187,Week!$A$1:$C$1462,2,0)</f>
        <v>#N/A</v>
      </c>
      <c r="F2187" s="216" t="str">
        <f t="shared" si="825"/>
        <v>Apr</v>
      </c>
      <c r="G2187" s="215" t="s">
        <v>1867</v>
      </c>
      <c r="H2187" s="215" t="s">
        <v>104</v>
      </c>
      <c r="I2187" s="215" t="s">
        <v>2772</v>
      </c>
      <c r="J2187" s="209" t="s">
        <v>105</v>
      </c>
      <c r="K2187" s="217" t="s">
        <v>107</v>
      </c>
      <c r="L2187" s="300" t="s">
        <v>2167</v>
      </c>
      <c r="M2187" s="209" t="s">
        <v>108</v>
      </c>
      <c r="N2187" s="215" t="s">
        <v>109</v>
      </c>
      <c r="O2187" s="215" t="s">
        <v>110</v>
      </c>
      <c r="P2187" s="218">
        <v>36</v>
      </c>
      <c r="Q2187" s="218">
        <v>5</v>
      </c>
      <c r="R2187" s="219">
        <v>7.4999999999999997E-3</v>
      </c>
      <c r="S2187" s="215" t="s">
        <v>111</v>
      </c>
      <c r="T2187" s="215" t="s">
        <v>112</v>
      </c>
      <c r="U2187" s="215" t="s">
        <v>113</v>
      </c>
      <c r="V2187" s="220">
        <v>792</v>
      </c>
      <c r="W2187" s="220">
        <f>963-620</f>
        <v>343</v>
      </c>
      <c r="X2187" s="221">
        <f>16164/36</f>
        <v>449</v>
      </c>
      <c r="Y2187" s="222">
        <f t="shared" si="827"/>
        <v>0</v>
      </c>
      <c r="Z2187" s="223">
        <f t="shared" si="819"/>
        <v>0</v>
      </c>
      <c r="AA2187" s="223">
        <f t="shared" si="826"/>
        <v>0</v>
      </c>
      <c r="AB2187" s="807">
        <v>9.7000000000000003E-3</v>
      </c>
      <c r="AC2187" s="220">
        <f t="shared" si="804"/>
        <v>0</v>
      </c>
      <c r="AD2187" s="209"/>
      <c r="AE2187" s="210">
        <f t="shared" si="820"/>
        <v>0</v>
      </c>
      <c r="AF2187" s="210">
        <f t="shared" si="821"/>
        <v>0</v>
      </c>
      <c r="AG2187" s="211">
        <f t="shared" si="822"/>
        <v>0.308</v>
      </c>
      <c r="AH2187" s="157">
        <f t="shared" si="828"/>
        <v>0</v>
      </c>
      <c r="AI2187" s="152">
        <f t="shared" si="823"/>
        <v>28512</v>
      </c>
      <c r="AK2187" s="156" t="s">
        <v>691</v>
      </c>
      <c r="AL2187" s="574" t="s">
        <v>690</v>
      </c>
      <c r="AM2187" s="198">
        <f t="shared" si="829"/>
        <v>0</v>
      </c>
      <c r="AN2187" s="199">
        <f t="shared" si="818"/>
        <v>45777</v>
      </c>
      <c r="AO2187" s="159" t="s">
        <v>692</v>
      </c>
      <c r="AP2187" s="781"/>
      <c r="AQ2187" s="782">
        <v>12063755</v>
      </c>
      <c r="AR2187" s="782">
        <v>12061353</v>
      </c>
      <c r="AS2187" s="782">
        <v>12061354</v>
      </c>
      <c r="AT2187" s="782">
        <v>12068566</v>
      </c>
      <c r="AU2187" s="781"/>
      <c r="AV2187" s="782">
        <v>12088206</v>
      </c>
      <c r="AW2187" s="782">
        <v>12088207</v>
      </c>
      <c r="AX2187" s="782"/>
      <c r="AY2187" s="782">
        <v>12068565</v>
      </c>
      <c r="AZ2187" s="782"/>
      <c r="BA2187" s="781"/>
      <c r="BB2187" s="209">
        <v>23054743</v>
      </c>
    </row>
    <row r="2188" spans="1:54" ht="25" hidden="1" customHeight="1">
      <c r="B2188" s="213">
        <v>45777</v>
      </c>
      <c r="C2188" s="578">
        <v>45785</v>
      </c>
      <c r="D2188" s="185">
        <f t="shared" si="824"/>
        <v>2025</v>
      </c>
      <c r="E2188" s="215" t="e">
        <f>VLOOKUP($B2188,Week!$A$1:$C$1462,2,0)</f>
        <v>#N/A</v>
      </c>
      <c r="F2188" s="216" t="str">
        <f t="shared" si="825"/>
        <v>Apr</v>
      </c>
      <c r="G2188" s="215" t="s">
        <v>1966</v>
      </c>
      <c r="H2188" s="215" t="s">
        <v>104</v>
      </c>
      <c r="I2188" s="215" t="s">
        <v>2772</v>
      </c>
      <c r="J2188" s="209" t="s">
        <v>105</v>
      </c>
      <c r="K2188" s="217" t="s">
        <v>107</v>
      </c>
      <c r="L2188" s="300" t="s">
        <v>2167</v>
      </c>
      <c r="M2188" s="209" t="s">
        <v>108</v>
      </c>
      <c r="N2188" s="215" t="s">
        <v>109</v>
      </c>
      <c r="O2188" s="215" t="s">
        <v>110</v>
      </c>
      <c r="P2188" s="218">
        <v>36</v>
      </c>
      <c r="Q2188" s="218">
        <v>5</v>
      </c>
      <c r="R2188" s="219">
        <v>7.4999999999999997E-3</v>
      </c>
      <c r="S2188" s="215" t="s">
        <v>111</v>
      </c>
      <c r="T2188" s="215" t="s">
        <v>112</v>
      </c>
      <c r="U2188" s="215" t="s">
        <v>113</v>
      </c>
      <c r="V2188" s="220">
        <f>19457/36</f>
        <v>540.47222222222217</v>
      </c>
      <c r="W2188" s="220"/>
      <c r="X2188" s="221">
        <f>19457/36</f>
        <v>540.47222222222217</v>
      </c>
      <c r="Y2188" s="222">
        <f t="shared" si="827"/>
        <v>0</v>
      </c>
      <c r="Z2188" s="223">
        <f t="shared" si="819"/>
        <v>0</v>
      </c>
      <c r="AA2188" s="223">
        <f t="shared" si="826"/>
        <v>0</v>
      </c>
      <c r="AB2188" s="807">
        <v>9.7000000000000003E-3</v>
      </c>
      <c r="AC2188" s="220">
        <f t="shared" si="804"/>
        <v>0</v>
      </c>
      <c r="AD2188" s="209"/>
      <c r="AE2188" s="210">
        <f t="shared" si="820"/>
        <v>0</v>
      </c>
      <c r="AF2188" s="210">
        <f t="shared" si="821"/>
        <v>0</v>
      </c>
      <c r="AG2188" s="211">
        <f t="shared" si="822"/>
        <v>0.308</v>
      </c>
      <c r="AH2188" s="157">
        <f t="shared" si="828"/>
        <v>0</v>
      </c>
      <c r="AI2188" s="152">
        <f t="shared" si="823"/>
        <v>19457</v>
      </c>
      <c r="AK2188" s="156" t="s">
        <v>691</v>
      </c>
      <c r="AL2188" s="574" t="s">
        <v>690</v>
      </c>
      <c r="AM2188" s="198">
        <f t="shared" si="829"/>
        <v>0</v>
      </c>
      <c r="AN2188" s="199">
        <f t="shared" si="818"/>
        <v>45777</v>
      </c>
      <c r="AO2188" s="159" t="s">
        <v>692</v>
      </c>
      <c r="AP2188" s="781"/>
      <c r="AQ2188" s="782">
        <v>12063755</v>
      </c>
      <c r="AR2188" s="782">
        <v>12061353</v>
      </c>
      <c r="AS2188" s="782">
        <v>12061354</v>
      </c>
      <c r="AT2188" s="782">
        <v>12068566</v>
      </c>
      <c r="AU2188" s="781"/>
      <c r="AV2188" s="782">
        <v>12088206</v>
      </c>
      <c r="AW2188" s="782">
        <v>12088207</v>
      </c>
      <c r="AX2188" s="782"/>
      <c r="AY2188" s="782">
        <v>12068565</v>
      </c>
      <c r="AZ2188" s="782"/>
      <c r="BA2188" s="781"/>
      <c r="BB2188" s="209">
        <v>23054743</v>
      </c>
    </row>
    <row r="2189" spans="1:54" ht="25" hidden="1" customHeight="1">
      <c r="B2189" s="583">
        <v>45777</v>
      </c>
      <c r="C2189" s="777" t="s">
        <v>1928</v>
      </c>
      <c r="D2189" s="185">
        <f t="shared" si="824"/>
        <v>2025</v>
      </c>
      <c r="E2189" s="777" t="e">
        <f>VLOOKUP($B2189,Week!$A$1:$C$1462,2,0)</f>
        <v>#N/A</v>
      </c>
      <c r="F2189" s="778" t="str">
        <f t="shared" si="825"/>
        <v>Apr</v>
      </c>
      <c r="G2189" s="586" t="s">
        <v>47</v>
      </c>
      <c r="H2189" s="586" t="s">
        <v>518</v>
      </c>
      <c r="I2189" s="586" t="s">
        <v>2702</v>
      </c>
      <c r="J2189" s="587" t="s">
        <v>70</v>
      </c>
      <c r="K2189" s="588" t="s">
        <v>227</v>
      </c>
      <c r="L2189" s="300" t="s">
        <v>2167</v>
      </c>
      <c r="M2189" s="587" t="s">
        <v>2006</v>
      </c>
      <c r="N2189" s="586" t="s">
        <v>2004</v>
      </c>
      <c r="O2189" s="586" t="s">
        <v>2005</v>
      </c>
      <c r="P2189" s="589">
        <v>12</v>
      </c>
      <c r="Q2189" s="589">
        <v>3</v>
      </c>
      <c r="R2189" s="590">
        <v>8.0000000000000002E-3</v>
      </c>
      <c r="S2189" s="586" t="s">
        <v>352</v>
      </c>
      <c r="T2189" s="586" t="s">
        <v>56</v>
      </c>
      <c r="U2189" s="586" t="s">
        <v>2007</v>
      </c>
      <c r="V2189" s="779">
        <f>146</f>
        <v>146</v>
      </c>
      <c r="W2189" s="592">
        <v>146</v>
      </c>
      <c r="X2189" s="593"/>
      <c r="Y2189" s="594">
        <f>(W2189+X2189)-V2189</f>
        <v>0</v>
      </c>
      <c r="Z2189" s="595">
        <f t="shared" si="819"/>
        <v>0</v>
      </c>
      <c r="AA2189" s="595">
        <f t="shared" si="826"/>
        <v>0</v>
      </c>
      <c r="AB2189" s="835">
        <v>0.05</v>
      </c>
      <c r="AC2189" s="592">
        <f t="shared" ref="AC2189:AC2205" si="830">Z2189*AB2189</f>
        <v>0</v>
      </c>
      <c r="AD2189" s="209"/>
      <c r="AE2189" s="210">
        <f t="shared" si="820"/>
        <v>0</v>
      </c>
      <c r="AF2189" s="210">
        <f t="shared" si="821"/>
        <v>0</v>
      </c>
      <c r="AG2189" s="211">
        <f t="shared" si="822"/>
        <v>0.22700000000000001</v>
      </c>
      <c r="AH2189" s="157">
        <f>(Z2189*AG2189)/1000</f>
        <v>0</v>
      </c>
      <c r="AI2189" s="152">
        <f t="shared" si="823"/>
        <v>1752</v>
      </c>
      <c r="AK2189" s="156" t="s">
        <v>691</v>
      </c>
      <c r="AL2189" s="212" t="s">
        <v>690</v>
      </c>
      <c r="AM2189" s="198">
        <f t="shared" ref="AM2189:AM2205" si="831">AG2189*Z2189</f>
        <v>0</v>
      </c>
      <c r="AN2189" s="199">
        <f t="shared" si="818"/>
        <v>45777</v>
      </c>
      <c r="AO2189" s="159" t="s">
        <v>692</v>
      </c>
      <c r="AP2189" s="783" t="s">
        <v>623</v>
      </c>
      <c r="AQ2189" s="782">
        <v>12071839</v>
      </c>
      <c r="AR2189" s="782">
        <v>12042650</v>
      </c>
      <c r="AS2189" s="782">
        <v>12042649</v>
      </c>
      <c r="AT2189" s="782"/>
      <c r="AU2189" s="781"/>
      <c r="AV2189" s="782">
        <v>12094036</v>
      </c>
      <c r="AW2189" s="782"/>
      <c r="AX2189" s="782"/>
      <c r="AY2189" s="782">
        <v>12094035</v>
      </c>
      <c r="AZ2189" s="782">
        <v>12094041</v>
      </c>
      <c r="BA2189" s="781"/>
      <c r="BB2189" s="209">
        <v>11044165</v>
      </c>
    </row>
    <row r="2190" spans="1:54" ht="25" hidden="1" customHeight="1">
      <c r="B2190" s="583">
        <v>45777</v>
      </c>
      <c r="C2190" s="795" t="s">
        <v>1929</v>
      </c>
      <c r="D2190" s="185">
        <f t="shared" si="824"/>
        <v>2025</v>
      </c>
      <c r="E2190" s="777" t="e">
        <f>VLOOKUP($B2190,Week!$A$1:$C$1462,2,0)</f>
        <v>#N/A</v>
      </c>
      <c r="F2190" s="778" t="str">
        <f t="shared" si="825"/>
        <v>Apr</v>
      </c>
      <c r="G2190" s="586" t="s">
        <v>47</v>
      </c>
      <c r="H2190" s="586" t="s">
        <v>518</v>
      </c>
      <c r="I2190" s="586" t="s">
        <v>2702</v>
      </c>
      <c r="J2190" s="587" t="s">
        <v>70</v>
      </c>
      <c r="K2190" s="588" t="s">
        <v>227</v>
      </c>
      <c r="L2190" s="300" t="s">
        <v>2167</v>
      </c>
      <c r="M2190" s="587" t="s">
        <v>2006</v>
      </c>
      <c r="N2190" s="586" t="s">
        <v>2004</v>
      </c>
      <c r="O2190" s="586" t="s">
        <v>2005</v>
      </c>
      <c r="P2190" s="589">
        <v>12</v>
      </c>
      <c r="Q2190" s="589">
        <v>3</v>
      </c>
      <c r="R2190" s="590">
        <v>8.0000000000000002E-3</v>
      </c>
      <c r="S2190" s="586" t="s">
        <v>352</v>
      </c>
      <c r="T2190" s="586" t="s">
        <v>56</v>
      </c>
      <c r="U2190" s="586" t="s">
        <v>2007</v>
      </c>
      <c r="V2190" s="779">
        <v>5323</v>
      </c>
      <c r="W2190" s="592">
        <f>5469-146</f>
        <v>5323</v>
      </c>
      <c r="X2190" s="593"/>
      <c r="Y2190" s="594">
        <f>(W2190+X2190)-V2190</f>
        <v>0</v>
      </c>
      <c r="Z2190" s="595">
        <f t="shared" si="819"/>
        <v>0</v>
      </c>
      <c r="AA2190" s="595">
        <f t="shared" si="826"/>
        <v>0</v>
      </c>
      <c r="AB2190" s="835">
        <v>0.05</v>
      </c>
      <c r="AC2190" s="592">
        <f t="shared" si="830"/>
        <v>0</v>
      </c>
      <c r="AD2190" s="209"/>
      <c r="AE2190" s="210">
        <f t="shared" si="820"/>
        <v>0</v>
      </c>
      <c r="AF2190" s="210">
        <f t="shared" si="821"/>
        <v>0</v>
      </c>
      <c r="AG2190" s="211">
        <f t="shared" si="822"/>
        <v>0.22700000000000001</v>
      </c>
      <c r="AH2190" s="157">
        <f>(Z2190*AG2190)/1000</f>
        <v>0</v>
      </c>
      <c r="AI2190" s="152">
        <f t="shared" si="823"/>
        <v>63876</v>
      </c>
      <c r="AK2190" s="156" t="s">
        <v>691</v>
      </c>
      <c r="AL2190" s="212" t="s">
        <v>690</v>
      </c>
      <c r="AM2190" s="198">
        <f t="shared" si="831"/>
        <v>0</v>
      </c>
      <c r="AN2190" s="199">
        <f t="shared" si="818"/>
        <v>45777</v>
      </c>
      <c r="AO2190" s="159" t="s">
        <v>692</v>
      </c>
      <c r="AP2190" s="783" t="s">
        <v>623</v>
      </c>
      <c r="AQ2190" s="782">
        <v>12071839</v>
      </c>
      <c r="AR2190" s="782">
        <v>12042650</v>
      </c>
      <c r="AS2190" s="782">
        <v>12042649</v>
      </c>
      <c r="AT2190" s="782"/>
      <c r="AU2190" s="781"/>
      <c r="AV2190" s="782">
        <v>12094036</v>
      </c>
      <c r="AW2190" s="782"/>
      <c r="AX2190" s="782"/>
      <c r="AY2190" s="782">
        <v>12094035</v>
      </c>
      <c r="AZ2190" s="782">
        <v>12094041</v>
      </c>
      <c r="BA2190" s="781"/>
      <c r="BB2190" s="209">
        <v>11044165</v>
      </c>
    </row>
    <row r="2191" spans="1:54" ht="25" hidden="1" customHeight="1">
      <c r="B2191" s="183">
        <v>45778</v>
      </c>
      <c r="C2191" s="184"/>
      <c r="D2191" s="185">
        <f t="shared" si="824"/>
        <v>2025</v>
      </c>
      <c r="E2191" s="185" t="e">
        <f>VLOOKUP($B2191,Week!$A$1:$C$1462,2,0)</f>
        <v>#N/A</v>
      </c>
      <c r="F2191" s="186" t="str">
        <f t="shared" si="825"/>
        <v>May</v>
      </c>
      <c r="G2191" s="481"/>
      <c r="H2191" s="185"/>
      <c r="I2191" s="185"/>
      <c r="J2191" s="187"/>
      <c r="K2191" s="188"/>
      <c r="L2191" s="300"/>
      <c r="M2191" s="187"/>
      <c r="N2191" s="185"/>
      <c r="O2191" s="185"/>
      <c r="P2191" s="189"/>
      <c r="Q2191" s="189"/>
      <c r="R2191" s="190"/>
      <c r="S2191" s="185"/>
      <c r="T2191" s="185"/>
      <c r="U2191" s="185"/>
      <c r="V2191" s="191"/>
      <c r="W2191" s="191"/>
      <c r="X2191" s="192"/>
      <c r="Y2191" s="193"/>
      <c r="Z2191" s="194"/>
      <c r="AA2191" s="194">
        <f t="shared" si="826"/>
        <v>0</v>
      </c>
      <c r="AB2191" s="805"/>
      <c r="AC2191" s="191">
        <f t="shared" si="830"/>
        <v>0</v>
      </c>
      <c r="AD2191" s="187"/>
      <c r="AE2191" s="195"/>
      <c r="AF2191" s="195"/>
      <c r="AG2191" s="196"/>
      <c r="AH2191" s="197"/>
      <c r="AK2191" s="156" t="s">
        <v>691</v>
      </c>
      <c r="AM2191" s="198">
        <f t="shared" si="831"/>
        <v>0</v>
      </c>
      <c r="AN2191" s="199">
        <f t="shared" si="818"/>
        <v>45778</v>
      </c>
      <c r="AO2191" s="159" t="s">
        <v>692</v>
      </c>
      <c r="AP2191" s="781"/>
      <c r="AQ2191" s="782"/>
      <c r="AR2191" s="782"/>
      <c r="AS2191" s="782"/>
      <c r="AT2191" s="782"/>
      <c r="AU2191" s="781"/>
      <c r="AV2191" s="782"/>
      <c r="AW2191" s="782"/>
      <c r="AX2191" s="782"/>
      <c r="AY2191" s="782"/>
      <c r="AZ2191" s="782"/>
      <c r="BA2191" s="781"/>
      <c r="BB2191" s="209"/>
    </row>
    <row r="2192" spans="1:54" ht="25" hidden="1" customHeight="1">
      <c r="B2192" s="246">
        <v>45779</v>
      </c>
      <c r="C2192" s="247">
        <v>45790</v>
      </c>
      <c r="D2192" s="185">
        <f t="shared" si="824"/>
        <v>2025</v>
      </c>
      <c r="E2192" s="247" t="e">
        <f>VLOOKUP($B2192,Week!$A$1:$C$1462,2,0)</f>
        <v>#N/A</v>
      </c>
      <c r="F2192" s="248" t="str">
        <f t="shared" si="825"/>
        <v>May</v>
      </c>
      <c r="G2192" s="599" t="s">
        <v>2162</v>
      </c>
      <c r="H2192" s="249" t="s">
        <v>104</v>
      </c>
      <c r="I2192" s="249" t="s">
        <v>2772</v>
      </c>
      <c r="J2192" s="250" t="s">
        <v>105</v>
      </c>
      <c r="K2192" s="251" t="s">
        <v>593</v>
      </c>
      <c r="L2192" s="300" t="s">
        <v>2167</v>
      </c>
      <c r="M2192" s="250" t="s">
        <v>594</v>
      </c>
      <c r="N2192" s="249" t="s">
        <v>596</v>
      </c>
      <c r="O2192" s="249" t="s">
        <v>304</v>
      </c>
      <c r="P2192" s="252">
        <v>8</v>
      </c>
      <c r="Q2192" s="252">
        <v>5</v>
      </c>
      <c r="R2192" s="253">
        <v>6.0000000000000001E-3</v>
      </c>
      <c r="S2192" s="249" t="s">
        <v>55</v>
      </c>
      <c r="T2192" s="249" t="s">
        <v>112</v>
      </c>
      <c r="U2192" s="249" t="s">
        <v>57</v>
      </c>
      <c r="V2192" s="254">
        <f>2400+1100</f>
        <v>3500</v>
      </c>
      <c r="W2192" s="254"/>
      <c r="X2192" s="255">
        <f>(370+28511)/8</f>
        <v>3610.125</v>
      </c>
      <c r="Y2192" s="256">
        <f t="shared" ref="Y2192:Y2203" si="832">(W2192+X2192)-V2192</f>
        <v>110.125</v>
      </c>
      <c r="Z2192" s="257">
        <f t="shared" ref="Z2192:Z2203" si="833">IF(Y2192&lt;0,((V2192*P2192)-((W2192+X2192)*P2192)),0)</f>
        <v>0</v>
      </c>
      <c r="AA2192" s="257">
        <f t="shared" si="826"/>
        <v>0</v>
      </c>
      <c r="AB2192" s="810">
        <v>7.4999999999999997E-3</v>
      </c>
      <c r="AC2192" s="254">
        <f t="shared" si="830"/>
        <v>0</v>
      </c>
      <c r="AD2192" s="209"/>
      <c r="AE2192" s="210">
        <f t="shared" ref="AE2192:AE2203" si="834">SUM(Q2192*R2192*Z2192)/1000</f>
        <v>0</v>
      </c>
      <c r="AF2192" s="210">
        <f t="shared" ref="AF2192:AF2203" si="835">AE2192/0.54</f>
        <v>0</v>
      </c>
      <c r="AG2192" s="211">
        <f t="shared" ref="AG2192:AG2203" si="836">MID(O2192,1,3)/1000</f>
        <v>0.25800000000000001</v>
      </c>
      <c r="AH2192" s="157">
        <v>0.26621999999999996</v>
      </c>
      <c r="AI2192" s="152">
        <f t="shared" ref="AI2192:AI2203" si="837">V2192*P2192</f>
        <v>28000</v>
      </c>
      <c r="AK2192" s="156" t="s">
        <v>691</v>
      </c>
      <c r="AL2192" s="574" t="s">
        <v>690</v>
      </c>
      <c r="AM2192" s="198">
        <f t="shared" si="831"/>
        <v>0</v>
      </c>
      <c r="AN2192" s="199">
        <f t="shared" si="818"/>
        <v>45779</v>
      </c>
      <c r="AO2192" s="159" t="s">
        <v>692</v>
      </c>
      <c r="AP2192" s="781"/>
      <c r="AQ2192" s="782">
        <v>12071839</v>
      </c>
      <c r="AR2192" s="782">
        <v>12042650</v>
      </c>
      <c r="AS2192" s="782">
        <v>12042649</v>
      </c>
      <c r="AT2192" s="782">
        <v>12084100</v>
      </c>
      <c r="AU2192" s="781"/>
      <c r="AV2192" s="782">
        <v>12084001</v>
      </c>
      <c r="AW2192" s="781"/>
      <c r="AX2192" s="781"/>
      <c r="AY2192" s="781"/>
      <c r="AZ2192" s="782"/>
      <c r="BA2192" s="781"/>
      <c r="BB2192" s="209">
        <v>23053185</v>
      </c>
    </row>
    <row r="2193" spans="1:54" ht="25" hidden="1" customHeight="1">
      <c r="B2193" s="213">
        <v>45779</v>
      </c>
      <c r="C2193" s="578">
        <v>45785</v>
      </c>
      <c r="D2193" s="185">
        <f t="shared" si="824"/>
        <v>2025</v>
      </c>
      <c r="E2193" s="215" t="e">
        <f>VLOOKUP($B2193,Week!$A$1:$C$1462,2,0)</f>
        <v>#N/A</v>
      </c>
      <c r="F2193" s="216" t="str">
        <f t="shared" si="825"/>
        <v>May</v>
      </c>
      <c r="G2193" s="215" t="s">
        <v>1966</v>
      </c>
      <c r="H2193" s="215" t="s">
        <v>104</v>
      </c>
      <c r="I2193" s="215" t="s">
        <v>2772</v>
      </c>
      <c r="J2193" s="209" t="s">
        <v>105</v>
      </c>
      <c r="K2193" s="217" t="s">
        <v>107</v>
      </c>
      <c r="L2193" s="300" t="s">
        <v>2167</v>
      </c>
      <c r="M2193" s="209" t="s">
        <v>108</v>
      </c>
      <c r="N2193" s="215" t="s">
        <v>109</v>
      </c>
      <c r="O2193" s="215" t="s">
        <v>110</v>
      </c>
      <c r="P2193" s="218">
        <v>36</v>
      </c>
      <c r="Q2193" s="218">
        <v>5</v>
      </c>
      <c r="R2193" s="219">
        <v>7.4999999999999997E-3</v>
      </c>
      <c r="S2193" s="215" t="s">
        <v>111</v>
      </c>
      <c r="T2193" s="215" t="s">
        <v>112</v>
      </c>
      <c r="U2193" s="215" t="s">
        <v>113</v>
      </c>
      <c r="V2193" s="220">
        <f>(9055)/36</f>
        <v>251.52777777777777</v>
      </c>
      <c r="W2193" s="220">
        <f>(9055)/36</f>
        <v>251.52777777777777</v>
      </c>
      <c r="X2193" s="221"/>
      <c r="Y2193" s="222">
        <f t="shared" si="832"/>
        <v>0</v>
      </c>
      <c r="Z2193" s="223">
        <f t="shared" si="833"/>
        <v>0</v>
      </c>
      <c r="AA2193" s="223">
        <f t="shared" si="826"/>
        <v>0</v>
      </c>
      <c r="AB2193" s="807">
        <v>9.7000000000000003E-3</v>
      </c>
      <c r="AC2193" s="220">
        <f t="shared" si="830"/>
        <v>0</v>
      </c>
      <c r="AD2193" s="209"/>
      <c r="AE2193" s="210">
        <f t="shared" si="834"/>
        <v>0</v>
      </c>
      <c r="AF2193" s="210">
        <f t="shared" si="835"/>
        <v>0</v>
      </c>
      <c r="AG2193" s="211">
        <f t="shared" si="836"/>
        <v>0.308</v>
      </c>
      <c r="AH2193" s="157">
        <f t="shared" ref="AH2193:AH2202" si="838">(Z2193*AG2193)/1000</f>
        <v>0</v>
      </c>
      <c r="AI2193" s="152">
        <f t="shared" si="837"/>
        <v>9055</v>
      </c>
      <c r="AK2193" s="156" t="s">
        <v>691</v>
      </c>
      <c r="AL2193" s="574" t="s">
        <v>690</v>
      </c>
      <c r="AM2193" s="198">
        <f t="shared" si="831"/>
        <v>0</v>
      </c>
      <c r="AN2193" s="199">
        <f t="shared" si="818"/>
        <v>45779</v>
      </c>
      <c r="AO2193" s="159" t="s">
        <v>692</v>
      </c>
      <c r="AP2193" s="781"/>
      <c r="AQ2193" s="782">
        <v>12063755</v>
      </c>
      <c r="AR2193" s="782">
        <v>12061353</v>
      </c>
      <c r="AS2193" s="782">
        <v>12061354</v>
      </c>
      <c r="AT2193" s="782">
        <v>12068566</v>
      </c>
      <c r="AU2193" s="781"/>
      <c r="AV2193" s="782">
        <v>12088206</v>
      </c>
      <c r="AW2193" s="782">
        <v>12088207</v>
      </c>
      <c r="AX2193" s="782"/>
      <c r="AY2193" s="782">
        <v>12068565</v>
      </c>
      <c r="AZ2193" s="782"/>
      <c r="BA2193" s="781"/>
      <c r="BB2193" s="209">
        <v>23054743</v>
      </c>
    </row>
    <row r="2194" spans="1:54" ht="25" hidden="1" customHeight="1">
      <c r="B2194" s="213">
        <v>45779</v>
      </c>
      <c r="C2194" s="578">
        <v>45785</v>
      </c>
      <c r="D2194" s="185">
        <f t="shared" si="824"/>
        <v>2025</v>
      </c>
      <c r="E2194" s="215" t="e">
        <f>VLOOKUP($B2194,Week!$A$1:$C$1462,2,0)</f>
        <v>#N/A</v>
      </c>
      <c r="F2194" s="216" t="str">
        <f t="shared" si="825"/>
        <v>May</v>
      </c>
      <c r="G2194" s="215" t="s">
        <v>1967</v>
      </c>
      <c r="H2194" s="215" t="s">
        <v>104</v>
      </c>
      <c r="I2194" s="215" t="s">
        <v>2772</v>
      </c>
      <c r="J2194" s="209" t="s">
        <v>105</v>
      </c>
      <c r="K2194" s="217" t="s">
        <v>107</v>
      </c>
      <c r="L2194" s="300" t="s">
        <v>2167</v>
      </c>
      <c r="M2194" s="209" t="s">
        <v>108</v>
      </c>
      <c r="N2194" s="215" t="s">
        <v>109</v>
      </c>
      <c r="O2194" s="215" t="s">
        <v>110</v>
      </c>
      <c r="P2194" s="218">
        <v>36</v>
      </c>
      <c r="Q2194" s="218">
        <v>5</v>
      </c>
      <c r="R2194" s="219">
        <v>7.4999999999999997E-3</v>
      </c>
      <c r="S2194" s="215" t="s">
        <v>111</v>
      </c>
      <c r="T2194" s="215" t="s">
        <v>112</v>
      </c>
      <c r="U2194" s="215" t="s">
        <v>113</v>
      </c>
      <c r="V2194" s="220">
        <v>792</v>
      </c>
      <c r="W2194" s="220">
        <v>792</v>
      </c>
      <c r="X2194" s="221"/>
      <c r="Y2194" s="222">
        <f t="shared" si="832"/>
        <v>0</v>
      </c>
      <c r="Z2194" s="223">
        <f t="shared" si="833"/>
        <v>0</v>
      </c>
      <c r="AA2194" s="223">
        <f t="shared" si="826"/>
        <v>0</v>
      </c>
      <c r="AB2194" s="807">
        <v>9.7000000000000003E-3</v>
      </c>
      <c r="AC2194" s="220">
        <f t="shared" si="830"/>
        <v>0</v>
      </c>
      <c r="AD2194" s="209"/>
      <c r="AE2194" s="210">
        <f t="shared" si="834"/>
        <v>0</v>
      </c>
      <c r="AF2194" s="210">
        <f t="shared" si="835"/>
        <v>0</v>
      </c>
      <c r="AG2194" s="211">
        <f t="shared" si="836"/>
        <v>0.308</v>
      </c>
      <c r="AH2194" s="157">
        <f t="shared" si="838"/>
        <v>0</v>
      </c>
      <c r="AI2194" s="152">
        <f t="shared" si="837"/>
        <v>28512</v>
      </c>
      <c r="AK2194" s="156" t="s">
        <v>691</v>
      </c>
      <c r="AL2194" s="574" t="s">
        <v>690</v>
      </c>
      <c r="AM2194" s="198">
        <f t="shared" si="831"/>
        <v>0</v>
      </c>
      <c r="AN2194" s="199">
        <f t="shared" si="818"/>
        <v>45779</v>
      </c>
      <c r="AO2194" s="159" t="s">
        <v>692</v>
      </c>
      <c r="AP2194" s="781"/>
      <c r="AQ2194" s="782">
        <v>12063755</v>
      </c>
      <c r="AR2194" s="782">
        <v>12061353</v>
      </c>
      <c r="AS2194" s="782">
        <v>12061354</v>
      </c>
      <c r="AT2194" s="782">
        <v>12068566</v>
      </c>
      <c r="AU2194" s="781"/>
      <c r="AV2194" s="782">
        <v>12088206</v>
      </c>
      <c r="AW2194" s="782">
        <v>12088207</v>
      </c>
      <c r="AX2194" s="782"/>
      <c r="AY2194" s="782">
        <v>12068565</v>
      </c>
      <c r="AZ2194" s="782"/>
      <c r="BA2194" s="781"/>
      <c r="BB2194" s="209">
        <v>23054743</v>
      </c>
    </row>
    <row r="2195" spans="1:54" ht="25" hidden="1" customHeight="1">
      <c r="B2195" s="213">
        <v>45779</v>
      </c>
      <c r="C2195" s="578">
        <v>45785</v>
      </c>
      <c r="D2195" s="185">
        <f t="shared" si="824"/>
        <v>2025</v>
      </c>
      <c r="E2195" s="215" t="e">
        <f>VLOOKUP($B2195,Week!$A$1:$C$1462,2,0)</f>
        <v>#N/A</v>
      </c>
      <c r="F2195" s="216" t="str">
        <f t="shared" si="825"/>
        <v>May</v>
      </c>
      <c r="G2195" s="215" t="s">
        <v>1970</v>
      </c>
      <c r="H2195" s="215" t="s">
        <v>104</v>
      </c>
      <c r="I2195" s="215" t="s">
        <v>2772</v>
      </c>
      <c r="J2195" s="209" t="s">
        <v>105</v>
      </c>
      <c r="K2195" s="217" t="s">
        <v>107</v>
      </c>
      <c r="L2195" s="300" t="s">
        <v>2167</v>
      </c>
      <c r="M2195" s="209" t="s">
        <v>108</v>
      </c>
      <c r="N2195" s="215" t="s">
        <v>109</v>
      </c>
      <c r="O2195" s="215" t="s">
        <v>110</v>
      </c>
      <c r="P2195" s="218">
        <v>36</v>
      </c>
      <c r="Q2195" s="218">
        <v>5</v>
      </c>
      <c r="R2195" s="219">
        <v>7.4999999999999997E-3</v>
      </c>
      <c r="S2195" s="215" t="s">
        <v>111</v>
      </c>
      <c r="T2195" s="215" t="s">
        <v>112</v>
      </c>
      <c r="U2195" s="215" t="s">
        <v>113</v>
      </c>
      <c r="V2195" s="220">
        <v>792</v>
      </c>
      <c r="W2195" s="220">
        <v>792</v>
      </c>
      <c r="X2195" s="221"/>
      <c r="Y2195" s="222">
        <f t="shared" si="832"/>
        <v>0</v>
      </c>
      <c r="Z2195" s="223">
        <f t="shared" si="833"/>
        <v>0</v>
      </c>
      <c r="AA2195" s="223">
        <f t="shared" si="826"/>
        <v>0</v>
      </c>
      <c r="AB2195" s="807">
        <v>9.7000000000000003E-3</v>
      </c>
      <c r="AC2195" s="220">
        <f t="shared" si="830"/>
        <v>0</v>
      </c>
      <c r="AD2195" s="209"/>
      <c r="AE2195" s="210">
        <f t="shared" si="834"/>
        <v>0</v>
      </c>
      <c r="AF2195" s="210">
        <f t="shared" si="835"/>
        <v>0</v>
      </c>
      <c r="AG2195" s="211">
        <f t="shared" si="836"/>
        <v>0.308</v>
      </c>
      <c r="AH2195" s="157">
        <f t="shared" si="838"/>
        <v>0</v>
      </c>
      <c r="AI2195" s="152">
        <f t="shared" si="837"/>
        <v>28512</v>
      </c>
      <c r="AK2195" s="156" t="s">
        <v>691</v>
      </c>
      <c r="AL2195" s="574" t="s">
        <v>690</v>
      </c>
      <c r="AM2195" s="198">
        <f t="shared" si="831"/>
        <v>0</v>
      </c>
      <c r="AN2195" s="199">
        <f t="shared" si="818"/>
        <v>45779</v>
      </c>
      <c r="AO2195" s="159" t="s">
        <v>692</v>
      </c>
      <c r="AP2195" s="781"/>
      <c r="AQ2195" s="782">
        <v>12063755</v>
      </c>
      <c r="AR2195" s="782">
        <v>12061353</v>
      </c>
      <c r="AS2195" s="782">
        <v>12061354</v>
      </c>
      <c r="AT2195" s="782">
        <v>12068566</v>
      </c>
      <c r="AU2195" s="781"/>
      <c r="AV2195" s="782">
        <v>12088206</v>
      </c>
      <c r="AW2195" s="782">
        <v>12088207</v>
      </c>
      <c r="AX2195" s="782"/>
      <c r="AY2195" s="782">
        <v>12068565</v>
      </c>
      <c r="AZ2195" s="782"/>
      <c r="BA2195" s="781"/>
      <c r="BB2195" s="209">
        <v>23054743</v>
      </c>
    </row>
    <row r="2196" spans="1:54" ht="25" hidden="1" customHeight="1">
      <c r="B2196" s="213">
        <v>45779</v>
      </c>
      <c r="C2196" s="578">
        <v>45791</v>
      </c>
      <c r="D2196" s="185">
        <f t="shared" si="824"/>
        <v>2025</v>
      </c>
      <c r="E2196" s="215" t="e">
        <f>VLOOKUP($B2196,Week!$A$1:$C$1462,2,0)</f>
        <v>#N/A</v>
      </c>
      <c r="F2196" s="216" t="str">
        <f t="shared" si="825"/>
        <v>May</v>
      </c>
      <c r="G2196" s="215" t="s">
        <v>1992</v>
      </c>
      <c r="H2196" s="215" t="s">
        <v>104</v>
      </c>
      <c r="I2196" s="215" t="s">
        <v>2772</v>
      </c>
      <c r="J2196" s="209" t="s">
        <v>105</v>
      </c>
      <c r="K2196" s="217" t="s">
        <v>107</v>
      </c>
      <c r="L2196" s="300" t="s">
        <v>2167</v>
      </c>
      <c r="M2196" s="209" t="s">
        <v>108</v>
      </c>
      <c r="N2196" s="215" t="s">
        <v>109</v>
      </c>
      <c r="O2196" s="215" t="s">
        <v>110</v>
      </c>
      <c r="P2196" s="218">
        <v>36</v>
      </c>
      <c r="Q2196" s="218">
        <v>5</v>
      </c>
      <c r="R2196" s="219">
        <v>7.4999999999999997E-3</v>
      </c>
      <c r="S2196" s="215" t="s">
        <v>111</v>
      </c>
      <c r="T2196" s="215" t="s">
        <v>112</v>
      </c>
      <c r="U2196" s="215" t="s">
        <v>113</v>
      </c>
      <c r="V2196" s="220">
        <v>792</v>
      </c>
      <c r="W2196" s="220">
        <v>792</v>
      </c>
      <c r="X2196" s="221"/>
      <c r="Y2196" s="222">
        <f t="shared" si="832"/>
        <v>0</v>
      </c>
      <c r="Z2196" s="223">
        <f t="shared" si="833"/>
        <v>0</v>
      </c>
      <c r="AA2196" s="223">
        <f t="shared" si="826"/>
        <v>0</v>
      </c>
      <c r="AB2196" s="807">
        <v>9.7000000000000003E-3</v>
      </c>
      <c r="AC2196" s="220">
        <f t="shared" si="830"/>
        <v>0</v>
      </c>
      <c r="AD2196" s="209"/>
      <c r="AE2196" s="210">
        <f t="shared" si="834"/>
        <v>0</v>
      </c>
      <c r="AF2196" s="210">
        <f t="shared" si="835"/>
        <v>0</v>
      </c>
      <c r="AG2196" s="211">
        <f t="shared" si="836"/>
        <v>0.308</v>
      </c>
      <c r="AH2196" s="157">
        <f t="shared" si="838"/>
        <v>0</v>
      </c>
      <c r="AI2196" s="152">
        <f t="shared" si="837"/>
        <v>28512</v>
      </c>
      <c r="AK2196" s="156" t="s">
        <v>691</v>
      </c>
      <c r="AL2196" s="574" t="s">
        <v>690</v>
      </c>
      <c r="AM2196" s="198">
        <f t="shared" si="831"/>
        <v>0</v>
      </c>
      <c r="AN2196" s="199">
        <f t="shared" si="818"/>
        <v>45779</v>
      </c>
      <c r="AO2196" s="159" t="s">
        <v>692</v>
      </c>
      <c r="AP2196" s="781"/>
      <c r="AQ2196" s="782">
        <v>12063755</v>
      </c>
      <c r="AR2196" s="782">
        <v>12061353</v>
      </c>
      <c r="AS2196" s="782">
        <v>12061354</v>
      </c>
      <c r="AT2196" s="782">
        <v>12068566</v>
      </c>
      <c r="AU2196" s="781"/>
      <c r="AV2196" s="782">
        <v>12088206</v>
      </c>
      <c r="AW2196" s="782">
        <v>12088207</v>
      </c>
      <c r="AX2196" s="782"/>
      <c r="AY2196" s="782">
        <v>12068565</v>
      </c>
      <c r="AZ2196" s="782"/>
      <c r="BA2196" s="781"/>
      <c r="BB2196" s="209">
        <v>23054743</v>
      </c>
    </row>
    <row r="2197" spans="1:54" ht="25" hidden="1" customHeight="1">
      <c r="A2197" s="440"/>
      <c r="B2197" s="213">
        <v>45779</v>
      </c>
      <c r="C2197" s="578">
        <v>45792</v>
      </c>
      <c r="D2197" s="185">
        <f t="shared" si="824"/>
        <v>2025</v>
      </c>
      <c r="E2197" s="215" t="e">
        <f>VLOOKUP($B2197,Week!$A$1:$C$1462,2,0)</f>
        <v>#N/A</v>
      </c>
      <c r="F2197" s="216" t="str">
        <f t="shared" si="825"/>
        <v>May</v>
      </c>
      <c r="G2197" s="215" t="s">
        <v>1993</v>
      </c>
      <c r="H2197" s="215" t="s">
        <v>104</v>
      </c>
      <c r="I2197" s="215" t="s">
        <v>2772</v>
      </c>
      <c r="J2197" s="209" t="s">
        <v>105</v>
      </c>
      <c r="K2197" s="217" t="s">
        <v>107</v>
      </c>
      <c r="L2197" s="300" t="s">
        <v>2167</v>
      </c>
      <c r="M2197" s="209" t="s">
        <v>108</v>
      </c>
      <c r="N2197" s="215" t="s">
        <v>109</v>
      </c>
      <c r="O2197" s="215" t="s">
        <v>110</v>
      </c>
      <c r="P2197" s="218">
        <v>36</v>
      </c>
      <c r="Q2197" s="218">
        <v>5</v>
      </c>
      <c r="R2197" s="219">
        <v>7.4999999999999997E-3</v>
      </c>
      <c r="S2197" s="215" t="s">
        <v>111</v>
      </c>
      <c r="T2197" s="215" t="s">
        <v>112</v>
      </c>
      <c r="U2197" s="215" t="s">
        <v>113</v>
      </c>
      <c r="V2197" s="220">
        <f>3154-252-792-792-792</f>
        <v>526</v>
      </c>
      <c r="W2197" s="220">
        <f>3154-252-792-792-792</f>
        <v>526</v>
      </c>
      <c r="X2197" s="221"/>
      <c r="Y2197" s="222">
        <f t="shared" si="832"/>
        <v>0</v>
      </c>
      <c r="Z2197" s="223">
        <f t="shared" si="833"/>
        <v>0</v>
      </c>
      <c r="AA2197" s="223">
        <f t="shared" si="826"/>
        <v>0</v>
      </c>
      <c r="AB2197" s="807">
        <v>9.7000000000000003E-3</v>
      </c>
      <c r="AC2197" s="220">
        <f t="shared" si="830"/>
        <v>0</v>
      </c>
      <c r="AD2197" s="209"/>
      <c r="AE2197" s="210">
        <f t="shared" si="834"/>
        <v>0</v>
      </c>
      <c r="AF2197" s="210">
        <f t="shared" si="835"/>
        <v>0</v>
      </c>
      <c r="AG2197" s="211">
        <f t="shared" si="836"/>
        <v>0.308</v>
      </c>
      <c r="AH2197" s="157">
        <f t="shared" si="838"/>
        <v>0</v>
      </c>
      <c r="AI2197" s="152">
        <f t="shared" si="837"/>
        <v>18936</v>
      </c>
      <c r="AK2197" s="156" t="s">
        <v>691</v>
      </c>
      <c r="AL2197" s="574" t="s">
        <v>690</v>
      </c>
      <c r="AM2197" s="198">
        <f t="shared" si="831"/>
        <v>0</v>
      </c>
      <c r="AN2197" s="199">
        <f t="shared" si="818"/>
        <v>45779</v>
      </c>
      <c r="AO2197" s="159" t="s">
        <v>692</v>
      </c>
      <c r="AP2197" s="781"/>
      <c r="AQ2197" s="782">
        <v>12063755</v>
      </c>
      <c r="AR2197" s="782">
        <v>12061353</v>
      </c>
      <c r="AS2197" s="782">
        <v>12061354</v>
      </c>
      <c r="AT2197" s="782">
        <v>12068566</v>
      </c>
      <c r="AU2197" s="781"/>
      <c r="AV2197" s="782">
        <v>12088206</v>
      </c>
      <c r="AW2197" s="782">
        <v>12088207</v>
      </c>
      <c r="AX2197" s="782"/>
      <c r="AY2197" s="782">
        <v>12068565</v>
      </c>
      <c r="AZ2197" s="782"/>
      <c r="BA2197" s="781"/>
      <c r="BB2197" s="209">
        <v>23054743</v>
      </c>
    </row>
    <row r="2198" spans="1:54" ht="25" hidden="1" customHeight="1">
      <c r="A2198" s="440"/>
      <c r="B2198" s="213">
        <v>45780</v>
      </c>
      <c r="C2198" s="578">
        <v>45792</v>
      </c>
      <c r="D2198" s="185">
        <f t="shared" si="824"/>
        <v>2025</v>
      </c>
      <c r="E2198" s="215" t="e">
        <f>VLOOKUP($B2198,Week!$A$1:$C$1462,2,0)</f>
        <v>#N/A</v>
      </c>
      <c r="F2198" s="216" t="str">
        <f t="shared" si="825"/>
        <v>May</v>
      </c>
      <c r="G2198" s="215" t="s">
        <v>1993</v>
      </c>
      <c r="H2198" s="215" t="s">
        <v>104</v>
      </c>
      <c r="I2198" s="215" t="s">
        <v>2772</v>
      </c>
      <c r="J2198" s="209" t="s">
        <v>105</v>
      </c>
      <c r="K2198" s="217" t="s">
        <v>107</v>
      </c>
      <c r="L2198" s="300" t="s">
        <v>2167</v>
      </c>
      <c r="M2198" s="209" t="s">
        <v>108</v>
      </c>
      <c r="N2198" s="215" t="s">
        <v>109</v>
      </c>
      <c r="O2198" s="215" t="s">
        <v>110</v>
      </c>
      <c r="P2198" s="218">
        <v>36</v>
      </c>
      <c r="Q2198" s="218">
        <v>5</v>
      </c>
      <c r="R2198" s="219">
        <v>7.4999999999999997E-3</v>
      </c>
      <c r="S2198" s="215" t="s">
        <v>111</v>
      </c>
      <c r="T2198" s="215" t="s">
        <v>112</v>
      </c>
      <c r="U2198" s="215" t="s">
        <v>113</v>
      </c>
      <c r="V2198" s="220">
        <f>792-526</f>
        <v>266</v>
      </c>
      <c r="W2198" s="220">
        <v>266</v>
      </c>
      <c r="X2198" s="221"/>
      <c r="Y2198" s="222">
        <f t="shared" si="832"/>
        <v>0</v>
      </c>
      <c r="Z2198" s="223">
        <f t="shared" si="833"/>
        <v>0</v>
      </c>
      <c r="AA2198" s="223">
        <f t="shared" si="826"/>
        <v>0</v>
      </c>
      <c r="AB2198" s="807">
        <v>9.7000000000000003E-3</v>
      </c>
      <c r="AC2198" s="220">
        <f t="shared" si="830"/>
        <v>0</v>
      </c>
      <c r="AD2198" s="209"/>
      <c r="AE2198" s="210">
        <f t="shared" si="834"/>
        <v>0</v>
      </c>
      <c r="AF2198" s="210">
        <f t="shared" si="835"/>
        <v>0</v>
      </c>
      <c r="AG2198" s="211">
        <f t="shared" si="836"/>
        <v>0.308</v>
      </c>
      <c r="AH2198" s="157">
        <f t="shared" si="838"/>
        <v>0</v>
      </c>
      <c r="AI2198" s="152">
        <f t="shared" si="837"/>
        <v>9576</v>
      </c>
      <c r="AK2198" s="156" t="s">
        <v>691</v>
      </c>
      <c r="AL2198" s="574" t="s">
        <v>690</v>
      </c>
      <c r="AM2198" s="198">
        <f t="shared" si="831"/>
        <v>0</v>
      </c>
      <c r="AN2198" s="199">
        <f t="shared" si="818"/>
        <v>45780</v>
      </c>
      <c r="AO2198" s="159" t="s">
        <v>692</v>
      </c>
      <c r="AP2198" s="781"/>
      <c r="AQ2198" s="782">
        <v>12063755</v>
      </c>
      <c r="AR2198" s="782">
        <v>12061353</v>
      </c>
      <c r="AS2198" s="782">
        <v>12061354</v>
      </c>
      <c r="AT2198" s="782">
        <v>12068566</v>
      </c>
      <c r="AU2198" s="781"/>
      <c r="AV2198" s="782">
        <v>12088206</v>
      </c>
      <c r="AW2198" s="782">
        <v>12088207</v>
      </c>
      <c r="AX2198" s="782"/>
      <c r="AY2198" s="782">
        <v>12068565</v>
      </c>
      <c r="AZ2198" s="782"/>
      <c r="BA2198" s="781"/>
      <c r="BB2198" s="209">
        <v>23054743</v>
      </c>
    </row>
    <row r="2199" spans="1:54" ht="25" hidden="1" customHeight="1">
      <c r="A2199" s="440"/>
      <c r="B2199" s="213">
        <v>45780</v>
      </c>
      <c r="C2199" s="578">
        <v>45792</v>
      </c>
      <c r="D2199" s="185">
        <f t="shared" si="824"/>
        <v>2025</v>
      </c>
      <c r="E2199" s="215" t="e">
        <f>VLOOKUP($B2199,Week!$A$1:$C$1462,2,0)</f>
        <v>#N/A</v>
      </c>
      <c r="F2199" s="216" t="str">
        <f t="shared" si="825"/>
        <v>May</v>
      </c>
      <c r="G2199" s="215" t="s">
        <v>1994</v>
      </c>
      <c r="H2199" s="215" t="s">
        <v>104</v>
      </c>
      <c r="I2199" s="215" t="s">
        <v>2772</v>
      </c>
      <c r="J2199" s="209" t="s">
        <v>105</v>
      </c>
      <c r="K2199" s="217" t="s">
        <v>107</v>
      </c>
      <c r="L2199" s="300" t="s">
        <v>2167</v>
      </c>
      <c r="M2199" s="209" t="s">
        <v>108</v>
      </c>
      <c r="N2199" s="215" t="s">
        <v>109</v>
      </c>
      <c r="O2199" s="215" t="s">
        <v>110</v>
      </c>
      <c r="P2199" s="218">
        <v>36</v>
      </c>
      <c r="Q2199" s="218">
        <v>5</v>
      </c>
      <c r="R2199" s="219">
        <v>7.4999999999999997E-3</v>
      </c>
      <c r="S2199" s="215" t="s">
        <v>111</v>
      </c>
      <c r="T2199" s="215" t="s">
        <v>112</v>
      </c>
      <c r="U2199" s="215" t="s">
        <v>113</v>
      </c>
      <c r="V2199" s="220">
        <v>792</v>
      </c>
      <c r="W2199" s="220">
        <v>792</v>
      </c>
      <c r="X2199" s="221"/>
      <c r="Y2199" s="222">
        <f t="shared" si="832"/>
        <v>0</v>
      </c>
      <c r="Z2199" s="223">
        <f t="shared" si="833"/>
        <v>0</v>
      </c>
      <c r="AA2199" s="223">
        <f t="shared" si="826"/>
        <v>0</v>
      </c>
      <c r="AB2199" s="807">
        <v>9.7000000000000003E-3</v>
      </c>
      <c r="AC2199" s="220">
        <f t="shared" si="830"/>
        <v>0</v>
      </c>
      <c r="AD2199" s="209"/>
      <c r="AE2199" s="210">
        <f t="shared" si="834"/>
        <v>0</v>
      </c>
      <c r="AF2199" s="210">
        <f t="shared" si="835"/>
        <v>0</v>
      </c>
      <c r="AG2199" s="211">
        <f t="shared" si="836"/>
        <v>0.308</v>
      </c>
      <c r="AH2199" s="157">
        <f t="shared" si="838"/>
        <v>0</v>
      </c>
      <c r="AI2199" s="152">
        <f t="shared" si="837"/>
        <v>28512</v>
      </c>
      <c r="AK2199" s="156" t="s">
        <v>691</v>
      </c>
      <c r="AL2199" s="574" t="s">
        <v>690</v>
      </c>
      <c r="AM2199" s="198">
        <f t="shared" si="831"/>
        <v>0</v>
      </c>
      <c r="AN2199" s="199">
        <f t="shared" si="818"/>
        <v>45780</v>
      </c>
      <c r="AO2199" s="159" t="s">
        <v>692</v>
      </c>
      <c r="AP2199" s="781"/>
      <c r="AQ2199" s="782">
        <v>12063755</v>
      </c>
      <c r="AR2199" s="782">
        <v>12061353</v>
      </c>
      <c r="AS2199" s="782">
        <v>12061354</v>
      </c>
      <c r="AT2199" s="782">
        <v>12068566</v>
      </c>
      <c r="AU2199" s="781"/>
      <c r="AV2199" s="782">
        <v>12088206</v>
      </c>
      <c r="AW2199" s="782">
        <v>12088207</v>
      </c>
      <c r="AX2199" s="782"/>
      <c r="AY2199" s="782">
        <v>12068565</v>
      </c>
      <c r="AZ2199" s="782"/>
      <c r="BA2199" s="781"/>
      <c r="BB2199" s="209">
        <v>23054743</v>
      </c>
    </row>
    <row r="2200" spans="1:54" ht="25" hidden="1" customHeight="1">
      <c r="A2200" s="440"/>
      <c r="B2200" s="213">
        <v>45780</v>
      </c>
      <c r="C2200" s="578">
        <v>45792</v>
      </c>
      <c r="D2200" s="185">
        <f t="shared" si="824"/>
        <v>2025</v>
      </c>
      <c r="E2200" s="215" t="e">
        <f>VLOOKUP($B2200,Week!$A$1:$C$1462,2,0)</f>
        <v>#N/A</v>
      </c>
      <c r="F2200" s="216" t="str">
        <f t="shared" si="825"/>
        <v>May</v>
      </c>
      <c r="G2200" s="215" t="s">
        <v>1995</v>
      </c>
      <c r="H2200" s="215" t="s">
        <v>104</v>
      </c>
      <c r="I2200" s="215" t="s">
        <v>2772</v>
      </c>
      <c r="J2200" s="209" t="s">
        <v>105</v>
      </c>
      <c r="K2200" s="217" t="s">
        <v>107</v>
      </c>
      <c r="L2200" s="300" t="s">
        <v>2167</v>
      </c>
      <c r="M2200" s="209" t="s">
        <v>108</v>
      </c>
      <c r="N2200" s="215" t="s">
        <v>109</v>
      </c>
      <c r="O2200" s="215" t="s">
        <v>110</v>
      </c>
      <c r="P2200" s="218">
        <v>36</v>
      </c>
      <c r="Q2200" s="218">
        <v>5</v>
      </c>
      <c r="R2200" s="219">
        <v>7.4999999999999997E-3</v>
      </c>
      <c r="S2200" s="215" t="s">
        <v>111</v>
      </c>
      <c r="T2200" s="215" t="s">
        <v>112</v>
      </c>
      <c r="U2200" s="215" t="s">
        <v>113</v>
      </c>
      <c r="V2200" s="220">
        <v>792</v>
      </c>
      <c r="W2200" s="220">
        <v>792</v>
      </c>
      <c r="X2200" s="221"/>
      <c r="Y2200" s="222">
        <f t="shared" si="832"/>
        <v>0</v>
      </c>
      <c r="Z2200" s="223">
        <f t="shared" si="833"/>
        <v>0</v>
      </c>
      <c r="AA2200" s="223">
        <f t="shared" si="826"/>
        <v>0</v>
      </c>
      <c r="AB2200" s="807">
        <v>9.7000000000000003E-3</v>
      </c>
      <c r="AC2200" s="220">
        <f t="shared" si="830"/>
        <v>0</v>
      </c>
      <c r="AD2200" s="209"/>
      <c r="AE2200" s="210">
        <f t="shared" si="834"/>
        <v>0</v>
      </c>
      <c r="AF2200" s="210">
        <f t="shared" si="835"/>
        <v>0</v>
      </c>
      <c r="AG2200" s="211">
        <f t="shared" si="836"/>
        <v>0.308</v>
      </c>
      <c r="AH2200" s="157">
        <f t="shared" si="838"/>
        <v>0</v>
      </c>
      <c r="AI2200" s="152">
        <f t="shared" si="837"/>
        <v>28512</v>
      </c>
      <c r="AK2200" s="156" t="s">
        <v>691</v>
      </c>
      <c r="AL2200" s="574" t="s">
        <v>690</v>
      </c>
      <c r="AM2200" s="198">
        <f t="shared" si="831"/>
        <v>0</v>
      </c>
      <c r="AN2200" s="199">
        <f t="shared" si="818"/>
        <v>45780</v>
      </c>
      <c r="AO2200" s="159" t="s">
        <v>692</v>
      </c>
      <c r="AP2200" s="781"/>
      <c r="AQ2200" s="782">
        <v>12063755</v>
      </c>
      <c r="AR2200" s="782">
        <v>12061353</v>
      </c>
      <c r="AS2200" s="782">
        <v>12061354</v>
      </c>
      <c r="AT2200" s="782">
        <v>12068566</v>
      </c>
      <c r="AU2200" s="781"/>
      <c r="AV2200" s="782">
        <v>12088206</v>
      </c>
      <c r="AW2200" s="782">
        <v>12088207</v>
      </c>
      <c r="AX2200" s="782"/>
      <c r="AY2200" s="782">
        <v>12068565</v>
      </c>
      <c r="AZ2200" s="782"/>
      <c r="BA2200" s="781"/>
      <c r="BB2200" s="209">
        <v>23054743</v>
      </c>
    </row>
    <row r="2201" spans="1:54" ht="25" hidden="1" customHeight="1">
      <c r="A2201" s="440"/>
      <c r="B2201" s="213">
        <v>45780</v>
      </c>
      <c r="C2201" s="578">
        <v>45792</v>
      </c>
      <c r="D2201" s="185">
        <f t="shared" si="824"/>
        <v>2025</v>
      </c>
      <c r="E2201" s="215" t="e">
        <f>VLOOKUP($B2201,Week!$A$1:$C$1462,2,0)</f>
        <v>#N/A</v>
      </c>
      <c r="F2201" s="216" t="str">
        <f t="shared" si="825"/>
        <v>May</v>
      </c>
      <c r="G2201" s="215" t="s">
        <v>1996</v>
      </c>
      <c r="H2201" s="215" t="s">
        <v>104</v>
      </c>
      <c r="I2201" s="215" t="s">
        <v>2772</v>
      </c>
      <c r="J2201" s="209" t="s">
        <v>105</v>
      </c>
      <c r="K2201" s="217" t="s">
        <v>107</v>
      </c>
      <c r="L2201" s="300" t="s">
        <v>2167</v>
      </c>
      <c r="M2201" s="209" t="s">
        <v>108</v>
      </c>
      <c r="N2201" s="215" t="s">
        <v>109</v>
      </c>
      <c r="O2201" s="215" t="s">
        <v>110</v>
      </c>
      <c r="P2201" s="218">
        <v>36</v>
      </c>
      <c r="Q2201" s="218">
        <v>5</v>
      </c>
      <c r="R2201" s="219">
        <v>7.4999999999999997E-3</v>
      </c>
      <c r="S2201" s="215" t="s">
        <v>111</v>
      </c>
      <c r="T2201" s="215" t="s">
        <v>112</v>
      </c>
      <c r="U2201" s="215" t="s">
        <v>113</v>
      </c>
      <c r="V2201" s="220">
        <f>575</f>
        <v>575</v>
      </c>
      <c r="W2201" s="220">
        <f>2354-266-792-792</f>
        <v>504</v>
      </c>
      <c r="X2201" s="221">
        <v>71</v>
      </c>
      <c r="Y2201" s="222">
        <f t="shared" si="832"/>
        <v>0</v>
      </c>
      <c r="Z2201" s="223">
        <f t="shared" si="833"/>
        <v>0</v>
      </c>
      <c r="AA2201" s="223">
        <f t="shared" si="826"/>
        <v>0</v>
      </c>
      <c r="AB2201" s="807">
        <v>9.7000000000000003E-3</v>
      </c>
      <c r="AC2201" s="220">
        <f t="shared" si="830"/>
        <v>0</v>
      </c>
      <c r="AD2201" s="209"/>
      <c r="AE2201" s="210">
        <f t="shared" si="834"/>
        <v>0</v>
      </c>
      <c r="AF2201" s="210">
        <f t="shared" si="835"/>
        <v>0</v>
      </c>
      <c r="AG2201" s="211">
        <f t="shared" si="836"/>
        <v>0.308</v>
      </c>
      <c r="AH2201" s="157">
        <f t="shared" si="838"/>
        <v>0</v>
      </c>
      <c r="AI2201" s="152">
        <f t="shared" si="837"/>
        <v>20700</v>
      </c>
      <c r="AK2201" s="156" t="s">
        <v>691</v>
      </c>
      <c r="AL2201" s="574" t="s">
        <v>690</v>
      </c>
      <c r="AM2201" s="198">
        <f t="shared" si="831"/>
        <v>0</v>
      </c>
      <c r="AN2201" s="199">
        <f t="shared" si="818"/>
        <v>45780</v>
      </c>
      <c r="AO2201" s="159" t="s">
        <v>692</v>
      </c>
      <c r="AP2201" s="781"/>
      <c r="AQ2201" s="782">
        <v>12063755</v>
      </c>
      <c r="AR2201" s="782">
        <v>12061353</v>
      </c>
      <c r="AS2201" s="782">
        <v>12061354</v>
      </c>
      <c r="AT2201" s="782">
        <v>12068566</v>
      </c>
      <c r="AU2201" s="781"/>
      <c r="AV2201" s="782">
        <v>12088206</v>
      </c>
      <c r="AW2201" s="782">
        <v>12088207</v>
      </c>
      <c r="AX2201" s="782"/>
      <c r="AY2201" s="782">
        <v>12068565</v>
      </c>
      <c r="AZ2201" s="782"/>
      <c r="BA2201" s="781"/>
      <c r="BB2201" s="209">
        <v>23054743</v>
      </c>
    </row>
    <row r="2202" spans="1:54" ht="25" hidden="1" customHeight="1">
      <c r="B2202" s="498">
        <v>45780</v>
      </c>
      <c r="C2202" s="499">
        <v>45793</v>
      </c>
      <c r="D2202" s="185">
        <f t="shared" si="824"/>
        <v>2025</v>
      </c>
      <c r="E2202" s="499" t="e">
        <f>VLOOKUP($B2202,Week!$A$1:$C$1462,2,0)</f>
        <v>#N/A</v>
      </c>
      <c r="F2202" s="500" t="str">
        <f t="shared" si="825"/>
        <v>May</v>
      </c>
      <c r="G2202" s="501" t="s">
        <v>2172</v>
      </c>
      <c r="H2202" s="501" t="s">
        <v>311</v>
      </c>
      <c r="I2202" s="501" t="s">
        <v>2772</v>
      </c>
      <c r="J2202" s="502" t="s">
        <v>738</v>
      </c>
      <c r="K2202" s="503" t="s">
        <v>1646</v>
      </c>
      <c r="L2202" s="300" t="s">
        <v>2167</v>
      </c>
      <c r="M2202" s="502" t="s">
        <v>654</v>
      </c>
      <c r="N2202" s="501" t="s">
        <v>726</v>
      </c>
      <c r="O2202" s="501" t="s">
        <v>655</v>
      </c>
      <c r="P2202" s="504">
        <v>24</v>
      </c>
      <c r="Q2202" s="504">
        <v>5</v>
      </c>
      <c r="R2202" s="505">
        <v>7.4999999999999997E-3</v>
      </c>
      <c r="S2202" s="501" t="s">
        <v>40</v>
      </c>
      <c r="T2202" s="501" t="s">
        <v>112</v>
      </c>
      <c r="U2202" s="506" t="s">
        <v>1894</v>
      </c>
      <c r="V2202" s="507">
        <v>907</v>
      </c>
      <c r="W2202" s="507">
        <f>11+896</f>
        <v>907</v>
      </c>
      <c r="X2202" s="508"/>
      <c r="Y2202" s="509">
        <f t="shared" si="832"/>
        <v>0</v>
      </c>
      <c r="Z2202" s="510">
        <f t="shared" si="833"/>
        <v>0</v>
      </c>
      <c r="AA2202" s="510">
        <f t="shared" si="826"/>
        <v>0</v>
      </c>
      <c r="AB2202" s="830">
        <v>3.8699999999999998E-2</v>
      </c>
      <c r="AC2202" s="507">
        <f t="shared" si="830"/>
        <v>0</v>
      </c>
      <c r="AD2202" s="209"/>
      <c r="AE2202" s="210">
        <f t="shared" si="834"/>
        <v>0</v>
      </c>
      <c r="AF2202" s="210">
        <f t="shared" si="835"/>
        <v>0</v>
      </c>
      <c r="AG2202" s="211">
        <f t="shared" si="836"/>
        <v>0.307</v>
      </c>
      <c r="AH2202" s="157">
        <f t="shared" si="838"/>
        <v>0</v>
      </c>
      <c r="AI2202" s="152">
        <f t="shared" si="837"/>
        <v>21768</v>
      </c>
      <c r="AK2202" s="156" t="s">
        <v>691</v>
      </c>
      <c r="AL2202" s="212" t="s">
        <v>690</v>
      </c>
      <c r="AM2202" s="198">
        <f t="shared" si="831"/>
        <v>0</v>
      </c>
      <c r="AN2202" s="199">
        <f t="shared" si="818"/>
        <v>45780</v>
      </c>
      <c r="AO2202" s="159" t="s">
        <v>692</v>
      </c>
      <c r="AP2202" s="781" t="s">
        <v>642</v>
      </c>
      <c r="AQ2202" s="782">
        <v>12063755</v>
      </c>
      <c r="AR2202" s="782">
        <v>12061353</v>
      </c>
      <c r="AS2202" s="782">
        <v>12061354</v>
      </c>
      <c r="AT2202" s="782">
        <v>12089274</v>
      </c>
      <c r="AU2202" s="781"/>
      <c r="AV2202" s="782">
        <v>12089275</v>
      </c>
      <c r="AW2202" s="782">
        <v>12068154</v>
      </c>
      <c r="AX2202" s="782"/>
      <c r="AY2202" s="782">
        <v>12089276</v>
      </c>
      <c r="AZ2202" s="782"/>
      <c r="BA2202" s="781"/>
      <c r="BB2202" s="209">
        <v>23105470</v>
      </c>
    </row>
    <row r="2203" spans="1:54" ht="25" hidden="1" customHeight="1">
      <c r="B2203" s="425">
        <v>45780</v>
      </c>
      <c r="C2203" s="425">
        <v>45790</v>
      </c>
      <c r="D2203" s="185">
        <f t="shared" si="824"/>
        <v>2025</v>
      </c>
      <c r="E2203" s="425" t="e">
        <f>VLOOKUP($B2203,Week!$A$1:$C$1462,2,0)</f>
        <v>#N/A</v>
      </c>
      <c r="F2203" s="426" t="str">
        <f t="shared" si="825"/>
        <v>May</v>
      </c>
      <c r="G2203" s="427" t="s">
        <v>2049</v>
      </c>
      <c r="H2203" s="427" t="s">
        <v>600</v>
      </c>
      <c r="I2203" s="427" t="s">
        <v>2772</v>
      </c>
      <c r="J2203" s="428" t="s">
        <v>708</v>
      </c>
      <c r="K2203" s="429" t="s">
        <v>1650</v>
      </c>
      <c r="L2203" s="300" t="s">
        <v>2167</v>
      </c>
      <c r="M2203" s="428" t="s">
        <v>603</v>
      </c>
      <c r="N2203" s="427" t="s">
        <v>1256</v>
      </c>
      <c r="O2203" s="427" t="s">
        <v>659</v>
      </c>
      <c r="P2203" s="430">
        <v>12</v>
      </c>
      <c r="Q2203" s="430">
        <v>3</v>
      </c>
      <c r="R2203" s="431">
        <v>6.0000000000000001E-3</v>
      </c>
      <c r="S2203" s="427" t="s">
        <v>55</v>
      </c>
      <c r="T2203" s="427" t="s">
        <v>112</v>
      </c>
      <c r="U2203" s="632" t="s">
        <v>1894</v>
      </c>
      <c r="V2203" s="432">
        <f>2520</f>
        <v>2520</v>
      </c>
      <c r="W2203" s="432">
        <f>10+2510</f>
        <v>2520</v>
      </c>
      <c r="X2203" s="433"/>
      <c r="Y2203" s="434">
        <f t="shared" si="832"/>
        <v>0</v>
      </c>
      <c r="Z2203" s="435">
        <f t="shared" si="833"/>
        <v>0</v>
      </c>
      <c r="AA2203" s="435">
        <f t="shared" si="826"/>
        <v>0</v>
      </c>
      <c r="AB2203" s="826">
        <v>3.8699999999999998E-2</v>
      </c>
      <c r="AC2203" s="432">
        <f t="shared" si="830"/>
        <v>0</v>
      </c>
      <c r="AD2203" s="307" t="s">
        <v>1509</v>
      </c>
      <c r="AE2203" s="210">
        <f t="shared" si="834"/>
        <v>0</v>
      </c>
      <c r="AF2203" s="210">
        <f t="shared" si="835"/>
        <v>0</v>
      </c>
      <c r="AG2203" s="211">
        <f t="shared" si="836"/>
        <v>0.30199999999999999</v>
      </c>
      <c r="AH2203" s="157">
        <v>0.26621999999999996</v>
      </c>
      <c r="AI2203" s="152">
        <f t="shared" si="837"/>
        <v>30240</v>
      </c>
      <c r="AK2203" s="156" t="s">
        <v>691</v>
      </c>
      <c r="AL2203" s="212" t="s">
        <v>690</v>
      </c>
      <c r="AM2203" s="198">
        <f t="shared" si="831"/>
        <v>0</v>
      </c>
      <c r="AN2203" s="199">
        <f t="shared" si="818"/>
        <v>45780</v>
      </c>
      <c r="AO2203" s="159" t="s">
        <v>692</v>
      </c>
      <c r="AP2203" s="781" t="s">
        <v>642</v>
      </c>
      <c r="AQ2203" s="782">
        <v>12063755</v>
      </c>
      <c r="AR2203" s="782">
        <v>12061353</v>
      </c>
      <c r="AS2203" s="782">
        <v>12061354</v>
      </c>
      <c r="AT2203" s="782"/>
      <c r="AU2203" s="781"/>
      <c r="AV2203" s="782">
        <v>12089687</v>
      </c>
      <c r="AW2203" s="781"/>
      <c r="AX2203" s="782"/>
      <c r="AY2203" s="782">
        <v>12094276</v>
      </c>
      <c r="AZ2203" s="782">
        <v>12094277</v>
      </c>
      <c r="BA2203" s="783" t="s">
        <v>2229</v>
      </c>
      <c r="BB2203" s="209">
        <v>23105470</v>
      </c>
    </row>
    <row r="2204" spans="1:54" ht="25" hidden="1" customHeight="1">
      <c r="B2204" s="183">
        <v>45781</v>
      </c>
      <c r="C2204" s="184"/>
      <c r="D2204" s="185">
        <f t="shared" si="824"/>
        <v>2025</v>
      </c>
      <c r="E2204" s="185" t="e">
        <f>VLOOKUP($B2204,Week!$A$1:$C$1462,2,0)</f>
        <v>#N/A</v>
      </c>
      <c r="F2204" s="186" t="str">
        <f t="shared" si="825"/>
        <v>May</v>
      </c>
      <c r="G2204" s="481"/>
      <c r="H2204" s="185"/>
      <c r="I2204" s="185"/>
      <c r="J2204" s="187"/>
      <c r="K2204" s="188"/>
      <c r="L2204" s="300"/>
      <c r="M2204" s="187"/>
      <c r="N2204" s="185"/>
      <c r="O2204" s="185"/>
      <c r="P2204" s="189"/>
      <c r="Q2204" s="189"/>
      <c r="R2204" s="190"/>
      <c r="S2204" s="185"/>
      <c r="T2204" s="185"/>
      <c r="U2204" s="185"/>
      <c r="V2204" s="191"/>
      <c r="W2204" s="191"/>
      <c r="X2204" s="192"/>
      <c r="Y2204" s="193"/>
      <c r="Z2204" s="194"/>
      <c r="AA2204" s="194">
        <f t="shared" si="826"/>
        <v>0</v>
      </c>
      <c r="AB2204" s="805"/>
      <c r="AC2204" s="191">
        <f t="shared" si="830"/>
        <v>0</v>
      </c>
      <c r="AD2204" s="187"/>
      <c r="AE2204" s="195"/>
      <c r="AF2204" s="195"/>
      <c r="AG2204" s="196"/>
      <c r="AH2204" s="197"/>
      <c r="AK2204" s="156" t="s">
        <v>691</v>
      </c>
      <c r="AM2204" s="198">
        <f t="shared" si="831"/>
        <v>0</v>
      </c>
      <c r="AN2204" s="199">
        <f t="shared" si="818"/>
        <v>45781</v>
      </c>
      <c r="AO2204" s="159" t="s">
        <v>692</v>
      </c>
      <c r="AP2204" s="781"/>
      <c r="AQ2204" s="782"/>
      <c r="AR2204" s="782"/>
      <c r="AS2204" s="782"/>
      <c r="AT2204" s="782"/>
      <c r="AU2204" s="781"/>
      <c r="AV2204" s="782"/>
      <c r="AW2204" s="782"/>
      <c r="AX2204" s="782"/>
      <c r="AY2204" s="782"/>
      <c r="AZ2204" s="782"/>
      <c r="BA2204" s="781"/>
      <c r="BB2204" s="209"/>
    </row>
    <row r="2205" spans="1:54" ht="25" hidden="1" customHeight="1">
      <c r="B2205" s="602">
        <v>45782</v>
      </c>
      <c r="C2205" s="602">
        <v>45790</v>
      </c>
      <c r="D2205" s="604">
        <f t="shared" si="824"/>
        <v>2025</v>
      </c>
      <c r="E2205" s="603" t="e">
        <f>VLOOKUP($B2205,Week!$A$1:$C$1462,2,0)</f>
        <v>#N/A</v>
      </c>
      <c r="F2205" s="605" t="str">
        <f t="shared" si="825"/>
        <v>May</v>
      </c>
      <c r="G2205" s="604" t="s">
        <v>2299</v>
      </c>
      <c r="H2205" s="604" t="s">
        <v>104</v>
      </c>
      <c r="I2205" s="604" t="s">
        <v>2772</v>
      </c>
      <c r="J2205" s="606" t="s">
        <v>105</v>
      </c>
      <c r="K2205" s="607" t="s">
        <v>176</v>
      </c>
      <c r="L2205" s="607" t="s">
        <v>2167</v>
      </c>
      <c r="M2205" s="606" t="s">
        <v>336</v>
      </c>
      <c r="N2205" s="604" t="s">
        <v>2292</v>
      </c>
      <c r="O2205" s="604" t="s">
        <v>179</v>
      </c>
      <c r="P2205" s="608">
        <v>36</v>
      </c>
      <c r="Q2205" s="608">
        <v>5</v>
      </c>
      <c r="R2205" s="609">
        <v>7.4999999999999997E-3</v>
      </c>
      <c r="S2205" s="604" t="s">
        <v>111</v>
      </c>
      <c r="T2205" s="604" t="s">
        <v>112</v>
      </c>
      <c r="U2205" s="604" t="s">
        <v>113</v>
      </c>
      <c r="V2205" s="610">
        <v>1288</v>
      </c>
      <c r="W2205" s="610"/>
      <c r="X2205" s="611">
        <f>(46368)/36</f>
        <v>1288</v>
      </c>
      <c r="Y2205" s="612">
        <f>(W2205+X2205)-V2205</f>
        <v>0</v>
      </c>
      <c r="Z2205" s="613">
        <f t="shared" ref="Z2205:Z2229" si="839">IF(Y2205&lt;0,((V2205*P2205)-((W2205+X2205)*P2205)),0)</f>
        <v>0</v>
      </c>
      <c r="AA2205" s="613">
        <f t="shared" si="826"/>
        <v>0</v>
      </c>
      <c r="AB2205" s="836">
        <v>9.7000000000000003E-3</v>
      </c>
      <c r="AC2205" s="610">
        <f t="shared" si="830"/>
        <v>0</v>
      </c>
      <c r="AD2205" s="209"/>
      <c r="AE2205" s="210">
        <f t="shared" ref="AE2205:AE2229" si="840">SUM(Q2205*R2205*Z2205)/1000</f>
        <v>0</v>
      </c>
      <c r="AF2205" s="210">
        <f>AE2205/0.54</f>
        <v>0</v>
      </c>
      <c r="AG2205" s="211">
        <f t="shared" ref="AG2205:AG2229" si="841">MID(O2205,1,3)/1000</f>
        <v>0.14499999999999999</v>
      </c>
      <c r="AH2205" s="157">
        <f>(Z2205*AG2205)/1000</f>
        <v>0</v>
      </c>
      <c r="AI2205" s="152">
        <f t="shared" ref="AI2205:AI2229" si="842">V2205*P2205</f>
        <v>46368</v>
      </c>
      <c r="AK2205" s="156" t="s">
        <v>691</v>
      </c>
      <c r="AL2205" s="574" t="s">
        <v>690</v>
      </c>
      <c r="AM2205" s="198">
        <f t="shared" si="831"/>
        <v>0</v>
      </c>
      <c r="AN2205" s="199">
        <f t="shared" si="818"/>
        <v>45782</v>
      </c>
      <c r="AO2205" s="159" t="s">
        <v>692</v>
      </c>
      <c r="AP2205" s="783"/>
      <c r="AQ2205" s="782">
        <v>12071839</v>
      </c>
      <c r="AR2205" s="782">
        <v>12047514</v>
      </c>
      <c r="AS2205" s="782">
        <v>12047515</v>
      </c>
      <c r="AT2205" s="782">
        <v>12095385</v>
      </c>
      <c r="AU2205" s="781"/>
      <c r="AV2205" s="782">
        <v>12095384</v>
      </c>
      <c r="AW2205" s="782">
        <v>12024404</v>
      </c>
      <c r="AX2205" s="781"/>
      <c r="AY2205" s="782">
        <v>12095386</v>
      </c>
      <c r="AZ2205" s="781"/>
      <c r="BA2205" s="781"/>
      <c r="BB2205" s="209">
        <v>23054743</v>
      </c>
    </row>
    <row r="2206" spans="1:54" ht="25" hidden="1" customHeight="1">
      <c r="B2206" s="602">
        <v>45782</v>
      </c>
      <c r="C2206" s="602">
        <v>45790</v>
      </c>
      <c r="D2206" s="604">
        <f t="shared" si="824"/>
        <v>2025</v>
      </c>
      <c r="E2206" s="603" t="e">
        <f>VLOOKUP($B2206,Week!$A$1:$C$1462,2,0)</f>
        <v>#N/A</v>
      </c>
      <c r="F2206" s="605" t="str">
        <f t="shared" si="825"/>
        <v>May</v>
      </c>
      <c r="G2206" s="604" t="s">
        <v>2300</v>
      </c>
      <c r="H2206" s="604" t="s">
        <v>104</v>
      </c>
      <c r="I2206" s="604" t="s">
        <v>2772</v>
      </c>
      <c r="J2206" s="606" t="s">
        <v>105</v>
      </c>
      <c r="K2206" s="607" t="s">
        <v>176</v>
      </c>
      <c r="L2206" s="607" t="s">
        <v>2167</v>
      </c>
      <c r="M2206" s="606" t="s">
        <v>336</v>
      </c>
      <c r="N2206" s="604" t="s">
        <v>2292</v>
      </c>
      <c r="O2206" s="604" t="s">
        <v>179</v>
      </c>
      <c r="P2206" s="608">
        <v>36</v>
      </c>
      <c r="Q2206" s="608">
        <v>5</v>
      </c>
      <c r="R2206" s="609">
        <v>7.4999999999999997E-3</v>
      </c>
      <c r="S2206" s="604" t="s">
        <v>111</v>
      </c>
      <c r="T2206" s="604" t="s">
        <v>112</v>
      </c>
      <c r="U2206" s="604" t="s">
        <v>113</v>
      </c>
      <c r="V2206" s="610">
        <v>1288</v>
      </c>
      <c r="W2206" s="610">
        <f>450</f>
        <v>450</v>
      </c>
      <c r="X2206" s="611">
        <f>(30168)/36</f>
        <v>838</v>
      </c>
      <c r="Y2206" s="612">
        <f t="shared" ref="Y2206:Y2218" si="843">(W2206+X2206)-V2206</f>
        <v>0</v>
      </c>
      <c r="Z2206" s="613">
        <f t="shared" si="839"/>
        <v>0</v>
      </c>
      <c r="AA2206" s="613">
        <f t="shared" si="826"/>
        <v>0</v>
      </c>
      <c r="AB2206" s="836">
        <v>9.7000000000000003E-3</v>
      </c>
      <c r="AC2206" s="610">
        <f t="shared" ref="AC2206:AC2218" si="844">Z2206*AB2206</f>
        <v>0</v>
      </c>
      <c r="AD2206" s="209"/>
      <c r="AE2206" s="210">
        <f t="shared" si="840"/>
        <v>0</v>
      </c>
      <c r="AF2206" s="210">
        <f t="shared" ref="AF2206:AF2218" si="845">AE2206/0.54</f>
        <v>0</v>
      </c>
      <c r="AG2206" s="211">
        <f t="shared" si="841"/>
        <v>0.14499999999999999</v>
      </c>
      <c r="AH2206" s="157">
        <f t="shared" ref="AH2206:AH2218" si="846">(Z2206*AG2206)/1000</f>
        <v>0</v>
      </c>
      <c r="AI2206" s="152">
        <f t="shared" si="842"/>
        <v>46368</v>
      </c>
      <c r="AK2206" s="156" t="s">
        <v>691</v>
      </c>
      <c r="AL2206" s="574" t="s">
        <v>690</v>
      </c>
      <c r="AM2206" s="198">
        <f t="shared" ref="AM2206:AM2218" si="847">AG2206*Z2206</f>
        <v>0</v>
      </c>
      <c r="AN2206" s="199">
        <f t="shared" si="818"/>
        <v>45782</v>
      </c>
      <c r="AO2206" s="159" t="s">
        <v>692</v>
      </c>
      <c r="AP2206" s="783"/>
      <c r="AQ2206" s="782">
        <v>12071839</v>
      </c>
      <c r="AR2206" s="782">
        <v>12047514</v>
      </c>
      <c r="AS2206" s="782">
        <v>12047515</v>
      </c>
      <c r="AT2206" s="782">
        <v>12095385</v>
      </c>
      <c r="AU2206" s="781"/>
      <c r="AV2206" s="782">
        <v>12095384</v>
      </c>
      <c r="AW2206" s="782">
        <v>12024404</v>
      </c>
      <c r="AX2206" s="781"/>
      <c r="AY2206" s="782">
        <v>12095386</v>
      </c>
      <c r="AZ2206" s="781"/>
      <c r="BA2206" s="781"/>
      <c r="BB2206" s="209">
        <v>23054743</v>
      </c>
    </row>
    <row r="2207" spans="1:54" ht="25" hidden="1" customHeight="1">
      <c r="B2207" s="602">
        <v>45782</v>
      </c>
      <c r="C2207" s="602">
        <v>45790</v>
      </c>
      <c r="D2207" s="604">
        <f t="shared" si="824"/>
        <v>2025</v>
      </c>
      <c r="E2207" s="603" t="e">
        <f>VLOOKUP($B2207,Week!$A$1:$C$1462,2,0)</f>
        <v>#N/A</v>
      </c>
      <c r="F2207" s="605" t="str">
        <f t="shared" si="825"/>
        <v>May</v>
      </c>
      <c r="G2207" s="604" t="s">
        <v>2301</v>
      </c>
      <c r="H2207" s="604" t="s">
        <v>104</v>
      </c>
      <c r="I2207" s="604" t="s">
        <v>2772</v>
      </c>
      <c r="J2207" s="606" t="s">
        <v>105</v>
      </c>
      <c r="K2207" s="607" t="s">
        <v>176</v>
      </c>
      <c r="L2207" s="607" t="s">
        <v>2167</v>
      </c>
      <c r="M2207" s="606" t="s">
        <v>336</v>
      </c>
      <c r="N2207" s="604" t="s">
        <v>2292</v>
      </c>
      <c r="O2207" s="604" t="s">
        <v>179</v>
      </c>
      <c r="P2207" s="608">
        <v>36</v>
      </c>
      <c r="Q2207" s="608">
        <v>5</v>
      </c>
      <c r="R2207" s="609">
        <v>7.4999999999999997E-3</v>
      </c>
      <c r="S2207" s="604" t="s">
        <v>111</v>
      </c>
      <c r="T2207" s="604" t="s">
        <v>112</v>
      </c>
      <c r="U2207" s="604" t="s">
        <v>113</v>
      </c>
      <c r="V2207" s="610">
        <v>1288</v>
      </c>
      <c r="W2207" s="610">
        <f>1672-450+66</f>
        <v>1288</v>
      </c>
      <c r="X2207" s="611"/>
      <c r="Y2207" s="612">
        <f t="shared" si="843"/>
        <v>0</v>
      </c>
      <c r="Z2207" s="613">
        <f t="shared" si="839"/>
        <v>0</v>
      </c>
      <c r="AA2207" s="613">
        <f t="shared" si="826"/>
        <v>0</v>
      </c>
      <c r="AB2207" s="836">
        <v>9.7000000000000003E-3</v>
      </c>
      <c r="AC2207" s="610">
        <f t="shared" si="844"/>
        <v>0</v>
      </c>
      <c r="AD2207" s="209"/>
      <c r="AE2207" s="210">
        <f t="shared" si="840"/>
        <v>0</v>
      </c>
      <c r="AF2207" s="210">
        <f t="shared" si="845"/>
        <v>0</v>
      </c>
      <c r="AG2207" s="211">
        <f t="shared" si="841"/>
        <v>0.14499999999999999</v>
      </c>
      <c r="AH2207" s="157">
        <f t="shared" si="846"/>
        <v>0</v>
      </c>
      <c r="AI2207" s="152">
        <f t="shared" si="842"/>
        <v>46368</v>
      </c>
      <c r="AK2207" s="156" t="s">
        <v>691</v>
      </c>
      <c r="AL2207" s="574" t="s">
        <v>690</v>
      </c>
      <c r="AM2207" s="198">
        <f t="shared" si="847"/>
        <v>0</v>
      </c>
      <c r="AN2207" s="199">
        <f t="shared" si="818"/>
        <v>45782</v>
      </c>
      <c r="AO2207" s="159" t="s">
        <v>692</v>
      </c>
      <c r="AP2207" s="783"/>
      <c r="AQ2207" s="782">
        <v>12071839</v>
      </c>
      <c r="AR2207" s="782">
        <v>12047514</v>
      </c>
      <c r="AS2207" s="782">
        <v>12047515</v>
      </c>
      <c r="AT2207" s="782">
        <v>12095385</v>
      </c>
      <c r="AU2207" s="781"/>
      <c r="AV2207" s="782">
        <v>12095384</v>
      </c>
      <c r="AW2207" s="782">
        <v>12024404</v>
      </c>
      <c r="AX2207" s="781"/>
      <c r="AY2207" s="782">
        <v>12095386</v>
      </c>
      <c r="AZ2207" s="781"/>
      <c r="BA2207" s="781"/>
      <c r="BB2207" s="209">
        <v>23054743</v>
      </c>
    </row>
    <row r="2208" spans="1:54" ht="25" hidden="1" customHeight="1">
      <c r="B2208" s="602">
        <v>45782</v>
      </c>
      <c r="C2208" s="602">
        <v>45790</v>
      </c>
      <c r="D2208" s="604">
        <f t="shared" si="824"/>
        <v>2025</v>
      </c>
      <c r="E2208" s="603" t="e">
        <f>VLOOKUP($B2208,Week!$A$1:$C$1462,2,0)</f>
        <v>#N/A</v>
      </c>
      <c r="F2208" s="605" t="str">
        <f t="shared" si="825"/>
        <v>May</v>
      </c>
      <c r="G2208" s="604" t="s">
        <v>2302</v>
      </c>
      <c r="H2208" s="604" t="s">
        <v>104</v>
      </c>
      <c r="I2208" s="604" t="s">
        <v>2772</v>
      </c>
      <c r="J2208" s="606" t="s">
        <v>105</v>
      </c>
      <c r="K2208" s="607" t="s">
        <v>176</v>
      </c>
      <c r="L2208" s="607" t="s">
        <v>2167</v>
      </c>
      <c r="M2208" s="606" t="s">
        <v>336</v>
      </c>
      <c r="N2208" s="604" t="s">
        <v>2292</v>
      </c>
      <c r="O2208" s="604" t="s">
        <v>179</v>
      </c>
      <c r="P2208" s="608">
        <v>36</v>
      </c>
      <c r="Q2208" s="608">
        <v>5</v>
      </c>
      <c r="R2208" s="609">
        <v>7.4999999999999997E-3</v>
      </c>
      <c r="S2208" s="604" t="s">
        <v>111</v>
      </c>
      <c r="T2208" s="604" t="s">
        <v>112</v>
      </c>
      <c r="U2208" s="604" t="s">
        <v>113</v>
      </c>
      <c r="V2208" s="610">
        <v>52</v>
      </c>
      <c r="W2208" s="610">
        <f>118-66</f>
        <v>52</v>
      </c>
      <c r="X2208" s="611"/>
      <c r="Y2208" s="612">
        <f>(W2208+X2208)-V2208</f>
        <v>0</v>
      </c>
      <c r="Z2208" s="613">
        <f t="shared" si="839"/>
        <v>0</v>
      </c>
      <c r="AA2208" s="613">
        <f t="shared" si="826"/>
        <v>0</v>
      </c>
      <c r="AB2208" s="836">
        <v>9.7000000000000003E-3</v>
      </c>
      <c r="AC2208" s="610">
        <f>Z2208*AB2208</f>
        <v>0</v>
      </c>
      <c r="AD2208" s="209"/>
      <c r="AE2208" s="210">
        <f t="shared" si="840"/>
        <v>0</v>
      </c>
      <c r="AF2208" s="210">
        <f>AE2208/0.54</f>
        <v>0</v>
      </c>
      <c r="AG2208" s="211">
        <f t="shared" si="841"/>
        <v>0.14499999999999999</v>
      </c>
      <c r="AH2208" s="157">
        <f>(Z2208*AG2208)/1000</f>
        <v>0</v>
      </c>
      <c r="AI2208" s="152">
        <f t="shared" si="842"/>
        <v>1872</v>
      </c>
      <c r="AK2208" s="156" t="s">
        <v>691</v>
      </c>
      <c r="AL2208" s="574" t="s">
        <v>690</v>
      </c>
      <c r="AM2208" s="198">
        <f>AG2208*Z2208</f>
        <v>0</v>
      </c>
      <c r="AN2208" s="199">
        <f t="shared" si="818"/>
        <v>45782</v>
      </c>
      <c r="AO2208" s="159" t="s">
        <v>692</v>
      </c>
      <c r="AP2208" s="783"/>
      <c r="AQ2208" s="782">
        <v>12071839</v>
      </c>
      <c r="AR2208" s="782">
        <v>12047514</v>
      </c>
      <c r="AS2208" s="782">
        <v>12047515</v>
      </c>
      <c r="AT2208" s="782">
        <v>12095385</v>
      </c>
      <c r="AU2208" s="781"/>
      <c r="AV2208" s="782">
        <v>12095384</v>
      </c>
      <c r="AW2208" s="782">
        <v>12024404</v>
      </c>
      <c r="AX2208" s="781"/>
      <c r="AY2208" s="782">
        <v>12095386</v>
      </c>
      <c r="AZ2208" s="781"/>
      <c r="BA2208" s="781"/>
      <c r="BB2208" s="209">
        <v>23054743</v>
      </c>
    </row>
    <row r="2209" spans="1:54" ht="25" hidden="1" customHeight="1">
      <c r="B2209" s="602">
        <v>45783</v>
      </c>
      <c r="C2209" s="602">
        <v>45790</v>
      </c>
      <c r="D2209" s="604">
        <f t="shared" si="824"/>
        <v>2025</v>
      </c>
      <c r="E2209" s="603" t="e">
        <f>VLOOKUP($B2209,Week!$A$1:$C$1462,2,0)</f>
        <v>#N/A</v>
      </c>
      <c r="F2209" s="605" t="str">
        <f t="shared" si="825"/>
        <v>May</v>
      </c>
      <c r="G2209" s="604" t="s">
        <v>2302</v>
      </c>
      <c r="H2209" s="604" t="s">
        <v>104</v>
      </c>
      <c r="I2209" s="604" t="s">
        <v>2772</v>
      </c>
      <c r="J2209" s="606" t="s">
        <v>105</v>
      </c>
      <c r="K2209" s="607" t="s">
        <v>176</v>
      </c>
      <c r="L2209" s="607" t="s">
        <v>2167</v>
      </c>
      <c r="M2209" s="606" t="s">
        <v>336</v>
      </c>
      <c r="N2209" s="604" t="s">
        <v>2292</v>
      </c>
      <c r="O2209" s="604" t="s">
        <v>179</v>
      </c>
      <c r="P2209" s="608">
        <v>36</v>
      </c>
      <c r="Q2209" s="608">
        <v>5</v>
      </c>
      <c r="R2209" s="609">
        <v>7.4999999999999997E-3</v>
      </c>
      <c r="S2209" s="604" t="s">
        <v>111</v>
      </c>
      <c r="T2209" s="604" t="s">
        <v>112</v>
      </c>
      <c r="U2209" s="604" t="s">
        <v>113</v>
      </c>
      <c r="V2209" s="610">
        <f>1288-52</f>
        <v>1236</v>
      </c>
      <c r="W2209" s="610">
        <v>1236</v>
      </c>
      <c r="X2209" s="611"/>
      <c r="Y2209" s="612">
        <f t="shared" si="843"/>
        <v>0</v>
      </c>
      <c r="Z2209" s="613">
        <f t="shared" si="839"/>
        <v>0</v>
      </c>
      <c r="AA2209" s="613">
        <f t="shared" si="826"/>
        <v>0</v>
      </c>
      <c r="AB2209" s="836">
        <v>9.7000000000000003E-3</v>
      </c>
      <c r="AC2209" s="610">
        <f t="shared" si="844"/>
        <v>0</v>
      </c>
      <c r="AD2209" s="209"/>
      <c r="AE2209" s="210">
        <f t="shared" si="840"/>
        <v>0</v>
      </c>
      <c r="AF2209" s="210">
        <f t="shared" si="845"/>
        <v>0</v>
      </c>
      <c r="AG2209" s="211">
        <f t="shared" si="841"/>
        <v>0.14499999999999999</v>
      </c>
      <c r="AH2209" s="157">
        <f t="shared" si="846"/>
        <v>0</v>
      </c>
      <c r="AI2209" s="152">
        <f t="shared" si="842"/>
        <v>44496</v>
      </c>
      <c r="AK2209" s="156" t="s">
        <v>691</v>
      </c>
      <c r="AL2209" s="574" t="s">
        <v>690</v>
      </c>
      <c r="AM2209" s="198">
        <f t="shared" si="847"/>
        <v>0</v>
      </c>
      <c r="AN2209" s="199">
        <f t="shared" si="818"/>
        <v>45783</v>
      </c>
      <c r="AO2209" s="159" t="s">
        <v>692</v>
      </c>
      <c r="AP2209" s="783"/>
      <c r="AQ2209" s="782">
        <v>12071839</v>
      </c>
      <c r="AR2209" s="782">
        <v>12047514</v>
      </c>
      <c r="AS2209" s="782">
        <v>12047515</v>
      </c>
      <c r="AT2209" s="782">
        <v>12095385</v>
      </c>
      <c r="AU2209" s="781"/>
      <c r="AV2209" s="782">
        <v>12095384</v>
      </c>
      <c r="AW2209" s="782">
        <v>12024404</v>
      </c>
      <c r="AX2209" s="781"/>
      <c r="AY2209" s="782">
        <v>12095386</v>
      </c>
      <c r="AZ2209" s="781"/>
      <c r="BA2209" s="781"/>
      <c r="BB2209" s="209">
        <v>23054743</v>
      </c>
    </row>
    <row r="2210" spans="1:54" ht="25" hidden="1" customHeight="1">
      <c r="B2210" s="602">
        <v>45783</v>
      </c>
      <c r="C2210" s="602">
        <v>45791</v>
      </c>
      <c r="D2210" s="604">
        <f t="shared" si="824"/>
        <v>2025</v>
      </c>
      <c r="E2210" s="603" t="e">
        <f>VLOOKUP($B2210,Week!$A$1:$C$1462,2,0)</f>
        <v>#N/A</v>
      </c>
      <c r="F2210" s="605" t="str">
        <f t="shared" si="825"/>
        <v>May</v>
      </c>
      <c r="G2210" s="604" t="s">
        <v>2303</v>
      </c>
      <c r="H2210" s="604" t="s">
        <v>104</v>
      </c>
      <c r="I2210" s="604" t="s">
        <v>2772</v>
      </c>
      <c r="J2210" s="606" t="s">
        <v>105</v>
      </c>
      <c r="K2210" s="607" t="s">
        <v>176</v>
      </c>
      <c r="L2210" s="607" t="s">
        <v>2167</v>
      </c>
      <c r="M2210" s="606" t="s">
        <v>336</v>
      </c>
      <c r="N2210" s="604" t="s">
        <v>2292</v>
      </c>
      <c r="O2210" s="604" t="s">
        <v>179</v>
      </c>
      <c r="P2210" s="608">
        <v>36</v>
      </c>
      <c r="Q2210" s="608">
        <v>5</v>
      </c>
      <c r="R2210" s="609">
        <v>7.4999999999999997E-3</v>
      </c>
      <c r="S2210" s="604" t="s">
        <v>111</v>
      </c>
      <c r="T2210" s="604" t="s">
        <v>112</v>
      </c>
      <c r="U2210" s="604" t="s">
        <v>113</v>
      </c>
      <c r="V2210" s="610">
        <v>1288</v>
      </c>
      <c r="W2210" s="610">
        <v>1288</v>
      </c>
      <c r="X2210" s="611"/>
      <c r="Y2210" s="612">
        <f t="shared" si="843"/>
        <v>0</v>
      </c>
      <c r="Z2210" s="613">
        <f t="shared" si="839"/>
        <v>0</v>
      </c>
      <c r="AA2210" s="613">
        <f t="shared" si="826"/>
        <v>0</v>
      </c>
      <c r="AB2210" s="836">
        <v>9.7000000000000003E-3</v>
      </c>
      <c r="AC2210" s="610">
        <f t="shared" si="844"/>
        <v>0</v>
      </c>
      <c r="AD2210" s="209"/>
      <c r="AE2210" s="210">
        <f t="shared" si="840"/>
        <v>0</v>
      </c>
      <c r="AF2210" s="210">
        <f t="shared" si="845"/>
        <v>0</v>
      </c>
      <c r="AG2210" s="211">
        <f t="shared" si="841"/>
        <v>0.14499999999999999</v>
      </c>
      <c r="AH2210" s="157">
        <f t="shared" si="846"/>
        <v>0</v>
      </c>
      <c r="AI2210" s="152">
        <f t="shared" si="842"/>
        <v>46368</v>
      </c>
      <c r="AK2210" s="156" t="s">
        <v>691</v>
      </c>
      <c r="AL2210" s="574" t="s">
        <v>690</v>
      </c>
      <c r="AM2210" s="198">
        <f t="shared" si="847"/>
        <v>0</v>
      </c>
      <c r="AN2210" s="199">
        <f t="shared" si="818"/>
        <v>45783</v>
      </c>
      <c r="AO2210" s="159" t="s">
        <v>692</v>
      </c>
      <c r="AP2210" s="783"/>
      <c r="AQ2210" s="782">
        <v>12071839</v>
      </c>
      <c r="AR2210" s="782">
        <v>12047514</v>
      </c>
      <c r="AS2210" s="782">
        <v>12047515</v>
      </c>
      <c r="AT2210" s="782">
        <v>12095385</v>
      </c>
      <c r="AU2210" s="781"/>
      <c r="AV2210" s="782">
        <v>12095384</v>
      </c>
      <c r="AW2210" s="782">
        <v>12024404</v>
      </c>
      <c r="AX2210" s="781"/>
      <c r="AY2210" s="782">
        <v>12095386</v>
      </c>
      <c r="AZ2210" s="781"/>
      <c r="BA2210" s="781"/>
      <c r="BB2210" s="209">
        <v>23054743</v>
      </c>
    </row>
    <row r="2211" spans="1:54" ht="25" hidden="1" customHeight="1">
      <c r="B2211" s="602">
        <v>45783</v>
      </c>
      <c r="C2211" s="602">
        <v>45797</v>
      </c>
      <c r="D2211" s="604">
        <f t="shared" si="824"/>
        <v>2025</v>
      </c>
      <c r="E2211" s="603" t="e">
        <f>VLOOKUP($B2211,Week!$A$1:$C$1462,2,0)</f>
        <v>#N/A</v>
      </c>
      <c r="F2211" s="605" t="str">
        <f t="shared" si="825"/>
        <v>May</v>
      </c>
      <c r="G2211" s="604" t="s">
        <v>2304</v>
      </c>
      <c r="H2211" s="604" t="s">
        <v>104</v>
      </c>
      <c r="I2211" s="604" t="s">
        <v>2772</v>
      </c>
      <c r="J2211" s="606" t="s">
        <v>105</v>
      </c>
      <c r="K2211" s="607" t="s">
        <v>176</v>
      </c>
      <c r="L2211" s="607" t="s">
        <v>2167</v>
      </c>
      <c r="M2211" s="606" t="s">
        <v>336</v>
      </c>
      <c r="N2211" s="604" t="s">
        <v>2292</v>
      </c>
      <c r="O2211" s="604" t="s">
        <v>179</v>
      </c>
      <c r="P2211" s="608">
        <v>36</v>
      </c>
      <c r="Q2211" s="608">
        <v>5</v>
      </c>
      <c r="R2211" s="609">
        <v>7.4999999999999997E-3</v>
      </c>
      <c r="S2211" s="604" t="s">
        <v>111</v>
      </c>
      <c r="T2211" s="604" t="s">
        <v>112</v>
      </c>
      <c r="U2211" s="604" t="s">
        <v>113</v>
      </c>
      <c r="V2211" s="610">
        <v>1245</v>
      </c>
      <c r="W2211" s="610">
        <f>3653-1236-1288+116</f>
        <v>1245</v>
      </c>
      <c r="X2211" s="611"/>
      <c r="Y2211" s="612">
        <f t="shared" si="843"/>
        <v>0</v>
      </c>
      <c r="Z2211" s="613">
        <f t="shared" si="839"/>
        <v>0</v>
      </c>
      <c r="AA2211" s="613">
        <f t="shared" si="826"/>
        <v>0</v>
      </c>
      <c r="AB2211" s="836">
        <v>9.7000000000000003E-3</v>
      </c>
      <c r="AC2211" s="610">
        <f t="shared" si="844"/>
        <v>0</v>
      </c>
      <c r="AD2211" s="209"/>
      <c r="AE2211" s="210">
        <f t="shared" si="840"/>
        <v>0</v>
      </c>
      <c r="AF2211" s="210">
        <f t="shared" si="845"/>
        <v>0</v>
      </c>
      <c r="AG2211" s="211">
        <f t="shared" si="841"/>
        <v>0.14499999999999999</v>
      </c>
      <c r="AH2211" s="157">
        <f t="shared" si="846"/>
        <v>0</v>
      </c>
      <c r="AI2211" s="152">
        <f t="shared" si="842"/>
        <v>44820</v>
      </c>
      <c r="AK2211" s="156" t="s">
        <v>691</v>
      </c>
      <c r="AL2211" s="574" t="s">
        <v>690</v>
      </c>
      <c r="AM2211" s="198">
        <f t="shared" si="847"/>
        <v>0</v>
      </c>
      <c r="AN2211" s="199">
        <f t="shared" si="818"/>
        <v>45783</v>
      </c>
      <c r="AO2211" s="159" t="s">
        <v>692</v>
      </c>
      <c r="AP2211" s="783"/>
      <c r="AQ2211" s="782">
        <v>12071839</v>
      </c>
      <c r="AR2211" s="782">
        <v>12047514</v>
      </c>
      <c r="AS2211" s="782">
        <v>12047515</v>
      </c>
      <c r="AT2211" s="782">
        <v>12095385</v>
      </c>
      <c r="AU2211" s="781"/>
      <c r="AV2211" s="782">
        <v>12095384</v>
      </c>
      <c r="AW2211" s="782">
        <v>12024404</v>
      </c>
      <c r="AX2211" s="781"/>
      <c r="AY2211" s="782">
        <v>12095386</v>
      </c>
      <c r="AZ2211" s="781"/>
      <c r="BA2211" s="781"/>
      <c r="BB2211" s="209">
        <v>23054743</v>
      </c>
    </row>
    <row r="2212" spans="1:54" ht="25" hidden="1" customHeight="1">
      <c r="B2212" s="583">
        <v>45783</v>
      </c>
      <c r="C2212" s="795" t="s">
        <v>1929</v>
      </c>
      <c r="D2212" s="185">
        <f t="shared" si="824"/>
        <v>2025</v>
      </c>
      <c r="E2212" s="777" t="e">
        <f>VLOOKUP($B2212,Week!$A$1:$C$1462,2,0)</f>
        <v>#N/A</v>
      </c>
      <c r="F2212" s="778" t="str">
        <f t="shared" si="825"/>
        <v>May</v>
      </c>
      <c r="G2212" s="586" t="s">
        <v>47</v>
      </c>
      <c r="H2212" s="586" t="s">
        <v>518</v>
      </c>
      <c r="I2212" s="586" t="s">
        <v>2702</v>
      </c>
      <c r="J2212" s="587" t="s">
        <v>70</v>
      </c>
      <c r="K2212" s="588" t="s">
        <v>227</v>
      </c>
      <c r="L2212" s="300" t="s">
        <v>2167</v>
      </c>
      <c r="M2212" s="587" t="s">
        <v>2006</v>
      </c>
      <c r="N2212" s="586" t="s">
        <v>2004</v>
      </c>
      <c r="O2212" s="586" t="s">
        <v>2005</v>
      </c>
      <c r="P2212" s="589">
        <v>12</v>
      </c>
      <c r="Q2212" s="589">
        <v>3</v>
      </c>
      <c r="R2212" s="590">
        <v>8.0000000000000002E-3</v>
      </c>
      <c r="S2212" s="586" t="s">
        <v>352</v>
      </c>
      <c r="T2212" s="586" t="s">
        <v>56</v>
      </c>
      <c r="U2212" s="586" t="s">
        <v>2007</v>
      </c>
      <c r="V2212" s="779">
        <f>6000-5323</f>
        <v>677</v>
      </c>
      <c r="W2212" s="592">
        <v>677</v>
      </c>
      <c r="X2212" s="593"/>
      <c r="Y2212" s="594">
        <f>(W2212+X2212)-V2212</f>
        <v>0</v>
      </c>
      <c r="Z2212" s="595">
        <f t="shared" si="839"/>
        <v>0</v>
      </c>
      <c r="AA2212" s="595">
        <f t="shared" si="826"/>
        <v>0</v>
      </c>
      <c r="AB2212" s="835">
        <v>0.05</v>
      </c>
      <c r="AC2212" s="592">
        <f>Z2212*AB2212</f>
        <v>0</v>
      </c>
      <c r="AD2212" s="209"/>
      <c r="AE2212" s="210">
        <f t="shared" si="840"/>
        <v>0</v>
      </c>
      <c r="AF2212" s="210">
        <f>AE2212/0.54</f>
        <v>0</v>
      </c>
      <c r="AG2212" s="211">
        <f t="shared" si="841"/>
        <v>0.22700000000000001</v>
      </c>
      <c r="AH2212" s="157">
        <f>(Z2212*AG2212)/1000</f>
        <v>0</v>
      </c>
      <c r="AI2212" s="152">
        <f t="shared" si="842"/>
        <v>8124</v>
      </c>
      <c r="AK2212" s="156" t="s">
        <v>691</v>
      </c>
      <c r="AL2212" s="212" t="s">
        <v>690</v>
      </c>
      <c r="AM2212" s="198">
        <f>AG2212*Z2212</f>
        <v>0</v>
      </c>
      <c r="AN2212" s="199">
        <f t="shared" si="818"/>
        <v>45783</v>
      </c>
      <c r="AO2212" s="159" t="s">
        <v>692</v>
      </c>
      <c r="AP2212" s="783" t="s">
        <v>623</v>
      </c>
      <c r="AQ2212" s="782">
        <v>12071839</v>
      </c>
      <c r="AR2212" s="782">
        <v>12042650</v>
      </c>
      <c r="AS2212" s="782">
        <v>12042649</v>
      </c>
      <c r="AT2212" s="782"/>
      <c r="AU2212" s="781"/>
      <c r="AV2212" s="782">
        <v>12094036</v>
      </c>
      <c r="AW2212" s="782"/>
      <c r="AX2212" s="782"/>
      <c r="AY2212" s="782">
        <v>12094035</v>
      </c>
      <c r="AZ2212" s="782">
        <v>12094041</v>
      </c>
      <c r="BA2212" s="781"/>
      <c r="BB2212" s="209">
        <v>11044165</v>
      </c>
    </row>
    <row r="2213" spans="1:54" ht="25" hidden="1" customHeight="1">
      <c r="B2213" s="583">
        <v>45783</v>
      </c>
      <c r="C2213" s="795" t="s">
        <v>1929</v>
      </c>
      <c r="D2213" s="185">
        <f t="shared" si="824"/>
        <v>2025</v>
      </c>
      <c r="E2213" s="777" t="e">
        <f>VLOOKUP($B2213,Week!$A$1:$C$1462,2,0)</f>
        <v>#N/A</v>
      </c>
      <c r="F2213" s="778" t="str">
        <f t="shared" si="825"/>
        <v>May</v>
      </c>
      <c r="G2213" s="586" t="s">
        <v>47</v>
      </c>
      <c r="H2213" s="586" t="s">
        <v>518</v>
      </c>
      <c r="I2213" s="586" t="s">
        <v>2702</v>
      </c>
      <c r="J2213" s="587" t="s">
        <v>70</v>
      </c>
      <c r="K2213" s="588" t="s">
        <v>227</v>
      </c>
      <c r="L2213" s="300" t="s">
        <v>2167</v>
      </c>
      <c r="M2213" s="587" t="s">
        <v>2006</v>
      </c>
      <c r="N2213" s="586" t="s">
        <v>2004</v>
      </c>
      <c r="O2213" s="586" t="s">
        <v>2005</v>
      </c>
      <c r="P2213" s="589">
        <v>12</v>
      </c>
      <c r="Q2213" s="589">
        <v>3</v>
      </c>
      <c r="R2213" s="590">
        <v>8.0000000000000002E-3</v>
      </c>
      <c r="S2213" s="586" t="s">
        <v>352</v>
      </c>
      <c r="T2213" s="586" t="s">
        <v>56</v>
      </c>
      <c r="U2213" s="586" t="s">
        <v>2007</v>
      </c>
      <c r="V2213" s="779">
        <v>16</v>
      </c>
      <c r="W2213" s="592">
        <v>16</v>
      </c>
      <c r="X2213" s="593"/>
      <c r="Y2213" s="594">
        <f>(W2213+X2213)-V2213</f>
        <v>0</v>
      </c>
      <c r="Z2213" s="595">
        <f t="shared" si="839"/>
        <v>0</v>
      </c>
      <c r="AA2213" s="595">
        <f t="shared" si="826"/>
        <v>0</v>
      </c>
      <c r="AB2213" s="835">
        <v>0.05</v>
      </c>
      <c r="AC2213" s="592">
        <f>Z2213*AB2213</f>
        <v>0</v>
      </c>
      <c r="AD2213" s="209"/>
      <c r="AE2213" s="210">
        <f t="shared" si="840"/>
        <v>0</v>
      </c>
      <c r="AF2213" s="210">
        <f>AE2213/0.54</f>
        <v>0</v>
      </c>
      <c r="AG2213" s="211">
        <f t="shared" si="841"/>
        <v>0.22700000000000001</v>
      </c>
      <c r="AH2213" s="157">
        <f>(Z2213*AG2213)/1000</f>
        <v>0</v>
      </c>
      <c r="AI2213" s="152">
        <f t="shared" si="842"/>
        <v>192</v>
      </c>
      <c r="AK2213" s="156" t="s">
        <v>691</v>
      </c>
      <c r="AL2213" s="212" t="s">
        <v>690</v>
      </c>
      <c r="AM2213" s="198">
        <f>AG2213*Z2213</f>
        <v>0</v>
      </c>
      <c r="AN2213" s="199">
        <f t="shared" si="818"/>
        <v>45783</v>
      </c>
      <c r="AO2213" s="159" t="s">
        <v>692</v>
      </c>
      <c r="AP2213" s="783" t="s">
        <v>623</v>
      </c>
      <c r="AQ2213" s="782">
        <v>12071839</v>
      </c>
      <c r="AR2213" s="782">
        <v>12042650</v>
      </c>
      <c r="AS2213" s="782">
        <v>12042649</v>
      </c>
      <c r="AT2213" s="782"/>
      <c r="AU2213" s="781"/>
      <c r="AV2213" s="782">
        <v>12094036</v>
      </c>
      <c r="AW2213" s="782"/>
      <c r="AX2213" s="782"/>
      <c r="AY2213" s="782">
        <v>12094035</v>
      </c>
      <c r="AZ2213" s="782">
        <v>12094041</v>
      </c>
      <c r="BA2213" s="781"/>
      <c r="BB2213" s="209">
        <v>11044165</v>
      </c>
    </row>
    <row r="2214" spans="1:54" ht="25" hidden="1" customHeight="1">
      <c r="B2214" s="583">
        <v>45783</v>
      </c>
      <c r="C2214" s="795" t="s">
        <v>1929</v>
      </c>
      <c r="D2214" s="185">
        <f t="shared" si="824"/>
        <v>2025</v>
      </c>
      <c r="E2214" s="777" t="e">
        <f>VLOOKUP($B2214,Week!$A$1:$C$1462,2,0)</f>
        <v>#N/A</v>
      </c>
      <c r="F2214" s="778" t="str">
        <f t="shared" si="825"/>
        <v>May</v>
      </c>
      <c r="G2214" s="586" t="s">
        <v>47</v>
      </c>
      <c r="H2214" s="586" t="s">
        <v>518</v>
      </c>
      <c r="I2214" s="586" t="s">
        <v>2702</v>
      </c>
      <c r="J2214" s="587" t="s">
        <v>70</v>
      </c>
      <c r="K2214" s="588" t="s">
        <v>227</v>
      </c>
      <c r="L2214" s="300" t="s">
        <v>2167</v>
      </c>
      <c r="M2214" s="587" t="s">
        <v>2006</v>
      </c>
      <c r="N2214" s="586" t="s">
        <v>2004</v>
      </c>
      <c r="O2214" s="586" t="s">
        <v>2005</v>
      </c>
      <c r="P2214" s="589">
        <v>12</v>
      </c>
      <c r="Q2214" s="589">
        <v>3</v>
      </c>
      <c r="R2214" s="590">
        <v>8.0000000000000002E-3</v>
      </c>
      <c r="S2214" s="586" t="s">
        <v>352</v>
      </c>
      <c r="T2214" s="586" t="s">
        <v>56</v>
      </c>
      <c r="U2214" s="586" t="s">
        <v>2007</v>
      </c>
      <c r="V2214" s="779">
        <v>63</v>
      </c>
      <c r="W2214" s="592">
        <v>63</v>
      </c>
      <c r="X2214" s="593"/>
      <c r="Y2214" s="594">
        <f>(W2214+X2214)-V2214</f>
        <v>0</v>
      </c>
      <c r="Z2214" s="595">
        <f t="shared" si="839"/>
        <v>0</v>
      </c>
      <c r="AA2214" s="595">
        <f t="shared" si="826"/>
        <v>0</v>
      </c>
      <c r="AB2214" s="835">
        <v>0.05</v>
      </c>
      <c r="AC2214" s="592">
        <f>Z2214*AB2214</f>
        <v>0</v>
      </c>
      <c r="AD2214" s="209"/>
      <c r="AE2214" s="210">
        <f t="shared" si="840"/>
        <v>0</v>
      </c>
      <c r="AF2214" s="210">
        <f>AE2214/0.54</f>
        <v>0</v>
      </c>
      <c r="AG2214" s="211">
        <f t="shared" si="841"/>
        <v>0.22700000000000001</v>
      </c>
      <c r="AH2214" s="157">
        <f>(Z2214*AG2214)/1000</f>
        <v>0</v>
      </c>
      <c r="AI2214" s="152">
        <f t="shared" si="842"/>
        <v>756</v>
      </c>
      <c r="AK2214" s="156" t="s">
        <v>691</v>
      </c>
      <c r="AL2214" s="212" t="s">
        <v>690</v>
      </c>
      <c r="AM2214" s="198">
        <f>AG2214*Z2214</f>
        <v>0</v>
      </c>
      <c r="AN2214" s="199">
        <f t="shared" si="818"/>
        <v>45783</v>
      </c>
      <c r="AO2214" s="159" t="s">
        <v>692</v>
      </c>
      <c r="AP2214" s="783" t="s">
        <v>623</v>
      </c>
      <c r="AQ2214" s="782">
        <v>12071839</v>
      </c>
      <c r="AR2214" s="782">
        <v>12042650</v>
      </c>
      <c r="AS2214" s="782">
        <v>12042649</v>
      </c>
      <c r="AT2214" s="782"/>
      <c r="AU2214" s="781"/>
      <c r="AV2214" s="782">
        <v>12094036</v>
      </c>
      <c r="AW2214" s="782"/>
      <c r="AX2214" s="782"/>
      <c r="AY2214" s="782">
        <v>12094035</v>
      </c>
      <c r="AZ2214" s="782">
        <v>12094041</v>
      </c>
      <c r="BA2214" s="781"/>
      <c r="BB2214" s="209">
        <v>11044165</v>
      </c>
    </row>
    <row r="2215" spans="1:54" ht="25" hidden="1" customHeight="1">
      <c r="B2215" s="602">
        <v>45784</v>
      </c>
      <c r="C2215" s="602">
        <v>45797</v>
      </c>
      <c r="D2215" s="604">
        <f t="shared" si="824"/>
        <v>2025</v>
      </c>
      <c r="E2215" s="603" t="e">
        <f>VLOOKUP($B2215,Week!$A$1:$C$1462,2,0)</f>
        <v>#N/A</v>
      </c>
      <c r="F2215" s="605" t="str">
        <f t="shared" si="825"/>
        <v>May</v>
      </c>
      <c r="G2215" s="604" t="s">
        <v>2304</v>
      </c>
      <c r="H2215" s="604" t="s">
        <v>104</v>
      </c>
      <c r="I2215" s="604" t="s">
        <v>2772</v>
      </c>
      <c r="J2215" s="606" t="s">
        <v>105</v>
      </c>
      <c r="K2215" s="607" t="s">
        <v>176</v>
      </c>
      <c r="L2215" s="607" t="s">
        <v>2167</v>
      </c>
      <c r="M2215" s="606" t="s">
        <v>336</v>
      </c>
      <c r="N2215" s="604" t="s">
        <v>2292</v>
      </c>
      <c r="O2215" s="604" t="s">
        <v>179</v>
      </c>
      <c r="P2215" s="608">
        <v>36</v>
      </c>
      <c r="Q2215" s="608">
        <v>5</v>
      </c>
      <c r="R2215" s="609">
        <v>7.4999999999999997E-3</v>
      </c>
      <c r="S2215" s="604" t="s">
        <v>111</v>
      </c>
      <c r="T2215" s="604" t="s">
        <v>112</v>
      </c>
      <c r="U2215" s="604" t="s">
        <v>113</v>
      </c>
      <c r="V2215" s="610">
        <f>1288-1245</f>
        <v>43</v>
      </c>
      <c r="W2215" s="610">
        <v>43</v>
      </c>
      <c r="X2215" s="611"/>
      <c r="Y2215" s="612">
        <f>(W2215+X2215)-V2215</f>
        <v>0</v>
      </c>
      <c r="Z2215" s="613">
        <f t="shared" si="839"/>
        <v>0</v>
      </c>
      <c r="AA2215" s="613">
        <f t="shared" si="826"/>
        <v>0</v>
      </c>
      <c r="AB2215" s="836">
        <v>9.7000000000000003E-3</v>
      </c>
      <c r="AC2215" s="610">
        <f>Z2215*AB2215</f>
        <v>0</v>
      </c>
      <c r="AD2215" s="209"/>
      <c r="AE2215" s="210">
        <f t="shared" si="840"/>
        <v>0</v>
      </c>
      <c r="AF2215" s="210">
        <f>AE2215/0.54</f>
        <v>0</v>
      </c>
      <c r="AG2215" s="211">
        <f t="shared" si="841"/>
        <v>0.14499999999999999</v>
      </c>
      <c r="AH2215" s="157">
        <f>(Z2215*AG2215)/1000</f>
        <v>0</v>
      </c>
      <c r="AI2215" s="152">
        <f t="shared" si="842"/>
        <v>1548</v>
      </c>
      <c r="AK2215" s="156" t="s">
        <v>691</v>
      </c>
      <c r="AL2215" s="574" t="s">
        <v>690</v>
      </c>
      <c r="AM2215" s="198">
        <f>AG2215*Z2215</f>
        <v>0</v>
      </c>
      <c r="AN2215" s="199">
        <f t="shared" si="818"/>
        <v>45784</v>
      </c>
      <c r="AO2215" s="159" t="s">
        <v>692</v>
      </c>
      <c r="AP2215" s="783"/>
      <c r="AQ2215" s="782">
        <v>12071839</v>
      </c>
      <c r="AR2215" s="782">
        <v>12047514</v>
      </c>
      <c r="AS2215" s="782">
        <v>12047515</v>
      </c>
      <c r="AT2215" s="782">
        <v>12095385</v>
      </c>
      <c r="AU2215" s="781"/>
      <c r="AV2215" s="782">
        <v>12095384</v>
      </c>
      <c r="AW2215" s="782">
        <v>12024404</v>
      </c>
      <c r="AX2215" s="781"/>
      <c r="AY2215" s="782">
        <v>12095386</v>
      </c>
      <c r="AZ2215" s="781"/>
      <c r="BA2215" s="781"/>
      <c r="BB2215" s="209">
        <v>23054743</v>
      </c>
    </row>
    <row r="2216" spans="1:54" ht="25" hidden="1" customHeight="1">
      <c r="B2216" s="602">
        <v>45784</v>
      </c>
      <c r="C2216" s="602">
        <v>45797</v>
      </c>
      <c r="D2216" s="604">
        <f t="shared" si="824"/>
        <v>2025</v>
      </c>
      <c r="E2216" s="603" t="e">
        <f>VLOOKUP($B2216,Week!$A$1:$C$1462,2,0)</f>
        <v>#N/A</v>
      </c>
      <c r="F2216" s="605" t="str">
        <f t="shared" si="825"/>
        <v>May</v>
      </c>
      <c r="G2216" s="604" t="s">
        <v>2305</v>
      </c>
      <c r="H2216" s="604" t="s">
        <v>104</v>
      </c>
      <c r="I2216" s="604" t="s">
        <v>2772</v>
      </c>
      <c r="J2216" s="606" t="s">
        <v>105</v>
      </c>
      <c r="K2216" s="607" t="s">
        <v>176</v>
      </c>
      <c r="L2216" s="607" t="s">
        <v>2167</v>
      </c>
      <c r="M2216" s="606" t="s">
        <v>336</v>
      </c>
      <c r="N2216" s="604" t="s">
        <v>2292</v>
      </c>
      <c r="O2216" s="604" t="s">
        <v>179</v>
      </c>
      <c r="P2216" s="608">
        <v>36</v>
      </c>
      <c r="Q2216" s="608">
        <v>5</v>
      </c>
      <c r="R2216" s="609">
        <v>7.4999999999999997E-3</v>
      </c>
      <c r="S2216" s="604" t="s">
        <v>111</v>
      </c>
      <c r="T2216" s="604" t="s">
        <v>112</v>
      </c>
      <c r="U2216" s="604" t="s">
        <v>113</v>
      </c>
      <c r="V2216" s="610">
        <v>1288</v>
      </c>
      <c r="W2216" s="610">
        <v>1288</v>
      </c>
      <c r="X2216" s="611"/>
      <c r="Y2216" s="612">
        <f t="shared" si="843"/>
        <v>0</v>
      </c>
      <c r="Z2216" s="613">
        <f t="shared" si="839"/>
        <v>0</v>
      </c>
      <c r="AA2216" s="613">
        <f t="shared" si="826"/>
        <v>0</v>
      </c>
      <c r="AB2216" s="836">
        <v>9.7000000000000003E-3</v>
      </c>
      <c r="AC2216" s="610">
        <f t="shared" si="844"/>
        <v>0</v>
      </c>
      <c r="AD2216" s="209"/>
      <c r="AE2216" s="210">
        <f t="shared" si="840"/>
        <v>0</v>
      </c>
      <c r="AF2216" s="210">
        <f t="shared" si="845"/>
        <v>0</v>
      </c>
      <c r="AG2216" s="211">
        <f t="shared" si="841"/>
        <v>0.14499999999999999</v>
      </c>
      <c r="AH2216" s="157">
        <f t="shared" si="846"/>
        <v>0</v>
      </c>
      <c r="AI2216" s="152">
        <f t="shared" si="842"/>
        <v>46368</v>
      </c>
      <c r="AK2216" s="156" t="s">
        <v>691</v>
      </c>
      <c r="AL2216" s="574" t="s">
        <v>690</v>
      </c>
      <c r="AM2216" s="198">
        <f t="shared" si="847"/>
        <v>0</v>
      </c>
      <c r="AN2216" s="199">
        <f t="shared" si="818"/>
        <v>45784</v>
      </c>
      <c r="AO2216" s="159" t="s">
        <v>692</v>
      </c>
      <c r="AP2216" s="783"/>
      <c r="AQ2216" s="782">
        <v>12071839</v>
      </c>
      <c r="AR2216" s="782">
        <v>12047514</v>
      </c>
      <c r="AS2216" s="782">
        <v>12047515</v>
      </c>
      <c r="AT2216" s="782">
        <v>12095385</v>
      </c>
      <c r="AU2216" s="781"/>
      <c r="AV2216" s="782">
        <v>12095384</v>
      </c>
      <c r="AW2216" s="782">
        <v>12024404</v>
      </c>
      <c r="AX2216" s="781"/>
      <c r="AY2216" s="782">
        <v>12095386</v>
      </c>
      <c r="AZ2216" s="781"/>
      <c r="BA2216" s="781"/>
      <c r="BB2216" s="209">
        <v>23054743</v>
      </c>
    </row>
    <row r="2217" spans="1:54" ht="25" hidden="1" customHeight="1">
      <c r="B2217" s="602">
        <v>45784</v>
      </c>
      <c r="C2217" s="602">
        <v>45797</v>
      </c>
      <c r="D2217" s="604">
        <f t="shared" si="824"/>
        <v>2025</v>
      </c>
      <c r="E2217" s="603" t="e">
        <f>VLOOKUP($B2217,Week!$A$1:$C$1462,2,0)</f>
        <v>#N/A</v>
      </c>
      <c r="F2217" s="605" t="str">
        <f t="shared" si="825"/>
        <v>May</v>
      </c>
      <c r="G2217" s="604" t="s">
        <v>2306</v>
      </c>
      <c r="H2217" s="604" t="s">
        <v>104</v>
      </c>
      <c r="I2217" s="604" t="s">
        <v>2772</v>
      </c>
      <c r="J2217" s="606" t="s">
        <v>105</v>
      </c>
      <c r="K2217" s="607" t="s">
        <v>176</v>
      </c>
      <c r="L2217" s="607" t="s">
        <v>2167</v>
      </c>
      <c r="M2217" s="606" t="s">
        <v>336</v>
      </c>
      <c r="N2217" s="604" t="s">
        <v>2292</v>
      </c>
      <c r="O2217" s="604" t="s">
        <v>179</v>
      </c>
      <c r="P2217" s="608">
        <v>36</v>
      </c>
      <c r="Q2217" s="608">
        <v>5</v>
      </c>
      <c r="R2217" s="609">
        <v>7.4999999999999997E-3</v>
      </c>
      <c r="S2217" s="604" t="s">
        <v>111</v>
      </c>
      <c r="T2217" s="604" t="s">
        <v>112</v>
      </c>
      <c r="U2217" s="604" t="s">
        <v>113</v>
      </c>
      <c r="V2217" s="610">
        <v>1288</v>
      </c>
      <c r="W2217" s="610">
        <v>1288</v>
      </c>
      <c r="X2217" s="611"/>
      <c r="Y2217" s="612">
        <f t="shared" si="843"/>
        <v>0</v>
      </c>
      <c r="Z2217" s="613">
        <f t="shared" si="839"/>
        <v>0</v>
      </c>
      <c r="AA2217" s="613">
        <f t="shared" si="826"/>
        <v>0</v>
      </c>
      <c r="AB2217" s="836">
        <v>9.7000000000000003E-3</v>
      </c>
      <c r="AC2217" s="610">
        <f t="shared" si="844"/>
        <v>0</v>
      </c>
      <c r="AD2217" s="209"/>
      <c r="AE2217" s="210">
        <f t="shared" si="840"/>
        <v>0</v>
      </c>
      <c r="AF2217" s="210">
        <f t="shared" si="845"/>
        <v>0</v>
      </c>
      <c r="AG2217" s="211">
        <f t="shared" si="841"/>
        <v>0.14499999999999999</v>
      </c>
      <c r="AH2217" s="157">
        <f t="shared" si="846"/>
        <v>0</v>
      </c>
      <c r="AI2217" s="152">
        <f t="shared" si="842"/>
        <v>46368</v>
      </c>
      <c r="AK2217" s="156" t="s">
        <v>691</v>
      </c>
      <c r="AL2217" s="574" t="s">
        <v>690</v>
      </c>
      <c r="AM2217" s="198">
        <f t="shared" si="847"/>
        <v>0</v>
      </c>
      <c r="AN2217" s="199">
        <f t="shared" si="818"/>
        <v>45784</v>
      </c>
      <c r="AO2217" s="159" t="s">
        <v>692</v>
      </c>
      <c r="AP2217" s="783"/>
      <c r="AQ2217" s="782">
        <v>12071839</v>
      </c>
      <c r="AR2217" s="782">
        <v>12047514</v>
      </c>
      <c r="AS2217" s="782">
        <v>12047515</v>
      </c>
      <c r="AT2217" s="782">
        <v>12095385</v>
      </c>
      <c r="AU2217" s="781"/>
      <c r="AV2217" s="782">
        <v>12095384</v>
      </c>
      <c r="AW2217" s="782">
        <v>12024404</v>
      </c>
      <c r="AX2217" s="781"/>
      <c r="AY2217" s="782">
        <v>12095386</v>
      </c>
      <c r="AZ2217" s="781"/>
      <c r="BA2217" s="781"/>
      <c r="BB2217" s="209">
        <v>23054743</v>
      </c>
    </row>
    <row r="2218" spans="1:54" ht="25" hidden="1" customHeight="1">
      <c r="B2218" s="602">
        <v>45784</v>
      </c>
      <c r="C2218" s="602">
        <v>45797</v>
      </c>
      <c r="D2218" s="604">
        <f t="shared" si="824"/>
        <v>2025</v>
      </c>
      <c r="E2218" s="603" t="e">
        <f>VLOOKUP($B2218,Week!$A$1:$C$1462,2,0)</f>
        <v>#N/A</v>
      </c>
      <c r="F2218" s="605" t="str">
        <f t="shared" si="825"/>
        <v>May</v>
      </c>
      <c r="G2218" s="604" t="s">
        <v>2307</v>
      </c>
      <c r="H2218" s="604" t="s">
        <v>104</v>
      </c>
      <c r="I2218" s="604" t="s">
        <v>2772</v>
      </c>
      <c r="J2218" s="606" t="s">
        <v>105</v>
      </c>
      <c r="K2218" s="607" t="s">
        <v>176</v>
      </c>
      <c r="L2218" s="607" t="s">
        <v>2167</v>
      </c>
      <c r="M2218" s="606" t="s">
        <v>336</v>
      </c>
      <c r="N2218" s="604" t="s">
        <v>2292</v>
      </c>
      <c r="O2218" s="604" t="s">
        <v>179</v>
      </c>
      <c r="P2218" s="608">
        <v>36</v>
      </c>
      <c r="Q2218" s="608">
        <v>5</v>
      </c>
      <c r="R2218" s="609">
        <v>7.4999999999999997E-3</v>
      </c>
      <c r="S2218" s="604" t="s">
        <v>111</v>
      </c>
      <c r="T2218" s="604" t="s">
        <v>112</v>
      </c>
      <c r="U2218" s="604" t="s">
        <v>113</v>
      </c>
      <c r="V2218" s="610">
        <v>1288</v>
      </c>
      <c r="W2218" s="610">
        <f>3791-43-1288-1288+116</f>
        <v>1288</v>
      </c>
      <c r="X2218" s="611">
        <f>(410)/36</f>
        <v>11.388888888888889</v>
      </c>
      <c r="Y2218" s="612">
        <f t="shared" si="843"/>
        <v>11.388888888888914</v>
      </c>
      <c r="Z2218" s="613">
        <f t="shared" si="839"/>
        <v>0</v>
      </c>
      <c r="AA2218" s="613">
        <f t="shared" si="826"/>
        <v>0</v>
      </c>
      <c r="AB2218" s="836">
        <v>9.7000000000000003E-3</v>
      </c>
      <c r="AC2218" s="610">
        <f t="shared" si="844"/>
        <v>0</v>
      </c>
      <c r="AD2218" s="209"/>
      <c r="AE2218" s="210">
        <f t="shared" si="840"/>
        <v>0</v>
      </c>
      <c r="AF2218" s="210">
        <f t="shared" si="845"/>
        <v>0</v>
      </c>
      <c r="AG2218" s="211">
        <f t="shared" si="841"/>
        <v>0.14499999999999999</v>
      </c>
      <c r="AH2218" s="157">
        <f t="shared" si="846"/>
        <v>0</v>
      </c>
      <c r="AI2218" s="152">
        <f t="shared" si="842"/>
        <v>46368</v>
      </c>
      <c r="AK2218" s="156" t="s">
        <v>691</v>
      </c>
      <c r="AL2218" s="574" t="s">
        <v>690</v>
      </c>
      <c r="AM2218" s="198">
        <f t="shared" si="847"/>
        <v>0</v>
      </c>
      <c r="AN2218" s="199">
        <f t="shared" si="818"/>
        <v>45784</v>
      </c>
      <c r="AO2218" s="159" t="s">
        <v>692</v>
      </c>
      <c r="AP2218" s="783"/>
      <c r="AQ2218" s="782">
        <v>12071839</v>
      </c>
      <c r="AR2218" s="782">
        <v>12047514</v>
      </c>
      <c r="AS2218" s="782">
        <v>12047515</v>
      </c>
      <c r="AT2218" s="782">
        <v>12095385</v>
      </c>
      <c r="AU2218" s="781"/>
      <c r="AV2218" s="782">
        <v>12095384</v>
      </c>
      <c r="AW2218" s="782">
        <v>12024404</v>
      </c>
      <c r="AX2218" s="781"/>
      <c r="AY2218" s="782">
        <v>12095386</v>
      </c>
      <c r="AZ2218" s="781"/>
      <c r="BA2218" s="781"/>
      <c r="BB2218" s="209">
        <v>23054743</v>
      </c>
    </row>
    <row r="2219" spans="1:54" ht="25" hidden="1" customHeight="1">
      <c r="A2219" s="630" t="s">
        <v>120</v>
      </c>
      <c r="B2219" s="308">
        <v>45785</v>
      </c>
      <c r="C2219" s="309">
        <v>45790</v>
      </c>
      <c r="D2219" s="185">
        <f t="shared" si="824"/>
        <v>2025</v>
      </c>
      <c r="E2219" s="309" t="e">
        <f>VLOOKUP($B2219,Week!$A$1:$C$1462,2,0)</f>
        <v>#N/A</v>
      </c>
      <c r="F2219" s="310" t="str">
        <f t="shared" si="825"/>
        <v>May</v>
      </c>
      <c r="G2219" s="579" t="s">
        <v>2215</v>
      </c>
      <c r="H2219" s="311" t="s">
        <v>104</v>
      </c>
      <c r="I2219" s="311" t="s">
        <v>2772</v>
      </c>
      <c r="J2219" s="312" t="s">
        <v>105</v>
      </c>
      <c r="K2219" s="313" t="s">
        <v>85</v>
      </c>
      <c r="L2219" s="390" t="s">
        <v>2166</v>
      </c>
      <c r="M2219" s="312" t="s">
        <v>86</v>
      </c>
      <c r="N2219" s="311" t="s">
        <v>421</v>
      </c>
      <c r="O2219" s="311" t="s">
        <v>506</v>
      </c>
      <c r="P2219" s="314">
        <v>10</v>
      </c>
      <c r="Q2219" s="314">
        <v>50</v>
      </c>
      <c r="R2219" s="315">
        <v>6.8100000000000001E-3</v>
      </c>
      <c r="S2219" s="311" t="s">
        <v>76</v>
      </c>
      <c r="T2219" s="311" t="s">
        <v>112</v>
      </c>
      <c r="U2219" s="311" t="s">
        <v>89</v>
      </c>
      <c r="V2219" s="316">
        <f>1750</f>
        <v>1750</v>
      </c>
      <c r="W2219" s="316">
        <f>100+2+1648</f>
        <v>1750</v>
      </c>
      <c r="X2219" s="317">
        <f>(50)/10</f>
        <v>5</v>
      </c>
      <c r="Y2219" s="318">
        <f t="shared" ref="Y2219:Y2229" si="848">(W2219+X2219)-V2219</f>
        <v>5</v>
      </c>
      <c r="Z2219" s="319">
        <f t="shared" si="839"/>
        <v>0</v>
      </c>
      <c r="AA2219" s="319">
        <f t="shared" si="826"/>
        <v>0</v>
      </c>
      <c r="AB2219" s="815">
        <v>6</v>
      </c>
      <c r="AC2219" s="316">
        <f t="shared" ref="AC2219:AC2232" si="849">Z2219*AB2219</f>
        <v>0</v>
      </c>
      <c r="AD2219" s="381"/>
      <c r="AE2219" s="210">
        <f t="shared" si="840"/>
        <v>0</v>
      </c>
      <c r="AF2219" s="210">
        <f t="shared" ref="AF2219:AF2229" si="850">AE2219/0.54</f>
        <v>0</v>
      </c>
      <c r="AG2219" s="211">
        <f t="shared" si="841"/>
        <v>0.57999999999999996</v>
      </c>
      <c r="AH2219" s="157">
        <f t="shared" ref="AH2219:AH2229" si="851">(Z2219*AG2219)/1000</f>
        <v>0</v>
      </c>
      <c r="AI2219" s="152">
        <f t="shared" si="842"/>
        <v>17500</v>
      </c>
      <c r="AJ2219" s="156">
        <f>AI2219*Q2219</f>
        <v>875000</v>
      </c>
      <c r="AK2219" s="156" t="s">
        <v>691</v>
      </c>
      <c r="AL2219" s="156" t="s">
        <v>689</v>
      </c>
      <c r="AM2219" s="198">
        <f t="shared" ref="AM2219:AM2250" si="852">AG2219*Z2219</f>
        <v>0</v>
      </c>
      <c r="AN2219" s="199">
        <f t="shared" si="818"/>
        <v>45785</v>
      </c>
      <c r="AO2219" s="159" t="s">
        <v>692</v>
      </c>
      <c r="AP2219" s="781" t="s">
        <v>423</v>
      </c>
      <c r="AQ2219" s="781" t="s">
        <v>422</v>
      </c>
      <c r="AR2219" s="782">
        <v>12055234</v>
      </c>
      <c r="AS2219" s="781"/>
      <c r="AT2219" s="782">
        <v>12069432</v>
      </c>
      <c r="AU2219" s="781"/>
      <c r="AV2219" s="782">
        <v>12069433</v>
      </c>
      <c r="AW2219" s="781"/>
      <c r="AX2219" s="781" t="s">
        <v>93</v>
      </c>
      <c r="AY2219" s="781"/>
      <c r="AZ2219" s="782"/>
      <c r="BA2219" s="781"/>
      <c r="BB2219" s="209">
        <v>23053184</v>
      </c>
    </row>
    <row r="2220" spans="1:54" ht="25" hidden="1" customHeight="1">
      <c r="B2220" s="213">
        <v>45786</v>
      </c>
      <c r="C2220" s="578">
        <v>45792</v>
      </c>
      <c r="D2220" s="185">
        <f t="shared" si="824"/>
        <v>2025</v>
      </c>
      <c r="E2220" s="215" t="e">
        <f>VLOOKUP($B2220,Week!$A$1:$C$1462,2,0)</f>
        <v>#N/A</v>
      </c>
      <c r="F2220" s="216" t="str">
        <f t="shared" si="825"/>
        <v>May</v>
      </c>
      <c r="G2220" s="215" t="s">
        <v>1996</v>
      </c>
      <c r="H2220" s="215" t="s">
        <v>104</v>
      </c>
      <c r="I2220" s="215" t="s">
        <v>2772</v>
      </c>
      <c r="J2220" s="209" t="s">
        <v>105</v>
      </c>
      <c r="K2220" s="217" t="s">
        <v>107</v>
      </c>
      <c r="L2220" s="300" t="s">
        <v>2167</v>
      </c>
      <c r="M2220" s="209" t="s">
        <v>108</v>
      </c>
      <c r="N2220" s="215" t="s">
        <v>109</v>
      </c>
      <c r="O2220" s="215" t="s">
        <v>110</v>
      </c>
      <c r="P2220" s="218">
        <v>36</v>
      </c>
      <c r="Q2220" s="218">
        <v>5</v>
      </c>
      <c r="R2220" s="219">
        <v>7.4999999999999997E-3</v>
      </c>
      <c r="S2220" s="215" t="s">
        <v>111</v>
      </c>
      <c r="T2220" s="215" t="s">
        <v>112</v>
      </c>
      <c r="U2220" s="215" t="s">
        <v>113</v>
      </c>
      <c r="V2220" s="220">
        <f>792-575</f>
        <v>217</v>
      </c>
      <c r="W2220" s="220">
        <v>217</v>
      </c>
      <c r="X2220" s="221"/>
      <c r="Y2220" s="222">
        <f t="shared" si="848"/>
        <v>0</v>
      </c>
      <c r="Z2220" s="223">
        <f t="shared" si="839"/>
        <v>0</v>
      </c>
      <c r="AA2220" s="223">
        <f t="shared" si="826"/>
        <v>0</v>
      </c>
      <c r="AB2220" s="807">
        <v>9.7000000000000003E-3</v>
      </c>
      <c r="AC2220" s="220">
        <f t="shared" si="849"/>
        <v>0</v>
      </c>
      <c r="AD2220" s="209"/>
      <c r="AE2220" s="210">
        <f t="shared" si="840"/>
        <v>0</v>
      </c>
      <c r="AF2220" s="210">
        <f t="shared" si="850"/>
        <v>0</v>
      </c>
      <c r="AG2220" s="211">
        <f t="shared" si="841"/>
        <v>0.308</v>
      </c>
      <c r="AH2220" s="157">
        <f t="shared" si="851"/>
        <v>0</v>
      </c>
      <c r="AI2220" s="152">
        <f t="shared" si="842"/>
        <v>7812</v>
      </c>
      <c r="AK2220" s="156" t="s">
        <v>691</v>
      </c>
      <c r="AL2220" s="574" t="s">
        <v>690</v>
      </c>
      <c r="AM2220" s="198">
        <f t="shared" si="852"/>
        <v>0</v>
      </c>
      <c r="AN2220" s="199">
        <f t="shared" si="818"/>
        <v>45786</v>
      </c>
      <c r="AO2220" s="159" t="s">
        <v>692</v>
      </c>
      <c r="AP2220" s="781"/>
      <c r="AQ2220" s="782">
        <v>12063755</v>
      </c>
      <c r="AR2220" s="782">
        <v>12061353</v>
      </c>
      <c r="AS2220" s="782">
        <v>12061354</v>
      </c>
      <c r="AT2220" s="782">
        <v>12068566</v>
      </c>
      <c r="AU2220" s="781"/>
      <c r="AV2220" s="782">
        <v>12088206</v>
      </c>
      <c r="AW2220" s="782">
        <v>12088207</v>
      </c>
      <c r="AX2220" s="782"/>
      <c r="AY2220" s="782">
        <v>12068565</v>
      </c>
      <c r="AZ2220" s="782"/>
      <c r="BA2220" s="781"/>
      <c r="BB2220" s="209">
        <v>23054743</v>
      </c>
    </row>
    <row r="2221" spans="1:54" ht="25" hidden="1" customHeight="1">
      <c r="B2221" s="213">
        <v>45786</v>
      </c>
      <c r="C2221" s="578">
        <v>45792</v>
      </c>
      <c r="D2221" s="185">
        <f t="shared" si="824"/>
        <v>2025</v>
      </c>
      <c r="E2221" s="215" t="e">
        <f>VLOOKUP($B2221,Week!$A$1:$C$1462,2,0)</f>
        <v>#N/A</v>
      </c>
      <c r="F2221" s="216" t="str">
        <f t="shared" si="825"/>
        <v>May</v>
      </c>
      <c r="G2221" s="215" t="s">
        <v>1997</v>
      </c>
      <c r="H2221" s="215" t="s">
        <v>104</v>
      </c>
      <c r="I2221" s="215" t="s">
        <v>2772</v>
      </c>
      <c r="J2221" s="209" t="s">
        <v>105</v>
      </c>
      <c r="K2221" s="217" t="s">
        <v>107</v>
      </c>
      <c r="L2221" s="300" t="s">
        <v>2167</v>
      </c>
      <c r="M2221" s="209" t="s">
        <v>108</v>
      </c>
      <c r="N2221" s="215" t="s">
        <v>109</v>
      </c>
      <c r="O2221" s="215" t="s">
        <v>110</v>
      </c>
      <c r="P2221" s="218">
        <v>36</v>
      </c>
      <c r="Q2221" s="218">
        <v>5</v>
      </c>
      <c r="R2221" s="219">
        <v>7.4999999999999997E-3</v>
      </c>
      <c r="S2221" s="215" t="s">
        <v>111</v>
      </c>
      <c r="T2221" s="215" t="s">
        <v>112</v>
      </c>
      <c r="U2221" s="215" t="s">
        <v>113</v>
      </c>
      <c r="V2221" s="220">
        <v>792</v>
      </c>
      <c r="W2221" s="220">
        <v>792</v>
      </c>
      <c r="X2221" s="221"/>
      <c r="Y2221" s="222">
        <f t="shared" si="848"/>
        <v>0</v>
      </c>
      <c r="Z2221" s="223">
        <f t="shared" si="839"/>
        <v>0</v>
      </c>
      <c r="AA2221" s="223">
        <f t="shared" si="826"/>
        <v>0</v>
      </c>
      <c r="AB2221" s="807">
        <v>9.7000000000000003E-3</v>
      </c>
      <c r="AC2221" s="220">
        <f t="shared" si="849"/>
        <v>0</v>
      </c>
      <c r="AD2221" s="209"/>
      <c r="AE2221" s="210">
        <f t="shared" si="840"/>
        <v>0</v>
      </c>
      <c r="AF2221" s="210">
        <f t="shared" si="850"/>
        <v>0</v>
      </c>
      <c r="AG2221" s="211">
        <f t="shared" si="841"/>
        <v>0.308</v>
      </c>
      <c r="AH2221" s="157">
        <f t="shared" si="851"/>
        <v>0</v>
      </c>
      <c r="AI2221" s="152">
        <f t="shared" si="842"/>
        <v>28512</v>
      </c>
      <c r="AK2221" s="156" t="s">
        <v>691</v>
      </c>
      <c r="AL2221" s="574" t="s">
        <v>690</v>
      </c>
      <c r="AM2221" s="198">
        <f t="shared" si="852"/>
        <v>0</v>
      </c>
      <c r="AN2221" s="199">
        <f t="shared" si="818"/>
        <v>45786</v>
      </c>
      <c r="AO2221" s="159" t="s">
        <v>692</v>
      </c>
      <c r="AP2221" s="781"/>
      <c r="AQ2221" s="782">
        <v>12063755</v>
      </c>
      <c r="AR2221" s="782">
        <v>12061353</v>
      </c>
      <c r="AS2221" s="782">
        <v>12061354</v>
      </c>
      <c r="AT2221" s="782">
        <v>12068566</v>
      </c>
      <c r="AU2221" s="781"/>
      <c r="AV2221" s="782">
        <v>12088206</v>
      </c>
      <c r="AW2221" s="782">
        <v>12088207</v>
      </c>
      <c r="AX2221" s="782"/>
      <c r="AY2221" s="782">
        <v>12068565</v>
      </c>
      <c r="AZ2221" s="782"/>
      <c r="BA2221" s="781"/>
      <c r="BB2221" s="209">
        <v>23054743</v>
      </c>
    </row>
    <row r="2222" spans="1:54" ht="25" hidden="1" customHeight="1">
      <c r="B2222" s="213">
        <v>45786</v>
      </c>
      <c r="C2222" s="578">
        <v>45792</v>
      </c>
      <c r="D2222" s="185">
        <f t="shared" si="824"/>
        <v>2025</v>
      </c>
      <c r="E2222" s="215" t="e">
        <f>VLOOKUP($B2222,Week!$A$1:$C$1462,2,0)</f>
        <v>#N/A</v>
      </c>
      <c r="F2222" s="216" t="str">
        <f t="shared" si="825"/>
        <v>May</v>
      </c>
      <c r="G2222" s="215" t="s">
        <v>1998</v>
      </c>
      <c r="H2222" s="215" t="s">
        <v>104</v>
      </c>
      <c r="I2222" s="215" t="s">
        <v>2772</v>
      </c>
      <c r="J2222" s="209" t="s">
        <v>105</v>
      </c>
      <c r="K2222" s="217" t="s">
        <v>107</v>
      </c>
      <c r="L2222" s="300" t="s">
        <v>2167</v>
      </c>
      <c r="M2222" s="209" t="s">
        <v>108</v>
      </c>
      <c r="N2222" s="215" t="s">
        <v>109</v>
      </c>
      <c r="O2222" s="215" t="s">
        <v>110</v>
      </c>
      <c r="P2222" s="218">
        <v>36</v>
      </c>
      <c r="Q2222" s="218">
        <v>5</v>
      </c>
      <c r="R2222" s="219">
        <v>7.4999999999999997E-3</v>
      </c>
      <c r="S2222" s="215" t="s">
        <v>111</v>
      </c>
      <c r="T2222" s="215" t="s">
        <v>112</v>
      </c>
      <c r="U2222" s="215" t="s">
        <v>113</v>
      </c>
      <c r="V2222" s="220">
        <v>792</v>
      </c>
      <c r="W2222" s="220">
        <v>792</v>
      </c>
      <c r="X2222" s="221"/>
      <c r="Y2222" s="222">
        <f t="shared" si="848"/>
        <v>0</v>
      </c>
      <c r="Z2222" s="223">
        <f t="shared" si="839"/>
        <v>0</v>
      </c>
      <c r="AA2222" s="223">
        <f t="shared" si="826"/>
        <v>0</v>
      </c>
      <c r="AB2222" s="807">
        <v>9.7000000000000003E-3</v>
      </c>
      <c r="AC2222" s="220">
        <f t="shared" si="849"/>
        <v>0</v>
      </c>
      <c r="AD2222" s="209"/>
      <c r="AE2222" s="210">
        <f t="shared" si="840"/>
        <v>0</v>
      </c>
      <c r="AF2222" s="210">
        <f t="shared" si="850"/>
        <v>0</v>
      </c>
      <c r="AG2222" s="211">
        <f t="shared" si="841"/>
        <v>0.308</v>
      </c>
      <c r="AH2222" s="157">
        <f t="shared" si="851"/>
        <v>0</v>
      </c>
      <c r="AI2222" s="152">
        <f t="shared" si="842"/>
        <v>28512</v>
      </c>
      <c r="AK2222" s="156" t="s">
        <v>691</v>
      </c>
      <c r="AL2222" s="574" t="s">
        <v>690</v>
      </c>
      <c r="AM2222" s="198">
        <f t="shared" si="852"/>
        <v>0</v>
      </c>
      <c r="AN2222" s="199">
        <f t="shared" si="818"/>
        <v>45786</v>
      </c>
      <c r="AO2222" s="159" t="s">
        <v>692</v>
      </c>
      <c r="AP2222" s="781"/>
      <c r="AQ2222" s="782">
        <v>12063755</v>
      </c>
      <c r="AR2222" s="782">
        <v>12061353</v>
      </c>
      <c r="AS2222" s="782">
        <v>12061354</v>
      </c>
      <c r="AT2222" s="782">
        <v>12068566</v>
      </c>
      <c r="AU2222" s="781"/>
      <c r="AV2222" s="782">
        <v>12088206</v>
      </c>
      <c r="AW2222" s="782">
        <v>12088207</v>
      </c>
      <c r="AX2222" s="782"/>
      <c r="AY2222" s="782">
        <v>12068565</v>
      </c>
      <c r="AZ2222" s="782"/>
      <c r="BA2222" s="781"/>
      <c r="BB2222" s="209">
        <v>23054743</v>
      </c>
    </row>
    <row r="2223" spans="1:54" ht="25" hidden="1" customHeight="1">
      <c r="B2223" s="213">
        <v>45786</v>
      </c>
      <c r="C2223" s="578">
        <v>45792</v>
      </c>
      <c r="D2223" s="185">
        <f t="shared" si="824"/>
        <v>2025</v>
      </c>
      <c r="E2223" s="215" t="e">
        <f>VLOOKUP($B2223,Week!$A$1:$C$1462,2,0)</f>
        <v>#N/A</v>
      </c>
      <c r="F2223" s="216" t="str">
        <f t="shared" si="825"/>
        <v>May</v>
      </c>
      <c r="G2223" s="215" t="s">
        <v>2160</v>
      </c>
      <c r="H2223" s="215" t="s">
        <v>104</v>
      </c>
      <c r="I2223" s="215" t="s">
        <v>2772</v>
      </c>
      <c r="J2223" s="209" t="s">
        <v>105</v>
      </c>
      <c r="K2223" s="217" t="s">
        <v>107</v>
      </c>
      <c r="L2223" s="300" t="s">
        <v>2167</v>
      </c>
      <c r="M2223" s="209" t="s">
        <v>108</v>
      </c>
      <c r="N2223" s="215" t="s">
        <v>109</v>
      </c>
      <c r="O2223" s="215" t="s">
        <v>110</v>
      </c>
      <c r="P2223" s="218">
        <v>36</v>
      </c>
      <c r="Q2223" s="218">
        <v>5</v>
      </c>
      <c r="R2223" s="219">
        <v>7.4999999999999997E-3</v>
      </c>
      <c r="S2223" s="215" t="s">
        <v>111</v>
      </c>
      <c r="T2223" s="215" t="s">
        <v>112</v>
      </c>
      <c r="U2223" s="215" t="s">
        <v>113</v>
      </c>
      <c r="V2223" s="220">
        <v>792</v>
      </c>
      <c r="W2223" s="220">
        <v>792</v>
      </c>
      <c r="X2223" s="221"/>
      <c r="Y2223" s="222">
        <f t="shared" si="848"/>
        <v>0</v>
      </c>
      <c r="Z2223" s="223">
        <f t="shared" si="839"/>
        <v>0</v>
      </c>
      <c r="AA2223" s="223">
        <f t="shared" si="826"/>
        <v>0</v>
      </c>
      <c r="AB2223" s="807">
        <v>9.7000000000000003E-3</v>
      </c>
      <c r="AC2223" s="220">
        <f t="shared" si="849"/>
        <v>0</v>
      </c>
      <c r="AD2223" s="209"/>
      <c r="AE2223" s="210">
        <f t="shared" si="840"/>
        <v>0</v>
      </c>
      <c r="AF2223" s="210">
        <f t="shared" si="850"/>
        <v>0</v>
      </c>
      <c r="AG2223" s="211">
        <f t="shared" si="841"/>
        <v>0.308</v>
      </c>
      <c r="AH2223" s="157">
        <f t="shared" si="851"/>
        <v>0</v>
      </c>
      <c r="AI2223" s="152">
        <f t="shared" si="842"/>
        <v>28512</v>
      </c>
      <c r="AK2223" s="156" t="s">
        <v>691</v>
      </c>
      <c r="AL2223" s="574" t="s">
        <v>690</v>
      </c>
      <c r="AM2223" s="198">
        <f t="shared" si="852"/>
        <v>0</v>
      </c>
      <c r="AN2223" s="199">
        <f t="shared" si="818"/>
        <v>45786</v>
      </c>
      <c r="AO2223" s="159" t="s">
        <v>692</v>
      </c>
      <c r="AP2223" s="781"/>
      <c r="AQ2223" s="782">
        <v>12063755</v>
      </c>
      <c r="AR2223" s="782">
        <v>12061353</v>
      </c>
      <c r="AS2223" s="782">
        <v>12061354</v>
      </c>
      <c r="AT2223" s="782">
        <v>12068566</v>
      </c>
      <c r="AU2223" s="781"/>
      <c r="AV2223" s="782">
        <v>12088206</v>
      </c>
      <c r="AW2223" s="782">
        <v>12088207</v>
      </c>
      <c r="AX2223" s="782"/>
      <c r="AY2223" s="782">
        <v>12068565</v>
      </c>
      <c r="AZ2223" s="782"/>
      <c r="BA2223" s="781"/>
      <c r="BB2223" s="209">
        <v>23054743</v>
      </c>
    </row>
    <row r="2224" spans="1:54" ht="25" hidden="1" customHeight="1">
      <c r="B2224" s="213">
        <v>45786</v>
      </c>
      <c r="C2224" s="578">
        <v>45798</v>
      </c>
      <c r="D2224" s="185">
        <f t="shared" si="824"/>
        <v>2025</v>
      </c>
      <c r="E2224" s="215" t="e">
        <f>VLOOKUP($B2224,Week!$A$1:$C$1462,2,0)</f>
        <v>#N/A</v>
      </c>
      <c r="F2224" s="216" t="str">
        <f t="shared" si="825"/>
        <v>May</v>
      </c>
      <c r="G2224" s="215" t="s">
        <v>2161</v>
      </c>
      <c r="H2224" s="215" t="s">
        <v>104</v>
      </c>
      <c r="I2224" s="215" t="s">
        <v>2772</v>
      </c>
      <c r="J2224" s="209" t="s">
        <v>105</v>
      </c>
      <c r="K2224" s="217" t="s">
        <v>107</v>
      </c>
      <c r="L2224" s="300" t="s">
        <v>2167</v>
      </c>
      <c r="M2224" s="209" t="s">
        <v>108</v>
      </c>
      <c r="N2224" s="215" t="s">
        <v>109</v>
      </c>
      <c r="O2224" s="215" t="s">
        <v>110</v>
      </c>
      <c r="P2224" s="218">
        <v>36</v>
      </c>
      <c r="Q2224" s="218">
        <v>5</v>
      </c>
      <c r="R2224" s="219">
        <v>7.4999999999999997E-3</v>
      </c>
      <c r="S2224" s="215" t="s">
        <v>111</v>
      </c>
      <c r="T2224" s="215" t="s">
        <v>112</v>
      </c>
      <c r="U2224" s="215" t="s">
        <v>113</v>
      </c>
      <c r="V2224" s="220">
        <f>2928-217-792-792-792</f>
        <v>335</v>
      </c>
      <c r="W2224" s="220">
        <f>2928-217-792-792-792</f>
        <v>335</v>
      </c>
      <c r="X2224" s="221"/>
      <c r="Y2224" s="222">
        <f t="shared" si="848"/>
        <v>0</v>
      </c>
      <c r="Z2224" s="223">
        <f t="shared" si="839"/>
        <v>0</v>
      </c>
      <c r="AA2224" s="223">
        <f t="shared" si="826"/>
        <v>0</v>
      </c>
      <c r="AB2224" s="807">
        <v>9.7000000000000003E-3</v>
      </c>
      <c r="AC2224" s="220">
        <f t="shared" si="849"/>
        <v>0</v>
      </c>
      <c r="AD2224" s="209"/>
      <c r="AE2224" s="210">
        <f t="shared" si="840"/>
        <v>0</v>
      </c>
      <c r="AF2224" s="210">
        <f t="shared" si="850"/>
        <v>0</v>
      </c>
      <c r="AG2224" s="211">
        <f t="shared" si="841"/>
        <v>0.308</v>
      </c>
      <c r="AH2224" s="157">
        <f t="shared" si="851"/>
        <v>0</v>
      </c>
      <c r="AI2224" s="152">
        <f t="shared" si="842"/>
        <v>12060</v>
      </c>
      <c r="AK2224" s="156" t="s">
        <v>691</v>
      </c>
      <c r="AL2224" s="574" t="s">
        <v>690</v>
      </c>
      <c r="AM2224" s="198">
        <f t="shared" si="852"/>
        <v>0</v>
      </c>
      <c r="AN2224" s="199">
        <f t="shared" si="818"/>
        <v>45786</v>
      </c>
      <c r="AO2224" s="159" t="s">
        <v>692</v>
      </c>
      <c r="AP2224" s="781"/>
      <c r="AQ2224" s="782">
        <v>12063755</v>
      </c>
      <c r="AR2224" s="782">
        <v>12061353</v>
      </c>
      <c r="AS2224" s="782">
        <v>12061354</v>
      </c>
      <c r="AT2224" s="782">
        <v>12068566</v>
      </c>
      <c r="AU2224" s="781"/>
      <c r="AV2224" s="782">
        <v>12088206</v>
      </c>
      <c r="AW2224" s="782">
        <v>12088207</v>
      </c>
      <c r="AX2224" s="782"/>
      <c r="AY2224" s="782">
        <v>12068565</v>
      </c>
      <c r="AZ2224" s="782"/>
      <c r="BA2224" s="781"/>
      <c r="BB2224" s="209">
        <v>23054743</v>
      </c>
    </row>
    <row r="2225" spans="1:54" ht="24.75" hidden="1" customHeight="1">
      <c r="B2225" s="333">
        <v>45787</v>
      </c>
      <c r="C2225" s="333">
        <v>45792</v>
      </c>
      <c r="D2225" s="185">
        <f t="shared" si="824"/>
        <v>2025</v>
      </c>
      <c r="E2225" s="335" t="e">
        <f>VLOOKUP($B2225,Week!$A$1:$C$1462,2,0)</f>
        <v>#N/A</v>
      </c>
      <c r="F2225" s="334" t="str">
        <f t="shared" si="825"/>
        <v>May</v>
      </c>
      <c r="G2225" s="335" t="s">
        <v>2052</v>
      </c>
      <c r="H2225" s="335" t="s">
        <v>363</v>
      </c>
      <c r="I2225" s="335" t="s">
        <v>2772</v>
      </c>
      <c r="J2225" s="336" t="s">
        <v>364</v>
      </c>
      <c r="K2225" s="337" t="s">
        <v>176</v>
      </c>
      <c r="L2225" s="300" t="s">
        <v>2167</v>
      </c>
      <c r="M2225" s="382" t="s">
        <v>646</v>
      </c>
      <c r="N2225" s="335" t="s">
        <v>647</v>
      </c>
      <c r="O2225" s="335" t="s">
        <v>599</v>
      </c>
      <c r="P2225" s="338">
        <v>36</v>
      </c>
      <c r="Q2225" s="338">
        <v>5</v>
      </c>
      <c r="R2225" s="339">
        <v>8.0000000000000002E-3</v>
      </c>
      <c r="S2225" s="335" t="s">
        <v>40</v>
      </c>
      <c r="T2225" s="335" t="s">
        <v>112</v>
      </c>
      <c r="U2225" s="335" t="s">
        <v>57</v>
      </c>
      <c r="V2225" s="341">
        <f>1288</f>
        <v>1288</v>
      </c>
      <c r="W2225" s="341">
        <f>96+1192</f>
        <v>1288</v>
      </c>
      <c r="X2225" s="342"/>
      <c r="Y2225" s="343">
        <f t="shared" si="848"/>
        <v>0</v>
      </c>
      <c r="Z2225" s="344">
        <f t="shared" si="839"/>
        <v>0</v>
      </c>
      <c r="AA2225" s="344">
        <f t="shared" si="826"/>
        <v>0</v>
      </c>
      <c r="AB2225" s="821">
        <v>7.4999999999999997E-3</v>
      </c>
      <c r="AC2225" s="341">
        <f t="shared" si="849"/>
        <v>0</v>
      </c>
      <c r="AD2225" s="209"/>
      <c r="AE2225" s="210">
        <f t="shared" si="840"/>
        <v>0</v>
      </c>
      <c r="AF2225" s="210">
        <f t="shared" si="850"/>
        <v>0</v>
      </c>
      <c r="AG2225" s="211">
        <f t="shared" si="841"/>
        <v>0.14799999999999999</v>
      </c>
      <c r="AH2225" s="157">
        <f t="shared" si="851"/>
        <v>0</v>
      </c>
      <c r="AI2225" s="152">
        <f t="shared" si="842"/>
        <v>46368</v>
      </c>
      <c r="AK2225" s="156" t="s">
        <v>691</v>
      </c>
      <c r="AL2225" s="574" t="s">
        <v>690</v>
      </c>
      <c r="AM2225" s="198">
        <f t="shared" si="852"/>
        <v>0</v>
      </c>
      <c r="AN2225" s="199">
        <f t="shared" si="818"/>
        <v>45787</v>
      </c>
      <c r="AO2225" s="159" t="s">
        <v>692</v>
      </c>
      <c r="AP2225" s="781"/>
      <c r="AQ2225" s="782">
        <v>12071839</v>
      </c>
      <c r="AR2225" s="782">
        <v>12047514</v>
      </c>
      <c r="AS2225" s="782">
        <v>12047515</v>
      </c>
      <c r="AT2225" s="782">
        <v>12084374</v>
      </c>
      <c r="AU2225" s="781"/>
      <c r="AV2225" s="782">
        <v>12084372</v>
      </c>
      <c r="AW2225" s="782">
        <v>12024404</v>
      </c>
      <c r="AX2225" s="782"/>
      <c r="AY2225" s="782" t="s">
        <v>2154</v>
      </c>
      <c r="AZ2225" s="782"/>
      <c r="BA2225" s="781"/>
      <c r="BB2225" s="209">
        <v>23053185</v>
      </c>
    </row>
    <row r="2226" spans="1:54" ht="24.75" hidden="1" customHeight="1">
      <c r="B2226" s="295">
        <v>45787</v>
      </c>
      <c r="C2226" s="771" t="s">
        <v>1929</v>
      </c>
      <c r="D2226" s="185">
        <f t="shared" si="824"/>
        <v>2025</v>
      </c>
      <c r="E2226" s="296" t="e">
        <f>VLOOKUP($B2226,Week!$A$1:$C$1462,2,0)</f>
        <v>#N/A</v>
      </c>
      <c r="F2226" s="297" t="str">
        <f t="shared" si="825"/>
        <v>May</v>
      </c>
      <c r="G2226" s="648" t="s">
        <v>47</v>
      </c>
      <c r="H2226" s="298" t="s">
        <v>260</v>
      </c>
      <c r="I2226" s="298" t="s">
        <v>2702</v>
      </c>
      <c r="J2226" s="307" t="s">
        <v>904</v>
      </c>
      <c r="K2226" s="300" t="s">
        <v>176</v>
      </c>
      <c r="L2226" s="300" t="s">
        <v>2167</v>
      </c>
      <c r="M2226" s="299" t="s">
        <v>262</v>
      </c>
      <c r="N2226" s="298" t="s">
        <v>350</v>
      </c>
      <c r="O2226" s="298" t="s">
        <v>351</v>
      </c>
      <c r="P2226" s="301">
        <v>24</v>
      </c>
      <c r="Q2226" s="301">
        <v>5</v>
      </c>
      <c r="R2226" s="302">
        <v>6.1999999999999998E-3</v>
      </c>
      <c r="S2226" s="298" t="s">
        <v>352</v>
      </c>
      <c r="T2226" s="298" t="s">
        <v>56</v>
      </c>
      <c r="U2226" s="298" t="s">
        <v>57</v>
      </c>
      <c r="V2226" s="303">
        <f>1227+972+176</f>
        <v>2375</v>
      </c>
      <c r="W2226" s="303">
        <f>2375</f>
        <v>2375</v>
      </c>
      <c r="X2226" s="304"/>
      <c r="Y2226" s="305">
        <f t="shared" si="848"/>
        <v>0</v>
      </c>
      <c r="Z2226" s="306">
        <f t="shared" si="839"/>
        <v>0</v>
      </c>
      <c r="AA2226" s="306">
        <f t="shared" si="826"/>
        <v>0</v>
      </c>
      <c r="AB2226" s="814">
        <v>7.4999999999999997E-3</v>
      </c>
      <c r="AC2226" s="303">
        <f t="shared" si="849"/>
        <v>0</v>
      </c>
      <c r="AD2226" s="573" t="s">
        <v>2017</v>
      </c>
      <c r="AE2226" s="210">
        <f t="shared" si="840"/>
        <v>0</v>
      </c>
      <c r="AF2226" s="210">
        <f t="shared" si="850"/>
        <v>0</v>
      </c>
      <c r="AG2226" s="211">
        <f t="shared" si="841"/>
        <v>0.13</v>
      </c>
      <c r="AH2226" s="157">
        <f t="shared" si="851"/>
        <v>0</v>
      </c>
      <c r="AI2226" s="152">
        <f t="shared" si="842"/>
        <v>57000</v>
      </c>
      <c r="AK2226" s="156" t="s">
        <v>691</v>
      </c>
      <c r="AL2226" s="574" t="s">
        <v>690</v>
      </c>
      <c r="AM2226" s="198">
        <f t="shared" si="852"/>
        <v>0</v>
      </c>
      <c r="AN2226" s="199">
        <f t="shared" si="818"/>
        <v>45787</v>
      </c>
      <c r="AO2226" s="159" t="s">
        <v>692</v>
      </c>
      <c r="AP2226" s="783" t="s">
        <v>629</v>
      </c>
      <c r="AQ2226" s="782">
        <v>12071839</v>
      </c>
      <c r="AR2226" s="782">
        <v>12078867</v>
      </c>
      <c r="AS2226" s="782">
        <v>12068233</v>
      </c>
      <c r="AT2226" s="781"/>
      <c r="AU2226" s="781"/>
      <c r="AV2226" s="782">
        <v>12062075</v>
      </c>
      <c r="AW2226" s="781"/>
      <c r="AX2226" s="781"/>
      <c r="AY2226" s="782">
        <v>12086617</v>
      </c>
      <c r="AZ2226" s="781"/>
      <c r="BA2226" s="781"/>
      <c r="BB2226" s="209">
        <v>23053185</v>
      </c>
    </row>
    <row r="2227" spans="1:54" ht="25" hidden="1" customHeight="1">
      <c r="A2227" s="142" t="s">
        <v>598</v>
      </c>
      <c r="B2227" s="498">
        <v>45787</v>
      </c>
      <c r="C2227" s="499">
        <v>45793</v>
      </c>
      <c r="D2227" s="185">
        <f t="shared" si="824"/>
        <v>2025</v>
      </c>
      <c r="E2227" s="499" t="e">
        <f>VLOOKUP($B2227,Week!$A$1:$C$1462,2,0)</f>
        <v>#N/A</v>
      </c>
      <c r="F2227" s="500" t="str">
        <f t="shared" si="825"/>
        <v>May</v>
      </c>
      <c r="G2227" s="501" t="s">
        <v>2172</v>
      </c>
      <c r="H2227" s="501" t="s">
        <v>311</v>
      </c>
      <c r="I2227" s="501" t="s">
        <v>2772</v>
      </c>
      <c r="J2227" s="502" t="s">
        <v>738</v>
      </c>
      <c r="K2227" s="503" t="s">
        <v>1646</v>
      </c>
      <c r="L2227" s="300" t="s">
        <v>2167</v>
      </c>
      <c r="M2227" s="502" t="s">
        <v>654</v>
      </c>
      <c r="N2227" s="501" t="s">
        <v>726</v>
      </c>
      <c r="O2227" s="501" t="s">
        <v>655</v>
      </c>
      <c r="P2227" s="504">
        <v>24</v>
      </c>
      <c r="Q2227" s="504">
        <v>5</v>
      </c>
      <c r="R2227" s="505">
        <v>7.4999999999999997E-3</v>
      </c>
      <c r="S2227" s="501" t="s">
        <v>40</v>
      </c>
      <c r="T2227" s="501" t="s">
        <v>112</v>
      </c>
      <c r="U2227" s="506" t="s">
        <v>1894</v>
      </c>
      <c r="V2227" s="507">
        <f>924-907</f>
        <v>17</v>
      </c>
      <c r="W2227" s="507">
        <v>17</v>
      </c>
      <c r="X2227" s="508"/>
      <c r="Y2227" s="509">
        <f t="shared" si="848"/>
        <v>0</v>
      </c>
      <c r="Z2227" s="510">
        <f t="shared" si="839"/>
        <v>0</v>
      </c>
      <c r="AA2227" s="510">
        <f t="shared" si="826"/>
        <v>0</v>
      </c>
      <c r="AB2227" s="830">
        <v>3.8699999999999998E-2</v>
      </c>
      <c r="AC2227" s="507">
        <f t="shared" si="849"/>
        <v>0</v>
      </c>
      <c r="AD2227" s="209"/>
      <c r="AE2227" s="210">
        <f t="shared" si="840"/>
        <v>0</v>
      </c>
      <c r="AF2227" s="210">
        <f t="shared" si="850"/>
        <v>0</v>
      </c>
      <c r="AG2227" s="211">
        <f t="shared" si="841"/>
        <v>0.307</v>
      </c>
      <c r="AH2227" s="157">
        <f t="shared" si="851"/>
        <v>0</v>
      </c>
      <c r="AI2227" s="152">
        <f t="shared" si="842"/>
        <v>408</v>
      </c>
      <c r="AK2227" s="156" t="s">
        <v>691</v>
      </c>
      <c r="AL2227" s="212" t="s">
        <v>690</v>
      </c>
      <c r="AM2227" s="198">
        <f t="shared" si="852"/>
        <v>0</v>
      </c>
      <c r="AN2227" s="199">
        <f t="shared" si="818"/>
        <v>45787</v>
      </c>
      <c r="AO2227" s="159" t="s">
        <v>692</v>
      </c>
      <c r="AP2227" s="781" t="s">
        <v>642</v>
      </c>
      <c r="AQ2227" s="782">
        <v>12063755</v>
      </c>
      <c r="AR2227" s="782">
        <v>12061353</v>
      </c>
      <c r="AS2227" s="782">
        <v>12061354</v>
      </c>
      <c r="AT2227" s="782">
        <v>12089274</v>
      </c>
      <c r="AU2227" s="781"/>
      <c r="AV2227" s="782">
        <v>12089275</v>
      </c>
      <c r="AW2227" s="782">
        <v>12068154</v>
      </c>
      <c r="AX2227" s="782"/>
      <c r="AY2227" s="782">
        <v>12089276</v>
      </c>
      <c r="AZ2227" s="782"/>
      <c r="BA2227" s="781"/>
      <c r="BB2227" s="209">
        <v>23105470</v>
      </c>
    </row>
    <row r="2228" spans="1:54" ht="25" hidden="1" customHeight="1">
      <c r="B2228" s="498">
        <v>45787</v>
      </c>
      <c r="C2228" s="499">
        <v>45806</v>
      </c>
      <c r="D2228" s="185">
        <f t="shared" si="824"/>
        <v>2025</v>
      </c>
      <c r="E2228" s="499" t="e">
        <f>VLOOKUP($B2228,Week!$A$1:$C$1462,2,0)</f>
        <v>#N/A</v>
      </c>
      <c r="F2228" s="500" t="str">
        <f t="shared" si="825"/>
        <v>May</v>
      </c>
      <c r="G2228" s="501" t="s">
        <v>2173</v>
      </c>
      <c r="H2228" s="501" t="s">
        <v>311</v>
      </c>
      <c r="I2228" s="501" t="s">
        <v>2772</v>
      </c>
      <c r="J2228" s="502" t="s">
        <v>738</v>
      </c>
      <c r="K2228" s="503" t="s">
        <v>1646</v>
      </c>
      <c r="L2228" s="300" t="s">
        <v>2167</v>
      </c>
      <c r="M2228" s="502" t="s">
        <v>654</v>
      </c>
      <c r="N2228" s="501" t="s">
        <v>726</v>
      </c>
      <c r="O2228" s="501" t="s">
        <v>655</v>
      </c>
      <c r="P2228" s="504">
        <v>24</v>
      </c>
      <c r="Q2228" s="504">
        <v>5</v>
      </c>
      <c r="R2228" s="505">
        <v>7.4999999999999997E-3</v>
      </c>
      <c r="S2228" s="501" t="s">
        <v>40</v>
      </c>
      <c r="T2228" s="501" t="s">
        <v>112</v>
      </c>
      <c r="U2228" s="506" t="s">
        <v>1894</v>
      </c>
      <c r="V2228" s="507">
        <v>924</v>
      </c>
      <c r="W2228" s="507">
        <v>924</v>
      </c>
      <c r="X2228" s="508"/>
      <c r="Y2228" s="509">
        <f t="shared" si="848"/>
        <v>0</v>
      </c>
      <c r="Z2228" s="510">
        <f t="shared" si="839"/>
        <v>0</v>
      </c>
      <c r="AA2228" s="510">
        <f t="shared" si="826"/>
        <v>0</v>
      </c>
      <c r="AB2228" s="830">
        <v>3.8699999999999998E-2</v>
      </c>
      <c r="AC2228" s="507">
        <f t="shared" si="849"/>
        <v>0</v>
      </c>
      <c r="AD2228" s="209"/>
      <c r="AE2228" s="210">
        <f t="shared" si="840"/>
        <v>0</v>
      </c>
      <c r="AF2228" s="210">
        <f t="shared" si="850"/>
        <v>0</v>
      </c>
      <c r="AG2228" s="211">
        <f t="shared" si="841"/>
        <v>0.307</v>
      </c>
      <c r="AH2228" s="157">
        <f t="shared" si="851"/>
        <v>0</v>
      </c>
      <c r="AI2228" s="152">
        <f t="shared" si="842"/>
        <v>22176</v>
      </c>
      <c r="AK2228" s="156" t="s">
        <v>691</v>
      </c>
      <c r="AL2228" s="212" t="s">
        <v>690</v>
      </c>
      <c r="AM2228" s="198">
        <f t="shared" si="852"/>
        <v>0</v>
      </c>
      <c r="AN2228" s="199">
        <f t="shared" si="818"/>
        <v>45787</v>
      </c>
      <c r="AO2228" s="159" t="s">
        <v>692</v>
      </c>
      <c r="AP2228" s="781" t="s">
        <v>642</v>
      </c>
      <c r="AQ2228" s="782">
        <v>12063755</v>
      </c>
      <c r="AR2228" s="782">
        <v>12061353</v>
      </c>
      <c r="AS2228" s="782">
        <v>12061354</v>
      </c>
      <c r="AT2228" s="782">
        <v>12089274</v>
      </c>
      <c r="AU2228" s="781"/>
      <c r="AV2228" s="782">
        <v>12089275</v>
      </c>
      <c r="AW2228" s="782">
        <v>12068154</v>
      </c>
      <c r="AX2228" s="782"/>
      <c r="AY2228" s="782">
        <v>12089276</v>
      </c>
      <c r="AZ2228" s="782"/>
      <c r="BA2228" s="781"/>
      <c r="BB2228" s="209">
        <v>23105470</v>
      </c>
    </row>
    <row r="2229" spans="1:54" ht="25" hidden="1" customHeight="1">
      <c r="B2229" s="498">
        <v>45787</v>
      </c>
      <c r="C2229" s="499">
        <v>45813</v>
      </c>
      <c r="D2229" s="185">
        <f t="shared" si="824"/>
        <v>2025</v>
      </c>
      <c r="E2229" s="499" t="e">
        <f>VLOOKUP($B2229,Week!$A$1:$C$1462,2,0)</f>
        <v>#N/A</v>
      </c>
      <c r="F2229" s="500" t="str">
        <f t="shared" si="825"/>
        <v>May</v>
      </c>
      <c r="G2229" s="501" t="s">
        <v>2209</v>
      </c>
      <c r="H2229" s="501" t="s">
        <v>311</v>
      </c>
      <c r="I2229" s="501" t="s">
        <v>2772</v>
      </c>
      <c r="J2229" s="502" t="s">
        <v>738</v>
      </c>
      <c r="K2229" s="503" t="s">
        <v>1646</v>
      </c>
      <c r="L2229" s="300" t="s">
        <v>2167</v>
      </c>
      <c r="M2229" s="502" t="s">
        <v>654</v>
      </c>
      <c r="N2229" s="501" t="s">
        <v>726</v>
      </c>
      <c r="O2229" s="501" t="s">
        <v>655</v>
      </c>
      <c r="P2229" s="504">
        <v>24</v>
      </c>
      <c r="Q2229" s="504">
        <v>5</v>
      </c>
      <c r="R2229" s="505">
        <v>7.4999999999999997E-3</v>
      </c>
      <c r="S2229" s="501" t="s">
        <v>40</v>
      </c>
      <c r="T2229" s="501" t="s">
        <v>112</v>
      </c>
      <c r="U2229" s="506" t="s">
        <v>1894</v>
      </c>
      <c r="V2229" s="507">
        <v>924</v>
      </c>
      <c r="W2229" s="507">
        <f>1516-924</f>
        <v>592</v>
      </c>
      <c r="X2229" s="508">
        <f>(7968)/24</f>
        <v>332</v>
      </c>
      <c r="Y2229" s="509">
        <f t="shared" si="848"/>
        <v>0</v>
      </c>
      <c r="Z2229" s="510">
        <f t="shared" si="839"/>
        <v>0</v>
      </c>
      <c r="AA2229" s="510">
        <f t="shared" si="826"/>
        <v>0</v>
      </c>
      <c r="AB2229" s="830">
        <v>3.8699999999999998E-2</v>
      </c>
      <c r="AC2229" s="507">
        <f t="shared" si="849"/>
        <v>0</v>
      </c>
      <c r="AD2229" s="209"/>
      <c r="AE2229" s="210">
        <f t="shared" si="840"/>
        <v>0</v>
      </c>
      <c r="AF2229" s="210">
        <f t="shared" si="850"/>
        <v>0</v>
      </c>
      <c r="AG2229" s="211">
        <f t="shared" si="841"/>
        <v>0.307</v>
      </c>
      <c r="AH2229" s="157">
        <f t="shared" si="851"/>
        <v>0</v>
      </c>
      <c r="AI2229" s="152">
        <f t="shared" si="842"/>
        <v>22176</v>
      </c>
      <c r="AK2229" s="156" t="s">
        <v>691</v>
      </c>
      <c r="AL2229" s="212" t="s">
        <v>690</v>
      </c>
      <c r="AM2229" s="198">
        <f t="shared" si="852"/>
        <v>0</v>
      </c>
      <c r="AN2229" s="199">
        <f t="shared" si="818"/>
        <v>45787</v>
      </c>
      <c r="AO2229" s="159" t="s">
        <v>692</v>
      </c>
      <c r="AP2229" s="781" t="s">
        <v>642</v>
      </c>
      <c r="AQ2229" s="782">
        <v>12063755</v>
      </c>
      <c r="AR2229" s="782">
        <v>12061353</v>
      </c>
      <c r="AS2229" s="782">
        <v>12061354</v>
      </c>
      <c r="AT2229" s="782">
        <v>12089274</v>
      </c>
      <c r="AU2229" s="781"/>
      <c r="AV2229" s="782">
        <v>12089275</v>
      </c>
      <c r="AW2229" s="782">
        <v>12068154</v>
      </c>
      <c r="AX2229" s="782"/>
      <c r="AY2229" s="782">
        <v>12089276</v>
      </c>
      <c r="AZ2229" s="782"/>
      <c r="BA2229" s="781"/>
      <c r="BB2229" s="209">
        <v>23105470</v>
      </c>
    </row>
    <row r="2230" spans="1:54" ht="25" hidden="1" customHeight="1">
      <c r="B2230" s="183">
        <v>45788</v>
      </c>
      <c r="C2230" s="184"/>
      <c r="D2230" s="185">
        <f t="shared" si="824"/>
        <v>2025</v>
      </c>
      <c r="E2230" s="185" t="e">
        <f>VLOOKUP($B2230,Week!$A$1:$C$1462,2,0)</f>
        <v>#N/A</v>
      </c>
      <c r="F2230" s="186" t="str">
        <f t="shared" si="825"/>
        <v>May</v>
      </c>
      <c r="G2230" s="481"/>
      <c r="H2230" s="185"/>
      <c r="I2230" s="185"/>
      <c r="J2230" s="187"/>
      <c r="K2230" s="188"/>
      <c r="L2230" s="300"/>
      <c r="M2230" s="187"/>
      <c r="N2230" s="185"/>
      <c r="O2230" s="185"/>
      <c r="P2230" s="189"/>
      <c r="Q2230" s="189"/>
      <c r="R2230" s="190"/>
      <c r="S2230" s="185"/>
      <c r="T2230" s="185"/>
      <c r="U2230" s="185"/>
      <c r="V2230" s="191"/>
      <c r="W2230" s="191"/>
      <c r="X2230" s="192"/>
      <c r="Y2230" s="193"/>
      <c r="Z2230" s="194"/>
      <c r="AA2230" s="194">
        <f t="shared" si="826"/>
        <v>0</v>
      </c>
      <c r="AB2230" s="805"/>
      <c r="AC2230" s="191">
        <f t="shared" si="849"/>
        <v>0</v>
      </c>
      <c r="AD2230" s="187"/>
      <c r="AE2230" s="195"/>
      <c r="AF2230" s="195"/>
      <c r="AG2230" s="196"/>
      <c r="AH2230" s="197"/>
      <c r="AK2230" s="156" t="s">
        <v>691</v>
      </c>
      <c r="AM2230" s="198">
        <f t="shared" si="852"/>
        <v>0</v>
      </c>
      <c r="AN2230" s="199">
        <f t="shared" si="818"/>
        <v>45788</v>
      </c>
      <c r="AO2230" s="159" t="s">
        <v>692</v>
      </c>
      <c r="AP2230" s="783"/>
      <c r="AQ2230" s="782"/>
      <c r="AR2230" s="782"/>
      <c r="AS2230" s="782"/>
      <c r="AT2230" s="782"/>
      <c r="AU2230" s="781"/>
      <c r="AV2230" s="782"/>
      <c r="AW2230" s="782"/>
      <c r="AX2230" s="782"/>
      <c r="AY2230" s="782"/>
      <c r="AZ2230" s="782"/>
      <c r="BA2230" s="781"/>
      <c r="BB2230" s="209"/>
    </row>
    <row r="2231" spans="1:54" ht="25" hidden="1" customHeight="1">
      <c r="B2231" s="183">
        <v>45789</v>
      </c>
      <c r="C2231" s="184"/>
      <c r="D2231" s="185">
        <f t="shared" si="824"/>
        <v>2025</v>
      </c>
      <c r="E2231" s="185" t="e">
        <f>VLOOKUP($B2231,Week!$A$1:$C$1462,2,0)</f>
        <v>#N/A</v>
      </c>
      <c r="F2231" s="186" t="str">
        <f t="shared" si="825"/>
        <v>May</v>
      </c>
      <c r="G2231" s="481"/>
      <c r="H2231" s="185"/>
      <c r="I2231" s="185"/>
      <c r="J2231" s="187"/>
      <c r="K2231" s="188"/>
      <c r="L2231" s="300"/>
      <c r="M2231" s="187"/>
      <c r="N2231" s="185"/>
      <c r="O2231" s="185"/>
      <c r="P2231" s="189"/>
      <c r="Q2231" s="189"/>
      <c r="R2231" s="190"/>
      <c r="S2231" s="185"/>
      <c r="T2231" s="185"/>
      <c r="U2231" s="185"/>
      <c r="V2231" s="191"/>
      <c r="W2231" s="191"/>
      <c r="X2231" s="192"/>
      <c r="Y2231" s="193"/>
      <c r="Z2231" s="194"/>
      <c r="AA2231" s="194">
        <f t="shared" si="826"/>
        <v>0</v>
      </c>
      <c r="AB2231" s="805"/>
      <c r="AC2231" s="191">
        <f t="shared" si="849"/>
        <v>0</v>
      </c>
      <c r="AD2231" s="187"/>
      <c r="AE2231" s="195"/>
      <c r="AF2231" s="195"/>
      <c r="AG2231" s="196"/>
      <c r="AH2231" s="197"/>
      <c r="AK2231" s="156" t="s">
        <v>691</v>
      </c>
      <c r="AM2231" s="198">
        <f t="shared" si="852"/>
        <v>0</v>
      </c>
      <c r="AN2231" s="199">
        <f t="shared" si="818"/>
        <v>45789</v>
      </c>
      <c r="AO2231" s="159" t="s">
        <v>692</v>
      </c>
      <c r="AP2231" s="781"/>
      <c r="AQ2231" s="782"/>
      <c r="AR2231" s="782"/>
      <c r="AS2231" s="782"/>
      <c r="AT2231" s="782"/>
      <c r="AU2231" s="781"/>
      <c r="AV2231" s="782"/>
      <c r="AW2231" s="782"/>
      <c r="AX2231" s="782"/>
      <c r="AY2231" s="782"/>
      <c r="AZ2231" s="782"/>
      <c r="BA2231" s="781"/>
      <c r="BB2231" s="209"/>
    </row>
    <row r="2232" spans="1:54" ht="25" hidden="1" customHeight="1">
      <c r="A2232" s="142" t="s">
        <v>120</v>
      </c>
      <c r="B2232" s="271">
        <v>45790</v>
      </c>
      <c r="C2232" s="272">
        <v>45796</v>
      </c>
      <c r="D2232" s="185">
        <f t="shared" si="824"/>
        <v>2025</v>
      </c>
      <c r="E2232" s="272" t="e">
        <f>VLOOKUP($B2232,Week!$A$1:$C$1462,2,0)</f>
        <v>#N/A</v>
      </c>
      <c r="F2232" s="273" t="str">
        <f t="shared" si="825"/>
        <v>May</v>
      </c>
      <c r="G2232" s="274" t="s">
        <v>2031</v>
      </c>
      <c r="H2232" s="274" t="s">
        <v>500</v>
      </c>
      <c r="I2232" s="274" t="s">
        <v>2772</v>
      </c>
      <c r="J2232" s="275" t="s">
        <v>285</v>
      </c>
      <c r="K2232" s="276" t="s">
        <v>153</v>
      </c>
      <c r="L2232" s="390" t="s">
        <v>2166</v>
      </c>
      <c r="M2232" s="275" t="s">
        <v>86</v>
      </c>
      <c r="N2232" s="274" t="s">
        <v>547</v>
      </c>
      <c r="O2232" s="274" t="s">
        <v>548</v>
      </c>
      <c r="P2232" s="277">
        <v>10</v>
      </c>
      <c r="Q2232" s="277">
        <v>50</v>
      </c>
      <c r="R2232" s="278">
        <v>6.8100000000000001E-3</v>
      </c>
      <c r="S2232" s="274" t="s">
        <v>76</v>
      </c>
      <c r="T2232" s="274" t="s">
        <v>56</v>
      </c>
      <c r="U2232" s="274" t="s">
        <v>89</v>
      </c>
      <c r="V2232" s="279">
        <v>628</v>
      </c>
      <c r="W2232" s="279">
        <f>628</f>
        <v>628</v>
      </c>
      <c r="X2232" s="280"/>
      <c r="Y2232" s="281">
        <f t="shared" ref="Y2232:Y2238" si="853">(W2232+X2232)-V2232</f>
        <v>0</v>
      </c>
      <c r="Z2232" s="282">
        <f t="shared" ref="Z2232:Z2247" si="854">IF(Y2232&lt;0,((V2232*P2232)-((W2232+X2232)*P2232)),0)</f>
        <v>0</v>
      </c>
      <c r="AA2232" s="282">
        <f t="shared" si="826"/>
        <v>0</v>
      </c>
      <c r="AB2232" s="812">
        <v>6</v>
      </c>
      <c r="AC2232" s="279">
        <f t="shared" si="849"/>
        <v>0</v>
      </c>
      <c r="AD2232" s="209"/>
      <c r="AE2232" s="210">
        <f>SUM(Q2232*R2232*Z2232)/1000</f>
        <v>0</v>
      </c>
      <c r="AF2232" s="210">
        <f>AE2232/0.54</f>
        <v>0</v>
      </c>
      <c r="AG2232" s="211">
        <f t="shared" ref="AG2232:AG2247" si="855">MID(O2232,1,3)/1000</f>
        <v>0.63</v>
      </c>
      <c r="AH2232" s="157">
        <f>(Z2232*AG2232)/1000</f>
        <v>0</v>
      </c>
      <c r="AI2232" s="152">
        <f>V2232*P2232</f>
        <v>6280</v>
      </c>
      <c r="AK2232" s="156" t="s">
        <v>691</v>
      </c>
      <c r="AL2232" s="156" t="s">
        <v>689</v>
      </c>
      <c r="AM2232" s="198">
        <f t="shared" si="852"/>
        <v>0</v>
      </c>
      <c r="AN2232" s="199">
        <f t="shared" si="818"/>
        <v>45790</v>
      </c>
      <c r="AO2232" s="159" t="s">
        <v>692</v>
      </c>
      <c r="AP2232" s="783" t="s">
        <v>620</v>
      </c>
      <c r="AQ2232" s="796" t="s">
        <v>422</v>
      </c>
      <c r="AR2232" s="782">
        <v>12055234</v>
      </c>
      <c r="AS2232" s="781"/>
      <c r="AT2232" s="782"/>
      <c r="AU2232" s="782"/>
      <c r="AV2232" s="782">
        <v>12062809</v>
      </c>
      <c r="AW2232" s="782"/>
      <c r="AX2232" s="782" t="s">
        <v>619</v>
      </c>
      <c r="AY2232" s="781"/>
      <c r="AZ2232" s="781"/>
      <c r="BA2232" s="781"/>
      <c r="BB2232" s="209">
        <v>23053184</v>
      </c>
    </row>
    <row r="2233" spans="1:54" ht="25" hidden="1" customHeight="1">
      <c r="B2233" s="258">
        <v>45790</v>
      </c>
      <c r="C2233" s="259">
        <v>45803</v>
      </c>
      <c r="D2233" s="185">
        <f t="shared" si="824"/>
        <v>2025</v>
      </c>
      <c r="E2233" s="260" t="e">
        <f>VLOOKUP($B2233,Week!$A$1:$C$1462,2,0)</f>
        <v>#N/A</v>
      </c>
      <c r="F2233" s="261" t="str">
        <f t="shared" si="825"/>
        <v>May</v>
      </c>
      <c r="G2233" s="260" t="s">
        <v>47</v>
      </c>
      <c r="H2233" s="260" t="s">
        <v>554</v>
      </c>
      <c r="I2233" s="260" t="s">
        <v>554</v>
      </c>
      <c r="J2233" s="263" t="s">
        <v>555</v>
      </c>
      <c r="K2233" s="264" t="s">
        <v>72</v>
      </c>
      <c r="L2233" s="300" t="s">
        <v>2167</v>
      </c>
      <c r="M2233" s="263" t="s">
        <v>73</v>
      </c>
      <c r="N2233" s="260" t="s">
        <v>74</v>
      </c>
      <c r="O2233" s="260" t="s">
        <v>75</v>
      </c>
      <c r="P2233" s="265">
        <v>64</v>
      </c>
      <c r="Q2233" s="265">
        <v>5</v>
      </c>
      <c r="R2233" s="266">
        <v>7.0000000000000001E-3</v>
      </c>
      <c r="S2233" s="260" t="s">
        <v>76</v>
      </c>
      <c r="T2233" s="260" t="s">
        <v>56</v>
      </c>
      <c r="U2233" s="260"/>
      <c r="V2233" s="267">
        <f>100</f>
        <v>100</v>
      </c>
      <c r="W2233" s="267"/>
      <c r="X2233" s="268">
        <v>100</v>
      </c>
      <c r="Y2233" s="269">
        <f t="shared" si="853"/>
        <v>0</v>
      </c>
      <c r="Z2233" s="270">
        <f t="shared" si="854"/>
        <v>0</v>
      </c>
      <c r="AA2233" s="270">
        <f t="shared" si="826"/>
        <v>0</v>
      </c>
      <c r="AB2233" s="811"/>
      <c r="AC2233" s="267"/>
      <c r="AD2233" s="263"/>
      <c r="AE2233" s="461"/>
      <c r="AF2233" s="461"/>
      <c r="AG2233" s="211">
        <f t="shared" si="855"/>
        <v>0.02</v>
      </c>
      <c r="AK2233" s="156" t="s">
        <v>691</v>
      </c>
      <c r="AM2233" s="198">
        <f t="shared" si="852"/>
        <v>0</v>
      </c>
      <c r="AN2233" s="199">
        <f t="shared" si="818"/>
        <v>45790</v>
      </c>
      <c r="AO2233" s="159" t="s">
        <v>692</v>
      </c>
      <c r="AP2233" s="781"/>
      <c r="AQ2233" s="782"/>
      <c r="AR2233" s="782"/>
      <c r="AS2233" s="782"/>
      <c r="AT2233" s="782"/>
      <c r="AU2233" s="781"/>
      <c r="AV2233" s="782">
        <v>12054050</v>
      </c>
      <c r="AW2233" s="782"/>
      <c r="AX2233" s="782" t="s">
        <v>79</v>
      </c>
      <c r="AY2233" s="782">
        <v>12054140</v>
      </c>
      <c r="AZ2233" s="782"/>
      <c r="BA2233" s="781"/>
    </row>
    <row r="2234" spans="1:54" ht="25" hidden="1" customHeight="1">
      <c r="B2234" s="213">
        <v>45790</v>
      </c>
      <c r="C2234" s="578">
        <v>45798</v>
      </c>
      <c r="D2234" s="185">
        <f t="shared" si="824"/>
        <v>2025</v>
      </c>
      <c r="E2234" s="215" t="e">
        <f>VLOOKUP($B2234,Week!$A$1:$C$1462,2,0)</f>
        <v>#N/A</v>
      </c>
      <c r="F2234" s="216" t="str">
        <f t="shared" si="825"/>
        <v>May</v>
      </c>
      <c r="G2234" s="215" t="s">
        <v>2161</v>
      </c>
      <c r="H2234" s="215" t="s">
        <v>104</v>
      </c>
      <c r="I2234" s="215" t="s">
        <v>2772</v>
      </c>
      <c r="J2234" s="209" t="s">
        <v>105</v>
      </c>
      <c r="K2234" s="217" t="s">
        <v>107</v>
      </c>
      <c r="L2234" s="300" t="s">
        <v>2167</v>
      </c>
      <c r="M2234" s="209" t="s">
        <v>108</v>
      </c>
      <c r="N2234" s="215" t="s">
        <v>109</v>
      </c>
      <c r="O2234" s="215" t="s">
        <v>110</v>
      </c>
      <c r="P2234" s="218">
        <v>36</v>
      </c>
      <c r="Q2234" s="218">
        <v>5</v>
      </c>
      <c r="R2234" s="219">
        <v>7.4999999999999997E-3</v>
      </c>
      <c r="S2234" s="215" t="s">
        <v>111</v>
      </c>
      <c r="T2234" s="215" t="s">
        <v>112</v>
      </c>
      <c r="U2234" s="215" t="s">
        <v>113</v>
      </c>
      <c r="V2234" s="220">
        <f>792-335</f>
        <v>457</v>
      </c>
      <c r="W2234" s="220">
        <v>457</v>
      </c>
      <c r="X2234" s="221"/>
      <c r="Y2234" s="222">
        <f>(W2234+X2234)-V2234</f>
        <v>0</v>
      </c>
      <c r="Z2234" s="223">
        <f t="shared" si="854"/>
        <v>0</v>
      </c>
      <c r="AA2234" s="223">
        <f t="shared" si="826"/>
        <v>0</v>
      </c>
      <c r="AB2234" s="807">
        <v>9.7000000000000003E-3</v>
      </c>
      <c r="AC2234" s="220">
        <f t="shared" ref="AC2234:AC2265" si="856">Z2234*AB2234</f>
        <v>0</v>
      </c>
      <c r="AD2234" s="209"/>
      <c r="AE2234" s="210">
        <f t="shared" ref="AE2234:AE2247" si="857">SUM(Q2234*R2234*Z2234)/1000</f>
        <v>0</v>
      </c>
      <c r="AF2234" s="210">
        <f t="shared" ref="AF2234:AF2247" si="858">AE2234/0.54</f>
        <v>0</v>
      </c>
      <c r="AG2234" s="211">
        <f t="shared" si="855"/>
        <v>0.308</v>
      </c>
      <c r="AH2234" s="157">
        <f t="shared" ref="AH2234:AH2247" si="859">(Z2234*AG2234)/1000</f>
        <v>0</v>
      </c>
      <c r="AI2234" s="152">
        <f t="shared" ref="AI2234:AI2247" si="860">V2234*P2234</f>
        <v>16452</v>
      </c>
      <c r="AK2234" s="156" t="s">
        <v>691</v>
      </c>
      <c r="AL2234" s="574" t="s">
        <v>690</v>
      </c>
      <c r="AM2234" s="198">
        <f t="shared" si="852"/>
        <v>0</v>
      </c>
      <c r="AN2234" s="199">
        <f t="shared" si="818"/>
        <v>45790</v>
      </c>
      <c r="AO2234" s="159" t="s">
        <v>692</v>
      </c>
      <c r="AP2234" s="781"/>
      <c r="AQ2234" s="782">
        <v>12063755</v>
      </c>
      <c r="AR2234" s="782">
        <v>12061353</v>
      </c>
      <c r="AS2234" s="782">
        <v>12061354</v>
      </c>
      <c r="AT2234" s="782">
        <v>12068566</v>
      </c>
      <c r="AU2234" s="781"/>
      <c r="AV2234" s="782">
        <v>12088206</v>
      </c>
      <c r="AW2234" s="782">
        <v>12088207</v>
      </c>
      <c r="AX2234" s="782"/>
      <c r="AY2234" s="782">
        <v>12068565</v>
      </c>
      <c r="AZ2234" s="782"/>
      <c r="BA2234" s="781"/>
      <c r="BB2234" s="209">
        <v>23054743</v>
      </c>
    </row>
    <row r="2235" spans="1:54" ht="25" hidden="1" customHeight="1">
      <c r="B2235" s="213">
        <v>45790</v>
      </c>
      <c r="C2235" s="578">
        <v>45798</v>
      </c>
      <c r="D2235" s="185">
        <f t="shared" si="824"/>
        <v>2025</v>
      </c>
      <c r="E2235" s="215" t="e">
        <f>VLOOKUP($B2235,Week!$A$1:$C$1462,2,0)</f>
        <v>#N/A</v>
      </c>
      <c r="F2235" s="216" t="str">
        <f t="shared" si="825"/>
        <v>May</v>
      </c>
      <c r="G2235" s="215" t="s">
        <v>2311</v>
      </c>
      <c r="H2235" s="215" t="s">
        <v>104</v>
      </c>
      <c r="I2235" s="215" t="s">
        <v>2772</v>
      </c>
      <c r="J2235" s="209" t="s">
        <v>105</v>
      </c>
      <c r="K2235" s="217" t="s">
        <v>107</v>
      </c>
      <c r="L2235" s="300" t="s">
        <v>2167</v>
      </c>
      <c r="M2235" s="209" t="s">
        <v>108</v>
      </c>
      <c r="N2235" s="215" t="s">
        <v>109</v>
      </c>
      <c r="O2235" s="215" t="s">
        <v>110</v>
      </c>
      <c r="P2235" s="218">
        <v>36</v>
      </c>
      <c r="Q2235" s="218">
        <v>5</v>
      </c>
      <c r="R2235" s="219">
        <v>7.4999999999999997E-3</v>
      </c>
      <c r="S2235" s="215" t="s">
        <v>111</v>
      </c>
      <c r="T2235" s="215" t="s">
        <v>112</v>
      </c>
      <c r="U2235" s="215" t="s">
        <v>113</v>
      </c>
      <c r="V2235" s="220">
        <v>792</v>
      </c>
      <c r="W2235" s="220">
        <v>792</v>
      </c>
      <c r="X2235" s="221"/>
      <c r="Y2235" s="222">
        <f>(W2235+X2235)-V2235</f>
        <v>0</v>
      </c>
      <c r="Z2235" s="223">
        <f t="shared" si="854"/>
        <v>0</v>
      </c>
      <c r="AA2235" s="223">
        <f t="shared" si="826"/>
        <v>0</v>
      </c>
      <c r="AB2235" s="807">
        <v>9.7000000000000003E-3</v>
      </c>
      <c r="AC2235" s="220">
        <f t="shared" si="856"/>
        <v>0</v>
      </c>
      <c r="AD2235" s="209"/>
      <c r="AE2235" s="210">
        <f t="shared" si="857"/>
        <v>0</v>
      </c>
      <c r="AF2235" s="210">
        <f t="shared" si="858"/>
        <v>0</v>
      </c>
      <c r="AG2235" s="211">
        <f t="shared" si="855"/>
        <v>0.308</v>
      </c>
      <c r="AH2235" s="157">
        <f t="shared" si="859"/>
        <v>0</v>
      </c>
      <c r="AI2235" s="152">
        <f t="shared" si="860"/>
        <v>28512</v>
      </c>
      <c r="AK2235" s="156" t="s">
        <v>691</v>
      </c>
      <c r="AL2235" s="574" t="s">
        <v>690</v>
      </c>
      <c r="AM2235" s="198">
        <f t="shared" si="852"/>
        <v>0</v>
      </c>
      <c r="AN2235" s="199">
        <f t="shared" si="818"/>
        <v>45790</v>
      </c>
      <c r="AO2235" s="159" t="s">
        <v>692</v>
      </c>
      <c r="AP2235" s="781"/>
      <c r="AQ2235" s="782">
        <v>12063755</v>
      </c>
      <c r="AR2235" s="782">
        <v>12061353</v>
      </c>
      <c r="AS2235" s="782">
        <v>12061354</v>
      </c>
      <c r="AT2235" s="782">
        <v>12068566</v>
      </c>
      <c r="AU2235" s="781"/>
      <c r="AV2235" s="782">
        <v>12088206</v>
      </c>
      <c r="AW2235" s="782">
        <v>12088207</v>
      </c>
      <c r="AX2235" s="782"/>
      <c r="AY2235" s="782">
        <v>12068565</v>
      </c>
      <c r="AZ2235" s="782"/>
      <c r="BA2235" s="781"/>
      <c r="BB2235" s="209">
        <v>23054743</v>
      </c>
    </row>
    <row r="2236" spans="1:54" ht="25" hidden="1" customHeight="1">
      <c r="B2236" s="213">
        <v>45790</v>
      </c>
      <c r="C2236" s="578">
        <v>45798</v>
      </c>
      <c r="D2236" s="185">
        <f t="shared" si="824"/>
        <v>2025</v>
      </c>
      <c r="E2236" s="215" t="e">
        <f>VLOOKUP($B2236,Week!$A$1:$C$1462,2,0)</f>
        <v>#N/A</v>
      </c>
      <c r="F2236" s="216" t="str">
        <f t="shared" si="825"/>
        <v>May</v>
      </c>
      <c r="G2236" s="215" t="s">
        <v>2308</v>
      </c>
      <c r="H2236" s="215" t="s">
        <v>104</v>
      </c>
      <c r="I2236" s="215" t="s">
        <v>2772</v>
      </c>
      <c r="J2236" s="209" t="s">
        <v>105</v>
      </c>
      <c r="K2236" s="217" t="s">
        <v>107</v>
      </c>
      <c r="L2236" s="300" t="s">
        <v>2167</v>
      </c>
      <c r="M2236" s="209" t="s">
        <v>108</v>
      </c>
      <c r="N2236" s="215" t="s">
        <v>109</v>
      </c>
      <c r="O2236" s="215" t="s">
        <v>110</v>
      </c>
      <c r="P2236" s="218">
        <v>36</v>
      </c>
      <c r="Q2236" s="218">
        <v>5</v>
      </c>
      <c r="R2236" s="219">
        <v>7.4999999999999997E-3</v>
      </c>
      <c r="S2236" s="215" t="s">
        <v>111</v>
      </c>
      <c r="T2236" s="215" t="s">
        <v>112</v>
      </c>
      <c r="U2236" s="215" t="s">
        <v>113</v>
      </c>
      <c r="V2236" s="220">
        <v>714</v>
      </c>
      <c r="W2236" s="220">
        <f>1963-457-792</f>
        <v>714</v>
      </c>
      <c r="X2236" s="221"/>
      <c r="Y2236" s="222">
        <f t="shared" si="853"/>
        <v>0</v>
      </c>
      <c r="Z2236" s="223">
        <f t="shared" si="854"/>
        <v>0</v>
      </c>
      <c r="AA2236" s="223">
        <f t="shared" si="826"/>
        <v>0</v>
      </c>
      <c r="AB2236" s="807">
        <v>9.7000000000000003E-3</v>
      </c>
      <c r="AC2236" s="220">
        <f t="shared" si="856"/>
        <v>0</v>
      </c>
      <c r="AD2236" s="209"/>
      <c r="AE2236" s="210">
        <f t="shared" si="857"/>
        <v>0</v>
      </c>
      <c r="AF2236" s="210">
        <f t="shared" si="858"/>
        <v>0</v>
      </c>
      <c r="AG2236" s="211">
        <f t="shared" si="855"/>
        <v>0.308</v>
      </c>
      <c r="AH2236" s="157">
        <f t="shared" si="859"/>
        <v>0</v>
      </c>
      <c r="AI2236" s="152">
        <f t="shared" si="860"/>
        <v>25704</v>
      </c>
      <c r="AK2236" s="156" t="s">
        <v>691</v>
      </c>
      <c r="AL2236" s="574" t="s">
        <v>690</v>
      </c>
      <c r="AM2236" s="198">
        <f t="shared" si="852"/>
        <v>0</v>
      </c>
      <c r="AN2236" s="199">
        <f t="shared" si="818"/>
        <v>45790</v>
      </c>
      <c r="AO2236" s="159" t="s">
        <v>692</v>
      </c>
      <c r="AP2236" s="781"/>
      <c r="AQ2236" s="782">
        <v>12063755</v>
      </c>
      <c r="AR2236" s="782">
        <v>12061353</v>
      </c>
      <c r="AS2236" s="782">
        <v>12061354</v>
      </c>
      <c r="AT2236" s="782">
        <v>12068566</v>
      </c>
      <c r="AU2236" s="781"/>
      <c r="AV2236" s="782">
        <v>12088206</v>
      </c>
      <c r="AW2236" s="782">
        <v>12088207</v>
      </c>
      <c r="AX2236" s="782"/>
      <c r="AY2236" s="782">
        <v>12068565</v>
      </c>
      <c r="AZ2236" s="782"/>
      <c r="BA2236" s="781"/>
      <c r="BB2236" s="209">
        <v>23054743</v>
      </c>
    </row>
    <row r="2237" spans="1:54" ht="25" hidden="1" customHeight="1">
      <c r="A2237" s="142" t="s">
        <v>120</v>
      </c>
      <c r="B2237" s="271">
        <v>45791</v>
      </c>
      <c r="C2237" s="272">
        <v>45796</v>
      </c>
      <c r="D2237" s="185">
        <f t="shared" si="824"/>
        <v>2025</v>
      </c>
      <c r="E2237" s="272" t="e">
        <f>VLOOKUP($B2237,Week!$A$1:$C$1462,2,0)</f>
        <v>#N/A</v>
      </c>
      <c r="F2237" s="273" t="str">
        <f t="shared" si="825"/>
        <v>May</v>
      </c>
      <c r="G2237" s="274" t="s">
        <v>2031</v>
      </c>
      <c r="H2237" s="274" t="s">
        <v>500</v>
      </c>
      <c r="I2237" s="274" t="s">
        <v>2772</v>
      </c>
      <c r="J2237" s="275" t="s">
        <v>285</v>
      </c>
      <c r="K2237" s="276" t="s">
        <v>153</v>
      </c>
      <c r="L2237" s="390" t="s">
        <v>2166</v>
      </c>
      <c r="M2237" s="275" t="s">
        <v>86</v>
      </c>
      <c r="N2237" s="274" t="s">
        <v>547</v>
      </c>
      <c r="O2237" s="274" t="s">
        <v>548</v>
      </c>
      <c r="P2237" s="277">
        <v>10</v>
      </c>
      <c r="Q2237" s="277">
        <v>50</v>
      </c>
      <c r="R2237" s="278">
        <v>6.8100000000000001E-3</v>
      </c>
      <c r="S2237" s="274" t="s">
        <v>76</v>
      </c>
      <c r="T2237" s="274" t="s">
        <v>56</v>
      </c>
      <c r="U2237" s="274" t="s">
        <v>89</v>
      </c>
      <c r="V2237" s="279">
        <f>2056-819-628</f>
        <v>609</v>
      </c>
      <c r="W2237" s="279">
        <v>609</v>
      </c>
      <c r="X2237" s="280"/>
      <c r="Y2237" s="281">
        <f t="shared" si="853"/>
        <v>0</v>
      </c>
      <c r="Z2237" s="282">
        <f t="shared" si="854"/>
        <v>0</v>
      </c>
      <c r="AA2237" s="282">
        <f t="shared" si="826"/>
        <v>0</v>
      </c>
      <c r="AB2237" s="812">
        <v>6</v>
      </c>
      <c r="AC2237" s="279">
        <f t="shared" si="856"/>
        <v>0</v>
      </c>
      <c r="AD2237" s="209"/>
      <c r="AE2237" s="210">
        <f t="shared" si="857"/>
        <v>0</v>
      </c>
      <c r="AF2237" s="210">
        <f t="shared" si="858"/>
        <v>0</v>
      </c>
      <c r="AG2237" s="211">
        <f t="shared" si="855"/>
        <v>0.63</v>
      </c>
      <c r="AH2237" s="157">
        <f t="shared" si="859"/>
        <v>0</v>
      </c>
      <c r="AI2237" s="152">
        <f t="shared" si="860"/>
        <v>6090</v>
      </c>
      <c r="AK2237" s="156" t="s">
        <v>691</v>
      </c>
      <c r="AL2237" s="156" t="s">
        <v>689</v>
      </c>
      <c r="AM2237" s="198">
        <f t="shared" si="852"/>
        <v>0</v>
      </c>
      <c r="AN2237" s="199">
        <f t="shared" si="818"/>
        <v>45791</v>
      </c>
      <c r="AO2237" s="159" t="s">
        <v>692</v>
      </c>
      <c r="AP2237" s="783" t="s">
        <v>620</v>
      </c>
      <c r="AQ2237" s="796" t="s">
        <v>422</v>
      </c>
      <c r="AR2237" s="782">
        <v>12055234</v>
      </c>
      <c r="AS2237" s="781"/>
      <c r="AT2237" s="782"/>
      <c r="AU2237" s="782"/>
      <c r="AV2237" s="782">
        <v>12062809</v>
      </c>
      <c r="AW2237" s="782"/>
      <c r="AX2237" s="782" t="s">
        <v>619</v>
      </c>
      <c r="AY2237" s="781"/>
      <c r="AZ2237" s="781"/>
      <c r="BA2237" s="781"/>
      <c r="BB2237" s="209">
        <v>23053184</v>
      </c>
    </row>
    <row r="2238" spans="1:54" ht="25" hidden="1" customHeight="1">
      <c r="A2238" s="142" t="s">
        <v>120</v>
      </c>
      <c r="B2238" s="385">
        <v>45791</v>
      </c>
      <c r="C2238" s="386">
        <v>45796</v>
      </c>
      <c r="D2238" s="185">
        <f t="shared" si="824"/>
        <v>2025</v>
      </c>
      <c r="E2238" s="386" t="e">
        <f>VLOOKUP($B2238,Week!$A$1:$C$1462,2,0)</f>
        <v>#N/A</v>
      </c>
      <c r="F2238" s="387" t="str">
        <f t="shared" si="825"/>
        <v>May</v>
      </c>
      <c r="G2238" s="388" t="s">
        <v>2212</v>
      </c>
      <c r="H2238" s="388" t="s">
        <v>500</v>
      </c>
      <c r="I2238" s="388" t="s">
        <v>2772</v>
      </c>
      <c r="J2238" s="389" t="s">
        <v>285</v>
      </c>
      <c r="K2238" s="390" t="s">
        <v>153</v>
      </c>
      <c r="L2238" s="390" t="s">
        <v>2166</v>
      </c>
      <c r="M2238" s="389" t="s">
        <v>165</v>
      </c>
      <c r="N2238" s="388" t="s">
        <v>286</v>
      </c>
      <c r="O2238" s="388" t="s">
        <v>503</v>
      </c>
      <c r="P2238" s="391">
        <v>40</v>
      </c>
      <c r="Q2238" s="391">
        <v>12</v>
      </c>
      <c r="R2238" s="392">
        <v>6.8100000000000001E-3</v>
      </c>
      <c r="S2238" s="388" t="s">
        <v>76</v>
      </c>
      <c r="T2238" s="388" t="s">
        <v>56</v>
      </c>
      <c r="U2238" s="388" t="s">
        <v>89</v>
      </c>
      <c r="V2238" s="393">
        <f>724</f>
        <v>724</v>
      </c>
      <c r="W2238" s="393">
        <f>39+685</f>
        <v>724</v>
      </c>
      <c r="X2238" s="394"/>
      <c r="Y2238" s="395">
        <f t="shared" si="853"/>
        <v>0</v>
      </c>
      <c r="Z2238" s="396">
        <f t="shared" si="854"/>
        <v>0</v>
      </c>
      <c r="AA2238" s="396">
        <f t="shared" si="826"/>
        <v>0</v>
      </c>
      <c r="AB2238" s="823">
        <v>2</v>
      </c>
      <c r="AC2238" s="393">
        <f t="shared" si="856"/>
        <v>0</v>
      </c>
      <c r="AD2238" s="209"/>
      <c r="AE2238" s="210">
        <f t="shared" si="857"/>
        <v>0</v>
      </c>
      <c r="AF2238" s="210">
        <f t="shared" si="858"/>
        <v>0</v>
      </c>
      <c r="AG2238" s="211">
        <f t="shared" si="855"/>
        <v>0.154</v>
      </c>
      <c r="AH2238" s="157">
        <f t="shared" si="859"/>
        <v>0</v>
      </c>
      <c r="AI2238" s="152">
        <f t="shared" si="860"/>
        <v>28960</v>
      </c>
      <c r="AK2238" s="156" t="s">
        <v>691</v>
      </c>
      <c r="AL2238" s="156" t="s">
        <v>689</v>
      </c>
      <c r="AM2238" s="198">
        <f t="shared" si="852"/>
        <v>0</v>
      </c>
      <c r="AN2238" s="199">
        <f t="shared" ref="AN2238:AN2301" si="861">B2238</f>
        <v>45791</v>
      </c>
      <c r="AO2238" s="159" t="s">
        <v>692</v>
      </c>
      <c r="AP2238" s="783" t="s">
        <v>611</v>
      </c>
      <c r="AQ2238" s="782">
        <v>12088677</v>
      </c>
      <c r="AR2238" s="782">
        <v>12019692</v>
      </c>
      <c r="AS2238" s="781"/>
      <c r="AT2238" s="782">
        <v>12065371</v>
      </c>
      <c r="AU2238" s="782"/>
      <c r="AV2238" s="782">
        <v>12055895</v>
      </c>
      <c r="AW2238" s="782">
        <v>12034747</v>
      </c>
      <c r="AX2238" s="782" t="s">
        <v>398</v>
      </c>
      <c r="AY2238" s="781" t="s">
        <v>290</v>
      </c>
      <c r="AZ2238" s="781"/>
      <c r="BA2238" s="781"/>
      <c r="BB2238" s="209">
        <v>23053184</v>
      </c>
    </row>
    <row r="2239" spans="1:54" ht="25" hidden="1" customHeight="1">
      <c r="A2239" s="142" t="s">
        <v>120</v>
      </c>
      <c r="B2239" s="385">
        <v>45792</v>
      </c>
      <c r="C2239" s="386">
        <v>45796</v>
      </c>
      <c r="D2239" s="185">
        <f t="shared" si="824"/>
        <v>2025</v>
      </c>
      <c r="E2239" s="386" t="e">
        <f>VLOOKUP($B2239,Week!$A$1:$C$1462,2,0)</f>
        <v>#N/A</v>
      </c>
      <c r="F2239" s="387" t="str">
        <f t="shared" si="825"/>
        <v>May</v>
      </c>
      <c r="G2239" s="388" t="s">
        <v>2212</v>
      </c>
      <c r="H2239" s="388" t="s">
        <v>500</v>
      </c>
      <c r="I2239" s="388" t="s">
        <v>2772</v>
      </c>
      <c r="J2239" s="389" t="s">
        <v>285</v>
      </c>
      <c r="K2239" s="390" t="s">
        <v>153</v>
      </c>
      <c r="L2239" s="390" t="s">
        <v>2166</v>
      </c>
      <c r="M2239" s="389" t="s">
        <v>165</v>
      </c>
      <c r="N2239" s="388" t="s">
        <v>286</v>
      </c>
      <c r="O2239" s="388" t="s">
        <v>503</v>
      </c>
      <c r="P2239" s="391">
        <v>40</v>
      </c>
      <c r="Q2239" s="391">
        <v>12</v>
      </c>
      <c r="R2239" s="392">
        <v>6.8100000000000001E-3</v>
      </c>
      <c r="S2239" s="388" t="s">
        <v>76</v>
      </c>
      <c r="T2239" s="388" t="s">
        <v>56</v>
      </c>
      <c r="U2239" s="388" t="s">
        <v>89</v>
      </c>
      <c r="V2239" s="393">
        <f>1624-724</f>
        <v>900</v>
      </c>
      <c r="W2239" s="393">
        <v>900</v>
      </c>
      <c r="X2239" s="394"/>
      <c r="Y2239" s="395">
        <f t="shared" ref="Y2239:Y2247" si="862">(W2239+X2239)-V2239</f>
        <v>0</v>
      </c>
      <c r="Z2239" s="396">
        <f t="shared" si="854"/>
        <v>0</v>
      </c>
      <c r="AA2239" s="396">
        <f t="shared" si="826"/>
        <v>0</v>
      </c>
      <c r="AB2239" s="823">
        <v>2</v>
      </c>
      <c r="AC2239" s="393">
        <f t="shared" si="856"/>
        <v>0</v>
      </c>
      <c r="AD2239" s="209"/>
      <c r="AE2239" s="210">
        <f t="shared" si="857"/>
        <v>0</v>
      </c>
      <c r="AF2239" s="210">
        <f t="shared" si="858"/>
        <v>0</v>
      </c>
      <c r="AG2239" s="211">
        <f t="shared" si="855"/>
        <v>0.154</v>
      </c>
      <c r="AH2239" s="157">
        <f t="shared" si="859"/>
        <v>0</v>
      </c>
      <c r="AI2239" s="152">
        <f t="shared" si="860"/>
        <v>36000</v>
      </c>
      <c r="AK2239" s="156" t="s">
        <v>691</v>
      </c>
      <c r="AL2239" s="156" t="s">
        <v>689</v>
      </c>
      <c r="AM2239" s="198">
        <f t="shared" si="852"/>
        <v>0</v>
      </c>
      <c r="AN2239" s="199">
        <f t="shared" si="861"/>
        <v>45792</v>
      </c>
      <c r="AO2239" s="159" t="s">
        <v>692</v>
      </c>
      <c r="AP2239" s="783" t="s">
        <v>611</v>
      </c>
      <c r="AQ2239" s="782">
        <v>12088677</v>
      </c>
      <c r="AR2239" s="782">
        <v>12019692</v>
      </c>
      <c r="AS2239" s="781"/>
      <c r="AT2239" s="782">
        <v>12065371</v>
      </c>
      <c r="AU2239" s="782"/>
      <c r="AV2239" s="782">
        <v>12055895</v>
      </c>
      <c r="AW2239" s="782">
        <v>12034747</v>
      </c>
      <c r="AX2239" s="782" t="s">
        <v>398</v>
      </c>
      <c r="AY2239" s="781" t="s">
        <v>290</v>
      </c>
      <c r="AZ2239" s="781"/>
      <c r="BA2239" s="781"/>
      <c r="BB2239" s="209">
        <v>23053184</v>
      </c>
    </row>
    <row r="2240" spans="1:54" ht="25.9" hidden="1" customHeight="1">
      <c r="A2240" s="142" t="s">
        <v>120</v>
      </c>
      <c r="B2240" s="235">
        <v>45792</v>
      </c>
      <c r="C2240" s="235">
        <v>45818</v>
      </c>
      <c r="D2240" s="185">
        <f t="shared" si="824"/>
        <v>2025</v>
      </c>
      <c r="E2240" s="236" t="e">
        <f>VLOOKUP($B2240,Week!$A$1:$C$1462,2,0)</f>
        <v>#N/A</v>
      </c>
      <c r="F2240" s="237" t="str">
        <f t="shared" si="825"/>
        <v>May</v>
      </c>
      <c r="G2240" s="236" t="s">
        <v>2194</v>
      </c>
      <c r="H2240" s="236" t="s">
        <v>392</v>
      </c>
      <c r="I2240" s="236" t="s">
        <v>2772</v>
      </c>
      <c r="J2240" s="238" t="s">
        <v>393</v>
      </c>
      <c r="K2240" s="239" t="s">
        <v>153</v>
      </c>
      <c r="L2240" s="390" t="s">
        <v>2166</v>
      </c>
      <c r="M2240" s="238" t="s">
        <v>165</v>
      </c>
      <c r="N2240" s="236" t="s">
        <v>685</v>
      </c>
      <c r="O2240" s="236" t="s">
        <v>167</v>
      </c>
      <c r="P2240" s="240">
        <v>20</v>
      </c>
      <c r="Q2240" s="240">
        <v>12</v>
      </c>
      <c r="R2240" s="241">
        <v>6.8100000000000001E-3</v>
      </c>
      <c r="S2240" s="236" t="s">
        <v>76</v>
      </c>
      <c r="T2240" s="236" t="s">
        <v>56</v>
      </c>
      <c r="U2240" s="236" t="s">
        <v>89</v>
      </c>
      <c r="V2240" s="242">
        <f>350</f>
        <v>350</v>
      </c>
      <c r="W2240" s="242">
        <v>350</v>
      </c>
      <c r="X2240" s="243"/>
      <c r="Y2240" s="244">
        <f t="shared" si="862"/>
        <v>0</v>
      </c>
      <c r="Z2240" s="245">
        <f t="shared" si="854"/>
        <v>0</v>
      </c>
      <c r="AA2240" s="245">
        <f t="shared" si="826"/>
        <v>0</v>
      </c>
      <c r="AB2240" s="809">
        <v>2</v>
      </c>
      <c r="AC2240" s="242">
        <f t="shared" si="856"/>
        <v>0</v>
      </c>
      <c r="AD2240" s="209"/>
      <c r="AE2240" s="210">
        <f t="shared" si="857"/>
        <v>0</v>
      </c>
      <c r="AF2240" s="210">
        <f t="shared" si="858"/>
        <v>0</v>
      </c>
      <c r="AG2240" s="211">
        <f t="shared" si="855"/>
        <v>0.154</v>
      </c>
      <c r="AH2240" s="157">
        <f t="shared" si="859"/>
        <v>0</v>
      </c>
      <c r="AI2240" s="152">
        <f t="shared" si="860"/>
        <v>7000</v>
      </c>
      <c r="AK2240" s="156" t="s">
        <v>691</v>
      </c>
      <c r="AL2240" s="156" t="s">
        <v>689</v>
      </c>
      <c r="AM2240" s="198">
        <f t="shared" si="852"/>
        <v>0</v>
      </c>
      <c r="AN2240" s="199">
        <f t="shared" si="861"/>
        <v>45792</v>
      </c>
      <c r="AO2240" s="159" t="s">
        <v>692</v>
      </c>
      <c r="AP2240" s="783"/>
      <c r="AQ2240" s="783" t="s">
        <v>631</v>
      </c>
      <c r="AR2240" s="783" t="s">
        <v>523</v>
      </c>
      <c r="AS2240" s="781"/>
      <c r="AT2240" s="783" t="s">
        <v>607</v>
      </c>
      <c r="AU2240" s="781"/>
      <c r="AV2240" s="783" t="s">
        <v>606</v>
      </c>
      <c r="AW2240" s="781"/>
      <c r="AX2240" s="781" t="s">
        <v>398</v>
      </c>
      <c r="AY2240" s="781"/>
      <c r="AZ2240" s="781"/>
      <c r="BA2240" s="781"/>
      <c r="BB2240" s="209">
        <v>23053184</v>
      </c>
    </row>
    <row r="2241" spans="1:54" ht="25" hidden="1" customHeight="1">
      <c r="B2241" s="213">
        <v>45793</v>
      </c>
      <c r="C2241" s="578">
        <v>45798</v>
      </c>
      <c r="D2241" s="185">
        <f t="shared" si="824"/>
        <v>2025</v>
      </c>
      <c r="E2241" s="215" t="e">
        <f>VLOOKUP($B2241,Week!$A$1:$C$1462,2,0)</f>
        <v>#N/A</v>
      </c>
      <c r="F2241" s="216" t="str">
        <f t="shared" si="825"/>
        <v>May</v>
      </c>
      <c r="G2241" s="215" t="s">
        <v>2308</v>
      </c>
      <c r="H2241" s="215" t="s">
        <v>104</v>
      </c>
      <c r="I2241" s="215" t="s">
        <v>2772</v>
      </c>
      <c r="J2241" s="209" t="s">
        <v>105</v>
      </c>
      <c r="K2241" s="217" t="s">
        <v>107</v>
      </c>
      <c r="L2241" s="300" t="s">
        <v>2167</v>
      </c>
      <c r="M2241" s="209" t="s">
        <v>108</v>
      </c>
      <c r="N2241" s="215" t="s">
        <v>109</v>
      </c>
      <c r="O2241" s="215" t="s">
        <v>110</v>
      </c>
      <c r="P2241" s="218">
        <v>36</v>
      </c>
      <c r="Q2241" s="218">
        <v>5</v>
      </c>
      <c r="R2241" s="219">
        <v>7.4999999999999997E-3</v>
      </c>
      <c r="S2241" s="215" t="s">
        <v>111</v>
      </c>
      <c r="T2241" s="215" t="s">
        <v>112</v>
      </c>
      <c r="U2241" s="215" t="s">
        <v>113</v>
      </c>
      <c r="V2241" s="220">
        <f>792-714</f>
        <v>78</v>
      </c>
      <c r="W2241" s="220">
        <v>78</v>
      </c>
      <c r="X2241" s="221"/>
      <c r="Y2241" s="222">
        <f t="shared" si="862"/>
        <v>0</v>
      </c>
      <c r="Z2241" s="223">
        <f t="shared" si="854"/>
        <v>0</v>
      </c>
      <c r="AA2241" s="223">
        <f t="shared" si="826"/>
        <v>0</v>
      </c>
      <c r="AB2241" s="807">
        <v>9.7000000000000003E-3</v>
      </c>
      <c r="AC2241" s="220">
        <f t="shared" si="856"/>
        <v>0</v>
      </c>
      <c r="AD2241" s="209"/>
      <c r="AE2241" s="210">
        <f t="shared" si="857"/>
        <v>0</v>
      </c>
      <c r="AF2241" s="210">
        <f t="shared" si="858"/>
        <v>0</v>
      </c>
      <c r="AG2241" s="211">
        <f t="shared" si="855"/>
        <v>0.308</v>
      </c>
      <c r="AH2241" s="157">
        <f t="shared" si="859"/>
        <v>0</v>
      </c>
      <c r="AI2241" s="152">
        <f t="shared" si="860"/>
        <v>2808</v>
      </c>
      <c r="AK2241" s="156" t="s">
        <v>691</v>
      </c>
      <c r="AL2241" s="574" t="s">
        <v>690</v>
      </c>
      <c r="AM2241" s="198">
        <f t="shared" si="852"/>
        <v>0</v>
      </c>
      <c r="AN2241" s="199">
        <f t="shared" si="861"/>
        <v>45793</v>
      </c>
      <c r="AO2241" s="159" t="s">
        <v>692</v>
      </c>
      <c r="AP2241" s="781"/>
      <c r="AQ2241" s="782">
        <v>12063755</v>
      </c>
      <c r="AR2241" s="782">
        <v>12061353</v>
      </c>
      <c r="AS2241" s="782">
        <v>12061354</v>
      </c>
      <c r="AT2241" s="782">
        <v>12068566</v>
      </c>
      <c r="AU2241" s="781"/>
      <c r="AV2241" s="782">
        <v>12088206</v>
      </c>
      <c r="AW2241" s="782">
        <v>12088207</v>
      </c>
      <c r="AX2241" s="782"/>
      <c r="AY2241" s="782">
        <v>12068565</v>
      </c>
      <c r="AZ2241" s="782"/>
      <c r="BA2241" s="781"/>
      <c r="BB2241" s="209">
        <v>23054743</v>
      </c>
    </row>
    <row r="2242" spans="1:54" ht="25" hidden="1" customHeight="1">
      <c r="B2242" s="213">
        <v>45793</v>
      </c>
      <c r="C2242" s="578">
        <v>45798</v>
      </c>
      <c r="D2242" s="185">
        <f t="shared" si="824"/>
        <v>2025</v>
      </c>
      <c r="E2242" s="215" t="e">
        <f>VLOOKUP($B2242,Week!$A$1:$C$1462,2,0)</f>
        <v>#N/A</v>
      </c>
      <c r="F2242" s="216" t="str">
        <f t="shared" si="825"/>
        <v>May</v>
      </c>
      <c r="G2242" s="215" t="s">
        <v>2309</v>
      </c>
      <c r="H2242" s="215" t="s">
        <v>104</v>
      </c>
      <c r="I2242" s="215" t="s">
        <v>2772</v>
      </c>
      <c r="J2242" s="209" t="s">
        <v>105</v>
      </c>
      <c r="K2242" s="217" t="s">
        <v>107</v>
      </c>
      <c r="L2242" s="300" t="s">
        <v>2167</v>
      </c>
      <c r="M2242" s="209" t="s">
        <v>108</v>
      </c>
      <c r="N2242" s="215" t="s">
        <v>109</v>
      </c>
      <c r="O2242" s="215" t="s">
        <v>110</v>
      </c>
      <c r="P2242" s="218">
        <v>36</v>
      </c>
      <c r="Q2242" s="218">
        <v>5</v>
      </c>
      <c r="R2242" s="219">
        <v>7.4999999999999997E-3</v>
      </c>
      <c r="S2242" s="215" t="s">
        <v>111</v>
      </c>
      <c r="T2242" s="215" t="s">
        <v>112</v>
      </c>
      <c r="U2242" s="215" t="s">
        <v>113</v>
      </c>
      <c r="V2242" s="220">
        <v>792</v>
      </c>
      <c r="W2242" s="220">
        <v>792</v>
      </c>
      <c r="X2242" s="221"/>
      <c r="Y2242" s="222">
        <f t="shared" si="862"/>
        <v>0</v>
      </c>
      <c r="Z2242" s="223">
        <f t="shared" si="854"/>
        <v>0</v>
      </c>
      <c r="AA2242" s="223">
        <f t="shared" si="826"/>
        <v>0</v>
      </c>
      <c r="AB2242" s="807">
        <v>9.7000000000000003E-3</v>
      </c>
      <c r="AC2242" s="220">
        <f t="shared" si="856"/>
        <v>0</v>
      </c>
      <c r="AD2242" s="209"/>
      <c r="AE2242" s="210">
        <f t="shared" si="857"/>
        <v>0</v>
      </c>
      <c r="AF2242" s="210">
        <f t="shared" si="858"/>
        <v>0</v>
      </c>
      <c r="AG2242" s="211">
        <f t="shared" si="855"/>
        <v>0.308</v>
      </c>
      <c r="AH2242" s="157">
        <f t="shared" si="859"/>
        <v>0</v>
      </c>
      <c r="AI2242" s="152">
        <f t="shared" si="860"/>
        <v>28512</v>
      </c>
      <c r="AK2242" s="156" t="s">
        <v>691</v>
      </c>
      <c r="AL2242" s="574" t="s">
        <v>690</v>
      </c>
      <c r="AM2242" s="198">
        <f t="shared" si="852"/>
        <v>0</v>
      </c>
      <c r="AN2242" s="199">
        <f t="shared" si="861"/>
        <v>45793</v>
      </c>
      <c r="AO2242" s="159" t="s">
        <v>692</v>
      </c>
      <c r="AP2242" s="781"/>
      <c r="AQ2242" s="782">
        <v>12063755</v>
      </c>
      <c r="AR2242" s="782">
        <v>12061353</v>
      </c>
      <c r="AS2242" s="782">
        <v>12061354</v>
      </c>
      <c r="AT2242" s="782">
        <v>12068566</v>
      </c>
      <c r="AU2242" s="781"/>
      <c r="AV2242" s="782">
        <v>12088206</v>
      </c>
      <c r="AW2242" s="782">
        <v>12088207</v>
      </c>
      <c r="AX2242" s="782"/>
      <c r="AY2242" s="782">
        <v>12068565</v>
      </c>
      <c r="AZ2242" s="782"/>
      <c r="BA2242" s="781"/>
      <c r="BB2242" s="209">
        <v>23054743</v>
      </c>
    </row>
    <row r="2243" spans="1:54" ht="25" hidden="1" customHeight="1">
      <c r="B2243" s="213">
        <v>45793</v>
      </c>
      <c r="C2243" s="578">
        <v>45798</v>
      </c>
      <c r="D2243" s="185">
        <f t="shared" si="824"/>
        <v>2025</v>
      </c>
      <c r="E2243" s="215" t="e">
        <f>VLOOKUP($B2243,Week!$A$1:$C$1462,2,0)</f>
        <v>#N/A</v>
      </c>
      <c r="F2243" s="216" t="str">
        <f t="shared" si="825"/>
        <v>May</v>
      </c>
      <c r="G2243" s="215" t="s">
        <v>2310</v>
      </c>
      <c r="H2243" s="215" t="s">
        <v>104</v>
      </c>
      <c r="I2243" s="215" t="s">
        <v>2772</v>
      </c>
      <c r="J2243" s="209" t="s">
        <v>105</v>
      </c>
      <c r="K2243" s="217" t="s">
        <v>107</v>
      </c>
      <c r="L2243" s="300" t="s">
        <v>2167</v>
      </c>
      <c r="M2243" s="209" t="s">
        <v>108</v>
      </c>
      <c r="N2243" s="215" t="s">
        <v>109</v>
      </c>
      <c r="O2243" s="215" t="s">
        <v>110</v>
      </c>
      <c r="P2243" s="218">
        <v>36</v>
      </c>
      <c r="Q2243" s="218">
        <v>5</v>
      </c>
      <c r="R2243" s="219">
        <v>7.4999999999999997E-3</v>
      </c>
      <c r="S2243" s="215" t="s">
        <v>111</v>
      </c>
      <c r="T2243" s="215" t="s">
        <v>112</v>
      </c>
      <c r="U2243" s="215" t="s">
        <v>113</v>
      </c>
      <c r="V2243" s="220">
        <v>792</v>
      </c>
      <c r="W2243" s="220">
        <f>1667-78-792</f>
        <v>797</v>
      </c>
      <c r="X2243" s="221"/>
      <c r="Y2243" s="222">
        <f t="shared" si="862"/>
        <v>5</v>
      </c>
      <c r="Z2243" s="223">
        <f t="shared" si="854"/>
        <v>0</v>
      </c>
      <c r="AA2243" s="223">
        <f t="shared" si="826"/>
        <v>0</v>
      </c>
      <c r="AB2243" s="807">
        <v>9.7000000000000003E-3</v>
      </c>
      <c r="AC2243" s="220">
        <f t="shared" si="856"/>
        <v>0</v>
      </c>
      <c r="AD2243" s="209"/>
      <c r="AE2243" s="210">
        <f t="shared" si="857"/>
        <v>0</v>
      </c>
      <c r="AF2243" s="210">
        <f t="shared" si="858"/>
        <v>0</v>
      </c>
      <c r="AG2243" s="211">
        <f t="shared" si="855"/>
        <v>0.308</v>
      </c>
      <c r="AH2243" s="157">
        <f t="shared" si="859"/>
        <v>0</v>
      </c>
      <c r="AI2243" s="152">
        <f t="shared" si="860"/>
        <v>28512</v>
      </c>
      <c r="AK2243" s="156" t="s">
        <v>691</v>
      </c>
      <c r="AL2243" s="574" t="s">
        <v>690</v>
      </c>
      <c r="AM2243" s="198">
        <f t="shared" si="852"/>
        <v>0</v>
      </c>
      <c r="AN2243" s="199">
        <f t="shared" si="861"/>
        <v>45793</v>
      </c>
      <c r="AO2243" s="159" t="s">
        <v>692</v>
      </c>
      <c r="AP2243" s="781"/>
      <c r="AQ2243" s="782">
        <v>12063755</v>
      </c>
      <c r="AR2243" s="782">
        <v>12061353</v>
      </c>
      <c r="AS2243" s="782">
        <v>12061354</v>
      </c>
      <c r="AT2243" s="782">
        <v>12068566</v>
      </c>
      <c r="AU2243" s="781"/>
      <c r="AV2243" s="782">
        <v>12088206</v>
      </c>
      <c r="AW2243" s="782">
        <v>12088207</v>
      </c>
      <c r="AX2243" s="782"/>
      <c r="AY2243" s="782">
        <v>12068565</v>
      </c>
      <c r="AZ2243" s="782"/>
      <c r="BA2243" s="781"/>
      <c r="BB2243" s="209">
        <v>23054743</v>
      </c>
    </row>
    <row r="2244" spans="1:54" ht="24.65" hidden="1" customHeight="1">
      <c r="B2244" s="466">
        <v>45793</v>
      </c>
      <c r="C2244" s="467">
        <v>45804</v>
      </c>
      <c r="D2244" s="185">
        <f t="shared" si="824"/>
        <v>2025</v>
      </c>
      <c r="E2244" s="467" t="e">
        <f>VLOOKUP($B2244,Week!$A$1:$C$1462,2,0)</f>
        <v>#N/A</v>
      </c>
      <c r="F2244" s="469" t="str">
        <f t="shared" si="825"/>
        <v>May</v>
      </c>
      <c r="G2244" s="468" t="s">
        <v>1751</v>
      </c>
      <c r="H2244" s="468" t="s">
        <v>675</v>
      </c>
      <c r="I2244" s="468" t="s">
        <v>2772</v>
      </c>
      <c r="J2244" s="471" t="s">
        <v>709</v>
      </c>
      <c r="K2244" s="472" t="s">
        <v>107</v>
      </c>
      <c r="L2244" s="300" t="s">
        <v>2167</v>
      </c>
      <c r="M2244" s="471" t="s">
        <v>313</v>
      </c>
      <c r="N2244" s="617" t="s">
        <v>696</v>
      </c>
      <c r="O2244" s="468" t="s">
        <v>110</v>
      </c>
      <c r="P2244" s="473">
        <v>36</v>
      </c>
      <c r="Q2244" s="473">
        <v>5</v>
      </c>
      <c r="R2244" s="474">
        <v>7.4999999999999997E-3</v>
      </c>
      <c r="S2244" s="468" t="s">
        <v>111</v>
      </c>
      <c r="T2244" s="468" t="s">
        <v>112</v>
      </c>
      <c r="U2244" s="468" t="s">
        <v>57</v>
      </c>
      <c r="V2244" s="475">
        <v>792</v>
      </c>
      <c r="W2244" s="475">
        <f>784</f>
        <v>784</v>
      </c>
      <c r="X2244" s="476">
        <f>916/36</f>
        <v>25.444444444444443</v>
      </c>
      <c r="Y2244" s="477">
        <f t="shared" si="862"/>
        <v>17.444444444444457</v>
      </c>
      <c r="Z2244" s="478">
        <f t="shared" si="854"/>
        <v>0</v>
      </c>
      <c r="AA2244" s="478">
        <f t="shared" si="826"/>
        <v>0</v>
      </c>
      <c r="AB2244" s="828">
        <v>7.4999999999999997E-3</v>
      </c>
      <c r="AC2244" s="475">
        <f t="shared" si="856"/>
        <v>0</v>
      </c>
      <c r="AD2244" s="515"/>
      <c r="AE2244" s="210">
        <f t="shared" si="857"/>
        <v>0</v>
      </c>
      <c r="AF2244" s="210">
        <f t="shared" si="858"/>
        <v>0</v>
      </c>
      <c r="AG2244" s="211">
        <f t="shared" si="855"/>
        <v>0.308</v>
      </c>
      <c r="AH2244" s="157">
        <f t="shared" si="859"/>
        <v>0</v>
      </c>
      <c r="AI2244" s="152">
        <f t="shared" si="860"/>
        <v>28512</v>
      </c>
      <c r="AK2244" s="156" t="s">
        <v>691</v>
      </c>
      <c r="AL2244" s="212" t="s">
        <v>690</v>
      </c>
      <c r="AM2244" s="198">
        <f t="shared" si="852"/>
        <v>0</v>
      </c>
      <c r="AN2244" s="199">
        <f t="shared" si="861"/>
        <v>45793</v>
      </c>
      <c r="AO2244" s="159" t="s">
        <v>692</v>
      </c>
      <c r="AP2244" s="783" t="s">
        <v>644</v>
      </c>
      <c r="AQ2244" s="782">
        <v>12063755</v>
      </c>
      <c r="AR2244" s="782">
        <v>12061353</v>
      </c>
      <c r="AS2244" s="782">
        <v>12061354</v>
      </c>
      <c r="AT2244" s="782">
        <v>12089990</v>
      </c>
      <c r="AU2244" s="781"/>
      <c r="AV2244" s="782">
        <v>12089997</v>
      </c>
      <c r="AW2244" s="782">
        <v>12088207</v>
      </c>
      <c r="AX2244" s="782"/>
      <c r="AY2244" s="782">
        <v>12089998</v>
      </c>
      <c r="AZ2244" s="782"/>
      <c r="BA2244" s="781"/>
      <c r="BB2244" s="209">
        <v>23053185</v>
      </c>
    </row>
    <row r="2245" spans="1:54" ht="24.65" hidden="1" customHeight="1">
      <c r="B2245" s="308">
        <v>45793</v>
      </c>
      <c r="C2245" s="309">
        <v>45806</v>
      </c>
      <c r="D2245" s="185">
        <f t="shared" ref="D2245:D2308" si="863">IF(B2245="","",YEAR(B2245))</f>
        <v>2025</v>
      </c>
      <c r="E2245" s="309" t="e">
        <f>VLOOKUP($B2245,Week!$A$1:$C$1462,2,0)</f>
        <v>#N/A</v>
      </c>
      <c r="F2245" s="310" t="str">
        <f t="shared" ref="F2245:F2308" si="864">IF(B2245="","",TEXT(B2245,"[$-409]mmm"))</f>
        <v>May</v>
      </c>
      <c r="G2245" s="311" t="s">
        <v>2171</v>
      </c>
      <c r="H2245" s="311" t="s">
        <v>311</v>
      </c>
      <c r="I2245" s="311" t="s">
        <v>2772</v>
      </c>
      <c r="J2245" s="312" t="s">
        <v>738</v>
      </c>
      <c r="K2245" s="313" t="s">
        <v>107</v>
      </c>
      <c r="L2245" s="300" t="s">
        <v>2167</v>
      </c>
      <c r="M2245" s="312" t="s">
        <v>313</v>
      </c>
      <c r="N2245" s="311" t="s">
        <v>314</v>
      </c>
      <c r="O2245" s="311" t="s">
        <v>110</v>
      </c>
      <c r="P2245" s="314">
        <v>36</v>
      </c>
      <c r="Q2245" s="314">
        <v>5</v>
      </c>
      <c r="R2245" s="315">
        <v>7.4999999999999997E-3</v>
      </c>
      <c r="S2245" s="311" t="s">
        <v>111</v>
      </c>
      <c r="T2245" s="311" t="s">
        <v>112</v>
      </c>
      <c r="U2245" s="311" t="s">
        <v>57</v>
      </c>
      <c r="V2245" s="316">
        <v>792</v>
      </c>
      <c r="W2245" s="316">
        <f>3+789</f>
        <v>792</v>
      </c>
      <c r="X2245" s="317"/>
      <c r="Y2245" s="318">
        <f t="shared" si="862"/>
        <v>0</v>
      </c>
      <c r="Z2245" s="319">
        <f t="shared" si="854"/>
        <v>0</v>
      </c>
      <c r="AA2245" s="319">
        <f t="shared" ref="AA2245:AA2308" si="865">Q2245*Z2245</f>
        <v>0</v>
      </c>
      <c r="AB2245" s="815">
        <v>7.4999999999999997E-3</v>
      </c>
      <c r="AC2245" s="316">
        <f t="shared" si="856"/>
        <v>0</v>
      </c>
      <c r="AD2245" s="515"/>
      <c r="AE2245" s="210">
        <f t="shared" si="857"/>
        <v>0</v>
      </c>
      <c r="AF2245" s="210">
        <f t="shared" si="858"/>
        <v>0</v>
      </c>
      <c r="AG2245" s="211">
        <f t="shared" si="855"/>
        <v>0.308</v>
      </c>
      <c r="AH2245" s="157">
        <f t="shared" si="859"/>
        <v>0</v>
      </c>
      <c r="AI2245" s="152">
        <f t="shared" si="860"/>
        <v>28512</v>
      </c>
      <c r="AK2245" s="156" t="s">
        <v>691</v>
      </c>
      <c r="AL2245" s="212" t="s">
        <v>690</v>
      </c>
      <c r="AM2245" s="198">
        <f t="shared" si="852"/>
        <v>0</v>
      </c>
      <c r="AN2245" s="199">
        <f t="shared" si="861"/>
        <v>45793</v>
      </c>
      <c r="AO2245" s="159" t="s">
        <v>692</v>
      </c>
      <c r="AP2245" s="783" t="s">
        <v>644</v>
      </c>
      <c r="AQ2245" s="782">
        <v>12063755</v>
      </c>
      <c r="AR2245" s="782">
        <v>12061353</v>
      </c>
      <c r="AS2245" s="782">
        <v>12061354</v>
      </c>
      <c r="AT2245" s="782">
        <v>12062266</v>
      </c>
      <c r="AU2245" s="781"/>
      <c r="AV2245" s="782">
        <v>12088159</v>
      </c>
      <c r="AW2245" s="782">
        <v>12088207</v>
      </c>
      <c r="AX2245" s="782"/>
      <c r="AY2245" s="782">
        <v>12094237</v>
      </c>
      <c r="AZ2245" s="782"/>
      <c r="BA2245" s="781"/>
      <c r="BB2245" s="209">
        <v>23053185</v>
      </c>
    </row>
    <row r="2246" spans="1:54" ht="24.65" hidden="1" customHeight="1">
      <c r="B2246" s="308">
        <v>45793</v>
      </c>
      <c r="C2246" s="309">
        <v>45813</v>
      </c>
      <c r="D2246" s="185">
        <f t="shared" si="863"/>
        <v>2025</v>
      </c>
      <c r="E2246" s="309" t="e">
        <f>VLOOKUP($B2246,Week!$A$1:$C$1462,2,0)</f>
        <v>#N/A</v>
      </c>
      <c r="F2246" s="310" t="str">
        <f t="shared" si="864"/>
        <v>May</v>
      </c>
      <c r="G2246" s="311" t="s">
        <v>2129</v>
      </c>
      <c r="H2246" s="311" t="s">
        <v>311</v>
      </c>
      <c r="I2246" s="311" t="s">
        <v>2772</v>
      </c>
      <c r="J2246" s="312" t="s">
        <v>738</v>
      </c>
      <c r="K2246" s="313" t="s">
        <v>107</v>
      </c>
      <c r="L2246" s="300" t="s">
        <v>2167</v>
      </c>
      <c r="M2246" s="312" t="s">
        <v>313</v>
      </c>
      <c r="N2246" s="311" t="s">
        <v>314</v>
      </c>
      <c r="O2246" s="311" t="s">
        <v>110</v>
      </c>
      <c r="P2246" s="314">
        <v>36</v>
      </c>
      <c r="Q2246" s="314">
        <v>5</v>
      </c>
      <c r="R2246" s="315">
        <v>7.4999999999999997E-3</v>
      </c>
      <c r="S2246" s="311" t="s">
        <v>111</v>
      </c>
      <c r="T2246" s="311" t="s">
        <v>112</v>
      </c>
      <c r="U2246" s="311" t="s">
        <v>57</v>
      </c>
      <c r="V2246" s="316">
        <f>436+146</f>
        <v>582</v>
      </c>
      <c r="W2246" s="316">
        <f>1225-789</f>
        <v>436</v>
      </c>
      <c r="X2246" s="317">
        <f>5283/36</f>
        <v>146.75</v>
      </c>
      <c r="Y2246" s="318">
        <f t="shared" si="862"/>
        <v>0.75</v>
      </c>
      <c r="Z2246" s="319">
        <f t="shared" si="854"/>
        <v>0</v>
      </c>
      <c r="AA2246" s="319">
        <f t="shared" si="865"/>
        <v>0</v>
      </c>
      <c r="AB2246" s="815">
        <v>7.4999999999999997E-3</v>
      </c>
      <c r="AC2246" s="316">
        <f t="shared" si="856"/>
        <v>0</v>
      </c>
      <c r="AD2246" s="515"/>
      <c r="AE2246" s="210">
        <f t="shared" si="857"/>
        <v>0</v>
      </c>
      <c r="AF2246" s="210">
        <f t="shared" si="858"/>
        <v>0</v>
      </c>
      <c r="AG2246" s="211">
        <f t="shared" si="855"/>
        <v>0.308</v>
      </c>
      <c r="AH2246" s="157">
        <f t="shared" si="859"/>
        <v>0</v>
      </c>
      <c r="AI2246" s="152">
        <f t="shared" si="860"/>
        <v>20952</v>
      </c>
      <c r="AK2246" s="156" t="s">
        <v>691</v>
      </c>
      <c r="AL2246" s="212" t="s">
        <v>690</v>
      </c>
      <c r="AM2246" s="198">
        <f t="shared" si="852"/>
        <v>0</v>
      </c>
      <c r="AN2246" s="199">
        <f t="shared" si="861"/>
        <v>45793</v>
      </c>
      <c r="AO2246" s="159" t="s">
        <v>692</v>
      </c>
      <c r="AP2246" s="783" t="s">
        <v>644</v>
      </c>
      <c r="AQ2246" s="796">
        <v>12063755</v>
      </c>
      <c r="AR2246" s="782">
        <v>12061353</v>
      </c>
      <c r="AS2246" s="782">
        <v>12061354</v>
      </c>
      <c r="AT2246" s="782">
        <v>12062266</v>
      </c>
      <c r="AU2246" s="782"/>
      <c r="AV2246" s="782">
        <v>12088159</v>
      </c>
      <c r="AW2246" s="782">
        <v>12088207</v>
      </c>
      <c r="AX2246" s="782"/>
      <c r="AY2246" s="782">
        <v>12094237</v>
      </c>
      <c r="AZ2246" s="781"/>
      <c r="BA2246" s="781"/>
      <c r="BB2246" s="209">
        <v>23053185</v>
      </c>
    </row>
    <row r="2247" spans="1:54" ht="25" hidden="1" customHeight="1">
      <c r="B2247" s="583">
        <v>45794</v>
      </c>
      <c r="C2247" s="795" t="s">
        <v>1929</v>
      </c>
      <c r="D2247" s="185">
        <f t="shared" si="863"/>
        <v>2025</v>
      </c>
      <c r="E2247" s="777" t="e">
        <f>VLOOKUP($B2247,Week!$A$1:$C$1462,2,0)</f>
        <v>#N/A</v>
      </c>
      <c r="F2247" s="778" t="str">
        <f t="shared" si="864"/>
        <v>May</v>
      </c>
      <c r="G2247" s="586" t="s">
        <v>47</v>
      </c>
      <c r="H2247" s="586" t="s">
        <v>260</v>
      </c>
      <c r="I2247" s="586" t="s">
        <v>2702</v>
      </c>
      <c r="J2247" s="587" t="s">
        <v>70</v>
      </c>
      <c r="K2247" s="588" t="s">
        <v>227</v>
      </c>
      <c r="L2247" s="300" t="s">
        <v>2167</v>
      </c>
      <c r="M2247" s="587" t="s">
        <v>2006</v>
      </c>
      <c r="N2247" s="586" t="s">
        <v>2004</v>
      </c>
      <c r="O2247" s="586" t="s">
        <v>2005</v>
      </c>
      <c r="P2247" s="589">
        <v>12</v>
      </c>
      <c r="Q2247" s="589">
        <v>3</v>
      </c>
      <c r="R2247" s="590">
        <v>8.0000000000000002E-3</v>
      </c>
      <c r="S2247" s="586" t="s">
        <v>352</v>
      </c>
      <c r="T2247" s="586" t="s">
        <v>56</v>
      </c>
      <c r="U2247" s="586" t="s">
        <v>2007</v>
      </c>
      <c r="V2247" s="779">
        <f>3543</f>
        <v>3543</v>
      </c>
      <c r="W2247" s="592">
        <f>2+3541</f>
        <v>3543</v>
      </c>
      <c r="X2247" s="593"/>
      <c r="Y2247" s="594">
        <f t="shared" si="862"/>
        <v>0</v>
      </c>
      <c r="Z2247" s="595">
        <f t="shared" si="854"/>
        <v>0</v>
      </c>
      <c r="AA2247" s="595">
        <f t="shared" si="865"/>
        <v>0</v>
      </c>
      <c r="AB2247" s="835">
        <v>0.05</v>
      </c>
      <c r="AC2247" s="592">
        <f t="shared" si="856"/>
        <v>0</v>
      </c>
      <c r="AD2247" s="209"/>
      <c r="AE2247" s="210">
        <f t="shared" si="857"/>
        <v>0</v>
      </c>
      <c r="AF2247" s="210">
        <f t="shared" si="858"/>
        <v>0</v>
      </c>
      <c r="AG2247" s="211">
        <f t="shared" si="855"/>
        <v>0.22700000000000001</v>
      </c>
      <c r="AH2247" s="157">
        <f t="shared" si="859"/>
        <v>0</v>
      </c>
      <c r="AI2247" s="152">
        <f t="shared" si="860"/>
        <v>42516</v>
      </c>
      <c r="AK2247" s="156" t="s">
        <v>691</v>
      </c>
      <c r="AL2247" s="212" t="s">
        <v>690</v>
      </c>
      <c r="AM2247" s="198">
        <f t="shared" si="852"/>
        <v>0</v>
      </c>
      <c r="AN2247" s="199">
        <f t="shared" si="861"/>
        <v>45794</v>
      </c>
      <c r="AO2247" s="159" t="s">
        <v>692</v>
      </c>
      <c r="AP2247" s="783" t="s">
        <v>623</v>
      </c>
      <c r="AQ2247" s="782">
        <v>12071839</v>
      </c>
      <c r="AR2247" s="782">
        <v>12042650</v>
      </c>
      <c r="AS2247" s="782">
        <v>12042649</v>
      </c>
      <c r="AT2247" s="782"/>
      <c r="AU2247" s="781"/>
      <c r="AV2247" s="782">
        <v>12094036</v>
      </c>
      <c r="AW2247" s="782"/>
      <c r="AX2247" s="782"/>
      <c r="AY2247" s="782">
        <v>12094035</v>
      </c>
      <c r="AZ2247" s="782">
        <v>12094041</v>
      </c>
      <c r="BA2247" s="781"/>
      <c r="BB2247" s="209">
        <v>11044165</v>
      </c>
    </row>
    <row r="2248" spans="1:54" ht="25" hidden="1" customHeight="1">
      <c r="B2248" s="183">
        <v>45795</v>
      </c>
      <c r="C2248" s="184"/>
      <c r="D2248" s="185">
        <f t="shared" si="863"/>
        <v>2025</v>
      </c>
      <c r="E2248" s="185" t="e">
        <f>VLOOKUP($B2248,Week!$A$1:$C$1462,2,0)</f>
        <v>#N/A</v>
      </c>
      <c r="F2248" s="186" t="str">
        <f t="shared" si="864"/>
        <v>May</v>
      </c>
      <c r="G2248" s="481"/>
      <c r="H2248" s="185"/>
      <c r="I2248" s="185"/>
      <c r="J2248" s="187"/>
      <c r="K2248" s="188"/>
      <c r="L2248" s="188"/>
      <c r="M2248" s="187"/>
      <c r="N2248" s="185"/>
      <c r="O2248" s="185"/>
      <c r="P2248" s="189"/>
      <c r="Q2248" s="189"/>
      <c r="R2248" s="190"/>
      <c r="S2248" s="185"/>
      <c r="T2248" s="185"/>
      <c r="U2248" s="185"/>
      <c r="V2248" s="191"/>
      <c r="W2248" s="191"/>
      <c r="X2248" s="192"/>
      <c r="Y2248" s="193"/>
      <c r="Z2248" s="194"/>
      <c r="AA2248" s="194">
        <f t="shared" si="865"/>
        <v>0</v>
      </c>
      <c r="AB2248" s="805"/>
      <c r="AC2248" s="191">
        <f t="shared" si="856"/>
        <v>0</v>
      </c>
      <c r="AD2248" s="187"/>
      <c r="AE2248" s="195"/>
      <c r="AF2248" s="195"/>
      <c r="AG2248" s="196"/>
      <c r="AH2248" s="197"/>
      <c r="AK2248" s="156" t="s">
        <v>691</v>
      </c>
      <c r="AM2248" s="198">
        <f t="shared" si="852"/>
        <v>0</v>
      </c>
      <c r="AN2248" s="199">
        <f t="shared" si="861"/>
        <v>45795</v>
      </c>
      <c r="AO2248" s="159" t="s">
        <v>692</v>
      </c>
      <c r="AP2248" s="781"/>
      <c r="AQ2248" s="782"/>
      <c r="AR2248" s="782"/>
      <c r="AS2248" s="782"/>
      <c r="AT2248" s="782"/>
      <c r="AU2248" s="781"/>
      <c r="AV2248" s="782"/>
      <c r="AW2248" s="782"/>
      <c r="AX2248" s="782"/>
      <c r="AY2248" s="782"/>
      <c r="AZ2248" s="782"/>
      <c r="BA2248" s="781"/>
      <c r="BB2248" s="209"/>
    </row>
    <row r="2249" spans="1:54" ht="24.65" hidden="1" customHeight="1">
      <c r="B2249" s="308">
        <v>45796</v>
      </c>
      <c r="C2249" s="309">
        <v>45813</v>
      </c>
      <c r="D2249" s="185">
        <f t="shared" si="863"/>
        <v>2025</v>
      </c>
      <c r="E2249" s="309" t="e">
        <f>VLOOKUP($B2249,Week!$A$1:$C$1462,2,0)</f>
        <v>#N/A</v>
      </c>
      <c r="F2249" s="310" t="str">
        <f t="shared" si="864"/>
        <v>May</v>
      </c>
      <c r="G2249" s="311" t="s">
        <v>2129</v>
      </c>
      <c r="H2249" s="311" t="s">
        <v>311</v>
      </c>
      <c r="I2249" s="311" t="s">
        <v>2772</v>
      </c>
      <c r="J2249" s="312" t="s">
        <v>738</v>
      </c>
      <c r="K2249" s="313" t="s">
        <v>107</v>
      </c>
      <c r="L2249" s="300" t="s">
        <v>2167</v>
      </c>
      <c r="M2249" s="312" t="s">
        <v>313</v>
      </c>
      <c r="N2249" s="311" t="s">
        <v>314</v>
      </c>
      <c r="O2249" s="311" t="s">
        <v>110</v>
      </c>
      <c r="P2249" s="314">
        <v>36</v>
      </c>
      <c r="Q2249" s="314">
        <v>5</v>
      </c>
      <c r="R2249" s="315">
        <v>7.4999999999999997E-3</v>
      </c>
      <c r="S2249" s="311" t="s">
        <v>111</v>
      </c>
      <c r="T2249" s="311" t="s">
        <v>112</v>
      </c>
      <c r="U2249" s="311" t="s">
        <v>57</v>
      </c>
      <c r="V2249" s="316">
        <f>792-582</f>
        <v>210</v>
      </c>
      <c r="W2249" s="316">
        <v>210</v>
      </c>
      <c r="X2249" s="317"/>
      <c r="Y2249" s="318">
        <f t="shared" ref="Y2249:Y2291" si="866">(W2249+X2249)-V2249</f>
        <v>0</v>
      </c>
      <c r="Z2249" s="319">
        <f t="shared" ref="Z2249:Z2291" si="867">IF(Y2249&lt;0,((V2249*P2249)-((W2249+X2249)*P2249)),0)</f>
        <v>0</v>
      </c>
      <c r="AA2249" s="319">
        <f t="shared" si="865"/>
        <v>0</v>
      </c>
      <c r="AB2249" s="815">
        <v>7.4999999999999997E-3</v>
      </c>
      <c r="AC2249" s="316">
        <f t="shared" si="856"/>
        <v>0</v>
      </c>
      <c r="AD2249" s="515"/>
      <c r="AE2249" s="210">
        <f t="shared" ref="AE2249:AE2291" si="868">SUM(Q2249*R2249*Z2249)/1000</f>
        <v>0</v>
      </c>
      <c r="AF2249" s="210">
        <f t="shared" ref="AF2249:AF2291" si="869">AE2249/0.54</f>
        <v>0</v>
      </c>
      <c r="AG2249" s="211">
        <f t="shared" ref="AG2249:AG2276" si="870">MID(O2249,1,3)/1000</f>
        <v>0.308</v>
      </c>
      <c r="AH2249" s="157">
        <f t="shared" ref="AH2249:AH2258" si="871">(Z2249*AG2249)/1000</f>
        <v>0</v>
      </c>
      <c r="AI2249" s="152">
        <f t="shared" ref="AI2249:AI2291" si="872">V2249*P2249</f>
        <v>7560</v>
      </c>
      <c r="AK2249" s="156" t="s">
        <v>691</v>
      </c>
      <c r="AL2249" s="212" t="s">
        <v>690</v>
      </c>
      <c r="AM2249" s="198">
        <f t="shared" si="852"/>
        <v>0</v>
      </c>
      <c r="AN2249" s="199">
        <f t="shared" si="861"/>
        <v>45796</v>
      </c>
      <c r="AO2249" s="159" t="s">
        <v>692</v>
      </c>
      <c r="AP2249" s="783" t="s">
        <v>644</v>
      </c>
      <c r="AQ2249" s="796">
        <v>12063755</v>
      </c>
      <c r="AR2249" s="782">
        <v>12061353</v>
      </c>
      <c r="AS2249" s="782">
        <v>12061354</v>
      </c>
      <c r="AT2249" s="782">
        <v>12062266</v>
      </c>
      <c r="AU2249" s="782"/>
      <c r="AV2249" s="782">
        <v>12088159</v>
      </c>
      <c r="AW2249" s="782">
        <v>12088207</v>
      </c>
      <c r="AX2249" s="782"/>
      <c r="AY2249" s="782">
        <v>12094237</v>
      </c>
      <c r="AZ2249" s="781"/>
      <c r="BA2249" s="781"/>
      <c r="BB2249" s="209">
        <v>23053185</v>
      </c>
    </row>
    <row r="2250" spans="1:54" ht="25" hidden="1" customHeight="1">
      <c r="A2250" s="440"/>
      <c r="B2250" s="295">
        <v>45796</v>
      </c>
      <c r="C2250" s="295">
        <v>45807</v>
      </c>
      <c r="D2250" s="298">
        <f t="shared" si="863"/>
        <v>2025</v>
      </c>
      <c r="E2250" s="855" t="e">
        <f>VLOOKUP($B2250,Week!$A$1:$C$1462,2,0)</f>
        <v>#N/A</v>
      </c>
      <c r="F2250" s="856" t="str">
        <f t="shared" si="864"/>
        <v>May</v>
      </c>
      <c r="G2250" s="857" t="s">
        <v>2290</v>
      </c>
      <c r="H2250" s="298" t="s">
        <v>267</v>
      </c>
      <c r="I2250" s="298" t="s">
        <v>2772</v>
      </c>
      <c r="J2250" s="299" t="s">
        <v>699</v>
      </c>
      <c r="K2250" s="300" t="s">
        <v>107</v>
      </c>
      <c r="L2250" s="300" t="s">
        <v>2167</v>
      </c>
      <c r="M2250" s="299" t="s">
        <v>136</v>
      </c>
      <c r="N2250" s="298" t="s">
        <v>2289</v>
      </c>
      <c r="O2250" s="298" t="s">
        <v>270</v>
      </c>
      <c r="P2250" s="301">
        <v>12</v>
      </c>
      <c r="Q2250" s="301">
        <v>3</v>
      </c>
      <c r="R2250" s="302">
        <v>7.4999999999999997E-3</v>
      </c>
      <c r="S2250" s="298" t="s">
        <v>76</v>
      </c>
      <c r="T2250" s="298" t="s">
        <v>112</v>
      </c>
      <c r="U2250" s="298" t="s">
        <v>57</v>
      </c>
      <c r="V2250" s="303">
        <v>2520</v>
      </c>
      <c r="W2250" s="303">
        <v>2520</v>
      </c>
      <c r="X2250" s="304"/>
      <c r="Y2250" s="305">
        <f t="shared" si="866"/>
        <v>0</v>
      </c>
      <c r="Z2250" s="306">
        <f t="shared" si="867"/>
        <v>0</v>
      </c>
      <c r="AA2250" s="306">
        <f t="shared" si="865"/>
        <v>0</v>
      </c>
      <c r="AB2250" s="814">
        <v>7.4999999999999997E-3</v>
      </c>
      <c r="AC2250" s="303">
        <f t="shared" si="856"/>
        <v>0</v>
      </c>
      <c r="AD2250" s="443"/>
      <c r="AE2250" s="210">
        <f t="shared" si="868"/>
        <v>0</v>
      </c>
      <c r="AF2250" s="210">
        <f t="shared" si="869"/>
        <v>0</v>
      </c>
      <c r="AG2250" s="211">
        <f t="shared" si="870"/>
        <v>0.309</v>
      </c>
      <c r="AH2250" s="157">
        <f t="shared" si="871"/>
        <v>0</v>
      </c>
      <c r="AI2250" s="152">
        <f t="shared" si="872"/>
        <v>30240</v>
      </c>
      <c r="AK2250" s="156" t="s">
        <v>691</v>
      </c>
      <c r="AL2250" s="212" t="s">
        <v>690</v>
      </c>
      <c r="AM2250" s="198">
        <f t="shared" si="852"/>
        <v>0</v>
      </c>
      <c r="AN2250" s="199">
        <f t="shared" si="861"/>
        <v>45796</v>
      </c>
      <c r="AO2250" s="159" t="s">
        <v>692</v>
      </c>
      <c r="AP2250" s="781"/>
      <c r="AQ2250" s="782">
        <v>12063755</v>
      </c>
      <c r="AR2250" s="782">
        <v>12081257</v>
      </c>
      <c r="AS2250" s="782">
        <v>12081260</v>
      </c>
      <c r="AT2250" s="782"/>
      <c r="AU2250" s="781"/>
      <c r="AV2250" s="782">
        <v>12095577</v>
      </c>
      <c r="AW2250" s="782"/>
      <c r="AX2250" s="782"/>
      <c r="AY2250" s="782">
        <v>12094579</v>
      </c>
      <c r="AZ2250" s="782">
        <v>12094580</v>
      </c>
      <c r="BA2250" s="782">
        <v>12094581</v>
      </c>
      <c r="BB2250" s="209">
        <v>23053185</v>
      </c>
    </row>
    <row r="2251" spans="1:54" ht="25" hidden="1" customHeight="1">
      <c r="A2251" s="440"/>
      <c r="B2251" s="295">
        <v>45796</v>
      </c>
      <c r="C2251" s="295">
        <v>45807</v>
      </c>
      <c r="D2251" s="298">
        <f t="shared" si="863"/>
        <v>2025</v>
      </c>
      <c r="E2251" s="855" t="e">
        <f>VLOOKUP($B2251,Week!$A$1:$C$1462,2,0)</f>
        <v>#N/A</v>
      </c>
      <c r="F2251" s="856" t="str">
        <f t="shared" si="864"/>
        <v>May</v>
      </c>
      <c r="G2251" s="857" t="s">
        <v>2291</v>
      </c>
      <c r="H2251" s="298" t="s">
        <v>267</v>
      </c>
      <c r="I2251" s="298" t="s">
        <v>2772</v>
      </c>
      <c r="J2251" s="299" t="s">
        <v>699</v>
      </c>
      <c r="K2251" s="300" t="s">
        <v>107</v>
      </c>
      <c r="L2251" s="300" t="s">
        <v>2167</v>
      </c>
      <c r="M2251" s="299" t="s">
        <v>136</v>
      </c>
      <c r="N2251" s="298" t="s">
        <v>2289</v>
      </c>
      <c r="O2251" s="298" t="s">
        <v>270</v>
      </c>
      <c r="P2251" s="301">
        <v>12</v>
      </c>
      <c r="Q2251" s="301">
        <v>3</v>
      </c>
      <c r="R2251" s="302">
        <v>7.4999999999999997E-3</v>
      </c>
      <c r="S2251" s="298" t="s">
        <v>76</v>
      </c>
      <c r="T2251" s="298" t="s">
        <v>112</v>
      </c>
      <c r="U2251" s="298" t="s">
        <v>57</v>
      </c>
      <c r="V2251" s="303">
        <v>2520</v>
      </c>
      <c r="W2251" s="303">
        <f>4961-2520+79</f>
        <v>2520</v>
      </c>
      <c r="X2251" s="304"/>
      <c r="Y2251" s="305">
        <f t="shared" si="866"/>
        <v>0</v>
      </c>
      <c r="Z2251" s="306">
        <f t="shared" si="867"/>
        <v>0</v>
      </c>
      <c r="AA2251" s="306">
        <f t="shared" si="865"/>
        <v>0</v>
      </c>
      <c r="AB2251" s="814">
        <v>7.4999999999999997E-3</v>
      </c>
      <c r="AC2251" s="303">
        <f t="shared" si="856"/>
        <v>0</v>
      </c>
      <c r="AD2251" s="443"/>
      <c r="AE2251" s="210">
        <f t="shared" si="868"/>
        <v>0</v>
      </c>
      <c r="AF2251" s="210">
        <f t="shared" si="869"/>
        <v>0</v>
      </c>
      <c r="AG2251" s="211">
        <f t="shared" si="870"/>
        <v>0.309</v>
      </c>
      <c r="AH2251" s="157">
        <f t="shared" si="871"/>
        <v>0</v>
      </c>
      <c r="AI2251" s="152">
        <f t="shared" si="872"/>
        <v>30240</v>
      </c>
      <c r="AK2251" s="156" t="s">
        <v>691</v>
      </c>
      <c r="AL2251" s="212" t="s">
        <v>690</v>
      </c>
      <c r="AM2251" s="198">
        <f t="shared" ref="AM2251:AM2282" si="873">AG2251*Z2251</f>
        <v>0</v>
      </c>
      <c r="AN2251" s="199">
        <f t="shared" si="861"/>
        <v>45796</v>
      </c>
      <c r="AO2251" s="159" t="s">
        <v>692</v>
      </c>
      <c r="AP2251" s="781"/>
      <c r="AQ2251" s="782">
        <v>12063755</v>
      </c>
      <c r="AR2251" s="782">
        <v>12081257</v>
      </c>
      <c r="AS2251" s="782">
        <v>12081260</v>
      </c>
      <c r="AT2251" s="782"/>
      <c r="AU2251" s="781"/>
      <c r="AV2251" s="782">
        <v>12095577</v>
      </c>
      <c r="AW2251" s="782"/>
      <c r="AX2251" s="782"/>
      <c r="AY2251" s="782">
        <v>12094579</v>
      </c>
      <c r="AZ2251" s="782">
        <v>12094580</v>
      </c>
      <c r="BA2251" s="782">
        <v>12094581</v>
      </c>
      <c r="BB2251" s="209">
        <v>23053185</v>
      </c>
    </row>
    <row r="2252" spans="1:54" ht="25" hidden="1" customHeight="1">
      <c r="B2252" s="583">
        <v>45796</v>
      </c>
      <c r="C2252" s="795" t="s">
        <v>1929</v>
      </c>
      <c r="D2252" s="185">
        <f t="shared" si="863"/>
        <v>2025</v>
      </c>
      <c r="E2252" s="777" t="e">
        <f>VLOOKUP($B2252,Week!$A$1:$C$1462,2,0)</f>
        <v>#N/A</v>
      </c>
      <c r="F2252" s="778" t="str">
        <f t="shared" si="864"/>
        <v>May</v>
      </c>
      <c r="G2252" s="586" t="s">
        <v>47</v>
      </c>
      <c r="H2252" s="586" t="s">
        <v>260</v>
      </c>
      <c r="I2252" s="586" t="s">
        <v>2702</v>
      </c>
      <c r="J2252" s="587" t="s">
        <v>70</v>
      </c>
      <c r="K2252" s="588" t="s">
        <v>227</v>
      </c>
      <c r="L2252" s="300" t="s">
        <v>2167</v>
      </c>
      <c r="M2252" s="587" t="s">
        <v>2006</v>
      </c>
      <c r="N2252" s="586" t="s">
        <v>2004</v>
      </c>
      <c r="O2252" s="586" t="s">
        <v>2005</v>
      </c>
      <c r="P2252" s="589">
        <v>12</v>
      </c>
      <c r="Q2252" s="589">
        <v>3</v>
      </c>
      <c r="R2252" s="590">
        <v>8.0000000000000002E-3</v>
      </c>
      <c r="S2252" s="586" t="s">
        <v>352</v>
      </c>
      <c r="T2252" s="586" t="s">
        <v>56</v>
      </c>
      <c r="U2252" s="586" t="s">
        <v>2007</v>
      </c>
      <c r="V2252" s="779">
        <f>4500-63-3543</f>
        <v>894</v>
      </c>
      <c r="W2252" s="592">
        <f>806+88</f>
        <v>894</v>
      </c>
      <c r="X2252" s="593"/>
      <c r="Y2252" s="594">
        <f t="shared" si="866"/>
        <v>0</v>
      </c>
      <c r="Z2252" s="595">
        <f t="shared" si="867"/>
        <v>0</v>
      </c>
      <c r="AA2252" s="595">
        <f t="shared" si="865"/>
        <v>0</v>
      </c>
      <c r="AB2252" s="835">
        <v>0.05</v>
      </c>
      <c r="AC2252" s="592">
        <f t="shared" si="856"/>
        <v>0</v>
      </c>
      <c r="AD2252" s="209"/>
      <c r="AE2252" s="210">
        <f t="shared" si="868"/>
        <v>0</v>
      </c>
      <c r="AF2252" s="210">
        <f t="shared" si="869"/>
        <v>0</v>
      </c>
      <c r="AG2252" s="211">
        <f t="shared" si="870"/>
        <v>0.22700000000000001</v>
      </c>
      <c r="AH2252" s="157">
        <f t="shared" si="871"/>
        <v>0</v>
      </c>
      <c r="AI2252" s="152">
        <f t="shared" si="872"/>
        <v>10728</v>
      </c>
      <c r="AK2252" s="156" t="s">
        <v>691</v>
      </c>
      <c r="AL2252" s="212" t="s">
        <v>690</v>
      </c>
      <c r="AM2252" s="198">
        <f t="shared" si="873"/>
        <v>0</v>
      </c>
      <c r="AN2252" s="199">
        <f t="shared" si="861"/>
        <v>45796</v>
      </c>
      <c r="AO2252" s="159" t="s">
        <v>692</v>
      </c>
      <c r="AP2252" s="783" t="s">
        <v>623</v>
      </c>
      <c r="AQ2252" s="782">
        <v>12071839</v>
      </c>
      <c r="AR2252" s="782">
        <v>12042650</v>
      </c>
      <c r="AS2252" s="782">
        <v>12042649</v>
      </c>
      <c r="AT2252" s="782"/>
      <c r="AU2252" s="781"/>
      <c r="AV2252" s="782">
        <v>12094036</v>
      </c>
      <c r="AW2252" s="782"/>
      <c r="AX2252" s="782"/>
      <c r="AY2252" s="782">
        <v>12094035</v>
      </c>
      <c r="AZ2252" s="782">
        <v>12094041</v>
      </c>
      <c r="BA2252" s="781"/>
      <c r="BB2252" s="209">
        <v>11044165</v>
      </c>
    </row>
    <row r="2253" spans="1:54" ht="25" hidden="1" customHeight="1">
      <c r="B2253" s="602">
        <v>45796</v>
      </c>
      <c r="C2253" s="861" t="s">
        <v>1929</v>
      </c>
      <c r="D2253" s="604">
        <f t="shared" si="863"/>
        <v>2025</v>
      </c>
      <c r="E2253" s="603" t="e">
        <f>VLOOKUP($B2253,Week!$A$1:$C$1462,2,0)</f>
        <v>#N/A</v>
      </c>
      <c r="F2253" s="605" t="str">
        <f t="shared" si="864"/>
        <v>May</v>
      </c>
      <c r="G2253" s="604" t="s">
        <v>47</v>
      </c>
      <c r="H2253" s="604" t="s">
        <v>518</v>
      </c>
      <c r="I2253" s="604" t="s">
        <v>2702</v>
      </c>
      <c r="J2253" s="606" t="s">
        <v>70</v>
      </c>
      <c r="K2253" s="607" t="s">
        <v>227</v>
      </c>
      <c r="L2253" s="607" t="s">
        <v>2167</v>
      </c>
      <c r="M2253" s="606" t="s">
        <v>2006</v>
      </c>
      <c r="N2253" s="604" t="s">
        <v>2334</v>
      </c>
      <c r="O2253" s="604" t="s">
        <v>2005</v>
      </c>
      <c r="P2253" s="608">
        <v>12</v>
      </c>
      <c r="Q2253" s="608">
        <v>3</v>
      </c>
      <c r="R2253" s="609">
        <v>8.0000000000000002E-3</v>
      </c>
      <c r="S2253" s="604" t="s">
        <v>352</v>
      </c>
      <c r="T2253" s="604" t="s">
        <v>56</v>
      </c>
      <c r="U2253" s="604" t="s">
        <v>2007</v>
      </c>
      <c r="V2253" s="862">
        <f>1500</f>
        <v>1500</v>
      </c>
      <c r="W2253" s="610">
        <f>1500</f>
        <v>1500</v>
      </c>
      <c r="X2253" s="611"/>
      <c r="Y2253" s="612">
        <f t="shared" si="866"/>
        <v>0</v>
      </c>
      <c r="Z2253" s="613">
        <f t="shared" si="867"/>
        <v>0</v>
      </c>
      <c r="AA2253" s="613">
        <f t="shared" si="865"/>
        <v>0</v>
      </c>
      <c r="AB2253" s="836">
        <v>0.05</v>
      </c>
      <c r="AC2253" s="610">
        <f t="shared" si="856"/>
        <v>0</v>
      </c>
      <c r="AD2253" s="209"/>
      <c r="AE2253" s="210">
        <f t="shared" si="868"/>
        <v>0</v>
      </c>
      <c r="AF2253" s="210">
        <f t="shared" si="869"/>
        <v>0</v>
      </c>
      <c r="AG2253" s="211">
        <f t="shared" si="870"/>
        <v>0.22700000000000001</v>
      </c>
      <c r="AH2253" s="157">
        <f t="shared" si="871"/>
        <v>0</v>
      </c>
      <c r="AI2253" s="152">
        <f t="shared" si="872"/>
        <v>18000</v>
      </c>
      <c r="AK2253" s="156" t="s">
        <v>691</v>
      </c>
      <c r="AL2253" s="212" t="s">
        <v>690</v>
      </c>
      <c r="AM2253" s="198">
        <f t="shared" si="873"/>
        <v>0</v>
      </c>
      <c r="AN2253" s="199">
        <f t="shared" si="861"/>
        <v>45796</v>
      </c>
      <c r="AO2253" s="159" t="s">
        <v>692</v>
      </c>
      <c r="AP2253" s="783" t="s">
        <v>623</v>
      </c>
      <c r="AQ2253" s="782">
        <v>12071839</v>
      </c>
      <c r="AR2253" s="782">
        <v>12042650</v>
      </c>
      <c r="AS2253" s="782">
        <v>12042649</v>
      </c>
      <c r="AT2253" s="782"/>
      <c r="AU2253" s="781"/>
      <c r="AV2253" s="782">
        <v>12094036</v>
      </c>
      <c r="AW2253" s="782"/>
      <c r="AX2253" s="782"/>
      <c r="AY2253" s="782">
        <v>12094035</v>
      </c>
      <c r="AZ2253" s="782">
        <v>12094041</v>
      </c>
      <c r="BA2253" s="781"/>
      <c r="BB2253" s="209">
        <v>11044165</v>
      </c>
    </row>
    <row r="2254" spans="1:54" ht="26.25" hidden="1" customHeight="1">
      <c r="B2254" s="235">
        <v>45797</v>
      </c>
      <c r="C2254" s="235">
        <v>45812</v>
      </c>
      <c r="D2254" s="185">
        <f t="shared" si="863"/>
        <v>2025</v>
      </c>
      <c r="E2254" s="236" t="e">
        <f>VLOOKUP($B2254,Week!$A$1:$C$1462,2,0)</f>
        <v>#N/A</v>
      </c>
      <c r="F2254" s="237" t="str">
        <f t="shared" si="864"/>
        <v>May</v>
      </c>
      <c r="G2254" s="236" t="s">
        <v>2194</v>
      </c>
      <c r="H2254" s="236" t="s">
        <v>392</v>
      </c>
      <c r="I2254" s="236" t="s">
        <v>2772</v>
      </c>
      <c r="J2254" s="238" t="s">
        <v>393</v>
      </c>
      <c r="K2254" s="239" t="s">
        <v>1643</v>
      </c>
      <c r="L2254" s="300" t="s">
        <v>2167</v>
      </c>
      <c r="M2254" s="238" t="s">
        <v>406</v>
      </c>
      <c r="N2254" s="236" t="s">
        <v>407</v>
      </c>
      <c r="O2254" s="236" t="s">
        <v>206</v>
      </c>
      <c r="P2254" s="240">
        <v>24</v>
      </c>
      <c r="Q2254" s="240">
        <v>5</v>
      </c>
      <c r="R2254" s="241">
        <v>8.0000000000000002E-3</v>
      </c>
      <c r="S2254" s="236" t="s">
        <v>40</v>
      </c>
      <c r="T2254" s="236" t="s">
        <v>56</v>
      </c>
      <c r="U2254" s="640" t="s">
        <v>499</v>
      </c>
      <c r="V2254" s="242">
        <f>800</f>
        <v>800</v>
      </c>
      <c r="W2254" s="242">
        <f>29+771</f>
        <v>800</v>
      </c>
      <c r="X2254" s="243"/>
      <c r="Y2254" s="244">
        <f t="shared" si="866"/>
        <v>0</v>
      </c>
      <c r="Z2254" s="245">
        <f t="shared" si="867"/>
        <v>0</v>
      </c>
      <c r="AA2254" s="245">
        <f t="shared" si="865"/>
        <v>0</v>
      </c>
      <c r="AB2254" s="809">
        <v>1</v>
      </c>
      <c r="AC2254" s="242">
        <f t="shared" si="856"/>
        <v>0</v>
      </c>
      <c r="AD2254" s="209" t="s">
        <v>2239</v>
      </c>
      <c r="AE2254" s="210">
        <f t="shared" si="868"/>
        <v>0</v>
      </c>
      <c r="AF2254" s="210">
        <f t="shared" si="869"/>
        <v>0</v>
      </c>
      <c r="AG2254" s="211">
        <f t="shared" si="870"/>
        <v>0.115</v>
      </c>
      <c r="AH2254" s="157">
        <f t="shared" si="871"/>
        <v>0</v>
      </c>
      <c r="AI2254" s="152">
        <f t="shared" si="872"/>
        <v>19200</v>
      </c>
      <c r="AK2254" s="156" t="s">
        <v>691</v>
      </c>
      <c r="AL2254" s="574" t="s">
        <v>690</v>
      </c>
      <c r="AM2254" s="198">
        <f t="shared" si="873"/>
        <v>0</v>
      </c>
      <c r="AN2254" s="199">
        <f t="shared" si="861"/>
        <v>45797</v>
      </c>
      <c r="AO2254" s="159" t="s">
        <v>692</v>
      </c>
      <c r="AP2254" s="783" t="s">
        <v>608</v>
      </c>
      <c r="AQ2254" s="782">
        <v>12071839</v>
      </c>
      <c r="AR2254" s="782">
        <v>12047514</v>
      </c>
      <c r="AS2254" s="782">
        <v>12047515</v>
      </c>
      <c r="AT2254" s="781"/>
      <c r="AU2254" s="782">
        <v>12026902</v>
      </c>
      <c r="AV2254" s="782">
        <v>12081781</v>
      </c>
      <c r="AW2254" s="782">
        <v>12026904</v>
      </c>
      <c r="AX2254" s="781"/>
      <c r="AY2254" s="783" t="s">
        <v>625</v>
      </c>
      <c r="AZ2254" s="783" t="s">
        <v>1640</v>
      </c>
      <c r="BA2254" s="783" t="s">
        <v>624</v>
      </c>
      <c r="BB2254" s="209">
        <v>23052995</v>
      </c>
    </row>
    <row r="2255" spans="1:54" ht="24.65" hidden="1" customHeight="1">
      <c r="B2255" s="224">
        <v>45797</v>
      </c>
      <c r="C2255" s="224">
        <v>45812</v>
      </c>
      <c r="D2255" s="185">
        <f t="shared" si="863"/>
        <v>2025</v>
      </c>
      <c r="E2255" s="225" t="e">
        <f>VLOOKUP($B2255,Week!$A$1:$C$1462,2,0)</f>
        <v>#N/A</v>
      </c>
      <c r="F2255" s="226" t="str">
        <f t="shared" si="864"/>
        <v>May</v>
      </c>
      <c r="G2255" s="225" t="s">
        <v>2194</v>
      </c>
      <c r="H2255" s="225" t="s">
        <v>392</v>
      </c>
      <c r="I2255" s="225" t="s">
        <v>2772</v>
      </c>
      <c r="J2255" s="227" t="s">
        <v>393</v>
      </c>
      <c r="K2255" s="228" t="s">
        <v>176</v>
      </c>
      <c r="L2255" s="300" t="s">
        <v>2167</v>
      </c>
      <c r="M2255" s="228" t="s">
        <v>399</v>
      </c>
      <c r="N2255" s="225" t="s">
        <v>400</v>
      </c>
      <c r="O2255" s="225" t="s">
        <v>195</v>
      </c>
      <c r="P2255" s="229">
        <v>24</v>
      </c>
      <c r="Q2255" s="229">
        <v>5</v>
      </c>
      <c r="R2255" s="230">
        <v>8.0000000000000002E-3</v>
      </c>
      <c r="S2255" s="225" t="s">
        <v>40</v>
      </c>
      <c r="T2255" s="225" t="s">
        <v>56</v>
      </c>
      <c r="U2255" s="225" t="s">
        <v>57</v>
      </c>
      <c r="V2255" s="231">
        <f>1000</f>
        <v>1000</v>
      </c>
      <c r="W2255" s="231">
        <f>3+969</f>
        <v>972</v>
      </c>
      <c r="X2255" s="232">
        <v>28</v>
      </c>
      <c r="Y2255" s="233">
        <f t="shared" si="866"/>
        <v>0</v>
      </c>
      <c r="Z2255" s="234">
        <f t="shared" si="867"/>
        <v>0</v>
      </c>
      <c r="AA2255" s="234">
        <f t="shared" si="865"/>
        <v>0</v>
      </c>
      <c r="AB2255" s="808">
        <v>7.4999999999999997E-3</v>
      </c>
      <c r="AC2255" s="231">
        <f t="shared" si="856"/>
        <v>0</v>
      </c>
      <c r="AD2255" s="220" t="s">
        <v>2238</v>
      </c>
      <c r="AE2255" s="210">
        <f t="shared" si="868"/>
        <v>0</v>
      </c>
      <c r="AF2255" s="210">
        <f t="shared" si="869"/>
        <v>0</v>
      </c>
      <c r="AG2255" s="211">
        <f t="shared" si="870"/>
        <v>0.14499999999999999</v>
      </c>
      <c r="AH2255" s="157">
        <f t="shared" si="871"/>
        <v>0</v>
      </c>
      <c r="AI2255" s="152">
        <f t="shared" si="872"/>
        <v>24000</v>
      </c>
      <c r="AK2255" s="156" t="s">
        <v>691</v>
      </c>
      <c r="AL2255" s="574" t="s">
        <v>690</v>
      </c>
      <c r="AM2255" s="198">
        <f t="shared" si="873"/>
        <v>0</v>
      </c>
      <c r="AN2255" s="199">
        <f t="shared" si="861"/>
        <v>45797</v>
      </c>
      <c r="AO2255" s="159" t="s">
        <v>692</v>
      </c>
      <c r="AP2255" s="783" t="s">
        <v>638</v>
      </c>
      <c r="AQ2255" s="783" t="s">
        <v>631</v>
      </c>
      <c r="AR2255" s="783" t="s">
        <v>632</v>
      </c>
      <c r="AS2255" s="783" t="s">
        <v>633</v>
      </c>
      <c r="AT2255" s="781"/>
      <c r="AU2255" s="783" t="s">
        <v>626</v>
      </c>
      <c r="AV2255" s="783" t="s">
        <v>630</v>
      </c>
      <c r="AW2255" s="783" t="s">
        <v>634</v>
      </c>
      <c r="AX2255" s="781"/>
      <c r="AY2255" s="783" t="s">
        <v>635</v>
      </c>
      <c r="AZ2255" s="783" t="s">
        <v>636</v>
      </c>
      <c r="BA2255" s="783" t="s">
        <v>637</v>
      </c>
      <c r="BB2255" s="209">
        <v>23053185</v>
      </c>
    </row>
    <row r="2256" spans="1:54" ht="24.65" hidden="1" customHeight="1">
      <c r="B2256" s="308">
        <v>45797</v>
      </c>
      <c r="C2256" s="309">
        <v>45820</v>
      </c>
      <c r="D2256" s="185">
        <f t="shared" si="863"/>
        <v>2025</v>
      </c>
      <c r="E2256" s="309" t="e">
        <f>VLOOKUP($B2256,Week!$A$1:$C$1462,2,0)</f>
        <v>#N/A</v>
      </c>
      <c r="F2256" s="310" t="str">
        <f t="shared" si="864"/>
        <v>May</v>
      </c>
      <c r="G2256" s="311" t="s">
        <v>2208</v>
      </c>
      <c r="H2256" s="311" t="s">
        <v>311</v>
      </c>
      <c r="I2256" s="311" t="s">
        <v>2772</v>
      </c>
      <c r="J2256" s="312" t="s">
        <v>738</v>
      </c>
      <c r="K2256" s="313" t="s">
        <v>107</v>
      </c>
      <c r="L2256" s="300" t="s">
        <v>2167</v>
      </c>
      <c r="M2256" s="312" t="s">
        <v>313</v>
      </c>
      <c r="N2256" s="311" t="s">
        <v>314</v>
      </c>
      <c r="O2256" s="311" t="s">
        <v>110</v>
      </c>
      <c r="P2256" s="314">
        <v>36</v>
      </c>
      <c r="Q2256" s="314">
        <v>5</v>
      </c>
      <c r="R2256" s="315">
        <v>7.4999999999999997E-3</v>
      </c>
      <c r="S2256" s="311" t="s">
        <v>111</v>
      </c>
      <c r="T2256" s="311" t="s">
        <v>112</v>
      </c>
      <c r="U2256" s="311" t="s">
        <v>57</v>
      </c>
      <c r="V2256" s="316">
        <v>792</v>
      </c>
      <c r="W2256" s="316">
        <f>12+780</f>
        <v>792</v>
      </c>
      <c r="X2256" s="317"/>
      <c r="Y2256" s="318">
        <f t="shared" si="866"/>
        <v>0</v>
      </c>
      <c r="Z2256" s="319">
        <f t="shared" si="867"/>
        <v>0</v>
      </c>
      <c r="AA2256" s="319">
        <f t="shared" si="865"/>
        <v>0</v>
      </c>
      <c r="AB2256" s="815">
        <v>7.4999999999999997E-3</v>
      </c>
      <c r="AC2256" s="316">
        <f t="shared" si="856"/>
        <v>0</v>
      </c>
      <c r="AD2256" s="515"/>
      <c r="AE2256" s="210">
        <f t="shared" si="868"/>
        <v>0</v>
      </c>
      <c r="AF2256" s="210">
        <f t="shared" si="869"/>
        <v>0</v>
      </c>
      <c r="AG2256" s="211">
        <f t="shared" si="870"/>
        <v>0.308</v>
      </c>
      <c r="AH2256" s="157">
        <f t="shared" si="871"/>
        <v>0</v>
      </c>
      <c r="AI2256" s="152">
        <f t="shared" si="872"/>
        <v>28512</v>
      </c>
      <c r="AK2256" s="156" t="s">
        <v>691</v>
      </c>
      <c r="AL2256" s="212" t="s">
        <v>690</v>
      </c>
      <c r="AM2256" s="198">
        <f t="shared" si="873"/>
        <v>0</v>
      </c>
      <c r="AN2256" s="199">
        <f t="shared" si="861"/>
        <v>45797</v>
      </c>
      <c r="AO2256" s="159" t="s">
        <v>692</v>
      </c>
      <c r="AP2256" s="783" t="s">
        <v>644</v>
      </c>
      <c r="AQ2256" s="782">
        <v>12063755</v>
      </c>
      <c r="AR2256" s="782">
        <v>12061353</v>
      </c>
      <c r="AS2256" s="782">
        <v>12061354</v>
      </c>
      <c r="AT2256" s="782">
        <v>12062266</v>
      </c>
      <c r="AU2256" s="781"/>
      <c r="AV2256" s="782">
        <v>12088159</v>
      </c>
      <c r="AW2256" s="782">
        <v>12088207</v>
      </c>
      <c r="AX2256" s="782"/>
      <c r="AY2256" s="782">
        <v>12094237</v>
      </c>
      <c r="AZ2256" s="782"/>
      <c r="BA2256" s="781"/>
      <c r="BB2256" s="209">
        <v>23053185</v>
      </c>
    </row>
    <row r="2257" spans="2:54" ht="25" hidden="1" customHeight="1">
      <c r="B2257" s="487">
        <v>45797</v>
      </c>
      <c r="C2257" s="487">
        <v>45831</v>
      </c>
      <c r="D2257" s="185">
        <f>IF(B2257="","",YEAR(B2257))</f>
        <v>2025</v>
      </c>
      <c r="E2257" s="488" t="e">
        <f>VLOOKUP($B2257,Week!$A$1:$C$1462,2,0)</f>
        <v>#N/A</v>
      </c>
      <c r="F2257" s="489" t="str">
        <f>IF(B2257="","",TEXT(B2257,"[$-409]mmm"))</f>
        <v>May</v>
      </c>
      <c r="G2257" s="444" t="s">
        <v>2205</v>
      </c>
      <c r="H2257" s="444" t="s">
        <v>571</v>
      </c>
      <c r="I2257" s="444" t="s">
        <v>2772</v>
      </c>
      <c r="J2257" s="490" t="s">
        <v>663</v>
      </c>
      <c r="K2257" s="491" t="s">
        <v>107</v>
      </c>
      <c r="L2257" s="300" t="s">
        <v>2167</v>
      </c>
      <c r="M2257" s="490" t="s">
        <v>136</v>
      </c>
      <c r="N2257" s="444" t="s">
        <v>2204</v>
      </c>
      <c r="O2257" s="444" t="s">
        <v>270</v>
      </c>
      <c r="P2257" s="492">
        <v>12</v>
      </c>
      <c r="Q2257" s="492">
        <v>3</v>
      </c>
      <c r="R2257" s="493">
        <v>6.8100000000000001E-3</v>
      </c>
      <c r="S2257" s="444" t="s">
        <v>76</v>
      </c>
      <c r="T2257" s="444" t="s">
        <v>112</v>
      </c>
      <c r="U2257" s="444" t="s">
        <v>57</v>
      </c>
      <c r="V2257" s="494">
        <v>2278</v>
      </c>
      <c r="W2257" s="494"/>
      <c r="X2257" s="495">
        <f>(27521)/12</f>
        <v>2293.4166666666665</v>
      </c>
      <c r="Y2257" s="496">
        <f>(W2257+X2257)-V2257</f>
        <v>15.416666666666515</v>
      </c>
      <c r="Z2257" s="497">
        <f>IF(Y2257&lt;0,((V2257*P2257)-((W2257+X2257)*P2257)),0)</f>
        <v>0</v>
      </c>
      <c r="AA2257" s="497">
        <f>Q2257*Z2257</f>
        <v>0</v>
      </c>
      <c r="AB2257" s="829">
        <v>9.7000000000000003E-3</v>
      </c>
      <c r="AC2257" s="494">
        <f>Z2257*AB2257</f>
        <v>0</v>
      </c>
      <c r="AD2257" s="515"/>
      <c r="AE2257" s="210">
        <f>SUM(Q2257*R2257*Z2257)/1000</f>
        <v>0</v>
      </c>
      <c r="AF2257" s="210">
        <f>AE2257/0.54</f>
        <v>0</v>
      </c>
      <c r="AG2257" s="211">
        <f>MID(O2257,1,3)/1000</f>
        <v>0.309</v>
      </c>
      <c r="AH2257" s="157">
        <f>(Z2257*AG2257)/1000</f>
        <v>0</v>
      </c>
      <c r="AI2257" s="152">
        <f>V2257*P2257</f>
        <v>27336</v>
      </c>
      <c r="AK2257" s="156" t="s">
        <v>691</v>
      </c>
      <c r="AL2257" s="212" t="s">
        <v>690</v>
      </c>
      <c r="AM2257" s="198">
        <f>AG2257*Z2257</f>
        <v>0</v>
      </c>
      <c r="AN2257" s="199">
        <f>B2257</f>
        <v>45797</v>
      </c>
      <c r="AO2257" s="159" t="s">
        <v>692</v>
      </c>
      <c r="AP2257" s="781"/>
      <c r="AQ2257" s="782">
        <v>12063755</v>
      </c>
      <c r="AR2257" s="782">
        <v>12061353</v>
      </c>
      <c r="AS2257" s="782">
        <v>12061354</v>
      </c>
      <c r="AT2257" s="782">
        <v>12090252</v>
      </c>
      <c r="AU2257" s="781"/>
      <c r="AV2257" s="782">
        <v>12090250</v>
      </c>
      <c r="AW2257" s="782"/>
      <c r="AX2257" s="782"/>
      <c r="AY2257" s="782" t="s">
        <v>2319</v>
      </c>
      <c r="AZ2257" s="782"/>
      <c r="BA2257" s="782"/>
    </row>
    <row r="2258" spans="2:54" ht="25" hidden="1" customHeight="1">
      <c r="B2258" s="498">
        <v>45797</v>
      </c>
      <c r="C2258" s="499">
        <v>45820</v>
      </c>
      <c r="D2258" s="185">
        <f t="shared" si="863"/>
        <v>2025</v>
      </c>
      <c r="E2258" s="499" t="e">
        <f>VLOOKUP($B2258,Week!$A$1:$C$1462,2,0)</f>
        <v>#N/A</v>
      </c>
      <c r="F2258" s="500" t="str">
        <f t="shared" si="864"/>
        <v>May</v>
      </c>
      <c r="G2258" s="501" t="s">
        <v>2244</v>
      </c>
      <c r="H2258" s="501" t="s">
        <v>311</v>
      </c>
      <c r="I2258" s="501" t="s">
        <v>2772</v>
      </c>
      <c r="J2258" s="502" t="s">
        <v>738</v>
      </c>
      <c r="K2258" s="503" t="s">
        <v>1646</v>
      </c>
      <c r="L2258" s="300" t="s">
        <v>2167</v>
      </c>
      <c r="M2258" s="502" t="s">
        <v>654</v>
      </c>
      <c r="N2258" s="501" t="s">
        <v>726</v>
      </c>
      <c r="O2258" s="501" t="s">
        <v>655</v>
      </c>
      <c r="P2258" s="504">
        <v>24</v>
      </c>
      <c r="Q2258" s="504">
        <v>5</v>
      </c>
      <c r="R2258" s="505">
        <v>7.4999999999999997E-3</v>
      </c>
      <c r="S2258" s="501" t="s">
        <v>40</v>
      </c>
      <c r="T2258" s="501" t="s">
        <v>112</v>
      </c>
      <c r="U2258" s="506" t="s">
        <v>1894</v>
      </c>
      <c r="V2258" s="507">
        <v>924</v>
      </c>
      <c r="W2258" s="507">
        <f>804</f>
        <v>804</v>
      </c>
      <c r="X2258" s="508">
        <f>(2073+807)/24</f>
        <v>120</v>
      </c>
      <c r="Y2258" s="509">
        <f t="shared" si="866"/>
        <v>0</v>
      </c>
      <c r="Z2258" s="510">
        <f t="shared" si="867"/>
        <v>0</v>
      </c>
      <c r="AA2258" s="510">
        <f t="shared" si="865"/>
        <v>0</v>
      </c>
      <c r="AB2258" s="830">
        <v>3.8699999999999998E-2</v>
      </c>
      <c r="AC2258" s="507">
        <f t="shared" si="856"/>
        <v>0</v>
      </c>
      <c r="AD2258" s="209"/>
      <c r="AE2258" s="210">
        <f t="shared" si="868"/>
        <v>0</v>
      </c>
      <c r="AF2258" s="210">
        <f t="shared" si="869"/>
        <v>0</v>
      </c>
      <c r="AG2258" s="211">
        <f t="shared" si="870"/>
        <v>0.307</v>
      </c>
      <c r="AH2258" s="157">
        <f t="shared" si="871"/>
        <v>0</v>
      </c>
      <c r="AI2258" s="152">
        <f t="shared" si="872"/>
        <v>22176</v>
      </c>
      <c r="AK2258" s="156" t="s">
        <v>691</v>
      </c>
      <c r="AL2258" s="212" t="s">
        <v>690</v>
      </c>
      <c r="AM2258" s="198">
        <f t="shared" si="873"/>
        <v>0</v>
      </c>
      <c r="AN2258" s="199">
        <f t="shared" si="861"/>
        <v>45797</v>
      </c>
      <c r="AO2258" s="159" t="s">
        <v>692</v>
      </c>
      <c r="AP2258" s="781" t="s">
        <v>642</v>
      </c>
      <c r="AQ2258" s="782">
        <v>12063755</v>
      </c>
      <c r="AR2258" s="782">
        <v>12061353</v>
      </c>
      <c r="AS2258" s="782">
        <v>12061354</v>
      </c>
      <c r="AT2258" s="782">
        <v>12089274</v>
      </c>
      <c r="AU2258" s="781"/>
      <c r="AV2258" s="782">
        <v>12089275</v>
      </c>
      <c r="AW2258" s="782">
        <v>12068154</v>
      </c>
      <c r="AX2258" s="782"/>
      <c r="AY2258" s="782">
        <v>12094140</v>
      </c>
      <c r="AZ2258" s="782"/>
      <c r="BA2258" s="781"/>
      <c r="BB2258" s="209">
        <v>23105470</v>
      </c>
    </row>
    <row r="2259" spans="2:54" ht="25" hidden="1" customHeight="1">
      <c r="B2259" s="332">
        <v>45797</v>
      </c>
      <c r="C2259" s="333">
        <v>45820</v>
      </c>
      <c r="D2259" s="185">
        <f t="shared" si="863"/>
        <v>2025</v>
      </c>
      <c r="E2259" s="333" t="e">
        <f>VLOOKUP($B2259,Week!$A$1:$C$1462,2,0)</f>
        <v>#N/A</v>
      </c>
      <c r="F2259" s="334" t="str">
        <f t="shared" si="864"/>
        <v>May</v>
      </c>
      <c r="G2259" s="335" t="s">
        <v>2045</v>
      </c>
      <c r="H2259" s="335" t="s">
        <v>675</v>
      </c>
      <c r="I2259" s="335" t="s">
        <v>2772</v>
      </c>
      <c r="J2259" s="336" t="s">
        <v>709</v>
      </c>
      <c r="K2259" s="337" t="s">
        <v>1649</v>
      </c>
      <c r="L2259" s="300" t="s">
        <v>2167</v>
      </c>
      <c r="M2259" s="336" t="s">
        <v>603</v>
      </c>
      <c r="N2259" s="530" t="s">
        <v>711</v>
      </c>
      <c r="O2259" s="335" t="s">
        <v>602</v>
      </c>
      <c r="P2259" s="338">
        <v>8</v>
      </c>
      <c r="Q2259" s="338">
        <v>3</v>
      </c>
      <c r="R2259" s="339">
        <v>6.0000000000000001E-3</v>
      </c>
      <c r="S2259" s="335" t="s">
        <v>55</v>
      </c>
      <c r="T2259" s="335" t="s">
        <v>112</v>
      </c>
      <c r="U2259" s="340" t="s">
        <v>1894</v>
      </c>
      <c r="V2259" s="341">
        <f>216</f>
        <v>216</v>
      </c>
      <c r="W2259" s="341"/>
      <c r="X2259" s="342">
        <f>(371+1357)/8</f>
        <v>216</v>
      </c>
      <c r="Y2259" s="343">
        <f t="shared" si="866"/>
        <v>0</v>
      </c>
      <c r="Z2259" s="344">
        <f t="shared" si="867"/>
        <v>0</v>
      </c>
      <c r="AA2259" s="344">
        <f t="shared" si="865"/>
        <v>0</v>
      </c>
      <c r="AB2259" s="817">
        <v>3.8699999999999998E-2</v>
      </c>
      <c r="AC2259" s="341">
        <f t="shared" si="856"/>
        <v>0</v>
      </c>
      <c r="AD2259" s="443"/>
      <c r="AE2259" s="210">
        <f t="shared" si="868"/>
        <v>0</v>
      </c>
      <c r="AF2259" s="210">
        <f t="shared" si="869"/>
        <v>0</v>
      </c>
      <c r="AG2259" s="211">
        <f t="shared" si="870"/>
        <v>0.30199999999999999</v>
      </c>
      <c r="AH2259" s="157">
        <v>0.26621999999999996</v>
      </c>
      <c r="AI2259" s="152">
        <f t="shared" si="872"/>
        <v>1728</v>
      </c>
      <c r="AK2259" s="156" t="s">
        <v>691</v>
      </c>
      <c r="AL2259" s="212" t="s">
        <v>690</v>
      </c>
      <c r="AM2259" s="198">
        <f t="shared" si="873"/>
        <v>0</v>
      </c>
      <c r="AN2259" s="199">
        <f t="shared" si="861"/>
        <v>45797</v>
      </c>
      <c r="AO2259" s="159" t="s">
        <v>692</v>
      </c>
      <c r="AP2259" s="781" t="s">
        <v>642</v>
      </c>
      <c r="AQ2259" s="782">
        <v>12063755</v>
      </c>
      <c r="AR2259" s="782">
        <v>12061353</v>
      </c>
      <c r="AS2259" s="782">
        <v>12061354</v>
      </c>
      <c r="AT2259" s="782">
        <v>12089985</v>
      </c>
      <c r="AU2259" s="781"/>
      <c r="AV2259" s="782">
        <v>12089988</v>
      </c>
      <c r="AW2259" s="781"/>
      <c r="AX2259" s="781"/>
      <c r="AY2259" s="781"/>
      <c r="AZ2259" s="782"/>
      <c r="BA2259" s="781"/>
      <c r="BB2259" s="209">
        <v>23105470</v>
      </c>
    </row>
    <row r="2260" spans="2:54" ht="25" hidden="1" customHeight="1">
      <c r="B2260" s="332">
        <v>45797</v>
      </c>
      <c r="C2260" s="333">
        <v>45841</v>
      </c>
      <c r="D2260" s="185">
        <f t="shared" si="863"/>
        <v>2025</v>
      </c>
      <c r="E2260" s="333" t="e">
        <f>VLOOKUP($B2260,Week!$A$1:$C$1462,2,0)</f>
        <v>#N/A</v>
      </c>
      <c r="F2260" s="334" t="str">
        <f t="shared" si="864"/>
        <v>May</v>
      </c>
      <c r="G2260" s="335" t="s">
        <v>2216</v>
      </c>
      <c r="H2260" s="335" t="s">
        <v>675</v>
      </c>
      <c r="I2260" s="335" t="s">
        <v>2772</v>
      </c>
      <c r="J2260" s="336" t="s">
        <v>709</v>
      </c>
      <c r="K2260" s="337" t="s">
        <v>1649</v>
      </c>
      <c r="L2260" s="300" t="s">
        <v>2167</v>
      </c>
      <c r="M2260" s="336" t="s">
        <v>603</v>
      </c>
      <c r="N2260" s="530" t="s">
        <v>711</v>
      </c>
      <c r="O2260" s="335" t="s">
        <v>602</v>
      </c>
      <c r="P2260" s="338">
        <v>8</v>
      </c>
      <c r="Q2260" s="338">
        <v>3</v>
      </c>
      <c r="R2260" s="339">
        <v>6.0000000000000001E-3</v>
      </c>
      <c r="S2260" s="335" t="s">
        <v>55</v>
      </c>
      <c r="T2260" s="335" t="s">
        <v>112</v>
      </c>
      <c r="U2260" s="340" t="s">
        <v>1894</v>
      </c>
      <c r="V2260" s="341">
        <f>216</f>
        <v>216</v>
      </c>
      <c r="W2260" s="341"/>
      <c r="X2260" s="342">
        <v>216</v>
      </c>
      <c r="Y2260" s="343">
        <f t="shared" si="866"/>
        <v>0</v>
      </c>
      <c r="Z2260" s="344">
        <f t="shared" si="867"/>
        <v>0</v>
      </c>
      <c r="AA2260" s="344">
        <f t="shared" si="865"/>
        <v>0</v>
      </c>
      <c r="AB2260" s="817">
        <v>3.8699999999999998E-2</v>
      </c>
      <c r="AC2260" s="341">
        <f t="shared" si="856"/>
        <v>0</v>
      </c>
      <c r="AD2260" s="443"/>
      <c r="AE2260" s="210">
        <f t="shared" si="868"/>
        <v>0</v>
      </c>
      <c r="AF2260" s="210">
        <f t="shared" si="869"/>
        <v>0</v>
      </c>
      <c r="AG2260" s="211">
        <f t="shared" si="870"/>
        <v>0.30199999999999999</v>
      </c>
      <c r="AH2260" s="157">
        <v>0.26621999999999996</v>
      </c>
      <c r="AI2260" s="152">
        <f t="shared" si="872"/>
        <v>1728</v>
      </c>
      <c r="AK2260" s="156" t="s">
        <v>691</v>
      </c>
      <c r="AL2260" s="212" t="s">
        <v>690</v>
      </c>
      <c r="AM2260" s="198">
        <f t="shared" si="873"/>
        <v>0</v>
      </c>
      <c r="AN2260" s="199">
        <f t="shared" si="861"/>
        <v>45797</v>
      </c>
      <c r="AO2260" s="159" t="s">
        <v>692</v>
      </c>
      <c r="AP2260" s="781" t="s">
        <v>642</v>
      </c>
      <c r="AQ2260" s="782">
        <v>12063755</v>
      </c>
      <c r="AR2260" s="782">
        <v>12061353</v>
      </c>
      <c r="AS2260" s="782">
        <v>12061354</v>
      </c>
      <c r="AT2260" s="782">
        <v>12089985</v>
      </c>
      <c r="AU2260" s="781"/>
      <c r="AV2260" s="782">
        <v>12089988</v>
      </c>
      <c r="AW2260" s="781"/>
      <c r="AX2260" s="781"/>
      <c r="AY2260" s="781"/>
      <c r="AZ2260" s="782"/>
      <c r="BA2260" s="781"/>
      <c r="BB2260" s="209">
        <v>23105470</v>
      </c>
    </row>
    <row r="2261" spans="2:54" ht="25" hidden="1" customHeight="1">
      <c r="B2261" s="332">
        <v>45797</v>
      </c>
      <c r="C2261" s="333">
        <v>45822</v>
      </c>
      <c r="D2261" s="185">
        <f t="shared" si="863"/>
        <v>2025</v>
      </c>
      <c r="E2261" s="333" t="e">
        <f>VLOOKUP($B2261,Week!$A$1:$C$1462,2,0)</f>
        <v>#N/A</v>
      </c>
      <c r="F2261" s="334" t="str">
        <f t="shared" si="864"/>
        <v>May</v>
      </c>
      <c r="G2261" s="335" t="s">
        <v>2328</v>
      </c>
      <c r="H2261" s="335" t="s">
        <v>311</v>
      </c>
      <c r="I2261" s="335" t="s">
        <v>2772</v>
      </c>
      <c r="J2261" s="336" t="s">
        <v>738</v>
      </c>
      <c r="K2261" s="337" t="s">
        <v>1649</v>
      </c>
      <c r="L2261" s="300" t="s">
        <v>2167</v>
      </c>
      <c r="M2261" s="336" t="s">
        <v>603</v>
      </c>
      <c r="N2261" s="335" t="s">
        <v>605</v>
      </c>
      <c r="O2261" s="335" t="s">
        <v>602</v>
      </c>
      <c r="P2261" s="338">
        <v>8</v>
      </c>
      <c r="Q2261" s="338">
        <v>3</v>
      </c>
      <c r="R2261" s="339">
        <v>6.0000000000000001E-3</v>
      </c>
      <c r="S2261" s="335" t="s">
        <v>55</v>
      </c>
      <c r="T2261" s="335" t="s">
        <v>112</v>
      </c>
      <c r="U2261" s="340" t="s">
        <v>1894</v>
      </c>
      <c r="V2261" s="341">
        <f>400</f>
        <v>400</v>
      </c>
      <c r="W2261" s="341"/>
      <c r="X2261" s="342">
        <f>400</f>
        <v>400</v>
      </c>
      <c r="Y2261" s="343">
        <f t="shared" si="866"/>
        <v>0</v>
      </c>
      <c r="Z2261" s="344">
        <f t="shared" si="867"/>
        <v>0</v>
      </c>
      <c r="AA2261" s="344">
        <f t="shared" si="865"/>
        <v>0</v>
      </c>
      <c r="AB2261" s="817">
        <v>3.8699999999999998E-2</v>
      </c>
      <c r="AC2261" s="341">
        <f t="shared" si="856"/>
        <v>0</v>
      </c>
      <c r="AD2261" s="443"/>
      <c r="AE2261" s="210">
        <f t="shared" si="868"/>
        <v>0</v>
      </c>
      <c r="AF2261" s="210">
        <f t="shared" si="869"/>
        <v>0</v>
      </c>
      <c r="AG2261" s="211">
        <f t="shared" si="870"/>
        <v>0.30199999999999999</v>
      </c>
      <c r="AH2261" s="157">
        <v>0.26621999999999996</v>
      </c>
      <c r="AI2261" s="152">
        <f t="shared" si="872"/>
        <v>3200</v>
      </c>
      <c r="AK2261" s="156" t="s">
        <v>691</v>
      </c>
      <c r="AL2261" s="156" t="s">
        <v>690</v>
      </c>
      <c r="AM2261" s="198">
        <f t="shared" si="873"/>
        <v>0</v>
      </c>
      <c r="AN2261" s="199">
        <f t="shared" si="861"/>
        <v>45797</v>
      </c>
      <c r="AO2261" s="159" t="s">
        <v>692</v>
      </c>
      <c r="AP2261" s="781" t="s">
        <v>642</v>
      </c>
      <c r="AQ2261" s="782">
        <v>12063755</v>
      </c>
      <c r="AR2261" s="782">
        <v>12061353</v>
      </c>
      <c r="AS2261" s="782">
        <v>12061354</v>
      </c>
      <c r="AT2261" s="782">
        <v>12084733</v>
      </c>
      <c r="AU2261" s="781"/>
      <c r="AV2261" s="782">
        <v>12084732</v>
      </c>
      <c r="AW2261" s="781"/>
      <c r="AX2261" s="781"/>
      <c r="AY2261" s="781"/>
      <c r="AZ2261" s="782"/>
      <c r="BA2261" s="781"/>
      <c r="BB2261" s="209">
        <v>23105470</v>
      </c>
    </row>
    <row r="2262" spans="2:54" ht="25" hidden="1" customHeight="1">
      <c r="B2262" s="332">
        <v>45797</v>
      </c>
      <c r="C2262" s="333">
        <v>45862</v>
      </c>
      <c r="D2262" s="185">
        <f t="shared" si="863"/>
        <v>2025</v>
      </c>
      <c r="E2262" s="333" t="e">
        <f>VLOOKUP($B2262,Week!$A$1:$C$1462,2,0)</f>
        <v>#N/A</v>
      </c>
      <c r="F2262" s="334" t="str">
        <f t="shared" si="864"/>
        <v>May</v>
      </c>
      <c r="G2262" s="335" t="s">
        <v>2329</v>
      </c>
      <c r="H2262" s="335" t="s">
        <v>311</v>
      </c>
      <c r="I2262" s="335" t="s">
        <v>2772</v>
      </c>
      <c r="J2262" s="336" t="s">
        <v>738</v>
      </c>
      <c r="K2262" s="337" t="s">
        <v>1649</v>
      </c>
      <c r="L2262" s="300" t="s">
        <v>2167</v>
      </c>
      <c r="M2262" s="336" t="s">
        <v>603</v>
      </c>
      <c r="N2262" s="335" t="s">
        <v>605</v>
      </c>
      <c r="O2262" s="335" t="s">
        <v>602</v>
      </c>
      <c r="P2262" s="338">
        <v>8</v>
      </c>
      <c r="Q2262" s="338">
        <v>3</v>
      </c>
      <c r="R2262" s="339">
        <v>6.0000000000000001E-3</v>
      </c>
      <c r="S2262" s="335" t="s">
        <v>55</v>
      </c>
      <c r="T2262" s="335" t="s">
        <v>112</v>
      </c>
      <c r="U2262" s="340" t="s">
        <v>1894</v>
      </c>
      <c r="V2262" s="341">
        <f>200</f>
        <v>200</v>
      </c>
      <c r="W2262" s="341"/>
      <c r="X2262" s="342">
        <f>200</f>
        <v>200</v>
      </c>
      <c r="Y2262" s="343">
        <f t="shared" si="866"/>
        <v>0</v>
      </c>
      <c r="Z2262" s="344">
        <f t="shared" si="867"/>
        <v>0</v>
      </c>
      <c r="AA2262" s="344">
        <f t="shared" si="865"/>
        <v>0</v>
      </c>
      <c r="AB2262" s="817">
        <v>3.8699999999999998E-2</v>
      </c>
      <c r="AC2262" s="341">
        <f t="shared" si="856"/>
        <v>0</v>
      </c>
      <c r="AD2262" s="443"/>
      <c r="AE2262" s="210">
        <f t="shared" si="868"/>
        <v>0</v>
      </c>
      <c r="AF2262" s="210">
        <f t="shared" si="869"/>
        <v>0</v>
      </c>
      <c r="AG2262" s="211">
        <f t="shared" si="870"/>
        <v>0.30199999999999999</v>
      </c>
      <c r="AH2262" s="157">
        <v>0.26621999999999996</v>
      </c>
      <c r="AI2262" s="152">
        <f t="shared" si="872"/>
        <v>1600</v>
      </c>
      <c r="AK2262" s="156" t="s">
        <v>691</v>
      </c>
      <c r="AL2262" s="156" t="s">
        <v>690</v>
      </c>
      <c r="AM2262" s="198">
        <f t="shared" si="873"/>
        <v>0</v>
      </c>
      <c r="AN2262" s="199">
        <f t="shared" si="861"/>
        <v>45797</v>
      </c>
      <c r="AO2262" s="159" t="s">
        <v>692</v>
      </c>
      <c r="AP2262" s="781" t="s">
        <v>642</v>
      </c>
      <c r="AQ2262" s="782">
        <v>12063755</v>
      </c>
      <c r="AR2262" s="782">
        <v>12061353</v>
      </c>
      <c r="AS2262" s="782">
        <v>12061354</v>
      </c>
      <c r="AT2262" s="782">
        <v>12084733</v>
      </c>
      <c r="AU2262" s="781"/>
      <c r="AV2262" s="782">
        <v>12084732</v>
      </c>
      <c r="AW2262" s="781"/>
      <c r="AX2262" s="781"/>
      <c r="AY2262" s="781"/>
      <c r="AZ2262" s="782"/>
      <c r="BA2262" s="781"/>
      <c r="BB2262" s="209">
        <v>23105470</v>
      </c>
    </row>
    <row r="2263" spans="2:54" ht="25" hidden="1" customHeight="1">
      <c r="B2263" s="332">
        <v>45797</v>
      </c>
      <c r="C2263" s="333">
        <v>45862</v>
      </c>
      <c r="D2263" s="185">
        <f t="shared" si="863"/>
        <v>2025</v>
      </c>
      <c r="E2263" s="333" t="e">
        <f>VLOOKUP($B2263,Week!$A$1:$C$1462,2,0)</f>
        <v>#N/A</v>
      </c>
      <c r="F2263" s="334" t="str">
        <f t="shared" si="864"/>
        <v>May</v>
      </c>
      <c r="G2263" s="335" t="s">
        <v>2330</v>
      </c>
      <c r="H2263" s="335" t="s">
        <v>311</v>
      </c>
      <c r="I2263" s="335" t="s">
        <v>2772</v>
      </c>
      <c r="J2263" s="336" t="s">
        <v>738</v>
      </c>
      <c r="K2263" s="337" t="s">
        <v>1649</v>
      </c>
      <c r="L2263" s="300" t="s">
        <v>2167</v>
      </c>
      <c r="M2263" s="336" t="s">
        <v>603</v>
      </c>
      <c r="N2263" s="335" t="s">
        <v>605</v>
      </c>
      <c r="O2263" s="335" t="s">
        <v>602</v>
      </c>
      <c r="P2263" s="338">
        <v>8</v>
      </c>
      <c r="Q2263" s="338">
        <v>3</v>
      </c>
      <c r="R2263" s="339">
        <v>6.0000000000000001E-3</v>
      </c>
      <c r="S2263" s="335" t="s">
        <v>55</v>
      </c>
      <c r="T2263" s="335" t="s">
        <v>112</v>
      </c>
      <c r="U2263" s="340" t="s">
        <v>1894</v>
      </c>
      <c r="V2263" s="341">
        <f>300</f>
        <v>300</v>
      </c>
      <c r="W2263" s="341"/>
      <c r="X2263" s="342">
        <f>300</f>
        <v>300</v>
      </c>
      <c r="Y2263" s="343">
        <f t="shared" si="866"/>
        <v>0</v>
      </c>
      <c r="Z2263" s="344">
        <f t="shared" si="867"/>
        <v>0</v>
      </c>
      <c r="AA2263" s="344">
        <f t="shared" si="865"/>
        <v>0</v>
      </c>
      <c r="AB2263" s="817">
        <v>3.8699999999999998E-2</v>
      </c>
      <c r="AC2263" s="341">
        <f t="shared" si="856"/>
        <v>0</v>
      </c>
      <c r="AD2263" s="443"/>
      <c r="AE2263" s="210">
        <f t="shared" si="868"/>
        <v>0</v>
      </c>
      <c r="AF2263" s="210">
        <f t="shared" si="869"/>
        <v>0</v>
      </c>
      <c r="AG2263" s="211">
        <f t="shared" si="870"/>
        <v>0.30199999999999999</v>
      </c>
      <c r="AH2263" s="157">
        <v>0.26621999999999996</v>
      </c>
      <c r="AI2263" s="152">
        <f t="shared" si="872"/>
        <v>2400</v>
      </c>
      <c r="AK2263" s="156" t="s">
        <v>691</v>
      </c>
      <c r="AL2263" s="156" t="s">
        <v>690</v>
      </c>
      <c r="AM2263" s="198">
        <f t="shared" si="873"/>
        <v>0</v>
      </c>
      <c r="AN2263" s="199">
        <f t="shared" si="861"/>
        <v>45797</v>
      </c>
      <c r="AO2263" s="159" t="s">
        <v>692</v>
      </c>
      <c r="AP2263" s="781" t="s">
        <v>642</v>
      </c>
      <c r="AQ2263" s="782">
        <v>12063755</v>
      </c>
      <c r="AR2263" s="782">
        <v>12061353</v>
      </c>
      <c r="AS2263" s="782">
        <v>12061354</v>
      </c>
      <c r="AT2263" s="782">
        <v>12084733</v>
      </c>
      <c r="AU2263" s="781"/>
      <c r="AV2263" s="782">
        <v>12084732</v>
      </c>
      <c r="AW2263" s="781"/>
      <c r="AX2263" s="781"/>
      <c r="AY2263" s="781"/>
      <c r="AZ2263" s="782"/>
      <c r="BA2263" s="781"/>
      <c r="BB2263" s="209">
        <v>23105470</v>
      </c>
    </row>
    <row r="2264" spans="2:54" ht="25" hidden="1" customHeight="1">
      <c r="B2264" s="332">
        <v>45797</v>
      </c>
      <c r="C2264" s="333">
        <v>45862</v>
      </c>
      <c r="D2264" s="185">
        <f t="shared" si="863"/>
        <v>2025</v>
      </c>
      <c r="E2264" s="333" t="e">
        <f>VLOOKUP($B2264,Week!$A$1:$C$1462,2,0)</f>
        <v>#N/A</v>
      </c>
      <c r="F2264" s="334" t="str">
        <f t="shared" si="864"/>
        <v>May</v>
      </c>
      <c r="G2264" s="335" t="s">
        <v>2331</v>
      </c>
      <c r="H2264" s="335" t="s">
        <v>311</v>
      </c>
      <c r="I2264" s="335" t="s">
        <v>2772</v>
      </c>
      <c r="J2264" s="336" t="s">
        <v>738</v>
      </c>
      <c r="K2264" s="337" t="s">
        <v>1649</v>
      </c>
      <c r="L2264" s="300" t="s">
        <v>2167</v>
      </c>
      <c r="M2264" s="336" t="s">
        <v>603</v>
      </c>
      <c r="N2264" s="335" t="s">
        <v>605</v>
      </c>
      <c r="O2264" s="335" t="s">
        <v>602</v>
      </c>
      <c r="P2264" s="338">
        <v>8</v>
      </c>
      <c r="Q2264" s="338">
        <v>3</v>
      </c>
      <c r="R2264" s="339">
        <v>6.0000000000000001E-3</v>
      </c>
      <c r="S2264" s="335" t="s">
        <v>55</v>
      </c>
      <c r="T2264" s="335" t="s">
        <v>112</v>
      </c>
      <c r="U2264" s="340" t="s">
        <v>1894</v>
      </c>
      <c r="V2264" s="341">
        <f>250</f>
        <v>250</v>
      </c>
      <c r="W2264" s="341"/>
      <c r="X2264" s="342">
        <f>250</f>
        <v>250</v>
      </c>
      <c r="Y2264" s="343">
        <f t="shared" si="866"/>
        <v>0</v>
      </c>
      <c r="Z2264" s="344">
        <f t="shared" si="867"/>
        <v>0</v>
      </c>
      <c r="AA2264" s="344">
        <f t="shared" si="865"/>
        <v>0</v>
      </c>
      <c r="AB2264" s="817">
        <v>3.8699999999999998E-2</v>
      </c>
      <c r="AC2264" s="341">
        <f t="shared" si="856"/>
        <v>0</v>
      </c>
      <c r="AD2264" s="443"/>
      <c r="AE2264" s="210">
        <f t="shared" si="868"/>
        <v>0</v>
      </c>
      <c r="AF2264" s="210">
        <f t="shared" si="869"/>
        <v>0</v>
      </c>
      <c r="AG2264" s="211">
        <f t="shared" si="870"/>
        <v>0.30199999999999999</v>
      </c>
      <c r="AH2264" s="157">
        <v>0.26621999999999996</v>
      </c>
      <c r="AI2264" s="152">
        <f t="shared" si="872"/>
        <v>2000</v>
      </c>
      <c r="AK2264" s="156" t="s">
        <v>691</v>
      </c>
      <c r="AL2264" s="156" t="s">
        <v>690</v>
      </c>
      <c r="AM2264" s="198">
        <f t="shared" si="873"/>
        <v>0</v>
      </c>
      <c r="AN2264" s="199">
        <f t="shared" si="861"/>
        <v>45797</v>
      </c>
      <c r="AO2264" s="159" t="s">
        <v>692</v>
      </c>
      <c r="AP2264" s="781" t="s">
        <v>642</v>
      </c>
      <c r="AQ2264" s="782">
        <v>12063755</v>
      </c>
      <c r="AR2264" s="782">
        <v>12061353</v>
      </c>
      <c r="AS2264" s="782">
        <v>12061354</v>
      </c>
      <c r="AT2264" s="782">
        <v>12084733</v>
      </c>
      <c r="AU2264" s="781"/>
      <c r="AV2264" s="782">
        <v>12084732</v>
      </c>
      <c r="AW2264" s="781"/>
      <c r="AX2264" s="781"/>
      <c r="AY2264" s="781"/>
      <c r="AZ2264" s="782"/>
      <c r="BA2264" s="781"/>
      <c r="BB2264" s="209">
        <v>23105470</v>
      </c>
    </row>
    <row r="2265" spans="2:54" ht="25" hidden="1" customHeight="1">
      <c r="B2265" s="332">
        <v>45797</v>
      </c>
      <c r="C2265" s="333">
        <v>45862</v>
      </c>
      <c r="D2265" s="185">
        <f t="shared" si="863"/>
        <v>2025</v>
      </c>
      <c r="E2265" s="333" t="e">
        <f>VLOOKUP($B2265,Week!$A$1:$C$1462,2,0)</f>
        <v>#N/A</v>
      </c>
      <c r="F2265" s="334" t="str">
        <f t="shared" si="864"/>
        <v>May</v>
      </c>
      <c r="G2265" s="335" t="s">
        <v>2332</v>
      </c>
      <c r="H2265" s="335" t="s">
        <v>311</v>
      </c>
      <c r="I2265" s="335" t="s">
        <v>2772</v>
      </c>
      <c r="J2265" s="336" t="s">
        <v>738</v>
      </c>
      <c r="K2265" s="337" t="s">
        <v>1649</v>
      </c>
      <c r="L2265" s="300" t="s">
        <v>2167</v>
      </c>
      <c r="M2265" s="336" t="s">
        <v>603</v>
      </c>
      <c r="N2265" s="335" t="s">
        <v>605</v>
      </c>
      <c r="O2265" s="335" t="s">
        <v>602</v>
      </c>
      <c r="P2265" s="338">
        <v>8</v>
      </c>
      <c r="Q2265" s="338">
        <v>3</v>
      </c>
      <c r="R2265" s="339">
        <v>6.0000000000000001E-3</v>
      </c>
      <c r="S2265" s="335" t="s">
        <v>55</v>
      </c>
      <c r="T2265" s="335" t="s">
        <v>112</v>
      </c>
      <c r="U2265" s="340" t="s">
        <v>1894</v>
      </c>
      <c r="V2265" s="341">
        <f>250</f>
        <v>250</v>
      </c>
      <c r="W2265" s="341"/>
      <c r="X2265" s="342">
        <f>250</f>
        <v>250</v>
      </c>
      <c r="Y2265" s="343">
        <f t="shared" si="866"/>
        <v>0</v>
      </c>
      <c r="Z2265" s="344">
        <f t="shared" si="867"/>
        <v>0</v>
      </c>
      <c r="AA2265" s="344">
        <f t="shared" si="865"/>
        <v>0</v>
      </c>
      <c r="AB2265" s="817">
        <v>3.8699999999999998E-2</v>
      </c>
      <c r="AC2265" s="341">
        <f t="shared" si="856"/>
        <v>0</v>
      </c>
      <c r="AD2265" s="443"/>
      <c r="AE2265" s="210">
        <f t="shared" si="868"/>
        <v>0</v>
      </c>
      <c r="AF2265" s="210">
        <f t="shared" si="869"/>
        <v>0</v>
      </c>
      <c r="AG2265" s="211">
        <f t="shared" si="870"/>
        <v>0.30199999999999999</v>
      </c>
      <c r="AH2265" s="157">
        <v>0.26621999999999996</v>
      </c>
      <c r="AI2265" s="152">
        <f t="shared" si="872"/>
        <v>2000</v>
      </c>
      <c r="AK2265" s="156" t="s">
        <v>691</v>
      </c>
      <c r="AL2265" s="156" t="s">
        <v>690</v>
      </c>
      <c r="AM2265" s="198">
        <f t="shared" si="873"/>
        <v>0</v>
      </c>
      <c r="AN2265" s="199">
        <f t="shared" si="861"/>
        <v>45797</v>
      </c>
      <c r="AO2265" s="159" t="s">
        <v>692</v>
      </c>
      <c r="AP2265" s="781" t="s">
        <v>642</v>
      </c>
      <c r="AQ2265" s="782">
        <v>12063755</v>
      </c>
      <c r="AR2265" s="782">
        <v>12061353</v>
      </c>
      <c r="AS2265" s="782">
        <v>12061354</v>
      </c>
      <c r="AT2265" s="782">
        <v>12084733</v>
      </c>
      <c r="AU2265" s="781"/>
      <c r="AV2265" s="782">
        <v>12084732</v>
      </c>
      <c r="AW2265" s="781"/>
      <c r="AX2265" s="781"/>
      <c r="AY2265" s="781"/>
      <c r="AZ2265" s="782"/>
      <c r="BA2265" s="781"/>
      <c r="BB2265" s="209">
        <v>23105470</v>
      </c>
    </row>
    <row r="2266" spans="2:54" ht="25" hidden="1" customHeight="1">
      <c r="B2266" s="332">
        <v>45797</v>
      </c>
      <c r="C2266" s="333">
        <v>45890</v>
      </c>
      <c r="D2266" s="185">
        <f>IF(B2266="","",YEAR(B2266))</f>
        <v>2025</v>
      </c>
      <c r="E2266" s="333" t="e">
        <f>VLOOKUP($B2266,Week!$A$1:$C$1462,2,0)</f>
        <v>#N/A</v>
      </c>
      <c r="F2266" s="334" t="str">
        <f>IF(B2266="","",TEXT(B2266,"[$-409]mmm"))</f>
        <v>May</v>
      </c>
      <c r="G2266" s="335" t="s">
        <v>2376</v>
      </c>
      <c r="H2266" s="335" t="s">
        <v>311</v>
      </c>
      <c r="I2266" s="335" t="s">
        <v>2772</v>
      </c>
      <c r="J2266" s="336" t="s">
        <v>738</v>
      </c>
      <c r="K2266" s="337" t="s">
        <v>1649</v>
      </c>
      <c r="L2266" s="300" t="s">
        <v>2167</v>
      </c>
      <c r="M2266" s="336" t="s">
        <v>603</v>
      </c>
      <c r="N2266" s="335" t="s">
        <v>605</v>
      </c>
      <c r="O2266" s="335" t="s">
        <v>602</v>
      </c>
      <c r="P2266" s="338">
        <v>8</v>
      </c>
      <c r="Q2266" s="338">
        <v>3</v>
      </c>
      <c r="R2266" s="339">
        <v>6.0000000000000001E-3</v>
      </c>
      <c r="S2266" s="335" t="s">
        <v>55</v>
      </c>
      <c r="T2266" s="335" t="s">
        <v>112</v>
      </c>
      <c r="U2266" s="340" t="s">
        <v>1894</v>
      </c>
      <c r="V2266" s="341">
        <f>56</f>
        <v>56</v>
      </c>
      <c r="W2266" s="341"/>
      <c r="X2266" s="342">
        <f>(964)/8</f>
        <v>120.5</v>
      </c>
      <c r="Y2266" s="343">
        <f t="shared" si="866"/>
        <v>64.5</v>
      </c>
      <c r="Z2266" s="344">
        <f>IF(Y2266&lt;0,((V2266*P2266)-((W2266+X2266)*P2266)),0)</f>
        <v>0</v>
      </c>
      <c r="AA2266" s="344">
        <f>Q2266*Z2266</f>
        <v>0</v>
      </c>
      <c r="AB2266" s="817">
        <v>3.8699999999999998E-2</v>
      </c>
      <c r="AC2266" s="341">
        <f t="shared" ref="AC2266:AC2291" si="874">Z2266*AB2266</f>
        <v>0</v>
      </c>
      <c r="AD2266" s="443"/>
      <c r="AE2266" s="210">
        <f>SUM(Q2266*R2266*Z2266)/1000</f>
        <v>0</v>
      </c>
      <c r="AF2266" s="210">
        <f t="shared" si="869"/>
        <v>0</v>
      </c>
      <c r="AG2266" s="211">
        <f>MID(O2266,1,3)/1000</f>
        <v>0.30199999999999999</v>
      </c>
      <c r="AH2266" s="157">
        <v>0.26621999999999996</v>
      </c>
      <c r="AI2266" s="152">
        <f>V2266*P2266</f>
        <v>448</v>
      </c>
      <c r="AK2266" s="156" t="s">
        <v>691</v>
      </c>
      <c r="AL2266" s="156" t="s">
        <v>690</v>
      </c>
      <c r="AM2266" s="198">
        <f t="shared" si="873"/>
        <v>0</v>
      </c>
      <c r="AN2266" s="199">
        <f>B2266</f>
        <v>45797</v>
      </c>
      <c r="AO2266" s="159" t="s">
        <v>692</v>
      </c>
      <c r="AP2266" s="781" t="s">
        <v>642</v>
      </c>
      <c r="AQ2266" s="782">
        <v>12063755</v>
      </c>
      <c r="AR2266" s="782">
        <v>12061353</v>
      </c>
      <c r="AS2266" s="782">
        <v>12061354</v>
      </c>
      <c r="AT2266" s="782">
        <v>12084733</v>
      </c>
      <c r="AU2266" s="781"/>
      <c r="AV2266" s="782">
        <v>12084732</v>
      </c>
      <c r="AW2266" s="781"/>
      <c r="AX2266" s="781"/>
      <c r="AY2266" s="781"/>
      <c r="AZ2266" s="782"/>
      <c r="BA2266" s="781"/>
      <c r="BB2266" s="209">
        <v>23105470</v>
      </c>
    </row>
    <row r="2267" spans="2:54" ht="24.75" hidden="1" customHeight="1">
      <c r="B2267" s="333">
        <v>45798</v>
      </c>
      <c r="C2267" s="333">
        <v>45819</v>
      </c>
      <c r="D2267" s="185">
        <f t="shared" si="863"/>
        <v>2025</v>
      </c>
      <c r="E2267" s="335" t="e">
        <f>VLOOKUP($B2267,Week!$A$1:$C$1462,2,0)</f>
        <v>#N/A</v>
      </c>
      <c r="F2267" s="334" t="str">
        <f t="shared" si="864"/>
        <v>May</v>
      </c>
      <c r="G2267" s="335" t="s">
        <v>2053</v>
      </c>
      <c r="H2267" s="335" t="s">
        <v>363</v>
      </c>
      <c r="I2267" s="335" t="s">
        <v>2772</v>
      </c>
      <c r="J2267" s="336" t="s">
        <v>364</v>
      </c>
      <c r="K2267" s="337" t="s">
        <v>176</v>
      </c>
      <c r="L2267" s="337" t="s">
        <v>2167</v>
      </c>
      <c r="M2267" s="382" t="s">
        <v>646</v>
      </c>
      <c r="N2267" s="335" t="s">
        <v>647</v>
      </c>
      <c r="O2267" s="335" t="s">
        <v>599</v>
      </c>
      <c r="P2267" s="338">
        <v>36</v>
      </c>
      <c r="Q2267" s="338">
        <v>5</v>
      </c>
      <c r="R2267" s="339">
        <v>8.0000000000000002E-3</v>
      </c>
      <c r="S2267" s="335" t="s">
        <v>40</v>
      </c>
      <c r="T2267" s="335" t="s">
        <v>112</v>
      </c>
      <c r="U2267" s="335" t="s">
        <v>57</v>
      </c>
      <c r="V2267" s="341">
        <f>1288</f>
        <v>1288</v>
      </c>
      <c r="W2267" s="341">
        <f>28+1260</f>
        <v>1288</v>
      </c>
      <c r="X2267" s="342"/>
      <c r="Y2267" s="343">
        <f t="shared" si="866"/>
        <v>0</v>
      </c>
      <c r="Z2267" s="344">
        <f t="shared" si="867"/>
        <v>0</v>
      </c>
      <c r="AA2267" s="344">
        <f t="shared" si="865"/>
        <v>0</v>
      </c>
      <c r="AB2267" s="821">
        <v>7.4999999999999997E-3</v>
      </c>
      <c r="AC2267" s="341">
        <f t="shared" si="874"/>
        <v>0</v>
      </c>
      <c r="AD2267" s="209"/>
      <c r="AE2267" s="210">
        <f t="shared" si="868"/>
        <v>0</v>
      </c>
      <c r="AF2267" s="210">
        <f t="shared" si="869"/>
        <v>0</v>
      </c>
      <c r="AG2267" s="211">
        <f t="shared" si="870"/>
        <v>0.14799999999999999</v>
      </c>
      <c r="AH2267" s="157">
        <f t="shared" ref="AH2267:AH2284" si="875">(Z2267*AG2267)/1000</f>
        <v>0</v>
      </c>
      <c r="AI2267" s="152">
        <f t="shared" si="872"/>
        <v>46368</v>
      </c>
      <c r="AK2267" s="156" t="s">
        <v>691</v>
      </c>
      <c r="AL2267" s="574" t="s">
        <v>690</v>
      </c>
      <c r="AM2267" s="198">
        <f t="shared" si="873"/>
        <v>0</v>
      </c>
      <c r="AN2267" s="199">
        <f t="shared" si="861"/>
        <v>45798</v>
      </c>
      <c r="AO2267" s="159" t="s">
        <v>692</v>
      </c>
      <c r="AP2267" s="781"/>
      <c r="AQ2267" s="782">
        <v>12071839</v>
      </c>
      <c r="AR2267" s="782">
        <v>12047514</v>
      </c>
      <c r="AS2267" s="782">
        <v>12047515</v>
      </c>
      <c r="AT2267" s="782">
        <v>12084374</v>
      </c>
      <c r="AU2267" s="781"/>
      <c r="AV2267" s="782">
        <v>12084372</v>
      </c>
      <c r="AW2267" s="782">
        <v>12024404</v>
      </c>
      <c r="AX2267" s="782"/>
      <c r="AY2267" s="782" t="s">
        <v>2154</v>
      </c>
      <c r="AZ2267" s="782"/>
      <c r="BA2267" s="781"/>
      <c r="BB2267" s="209">
        <v>23053185</v>
      </c>
    </row>
    <row r="2268" spans="2:54" ht="24.75" hidden="1" customHeight="1">
      <c r="B2268" s="295">
        <v>45798</v>
      </c>
      <c r="C2268" s="771" t="s">
        <v>1929</v>
      </c>
      <c r="D2268" s="185">
        <f t="shared" si="863"/>
        <v>2025</v>
      </c>
      <c r="E2268" s="296" t="e">
        <f>VLOOKUP($B2268,Week!$A$1:$C$1462,2,0)</f>
        <v>#N/A</v>
      </c>
      <c r="F2268" s="297" t="str">
        <f t="shared" si="864"/>
        <v>May</v>
      </c>
      <c r="G2268" s="648" t="s">
        <v>47</v>
      </c>
      <c r="H2268" s="298" t="s">
        <v>260</v>
      </c>
      <c r="I2268" s="298" t="s">
        <v>2702</v>
      </c>
      <c r="J2268" s="307" t="s">
        <v>904</v>
      </c>
      <c r="K2268" s="300" t="s">
        <v>176</v>
      </c>
      <c r="L2268" s="300" t="s">
        <v>2167</v>
      </c>
      <c r="M2268" s="299" t="s">
        <v>262</v>
      </c>
      <c r="N2268" s="298" t="s">
        <v>350</v>
      </c>
      <c r="O2268" s="298" t="s">
        <v>351</v>
      </c>
      <c r="P2268" s="301">
        <v>24</v>
      </c>
      <c r="Q2268" s="301">
        <v>5</v>
      </c>
      <c r="R2268" s="302">
        <v>6.1999999999999998E-3</v>
      </c>
      <c r="S2268" s="298" t="s">
        <v>352</v>
      </c>
      <c r="T2268" s="298" t="s">
        <v>56</v>
      </c>
      <c r="U2268" s="298" t="s">
        <v>57</v>
      </c>
      <c r="V2268" s="303">
        <f>693+43+370</f>
        <v>1106</v>
      </c>
      <c r="W2268" s="303">
        <f>1106</f>
        <v>1106</v>
      </c>
      <c r="X2268" s="304"/>
      <c r="Y2268" s="305">
        <f t="shared" si="866"/>
        <v>0</v>
      </c>
      <c r="Z2268" s="306">
        <f t="shared" si="867"/>
        <v>0</v>
      </c>
      <c r="AA2268" s="306">
        <f t="shared" si="865"/>
        <v>0</v>
      </c>
      <c r="AB2268" s="814">
        <v>7.4999999999999997E-3</v>
      </c>
      <c r="AC2268" s="303">
        <f t="shared" si="874"/>
        <v>0</v>
      </c>
      <c r="AD2268" s="573" t="s">
        <v>2017</v>
      </c>
      <c r="AE2268" s="210">
        <f t="shared" si="868"/>
        <v>0</v>
      </c>
      <c r="AF2268" s="210">
        <f t="shared" si="869"/>
        <v>0</v>
      </c>
      <c r="AG2268" s="211">
        <f t="shared" si="870"/>
        <v>0.13</v>
      </c>
      <c r="AH2268" s="157">
        <f t="shared" si="875"/>
        <v>0</v>
      </c>
      <c r="AI2268" s="152">
        <f t="shared" si="872"/>
        <v>26544</v>
      </c>
      <c r="AK2268" s="156" t="s">
        <v>691</v>
      </c>
      <c r="AL2268" s="574" t="s">
        <v>690</v>
      </c>
      <c r="AM2268" s="198">
        <f t="shared" si="873"/>
        <v>0</v>
      </c>
      <c r="AN2268" s="199">
        <f t="shared" si="861"/>
        <v>45798</v>
      </c>
      <c r="AO2268" s="159" t="s">
        <v>692</v>
      </c>
      <c r="AP2268" s="783" t="s">
        <v>629</v>
      </c>
      <c r="AQ2268" s="782">
        <v>12071839</v>
      </c>
      <c r="AR2268" s="782">
        <v>12078867</v>
      </c>
      <c r="AS2268" s="782">
        <v>12068233</v>
      </c>
      <c r="AT2268" s="781"/>
      <c r="AU2268" s="781"/>
      <c r="AV2268" s="782">
        <v>12062075</v>
      </c>
      <c r="AW2268" s="781"/>
      <c r="AX2268" s="781"/>
      <c r="AY2268" s="782">
        <v>12086617</v>
      </c>
      <c r="AZ2268" s="781"/>
      <c r="BA2268" s="781"/>
      <c r="BB2268" s="209">
        <v>23053185</v>
      </c>
    </row>
    <row r="2269" spans="2:54" ht="25" hidden="1" customHeight="1">
      <c r="B2269" s="602">
        <v>45798</v>
      </c>
      <c r="C2269" s="861" t="s">
        <v>1930</v>
      </c>
      <c r="D2269" s="604">
        <f t="shared" si="863"/>
        <v>2025</v>
      </c>
      <c r="E2269" s="603" t="e">
        <f>VLOOKUP($B2269,Week!$A$1:$C$1462,2,0)</f>
        <v>#N/A</v>
      </c>
      <c r="F2269" s="605" t="str">
        <f t="shared" si="864"/>
        <v>May</v>
      </c>
      <c r="G2269" s="604" t="s">
        <v>47</v>
      </c>
      <c r="H2269" s="604" t="s">
        <v>518</v>
      </c>
      <c r="I2269" s="604" t="s">
        <v>2702</v>
      </c>
      <c r="J2269" s="606" t="s">
        <v>70</v>
      </c>
      <c r="K2269" s="607" t="s">
        <v>227</v>
      </c>
      <c r="L2269" s="607" t="s">
        <v>2167</v>
      </c>
      <c r="M2269" s="606" t="s">
        <v>2335</v>
      </c>
      <c r="N2269" s="604" t="s">
        <v>2334</v>
      </c>
      <c r="O2269" s="604" t="s">
        <v>2005</v>
      </c>
      <c r="P2269" s="608">
        <v>12</v>
      </c>
      <c r="Q2269" s="608">
        <v>3</v>
      </c>
      <c r="R2269" s="609">
        <v>8.0000000000000002E-3</v>
      </c>
      <c r="S2269" s="604" t="s">
        <v>352</v>
      </c>
      <c r="T2269" s="604" t="s">
        <v>56</v>
      </c>
      <c r="U2269" s="604" t="s">
        <v>2007</v>
      </c>
      <c r="V2269" s="862">
        <f>1500</f>
        <v>1500</v>
      </c>
      <c r="W2269" s="610">
        <v>1500</v>
      </c>
      <c r="X2269" s="611"/>
      <c r="Y2269" s="612">
        <f t="shared" si="866"/>
        <v>0</v>
      </c>
      <c r="Z2269" s="613">
        <f t="shared" si="867"/>
        <v>0</v>
      </c>
      <c r="AA2269" s="613">
        <f t="shared" si="865"/>
        <v>0</v>
      </c>
      <c r="AB2269" s="836">
        <v>0.05</v>
      </c>
      <c r="AC2269" s="610">
        <f t="shared" si="874"/>
        <v>0</v>
      </c>
      <c r="AD2269" s="209"/>
      <c r="AE2269" s="210">
        <f t="shared" si="868"/>
        <v>0</v>
      </c>
      <c r="AF2269" s="210">
        <f t="shared" si="869"/>
        <v>0</v>
      </c>
      <c r="AG2269" s="211">
        <f t="shared" si="870"/>
        <v>0.22700000000000001</v>
      </c>
      <c r="AH2269" s="157">
        <f t="shared" si="875"/>
        <v>0</v>
      </c>
      <c r="AI2269" s="152">
        <f t="shared" si="872"/>
        <v>18000</v>
      </c>
      <c r="AK2269" s="156" t="s">
        <v>691</v>
      </c>
      <c r="AL2269" s="212" t="s">
        <v>690</v>
      </c>
      <c r="AM2269" s="198">
        <f t="shared" si="873"/>
        <v>0</v>
      </c>
      <c r="AN2269" s="199">
        <f t="shared" si="861"/>
        <v>45798</v>
      </c>
      <c r="AO2269" s="159" t="s">
        <v>692</v>
      </c>
      <c r="AP2269" s="783" t="s">
        <v>623</v>
      </c>
      <c r="AQ2269" s="782">
        <v>12071839</v>
      </c>
      <c r="AR2269" s="782">
        <v>12042650</v>
      </c>
      <c r="AS2269" s="782">
        <v>12042649</v>
      </c>
      <c r="AT2269" s="782"/>
      <c r="AU2269" s="781"/>
      <c r="AV2269" s="782">
        <v>12094036</v>
      </c>
      <c r="AW2269" s="782"/>
      <c r="AX2269" s="782"/>
      <c r="AY2269" s="782">
        <v>12094035</v>
      </c>
      <c r="AZ2269" s="782">
        <v>12094041</v>
      </c>
      <c r="BA2269" s="781"/>
      <c r="BB2269" s="209">
        <v>11044165</v>
      </c>
    </row>
    <row r="2270" spans="2:54" ht="25" hidden="1" customHeight="1">
      <c r="B2270" s="583">
        <v>45798</v>
      </c>
      <c r="C2270" s="795" t="s">
        <v>1930</v>
      </c>
      <c r="D2270" s="185">
        <f t="shared" si="863"/>
        <v>2025</v>
      </c>
      <c r="E2270" s="777" t="e">
        <f>VLOOKUP($B2270,Week!$A$1:$C$1462,2,0)</f>
        <v>#N/A</v>
      </c>
      <c r="F2270" s="778" t="str">
        <f t="shared" si="864"/>
        <v>May</v>
      </c>
      <c r="G2270" s="586" t="s">
        <v>47</v>
      </c>
      <c r="H2270" s="586" t="s">
        <v>260</v>
      </c>
      <c r="I2270" s="586" t="s">
        <v>2702</v>
      </c>
      <c r="J2270" s="587" t="s">
        <v>70</v>
      </c>
      <c r="K2270" s="588" t="s">
        <v>227</v>
      </c>
      <c r="L2270" s="300" t="s">
        <v>2167</v>
      </c>
      <c r="M2270" s="587" t="s">
        <v>2336</v>
      </c>
      <c r="N2270" s="586" t="s">
        <v>2004</v>
      </c>
      <c r="O2270" s="586" t="s">
        <v>2005</v>
      </c>
      <c r="P2270" s="589">
        <v>12</v>
      </c>
      <c r="Q2270" s="589">
        <v>3</v>
      </c>
      <c r="R2270" s="590">
        <v>8.0000000000000002E-3</v>
      </c>
      <c r="S2270" s="586" t="s">
        <v>352</v>
      </c>
      <c r="T2270" s="586" t="s">
        <v>56</v>
      </c>
      <c r="U2270" s="586" t="s">
        <v>2007</v>
      </c>
      <c r="V2270" s="779">
        <f>6000-1500</f>
        <v>4500</v>
      </c>
      <c r="W2270" s="592">
        <f>179+4321</f>
        <v>4500</v>
      </c>
      <c r="X2270" s="593"/>
      <c r="Y2270" s="594">
        <f t="shared" si="866"/>
        <v>0</v>
      </c>
      <c r="Z2270" s="595">
        <f t="shared" si="867"/>
        <v>0</v>
      </c>
      <c r="AA2270" s="595">
        <f t="shared" si="865"/>
        <v>0</v>
      </c>
      <c r="AB2270" s="835">
        <v>0.05</v>
      </c>
      <c r="AC2270" s="592">
        <f t="shared" si="874"/>
        <v>0</v>
      </c>
      <c r="AD2270" s="209"/>
      <c r="AE2270" s="210">
        <f t="shared" si="868"/>
        <v>0</v>
      </c>
      <c r="AF2270" s="210">
        <f t="shared" si="869"/>
        <v>0</v>
      </c>
      <c r="AG2270" s="211">
        <f t="shared" si="870"/>
        <v>0.22700000000000001</v>
      </c>
      <c r="AH2270" s="157">
        <f t="shared" si="875"/>
        <v>0</v>
      </c>
      <c r="AI2270" s="152">
        <f t="shared" si="872"/>
        <v>54000</v>
      </c>
      <c r="AK2270" s="156" t="s">
        <v>691</v>
      </c>
      <c r="AL2270" s="212" t="s">
        <v>690</v>
      </c>
      <c r="AM2270" s="198">
        <f t="shared" si="873"/>
        <v>0</v>
      </c>
      <c r="AN2270" s="199">
        <f t="shared" si="861"/>
        <v>45798</v>
      </c>
      <c r="AO2270" s="159" t="s">
        <v>692</v>
      </c>
      <c r="AP2270" s="783" t="s">
        <v>623</v>
      </c>
      <c r="AQ2270" s="782">
        <v>12071839</v>
      </c>
      <c r="AR2270" s="782">
        <v>12042650</v>
      </c>
      <c r="AS2270" s="782">
        <v>12042649</v>
      </c>
      <c r="AT2270" s="782"/>
      <c r="AU2270" s="781"/>
      <c r="AV2270" s="782">
        <v>12094036</v>
      </c>
      <c r="AW2270" s="782"/>
      <c r="AX2270" s="782"/>
      <c r="AY2270" s="782">
        <v>12094035</v>
      </c>
      <c r="AZ2270" s="782">
        <v>12094041</v>
      </c>
      <c r="BA2270" s="781"/>
      <c r="BB2270" s="209">
        <v>11044165</v>
      </c>
    </row>
    <row r="2271" spans="2:54" ht="25" hidden="1" customHeight="1">
      <c r="B2271" s="357">
        <v>45799</v>
      </c>
      <c r="C2271" s="358">
        <v>45812</v>
      </c>
      <c r="D2271" s="185">
        <f t="shared" si="863"/>
        <v>2025</v>
      </c>
      <c r="E2271" s="358" t="e">
        <f>VLOOKUP($B2271,Week!$A$1:$C$1462,2,0)</f>
        <v>#N/A</v>
      </c>
      <c r="F2271" s="360" t="str">
        <f t="shared" si="864"/>
        <v>May</v>
      </c>
      <c r="G2271" s="436" t="s">
        <v>2139</v>
      </c>
      <c r="H2271" s="359" t="s">
        <v>225</v>
      </c>
      <c r="I2271" s="359" t="s">
        <v>2773</v>
      </c>
      <c r="J2271" s="361" t="s">
        <v>650</v>
      </c>
      <c r="K2271" s="362" t="s">
        <v>593</v>
      </c>
      <c r="L2271" s="300" t="s">
        <v>2167</v>
      </c>
      <c r="M2271" s="361" t="s">
        <v>717</v>
      </c>
      <c r="N2271" s="359" t="s">
        <v>719</v>
      </c>
      <c r="O2271" s="359" t="s">
        <v>230</v>
      </c>
      <c r="P2271" s="363">
        <v>12</v>
      </c>
      <c r="Q2271" s="363">
        <v>5</v>
      </c>
      <c r="R2271" s="364">
        <v>6.0000000000000001E-3</v>
      </c>
      <c r="S2271" s="359" t="s">
        <v>55</v>
      </c>
      <c r="T2271" s="359" t="s">
        <v>112</v>
      </c>
      <c r="U2271" s="359" t="s">
        <v>57</v>
      </c>
      <c r="V2271" s="365">
        <v>2600</v>
      </c>
      <c r="W2271" s="365">
        <v>194</v>
      </c>
      <c r="X2271" s="366">
        <f>(1455+27417)/12</f>
        <v>2406</v>
      </c>
      <c r="Y2271" s="367">
        <f t="shared" si="866"/>
        <v>0</v>
      </c>
      <c r="Z2271" s="368">
        <f t="shared" si="867"/>
        <v>0</v>
      </c>
      <c r="AA2271" s="368">
        <f t="shared" si="865"/>
        <v>0</v>
      </c>
      <c r="AB2271" s="819">
        <v>7.4999999999999997E-3</v>
      </c>
      <c r="AC2271" s="365">
        <f t="shared" si="874"/>
        <v>0</v>
      </c>
      <c r="AD2271" s="209"/>
      <c r="AE2271" s="210">
        <f t="shared" si="868"/>
        <v>0</v>
      </c>
      <c r="AF2271" s="210">
        <f t="shared" si="869"/>
        <v>0</v>
      </c>
      <c r="AG2271" s="211">
        <f t="shared" si="870"/>
        <v>0.25800000000000001</v>
      </c>
      <c r="AH2271" s="157">
        <f t="shared" si="875"/>
        <v>0</v>
      </c>
      <c r="AI2271" s="152">
        <f t="shared" si="872"/>
        <v>31200</v>
      </c>
      <c r="AK2271" s="156" t="s">
        <v>691</v>
      </c>
      <c r="AL2271" s="574" t="s">
        <v>690</v>
      </c>
      <c r="AM2271" s="198">
        <f t="shared" si="873"/>
        <v>0</v>
      </c>
      <c r="AN2271" s="199">
        <f t="shared" si="861"/>
        <v>45799</v>
      </c>
      <c r="AO2271" s="159" t="s">
        <v>692</v>
      </c>
      <c r="AP2271" s="783" t="s">
        <v>612</v>
      </c>
      <c r="AQ2271" s="782">
        <v>12071839</v>
      </c>
      <c r="AR2271" s="782">
        <v>12042650</v>
      </c>
      <c r="AS2271" s="782">
        <v>12042649</v>
      </c>
      <c r="AT2271" s="782">
        <v>12088423</v>
      </c>
      <c r="AU2271" s="781"/>
      <c r="AV2271" s="782">
        <v>12088422</v>
      </c>
      <c r="AW2271" s="782"/>
      <c r="AX2271" s="782"/>
      <c r="AY2271" s="782"/>
      <c r="AZ2271" s="782"/>
      <c r="BA2271" s="781"/>
      <c r="BB2271" s="209">
        <v>23053185</v>
      </c>
    </row>
    <row r="2272" spans="2:54" ht="25" hidden="1" customHeight="1">
      <c r="B2272" s="357">
        <v>45799</v>
      </c>
      <c r="C2272" s="358">
        <v>45812</v>
      </c>
      <c r="D2272" s="185">
        <f t="shared" si="863"/>
        <v>2025</v>
      </c>
      <c r="E2272" s="358" t="e">
        <f>VLOOKUP($B2272,Week!$A$1:$C$1462,2,0)</f>
        <v>#N/A</v>
      </c>
      <c r="F2272" s="360" t="str">
        <f t="shared" si="864"/>
        <v>May</v>
      </c>
      <c r="G2272" s="436" t="s">
        <v>2140</v>
      </c>
      <c r="H2272" s="359" t="s">
        <v>225</v>
      </c>
      <c r="I2272" s="359" t="s">
        <v>2773</v>
      </c>
      <c r="J2272" s="361" t="s">
        <v>650</v>
      </c>
      <c r="K2272" s="362" t="s">
        <v>593</v>
      </c>
      <c r="L2272" s="300" t="s">
        <v>2167</v>
      </c>
      <c r="M2272" s="361" t="s">
        <v>717</v>
      </c>
      <c r="N2272" s="359" t="s">
        <v>719</v>
      </c>
      <c r="O2272" s="359" t="s">
        <v>230</v>
      </c>
      <c r="P2272" s="363">
        <v>12</v>
      </c>
      <c r="Q2272" s="363">
        <v>5</v>
      </c>
      <c r="R2272" s="364">
        <v>6.0000000000000001E-3</v>
      </c>
      <c r="S2272" s="359" t="s">
        <v>55</v>
      </c>
      <c r="T2272" s="359" t="s">
        <v>112</v>
      </c>
      <c r="U2272" s="359" t="s">
        <v>57</v>
      </c>
      <c r="V2272" s="365">
        <v>2600</v>
      </c>
      <c r="W2272" s="365"/>
      <c r="X2272" s="366">
        <f>(31200)/12</f>
        <v>2600</v>
      </c>
      <c r="Y2272" s="367">
        <f t="shared" si="866"/>
        <v>0</v>
      </c>
      <c r="Z2272" s="368">
        <f t="shared" si="867"/>
        <v>0</v>
      </c>
      <c r="AA2272" s="368">
        <f t="shared" si="865"/>
        <v>0</v>
      </c>
      <c r="AB2272" s="819">
        <v>7.4999999999999997E-3</v>
      </c>
      <c r="AC2272" s="365">
        <f t="shared" si="874"/>
        <v>0</v>
      </c>
      <c r="AD2272" s="209"/>
      <c r="AE2272" s="210">
        <f t="shared" si="868"/>
        <v>0</v>
      </c>
      <c r="AF2272" s="210">
        <f t="shared" si="869"/>
        <v>0</v>
      </c>
      <c r="AG2272" s="211">
        <f t="shared" si="870"/>
        <v>0.25800000000000001</v>
      </c>
      <c r="AH2272" s="157">
        <f t="shared" si="875"/>
        <v>0</v>
      </c>
      <c r="AI2272" s="152">
        <f t="shared" si="872"/>
        <v>31200</v>
      </c>
      <c r="AK2272" s="156" t="s">
        <v>691</v>
      </c>
      <c r="AL2272" s="574" t="s">
        <v>690</v>
      </c>
      <c r="AM2272" s="198">
        <f t="shared" si="873"/>
        <v>0</v>
      </c>
      <c r="AN2272" s="199">
        <f t="shared" si="861"/>
        <v>45799</v>
      </c>
      <c r="AO2272" s="159" t="s">
        <v>692</v>
      </c>
      <c r="AP2272" s="783" t="s">
        <v>612</v>
      </c>
      <c r="AQ2272" s="782">
        <v>12071839</v>
      </c>
      <c r="AR2272" s="782">
        <v>12042650</v>
      </c>
      <c r="AS2272" s="782">
        <v>12042649</v>
      </c>
      <c r="AT2272" s="782">
        <v>12088423</v>
      </c>
      <c r="AU2272" s="781"/>
      <c r="AV2272" s="782">
        <v>12088422</v>
      </c>
      <c r="AW2272" s="782"/>
      <c r="AX2272" s="782"/>
      <c r="AY2272" s="782"/>
      <c r="AZ2272" s="782"/>
      <c r="BA2272" s="781"/>
      <c r="BB2272" s="209">
        <v>23053185</v>
      </c>
    </row>
    <row r="2273" spans="1:54" ht="24.75" hidden="1" customHeight="1">
      <c r="B2273" s="295">
        <v>45799</v>
      </c>
      <c r="C2273" s="771" t="s">
        <v>1929</v>
      </c>
      <c r="D2273" s="185">
        <f t="shared" si="863"/>
        <v>2025</v>
      </c>
      <c r="E2273" s="296" t="e">
        <f>VLOOKUP($B2273,Week!$A$1:$C$1462,2,0)</f>
        <v>#N/A</v>
      </c>
      <c r="F2273" s="297" t="str">
        <f t="shared" si="864"/>
        <v>May</v>
      </c>
      <c r="G2273" s="648" t="s">
        <v>47</v>
      </c>
      <c r="H2273" s="298" t="s">
        <v>260</v>
      </c>
      <c r="I2273" s="298" t="s">
        <v>2702</v>
      </c>
      <c r="J2273" s="307" t="s">
        <v>904</v>
      </c>
      <c r="K2273" s="300" t="s">
        <v>176</v>
      </c>
      <c r="L2273" s="300" t="s">
        <v>2167</v>
      </c>
      <c r="M2273" s="299" t="s">
        <v>262</v>
      </c>
      <c r="N2273" s="298" t="s">
        <v>350</v>
      </c>
      <c r="O2273" s="298" t="s">
        <v>351</v>
      </c>
      <c r="P2273" s="301">
        <v>24</v>
      </c>
      <c r="Q2273" s="301">
        <v>5</v>
      </c>
      <c r="R2273" s="302">
        <v>6.1999999999999998E-3</v>
      </c>
      <c r="S2273" s="298" t="s">
        <v>352</v>
      </c>
      <c r="T2273" s="298" t="s">
        <v>56</v>
      </c>
      <c r="U2273" s="298" t="s">
        <v>57</v>
      </c>
      <c r="V2273" s="303">
        <v>698</v>
      </c>
      <c r="W2273" s="303">
        <v>698</v>
      </c>
      <c r="X2273" s="304"/>
      <c r="Y2273" s="305">
        <f t="shared" si="866"/>
        <v>0</v>
      </c>
      <c r="Z2273" s="306">
        <f t="shared" si="867"/>
        <v>0</v>
      </c>
      <c r="AA2273" s="306">
        <f t="shared" si="865"/>
        <v>0</v>
      </c>
      <c r="AB2273" s="814">
        <v>7.4999999999999997E-3</v>
      </c>
      <c r="AC2273" s="303">
        <f t="shared" si="874"/>
        <v>0</v>
      </c>
      <c r="AD2273" s="573" t="s">
        <v>2017</v>
      </c>
      <c r="AE2273" s="210">
        <f t="shared" si="868"/>
        <v>0</v>
      </c>
      <c r="AF2273" s="210">
        <f t="shared" si="869"/>
        <v>0</v>
      </c>
      <c r="AG2273" s="211">
        <f t="shared" si="870"/>
        <v>0.13</v>
      </c>
      <c r="AH2273" s="157">
        <f t="shared" si="875"/>
        <v>0</v>
      </c>
      <c r="AI2273" s="152">
        <f t="shared" si="872"/>
        <v>16752</v>
      </c>
      <c r="AK2273" s="156" t="s">
        <v>691</v>
      </c>
      <c r="AL2273" s="574" t="s">
        <v>690</v>
      </c>
      <c r="AM2273" s="198">
        <f t="shared" si="873"/>
        <v>0</v>
      </c>
      <c r="AN2273" s="199">
        <f t="shared" si="861"/>
        <v>45799</v>
      </c>
      <c r="AO2273" s="159" t="s">
        <v>692</v>
      </c>
      <c r="AP2273" s="783" t="s">
        <v>629</v>
      </c>
      <c r="AQ2273" s="782">
        <v>12071839</v>
      </c>
      <c r="AR2273" s="782">
        <v>12078867</v>
      </c>
      <c r="AS2273" s="782">
        <v>12068233</v>
      </c>
      <c r="AT2273" s="781"/>
      <c r="AU2273" s="781"/>
      <c r="AV2273" s="782">
        <v>12062075</v>
      </c>
      <c r="AW2273" s="781"/>
      <c r="AX2273" s="781"/>
      <c r="AY2273" s="782">
        <v>12086617</v>
      </c>
      <c r="AZ2273" s="781"/>
      <c r="BA2273" s="781"/>
      <c r="BB2273" s="209">
        <v>23053185</v>
      </c>
    </row>
    <row r="2274" spans="1:54" ht="25" hidden="1" customHeight="1">
      <c r="A2274" s="529" t="s">
        <v>1937</v>
      </c>
      <c r="B2274" s="357">
        <v>45799</v>
      </c>
      <c r="C2274" s="776" t="s">
        <v>1930</v>
      </c>
      <c r="D2274" s="185">
        <f t="shared" si="863"/>
        <v>2025</v>
      </c>
      <c r="E2274" s="358" t="e">
        <f>VLOOKUP($B2274,Week!$A$1:$C$1462,2,0)</f>
        <v>#N/A</v>
      </c>
      <c r="F2274" s="360" t="str">
        <f t="shared" si="864"/>
        <v>May</v>
      </c>
      <c r="G2274" s="359" t="s">
        <v>47</v>
      </c>
      <c r="H2274" s="359" t="s">
        <v>518</v>
      </c>
      <c r="I2274" s="359" t="s">
        <v>2702</v>
      </c>
      <c r="J2274" s="361" t="s">
        <v>70</v>
      </c>
      <c r="K2274" s="362" t="s">
        <v>94</v>
      </c>
      <c r="L2274" s="362" t="s">
        <v>2167</v>
      </c>
      <c r="M2274" s="361" t="s">
        <v>519</v>
      </c>
      <c r="N2274" s="436" t="s">
        <v>648</v>
      </c>
      <c r="O2274" s="359" t="s">
        <v>97</v>
      </c>
      <c r="P2274" s="363">
        <v>12</v>
      </c>
      <c r="Q2274" s="363">
        <v>5</v>
      </c>
      <c r="R2274" s="364">
        <v>8.0000000000000002E-3</v>
      </c>
      <c r="S2274" s="359" t="s">
        <v>40</v>
      </c>
      <c r="T2274" s="359" t="s">
        <v>56</v>
      </c>
      <c r="U2274" s="359" t="s">
        <v>57</v>
      </c>
      <c r="V2274" s="365">
        <v>12</v>
      </c>
      <c r="W2274" s="365">
        <v>12</v>
      </c>
      <c r="X2274" s="366"/>
      <c r="Y2274" s="367">
        <f t="shared" si="866"/>
        <v>0</v>
      </c>
      <c r="Z2274" s="368">
        <f t="shared" si="867"/>
        <v>0</v>
      </c>
      <c r="AA2274" s="368">
        <f t="shared" si="865"/>
        <v>0</v>
      </c>
      <c r="AB2274" s="819">
        <v>7.4999999999999997E-3</v>
      </c>
      <c r="AC2274" s="365">
        <f t="shared" si="874"/>
        <v>0</v>
      </c>
      <c r="AD2274" s="209"/>
      <c r="AE2274" s="210">
        <f t="shared" si="868"/>
        <v>0</v>
      </c>
      <c r="AF2274" s="210">
        <f t="shared" si="869"/>
        <v>0</v>
      </c>
      <c r="AG2274" s="211">
        <f t="shared" si="870"/>
        <v>0.14499999999999999</v>
      </c>
      <c r="AH2274" s="157">
        <f t="shared" si="875"/>
        <v>0</v>
      </c>
      <c r="AI2274" s="152">
        <f t="shared" si="872"/>
        <v>144</v>
      </c>
      <c r="AK2274" s="156" t="s">
        <v>691</v>
      </c>
      <c r="AL2274" s="574" t="s">
        <v>690</v>
      </c>
      <c r="AM2274" s="198">
        <f t="shared" si="873"/>
        <v>0</v>
      </c>
      <c r="AN2274" s="199">
        <f t="shared" si="861"/>
        <v>45799</v>
      </c>
      <c r="AO2274" s="159" t="s">
        <v>692</v>
      </c>
      <c r="AP2274" s="783" t="s">
        <v>628</v>
      </c>
      <c r="AQ2274" s="782">
        <v>12071839</v>
      </c>
      <c r="AR2274" s="782">
        <v>12047514</v>
      </c>
      <c r="AS2274" s="782">
        <v>12047515</v>
      </c>
      <c r="AT2274" s="782"/>
      <c r="AU2274" s="781"/>
      <c r="AV2274" s="782">
        <v>12080617</v>
      </c>
      <c r="AW2274" s="782"/>
      <c r="AX2274" s="782"/>
      <c r="AY2274" s="782">
        <v>12094231</v>
      </c>
      <c r="AZ2274" s="782">
        <v>1209232</v>
      </c>
      <c r="BA2274" s="781"/>
      <c r="BB2274" s="209"/>
    </row>
    <row r="2275" spans="1:54" ht="24.65" hidden="1" customHeight="1">
      <c r="A2275" s="529" t="s">
        <v>1812</v>
      </c>
      <c r="B2275" s="357">
        <v>45799</v>
      </c>
      <c r="C2275" s="358">
        <v>45823</v>
      </c>
      <c r="D2275" s="185">
        <f t="shared" si="863"/>
        <v>2025</v>
      </c>
      <c r="E2275" s="358" t="e">
        <f>VLOOKUP($B2275,Week!$A$1:$C$1462,2,0)</f>
        <v>#N/A</v>
      </c>
      <c r="F2275" s="360" t="str">
        <f t="shared" si="864"/>
        <v>May</v>
      </c>
      <c r="G2275" s="359" t="s">
        <v>2293</v>
      </c>
      <c r="H2275" s="436" t="s">
        <v>1820</v>
      </c>
      <c r="I2275" s="436" t="s">
        <v>1820</v>
      </c>
      <c r="J2275" s="437" t="s">
        <v>1821</v>
      </c>
      <c r="K2275" s="362" t="s">
        <v>94</v>
      </c>
      <c r="L2275" s="300" t="s">
        <v>2167</v>
      </c>
      <c r="M2275" s="361" t="s">
        <v>1823</v>
      </c>
      <c r="N2275" s="436" t="s">
        <v>1818</v>
      </c>
      <c r="O2275" s="359" t="s">
        <v>97</v>
      </c>
      <c r="P2275" s="363">
        <v>12</v>
      </c>
      <c r="Q2275" s="363">
        <v>5</v>
      </c>
      <c r="R2275" s="364">
        <v>8.0000000000000002E-3</v>
      </c>
      <c r="S2275" s="359" t="s">
        <v>40</v>
      </c>
      <c r="T2275" s="359" t="s">
        <v>56</v>
      </c>
      <c r="U2275" s="359" t="s">
        <v>57</v>
      </c>
      <c r="V2275" s="365">
        <f>100</f>
        <v>100</v>
      </c>
      <c r="W2275" s="365">
        <f>100</f>
        <v>100</v>
      </c>
      <c r="X2275" s="366"/>
      <c r="Y2275" s="367">
        <f t="shared" si="866"/>
        <v>0</v>
      </c>
      <c r="Z2275" s="368">
        <f t="shared" si="867"/>
        <v>0</v>
      </c>
      <c r="AA2275" s="368">
        <f t="shared" si="865"/>
        <v>0</v>
      </c>
      <c r="AB2275" s="819">
        <v>7.4999999999999997E-3</v>
      </c>
      <c r="AC2275" s="365">
        <f t="shared" si="874"/>
        <v>0</v>
      </c>
      <c r="AD2275" s="209"/>
      <c r="AE2275" s="210">
        <f t="shared" si="868"/>
        <v>0</v>
      </c>
      <c r="AF2275" s="210">
        <f t="shared" si="869"/>
        <v>0</v>
      </c>
      <c r="AG2275" s="211">
        <f t="shared" si="870"/>
        <v>0.14499999999999999</v>
      </c>
      <c r="AH2275" s="157">
        <f t="shared" si="875"/>
        <v>0</v>
      </c>
      <c r="AI2275" s="152">
        <f t="shared" si="872"/>
        <v>1200</v>
      </c>
      <c r="AK2275" s="156" t="s">
        <v>691</v>
      </c>
      <c r="AL2275" s="574" t="s">
        <v>690</v>
      </c>
      <c r="AM2275" s="198">
        <f t="shared" si="873"/>
        <v>0</v>
      </c>
      <c r="AN2275" s="199">
        <f t="shared" si="861"/>
        <v>45799</v>
      </c>
      <c r="AO2275" s="159" t="s">
        <v>692</v>
      </c>
      <c r="AP2275" s="783" t="s">
        <v>628</v>
      </c>
      <c r="AQ2275" s="782">
        <v>12071839</v>
      </c>
      <c r="AR2275" s="782">
        <v>12047514</v>
      </c>
      <c r="AS2275" s="782">
        <v>12047515</v>
      </c>
      <c r="AT2275" s="782"/>
      <c r="AU2275" s="781"/>
      <c r="AV2275" s="782">
        <v>12080617</v>
      </c>
      <c r="AW2275" s="782"/>
      <c r="AX2275" s="782"/>
      <c r="AY2275" s="782">
        <v>12094231</v>
      </c>
      <c r="AZ2275" s="782">
        <v>1209232</v>
      </c>
      <c r="BA2275" s="781"/>
      <c r="BB2275" s="209">
        <v>23053185</v>
      </c>
    </row>
    <row r="2276" spans="1:54" ht="25" hidden="1" customHeight="1">
      <c r="B2276" s="357">
        <v>45799</v>
      </c>
      <c r="C2276" s="776" t="s">
        <v>1930</v>
      </c>
      <c r="D2276" s="185">
        <f t="shared" si="863"/>
        <v>2025</v>
      </c>
      <c r="E2276" s="358" t="e">
        <f>VLOOKUP($B2276,Week!$A$1:$C$1462,2,0)</f>
        <v>#N/A</v>
      </c>
      <c r="F2276" s="360" t="str">
        <f t="shared" si="864"/>
        <v>May</v>
      </c>
      <c r="G2276" s="359" t="s">
        <v>47</v>
      </c>
      <c r="H2276" s="359" t="s">
        <v>518</v>
      </c>
      <c r="I2276" s="359" t="s">
        <v>2702</v>
      </c>
      <c r="J2276" s="361" t="s">
        <v>70</v>
      </c>
      <c r="K2276" s="362" t="s">
        <v>94</v>
      </c>
      <c r="L2276" s="300" t="s">
        <v>2167</v>
      </c>
      <c r="M2276" s="361" t="s">
        <v>519</v>
      </c>
      <c r="N2276" s="359" t="s">
        <v>589</v>
      </c>
      <c r="O2276" s="359" t="s">
        <v>97</v>
      </c>
      <c r="P2276" s="363">
        <v>12</v>
      </c>
      <c r="Q2276" s="363">
        <v>5</v>
      </c>
      <c r="R2276" s="364">
        <v>8.0000000000000002E-3</v>
      </c>
      <c r="S2276" s="359" t="s">
        <v>40</v>
      </c>
      <c r="T2276" s="359" t="s">
        <v>56</v>
      </c>
      <c r="U2276" s="359" t="s">
        <v>57</v>
      </c>
      <c r="V2276" s="365">
        <f>2000</f>
        <v>2000</v>
      </c>
      <c r="W2276" s="365">
        <f>8+1992</f>
        <v>2000</v>
      </c>
      <c r="X2276" s="366"/>
      <c r="Y2276" s="367">
        <f t="shared" si="866"/>
        <v>0</v>
      </c>
      <c r="Z2276" s="368">
        <f t="shared" si="867"/>
        <v>0</v>
      </c>
      <c r="AA2276" s="368">
        <f t="shared" si="865"/>
        <v>0</v>
      </c>
      <c r="AB2276" s="819">
        <v>7.4999999999999997E-3</v>
      </c>
      <c r="AC2276" s="365">
        <f t="shared" si="874"/>
        <v>0</v>
      </c>
      <c r="AD2276" s="209"/>
      <c r="AE2276" s="210">
        <f t="shared" si="868"/>
        <v>0</v>
      </c>
      <c r="AF2276" s="210">
        <f t="shared" si="869"/>
        <v>0</v>
      </c>
      <c r="AG2276" s="211">
        <f t="shared" si="870"/>
        <v>0.14499999999999999</v>
      </c>
      <c r="AH2276" s="157">
        <f t="shared" si="875"/>
        <v>0</v>
      </c>
      <c r="AI2276" s="152">
        <f t="shared" si="872"/>
        <v>24000</v>
      </c>
      <c r="AK2276" s="156" t="s">
        <v>691</v>
      </c>
      <c r="AL2276" s="574" t="s">
        <v>690</v>
      </c>
      <c r="AM2276" s="198">
        <f t="shared" si="873"/>
        <v>0</v>
      </c>
      <c r="AN2276" s="199">
        <f t="shared" si="861"/>
        <v>45799</v>
      </c>
      <c r="AO2276" s="159" t="s">
        <v>692</v>
      </c>
      <c r="AP2276" s="783" t="s">
        <v>628</v>
      </c>
      <c r="AQ2276" s="782">
        <v>12071839</v>
      </c>
      <c r="AR2276" s="782">
        <v>12047514</v>
      </c>
      <c r="AS2276" s="782">
        <v>12047515</v>
      </c>
      <c r="AT2276" s="782"/>
      <c r="AU2276" s="781"/>
      <c r="AV2276" s="782">
        <v>12080617</v>
      </c>
      <c r="AW2276" s="782"/>
      <c r="AX2276" s="782"/>
      <c r="AY2276" s="782">
        <v>12094231</v>
      </c>
      <c r="AZ2276" s="782">
        <v>1209232</v>
      </c>
      <c r="BA2276" s="781"/>
      <c r="BB2276" s="209">
        <v>23053185</v>
      </c>
    </row>
    <row r="2277" spans="1:54" ht="25" hidden="1" customHeight="1">
      <c r="B2277" s="424">
        <v>45799</v>
      </c>
      <c r="C2277" s="647" t="s">
        <v>1930</v>
      </c>
      <c r="D2277" s="185">
        <f t="shared" si="863"/>
        <v>2025</v>
      </c>
      <c r="E2277" s="425" t="e">
        <f>VLOOKUP($B2277,Week!$A$1:$C$1462,2,0)</f>
        <v>#N/A</v>
      </c>
      <c r="F2277" s="426" t="str">
        <f t="shared" si="864"/>
        <v>May</v>
      </c>
      <c r="G2277" s="427" t="s">
        <v>47</v>
      </c>
      <c r="H2277" s="427" t="s">
        <v>518</v>
      </c>
      <c r="I2277" s="427" t="s">
        <v>2702</v>
      </c>
      <c r="J2277" s="428" t="s">
        <v>70</v>
      </c>
      <c r="K2277" s="429" t="s">
        <v>94</v>
      </c>
      <c r="L2277" s="300" t="s">
        <v>2167</v>
      </c>
      <c r="M2277" s="428" t="s">
        <v>521</v>
      </c>
      <c r="N2277" s="427" t="s">
        <v>587</v>
      </c>
      <c r="O2277" s="427" t="s">
        <v>3198</v>
      </c>
      <c r="P2277" s="430">
        <v>18</v>
      </c>
      <c r="Q2277" s="430">
        <v>5</v>
      </c>
      <c r="R2277" s="431">
        <v>8.0000000000000002E-3</v>
      </c>
      <c r="S2277" s="427" t="s">
        <v>40</v>
      </c>
      <c r="T2277" s="427" t="s">
        <v>56</v>
      </c>
      <c r="U2277" s="427" t="s">
        <v>89</v>
      </c>
      <c r="V2277" s="432">
        <f>1200</f>
        <v>1200</v>
      </c>
      <c r="W2277" s="432">
        <f>944+256</f>
        <v>1200</v>
      </c>
      <c r="X2277" s="433"/>
      <c r="Y2277" s="434">
        <f t="shared" si="866"/>
        <v>0</v>
      </c>
      <c r="Z2277" s="435">
        <f t="shared" si="867"/>
        <v>0</v>
      </c>
      <c r="AA2277" s="435">
        <f t="shared" si="865"/>
        <v>0</v>
      </c>
      <c r="AB2277" s="826">
        <v>1</v>
      </c>
      <c r="AC2277" s="432">
        <f t="shared" si="874"/>
        <v>0</v>
      </c>
      <c r="AD2277" s="209"/>
      <c r="AE2277" s="210">
        <f t="shared" si="868"/>
        <v>0</v>
      </c>
      <c r="AF2277" s="210">
        <f t="shared" si="869"/>
        <v>0</v>
      </c>
      <c r="AG2277" s="211" t="e">
        <f>(MID(O2277,1,3)/1000)/3</f>
        <v>#VALUE!</v>
      </c>
      <c r="AH2277" s="157" t="e">
        <f t="shared" si="875"/>
        <v>#VALUE!</v>
      </c>
      <c r="AI2277" s="152">
        <f t="shared" si="872"/>
        <v>21600</v>
      </c>
      <c r="AK2277" s="156" t="s">
        <v>691</v>
      </c>
      <c r="AL2277" s="212" t="s">
        <v>690</v>
      </c>
      <c r="AM2277" s="198" t="e">
        <f t="shared" si="873"/>
        <v>#VALUE!</v>
      </c>
      <c r="AN2277" s="199">
        <f t="shared" si="861"/>
        <v>45799</v>
      </c>
      <c r="AO2277" s="159" t="s">
        <v>692</v>
      </c>
      <c r="AP2277" s="783" t="s">
        <v>628</v>
      </c>
      <c r="AQ2277" s="782"/>
      <c r="AR2277" s="782"/>
      <c r="AS2277" s="782"/>
      <c r="AT2277" s="782"/>
      <c r="AU2277" s="781"/>
      <c r="AV2277" s="782">
        <v>12080791</v>
      </c>
      <c r="AW2277" s="782" t="s">
        <v>641</v>
      </c>
      <c r="AX2277" s="782" t="s">
        <v>533</v>
      </c>
      <c r="AY2277" s="782"/>
      <c r="AZ2277" s="782"/>
      <c r="BA2277" s="781"/>
      <c r="BB2277" s="209">
        <v>23053184</v>
      </c>
    </row>
    <row r="2278" spans="1:54" ht="25" hidden="1" customHeight="1">
      <c r="B2278" s="271">
        <v>45800</v>
      </c>
      <c r="C2278" s="272" t="s">
        <v>1930</v>
      </c>
      <c r="D2278" s="185">
        <f t="shared" si="863"/>
        <v>2025</v>
      </c>
      <c r="E2278" s="272" t="e">
        <f>VLOOKUP($B2278,Week!$A$1:$C$1462,2,0)</f>
        <v>#N/A</v>
      </c>
      <c r="F2278" s="273" t="str">
        <f t="shared" si="864"/>
        <v>May</v>
      </c>
      <c r="G2278" s="274" t="s">
        <v>47</v>
      </c>
      <c r="H2278" s="274" t="s">
        <v>518</v>
      </c>
      <c r="I2278" s="274" t="s">
        <v>2702</v>
      </c>
      <c r="J2278" s="275" t="s">
        <v>70</v>
      </c>
      <c r="K2278" s="276" t="s">
        <v>556</v>
      </c>
      <c r="L2278" s="300" t="s">
        <v>2167</v>
      </c>
      <c r="M2278" s="275" t="s">
        <v>520</v>
      </c>
      <c r="N2278" s="423" t="s">
        <v>586</v>
      </c>
      <c r="O2278" s="274" t="s">
        <v>585</v>
      </c>
      <c r="P2278" s="277">
        <v>12</v>
      </c>
      <c r="Q2278" s="277">
        <v>5</v>
      </c>
      <c r="R2278" s="278">
        <v>6.0000000000000001E-3</v>
      </c>
      <c r="S2278" s="274" t="s">
        <v>55</v>
      </c>
      <c r="T2278" s="274" t="s">
        <v>56</v>
      </c>
      <c r="U2278" s="274" t="s">
        <v>57</v>
      </c>
      <c r="V2278" s="279">
        <f>400</f>
        <v>400</v>
      </c>
      <c r="W2278" s="279">
        <f>1+399</f>
        <v>400</v>
      </c>
      <c r="X2278" s="280"/>
      <c r="Y2278" s="281">
        <f t="shared" si="866"/>
        <v>0</v>
      </c>
      <c r="Z2278" s="282">
        <f t="shared" si="867"/>
        <v>0</v>
      </c>
      <c r="AA2278" s="282">
        <f t="shared" si="865"/>
        <v>0</v>
      </c>
      <c r="AB2278" s="812">
        <v>7.4999999999999997E-3</v>
      </c>
      <c r="AC2278" s="279">
        <f t="shared" si="874"/>
        <v>0</v>
      </c>
      <c r="AD2278" s="209"/>
      <c r="AE2278" s="210">
        <f t="shared" si="868"/>
        <v>0</v>
      </c>
      <c r="AF2278" s="210">
        <f t="shared" si="869"/>
        <v>0</v>
      </c>
      <c r="AG2278" s="211">
        <f t="shared" ref="AG2278:AG2291" si="876">MID(O2278,1,3)/1000</f>
        <v>0.13500000000000001</v>
      </c>
      <c r="AH2278" s="157">
        <f t="shared" si="875"/>
        <v>0</v>
      </c>
      <c r="AI2278" s="152">
        <f t="shared" si="872"/>
        <v>4800</v>
      </c>
      <c r="AK2278" s="156" t="s">
        <v>691</v>
      </c>
      <c r="AL2278" s="212" t="s">
        <v>690</v>
      </c>
      <c r="AM2278" s="198">
        <f t="shared" si="873"/>
        <v>0</v>
      </c>
      <c r="AN2278" s="199">
        <f t="shared" si="861"/>
        <v>45800</v>
      </c>
      <c r="AO2278" s="159" t="s">
        <v>692</v>
      </c>
      <c r="AP2278" s="781"/>
      <c r="AQ2278" s="782">
        <v>12071839</v>
      </c>
      <c r="AR2278" s="782">
        <v>12047514</v>
      </c>
      <c r="AS2278" s="782">
        <v>12047515</v>
      </c>
      <c r="AT2278" s="782"/>
      <c r="AU2278" s="781"/>
      <c r="AV2278" s="782">
        <v>12083307</v>
      </c>
      <c r="AW2278" s="782"/>
      <c r="AX2278" s="782"/>
      <c r="AY2278" s="782" t="s">
        <v>2189</v>
      </c>
      <c r="AZ2278" s="782" t="s">
        <v>2190</v>
      </c>
      <c r="BA2278" s="781"/>
      <c r="BB2278" s="209">
        <v>23053185</v>
      </c>
    </row>
    <row r="2279" spans="1:54" ht="25" hidden="1" customHeight="1">
      <c r="A2279" s="529" t="s">
        <v>1827</v>
      </c>
      <c r="B2279" s="571">
        <v>45800</v>
      </c>
      <c r="C2279" s="235">
        <v>45818</v>
      </c>
      <c r="D2279" s="185">
        <f t="shared" si="863"/>
        <v>2025</v>
      </c>
      <c r="E2279" s="235" t="e">
        <f>VLOOKUP($B2279,Week!$A$1:$C$1462,2,0)</f>
        <v>#N/A</v>
      </c>
      <c r="F2279" s="237" t="str">
        <f t="shared" si="864"/>
        <v>May</v>
      </c>
      <c r="G2279" s="236" t="s">
        <v>2210</v>
      </c>
      <c r="H2279" s="756" t="s">
        <v>1827</v>
      </c>
      <c r="I2279" s="756" t="s">
        <v>1827</v>
      </c>
      <c r="J2279" s="774" t="s">
        <v>1828</v>
      </c>
      <c r="K2279" s="239" t="s">
        <v>94</v>
      </c>
      <c r="L2279" s="300" t="s">
        <v>2167</v>
      </c>
      <c r="M2279" s="238" t="s">
        <v>2339</v>
      </c>
      <c r="N2279" s="236" t="s">
        <v>263</v>
      </c>
      <c r="O2279" s="236" t="s">
        <v>195</v>
      </c>
      <c r="P2279" s="240">
        <v>24</v>
      </c>
      <c r="Q2279" s="240">
        <v>5</v>
      </c>
      <c r="R2279" s="241">
        <v>8.0000000000000002E-3</v>
      </c>
      <c r="S2279" s="236" t="s">
        <v>40</v>
      </c>
      <c r="T2279" s="236" t="s">
        <v>56</v>
      </c>
      <c r="U2279" s="236" t="s">
        <v>57</v>
      </c>
      <c r="V2279" s="242">
        <f>50</f>
        <v>50</v>
      </c>
      <c r="W2279" s="242">
        <f>50</f>
        <v>50</v>
      </c>
      <c r="X2279" s="243"/>
      <c r="Y2279" s="244">
        <f t="shared" si="866"/>
        <v>0</v>
      </c>
      <c r="Z2279" s="245">
        <f t="shared" si="867"/>
        <v>0</v>
      </c>
      <c r="AA2279" s="245">
        <f t="shared" si="865"/>
        <v>0</v>
      </c>
      <c r="AB2279" s="809">
        <v>7.4999999999999997E-3</v>
      </c>
      <c r="AC2279" s="242">
        <f t="shared" si="874"/>
        <v>0</v>
      </c>
      <c r="AD2279" s="209"/>
      <c r="AE2279" s="210">
        <f t="shared" si="868"/>
        <v>0</v>
      </c>
      <c r="AF2279" s="210">
        <f t="shared" si="869"/>
        <v>0</v>
      </c>
      <c r="AG2279" s="211">
        <f t="shared" si="876"/>
        <v>0.14499999999999999</v>
      </c>
      <c r="AH2279" s="157">
        <f t="shared" si="875"/>
        <v>0</v>
      </c>
      <c r="AI2279" s="152">
        <f t="shared" si="872"/>
        <v>1200</v>
      </c>
      <c r="AK2279" s="156" t="s">
        <v>691</v>
      </c>
      <c r="AL2279" s="574" t="s">
        <v>690</v>
      </c>
      <c r="AM2279" s="198">
        <f t="shared" si="873"/>
        <v>0</v>
      </c>
      <c r="AN2279" s="199">
        <f t="shared" si="861"/>
        <v>45800</v>
      </c>
      <c r="AO2279" s="159" t="s">
        <v>692</v>
      </c>
      <c r="AP2279" s="783" t="s">
        <v>628</v>
      </c>
      <c r="AQ2279" s="782">
        <v>12071839</v>
      </c>
      <c r="AR2279" s="782">
        <v>12047514</v>
      </c>
      <c r="AS2279" s="782">
        <v>12047515</v>
      </c>
      <c r="AT2279" s="782"/>
      <c r="AU2279" s="781"/>
      <c r="AV2279" s="782">
        <v>12080613</v>
      </c>
      <c r="AW2279" s="782"/>
      <c r="AX2279" s="782"/>
      <c r="AY2279" s="782">
        <v>12094241</v>
      </c>
      <c r="AZ2279" s="782">
        <v>12094242</v>
      </c>
      <c r="BA2279" s="781"/>
      <c r="BB2279" s="209"/>
    </row>
    <row r="2280" spans="1:54" ht="25" hidden="1" customHeight="1">
      <c r="A2280" s="529" t="s">
        <v>1827</v>
      </c>
      <c r="B2280" s="571">
        <v>45800</v>
      </c>
      <c r="C2280" s="235">
        <v>45823</v>
      </c>
      <c r="D2280" s="185">
        <f t="shared" si="863"/>
        <v>2025</v>
      </c>
      <c r="E2280" s="235" t="e">
        <f>VLOOKUP($B2280,Week!$A$1:$C$1462,2,0)</f>
        <v>#N/A</v>
      </c>
      <c r="F2280" s="237" t="str">
        <f t="shared" si="864"/>
        <v>May</v>
      </c>
      <c r="G2280" s="236" t="s">
        <v>2294</v>
      </c>
      <c r="H2280" s="756" t="s">
        <v>1827</v>
      </c>
      <c r="I2280" s="756" t="s">
        <v>1827</v>
      </c>
      <c r="J2280" s="774" t="s">
        <v>1828</v>
      </c>
      <c r="K2280" s="239" t="s">
        <v>94</v>
      </c>
      <c r="L2280" s="300" t="s">
        <v>2167</v>
      </c>
      <c r="M2280" s="238" t="s">
        <v>2339</v>
      </c>
      <c r="N2280" s="236" t="s">
        <v>263</v>
      </c>
      <c r="O2280" s="236" t="s">
        <v>195</v>
      </c>
      <c r="P2280" s="240">
        <v>24</v>
      </c>
      <c r="Q2280" s="240">
        <v>5</v>
      </c>
      <c r="R2280" s="241">
        <v>8.0000000000000002E-3</v>
      </c>
      <c r="S2280" s="236" t="s">
        <v>40</v>
      </c>
      <c r="T2280" s="236" t="s">
        <v>56</v>
      </c>
      <c r="U2280" s="236" t="s">
        <v>57</v>
      </c>
      <c r="V2280" s="242">
        <f>100</f>
        <v>100</v>
      </c>
      <c r="W2280" s="242">
        <f>100</f>
        <v>100</v>
      </c>
      <c r="X2280" s="243"/>
      <c r="Y2280" s="244">
        <f t="shared" si="866"/>
        <v>0</v>
      </c>
      <c r="Z2280" s="245">
        <f t="shared" si="867"/>
        <v>0</v>
      </c>
      <c r="AA2280" s="245">
        <f t="shared" si="865"/>
        <v>0</v>
      </c>
      <c r="AB2280" s="809">
        <v>7.4999999999999997E-3</v>
      </c>
      <c r="AC2280" s="242">
        <f t="shared" si="874"/>
        <v>0</v>
      </c>
      <c r="AD2280" s="209"/>
      <c r="AE2280" s="210">
        <f t="shared" si="868"/>
        <v>0</v>
      </c>
      <c r="AF2280" s="210">
        <f t="shared" si="869"/>
        <v>0</v>
      </c>
      <c r="AG2280" s="211">
        <f t="shared" si="876"/>
        <v>0.14499999999999999</v>
      </c>
      <c r="AH2280" s="157">
        <f t="shared" si="875"/>
        <v>0</v>
      </c>
      <c r="AI2280" s="152">
        <f t="shared" si="872"/>
        <v>2400</v>
      </c>
      <c r="AK2280" s="156" t="s">
        <v>691</v>
      </c>
      <c r="AL2280" s="574" t="s">
        <v>690</v>
      </c>
      <c r="AM2280" s="198">
        <f t="shared" si="873"/>
        <v>0</v>
      </c>
      <c r="AN2280" s="199">
        <f t="shared" si="861"/>
        <v>45800</v>
      </c>
      <c r="AO2280" s="159" t="s">
        <v>692</v>
      </c>
      <c r="AP2280" s="783" t="s">
        <v>628</v>
      </c>
      <c r="AQ2280" s="782">
        <v>12071839</v>
      </c>
      <c r="AR2280" s="782">
        <v>12047514</v>
      </c>
      <c r="AS2280" s="782">
        <v>12047515</v>
      </c>
      <c r="AT2280" s="782"/>
      <c r="AU2280" s="781"/>
      <c r="AV2280" s="782">
        <v>12080613</v>
      </c>
      <c r="AW2280" s="782"/>
      <c r="AX2280" s="782"/>
      <c r="AY2280" s="782">
        <v>12094241</v>
      </c>
      <c r="AZ2280" s="782">
        <v>12094242</v>
      </c>
      <c r="BA2280" s="781"/>
      <c r="BB2280" s="209">
        <v>23053185</v>
      </c>
    </row>
    <row r="2281" spans="1:54" ht="24.65" hidden="1" customHeight="1">
      <c r="B2281" s="411">
        <v>45800</v>
      </c>
      <c r="C2281" s="645" t="s">
        <v>1929</v>
      </c>
      <c r="D2281" s="185">
        <f t="shared" si="863"/>
        <v>2025</v>
      </c>
      <c r="E2281" s="412" t="e">
        <f>VLOOKUP($B2281,Week!$A$1:$C$1462,2,0)</f>
        <v>#N/A</v>
      </c>
      <c r="F2281" s="413" t="str">
        <f t="shared" si="864"/>
        <v>May</v>
      </c>
      <c r="G2281" s="414" t="s">
        <v>47</v>
      </c>
      <c r="H2281" s="414" t="s">
        <v>260</v>
      </c>
      <c r="I2281" s="414" t="s">
        <v>2702</v>
      </c>
      <c r="J2281" s="415" t="s">
        <v>261</v>
      </c>
      <c r="K2281" s="416" t="s">
        <v>94</v>
      </c>
      <c r="L2281" s="300" t="s">
        <v>2167</v>
      </c>
      <c r="M2281" s="415" t="s">
        <v>2339</v>
      </c>
      <c r="N2281" s="414" t="s">
        <v>263</v>
      </c>
      <c r="O2281" s="414" t="s">
        <v>195</v>
      </c>
      <c r="P2281" s="417">
        <v>24</v>
      </c>
      <c r="Q2281" s="417">
        <v>5</v>
      </c>
      <c r="R2281" s="418">
        <v>8.0000000000000002E-3</v>
      </c>
      <c r="S2281" s="414" t="s">
        <v>40</v>
      </c>
      <c r="T2281" s="414" t="s">
        <v>56</v>
      </c>
      <c r="U2281" s="414" t="s">
        <v>57</v>
      </c>
      <c r="V2281" s="419">
        <f>5000-458-204-4316</f>
        <v>22</v>
      </c>
      <c r="W2281" s="419">
        <f>22</f>
        <v>22</v>
      </c>
      <c r="X2281" s="420"/>
      <c r="Y2281" s="421">
        <f t="shared" si="866"/>
        <v>0</v>
      </c>
      <c r="Z2281" s="422">
        <f t="shared" si="867"/>
        <v>0</v>
      </c>
      <c r="AA2281" s="422">
        <f t="shared" si="865"/>
        <v>0</v>
      </c>
      <c r="AB2281" s="825">
        <v>7.4999999999999997E-3</v>
      </c>
      <c r="AC2281" s="419">
        <f t="shared" si="874"/>
        <v>0</v>
      </c>
      <c r="AD2281" s="209"/>
      <c r="AE2281" s="210">
        <f t="shared" si="868"/>
        <v>0</v>
      </c>
      <c r="AF2281" s="210">
        <f t="shared" si="869"/>
        <v>0</v>
      </c>
      <c r="AG2281" s="211">
        <f t="shared" si="876"/>
        <v>0.14499999999999999</v>
      </c>
      <c r="AH2281" s="157">
        <f t="shared" si="875"/>
        <v>0</v>
      </c>
      <c r="AI2281" s="152">
        <f t="shared" si="872"/>
        <v>528</v>
      </c>
      <c r="AK2281" s="156" t="s">
        <v>691</v>
      </c>
      <c r="AL2281" s="212" t="s">
        <v>690</v>
      </c>
      <c r="AM2281" s="198">
        <f t="shared" si="873"/>
        <v>0</v>
      </c>
      <c r="AN2281" s="199">
        <f t="shared" si="861"/>
        <v>45800</v>
      </c>
      <c r="AO2281" s="159" t="s">
        <v>692</v>
      </c>
      <c r="AP2281" s="783" t="s">
        <v>609</v>
      </c>
      <c r="AQ2281" s="782">
        <v>12071839</v>
      </c>
      <c r="AR2281" s="782">
        <v>12047514</v>
      </c>
      <c r="AS2281" s="782">
        <v>12047515</v>
      </c>
      <c r="AT2281" s="781"/>
      <c r="AU2281" s="781"/>
      <c r="AV2281" s="782">
        <v>12080613</v>
      </c>
      <c r="AW2281" s="781"/>
      <c r="AX2281" s="781"/>
      <c r="AY2281" s="782">
        <v>12094241</v>
      </c>
      <c r="AZ2281" s="782">
        <v>12094242</v>
      </c>
      <c r="BA2281" s="781"/>
      <c r="BB2281" s="209">
        <v>23053185</v>
      </c>
    </row>
    <row r="2282" spans="1:54" ht="24.65" hidden="1" customHeight="1">
      <c r="B2282" s="411">
        <v>45800</v>
      </c>
      <c r="C2282" s="645" t="s">
        <v>1930</v>
      </c>
      <c r="D2282" s="185">
        <f t="shared" si="863"/>
        <v>2025</v>
      </c>
      <c r="E2282" s="412" t="e">
        <f>VLOOKUP($B2282,Week!$A$1:$C$1462,2,0)</f>
        <v>#N/A</v>
      </c>
      <c r="F2282" s="413" t="str">
        <f t="shared" si="864"/>
        <v>May</v>
      </c>
      <c r="G2282" s="414" t="s">
        <v>47</v>
      </c>
      <c r="H2282" s="414" t="s">
        <v>260</v>
      </c>
      <c r="I2282" s="414" t="s">
        <v>2702</v>
      </c>
      <c r="J2282" s="415" t="s">
        <v>261</v>
      </c>
      <c r="K2282" s="416" t="s">
        <v>94</v>
      </c>
      <c r="L2282" s="300" t="s">
        <v>2167</v>
      </c>
      <c r="M2282" s="415" t="s">
        <v>2339</v>
      </c>
      <c r="N2282" s="414" t="s">
        <v>263</v>
      </c>
      <c r="O2282" s="414" t="s">
        <v>195</v>
      </c>
      <c r="P2282" s="417">
        <v>24</v>
      </c>
      <c r="Q2282" s="417">
        <v>5</v>
      </c>
      <c r="R2282" s="418">
        <v>8.0000000000000002E-3</v>
      </c>
      <c r="S2282" s="414" t="s">
        <v>40</v>
      </c>
      <c r="T2282" s="414" t="s">
        <v>56</v>
      </c>
      <c r="U2282" s="414" t="s">
        <v>57</v>
      </c>
      <c r="V2282" s="419">
        <f>5000-27</f>
        <v>4973</v>
      </c>
      <c r="W2282" s="419">
        <f>4995-22</f>
        <v>4973</v>
      </c>
      <c r="X2282" s="420"/>
      <c r="Y2282" s="421">
        <f t="shared" si="866"/>
        <v>0</v>
      </c>
      <c r="Z2282" s="422">
        <f t="shared" si="867"/>
        <v>0</v>
      </c>
      <c r="AA2282" s="422">
        <f t="shared" si="865"/>
        <v>0</v>
      </c>
      <c r="AB2282" s="825">
        <v>7.4999999999999997E-3</v>
      </c>
      <c r="AC2282" s="419">
        <f t="shared" si="874"/>
        <v>0</v>
      </c>
      <c r="AD2282" s="209"/>
      <c r="AE2282" s="210">
        <f t="shared" si="868"/>
        <v>0</v>
      </c>
      <c r="AF2282" s="210">
        <f t="shared" si="869"/>
        <v>0</v>
      </c>
      <c r="AG2282" s="211">
        <f t="shared" si="876"/>
        <v>0.14499999999999999</v>
      </c>
      <c r="AH2282" s="157">
        <f t="shared" si="875"/>
        <v>0</v>
      </c>
      <c r="AI2282" s="152">
        <f t="shared" si="872"/>
        <v>119352</v>
      </c>
      <c r="AK2282" s="156" t="s">
        <v>691</v>
      </c>
      <c r="AL2282" s="212" t="s">
        <v>690</v>
      </c>
      <c r="AM2282" s="198">
        <f t="shared" si="873"/>
        <v>0</v>
      </c>
      <c r="AN2282" s="199">
        <f t="shared" si="861"/>
        <v>45800</v>
      </c>
      <c r="AO2282" s="159" t="s">
        <v>692</v>
      </c>
      <c r="AP2282" s="783" t="s">
        <v>609</v>
      </c>
      <c r="AQ2282" s="782">
        <v>12071839</v>
      </c>
      <c r="AR2282" s="782">
        <v>12047514</v>
      </c>
      <c r="AS2282" s="782">
        <v>12047515</v>
      </c>
      <c r="AT2282" s="781"/>
      <c r="AU2282" s="781"/>
      <c r="AV2282" s="782">
        <v>12080613</v>
      </c>
      <c r="AW2282" s="781"/>
      <c r="AX2282" s="781"/>
      <c r="AY2282" s="782">
        <v>12094241</v>
      </c>
      <c r="AZ2282" s="782">
        <v>12094242</v>
      </c>
      <c r="BA2282" s="781"/>
      <c r="BB2282" s="209">
        <v>23053185</v>
      </c>
    </row>
    <row r="2283" spans="1:54" ht="25" hidden="1" customHeight="1">
      <c r="B2283" s="320">
        <v>45800</v>
      </c>
      <c r="C2283" s="321" t="s">
        <v>1930</v>
      </c>
      <c r="D2283" s="185">
        <f t="shared" si="863"/>
        <v>2025</v>
      </c>
      <c r="E2283" s="321" t="e">
        <f>VLOOKUP($B2283,Week!$A$1:$C$1462,2,0)</f>
        <v>#N/A</v>
      </c>
      <c r="F2283" s="322" t="str">
        <f t="shared" si="864"/>
        <v>May</v>
      </c>
      <c r="G2283" s="323" t="s">
        <v>47</v>
      </c>
      <c r="H2283" s="323" t="s">
        <v>518</v>
      </c>
      <c r="I2283" s="323" t="s">
        <v>2702</v>
      </c>
      <c r="J2283" s="324" t="s">
        <v>70</v>
      </c>
      <c r="K2283" s="325" t="s">
        <v>564</v>
      </c>
      <c r="L2283" s="300" t="s">
        <v>2167</v>
      </c>
      <c r="M2283" s="324" t="s">
        <v>558</v>
      </c>
      <c r="N2283" s="323" t="s">
        <v>559</v>
      </c>
      <c r="O2283" s="323" t="s">
        <v>560</v>
      </c>
      <c r="P2283" s="326">
        <v>12</v>
      </c>
      <c r="Q2283" s="326">
        <v>3</v>
      </c>
      <c r="R2283" s="327">
        <v>8.0000000000000002E-3</v>
      </c>
      <c r="S2283" s="323" t="s">
        <v>40</v>
      </c>
      <c r="T2283" s="323" t="s">
        <v>56</v>
      </c>
      <c r="U2283" s="323" t="s">
        <v>57</v>
      </c>
      <c r="V2283" s="397">
        <f>400</f>
        <v>400</v>
      </c>
      <c r="W2283" s="328">
        <f>1+399</f>
        <v>400</v>
      </c>
      <c r="X2283" s="329"/>
      <c r="Y2283" s="330">
        <f t="shared" si="866"/>
        <v>0</v>
      </c>
      <c r="Z2283" s="331">
        <f t="shared" si="867"/>
        <v>0</v>
      </c>
      <c r="AA2283" s="331">
        <f t="shared" si="865"/>
        <v>0</v>
      </c>
      <c r="AB2283" s="816">
        <v>7.4999999999999997E-3</v>
      </c>
      <c r="AC2283" s="328">
        <f t="shared" si="874"/>
        <v>0</v>
      </c>
      <c r="AD2283" s="209"/>
      <c r="AE2283" s="210">
        <f t="shared" si="868"/>
        <v>0</v>
      </c>
      <c r="AF2283" s="210">
        <f t="shared" si="869"/>
        <v>0</v>
      </c>
      <c r="AG2283" s="211">
        <f t="shared" si="876"/>
        <v>0.22600000000000001</v>
      </c>
      <c r="AH2283" s="157">
        <f t="shared" si="875"/>
        <v>0</v>
      </c>
      <c r="AI2283" s="152">
        <f t="shared" si="872"/>
        <v>4800</v>
      </c>
      <c r="AK2283" s="156" t="s">
        <v>691</v>
      </c>
      <c r="AL2283" s="212" t="s">
        <v>690</v>
      </c>
      <c r="AM2283" s="198">
        <f t="shared" ref="AM2283:AM2314" si="877">AG2283*Z2283</f>
        <v>0</v>
      </c>
      <c r="AN2283" s="199">
        <f t="shared" si="861"/>
        <v>45800</v>
      </c>
      <c r="AO2283" s="159" t="s">
        <v>692</v>
      </c>
      <c r="AP2283" s="783" t="s">
        <v>623</v>
      </c>
      <c r="AQ2283" s="782">
        <v>12071839</v>
      </c>
      <c r="AR2283" s="782">
        <v>12042650</v>
      </c>
      <c r="AS2283" s="782">
        <v>12042649</v>
      </c>
      <c r="AT2283" s="782"/>
      <c r="AU2283" s="781"/>
      <c r="AV2283" s="782">
        <v>12083156</v>
      </c>
      <c r="AW2283" s="782"/>
      <c r="AX2283" s="782"/>
      <c r="AY2283" s="782">
        <v>12094235</v>
      </c>
      <c r="AZ2283" s="782">
        <v>12094236</v>
      </c>
      <c r="BA2283" s="781"/>
      <c r="BB2283" s="209">
        <v>23053185</v>
      </c>
    </row>
    <row r="2284" spans="1:54" ht="25.15" hidden="1" customHeight="1">
      <c r="B2284" s="345">
        <v>45801</v>
      </c>
      <c r="C2284" s="346">
        <v>45825</v>
      </c>
      <c r="D2284" s="185">
        <f t="shared" si="863"/>
        <v>2025</v>
      </c>
      <c r="E2284" s="347" t="e">
        <f>VLOOKUP($B2284,Week!$A$1:$C$1462,2,0)</f>
        <v>#N/A</v>
      </c>
      <c r="F2284" s="348" t="str">
        <f t="shared" si="864"/>
        <v>May</v>
      </c>
      <c r="G2284" s="347" t="s">
        <v>1811</v>
      </c>
      <c r="H2284" s="347" t="s">
        <v>424</v>
      </c>
      <c r="I2284" s="347" t="s">
        <v>2772</v>
      </c>
      <c r="J2284" s="438" t="s">
        <v>425</v>
      </c>
      <c r="K2284" s="350" t="s">
        <v>176</v>
      </c>
      <c r="L2284" s="350" t="s">
        <v>2167</v>
      </c>
      <c r="M2284" s="349" t="s">
        <v>426</v>
      </c>
      <c r="N2284" s="347" t="s">
        <v>427</v>
      </c>
      <c r="O2284" s="347" t="s">
        <v>599</v>
      </c>
      <c r="P2284" s="351">
        <v>36</v>
      </c>
      <c r="Q2284" s="351">
        <v>5</v>
      </c>
      <c r="R2284" s="352">
        <v>7.4999999999999997E-3</v>
      </c>
      <c r="S2284" s="347" t="s">
        <v>111</v>
      </c>
      <c r="T2284" s="347" t="s">
        <v>112</v>
      </c>
      <c r="U2284" s="347" t="s">
        <v>57</v>
      </c>
      <c r="V2284" s="353">
        <v>1288</v>
      </c>
      <c r="W2284" s="353">
        <f>14+1274</f>
        <v>1288</v>
      </c>
      <c r="X2284" s="354"/>
      <c r="Y2284" s="355">
        <f t="shared" si="866"/>
        <v>0</v>
      </c>
      <c r="Z2284" s="356">
        <f t="shared" si="867"/>
        <v>0</v>
      </c>
      <c r="AA2284" s="353">
        <f t="shared" si="865"/>
        <v>0</v>
      </c>
      <c r="AB2284" s="818">
        <v>7.4999999999999997E-3</v>
      </c>
      <c r="AC2284" s="353">
        <f t="shared" si="874"/>
        <v>0</v>
      </c>
      <c r="AD2284" s="307" t="s">
        <v>2003</v>
      </c>
      <c r="AE2284" s="210">
        <f t="shared" si="868"/>
        <v>0</v>
      </c>
      <c r="AF2284" s="210">
        <f t="shared" si="869"/>
        <v>0</v>
      </c>
      <c r="AG2284" s="211">
        <f t="shared" si="876"/>
        <v>0.14799999999999999</v>
      </c>
      <c r="AH2284" s="157">
        <f t="shared" si="875"/>
        <v>0</v>
      </c>
      <c r="AI2284" s="152">
        <f t="shared" si="872"/>
        <v>46368</v>
      </c>
      <c r="AK2284" s="156" t="s">
        <v>691</v>
      </c>
      <c r="AL2284" s="574" t="s">
        <v>690</v>
      </c>
      <c r="AM2284" s="198">
        <f t="shared" si="877"/>
        <v>0</v>
      </c>
      <c r="AN2284" s="199">
        <f t="shared" si="861"/>
        <v>45801</v>
      </c>
      <c r="AO2284" s="159" t="s">
        <v>692</v>
      </c>
      <c r="AP2284" s="783" t="s">
        <v>609</v>
      </c>
      <c r="AQ2284" s="782">
        <v>12071839</v>
      </c>
      <c r="AR2284" s="782">
        <v>12080260</v>
      </c>
      <c r="AS2284" s="782">
        <v>12080259</v>
      </c>
      <c r="AT2284" s="782">
        <v>12094039</v>
      </c>
      <c r="AU2284" s="782"/>
      <c r="AV2284" s="782">
        <v>12062100</v>
      </c>
      <c r="AW2284" s="782">
        <v>12024404</v>
      </c>
      <c r="AX2284" s="781"/>
      <c r="AY2284" s="782">
        <v>12094024</v>
      </c>
      <c r="AZ2284" s="782"/>
      <c r="BA2284" s="781"/>
      <c r="BB2284" s="209">
        <v>23053185</v>
      </c>
    </row>
    <row r="2285" spans="1:54" ht="25" hidden="1" customHeight="1">
      <c r="B2285" s="213">
        <v>45801</v>
      </c>
      <c r="C2285" s="214">
        <v>45818</v>
      </c>
      <c r="D2285" s="215">
        <f t="shared" si="863"/>
        <v>2025</v>
      </c>
      <c r="E2285" s="214" t="e">
        <f>VLOOKUP($B2285,Week!$A$1:$C$1462,2,0)</f>
        <v>#N/A</v>
      </c>
      <c r="F2285" s="216" t="str">
        <f t="shared" si="864"/>
        <v>May</v>
      </c>
      <c r="G2285" s="215" t="s">
        <v>2237</v>
      </c>
      <c r="H2285" s="215" t="s">
        <v>134</v>
      </c>
      <c r="I2285" s="215" t="s">
        <v>2772</v>
      </c>
      <c r="J2285" s="209" t="s">
        <v>164</v>
      </c>
      <c r="K2285" s="217" t="s">
        <v>2234</v>
      </c>
      <c r="L2285" s="217" t="s">
        <v>2167</v>
      </c>
      <c r="M2285" s="209" t="s">
        <v>2235</v>
      </c>
      <c r="N2285" s="480" t="s">
        <v>2236</v>
      </c>
      <c r="O2285" s="215" t="s">
        <v>2233</v>
      </c>
      <c r="P2285" s="218">
        <v>24</v>
      </c>
      <c r="Q2285" s="218">
        <v>3</v>
      </c>
      <c r="R2285" s="219">
        <v>6.0000000000000001E-3</v>
      </c>
      <c r="S2285" s="215" t="s">
        <v>55</v>
      </c>
      <c r="T2285" s="215" t="s">
        <v>112</v>
      </c>
      <c r="U2285" s="852" t="s">
        <v>739</v>
      </c>
      <c r="V2285" s="220">
        <v>420</v>
      </c>
      <c r="W2285" s="220">
        <f>420</f>
        <v>420</v>
      </c>
      <c r="X2285" s="221"/>
      <c r="Y2285" s="222">
        <f t="shared" si="866"/>
        <v>0</v>
      </c>
      <c r="Z2285" s="223">
        <f t="shared" si="867"/>
        <v>0</v>
      </c>
      <c r="AA2285" s="223">
        <f t="shared" si="865"/>
        <v>0</v>
      </c>
      <c r="AB2285" s="807">
        <v>2.4E-2</v>
      </c>
      <c r="AC2285" s="220">
        <f t="shared" si="874"/>
        <v>0</v>
      </c>
      <c r="AD2285" s="443"/>
      <c r="AE2285" s="210">
        <f t="shared" si="868"/>
        <v>0</v>
      </c>
      <c r="AF2285" s="210">
        <f t="shared" si="869"/>
        <v>0</v>
      </c>
      <c r="AG2285" s="211">
        <f t="shared" si="876"/>
        <v>0.3</v>
      </c>
      <c r="AH2285" s="157">
        <v>0.26621999999999996</v>
      </c>
      <c r="AI2285" s="152">
        <f t="shared" si="872"/>
        <v>10080</v>
      </c>
      <c r="AK2285" s="156" t="s">
        <v>691</v>
      </c>
      <c r="AL2285" s="574" t="s">
        <v>690</v>
      </c>
      <c r="AM2285" s="198">
        <f t="shared" si="877"/>
        <v>0</v>
      </c>
      <c r="AN2285" s="199">
        <f t="shared" si="861"/>
        <v>45801</v>
      </c>
      <c r="AO2285" s="159" t="s">
        <v>692</v>
      </c>
      <c r="AP2285" s="781" t="s">
        <v>642</v>
      </c>
      <c r="AQ2285" s="782">
        <v>12063755</v>
      </c>
      <c r="AR2285" s="782">
        <v>12061353</v>
      </c>
      <c r="AS2285" s="782">
        <v>12061354</v>
      </c>
      <c r="AT2285" s="782"/>
      <c r="AU2285" s="783" t="s">
        <v>570</v>
      </c>
      <c r="AV2285" s="782">
        <v>12095301</v>
      </c>
      <c r="AW2285" s="783" t="s">
        <v>568</v>
      </c>
      <c r="AX2285" s="781"/>
      <c r="AY2285" s="796" t="s">
        <v>2460</v>
      </c>
      <c r="AZ2285" s="796" t="s">
        <v>2461</v>
      </c>
      <c r="BA2285" s="796" t="s">
        <v>2462</v>
      </c>
      <c r="BB2285" s="209">
        <v>23099860</v>
      </c>
    </row>
    <row r="2286" spans="1:54" ht="25" hidden="1" customHeight="1">
      <c r="B2286" s="332">
        <v>45801</v>
      </c>
      <c r="C2286" s="333">
        <v>45862</v>
      </c>
      <c r="D2286" s="185">
        <f t="shared" si="863"/>
        <v>2025</v>
      </c>
      <c r="E2286" s="333" t="e">
        <f>VLOOKUP($B2286,Week!$A$1:$C$1462,2,0)</f>
        <v>#N/A</v>
      </c>
      <c r="F2286" s="334" t="str">
        <f t="shared" si="864"/>
        <v>May</v>
      </c>
      <c r="G2286" s="335" t="s">
        <v>2329</v>
      </c>
      <c r="H2286" s="335" t="s">
        <v>311</v>
      </c>
      <c r="I2286" s="335" t="s">
        <v>2772</v>
      </c>
      <c r="J2286" s="336" t="s">
        <v>738</v>
      </c>
      <c r="K2286" s="337" t="s">
        <v>2234</v>
      </c>
      <c r="L2286" s="300" t="s">
        <v>2167</v>
      </c>
      <c r="M2286" s="382" t="s">
        <v>2235</v>
      </c>
      <c r="N2286" s="335" t="s">
        <v>1924</v>
      </c>
      <c r="O2286" s="335" t="s">
        <v>1925</v>
      </c>
      <c r="P2286" s="338">
        <v>8</v>
      </c>
      <c r="Q2286" s="338">
        <v>3</v>
      </c>
      <c r="R2286" s="339">
        <v>6.0000000000000001E-3</v>
      </c>
      <c r="S2286" s="335" t="s">
        <v>55</v>
      </c>
      <c r="T2286" s="335" t="s">
        <v>112</v>
      </c>
      <c r="U2286" s="340" t="s">
        <v>739</v>
      </c>
      <c r="V2286" s="341">
        <f>300</f>
        <v>300</v>
      </c>
      <c r="W2286" s="341"/>
      <c r="X2286" s="342">
        <v>300</v>
      </c>
      <c r="Y2286" s="343">
        <f t="shared" si="866"/>
        <v>0</v>
      </c>
      <c r="Z2286" s="344">
        <f t="shared" si="867"/>
        <v>0</v>
      </c>
      <c r="AA2286" s="344">
        <f t="shared" si="865"/>
        <v>0</v>
      </c>
      <c r="AB2286" s="817">
        <v>2.4E-2</v>
      </c>
      <c r="AC2286" s="341">
        <f t="shared" si="874"/>
        <v>0</v>
      </c>
      <c r="AD2286" s="209"/>
      <c r="AE2286" s="210">
        <f t="shared" si="868"/>
        <v>0</v>
      </c>
      <c r="AF2286" s="210">
        <f t="shared" si="869"/>
        <v>0</v>
      </c>
      <c r="AG2286" s="211">
        <f t="shared" si="876"/>
        <v>0.3</v>
      </c>
      <c r="AH2286" s="157">
        <v>0.26621999999999996</v>
      </c>
      <c r="AI2286" s="152">
        <f t="shared" si="872"/>
        <v>2400</v>
      </c>
      <c r="AK2286" s="156" t="s">
        <v>691</v>
      </c>
      <c r="AL2286" s="156" t="s">
        <v>690</v>
      </c>
      <c r="AM2286" s="198">
        <f t="shared" si="877"/>
        <v>0</v>
      </c>
      <c r="AN2286" s="199">
        <f t="shared" si="861"/>
        <v>45801</v>
      </c>
      <c r="AO2286" s="159" t="s">
        <v>692</v>
      </c>
      <c r="AP2286" s="781" t="s">
        <v>642</v>
      </c>
      <c r="AQ2286" s="782">
        <v>12063755</v>
      </c>
      <c r="AR2286" s="782">
        <v>12061353</v>
      </c>
      <c r="AS2286" s="782">
        <v>12061354</v>
      </c>
      <c r="AT2286" s="782">
        <v>12093857</v>
      </c>
      <c r="AU2286" s="781"/>
      <c r="AV2286" s="782">
        <v>12093858</v>
      </c>
      <c r="AW2286" s="781"/>
      <c r="AX2286" s="781"/>
      <c r="AY2286" s="781"/>
      <c r="AZ2286" s="782"/>
      <c r="BA2286" s="781"/>
      <c r="BB2286" s="209">
        <v>11042803</v>
      </c>
    </row>
    <row r="2287" spans="1:54" ht="25" hidden="1" customHeight="1">
      <c r="B2287" s="332">
        <v>45801</v>
      </c>
      <c r="C2287" s="333">
        <v>45862</v>
      </c>
      <c r="D2287" s="185">
        <f t="shared" si="863"/>
        <v>2025</v>
      </c>
      <c r="E2287" s="333" t="e">
        <f>VLOOKUP($B2287,Week!$A$1:$C$1462,2,0)</f>
        <v>#N/A</v>
      </c>
      <c r="F2287" s="334" t="str">
        <f t="shared" si="864"/>
        <v>May</v>
      </c>
      <c r="G2287" s="335" t="s">
        <v>2330</v>
      </c>
      <c r="H2287" s="335" t="s">
        <v>311</v>
      </c>
      <c r="I2287" s="335" t="s">
        <v>2772</v>
      </c>
      <c r="J2287" s="336" t="s">
        <v>738</v>
      </c>
      <c r="K2287" s="337" t="s">
        <v>2234</v>
      </c>
      <c r="L2287" s="300" t="s">
        <v>2167</v>
      </c>
      <c r="M2287" s="382" t="s">
        <v>2235</v>
      </c>
      <c r="N2287" s="335" t="s">
        <v>1924</v>
      </c>
      <c r="O2287" s="335" t="s">
        <v>1925</v>
      </c>
      <c r="P2287" s="338">
        <v>8</v>
      </c>
      <c r="Q2287" s="338">
        <v>3</v>
      </c>
      <c r="R2287" s="339">
        <v>6.0000000000000001E-3</v>
      </c>
      <c r="S2287" s="335" t="s">
        <v>55</v>
      </c>
      <c r="T2287" s="335" t="s">
        <v>112</v>
      </c>
      <c r="U2287" s="340" t="s">
        <v>739</v>
      </c>
      <c r="V2287" s="341">
        <f>150</f>
        <v>150</v>
      </c>
      <c r="W2287" s="341"/>
      <c r="X2287" s="342">
        <v>150</v>
      </c>
      <c r="Y2287" s="343">
        <f t="shared" si="866"/>
        <v>0</v>
      </c>
      <c r="Z2287" s="344">
        <f t="shared" si="867"/>
        <v>0</v>
      </c>
      <c r="AA2287" s="344">
        <f t="shared" si="865"/>
        <v>0</v>
      </c>
      <c r="AB2287" s="817">
        <v>2.4E-2</v>
      </c>
      <c r="AC2287" s="341">
        <f t="shared" si="874"/>
        <v>0</v>
      </c>
      <c r="AD2287" s="209"/>
      <c r="AE2287" s="210">
        <f t="shared" si="868"/>
        <v>0</v>
      </c>
      <c r="AF2287" s="210">
        <f t="shared" si="869"/>
        <v>0</v>
      </c>
      <c r="AG2287" s="211">
        <f t="shared" si="876"/>
        <v>0.3</v>
      </c>
      <c r="AH2287" s="157">
        <v>0.26621999999999996</v>
      </c>
      <c r="AI2287" s="152">
        <f t="shared" si="872"/>
        <v>1200</v>
      </c>
      <c r="AK2287" s="156" t="s">
        <v>691</v>
      </c>
      <c r="AL2287" s="156" t="s">
        <v>690</v>
      </c>
      <c r="AM2287" s="198">
        <f t="shared" si="877"/>
        <v>0</v>
      </c>
      <c r="AN2287" s="199">
        <f t="shared" si="861"/>
        <v>45801</v>
      </c>
      <c r="AO2287" s="159" t="s">
        <v>692</v>
      </c>
      <c r="AP2287" s="781" t="s">
        <v>642</v>
      </c>
      <c r="AQ2287" s="782">
        <v>12063755</v>
      </c>
      <c r="AR2287" s="782">
        <v>12061353</v>
      </c>
      <c r="AS2287" s="782">
        <v>12061354</v>
      </c>
      <c r="AT2287" s="782">
        <v>12093857</v>
      </c>
      <c r="AU2287" s="781"/>
      <c r="AV2287" s="782">
        <v>12093858</v>
      </c>
      <c r="AW2287" s="781"/>
      <c r="AX2287" s="781"/>
      <c r="AY2287" s="781"/>
      <c r="AZ2287" s="782"/>
      <c r="BA2287" s="781"/>
      <c r="BB2287" s="209">
        <v>11042803</v>
      </c>
    </row>
    <row r="2288" spans="1:54" ht="25" hidden="1" customHeight="1">
      <c r="B2288" s="332">
        <v>45801</v>
      </c>
      <c r="C2288" s="333">
        <v>45862</v>
      </c>
      <c r="D2288" s="185">
        <f t="shared" si="863"/>
        <v>2025</v>
      </c>
      <c r="E2288" s="333" t="e">
        <f>VLOOKUP($B2288,Week!$A$1:$C$1462,2,0)</f>
        <v>#N/A</v>
      </c>
      <c r="F2288" s="334" t="str">
        <f t="shared" si="864"/>
        <v>May</v>
      </c>
      <c r="G2288" s="335" t="s">
        <v>2331</v>
      </c>
      <c r="H2288" s="335" t="s">
        <v>311</v>
      </c>
      <c r="I2288" s="335" t="s">
        <v>2772</v>
      </c>
      <c r="J2288" s="336" t="s">
        <v>738</v>
      </c>
      <c r="K2288" s="337" t="s">
        <v>2234</v>
      </c>
      <c r="L2288" s="300" t="s">
        <v>2167</v>
      </c>
      <c r="M2288" s="382" t="s">
        <v>2235</v>
      </c>
      <c r="N2288" s="335" t="s">
        <v>1924</v>
      </c>
      <c r="O2288" s="335" t="s">
        <v>1925</v>
      </c>
      <c r="P2288" s="338">
        <v>8</v>
      </c>
      <c r="Q2288" s="338">
        <v>3</v>
      </c>
      <c r="R2288" s="339">
        <v>6.0000000000000001E-3</v>
      </c>
      <c r="S2288" s="335" t="s">
        <v>55</v>
      </c>
      <c r="T2288" s="335" t="s">
        <v>112</v>
      </c>
      <c r="U2288" s="340" t="s">
        <v>739</v>
      </c>
      <c r="V2288" s="341">
        <f>150</f>
        <v>150</v>
      </c>
      <c r="W2288" s="341"/>
      <c r="X2288" s="342">
        <v>150</v>
      </c>
      <c r="Y2288" s="343">
        <f t="shared" si="866"/>
        <v>0</v>
      </c>
      <c r="Z2288" s="344">
        <f t="shared" si="867"/>
        <v>0</v>
      </c>
      <c r="AA2288" s="344">
        <f t="shared" si="865"/>
        <v>0</v>
      </c>
      <c r="AB2288" s="817">
        <v>2.4E-2</v>
      </c>
      <c r="AC2288" s="341">
        <f t="shared" si="874"/>
        <v>0</v>
      </c>
      <c r="AD2288" s="209"/>
      <c r="AE2288" s="210">
        <f t="shared" si="868"/>
        <v>0</v>
      </c>
      <c r="AF2288" s="210">
        <f t="shared" si="869"/>
        <v>0</v>
      </c>
      <c r="AG2288" s="211">
        <f t="shared" si="876"/>
        <v>0.3</v>
      </c>
      <c r="AH2288" s="157">
        <v>0.26621999999999996</v>
      </c>
      <c r="AI2288" s="152">
        <f t="shared" si="872"/>
        <v>1200</v>
      </c>
      <c r="AK2288" s="156" t="s">
        <v>691</v>
      </c>
      <c r="AL2288" s="156" t="s">
        <v>690</v>
      </c>
      <c r="AM2288" s="198">
        <f t="shared" si="877"/>
        <v>0</v>
      </c>
      <c r="AN2288" s="199">
        <f t="shared" si="861"/>
        <v>45801</v>
      </c>
      <c r="AO2288" s="159" t="s">
        <v>692</v>
      </c>
      <c r="AP2288" s="781" t="s">
        <v>642</v>
      </c>
      <c r="AQ2288" s="782">
        <v>12063755</v>
      </c>
      <c r="AR2288" s="782">
        <v>12061353</v>
      </c>
      <c r="AS2288" s="782">
        <v>12061354</v>
      </c>
      <c r="AT2288" s="782">
        <v>12093857</v>
      </c>
      <c r="AU2288" s="781"/>
      <c r="AV2288" s="782">
        <v>12093858</v>
      </c>
      <c r="AW2288" s="781"/>
      <c r="AX2288" s="781"/>
      <c r="AY2288" s="781"/>
      <c r="AZ2288" s="782"/>
      <c r="BA2288" s="781"/>
      <c r="BB2288" s="209">
        <v>11042803</v>
      </c>
    </row>
    <row r="2289" spans="1:54" ht="25" hidden="1" customHeight="1">
      <c r="B2289" s="332">
        <v>45801</v>
      </c>
      <c r="C2289" s="333">
        <v>45862</v>
      </c>
      <c r="D2289" s="185">
        <f t="shared" si="863"/>
        <v>2025</v>
      </c>
      <c r="E2289" s="333" t="e">
        <f>VLOOKUP($B2289,Week!$A$1:$C$1462,2,0)</f>
        <v>#N/A</v>
      </c>
      <c r="F2289" s="334" t="str">
        <f t="shared" si="864"/>
        <v>May</v>
      </c>
      <c r="G2289" s="335" t="s">
        <v>2332</v>
      </c>
      <c r="H2289" s="335" t="s">
        <v>311</v>
      </c>
      <c r="I2289" s="335" t="s">
        <v>2772</v>
      </c>
      <c r="J2289" s="336" t="s">
        <v>738</v>
      </c>
      <c r="K2289" s="337" t="s">
        <v>2234</v>
      </c>
      <c r="L2289" s="300" t="s">
        <v>2167</v>
      </c>
      <c r="M2289" s="382" t="s">
        <v>2235</v>
      </c>
      <c r="N2289" s="335" t="s">
        <v>1924</v>
      </c>
      <c r="O2289" s="335" t="s">
        <v>1925</v>
      </c>
      <c r="P2289" s="338">
        <v>8</v>
      </c>
      <c r="Q2289" s="338">
        <v>3</v>
      </c>
      <c r="R2289" s="339">
        <v>6.0000000000000001E-3</v>
      </c>
      <c r="S2289" s="335" t="s">
        <v>55</v>
      </c>
      <c r="T2289" s="335" t="s">
        <v>112</v>
      </c>
      <c r="U2289" s="340" t="s">
        <v>739</v>
      </c>
      <c r="V2289" s="341">
        <f>150</f>
        <v>150</v>
      </c>
      <c r="W2289" s="341"/>
      <c r="X2289" s="342">
        <v>150</v>
      </c>
      <c r="Y2289" s="343">
        <f t="shared" si="866"/>
        <v>0</v>
      </c>
      <c r="Z2289" s="344">
        <f t="shared" si="867"/>
        <v>0</v>
      </c>
      <c r="AA2289" s="344">
        <f t="shared" si="865"/>
        <v>0</v>
      </c>
      <c r="AB2289" s="817">
        <v>2.4E-2</v>
      </c>
      <c r="AC2289" s="341">
        <f t="shared" si="874"/>
        <v>0</v>
      </c>
      <c r="AD2289" s="209"/>
      <c r="AE2289" s="210">
        <f t="shared" si="868"/>
        <v>0</v>
      </c>
      <c r="AF2289" s="210">
        <f t="shared" si="869"/>
        <v>0</v>
      </c>
      <c r="AG2289" s="211">
        <f t="shared" si="876"/>
        <v>0.3</v>
      </c>
      <c r="AH2289" s="157">
        <v>0.26621999999999996</v>
      </c>
      <c r="AI2289" s="152">
        <f t="shared" si="872"/>
        <v>1200</v>
      </c>
      <c r="AK2289" s="156" t="s">
        <v>691</v>
      </c>
      <c r="AL2289" s="156" t="s">
        <v>690</v>
      </c>
      <c r="AM2289" s="198">
        <f t="shared" si="877"/>
        <v>0</v>
      </c>
      <c r="AN2289" s="199">
        <f t="shared" si="861"/>
        <v>45801</v>
      </c>
      <c r="AO2289" s="159" t="s">
        <v>692</v>
      </c>
      <c r="AP2289" s="781" t="s">
        <v>642</v>
      </c>
      <c r="AQ2289" s="782">
        <v>12063755</v>
      </c>
      <c r="AR2289" s="782">
        <v>12061353</v>
      </c>
      <c r="AS2289" s="782">
        <v>12061354</v>
      </c>
      <c r="AT2289" s="782">
        <v>12093857</v>
      </c>
      <c r="AU2289" s="781"/>
      <c r="AV2289" s="782">
        <v>12093858</v>
      </c>
      <c r="AW2289" s="781"/>
      <c r="AX2289" s="781"/>
      <c r="AY2289" s="781"/>
      <c r="AZ2289" s="782"/>
      <c r="BA2289" s="781"/>
      <c r="BB2289" s="209">
        <v>11042803</v>
      </c>
    </row>
    <row r="2290" spans="1:54" ht="25" hidden="1" customHeight="1">
      <c r="B2290" s="332">
        <v>45801</v>
      </c>
      <c r="C2290" s="333">
        <v>45890</v>
      </c>
      <c r="D2290" s="185">
        <f t="shared" si="863"/>
        <v>2025</v>
      </c>
      <c r="E2290" s="333" t="e">
        <f>VLOOKUP($B2290,Week!$A$1:$C$1462,2,0)</f>
        <v>#N/A</v>
      </c>
      <c r="F2290" s="334" t="str">
        <f t="shared" si="864"/>
        <v>May</v>
      </c>
      <c r="G2290" s="335" t="s">
        <v>2376</v>
      </c>
      <c r="H2290" s="335" t="s">
        <v>311</v>
      </c>
      <c r="I2290" s="335" t="s">
        <v>2772</v>
      </c>
      <c r="J2290" s="336" t="s">
        <v>738</v>
      </c>
      <c r="K2290" s="337" t="s">
        <v>2234</v>
      </c>
      <c r="L2290" s="300" t="s">
        <v>2167</v>
      </c>
      <c r="M2290" s="382" t="s">
        <v>2235</v>
      </c>
      <c r="N2290" s="335" t="s">
        <v>1924</v>
      </c>
      <c r="O2290" s="335" t="s">
        <v>1925</v>
      </c>
      <c r="P2290" s="338">
        <v>8</v>
      </c>
      <c r="Q2290" s="338">
        <v>3</v>
      </c>
      <c r="R2290" s="339">
        <v>6.0000000000000001E-3</v>
      </c>
      <c r="S2290" s="335" t="s">
        <v>55</v>
      </c>
      <c r="T2290" s="335" t="s">
        <v>112</v>
      </c>
      <c r="U2290" s="340" t="s">
        <v>739</v>
      </c>
      <c r="V2290" s="341">
        <f>707</f>
        <v>707</v>
      </c>
      <c r="W2290" s="341"/>
      <c r="X2290" s="342">
        <f>(5589+67)/8</f>
        <v>707</v>
      </c>
      <c r="Y2290" s="343">
        <f t="shared" si="866"/>
        <v>0</v>
      </c>
      <c r="Z2290" s="344">
        <f t="shared" si="867"/>
        <v>0</v>
      </c>
      <c r="AA2290" s="344">
        <f t="shared" si="865"/>
        <v>0</v>
      </c>
      <c r="AB2290" s="817">
        <v>2.4E-2</v>
      </c>
      <c r="AC2290" s="341">
        <f t="shared" si="874"/>
        <v>0</v>
      </c>
      <c r="AD2290" s="209" t="s">
        <v>2487</v>
      </c>
      <c r="AE2290" s="210">
        <f t="shared" si="868"/>
        <v>0</v>
      </c>
      <c r="AF2290" s="210">
        <f t="shared" si="869"/>
        <v>0</v>
      </c>
      <c r="AG2290" s="211">
        <f t="shared" si="876"/>
        <v>0.3</v>
      </c>
      <c r="AH2290" s="157">
        <v>0.26621999999999996</v>
      </c>
      <c r="AI2290" s="152">
        <f t="shared" si="872"/>
        <v>5656</v>
      </c>
      <c r="AK2290" s="156" t="s">
        <v>691</v>
      </c>
      <c r="AL2290" s="156" t="s">
        <v>690</v>
      </c>
      <c r="AM2290" s="198">
        <f t="shared" si="877"/>
        <v>0</v>
      </c>
      <c r="AN2290" s="199">
        <f t="shared" si="861"/>
        <v>45801</v>
      </c>
      <c r="AO2290" s="159" t="s">
        <v>692</v>
      </c>
      <c r="AP2290" s="781" t="s">
        <v>642</v>
      </c>
      <c r="AQ2290" s="782">
        <v>12063755</v>
      </c>
      <c r="AR2290" s="782">
        <v>12061353</v>
      </c>
      <c r="AS2290" s="782">
        <v>12061354</v>
      </c>
      <c r="AT2290" s="782">
        <v>12093857</v>
      </c>
      <c r="AU2290" s="781"/>
      <c r="AV2290" s="782">
        <v>12093858</v>
      </c>
      <c r="AW2290" s="781"/>
      <c r="AX2290" s="781"/>
      <c r="AY2290" s="781"/>
      <c r="AZ2290" s="782"/>
      <c r="BA2290" s="781"/>
      <c r="BB2290" s="209">
        <v>11042803</v>
      </c>
    </row>
    <row r="2291" spans="1:54" ht="24.65" hidden="1" customHeight="1">
      <c r="B2291" s="758">
        <v>45801</v>
      </c>
      <c r="C2291" s="758">
        <v>45832</v>
      </c>
      <c r="D2291" s="761">
        <f t="shared" si="863"/>
        <v>2025</v>
      </c>
      <c r="E2291" s="761" t="e">
        <f>VLOOKUP($B2291,Week!$A$1:$C$1462,2,0)</f>
        <v>#N/A</v>
      </c>
      <c r="F2291" s="759" t="str">
        <f t="shared" si="864"/>
        <v>May</v>
      </c>
      <c r="G2291" s="761" t="s">
        <v>2219</v>
      </c>
      <c r="H2291" s="761" t="s">
        <v>392</v>
      </c>
      <c r="I2291" s="761" t="s">
        <v>2772</v>
      </c>
      <c r="J2291" s="762" t="s">
        <v>393</v>
      </c>
      <c r="K2291" s="763" t="s">
        <v>1020</v>
      </c>
      <c r="L2291" s="763" t="s">
        <v>2167</v>
      </c>
      <c r="M2291" s="763" t="s">
        <v>2352</v>
      </c>
      <c r="N2291" s="761" t="s">
        <v>2218</v>
      </c>
      <c r="O2291" s="761" t="s">
        <v>742</v>
      </c>
      <c r="P2291" s="764">
        <v>24</v>
      </c>
      <c r="Q2291" s="764">
        <v>5</v>
      </c>
      <c r="R2291" s="765">
        <v>6.1999999999999998E-3</v>
      </c>
      <c r="S2291" s="761" t="s">
        <v>352</v>
      </c>
      <c r="T2291" s="761" t="s">
        <v>56</v>
      </c>
      <c r="U2291" s="863" t="s">
        <v>739</v>
      </c>
      <c r="V2291" s="766">
        <f>2100</f>
        <v>2100</v>
      </c>
      <c r="W2291" s="766">
        <f>2100</f>
        <v>2100</v>
      </c>
      <c r="X2291" s="767">
        <f>(100)/24</f>
        <v>4.166666666666667</v>
      </c>
      <c r="Y2291" s="768">
        <f t="shared" si="866"/>
        <v>4.1666666666665151</v>
      </c>
      <c r="Z2291" s="769">
        <f t="shared" si="867"/>
        <v>0</v>
      </c>
      <c r="AA2291" s="769">
        <f t="shared" si="865"/>
        <v>0</v>
      </c>
      <c r="AB2291" s="851">
        <v>1.2999999999999999E-2</v>
      </c>
      <c r="AC2291" s="766">
        <f t="shared" si="874"/>
        <v>0</v>
      </c>
      <c r="AD2291" s="220"/>
      <c r="AE2291" s="210">
        <f t="shared" si="868"/>
        <v>0</v>
      </c>
      <c r="AF2291" s="210">
        <f t="shared" si="869"/>
        <v>0</v>
      </c>
      <c r="AG2291" s="211">
        <f t="shared" si="876"/>
        <v>0.14299999999999999</v>
      </c>
      <c r="AH2291" s="157">
        <f>(Z2291*AG2291)/1000</f>
        <v>0</v>
      </c>
      <c r="AI2291" s="152">
        <f t="shared" si="872"/>
        <v>50400</v>
      </c>
      <c r="AK2291" s="156" t="s">
        <v>691</v>
      </c>
      <c r="AL2291" s="574" t="s">
        <v>690</v>
      </c>
      <c r="AM2291" s="198">
        <f t="shared" si="877"/>
        <v>0</v>
      </c>
      <c r="AN2291" s="199">
        <f t="shared" si="861"/>
        <v>45801</v>
      </c>
      <c r="AO2291" s="159" t="s">
        <v>692</v>
      </c>
      <c r="AP2291" s="783" t="s">
        <v>638</v>
      </c>
      <c r="AQ2291" s="783" t="s">
        <v>631</v>
      </c>
      <c r="AR2291" s="783" t="s">
        <v>632</v>
      </c>
      <c r="AS2291" s="783" t="s">
        <v>633</v>
      </c>
      <c r="AT2291" s="781"/>
      <c r="AU2291" s="783"/>
      <c r="AV2291" s="782">
        <v>12094316</v>
      </c>
      <c r="AW2291" s="783"/>
      <c r="AX2291" s="781"/>
      <c r="AY2291" s="783" t="s">
        <v>2230</v>
      </c>
      <c r="AZ2291" s="783" t="s">
        <v>2231</v>
      </c>
      <c r="BA2291" s="783" t="s">
        <v>2232</v>
      </c>
      <c r="BB2291" s="209">
        <v>23053185</v>
      </c>
    </row>
    <row r="2292" spans="1:54" ht="25" hidden="1" customHeight="1">
      <c r="B2292" s="183">
        <v>45802</v>
      </c>
      <c r="C2292" s="184"/>
      <c r="D2292" s="185">
        <f t="shared" si="863"/>
        <v>2025</v>
      </c>
      <c r="E2292" s="185" t="e">
        <f>VLOOKUP($B2292,Week!$A$1:$C$1462,2,0)</f>
        <v>#N/A</v>
      </c>
      <c r="F2292" s="186" t="str">
        <f t="shared" si="864"/>
        <v>May</v>
      </c>
      <c r="G2292" s="481"/>
      <c r="H2292" s="185"/>
      <c r="I2292" s="185"/>
      <c r="J2292" s="187"/>
      <c r="K2292" s="188"/>
      <c r="L2292" s="188"/>
      <c r="M2292" s="187"/>
      <c r="N2292" s="185"/>
      <c r="O2292" s="185"/>
      <c r="P2292" s="189"/>
      <c r="Q2292" s="189"/>
      <c r="R2292" s="190"/>
      <c r="S2292" s="185"/>
      <c r="T2292" s="185"/>
      <c r="U2292" s="185"/>
      <c r="V2292" s="191"/>
      <c r="W2292" s="191"/>
      <c r="X2292" s="192"/>
      <c r="Y2292" s="193"/>
      <c r="Z2292" s="194"/>
      <c r="AA2292" s="194">
        <f t="shared" si="865"/>
        <v>0</v>
      </c>
      <c r="AB2292" s="805"/>
      <c r="AC2292" s="191"/>
      <c r="AD2292" s="187"/>
      <c r="AE2292" s="195"/>
      <c r="AF2292" s="195"/>
      <c r="AG2292" s="196"/>
      <c r="AH2292" s="197"/>
      <c r="AK2292" s="156" t="s">
        <v>691</v>
      </c>
      <c r="AM2292" s="198">
        <f t="shared" si="877"/>
        <v>0</v>
      </c>
      <c r="AN2292" s="199">
        <f t="shared" si="861"/>
        <v>45802</v>
      </c>
      <c r="AO2292" s="159" t="s">
        <v>692</v>
      </c>
      <c r="AP2292" s="781"/>
      <c r="AQ2292" s="782"/>
      <c r="AR2292" s="782"/>
      <c r="AS2292" s="782"/>
      <c r="AT2292" s="782"/>
      <c r="AU2292" s="781"/>
      <c r="AV2292" s="782"/>
      <c r="AW2292" s="782"/>
      <c r="AX2292" s="782"/>
      <c r="AY2292" s="782"/>
      <c r="AZ2292" s="782"/>
      <c r="BA2292" s="781"/>
      <c r="BB2292" s="209"/>
    </row>
    <row r="2293" spans="1:54" ht="24.75" hidden="1" customHeight="1">
      <c r="A2293" s="142" t="s">
        <v>120</v>
      </c>
      <c r="B2293" s="308">
        <v>45803</v>
      </c>
      <c r="C2293" s="644" t="s">
        <v>1930</v>
      </c>
      <c r="D2293" s="185">
        <f t="shared" si="863"/>
        <v>2025</v>
      </c>
      <c r="E2293" s="519" t="e">
        <f>VLOOKUP($B2293,Week!$A$1:$C$1462,2,0)</f>
        <v>#N/A</v>
      </c>
      <c r="F2293" s="520" t="str">
        <f t="shared" si="864"/>
        <v>May</v>
      </c>
      <c r="G2293" s="644" t="s">
        <v>47</v>
      </c>
      <c r="H2293" s="311" t="s">
        <v>518</v>
      </c>
      <c r="I2293" s="311" t="s">
        <v>2702</v>
      </c>
      <c r="J2293" s="312" t="s">
        <v>70</v>
      </c>
      <c r="K2293" s="313" t="s">
        <v>85</v>
      </c>
      <c r="L2293" s="390" t="s">
        <v>2166</v>
      </c>
      <c r="M2293" s="312" t="s">
        <v>515</v>
      </c>
      <c r="N2293" s="311" t="s">
        <v>588</v>
      </c>
      <c r="O2293" s="311" t="s">
        <v>546</v>
      </c>
      <c r="P2293" s="314">
        <v>12</v>
      </c>
      <c r="Q2293" s="314">
        <v>20</v>
      </c>
      <c r="R2293" s="315">
        <v>6.1999999999999998E-3</v>
      </c>
      <c r="S2293" s="311" t="s">
        <v>352</v>
      </c>
      <c r="T2293" s="311" t="s">
        <v>56</v>
      </c>
      <c r="U2293" s="311"/>
      <c r="V2293" s="316">
        <f>400</f>
        <v>400</v>
      </c>
      <c r="W2293" s="316">
        <f>612-570+358</f>
        <v>400</v>
      </c>
      <c r="X2293" s="317"/>
      <c r="Y2293" s="318">
        <f t="shared" ref="Y2293:Y2325" si="878">(W2293+X2293)-V2293</f>
        <v>0</v>
      </c>
      <c r="Z2293" s="319">
        <f t="shared" ref="Z2293:Z2325" si="879">IF(Y2293&lt;0,((V2293*P2293)-((W2293+X2293)*P2293)),0)</f>
        <v>0</v>
      </c>
      <c r="AA2293" s="319">
        <f t="shared" si="865"/>
        <v>0</v>
      </c>
      <c r="AB2293" s="815"/>
      <c r="AC2293" s="316">
        <f t="shared" ref="AC2293:AC2300" si="880">Z2293*AB2293</f>
        <v>0</v>
      </c>
      <c r="AD2293" s="209"/>
      <c r="AE2293" s="210">
        <f t="shared" ref="AE2293:AE2299" si="881">SUM(Q2293*R2293*Z2293)/1000</f>
        <v>0</v>
      </c>
      <c r="AF2293" s="210">
        <f t="shared" ref="AF2293:AF2299" si="882">AE2293/0.54</f>
        <v>0</v>
      </c>
      <c r="AG2293" s="211">
        <f t="shared" ref="AG2293:AG2325" si="883">MID(O2293,1,3)/1000</f>
        <v>0.22</v>
      </c>
      <c r="AH2293" s="157">
        <f t="shared" ref="AH2293:AH2309" si="884">(Z2293*AG2293)/1000</f>
        <v>0</v>
      </c>
      <c r="AI2293" s="152">
        <f t="shared" ref="AI2293:AI2325" si="885">V2293*P2293</f>
        <v>4800</v>
      </c>
      <c r="AK2293" s="156" t="s">
        <v>691</v>
      </c>
      <c r="AL2293" s="156" t="s">
        <v>689</v>
      </c>
      <c r="AM2293" s="198">
        <f t="shared" si="877"/>
        <v>0</v>
      </c>
      <c r="AN2293" s="199">
        <f t="shared" si="861"/>
        <v>45803</v>
      </c>
      <c r="AO2293" s="159" t="s">
        <v>692</v>
      </c>
      <c r="AP2293" s="783" t="s">
        <v>613</v>
      </c>
      <c r="AQ2293" s="782"/>
      <c r="AR2293" s="782" t="s">
        <v>614</v>
      </c>
      <c r="AS2293" s="782"/>
      <c r="AT2293" s="782"/>
      <c r="AU2293" s="781"/>
      <c r="AV2293" s="782">
        <v>12083143</v>
      </c>
      <c r="AW2293" s="782"/>
      <c r="AX2293" s="782" t="s">
        <v>2187</v>
      </c>
      <c r="AY2293" s="782"/>
      <c r="AZ2293" s="782"/>
      <c r="BA2293" s="781"/>
      <c r="BB2293" s="209"/>
    </row>
    <row r="2294" spans="1:54" ht="25" hidden="1" customHeight="1">
      <c r="A2294" s="142" t="s">
        <v>120</v>
      </c>
      <c r="B2294" s="385">
        <v>45803</v>
      </c>
      <c r="C2294" s="386">
        <v>45817</v>
      </c>
      <c r="D2294" s="185">
        <f t="shared" si="863"/>
        <v>2025</v>
      </c>
      <c r="E2294" s="386" t="e">
        <f>VLOOKUP($B2294,Week!$A$1:$C$1462,2,0)</f>
        <v>#N/A</v>
      </c>
      <c r="F2294" s="387" t="str">
        <f t="shared" si="864"/>
        <v>May</v>
      </c>
      <c r="G2294" s="388" t="s">
        <v>2032</v>
      </c>
      <c r="H2294" s="388" t="s">
        <v>500</v>
      </c>
      <c r="I2294" s="388" t="s">
        <v>2772</v>
      </c>
      <c r="J2294" s="389" t="s">
        <v>285</v>
      </c>
      <c r="K2294" s="390" t="s">
        <v>153</v>
      </c>
      <c r="L2294" s="390" t="s">
        <v>2166</v>
      </c>
      <c r="M2294" s="389" t="s">
        <v>165</v>
      </c>
      <c r="N2294" s="388" t="s">
        <v>286</v>
      </c>
      <c r="O2294" s="388" t="s">
        <v>503</v>
      </c>
      <c r="P2294" s="391">
        <v>40</v>
      </c>
      <c r="Q2294" s="391">
        <v>12</v>
      </c>
      <c r="R2294" s="392">
        <v>6.8100000000000001E-3</v>
      </c>
      <c r="S2294" s="388" t="s">
        <v>76</v>
      </c>
      <c r="T2294" s="388" t="s">
        <v>56</v>
      </c>
      <c r="U2294" s="388" t="s">
        <v>89</v>
      </c>
      <c r="V2294" s="393">
        <v>578</v>
      </c>
      <c r="W2294" s="393">
        <f>495</f>
        <v>495</v>
      </c>
      <c r="X2294" s="394">
        <f>(3320)/40</f>
        <v>83</v>
      </c>
      <c r="Y2294" s="395">
        <f t="shared" si="878"/>
        <v>0</v>
      </c>
      <c r="Z2294" s="396">
        <f t="shared" si="879"/>
        <v>0</v>
      </c>
      <c r="AA2294" s="396">
        <f t="shared" si="865"/>
        <v>0</v>
      </c>
      <c r="AB2294" s="823">
        <v>2</v>
      </c>
      <c r="AC2294" s="393">
        <f t="shared" si="880"/>
        <v>0</v>
      </c>
      <c r="AD2294" s="209"/>
      <c r="AE2294" s="210">
        <f t="shared" si="881"/>
        <v>0</v>
      </c>
      <c r="AF2294" s="210">
        <f t="shared" si="882"/>
        <v>0</v>
      </c>
      <c r="AG2294" s="211">
        <f t="shared" si="883"/>
        <v>0.154</v>
      </c>
      <c r="AH2294" s="157">
        <f t="shared" si="884"/>
        <v>0</v>
      </c>
      <c r="AI2294" s="152">
        <f t="shared" si="885"/>
        <v>23120</v>
      </c>
      <c r="AK2294" s="156" t="s">
        <v>691</v>
      </c>
      <c r="AL2294" s="156" t="s">
        <v>689</v>
      </c>
      <c r="AM2294" s="198">
        <f t="shared" si="877"/>
        <v>0</v>
      </c>
      <c r="AN2294" s="199">
        <f t="shared" si="861"/>
        <v>45803</v>
      </c>
      <c r="AO2294" s="159" t="s">
        <v>692</v>
      </c>
      <c r="AP2294" s="783" t="s">
        <v>611</v>
      </c>
      <c r="AQ2294" s="782">
        <v>12088677</v>
      </c>
      <c r="AR2294" s="782">
        <v>12019692</v>
      </c>
      <c r="AS2294" s="781"/>
      <c r="AT2294" s="782">
        <v>12065371</v>
      </c>
      <c r="AU2294" s="782"/>
      <c r="AV2294" s="782">
        <v>12055895</v>
      </c>
      <c r="AW2294" s="782">
        <v>12034747</v>
      </c>
      <c r="AX2294" s="782" t="s">
        <v>398</v>
      </c>
      <c r="AY2294" s="781" t="s">
        <v>290</v>
      </c>
      <c r="AZ2294" s="781"/>
      <c r="BA2294" s="781"/>
      <c r="BB2294" s="209">
        <v>23053184</v>
      </c>
    </row>
    <row r="2295" spans="1:54" ht="25" hidden="1" customHeight="1">
      <c r="A2295" s="142" t="s">
        <v>120</v>
      </c>
      <c r="B2295" s="271">
        <v>45803</v>
      </c>
      <c r="C2295" s="272">
        <v>45817</v>
      </c>
      <c r="D2295" s="185">
        <f t="shared" si="863"/>
        <v>2025</v>
      </c>
      <c r="E2295" s="272" t="e">
        <f>VLOOKUP($B2295,Week!$A$1:$C$1462,2,0)</f>
        <v>#N/A</v>
      </c>
      <c r="F2295" s="273" t="str">
        <f t="shared" si="864"/>
        <v>May</v>
      </c>
      <c r="G2295" s="274" t="s">
        <v>2033</v>
      </c>
      <c r="H2295" s="274" t="s">
        <v>500</v>
      </c>
      <c r="I2295" s="274" t="s">
        <v>2772</v>
      </c>
      <c r="J2295" s="275" t="s">
        <v>285</v>
      </c>
      <c r="K2295" s="276" t="s">
        <v>153</v>
      </c>
      <c r="L2295" s="390" t="s">
        <v>2166</v>
      </c>
      <c r="M2295" s="275" t="s">
        <v>86</v>
      </c>
      <c r="N2295" s="274" t="s">
        <v>547</v>
      </c>
      <c r="O2295" s="274" t="s">
        <v>548</v>
      </c>
      <c r="P2295" s="277">
        <v>10</v>
      </c>
      <c r="Q2295" s="277">
        <v>50</v>
      </c>
      <c r="R2295" s="278">
        <v>6.8100000000000001E-3</v>
      </c>
      <c r="S2295" s="274" t="s">
        <v>76</v>
      </c>
      <c r="T2295" s="274" t="s">
        <v>56</v>
      </c>
      <c r="U2295" s="274" t="s">
        <v>89</v>
      </c>
      <c r="V2295" s="279">
        <v>698</v>
      </c>
      <c r="W2295" s="279">
        <f>5+693</f>
        <v>698</v>
      </c>
      <c r="X2295" s="280"/>
      <c r="Y2295" s="281">
        <f t="shared" si="878"/>
        <v>0</v>
      </c>
      <c r="Z2295" s="282">
        <f t="shared" si="879"/>
        <v>0</v>
      </c>
      <c r="AA2295" s="282">
        <f t="shared" si="865"/>
        <v>0</v>
      </c>
      <c r="AB2295" s="812">
        <v>6</v>
      </c>
      <c r="AC2295" s="279">
        <f t="shared" si="880"/>
        <v>0</v>
      </c>
      <c r="AD2295" s="209"/>
      <c r="AE2295" s="210">
        <f t="shared" si="881"/>
        <v>0</v>
      </c>
      <c r="AF2295" s="210">
        <f t="shared" si="882"/>
        <v>0</v>
      </c>
      <c r="AG2295" s="211">
        <f t="shared" si="883"/>
        <v>0.63</v>
      </c>
      <c r="AH2295" s="157">
        <f t="shared" si="884"/>
        <v>0</v>
      </c>
      <c r="AI2295" s="152">
        <f t="shared" si="885"/>
        <v>6980</v>
      </c>
      <c r="AK2295" s="156" t="s">
        <v>691</v>
      </c>
      <c r="AL2295" s="156" t="s">
        <v>689</v>
      </c>
      <c r="AM2295" s="198">
        <f t="shared" si="877"/>
        <v>0</v>
      </c>
      <c r="AN2295" s="199">
        <f t="shared" si="861"/>
        <v>45803</v>
      </c>
      <c r="AO2295" s="159" t="s">
        <v>692</v>
      </c>
      <c r="AP2295" s="783" t="s">
        <v>620</v>
      </c>
      <c r="AQ2295" s="796" t="s">
        <v>422</v>
      </c>
      <c r="AR2295" s="782">
        <v>12055234</v>
      </c>
      <c r="AS2295" s="781"/>
      <c r="AT2295" s="782"/>
      <c r="AU2295" s="782"/>
      <c r="AV2295" s="782">
        <v>12062809</v>
      </c>
      <c r="AW2295" s="782"/>
      <c r="AX2295" s="782" t="s">
        <v>619</v>
      </c>
      <c r="AY2295" s="781"/>
      <c r="AZ2295" s="781"/>
      <c r="BA2295" s="781"/>
      <c r="BB2295" s="209">
        <v>23053184</v>
      </c>
    </row>
    <row r="2296" spans="1:54" ht="25" hidden="1" customHeight="1">
      <c r="A2296" s="142" t="s">
        <v>120</v>
      </c>
      <c r="B2296" s="385">
        <v>45804</v>
      </c>
      <c r="C2296" s="386">
        <v>45817</v>
      </c>
      <c r="D2296" s="185">
        <f t="shared" si="863"/>
        <v>2025</v>
      </c>
      <c r="E2296" s="386" t="e">
        <f>VLOOKUP($B2296,Week!$A$1:$C$1462,2,0)</f>
        <v>#N/A</v>
      </c>
      <c r="F2296" s="387" t="str">
        <f t="shared" si="864"/>
        <v>May</v>
      </c>
      <c r="G2296" s="388" t="s">
        <v>2032</v>
      </c>
      <c r="H2296" s="388" t="s">
        <v>500</v>
      </c>
      <c r="I2296" s="388" t="s">
        <v>2772</v>
      </c>
      <c r="J2296" s="389" t="s">
        <v>285</v>
      </c>
      <c r="K2296" s="390" t="s">
        <v>153</v>
      </c>
      <c r="L2296" s="390" t="s">
        <v>2166</v>
      </c>
      <c r="M2296" s="389" t="s">
        <v>165</v>
      </c>
      <c r="N2296" s="388" t="s">
        <v>286</v>
      </c>
      <c r="O2296" s="388" t="s">
        <v>503</v>
      </c>
      <c r="P2296" s="391">
        <v>40</v>
      </c>
      <c r="Q2296" s="391">
        <v>12</v>
      </c>
      <c r="R2296" s="392">
        <v>6.8100000000000001E-3</v>
      </c>
      <c r="S2296" s="388" t="s">
        <v>76</v>
      </c>
      <c r="T2296" s="388" t="s">
        <v>56</v>
      </c>
      <c r="U2296" s="388" t="s">
        <v>89</v>
      </c>
      <c r="V2296" s="393">
        <v>581</v>
      </c>
      <c r="W2296" s="393">
        <f>469</f>
        <v>469</v>
      </c>
      <c r="X2296" s="394">
        <f>(4480)/40</f>
        <v>112</v>
      </c>
      <c r="Y2296" s="395">
        <f t="shared" si="878"/>
        <v>0</v>
      </c>
      <c r="Z2296" s="396">
        <f t="shared" si="879"/>
        <v>0</v>
      </c>
      <c r="AA2296" s="396">
        <f t="shared" si="865"/>
        <v>0</v>
      </c>
      <c r="AB2296" s="823">
        <v>2</v>
      </c>
      <c r="AC2296" s="393">
        <f t="shared" si="880"/>
        <v>0</v>
      </c>
      <c r="AD2296" s="209"/>
      <c r="AE2296" s="210">
        <f t="shared" si="881"/>
        <v>0</v>
      </c>
      <c r="AF2296" s="210">
        <f t="shared" si="882"/>
        <v>0</v>
      </c>
      <c r="AG2296" s="211">
        <f t="shared" si="883"/>
        <v>0.154</v>
      </c>
      <c r="AH2296" s="157">
        <f t="shared" si="884"/>
        <v>0</v>
      </c>
      <c r="AI2296" s="152">
        <f t="shared" si="885"/>
        <v>23240</v>
      </c>
      <c r="AK2296" s="156" t="s">
        <v>691</v>
      </c>
      <c r="AL2296" s="156" t="s">
        <v>689</v>
      </c>
      <c r="AM2296" s="198">
        <f t="shared" si="877"/>
        <v>0</v>
      </c>
      <c r="AN2296" s="199">
        <f t="shared" si="861"/>
        <v>45804</v>
      </c>
      <c r="AO2296" s="159" t="s">
        <v>692</v>
      </c>
      <c r="AP2296" s="783" t="s">
        <v>611</v>
      </c>
      <c r="AQ2296" s="782">
        <v>12088677</v>
      </c>
      <c r="AR2296" s="782">
        <v>12019692</v>
      </c>
      <c r="AS2296" s="781"/>
      <c r="AT2296" s="782">
        <v>12065371</v>
      </c>
      <c r="AU2296" s="782"/>
      <c r="AV2296" s="782">
        <v>12055895</v>
      </c>
      <c r="AW2296" s="782">
        <v>12034747</v>
      </c>
      <c r="AX2296" s="782" t="s">
        <v>398</v>
      </c>
      <c r="AY2296" s="781" t="s">
        <v>290</v>
      </c>
      <c r="AZ2296" s="781"/>
      <c r="BA2296" s="781"/>
      <c r="BB2296" s="209">
        <v>23053184</v>
      </c>
    </row>
    <row r="2297" spans="1:54" ht="25" hidden="1" customHeight="1">
      <c r="A2297" s="142" t="s">
        <v>120</v>
      </c>
      <c r="B2297" s="271">
        <v>45804</v>
      </c>
      <c r="C2297" s="272">
        <v>45817</v>
      </c>
      <c r="D2297" s="185">
        <f t="shared" si="863"/>
        <v>2025</v>
      </c>
      <c r="E2297" s="272" t="e">
        <f>VLOOKUP($B2297,Week!$A$1:$C$1462,2,0)</f>
        <v>#N/A</v>
      </c>
      <c r="F2297" s="273" t="str">
        <f t="shared" si="864"/>
        <v>May</v>
      </c>
      <c r="G2297" s="274" t="s">
        <v>2033</v>
      </c>
      <c r="H2297" s="274" t="s">
        <v>500</v>
      </c>
      <c r="I2297" s="274" t="s">
        <v>2772</v>
      </c>
      <c r="J2297" s="275" t="s">
        <v>285</v>
      </c>
      <c r="K2297" s="276" t="s">
        <v>153</v>
      </c>
      <c r="L2297" s="390" t="s">
        <v>2166</v>
      </c>
      <c r="M2297" s="275" t="s">
        <v>86</v>
      </c>
      <c r="N2297" s="274" t="s">
        <v>547</v>
      </c>
      <c r="O2297" s="274" t="s">
        <v>548</v>
      </c>
      <c r="P2297" s="277">
        <v>10</v>
      </c>
      <c r="Q2297" s="277">
        <v>50</v>
      </c>
      <c r="R2297" s="278">
        <v>6.8100000000000001E-3</v>
      </c>
      <c r="S2297" s="274" t="s">
        <v>76</v>
      </c>
      <c r="T2297" s="274" t="s">
        <v>56</v>
      </c>
      <c r="U2297" s="274" t="s">
        <v>89</v>
      </c>
      <c r="V2297" s="279">
        <v>720</v>
      </c>
      <c r="W2297" s="279">
        <f>720</f>
        <v>720</v>
      </c>
      <c r="X2297" s="280"/>
      <c r="Y2297" s="281">
        <f t="shared" si="878"/>
        <v>0</v>
      </c>
      <c r="Z2297" s="282">
        <f t="shared" si="879"/>
        <v>0</v>
      </c>
      <c r="AA2297" s="282">
        <f t="shared" si="865"/>
        <v>0</v>
      </c>
      <c r="AB2297" s="812">
        <v>6</v>
      </c>
      <c r="AC2297" s="279">
        <f t="shared" si="880"/>
        <v>0</v>
      </c>
      <c r="AD2297" s="209"/>
      <c r="AE2297" s="210">
        <f t="shared" si="881"/>
        <v>0</v>
      </c>
      <c r="AF2297" s="210">
        <f t="shared" si="882"/>
        <v>0</v>
      </c>
      <c r="AG2297" s="211">
        <f t="shared" si="883"/>
        <v>0.63</v>
      </c>
      <c r="AH2297" s="157">
        <f t="shared" si="884"/>
        <v>0</v>
      </c>
      <c r="AI2297" s="152">
        <f t="shared" si="885"/>
        <v>7200</v>
      </c>
      <c r="AK2297" s="156" t="s">
        <v>691</v>
      </c>
      <c r="AL2297" s="156" t="s">
        <v>689</v>
      </c>
      <c r="AM2297" s="198">
        <f t="shared" si="877"/>
        <v>0</v>
      </c>
      <c r="AN2297" s="199">
        <f t="shared" si="861"/>
        <v>45804</v>
      </c>
      <c r="AO2297" s="159" t="s">
        <v>692</v>
      </c>
      <c r="AP2297" s="783" t="s">
        <v>620</v>
      </c>
      <c r="AQ2297" s="796" t="s">
        <v>422</v>
      </c>
      <c r="AR2297" s="782">
        <v>12055234</v>
      </c>
      <c r="AS2297" s="781"/>
      <c r="AT2297" s="782"/>
      <c r="AU2297" s="782"/>
      <c r="AV2297" s="782">
        <v>12062809</v>
      </c>
      <c r="AW2297" s="782"/>
      <c r="AX2297" s="782" t="s">
        <v>619</v>
      </c>
      <c r="AY2297" s="781"/>
      <c r="AZ2297" s="781"/>
      <c r="BA2297" s="781"/>
      <c r="BB2297" s="209">
        <v>23053184</v>
      </c>
    </row>
    <row r="2298" spans="1:54" ht="25" hidden="1" customHeight="1">
      <c r="A2298" s="142" t="s">
        <v>120</v>
      </c>
      <c r="B2298" s="385">
        <v>45805</v>
      </c>
      <c r="C2298" s="386">
        <v>45817</v>
      </c>
      <c r="D2298" s="185">
        <f t="shared" si="863"/>
        <v>2025</v>
      </c>
      <c r="E2298" s="386" t="e">
        <f>VLOOKUP($B2298,Week!$A$1:$C$1462,2,0)</f>
        <v>#N/A</v>
      </c>
      <c r="F2298" s="387" t="str">
        <f t="shared" si="864"/>
        <v>May</v>
      </c>
      <c r="G2298" s="388" t="s">
        <v>2032</v>
      </c>
      <c r="H2298" s="388" t="s">
        <v>500</v>
      </c>
      <c r="I2298" s="388" t="s">
        <v>2772</v>
      </c>
      <c r="J2298" s="389" t="s">
        <v>285</v>
      </c>
      <c r="K2298" s="390" t="s">
        <v>153</v>
      </c>
      <c r="L2298" s="390" t="s">
        <v>2166</v>
      </c>
      <c r="M2298" s="389" t="s">
        <v>165</v>
      </c>
      <c r="N2298" s="388" t="s">
        <v>286</v>
      </c>
      <c r="O2298" s="388" t="s">
        <v>503</v>
      </c>
      <c r="P2298" s="391">
        <v>40</v>
      </c>
      <c r="Q2298" s="391">
        <v>12</v>
      </c>
      <c r="R2298" s="392">
        <v>6.8100000000000001E-3</v>
      </c>
      <c r="S2298" s="388" t="s">
        <v>76</v>
      </c>
      <c r="T2298" s="388" t="s">
        <v>56</v>
      </c>
      <c r="U2298" s="388" t="s">
        <v>89</v>
      </c>
      <c r="V2298" s="393">
        <f>1624-578-581</f>
        <v>465</v>
      </c>
      <c r="W2298" s="393">
        <v>465</v>
      </c>
      <c r="X2298" s="394"/>
      <c r="Y2298" s="395">
        <f t="shared" si="878"/>
        <v>0</v>
      </c>
      <c r="Z2298" s="396">
        <f t="shared" si="879"/>
        <v>0</v>
      </c>
      <c r="AA2298" s="396">
        <f t="shared" si="865"/>
        <v>0</v>
      </c>
      <c r="AB2298" s="823">
        <v>2</v>
      </c>
      <c r="AC2298" s="393">
        <f t="shared" si="880"/>
        <v>0</v>
      </c>
      <c r="AD2298" s="209"/>
      <c r="AE2298" s="210">
        <f t="shared" si="881"/>
        <v>0</v>
      </c>
      <c r="AF2298" s="210">
        <f t="shared" si="882"/>
        <v>0</v>
      </c>
      <c r="AG2298" s="211">
        <f t="shared" si="883"/>
        <v>0.154</v>
      </c>
      <c r="AH2298" s="157">
        <f t="shared" si="884"/>
        <v>0</v>
      </c>
      <c r="AI2298" s="152">
        <f t="shared" si="885"/>
        <v>18600</v>
      </c>
      <c r="AK2298" s="156" t="s">
        <v>691</v>
      </c>
      <c r="AL2298" s="156" t="s">
        <v>689</v>
      </c>
      <c r="AM2298" s="198">
        <f t="shared" si="877"/>
        <v>0</v>
      </c>
      <c r="AN2298" s="199">
        <f t="shared" si="861"/>
        <v>45805</v>
      </c>
      <c r="AO2298" s="159" t="s">
        <v>692</v>
      </c>
      <c r="AP2298" s="783" t="s">
        <v>611</v>
      </c>
      <c r="AQ2298" s="782">
        <v>12088677</v>
      </c>
      <c r="AR2298" s="782">
        <v>12019692</v>
      </c>
      <c r="AS2298" s="781"/>
      <c r="AT2298" s="782">
        <v>12065371</v>
      </c>
      <c r="AU2298" s="782"/>
      <c r="AV2298" s="782">
        <v>12055895</v>
      </c>
      <c r="AW2298" s="782">
        <v>12034747</v>
      </c>
      <c r="AX2298" s="782" t="s">
        <v>398</v>
      </c>
      <c r="AY2298" s="781" t="s">
        <v>290</v>
      </c>
      <c r="AZ2298" s="781"/>
      <c r="BA2298" s="781"/>
      <c r="BB2298" s="209">
        <v>23053184</v>
      </c>
    </row>
    <row r="2299" spans="1:54" ht="25" hidden="1" customHeight="1">
      <c r="A2299" s="142" t="s">
        <v>120</v>
      </c>
      <c r="B2299" s="271">
        <v>45805</v>
      </c>
      <c r="C2299" s="272">
        <v>45817</v>
      </c>
      <c r="D2299" s="185">
        <f t="shared" si="863"/>
        <v>2025</v>
      </c>
      <c r="E2299" s="272" t="e">
        <f>VLOOKUP($B2299,Week!$A$1:$C$1462,2,0)</f>
        <v>#N/A</v>
      </c>
      <c r="F2299" s="273" t="str">
        <f t="shared" si="864"/>
        <v>May</v>
      </c>
      <c r="G2299" s="274" t="s">
        <v>2033</v>
      </c>
      <c r="H2299" s="274" t="s">
        <v>500</v>
      </c>
      <c r="I2299" s="274" t="s">
        <v>2772</v>
      </c>
      <c r="J2299" s="275" t="s">
        <v>285</v>
      </c>
      <c r="K2299" s="276" t="s">
        <v>153</v>
      </c>
      <c r="L2299" s="390" t="s">
        <v>2166</v>
      </c>
      <c r="M2299" s="275" t="s">
        <v>86</v>
      </c>
      <c r="N2299" s="274" t="s">
        <v>547</v>
      </c>
      <c r="O2299" s="274" t="s">
        <v>548</v>
      </c>
      <c r="P2299" s="277">
        <v>10</v>
      </c>
      <c r="Q2299" s="277">
        <v>50</v>
      </c>
      <c r="R2299" s="278">
        <v>6.8100000000000001E-3</v>
      </c>
      <c r="S2299" s="274" t="s">
        <v>76</v>
      </c>
      <c r="T2299" s="274" t="s">
        <v>56</v>
      </c>
      <c r="U2299" s="274" t="s">
        <v>89</v>
      </c>
      <c r="V2299" s="279">
        <f>2056-698-720</f>
        <v>638</v>
      </c>
      <c r="W2299" s="279">
        <v>638</v>
      </c>
      <c r="X2299" s="280"/>
      <c r="Y2299" s="281">
        <f t="shared" si="878"/>
        <v>0</v>
      </c>
      <c r="Z2299" s="282">
        <f t="shared" si="879"/>
        <v>0</v>
      </c>
      <c r="AA2299" s="282">
        <f t="shared" si="865"/>
        <v>0</v>
      </c>
      <c r="AB2299" s="812">
        <v>6</v>
      </c>
      <c r="AC2299" s="279">
        <f t="shared" si="880"/>
        <v>0</v>
      </c>
      <c r="AD2299" s="209"/>
      <c r="AE2299" s="210">
        <f t="shared" si="881"/>
        <v>0</v>
      </c>
      <c r="AF2299" s="210">
        <f t="shared" si="882"/>
        <v>0</v>
      </c>
      <c r="AG2299" s="211">
        <f t="shared" si="883"/>
        <v>0.63</v>
      </c>
      <c r="AH2299" s="157">
        <f t="shared" si="884"/>
        <v>0</v>
      </c>
      <c r="AI2299" s="152">
        <f t="shared" si="885"/>
        <v>6380</v>
      </c>
      <c r="AK2299" s="156" t="s">
        <v>691</v>
      </c>
      <c r="AL2299" s="156" t="s">
        <v>689</v>
      </c>
      <c r="AM2299" s="198">
        <f t="shared" si="877"/>
        <v>0</v>
      </c>
      <c r="AN2299" s="199">
        <f t="shared" si="861"/>
        <v>45805</v>
      </c>
      <c r="AO2299" s="159" t="s">
        <v>692</v>
      </c>
      <c r="AP2299" s="783" t="s">
        <v>620</v>
      </c>
      <c r="AQ2299" s="796" t="s">
        <v>422</v>
      </c>
      <c r="AR2299" s="782">
        <v>12055234</v>
      </c>
      <c r="AS2299" s="781"/>
      <c r="AT2299" s="782"/>
      <c r="AU2299" s="782"/>
      <c r="AV2299" s="782">
        <v>12062809</v>
      </c>
      <c r="AW2299" s="782"/>
      <c r="AX2299" s="782" t="s">
        <v>619</v>
      </c>
      <c r="AY2299" s="781"/>
      <c r="AZ2299" s="781"/>
      <c r="BA2299" s="781"/>
      <c r="BB2299" s="209">
        <v>23053184</v>
      </c>
    </row>
    <row r="2300" spans="1:54" ht="25" hidden="1" customHeight="1">
      <c r="A2300" s="142" t="s">
        <v>120</v>
      </c>
      <c r="B2300" s="448">
        <v>45805</v>
      </c>
      <c r="C2300" s="449">
        <v>45824</v>
      </c>
      <c r="D2300" s="185">
        <f t="shared" si="863"/>
        <v>2025</v>
      </c>
      <c r="E2300" s="450" t="e">
        <f>VLOOKUP($B2300,Week!$A$1:$C$1462,2,0)</f>
        <v>#N/A</v>
      </c>
      <c r="F2300" s="451" t="str">
        <f t="shared" si="864"/>
        <v>May</v>
      </c>
      <c r="G2300" s="450" t="s">
        <v>2213</v>
      </c>
      <c r="H2300" s="450" t="s">
        <v>134</v>
      </c>
      <c r="I2300" s="450" t="s">
        <v>2772</v>
      </c>
      <c r="J2300" s="452" t="s">
        <v>164</v>
      </c>
      <c r="K2300" s="453" t="s">
        <v>153</v>
      </c>
      <c r="L2300" s="390" t="s">
        <v>2166</v>
      </c>
      <c r="M2300" s="452" t="s">
        <v>1642</v>
      </c>
      <c r="N2300" s="450" t="s">
        <v>429</v>
      </c>
      <c r="O2300" s="450" t="s">
        <v>505</v>
      </c>
      <c r="P2300" s="454">
        <v>20</v>
      </c>
      <c r="Q2300" s="454">
        <v>12</v>
      </c>
      <c r="R2300" s="455">
        <v>6.8100000000000001E-3</v>
      </c>
      <c r="S2300" s="450" t="s">
        <v>76</v>
      </c>
      <c r="T2300" s="450" t="s">
        <v>56</v>
      </c>
      <c r="U2300" s="773" t="s">
        <v>430</v>
      </c>
      <c r="V2300" s="456">
        <v>128</v>
      </c>
      <c r="W2300" s="456"/>
      <c r="X2300" s="457">
        <f>(220+2340)/20</f>
        <v>128</v>
      </c>
      <c r="Y2300" s="458">
        <f t="shared" si="878"/>
        <v>0</v>
      </c>
      <c r="Z2300" s="459">
        <f t="shared" si="879"/>
        <v>0</v>
      </c>
      <c r="AA2300" s="459">
        <f t="shared" si="865"/>
        <v>0</v>
      </c>
      <c r="AB2300" s="827">
        <v>2</v>
      </c>
      <c r="AC2300" s="456">
        <f t="shared" si="880"/>
        <v>0</v>
      </c>
      <c r="AD2300" s="209" t="s">
        <v>218</v>
      </c>
      <c r="AE2300" s="210"/>
      <c r="AF2300" s="210"/>
      <c r="AG2300" s="211">
        <f t="shared" si="883"/>
        <v>0.20399999999999999</v>
      </c>
      <c r="AH2300" s="157">
        <f t="shared" si="884"/>
        <v>0</v>
      </c>
      <c r="AI2300" s="152">
        <f t="shared" si="885"/>
        <v>2560</v>
      </c>
      <c r="AK2300" s="156" t="s">
        <v>691</v>
      </c>
      <c r="AL2300" s="156" t="s">
        <v>689</v>
      </c>
      <c r="AM2300" s="198">
        <f t="shared" si="877"/>
        <v>0</v>
      </c>
      <c r="AN2300" s="199">
        <f t="shared" si="861"/>
        <v>45805</v>
      </c>
      <c r="AO2300" s="159" t="s">
        <v>692</v>
      </c>
      <c r="AP2300" s="781"/>
      <c r="AQ2300" s="782">
        <v>12071839</v>
      </c>
      <c r="AR2300" s="782">
        <v>12019692</v>
      </c>
      <c r="AS2300" s="782"/>
      <c r="AT2300" s="867">
        <v>12095767</v>
      </c>
      <c r="AU2300" s="868"/>
      <c r="AV2300" s="867">
        <v>12095768</v>
      </c>
      <c r="AW2300" s="782"/>
      <c r="AX2300" s="782" t="s">
        <v>398</v>
      </c>
      <c r="AY2300" s="782"/>
      <c r="AZ2300" s="782"/>
      <c r="BA2300" s="781"/>
      <c r="BB2300" s="209">
        <v>23057444</v>
      </c>
    </row>
    <row r="2301" spans="1:54" ht="25" hidden="1" customHeight="1">
      <c r="B2301" s="602">
        <v>45806</v>
      </c>
      <c r="C2301" s="861" t="s">
        <v>1930</v>
      </c>
      <c r="D2301" s="604">
        <f t="shared" si="863"/>
        <v>2025</v>
      </c>
      <c r="E2301" s="603" t="e">
        <f>VLOOKUP($B2301,Week!$A$1:$C$1462,2,0)</f>
        <v>#N/A</v>
      </c>
      <c r="F2301" s="605" t="str">
        <f t="shared" si="864"/>
        <v>May</v>
      </c>
      <c r="G2301" s="604" t="s">
        <v>47</v>
      </c>
      <c r="H2301" s="604" t="s">
        <v>518</v>
      </c>
      <c r="I2301" s="604" t="s">
        <v>2702</v>
      </c>
      <c r="J2301" s="606" t="s">
        <v>70</v>
      </c>
      <c r="K2301" s="607" t="s">
        <v>227</v>
      </c>
      <c r="L2301" s="607" t="s">
        <v>2167</v>
      </c>
      <c r="M2301" s="606" t="s">
        <v>2335</v>
      </c>
      <c r="N2301" s="604" t="s">
        <v>2334</v>
      </c>
      <c r="O2301" s="604" t="s">
        <v>2005</v>
      </c>
      <c r="P2301" s="608">
        <v>12</v>
      </c>
      <c r="Q2301" s="608">
        <v>3</v>
      </c>
      <c r="R2301" s="609">
        <v>8.0000000000000002E-3</v>
      </c>
      <c r="S2301" s="604" t="s">
        <v>352</v>
      </c>
      <c r="T2301" s="604" t="s">
        <v>56</v>
      </c>
      <c r="U2301" s="604" t="s">
        <v>2007</v>
      </c>
      <c r="V2301" s="862">
        <f>3000</f>
        <v>3000</v>
      </c>
      <c r="W2301" s="610">
        <f>3000</f>
        <v>3000</v>
      </c>
      <c r="X2301" s="611"/>
      <c r="Y2301" s="612">
        <f t="shared" si="878"/>
        <v>0</v>
      </c>
      <c r="Z2301" s="613">
        <f t="shared" si="879"/>
        <v>0</v>
      </c>
      <c r="AA2301" s="613">
        <f t="shared" si="865"/>
        <v>0</v>
      </c>
      <c r="AB2301" s="836">
        <v>0.05</v>
      </c>
      <c r="AC2301" s="610">
        <f t="shared" ref="AC2301:AC2307" si="886">Z2301*AB2301</f>
        <v>0</v>
      </c>
      <c r="AD2301" s="307" t="s">
        <v>2344</v>
      </c>
      <c r="AE2301" s="210">
        <f t="shared" ref="AE2301:AE2325" si="887">SUM(Q2301*R2301*Z2301)/1000</f>
        <v>0</v>
      </c>
      <c r="AF2301" s="210">
        <f t="shared" ref="AF2301:AF2325" si="888">AE2301/0.54</f>
        <v>0</v>
      </c>
      <c r="AG2301" s="211">
        <f t="shared" si="883"/>
        <v>0.22700000000000001</v>
      </c>
      <c r="AH2301" s="157">
        <f t="shared" si="884"/>
        <v>0</v>
      </c>
      <c r="AI2301" s="152">
        <f t="shared" si="885"/>
        <v>36000</v>
      </c>
      <c r="AK2301" s="156" t="s">
        <v>691</v>
      </c>
      <c r="AL2301" s="212" t="s">
        <v>690</v>
      </c>
      <c r="AM2301" s="198">
        <f t="shared" si="877"/>
        <v>0</v>
      </c>
      <c r="AN2301" s="199">
        <f t="shared" si="861"/>
        <v>45806</v>
      </c>
      <c r="AO2301" s="159" t="s">
        <v>692</v>
      </c>
      <c r="AP2301" s="783" t="s">
        <v>623</v>
      </c>
      <c r="AQ2301" s="782">
        <v>12071839</v>
      </c>
      <c r="AR2301" s="782">
        <v>12042650</v>
      </c>
      <c r="AS2301" s="782">
        <v>12042649</v>
      </c>
      <c r="AT2301" s="782"/>
      <c r="AU2301" s="781"/>
      <c r="AV2301" s="782">
        <v>12094036</v>
      </c>
      <c r="AW2301" s="782"/>
      <c r="AX2301" s="782"/>
      <c r="AY2301" s="782">
        <v>12094035</v>
      </c>
      <c r="AZ2301" s="782">
        <v>12094041</v>
      </c>
      <c r="BA2301" s="781"/>
      <c r="BB2301" s="209">
        <v>11044165</v>
      </c>
    </row>
    <row r="2302" spans="1:54" ht="25" hidden="1" customHeight="1">
      <c r="B2302" s="583">
        <v>45806</v>
      </c>
      <c r="C2302" s="795" t="s">
        <v>1930</v>
      </c>
      <c r="D2302" s="185">
        <f t="shared" si="863"/>
        <v>2025</v>
      </c>
      <c r="E2302" s="777" t="e">
        <f>VLOOKUP($B2302,Week!$A$1:$C$1462,2,0)</f>
        <v>#N/A</v>
      </c>
      <c r="F2302" s="778" t="str">
        <f t="shared" si="864"/>
        <v>May</v>
      </c>
      <c r="G2302" s="586" t="s">
        <v>47</v>
      </c>
      <c r="H2302" s="586" t="s">
        <v>260</v>
      </c>
      <c r="I2302" s="586" t="s">
        <v>2702</v>
      </c>
      <c r="J2302" s="587" t="s">
        <v>70</v>
      </c>
      <c r="K2302" s="588" t="s">
        <v>227</v>
      </c>
      <c r="L2302" s="300" t="s">
        <v>2167</v>
      </c>
      <c r="M2302" s="587" t="s">
        <v>2353</v>
      </c>
      <c r="N2302" s="586" t="s">
        <v>2004</v>
      </c>
      <c r="O2302" s="586" t="s">
        <v>2005</v>
      </c>
      <c r="P2302" s="589">
        <v>12</v>
      </c>
      <c r="Q2302" s="589">
        <v>3</v>
      </c>
      <c r="R2302" s="590">
        <v>8.0000000000000002E-3</v>
      </c>
      <c r="S2302" s="586" t="s">
        <v>352</v>
      </c>
      <c r="T2302" s="586" t="s">
        <v>56</v>
      </c>
      <c r="U2302" s="586" t="s">
        <v>2007</v>
      </c>
      <c r="V2302" s="779">
        <f>12000-3000</f>
        <v>9000</v>
      </c>
      <c r="W2302" s="592">
        <f>4438-4321+8769</f>
        <v>8886</v>
      </c>
      <c r="X2302" s="593">
        <f>1368/12</f>
        <v>114</v>
      </c>
      <c r="Y2302" s="594">
        <f t="shared" si="878"/>
        <v>0</v>
      </c>
      <c r="Z2302" s="595">
        <f t="shared" si="879"/>
        <v>0</v>
      </c>
      <c r="AA2302" s="595">
        <f t="shared" si="865"/>
        <v>0</v>
      </c>
      <c r="AB2302" s="835">
        <v>0.05</v>
      </c>
      <c r="AC2302" s="592">
        <f t="shared" si="886"/>
        <v>0</v>
      </c>
      <c r="AD2302" s="307" t="s">
        <v>2344</v>
      </c>
      <c r="AE2302" s="210">
        <f t="shared" si="887"/>
        <v>0</v>
      </c>
      <c r="AF2302" s="210">
        <f t="shared" si="888"/>
        <v>0</v>
      </c>
      <c r="AG2302" s="211">
        <f t="shared" si="883"/>
        <v>0.22700000000000001</v>
      </c>
      <c r="AH2302" s="157">
        <f t="shared" si="884"/>
        <v>0</v>
      </c>
      <c r="AI2302" s="152">
        <f t="shared" si="885"/>
        <v>108000</v>
      </c>
      <c r="AK2302" s="156" t="s">
        <v>691</v>
      </c>
      <c r="AL2302" s="212" t="s">
        <v>690</v>
      </c>
      <c r="AM2302" s="198">
        <f t="shared" si="877"/>
        <v>0</v>
      </c>
      <c r="AN2302" s="199">
        <f t="shared" ref="AN2302:AN2365" si="889">B2302</f>
        <v>45806</v>
      </c>
      <c r="AO2302" s="159" t="s">
        <v>692</v>
      </c>
      <c r="AP2302" s="783" t="s">
        <v>623</v>
      </c>
      <c r="AQ2302" s="782">
        <v>12071839</v>
      </c>
      <c r="AR2302" s="782">
        <v>12042650</v>
      </c>
      <c r="AS2302" s="782">
        <v>12042649</v>
      </c>
      <c r="AT2302" s="782"/>
      <c r="AU2302" s="781"/>
      <c r="AV2302" s="782">
        <v>12094036</v>
      </c>
      <c r="AW2302" s="782"/>
      <c r="AX2302" s="782"/>
      <c r="AY2302" s="782">
        <v>12094035</v>
      </c>
      <c r="AZ2302" s="782">
        <v>12094041</v>
      </c>
      <c r="BA2302" s="781"/>
      <c r="BB2302" s="209">
        <v>11044165</v>
      </c>
    </row>
    <row r="2303" spans="1:54" ht="24.65" hidden="1" customHeight="1">
      <c r="B2303" s="757">
        <v>45807</v>
      </c>
      <c r="C2303" s="758">
        <v>45818</v>
      </c>
      <c r="D2303" s="185">
        <f t="shared" si="863"/>
        <v>2025</v>
      </c>
      <c r="E2303" s="758" t="e">
        <f>VLOOKUP($B2303,Week!$A$1:$C$1462,2,0)</f>
        <v>#N/A</v>
      </c>
      <c r="F2303" s="759" t="str">
        <f t="shared" si="864"/>
        <v>May</v>
      </c>
      <c r="G2303" s="760" t="s">
        <v>2326</v>
      </c>
      <c r="H2303" s="761" t="s">
        <v>424</v>
      </c>
      <c r="I2303" s="761" t="s">
        <v>2772</v>
      </c>
      <c r="J2303" s="762" t="s">
        <v>425</v>
      </c>
      <c r="K2303" s="763" t="s">
        <v>593</v>
      </c>
      <c r="L2303" s="300" t="s">
        <v>2167</v>
      </c>
      <c r="M2303" s="762" t="s">
        <v>594</v>
      </c>
      <c r="N2303" s="761" t="s">
        <v>1671</v>
      </c>
      <c r="O2303" s="761" t="s">
        <v>415</v>
      </c>
      <c r="P2303" s="764">
        <v>24</v>
      </c>
      <c r="Q2303" s="764">
        <v>5</v>
      </c>
      <c r="R2303" s="765">
        <v>6.0000000000000001E-3</v>
      </c>
      <c r="S2303" s="761" t="s">
        <v>55</v>
      </c>
      <c r="T2303" s="761" t="s">
        <v>112</v>
      </c>
      <c r="U2303" s="761" t="s">
        <v>57</v>
      </c>
      <c r="V2303" s="766">
        <f>1176</f>
        <v>1176</v>
      </c>
      <c r="W2303" s="766">
        <f>142+874</f>
        <v>1016</v>
      </c>
      <c r="X2303" s="767">
        <f>(4254)/24</f>
        <v>177.25</v>
      </c>
      <c r="Y2303" s="768">
        <f t="shared" si="878"/>
        <v>17.25</v>
      </c>
      <c r="Z2303" s="769">
        <f t="shared" si="879"/>
        <v>0</v>
      </c>
      <c r="AA2303" s="769">
        <f t="shared" si="865"/>
        <v>0</v>
      </c>
      <c r="AB2303" s="837">
        <v>7.4999999999999997E-3</v>
      </c>
      <c r="AC2303" s="766">
        <f t="shared" si="886"/>
        <v>0</v>
      </c>
      <c r="AD2303" s="866" t="s">
        <v>2377</v>
      </c>
      <c r="AE2303" s="210">
        <f t="shared" si="887"/>
        <v>0</v>
      </c>
      <c r="AF2303" s="210">
        <f t="shared" si="888"/>
        <v>0</v>
      </c>
      <c r="AG2303" s="211">
        <f t="shared" si="883"/>
        <v>0.25800000000000001</v>
      </c>
      <c r="AH2303" s="157">
        <f t="shared" si="884"/>
        <v>0</v>
      </c>
      <c r="AI2303" s="152">
        <f t="shared" si="885"/>
        <v>28224</v>
      </c>
      <c r="AK2303" s="156" t="s">
        <v>691</v>
      </c>
      <c r="AL2303" s="212" t="s">
        <v>690</v>
      </c>
      <c r="AM2303" s="198">
        <f t="shared" si="877"/>
        <v>0</v>
      </c>
      <c r="AN2303" s="199">
        <f t="shared" si="889"/>
        <v>45807</v>
      </c>
      <c r="AO2303" s="159" t="s">
        <v>692</v>
      </c>
      <c r="AP2303" s="783"/>
      <c r="AQ2303" s="782">
        <v>12071839</v>
      </c>
      <c r="AR2303" s="782">
        <v>12042650</v>
      </c>
      <c r="AS2303" s="782">
        <v>12042649</v>
      </c>
      <c r="AT2303" s="782">
        <v>12092034</v>
      </c>
      <c r="AU2303" s="781"/>
      <c r="AV2303" s="782">
        <v>12092685</v>
      </c>
      <c r="AW2303" s="782"/>
      <c r="AX2303" s="782"/>
      <c r="AY2303" s="782">
        <v>12092033</v>
      </c>
      <c r="AZ2303" s="782"/>
      <c r="BA2303" s="781"/>
      <c r="BB2303" s="209">
        <v>23053185</v>
      </c>
    </row>
    <row r="2304" spans="1:54" ht="25" hidden="1" customHeight="1">
      <c r="B2304" s="357">
        <v>45807</v>
      </c>
      <c r="C2304" s="358">
        <v>45818</v>
      </c>
      <c r="D2304" s="185">
        <f t="shared" si="863"/>
        <v>2025</v>
      </c>
      <c r="E2304" s="358" t="e">
        <f>VLOOKUP($B2304,Week!$A$1:$C$1462,2,0)</f>
        <v>#N/A</v>
      </c>
      <c r="F2304" s="360" t="str">
        <f t="shared" si="864"/>
        <v>May</v>
      </c>
      <c r="G2304" s="436" t="s">
        <v>2141</v>
      </c>
      <c r="H2304" s="359" t="s">
        <v>225</v>
      </c>
      <c r="I2304" s="359" t="s">
        <v>2773</v>
      </c>
      <c r="J2304" s="361" t="s">
        <v>650</v>
      </c>
      <c r="K2304" s="362" t="s">
        <v>593</v>
      </c>
      <c r="L2304" s="300" t="s">
        <v>2167</v>
      </c>
      <c r="M2304" s="361" t="s">
        <v>717</v>
      </c>
      <c r="N2304" s="359" t="s">
        <v>719</v>
      </c>
      <c r="O2304" s="359" t="s">
        <v>230</v>
      </c>
      <c r="P2304" s="363">
        <v>12</v>
      </c>
      <c r="Q2304" s="363">
        <v>5</v>
      </c>
      <c r="R2304" s="364">
        <v>6.0000000000000001E-3</v>
      </c>
      <c r="S2304" s="359" t="s">
        <v>55</v>
      </c>
      <c r="T2304" s="359" t="s">
        <v>112</v>
      </c>
      <c r="U2304" s="359" t="s">
        <v>57</v>
      </c>
      <c r="V2304" s="365">
        <v>2600</v>
      </c>
      <c r="W2304" s="365"/>
      <c r="X2304" s="366">
        <f>(2415+28785)/12</f>
        <v>2600</v>
      </c>
      <c r="Y2304" s="367">
        <f t="shared" si="878"/>
        <v>0</v>
      </c>
      <c r="Z2304" s="368">
        <f t="shared" si="879"/>
        <v>0</v>
      </c>
      <c r="AA2304" s="368">
        <f t="shared" si="865"/>
        <v>0</v>
      </c>
      <c r="AB2304" s="819">
        <v>7.4999999999999997E-3</v>
      </c>
      <c r="AC2304" s="365">
        <f t="shared" si="886"/>
        <v>0</v>
      </c>
      <c r="AD2304" s="515"/>
      <c r="AE2304" s="210">
        <f t="shared" si="887"/>
        <v>0</v>
      </c>
      <c r="AF2304" s="210">
        <f t="shared" si="888"/>
        <v>0</v>
      </c>
      <c r="AG2304" s="211">
        <f t="shared" si="883"/>
        <v>0.25800000000000001</v>
      </c>
      <c r="AH2304" s="157">
        <f t="shared" si="884"/>
        <v>0</v>
      </c>
      <c r="AI2304" s="152">
        <f t="shared" si="885"/>
        <v>31200</v>
      </c>
      <c r="AK2304" s="156" t="s">
        <v>691</v>
      </c>
      <c r="AL2304" s="574" t="s">
        <v>690</v>
      </c>
      <c r="AM2304" s="198">
        <f t="shared" si="877"/>
        <v>0</v>
      </c>
      <c r="AN2304" s="199">
        <f t="shared" si="889"/>
        <v>45807</v>
      </c>
      <c r="AO2304" s="159" t="s">
        <v>692</v>
      </c>
      <c r="AP2304" s="783" t="s">
        <v>612</v>
      </c>
      <c r="AQ2304" s="782">
        <v>12071839</v>
      </c>
      <c r="AR2304" s="782">
        <v>12042650</v>
      </c>
      <c r="AS2304" s="782">
        <v>12042649</v>
      </c>
      <c r="AT2304" s="782">
        <v>12088423</v>
      </c>
      <c r="AU2304" s="781"/>
      <c r="AV2304" s="782">
        <v>12088422</v>
      </c>
      <c r="AW2304" s="782"/>
      <c r="AX2304" s="782"/>
      <c r="AY2304" s="782"/>
      <c r="AZ2304" s="782"/>
      <c r="BA2304" s="781"/>
      <c r="BB2304" s="209">
        <v>23053185</v>
      </c>
    </row>
    <row r="2305" spans="1:54" ht="24.65" hidden="1" customHeight="1">
      <c r="B2305" s="308">
        <v>45807</v>
      </c>
      <c r="C2305" s="309">
        <v>45827</v>
      </c>
      <c r="D2305" s="185">
        <f t="shared" si="863"/>
        <v>2025</v>
      </c>
      <c r="E2305" s="309" t="e">
        <f>VLOOKUP($B2305,Week!$A$1:$C$1462,2,0)</f>
        <v>#N/A</v>
      </c>
      <c r="F2305" s="310" t="str">
        <f t="shared" si="864"/>
        <v>May</v>
      </c>
      <c r="G2305" s="311" t="s">
        <v>2246</v>
      </c>
      <c r="H2305" s="311" t="s">
        <v>311</v>
      </c>
      <c r="I2305" s="311" t="s">
        <v>2772</v>
      </c>
      <c r="J2305" s="312" t="s">
        <v>738</v>
      </c>
      <c r="K2305" s="313" t="s">
        <v>107</v>
      </c>
      <c r="L2305" s="300" t="s">
        <v>2167</v>
      </c>
      <c r="M2305" s="312" t="s">
        <v>313</v>
      </c>
      <c r="N2305" s="311" t="s">
        <v>314</v>
      </c>
      <c r="O2305" s="311" t="s">
        <v>110</v>
      </c>
      <c r="P2305" s="314">
        <v>36</v>
      </c>
      <c r="Q2305" s="314">
        <v>5</v>
      </c>
      <c r="R2305" s="315">
        <v>7.4999999999999997E-3</v>
      </c>
      <c r="S2305" s="311" t="s">
        <v>111</v>
      </c>
      <c r="T2305" s="311" t="s">
        <v>112</v>
      </c>
      <c r="U2305" s="311" t="s">
        <v>57</v>
      </c>
      <c r="V2305" s="316">
        <v>792</v>
      </c>
      <c r="W2305" s="316">
        <v>792</v>
      </c>
      <c r="X2305" s="317"/>
      <c r="Y2305" s="318">
        <f t="shared" si="878"/>
        <v>0</v>
      </c>
      <c r="Z2305" s="319">
        <f t="shared" si="879"/>
        <v>0</v>
      </c>
      <c r="AA2305" s="319">
        <f t="shared" si="865"/>
        <v>0</v>
      </c>
      <c r="AB2305" s="815">
        <v>7.4999999999999997E-3</v>
      </c>
      <c r="AC2305" s="316">
        <f t="shared" si="886"/>
        <v>0</v>
      </c>
      <c r="AD2305" s="515"/>
      <c r="AE2305" s="210">
        <f t="shared" si="887"/>
        <v>0</v>
      </c>
      <c r="AF2305" s="210">
        <f t="shared" si="888"/>
        <v>0</v>
      </c>
      <c r="AG2305" s="211">
        <f t="shared" si="883"/>
        <v>0.308</v>
      </c>
      <c r="AH2305" s="157">
        <f t="shared" si="884"/>
        <v>0</v>
      </c>
      <c r="AI2305" s="152">
        <f t="shared" si="885"/>
        <v>28512</v>
      </c>
      <c r="AK2305" s="156" t="s">
        <v>691</v>
      </c>
      <c r="AL2305" s="212" t="s">
        <v>690</v>
      </c>
      <c r="AM2305" s="198">
        <f t="shared" si="877"/>
        <v>0</v>
      </c>
      <c r="AN2305" s="199">
        <f t="shared" si="889"/>
        <v>45807</v>
      </c>
      <c r="AO2305" s="159" t="s">
        <v>692</v>
      </c>
      <c r="AP2305" s="783" t="s">
        <v>644</v>
      </c>
      <c r="AQ2305" s="782">
        <v>12063755</v>
      </c>
      <c r="AR2305" s="782">
        <v>12061353</v>
      </c>
      <c r="AS2305" s="782">
        <v>12061354</v>
      </c>
      <c r="AT2305" s="782">
        <v>12062266</v>
      </c>
      <c r="AU2305" s="781"/>
      <c r="AV2305" s="782">
        <v>12088159</v>
      </c>
      <c r="AW2305" s="782">
        <v>12088207</v>
      </c>
      <c r="AX2305" s="782"/>
      <c r="AY2305" s="782">
        <v>12094237</v>
      </c>
      <c r="AZ2305" s="782"/>
      <c r="BA2305" s="781"/>
      <c r="BB2305" s="209">
        <v>23053185</v>
      </c>
    </row>
    <row r="2306" spans="1:54" ht="24.65" hidden="1" customHeight="1">
      <c r="B2306" s="308">
        <v>45807</v>
      </c>
      <c r="C2306" s="309">
        <v>45827</v>
      </c>
      <c r="D2306" s="185">
        <f t="shared" si="863"/>
        <v>2025</v>
      </c>
      <c r="E2306" s="309" t="e">
        <f>VLOOKUP($B2306,Week!$A$1:$C$1462,2,0)</f>
        <v>#N/A</v>
      </c>
      <c r="F2306" s="310" t="str">
        <f t="shared" si="864"/>
        <v>May</v>
      </c>
      <c r="G2306" s="311" t="s">
        <v>2247</v>
      </c>
      <c r="H2306" s="311" t="s">
        <v>311</v>
      </c>
      <c r="I2306" s="311" t="s">
        <v>2772</v>
      </c>
      <c r="J2306" s="312" t="s">
        <v>738</v>
      </c>
      <c r="K2306" s="313" t="s">
        <v>107</v>
      </c>
      <c r="L2306" s="300" t="s">
        <v>2167</v>
      </c>
      <c r="M2306" s="312" t="s">
        <v>313</v>
      </c>
      <c r="N2306" s="311" t="s">
        <v>314</v>
      </c>
      <c r="O2306" s="311" t="s">
        <v>110</v>
      </c>
      <c r="P2306" s="314">
        <v>36</v>
      </c>
      <c r="Q2306" s="314">
        <v>5</v>
      </c>
      <c r="R2306" s="315">
        <v>7.4999999999999997E-3</v>
      </c>
      <c r="S2306" s="311" t="s">
        <v>111</v>
      </c>
      <c r="T2306" s="311" t="s">
        <v>112</v>
      </c>
      <c r="U2306" s="311" t="s">
        <v>57</v>
      </c>
      <c r="V2306" s="316">
        <v>114</v>
      </c>
      <c r="W2306" s="316">
        <f>890-792</f>
        <v>98</v>
      </c>
      <c r="X2306" s="317">
        <f>(564+12)/36</f>
        <v>16</v>
      </c>
      <c r="Y2306" s="318">
        <f t="shared" si="878"/>
        <v>0</v>
      </c>
      <c r="Z2306" s="319">
        <f t="shared" si="879"/>
        <v>0</v>
      </c>
      <c r="AA2306" s="319">
        <f t="shared" si="865"/>
        <v>0</v>
      </c>
      <c r="AB2306" s="815">
        <v>7.4999999999999997E-3</v>
      </c>
      <c r="AC2306" s="316">
        <f t="shared" si="886"/>
        <v>0</v>
      </c>
      <c r="AD2306" s="515"/>
      <c r="AE2306" s="210">
        <f t="shared" si="887"/>
        <v>0</v>
      </c>
      <c r="AF2306" s="210">
        <f t="shared" si="888"/>
        <v>0</v>
      </c>
      <c r="AG2306" s="211">
        <f t="shared" si="883"/>
        <v>0.308</v>
      </c>
      <c r="AH2306" s="157">
        <f t="shared" si="884"/>
        <v>0</v>
      </c>
      <c r="AI2306" s="152">
        <f t="shared" si="885"/>
        <v>4104</v>
      </c>
      <c r="AK2306" s="156" t="s">
        <v>691</v>
      </c>
      <c r="AL2306" s="212" t="s">
        <v>690</v>
      </c>
      <c r="AM2306" s="198">
        <f t="shared" si="877"/>
        <v>0</v>
      </c>
      <c r="AN2306" s="199">
        <f t="shared" si="889"/>
        <v>45807</v>
      </c>
      <c r="AO2306" s="159" t="s">
        <v>692</v>
      </c>
      <c r="AP2306" s="783" t="s">
        <v>644</v>
      </c>
      <c r="AQ2306" s="782">
        <v>12063755</v>
      </c>
      <c r="AR2306" s="782">
        <v>12061353</v>
      </c>
      <c r="AS2306" s="782">
        <v>12061354</v>
      </c>
      <c r="AT2306" s="782">
        <v>12062266</v>
      </c>
      <c r="AU2306" s="781"/>
      <c r="AV2306" s="782">
        <v>12088159</v>
      </c>
      <c r="AW2306" s="782">
        <v>12088207</v>
      </c>
      <c r="AX2306" s="782"/>
      <c r="AY2306" s="782">
        <v>12094237</v>
      </c>
      <c r="AZ2306" s="782"/>
      <c r="BA2306" s="781"/>
      <c r="BB2306" s="209">
        <v>23053185</v>
      </c>
    </row>
    <row r="2307" spans="1:54" ht="25" hidden="1" customHeight="1">
      <c r="B2307" s="332">
        <v>45807</v>
      </c>
      <c r="C2307" s="333">
        <v>45831</v>
      </c>
      <c r="D2307" s="185">
        <f t="shared" si="863"/>
        <v>2025</v>
      </c>
      <c r="E2307" s="333" t="e">
        <f>VLOOKUP($B2307,Week!$A$1:$C$1462,2,0)</f>
        <v>#N/A</v>
      </c>
      <c r="F2307" s="334" t="str">
        <f t="shared" si="864"/>
        <v>May</v>
      </c>
      <c r="G2307" s="335" t="s">
        <v>2221</v>
      </c>
      <c r="H2307" s="335" t="s">
        <v>600</v>
      </c>
      <c r="I2307" s="335" t="s">
        <v>2772</v>
      </c>
      <c r="J2307" s="336" t="s">
        <v>708</v>
      </c>
      <c r="K2307" s="337" t="s">
        <v>1646</v>
      </c>
      <c r="L2307" s="300" t="s">
        <v>2167</v>
      </c>
      <c r="M2307" s="336" t="s">
        <v>601</v>
      </c>
      <c r="N2307" s="335" t="s">
        <v>604</v>
      </c>
      <c r="O2307" s="335" t="s">
        <v>543</v>
      </c>
      <c r="P2307" s="338">
        <v>8</v>
      </c>
      <c r="Q2307" s="338">
        <v>3</v>
      </c>
      <c r="R2307" s="339">
        <v>7.4999999999999997E-3</v>
      </c>
      <c r="S2307" s="335" t="s">
        <v>40</v>
      </c>
      <c r="T2307" s="335" t="s">
        <v>112</v>
      </c>
      <c r="U2307" s="340" t="s">
        <v>1893</v>
      </c>
      <c r="V2307" s="341">
        <v>3500</v>
      </c>
      <c r="W2307" s="341"/>
      <c r="X2307" s="342">
        <f>(668+27332)/8</f>
        <v>3500</v>
      </c>
      <c r="Y2307" s="343">
        <f t="shared" si="878"/>
        <v>0</v>
      </c>
      <c r="Z2307" s="344">
        <f t="shared" si="879"/>
        <v>0</v>
      </c>
      <c r="AA2307" s="344">
        <f t="shared" si="865"/>
        <v>0</v>
      </c>
      <c r="AB2307" s="817">
        <v>3.85E-2</v>
      </c>
      <c r="AC2307" s="341">
        <f t="shared" si="886"/>
        <v>0</v>
      </c>
      <c r="AD2307" s="307" t="s">
        <v>673</v>
      </c>
      <c r="AE2307" s="210">
        <f t="shared" si="887"/>
        <v>0</v>
      </c>
      <c r="AF2307" s="210">
        <f t="shared" si="888"/>
        <v>0</v>
      </c>
      <c r="AG2307" s="211">
        <f t="shared" si="883"/>
        <v>0.309</v>
      </c>
      <c r="AH2307" s="157">
        <f t="shared" si="884"/>
        <v>0</v>
      </c>
      <c r="AI2307" s="152">
        <f t="shared" si="885"/>
        <v>28000</v>
      </c>
      <c r="AK2307" s="156" t="s">
        <v>691</v>
      </c>
      <c r="AL2307" s="574" t="s">
        <v>690</v>
      </c>
      <c r="AM2307" s="198">
        <f t="shared" si="877"/>
        <v>0</v>
      </c>
      <c r="AN2307" s="199">
        <f t="shared" si="889"/>
        <v>45807</v>
      </c>
      <c r="AO2307" s="159" t="s">
        <v>692</v>
      </c>
      <c r="AP2307" s="781"/>
      <c r="AQ2307" s="782">
        <v>12063755</v>
      </c>
      <c r="AR2307" s="782">
        <v>12061353</v>
      </c>
      <c r="AS2307" s="782">
        <v>12061354</v>
      </c>
      <c r="AT2307" s="782">
        <v>12084228</v>
      </c>
      <c r="AU2307" s="781"/>
      <c r="AV2307" s="782">
        <v>12084023</v>
      </c>
      <c r="AW2307" s="782"/>
      <c r="AX2307" s="782"/>
      <c r="AY2307" s="782"/>
      <c r="AZ2307" s="782"/>
      <c r="BA2307" s="781"/>
      <c r="BB2307" s="209">
        <v>23105468</v>
      </c>
    </row>
    <row r="2308" spans="1:54" ht="25" hidden="1" customHeight="1">
      <c r="A2308" s="754" t="s">
        <v>438</v>
      </c>
      <c r="B2308" s="332">
        <v>45808</v>
      </c>
      <c r="C2308" s="333">
        <v>45820</v>
      </c>
      <c r="D2308" s="185">
        <f t="shared" si="863"/>
        <v>2025</v>
      </c>
      <c r="E2308" s="335" t="e">
        <f>VLOOKUP($B2308,Week!$A$1:$C$1462,2,0)</f>
        <v>#N/A</v>
      </c>
      <c r="F2308" s="334" t="str">
        <f t="shared" si="864"/>
        <v>May</v>
      </c>
      <c r="G2308" s="530" t="s">
        <v>2045</v>
      </c>
      <c r="H2308" s="335" t="s">
        <v>675</v>
      </c>
      <c r="I2308" s="335" t="s">
        <v>2772</v>
      </c>
      <c r="J2308" s="336" t="s">
        <v>709</v>
      </c>
      <c r="K2308" s="337" t="s">
        <v>671</v>
      </c>
      <c r="L2308" s="300" t="s">
        <v>2167</v>
      </c>
      <c r="M2308" s="336" t="s">
        <v>661</v>
      </c>
      <c r="N2308" s="335" t="s">
        <v>714</v>
      </c>
      <c r="O2308" s="335" t="s">
        <v>566</v>
      </c>
      <c r="P2308" s="338">
        <v>16</v>
      </c>
      <c r="Q2308" s="338">
        <v>6</v>
      </c>
      <c r="R2308" s="339">
        <v>6.1999999999999998E-3</v>
      </c>
      <c r="S2308" s="335" t="s">
        <v>55</v>
      </c>
      <c r="T2308" s="335" t="s">
        <v>112</v>
      </c>
      <c r="U2308" s="335" t="s">
        <v>662</v>
      </c>
      <c r="V2308" s="341">
        <f>144</f>
        <v>144</v>
      </c>
      <c r="W2308" s="341"/>
      <c r="X2308" s="342">
        <f>(92+1060)/8</f>
        <v>144</v>
      </c>
      <c r="Y2308" s="343">
        <f t="shared" si="878"/>
        <v>0</v>
      </c>
      <c r="Z2308" s="344">
        <f t="shared" si="879"/>
        <v>0</v>
      </c>
      <c r="AA2308" s="344">
        <f t="shared" si="865"/>
        <v>0</v>
      </c>
      <c r="AB2308" s="817">
        <v>1</v>
      </c>
      <c r="AC2308" s="341">
        <f t="shared" ref="AC2308:AC2325" si="890">Z2308*AB2308</f>
        <v>0</v>
      </c>
      <c r="AD2308" s="336" t="s">
        <v>2295</v>
      </c>
      <c r="AE2308" s="533">
        <f t="shared" si="887"/>
        <v>0</v>
      </c>
      <c r="AF2308" s="533">
        <f t="shared" si="888"/>
        <v>0</v>
      </c>
      <c r="AG2308" s="211">
        <f t="shared" si="883"/>
        <v>0.11700000000000001</v>
      </c>
      <c r="AH2308" s="157">
        <f t="shared" si="884"/>
        <v>0</v>
      </c>
      <c r="AI2308" s="152">
        <f t="shared" si="885"/>
        <v>2304</v>
      </c>
      <c r="AK2308" s="156" t="s">
        <v>691</v>
      </c>
      <c r="AL2308" s="212" t="s">
        <v>690</v>
      </c>
      <c r="AM2308" s="198">
        <f t="shared" si="877"/>
        <v>0</v>
      </c>
      <c r="AN2308" s="199">
        <f t="shared" si="889"/>
        <v>45808</v>
      </c>
      <c r="AO2308" s="159" t="s">
        <v>692</v>
      </c>
      <c r="AP2308" s="797"/>
      <c r="AQ2308" s="798"/>
      <c r="AR2308" s="798" t="s">
        <v>2144</v>
      </c>
      <c r="AS2308" s="798"/>
      <c r="AT2308" s="782">
        <v>12090031</v>
      </c>
      <c r="AU2308" s="799"/>
      <c r="AV2308" s="782">
        <v>12090032</v>
      </c>
      <c r="AW2308" s="798"/>
      <c r="AX2308" s="798" t="s">
        <v>2145</v>
      </c>
      <c r="AY2308" s="798"/>
      <c r="AZ2308" s="798"/>
      <c r="BA2308" s="799"/>
      <c r="BB2308" s="209">
        <v>23094763</v>
      </c>
    </row>
    <row r="2309" spans="1:54" ht="25" hidden="1" customHeight="1">
      <c r="A2309" s="754" t="s">
        <v>438</v>
      </c>
      <c r="B2309" s="332">
        <v>45808</v>
      </c>
      <c r="C2309" s="333">
        <v>45841</v>
      </c>
      <c r="D2309" s="185">
        <f t="shared" ref="D2309:D2372" si="891">IF(B2309="","",YEAR(B2309))</f>
        <v>2025</v>
      </c>
      <c r="E2309" s="335" t="e">
        <f>VLOOKUP($B2309,Week!$A$1:$C$1462,2,0)</f>
        <v>#N/A</v>
      </c>
      <c r="F2309" s="334" t="str">
        <f t="shared" ref="F2309:F2372" si="892">IF(B2309="","",TEXT(B2309,"[$-409]mmm"))</f>
        <v>May</v>
      </c>
      <c r="G2309" s="530" t="s">
        <v>2216</v>
      </c>
      <c r="H2309" s="335" t="s">
        <v>675</v>
      </c>
      <c r="I2309" s="335" t="s">
        <v>2772</v>
      </c>
      <c r="J2309" s="336" t="s">
        <v>709</v>
      </c>
      <c r="K2309" s="337" t="s">
        <v>671</v>
      </c>
      <c r="L2309" s="300" t="s">
        <v>2167</v>
      </c>
      <c r="M2309" s="336" t="s">
        <v>661</v>
      </c>
      <c r="N2309" s="335" t="s">
        <v>714</v>
      </c>
      <c r="O2309" s="335" t="s">
        <v>566</v>
      </c>
      <c r="P2309" s="338">
        <v>16</v>
      </c>
      <c r="Q2309" s="338">
        <v>6</v>
      </c>
      <c r="R2309" s="339">
        <v>6.1999999999999998E-3</v>
      </c>
      <c r="S2309" s="335" t="s">
        <v>55</v>
      </c>
      <c r="T2309" s="335" t="s">
        <v>112</v>
      </c>
      <c r="U2309" s="335" t="s">
        <v>662</v>
      </c>
      <c r="V2309" s="341">
        <f>216</f>
        <v>216</v>
      </c>
      <c r="W2309" s="341"/>
      <c r="X2309" s="342">
        <f>(1851)/8</f>
        <v>231.375</v>
      </c>
      <c r="Y2309" s="343">
        <f t="shared" si="878"/>
        <v>15.375</v>
      </c>
      <c r="Z2309" s="344">
        <f t="shared" si="879"/>
        <v>0</v>
      </c>
      <c r="AA2309" s="344">
        <f t="shared" ref="AA2309:AA2372" si="893">Q2309*Z2309</f>
        <v>0</v>
      </c>
      <c r="AB2309" s="817">
        <v>1</v>
      </c>
      <c r="AC2309" s="341">
        <f t="shared" si="890"/>
        <v>0</v>
      </c>
      <c r="AD2309" s="336" t="s">
        <v>2295</v>
      </c>
      <c r="AE2309" s="533">
        <f t="shared" si="887"/>
        <v>0</v>
      </c>
      <c r="AF2309" s="533">
        <f t="shared" si="888"/>
        <v>0</v>
      </c>
      <c r="AG2309" s="211">
        <f t="shared" si="883"/>
        <v>0.11700000000000001</v>
      </c>
      <c r="AH2309" s="157">
        <f t="shared" si="884"/>
        <v>0</v>
      </c>
      <c r="AI2309" s="152">
        <f t="shared" si="885"/>
        <v>3456</v>
      </c>
      <c r="AK2309" s="156" t="s">
        <v>691</v>
      </c>
      <c r="AL2309" s="212" t="s">
        <v>690</v>
      </c>
      <c r="AM2309" s="198">
        <f t="shared" si="877"/>
        <v>0</v>
      </c>
      <c r="AN2309" s="199">
        <f t="shared" si="889"/>
        <v>45808</v>
      </c>
      <c r="AO2309" s="159" t="s">
        <v>692</v>
      </c>
      <c r="AP2309" s="797"/>
      <c r="AQ2309" s="798"/>
      <c r="AR2309" s="798" t="s">
        <v>2144</v>
      </c>
      <c r="AS2309" s="798"/>
      <c r="AT2309" s="782">
        <v>12090031</v>
      </c>
      <c r="AU2309" s="799"/>
      <c r="AV2309" s="782">
        <v>12090032</v>
      </c>
      <c r="AW2309" s="798"/>
      <c r="AX2309" s="798" t="s">
        <v>2145</v>
      </c>
      <c r="AY2309" s="798"/>
      <c r="AZ2309" s="798"/>
      <c r="BA2309" s="799"/>
      <c r="BB2309" s="209">
        <v>23094763</v>
      </c>
    </row>
    <row r="2310" spans="1:54" ht="25" hidden="1" customHeight="1">
      <c r="A2310" s="440"/>
      <c r="B2310" s="332">
        <v>45808</v>
      </c>
      <c r="C2310" s="333">
        <v>45822</v>
      </c>
      <c r="D2310" s="185">
        <f t="shared" si="891"/>
        <v>2025</v>
      </c>
      <c r="E2310" s="333" t="e">
        <f>VLOOKUP($B2310,Week!$A$1:$C$1462,2,0)</f>
        <v>#N/A</v>
      </c>
      <c r="F2310" s="334" t="str">
        <f t="shared" si="892"/>
        <v>May</v>
      </c>
      <c r="G2310" s="335" t="s">
        <v>2328</v>
      </c>
      <c r="H2310" s="335" t="s">
        <v>311</v>
      </c>
      <c r="I2310" s="335" t="s">
        <v>2772</v>
      </c>
      <c r="J2310" s="336" t="s">
        <v>738</v>
      </c>
      <c r="K2310" s="337" t="s">
        <v>1651</v>
      </c>
      <c r="L2310" s="300" t="s">
        <v>2167</v>
      </c>
      <c r="M2310" s="336" t="s">
        <v>683</v>
      </c>
      <c r="N2310" s="335" t="s">
        <v>694</v>
      </c>
      <c r="O2310" s="335" t="s">
        <v>684</v>
      </c>
      <c r="P2310" s="338">
        <v>8</v>
      </c>
      <c r="Q2310" s="338">
        <v>3</v>
      </c>
      <c r="R2310" s="339">
        <v>6.1999999999999998E-3</v>
      </c>
      <c r="S2310" s="335" t="s">
        <v>55</v>
      </c>
      <c r="T2310" s="335" t="s">
        <v>112</v>
      </c>
      <c r="U2310" s="340" t="s">
        <v>716</v>
      </c>
      <c r="V2310" s="341">
        <v>120</v>
      </c>
      <c r="W2310" s="341"/>
      <c r="X2310" s="342">
        <f>120</f>
        <v>120</v>
      </c>
      <c r="Y2310" s="343">
        <f t="shared" si="878"/>
        <v>0</v>
      </c>
      <c r="Z2310" s="344">
        <f t="shared" si="879"/>
        <v>0</v>
      </c>
      <c r="AA2310" s="344">
        <f t="shared" si="893"/>
        <v>0</v>
      </c>
      <c r="AB2310" s="817">
        <v>1</v>
      </c>
      <c r="AC2310" s="341">
        <f t="shared" si="890"/>
        <v>0</v>
      </c>
      <c r="AD2310" s="443"/>
      <c r="AE2310" s="210">
        <f t="shared" si="887"/>
        <v>0</v>
      </c>
      <c r="AF2310" s="210">
        <f t="shared" si="888"/>
        <v>0</v>
      </c>
      <c r="AG2310" s="211">
        <f t="shared" si="883"/>
        <v>0.219</v>
      </c>
      <c r="AH2310" s="157">
        <v>0.26621999999999996</v>
      </c>
      <c r="AI2310" s="152">
        <f t="shared" si="885"/>
        <v>960</v>
      </c>
      <c r="AK2310" s="156" t="s">
        <v>691</v>
      </c>
      <c r="AL2310" s="574" t="s">
        <v>690</v>
      </c>
      <c r="AM2310" s="198">
        <f t="shared" si="877"/>
        <v>0</v>
      </c>
      <c r="AN2310" s="199">
        <f t="shared" si="889"/>
        <v>45808</v>
      </c>
      <c r="AO2310" s="159" t="s">
        <v>692</v>
      </c>
      <c r="AP2310" s="781" t="s">
        <v>642</v>
      </c>
      <c r="AQ2310" s="782">
        <v>12071839</v>
      </c>
      <c r="AR2310" s="782">
        <v>12042650</v>
      </c>
      <c r="AS2310" s="782">
        <v>12042649</v>
      </c>
      <c r="AT2310" s="782">
        <v>12087119</v>
      </c>
      <c r="AU2310" s="781"/>
      <c r="AV2310" s="782">
        <v>12087117</v>
      </c>
      <c r="AW2310" s="781"/>
      <c r="AX2310" s="781"/>
      <c r="AY2310" s="781"/>
      <c r="AZ2310" s="782"/>
      <c r="BA2310" s="781"/>
    </row>
    <row r="2311" spans="1:54" ht="25" hidden="1" customHeight="1">
      <c r="A2311" s="440"/>
      <c r="B2311" s="332">
        <v>45808</v>
      </c>
      <c r="C2311" s="333">
        <v>45862</v>
      </c>
      <c r="D2311" s="185">
        <f t="shared" si="891"/>
        <v>2025</v>
      </c>
      <c r="E2311" s="333" t="e">
        <f>VLOOKUP($B2311,Week!$A$1:$C$1462,2,0)</f>
        <v>#N/A</v>
      </c>
      <c r="F2311" s="334" t="str">
        <f t="shared" si="892"/>
        <v>May</v>
      </c>
      <c r="G2311" s="335" t="s">
        <v>2330</v>
      </c>
      <c r="H2311" s="335" t="s">
        <v>311</v>
      </c>
      <c r="I2311" s="335" t="s">
        <v>2772</v>
      </c>
      <c r="J2311" s="336" t="s">
        <v>738</v>
      </c>
      <c r="K2311" s="337" t="s">
        <v>1651</v>
      </c>
      <c r="L2311" s="300" t="s">
        <v>2167</v>
      </c>
      <c r="M2311" s="336" t="s">
        <v>683</v>
      </c>
      <c r="N2311" s="335" t="s">
        <v>694</v>
      </c>
      <c r="O2311" s="335" t="s">
        <v>684</v>
      </c>
      <c r="P2311" s="338">
        <v>8</v>
      </c>
      <c r="Q2311" s="338">
        <v>3</v>
      </c>
      <c r="R2311" s="339">
        <v>6.1999999999999998E-3</v>
      </c>
      <c r="S2311" s="335" t="s">
        <v>55</v>
      </c>
      <c r="T2311" s="335" t="s">
        <v>112</v>
      </c>
      <c r="U2311" s="340" t="s">
        <v>716</v>
      </c>
      <c r="V2311" s="341">
        <f>150</f>
        <v>150</v>
      </c>
      <c r="W2311" s="341"/>
      <c r="X2311" s="342">
        <f>150</f>
        <v>150</v>
      </c>
      <c r="Y2311" s="343">
        <f t="shared" si="878"/>
        <v>0</v>
      </c>
      <c r="Z2311" s="344">
        <f t="shared" si="879"/>
        <v>0</v>
      </c>
      <c r="AA2311" s="344">
        <f t="shared" si="893"/>
        <v>0</v>
      </c>
      <c r="AB2311" s="817">
        <v>1</v>
      </c>
      <c r="AC2311" s="341">
        <f t="shared" si="890"/>
        <v>0</v>
      </c>
      <c r="AD2311" s="443"/>
      <c r="AE2311" s="210">
        <f t="shared" si="887"/>
        <v>0</v>
      </c>
      <c r="AF2311" s="210">
        <f t="shared" si="888"/>
        <v>0</v>
      </c>
      <c r="AG2311" s="211">
        <f t="shared" si="883"/>
        <v>0.219</v>
      </c>
      <c r="AH2311" s="157">
        <v>0.26621999999999996</v>
      </c>
      <c r="AI2311" s="152">
        <f t="shared" si="885"/>
        <v>1200</v>
      </c>
      <c r="AK2311" s="156" t="s">
        <v>691</v>
      </c>
      <c r="AL2311" s="574" t="s">
        <v>690</v>
      </c>
      <c r="AM2311" s="198">
        <f t="shared" si="877"/>
        <v>0</v>
      </c>
      <c r="AN2311" s="199">
        <f t="shared" si="889"/>
        <v>45808</v>
      </c>
      <c r="AO2311" s="159" t="s">
        <v>692</v>
      </c>
      <c r="AP2311" s="781" t="s">
        <v>642</v>
      </c>
      <c r="AQ2311" s="782">
        <v>12071839</v>
      </c>
      <c r="AR2311" s="782">
        <v>12042650</v>
      </c>
      <c r="AS2311" s="782">
        <v>12042649</v>
      </c>
      <c r="AT2311" s="782">
        <v>12087119</v>
      </c>
      <c r="AU2311" s="781"/>
      <c r="AV2311" s="782">
        <v>12087117</v>
      </c>
      <c r="AW2311" s="781"/>
      <c r="AX2311" s="781"/>
      <c r="AY2311" s="781"/>
      <c r="AZ2311" s="782"/>
      <c r="BA2311" s="781"/>
    </row>
    <row r="2312" spans="1:54" ht="25" hidden="1" customHeight="1">
      <c r="A2312" s="440"/>
      <c r="B2312" s="332">
        <v>45808</v>
      </c>
      <c r="C2312" s="333">
        <v>45862</v>
      </c>
      <c r="D2312" s="185">
        <f t="shared" si="891"/>
        <v>2025</v>
      </c>
      <c r="E2312" s="333" t="e">
        <f>VLOOKUP($B2312,Week!$A$1:$C$1462,2,0)</f>
        <v>#N/A</v>
      </c>
      <c r="F2312" s="334" t="str">
        <f t="shared" si="892"/>
        <v>May</v>
      </c>
      <c r="G2312" s="335" t="s">
        <v>2331</v>
      </c>
      <c r="H2312" s="335" t="s">
        <v>311</v>
      </c>
      <c r="I2312" s="335" t="s">
        <v>2772</v>
      </c>
      <c r="J2312" s="336" t="s">
        <v>738</v>
      </c>
      <c r="K2312" s="337" t="s">
        <v>1651</v>
      </c>
      <c r="L2312" s="300" t="s">
        <v>2167</v>
      </c>
      <c r="M2312" s="336" t="s">
        <v>683</v>
      </c>
      <c r="N2312" s="335" t="s">
        <v>694</v>
      </c>
      <c r="O2312" s="335" t="s">
        <v>684</v>
      </c>
      <c r="P2312" s="338">
        <v>8</v>
      </c>
      <c r="Q2312" s="338">
        <v>3</v>
      </c>
      <c r="R2312" s="339">
        <v>6.1999999999999998E-3</v>
      </c>
      <c r="S2312" s="335" t="s">
        <v>55</v>
      </c>
      <c r="T2312" s="335" t="s">
        <v>112</v>
      </c>
      <c r="U2312" s="340" t="s">
        <v>716</v>
      </c>
      <c r="V2312" s="341">
        <f>150</f>
        <v>150</v>
      </c>
      <c r="W2312" s="341"/>
      <c r="X2312" s="342">
        <f>150</f>
        <v>150</v>
      </c>
      <c r="Y2312" s="343">
        <f t="shared" si="878"/>
        <v>0</v>
      </c>
      <c r="Z2312" s="344">
        <f t="shared" si="879"/>
        <v>0</v>
      </c>
      <c r="AA2312" s="344">
        <f t="shared" si="893"/>
        <v>0</v>
      </c>
      <c r="AB2312" s="817">
        <v>1</v>
      </c>
      <c r="AC2312" s="341">
        <f t="shared" si="890"/>
        <v>0</v>
      </c>
      <c r="AD2312" s="443"/>
      <c r="AE2312" s="210">
        <f t="shared" si="887"/>
        <v>0</v>
      </c>
      <c r="AF2312" s="210">
        <f t="shared" si="888"/>
        <v>0</v>
      </c>
      <c r="AG2312" s="211">
        <f t="shared" si="883"/>
        <v>0.219</v>
      </c>
      <c r="AH2312" s="157">
        <v>0.26621999999999996</v>
      </c>
      <c r="AI2312" s="152">
        <f t="shared" si="885"/>
        <v>1200</v>
      </c>
      <c r="AK2312" s="156" t="s">
        <v>691</v>
      </c>
      <c r="AL2312" s="574" t="s">
        <v>690</v>
      </c>
      <c r="AM2312" s="198">
        <f t="shared" si="877"/>
        <v>0</v>
      </c>
      <c r="AN2312" s="199">
        <f t="shared" si="889"/>
        <v>45808</v>
      </c>
      <c r="AO2312" s="159" t="s">
        <v>692</v>
      </c>
      <c r="AP2312" s="781" t="s">
        <v>642</v>
      </c>
      <c r="AQ2312" s="782">
        <v>12071839</v>
      </c>
      <c r="AR2312" s="782">
        <v>12042650</v>
      </c>
      <c r="AS2312" s="782">
        <v>12042649</v>
      </c>
      <c r="AT2312" s="782">
        <v>12087119</v>
      </c>
      <c r="AU2312" s="781"/>
      <c r="AV2312" s="782">
        <v>12087117</v>
      </c>
      <c r="AW2312" s="781"/>
      <c r="AX2312" s="781"/>
      <c r="AY2312" s="781"/>
      <c r="AZ2312" s="782"/>
      <c r="BA2312" s="781"/>
    </row>
    <row r="2313" spans="1:54" ht="25" hidden="1" customHeight="1">
      <c r="A2313" s="440"/>
      <c r="B2313" s="332">
        <v>45808</v>
      </c>
      <c r="C2313" s="333">
        <v>45862</v>
      </c>
      <c r="D2313" s="185">
        <f t="shared" si="891"/>
        <v>2025</v>
      </c>
      <c r="E2313" s="333" t="e">
        <f>VLOOKUP($B2313,Week!$A$1:$C$1462,2,0)</f>
        <v>#N/A</v>
      </c>
      <c r="F2313" s="334" t="str">
        <f t="shared" si="892"/>
        <v>May</v>
      </c>
      <c r="G2313" s="335" t="s">
        <v>2332</v>
      </c>
      <c r="H2313" s="335" t="s">
        <v>311</v>
      </c>
      <c r="I2313" s="335" t="s">
        <v>2772</v>
      </c>
      <c r="J2313" s="336" t="s">
        <v>738</v>
      </c>
      <c r="K2313" s="337" t="s">
        <v>1651</v>
      </c>
      <c r="L2313" s="300" t="s">
        <v>2167</v>
      </c>
      <c r="M2313" s="336" t="s">
        <v>683</v>
      </c>
      <c r="N2313" s="335" t="s">
        <v>694</v>
      </c>
      <c r="O2313" s="335" t="s">
        <v>684</v>
      </c>
      <c r="P2313" s="338">
        <v>8</v>
      </c>
      <c r="Q2313" s="338">
        <v>3</v>
      </c>
      <c r="R2313" s="339">
        <v>6.1999999999999998E-3</v>
      </c>
      <c r="S2313" s="335" t="s">
        <v>55</v>
      </c>
      <c r="T2313" s="335" t="s">
        <v>112</v>
      </c>
      <c r="U2313" s="340" t="s">
        <v>716</v>
      </c>
      <c r="V2313" s="341">
        <f>150</f>
        <v>150</v>
      </c>
      <c r="W2313" s="341"/>
      <c r="X2313" s="342">
        <f>150</f>
        <v>150</v>
      </c>
      <c r="Y2313" s="343">
        <f t="shared" si="878"/>
        <v>0</v>
      </c>
      <c r="Z2313" s="344">
        <f t="shared" si="879"/>
        <v>0</v>
      </c>
      <c r="AA2313" s="344">
        <f t="shared" si="893"/>
        <v>0</v>
      </c>
      <c r="AB2313" s="817">
        <v>1</v>
      </c>
      <c r="AC2313" s="341">
        <f t="shared" si="890"/>
        <v>0</v>
      </c>
      <c r="AD2313" s="443"/>
      <c r="AE2313" s="210">
        <f t="shared" si="887"/>
        <v>0</v>
      </c>
      <c r="AF2313" s="210">
        <f t="shared" si="888"/>
        <v>0</v>
      </c>
      <c r="AG2313" s="211">
        <f t="shared" si="883"/>
        <v>0.219</v>
      </c>
      <c r="AH2313" s="157">
        <v>0.26621999999999996</v>
      </c>
      <c r="AI2313" s="152">
        <f t="shared" si="885"/>
        <v>1200</v>
      </c>
      <c r="AK2313" s="156" t="s">
        <v>691</v>
      </c>
      <c r="AL2313" s="574" t="s">
        <v>690</v>
      </c>
      <c r="AM2313" s="198">
        <f t="shared" si="877"/>
        <v>0</v>
      </c>
      <c r="AN2313" s="199">
        <f t="shared" si="889"/>
        <v>45808</v>
      </c>
      <c r="AO2313" s="159" t="s">
        <v>692</v>
      </c>
      <c r="AP2313" s="781" t="s">
        <v>642</v>
      </c>
      <c r="AQ2313" s="782">
        <v>12071839</v>
      </c>
      <c r="AR2313" s="782">
        <v>12042650</v>
      </c>
      <c r="AS2313" s="782">
        <v>12042649</v>
      </c>
      <c r="AT2313" s="782">
        <v>12087119</v>
      </c>
      <c r="AU2313" s="781"/>
      <c r="AV2313" s="782">
        <v>12087117</v>
      </c>
      <c r="AW2313" s="781"/>
      <c r="AX2313" s="781"/>
      <c r="AY2313" s="781"/>
      <c r="AZ2313" s="782"/>
      <c r="BA2313" s="781"/>
    </row>
    <row r="2314" spans="1:54" ht="25" hidden="1" customHeight="1">
      <c r="A2314" s="440"/>
      <c r="B2314" s="332">
        <v>45808</v>
      </c>
      <c r="C2314" s="333">
        <v>45890</v>
      </c>
      <c r="D2314" s="185">
        <f t="shared" si="891"/>
        <v>2025</v>
      </c>
      <c r="E2314" s="333" t="e">
        <f>VLOOKUP($B2314,Week!$A$1:$C$1462,2,0)</f>
        <v>#N/A</v>
      </c>
      <c r="F2314" s="334" t="str">
        <f t="shared" si="892"/>
        <v>May</v>
      </c>
      <c r="G2314" s="335" t="s">
        <v>2376</v>
      </c>
      <c r="H2314" s="335" t="s">
        <v>311</v>
      </c>
      <c r="I2314" s="335" t="s">
        <v>2772</v>
      </c>
      <c r="J2314" s="336" t="s">
        <v>738</v>
      </c>
      <c r="K2314" s="337" t="s">
        <v>1651</v>
      </c>
      <c r="L2314" s="300" t="s">
        <v>2167</v>
      </c>
      <c r="M2314" s="336" t="s">
        <v>683</v>
      </c>
      <c r="N2314" s="335" t="s">
        <v>694</v>
      </c>
      <c r="O2314" s="335" t="s">
        <v>684</v>
      </c>
      <c r="P2314" s="338">
        <v>8</v>
      </c>
      <c r="Q2314" s="338">
        <v>3</v>
      </c>
      <c r="R2314" s="339">
        <v>6.1999999999999998E-3</v>
      </c>
      <c r="S2314" s="335" t="s">
        <v>55</v>
      </c>
      <c r="T2314" s="335" t="s">
        <v>112</v>
      </c>
      <c r="U2314" s="340" t="s">
        <v>716</v>
      </c>
      <c r="V2314" s="341">
        <f>887</f>
        <v>887</v>
      </c>
      <c r="W2314" s="341"/>
      <c r="X2314" s="342">
        <f>(6296+1242)/8</f>
        <v>942.25</v>
      </c>
      <c r="Y2314" s="343">
        <f t="shared" si="878"/>
        <v>55.25</v>
      </c>
      <c r="Z2314" s="344">
        <f t="shared" si="879"/>
        <v>0</v>
      </c>
      <c r="AA2314" s="344">
        <f t="shared" si="893"/>
        <v>0</v>
      </c>
      <c r="AB2314" s="817">
        <v>1</v>
      </c>
      <c r="AC2314" s="341">
        <f t="shared" si="890"/>
        <v>0</v>
      </c>
      <c r="AD2314" s="443"/>
      <c r="AE2314" s="210">
        <f t="shared" si="887"/>
        <v>0</v>
      </c>
      <c r="AF2314" s="210">
        <f t="shared" si="888"/>
        <v>0</v>
      </c>
      <c r="AG2314" s="211">
        <f t="shared" si="883"/>
        <v>0.219</v>
      </c>
      <c r="AH2314" s="157">
        <v>0.26621999999999996</v>
      </c>
      <c r="AI2314" s="152">
        <f t="shared" si="885"/>
        <v>7096</v>
      </c>
      <c r="AK2314" s="156" t="s">
        <v>691</v>
      </c>
      <c r="AL2314" s="574" t="s">
        <v>690</v>
      </c>
      <c r="AM2314" s="198">
        <f t="shared" si="877"/>
        <v>0</v>
      </c>
      <c r="AN2314" s="199">
        <f t="shared" si="889"/>
        <v>45808</v>
      </c>
      <c r="AO2314" s="159" t="s">
        <v>692</v>
      </c>
      <c r="AP2314" s="781" t="s">
        <v>642</v>
      </c>
      <c r="AQ2314" s="782">
        <v>12071839</v>
      </c>
      <c r="AR2314" s="782">
        <v>12042650</v>
      </c>
      <c r="AS2314" s="782">
        <v>12042649</v>
      </c>
      <c r="AT2314" s="782">
        <v>12087119</v>
      </c>
      <c r="AU2314" s="781"/>
      <c r="AV2314" s="782">
        <v>12087117</v>
      </c>
      <c r="AW2314" s="781"/>
      <c r="AX2314" s="781"/>
      <c r="AY2314" s="781"/>
      <c r="AZ2314" s="782"/>
      <c r="BA2314" s="781"/>
    </row>
    <row r="2315" spans="1:54" ht="24.75" hidden="1" customHeight="1">
      <c r="B2315" s="320">
        <v>45808</v>
      </c>
      <c r="C2315" s="321">
        <v>45820</v>
      </c>
      <c r="D2315" s="185">
        <f t="shared" si="891"/>
        <v>2025</v>
      </c>
      <c r="E2315" s="321" t="e">
        <f>VLOOKUP($B2315,Week!$A$1:$C$1462,2,0)</f>
        <v>#N/A</v>
      </c>
      <c r="F2315" s="322" t="str">
        <f t="shared" si="892"/>
        <v>May</v>
      </c>
      <c r="G2315" s="323" t="s">
        <v>2045</v>
      </c>
      <c r="H2315" s="323" t="s">
        <v>675</v>
      </c>
      <c r="I2315" s="323" t="s">
        <v>2772</v>
      </c>
      <c r="J2315" s="324" t="s">
        <v>709</v>
      </c>
      <c r="K2315" s="325" t="s">
        <v>107</v>
      </c>
      <c r="L2315" s="300" t="s">
        <v>2167</v>
      </c>
      <c r="M2315" s="324" t="s">
        <v>313</v>
      </c>
      <c r="N2315" s="596" t="s">
        <v>710</v>
      </c>
      <c r="O2315" s="323" t="s">
        <v>592</v>
      </c>
      <c r="P2315" s="326">
        <v>8</v>
      </c>
      <c r="Q2315" s="326">
        <v>4</v>
      </c>
      <c r="R2315" s="327">
        <v>7.4999999999999997E-3</v>
      </c>
      <c r="S2315" s="323" t="s">
        <v>111</v>
      </c>
      <c r="T2315" s="323" t="s">
        <v>112</v>
      </c>
      <c r="U2315" s="323" t="s">
        <v>57</v>
      </c>
      <c r="V2315" s="328">
        <f>570</f>
        <v>570</v>
      </c>
      <c r="W2315" s="328"/>
      <c r="X2315" s="329">
        <f>(154+4406)/8</f>
        <v>570</v>
      </c>
      <c r="Y2315" s="330">
        <f t="shared" si="878"/>
        <v>0</v>
      </c>
      <c r="Z2315" s="331">
        <f t="shared" si="879"/>
        <v>0</v>
      </c>
      <c r="AA2315" s="331">
        <f t="shared" si="893"/>
        <v>0</v>
      </c>
      <c r="AB2315" s="816">
        <v>7.4999999999999997E-3</v>
      </c>
      <c r="AC2315" s="328">
        <f t="shared" si="890"/>
        <v>0</v>
      </c>
      <c r="AD2315" s="443"/>
      <c r="AE2315" s="210">
        <f t="shared" si="887"/>
        <v>0</v>
      </c>
      <c r="AF2315" s="210">
        <f t="shared" si="888"/>
        <v>0</v>
      </c>
      <c r="AG2315" s="211">
        <f t="shared" si="883"/>
        <v>0.30499999999999999</v>
      </c>
      <c r="AH2315" s="157">
        <f>(Z2315*AG2315)/1000</f>
        <v>0</v>
      </c>
      <c r="AI2315" s="152">
        <f t="shared" si="885"/>
        <v>4560</v>
      </c>
      <c r="AK2315" s="156" t="s">
        <v>691</v>
      </c>
      <c r="AL2315" s="212" t="s">
        <v>690</v>
      </c>
      <c r="AM2315" s="198">
        <f t="shared" ref="AM2315:AM2342" si="894">AG2315*Z2315</f>
        <v>0</v>
      </c>
      <c r="AN2315" s="199">
        <f t="shared" si="889"/>
        <v>45808</v>
      </c>
      <c r="AO2315" s="159" t="s">
        <v>692</v>
      </c>
      <c r="AP2315" s="783" t="s">
        <v>643</v>
      </c>
      <c r="AQ2315" s="782">
        <v>12063755</v>
      </c>
      <c r="AR2315" s="782">
        <v>12061353</v>
      </c>
      <c r="AS2315" s="782">
        <v>12061354</v>
      </c>
      <c r="AT2315" s="782">
        <v>12089987</v>
      </c>
      <c r="AU2315" s="781"/>
      <c r="AV2315" s="782">
        <v>12089986</v>
      </c>
      <c r="AW2315" s="782"/>
      <c r="AX2315" s="782"/>
      <c r="AY2315" s="782"/>
      <c r="AZ2315" s="782"/>
      <c r="BA2315" s="781"/>
      <c r="BB2315" s="209">
        <v>23053185</v>
      </c>
    </row>
    <row r="2316" spans="1:54" ht="24.75" hidden="1" customHeight="1">
      <c r="B2316" s="320">
        <v>45808</v>
      </c>
      <c r="C2316" s="321">
        <v>45822</v>
      </c>
      <c r="D2316" s="185">
        <f t="shared" si="891"/>
        <v>2025</v>
      </c>
      <c r="E2316" s="321" t="e">
        <f>VLOOKUP($B2316,Week!$A$1:$C$1462,2,0)</f>
        <v>#N/A</v>
      </c>
      <c r="F2316" s="322" t="str">
        <f t="shared" si="892"/>
        <v>May</v>
      </c>
      <c r="G2316" s="323" t="s">
        <v>2328</v>
      </c>
      <c r="H2316" s="323" t="s">
        <v>311</v>
      </c>
      <c r="I2316" s="323" t="s">
        <v>2772</v>
      </c>
      <c r="J2316" s="324" t="s">
        <v>738</v>
      </c>
      <c r="K2316" s="325" t="s">
        <v>107</v>
      </c>
      <c r="L2316" s="300" t="s">
        <v>2167</v>
      </c>
      <c r="M2316" s="324" t="s">
        <v>313</v>
      </c>
      <c r="N2316" s="323" t="s">
        <v>591</v>
      </c>
      <c r="O2316" s="323" t="s">
        <v>592</v>
      </c>
      <c r="P2316" s="326">
        <v>8</v>
      </c>
      <c r="Q2316" s="326">
        <v>4</v>
      </c>
      <c r="R2316" s="327">
        <v>7.4999999999999997E-3</v>
      </c>
      <c r="S2316" s="323" t="s">
        <v>111</v>
      </c>
      <c r="T2316" s="323" t="s">
        <v>112</v>
      </c>
      <c r="U2316" s="323" t="s">
        <v>57</v>
      </c>
      <c r="V2316" s="328">
        <v>635</v>
      </c>
      <c r="W2316" s="328"/>
      <c r="X2316" s="329">
        <f>(298+4782)/8</f>
        <v>635</v>
      </c>
      <c r="Y2316" s="330">
        <f t="shared" si="878"/>
        <v>0</v>
      </c>
      <c r="Z2316" s="331">
        <f t="shared" si="879"/>
        <v>0</v>
      </c>
      <c r="AA2316" s="331">
        <f t="shared" si="893"/>
        <v>0</v>
      </c>
      <c r="AB2316" s="816">
        <v>7.4999999999999997E-3</v>
      </c>
      <c r="AC2316" s="328">
        <f t="shared" si="890"/>
        <v>0</v>
      </c>
      <c r="AD2316" s="443"/>
      <c r="AE2316" s="210">
        <f t="shared" si="887"/>
        <v>0</v>
      </c>
      <c r="AF2316" s="210">
        <f t="shared" si="888"/>
        <v>0</v>
      </c>
      <c r="AG2316" s="211">
        <f t="shared" si="883"/>
        <v>0.30499999999999999</v>
      </c>
      <c r="AH2316" s="157">
        <f>(Z2316*AG2316)/1000</f>
        <v>0</v>
      </c>
      <c r="AI2316" s="152">
        <f t="shared" si="885"/>
        <v>5080</v>
      </c>
      <c r="AK2316" s="156" t="s">
        <v>691</v>
      </c>
      <c r="AL2316" s="212" t="s">
        <v>690</v>
      </c>
      <c r="AM2316" s="198">
        <f t="shared" si="894"/>
        <v>0</v>
      </c>
      <c r="AN2316" s="199">
        <f t="shared" si="889"/>
        <v>45808</v>
      </c>
      <c r="AO2316" s="159" t="s">
        <v>692</v>
      </c>
      <c r="AP2316" s="783" t="s">
        <v>643</v>
      </c>
      <c r="AQ2316" s="782">
        <v>12063755</v>
      </c>
      <c r="AR2316" s="782">
        <v>12061353</v>
      </c>
      <c r="AS2316" s="782">
        <v>12061354</v>
      </c>
      <c r="AT2316" s="782">
        <v>12088679</v>
      </c>
      <c r="AU2316" s="781"/>
      <c r="AV2316" s="782">
        <v>12061557</v>
      </c>
      <c r="AW2316" s="782"/>
      <c r="AX2316" s="782"/>
      <c r="AY2316" s="782"/>
      <c r="AZ2316" s="782"/>
      <c r="BA2316" s="781"/>
      <c r="BB2316" s="209">
        <v>23053185</v>
      </c>
    </row>
    <row r="2317" spans="1:54" ht="24.75" hidden="1" customHeight="1">
      <c r="B2317" s="320">
        <v>45808</v>
      </c>
      <c r="C2317" s="321">
        <v>45862</v>
      </c>
      <c r="D2317" s="185">
        <f t="shared" si="891"/>
        <v>2025</v>
      </c>
      <c r="E2317" s="321" t="e">
        <f>VLOOKUP($B2317,Week!$A$1:$C$1462,2,0)</f>
        <v>#N/A</v>
      </c>
      <c r="F2317" s="322" t="str">
        <f t="shared" si="892"/>
        <v>May</v>
      </c>
      <c r="G2317" s="323" t="s">
        <v>2329</v>
      </c>
      <c r="H2317" s="323" t="s">
        <v>311</v>
      </c>
      <c r="I2317" s="323" t="s">
        <v>2772</v>
      </c>
      <c r="J2317" s="324" t="s">
        <v>738</v>
      </c>
      <c r="K2317" s="325" t="s">
        <v>107</v>
      </c>
      <c r="L2317" s="300" t="s">
        <v>2167</v>
      </c>
      <c r="M2317" s="324" t="s">
        <v>313</v>
      </c>
      <c r="N2317" s="323" t="s">
        <v>591</v>
      </c>
      <c r="O2317" s="323" t="s">
        <v>592</v>
      </c>
      <c r="P2317" s="326">
        <v>8</v>
      </c>
      <c r="Q2317" s="326">
        <v>4</v>
      </c>
      <c r="R2317" s="327">
        <v>7.4999999999999997E-3</v>
      </c>
      <c r="S2317" s="323" t="s">
        <v>111</v>
      </c>
      <c r="T2317" s="323" t="s">
        <v>112</v>
      </c>
      <c r="U2317" s="323" t="s">
        <v>57</v>
      </c>
      <c r="V2317" s="328">
        <v>450</v>
      </c>
      <c r="W2317" s="328"/>
      <c r="X2317" s="329">
        <v>450</v>
      </c>
      <c r="Y2317" s="330">
        <f t="shared" si="878"/>
        <v>0</v>
      </c>
      <c r="Z2317" s="331">
        <f t="shared" si="879"/>
        <v>0</v>
      </c>
      <c r="AA2317" s="331">
        <f t="shared" si="893"/>
        <v>0</v>
      </c>
      <c r="AB2317" s="816">
        <v>7.4999999999999997E-3</v>
      </c>
      <c r="AC2317" s="328">
        <f t="shared" si="890"/>
        <v>0</v>
      </c>
      <c r="AD2317" s="443"/>
      <c r="AE2317" s="210">
        <f t="shared" si="887"/>
        <v>0</v>
      </c>
      <c r="AF2317" s="210">
        <f t="shared" si="888"/>
        <v>0</v>
      </c>
      <c r="AG2317" s="211">
        <f t="shared" si="883"/>
        <v>0.30499999999999999</v>
      </c>
      <c r="AH2317" s="157">
        <f>(Z2317*AG2317)/1000</f>
        <v>0</v>
      </c>
      <c r="AI2317" s="152">
        <f t="shared" si="885"/>
        <v>3600</v>
      </c>
      <c r="AK2317" s="156" t="s">
        <v>691</v>
      </c>
      <c r="AL2317" s="212" t="s">
        <v>690</v>
      </c>
      <c r="AM2317" s="198">
        <f t="shared" si="894"/>
        <v>0</v>
      </c>
      <c r="AN2317" s="199">
        <f t="shared" si="889"/>
        <v>45808</v>
      </c>
      <c r="AO2317" s="159" t="s">
        <v>692</v>
      </c>
      <c r="AP2317" s="783" t="s">
        <v>643</v>
      </c>
      <c r="AQ2317" s="782">
        <v>12063755</v>
      </c>
      <c r="AR2317" s="782">
        <v>12061353</v>
      </c>
      <c r="AS2317" s="782">
        <v>12061354</v>
      </c>
      <c r="AT2317" s="782">
        <v>12088679</v>
      </c>
      <c r="AU2317" s="781"/>
      <c r="AV2317" s="782">
        <v>12061557</v>
      </c>
      <c r="AW2317" s="782"/>
      <c r="AX2317" s="782"/>
      <c r="AY2317" s="782"/>
      <c r="AZ2317" s="782"/>
      <c r="BA2317" s="781"/>
      <c r="BB2317" s="209">
        <v>23053185</v>
      </c>
    </row>
    <row r="2318" spans="1:54" ht="24.75" hidden="1" customHeight="1">
      <c r="B2318" s="320">
        <v>45808</v>
      </c>
      <c r="C2318" s="321">
        <v>45862</v>
      </c>
      <c r="D2318" s="185">
        <f t="shared" si="891"/>
        <v>2025</v>
      </c>
      <c r="E2318" s="321" t="e">
        <f>VLOOKUP($B2318,Week!$A$1:$C$1462,2,0)</f>
        <v>#N/A</v>
      </c>
      <c r="F2318" s="322" t="str">
        <f t="shared" si="892"/>
        <v>May</v>
      </c>
      <c r="G2318" s="323" t="s">
        <v>2330</v>
      </c>
      <c r="H2318" s="323" t="s">
        <v>311</v>
      </c>
      <c r="I2318" s="323" t="s">
        <v>2772</v>
      </c>
      <c r="J2318" s="324" t="s">
        <v>738</v>
      </c>
      <c r="K2318" s="325" t="s">
        <v>107</v>
      </c>
      <c r="L2318" s="300" t="s">
        <v>2167</v>
      </c>
      <c r="M2318" s="324" t="s">
        <v>313</v>
      </c>
      <c r="N2318" s="323" t="s">
        <v>591</v>
      </c>
      <c r="O2318" s="323" t="s">
        <v>592</v>
      </c>
      <c r="P2318" s="326">
        <v>8</v>
      </c>
      <c r="Q2318" s="326">
        <v>4</v>
      </c>
      <c r="R2318" s="327">
        <v>7.4999999999999997E-3</v>
      </c>
      <c r="S2318" s="323" t="s">
        <v>111</v>
      </c>
      <c r="T2318" s="323" t="s">
        <v>112</v>
      </c>
      <c r="U2318" s="323" t="s">
        <v>57</v>
      </c>
      <c r="V2318" s="328">
        <f>(3118)/8</f>
        <v>389.75</v>
      </c>
      <c r="W2318" s="328"/>
      <c r="X2318" s="329">
        <f>(3118)/8</f>
        <v>389.75</v>
      </c>
      <c r="Y2318" s="330">
        <f t="shared" si="878"/>
        <v>0</v>
      </c>
      <c r="Z2318" s="331">
        <f t="shared" si="879"/>
        <v>0</v>
      </c>
      <c r="AA2318" s="331">
        <f t="shared" si="893"/>
        <v>0</v>
      </c>
      <c r="AB2318" s="816">
        <v>7.4999999999999997E-3</v>
      </c>
      <c r="AC2318" s="328">
        <f t="shared" si="890"/>
        <v>0</v>
      </c>
      <c r="AD2318" s="443"/>
      <c r="AE2318" s="210">
        <f t="shared" si="887"/>
        <v>0</v>
      </c>
      <c r="AF2318" s="210">
        <f t="shared" si="888"/>
        <v>0</v>
      </c>
      <c r="AG2318" s="211">
        <f t="shared" si="883"/>
        <v>0.30499999999999999</v>
      </c>
      <c r="AH2318" s="157">
        <f>(Z2318*AG2318)/1000</f>
        <v>0</v>
      </c>
      <c r="AI2318" s="152">
        <f t="shared" si="885"/>
        <v>3118</v>
      </c>
      <c r="AK2318" s="156" t="s">
        <v>691</v>
      </c>
      <c r="AL2318" s="212" t="s">
        <v>690</v>
      </c>
      <c r="AM2318" s="198">
        <f t="shared" si="894"/>
        <v>0</v>
      </c>
      <c r="AN2318" s="199">
        <f t="shared" si="889"/>
        <v>45808</v>
      </c>
      <c r="AO2318" s="159" t="s">
        <v>692</v>
      </c>
      <c r="AP2318" s="783" t="s">
        <v>643</v>
      </c>
      <c r="AQ2318" s="782">
        <v>12063755</v>
      </c>
      <c r="AR2318" s="782">
        <v>12061353</v>
      </c>
      <c r="AS2318" s="782">
        <v>12061354</v>
      </c>
      <c r="AT2318" s="782">
        <v>12088679</v>
      </c>
      <c r="AU2318" s="781"/>
      <c r="AV2318" s="782">
        <v>12061557</v>
      </c>
      <c r="AW2318" s="782"/>
      <c r="AX2318" s="782"/>
      <c r="AY2318" s="782"/>
      <c r="AZ2318" s="782"/>
      <c r="BA2318" s="781"/>
      <c r="BB2318" s="209">
        <v>23053185</v>
      </c>
    </row>
    <row r="2319" spans="1:54" ht="25" hidden="1" customHeight="1">
      <c r="B2319" s="332">
        <v>45808</v>
      </c>
      <c r="C2319" s="333">
        <v>45820</v>
      </c>
      <c r="D2319" s="185">
        <f t="shared" si="891"/>
        <v>2025</v>
      </c>
      <c r="E2319" s="333" t="e">
        <f>VLOOKUP($B2319,Week!$A$1:$C$1462,2,0)</f>
        <v>#N/A</v>
      </c>
      <c r="F2319" s="334" t="str">
        <f t="shared" si="892"/>
        <v>May</v>
      </c>
      <c r="G2319" s="335" t="s">
        <v>2045</v>
      </c>
      <c r="H2319" s="335" t="s">
        <v>675</v>
      </c>
      <c r="I2319" s="335" t="s">
        <v>2772</v>
      </c>
      <c r="J2319" s="336" t="s">
        <v>709</v>
      </c>
      <c r="K2319" s="337" t="s">
        <v>1652</v>
      </c>
      <c r="L2319" s="300" t="s">
        <v>2167</v>
      </c>
      <c r="M2319" s="336" t="s">
        <v>682</v>
      </c>
      <c r="N2319" s="530" t="s">
        <v>712</v>
      </c>
      <c r="O2319" s="335" t="s">
        <v>602</v>
      </c>
      <c r="P2319" s="338">
        <v>8</v>
      </c>
      <c r="Q2319" s="338">
        <v>3</v>
      </c>
      <c r="R2319" s="339">
        <v>6.0000000000000001E-3</v>
      </c>
      <c r="S2319" s="335" t="s">
        <v>55</v>
      </c>
      <c r="T2319" s="335" t="s">
        <v>112</v>
      </c>
      <c r="U2319" s="340" t="s">
        <v>724</v>
      </c>
      <c r="V2319" s="341">
        <f>378</f>
        <v>378</v>
      </c>
      <c r="W2319" s="341"/>
      <c r="X2319" s="342">
        <f>(1385+1639)/8</f>
        <v>378</v>
      </c>
      <c r="Y2319" s="343">
        <f t="shared" si="878"/>
        <v>0</v>
      </c>
      <c r="Z2319" s="344">
        <f t="shared" si="879"/>
        <v>0</v>
      </c>
      <c r="AA2319" s="344">
        <f t="shared" si="893"/>
        <v>0</v>
      </c>
      <c r="AB2319" s="817">
        <v>5.8823E-2</v>
      </c>
      <c r="AC2319" s="341">
        <f t="shared" si="890"/>
        <v>0</v>
      </c>
      <c r="AD2319" s="443"/>
      <c r="AE2319" s="210">
        <f t="shared" si="887"/>
        <v>0</v>
      </c>
      <c r="AF2319" s="210">
        <f t="shared" si="888"/>
        <v>0</v>
      </c>
      <c r="AG2319" s="211">
        <f t="shared" si="883"/>
        <v>0.30199999999999999</v>
      </c>
      <c r="AH2319" s="157">
        <v>0.26621999999999996</v>
      </c>
      <c r="AI2319" s="152">
        <f t="shared" si="885"/>
        <v>3024</v>
      </c>
      <c r="AK2319" s="156" t="s">
        <v>691</v>
      </c>
      <c r="AL2319" s="574" t="s">
        <v>690</v>
      </c>
      <c r="AM2319" s="198">
        <f t="shared" si="894"/>
        <v>0</v>
      </c>
      <c r="AN2319" s="199">
        <f t="shared" si="889"/>
        <v>45808</v>
      </c>
      <c r="AO2319" s="159" t="s">
        <v>692</v>
      </c>
      <c r="AP2319" s="781" t="s">
        <v>642</v>
      </c>
      <c r="AQ2319" s="782">
        <v>12063755</v>
      </c>
      <c r="AR2319" s="782">
        <v>12061353</v>
      </c>
      <c r="AS2319" s="782">
        <v>12061354</v>
      </c>
      <c r="AT2319" s="782">
        <v>12090030</v>
      </c>
      <c r="AU2319" s="781"/>
      <c r="AV2319" s="782">
        <v>12089992</v>
      </c>
      <c r="AW2319" s="781"/>
      <c r="AX2319" s="781"/>
      <c r="AY2319" s="781"/>
      <c r="AZ2319" s="782"/>
      <c r="BA2319" s="781"/>
      <c r="BB2319" s="209">
        <v>23099860</v>
      </c>
    </row>
    <row r="2320" spans="1:54" ht="25" hidden="1" customHeight="1">
      <c r="B2320" s="332">
        <v>45808</v>
      </c>
      <c r="C2320" s="333">
        <v>45841</v>
      </c>
      <c r="D2320" s="185">
        <f t="shared" si="891"/>
        <v>2025</v>
      </c>
      <c r="E2320" s="333" t="e">
        <f>VLOOKUP($B2320,Week!$A$1:$C$1462,2,0)</f>
        <v>#N/A</v>
      </c>
      <c r="F2320" s="334" t="str">
        <f t="shared" si="892"/>
        <v>May</v>
      </c>
      <c r="G2320" s="335" t="s">
        <v>2216</v>
      </c>
      <c r="H2320" s="335" t="s">
        <v>675</v>
      </c>
      <c r="I2320" s="335" t="s">
        <v>2772</v>
      </c>
      <c r="J2320" s="336" t="s">
        <v>709</v>
      </c>
      <c r="K2320" s="337" t="s">
        <v>1652</v>
      </c>
      <c r="L2320" s="300" t="s">
        <v>2167</v>
      </c>
      <c r="M2320" s="336" t="s">
        <v>682</v>
      </c>
      <c r="N2320" s="530" t="s">
        <v>712</v>
      </c>
      <c r="O2320" s="335" t="s">
        <v>602</v>
      </c>
      <c r="P2320" s="338">
        <v>8</v>
      </c>
      <c r="Q2320" s="338">
        <v>3</v>
      </c>
      <c r="R2320" s="339">
        <v>6.0000000000000001E-3</v>
      </c>
      <c r="S2320" s="335" t="s">
        <v>55</v>
      </c>
      <c r="T2320" s="335" t="s">
        <v>112</v>
      </c>
      <c r="U2320" s="340" t="s">
        <v>724</v>
      </c>
      <c r="V2320" s="341">
        <f>550</f>
        <v>550</v>
      </c>
      <c r="W2320" s="341"/>
      <c r="X2320" s="342">
        <f>(4400)/8</f>
        <v>550</v>
      </c>
      <c r="Y2320" s="343">
        <f t="shared" si="878"/>
        <v>0</v>
      </c>
      <c r="Z2320" s="344">
        <f t="shared" si="879"/>
        <v>0</v>
      </c>
      <c r="AA2320" s="344">
        <f t="shared" si="893"/>
        <v>0</v>
      </c>
      <c r="AB2320" s="817">
        <v>5.8823E-2</v>
      </c>
      <c r="AC2320" s="341">
        <f t="shared" si="890"/>
        <v>0</v>
      </c>
      <c r="AD2320" s="443"/>
      <c r="AE2320" s="210">
        <f t="shared" si="887"/>
        <v>0</v>
      </c>
      <c r="AF2320" s="210">
        <f t="shared" si="888"/>
        <v>0</v>
      </c>
      <c r="AG2320" s="211">
        <f t="shared" si="883"/>
        <v>0.30199999999999999</v>
      </c>
      <c r="AH2320" s="157">
        <v>0.26621999999999996</v>
      </c>
      <c r="AI2320" s="152">
        <f t="shared" si="885"/>
        <v>4400</v>
      </c>
      <c r="AK2320" s="156" t="s">
        <v>691</v>
      </c>
      <c r="AL2320" s="574" t="s">
        <v>690</v>
      </c>
      <c r="AM2320" s="198">
        <f t="shared" si="894"/>
        <v>0</v>
      </c>
      <c r="AN2320" s="199">
        <f t="shared" si="889"/>
        <v>45808</v>
      </c>
      <c r="AO2320" s="159" t="s">
        <v>692</v>
      </c>
      <c r="AP2320" s="781" t="s">
        <v>642</v>
      </c>
      <c r="AQ2320" s="782">
        <v>12063755</v>
      </c>
      <c r="AR2320" s="782">
        <v>12061353</v>
      </c>
      <c r="AS2320" s="782">
        <v>12061354</v>
      </c>
      <c r="AT2320" s="782">
        <v>12090030</v>
      </c>
      <c r="AU2320" s="781"/>
      <c r="AV2320" s="782">
        <v>12089992</v>
      </c>
      <c r="AW2320" s="781"/>
      <c r="AX2320" s="781"/>
      <c r="AY2320" s="781"/>
      <c r="AZ2320" s="782"/>
      <c r="BA2320" s="781"/>
      <c r="BB2320" s="209">
        <v>23099860</v>
      </c>
    </row>
    <row r="2321" spans="1:54" ht="25" hidden="1" customHeight="1">
      <c r="A2321" s="623"/>
      <c r="B2321" s="332">
        <v>45808</v>
      </c>
      <c r="C2321" s="333">
        <v>45822</v>
      </c>
      <c r="D2321" s="185">
        <f t="shared" si="891"/>
        <v>2025</v>
      </c>
      <c r="E2321" s="333" t="e">
        <f>VLOOKUP($B2321,Week!$A$1:$C$1462,2,0)</f>
        <v>#N/A</v>
      </c>
      <c r="F2321" s="334" t="str">
        <f t="shared" si="892"/>
        <v>May</v>
      </c>
      <c r="G2321" s="335" t="s">
        <v>2328</v>
      </c>
      <c r="H2321" s="335" t="s">
        <v>311</v>
      </c>
      <c r="I2321" s="335" t="s">
        <v>2772</v>
      </c>
      <c r="J2321" s="336" t="s">
        <v>738</v>
      </c>
      <c r="K2321" s="337" t="s">
        <v>1652</v>
      </c>
      <c r="L2321" s="300" t="s">
        <v>2167</v>
      </c>
      <c r="M2321" s="336" t="s">
        <v>682</v>
      </c>
      <c r="N2321" s="335" t="s">
        <v>693</v>
      </c>
      <c r="O2321" s="335" t="s">
        <v>602</v>
      </c>
      <c r="P2321" s="338">
        <v>8</v>
      </c>
      <c r="Q2321" s="338">
        <v>3</v>
      </c>
      <c r="R2321" s="339">
        <v>6.0000000000000001E-3</v>
      </c>
      <c r="S2321" s="335" t="s">
        <v>55</v>
      </c>
      <c r="T2321" s="335" t="s">
        <v>112</v>
      </c>
      <c r="U2321" s="340" t="s">
        <v>724</v>
      </c>
      <c r="V2321" s="341">
        <f>300</f>
        <v>300</v>
      </c>
      <c r="W2321" s="341"/>
      <c r="X2321" s="342">
        <f>(168+2232)/8</f>
        <v>300</v>
      </c>
      <c r="Y2321" s="343">
        <f t="shared" si="878"/>
        <v>0</v>
      </c>
      <c r="Z2321" s="344">
        <f t="shared" si="879"/>
        <v>0</v>
      </c>
      <c r="AA2321" s="344">
        <f t="shared" si="893"/>
        <v>0</v>
      </c>
      <c r="AB2321" s="817">
        <v>5.8823E-2</v>
      </c>
      <c r="AC2321" s="341">
        <f t="shared" si="890"/>
        <v>0</v>
      </c>
      <c r="AD2321" s="443"/>
      <c r="AE2321" s="210">
        <f t="shared" si="887"/>
        <v>0</v>
      </c>
      <c r="AF2321" s="210">
        <f t="shared" si="888"/>
        <v>0</v>
      </c>
      <c r="AG2321" s="211">
        <f t="shared" si="883"/>
        <v>0.30199999999999999</v>
      </c>
      <c r="AH2321" s="157">
        <v>0.26621999999999996</v>
      </c>
      <c r="AI2321" s="152">
        <f t="shared" si="885"/>
        <v>2400</v>
      </c>
      <c r="AK2321" s="156" t="s">
        <v>691</v>
      </c>
      <c r="AL2321" s="574" t="s">
        <v>690</v>
      </c>
      <c r="AM2321" s="198">
        <f t="shared" si="894"/>
        <v>0</v>
      </c>
      <c r="AN2321" s="199">
        <f t="shared" si="889"/>
        <v>45808</v>
      </c>
      <c r="AO2321" s="159" t="s">
        <v>692</v>
      </c>
      <c r="AP2321" s="781" t="s">
        <v>642</v>
      </c>
      <c r="AQ2321" s="782">
        <v>12063755</v>
      </c>
      <c r="AR2321" s="782">
        <v>12061353</v>
      </c>
      <c r="AS2321" s="782">
        <v>12061354</v>
      </c>
      <c r="AT2321" s="782">
        <v>12087120</v>
      </c>
      <c r="AU2321" s="781"/>
      <c r="AV2321" s="782">
        <v>12087118</v>
      </c>
      <c r="AW2321" s="781"/>
      <c r="AX2321" s="781"/>
      <c r="AY2321" s="781"/>
      <c r="AZ2321" s="782"/>
      <c r="BA2321" s="781"/>
      <c r="BB2321" s="209">
        <v>23099860</v>
      </c>
    </row>
    <row r="2322" spans="1:54" ht="25" hidden="1" customHeight="1">
      <c r="A2322" s="623"/>
      <c r="B2322" s="332">
        <v>45808</v>
      </c>
      <c r="C2322" s="333">
        <v>45862</v>
      </c>
      <c r="D2322" s="185">
        <f t="shared" si="891"/>
        <v>2025</v>
      </c>
      <c r="E2322" s="333" t="e">
        <f>VLOOKUP($B2322,Week!$A$1:$C$1462,2,0)</f>
        <v>#N/A</v>
      </c>
      <c r="F2322" s="334" t="str">
        <f t="shared" si="892"/>
        <v>May</v>
      </c>
      <c r="G2322" s="335" t="s">
        <v>2330</v>
      </c>
      <c r="H2322" s="335" t="s">
        <v>311</v>
      </c>
      <c r="I2322" s="335" t="s">
        <v>2772</v>
      </c>
      <c r="J2322" s="336" t="s">
        <v>738</v>
      </c>
      <c r="K2322" s="337" t="s">
        <v>1652</v>
      </c>
      <c r="L2322" s="300" t="s">
        <v>2167</v>
      </c>
      <c r="M2322" s="336" t="s">
        <v>682</v>
      </c>
      <c r="N2322" s="335" t="s">
        <v>693</v>
      </c>
      <c r="O2322" s="335" t="s">
        <v>602</v>
      </c>
      <c r="P2322" s="338">
        <v>8</v>
      </c>
      <c r="Q2322" s="338">
        <v>3</v>
      </c>
      <c r="R2322" s="339">
        <v>6.0000000000000001E-3</v>
      </c>
      <c r="S2322" s="335" t="s">
        <v>55</v>
      </c>
      <c r="T2322" s="335" t="s">
        <v>112</v>
      </c>
      <c r="U2322" s="340" t="s">
        <v>724</v>
      </c>
      <c r="V2322" s="341">
        <f>200</f>
        <v>200</v>
      </c>
      <c r="W2322" s="341"/>
      <c r="X2322" s="342">
        <f>200</f>
        <v>200</v>
      </c>
      <c r="Y2322" s="343">
        <f t="shared" si="878"/>
        <v>0</v>
      </c>
      <c r="Z2322" s="344">
        <f t="shared" si="879"/>
        <v>0</v>
      </c>
      <c r="AA2322" s="344">
        <f t="shared" si="893"/>
        <v>0</v>
      </c>
      <c r="AB2322" s="817">
        <v>5.8823E-2</v>
      </c>
      <c r="AC2322" s="341">
        <f t="shared" si="890"/>
        <v>0</v>
      </c>
      <c r="AD2322" s="443"/>
      <c r="AE2322" s="210">
        <f t="shared" si="887"/>
        <v>0</v>
      </c>
      <c r="AF2322" s="210">
        <f t="shared" si="888"/>
        <v>0</v>
      </c>
      <c r="AG2322" s="211">
        <f t="shared" si="883"/>
        <v>0.30199999999999999</v>
      </c>
      <c r="AH2322" s="157">
        <v>0.26621999999999996</v>
      </c>
      <c r="AI2322" s="152">
        <f t="shared" si="885"/>
        <v>1600</v>
      </c>
      <c r="AK2322" s="156" t="s">
        <v>691</v>
      </c>
      <c r="AL2322" s="574" t="s">
        <v>690</v>
      </c>
      <c r="AM2322" s="198">
        <f t="shared" si="894"/>
        <v>0</v>
      </c>
      <c r="AN2322" s="199">
        <f t="shared" si="889"/>
        <v>45808</v>
      </c>
      <c r="AO2322" s="159" t="s">
        <v>692</v>
      </c>
      <c r="AP2322" s="781" t="s">
        <v>642</v>
      </c>
      <c r="AQ2322" s="782">
        <v>12063755</v>
      </c>
      <c r="AR2322" s="782">
        <v>12061353</v>
      </c>
      <c r="AS2322" s="782">
        <v>12061354</v>
      </c>
      <c r="AT2322" s="782">
        <v>12087120</v>
      </c>
      <c r="AU2322" s="781"/>
      <c r="AV2322" s="782">
        <v>12087118</v>
      </c>
      <c r="AW2322" s="781"/>
      <c r="AX2322" s="781"/>
      <c r="AY2322" s="781"/>
      <c r="AZ2322" s="782"/>
      <c r="BA2322" s="781"/>
      <c r="BB2322" s="209">
        <v>23099860</v>
      </c>
    </row>
    <row r="2323" spans="1:54" ht="25" hidden="1" customHeight="1">
      <c r="A2323" s="623"/>
      <c r="B2323" s="332">
        <v>45808</v>
      </c>
      <c r="C2323" s="333">
        <v>45862</v>
      </c>
      <c r="D2323" s="185">
        <f t="shared" si="891"/>
        <v>2025</v>
      </c>
      <c r="E2323" s="333" t="e">
        <f>VLOOKUP($B2323,Week!$A$1:$C$1462,2,0)</f>
        <v>#N/A</v>
      </c>
      <c r="F2323" s="334" t="str">
        <f t="shared" si="892"/>
        <v>May</v>
      </c>
      <c r="G2323" s="335" t="s">
        <v>2331</v>
      </c>
      <c r="H2323" s="335" t="s">
        <v>311</v>
      </c>
      <c r="I2323" s="335" t="s">
        <v>2772</v>
      </c>
      <c r="J2323" s="336" t="s">
        <v>738</v>
      </c>
      <c r="K2323" s="337" t="s">
        <v>1652</v>
      </c>
      <c r="L2323" s="300" t="s">
        <v>2167</v>
      </c>
      <c r="M2323" s="336" t="s">
        <v>682</v>
      </c>
      <c r="N2323" s="335" t="s">
        <v>693</v>
      </c>
      <c r="O2323" s="335" t="s">
        <v>602</v>
      </c>
      <c r="P2323" s="338">
        <v>8</v>
      </c>
      <c r="Q2323" s="338">
        <v>3</v>
      </c>
      <c r="R2323" s="339">
        <v>6.0000000000000001E-3</v>
      </c>
      <c r="S2323" s="335" t="s">
        <v>55</v>
      </c>
      <c r="T2323" s="335" t="s">
        <v>112</v>
      </c>
      <c r="U2323" s="340" t="s">
        <v>724</v>
      </c>
      <c r="V2323" s="341">
        <f>200</f>
        <v>200</v>
      </c>
      <c r="W2323" s="341"/>
      <c r="X2323" s="342">
        <f>200</f>
        <v>200</v>
      </c>
      <c r="Y2323" s="343">
        <f t="shared" si="878"/>
        <v>0</v>
      </c>
      <c r="Z2323" s="344">
        <f t="shared" si="879"/>
        <v>0</v>
      </c>
      <c r="AA2323" s="344">
        <f t="shared" si="893"/>
        <v>0</v>
      </c>
      <c r="AB2323" s="817">
        <v>5.8823E-2</v>
      </c>
      <c r="AC2323" s="341">
        <f t="shared" si="890"/>
        <v>0</v>
      </c>
      <c r="AD2323" s="443"/>
      <c r="AE2323" s="210">
        <f t="shared" si="887"/>
        <v>0</v>
      </c>
      <c r="AF2323" s="210">
        <f t="shared" si="888"/>
        <v>0</v>
      </c>
      <c r="AG2323" s="211">
        <f t="shared" si="883"/>
        <v>0.30199999999999999</v>
      </c>
      <c r="AH2323" s="157">
        <v>0.26621999999999996</v>
      </c>
      <c r="AI2323" s="152">
        <f t="shared" si="885"/>
        <v>1600</v>
      </c>
      <c r="AK2323" s="156" t="s">
        <v>691</v>
      </c>
      <c r="AL2323" s="574" t="s">
        <v>690</v>
      </c>
      <c r="AM2323" s="198">
        <f t="shared" si="894"/>
        <v>0</v>
      </c>
      <c r="AN2323" s="199">
        <f t="shared" si="889"/>
        <v>45808</v>
      </c>
      <c r="AO2323" s="159" t="s">
        <v>692</v>
      </c>
      <c r="AP2323" s="781" t="s">
        <v>642</v>
      </c>
      <c r="AQ2323" s="782">
        <v>12063755</v>
      </c>
      <c r="AR2323" s="782">
        <v>12061353</v>
      </c>
      <c r="AS2323" s="782">
        <v>12061354</v>
      </c>
      <c r="AT2323" s="782">
        <v>12087120</v>
      </c>
      <c r="AU2323" s="781"/>
      <c r="AV2323" s="782">
        <v>12087118</v>
      </c>
      <c r="AW2323" s="781"/>
      <c r="AX2323" s="781"/>
      <c r="AY2323" s="781"/>
      <c r="AZ2323" s="782"/>
      <c r="BA2323" s="781"/>
      <c r="BB2323" s="209">
        <v>23099860</v>
      </c>
    </row>
    <row r="2324" spans="1:54" ht="25" hidden="1" customHeight="1">
      <c r="A2324" s="623"/>
      <c r="B2324" s="332">
        <v>45808</v>
      </c>
      <c r="C2324" s="333">
        <v>45862</v>
      </c>
      <c r="D2324" s="185">
        <f t="shared" si="891"/>
        <v>2025</v>
      </c>
      <c r="E2324" s="333" t="e">
        <f>VLOOKUP($B2324,Week!$A$1:$C$1462,2,0)</f>
        <v>#N/A</v>
      </c>
      <c r="F2324" s="334" t="str">
        <f t="shared" si="892"/>
        <v>May</v>
      </c>
      <c r="G2324" s="335" t="s">
        <v>2332</v>
      </c>
      <c r="H2324" s="335" t="s">
        <v>311</v>
      </c>
      <c r="I2324" s="335" t="s">
        <v>2772</v>
      </c>
      <c r="J2324" s="336" t="s">
        <v>738</v>
      </c>
      <c r="K2324" s="337" t="s">
        <v>1652</v>
      </c>
      <c r="L2324" s="300" t="s">
        <v>2167</v>
      </c>
      <c r="M2324" s="336" t="s">
        <v>682</v>
      </c>
      <c r="N2324" s="335" t="s">
        <v>693</v>
      </c>
      <c r="O2324" s="335" t="s">
        <v>602</v>
      </c>
      <c r="P2324" s="338">
        <v>8</v>
      </c>
      <c r="Q2324" s="338">
        <v>3</v>
      </c>
      <c r="R2324" s="339">
        <v>6.0000000000000001E-3</v>
      </c>
      <c r="S2324" s="335" t="s">
        <v>55</v>
      </c>
      <c r="T2324" s="335" t="s">
        <v>112</v>
      </c>
      <c r="U2324" s="340" t="s">
        <v>724</v>
      </c>
      <c r="V2324" s="341">
        <f>200</f>
        <v>200</v>
      </c>
      <c r="W2324" s="341"/>
      <c r="X2324" s="342">
        <f>200</f>
        <v>200</v>
      </c>
      <c r="Y2324" s="343">
        <f t="shared" si="878"/>
        <v>0</v>
      </c>
      <c r="Z2324" s="344">
        <f t="shared" si="879"/>
        <v>0</v>
      </c>
      <c r="AA2324" s="344">
        <f t="shared" si="893"/>
        <v>0</v>
      </c>
      <c r="AB2324" s="817">
        <v>5.8823E-2</v>
      </c>
      <c r="AC2324" s="341">
        <f t="shared" si="890"/>
        <v>0</v>
      </c>
      <c r="AD2324" s="443"/>
      <c r="AE2324" s="210">
        <f t="shared" si="887"/>
        <v>0</v>
      </c>
      <c r="AF2324" s="210">
        <f t="shared" si="888"/>
        <v>0</v>
      </c>
      <c r="AG2324" s="211">
        <f t="shared" si="883"/>
        <v>0.30199999999999999</v>
      </c>
      <c r="AH2324" s="157">
        <v>0.26621999999999996</v>
      </c>
      <c r="AI2324" s="152">
        <f t="shared" si="885"/>
        <v>1600</v>
      </c>
      <c r="AK2324" s="156" t="s">
        <v>691</v>
      </c>
      <c r="AL2324" s="574" t="s">
        <v>690</v>
      </c>
      <c r="AM2324" s="198">
        <f t="shared" si="894"/>
        <v>0</v>
      </c>
      <c r="AN2324" s="199">
        <f t="shared" si="889"/>
        <v>45808</v>
      </c>
      <c r="AO2324" s="159" t="s">
        <v>692</v>
      </c>
      <c r="AP2324" s="781" t="s">
        <v>642</v>
      </c>
      <c r="AQ2324" s="782">
        <v>12063755</v>
      </c>
      <c r="AR2324" s="782">
        <v>12061353</v>
      </c>
      <c r="AS2324" s="782">
        <v>12061354</v>
      </c>
      <c r="AT2324" s="782">
        <v>12087120</v>
      </c>
      <c r="AU2324" s="781"/>
      <c r="AV2324" s="782">
        <v>12087118</v>
      </c>
      <c r="AW2324" s="781"/>
      <c r="AX2324" s="781"/>
      <c r="AY2324" s="781"/>
      <c r="AZ2324" s="782"/>
      <c r="BA2324" s="781"/>
      <c r="BB2324" s="209">
        <v>23099860</v>
      </c>
    </row>
    <row r="2325" spans="1:54" ht="25" hidden="1" customHeight="1">
      <c r="A2325" s="623"/>
      <c r="B2325" s="332">
        <v>45808</v>
      </c>
      <c r="C2325" s="333">
        <v>45890</v>
      </c>
      <c r="D2325" s="185">
        <f t="shared" si="891"/>
        <v>2025</v>
      </c>
      <c r="E2325" s="333" t="e">
        <f>VLOOKUP($B2325,Week!$A$1:$C$1462,2,0)</f>
        <v>#N/A</v>
      </c>
      <c r="F2325" s="334" t="str">
        <f t="shared" si="892"/>
        <v>May</v>
      </c>
      <c r="G2325" s="335" t="s">
        <v>2376</v>
      </c>
      <c r="H2325" s="335" t="s">
        <v>311</v>
      </c>
      <c r="I2325" s="335" t="s">
        <v>2772</v>
      </c>
      <c r="J2325" s="336" t="s">
        <v>738</v>
      </c>
      <c r="K2325" s="337" t="s">
        <v>1652</v>
      </c>
      <c r="L2325" s="300" t="s">
        <v>2167</v>
      </c>
      <c r="M2325" s="336" t="s">
        <v>682</v>
      </c>
      <c r="N2325" s="335" t="s">
        <v>693</v>
      </c>
      <c r="O2325" s="335" t="s">
        <v>602</v>
      </c>
      <c r="P2325" s="338">
        <v>8</v>
      </c>
      <c r="Q2325" s="338">
        <v>3</v>
      </c>
      <c r="R2325" s="339">
        <v>6.0000000000000001E-3</v>
      </c>
      <c r="S2325" s="335" t="s">
        <v>55</v>
      </c>
      <c r="T2325" s="335" t="s">
        <v>112</v>
      </c>
      <c r="U2325" s="340" t="s">
        <v>724</v>
      </c>
      <c r="V2325" s="341">
        <f>556</f>
        <v>556</v>
      </c>
      <c r="W2325" s="341"/>
      <c r="X2325" s="342">
        <f>(4448+680)/8</f>
        <v>641</v>
      </c>
      <c r="Y2325" s="343">
        <f t="shared" si="878"/>
        <v>85</v>
      </c>
      <c r="Z2325" s="344">
        <f t="shared" si="879"/>
        <v>0</v>
      </c>
      <c r="AA2325" s="344">
        <f t="shared" si="893"/>
        <v>0</v>
      </c>
      <c r="AB2325" s="817">
        <v>5.8823E-2</v>
      </c>
      <c r="AC2325" s="341">
        <f t="shared" si="890"/>
        <v>0</v>
      </c>
      <c r="AD2325" s="443"/>
      <c r="AE2325" s="210">
        <f t="shared" si="887"/>
        <v>0</v>
      </c>
      <c r="AF2325" s="210">
        <f t="shared" si="888"/>
        <v>0</v>
      </c>
      <c r="AG2325" s="211">
        <f t="shared" si="883"/>
        <v>0.30199999999999999</v>
      </c>
      <c r="AH2325" s="157">
        <v>0.26621999999999996</v>
      </c>
      <c r="AI2325" s="152">
        <f t="shared" si="885"/>
        <v>4448</v>
      </c>
      <c r="AK2325" s="156" t="s">
        <v>691</v>
      </c>
      <c r="AL2325" s="574" t="s">
        <v>690</v>
      </c>
      <c r="AM2325" s="198">
        <f t="shared" si="894"/>
        <v>0</v>
      </c>
      <c r="AN2325" s="199">
        <f t="shared" si="889"/>
        <v>45808</v>
      </c>
      <c r="AO2325" s="159" t="s">
        <v>692</v>
      </c>
      <c r="AP2325" s="781" t="s">
        <v>642</v>
      </c>
      <c r="AQ2325" s="782">
        <v>12063755</v>
      </c>
      <c r="AR2325" s="782">
        <v>12061353</v>
      </c>
      <c r="AS2325" s="782">
        <v>12061354</v>
      </c>
      <c r="AT2325" s="782">
        <v>12087120</v>
      </c>
      <c r="AU2325" s="781"/>
      <c r="AV2325" s="782">
        <v>12087118</v>
      </c>
      <c r="AW2325" s="781"/>
      <c r="AX2325" s="781"/>
      <c r="AY2325" s="781"/>
      <c r="AZ2325" s="782"/>
      <c r="BA2325" s="781"/>
      <c r="BB2325" s="209">
        <v>23099860</v>
      </c>
    </row>
    <row r="2326" spans="1:54" ht="25" hidden="1" customHeight="1">
      <c r="B2326" s="385">
        <v>45808</v>
      </c>
      <c r="C2326" s="386">
        <v>45831</v>
      </c>
      <c r="D2326" s="185">
        <f>IF(B2326="","",YEAR(B2326))</f>
        <v>2025</v>
      </c>
      <c r="E2326" s="386" t="e">
        <f>VLOOKUP($B2326,Week!$A$1:$C$1462,2,0)</f>
        <v>#N/A</v>
      </c>
      <c r="F2326" s="387" t="str">
        <f>IF(B2326="","",TEXT(B2326,"[$-409]mmm"))</f>
        <v>May</v>
      </c>
      <c r="G2326" s="388" t="s">
        <v>2207</v>
      </c>
      <c r="H2326" s="388" t="s">
        <v>571</v>
      </c>
      <c r="I2326" s="388" t="s">
        <v>2772</v>
      </c>
      <c r="J2326" s="389" t="s">
        <v>663</v>
      </c>
      <c r="K2326" s="390" t="s">
        <v>1652</v>
      </c>
      <c r="L2326" s="300" t="s">
        <v>2167</v>
      </c>
      <c r="M2326" s="389" t="s">
        <v>682</v>
      </c>
      <c r="N2326" s="388" t="s">
        <v>718</v>
      </c>
      <c r="O2326" s="388" t="s">
        <v>659</v>
      </c>
      <c r="P2326" s="391">
        <v>12</v>
      </c>
      <c r="Q2326" s="391">
        <v>3</v>
      </c>
      <c r="R2326" s="392">
        <v>6.0000000000000001E-3</v>
      </c>
      <c r="S2326" s="388" t="s">
        <v>55</v>
      </c>
      <c r="T2326" s="388" t="s">
        <v>112</v>
      </c>
      <c r="U2326" s="601" t="s">
        <v>724</v>
      </c>
      <c r="V2326" s="393">
        <f>2278</f>
        <v>2278</v>
      </c>
      <c r="W2326" s="393"/>
      <c r="X2326" s="394">
        <f>(29259)/12</f>
        <v>2438.25</v>
      </c>
      <c r="Y2326" s="395">
        <f>(W2326+X2326)-V2326</f>
        <v>160.25</v>
      </c>
      <c r="Z2326" s="396">
        <f>IF(Y2326&lt;0,((V2326*P2326)-((W2326+X2326)*P2326)),0)</f>
        <v>0</v>
      </c>
      <c r="AA2326" s="396">
        <f>Q2326*Z2326</f>
        <v>0</v>
      </c>
      <c r="AB2326" s="823">
        <v>5.8823E-2</v>
      </c>
      <c r="AC2326" s="393">
        <f>Z2326*AB2326</f>
        <v>0</v>
      </c>
      <c r="AD2326" s="636"/>
      <c r="AE2326" s="210">
        <f>SUM(Q2326*R2326*Z2326)/1000</f>
        <v>0</v>
      </c>
      <c r="AF2326" s="210">
        <f>AE2326/0.54</f>
        <v>0</v>
      </c>
      <c r="AG2326" s="211">
        <f>MID(O2326,1,3)/1000</f>
        <v>0.30199999999999999</v>
      </c>
      <c r="AH2326" s="157">
        <v>0.26621999999999996</v>
      </c>
      <c r="AI2326" s="152">
        <f>V2326*P2326</f>
        <v>27336</v>
      </c>
      <c r="AK2326" s="156" t="s">
        <v>691</v>
      </c>
      <c r="AL2326" s="212" t="s">
        <v>690</v>
      </c>
      <c r="AM2326" s="198">
        <f>AG2326*Z2326</f>
        <v>0</v>
      </c>
      <c r="AN2326" s="199">
        <f>B2326</f>
        <v>45808</v>
      </c>
      <c r="AO2326" s="159" t="s">
        <v>692</v>
      </c>
      <c r="AP2326" s="781" t="s">
        <v>642</v>
      </c>
      <c r="AQ2326" s="782">
        <v>12063755</v>
      </c>
      <c r="AR2326" s="782">
        <v>12061353</v>
      </c>
      <c r="AS2326" s="782">
        <v>12061354</v>
      </c>
      <c r="AT2326" s="782">
        <v>12090253</v>
      </c>
      <c r="AU2326" s="781"/>
      <c r="AV2326" s="782">
        <v>12090245</v>
      </c>
      <c r="AW2326" s="781"/>
      <c r="AX2326" s="781"/>
      <c r="AY2326" s="781"/>
      <c r="AZ2326" s="782"/>
      <c r="BA2326" s="781"/>
      <c r="BB2326" s="209">
        <v>23099860</v>
      </c>
    </row>
    <row r="2327" spans="1:54" ht="25" hidden="1" customHeight="1">
      <c r="B2327" s="183">
        <v>45809</v>
      </c>
      <c r="C2327" s="184"/>
      <c r="D2327" s="185">
        <f t="shared" si="891"/>
        <v>2025</v>
      </c>
      <c r="E2327" s="185" t="e">
        <f>VLOOKUP($B2327,Week!$A$1:$C$1462,2,0)</f>
        <v>#N/A</v>
      </c>
      <c r="F2327" s="186" t="str">
        <f t="shared" si="892"/>
        <v>Jun</v>
      </c>
      <c r="G2327" s="481"/>
      <c r="H2327" s="185"/>
      <c r="I2327" s="185"/>
      <c r="J2327" s="187"/>
      <c r="K2327" s="188"/>
      <c r="L2327" s="188"/>
      <c r="M2327" s="187"/>
      <c r="N2327" s="185"/>
      <c r="O2327" s="185"/>
      <c r="P2327" s="189"/>
      <c r="Q2327" s="189"/>
      <c r="R2327" s="190"/>
      <c r="S2327" s="185"/>
      <c r="T2327" s="185"/>
      <c r="U2327" s="185"/>
      <c r="V2327" s="191"/>
      <c r="W2327" s="191"/>
      <c r="X2327" s="192"/>
      <c r="Y2327" s="193"/>
      <c r="Z2327" s="194"/>
      <c r="AA2327" s="194">
        <f t="shared" si="893"/>
        <v>0</v>
      </c>
      <c r="AB2327" s="805"/>
      <c r="AC2327" s="191"/>
      <c r="AD2327" s="187"/>
      <c r="AE2327" s="195"/>
      <c r="AF2327" s="195"/>
      <c r="AG2327" s="196"/>
      <c r="AH2327" s="197"/>
      <c r="AK2327" s="156" t="s">
        <v>691</v>
      </c>
      <c r="AM2327" s="198">
        <f t="shared" si="894"/>
        <v>0</v>
      </c>
      <c r="AN2327" s="199">
        <f t="shared" si="889"/>
        <v>45809</v>
      </c>
      <c r="AO2327" s="159" t="s">
        <v>692</v>
      </c>
      <c r="AP2327" s="781"/>
      <c r="AQ2327" s="782"/>
      <c r="AR2327" s="782"/>
      <c r="AS2327" s="782"/>
      <c r="AT2327" s="782"/>
      <c r="AU2327" s="781"/>
      <c r="AV2327" s="782"/>
      <c r="AW2327" s="782"/>
      <c r="AX2327" s="782"/>
      <c r="AY2327" s="782"/>
      <c r="AZ2327" s="782"/>
      <c r="BA2327" s="781"/>
      <c r="BB2327" s="209"/>
    </row>
    <row r="2328" spans="1:54" ht="25" hidden="1" customHeight="1">
      <c r="A2328" s="630" t="s">
        <v>120</v>
      </c>
      <c r="B2328" s="466">
        <v>45810</v>
      </c>
      <c r="C2328" s="467">
        <v>45822</v>
      </c>
      <c r="D2328" s="185">
        <f t="shared" si="891"/>
        <v>2025</v>
      </c>
      <c r="E2328" s="468" t="e">
        <f>VLOOKUP($B2328,Week!$A$1:$C$1462,2,0)</f>
        <v>#N/A</v>
      </c>
      <c r="F2328" s="469" t="str">
        <f t="shared" si="892"/>
        <v>Jun</v>
      </c>
      <c r="G2328" s="470" t="s">
        <v>2183</v>
      </c>
      <c r="H2328" s="468" t="s">
        <v>82</v>
      </c>
      <c r="I2328" s="468" t="s">
        <v>82</v>
      </c>
      <c r="J2328" s="471" t="s">
        <v>720</v>
      </c>
      <c r="K2328" s="472" t="s">
        <v>85</v>
      </c>
      <c r="L2328" s="390" t="s">
        <v>2166</v>
      </c>
      <c r="M2328" s="471" t="s">
        <v>579</v>
      </c>
      <c r="N2328" s="468" t="s">
        <v>580</v>
      </c>
      <c r="O2328" s="468" t="s">
        <v>581</v>
      </c>
      <c r="P2328" s="473">
        <v>8</v>
      </c>
      <c r="Q2328" s="473">
        <v>60</v>
      </c>
      <c r="R2328" s="474">
        <v>6.8100000000000001E-3</v>
      </c>
      <c r="S2328" s="468" t="s">
        <v>76</v>
      </c>
      <c r="T2328" s="468" t="s">
        <v>56</v>
      </c>
      <c r="U2328" s="468" t="s">
        <v>89</v>
      </c>
      <c r="V2328" s="475">
        <v>1408</v>
      </c>
      <c r="W2328" s="475">
        <f>20+1388</f>
        <v>1408</v>
      </c>
      <c r="X2328" s="476"/>
      <c r="Y2328" s="477">
        <f>(W2328+X2328)-V2328</f>
        <v>0</v>
      </c>
      <c r="Z2328" s="478">
        <f>IF(Y2328&lt;0,((V2328*P2328)-((W2328+X2328)*P2328)),0)</f>
        <v>0</v>
      </c>
      <c r="AA2328" s="478">
        <f t="shared" si="893"/>
        <v>0</v>
      </c>
      <c r="AB2328" s="828">
        <v>6</v>
      </c>
      <c r="AC2328" s="475">
        <f>Z2328*AB2328</f>
        <v>0</v>
      </c>
      <c r="AD2328" s="209"/>
      <c r="AE2328" s="210">
        <f>SUM(Q2328*R2328*Z2328)/1000</f>
        <v>0</v>
      </c>
      <c r="AF2328" s="210">
        <f>AE2328/0.54</f>
        <v>0</v>
      </c>
      <c r="AG2328" s="211">
        <f>MID(O2328,1,3)/1000</f>
        <v>0.75</v>
      </c>
      <c r="AH2328" s="157">
        <f>(Z2328*AG2328)/1000</f>
        <v>0</v>
      </c>
      <c r="AI2328" s="152">
        <f>V2328*P2328</f>
        <v>11264</v>
      </c>
      <c r="AK2328" s="156" t="s">
        <v>691</v>
      </c>
      <c r="AL2328" s="156" t="s">
        <v>689</v>
      </c>
      <c r="AM2328" s="198">
        <f t="shared" si="894"/>
        <v>0</v>
      </c>
      <c r="AN2328" s="199">
        <f t="shared" si="889"/>
        <v>45810</v>
      </c>
      <c r="AO2328" s="159" t="s">
        <v>692</v>
      </c>
      <c r="AP2328" s="783" t="s">
        <v>622</v>
      </c>
      <c r="AQ2328" s="782">
        <v>12088677</v>
      </c>
      <c r="AR2328" s="782" t="s">
        <v>2142</v>
      </c>
      <c r="AS2328" s="782"/>
      <c r="AT2328" s="782">
        <v>12082897</v>
      </c>
      <c r="AU2328" s="781"/>
      <c r="AV2328" s="782">
        <v>12082898</v>
      </c>
      <c r="AW2328" s="782">
        <v>12082899</v>
      </c>
      <c r="AX2328" s="796" t="s">
        <v>621</v>
      </c>
      <c r="AY2328" s="782"/>
      <c r="AZ2328" s="782"/>
      <c r="BA2328" s="781"/>
      <c r="BB2328" s="209">
        <v>23053184</v>
      </c>
    </row>
    <row r="2329" spans="1:54" ht="25" hidden="1" customHeight="1">
      <c r="A2329" s="142" t="s">
        <v>120</v>
      </c>
      <c r="B2329" s="448">
        <v>45810</v>
      </c>
      <c r="C2329" s="449">
        <v>45824</v>
      </c>
      <c r="D2329" s="185">
        <f t="shared" si="891"/>
        <v>2025</v>
      </c>
      <c r="E2329" s="450" t="e">
        <f>VLOOKUP($B2329,Week!$A$1:$C$1462,2,0)</f>
        <v>#N/A</v>
      </c>
      <c r="F2329" s="451" t="str">
        <f t="shared" si="892"/>
        <v>Jun</v>
      </c>
      <c r="G2329" s="450" t="s">
        <v>2213</v>
      </c>
      <c r="H2329" s="450" t="s">
        <v>134</v>
      </c>
      <c r="I2329" s="450" t="s">
        <v>2772</v>
      </c>
      <c r="J2329" s="452" t="s">
        <v>164</v>
      </c>
      <c r="K2329" s="453" t="s">
        <v>153</v>
      </c>
      <c r="L2329" s="390" t="s">
        <v>2166</v>
      </c>
      <c r="M2329" s="452" t="s">
        <v>1642</v>
      </c>
      <c r="N2329" s="450" t="s">
        <v>429</v>
      </c>
      <c r="O2329" s="450" t="s">
        <v>505</v>
      </c>
      <c r="P2329" s="454">
        <v>20</v>
      </c>
      <c r="Q2329" s="454">
        <v>12</v>
      </c>
      <c r="R2329" s="455">
        <v>6.8100000000000001E-3</v>
      </c>
      <c r="S2329" s="450" t="s">
        <v>76</v>
      </c>
      <c r="T2329" s="450" t="s">
        <v>56</v>
      </c>
      <c r="U2329" s="773" t="s">
        <v>430</v>
      </c>
      <c r="V2329" s="456">
        <v>234</v>
      </c>
      <c r="W2329" s="456"/>
      <c r="X2329" s="457">
        <f>(4680)/20</f>
        <v>234</v>
      </c>
      <c r="Y2329" s="458">
        <f>(W2329+X2329)-V2329</f>
        <v>0</v>
      </c>
      <c r="Z2329" s="459">
        <f>IF(Y2329&lt;0,((V2329*P2329)-((W2329+X2329)*P2329)),0)</f>
        <v>0</v>
      </c>
      <c r="AA2329" s="459">
        <f t="shared" si="893"/>
        <v>0</v>
      </c>
      <c r="AB2329" s="827">
        <v>2</v>
      </c>
      <c r="AC2329" s="456">
        <f>Z2329*AB2329</f>
        <v>0</v>
      </c>
      <c r="AD2329" s="209" t="s">
        <v>218</v>
      </c>
      <c r="AE2329" s="210"/>
      <c r="AF2329" s="210"/>
      <c r="AG2329" s="211">
        <f>MID(O2329,1,3)/1000</f>
        <v>0.20399999999999999</v>
      </c>
      <c r="AH2329" s="157">
        <f>(Z2329*AG2329)/1000</f>
        <v>0</v>
      </c>
      <c r="AI2329" s="152">
        <f>V2329*P2329</f>
        <v>4680</v>
      </c>
      <c r="AK2329" s="156" t="s">
        <v>691</v>
      </c>
      <c r="AL2329" s="156" t="s">
        <v>689</v>
      </c>
      <c r="AM2329" s="198">
        <f t="shared" si="894"/>
        <v>0</v>
      </c>
      <c r="AN2329" s="199">
        <f t="shared" si="889"/>
        <v>45810</v>
      </c>
      <c r="AO2329" s="159" t="s">
        <v>692</v>
      </c>
      <c r="AP2329" s="781"/>
      <c r="AQ2329" s="782">
        <v>12071839</v>
      </c>
      <c r="AR2329" s="782">
        <v>12019692</v>
      </c>
      <c r="AS2329" s="782"/>
      <c r="AT2329" s="867">
        <v>12095767</v>
      </c>
      <c r="AU2329" s="868"/>
      <c r="AV2329" s="867">
        <v>12095768</v>
      </c>
      <c r="AW2329" s="782"/>
      <c r="AX2329" s="782" t="s">
        <v>398</v>
      </c>
      <c r="AY2329" s="782"/>
      <c r="AZ2329" s="782"/>
      <c r="BA2329" s="781"/>
      <c r="BB2329" s="209">
        <v>23057444</v>
      </c>
    </row>
    <row r="2330" spans="1:54" ht="25" hidden="1" customHeight="1">
      <c r="B2330" s="183">
        <v>45811</v>
      </c>
      <c r="C2330" s="184"/>
      <c r="D2330" s="185">
        <f t="shared" si="891"/>
        <v>2025</v>
      </c>
      <c r="E2330" s="185" t="e">
        <f>VLOOKUP($B2330,Week!$A$1:$C$1462,2,0)</f>
        <v>#N/A</v>
      </c>
      <c r="F2330" s="186" t="str">
        <f t="shared" si="892"/>
        <v>Jun</v>
      </c>
      <c r="G2330" s="481"/>
      <c r="H2330" s="185"/>
      <c r="I2330" s="185"/>
      <c r="J2330" s="187"/>
      <c r="K2330" s="188"/>
      <c r="L2330" s="188"/>
      <c r="M2330" s="187"/>
      <c r="N2330" s="185"/>
      <c r="O2330" s="185"/>
      <c r="P2330" s="189"/>
      <c r="Q2330" s="189"/>
      <c r="R2330" s="190"/>
      <c r="S2330" s="185"/>
      <c r="T2330" s="185"/>
      <c r="U2330" s="185"/>
      <c r="V2330" s="191"/>
      <c r="W2330" s="191"/>
      <c r="X2330" s="192"/>
      <c r="Y2330" s="193"/>
      <c r="Z2330" s="194"/>
      <c r="AA2330" s="194">
        <f t="shared" si="893"/>
        <v>0</v>
      </c>
      <c r="AB2330" s="805"/>
      <c r="AC2330" s="191"/>
      <c r="AD2330" s="187"/>
      <c r="AE2330" s="195"/>
      <c r="AF2330" s="195"/>
      <c r="AG2330" s="196"/>
      <c r="AH2330" s="197"/>
      <c r="AK2330" s="156" t="s">
        <v>691</v>
      </c>
      <c r="AM2330" s="198">
        <f t="shared" si="894"/>
        <v>0</v>
      </c>
      <c r="AN2330" s="199">
        <f t="shared" si="889"/>
        <v>45811</v>
      </c>
      <c r="AO2330" s="159" t="s">
        <v>692</v>
      </c>
      <c r="AP2330" s="781"/>
      <c r="AQ2330" s="782"/>
      <c r="AR2330" s="782"/>
      <c r="AS2330" s="782"/>
      <c r="AT2330" s="782"/>
      <c r="AU2330" s="781"/>
      <c r="AV2330" s="782"/>
      <c r="AW2330" s="782"/>
      <c r="AX2330" s="782"/>
      <c r="AY2330" s="782"/>
      <c r="AZ2330" s="782"/>
      <c r="BA2330" s="781"/>
      <c r="BB2330" s="209"/>
    </row>
    <row r="2331" spans="1:54" ht="25" hidden="1" customHeight="1">
      <c r="A2331" s="630" t="s">
        <v>120</v>
      </c>
      <c r="B2331" s="466">
        <v>45812</v>
      </c>
      <c r="C2331" s="467">
        <v>45824</v>
      </c>
      <c r="D2331" s="185">
        <f t="shared" si="891"/>
        <v>2025</v>
      </c>
      <c r="E2331" s="468" t="e">
        <f>VLOOKUP($B2331,Week!$A$1:$C$1462,2,0)</f>
        <v>#N/A</v>
      </c>
      <c r="F2331" s="469" t="str">
        <f t="shared" si="892"/>
        <v>Jun</v>
      </c>
      <c r="G2331" s="470" t="s">
        <v>2186</v>
      </c>
      <c r="H2331" s="468" t="s">
        <v>82</v>
      </c>
      <c r="I2331" s="468" t="s">
        <v>82</v>
      </c>
      <c r="J2331" s="471" t="s">
        <v>720</v>
      </c>
      <c r="K2331" s="472" t="s">
        <v>85</v>
      </c>
      <c r="L2331" s="390" t="s">
        <v>2166</v>
      </c>
      <c r="M2331" s="471" t="s">
        <v>579</v>
      </c>
      <c r="N2331" s="468" t="s">
        <v>580</v>
      </c>
      <c r="O2331" s="468" t="s">
        <v>581</v>
      </c>
      <c r="P2331" s="473">
        <v>8</v>
      </c>
      <c r="Q2331" s="473">
        <v>60</v>
      </c>
      <c r="R2331" s="474">
        <v>6.8100000000000001E-3</v>
      </c>
      <c r="S2331" s="468" t="s">
        <v>76</v>
      </c>
      <c r="T2331" s="468" t="s">
        <v>56</v>
      </c>
      <c r="U2331" s="468" t="s">
        <v>89</v>
      </c>
      <c r="V2331" s="475">
        <v>781</v>
      </c>
      <c r="W2331" s="475">
        <f>770</f>
        <v>770</v>
      </c>
      <c r="X2331" s="476">
        <f>(88)/8</f>
        <v>11</v>
      </c>
      <c r="Y2331" s="477">
        <f>(W2331+X2331)-V2331</f>
        <v>0</v>
      </c>
      <c r="Z2331" s="478">
        <f t="shared" ref="Z2331:Z2340" si="895">IF(Y2331&lt;0,((V2331*P2331)-((W2331+X2331)*P2331)),0)</f>
        <v>0</v>
      </c>
      <c r="AA2331" s="478">
        <f t="shared" si="893"/>
        <v>0</v>
      </c>
      <c r="AB2331" s="828">
        <v>6</v>
      </c>
      <c r="AC2331" s="475">
        <f>Z2331*AB2331</f>
        <v>0</v>
      </c>
      <c r="AD2331" s="209"/>
      <c r="AE2331" s="210">
        <f t="shared" ref="AE2331:AE2340" si="896">SUM(Q2331*R2331*Z2331)/1000</f>
        <v>0</v>
      </c>
      <c r="AF2331" s="210">
        <f t="shared" ref="AF2331:AF2340" si="897">AE2331/0.54</f>
        <v>0</v>
      </c>
      <c r="AG2331" s="211">
        <f t="shared" ref="AG2331:AG2340" si="898">MID(O2331,1,3)/1000</f>
        <v>0.75</v>
      </c>
      <c r="AH2331" s="157">
        <f t="shared" ref="AH2331:AH2340" si="899">(Z2331*AG2331)/1000</f>
        <v>0</v>
      </c>
      <c r="AI2331" s="152">
        <f t="shared" ref="AI2331:AI2340" si="900">V2331*P2331</f>
        <v>6248</v>
      </c>
      <c r="AK2331" s="156" t="s">
        <v>691</v>
      </c>
      <c r="AL2331" s="156" t="s">
        <v>689</v>
      </c>
      <c r="AM2331" s="198">
        <f t="shared" si="894"/>
        <v>0</v>
      </c>
      <c r="AN2331" s="199">
        <f t="shared" si="889"/>
        <v>45812</v>
      </c>
      <c r="AO2331" s="159" t="s">
        <v>692</v>
      </c>
      <c r="AP2331" s="783" t="s">
        <v>622</v>
      </c>
      <c r="AQ2331" s="782">
        <v>12088677</v>
      </c>
      <c r="AR2331" s="782" t="s">
        <v>2142</v>
      </c>
      <c r="AS2331" s="782"/>
      <c r="AT2331" s="782">
        <v>12082897</v>
      </c>
      <c r="AU2331" s="781"/>
      <c r="AV2331" s="782">
        <v>12082898</v>
      </c>
      <c r="AW2331" s="782">
        <v>12082899</v>
      </c>
      <c r="AX2331" s="796" t="s">
        <v>621</v>
      </c>
      <c r="AY2331" s="782"/>
      <c r="AZ2331" s="782"/>
      <c r="BA2331" s="781"/>
      <c r="BB2331" s="209">
        <v>23053184</v>
      </c>
    </row>
    <row r="2332" spans="1:54" ht="25" hidden="1" customHeight="1">
      <c r="B2332" s="358">
        <v>45812</v>
      </c>
      <c r="C2332" s="358">
        <v>45832</v>
      </c>
      <c r="D2332" s="185">
        <f t="shared" si="891"/>
        <v>2025</v>
      </c>
      <c r="E2332" s="358" t="e">
        <f>VLOOKUP($B2332,Week!$A$1:$C$1462,2,0)</f>
        <v>#N/A</v>
      </c>
      <c r="F2332" s="360" t="str">
        <f t="shared" si="892"/>
        <v>Jun</v>
      </c>
      <c r="G2332" s="358" t="s">
        <v>2349</v>
      </c>
      <c r="H2332" s="359" t="s">
        <v>431</v>
      </c>
      <c r="I2332" s="359" t="s">
        <v>2772</v>
      </c>
      <c r="J2332" s="361" t="s">
        <v>432</v>
      </c>
      <c r="K2332" s="362" t="s">
        <v>365</v>
      </c>
      <c r="L2332" s="300" t="s">
        <v>2167</v>
      </c>
      <c r="M2332" s="361" t="s">
        <v>561</v>
      </c>
      <c r="N2332" s="359" t="s">
        <v>562</v>
      </c>
      <c r="O2332" s="359" t="s">
        <v>187</v>
      </c>
      <c r="P2332" s="363">
        <v>8</v>
      </c>
      <c r="Q2332" s="363">
        <v>4</v>
      </c>
      <c r="R2332" s="364">
        <v>7.4999999999999997E-3</v>
      </c>
      <c r="S2332" s="359" t="s">
        <v>111</v>
      </c>
      <c r="T2332" s="359" t="s">
        <v>112</v>
      </c>
      <c r="U2332" s="359" t="s">
        <v>57</v>
      </c>
      <c r="V2332" s="365">
        <f>1200</f>
        <v>1200</v>
      </c>
      <c r="W2332" s="365"/>
      <c r="X2332" s="366">
        <f>(2513+7087)/8</f>
        <v>1200</v>
      </c>
      <c r="Y2332" s="367">
        <f>(W2332+X2332)-V2332</f>
        <v>0</v>
      </c>
      <c r="Z2332" s="368">
        <f t="shared" si="895"/>
        <v>0</v>
      </c>
      <c r="AA2332" s="368">
        <f t="shared" si="893"/>
        <v>0</v>
      </c>
      <c r="AB2332" s="819">
        <v>7.4999999999999997E-3</v>
      </c>
      <c r="AC2332" s="365">
        <f>Z2332*AB2332</f>
        <v>0</v>
      </c>
      <c r="AD2332" s="209"/>
      <c r="AE2332" s="210">
        <f t="shared" si="896"/>
        <v>0</v>
      </c>
      <c r="AF2332" s="210">
        <f t="shared" si="897"/>
        <v>0</v>
      </c>
      <c r="AG2332" s="211">
        <f t="shared" si="898"/>
        <v>0.14499999999999999</v>
      </c>
      <c r="AH2332" s="157">
        <f t="shared" si="899"/>
        <v>0</v>
      </c>
      <c r="AI2332" s="152">
        <f t="shared" si="900"/>
        <v>9600</v>
      </c>
      <c r="AK2332" s="156" t="s">
        <v>691</v>
      </c>
      <c r="AL2332" s="212" t="s">
        <v>690</v>
      </c>
      <c r="AM2332" s="198">
        <f t="shared" si="894"/>
        <v>0</v>
      </c>
      <c r="AN2332" s="199">
        <f t="shared" si="889"/>
        <v>45812</v>
      </c>
      <c r="AO2332" s="159" t="s">
        <v>692</v>
      </c>
      <c r="AP2332" s="783" t="s">
        <v>613</v>
      </c>
      <c r="AQ2332" s="782">
        <v>12071839</v>
      </c>
      <c r="AR2332" s="782">
        <v>12047514</v>
      </c>
      <c r="AS2332" s="782">
        <v>12047515</v>
      </c>
      <c r="AT2332" s="782">
        <v>12062626</v>
      </c>
      <c r="AU2332" s="782" t="s">
        <v>563</v>
      </c>
      <c r="AV2332" s="782">
        <v>12062625</v>
      </c>
      <c r="AW2332" s="782"/>
      <c r="AX2332" s="782"/>
      <c r="AY2332" s="782"/>
      <c r="AZ2332" s="782"/>
      <c r="BA2332" s="781"/>
    </row>
    <row r="2333" spans="1:54" ht="24.65" hidden="1" customHeight="1">
      <c r="B2333" s="308">
        <v>45812</v>
      </c>
      <c r="C2333" s="309">
        <v>45827</v>
      </c>
      <c r="D2333" s="185">
        <f t="shared" si="891"/>
        <v>2025</v>
      </c>
      <c r="E2333" s="309" t="e">
        <f>VLOOKUP($B2333,Week!$A$1:$C$1462,2,0)</f>
        <v>#N/A</v>
      </c>
      <c r="F2333" s="310" t="str">
        <f t="shared" si="892"/>
        <v>Jun</v>
      </c>
      <c r="G2333" s="311" t="s">
        <v>2247</v>
      </c>
      <c r="H2333" s="311" t="s">
        <v>311</v>
      </c>
      <c r="I2333" s="311" t="s">
        <v>2772</v>
      </c>
      <c r="J2333" s="312" t="s">
        <v>738</v>
      </c>
      <c r="K2333" s="313" t="s">
        <v>107</v>
      </c>
      <c r="L2333" s="300" t="s">
        <v>2167</v>
      </c>
      <c r="M2333" s="312" t="s">
        <v>313</v>
      </c>
      <c r="N2333" s="311" t="s">
        <v>314</v>
      </c>
      <c r="O2333" s="311" t="s">
        <v>110</v>
      </c>
      <c r="P2333" s="314">
        <v>36</v>
      </c>
      <c r="Q2333" s="314">
        <v>5</v>
      </c>
      <c r="R2333" s="315">
        <v>7.4999999999999997E-3</v>
      </c>
      <c r="S2333" s="311" t="s">
        <v>111</v>
      </c>
      <c r="T2333" s="311" t="s">
        <v>112</v>
      </c>
      <c r="U2333" s="311" t="s">
        <v>57</v>
      </c>
      <c r="V2333" s="316">
        <f>792-114</f>
        <v>678</v>
      </c>
      <c r="W2333" s="316">
        <f>509</f>
        <v>509</v>
      </c>
      <c r="X2333" s="317">
        <f>(6084)/36</f>
        <v>169</v>
      </c>
      <c r="Y2333" s="318">
        <f>(W2333+X2333)-V2333</f>
        <v>0</v>
      </c>
      <c r="Z2333" s="319">
        <f t="shared" si="895"/>
        <v>0</v>
      </c>
      <c r="AA2333" s="319">
        <f t="shared" si="893"/>
        <v>0</v>
      </c>
      <c r="AB2333" s="815">
        <v>7.4999999999999997E-3</v>
      </c>
      <c r="AC2333" s="316">
        <f>Z2333*AB2333</f>
        <v>0</v>
      </c>
      <c r="AD2333" s="515"/>
      <c r="AE2333" s="210">
        <f t="shared" si="896"/>
        <v>0</v>
      </c>
      <c r="AF2333" s="210">
        <f t="shared" si="897"/>
        <v>0</v>
      </c>
      <c r="AG2333" s="211">
        <f t="shared" si="898"/>
        <v>0.308</v>
      </c>
      <c r="AH2333" s="157">
        <f t="shared" si="899"/>
        <v>0</v>
      </c>
      <c r="AI2333" s="152">
        <f t="shared" si="900"/>
        <v>24408</v>
      </c>
      <c r="AK2333" s="156" t="s">
        <v>691</v>
      </c>
      <c r="AL2333" s="212" t="s">
        <v>690</v>
      </c>
      <c r="AM2333" s="198">
        <f t="shared" si="894"/>
        <v>0</v>
      </c>
      <c r="AN2333" s="199">
        <f t="shared" si="889"/>
        <v>45812</v>
      </c>
      <c r="AO2333" s="159" t="s">
        <v>692</v>
      </c>
      <c r="AP2333" s="783" t="s">
        <v>644</v>
      </c>
      <c r="AQ2333" s="782">
        <v>12063755</v>
      </c>
      <c r="AR2333" s="782">
        <v>12061353</v>
      </c>
      <c r="AS2333" s="782">
        <v>12061354</v>
      </c>
      <c r="AT2333" s="782">
        <v>12062266</v>
      </c>
      <c r="AU2333" s="781"/>
      <c r="AV2333" s="782">
        <v>12088159</v>
      </c>
      <c r="AW2333" s="782">
        <v>12088207</v>
      </c>
      <c r="AX2333" s="782"/>
      <c r="AY2333" s="782">
        <v>12094237</v>
      </c>
      <c r="AZ2333" s="782"/>
      <c r="BA2333" s="781"/>
      <c r="BB2333" s="209">
        <v>23053185</v>
      </c>
    </row>
    <row r="2334" spans="1:54" ht="24.75" hidden="1" customHeight="1">
      <c r="B2334" s="320">
        <v>45812</v>
      </c>
      <c r="C2334" s="321">
        <v>45841</v>
      </c>
      <c r="D2334" s="185">
        <f t="shared" si="891"/>
        <v>2025</v>
      </c>
      <c r="E2334" s="321" t="e">
        <f>VLOOKUP($B2334,Week!$A$1:$C$1462,2,0)</f>
        <v>#N/A</v>
      </c>
      <c r="F2334" s="322" t="str">
        <f t="shared" si="892"/>
        <v>Jun</v>
      </c>
      <c r="G2334" s="323" t="s">
        <v>2216</v>
      </c>
      <c r="H2334" s="323" t="s">
        <v>675</v>
      </c>
      <c r="I2334" s="323" t="s">
        <v>2772</v>
      </c>
      <c r="J2334" s="324" t="s">
        <v>709</v>
      </c>
      <c r="K2334" s="325" t="s">
        <v>107</v>
      </c>
      <c r="L2334" s="300" t="s">
        <v>2167</v>
      </c>
      <c r="M2334" s="324" t="s">
        <v>313</v>
      </c>
      <c r="N2334" s="596" t="s">
        <v>710</v>
      </c>
      <c r="O2334" s="323" t="s">
        <v>592</v>
      </c>
      <c r="P2334" s="326">
        <v>8</v>
      </c>
      <c r="Q2334" s="326">
        <v>4</v>
      </c>
      <c r="R2334" s="327">
        <v>7.4999999999999997E-3</v>
      </c>
      <c r="S2334" s="323" t="s">
        <v>111</v>
      </c>
      <c r="T2334" s="323" t="s">
        <v>112</v>
      </c>
      <c r="U2334" s="323" t="s">
        <v>57</v>
      </c>
      <c r="V2334" s="328">
        <f>485</f>
        <v>485</v>
      </c>
      <c r="W2334" s="328"/>
      <c r="X2334" s="329">
        <f>(44+3836)/8</f>
        <v>485</v>
      </c>
      <c r="Y2334" s="330">
        <f t="shared" ref="Y2334:Y2339" si="901">(W2334+X2334)-V2334</f>
        <v>0</v>
      </c>
      <c r="Z2334" s="331">
        <f t="shared" si="895"/>
        <v>0</v>
      </c>
      <c r="AA2334" s="331">
        <f t="shared" si="893"/>
        <v>0</v>
      </c>
      <c r="AB2334" s="816">
        <v>7.4999999999999997E-3</v>
      </c>
      <c r="AC2334" s="328">
        <f t="shared" ref="AC2334:AC2339" si="902">Z2334*AB2334</f>
        <v>0</v>
      </c>
      <c r="AD2334" s="443"/>
      <c r="AE2334" s="210">
        <f t="shared" si="896"/>
        <v>0</v>
      </c>
      <c r="AF2334" s="210">
        <f t="shared" si="897"/>
        <v>0</v>
      </c>
      <c r="AG2334" s="211">
        <f t="shared" si="898"/>
        <v>0.30499999999999999</v>
      </c>
      <c r="AH2334" s="157">
        <f t="shared" si="899"/>
        <v>0</v>
      </c>
      <c r="AI2334" s="152">
        <f t="shared" si="900"/>
        <v>3880</v>
      </c>
      <c r="AK2334" s="156" t="s">
        <v>691</v>
      </c>
      <c r="AL2334" s="212" t="s">
        <v>690</v>
      </c>
      <c r="AM2334" s="198">
        <f t="shared" si="894"/>
        <v>0</v>
      </c>
      <c r="AN2334" s="199">
        <f t="shared" si="889"/>
        <v>45812</v>
      </c>
      <c r="AO2334" s="159" t="s">
        <v>692</v>
      </c>
      <c r="AP2334" s="783" t="s">
        <v>643</v>
      </c>
      <c r="AQ2334" s="782">
        <v>12063755</v>
      </c>
      <c r="AR2334" s="782">
        <v>12061353</v>
      </c>
      <c r="AS2334" s="782">
        <v>12061354</v>
      </c>
      <c r="AT2334" s="782">
        <v>12089987</v>
      </c>
      <c r="AU2334" s="781"/>
      <c r="AV2334" s="782">
        <v>12089986</v>
      </c>
      <c r="AW2334" s="782"/>
      <c r="AX2334" s="782"/>
      <c r="AY2334" s="782"/>
      <c r="AZ2334" s="782"/>
      <c r="BA2334" s="781"/>
      <c r="BB2334" s="209">
        <v>23053185</v>
      </c>
    </row>
    <row r="2335" spans="1:54" ht="25" hidden="1" customHeight="1">
      <c r="B2335" s="308">
        <v>45812</v>
      </c>
      <c r="C2335" s="309">
        <v>45832</v>
      </c>
      <c r="D2335" s="185">
        <f t="shared" si="891"/>
        <v>2025</v>
      </c>
      <c r="E2335" s="309" t="e">
        <f>VLOOKUP($B2335,Week!$A$1:$C$1462,2,0)</f>
        <v>#N/A</v>
      </c>
      <c r="F2335" s="310" t="str">
        <f t="shared" si="892"/>
        <v>Jun</v>
      </c>
      <c r="G2335" s="311" t="s">
        <v>2349</v>
      </c>
      <c r="H2335" s="311" t="s">
        <v>431</v>
      </c>
      <c r="I2335" s="311" t="s">
        <v>2772</v>
      </c>
      <c r="J2335" s="312" t="s">
        <v>432</v>
      </c>
      <c r="K2335" s="313" t="s">
        <v>107</v>
      </c>
      <c r="L2335" s="300" t="s">
        <v>2167</v>
      </c>
      <c r="M2335" s="312" t="s">
        <v>136</v>
      </c>
      <c r="N2335" s="311" t="s">
        <v>542</v>
      </c>
      <c r="O2335" s="311" t="s">
        <v>543</v>
      </c>
      <c r="P2335" s="314">
        <v>8</v>
      </c>
      <c r="Q2335" s="314">
        <v>3</v>
      </c>
      <c r="R2335" s="315">
        <v>7.4999999999999997E-3</v>
      </c>
      <c r="S2335" s="311" t="s">
        <v>111</v>
      </c>
      <c r="T2335" s="311" t="s">
        <v>112</v>
      </c>
      <c r="U2335" s="311" t="s">
        <v>57</v>
      </c>
      <c r="V2335" s="316">
        <f>720</f>
        <v>720</v>
      </c>
      <c r="W2335" s="316"/>
      <c r="X2335" s="317">
        <f>(1198+4562)/8</f>
        <v>720</v>
      </c>
      <c r="Y2335" s="318">
        <f t="shared" si="901"/>
        <v>0</v>
      </c>
      <c r="Z2335" s="319">
        <f t="shared" si="895"/>
        <v>0</v>
      </c>
      <c r="AA2335" s="319">
        <f t="shared" si="893"/>
        <v>0</v>
      </c>
      <c r="AB2335" s="815">
        <v>7.4999999999999997E-3</v>
      </c>
      <c r="AC2335" s="316">
        <f t="shared" si="902"/>
        <v>0</v>
      </c>
      <c r="AD2335" s="209"/>
      <c r="AE2335" s="210">
        <f t="shared" si="896"/>
        <v>0</v>
      </c>
      <c r="AF2335" s="210">
        <f t="shared" si="897"/>
        <v>0</v>
      </c>
      <c r="AG2335" s="211">
        <f t="shared" si="898"/>
        <v>0.309</v>
      </c>
      <c r="AH2335" s="157">
        <f t="shared" si="899"/>
        <v>0</v>
      </c>
      <c r="AI2335" s="152">
        <f t="shared" si="900"/>
        <v>5760</v>
      </c>
      <c r="AK2335" s="156" t="s">
        <v>691</v>
      </c>
      <c r="AL2335" s="212" t="s">
        <v>690</v>
      </c>
      <c r="AM2335" s="198">
        <f t="shared" si="894"/>
        <v>0</v>
      </c>
      <c r="AN2335" s="199">
        <f t="shared" si="889"/>
        <v>45812</v>
      </c>
      <c r="AO2335" s="159" t="s">
        <v>692</v>
      </c>
      <c r="AP2335" s="781"/>
      <c r="AQ2335" s="782">
        <v>12063755</v>
      </c>
      <c r="AR2335" s="782">
        <v>12061353</v>
      </c>
      <c r="AS2335" s="782">
        <v>12061354</v>
      </c>
      <c r="AT2335" s="782">
        <v>12083615</v>
      </c>
      <c r="AU2335" s="781"/>
      <c r="AV2335" s="782">
        <v>12062186</v>
      </c>
      <c r="AW2335" s="782"/>
      <c r="AX2335" s="782"/>
      <c r="AY2335" s="782"/>
      <c r="AZ2335" s="782"/>
      <c r="BA2335" s="781"/>
    </row>
    <row r="2336" spans="1:54" ht="25" hidden="1" customHeight="1">
      <c r="A2336" s="440"/>
      <c r="B2336" s="295">
        <v>45812</v>
      </c>
      <c r="C2336" s="295">
        <v>45834</v>
      </c>
      <c r="D2336" s="298">
        <f t="shared" si="891"/>
        <v>2025</v>
      </c>
      <c r="E2336" s="855" t="e">
        <f>VLOOKUP($B2336,Week!$A$1:$C$1462,2,0)</f>
        <v>#N/A</v>
      </c>
      <c r="F2336" s="856" t="str">
        <f t="shared" si="892"/>
        <v>Jun</v>
      </c>
      <c r="G2336" s="857" t="s">
        <v>2296</v>
      </c>
      <c r="H2336" s="298" t="s">
        <v>267</v>
      </c>
      <c r="I2336" s="298" t="s">
        <v>2772</v>
      </c>
      <c r="J2336" s="299" t="s">
        <v>699</v>
      </c>
      <c r="K2336" s="300" t="s">
        <v>107</v>
      </c>
      <c r="L2336" s="300" t="s">
        <v>2167</v>
      </c>
      <c r="M2336" s="299" t="s">
        <v>136</v>
      </c>
      <c r="N2336" s="298" t="s">
        <v>2289</v>
      </c>
      <c r="O2336" s="298" t="s">
        <v>270</v>
      </c>
      <c r="P2336" s="301">
        <v>12</v>
      </c>
      <c r="Q2336" s="301">
        <v>3</v>
      </c>
      <c r="R2336" s="302">
        <v>7.4999999999999997E-3</v>
      </c>
      <c r="S2336" s="298" t="s">
        <v>76</v>
      </c>
      <c r="T2336" s="298" t="s">
        <v>112</v>
      </c>
      <c r="U2336" s="298" t="s">
        <v>57</v>
      </c>
      <c r="V2336" s="303">
        <v>2451</v>
      </c>
      <c r="W2336" s="303">
        <f>2451</f>
        <v>2451</v>
      </c>
      <c r="X2336" s="304"/>
      <c r="Y2336" s="305">
        <f t="shared" si="901"/>
        <v>0</v>
      </c>
      <c r="Z2336" s="306">
        <f t="shared" si="895"/>
        <v>0</v>
      </c>
      <c r="AA2336" s="306">
        <f t="shared" si="893"/>
        <v>0</v>
      </c>
      <c r="AB2336" s="814">
        <v>7.4999999999999997E-3</v>
      </c>
      <c r="AC2336" s="303">
        <f t="shared" si="902"/>
        <v>0</v>
      </c>
      <c r="AD2336" s="443"/>
      <c r="AE2336" s="210">
        <f t="shared" si="896"/>
        <v>0</v>
      </c>
      <c r="AF2336" s="210">
        <f t="shared" si="897"/>
        <v>0</v>
      </c>
      <c r="AG2336" s="211">
        <f t="shared" si="898"/>
        <v>0.309</v>
      </c>
      <c r="AH2336" s="157">
        <f t="shared" si="899"/>
        <v>0</v>
      </c>
      <c r="AI2336" s="152">
        <f t="shared" si="900"/>
        <v>29412</v>
      </c>
      <c r="AK2336" s="156" t="s">
        <v>691</v>
      </c>
      <c r="AL2336" s="212" t="s">
        <v>690</v>
      </c>
      <c r="AM2336" s="198">
        <f t="shared" si="894"/>
        <v>0</v>
      </c>
      <c r="AN2336" s="199">
        <f t="shared" si="889"/>
        <v>45812</v>
      </c>
      <c r="AO2336" s="159" t="s">
        <v>692</v>
      </c>
      <c r="AP2336" s="781"/>
      <c r="AQ2336" s="782">
        <v>12063755</v>
      </c>
      <c r="AR2336" s="782">
        <v>12081257</v>
      </c>
      <c r="AS2336" s="782">
        <v>12081260</v>
      </c>
      <c r="AT2336" s="782"/>
      <c r="AU2336" s="781"/>
      <c r="AV2336" s="782">
        <v>12095577</v>
      </c>
      <c r="AW2336" s="782"/>
      <c r="AX2336" s="782"/>
      <c r="AY2336" s="782">
        <v>12094579</v>
      </c>
      <c r="AZ2336" s="782">
        <v>12094580</v>
      </c>
      <c r="BA2336" s="782">
        <v>12094581</v>
      </c>
      <c r="BB2336" s="209">
        <v>23053185</v>
      </c>
    </row>
    <row r="2337" spans="1:54" ht="25" hidden="1" customHeight="1">
      <c r="A2337" s="630" t="s">
        <v>120</v>
      </c>
      <c r="B2337" s="466">
        <v>45813</v>
      </c>
      <c r="C2337" s="467">
        <v>45824</v>
      </c>
      <c r="D2337" s="185">
        <f t="shared" si="891"/>
        <v>2025</v>
      </c>
      <c r="E2337" s="468" t="e">
        <f>VLOOKUP($B2337,Week!$A$1:$C$1462,2,0)</f>
        <v>#N/A</v>
      </c>
      <c r="F2337" s="469" t="str">
        <f t="shared" si="892"/>
        <v>Jun</v>
      </c>
      <c r="G2337" s="470" t="s">
        <v>2186</v>
      </c>
      <c r="H2337" s="468" t="s">
        <v>82</v>
      </c>
      <c r="I2337" s="468" t="s">
        <v>82</v>
      </c>
      <c r="J2337" s="471" t="s">
        <v>720</v>
      </c>
      <c r="K2337" s="472" t="s">
        <v>85</v>
      </c>
      <c r="L2337" s="390" t="s">
        <v>2166</v>
      </c>
      <c r="M2337" s="471" t="s">
        <v>579</v>
      </c>
      <c r="N2337" s="468" t="s">
        <v>580</v>
      </c>
      <c r="O2337" s="468" t="s">
        <v>581</v>
      </c>
      <c r="P2337" s="473">
        <v>8</v>
      </c>
      <c r="Q2337" s="473">
        <v>60</v>
      </c>
      <c r="R2337" s="474">
        <v>6.8100000000000001E-3</v>
      </c>
      <c r="S2337" s="468" t="s">
        <v>76</v>
      </c>
      <c r="T2337" s="468" t="s">
        <v>56</v>
      </c>
      <c r="U2337" s="468" t="s">
        <v>89</v>
      </c>
      <c r="V2337" s="475">
        <f>1408-781</f>
        <v>627</v>
      </c>
      <c r="W2337" s="475">
        <v>627</v>
      </c>
      <c r="X2337" s="476"/>
      <c r="Y2337" s="477">
        <f t="shared" si="901"/>
        <v>0</v>
      </c>
      <c r="Z2337" s="478">
        <f t="shared" si="895"/>
        <v>0</v>
      </c>
      <c r="AA2337" s="478">
        <f t="shared" si="893"/>
        <v>0</v>
      </c>
      <c r="AB2337" s="828">
        <v>6</v>
      </c>
      <c r="AC2337" s="475">
        <f t="shared" si="902"/>
        <v>0</v>
      </c>
      <c r="AD2337" s="209"/>
      <c r="AE2337" s="210">
        <f t="shared" si="896"/>
        <v>0</v>
      </c>
      <c r="AF2337" s="210">
        <f t="shared" si="897"/>
        <v>0</v>
      </c>
      <c r="AG2337" s="211">
        <f t="shared" si="898"/>
        <v>0.75</v>
      </c>
      <c r="AH2337" s="157">
        <f t="shared" si="899"/>
        <v>0</v>
      </c>
      <c r="AI2337" s="152">
        <f t="shared" si="900"/>
        <v>5016</v>
      </c>
      <c r="AK2337" s="156" t="s">
        <v>691</v>
      </c>
      <c r="AL2337" s="156" t="s">
        <v>689</v>
      </c>
      <c r="AM2337" s="198">
        <f t="shared" si="894"/>
        <v>0</v>
      </c>
      <c r="AN2337" s="199">
        <f t="shared" si="889"/>
        <v>45813</v>
      </c>
      <c r="AO2337" s="159" t="s">
        <v>692</v>
      </c>
      <c r="AP2337" s="783" t="s">
        <v>622</v>
      </c>
      <c r="AQ2337" s="782">
        <v>12088677</v>
      </c>
      <c r="AR2337" s="782" t="s">
        <v>2142</v>
      </c>
      <c r="AS2337" s="782"/>
      <c r="AT2337" s="782">
        <v>12082897</v>
      </c>
      <c r="AU2337" s="781"/>
      <c r="AV2337" s="782">
        <v>12082898</v>
      </c>
      <c r="AW2337" s="782">
        <v>12082899</v>
      </c>
      <c r="AX2337" s="796" t="s">
        <v>621</v>
      </c>
      <c r="AY2337" s="782"/>
      <c r="AZ2337" s="782"/>
      <c r="BA2337" s="781"/>
      <c r="BB2337" s="209">
        <v>23053184</v>
      </c>
    </row>
    <row r="2338" spans="1:54" ht="24.75" hidden="1" customHeight="1">
      <c r="B2338" s="295">
        <v>45813</v>
      </c>
      <c r="C2338" s="771" t="s">
        <v>1930</v>
      </c>
      <c r="D2338" s="185">
        <f t="shared" si="891"/>
        <v>2025</v>
      </c>
      <c r="E2338" s="296" t="e">
        <f>VLOOKUP($B2338,Week!$A$1:$C$1462,2,0)</f>
        <v>#N/A</v>
      </c>
      <c r="F2338" s="297" t="str">
        <f t="shared" si="892"/>
        <v>Jun</v>
      </c>
      <c r="G2338" s="648" t="s">
        <v>47</v>
      </c>
      <c r="H2338" s="298" t="s">
        <v>260</v>
      </c>
      <c r="I2338" s="298" t="s">
        <v>2702</v>
      </c>
      <c r="J2338" s="307" t="s">
        <v>2240</v>
      </c>
      <c r="K2338" s="300" t="s">
        <v>176</v>
      </c>
      <c r="L2338" s="300" t="s">
        <v>2167</v>
      </c>
      <c r="M2338" s="299" t="s">
        <v>2338</v>
      </c>
      <c r="N2338" s="298" t="s">
        <v>350</v>
      </c>
      <c r="O2338" s="298" t="s">
        <v>351</v>
      </c>
      <c r="P2338" s="301">
        <v>24</v>
      </c>
      <c r="Q2338" s="301">
        <v>5</v>
      </c>
      <c r="R2338" s="302">
        <v>6.1999999999999998E-3</v>
      </c>
      <c r="S2338" s="298" t="s">
        <v>352</v>
      </c>
      <c r="T2338" s="298" t="s">
        <v>56</v>
      </c>
      <c r="U2338" s="298" t="s">
        <v>57</v>
      </c>
      <c r="V2338" s="303">
        <v>2197</v>
      </c>
      <c r="W2338" s="303">
        <f>2197</f>
        <v>2197</v>
      </c>
      <c r="X2338" s="304"/>
      <c r="Y2338" s="305">
        <f t="shared" si="901"/>
        <v>0</v>
      </c>
      <c r="Z2338" s="306">
        <f t="shared" si="895"/>
        <v>0</v>
      </c>
      <c r="AA2338" s="306">
        <f t="shared" si="893"/>
        <v>0</v>
      </c>
      <c r="AB2338" s="814">
        <v>7.4999999999999997E-3</v>
      </c>
      <c r="AC2338" s="303">
        <f t="shared" si="902"/>
        <v>0</v>
      </c>
      <c r="AD2338" s="573" t="s">
        <v>2345</v>
      </c>
      <c r="AE2338" s="210">
        <f t="shared" si="896"/>
        <v>0</v>
      </c>
      <c r="AF2338" s="210">
        <f t="shared" si="897"/>
        <v>0</v>
      </c>
      <c r="AG2338" s="211">
        <f t="shared" si="898"/>
        <v>0.13</v>
      </c>
      <c r="AH2338" s="157">
        <f t="shared" si="899"/>
        <v>0</v>
      </c>
      <c r="AI2338" s="152">
        <f t="shared" si="900"/>
        <v>52728</v>
      </c>
      <c r="AK2338" s="156" t="s">
        <v>691</v>
      </c>
      <c r="AL2338" s="574" t="s">
        <v>690</v>
      </c>
      <c r="AM2338" s="198">
        <f t="shared" si="894"/>
        <v>0</v>
      </c>
      <c r="AN2338" s="199">
        <f t="shared" si="889"/>
        <v>45813</v>
      </c>
      <c r="AO2338" s="159" t="s">
        <v>692</v>
      </c>
      <c r="AP2338" s="783" t="s">
        <v>629</v>
      </c>
      <c r="AQ2338" s="782">
        <v>12071839</v>
      </c>
      <c r="AR2338" s="869">
        <v>12094356</v>
      </c>
      <c r="AS2338" s="782">
        <v>12068233</v>
      </c>
      <c r="AT2338" s="781"/>
      <c r="AU2338" s="781"/>
      <c r="AV2338" s="782">
        <v>12062075</v>
      </c>
      <c r="AW2338" s="781"/>
      <c r="AX2338" s="781"/>
      <c r="AY2338" s="869">
        <v>12094357</v>
      </c>
      <c r="AZ2338" s="781"/>
      <c r="BA2338" s="781"/>
      <c r="BB2338" s="209">
        <v>23053185</v>
      </c>
    </row>
    <row r="2339" spans="1:54" ht="25" hidden="1" customHeight="1">
      <c r="B2339" s="583">
        <v>45814</v>
      </c>
      <c r="C2339" s="795" t="s">
        <v>1930</v>
      </c>
      <c r="D2339" s="185">
        <f t="shared" si="891"/>
        <v>2025</v>
      </c>
      <c r="E2339" s="777" t="e">
        <f>VLOOKUP($B2339,Week!$A$1:$C$1462,2,0)</f>
        <v>#N/A</v>
      </c>
      <c r="F2339" s="778" t="str">
        <f t="shared" si="892"/>
        <v>Jun</v>
      </c>
      <c r="G2339" s="586" t="s">
        <v>47</v>
      </c>
      <c r="H2339" s="586" t="s">
        <v>260</v>
      </c>
      <c r="I2339" s="586" t="s">
        <v>2702</v>
      </c>
      <c r="J2339" s="587" t="s">
        <v>70</v>
      </c>
      <c r="K2339" s="588" t="s">
        <v>227</v>
      </c>
      <c r="L2339" s="300" t="s">
        <v>2167</v>
      </c>
      <c r="M2339" s="587" t="s">
        <v>2006</v>
      </c>
      <c r="N2339" s="586" t="s">
        <v>2004</v>
      </c>
      <c r="O2339" s="586" t="s">
        <v>2005</v>
      </c>
      <c r="P2339" s="589">
        <v>12</v>
      </c>
      <c r="Q2339" s="589">
        <v>3</v>
      </c>
      <c r="R2339" s="590">
        <v>8.0000000000000002E-3</v>
      </c>
      <c r="S2339" s="586" t="s">
        <v>352</v>
      </c>
      <c r="T2339" s="586" t="s">
        <v>56</v>
      </c>
      <c r="U2339" s="586" t="s">
        <v>2007</v>
      </c>
      <c r="V2339" s="779">
        <f>10500+1500</f>
        <v>12000</v>
      </c>
      <c r="W2339" s="592">
        <f>330-114-8+215+11361+52</f>
        <v>11836</v>
      </c>
      <c r="X2339" s="593">
        <f>(1968)/12</f>
        <v>164</v>
      </c>
      <c r="Y2339" s="594">
        <f t="shared" si="901"/>
        <v>0</v>
      </c>
      <c r="Z2339" s="595">
        <f t="shared" si="895"/>
        <v>0</v>
      </c>
      <c r="AA2339" s="595">
        <f t="shared" si="893"/>
        <v>0</v>
      </c>
      <c r="AB2339" s="835">
        <v>0.05</v>
      </c>
      <c r="AC2339" s="592">
        <f t="shared" si="902"/>
        <v>0</v>
      </c>
      <c r="AD2339" s="209"/>
      <c r="AE2339" s="210">
        <f t="shared" si="896"/>
        <v>0</v>
      </c>
      <c r="AF2339" s="210">
        <f t="shared" si="897"/>
        <v>0</v>
      </c>
      <c r="AG2339" s="211">
        <f t="shared" si="898"/>
        <v>0.22700000000000001</v>
      </c>
      <c r="AH2339" s="157">
        <f t="shared" si="899"/>
        <v>0</v>
      </c>
      <c r="AI2339" s="152">
        <f t="shared" si="900"/>
        <v>144000</v>
      </c>
      <c r="AK2339" s="156" t="s">
        <v>691</v>
      </c>
      <c r="AL2339" s="212" t="s">
        <v>690</v>
      </c>
      <c r="AM2339" s="198">
        <f t="shared" si="894"/>
        <v>0</v>
      </c>
      <c r="AN2339" s="199">
        <f t="shared" si="889"/>
        <v>45814</v>
      </c>
      <c r="AO2339" s="159" t="s">
        <v>692</v>
      </c>
      <c r="AP2339" s="783" t="s">
        <v>623</v>
      </c>
      <c r="AQ2339" s="782">
        <v>12071839</v>
      </c>
      <c r="AR2339" s="782">
        <v>12042650</v>
      </c>
      <c r="AS2339" s="782">
        <v>12042649</v>
      </c>
      <c r="AT2339" s="782"/>
      <c r="AU2339" s="781"/>
      <c r="AV2339" s="782">
        <v>12094036</v>
      </c>
      <c r="AW2339" s="782"/>
      <c r="AX2339" s="782"/>
      <c r="AY2339" s="782">
        <v>12094035</v>
      </c>
      <c r="AZ2339" s="782">
        <v>12094041</v>
      </c>
      <c r="BA2339" s="781"/>
      <c r="BB2339" s="209">
        <v>11044165</v>
      </c>
    </row>
    <row r="2340" spans="1:54" ht="24.75" hidden="1" customHeight="1">
      <c r="B2340" s="295">
        <v>45815</v>
      </c>
      <c r="C2340" s="771" t="s">
        <v>1930</v>
      </c>
      <c r="D2340" s="185">
        <f t="shared" si="891"/>
        <v>2025</v>
      </c>
      <c r="E2340" s="296" t="e">
        <f>VLOOKUP($B2340,Week!$A$1:$C$1462,2,0)</f>
        <v>#N/A</v>
      </c>
      <c r="F2340" s="297" t="str">
        <f t="shared" si="892"/>
        <v>Jun</v>
      </c>
      <c r="G2340" s="648" t="s">
        <v>47</v>
      </c>
      <c r="H2340" s="298" t="s">
        <v>260</v>
      </c>
      <c r="I2340" s="298" t="s">
        <v>2702</v>
      </c>
      <c r="J2340" s="307" t="s">
        <v>2240</v>
      </c>
      <c r="K2340" s="300" t="s">
        <v>176</v>
      </c>
      <c r="L2340" s="300" t="s">
        <v>2167</v>
      </c>
      <c r="M2340" s="299" t="s">
        <v>2338</v>
      </c>
      <c r="N2340" s="298" t="s">
        <v>350</v>
      </c>
      <c r="O2340" s="298" t="s">
        <v>351</v>
      </c>
      <c r="P2340" s="301">
        <v>24</v>
      </c>
      <c r="Q2340" s="301">
        <v>5</v>
      </c>
      <c r="R2340" s="302">
        <v>6.1999999999999998E-3</v>
      </c>
      <c r="S2340" s="298" t="s">
        <v>352</v>
      </c>
      <c r="T2340" s="298" t="s">
        <v>56</v>
      </c>
      <c r="U2340" s="298" t="s">
        <v>57</v>
      </c>
      <c r="V2340" s="303">
        <f>6669</f>
        <v>6669</v>
      </c>
      <c r="W2340" s="303">
        <f>1+6668</f>
        <v>6669</v>
      </c>
      <c r="X2340" s="304"/>
      <c r="Y2340" s="305">
        <f>(W2340+X2340)-V2340</f>
        <v>0</v>
      </c>
      <c r="Z2340" s="306">
        <f t="shared" si="895"/>
        <v>0</v>
      </c>
      <c r="AA2340" s="306">
        <f t="shared" si="893"/>
        <v>0</v>
      </c>
      <c r="AB2340" s="814">
        <v>7.4999999999999997E-3</v>
      </c>
      <c r="AC2340" s="303">
        <f>Z2340*AB2340</f>
        <v>0</v>
      </c>
      <c r="AD2340" s="209"/>
      <c r="AE2340" s="210">
        <f t="shared" si="896"/>
        <v>0</v>
      </c>
      <c r="AF2340" s="210">
        <f t="shared" si="897"/>
        <v>0</v>
      </c>
      <c r="AG2340" s="211">
        <f t="shared" si="898"/>
        <v>0.13</v>
      </c>
      <c r="AH2340" s="157">
        <f t="shared" si="899"/>
        <v>0</v>
      </c>
      <c r="AI2340" s="152">
        <f t="shared" si="900"/>
        <v>160056</v>
      </c>
      <c r="AK2340" s="156" t="s">
        <v>691</v>
      </c>
      <c r="AL2340" s="574" t="s">
        <v>690</v>
      </c>
      <c r="AM2340" s="198">
        <f t="shared" si="894"/>
        <v>0</v>
      </c>
      <c r="AN2340" s="199">
        <f t="shared" si="889"/>
        <v>45815</v>
      </c>
      <c r="AO2340" s="159" t="s">
        <v>692</v>
      </c>
      <c r="AP2340" s="783" t="s">
        <v>629</v>
      </c>
      <c r="AQ2340" s="782">
        <v>12071839</v>
      </c>
      <c r="AR2340" s="782">
        <v>12094356</v>
      </c>
      <c r="AS2340" s="782">
        <v>12068233</v>
      </c>
      <c r="AT2340" s="781"/>
      <c r="AU2340" s="781"/>
      <c r="AV2340" s="782">
        <v>12062075</v>
      </c>
      <c r="AW2340" s="781"/>
      <c r="AX2340" s="781"/>
      <c r="AY2340" s="782">
        <v>12094357</v>
      </c>
      <c r="AZ2340" s="781"/>
      <c r="BA2340" s="781"/>
      <c r="BB2340" s="209">
        <v>23053185</v>
      </c>
    </row>
    <row r="2341" spans="1:54" ht="25" hidden="1" customHeight="1">
      <c r="B2341" s="183">
        <v>45816</v>
      </c>
      <c r="C2341" s="184"/>
      <c r="D2341" s="185">
        <f t="shared" si="891"/>
        <v>2025</v>
      </c>
      <c r="E2341" s="185" t="e">
        <f>VLOOKUP($B2341,Week!$A$1:$C$1462,2,0)</f>
        <v>#N/A</v>
      </c>
      <c r="F2341" s="186" t="str">
        <f t="shared" si="892"/>
        <v>Jun</v>
      </c>
      <c r="G2341" s="481"/>
      <c r="H2341" s="185"/>
      <c r="I2341" s="185"/>
      <c r="J2341" s="187"/>
      <c r="K2341" s="188"/>
      <c r="L2341" s="188"/>
      <c r="M2341" s="187"/>
      <c r="N2341" s="185"/>
      <c r="O2341" s="185"/>
      <c r="P2341" s="189"/>
      <c r="Q2341" s="189"/>
      <c r="R2341" s="190"/>
      <c r="S2341" s="185"/>
      <c r="T2341" s="185"/>
      <c r="U2341" s="185"/>
      <c r="V2341" s="191"/>
      <c r="W2341" s="191"/>
      <c r="X2341" s="192"/>
      <c r="Y2341" s="193"/>
      <c r="Z2341" s="194"/>
      <c r="AA2341" s="194">
        <f t="shared" si="893"/>
        <v>0</v>
      </c>
      <c r="AB2341" s="805"/>
      <c r="AC2341" s="191"/>
      <c r="AD2341" s="187"/>
      <c r="AE2341" s="195"/>
      <c r="AF2341" s="195"/>
      <c r="AG2341" s="196"/>
      <c r="AH2341" s="197"/>
      <c r="AK2341" s="156" t="s">
        <v>691</v>
      </c>
      <c r="AM2341" s="198">
        <f t="shared" si="894"/>
        <v>0</v>
      </c>
      <c r="AN2341" s="199">
        <f t="shared" si="889"/>
        <v>45816</v>
      </c>
      <c r="AO2341" s="159" t="s">
        <v>692</v>
      </c>
      <c r="AP2341" s="781"/>
      <c r="AQ2341" s="782"/>
      <c r="AR2341" s="782"/>
      <c r="AS2341" s="782"/>
      <c r="AT2341" s="782"/>
      <c r="AU2341" s="781"/>
      <c r="AV2341" s="782"/>
      <c r="AW2341" s="782"/>
      <c r="AX2341" s="782"/>
      <c r="AY2341" s="782"/>
      <c r="AZ2341" s="782"/>
      <c r="BA2341" s="781"/>
      <c r="BB2341" s="209"/>
    </row>
    <row r="2342" spans="1:54" ht="25" hidden="1" customHeight="1">
      <c r="A2342" s="142" t="s">
        <v>120</v>
      </c>
      <c r="B2342" s="448">
        <v>45817</v>
      </c>
      <c r="C2342" s="449">
        <v>45824</v>
      </c>
      <c r="D2342" s="185">
        <f t="shared" si="891"/>
        <v>2025</v>
      </c>
      <c r="E2342" s="450" t="e">
        <f>VLOOKUP($B2342,Week!$A$1:$C$1462,2,0)</f>
        <v>#N/A</v>
      </c>
      <c r="F2342" s="451" t="str">
        <f t="shared" si="892"/>
        <v>Jun</v>
      </c>
      <c r="G2342" s="450" t="s">
        <v>2213</v>
      </c>
      <c r="H2342" s="450" t="s">
        <v>134</v>
      </c>
      <c r="I2342" s="450" t="s">
        <v>2772</v>
      </c>
      <c r="J2342" s="452" t="s">
        <v>164</v>
      </c>
      <c r="K2342" s="453" t="s">
        <v>153</v>
      </c>
      <c r="L2342" s="390" t="s">
        <v>2166</v>
      </c>
      <c r="M2342" s="452" t="s">
        <v>1642</v>
      </c>
      <c r="N2342" s="450" t="s">
        <v>429</v>
      </c>
      <c r="O2342" s="450" t="s">
        <v>505</v>
      </c>
      <c r="P2342" s="454">
        <v>20</v>
      </c>
      <c r="Q2342" s="454">
        <v>12</v>
      </c>
      <c r="R2342" s="455">
        <v>6.8100000000000001E-3</v>
      </c>
      <c r="S2342" s="450" t="s">
        <v>76</v>
      </c>
      <c r="T2342" s="450" t="s">
        <v>56</v>
      </c>
      <c r="U2342" s="773" t="s">
        <v>430</v>
      </c>
      <c r="V2342" s="456">
        <f>1200-128-234</f>
        <v>838</v>
      </c>
      <c r="W2342" s="456">
        <f>837</f>
        <v>837</v>
      </c>
      <c r="X2342" s="457">
        <f>(200)/20</f>
        <v>10</v>
      </c>
      <c r="Y2342" s="458">
        <f>(W2342+X2342)-V2342</f>
        <v>9</v>
      </c>
      <c r="Z2342" s="459">
        <f t="shared" ref="Z2342:Z2367" si="903">IF(Y2342&lt;0,((V2342*P2342)-((W2342+X2342)*P2342)),0)</f>
        <v>0</v>
      </c>
      <c r="AA2342" s="459">
        <f t="shared" si="893"/>
        <v>0</v>
      </c>
      <c r="AB2342" s="827">
        <v>2</v>
      </c>
      <c r="AC2342" s="456">
        <f>Z2342*AB2342</f>
        <v>0</v>
      </c>
      <c r="AD2342" s="209" t="s">
        <v>218</v>
      </c>
      <c r="AE2342" s="210"/>
      <c r="AF2342" s="210"/>
      <c r="AG2342" s="211">
        <f t="shared" ref="AG2342:AG2367" si="904">MID(O2342,1,3)/1000</f>
        <v>0.20399999999999999</v>
      </c>
      <c r="AH2342" s="157">
        <f t="shared" ref="AH2342:AH2347" si="905">(Z2342*AG2342)/1000</f>
        <v>0</v>
      </c>
      <c r="AI2342" s="152">
        <f t="shared" ref="AI2342:AI2367" si="906">V2342*P2342</f>
        <v>16760</v>
      </c>
      <c r="AK2342" s="156" t="s">
        <v>691</v>
      </c>
      <c r="AL2342" s="156" t="s">
        <v>689</v>
      </c>
      <c r="AM2342" s="198">
        <f t="shared" si="894"/>
        <v>0</v>
      </c>
      <c r="AN2342" s="199">
        <f t="shared" si="889"/>
        <v>45817</v>
      </c>
      <c r="AO2342" s="159" t="s">
        <v>692</v>
      </c>
      <c r="AP2342" s="781"/>
      <c r="AQ2342" s="782">
        <v>12071839</v>
      </c>
      <c r="AR2342" s="782">
        <v>12019692</v>
      </c>
      <c r="AS2342" s="782"/>
      <c r="AT2342" s="867">
        <v>12095767</v>
      </c>
      <c r="AU2342" s="868"/>
      <c r="AV2342" s="867">
        <v>12095768</v>
      </c>
      <c r="AW2342" s="782"/>
      <c r="AX2342" s="782" t="s">
        <v>398</v>
      </c>
      <c r="AY2342" s="782"/>
      <c r="AZ2342" s="782"/>
      <c r="BA2342" s="781"/>
      <c r="BB2342" s="209">
        <v>23057444</v>
      </c>
    </row>
    <row r="2343" spans="1:54" ht="24.65" hidden="1" customHeight="1">
      <c r="B2343" s="308">
        <v>45817</v>
      </c>
      <c r="C2343" s="309">
        <v>45834</v>
      </c>
      <c r="D2343" s="185">
        <f t="shared" si="891"/>
        <v>2025</v>
      </c>
      <c r="E2343" s="309" t="e">
        <f>VLOOKUP($B2343,Week!$A$1:$C$1462,2,0)</f>
        <v>#N/A</v>
      </c>
      <c r="F2343" s="310" t="str">
        <f t="shared" si="892"/>
        <v>Jun</v>
      </c>
      <c r="G2343" s="311" t="s">
        <v>2248</v>
      </c>
      <c r="H2343" s="311" t="s">
        <v>311</v>
      </c>
      <c r="I2343" s="311" t="s">
        <v>2772</v>
      </c>
      <c r="J2343" s="312" t="s">
        <v>738</v>
      </c>
      <c r="K2343" s="313" t="s">
        <v>107</v>
      </c>
      <c r="L2343" s="300" t="s">
        <v>2167</v>
      </c>
      <c r="M2343" s="312" t="s">
        <v>313</v>
      </c>
      <c r="N2343" s="311" t="s">
        <v>314</v>
      </c>
      <c r="O2343" s="311" t="s">
        <v>110</v>
      </c>
      <c r="P2343" s="314">
        <v>36</v>
      </c>
      <c r="Q2343" s="314">
        <v>5</v>
      </c>
      <c r="R2343" s="315">
        <v>7.4999999999999997E-3</v>
      </c>
      <c r="S2343" s="311" t="s">
        <v>111</v>
      </c>
      <c r="T2343" s="311" t="s">
        <v>112</v>
      </c>
      <c r="U2343" s="311" t="s">
        <v>57</v>
      </c>
      <c r="V2343" s="316">
        <v>792</v>
      </c>
      <c r="W2343" s="316">
        <f>61+731</f>
        <v>792</v>
      </c>
      <c r="X2343" s="317"/>
      <c r="Y2343" s="318">
        <f>(W2343+X2343)-V2343</f>
        <v>0</v>
      </c>
      <c r="Z2343" s="319">
        <f t="shared" si="903"/>
        <v>0</v>
      </c>
      <c r="AA2343" s="319">
        <f t="shared" si="893"/>
        <v>0</v>
      </c>
      <c r="AB2343" s="815">
        <v>7.4999999999999997E-3</v>
      </c>
      <c r="AC2343" s="316">
        <f>Z2343*AB2343</f>
        <v>0</v>
      </c>
      <c r="AD2343" s="515"/>
      <c r="AE2343" s="210">
        <f t="shared" ref="AE2343:AE2367" si="907">SUM(Q2343*R2343*Z2343)/1000</f>
        <v>0</v>
      </c>
      <c r="AF2343" s="210">
        <f>AE2343/0.54</f>
        <v>0</v>
      </c>
      <c r="AG2343" s="211">
        <f t="shared" si="904"/>
        <v>0.308</v>
      </c>
      <c r="AH2343" s="157">
        <f t="shared" si="905"/>
        <v>0</v>
      </c>
      <c r="AI2343" s="152">
        <f t="shared" si="906"/>
        <v>28512</v>
      </c>
      <c r="AK2343" s="156" t="s">
        <v>691</v>
      </c>
      <c r="AL2343" s="212" t="s">
        <v>690</v>
      </c>
      <c r="AM2343" s="198">
        <f t="shared" ref="AM2343:AM2352" si="908">AG2343*Z2343</f>
        <v>0</v>
      </c>
      <c r="AN2343" s="199">
        <f t="shared" si="889"/>
        <v>45817</v>
      </c>
      <c r="AO2343" s="159" t="s">
        <v>692</v>
      </c>
      <c r="AP2343" s="783" t="s">
        <v>644</v>
      </c>
      <c r="AQ2343" s="782">
        <v>12063755</v>
      </c>
      <c r="AR2343" s="782">
        <v>12061353</v>
      </c>
      <c r="AS2343" s="782">
        <v>12061354</v>
      </c>
      <c r="AT2343" s="782">
        <v>12062266</v>
      </c>
      <c r="AU2343" s="781"/>
      <c r="AV2343" s="782">
        <v>12088159</v>
      </c>
      <c r="AW2343" s="782">
        <v>12088207</v>
      </c>
      <c r="AX2343" s="782"/>
      <c r="AY2343" s="782">
        <v>12094237</v>
      </c>
      <c r="AZ2343" s="782"/>
      <c r="BA2343" s="781"/>
      <c r="BB2343" s="209">
        <v>23053185</v>
      </c>
    </row>
    <row r="2344" spans="1:54" ht="24.65" hidden="1" customHeight="1">
      <c r="B2344" s="308">
        <v>45817</v>
      </c>
      <c r="C2344" s="309">
        <v>45834</v>
      </c>
      <c r="D2344" s="185">
        <f t="shared" si="891"/>
        <v>2025</v>
      </c>
      <c r="E2344" s="309" t="e">
        <f>VLOOKUP($B2344,Week!$A$1:$C$1462,2,0)</f>
        <v>#N/A</v>
      </c>
      <c r="F2344" s="310" t="str">
        <f t="shared" si="892"/>
        <v>Jun</v>
      </c>
      <c r="G2344" s="311" t="s">
        <v>2249</v>
      </c>
      <c r="H2344" s="311" t="s">
        <v>311</v>
      </c>
      <c r="I2344" s="311" t="s">
        <v>2772</v>
      </c>
      <c r="J2344" s="312" t="s">
        <v>738</v>
      </c>
      <c r="K2344" s="313" t="s">
        <v>107</v>
      </c>
      <c r="L2344" s="300" t="s">
        <v>2167</v>
      </c>
      <c r="M2344" s="312" t="s">
        <v>313</v>
      </c>
      <c r="N2344" s="311" t="s">
        <v>314</v>
      </c>
      <c r="O2344" s="311" t="s">
        <v>110</v>
      </c>
      <c r="P2344" s="314">
        <v>36</v>
      </c>
      <c r="Q2344" s="314">
        <v>5</v>
      </c>
      <c r="R2344" s="315">
        <v>7.4999999999999997E-3</v>
      </c>
      <c r="S2344" s="311" t="s">
        <v>111</v>
      </c>
      <c r="T2344" s="311" t="s">
        <v>112</v>
      </c>
      <c r="U2344" s="311" t="s">
        <v>57</v>
      </c>
      <c r="V2344" s="316">
        <v>792</v>
      </c>
      <c r="W2344" s="316">
        <v>792</v>
      </c>
      <c r="X2344" s="317"/>
      <c r="Y2344" s="318">
        <f t="shared" ref="Y2344:Y2350" si="909">(W2344+X2344)-V2344</f>
        <v>0</v>
      </c>
      <c r="Z2344" s="319">
        <f t="shared" si="903"/>
        <v>0</v>
      </c>
      <c r="AA2344" s="319">
        <f t="shared" si="893"/>
        <v>0</v>
      </c>
      <c r="AB2344" s="815">
        <v>7.4999999999999997E-3</v>
      </c>
      <c r="AC2344" s="316">
        <f t="shared" ref="AC2344:AC2350" si="910">Z2344*AB2344</f>
        <v>0</v>
      </c>
      <c r="AD2344" s="515"/>
      <c r="AE2344" s="210">
        <f t="shared" si="907"/>
        <v>0</v>
      </c>
      <c r="AF2344" s="210">
        <f t="shared" ref="AF2344:AF2350" si="911">AE2344/0.54</f>
        <v>0</v>
      </c>
      <c r="AG2344" s="211">
        <f t="shared" si="904"/>
        <v>0.308</v>
      </c>
      <c r="AH2344" s="157">
        <f t="shared" si="905"/>
        <v>0</v>
      </c>
      <c r="AI2344" s="152">
        <f t="shared" si="906"/>
        <v>28512</v>
      </c>
      <c r="AK2344" s="156" t="s">
        <v>691</v>
      </c>
      <c r="AL2344" s="212" t="s">
        <v>690</v>
      </c>
      <c r="AM2344" s="198">
        <f t="shared" si="908"/>
        <v>0</v>
      </c>
      <c r="AN2344" s="199">
        <f t="shared" si="889"/>
        <v>45817</v>
      </c>
      <c r="AO2344" s="159" t="s">
        <v>692</v>
      </c>
      <c r="AP2344" s="783" t="s">
        <v>644</v>
      </c>
      <c r="AQ2344" s="782">
        <v>12063755</v>
      </c>
      <c r="AR2344" s="782">
        <v>12061353</v>
      </c>
      <c r="AS2344" s="782">
        <v>12061354</v>
      </c>
      <c r="AT2344" s="782">
        <v>12062266</v>
      </c>
      <c r="AU2344" s="781"/>
      <c r="AV2344" s="782">
        <v>12088159</v>
      </c>
      <c r="AW2344" s="782">
        <v>12088207</v>
      </c>
      <c r="AX2344" s="782"/>
      <c r="AY2344" s="782">
        <v>12094237</v>
      </c>
      <c r="AZ2344" s="782"/>
      <c r="BA2344" s="781"/>
      <c r="BB2344" s="209">
        <v>23053185</v>
      </c>
    </row>
    <row r="2345" spans="1:54" ht="24.65" hidden="1" customHeight="1">
      <c r="B2345" s="308">
        <v>45817</v>
      </c>
      <c r="C2345" s="309">
        <v>45834</v>
      </c>
      <c r="D2345" s="185">
        <f t="shared" si="891"/>
        <v>2025</v>
      </c>
      <c r="E2345" s="309" t="e">
        <f>VLOOKUP($B2345,Week!$A$1:$C$1462,2,0)</f>
        <v>#N/A</v>
      </c>
      <c r="F2345" s="310" t="str">
        <f t="shared" si="892"/>
        <v>Jun</v>
      </c>
      <c r="G2345" s="311" t="s">
        <v>2250</v>
      </c>
      <c r="H2345" s="311" t="s">
        <v>311</v>
      </c>
      <c r="I2345" s="311" t="s">
        <v>2772</v>
      </c>
      <c r="J2345" s="312" t="s">
        <v>738</v>
      </c>
      <c r="K2345" s="313" t="s">
        <v>107</v>
      </c>
      <c r="L2345" s="300" t="s">
        <v>2167</v>
      </c>
      <c r="M2345" s="312" t="s">
        <v>313</v>
      </c>
      <c r="N2345" s="311" t="s">
        <v>314</v>
      </c>
      <c r="O2345" s="311" t="s">
        <v>110</v>
      </c>
      <c r="P2345" s="314">
        <v>36</v>
      </c>
      <c r="Q2345" s="314">
        <v>5</v>
      </c>
      <c r="R2345" s="315">
        <v>7.4999999999999997E-3</v>
      </c>
      <c r="S2345" s="311" t="s">
        <v>111</v>
      </c>
      <c r="T2345" s="311" t="s">
        <v>112</v>
      </c>
      <c r="U2345" s="311" t="s">
        <v>57</v>
      </c>
      <c r="V2345" s="316">
        <v>792</v>
      </c>
      <c r="W2345" s="316">
        <f>2315-731-792</f>
        <v>792</v>
      </c>
      <c r="X2345" s="317"/>
      <c r="Y2345" s="318">
        <f t="shared" si="909"/>
        <v>0</v>
      </c>
      <c r="Z2345" s="319">
        <f t="shared" si="903"/>
        <v>0</v>
      </c>
      <c r="AA2345" s="319">
        <f t="shared" si="893"/>
        <v>0</v>
      </c>
      <c r="AB2345" s="815">
        <v>7.4999999999999997E-3</v>
      </c>
      <c r="AC2345" s="316">
        <f t="shared" si="910"/>
        <v>0</v>
      </c>
      <c r="AD2345" s="515"/>
      <c r="AE2345" s="210">
        <f t="shared" si="907"/>
        <v>0</v>
      </c>
      <c r="AF2345" s="210">
        <f t="shared" si="911"/>
        <v>0</v>
      </c>
      <c r="AG2345" s="211">
        <f t="shared" si="904"/>
        <v>0.308</v>
      </c>
      <c r="AH2345" s="157">
        <f t="shared" si="905"/>
        <v>0</v>
      </c>
      <c r="AI2345" s="152">
        <f t="shared" si="906"/>
        <v>28512</v>
      </c>
      <c r="AK2345" s="156" t="s">
        <v>691</v>
      </c>
      <c r="AL2345" s="212" t="s">
        <v>690</v>
      </c>
      <c r="AM2345" s="198">
        <f>AG2345*Z2345</f>
        <v>0</v>
      </c>
      <c r="AN2345" s="199">
        <f t="shared" si="889"/>
        <v>45817</v>
      </c>
      <c r="AO2345" s="159" t="s">
        <v>692</v>
      </c>
      <c r="AP2345" s="783" t="s">
        <v>644</v>
      </c>
      <c r="AQ2345" s="782">
        <v>12063755</v>
      </c>
      <c r="AR2345" s="782">
        <v>12061353</v>
      </c>
      <c r="AS2345" s="782">
        <v>12061354</v>
      </c>
      <c r="AT2345" s="782">
        <v>12062266</v>
      </c>
      <c r="AU2345" s="781"/>
      <c r="AV2345" s="782">
        <v>12088159</v>
      </c>
      <c r="AW2345" s="782">
        <v>12088207</v>
      </c>
      <c r="AX2345" s="782"/>
      <c r="AY2345" s="782">
        <v>12094237</v>
      </c>
      <c r="AZ2345" s="782"/>
      <c r="BA2345" s="781"/>
      <c r="BB2345" s="209">
        <v>23053185</v>
      </c>
    </row>
    <row r="2346" spans="1:54" ht="25" hidden="1" customHeight="1">
      <c r="A2346" s="630" t="s">
        <v>120</v>
      </c>
      <c r="B2346" s="466">
        <v>45818</v>
      </c>
      <c r="C2346" s="467">
        <v>45832</v>
      </c>
      <c r="D2346" s="185">
        <f t="shared" si="891"/>
        <v>2025</v>
      </c>
      <c r="E2346" s="468" t="e">
        <f>VLOOKUP($B2346,Week!$A$1:$C$1462,2,0)</f>
        <v>#N/A</v>
      </c>
      <c r="F2346" s="469" t="str">
        <f t="shared" si="892"/>
        <v>Jun</v>
      </c>
      <c r="G2346" s="470" t="s">
        <v>2203</v>
      </c>
      <c r="H2346" s="468" t="s">
        <v>82</v>
      </c>
      <c r="I2346" s="468" t="s">
        <v>82</v>
      </c>
      <c r="J2346" s="471" t="s">
        <v>720</v>
      </c>
      <c r="K2346" s="472" t="s">
        <v>85</v>
      </c>
      <c r="L2346" s="390" t="s">
        <v>2166</v>
      </c>
      <c r="M2346" s="471" t="s">
        <v>579</v>
      </c>
      <c r="N2346" s="468" t="s">
        <v>580</v>
      </c>
      <c r="O2346" s="468" t="s">
        <v>581</v>
      </c>
      <c r="P2346" s="473">
        <v>8</v>
      </c>
      <c r="Q2346" s="473">
        <v>60</v>
      </c>
      <c r="R2346" s="474">
        <v>6.8100000000000001E-3</v>
      </c>
      <c r="S2346" s="468" t="s">
        <v>76</v>
      </c>
      <c r="T2346" s="468" t="s">
        <v>56</v>
      </c>
      <c r="U2346" s="468" t="s">
        <v>89</v>
      </c>
      <c r="V2346" s="475">
        <v>737</v>
      </c>
      <c r="W2346" s="475">
        <f>17+720</f>
        <v>737</v>
      </c>
      <c r="X2346" s="476"/>
      <c r="Y2346" s="477">
        <f t="shared" si="909"/>
        <v>0</v>
      </c>
      <c r="Z2346" s="478">
        <f t="shared" si="903"/>
        <v>0</v>
      </c>
      <c r="AA2346" s="478">
        <f t="shared" si="893"/>
        <v>0</v>
      </c>
      <c r="AB2346" s="828">
        <v>6</v>
      </c>
      <c r="AC2346" s="475">
        <f t="shared" si="910"/>
        <v>0</v>
      </c>
      <c r="AD2346" s="209"/>
      <c r="AE2346" s="210">
        <f t="shared" si="907"/>
        <v>0</v>
      </c>
      <c r="AF2346" s="210">
        <f t="shared" si="911"/>
        <v>0</v>
      </c>
      <c r="AG2346" s="211">
        <f t="shared" si="904"/>
        <v>0.75</v>
      </c>
      <c r="AH2346" s="157">
        <f t="shared" si="905"/>
        <v>0</v>
      </c>
      <c r="AI2346" s="152">
        <f t="shared" si="906"/>
        <v>5896</v>
      </c>
      <c r="AK2346" s="156" t="s">
        <v>691</v>
      </c>
      <c r="AL2346" s="156" t="s">
        <v>689</v>
      </c>
      <c r="AM2346" s="198">
        <f t="shared" si="908"/>
        <v>0</v>
      </c>
      <c r="AN2346" s="199">
        <f t="shared" si="889"/>
        <v>45818</v>
      </c>
      <c r="AO2346" s="159" t="s">
        <v>692</v>
      </c>
      <c r="AP2346" s="783" t="s">
        <v>622</v>
      </c>
      <c r="AQ2346" s="782">
        <v>12088677</v>
      </c>
      <c r="AR2346" s="782" t="s">
        <v>2142</v>
      </c>
      <c r="AS2346" s="782"/>
      <c r="AT2346" s="782">
        <v>12082897</v>
      </c>
      <c r="AU2346" s="781"/>
      <c r="AV2346" s="782">
        <v>12082898</v>
      </c>
      <c r="AW2346" s="782">
        <v>12082899</v>
      </c>
      <c r="AX2346" s="796" t="s">
        <v>621</v>
      </c>
      <c r="AY2346" s="782"/>
      <c r="AZ2346" s="782"/>
      <c r="BA2346" s="781"/>
      <c r="BB2346" s="209">
        <v>23053184</v>
      </c>
    </row>
    <row r="2347" spans="1:54" ht="24.75" hidden="1" customHeight="1">
      <c r="B2347" s="295">
        <v>45818</v>
      </c>
      <c r="C2347" s="771" t="s">
        <v>1930</v>
      </c>
      <c r="D2347" s="185">
        <f t="shared" si="891"/>
        <v>2025</v>
      </c>
      <c r="E2347" s="296" t="e">
        <f>VLOOKUP($B2347,Week!$A$1:$C$1462,2,0)</f>
        <v>#N/A</v>
      </c>
      <c r="F2347" s="297" t="str">
        <f t="shared" si="892"/>
        <v>Jun</v>
      </c>
      <c r="G2347" s="648" t="s">
        <v>47</v>
      </c>
      <c r="H2347" s="298" t="s">
        <v>260</v>
      </c>
      <c r="I2347" s="298" t="s">
        <v>2702</v>
      </c>
      <c r="J2347" s="307" t="s">
        <v>2240</v>
      </c>
      <c r="K2347" s="300" t="s">
        <v>176</v>
      </c>
      <c r="L2347" s="300" t="s">
        <v>2167</v>
      </c>
      <c r="M2347" s="299" t="s">
        <v>2338</v>
      </c>
      <c r="N2347" s="298" t="s">
        <v>350</v>
      </c>
      <c r="O2347" s="298" t="s">
        <v>351</v>
      </c>
      <c r="P2347" s="301">
        <v>24</v>
      </c>
      <c r="Q2347" s="301">
        <v>5</v>
      </c>
      <c r="R2347" s="302">
        <v>6.1999999999999998E-3</v>
      </c>
      <c r="S2347" s="298" t="s">
        <v>352</v>
      </c>
      <c r="T2347" s="298" t="s">
        <v>56</v>
      </c>
      <c r="U2347" s="298" t="s">
        <v>57</v>
      </c>
      <c r="V2347" s="303">
        <v>1997</v>
      </c>
      <c r="W2347" s="303">
        <f>1+1996</f>
        <v>1997</v>
      </c>
      <c r="X2347" s="304"/>
      <c r="Y2347" s="305">
        <f t="shared" si="909"/>
        <v>0</v>
      </c>
      <c r="Z2347" s="306">
        <f t="shared" si="903"/>
        <v>0</v>
      </c>
      <c r="AA2347" s="306">
        <f t="shared" si="893"/>
        <v>0</v>
      </c>
      <c r="AB2347" s="814">
        <v>7.4999999999999997E-3</v>
      </c>
      <c r="AC2347" s="303">
        <f t="shared" si="910"/>
        <v>0</v>
      </c>
      <c r="AD2347" s="573" t="s">
        <v>2345</v>
      </c>
      <c r="AE2347" s="210">
        <f t="shared" si="907"/>
        <v>0</v>
      </c>
      <c r="AF2347" s="210">
        <f t="shared" si="911"/>
        <v>0</v>
      </c>
      <c r="AG2347" s="211">
        <f t="shared" si="904"/>
        <v>0.13</v>
      </c>
      <c r="AH2347" s="157">
        <f t="shared" si="905"/>
        <v>0</v>
      </c>
      <c r="AI2347" s="152">
        <f t="shared" si="906"/>
        <v>47928</v>
      </c>
      <c r="AK2347" s="156" t="s">
        <v>691</v>
      </c>
      <c r="AL2347" s="574" t="s">
        <v>690</v>
      </c>
      <c r="AM2347" s="198">
        <f>AG2347*Z2347</f>
        <v>0</v>
      </c>
      <c r="AN2347" s="199">
        <f t="shared" si="889"/>
        <v>45818</v>
      </c>
      <c r="AO2347" s="159" t="s">
        <v>692</v>
      </c>
      <c r="AP2347" s="783" t="s">
        <v>629</v>
      </c>
      <c r="AQ2347" s="782">
        <v>12071839</v>
      </c>
      <c r="AR2347" s="782">
        <v>12094356</v>
      </c>
      <c r="AS2347" s="782">
        <v>12068233</v>
      </c>
      <c r="AT2347" s="781"/>
      <c r="AU2347" s="781"/>
      <c r="AV2347" s="782">
        <v>12062075</v>
      </c>
      <c r="AW2347" s="781"/>
      <c r="AX2347" s="781"/>
      <c r="AY2347" s="782">
        <v>12094357</v>
      </c>
      <c r="AZ2347" s="781"/>
      <c r="BA2347" s="781"/>
      <c r="BB2347" s="209">
        <v>23053185</v>
      </c>
    </row>
    <row r="2348" spans="1:54" ht="25" hidden="1" customHeight="1">
      <c r="B2348" s="385">
        <v>45818</v>
      </c>
      <c r="C2348" s="386">
        <v>45831</v>
      </c>
      <c r="D2348" s="185">
        <f t="shared" si="891"/>
        <v>2025</v>
      </c>
      <c r="E2348" s="386" t="e">
        <f>VLOOKUP($B2348,Week!$A$1:$C$1462,2,0)</f>
        <v>#N/A</v>
      </c>
      <c r="F2348" s="387" t="str">
        <f t="shared" si="892"/>
        <v>Jun</v>
      </c>
      <c r="G2348" s="388" t="s">
        <v>2222</v>
      </c>
      <c r="H2348" s="388" t="s">
        <v>600</v>
      </c>
      <c r="I2348" s="388" t="s">
        <v>2772</v>
      </c>
      <c r="J2348" s="389" t="s">
        <v>708</v>
      </c>
      <c r="K2348" s="390" t="s">
        <v>1652</v>
      </c>
      <c r="L2348" s="300" t="s">
        <v>2167</v>
      </c>
      <c r="M2348" s="389" t="s">
        <v>603</v>
      </c>
      <c r="N2348" s="637" t="s">
        <v>1404</v>
      </c>
      <c r="O2348" s="388" t="s">
        <v>602</v>
      </c>
      <c r="P2348" s="391">
        <v>8</v>
      </c>
      <c r="Q2348" s="391">
        <v>3</v>
      </c>
      <c r="R2348" s="392">
        <v>6.0000000000000001E-3</v>
      </c>
      <c r="S2348" s="388" t="s">
        <v>55</v>
      </c>
      <c r="T2348" s="388" t="s">
        <v>112</v>
      </c>
      <c r="U2348" s="601" t="s">
        <v>724</v>
      </c>
      <c r="V2348" s="393">
        <v>3500</v>
      </c>
      <c r="W2348" s="393"/>
      <c r="X2348" s="394">
        <f>(28000)/8</f>
        <v>3500</v>
      </c>
      <c r="Y2348" s="395">
        <f t="shared" si="909"/>
        <v>0</v>
      </c>
      <c r="Z2348" s="396">
        <f t="shared" si="903"/>
        <v>0</v>
      </c>
      <c r="AA2348" s="396">
        <f t="shared" si="893"/>
        <v>0</v>
      </c>
      <c r="AB2348" s="823">
        <v>5.8823E-2</v>
      </c>
      <c r="AC2348" s="393">
        <f t="shared" si="910"/>
        <v>0</v>
      </c>
      <c r="AD2348" s="636"/>
      <c r="AE2348" s="210">
        <f t="shared" si="907"/>
        <v>0</v>
      </c>
      <c r="AF2348" s="210">
        <f t="shared" si="911"/>
        <v>0</v>
      </c>
      <c r="AG2348" s="211">
        <f t="shared" si="904"/>
        <v>0.30199999999999999</v>
      </c>
      <c r="AH2348" s="157">
        <v>0.26621999999999996</v>
      </c>
      <c r="AI2348" s="152">
        <f t="shared" si="906"/>
        <v>28000</v>
      </c>
      <c r="AK2348" s="156" t="s">
        <v>691</v>
      </c>
      <c r="AL2348" s="212" t="s">
        <v>690</v>
      </c>
      <c r="AM2348" s="198">
        <f>AG2348*Z2348</f>
        <v>0</v>
      </c>
      <c r="AN2348" s="199">
        <f t="shared" si="889"/>
        <v>45818</v>
      </c>
      <c r="AO2348" s="159" t="s">
        <v>692</v>
      </c>
      <c r="AP2348" s="781" t="s">
        <v>642</v>
      </c>
      <c r="AQ2348" s="782">
        <v>12063755</v>
      </c>
      <c r="AR2348" s="782">
        <v>12061353</v>
      </c>
      <c r="AS2348" s="782">
        <v>12061354</v>
      </c>
      <c r="AT2348" s="782">
        <v>12091199</v>
      </c>
      <c r="AU2348" s="781"/>
      <c r="AV2348" s="782">
        <v>12091198</v>
      </c>
      <c r="AW2348" s="781"/>
      <c r="AX2348" s="781"/>
      <c r="AY2348" s="781"/>
      <c r="AZ2348" s="782"/>
      <c r="BA2348" s="781"/>
    </row>
    <row r="2349" spans="1:54" ht="25" hidden="1" customHeight="1">
      <c r="A2349" s="630" t="s">
        <v>120</v>
      </c>
      <c r="B2349" s="466">
        <v>45819</v>
      </c>
      <c r="C2349" s="467">
        <v>45832</v>
      </c>
      <c r="D2349" s="185">
        <f t="shared" si="891"/>
        <v>2025</v>
      </c>
      <c r="E2349" s="468" t="e">
        <f>VLOOKUP($B2349,Week!$A$1:$C$1462,2,0)</f>
        <v>#N/A</v>
      </c>
      <c r="F2349" s="469" t="str">
        <f t="shared" si="892"/>
        <v>Jun</v>
      </c>
      <c r="G2349" s="470" t="s">
        <v>2203</v>
      </c>
      <c r="H2349" s="468" t="s">
        <v>82</v>
      </c>
      <c r="I2349" s="468" t="s">
        <v>82</v>
      </c>
      <c r="J2349" s="471" t="s">
        <v>720</v>
      </c>
      <c r="K2349" s="472" t="s">
        <v>85</v>
      </c>
      <c r="L2349" s="390" t="s">
        <v>2166</v>
      </c>
      <c r="M2349" s="471" t="s">
        <v>579</v>
      </c>
      <c r="N2349" s="468" t="s">
        <v>580</v>
      </c>
      <c r="O2349" s="468" t="s">
        <v>581</v>
      </c>
      <c r="P2349" s="473">
        <v>8</v>
      </c>
      <c r="Q2349" s="473">
        <v>60</v>
      </c>
      <c r="R2349" s="474">
        <v>6.8100000000000001E-3</v>
      </c>
      <c r="S2349" s="468" t="s">
        <v>76</v>
      </c>
      <c r="T2349" s="468" t="s">
        <v>56</v>
      </c>
      <c r="U2349" s="468" t="s">
        <v>89</v>
      </c>
      <c r="V2349" s="475">
        <f>1408-737</f>
        <v>671</v>
      </c>
      <c r="W2349" s="475">
        <v>671</v>
      </c>
      <c r="X2349" s="476"/>
      <c r="Y2349" s="477">
        <f t="shared" si="909"/>
        <v>0</v>
      </c>
      <c r="Z2349" s="478">
        <f t="shared" si="903"/>
        <v>0</v>
      </c>
      <c r="AA2349" s="478">
        <f t="shared" si="893"/>
        <v>0</v>
      </c>
      <c r="AB2349" s="828">
        <v>6</v>
      </c>
      <c r="AC2349" s="475">
        <f t="shared" si="910"/>
        <v>0</v>
      </c>
      <c r="AD2349" s="209"/>
      <c r="AE2349" s="210">
        <f t="shared" si="907"/>
        <v>0</v>
      </c>
      <c r="AF2349" s="210">
        <f t="shared" si="911"/>
        <v>0</v>
      </c>
      <c r="AG2349" s="211">
        <f t="shared" si="904"/>
        <v>0.75</v>
      </c>
      <c r="AH2349" s="157">
        <f>(Z2349*AG2349)/1000</f>
        <v>0</v>
      </c>
      <c r="AI2349" s="152">
        <f t="shared" si="906"/>
        <v>5368</v>
      </c>
      <c r="AK2349" s="156" t="s">
        <v>691</v>
      </c>
      <c r="AL2349" s="156" t="s">
        <v>689</v>
      </c>
      <c r="AM2349" s="198">
        <f>AG2349*Z2349</f>
        <v>0</v>
      </c>
      <c r="AN2349" s="199">
        <f t="shared" si="889"/>
        <v>45819</v>
      </c>
      <c r="AO2349" s="159" t="s">
        <v>692</v>
      </c>
      <c r="AP2349" s="783" t="s">
        <v>622</v>
      </c>
      <c r="AQ2349" s="782">
        <v>12088677</v>
      </c>
      <c r="AR2349" s="782" t="s">
        <v>2142</v>
      </c>
      <c r="AS2349" s="782"/>
      <c r="AT2349" s="782">
        <v>12082897</v>
      </c>
      <c r="AU2349" s="781"/>
      <c r="AV2349" s="782">
        <v>12082898</v>
      </c>
      <c r="AW2349" s="782">
        <v>12082899</v>
      </c>
      <c r="AX2349" s="796" t="s">
        <v>621</v>
      </c>
      <c r="AY2349" s="782"/>
      <c r="AZ2349" s="782"/>
      <c r="BA2349" s="781"/>
      <c r="BB2349" s="209">
        <v>23053184</v>
      </c>
    </row>
    <row r="2350" spans="1:54" ht="25.15" hidden="1" customHeight="1">
      <c r="B2350" s="271">
        <v>45819</v>
      </c>
      <c r="C2350" s="272">
        <v>45832</v>
      </c>
      <c r="D2350" s="274">
        <f>IF(B2350="","",YEAR(B2350))</f>
        <v>2025</v>
      </c>
      <c r="E2350" s="274" t="e">
        <f>VLOOKUP($B2350,Week!$A$1:$C$1462,2,0)</f>
        <v>#N/A</v>
      </c>
      <c r="F2350" s="273" t="str">
        <f>IF(B2350="","",TEXT(B2350,"[$-409]mmm"))</f>
        <v>Jun</v>
      </c>
      <c r="G2350" s="274" t="s">
        <v>2366</v>
      </c>
      <c r="H2350" s="274" t="s">
        <v>424</v>
      </c>
      <c r="I2350" s="274" t="s">
        <v>2772</v>
      </c>
      <c r="J2350" s="854" t="s">
        <v>425</v>
      </c>
      <c r="K2350" s="276" t="s">
        <v>1643</v>
      </c>
      <c r="L2350" s="276" t="s">
        <v>2167</v>
      </c>
      <c r="M2350" s="275" t="s">
        <v>2418</v>
      </c>
      <c r="N2350" s="274" t="s">
        <v>2255</v>
      </c>
      <c r="O2350" s="274" t="s">
        <v>2253</v>
      </c>
      <c r="P2350" s="277">
        <v>8</v>
      </c>
      <c r="Q2350" s="277">
        <v>5</v>
      </c>
      <c r="R2350" s="278">
        <v>7.4999999999999997E-3</v>
      </c>
      <c r="S2350" s="274" t="s">
        <v>40</v>
      </c>
      <c r="T2350" s="274" t="s">
        <v>112</v>
      </c>
      <c r="U2350" s="423" t="s">
        <v>1894</v>
      </c>
      <c r="V2350" s="279">
        <v>2574</v>
      </c>
      <c r="W2350" s="279">
        <f>517</f>
        <v>517</v>
      </c>
      <c r="X2350" s="280">
        <f>(16561)/8</f>
        <v>2070.125</v>
      </c>
      <c r="Y2350" s="281">
        <f t="shared" si="909"/>
        <v>13.125</v>
      </c>
      <c r="Z2350" s="282">
        <f>IF(Y2350&lt;0,((V2350*P2350)-((W2350+X2350)*P2350)),0)</f>
        <v>0</v>
      </c>
      <c r="AA2350" s="279">
        <f>Q2350*Z2350</f>
        <v>0</v>
      </c>
      <c r="AB2350" s="812">
        <v>7.4999999999999997E-3</v>
      </c>
      <c r="AC2350" s="279">
        <f t="shared" si="910"/>
        <v>0</v>
      </c>
      <c r="AD2350" s="307" t="s">
        <v>2368</v>
      </c>
      <c r="AE2350" s="210">
        <f>SUM(Q2350*R2350*Z2350)/1000</f>
        <v>0</v>
      </c>
      <c r="AF2350" s="210">
        <f t="shared" si="911"/>
        <v>0</v>
      </c>
      <c r="AG2350" s="211">
        <f>MID(O2350,1,3)/1000</f>
        <v>0.14699999999999999</v>
      </c>
      <c r="AH2350" s="157">
        <f>(Z2350*AG2350)/1000</f>
        <v>0</v>
      </c>
      <c r="AI2350" s="152">
        <f>V2350*P2350</f>
        <v>20592</v>
      </c>
      <c r="AK2350" s="156" t="s">
        <v>691</v>
      </c>
      <c r="AL2350" s="574" t="s">
        <v>690</v>
      </c>
      <c r="AM2350" s="198">
        <f>AG2350*Z2350</f>
        <v>0</v>
      </c>
      <c r="AN2350" s="199">
        <f>B2350</f>
        <v>45819</v>
      </c>
      <c r="AO2350" s="159" t="s">
        <v>692</v>
      </c>
      <c r="AP2350" s="783" t="s">
        <v>609</v>
      </c>
      <c r="AQ2350" s="782">
        <v>12071839</v>
      </c>
      <c r="AR2350" s="782">
        <v>12080260</v>
      </c>
      <c r="AS2350" s="782">
        <v>12080259</v>
      </c>
      <c r="AT2350" s="798" t="s">
        <v>2378</v>
      </c>
      <c r="AU2350" s="782"/>
      <c r="AV2350" s="782">
        <v>12095766</v>
      </c>
      <c r="AW2350" s="782"/>
      <c r="AX2350" s="781"/>
      <c r="AY2350" s="782"/>
      <c r="AZ2350" s="782"/>
      <c r="BA2350" s="781"/>
      <c r="BB2350" s="209">
        <v>23053185</v>
      </c>
    </row>
    <row r="2351" spans="1:54" ht="25" hidden="1" customHeight="1">
      <c r="B2351" s="498">
        <v>45819</v>
      </c>
      <c r="C2351" s="499">
        <v>45834</v>
      </c>
      <c r="D2351" s="185">
        <f t="shared" si="891"/>
        <v>2025</v>
      </c>
      <c r="E2351" s="499" t="e">
        <f>VLOOKUP($B2351,Week!$A$1:$C$1462,2,0)</f>
        <v>#N/A</v>
      </c>
      <c r="F2351" s="500" t="str">
        <f t="shared" si="892"/>
        <v>Jun</v>
      </c>
      <c r="G2351" s="501" t="s">
        <v>2245</v>
      </c>
      <c r="H2351" s="501" t="s">
        <v>311</v>
      </c>
      <c r="I2351" s="501" t="s">
        <v>2772</v>
      </c>
      <c r="J2351" s="502" t="s">
        <v>738</v>
      </c>
      <c r="K2351" s="503" t="s">
        <v>1646</v>
      </c>
      <c r="L2351" s="300" t="s">
        <v>2167</v>
      </c>
      <c r="M2351" s="502" t="s">
        <v>654</v>
      </c>
      <c r="N2351" s="501" t="s">
        <v>726</v>
      </c>
      <c r="O2351" s="501" t="s">
        <v>655</v>
      </c>
      <c r="P2351" s="504">
        <v>24</v>
      </c>
      <c r="Q2351" s="504">
        <v>5</v>
      </c>
      <c r="R2351" s="505">
        <v>7.4999999999999997E-3</v>
      </c>
      <c r="S2351" s="501" t="s">
        <v>40</v>
      </c>
      <c r="T2351" s="501" t="s">
        <v>112</v>
      </c>
      <c r="U2351" s="506" t="s">
        <v>1894</v>
      </c>
      <c r="V2351" s="507">
        <v>924</v>
      </c>
      <c r="W2351" s="507">
        <f>42+882</f>
        <v>924</v>
      </c>
      <c r="X2351" s="508"/>
      <c r="Y2351" s="509">
        <f t="shared" ref="Y2351:Y2359" si="912">(W2351+X2351)-V2351</f>
        <v>0</v>
      </c>
      <c r="Z2351" s="510">
        <f t="shared" si="903"/>
        <v>0</v>
      </c>
      <c r="AA2351" s="510">
        <f t="shared" si="893"/>
        <v>0</v>
      </c>
      <c r="AB2351" s="830">
        <v>3.8699999999999998E-2</v>
      </c>
      <c r="AC2351" s="507">
        <f t="shared" ref="AC2351:AC2359" si="913">Z2351*AB2351</f>
        <v>0</v>
      </c>
      <c r="AD2351" s="209"/>
      <c r="AE2351" s="210">
        <f t="shared" si="907"/>
        <v>0</v>
      </c>
      <c r="AF2351" s="210">
        <f t="shared" ref="AF2351:AF2367" si="914">AE2351/0.54</f>
        <v>0</v>
      </c>
      <c r="AG2351" s="211">
        <f t="shared" si="904"/>
        <v>0.307</v>
      </c>
      <c r="AH2351" s="157">
        <f>(Z2351*AG2351)/1000</f>
        <v>0</v>
      </c>
      <c r="AI2351" s="152">
        <f t="shared" si="906"/>
        <v>22176</v>
      </c>
      <c r="AK2351" s="156" t="s">
        <v>691</v>
      </c>
      <c r="AL2351" s="212" t="s">
        <v>690</v>
      </c>
      <c r="AM2351" s="198">
        <f t="shared" si="908"/>
        <v>0</v>
      </c>
      <c r="AN2351" s="199">
        <f t="shared" si="889"/>
        <v>45819</v>
      </c>
      <c r="AO2351" s="159" t="s">
        <v>692</v>
      </c>
      <c r="AP2351" s="781" t="s">
        <v>642</v>
      </c>
      <c r="AQ2351" s="782">
        <v>12063755</v>
      </c>
      <c r="AR2351" s="782">
        <v>12061353</v>
      </c>
      <c r="AS2351" s="782">
        <v>12061354</v>
      </c>
      <c r="AT2351" s="782">
        <v>12089274</v>
      </c>
      <c r="AU2351" s="781"/>
      <c r="AV2351" s="782">
        <v>12089275</v>
      </c>
      <c r="AW2351" s="782">
        <v>12068154</v>
      </c>
      <c r="AX2351" s="782"/>
      <c r="AY2351" s="782">
        <v>12094140</v>
      </c>
      <c r="AZ2351" s="782"/>
      <c r="BA2351" s="781"/>
      <c r="BB2351" s="209">
        <v>23105470</v>
      </c>
    </row>
    <row r="2352" spans="1:54" ht="25" hidden="1" customHeight="1">
      <c r="B2352" s="332">
        <v>45819</v>
      </c>
      <c r="C2352" s="333">
        <v>45831</v>
      </c>
      <c r="D2352" s="185">
        <f>IF(B2352="","",YEAR(B2352))</f>
        <v>2025</v>
      </c>
      <c r="E2352" s="333" t="e">
        <f>VLOOKUP($B2352,Week!$A$1:$C$1462,2,0)</f>
        <v>#N/A</v>
      </c>
      <c r="F2352" s="334" t="str">
        <f>IF(B2352="","",TEXT(B2352,"[$-409]mmm"))</f>
        <v>Jun</v>
      </c>
      <c r="G2352" s="335" t="s">
        <v>2206</v>
      </c>
      <c r="H2352" s="335" t="s">
        <v>571</v>
      </c>
      <c r="I2352" s="335" t="s">
        <v>2772</v>
      </c>
      <c r="J2352" s="336" t="s">
        <v>663</v>
      </c>
      <c r="K2352" s="337" t="s">
        <v>1649</v>
      </c>
      <c r="L2352" s="300" t="s">
        <v>2167</v>
      </c>
      <c r="M2352" s="336" t="s">
        <v>603</v>
      </c>
      <c r="N2352" s="335" t="s">
        <v>658</v>
      </c>
      <c r="O2352" s="335" t="s">
        <v>659</v>
      </c>
      <c r="P2352" s="338">
        <v>12</v>
      </c>
      <c r="Q2352" s="338">
        <v>3</v>
      </c>
      <c r="R2352" s="339">
        <v>6.0000000000000001E-3</v>
      </c>
      <c r="S2352" s="335" t="s">
        <v>55</v>
      </c>
      <c r="T2352" s="335" t="s">
        <v>112</v>
      </c>
      <c r="U2352" s="340" t="s">
        <v>1894</v>
      </c>
      <c r="V2352" s="341">
        <f>2278</f>
        <v>2278</v>
      </c>
      <c r="W2352" s="341"/>
      <c r="X2352" s="342">
        <f>(1788+28221-2673)/12</f>
        <v>2278</v>
      </c>
      <c r="Y2352" s="343">
        <f t="shared" si="912"/>
        <v>0</v>
      </c>
      <c r="Z2352" s="344">
        <f>IF(Y2352&lt;0,((V2352*P2352)-((W2352+X2352)*P2352)),0)</f>
        <v>0</v>
      </c>
      <c r="AA2352" s="344">
        <f>Q2352*Z2352</f>
        <v>0</v>
      </c>
      <c r="AB2352" s="817">
        <v>3.8699999999999998E-2</v>
      </c>
      <c r="AC2352" s="341">
        <f t="shared" si="913"/>
        <v>0</v>
      </c>
      <c r="AD2352" s="636"/>
      <c r="AE2352" s="210">
        <f>SUM(Q2352*R2352*Z2352)/1000</f>
        <v>0</v>
      </c>
      <c r="AF2352" s="210">
        <f t="shared" si="914"/>
        <v>0</v>
      </c>
      <c r="AG2352" s="211">
        <f>MID(O2352,1,3)/1000</f>
        <v>0.30199999999999999</v>
      </c>
      <c r="AH2352" s="157">
        <v>0.26621999999999996</v>
      </c>
      <c r="AI2352" s="152">
        <f>V2352*P2352</f>
        <v>27336</v>
      </c>
      <c r="AK2352" s="156" t="s">
        <v>691</v>
      </c>
      <c r="AL2352" s="212" t="s">
        <v>690</v>
      </c>
      <c r="AM2352" s="198">
        <f t="shared" si="908"/>
        <v>0</v>
      </c>
      <c r="AN2352" s="199">
        <f>B2352</f>
        <v>45819</v>
      </c>
      <c r="AO2352" s="159" t="s">
        <v>692</v>
      </c>
      <c r="AP2352" s="781" t="s">
        <v>642</v>
      </c>
      <c r="AQ2352" s="782">
        <v>12063755</v>
      </c>
      <c r="AR2352" s="782">
        <v>12061353</v>
      </c>
      <c r="AS2352" s="782">
        <v>12061354</v>
      </c>
      <c r="AT2352" s="782">
        <v>12090251</v>
      </c>
      <c r="AU2352" s="781"/>
      <c r="AV2352" s="782">
        <v>12090248</v>
      </c>
      <c r="AW2352" s="781"/>
      <c r="AX2352" s="781"/>
      <c r="AY2352" s="782"/>
      <c r="AZ2352" s="782"/>
      <c r="BA2352" s="782"/>
      <c r="BB2352" s="209">
        <v>23105470</v>
      </c>
    </row>
    <row r="2353" spans="1:54" ht="25" hidden="1" customHeight="1">
      <c r="B2353" s="332">
        <v>45819</v>
      </c>
      <c r="C2353" s="333">
        <v>45862</v>
      </c>
      <c r="D2353" s="185">
        <f t="shared" si="891"/>
        <v>2025</v>
      </c>
      <c r="E2353" s="333" t="e">
        <f>VLOOKUP($B2353,Week!$A$1:$C$1462,2,0)</f>
        <v>#N/A</v>
      </c>
      <c r="F2353" s="334" t="str">
        <f t="shared" si="892"/>
        <v>Jun</v>
      </c>
      <c r="G2353" s="335" t="s">
        <v>2372</v>
      </c>
      <c r="H2353" s="335" t="s">
        <v>675</v>
      </c>
      <c r="I2353" s="335" t="s">
        <v>2772</v>
      </c>
      <c r="J2353" s="336" t="s">
        <v>709</v>
      </c>
      <c r="K2353" s="337" t="s">
        <v>1649</v>
      </c>
      <c r="L2353" s="300" t="s">
        <v>2167</v>
      </c>
      <c r="M2353" s="336" t="s">
        <v>603</v>
      </c>
      <c r="N2353" s="530" t="s">
        <v>711</v>
      </c>
      <c r="O2353" s="335" t="s">
        <v>602</v>
      </c>
      <c r="P2353" s="338">
        <v>8</v>
      </c>
      <c r="Q2353" s="338">
        <v>3</v>
      </c>
      <c r="R2353" s="339">
        <v>6.0000000000000001E-3</v>
      </c>
      <c r="S2353" s="335" t="s">
        <v>55</v>
      </c>
      <c r="T2353" s="335" t="s">
        <v>112</v>
      </c>
      <c r="U2353" s="340" t="s">
        <v>1894</v>
      </c>
      <c r="V2353" s="341">
        <v>190</v>
      </c>
      <c r="W2353" s="341"/>
      <c r="X2353" s="342">
        <f>(515+2673)/8</f>
        <v>398.5</v>
      </c>
      <c r="Y2353" s="343">
        <f t="shared" si="912"/>
        <v>208.5</v>
      </c>
      <c r="Z2353" s="344">
        <f t="shared" si="903"/>
        <v>0</v>
      </c>
      <c r="AA2353" s="344">
        <f t="shared" si="893"/>
        <v>0</v>
      </c>
      <c r="AB2353" s="817">
        <v>3.8699999999999998E-2</v>
      </c>
      <c r="AC2353" s="341">
        <f t="shared" si="913"/>
        <v>0</v>
      </c>
      <c r="AD2353" s="443" t="s">
        <v>2397</v>
      </c>
      <c r="AE2353" s="210">
        <f t="shared" si="907"/>
        <v>0</v>
      </c>
      <c r="AF2353" s="210">
        <f t="shared" si="914"/>
        <v>0</v>
      </c>
      <c r="AG2353" s="211">
        <f t="shared" si="904"/>
        <v>0.30199999999999999</v>
      </c>
      <c r="AH2353" s="157">
        <v>0.26621999999999996</v>
      </c>
      <c r="AI2353" s="152">
        <f t="shared" si="906"/>
        <v>1520</v>
      </c>
      <c r="AK2353" s="156" t="s">
        <v>691</v>
      </c>
      <c r="AL2353" s="212" t="s">
        <v>690</v>
      </c>
      <c r="AM2353" s="198">
        <f t="shared" ref="AM2353:AM2359" si="915">AG2353*Z2353</f>
        <v>0</v>
      </c>
      <c r="AN2353" s="199">
        <f t="shared" si="889"/>
        <v>45819</v>
      </c>
      <c r="AO2353" s="159" t="s">
        <v>692</v>
      </c>
      <c r="AP2353" s="781" t="s">
        <v>642</v>
      </c>
      <c r="AQ2353" s="782">
        <v>12063755</v>
      </c>
      <c r="AR2353" s="782">
        <v>12061353</v>
      </c>
      <c r="AS2353" s="782">
        <v>12061354</v>
      </c>
      <c r="AT2353" s="782">
        <v>12089985</v>
      </c>
      <c r="AU2353" s="781"/>
      <c r="AV2353" s="782">
        <v>12089988</v>
      </c>
      <c r="AW2353" s="781"/>
      <c r="AX2353" s="781"/>
      <c r="AY2353" s="781"/>
      <c r="AZ2353" s="782"/>
      <c r="BA2353" s="781"/>
      <c r="BB2353" s="209">
        <v>23105470</v>
      </c>
    </row>
    <row r="2354" spans="1:54" ht="25" hidden="1" customHeight="1">
      <c r="A2354" s="630" t="s">
        <v>120</v>
      </c>
      <c r="B2354" s="466">
        <v>45820</v>
      </c>
      <c r="C2354" s="467">
        <v>45835</v>
      </c>
      <c r="D2354" s="185">
        <f t="shared" si="891"/>
        <v>2025</v>
      </c>
      <c r="E2354" s="468" t="e">
        <f>VLOOKUP($B2354,Week!$A$1:$C$1462,2,0)</f>
        <v>#N/A</v>
      </c>
      <c r="F2354" s="469" t="str">
        <f t="shared" si="892"/>
        <v>Jun</v>
      </c>
      <c r="G2354" s="470" t="s">
        <v>2201</v>
      </c>
      <c r="H2354" s="468" t="s">
        <v>82</v>
      </c>
      <c r="I2354" s="468" t="s">
        <v>82</v>
      </c>
      <c r="J2354" s="471" t="s">
        <v>720</v>
      </c>
      <c r="K2354" s="472" t="s">
        <v>85</v>
      </c>
      <c r="L2354" s="390" t="s">
        <v>2166</v>
      </c>
      <c r="M2354" s="471" t="s">
        <v>579</v>
      </c>
      <c r="N2354" s="468" t="s">
        <v>580</v>
      </c>
      <c r="O2354" s="468" t="s">
        <v>581</v>
      </c>
      <c r="P2354" s="473">
        <v>8</v>
      </c>
      <c r="Q2354" s="473">
        <v>60</v>
      </c>
      <c r="R2354" s="474">
        <v>6.8100000000000001E-3</v>
      </c>
      <c r="S2354" s="468" t="s">
        <v>76</v>
      </c>
      <c r="T2354" s="468" t="s">
        <v>56</v>
      </c>
      <c r="U2354" s="468" t="s">
        <v>89</v>
      </c>
      <c r="V2354" s="475">
        <v>760</v>
      </c>
      <c r="W2354" s="475">
        <f>9+751</f>
        <v>760</v>
      </c>
      <c r="X2354" s="476"/>
      <c r="Y2354" s="477">
        <f t="shared" si="912"/>
        <v>0</v>
      </c>
      <c r="Z2354" s="478">
        <f t="shared" si="903"/>
        <v>0</v>
      </c>
      <c r="AA2354" s="478">
        <f t="shared" si="893"/>
        <v>0</v>
      </c>
      <c r="AB2354" s="828">
        <v>6</v>
      </c>
      <c r="AC2354" s="475">
        <f t="shared" si="913"/>
        <v>0</v>
      </c>
      <c r="AD2354" s="209"/>
      <c r="AE2354" s="210">
        <f t="shared" si="907"/>
        <v>0</v>
      </c>
      <c r="AF2354" s="210">
        <f t="shared" si="914"/>
        <v>0</v>
      </c>
      <c r="AG2354" s="211">
        <f t="shared" si="904"/>
        <v>0.75</v>
      </c>
      <c r="AH2354" s="157">
        <f t="shared" ref="AH2354:AH2359" si="916">(Z2354*AG2354)/1000</f>
        <v>0</v>
      </c>
      <c r="AI2354" s="152">
        <f t="shared" si="906"/>
        <v>6080</v>
      </c>
      <c r="AK2354" s="156" t="s">
        <v>691</v>
      </c>
      <c r="AL2354" s="156" t="s">
        <v>689</v>
      </c>
      <c r="AM2354" s="198">
        <f t="shared" si="915"/>
        <v>0</v>
      </c>
      <c r="AN2354" s="199">
        <f t="shared" si="889"/>
        <v>45820</v>
      </c>
      <c r="AO2354" s="159" t="s">
        <v>692</v>
      </c>
      <c r="AP2354" s="783" t="s">
        <v>622</v>
      </c>
      <c r="AQ2354" s="782">
        <v>12088677</v>
      </c>
      <c r="AR2354" s="782" t="s">
        <v>2142</v>
      </c>
      <c r="AS2354" s="782"/>
      <c r="AT2354" s="782">
        <v>12082897</v>
      </c>
      <c r="AU2354" s="781"/>
      <c r="AV2354" s="782">
        <v>12082898</v>
      </c>
      <c r="AW2354" s="782">
        <v>12082899</v>
      </c>
      <c r="AX2354" s="796" t="s">
        <v>621</v>
      </c>
      <c r="AY2354" s="782"/>
      <c r="AZ2354" s="782"/>
      <c r="BA2354" s="781"/>
      <c r="BB2354" s="209">
        <v>23053184</v>
      </c>
    </row>
    <row r="2355" spans="1:54" ht="25" hidden="1" customHeight="1">
      <c r="A2355" s="440"/>
      <c r="B2355" s="295">
        <v>45820</v>
      </c>
      <c r="C2355" s="295">
        <v>45834</v>
      </c>
      <c r="D2355" s="298">
        <f t="shared" si="891"/>
        <v>2025</v>
      </c>
      <c r="E2355" s="855" t="e">
        <f>VLOOKUP($B2355,Week!$A$1:$C$1462,2,0)</f>
        <v>#N/A</v>
      </c>
      <c r="F2355" s="856" t="str">
        <f t="shared" si="892"/>
        <v>Jun</v>
      </c>
      <c r="G2355" s="857" t="s">
        <v>2296</v>
      </c>
      <c r="H2355" s="298" t="s">
        <v>267</v>
      </c>
      <c r="I2355" s="298" t="s">
        <v>2772</v>
      </c>
      <c r="J2355" s="299" t="s">
        <v>699</v>
      </c>
      <c r="K2355" s="300" t="s">
        <v>107</v>
      </c>
      <c r="L2355" s="300" t="s">
        <v>2167</v>
      </c>
      <c r="M2355" s="299" t="s">
        <v>136</v>
      </c>
      <c r="N2355" s="298" t="s">
        <v>2289</v>
      </c>
      <c r="O2355" s="298" t="s">
        <v>270</v>
      </c>
      <c r="P2355" s="301">
        <v>12</v>
      </c>
      <c r="Q2355" s="301">
        <v>3</v>
      </c>
      <c r="R2355" s="302">
        <v>7.4999999999999997E-3</v>
      </c>
      <c r="S2355" s="298" t="s">
        <v>76</v>
      </c>
      <c r="T2355" s="298" t="s">
        <v>112</v>
      </c>
      <c r="U2355" s="298" t="s">
        <v>57</v>
      </c>
      <c r="V2355" s="303">
        <f>2520-2451</f>
        <v>69</v>
      </c>
      <c r="W2355" s="303">
        <f>32+37</f>
        <v>69</v>
      </c>
      <c r="X2355" s="304"/>
      <c r="Y2355" s="305">
        <f t="shared" si="912"/>
        <v>0</v>
      </c>
      <c r="Z2355" s="306">
        <f t="shared" si="903"/>
        <v>0</v>
      </c>
      <c r="AA2355" s="306">
        <f t="shared" si="893"/>
        <v>0</v>
      </c>
      <c r="AB2355" s="814">
        <v>7.4999999999999997E-3</v>
      </c>
      <c r="AC2355" s="303">
        <f t="shared" si="913"/>
        <v>0</v>
      </c>
      <c r="AD2355" s="443"/>
      <c r="AE2355" s="210">
        <f t="shared" si="907"/>
        <v>0</v>
      </c>
      <c r="AF2355" s="210">
        <f t="shared" si="914"/>
        <v>0</v>
      </c>
      <c r="AG2355" s="211">
        <f t="shared" si="904"/>
        <v>0.309</v>
      </c>
      <c r="AH2355" s="157">
        <f t="shared" si="916"/>
        <v>0</v>
      </c>
      <c r="AI2355" s="152">
        <f t="shared" si="906"/>
        <v>828</v>
      </c>
      <c r="AK2355" s="156" t="s">
        <v>691</v>
      </c>
      <c r="AL2355" s="212" t="s">
        <v>690</v>
      </c>
      <c r="AM2355" s="198">
        <f t="shared" si="915"/>
        <v>0</v>
      </c>
      <c r="AN2355" s="199">
        <f t="shared" si="889"/>
        <v>45820</v>
      </c>
      <c r="AO2355" s="159" t="s">
        <v>692</v>
      </c>
      <c r="AP2355" s="781"/>
      <c r="AQ2355" s="782">
        <v>12063755</v>
      </c>
      <c r="AR2355" s="782">
        <v>12081257</v>
      </c>
      <c r="AS2355" s="782">
        <v>12081260</v>
      </c>
      <c r="AT2355" s="782"/>
      <c r="AU2355" s="781"/>
      <c r="AV2355" s="782">
        <v>12095577</v>
      </c>
      <c r="AW2355" s="782"/>
      <c r="AX2355" s="782"/>
      <c r="AY2355" s="782">
        <v>12094579</v>
      </c>
      <c r="AZ2355" s="782">
        <v>12094580</v>
      </c>
      <c r="BA2355" s="782">
        <v>12094581</v>
      </c>
      <c r="BB2355" s="209">
        <v>23053185</v>
      </c>
    </row>
    <row r="2356" spans="1:54" ht="24.65" hidden="1" customHeight="1">
      <c r="B2356" s="308">
        <v>45820</v>
      </c>
      <c r="C2356" s="309">
        <v>45841</v>
      </c>
      <c r="D2356" s="185">
        <f t="shared" si="891"/>
        <v>2025</v>
      </c>
      <c r="E2356" s="309" t="e">
        <f>VLOOKUP($B2356,Week!$A$1:$C$1462,2,0)</f>
        <v>#N/A</v>
      </c>
      <c r="F2356" s="310" t="str">
        <f t="shared" si="892"/>
        <v>Jun</v>
      </c>
      <c r="G2356" s="311" t="s">
        <v>2315</v>
      </c>
      <c r="H2356" s="311" t="s">
        <v>311</v>
      </c>
      <c r="I2356" s="311" t="s">
        <v>2772</v>
      </c>
      <c r="J2356" s="312" t="s">
        <v>738</v>
      </c>
      <c r="K2356" s="313" t="s">
        <v>107</v>
      </c>
      <c r="L2356" s="300" t="s">
        <v>2167</v>
      </c>
      <c r="M2356" s="312" t="s">
        <v>313</v>
      </c>
      <c r="N2356" s="311" t="s">
        <v>314</v>
      </c>
      <c r="O2356" s="311" t="s">
        <v>110</v>
      </c>
      <c r="P2356" s="314">
        <v>36</v>
      </c>
      <c r="Q2356" s="314">
        <v>5</v>
      </c>
      <c r="R2356" s="315">
        <v>7.4999999999999997E-3</v>
      </c>
      <c r="S2356" s="311" t="s">
        <v>111</v>
      </c>
      <c r="T2356" s="311" t="s">
        <v>112</v>
      </c>
      <c r="U2356" s="311" t="s">
        <v>57</v>
      </c>
      <c r="V2356" s="316">
        <v>792</v>
      </c>
      <c r="W2356" s="316">
        <f>174+120+498</f>
        <v>792</v>
      </c>
      <c r="X2356" s="317"/>
      <c r="Y2356" s="318">
        <f t="shared" si="912"/>
        <v>0</v>
      </c>
      <c r="Z2356" s="319">
        <f t="shared" si="903"/>
        <v>0</v>
      </c>
      <c r="AA2356" s="319">
        <f t="shared" si="893"/>
        <v>0</v>
      </c>
      <c r="AB2356" s="815">
        <v>7.4999999999999997E-3</v>
      </c>
      <c r="AC2356" s="316">
        <f t="shared" si="913"/>
        <v>0</v>
      </c>
      <c r="AD2356" s="515"/>
      <c r="AE2356" s="210">
        <f t="shared" si="907"/>
        <v>0</v>
      </c>
      <c r="AF2356" s="210">
        <f t="shared" si="914"/>
        <v>0</v>
      </c>
      <c r="AG2356" s="211">
        <f t="shared" si="904"/>
        <v>0.308</v>
      </c>
      <c r="AH2356" s="157">
        <f t="shared" si="916"/>
        <v>0</v>
      </c>
      <c r="AI2356" s="152">
        <f t="shared" si="906"/>
        <v>28512</v>
      </c>
      <c r="AK2356" s="156" t="s">
        <v>691</v>
      </c>
      <c r="AL2356" s="212" t="s">
        <v>690</v>
      </c>
      <c r="AM2356" s="198">
        <f t="shared" si="915"/>
        <v>0</v>
      </c>
      <c r="AN2356" s="199">
        <f t="shared" si="889"/>
        <v>45820</v>
      </c>
      <c r="AO2356" s="159" t="s">
        <v>692</v>
      </c>
      <c r="AP2356" s="783" t="s">
        <v>644</v>
      </c>
      <c r="AQ2356" s="782">
        <v>12063755</v>
      </c>
      <c r="AR2356" s="782">
        <v>12061353</v>
      </c>
      <c r="AS2356" s="782">
        <v>12061354</v>
      </c>
      <c r="AT2356" s="782">
        <v>12062266</v>
      </c>
      <c r="AU2356" s="781"/>
      <c r="AV2356" s="782">
        <v>12088159</v>
      </c>
      <c r="AW2356" s="782">
        <v>12088207</v>
      </c>
      <c r="AX2356" s="782"/>
      <c r="AY2356" s="782">
        <v>12094237</v>
      </c>
      <c r="AZ2356" s="782"/>
      <c r="BA2356" s="781"/>
      <c r="BB2356" s="209">
        <v>23053185</v>
      </c>
    </row>
    <row r="2357" spans="1:54" ht="25" hidden="1" customHeight="1">
      <c r="B2357" s="258">
        <v>45820</v>
      </c>
      <c r="C2357" s="259">
        <v>45832</v>
      </c>
      <c r="D2357" s="185">
        <f t="shared" si="891"/>
        <v>2025</v>
      </c>
      <c r="E2357" s="259" t="e">
        <f>VLOOKUP($B2357,Week!$A$1:$C$1462,2,0)</f>
        <v>#N/A</v>
      </c>
      <c r="F2357" s="261" t="str">
        <f t="shared" si="892"/>
        <v>Jun</v>
      </c>
      <c r="G2357" s="260" t="s">
        <v>1974</v>
      </c>
      <c r="H2357" s="260" t="s">
        <v>424</v>
      </c>
      <c r="I2357" s="260" t="s">
        <v>2772</v>
      </c>
      <c r="J2357" s="263" t="s">
        <v>653</v>
      </c>
      <c r="K2357" s="264" t="s">
        <v>1646</v>
      </c>
      <c r="L2357" s="300" t="s">
        <v>2167</v>
      </c>
      <c r="M2357" s="263" t="s">
        <v>654</v>
      </c>
      <c r="N2357" s="260" t="s">
        <v>656</v>
      </c>
      <c r="O2357" s="260" t="s">
        <v>655</v>
      </c>
      <c r="P2357" s="265">
        <v>24</v>
      </c>
      <c r="Q2357" s="265">
        <v>5</v>
      </c>
      <c r="R2357" s="266">
        <v>7.4999999999999997E-3</v>
      </c>
      <c r="S2357" s="260" t="s">
        <v>40</v>
      </c>
      <c r="T2357" s="260" t="s">
        <v>112</v>
      </c>
      <c r="U2357" s="621" t="s">
        <v>1894</v>
      </c>
      <c r="V2357" s="267">
        <v>924</v>
      </c>
      <c r="W2357" s="267">
        <f>29+895</f>
        <v>924</v>
      </c>
      <c r="X2357" s="268"/>
      <c r="Y2357" s="269">
        <f t="shared" si="912"/>
        <v>0</v>
      </c>
      <c r="Z2357" s="270">
        <f t="shared" si="903"/>
        <v>0</v>
      </c>
      <c r="AA2357" s="270">
        <f t="shared" si="893"/>
        <v>0</v>
      </c>
      <c r="AB2357" s="811">
        <v>3.8699999999999998E-2</v>
      </c>
      <c r="AC2357" s="267">
        <f t="shared" si="913"/>
        <v>0</v>
      </c>
      <c r="AD2357" s="443"/>
      <c r="AE2357" s="210">
        <f t="shared" si="907"/>
        <v>0</v>
      </c>
      <c r="AF2357" s="210">
        <f t="shared" si="914"/>
        <v>0</v>
      </c>
      <c r="AG2357" s="211">
        <f t="shared" si="904"/>
        <v>0.307</v>
      </c>
      <c r="AH2357" s="157">
        <f t="shared" si="916"/>
        <v>0</v>
      </c>
      <c r="AI2357" s="152">
        <f t="shared" si="906"/>
        <v>22176</v>
      </c>
      <c r="AK2357" s="156" t="s">
        <v>691</v>
      </c>
      <c r="AL2357" s="212" t="s">
        <v>690</v>
      </c>
      <c r="AM2357" s="198">
        <f t="shared" si="915"/>
        <v>0</v>
      </c>
      <c r="AN2357" s="199">
        <f t="shared" si="889"/>
        <v>45820</v>
      </c>
      <c r="AO2357" s="159" t="s">
        <v>692</v>
      </c>
      <c r="AP2357" s="781" t="s">
        <v>642</v>
      </c>
      <c r="AQ2357" s="782">
        <v>12063755</v>
      </c>
      <c r="AR2357" s="782">
        <v>12081257</v>
      </c>
      <c r="AS2357" s="782">
        <v>12081260</v>
      </c>
      <c r="AT2357" s="782">
        <v>12094048</v>
      </c>
      <c r="AU2357" s="781"/>
      <c r="AV2357" s="782">
        <v>12084608</v>
      </c>
      <c r="AW2357" s="782">
        <v>12068154</v>
      </c>
      <c r="AX2357" s="782"/>
      <c r="AY2357" s="782">
        <v>12094049</v>
      </c>
      <c r="AZ2357" s="782"/>
      <c r="BA2357" s="781"/>
      <c r="BB2357" s="209">
        <v>23105470</v>
      </c>
    </row>
    <row r="2358" spans="1:54" ht="25" hidden="1" customHeight="1">
      <c r="B2358" s="258">
        <v>45820</v>
      </c>
      <c r="C2358" s="259">
        <v>45832</v>
      </c>
      <c r="D2358" s="185">
        <f t="shared" si="891"/>
        <v>2025</v>
      </c>
      <c r="E2358" s="259" t="e">
        <f>VLOOKUP($B2358,Week!$A$1:$C$1462,2,0)</f>
        <v>#N/A</v>
      </c>
      <c r="F2358" s="261" t="str">
        <f t="shared" si="892"/>
        <v>Jun</v>
      </c>
      <c r="G2358" s="260" t="s">
        <v>1975</v>
      </c>
      <c r="H2358" s="260" t="s">
        <v>424</v>
      </c>
      <c r="I2358" s="260" t="s">
        <v>2772</v>
      </c>
      <c r="J2358" s="263" t="s">
        <v>653</v>
      </c>
      <c r="K2358" s="264" t="s">
        <v>1646</v>
      </c>
      <c r="L2358" s="300" t="s">
        <v>2167</v>
      </c>
      <c r="M2358" s="263" t="s">
        <v>654</v>
      </c>
      <c r="N2358" s="260" t="s">
        <v>656</v>
      </c>
      <c r="O2358" s="260" t="s">
        <v>655</v>
      </c>
      <c r="P2358" s="265">
        <v>24</v>
      </c>
      <c r="Q2358" s="265">
        <v>5</v>
      </c>
      <c r="R2358" s="266">
        <v>7.4999999999999997E-3</v>
      </c>
      <c r="S2358" s="260" t="s">
        <v>40</v>
      </c>
      <c r="T2358" s="260" t="s">
        <v>112</v>
      </c>
      <c r="U2358" s="621" t="s">
        <v>1894</v>
      </c>
      <c r="V2358" s="267">
        <v>924</v>
      </c>
      <c r="W2358" s="267">
        <f>1819-895</f>
        <v>924</v>
      </c>
      <c r="X2358" s="268">
        <f>(157)/24</f>
        <v>6.541666666666667</v>
      </c>
      <c r="Y2358" s="269">
        <f t="shared" si="912"/>
        <v>6.5416666666666288</v>
      </c>
      <c r="Z2358" s="270">
        <f t="shared" si="903"/>
        <v>0</v>
      </c>
      <c r="AA2358" s="270">
        <f t="shared" si="893"/>
        <v>0</v>
      </c>
      <c r="AB2358" s="811">
        <v>3.8699999999999998E-2</v>
      </c>
      <c r="AC2358" s="267">
        <f t="shared" si="913"/>
        <v>0</v>
      </c>
      <c r="AD2358" s="443"/>
      <c r="AE2358" s="210">
        <f t="shared" si="907"/>
        <v>0</v>
      </c>
      <c r="AF2358" s="210">
        <f t="shared" si="914"/>
        <v>0</v>
      </c>
      <c r="AG2358" s="211">
        <f t="shared" si="904"/>
        <v>0.307</v>
      </c>
      <c r="AH2358" s="157">
        <f t="shared" si="916"/>
        <v>0</v>
      </c>
      <c r="AI2358" s="152">
        <f t="shared" si="906"/>
        <v>22176</v>
      </c>
      <c r="AK2358" s="156" t="s">
        <v>691</v>
      </c>
      <c r="AL2358" s="212" t="s">
        <v>690</v>
      </c>
      <c r="AM2358" s="198">
        <f t="shared" si="915"/>
        <v>0</v>
      </c>
      <c r="AN2358" s="199">
        <f t="shared" si="889"/>
        <v>45820</v>
      </c>
      <c r="AO2358" s="159" t="s">
        <v>692</v>
      </c>
      <c r="AP2358" s="781" t="s">
        <v>642</v>
      </c>
      <c r="AQ2358" s="782">
        <v>12063755</v>
      </c>
      <c r="AR2358" s="782">
        <v>12081257</v>
      </c>
      <c r="AS2358" s="782">
        <v>12081260</v>
      </c>
      <c r="AT2358" s="782">
        <v>12094048</v>
      </c>
      <c r="AU2358" s="781"/>
      <c r="AV2358" s="782">
        <v>12084608</v>
      </c>
      <c r="AW2358" s="782">
        <v>12068154</v>
      </c>
      <c r="AX2358" s="782"/>
      <c r="AY2358" s="782">
        <v>12094049</v>
      </c>
      <c r="AZ2358" s="782"/>
      <c r="BA2358" s="781"/>
      <c r="BB2358" s="209">
        <v>23105470</v>
      </c>
    </row>
    <row r="2359" spans="1:54" ht="25" hidden="1" customHeight="1">
      <c r="A2359" s="630" t="s">
        <v>120</v>
      </c>
      <c r="B2359" s="466">
        <v>45821</v>
      </c>
      <c r="C2359" s="467">
        <v>45835</v>
      </c>
      <c r="D2359" s="185">
        <f t="shared" si="891"/>
        <v>2025</v>
      </c>
      <c r="E2359" s="468" t="e">
        <f>VLOOKUP($B2359,Week!$A$1:$C$1462,2,0)</f>
        <v>#N/A</v>
      </c>
      <c r="F2359" s="469" t="str">
        <f t="shared" si="892"/>
        <v>Jun</v>
      </c>
      <c r="G2359" s="470" t="s">
        <v>2201</v>
      </c>
      <c r="H2359" s="468" t="s">
        <v>82</v>
      </c>
      <c r="I2359" s="468" t="s">
        <v>82</v>
      </c>
      <c r="J2359" s="471" t="s">
        <v>720</v>
      </c>
      <c r="K2359" s="472" t="s">
        <v>85</v>
      </c>
      <c r="L2359" s="390" t="s">
        <v>2166</v>
      </c>
      <c r="M2359" s="471" t="s">
        <v>579</v>
      </c>
      <c r="N2359" s="468" t="s">
        <v>580</v>
      </c>
      <c r="O2359" s="468" t="s">
        <v>581</v>
      </c>
      <c r="P2359" s="473">
        <v>8</v>
      </c>
      <c r="Q2359" s="473">
        <v>60</v>
      </c>
      <c r="R2359" s="474">
        <v>6.8100000000000001E-3</v>
      </c>
      <c r="S2359" s="468" t="s">
        <v>76</v>
      </c>
      <c r="T2359" s="468" t="s">
        <v>56</v>
      </c>
      <c r="U2359" s="468" t="s">
        <v>89</v>
      </c>
      <c r="V2359" s="475">
        <f>1408-760</f>
        <v>648</v>
      </c>
      <c r="W2359" s="475">
        <v>648</v>
      </c>
      <c r="X2359" s="476"/>
      <c r="Y2359" s="477">
        <f t="shared" si="912"/>
        <v>0</v>
      </c>
      <c r="Z2359" s="478">
        <f t="shared" si="903"/>
        <v>0</v>
      </c>
      <c r="AA2359" s="478">
        <f t="shared" si="893"/>
        <v>0</v>
      </c>
      <c r="AB2359" s="828">
        <v>6</v>
      </c>
      <c r="AC2359" s="475">
        <f t="shared" si="913"/>
        <v>0</v>
      </c>
      <c r="AD2359" s="209"/>
      <c r="AE2359" s="210">
        <f t="shared" si="907"/>
        <v>0</v>
      </c>
      <c r="AF2359" s="210">
        <f t="shared" si="914"/>
        <v>0</v>
      </c>
      <c r="AG2359" s="211">
        <f t="shared" si="904"/>
        <v>0.75</v>
      </c>
      <c r="AH2359" s="157">
        <f t="shared" si="916"/>
        <v>0</v>
      </c>
      <c r="AI2359" s="152">
        <f t="shared" si="906"/>
        <v>5184</v>
      </c>
      <c r="AK2359" s="156" t="s">
        <v>691</v>
      </c>
      <c r="AL2359" s="156" t="s">
        <v>689</v>
      </c>
      <c r="AM2359" s="198">
        <f t="shared" si="915"/>
        <v>0</v>
      </c>
      <c r="AN2359" s="199">
        <f t="shared" si="889"/>
        <v>45821</v>
      </c>
      <c r="AO2359" s="159" t="s">
        <v>692</v>
      </c>
      <c r="AP2359" s="783" t="s">
        <v>622</v>
      </c>
      <c r="AQ2359" s="782">
        <v>12088677</v>
      </c>
      <c r="AR2359" s="782" t="s">
        <v>2142</v>
      </c>
      <c r="AS2359" s="782"/>
      <c r="AT2359" s="782">
        <v>12082897</v>
      </c>
      <c r="AU2359" s="781"/>
      <c r="AV2359" s="782">
        <v>12082898</v>
      </c>
      <c r="AW2359" s="782">
        <v>12082899</v>
      </c>
      <c r="AX2359" s="796" t="s">
        <v>621</v>
      </c>
      <c r="AY2359" s="782"/>
      <c r="AZ2359" s="782"/>
      <c r="BA2359" s="781"/>
      <c r="BB2359" s="209">
        <v>23053184</v>
      </c>
    </row>
    <row r="2360" spans="1:54" ht="25" hidden="1" customHeight="1">
      <c r="B2360" s="271">
        <v>45821</v>
      </c>
      <c r="C2360" s="441">
        <v>45831</v>
      </c>
      <c r="D2360" s="274">
        <f t="shared" si="891"/>
        <v>2025</v>
      </c>
      <c r="E2360" s="274" t="e">
        <f>VLOOKUP($B2360,Week!$A$1:$C$1462,2,0)</f>
        <v>#N/A</v>
      </c>
      <c r="F2360" s="273" t="str">
        <f t="shared" si="892"/>
        <v>Jun</v>
      </c>
      <c r="G2360" s="274" t="s">
        <v>2261</v>
      </c>
      <c r="H2360" s="274" t="s">
        <v>225</v>
      </c>
      <c r="I2360" s="274" t="s">
        <v>2773</v>
      </c>
      <c r="J2360" s="275" t="s">
        <v>650</v>
      </c>
      <c r="K2360" s="276" t="s">
        <v>2256</v>
      </c>
      <c r="L2360" s="276" t="s">
        <v>2167</v>
      </c>
      <c r="M2360" s="275" t="s">
        <v>2258</v>
      </c>
      <c r="N2360" s="274" t="s">
        <v>2259</v>
      </c>
      <c r="O2360" s="274" t="s">
        <v>110</v>
      </c>
      <c r="P2360" s="277">
        <v>36</v>
      </c>
      <c r="Q2360" s="277">
        <v>5</v>
      </c>
      <c r="R2360" s="278">
        <v>7.4999999999999997E-3</v>
      </c>
      <c r="S2360" s="274" t="s">
        <v>111</v>
      </c>
      <c r="T2360" s="274" t="s">
        <v>112</v>
      </c>
      <c r="U2360" s="274" t="s">
        <v>113</v>
      </c>
      <c r="V2360" s="279">
        <v>792</v>
      </c>
      <c r="W2360" s="279">
        <v>792</v>
      </c>
      <c r="X2360" s="280"/>
      <c r="Y2360" s="281">
        <f t="shared" ref="Y2360:Y2365" si="917">(W2360+X2360)-V2360</f>
        <v>0</v>
      </c>
      <c r="Z2360" s="282">
        <f t="shared" si="903"/>
        <v>0</v>
      </c>
      <c r="AA2360" s="282">
        <f t="shared" si="893"/>
        <v>0</v>
      </c>
      <c r="AB2360" s="812">
        <v>9.7000000000000003E-3</v>
      </c>
      <c r="AC2360" s="279">
        <f t="shared" ref="AC2360:AC2365" si="918">Z2360*AB2360</f>
        <v>0</v>
      </c>
      <c r="AD2360" s="209"/>
      <c r="AE2360" s="210">
        <f t="shared" si="907"/>
        <v>0</v>
      </c>
      <c r="AF2360" s="210">
        <f t="shared" si="914"/>
        <v>0</v>
      </c>
      <c r="AG2360" s="211">
        <f t="shared" si="904"/>
        <v>0.308</v>
      </c>
      <c r="AH2360" s="157">
        <f t="shared" ref="AH2360:AH2367" si="919">(Z2360*AG2360)/1000</f>
        <v>0</v>
      </c>
      <c r="AI2360" s="152">
        <f t="shared" si="906"/>
        <v>28512</v>
      </c>
      <c r="AK2360" s="156" t="s">
        <v>691</v>
      </c>
      <c r="AL2360" s="574" t="s">
        <v>690</v>
      </c>
      <c r="AM2360" s="198">
        <f t="shared" ref="AM2360:AM2367" si="920">AG2360*Z2360</f>
        <v>0</v>
      </c>
      <c r="AN2360" s="199">
        <f t="shared" si="889"/>
        <v>45821</v>
      </c>
      <c r="AO2360" s="159" t="s">
        <v>692</v>
      </c>
      <c r="AP2360" s="781"/>
      <c r="AQ2360" s="782">
        <v>12063755</v>
      </c>
      <c r="AR2360" s="782">
        <v>12061353</v>
      </c>
      <c r="AS2360" s="782">
        <v>12061354</v>
      </c>
      <c r="AT2360" s="782">
        <v>12095367</v>
      </c>
      <c r="AU2360" s="781"/>
      <c r="AV2360" s="782">
        <v>12095366</v>
      </c>
      <c r="AW2360" s="782">
        <v>12088207</v>
      </c>
      <c r="AX2360" s="782"/>
      <c r="AY2360" s="782">
        <v>12095368</v>
      </c>
      <c r="AZ2360" s="782"/>
      <c r="BA2360" s="781"/>
      <c r="BB2360" s="209">
        <v>23054743</v>
      </c>
    </row>
    <row r="2361" spans="1:54" ht="25" hidden="1" customHeight="1">
      <c r="B2361" s="271">
        <v>45821</v>
      </c>
      <c r="C2361" s="441">
        <v>45831</v>
      </c>
      <c r="D2361" s="274">
        <f t="shared" si="891"/>
        <v>2025</v>
      </c>
      <c r="E2361" s="274" t="e">
        <f>VLOOKUP($B2361,Week!$A$1:$C$1462,2,0)</f>
        <v>#N/A</v>
      </c>
      <c r="F2361" s="273" t="str">
        <f t="shared" si="892"/>
        <v>Jun</v>
      </c>
      <c r="G2361" s="274" t="s">
        <v>2262</v>
      </c>
      <c r="H2361" s="274" t="s">
        <v>225</v>
      </c>
      <c r="I2361" s="274" t="s">
        <v>2773</v>
      </c>
      <c r="J2361" s="275" t="s">
        <v>650</v>
      </c>
      <c r="K2361" s="276" t="s">
        <v>2256</v>
      </c>
      <c r="L2361" s="276" t="s">
        <v>2167</v>
      </c>
      <c r="M2361" s="275" t="s">
        <v>2258</v>
      </c>
      <c r="N2361" s="274" t="s">
        <v>2259</v>
      </c>
      <c r="O2361" s="274" t="s">
        <v>110</v>
      </c>
      <c r="P2361" s="277">
        <v>36</v>
      </c>
      <c r="Q2361" s="277">
        <v>5</v>
      </c>
      <c r="R2361" s="278">
        <v>7.4999999999999997E-3</v>
      </c>
      <c r="S2361" s="274" t="s">
        <v>111</v>
      </c>
      <c r="T2361" s="274" t="s">
        <v>112</v>
      </c>
      <c r="U2361" s="274" t="s">
        <v>113</v>
      </c>
      <c r="V2361" s="279">
        <v>792</v>
      </c>
      <c r="W2361" s="279">
        <v>792</v>
      </c>
      <c r="X2361" s="280"/>
      <c r="Y2361" s="281">
        <f t="shared" si="917"/>
        <v>0</v>
      </c>
      <c r="Z2361" s="282">
        <f t="shared" si="903"/>
        <v>0</v>
      </c>
      <c r="AA2361" s="282">
        <f t="shared" si="893"/>
        <v>0</v>
      </c>
      <c r="AB2361" s="812">
        <v>9.7000000000000003E-3</v>
      </c>
      <c r="AC2361" s="279">
        <f t="shared" si="918"/>
        <v>0</v>
      </c>
      <c r="AD2361" s="209"/>
      <c r="AE2361" s="210">
        <f t="shared" si="907"/>
        <v>0</v>
      </c>
      <c r="AF2361" s="210">
        <f t="shared" si="914"/>
        <v>0</v>
      </c>
      <c r="AG2361" s="211">
        <f t="shared" si="904"/>
        <v>0.308</v>
      </c>
      <c r="AH2361" s="157">
        <f t="shared" si="919"/>
        <v>0</v>
      </c>
      <c r="AI2361" s="152">
        <f t="shared" si="906"/>
        <v>28512</v>
      </c>
      <c r="AK2361" s="156" t="s">
        <v>691</v>
      </c>
      <c r="AL2361" s="574" t="s">
        <v>690</v>
      </c>
      <c r="AM2361" s="198">
        <f t="shared" si="920"/>
        <v>0</v>
      </c>
      <c r="AN2361" s="199">
        <f t="shared" si="889"/>
        <v>45821</v>
      </c>
      <c r="AO2361" s="159" t="s">
        <v>692</v>
      </c>
      <c r="AP2361" s="781"/>
      <c r="AQ2361" s="782">
        <v>12063755</v>
      </c>
      <c r="AR2361" s="782">
        <v>12061353</v>
      </c>
      <c r="AS2361" s="782">
        <v>12061354</v>
      </c>
      <c r="AT2361" s="782">
        <v>12095367</v>
      </c>
      <c r="AU2361" s="781"/>
      <c r="AV2361" s="782">
        <v>12095366</v>
      </c>
      <c r="AW2361" s="782">
        <v>12088207</v>
      </c>
      <c r="AX2361" s="782"/>
      <c r="AY2361" s="782">
        <v>12095368</v>
      </c>
      <c r="AZ2361" s="782"/>
      <c r="BA2361" s="781"/>
      <c r="BB2361" s="209">
        <v>23054743</v>
      </c>
    </row>
    <row r="2362" spans="1:54" ht="25" hidden="1" customHeight="1">
      <c r="B2362" s="271">
        <v>45821</v>
      </c>
      <c r="C2362" s="441">
        <v>45831</v>
      </c>
      <c r="D2362" s="274">
        <f t="shared" si="891"/>
        <v>2025</v>
      </c>
      <c r="E2362" s="274" t="e">
        <f>VLOOKUP($B2362,Week!$A$1:$C$1462,2,0)</f>
        <v>#N/A</v>
      </c>
      <c r="F2362" s="273" t="str">
        <f t="shared" si="892"/>
        <v>Jun</v>
      </c>
      <c r="G2362" s="274" t="s">
        <v>2265</v>
      </c>
      <c r="H2362" s="274" t="s">
        <v>225</v>
      </c>
      <c r="I2362" s="274" t="s">
        <v>2773</v>
      </c>
      <c r="J2362" s="275" t="s">
        <v>650</v>
      </c>
      <c r="K2362" s="276" t="s">
        <v>2256</v>
      </c>
      <c r="L2362" s="276" t="s">
        <v>2167</v>
      </c>
      <c r="M2362" s="275" t="s">
        <v>2258</v>
      </c>
      <c r="N2362" s="274" t="s">
        <v>2259</v>
      </c>
      <c r="O2362" s="274" t="s">
        <v>110</v>
      </c>
      <c r="P2362" s="277">
        <v>36</v>
      </c>
      <c r="Q2362" s="277">
        <v>5</v>
      </c>
      <c r="R2362" s="278">
        <v>7.4999999999999997E-3</v>
      </c>
      <c r="S2362" s="274" t="s">
        <v>111</v>
      </c>
      <c r="T2362" s="274" t="s">
        <v>112</v>
      </c>
      <c r="U2362" s="274" t="s">
        <v>113</v>
      </c>
      <c r="V2362" s="279">
        <f>2146-792-792</f>
        <v>562</v>
      </c>
      <c r="W2362" s="279">
        <f>2146-792-792</f>
        <v>562</v>
      </c>
      <c r="X2362" s="280"/>
      <c r="Y2362" s="281">
        <f t="shared" si="917"/>
        <v>0</v>
      </c>
      <c r="Z2362" s="282">
        <f t="shared" si="903"/>
        <v>0</v>
      </c>
      <c r="AA2362" s="282">
        <f t="shared" si="893"/>
        <v>0</v>
      </c>
      <c r="AB2362" s="812">
        <v>9.7000000000000003E-3</v>
      </c>
      <c r="AC2362" s="279">
        <f t="shared" si="918"/>
        <v>0</v>
      </c>
      <c r="AD2362" s="209"/>
      <c r="AE2362" s="210">
        <f t="shared" si="907"/>
        <v>0</v>
      </c>
      <c r="AF2362" s="210">
        <f t="shared" si="914"/>
        <v>0</v>
      </c>
      <c r="AG2362" s="211">
        <f t="shared" si="904"/>
        <v>0.308</v>
      </c>
      <c r="AH2362" s="157">
        <f t="shared" si="919"/>
        <v>0</v>
      </c>
      <c r="AI2362" s="152">
        <f t="shared" si="906"/>
        <v>20232</v>
      </c>
      <c r="AK2362" s="156" t="s">
        <v>691</v>
      </c>
      <c r="AL2362" s="574" t="s">
        <v>690</v>
      </c>
      <c r="AM2362" s="198">
        <f t="shared" si="920"/>
        <v>0</v>
      </c>
      <c r="AN2362" s="199">
        <f t="shared" si="889"/>
        <v>45821</v>
      </c>
      <c r="AO2362" s="159" t="s">
        <v>692</v>
      </c>
      <c r="AP2362" s="781"/>
      <c r="AQ2362" s="782">
        <v>12063755</v>
      </c>
      <c r="AR2362" s="782">
        <v>12061353</v>
      </c>
      <c r="AS2362" s="782">
        <v>12061354</v>
      </c>
      <c r="AT2362" s="782">
        <v>12095367</v>
      </c>
      <c r="AU2362" s="781"/>
      <c r="AV2362" s="782">
        <v>12095366</v>
      </c>
      <c r="AW2362" s="782">
        <v>12088207</v>
      </c>
      <c r="AX2362" s="782"/>
      <c r="AY2362" s="782">
        <v>12095368</v>
      </c>
      <c r="AZ2362" s="782"/>
      <c r="BA2362" s="781"/>
      <c r="BB2362" s="209">
        <v>23054743</v>
      </c>
    </row>
    <row r="2363" spans="1:54" ht="25" hidden="1" customHeight="1">
      <c r="A2363" s="142" t="s">
        <v>120</v>
      </c>
      <c r="B2363" s="546">
        <v>45822</v>
      </c>
      <c r="C2363" s="547">
        <v>45832</v>
      </c>
      <c r="D2363" s="185">
        <f t="shared" si="891"/>
        <v>2025</v>
      </c>
      <c r="E2363" s="547" t="e">
        <f>VLOOKUP($B2363,Week!$A$1:$C$1462,2,0)</f>
        <v>#N/A</v>
      </c>
      <c r="F2363" s="548" t="str">
        <f t="shared" si="892"/>
        <v>Jun</v>
      </c>
      <c r="G2363" s="549" t="s">
        <v>2349</v>
      </c>
      <c r="H2363" s="549" t="s">
        <v>431</v>
      </c>
      <c r="I2363" s="549" t="s">
        <v>2772</v>
      </c>
      <c r="J2363" s="550" t="s">
        <v>432</v>
      </c>
      <c r="K2363" s="551" t="s">
        <v>85</v>
      </c>
      <c r="L2363" s="390" t="s">
        <v>2166</v>
      </c>
      <c r="M2363" s="550" t="s">
        <v>86</v>
      </c>
      <c r="N2363" s="549" t="s">
        <v>550</v>
      </c>
      <c r="O2363" s="549" t="s">
        <v>548</v>
      </c>
      <c r="P2363" s="552">
        <v>10</v>
      </c>
      <c r="Q2363" s="552">
        <v>50</v>
      </c>
      <c r="R2363" s="553">
        <v>8.1300000000000001E-3</v>
      </c>
      <c r="S2363" s="549" t="s">
        <v>40</v>
      </c>
      <c r="T2363" s="549" t="s">
        <v>112</v>
      </c>
      <c r="U2363" s="549" t="s">
        <v>89</v>
      </c>
      <c r="V2363" s="554">
        <f>500</f>
        <v>500</v>
      </c>
      <c r="W2363" s="554">
        <f>16+484</f>
        <v>500</v>
      </c>
      <c r="X2363" s="555"/>
      <c r="Y2363" s="556">
        <f t="shared" si="917"/>
        <v>0</v>
      </c>
      <c r="Z2363" s="557">
        <f t="shared" si="903"/>
        <v>0</v>
      </c>
      <c r="AA2363" s="557">
        <f t="shared" si="893"/>
        <v>0</v>
      </c>
      <c r="AB2363" s="833">
        <v>6</v>
      </c>
      <c r="AC2363" s="554">
        <f t="shared" si="918"/>
        <v>0</v>
      </c>
      <c r="AD2363" s="209"/>
      <c r="AE2363" s="210">
        <f t="shared" si="907"/>
        <v>0</v>
      </c>
      <c r="AF2363" s="210">
        <f t="shared" si="914"/>
        <v>0</v>
      </c>
      <c r="AG2363" s="211">
        <f t="shared" si="904"/>
        <v>0.63</v>
      </c>
      <c r="AH2363" s="157">
        <f t="shared" si="919"/>
        <v>0</v>
      </c>
      <c r="AI2363" s="152">
        <f t="shared" si="906"/>
        <v>5000</v>
      </c>
      <c r="AK2363" s="156" t="s">
        <v>691</v>
      </c>
      <c r="AL2363" s="156" t="s">
        <v>689</v>
      </c>
      <c r="AM2363" s="198">
        <f t="shared" si="920"/>
        <v>0</v>
      </c>
      <c r="AN2363" s="199">
        <f t="shared" si="889"/>
        <v>45822</v>
      </c>
      <c r="AO2363" s="159" t="s">
        <v>692</v>
      </c>
      <c r="AP2363" s="783" t="s">
        <v>618</v>
      </c>
      <c r="AQ2363" s="782" t="s">
        <v>549</v>
      </c>
      <c r="AR2363" s="796" t="s">
        <v>529</v>
      </c>
      <c r="AS2363" s="782"/>
      <c r="AT2363" s="796" t="s">
        <v>551</v>
      </c>
      <c r="AU2363" s="781"/>
      <c r="AV2363" s="796" t="s">
        <v>552</v>
      </c>
      <c r="AW2363" s="782"/>
      <c r="AX2363" s="782" t="s">
        <v>93</v>
      </c>
      <c r="AY2363" s="782"/>
      <c r="AZ2363" s="782"/>
      <c r="BA2363" s="781"/>
    </row>
    <row r="2364" spans="1:54" ht="25.9" hidden="1" customHeight="1">
      <c r="A2364" s="142" t="s">
        <v>120</v>
      </c>
      <c r="B2364" s="235">
        <v>45822</v>
      </c>
      <c r="C2364" s="235">
        <v>45846</v>
      </c>
      <c r="D2364" s="185">
        <f t="shared" si="891"/>
        <v>2025</v>
      </c>
      <c r="E2364" s="236" t="e">
        <f>VLOOKUP($B2364,Week!$A$1:$C$1462,2,0)</f>
        <v>#N/A</v>
      </c>
      <c r="F2364" s="237" t="str">
        <f t="shared" si="892"/>
        <v>Jun</v>
      </c>
      <c r="G2364" s="236" t="s">
        <v>2337</v>
      </c>
      <c r="H2364" s="236" t="s">
        <v>392</v>
      </c>
      <c r="I2364" s="236" t="s">
        <v>2772</v>
      </c>
      <c r="J2364" s="238" t="s">
        <v>393</v>
      </c>
      <c r="K2364" s="239" t="s">
        <v>153</v>
      </c>
      <c r="L2364" s="390" t="s">
        <v>2166</v>
      </c>
      <c r="M2364" s="238" t="s">
        <v>165</v>
      </c>
      <c r="N2364" s="236" t="s">
        <v>685</v>
      </c>
      <c r="O2364" s="236" t="s">
        <v>167</v>
      </c>
      <c r="P2364" s="240">
        <v>20</v>
      </c>
      <c r="Q2364" s="240">
        <v>12</v>
      </c>
      <c r="R2364" s="241">
        <v>6.8100000000000001E-3</v>
      </c>
      <c r="S2364" s="236" t="s">
        <v>76</v>
      </c>
      <c r="T2364" s="236" t="s">
        <v>56</v>
      </c>
      <c r="U2364" s="236" t="s">
        <v>89</v>
      </c>
      <c r="V2364" s="242">
        <f>350</f>
        <v>350</v>
      </c>
      <c r="W2364" s="242">
        <f>68</f>
        <v>68</v>
      </c>
      <c r="X2364" s="243">
        <f>(840+4940)/20</f>
        <v>289</v>
      </c>
      <c r="Y2364" s="244">
        <f t="shared" si="917"/>
        <v>7</v>
      </c>
      <c r="Z2364" s="245">
        <f t="shared" si="903"/>
        <v>0</v>
      </c>
      <c r="AA2364" s="245">
        <f t="shared" si="893"/>
        <v>0</v>
      </c>
      <c r="AB2364" s="809">
        <v>2</v>
      </c>
      <c r="AC2364" s="242">
        <f t="shared" si="918"/>
        <v>0</v>
      </c>
      <c r="AD2364" s="209"/>
      <c r="AE2364" s="210">
        <f t="shared" si="907"/>
        <v>0</v>
      </c>
      <c r="AF2364" s="210">
        <f t="shared" si="914"/>
        <v>0</v>
      </c>
      <c r="AG2364" s="211">
        <f t="shared" si="904"/>
        <v>0.154</v>
      </c>
      <c r="AH2364" s="157">
        <f t="shared" si="919"/>
        <v>0</v>
      </c>
      <c r="AI2364" s="152">
        <f t="shared" si="906"/>
        <v>7000</v>
      </c>
      <c r="AK2364" s="156" t="s">
        <v>691</v>
      </c>
      <c r="AL2364" s="156" t="s">
        <v>689</v>
      </c>
      <c r="AM2364" s="198">
        <f t="shared" si="920"/>
        <v>0</v>
      </c>
      <c r="AN2364" s="199">
        <f t="shared" si="889"/>
        <v>45822</v>
      </c>
      <c r="AO2364" s="159" t="s">
        <v>692</v>
      </c>
      <c r="AP2364" s="783"/>
      <c r="AQ2364" s="783" t="s">
        <v>631</v>
      </c>
      <c r="AR2364" s="783" t="s">
        <v>523</v>
      </c>
      <c r="AS2364" s="781"/>
      <c r="AT2364" s="783" t="s">
        <v>607</v>
      </c>
      <c r="AU2364" s="781"/>
      <c r="AV2364" s="783" t="s">
        <v>606</v>
      </c>
      <c r="AW2364" s="781"/>
      <c r="AX2364" s="781" t="s">
        <v>398</v>
      </c>
      <c r="AY2364" s="781"/>
      <c r="AZ2364" s="781"/>
      <c r="BA2364" s="781"/>
      <c r="BB2364" s="209">
        <v>23053184</v>
      </c>
    </row>
    <row r="2365" spans="1:54" ht="24.75" hidden="1" customHeight="1">
      <c r="B2365" s="295">
        <v>45822</v>
      </c>
      <c r="C2365" s="771" t="s">
        <v>1930</v>
      </c>
      <c r="D2365" s="185">
        <f t="shared" si="891"/>
        <v>2025</v>
      </c>
      <c r="E2365" s="296" t="e">
        <f>VLOOKUP($B2365,Week!$A$1:$C$1462,2,0)</f>
        <v>#N/A</v>
      </c>
      <c r="F2365" s="297" t="str">
        <f t="shared" si="892"/>
        <v>Jun</v>
      </c>
      <c r="G2365" s="648" t="s">
        <v>47</v>
      </c>
      <c r="H2365" s="298" t="s">
        <v>260</v>
      </c>
      <c r="I2365" s="298" t="s">
        <v>2702</v>
      </c>
      <c r="J2365" s="307" t="s">
        <v>2240</v>
      </c>
      <c r="K2365" s="300" t="s">
        <v>176</v>
      </c>
      <c r="L2365" s="300" t="s">
        <v>2167</v>
      </c>
      <c r="M2365" s="299" t="s">
        <v>2338</v>
      </c>
      <c r="N2365" s="298" t="s">
        <v>350</v>
      </c>
      <c r="O2365" s="298" t="s">
        <v>351</v>
      </c>
      <c r="P2365" s="301">
        <v>24</v>
      </c>
      <c r="Q2365" s="301">
        <v>5</v>
      </c>
      <c r="R2365" s="302">
        <v>6.1999999999999998E-3</v>
      </c>
      <c r="S2365" s="298" t="s">
        <v>352</v>
      </c>
      <c r="T2365" s="298" t="s">
        <v>56</v>
      </c>
      <c r="U2365" s="298" t="s">
        <v>57</v>
      </c>
      <c r="V2365" s="303">
        <v>868</v>
      </c>
      <c r="W2365" s="303">
        <f>868</f>
        <v>868</v>
      </c>
      <c r="X2365" s="304"/>
      <c r="Y2365" s="305">
        <f t="shared" si="917"/>
        <v>0</v>
      </c>
      <c r="Z2365" s="306">
        <f t="shared" si="903"/>
        <v>0</v>
      </c>
      <c r="AA2365" s="306">
        <f t="shared" si="893"/>
        <v>0</v>
      </c>
      <c r="AB2365" s="814">
        <v>7.4999999999999997E-3</v>
      </c>
      <c r="AC2365" s="303">
        <f t="shared" si="918"/>
        <v>0</v>
      </c>
      <c r="AD2365" s="573" t="s">
        <v>2345</v>
      </c>
      <c r="AE2365" s="210">
        <f t="shared" si="907"/>
        <v>0</v>
      </c>
      <c r="AF2365" s="210">
        <f t="shared" si="914"/>
        <v>0</v>
      </c>
      <c r="AG2365" s="211">
        <f t="shared" si="904"/>
        <v>0.13</v>
      </c>
      <c r="AH2365" s="157">
        <f t="shared" si="919"/>
        <v>0</v>
      </c>
      <c r="AI2365" s="152">
        <f t="shared" si="906"/>
        <v>20832</v>
      </c>
      <c r="AK2365" s="156" t="s">
        <v>691</v>
      </c>
      <c r="AL2365" s="574" t="s">
        <v>690</v>
      </c>
      <c r="AM2365" s="198">
        <f t="shared" si="920"/>
        <v>0</v>
      </c>
      <c r="AN2365" s="199">
        <f t="shared" si="889"/>
        <v>45822</v>
      </c>
      <c r="AO2365" s="159" t="s">
        <v>692</v>
      </c>
      <c r="AP2365" s="783" t="s">
        <v>629</v>
      </c>
      <c r="AQ2365" s="782">
        <v>12071839</v>
      </c>
      <c r="AR2365" s="782">
        <v>12094356</v>
      </c>
      <c r="AS2365" s="782">
        <v>12068233</v>
      </c>
      <c r="AT2365" s="781"/>
      <c r="AU2365" s="781"/>
      <c r="AV2365" s="782">
        <v>12062075</v>
      </c>
      <c r="AW2365" s="781"/>
      <c r="AX2365" s="781"/>
      <c r="AY2365" s="782">
        <v>12094357</v>
      </c>
      <c r="AZ2365" s="781"/>
      <c r="BA2365" s="781"/>
      <c r="BB2365" s="209">
        <v>23053185</v>
      </c>
    </row>
    <row r="2366" spans="1:54" ht="25" hidden="1" customHeight="1">
      <c r="B2366" s="583">
        <v>45822</v>
      </c>
      <c r="C2366" s="795" t="s">
        <v>1930</v>
      </c>
      <c r="D2366" s="185">
        <f t="shared" si="891"/>
        <v>2025</v>
      </c>
      <c r="E2366" s="777" t="e">
        <f>VLOOKUP($B2366,Week!$A$1:$C$1462,2,0)</f>
        <v>#N/A</v>
      </c>
      <c r="F2366" s="778" t="str">
        <f t="shared" si="892"/>
        <v>Jun</v>
      </c>
      <c r="G2366" s="586" t="s">
        <v>47</v>
      </c>
      <c r="H2366" s="586" t="s">
        <v>260</v>
      </c>
      <c r="I2366" s="586" t="s">
        <v>2702</v>
      </c>
      <c r="J2366" s="587" t="s">
        <v>70</v>
      </c>
      <c r="K2366" s="588" t="s">
        <v>227</v>
      </c>
      <c r="L2366" s="300" t="s">
        <v>2167</v>
      </c>
      <c r="M2366" s="587" t="s">
        <v>2006</v>
      </c>
      <c r="N2366" s="586" t="s">
        <v>2004</v>
      </c>
      <c r="O2366" s="586" t="s">
        <v>2005</v>
      </c>
      <c r="P2366" s="589">
        <v>12</v>
      </c>
      <c r="Q2366" s="589">
        <v>3</v>
      </c>
      <c r="R2366" s="590">
        <v>8.0000000000000002E-3</v>
      </c>
      <c r="S2366" s="586" t="s">
        <v>352</v>
      </c>
      <c r="T2366" s="586" t="s">
        <v>56</v>
      </c>
      <c r="U2366" s="586" t="s">
        <v>2007</v>
      </c>
      <c r="V2366" s="779">
        <f>3000</f>
        <v>3000</v>
      </c>
      <c r="W2366" s="592">
        <f>428-164+2736</f>
        <v>3000</v>
      </c>
      <c r="X2366" s="593"/>
      <c r="Y2366" s="594">
        <f>(W2366+X2366)-V2366</f>
        <v>0</v>
      </c>
      <c r="Z2366" s="595">
        <f t="shared" si="903"/>
        <v>0</v>
      </c>
      <c r="AA2366" s="595">
        <f t="shared" si="893"/>
        <v>0</v>
      </c>
      <c r="AB2366" s="835">
        <v>0.05</v>
      </c>
      <c r="AC2366" s="592">
        <f>Z2366*AB2366</f>
        <v>0</v>
      </c>
      <c r="AD2366" s="209"/>
      <c r="AE2366" s="210">
        <f t="shared" si="907"/>
        <v>0</v>
      </c>
      <c r="AF2366" s="210">
        <f t="shared" si="914"/>
        <v>0</v>
      </c>
      <c r="AG2366" s="211">
        <f t="shared" si="904"/>
        <v>0.22700000000000001</v>
      </c>
      <c r="AH2366" s="157">
        <f t="shared" si="919"/>
        <v>0</v>
      </c>
      <c r="AI2366" s="152">
        <f t="shared" si="906"/>
        <v>36000</v>
      </c>
      <c r="AK2366" s="156" t="s">
        <v>691</v>
      </c>
      <c r="AL2366" s="212" t="s">
        <v>690</v>
      </c>
      <c r="AM2366" s="198">
        <f t="shared" si="920"/>
        <v>0</v>
      </c>
      <c r="AN2366" s="199">
        <f t="shared" ref="AN2366:AN2429" si="921">B2366</f>
        <v>45822</v>
      </c>
      <c r="AO2366" s="159" t="s">
        <v>692</v>
      </c>
      <c r="AP2366" s="783" t="s">
        <v>623</v>
      </c>
      <c r="AQ2366" s="782">
        <v>12071839</v>
      </c>
      <c r="AR2366" s="782">
        <v>12042650</v>
      </c>
      <c r="AS2366" s="782">
        <v>12042649</v>
      </c>
      <c r="AT2366" s="782"/>
      <c r="AU2366" s="781"/>
      <c r="AV2366" s="782">
        <v>12094036</v>
      </c>
      <c r="AW2366" s="782"/>
      <c r="AX2366" s="782"/>
      <c r="AY2366" s="782">
        <v>12094035</v>
      </c>
      <c r="AZ2366" s="782">
        <v>12094041</v>
      </c>
      <c r="BA2366" s="781"/>
      <c r="BB2366" s="209">
        <v>11044165</v>
      </c>
    </row>
    <row r="2367" spans="1:54" ht="25" hidden="1" customHeight="1">
      <c r="B2367" s="583">
        <v>45822</v>
      </c>
      <c r="C2367" s="795" t="s">
        <v>1931</v>
      </c>
      <c r="D2367" s="185">
        <f t="shared" si="891"/>
        <v>2025</v>
      </c>
      <c r="E2367" s="777" t="e">
        <f>VLOOKUP($B2367,Week!$A$1:$C$1462,2,0)</f>
        <v>#N/A</v>
      </c>
      <c r="F2367" s="778" t="str">
        <f t="shared" si="892"/>
        <v>Jun</v>
      </c>
      <c r="G2367" s="586" t="s">
        <v>47</v>
      </c>
      <c r="H2367" s="586" t="s">
        <v>260</v>
      </c>
      <c r="I2367" s="586" t="s">
        <v>2702</v>
      </c>
      <c r="J2367" s="587" t="s">
        <v>70</v>
      </c>
      <c r="K2367" s="588" t="s">
        <v>227</v>
      </c>
      <c r="L2367" s="300" t="s">
        <v>2167</v>
      </c>
      <c r="M2367" s="587" t="s">
        <v>2006</v>
      </c>
      <c r="N2367" s="586" t="s">
        <v>2004</v>
      </c>
      <c r="O2367" s="586" t="s">
        <v>2005</v>
      </c>
      <c r="P2367" s="589">
        <v>12</v>
      </c>
      <c r="Q2367" s="589">
        <v>3</v>
      </c>
      <c r="R2367" s="590">
        <v>8.0000000000000002E-3</v>
      </c>
      <c r="S2367" s="586" t="s">
        <v>352</v>
      </c>
      <c r="T2367" s="586" t="s">
        <v>56</v>
      </c>
      <c r="U2367" s="586" t="s">
        <v>2007</v>
      </c>
      <c r="V2367" s="779">
        <v>1621</v>
      </c>
      <c r="W2367" s="592">
        <v>1621</v>
      </c>
      <c r="X2367" s="593"/>
      <c r="Y2367" s="594">
        <f>(W2367+X2367)-V2367</f>
        <v>0</v>
      </c>
      <c r="Z2367" s="595">
        <f t="shared" si="903"/>
        <v>0</v>
      </c>
      <c r="AA2367" s="595">
        <f t="shared" si="893"/>
        <v>0</v>
      </c>
      <c r="AB2367" s="835">
        <v>0.05</v>
      </c>
      <c r="AC2367" s="592">
        <f>Z2367*AB2367</f>
        <v>0</v>
      </c>
      <c r="AD2367" s="209"/>
      <c r="AE2367" s="210">
        <f t="shared" si="907"/>
        <v>0</v>
      </c>
      <c r="AF2367" s="210">
        <f t="shared" si="914"/>
        <v>0</v>
      </c>
      <c r="AG2367" s="211">
        <f t="shared" si="904"/>
        <v>0.22700000000000001</v>
      </c>
      <c r="AH2367" s="157">
        <f t="shared" si="919"/>
        <v>0</v>
      </c>
      <c r="AI2367" s="152">
        <f t="shared" si="906"/>
        <v>19452</v>
      </c>
      <c r="AK2367" s="156" t="s">
        <v>691</v>
      </c>
      <c r="AL2367" s="212" t="s">
        <v>690</v>
      </c>
      <c r="AM2367" s="198">
        <f t="shared" si="920"/>
        <v>0</v>
      </c>
      <c r="AN2367" s="199">
        <f t="shared" si="921"/>
        <v>45822</v>
      </c>
      <c r="AO2367" s="159" t="s">
        <v>692</v>
      </c>
      <c r="AP2367" s="783" t="s">
        <v>623</v>
      </c>
      <c r="AQ2367" s="782">
        <v>12071839</v>
      </c>
      <c r="AR2367" s="782">
        <v>12042650</v>
      </c>
      <c r="AS2367" s="782">
        <v>12042649</v>
      </c>
      <c r="AT2367" s="782"/>
      <c r="AU2367" s="781"/>
      <c r="AV2367" s="782">
        <v>12094036</v>
      </c>
      <c r="AW2367" s="782"/>
      <c r="AX2367" s="782"/>
      <c r="AY2367" s="782">
        <v>12094035</v>
      </c>
      <c r="AZ2367" s="782">
        <v>12094041</v>
      </c>
      <c r="BA2367" s="781"/>
      <c r="BB2367" s="209">
        <v>11044165</v>
      </c>
    </row>
    <row r="2368" spans="1:54" ht="25" hidden="1" customHeight="1">
      <c r="B2368" s="183">
        <v>45823</v>
      </c>
      <c r="C2368" s="184"/>
      <c r="D2368" s="185">
        <f t="shared" si="891"/>
        <v>2025</v>
      </c>
      <c r="E2368" s="185" t="e">
        <f>VLOOKUP($B2368,Week!$A$1:$C$1462,2,0)</f>
        <v>#N/A</v>
      </c>
      <c r="F2368" s="186" t="str">
        <f t="shared" si="892"/>
        <v>Jun</v>
      </c>
      <c r="G2368" s="481"/>
      <c r="H2368" s="185"/>
      <c r="I2368" s="185"/>
      <c r="J2368" s="187"/>
      <c r="K2368" s="188"/>
      <c r="L2368" s="188"/>
      <c r="M2368" s="187"/>
      <c r="N2368" s="185"/>
      <c r="O2368" s="185"/>
      <c r="P2368" s="189"/>
      <c r="Q2368" s="189"/>
      <c r="R2368" s="190"/>
      <c r="S2368" s="185"/>
      <c r="T2368" s="185"/>
      <c r="U2368" s="185"/>
      <c r="V2368" s="191"/>
      <c r="W2368" s="191"/>
      <c r="X2368" s="192"/>
      <c r="Y2368" s="193"/>
      <c r="Z2368" s="194"/>
      <c r="AA2368" s="194">
        <f t="shared" si="893"/>
        <v>0</v>
      </c>
      <c r="AB2368" s="805"/>
      <c r="AC2368" s="191"/>
      <c r="AD2368" s="187"/>
      <c r="AE2368" s="195"/>
      <c r="AF2368" s="195"/>
      <c r="AG2368" s="196"/>
      <c r="AH2368" s="197"/>
      <c r="AK2368" s="156" t="s">
        <v>691</v>
      </c>
      <c r="AM2368" s="198">
        <f t="shared" ref="AM2368:AM2401" si="922">AG2368*Z2368</f>
        <v>0</v>
      </c>
      <c r="AN2368" s="199">
        <f t="shared" si="921"/>
        <v>45823</v>
      </c>
      <c r="AO2368" s="159" t="s">
        <v>692</v>
      </c>
      <c r="AP2368" s="781"/>
      <c r="AQ2368" s="782"/>
      <c r="AR2368" s="782"/>
      <c r="AS2368" s="782"/>
      <c r="AT2368" s="782"/>
      <c r="AU2368" s="781"/>
      <c r="AV2368" s="782"/>
      <c r="AW2368" s="782"/>
      <c r="AX2368" s="782"/>
      <c r="AY2368" s="782"/>
      <c r="AZ2368" s="782"/>
      <c r="BA2368" s="781"/>
      <c r="BB2368" s="209"/>
    </row>
    <row r="2369" spans="1:54" ht="25" hidden="1" customHeight="1">
      <c r="A2369" s="630" t="s">
        <v>120</v>
      </c>
      <c r="B2369" s="466">
        <v>45824</v>
      </c>
      <c r="C2369" s="467">
        <v>45838</v>
      </c>
      <c r="D2369" s="185">
        <f t="shared" si="891"/>
        <v>2025</v>
      </c>
      <c r="E2369" s="468" t="e">
        <f>VLOOKUP($B2369,Week!$A$1:$C$1462,2,0)</f>
        <v>#N/A</v>
      </c>
      <c r="F2369" s="469" t="str">
        <f t="shared" si="892"/>
        <v>Jun</v>
      </c>
      <c r="G2369" s="470" t="s">
        <v>2202</v>
      </c>
      <c r="H2369" s="468" t="s">
        <v>82</v>
      </c>
      <c r="I2369" s="468" t="s">
        <v>82</v>
      </c>
      <c r="J2369" s="471" t="s">
        <v>720</v>
      </c>
      <c r="K2369" s="472" t="s">
        <v>85</v>
      </c>
      <c r="L2369" s="390" t="s">
        <v>2166</v>
      </c>
      <c r="M2369" s="471" t="s">
        <v>579</v>
      </c>
      <c r="N2369" s="468" t="s">
        <v>580</v>
      </c>
      <c r="O2369" s="468" t="s">
        <v>581</v>
      </c>
      <c r="P2369" s="473">
        <v>8</v>
      </c>
      <c r="Q2369" s="473">
        <v>60</v>
      </c>
      <c r="R2369" s="474">
        <v>6.8100000000000001E-3</v>
      </c>
      <c r="S2369" s="468" t="s">
        <v>76</v>
      </c>
      <c r="T2369" s="468" t="s">
        <v>56</v>
      </c>
      <c r="U2369" s="468" t="s">
        <v>89</v>
      </c>
      <c r="V2369" s="475">
        <v>828</v>
      </c>
      <c r="W2369" s="475">
        <f>35+793</f>
        <v>828</v>
      </c>
      <c r="X2369" s="476"/>
      <c r="Y2369" s="477">
        <f t="shared" ref="Y2369:Y2396" si="923">(W2369+X2369)-V2369</f>
        <v>0</v>
      </c>
      <c r="Z2369" s="478">
        <f t="shared" ref="Z2369:Z2396" si="924">IF(Y2369&lt;0,((V2369*P2369)-((W2369+X2369)*P2369)),0)</f>
        <v>0</v>
      </c>
      <c r="AA2369" s="478">
        <f t="shared" si="893"/>
        <v>0</v>
      </c>
      <c r="AB2369" s="828">
        <v>6</v>
      </c>
      <c r="AC2369" s="475">
        <f t="shared" ref="AC2369:AC2396" si="925">Z2369*AB2369</f>
        <v>0</v>
      </c>
      <c r="AD2369" s="209"/>
      <c r="AE2369" s="210">
        <f t="shared" ref="AE2369:AE2396" si="926">SUM(Q2369*R2369*Z2369)/1000</f>
        <v>0</v>
      </c>
      <c r="AF2369" s="210">
        <f t="shared" ref="AF2369:AF2396" si="927">AE2369/0.54</f>
        <v>0</v>
      </c>
      <c r="AG2369" s="211">
        <f t="shared" ref="AG2369:AG2383" si="928">MID(O2369,1,3)/1000</f>
        <v>0.75</v>
      </c>
      <c r="AH2369" s="157">
        <f>(Z2369*AG2369)/1000</f>
        <v>0</v>
      </c>
      <c r="AI2369" s="152">
        <f t="shared" ref="AI2369:AI2396" si="929">V2369*P2369</f>
        <v>6624</v>
      </c>
      <c r="AK2369" s="156" t="s">
        <v>691</v>
      </c>
      <c r="AL2369" s="156" t="s">
        <v>689</v>
      </c>
      <c r="AM2369" s="198">
        <f t="shared" si="922"/>
        <v>0</v>
      </c>
      <c r="AN2369" s="199">
        <f t="shared" si="921"/>
        <v>45824</v>
      </c>
      <c r="AO2369" s="159" t="s">
        <v>692</v>
      </c>
      <c r="AP2369" s="783" t="s">
        <v>622</v>
      </c>
      <c r="AQ2369" s="782">
        <v>12088677</v>
      </c>
      <c r="AR2369" s="782" t="s">
        <v>2142</v>
      </c>
      <c r="AS2369" s="782"/>
      <c r="AT2369" s="782">
        <v>12082897</v>
      </c>
      <c r="AU2369" s="781"/>
      <c r="AV2369" s="782">
        <v>12082898</v>
      </c>
      <c r="AW2369" s="782">
        <v>12082899</v>
      </c>
      <c r="AX2369" s="796" t="s">
        <v>621</v>
      </c>
      <c r="AY2369" s="782"/>
      <c r="AZ2369" s="782"/>
      <c r="BA2369" s="781"/>
      <c r="BB2369" s="209">
        <v>23053184</v>
      </c>
    </row>
    <row r="2370" spans="1:54" ht="25" hidden="1" customHeight="1">
      <c r="A2370" s="440"/>
      <c r="B2370" s="743">
        <v>45824</v>
      </c>
      <c r="C2370" s="743">
        <v>45832</v>
      </c>
      <c r="D2370" s="746">
        <f t="shared" si="891"/>
        <v>2025</v>
      </c>
      <c r="E2370" s="858" t="e">
        <f>VLOOKUP($B2370,Week!$A$1:$C$1462,2,0)</f>
        <v>#N/A</v>
      </c>
      <c r="F2370" s="859" t="str">
        <f t="shared" si="892"/>
        <v>Jun</v>
      </c>
      <c r="G2370" s="746" t="s">
        <v>2366</v>
      </c>
      <c r="H2370" s="746" t="s">
        <v>424</v>
      </c>
      <c r="I2370" s="746" t="s">
        <v>2772</v>
      </c>
      <c r="J2370" s="747" t="s">
        <v>425</v>
      </c>
      <c r="K2370" s="748" t="s">
        <v>1651</v>
      </c>
      <c r="L2370" s="748" t="s">
        <v>2167</v>
      </c>
      <c r="M2370" s="747" t="s">
        <v>2260</v>
      </c>
      <c r="N2370" s="746" t="s">
        <v>2257</v>
      </c>
      <c r="O2370" s="746" t="s">
        <v>2254</v>
      </c>
      <c r="P2370" s="749">
        <v>6</v>
      </c>
      <c r="Q2370" s="749">
        <v>3</v>
      </c>
      <c r="R2370" s="849">
        <v>6.1999999999999998E-3</v>
      </c>
      <c r="S2370" s="746" t="s">
        <v>55</v>
      </c>
      <c r="T2370" s="746" t="s">
        <v>112</v>
      </c>
      <c r="U2370" s="860" t="s">
        <v>1633</v>
      </c>
      <c r="V2370" s="750">
        <f>4000</f>
        <v>4000</v>
      </c>
      <c r="W2370" s="750">
        <f>2985+997+18</f>
        <v>4000</v>
      </c>
      <c r="X2370" s="751"/>
      <c r="Y2370" s="752">
        <f t="shared" si="923"/>
        <v>0</v>
      </c>
      <c r="Z2370" s="753">
        <f t="shared" si="924"/>
        <v>0</v>
      </c>
      <c r="AA2370" s="753">
        <f t="shared" si="893"/>
        <v>0</v>
      </c>
      <c r="AB2370" s="838">
        <v>6.5000000000000002E-2</v>
      </c>
      <c r="AC2370" s="750">
        <f t="shared" si="925"/>
        <v>0</v>
      </c>
      <c r="AD2370" s="307" t="s">
        <v>672</v>
      </c>
      <c r="AE2370" s="210">
        <f t="shared" si="926"/>
        <v>0</v>
      </c>
      <c r="AF2370" s="210">
        <f t="shared" si="927"/>
        <v>0</v>
      </c>
      <c r="AG2370" s="211">
        <f t="shared" si="928"/>
        <v>0.3</v>
      </c>
      <c r="AH2370" s="157">
        <f>(Z2370*AG2370)/1000</f>
        <v>0</v>
      </c>
      <c r="AI2370" s="152">
        <f t="shared" si="929"/>
        <v>24000</v>
      </c>
      <c r="AK2370" s="156" t="s">
        <v>691</v>
      </c>
      <c r="AL2370" s="212" t="s">
        <v>690</v>
      </c>
      <c r="AM2370" s="198">
        <f t="shared" si="922"/>
        <v>0</v>
      </c>
      <c r="AN2370" s="199">
        <f t="shared" si="921"/>
        <v>45824</v>
      </c>
      <c r="AO2370" s="159" t="s">
        <v>692</v>
      </c>
      <c r="AP2370" s="781"/>
      <c r="AQ2370" s="782"/>
      <c r="AR2370" s="782" t="s">
        <v>2379</v>
      </c>
      <c r="AS2370" s="782"/>
      <c r="AT2370" s="782">
        <v>12095581</v>
      </c>
      <c r="AU2370" s="783"/>
      <c r="AV2370" s="782">
        <v>12095582</v>
      </c>
      <c r="AW2370" s="782"/>
      <c r="AX2370" s="782"/>
      <c r="AY2370" s="782"/>
      <c r="AZ2370" s="782"/>
      <c r="BA2370" s="782"/>
      <c r="BB2370" s="209">
        <v>23105543</v>
      </c>
    </row>
    <row r="2371" spans="1:54" ht="25" hidden="1" customHeight="1">
      <c r="A2371" s="440"/>
      <c r="B2371" s="332">
        <v>45824</v>
      </c>
      <c r="C2371" s="333">
        <v>45862</v>
      </c>
      <c r="D2371" s="185">
        <f t="shared" si="891"/>
        <v>2025</v>
      </c>
      <c r="E2371" s="333" t="e">
        <f>VLOOKUP($B2371,Week!$A$1:$C$1462,2,0)</f>
        <v>#N/A</v>
      </c>
      <c r="F2371" s="334" t="str">
        <f t="shared" si="892"/>
        <v>Jun</v>
      </c>
      <c r="G2371" s="335" t="s">
        <v>2372</v>
      </c>
      <c r="H2371" s="335" t="s">
        <v>675</v>
      </c>
      <c r="I2371" s="335" t="s">
        <v>2772</v>
      </c>
      <c r="J2371" s="336" t="s">
        <v>709</v>
      </c>
      <c r="K2371" s="337" t="s">
        <v>1651</v>
      </c>
      <c r="L2371" s="300" t="s">
        <v>2167</v>
      </c>
      <c r="M2371" s="336" t="s">
        <v>683</v>
      </c>
      <c r="N2371" s="530" t="s">
        <v>713</v>
      </c>
      <c r="O2371" s="335" t="s">
        <v>684</v>
      </c>
      <c r="P2371" s="338">
        <v>8</v>
      </c>
      <c r="Q2371" s="338">
        <v>3</v>
      </c>
      <c r="R2371" s="339">
        <v>6.0000000000000001E-3</v>
      </c>
      <c r="S2371" s="335" t="s">
        <v>55</v>
      </c>
      <c r="T2371" s="335" t="s">
        <v>112</v>
      </c>
      <c r="U2371" s="340" t="s">
        <v>716</v>
      </c>
      <c r="V2371" s="341">
        <v>375</v>
      </c>
      <c r="W2371" s="341"/>
      <c r="X2371" s="342">
        <v>375</v>
      </c>
      <c r="Y2371" s="343">
        <f t="shared" si="923"/>
        <v>0</v>
      </c>
      <c r="Z2371" s="344">
        <f t="shared" si="924"/>
        <v>0</v>
      </c>
      <c r="AA2371" s="344">
        <f t="shared" si="893"/>
        <v>0</v>
      </c>
      <c r="AB2371" s="817">
        <v>1</v>
      </c>
      <c r="AC2371" s="341">
        <f t="shared" si="925"/>
        <v>0</v>
      </c>
      <c r="AD2371" s="443" t="s">
        <v>672</v>
      </c>
      <c r="AE2371" s="210">
        <f t="shared" si="926"/>
        <v>0</v>
      </c>
      <c r="AF2371" s="210">
        <f t="shared" si="927"/>
        <v>0</v>
      </c>
      <c r="AG2371" s="211">
        <f t="shared" si="928"/>
        <v>0.219</v>
      </c>
      <c r="AH2371" s="157">
        <v>0.26621999999999996</v>
      </c>
      <c r="AI2371" s="152">
        <f t="shared" si="929"/>
        <v>3000</v>
      </c>
      <c r="AK2371" s="156" t="s">
        <v>691</v>
      </c>
      <c r="AL2371" s="574" t="s">
        <v>690</v>
      </c>
      <c r="AM2371" s="198">
        <f t="shared" si="922"/>
        <v>0</v>
      </c>
      <c r="AN2371" s="199">
        <f t="shared" si="921"/>
        <v>45824</v>
      </c>
      <c r="AO2371" s="159" t="s">
        <v>692</v>
      </c>
      <c r="AP2371" s="781" t="s">
        <v>642</v>
      </c>
      <c r="AQ2371" s="782">
        <v>12071839</v>
      </c>
      <c r="AR2371" s="782">
        <v>12042650</v>
      </c>
      <c r="AS2371" s="782">
        <v>12042649</v>
      </c>
      <c r="AT2371" s="782">
        <v>12089991</v>
      </c>
      <c r="AU2371" s="781"/>
      <c r="AV2371" s="782">
        <v>12089989</v>
      </c>
      <c r="AW2371" s="781"/>
      <c r="AX2371" s="781"/>
      <c r="AY2371" s="781"/>
      <c r="AZ2371" s="782"/>
      <c r="BA2371" s="781"/>
      <c r="BB2371" s="209">
        <v>23099087</v>
      </c>
    </row>
    <row r="2372" spans="1:54" ht="25" hidden="1" customHeight="1">
      <c r="A2372" s="630" t="s">
        <v>120</v>
      </c>
      <c r="B2372" s="466">
        <v>45825</v>
      </c>
      <c r="C2372" s="467">
        <v>45838</v>
      </c>
      <c r="D2372" s="185">
        <f t="shared" si="891"/>
        <v>2025</v>
      </c>
      <c r="E2372" s="468" t="e">
        <f>VLOOKUP($B2372,Week!$A$1:$C$1462,2,0)</f>
        <v>#N/A</v>
      </c>
      <c r="F2372" s="469" t="str">
        <f t="shared" si="892"/>
        <v>Jun</v>
      </c>
      <c r="G2372" s="470" t="s">
        <v>2202</v>
      </c>
      <c r="H2372" s="468" t="s">
        <v>82</v>
      </c>
      <c r="I2372" s="468" t="s">
        <v>82</v>
      </c>
      <c r="J2372" s="471" t="s">
        <v>720</v>
      </c>
      <c r="K2372" s="472" t="s">
        <v>85</v>
      </c>
      <c r="L2372" s="390" t="s">
        <v>2166</v>
      </c>
      <c r="M2372" s="471" t="s">
        <v>579</v>
      </c>
      <c r="N2372" s="468" t="s">
        <v>580</v>
      </c>
      <c r="O2372" s="468" t="s">
        <v>581</v>
      </c>
      <c r="P2372" s="473">
        <v>8</v>
      </c>
      <c r="Q2372" s="473">
        <v>60</v>
      </c>
      <c r="R2372" s="474">
        <v>6.8100000000000001E-3</v>
      </c>
      <c r="S2372" s="468" t="s">
        <v>76</v>
      </c>
      <c r="T2372" s="468" t="s">
        <v>56</v>
      </c>
      <c r="U2372" s="468" t="s">
        <v>89</v>
      </c>
      <c r="V2372" s="475">
        <f>1408-828</f>
        <v>580</v>
      </c>
      <c r="W2372" s="475">
        <v>580</v>
      </c>
      <c r="X2372" s="476"/>
      <c r="Y2372" s="477">
        <f t="shared" si="923"/>
        <v>0</v>
      </c>
      <c r="Z2372" s="478">
        <f t="shared" si="924"/>
        <v>0</v>
      </c>
      <c r="AA2372" s="478">
        <f t="shared" si="893"/>
        <v>0</v>
      </c>
      <c r="AB2372" s="828">
        <v>6</v>
      </c>
      <c r="AC2372" s="475">
        <f t="shared" si="925"/>
        <v>0</v>
      </c>
      <c r="AD2372" s="209"/>
      <c r="AE2372" s="210">
        <f t="shared" si="926"/>
        <v>0</v>
      </c>
      <c r="AF2372" s="210">
        <f t="shared" si="927"/>
        <v>0</v>
      </c>
      <c r="AG2372" s="211">
        <f t="shared" si="928"/>
        <v>0.75</v>
      </c>
      <c r="AH2372" s="157">
        <f t="shared" ref="AH2372:AH2396" si="930">(Z2372*AG2372)/1000</f>
        <v>0</v>
      </c>
      <c r="AI2372" s="152">
        <f t="shared" si="929"/>
        <v>4640</v>
      </c>
      <c r="AK2372" s="156" t="s">
        <v>691</v>
      </c>
      <c r="AL2372" s="156" t="s">
        <v>689</v>
      </c>
      <c r="AM2372" s="198">
        <f t="shared" si="922"/>
        <v>0</v>
      </c>
      <c r="AN2372" s="199">
        <f t="shared" si="921"/>
        <v>45825</v>
      </c>
      <c r="AO2372" s="159" t="s">
        <v>692</v>
      </c>
      <c r="AP2372" s="783" t="s">
        <v>622</v>
      </c>
      <c r="AQ2372" s="782">
        <v>12088677</v>
      </c>
      <c r="AR2372" s="782" t="s">
        <v>2142</v>
      </c>
      <c r="AS2372" s="782"/>
      <c r="AT2372" s="782">
        <v>12082897</v>
      </c>
      <c r="AU2372" s="781"/>
      <c r="AV2372" s="782">
        <v>12082898</v>
      </c>
      <c r="AW2372" s="782">
        <v>12082899</v>
      </c>
      <c r="AX2372" s="796" t="s">
        <v>621</v>
      </c>
      <c r="AY2372" s="782"/>
      <c r="AZ2372" s="782"/>
      <c r="BA2372" s="781"/>
      <c r="BB2372" s="209">
        <v>23053184</v>
      </c>
    </row>
    <row r="2373" spans="1:54" ht="25" hidden="1" customHeight="1">
      <c r="B2373" s="271">
        <v>45825</v>
      </c>
      <c r="C2373" s="441">
        <v>45831</v>
      </c>
      <c r="D2373" s="274">
        <f t="shared" ref="D2373:D2436" si="931">IF(B2373="","",YEAR(B2373))</f>
        <v>2025</v>
      </c>
      <c r="E2373" s="274" t="e">
        <f>VLOOKUP($B2373,Week!$A$1:$C$1462,2,0)</f>
        <v>#N/A</v>
      </c>
      <c r="F2373" s="273" t="str">
        <f t="shared" ref="F2373:F2436" si="932">IF(B2373="","",TEXT(B2373,"[$-409]mmm"))</f>
        <v>Jun</v>
      </c>
      <c r="G2373" s="274" t="s">
        <v>2265</v>
      </c>
      <c r="H2373" s="274" t="s">
        <v>225</v>
      </c>
      <c r="I2373" s="274" t="s">
        <v>2773</v>
      </c>
      <c r="J2373" s="275" t="s">
        <v>650</v>
      </c>
      <c r="K2373" s="276" t="s">
        <v>2256</v>
      </c>
      <c r="L2373" s="276" t="s">
        <v>2167</v>
      </c>
      <c r="M2373" s="275" t="s">
        <v>2258</v>
      </c>
      <c r="N2373" s="274" t="s">
        <v>2259</v>
      </c>
      <c r="O2373" s="274" t="s">
        <v>110</v>
      </c>
      <c r="P2373" s="277">
        <v>36</v>
      </c>
      <c r="Q2373" s="277">
        <v>5</v>
      </c>
      <c r="R2373" s="278">
        <v>7.4999999999999997E-3</v>
      </c>
      <c r="S2373" s="274" t="s">
        <v>111</v>
      </c>
      <c r="T2373" s="274" t="s">
        <v>112</v>
      </c>
      <c r="U2373" s="274" t="s">
        <v>113</v>
      </c>
      <c r="V2373" s="279">
        <f>792-562</f>
        <v>230</v>
      </c>
      <c r="W2373" s="279">
        <f>792-562</f>
        <v>230</v>
      </c>
      <c r="X2373" s="280"/>
      <c r="Y2373" s="281">
        <f t="shared" si="923"/>
        <v>0</v>
      </c>
      <c r="Z2373" s="282">
        <f t="shared" si="924"/>
        <v>0</v>
      </c>
      <c r="AA2373" s="282">
        <f t="shared" ref="AA2373:AA2436" si="933">Q2373*Z2373</f>
        <v>0</v>
      </c>
      <c r="AB2373" s="812">
        <v>9.7000000000000003E-3</v>
      </c>
      <c r="AC2373" s="279">
        <f t="shared" si="925"/>
        <v>0</v>
      </c>
      <c r="AD2373" s="209"/>
      <c r="AE2373" s="210">
        <f t="shared" si="926"/>
        <v>0</v>
      </c>
      <c r="AF2373" s="210">
        <f t="shared" si="927"/>
        <v>0</v>
      </c>
      <c r="AG2373" s="211">
        <f t="shared" si="928"/>
        <v>0.308</v>
      </c>
      <c r="AH2373" s="157">
        <f t="shared" si="930"/>
        <v>0</v>
      </c>
      <c r="AI2373" s="152">
        <f t="shared" si="929"/>
        <v>8280</v>
      </c>
      <c r="AK2373" s="156" t="s">
        <v>691</v>
      </c>
      <c r="AL2373" s="574" t="s">
        <v>690</v>
      </c>
      <c r="AM2373" s="198">
        <f t="shared" si="922"/>
        <v>0</v>
      </c>
      <c r="AN2373" s="199">
        <f t="shared" si="921"/>
        <v>45825</v>
      </c>
      <c r="AO2373" s="159" t="s">
        <v>692</v>
      </c>
      <c r="AP2373" s="781"/>
      <c r="AQ2373" s="782">
        <v>12063755</v>
      </c>
      <c r="AR2373" s="782">
        <v>12061353</v>
      </c>
      <c r="AS2373" s="782">
        <v>12061354</v>
      </c>
      <c r="AT2373" s="782">
        <v>12095367</v>
      </c>
      <c r="AU2373" s="781"/>
      <c r="AV2373" s="782">
        <v>12095366</v>
      </c>
      <c r="AW2373" s="782">
        <v>12088207</v>
      </c>
      <c r="AX2373" s="782"/>
      <c r="AY2373" s="782">
        <v>12095368</v>
      </c>
      <c r="AZ2373" s="782"/>
      <c r="BA2373" s="781"/>
      <c r="BB2373" s="209">
        <v>23054743</v>
      </c>
    </row>
    <row r="2374" spans="1:54" ht="25" hidden="1" customHeight="1">
      <c r="B2374" s="271">
        <v>45825</v>
      </c>
      <c r="C2374" s="441">
        <v>45831</v>
      </c>
      <c r="D2374" s="274">
        <f t="shared" si="931"/>
        <v>2025</v>
      </c>
      <c r="E2374" s="274" t="e">
        <f>VLOOKUP($B2374,Week!$A$1:$C$1462,2,0)</f>
        <v>#N/A</v>
      </c>
      <c r="F2374" s="273" t="str">
        <f t="shared" si="932"/>
        <v>Jun</v>
      </c>
      <c r="G2374" s="274" t="s">
        <v>2263</v>
      </c>
      <c r="H2374" s="274" t="s">
        <v>225</v>
      </c>
      <c r="I2374" s="274" t="s">
        <v>2773</v>
      </c>
      <c r="J2374" s="275" t="s">
        <v>650</v>
      </c>
      <c r="K2374" s="276" t="s">
        <v>2256</v>
      </c>
      <c r="L2374" s="276" t="s">
        <v>2167</v>
      </c>
      <c r="M2374" s="275" t="s">
        <v>2258</v>
      </c>
      <c r="N2374" s="274" t="s">
        <v>2259</v>
      </c>
      <c r="O2374" s="274" t="s">
        <v>110</v>
      </c>
      <c r="P2374" s="277">
        <v>36</v>
      </c>
      <c r="Q2374" s="277">
        <v>5</v>
      </c>
      <c r="R2374" s="278">
        <v>7.4999999999999997E-3</v>
      </c>
      <c r="S2374" s="274" t="s">
        <v>111</v>
      </c>
      <c r="T2374" s="274" t="s">
        <v>112</v>
      </c>
      <c r="U2374" s="274" t="s">
        <v>113</v>
      </c>
      <c r="V2374" s="279">
        <v>792</v>
      </c>
      <c r="W2374" s="279">
        <v>792</v>
      </c>
      <c r="X2374" s="280"/>
      <c r="Y2374" s="281">
        <f t="shared" si="923"/>
        <v>0</v>
      </c>
      <c r="Z2374" s="282">
        <f t="shared" si="924"/>
        <v>0</v>
      </c>
      <c r="AA2374" s="282">
        <f t="shared" si="933"/>
        <v>0</v>
      </c>
      <c r="AB2374" s="812">
        <v>9.7000000000000003E-3</v>
      </c>
      <c r="AC2374" s="279">
        <f t="shared" si="925"/>
        <v>0</v>
      </c>
      <c r="AD2374" s="209"/>
      <c r="AE2374" s="210">
        <f t="shared" si="926"/>
        <v>0</v>
      </c>
      <c r="AF2374" s="210">
        <f t="shared" si="927"/>
        <v>0</v>
      </c>
      <c r="AG2374" s="211">
        <f t="shared" si="928"/>
        <v>0.308</v>
      </c>
      <c r="AH2374" s="157">
        <f t="shared" si="930"/>
        <v>0</v>
      </c>
      <c r="AI2374" s="152">
        <f t="shared" si="929"/>
        <v>28512</v>
      </c>
      <c r="AK2374" s="156" t="s">
        <v>691</v>
      </c>
      <c r="AL2374" s="574" t="s">
        <v>690</v>
      </c>
      <c r="AM2374" s="198">
        <f t="shared" si="922"/>
        <v>0</v>
      </c>
      <c r="AN2374" s="199">
        <f t="shared" si="921"/>
        <v>45825</v>
      </c>
      <c r="AO2374" s="159" t="s">
        <v>692</v>
      </c>
      <c r="AP2374" s="781"/>
      <c r="AQ2374" s="782">
        <v>12063755</v>
      </c>
      <c r="AR2374" s="782">
        <v>12061353</v>
      </c>
      <c r="AS2374" s="782">
        <v>12061354</v>
      </c>
      <c r="AT2374" s="782">
        <v>12095367</v>
      </c>
      <c r="AU2374" s="781"/>
      <c r="AV2374" s="782">
        <v>12095366</v>
      </c>
      <c r="AW2374" s="782">
        <v>12088207</v>
      </c>
      <c r="AX2374" s="782"/>
      <c r="AY2374" s="782">
        <v>12095368</v>
      </c>
      <c r="AZ2374" s="782"/>
      <c r="BA2374" s="781"/>
      <c r="BB2374" s="209">
        <v>23054743</v>
      </c>
    </row>
    <row r="2375" spans="1:54" ht="25" hidden="1" customHeight="1">
      <c r="B2375" s="271">
        <v>45825</v>
      </c>
      <c r="C2375" s="441">
        <v>45831</v>
      </c>
      <c r="D2375" s="274">
        <f t="shared" si="931"/>
        <v>2025</v>
      </c>
      <c r="E2375" s="274" t="e">
        <f>VLOOKUP($B2375,Week!$A$1:$C$1462,2,0)</f>
        <v>#N/A</v>
      </c>
      <c r="F2375" s="273" t="str">
        <f t="shared" si="932"/>
        <v>Jun</v>
      </c>
      <c r="G2375" s="274" t="s">
        <v>2264</v>
      </c>
      <c r="H2375" s="274" t="s">
        <v>225</v>
      </c>
      <c r="I2375" s="274" t="s">
        <v>2773</v>
      </c>
      <c r="J2375" s="275" t="s">
        <v>650</v>
      </c>
      <c r="K2375" s="276" t="s">
        <v>2256</v>
      </c>
      <c r="L2375" s="276" t="s">
        <v>2167</v>
      </c>
      <c r="M2375" s="275" t="s">
        <v>2258</v>
      </c>
      <c r="N2375" s="274" t="s">
        <v>2259</v>
      </c>
      <c r="O2375" s="274" t="s">
        <v>110</v>
      </c>
      <c r="P2375" s="277">
        <v>36</v>
      </c>
      <c r="Q2375" s="277">
        <v>5</v>
      </c>
      <c r="R2375" s="278">
        <v>7.4999999999999997E-3</v>
      </c>
      <c r="S2375" s="274" t="s">
        <v>111</v>
      </c>
      <c r="T2375" s="274" t="s">
        <v>112</v>
      </c>
      <c r="U2375" s="274" t="s">
        <v>113</v>
      </c>
      <c r="V2375" s="279">
        <v>792</v>
      </c>
      <c r="W2375" s="279">
        <v>792</v>
      </c>
      <c r="X2375" s="280"/>
      <c r="Y2375" s="281">
        <f t="shared" si="923"/>
        <v>0</v>
      </c>
      <c r="Z2375" s="282">
        <f t="shared" si="924"/>
        <v>0</v>
      </c>
      <c r="AA2375" s="282">
        <f t="shared" si="933"/>
        <v>0</v>
      </c>
      <c r="AB2375" s="812">
        <v>9.7000000000000003E-3</v>
      </c>
      <c r="AC2375" s="279">
        <f t="shared" si="925"/>
        <v>0</v>
      </c>
      <c r="AD2375" s="209"/>
      <c r="AE2375" s="210">
        <f t="shared" si="926"/>
        <v>0</v>
      </c>
      <c r="AF2375" s="210">
        <f t="shared" si="927"/>
        <v>0</v>
      </c>
      <c r="AG2375" s="211">
        <f t="shared" si="928"/>
        <v>0.308</v>
      </c>
      <c r="AH2375" s="157">
        <f t="shared" si="930"/>
        <v>0</v>
      </c>
      <c r="AI2375" s="152">
        <f t="shared" si="929"/>
        <v>28512</v>
      </c>
      <c r="AK2375" s="156" t="s">
        <v>691</v>
      </c>
      <c r="AL2375" s="574" t="s">
        <v>690</v>
      </c>
      <c r="AM2375" s="198">
        <f t="shared" si="922"/>
        <v>0</v>
      </c>
      <c r="AN2375" s="199">
        <f t="shared" si="921"/>
        <v>45825</v>
      </c>
      <c r="AO2375" s="159" t="s">
        <v>692</v>
      </c>
      <c r="AP2375" s="781"/>
      <c r="AQ2375" s="782">
        <v>12063755</v>
      </c>
      <c r="AR2375" s="782">
        <v>12061353</v>
      </c>
      <c r="AS2375" s="782">
        <v>12061354</v>
      </c>
      <c r="AT2375" s="782">
        <v>12095367</v>
      </c>
      <c r="AU2375" s="781"/>
      <c r="AV2375" s="782">
        <v>12095366</v>
      </c>
      <c r="AW2375" s="782">
        <v>12088207</v>
      </c>
      <c r="AX2375" s="782"/>
      <c r="AY2375" s="782">
        <v>12095368</v>
      </c>
      <c r="AZ2375" s="782"/>
      <c r="BA2375" s="781"/>
      <c r="BB2375" s="209">
        <v>23054743</v>
      </c>
    </row>
    <row r="2376" spans="1:54" ht="25" hidden="1" customHeight="1">
      <c r="B2376" s="271">
        <v>45825</v>
      </c>
      <c r="C2376" s="441">
        <v>45838</v>
      </c>
      <c r="D2376" s="274">
        <f t="shared" si="931"/>
        <v>2025</v>
      </c>
      <c r="E2376" s="274" t="e">
        <f>VLOOKUP($B2376,Week!$A$1:$C$1462,2,0)</f>
        <v>#N/A</v>
      </c>
      <c r="F2376" s="273" t="str">
        <f t="shared" si="932"/>
        <v>Jun</v>
      </c>
      <c r="G2376" s="274" t="s">
        <v>2267</v>
      </c>
      <c r="H2376" s="274" t="s">
        <v>225</v>
      </c>
      <c r="I2376" s="274" t="s">
        <v>2773</v>
      </c>
      <c r="J2376" s="275" t="s">
        <v>650</v>
      </c>
      <c r="K2376" s="276" t="s">
        <v>2256</v>
      </c>
      <c r="L2376" s="276" t="s">
        <v>2167</v>
      </c>
      <c r="M2376" s="275" t="s">
        <v>2258</v>
      </c>
      <c r="N2376" s="274" t="s">
        <v>2259</v>
      </c>
      <c r="O2376" s="274" t="s">
        <v>110</v>
      </c>
      <c r="P2376" s="277">
        <v>36</v>
      </c>
      <c r="Q2376" s="277">
        <v>5</v>
      </c>
      <c r="R2376" s="278">
        <v>7.4999999999999997E-3</v>
      </c>
      <c r="S2376" s="274" t="s">
        <v>111</v>
      </c>
      <c r="T2376" s="274" t="s">
        <v>112</v>
      </c>
      <c r="U2376" s="274" t="s">
        <v>113</v>
      </c>
      <c r="V2376" s="279">
        <v>24</v>
      </c>
      <c r="W2376" s="279">
        <v>24</v>
      </c>
      <c r="X2376" s="280"/>
      <c r="Y2376" s="281">
        <f t="shared" si="923"/>
        <v>0</v>
      </c>
      <c r="Z2376" s="282">
        <f t="shared" si="924"/>
        <v>0</v>
      </c>
      <c r="AA2376" s="282">
        <f t="shared" si="933"/>
        <v>0</v>
      </c>
      <c r="AB2376" s="812">
        <v>9.7000000000000003E-3</v>
      </c>
      <c r="AC2376" s="279">
        <f t="shared" si="925"/>
        <v>0</v>
      </c>
      <c r="AD2376" s="209"/>
      <c r="AE2376" s="210">
        <f t="shared" si="926"/>
        <v>0</v>
      </c>
      <c r="AF2376" s="210">
        <f t="shared" si="927"/>
        <v>0</v>
      </c>
      <c r="AG2376" s="211">
        <f t="shared" si="928"/>
        <v>0.308</v>
      </c>
      <c r="AH2376" s="157">
        <f t="shared" si="930"/>
        <v>0</v>
      </c>
      <c r="AI2376" s="152">
        <f t="shared" si="929"/>
        <v>864</v>
      </c>
      <c r="AK2376" s="156" t="s">
        <v>691</v>
      </c>
      <c r="AL2376" s="574" t="s">
        <v>690</v>
      </c>
      <c r="AM2376" s="198">
        <f t="shared" si="922"/>
        <v>0</v>
      </c>
      <c r="AN2376" s="199">
        <f t="shared" si="921"/>
        <v>45825</v>
      </c>
      <c r="AO2376" s="159" t="s">
        <v>692</v>
      </c>
      <c r="AP2376" s="781"/>
      <c r="AQ2376" s="782">
        <v>12063755</v>
      </c>
      <c r="AR2376" s="782">
        <v>12061353</v>
      </c>
      <c r="AS2376" s="782">
        <v>12061354</v>
      </c>
      <c r="AT2376" s="782">
        <v>12095367</v>
      </c>
      <c r="AU2376" s="781"/>
      <c r="AV2376" s="782">
        <v>12095366</v>
      </c>
      <c r="AW2376" s="782">
        <v>12088207</v>
      </c>
      <c r="AX2376" s="782"/>
      <c r="AY2376" s="782">
        <v>12095368</v>
      </c>
      <c r="AZ2376" s="782"/>
      <c r="BA2376" s="781"/>
      <c r="BB2376" s="209">
        <v>23054743</v>
      </c>
    </row>
    <row r="2377" spans="1:54" ht="25" hidden="1" customHeight="1">
      <c r="B2377" s="332">
        <v>45825</v>
      </c>
      <c r="C2377" s="333">
        <v>45839</v>
      </c>
      <c r="D2377" s="185">
        <f t="shared" si="931"/>
        <v>2025</v>
      </c>
      <c r="E2377" s="333" t="e">
        <f>VLOOKUP($B2377,Week!$A$1:$C$1462,2,0)</f>
        <v>#N/A</v>
      </c>
      <c r="F2377" s="334" t="str">
        <f t="shared" si="932"/>
        <v>Jun</v>
      </c>
      <c r="G2377" s="335" t="s">
        <v>2223</v>
      </c>
      <c r="H2377" s="335" t="s">
        <v>600</v>
      </c>
      <c r="I2377" s="335" t="s">
        <v>2772</v>
      </c>
      <c r="J2377" s="336" t="s">
        <v>708</v>
      </c>
      <c r="K2377" s="337" t="s">
        <v>1646</v>
      </c>
      <c r="L2377" s="300" t="s">
        <v>2167</v>
      </c>
      <c r="M2377" s="336" t="s">
        <v>601</v>
      </c>
      <c r="N2377" s="335" t="s">
        <v>604</v>
      </c>
      <c r="O2377" s="335" t="s">
        <v>543</v>
      </c>
      <c r="P2377" s="338">
        <v>8</v>
      </c>
      <c r="Q2377" s="338">
        <v>3</v>
      </c>
      <c r="R2377" s="339">
        <v>7.4999999999999997E-3</v>
      </c>
      <c r="S2377" s="335" t="s">
        <v>40</v>
      </c>
      <c r="T2377" s="335" t="s">
        <v>112</v>
      </c>
      <c r="U2377" s="340" t="s">
        <v>1893</v>
      </c>
      <c r="V2377" s="341">
        <v>3500</v>
      </c>
      <c r="W2377" s="341"/>
      <c r="X2377" s="342">
        <f>(229+27771)/8</f>
        <v>3500</v>
      </c>
      <c r="Y2377" s="343">
        <f t="shared" si="923"/>
        <v>0</v>
      </c>
      <c r="Z2377" s="344">
        <f t="shared" si="924"/>
        <v>0</v>
      </c>
      <c r="AA2377" s="344">
        <f t="shared" si="933"/>
        <v>0</v>
      </c>
      <c r="AB2377" s="817">
        <v>3.85E-2</v>
      </c>
      <c r="AC2377" s="341">
        <f t="shared" si="925"/>
        <v>0</v>
      </c>
      <c r="AD2377" s="307" t="s">
        <v>673</v>
      </c>
      <c r="AE2377" s="210">
        <f t="shared" si="926"/>
        <v>0</v>
      </c>
      <c r="AF2377" s="210">
        <f t="shared" si="927"/>
        <v>0</v>
      </c>
      <c r="AG2377" s="211">
        <f t="shared" si="928"/>
        <v>0.309</v>
      </c>
      <c r="AH2377" s="157">
        <f t="shared" si="930"/>
        <v>0</v>
      </c>
      <c r="AI2377" s="152">
        <f t="shared" si="929"/>
        <v>28000</v>
      </c>
      <c r="AK2377" s="156" t="s">
        <v>691</v>
      </c>
      <c r="AL2377" s="574" t="s">
        <v>690</v>
      </c>
      <c r="AM2377" s="198">
        <f t="shared" si="922"/>
        <v>0</v>
      </c>
      <c r="AN2377" s="199">
        <f t="shared" si="921"/>
        <v>45825</v>
      </c>
      <c r="AO2377" s="159" t="s">
        <v>692</v>
      </c>
      <c r="AP2377" s="781"/>
      <c r="AQ2377" s="782">
        <v>12063755</v>
      </c>
      <c r="AR2377" s="782">
        <v>12061353</v>
      </c>
      <c r="AS2377" s="782">
        <v>12061354</v>
      </c>
      <c r="AT2377" s="782">
        <v>12084228</v>
      </c>
      <c r="AU2377" s="781"/>
      <c r="AV2377" s="782">
        <v>12084023</v>
      </c>
      <c r="AW2377" s="782"/>
      <c r="AX2377" s="782"/>
      <c r="AY2377" s="782"/>
      <c r="AZ2377" s="782"/>
      <c r="BA2377" s="781"/>
      <c r="BB2377" s="209">
        <v>23105468</v>
      </c>
    </row>
    <row r="2378" spans="1:54" ht="24.75" hidden="1" customHeight="1">
      <c r="B2378" s="295">
        <v>45826</v>
      </c>
      <c r="C2378" s="771" t="s">
        <v>1930</v>
      </c>
      <c r="D2378" s="185">
        <f t="shared" si="931"/>
        <v>2025</v>
      </c>
      <c r="E2378" s="296" t="e">
        <f>VLOOKUP($B2378,Week!$A$1:$C$1462,2,0)</f>
        <v>#N/A</v>
      </c>
      <c r="F2378" s="297" t="str">
        <f t="shared" si="932"/>
        <v>Jun</v>
      </c>
      <c r="G2378" s="648" t="s">
        <v>47</v>
      </c>
      <c r="H2378" s="298" t="s">
        <v>260</v>
      </c>
      <c r="I2378" s="298" t="s">
        <v>2702</v>
      </c>
      <c r="J2378" s="307" t="s">
        <v>2240</v>
      </c>
      <c r="K2378" s="300" t="s">
        <v>176</v>
      </c>
      <c r="L2378" s="300" t="s">
        <v>2167</v>
      </c>
      <c r="M2378" s="299" t="s">
        <v>2338</v>
      </c>
      <c r="N2378" s="298" t="s">
        <v>350</v>
      </c>
      <c r="O2378" s="298" t="s">
        <v>351</v>
      </c>
      <c r="P2378" s="301">
        <v>24</v>
      </c>
      <c r="Q2378" s="301">
        <v>5</v>
      </c>
      <c r="R2378" s="302">
        <v>6.1999999999999998E-3</v>
      </c>
      <c r="S2378" s="298" t="s">
        <v>352</v>
      </c>
      <c r="T2378" s="298" t="s">
        <v>56</v>
      </c>
      <c r="U2378" s="298" t="s">
        <v>57</v>
      </c>
      <c r="V2378" s="303">
        <f>12500-2197-6669-1997-868</f>
        <v>769</v>
      </c>
      <c r="W2378" s="303">
        <v>769</v>
      </c>
      <c r="X2378" s="304"/>
      <c r="Y2378" s="305">
        <f t="shared" si="923"/>
        <v>0</v>
      </c>
      <c r="Z2378" s="306">
        <f t="shared" si="924"/>
        <v>0</v>
      </c>
      <c r="AA2378" s="306">
        <f t="shared" si="933"/>
        <v>0</v>
      </c>
      <c r="AB2378" s="814">
        <v>7.4999999999999997E-3</v>
      </c>
      <c r="AC2378" s="303">
        <f t="shared" si="925"/>
        <v>0</v>
      </c>
      <c r="AD2378" s="573" t="s">
        <v>2345</v>
      </c>
      <c r="AE2378" s="210">
        <f t="shared" si="926"/>
        <v>0</v>
      </c>
      <c r="AF2378" s="210">
        <f t="shared" si="927"/>
        <v>0</v>
      </c>
      <c r="AG2378" s="211">
        <f t="shared" si="928"/>
        <v>0.13</v>
      </c>
      <c r="AH2378" s="157">
        <f t="shared" si="930"/>
        <v>0</v>
      </c>
      <c r="AI2378" s="152">
        <f t="shared" si="929"/>
        <v>18456</v>
      </c>
      <c r="AK2378" s="156" t="s">
        <v>691</v>
      </c>
      <c r="AL2378" s="574" t="s">
        <v>690</v>
      </c>
      <c r="AM2378" s="198">
        <f t="shared" si="922"/>
        <v>0</v>
      </c>
      <c r="AN2378" s="199">
        <f t="shared" si="921"/>
        <v>45826</v>
      </c>
      <c r="AO2378" s="159" t="s">
        <v>692</v>
      </c>
      <c r="AP2378" s="783" t="s">
        <v>629</v>
      </c>
      <c r="AQ2378" s="782">
        <v>12071839</v>
      </c>
      <c r="AR2378" s="782">
        <v>12094356</v>
      </c>
      <c r="AS2378" s="782">
        <v>12068233</v>
      </c>
      <c r="AT2378" s="781"/>
      <c r="AU2378" s="781"/>
      <c r="AV2378" s="782">
        <v>12062075</v>
      </c>
      <c r="AW2378" s="781"/>
      <c r="AX2378" s="781"/>
      <c r="AY2378" s="782">
        <v>12094357</v>
      </c>
      <c r="AZ2378" s="781"/>
      <c r="BA2378" s="781"/>
      <c r="BB2378" s="209">
        <v>23053185</v>
      </c>
    </row>
    <row r="2379" spans="1:54" ht="24.75" hidden="1" customHeight="1">
      <c r="B2379" s="295">
        <v>45826</v>
      </c>
      <c r="C2379" s="771" t="s">
        <v>1931</v>
      </c>
      <c r="D2379" s="185">
        <f t="shared" si="931"/>
        <v>2025</v>
      </c>
      <c r="E2379" s="296" t="e">
        <f>VLOOKUP($B2379,Week!$A$1:$C$1462,2,0)</f>
        <v>#N/A</v>
      </c>
      <c r="F2379" s="297" t="str">
        <f t="shared" si="932"/>
        <v>Jun</v>
      </c>
      <c r="G2379" s="648" t="s">
        <v>47</v>
      </c>
      <c r="H2379" s="298" t="s">
        <v>260</v>
      </c>
      <c r="I2379" s="298" t="s">
        <v>2702</v>
      </c>
      <c r="J2379" s="307" t="s">
        <v>2240</v>
      </c>
      <c r="K2379" s="300" t="s">
        <v>176</v>
      </c>
      <c r="L2379" s="300" t="s">
        <v>2167</v>
      </c>
      <c r="M2379" s="299" t="s">
        <v>2338</v>
      </c>
      <c r="N2379" s="298" t="s">
        <v>350</v>
      </c>
      <c r="O2379" s="298" t="s">
        <v>351</v>
      </c>
      <c r="P2379" s="301">
        <v>24</v>
      </c>
      <c r="Q2379" s="301">
        <v>5</v>
      </c>
      <c r="R2379" s="302">
        <v>6.1999999999999998E-3</v>
      </c>
      <c r="S2379" s="298" t="s">
        <v>352</v>
      </c>
      <c r="T2379" s="298" t="s">
        <v>56</v>
      </c>
      <c r="U2379" s="298" t="s">
        <v>57</v>
      </c>
      <c r="V2379" s="303">
        <v>2211</v>
      </c>
      <c r="W2379" s="303">
        <f>2980-769</f>
        <v>2211</v>
      </c>
      <c r="X2379" s="304"/>
      <c r="Y2379" s="305">
        <f t="shared" si="923"/>
        <v>0</v>
      </c>
      <c r="Z2379" s="306">
        <f t="shared" si="924"/>
        <v>0</v>
      </c>
      <c r="AA2379" s="306">
        <f t="shared" si="933"/>
        <v>0</v>
      </c>
      <c r="AB2379" s="814">
        <v>7.4999999999999997E-3</v>
      </c>
      <c r="AC2379" s="303">
        <f t="shared" si="925"/>
        <v>0</v>
      </c>
      <c r="AD2379" s="209"/>
      <c r="AE2379" s="210">
        <f t="shared" si="926"/>
        <v>0</v>
      </c>
      <c r="AF2379" s="210">
        <f t="shared" si="927"/>
        <v>0</v>
      </c>
      <c r="AG2379" s="211">
        <f t="shared" si="928"/>
        <v>0.13</v>
      </c>
      <c r="AH2379" s="157">
        <f t="shared" si="930"/>
        <v>0</v>
      </c>
      <c r="AI2379" s="152">
        <f t="shared" si="929"/>
        <v>53064</v>
      </c>
      <c r="AK2379" s="156" t="s">
        <v>691</v>
      </c>
      <c r="AL2379" s="574" t="s">
        <v>690</v>
      </c>
      <c r="AM2379" s="198">
        <f t="shared" si="922"/>
        <v>0</v>
      </c>
      <c r="AN2379" s="199">
        <f t="shared" si="921"/>
        <v>45826</v>
      </c>
      <c r="AO2379" s="159" t="s">
        <v>692</v>
      </c>
      <c r="AP2379" s="783" t="s">
        <v>629</v>
      </c>
      <c r="AQ2379" s="782">
        <v>12071839</v>
      </c>
      <c r="AR2379" s="782">
        <v>12094356</v>
      </c>
      <c r="AS2379" s="782">
        <v>12068233</v>
      </c>
      <c r="AT2379" s="781"/>
      <c r="AU2379" s="781"/>
      <c r="AV2379" s="782">
        <v>12062075</v>
      </c>
      <c r="AW2379" s="781"/>
      <c r="AX2379" s="781"/>
      <c r="AY2379" s="782">
        <v>12094357</v>
      </c>
      <c r="AZ2379" s="781"/>
      <c r="BA2379" s="781"/>
      <c r="BB2379" s="209">
        <v>23053185</v>
      </c>
    </row>
    <row r="2380" spans="1:54" ht="25" hidden="1" customHeight="1">
      <c r="B2380" s="271">
        <v>45826</v>
      </c>
      <c r="C2380" s="272" t="s">
        <v>1931</v>
      </c>
      <c r="D2380" s="185">
        <f t="shared" si="931"/>
        <v>2025</v>
      </c>
      <c r="E2380" s="272" t="e">
        <f>VLOOKUP($B2380,Week!$A$1:$C$1462,2,0)</f>
        <v>#N/A</v>
      </c>
      <c r="F2380" s="273" t="str">
        <f t="shared" si="932"/>
        <v>Jun</v>
      </c>
      <c r="G2380" s="274" t="s">
        <v>47</v>
      </c>
      <c r="H2380" s="274" t="s">
        <v>518</v>
      </c>
      <c r="I2380" s="274" t="s">
        <v>2702</v>
      </c>
      <c r="J2380" s="275" t="s">
        <v>70</v>
      </c>
      <c r="K2380" s="276" t="s">
        <v>556</v>
      </c>
      <c r="L2380" s="300" t="s">
        <v>2167</v>
      </c>
      <c r="M2380" s="275" t="s">
        <v>520</v>
      </c>
      <c r="N2380" s="423" t="s">
        <v>586</v>
      </c>
      <c r="O2380" s="274" t="s">
        <v>585</v>
      </c>
      <c r="P2380" s="277">
        <v>12</v>
      </c>
      <c r="Q2380" s="277">
        <v>5</v>
      </c>
      <c r="R2380" s="278">
        <v>6.0000000000000001E-3</v>
      </c>
      <c r="S2380" s="274" t="s">
        <v>55</v>
      </c>
      <c r="T2380" s="274" t="s">
        <v>56</v>
      </c>
      <c r="U2380" s="274" t="s">
        <v>57</v>
      </c>
      <c r="V2380" s="279">
        <f>450</f>
        <v>450</v>
      </c>
      <c r="W2380" s="279">
        <f>13+1+436</f>
        <v>450</v>
      </c>
      <c r="X2380" s="280"/>
      <c r="Y2380" s="281">
        <f t="shared" si="923"/>
        <v>0</v>
      </c>
      <c r="Z2380" s="282">
        <f t="shared" si="924"/>
        <v>0</v>
      </c>
      <c r="AA2380" s="282">
        <f t="shared" si="933"/>
        <v>0</v>
      </c>
      <c r="AB2380" s="812">
        <v>7.4999999999999997E-3</v>
      </c>
      <c r="AC2380" s="279">
        <f t="shared" si="925"/>
        <v>0</v>
      </c>
      <c r="AD2380" s="209"/>
      <c r="AE2380" s="210">
        <f t="shared" si="926"/>
        <v>0</v>
      </c>
      <c r="AF2380" s="210">
        <f t="shared" si="927"/>
        <v>0</v>
      </c>
      <c r="AG2380" s="211">
        <f t="shared" si="928"/>
        <v>0.13500000000000001</v>
      </c>
      <c r="AH2380" s="157">
        <f t="shared" si="930"/>
        <v>0</v>
      </c>
      <c r="AI2380" s="152">
        <f t="shared" si="929"/>
        <v>5400</v>
      </c>
      <c r="AK2380" s="156" t="s">
        <v>691</v>
      </c>
      <c r="AL2380" s="212" t="s">
        <v>690</v>
      </c>
      <c r="AM2380" s="198">
        <f t="shared" si="922"/>
        <v>0</v>
      </c>
      <c r="AN2380" s="199">
        <f t="shared" si="921"/>
        <v>45826</v>
      </c>
      <c r="AO2380" s="159" t="s">
        <v>692</v>
      </c>
      <c r="AP2380" s="781"/>
      <c r="AQ2380" s="782">
        <v>12071839</v>
      </c>
      <c r="AR2380" s="782">
        <v>12047514</v>
      </c>
      <c r="AS2380" s="782">
        <v>12047515</v>
      </c>
      <c r="AT2380" s="782"/>
      <c r="AU2380" s="781"/>
      <c r="AV2380" s="782">
        <v>12083307</v>
      </c>
      <c r="AW2380" s="782"/>
      <c r="AX2380" s="782"/>
      <c r="AY2380" s="782">
        <v>12094380</v>
      </c>
      <c r="AZ2380" s="782">
        <v>12094381</v>
      </c>
      <c r="BA2380" s="781"/>
      <c r="BB2380" s="209">
        <v>23053185</v>
      </c>
    </row>
    <row r="2381" spans="1:54" ht="25" hidden="1" customHeight="1">
      <c r="A2381" s="529" t="s">
        <v>1937</v>
      </c>
      <c r="B2381" s="357">
        <v>45826</v>
      </c>
      <c r="C2381" s="776" t="s">
        <v>1931</v>
      </c>
      <c r="D2381" s="185">
        <f t="shared" si="931"/>
        <v>2025</v>
      </c>
      <c r="E2381" s="358" t="e">
        <f>VLOOKUP($B2381,Week!$A$1:$C$1462,2,0)</f>
        <v>#N/A</v>
      </c>
      <c r="F2381" s="360" t="str">
        <f t="shared" si="932"/>
        <v>Jun</v>
      </c>
      <c r="G2381" s="359" t="s">
        <v>47</v>
      </c>
      <c r="H2381" s="359" t="s">
        <v>518</v>
      </c>
      <c r="I2381" s="359" t="s">
        <v>2702</v>
      </c>
      <c r="J2381" s="361" t="s">
        <v>70</v>
      </c>
      <c r="K2381" s="362" t="s">
        <v>94</v>
      </c>
      <c r="L2381" s="362" t="s">
        <v>2167</v>
      </c>
      <c r="M2381" s="361" t="s">
        <v>2341</v>
      </c>
      <c r="N2381" s="436" t="s">
        <v>648</v>
      </c>
      <c r="O2381" s="359" t="s">
        <v>97</v>
      </c>
      <c r="P2381" s="363">
        <v>12</v>
      </c>
      <c r="Q2381" s="363">
        <v>5</v>
      </c>
      <c r="R2381" s="364">
        <v>8.0000000000000002E-3</v>
      </c>
      <c r="S2381" s="359" t="s">
        <v>40</v>
      </c>
      <c r="T2381" s="359" t="s">
        <v>56</v>
      </c>
      <c r="U2381" s="359" t="s">
        <v>57</v>
      </c>
      <c r="V2381" s="365">
        <v>12</v>
      </c>
      <c r="W2381" s="365">
        <v>12</v>
      </c>
      <c r="X2381" s="366"/>
      <c r="Y2381" s="367">
        <f t="shared" si="923"/>
        <v>0</v>
      </c>
      <c r="Z2381" s="368">
        <f t="shared" si="924"/>
        <v>0</v>
      </c>
      <c r="AA2381" s="368">
        <f t="shared" si="933"/>
        <v>0</v>
      </c>
      <c r="AB2381" s="819">
        <v>7.4999999999999997E-3</v>
      </c>
      <c r="AC2381" s="365">
        <f t="shared" si="925"/>
        <v>0</v>
      </c>
      <c r="AD2381" s="209"/>
      <c r="AE2381" s="210">
        <f t="shared" si="926"/>
        <v>0</v>
      </c>
      <c r="AF2381" s="210">
        <f t="shared" si="927"/>
        <v>0</v>
      </c>
      <c r="AG2381" s="211">
        <f t="shared" si="928"/>
        <v>0.14499999999999999</v>
      </c>
      <c r="AH2381" s="157">
        <f t="shared" si="930"/>
        <v>0</v>
      </c>
      <c r="AI2381" s="152">
        <f t="shared" si="929"/>
        <v>144</v>
      </c>
      <c r="AK2381" s="156" t="s">
        <v>691</v>
      </c>
      <c r="AL2381" s="574" t="s">
        <v>690</v>
      </c>
      <c r="AM2381" s="198">
        <f t="shared" si="922"/>
        <v>0</v>
      </c>
      <c r="AN2381" s="199">
        <f t="shared" si="921"/>
        <v>45826</v>
      </c>
      <c r="AO2381" s="159" t="s">
        <v>692</v>
      </c>
      <c r="AP2381" s="783" t="s">
        <v>628</v>
      </c>
      <c r="AQ2381" s="782">
        <v>12071839</v>
      </c>
      <c r="AR2381" s="782">
        <v>12047514</v>
      </c>
      <c r="AS2381" s="782">
        <v>12047515</v>
      </c>
      <c r="AT2381" s="782"/>
      <c r="AU2381" s="781"/>
      <c r="AV2381" s="782">
        <v>12080617</v>
      </c>
      <c r="AW2381" s="782"/>
      <c r="AX2381" s="782"/>
      <c r="AY2381" s="782">
        <v>12094231</v>
      </c>
      <c r="AZ2381" s="782">
        <v>1209232</v>
      </c>
      <c r="BA2381" s="781"/>
      <c r="BB2381" s="209"/>
    </row>
    <row r="2382" spans="1:54" ht="25" hidden="1" customHeight="1">
      <c r="B2382" s="357">
        <v>45826</v>
      </c>
      <c r="C2382" s="776" t="s">
        <v>1931</v>
      </c>
      <c r="D2382" s="185">
        <f t="shared" si="931"/>
        <v>2025</v>
      </c>
      <c r="E2382" s="358" t="e">
        <f>VLOOKUP($B2382,Week!$A$1:$C$1462,2,0)</f>
        <v>#N/A</v>
      </c>
      <c r="F2382" s="360" t="str">
        <f t="shared" si="932"/>
        <v>Jun</v>
      </c>
      <c r="G2382" s="359" t="s">
        <v>47</v>
      </c>
      <c r="H2382" s="359" t="s">
        <v>518</v>
      </c>
      <c r="I2382" s="359" t="s">
        <v>2702</v>
      </c>
      <c r="J2382" s="361" t="s">
        <v>70</v>
      </c>
      <c r="K2382" s="362" t="s">
        <v>94</v>
      </c>
      <c r="L2382" s="300" t="s">
        <v>2167</v>
      </c>
      <c r="M2382" s="361" t="s">
        <v>2341</v>
      </c>
      <c r="N2382" s="359" t="s">
        <v>589</v>
      </c>
      <c r="O2382" s="359" t="s">
        <v>97</v>
      </c>
      <c r="P2382" s="363">
        <v>12</v>
      </c>
      <c r="Q2382" s="363">
        <v>5</v>
      </c>
      <c r="R2382" s="364">
        <v>8.0000000000000002E-3</v>
      </c>
      <c r="S2382" s="359" t="s">
        <v>40</v>
      </c>
      <c r="T2382" s="359" t="s">
        <v>56</v>
      </c>
      <c r="U2382" s="359" t="s">
        <v>57</v>
      </c>
      <c r="V2382" s="365">
        <f>2000</f>
        <v>2000</v>
      </c>
      <c r="W2382" s="365">
        <f>18+1+1981</f>
        <v>2000</v>
      </c>
      <c r="X2382" s="366"/>
      <c r="Y2382" s="367">
        <f t="shared" si="923"/>
        <v>0</v>
      </c>
      <c r="Z2382" s="368">
        <f t="shared" si="924"/>
        <v>0</v>
      </c>
      <c r="AA2382" s="368">
        <f t="shared" si="933"/>
        <v>0</v>
      </c>
      <c r="AB2382" s="819">
        <v>7.4999999999999997E-3</v>
      </c>
      <c r="AC2382" s="365">
        <f t="shared" si="925"/>
        <v>0</v>
      </c>
      <c r="AD2382" s="209"/>
      <c r="AE2382" s="210">
        <f t="shared" si="926"/>
        <v>0</v>
      </c>
      <c r="AF2382" s="210">
        <f t="shared" si="927"/>
        <v>0</v>
      </c>
      <c r="AG2382" s="211">
        <f t="shared" si="928"/>
        <v>0.14499999999999999</v>
      </c>
      <c r="AH2382" s="157">
        <f t="shared" si="930"/>
        <v>0</v>
      </c>
      <c r="AI2382" s="152">
        <f t="shared" si="929"/>
        <v>24000</v>
      </c>
      <c r="AK2382" s="156" t="s">
        <v>691</v>
      </c>
      <c r="AL2382" s="574" t="s">
        <v>690</v>
      </c>
      <c r="AM2382" s="198">
        <f t="shared" si="922"/>
        <v>0</v>
      </c>
      <c r="AN2382" s="199">
        <f t="shared" si="921"/>
        <v>45826</v>
      </c>
      <c r="AO2382" s="159" t="s">
        <v>692</v>
      </c>
      <c r="AP2382" s="783" t="s">
        <v>628</v>
      </c>
      <c r="AQ2382" s="782">
        <v>12071839</v>
      </c>
      <c r="AR2382" s="782">
        <v>12047514</v>
      </c>
      <c r="AS2382" s="782">
        <v>12047515</v>
      </c>
      <c r="AT2382" s="782"/>
      <c r="AU2382" s="781"/>
      <c r="AV2382" s="782">
        <v>12080617</v>
      </c>
      <c r="AW2382" s="782"/>
      <c r="AX2382" s="782"/>
      <c r="AY2382" s="782">
        <v>12094231</v>
      </c>
      <c r="AZ2382" s="782">
        <v>1209232</v>
      </c>
      <c r="BA2382" s="781"/>
      <c r="BB2382" s="209">
        <v>23053185</v>
      </c>
    </row>
    <row r="2383" spans="1:54" ht="25" hidden="1" customHeight="1">
      <c r="B2383" s="398">
        <v>45826</v>
      </c>
      <c r="C2383" s="399" t="s">
        <v>1930</v>
      </c>
      <c r="D2383" s="185">
        <f t="shared" si="931"/>
        <v>2025</v>
      </c>
      <c r="E2383" s="399" t="e">
        <f>VLOOKUP($B2383,Week!$A$1:$C$1462,2,0)</f>
        <v>#N/A</v>
      </c>
      <c r="F2383" s="400" t="str">
        <f t="shared" si="932"/>
        <v>Jun</v>
      </c>
      <c r="G2383" s="401" t="s">
        <v>47</v>
      </c>
      <c r="H2383" s="401" t="s">
        <v>518</v>
      </c>
      <c r="I2383" s="401" t="s">
        <v>2702</v>
      </c>
      <c r="J2383" s="402" t="s">
        <v>70</v>
      </c>
      <c r="K2383" s="403" t="s">
        <v>1645</v>
      </c>
      <c r="L2383" s="300" t="s">
        <v>2167</v>
      </c>
      <c r="M2383" s="402" t="s">
        <v>2340</v>
      </c>
      <c r="N2383" s="404" t="s">
        <v>557</v>
      </c>
      <c r="O2383" s="401" t="s">
        <v>101</v>
      </c>
      <c r="P2383" s="405">
        <v>12</v>
      </c>
      <c r="Q2383" s="405">
        <v>5</v>
      </c>
      <c r="R2383" s="406">
        <v>8.0000000000000002E-3</v>
      </c>
      <c r="S2383" s="401" t="s">
        <v>40</v>
      </c>
      <c r="T2383" s="401" t="s">
        <v>56</v>
      </c>
      <c r="U2383" s="770" t="s">
        <v>499</v>
      </c>
      <c r="V2383" s="407">
        <f>700</f>
        <v>700</v>
      </c>
      <c r="W2383" s="407">
        <f>1+699</f>
        <v>700</v>
      </c>
      <c r="X2383" s="408"/>
      <c r="Y2383" s="409">
        <f t="shared" si="923"/>
        <v>0</v>
      </c>
      <c r="Z2383" s="410">
        <f t="shared" si="924"/>
        <v>0</v>
      </c>
      <c r="AA2383" s="410">
        <f t="shared" si="933"/>
        <v>0</v>
      </c>
      <c r="AB2383" s="824">
        <v>1</v>
      </c>
      <c r="AC2383" s="407">
        <f t="shared" si="925"/>
        <v>0</v>
      </c>
      <c r="AD2383" s="443"/>
      <c r="AE2383" s="210">
        <f t="shared" si="926"/>
        <v>0</v>
      </c>
      <c r="AF2383" s="210">
        <f t="shared" si="927"/>
        <v>0</v>
      </c>
      <c r="AG2383" s="211">
        <f t="shared" si="928"/>
        <v>0.115</v>
      </c>
      <c r="AH2383" s="157">
        <f t="shared" si="930"/>
        <v>0</v>
      </c>
      <c r="AI2383" s="152">
        <f t="shared" si="929"/>
        <v>8400</v>
      </c>
      <c r="AK2383" s="156" t="s">
        <v>691</v>
      </c>
      <c r="AL2383" s="212" t="s">
        <v>690</v>
      </c>
      <c r="AM2383" s="198">
        <f t="shared" si="922"/>
        <v>0</v>
      </c>
      <c r="AN2383" s="199">
        <f t="shared" si="921"/>
        <v>45826</v>
      </c>
      <c r="AO2383" s="159" t="s">
        <v>692</v>
      </c>
      <c r="AP2383" s="783" t="s">
        <v>623</v>
      </c>
      <c r="AQ2383" s="782">
        <v>12071839</v>
      </c>
      <c r="AR2383" s="782">
        <v>12047514</v>
      </c>
      <c r="AS2383" s="782">
        <v>12047515</v>
      </c>
      <c r="AT2383" s="782"/>
      <c r="AU2383" s="781"/>
      <c r="AV2383" s="782">
        <v>12072447</v>
      </c>
      <c r="AW2383" s="782"/>
      <c r="AX2383" s="782"/>
      <c r="AY2383" s="782">
        <v>12064574</v>
      </c>
      <c r="AZ2383" s="782">
        <v>12064576</v>
      </c>
      <c r="BA2383" s="781"/>
      <c r="BB2383" s="209">
        <v>23052995</v>
      </c>
    </row>
    <row r="2384" spans="1:54" ht="25" hidden="1" customHeight="1">
      <c r="B2384" s="424">
        <v>45826</v>
      </c>
      <c r="C2384" s="647" t="s">
        <v>1931</v>
      </c>
      <c r="D2384" s="185">
        <f t="shared" si="931"/>
        <v>2025</v>
      </c>
      <c r="E2384" s="425" t="e">
        <f>VLOOKUP($B2384,Week!$A$1:$C$1462,2,0)</f>
        <v>#N/A</v>
      </c>
      <c r="F2384" s="426" t="str">
        <f t="shared" si="932"/>
        <v>Jun</v>
      </c>
      <c r="G2384" s="427" t="s">
        <v>47</v>
      </c>
      <c r="H2384" s="427" t="s">
        <v>518</v>
      </c>
      <c r="I2384" s="427" t="s">
        <v>2702</v>
      </c>
      <c r="J2384" s="428" t="s">
        <v>70</v>
      </c>
      <c r="K2384" s="429" t="s">
        <v>94</v>
      </c>
      <c r="L2384" s="300" t="s">
        <v>2167</v>
      </c>
      <c r="M2384" s="428" t="s">
        <v>2342</v>
      </c>
      <c r="N2384" s="427" t="s">
        <v>587</v>
      </c>
      <c r="O2384" s="427" t="s">
        <v>3198</v>
      </c>
      <c r="P2384" s="430">
        <v>18</v>
      </c>
      <c r="Q2384" s="430">
        <v>5</v>
      </c>
      <c r="R2384" s="431">
        <v>8.0000000000000002E-3</v>
      </c>
      <c r="S2384" s="427" t="s">
        <v>40</v>
      </c>
      <c r="T2384" s="427" t="s">
        <v>56</v>
      </c>
      <c r="U2384" s="427" t="s">
        <v>89</v>
      </c>
      <c r="V2384" s="432">
        <v>790</v>
      </c>
      <c r="W2384" s="432">
        <f>242+548</f>
        <v>790</v>
      </c>
      <c r="X2384" s="433"/>
      <c r="Y2384" s="434">
        <f t="shared" si="923"/>
        <v>0</v>
      </c>
      <c r="Z2384" s="435">
        <f t="shared" si="924"/>
        <v>0</v>
      </c>
      <c r="AA2384" s="435">
        <f t="shared" si="933"/>
        <v>0</v>
      </c>
      <c r="AB2384" s="826">
        <v>1</v>
      </c>
      <c r="AC2384" s="432">
        <f t="shared" si="925"/>
        <v>0</v>
      </c>
      <c r="AD2384" s="209"/>
      <c r="AE2384" s="210">
        <f t="shared" si="926"/>
        <v>0</v>
      </c>
      <c r="AF2384" s="210">
        <f t="shared" si="927"/>
        <v>0</v>
      </c>
      <c r="AG2384" s="211" t="e">
        <f>(MID(O2384,1,3)/1000)/3</f>
        <v>#VALUE!</v>
      </c>
      <c r="AH2384" s="157" t="e">
        <f t="shared" si="930"/>
        <v>#VALUE!</v>
      </c>
      <c r="AI2384" s="152">
        <f t="shared" si="929"/>
        <v>14220</v>
      </c>
      <c r="AK2384" s="156" t="s">
        <v>691</v>
      </c>
      <c r="AL2384" s="212" t="s">
        <v>690</v>
      </c>
      <c r="AM2384" s="198" t="e">
        <f t="shared" si="922"/>
        <v>#VALUE!</v>
      </c>
      <c r="AN2384" s="199">
        <f t="shared" si="921"/>
        <v>45826</v>
      </c>
      <c r="AO2384" s="159" t="s">
        <v>692</v>
      </c>
      <c r="AP2384" s="783" t="s">
        <v>628</v>
      </c>
      <c r="AQ2384" s="782"/>
      <c r="AR2384" s="782"/>
      <c r="AS2384" s="782"/>
      <c r="AT2384" s="782"/>
      <c r="AU2384" s="781"/>
      <c r="AV2384" s="782">
        <v>12080791</v>
      </c>
      <c r="AW2384" s="782" t="s">
        <v>641</v>
      </c>
      <c r="AX2384" s="782" t="s">
        <v>533</v>
      </c>
      <c r="AY2384" s="782"/>
      <c r="AZ2384" s="782"/>
      <c r="BA2384" s="781"/>
      <c r="BB2384" s="209">
        <v>23053184</v>
      </c>
    </row>
    <row r="2385" spans="2:54" ht="25" hidden="1" customHeight="1">
      <c r="B2385" s="320">
        <v>45826</v>
      </c>
      <c r="C2385" s="321" t="s">
        <v>1930</v>
      </c>
      <c r="D2385" s="185">
        <f t="shared" si="931"/>
        <v>2025</v>
      </c>
      <c r="E2385" s="321" t="e">
        <f>VLOOKUP($B2385,Week!$A$1:$C$1462,2,0)</f>
        <v>#N/A</v>
      </c>
      <c r="F2385" s="322" t="str">
        <f t="shared" si="932"/>
        <v>Jun</v>
      </c>
      <c r="G2385" s="323" t="s">
        <v>47</v>
      </c>
      <c r="H2385" s="323" t="s">
        <v>518</v>
      </c>
      <c r="I2385" s="323" t="s">
        <v>2702</v>
      </c>
      <c r="J2385" s="324" t="s">
        <v>70</v>
      </c>
      <c r="K2385" s="325" t="s">
        <v>564</v>
      </c>
      <c r="L2385" s="300" t="s">
        <v>2167</v>
      </c>
      <c r="M2385" s="324" t="s">
        <v>2343</v>
      </c>
      <c r="N2385" s="323" t="s">
        <v>559</v>
      </c>
      <c r="O2385" s="323" t="s">
        <v>560</v>
      </c>
      <c r="P2385" s="326">
        <v>12</v>
      </c>
      <c r="Q2385" s="326">
        <v>3</v>
      </c>
      <c r="R2385" s="327">
        <v>8.0000000000000002E-3</v>
      </c>
      <c r="S2385" s="323" t="s">
        <v>40</v>
      </c>
      <c r="T2385" s="323" t="s">
        <v>56</v>
      </c>
      <c r="U2385" s="323" t="s">
        <v>57</v>
      </c>
      <c r="V2385" s="397">
        <f>500</f>
        <v>500</v>
      </c>
      <c r="W2385" s="328">
        <f>15+485</f>
        <v>500</v>
      </c>
      <c r="X2385" s="329"/>
      <c r="Y2385" s="330">
        <f t="shared" si="923"/>
        <v>0</v>
      </c>
      <c r="Z2385" s="331">
        <f t="shared" si="924"/>
        <v>0</v>
      </c>
      <c r="AA2385" s="331">
        <f t="shared" si="933"/>
        <v>0</v>
      </c>
      <c r="AB2385" s="816">
        <v>7.4999999999999997E-3</v>
      </c>
      <c r="AC2385" s="328">
        <f t="shared" si="925"/>
        <v>0</v>
      </c>
      <c r="AD2385" s="209"/>
      <c r="AE2385" s="210">
        <f t="shared" si="926"/>
        <v>0</v>
      </c>
      <c r="AF2385" s="210">
        <f t="shared" si="927"/>
        <v>0</v>
      </c>
      <c r="AG2385" s="211">
        <f>MID(O2385,1,3)/1000</f>
        <v>0.22600000000000001</v>
      </c>
      <c r="AH2385" s="157">
        <f t="shared" si="930"/>
        <v>0</v>
      </c>
      <c r="AI2385" s="152">
        <f t="shared" si="929"/>
        <v>6000</v>
      </c>
      <c r="AK2385" s="156" t="s">
        <v>691</v>
      </c>
      <c r="AL2385" s="212" t="s">
        <v>690</v>
      </c>
      <c r="AM2385" s="198">
        <f t="shared" si="922"/>
        <v>0</v>
      </c>
      <c r="AN2385" s="199">
        <f t="shared" si="921"/>
        <v>45826</v>
      </c>
      <c r="AO2385" s="159" t="s">
        <v>692</v>
      </c>
      <c r="AP2385" s="783" t="s">
        <v>623</v>
      </c>
      <c r="AQ2385" s="782">
        <v>12071839</v>
      </c>
      <c r="AR2385" s="782">
        <v>12042650</v>
      </c>
      <c r="AS2385" s="782">
        <v>12042649</v>
      </c>
      <c r="AT2385" s="782"/>
      <c r="AU2385" s="781"/>
      <c r="AV2385" s="782">
        <v>12083156</v>
      </c>
      <c r="AW2385" s="782"/>
      <c r="AX2385" s="782"/>
      <c r="AY2385" s="782">
        <v>12094235</v>
      </c>
      <c r="AZ2385" s="782">
        <v>12094236</v>
      </c>
      <c r="BA2385" s="781"/>
      <c r="BB2385" s="209">
        <v>23053185</v>
      </c>
    </row>
    <row r="2386" spans="2:54" ht="25" hidden="1" customHeight="1">
      <c r="B2386" s="320">
        <v>45826</v>
      </c>
      <c r="C2386" s="321" t="s">
        <v>1931</v>
      </c>
      <c r="D2386" s="185">
        <f t="shared" si="931"/>
        <v>2025</v>
      </c>
      <c r="E2386" s="321" t="e">
        <f>VLOOKUP($B2386,Week!$A$1:$C$1462,2,0)</f>
        <v>#N/A</v>
      </c>
      <c r="F2386" s="322" t="str">
        <f t="shared" si="932"/>
        <v>Jun</v>
      </c>
      <c r="G2386" s="323" t="s">
        <v>47</v>
      </c>
      <c r="H2386" s="323" t="s">
        <v>518</v>
      </c>
      <c r="I2386" s="323" t="s">
        <v>2702</v>
      </c>
      <c r="J2386" s="324" t="s">
        <v>70</v>
      </c>
      <c r="K2386" s="325" t="s">
        <v>564</v>
      </c>
      <c r="L2386" s="300" t="s">
        <v>2167</v>
      </c>
      <c r="M2386" s="324" t="s">
        <v>2343</v>
      </c>
      <c r="N2386" s="323" t="s">
        <v>559</v>
      </c>
      <c r="O2386" s="323" t="s">
        <v>560</v>
      </c>
      <c r="P2386" s="326">
        <v>12</v>
      </c>
      <c r="Q2386" s="326">
        <v>3</v>
      </c>
      <c r="R2386" s="327">
        <v>8.0000000000000002E-3</v>
      </c>
      <c r="S2386" s="323" t="s">
        <v>40</v>
      </c>
      <c r="T2386" s="323" t="s">
        <v>56</v>
      </c>
      <c r="U2386" s="323" t="s">
        <v>57</v>
      </c>
      <c r="V2386" s="397">
        <f>1200</f>
        <v>1200</v>
      </c>
      <c r="W2386" s="328">
        <f>1200</f>
        <v>1200</v>
      </c>
      <c r="X2386" s="329"/>
      <c r="Y2386" s="330">
        <f t="shared" si="923"/>
        <v>0</v>
      </c>
      <c r="Z2386" s="331">
        <f t="shared" si="924"/>
        <v>0</v>
      </c>
      <c r="AA2386" s="331">
        <f t="shared" si="933"/>
        <v>0</v>
      </c>
      <c r="AB2386" s="816">
        <v>7.4999999999999997E-3</v>
      </c>
      <c r="AC2386" s="328">
        <f t="shared" si="925"/>
        <v>0</v>
      </c>
      <c r="AD2386" s="209"/>
      <c r="AE2386" s="210">
        <f t="shared" si="926"/>
        <v>0</v>
      </c>
      <c r="AF2386" s="210">
        <f t="shared" si="927"/>
        <v>0</v>
      </c>
      <c r="AG2386" s="211">
        <f>MID(O2386,1,3)/1000</f>
        <v>0.22600000000000001</v>
      </c>
      <c r="AH2386" s="157">
        <f t="shared" si="930"/>
        <v>0</v>
      </c>
      <c r="AI2386" s="152">
        <f t="shared" si="929"/>
        <v>14400</v>
      </c>
      <c r="AK2386" s="156" t="s">
        <v>691</v>
      </c>
      <c r="AL2386" s="212" t="s">
        <v>690</v>
      </c>
      <c r="AM2386" s="198">
        <f t="shared" si="922"/>
        <v>0</v>
      </c>
      <c r="AN2386" s="199">
        <f t="shared" si="921"/>
        <v>45826</v>
      </c>
      <c r="AO2386" s="159" t="s">
        <v>692</v>
      </c>
      <c r="AP2386" s="783" t="s">
        <v>623</v>
      </c>
      <c r="AQ2386" s="782">
        <v>12071839</v>
      </c>
      <c r="AR2386" s="782">
        <v>12042650</v>
      </c>
      <c r="AS2386" s="782">
        <v>12042649</v>
      </c>
      <c r="AT2386" s="782"/>
      <c r="AU2386" s="781"/>
      <c r="AV2386" s="782">
        <v>12083156</v>
      </c>
      <c r="AW2386" s="782"/>
      <c r="AX2386" s="782"/>
      <c r="AY2386" s="782">
        <v>12094235</v>
      </c>
      <c r="AZ2386" s="782">
        <v>12094236</v>
      </c>
      <c r="BA2386" s="781"/>
      <c r="BB2386" s="209">
        <v>23053185</v>
      </c>
    </row>
    <row r="2387" spans="2:54" ht="25" hidden="1" customHeight="1">
      <c r="B2387" s="424">
        <v>45827</v>
      </c>
      <c r="C2387" s="647" t="s">
        <v>1931</v>
      </c>
      <c r="D2387" s="185">
        <f t="shared" si="931"/>
        <v>2025</v>
      </c>
      <c r="E2387" s="425" t="e">
        <f>VLOOKUP($B2387,Week!$A$1:$C$1462,2,0)</f>
        <v>#N/A</v>
      </c>
      <c r="F2387" s="426" t="str">
        <f t="shared" si="932"/>
        <v>Jun</v>
      </c>
      <c r="G2387" s="427" t="s">
        <v>47</v>
      </c>
      <c r="H2387" s="427" t="s">
        <v>518</v>
      </c>
      <c r="I2387" s="427" t="s">
        <v>2702</v>
      </c>
      <c r="J2387" s="428" t="s">
        <v>70</v>
      </c>
      <c r="K2387" s="429" t="s">
        <v>94</v>
      </c>
      <c r="L2387" s="300" t="s">
        <v>2167</v>
      </c>
      <c r="M2387" s="428" t="s">
        <v>2342</v>
      </c>
      <c r="N2387" s="427" t="s">
        <v>587</v>
      </c>
      <c r="O2387" s="427" t="s">
        <v>3198</v>
      </c>
      <c r="P2387" s="430">
        <v>18</v>
      </c>
      <c r="Q2387" s="430">
        <v>5</v>
      </c>
      <c r="R2387" s="431">
        <v>8.0000000000000002E-3</v>
      </c>
      <c r="S2387" s="427" t="s">
        <v>40</v>
      </c>
      <c r="T2387" s="427" t="s">
        <v>56</v>
      </c>
      <c r="U2387" s="427" t="s">
        <v>89</v>
      </c>
      <c r="V2387" s="432">
        <f>2700-790</f>
        <v>1910</v>
      </c>
      <c r="W2387" s="432">
        <f>1298-548</f>
        <v>750</v>
      </c>
      <c r="X2387" s="433">
        <f>(6960)/6</f>
        <v>1160</v>
      </c>
      <c r="Y2387" s="434">
        <f t="shared" si="923"/>
        <v>0</v>
      </c>
      <c r="Z2387" s="435">
        <f t="shared" si="924"/>
        <v>0</v>
      </c>
      <c r="AA2387" s="435">
        <f t="shared" si="933"/>
        <v>0</v>
      </c>
      <c r="AB2387" s="826">
        <v>1</v>
      </c>
      <c r="AC2387" s="432">
        <f t="shared" si="925"/>
        <v>0</v>
      </c>
      <c r="AD2387" s="209"/>
      <c r="AE2387" s="210">
        <f t="shared" si="926"/>
        <v>0</v>
      </c>
      <c r="AF2387" s="210">
        <f t="shared" si="927"/>
        <v>0</v>
      </c>
      <c r="AG2387" s="211" t="e">
        <f>(MID(O2387,1,3)/1000)/3</f>
        <v>#VALUE!</v>
      </c>
      <c r="AH2387" s="157" t="e">
        <f t="shared" si="930"/>
        <v>#VALUE!</v>
      </c>
      <c r="AI2387" s="152">
        <f t="shared" si="929"/>
        <v>34380</v>
      </c>
      <c r="AK2387" s="156" t="s">
        <v>691</v>
      </c>
      <c r="AL2387" s="212" t="s">
        <v>690</v>
      </c>
      <c r="AM2387" s="198" t="e">
        <f t="shared" si="922"/>
        <v>#VALUE!</v>
      </c>
      <c r="AN2387" s="199">
        <f t="shared" si="921"/>
        <v>45827</v>
      </c>
      <c r="AO2387" s="159" t="s">
        <v>692</v>
      </c>
      <c r="AP2387" s="783" t="s">
        <v>628</v>
      </c>
      <c r="AQ2387" s="782"/>
      <c r="AR2387" s="782"/>
      <c r="AS2387" s="782"/>
      <c r="AT2387" s="782"/>
      <c r="AU2387" s="781"/>
      <c r="AV2387" s="782">
        <v>12080791</v>
      </c>
      <c r="AW2387" s="782" t="s">
        <v>641</v>
      </c>
      <c r="AX2387" s="782" t="s">
        <v>533</v>
      </c>
      <c r="AY2387" s="782"/>
      <c r="AZ2387" s="782"/>
      <c r="BA2387" s="781"/>
      <c r="BB2387" s="209">
        <v>23053184</v>
      </c>
    </row>
    <row r="2388" spans="2:54" ht="24.65" hidden="1" customHeight="1">
      <c r="B2388" s="411">
        <v>45827</v>
      </c>
      <c r="C2388" s="645" t="s">
        <v>1930</v>
      </c>
      <c r="D2388" s="185">
        <f t="shared" si="931"/>
        <v>2025</v>
      </c>
      <c r="E2388" s="412" t="e">
        <f>VLOOKUP($B2388,Week!$A$1:$C$1462,2,0)</f>
        <v>#N/A</v>
      </c>
      <c r="F2388" s="413" t="str">
        <f t="shared" si="932"/>
        <v>Jun</v>
      </c>
      <c r="G2388" s="414" t="s">
        <v>47</v>
      </c>
      <c r="H2388" s="414" t="s">
        <v>260</v>
      </c>
      <c r="I2388" s="414" t="s">
        <v>2702</v>
      </c>
      <c r="J2388" s="415" t="s">
        <v>261</v>
      </c>
      <c r="K2388" s="416" t="s">
        <v>94</v>
      </c>
      <c r="L2388" s="300" t="s">
        <v>2167</v>
      </c>
      <c r="M2388" s="415" t="s">
        <v>2339</v>
      </c>
      <c r="N2388" s="414" t="s">
        <v>263</v>
      </c>
      <c r="O2388" s="414" t="s">
        <v>195</v>
      </c>
      <c r="P2388" s="417">
        <v>24</v>
      </c>
      <c r="Q2388" s="417">
        <v>5</v>
      </c>
      <c r="R2388" s="418">
        <v>8.0000000000000002E-3</v>
      </c>
      <c r="S2388" s="414" t="s">
        <v>40</v>
      </c>
      <c r="T2388" s="414" t="s">
        <v>56</v>
      </c>
      <c r="U2388" s="414" t="s">
        <v>57</v>
      </c>
      <c r="V2388" s="419">
        <f>2500+27</f>
        <v>2527</v>
      </c>
      <c r="W2388" s="419">
        <v>2527</v>
      </c>
      <c r="X2388" s="420"/>
      <c r="Y2388" s="421">
        <f t="shared" si="923"/>
        <v>0</v>
      </c>
      <c r="Z2388" s="422">
        <f t="shared" si="924"/>
        <v>0</v>
      </c>
      <c r="AA2388" s="422">
        <f t="shared" si="933"/>
        <v>0</v>
      </c>
      <c r="AB2388" s="825">
        <v>7.4999999999999997E-3</v>
      </c>
      <c r="AC2388" s="419">
        <f t="shared" si="925"/>
        <v>0</v>
      </c>
      <c r="AD2388" s="209"/>
      <c r="AE2388" s="210">
        <f t="shared" si="926"/>
        <v>0</v>
      </c>
      <c r="AF2388" s="210">
        <f t="shared" si="927"/>
        <v>0</v>
      </c>
      <c r="AG2388" s="211">
        <f t="shared" ref="AG2388:AG2396" si="934">MID(O2388,1,3)/1000</f>
        <v>0.14499999999999999</v>
      </c>
      <c r="AH2388" s="157">
        <f t="shared" si="930"/>
        <v>0</v>
      </c>
      <c r="AI2388" s="152">
        <f t="shared" si="929"/>
        <v>60648</v>
      </c>
      <c r="AK2388" s="156" t="s">
        <v>691</v>
      </c>
      <c r="AL2388" s="212" t="s">
        <v>690</v>
      </c>
      <c r="AM2388" s="198">
        <f t="shared" si="922"/>
        <v>0</v>
      </c>
      <c r="AN2388" s="199">
        <f t="shared" si="921"/>
        <v>45827</v>
      </c>
      <c r="AO2388" s="159" t="s">
        <v>692</v>
      </c>
      <c r="AP2388" s="783" t="s">
        <v>609</v>
      </c>
      <c r="AQ2388" s="782">
        <v>12071839</v>
      </c>
      <c r="AR2388" s="782">
        <v>12047514</v>
      </c>
      <c r="AS2388" s="782">
        <v>12047515</v>
      </c>
      <c r="AT2388" s="781"/>
      <c r="AU2388" s="781"/>
      <c r="AV2388" s="782">
        <v>12080613</v>
      </c>
      <c r="AW2388" s="781"/>
      <c r="AX2388" s="781"/>
      <c r="AY2388" s="782">
        <v>12094241</v>
      </c>
      <c r="AZ2388" s="782">
        <v>12094242</v>
      </c>
      <c r="BA2388" s="781"/>
      <c r="BB2388" s="209">
        <v>23053185</v>
      </c>
    </row>
    <row r="2389" spans="2:54" ht="24.65" hidden="1" customHeight="1">
      <c r="B2389" s="411">
        <v>45827</v>
      </c>
      <c r="C2389" s="645" t="s">
        <v>1931</v>
      </c>
      <c r="D2389" s="185">
        <f t="shared" si="931"/>
        <v>2025</v>
      </c>
      <c r="E2389" s="412" t="e">
        <f>VLOOKUP($B2389,Week!$A$1:$C$1462,2,0)</f>
        <v>#N/A</v>
      </c>
      <c r="F2389" s="413" t="str">
        <f t="shared" si="932"/>
        <v>Jun</v>
      </c>
      <c r="G2389" s="414" t="s">
        <v>47</v>
      </c>
      <c r="H2389" s="414" t="s">
        <v>260</v>
      </c>
      <c r="I2389" s="414" t="s">
        <v>2702</v>
      </c>
      <c r="J2389" s="415" t="s">
        <v>261</v>
      </c>
      <c r="K2389" s="416" t="s">
        <v>94</v>
      </c>
      <c r="L2389" s="300" t="s">
        <v>2167</v>
      </c>
      <c r="M2389" s="415" t="s">
        <v>2339</v>
      </c>
      <c r="N2389" s="414" t="s">
        <v>263</v>
      </c>
      <c r="O2389" s="414" t="s">
        <v>195</v>
      </c>
      <c r="P2389" s="417">
        <v>24</v>
      </c>
      <c r="Q2389" s="417">
        <v>5</v>
      </c>
      <c r="R2389" s="418">
        <v>8.0000000000000002E-3</v>
      </c>
      <c r="S2389" s="414" t="s">
        <v>40</v>
      </c>
      <c r="T2389" s="414" t="s">
        <v>56</v>
      </c>
      <c r="U2389" s="414" t="s">
        <v>57</v>
      </c>
      <c r="V2389" s="419">
        <v>1696</v>
      </c>
      <c r="W2389" s="419">
        <f>4223-2527</f>
        <v>1696</v>
      </c>
      <c r="X2389" s="420"/>
      <c r="Y2389" s="421">
        <f t="shared" si="923"/>
        <v>0</v>
      </c>
      <c r="Z2389" s="422">
        <f t="shared" si="924"/>
        <v>0</v>
      </c>
      <c r="AA2389" s="422">
        <f t="shared" si="933"/>
        <v>0</v>
      </c>
      <c r="AB2389" s="825">
        <v>7.4999999999999997E-3</v>
      </c>
      <c r="AC2389" s="419">
        <f t="shared" si="925"/>
        <v>0</v>
      </c>
      <c r="AD2389" s="209"/>
      <c r="AE2389" s="210">
        <f t="shared" si="926"/>
        <v>0</v>
      </c>
      <c r="AF2389" s="210">
        <f t="shared" si="927"/>
        <v>0</v>
      </c>
      <c r="AG2389" s="211">
        <f t="shared" si="934"/>
        <v>0.14499999999999999</v>
      </c>
      <c r="AH2389" s="157">
        <f t="shared" si="930"/>
        <v>0</v>
      </c>
      <c r="AI2389" s="152">
        <f t="shared" si="929"/>
        <v>40704</v>
      </c>
      <c r="AK2389" s="156" t="s">
        <v>691</v>
      </c>
      <c r="AL2389" s="212" t="s">
        <v>690</v>
      </c>
      <c r="AM2389" s="198">
        <f t="shared" si="922"/>
        <v>0</v>
      </c>
      <c r="AN2389" s="199">
        <f t="shared" si="921"/>
        <v>45827</v>
      </c>
      <c r="AO2389" s="159" t="s">
        <v>692</v>
      </c>
      <c r="AP2389" s="783" t="s">
        <v>609</v>
      </c>
      <c r="AQ2389" s="782">
        <v>12071839</v>
      </c>
      <c r="AR2389" s="782">
        <v>12047514</v>
      </c>
      <c r="AS2389" s="782">
        <v>12047515</v>
      </c>
      <c r="AT2389" s="781"/>
      <c r="AU2389" s="781"/>
      <c r="AV2389" s="782">
        <v>12080613</v>
      </c>
      <c r="AW2389" s="781"/>
      <c r="AX2389" s="781"/>
      <c r="AY2389" s="782">
        <v>12094241</v>
      </c>
      <c r="AZ2389" s="782">
        <v>12094242</v>
      </c>
      <c r="BA2389" s="781"/>
      <c r="BB2389" s="209">
        <v>23053185</v>
      </c>
    </row>
    <row r="2390" spans="2:54" ht="24.65" hidden="1" customHeight="1">
      <c r="B2390" s="246">
        <v>45828</v>
      </c>
      <c r="C2390" s="780" t="s">
        <v>1930</v>
      </c>
      <c r="D2390" s="185">
        <f t="shared" si="931"/>
        <v>2025</v>
      </c>
      <c r="E2390" s="247" t="e">
        <f>VLOOKUP($B2390,Week!$A$1:$C$1462,2,0)</f>
        <v>#N/A</v>
      </c>
      <c r="F2390" s="248" t="str">
        <f t="shared" si="932"/>
        <v>Jun</v>
      </c>
      <c r="G2390" s="249" t="s">
        <v>47</v>
      </c>
      <c r="H2390" s="249" t="s">
        <v>260</v>
      </c>
      <c r="I2390" s="249" t="s">
        <v>2702</v>
      </c>
      <c r="J2390" s="250" t="s">
        <v>70</v>
      </c>
      <c r="K2390" s="251" t="s">
        <v>1020</v>
      </c>
      <c r="L2390" s="300" t="s">
        <v>2167</v>
      </c>
      <c r="M2390" s="250" t="s">
        <v>2318</v>
      </c>
      <c r="N2390" s="599" t="s">
        <v>2316</v>
      </c>
      <c r="O2390" s="249" t="s">
        <v>742</v>
      </c>
      <c r="P2390" s="252">
        <v>24</v>
      </c>
      <c r="Q2390" s="252">
        <v>5</v>
      </c>
      <c r="R2390" s="249">
        <v>6.1999999999999998E-3</v>
      </c>
      <c r="S2390" s="249" t="s">
        <v>352</v>
      </c>
      <c r="T2390" s="249" t="s">
        <v>56</v>
      </c>
      <c r="U2390" s="878" t="s">
        <v>739</v>
      </c>
      <c r="V2390" s="254">
        <f>3750</f>
        <v>3750</v>
      </c>
      <c r="W2390" s="254">
        <v>3750</v>
      </c>
      <c r="X2390" s="255"/>
      <c r="Y2390" s="256">
        <f t="shared" si="923"/>
        <v>0</v>
      </c>
      <c r="Z2390" s="257">
        <f t="shared" si="924"/>
        <v>0</v>
      </c>
      <c r="AA2390" s="257">
        <f t="shared" si="933"/>
        <v>0</v>
      </c>
      <c r="AB2390" s="810">
        <v>1.2999999999999999E-2</v>
      </c>
      <c r="AC2390" s="254">
        <f t="shared" si="925"/>
        <v>0</v>
      </c>
      <c r="AD2390" s="307" t="s">
        <v>2317</v>
      </c>
      <c r="AE2390" s="210">
        <f t="shared" si="926"/>
        <v>0</v>
      </c>
      <c r="AF2390" s="210">
        <f t="shared" si="927"/>
        <v>0</v>
      </c>
      <c r="AG2390" s="211">
        <f t="shared" si="934"/>
        <v>0.14299999999999999</v>
      </c>
      <c r="AH2390" s="157">
        <f t="shared" si="930"/>
        <v>0</v>
      </c>
      <c r="AI2390" s="152">
        <f t="shared" si="929"/>
        <v>90000</v>
      </c>
      <c r="AK2390" s="156" t="s">
        <v>691</v>
      </c>
      <c r="AL2390" s="212" t="s">
        <v>690</v>
      </c>
      <c r="AM2390" s="198">
        <f t="shared" si="922"/>
        <v>0</v>
      </c>
      <c r="AN2390" s="199">
        <f t="shared" si="921"/>
        <v>45828</v>
      </c>
      <c r="AO2390" s="159" t="s">
        <v>692</v>
      </c>
      <c r="AP2390" s="783" t="s">
        <v>609</v>
      </c>
      <c r="AQ2390" s="782">
        <v>12071839</v>
      </c>
      <c r="AR2390" s="782">
        <v>12047514</v>
      </c>
      <c r="AS2390" s="782">
        <v>12047515</v>
      </c>
      <c r="AT2390" s="781"/>
      <c r="AU2390" s="781"/>
      <c r="AV2390" s="782">
        <v>12095913</v>
      </c>
      <c r="AW2390" s="781"/>
      <c r="AX2390" s="781"/>
      <c r="AY2390" s="782">
        <v>12095802</v>
      </c>
      <c r="AZ2390" s="782">
        <v>12095803</v>
      </c>
      <c r="BA2390" s="781"/>
      <c r="BB2390" s="209">
        <v>11042803</v>
      </c>
    </row>
    <row r="2391" spans="2:54" ht="24.65" hidden="1" customHeight="1">
      <c r="B2391" s="246">
        <v>45828</v>
      </c>
      <c r="C2391" s="780" t="s">
        <v>1931</v>
      </c>
      <c r="D2391" s="185">
        <f t="shared" si="931"/>
        <v>2025</v>
      </c>
      <c r="E2391" s="247" t="e">
        <f>VLOOKUP($B2391,Week!$A$1:$C$1462,2,0)</f>
        <v>#N/A</v>
      </c>
      <c r="F2391" s="248" t="str">
        <f t="shared" si="932"/>
        <v>Jun</v>
      </c>
      <c r="G2391" s="249" t="s">
        <v>47</v>
      </c>
      <c r="H2391" s="249" t="s">
        <v>260</v>
      </c>
      <c r="I2391" s="249" t="s">
        <v>2702</v>
      </c>
      <c r="J2391" s="250" t="s">
        <v>70</v>
      </c>
      <c r="K2391" s="251" t="s">
        <v>1020</v>
      </c>
      <c r="L2391" s="300" t="s">
        <v>2167</v>
      </c>
      <c r="M2391" s="250" t="s">
        <v>2318</v>
      </c>
      <c r="N2391" s="599" t="s">
        <v>2316</v>
      </c>
      <c r="O2391" s="249" t="s">
        <v>742</v>
      </c>
      <c r="P2391" s="252">
        <v>24</v>
      </c>
      <c r="Q2391" s="252">
        <v>5</v>
      </c>
      <c r="R2391" s="249">
        <v>6.1999999999999998E-3</v>
      </c>
      <c r="S2391" s="249" t="s">
        <v>352</v>
      </c>
      <c r="T2391" s="249" t="s">
        <v>56</v>
      </c>
      <c r="U2391" s="878" t="s">
        <v>739</v>
      </c>
      <c r="V2391" s="254">
        <f>5865-3750</f>
        <v>2115</v>
      </c>
      <c r="W2391" s="254">
        <f>2115</f>
        <v>2115</v>
      </c>
      <c r="X2391" s="255"/>
      <c r="Y2391" s="256">
        <f t="shared" si="923"/>
        <v>0</v>
      </c>
      <c r="Z2391" s="257">
        <f t="shared" si="924"/>
        <v>0</v>
      </c>
      <c r="AA2391" s="257">
        <f t="shared" si="933"/>
        <v>0</v>
      </c>
      <c r="AB2391" s="810">
        <v>1.2999999999999999E-2</v>
      </c>
      <c r="AC2391" s="254">
        <f t="shared" si="925"/>
        <v>0</v>
      </c>
      <c r="AD2391" s="307" t="s">
        <v>2317</v>
      </c>
      <c r="AE2391" s="210">
        <f t="shared" si="926"/>
        <v>0</v>
      </c>
      <c r="AF2391" s="210">
        <f t="shared" si="927"/>
        <v>0</v>
      </c>
      <c r="AG2391" s="211">
        <f t="shared" si="934"/>
        <v>0.14299999999999999</v>
      </c>
      <c r="AH2391" s="157">
        <f t="shared" si="930"/>
        <v>0</v>
      </c>
      <c r="AI2391" s="152">
        <f t="shared" si="929"/>
        <v>50760</v>
      </c>
      <c r="AK2391" s="156" t="s">
        <v>691</v>
      </c>
      <c r="AL2391" s="212" t="s">
        <v>690</v>
      </c>
      <c r="AM2391" s="198">
        <f t="shared" si="922"/>
        <v>0</v>
      </c>
      <c r="AN2391" s="199">
        <f t="shared" si="921"/>
        <v>45828</v>
      </c>
      <c r="AO2391" s="159" t="s">
        <v>692</v>
      </c>
      <c r="AP2391" s="783" t="s">
        <v>609</v>
      </c>
      <c r="AQ2391" s="782">
        <v>12071839</v>
      </c>
      <c r="AR2391" s="782">
        <v>12047514</v>
      </c>
      <c r="AS2391" s="782">
        <v>12047515</v>
      </c>
      <c r="AT2391" s="781"/>
      <c r="AU2391" s="781"/>
      <c r="AV2391" s="782">
        <v>12095913</v>
      </c>
      <c r="AW2391" s="781"/>
      <c r="AX2391" s="781"/>
      <c r="AY2391" s="782">
        <v>12095802</v>
      </c>
      <c r="AZ2391" s="782">
        <v>12095803</v>
      </c>
      <c r="BA2391" s="781"/>
      <c r="BB2391" s="209">
        <v>11042803</v>
      </c>
    </row>
    <row r="2392" spans="2:54" ht="24.75" hidden="1" customHeight="1">
      <c r="B2392" s="295">
        <v>45829</v>
      </c>
      <c r="C2392" s="771" t="s">
        <v>1931</v>
      </c>
      <c r="D2392" s="185">
        <f t="shared" si="931"/>
        <v>2025</v>
      </c>
      <c r="E2392" s="296" t="e">
        <f>VLOOKUP($B2392,Week!$A$1:$C$1462,2,0)</f>
        <v>#N/A</v>
      </c>
      <c r="F2392" s="297" t="str">
        <f t="shared" si="932"/>
        <v>Jun</v>
      </c>
      <c r="G2392" s="648" t="s">
        <v>47</v>
      </c>
      <c r="H2392" s="298" t="s">
        <v>260</v>
      </c>
      <c r="I2392" s="298" t="s">
        <v>2702</v>
      </c>
      <c r="J2392" s="307" t="s">
        <v>2240</v>
      </c>
      <c r="K2392" s="300" t="s">
        <v>176</v>
      </c>
      <c r="L2392" s="300" t="s">
        <v>2167</v>
      </c>
      <c r="M2392" s="299" t="s">
        <v>2338</v>
      </c>
      <c r="N2392" s="298" t="s">
        <v>350</v>
      </c>
      <c r="O2392" s="298" t="s">
        <v>351</v>
      </c>
      <c r="P2392" s="301">
        <v>24</v>
      </c>
      <c r="Q2392" s="301">
        <v>5</v>
      </c>
      <c r="R2392" s="302">
        <v>6.1999999999999998E-3</v>
      </c>
      <c r="S2392" s="298" t="s">
        <v>352</v>
      </c>
      <c r="T2392" s="298" t="s">
        <v>56</v>
      </c>
      <c r="U2392" s="298" t="s">
        <v>57</v>
      </c>
      <c r="V2392" s="303">
        <v>1280</v>
      </c>
      <c r="W2392" s="303">
        <v>1280</v>
      </c>
      <c r="X2392" s="304"/>
      <c r="Y2392" s="305">
        <f t="shared" si="923"/>
        <v>0</v>
      </c>
      <c r="Z2392" s="306">
        <f t="shared" si="924"/>
        <v>0</v>
      </c>
      <c r="AA2392" s="306">
        <f t="shared" si="933"/>
        <v>0</v>
      </c>
      <c r="AB2392" s="814">
        <v>7.4999999999999997E-3</v>
      </c>
      <c r="AC2392" s="303">
        <f t="shared" si="925"/>
        <v>0</v>
      </c>
      <c r="AD2392" s="209"/>
      <c r="AE2392" s="210">
        <f t="shared" si="926"/>
        <v>0</v>
      </c>
      <c r="AF2392" s="210">
        <f t="shared" si="927"/>
        <v>0</v>
      </c>
      <c r="AG2392" s="211">
        <f t="shared" si="934"/>
        <v>0.13</v>
      </c>
      <c r="AH2392" s="157">
        <f t="shared" si="930"/>
        <v>0</v>
      </c>
      <c r="AI2392" s="152">
        <f t="shared" si="929"/>
        <v>30720</v>
      </c>
      <c r="AK2392" s="156" t="s">
        <v>691</v>
      </c>
      <c r="AL2392" s="574" t="s">
        <v>690</v>
      </c>
      <c r="AM2392" s="198">
        <f t="shared" si="922"/>
        <v>0</v>
      </c>
      <c r="AN2392" s="199">
        <f t="shared" si="921"/>
        <v>45829</v>
      </c>
      <c r="AO2392" s="159" t="s">
        <v>692</v>
      </c>
      <c r="AP2392" s="783" t="s">
        <v>629</v>
      </c>
      <c r="AQ2392" s="782">
        <v>12071839</v>
      </c>
      <c r="AR2392" s="782">
        <v>12094356</v>
      </c>
      <c r="AS2392" s="782">
        <v>12068233</v>
      </c>
      <c r="AT2392" s="781"/>
      <c r="AU2392" s="781"/>
      <c r="AV2392" s="782">
        <v>12062075</v>
      </c>
      <c r="AW2392" s="781"/>
      <c r="AX2392" s="781"/>
      <c r="AY2392" s="782">
        <v>12094357</v>
      </c>
      <c r="AZ2392" s="781"/>
      <c r="BA2392" s="781"/>
      <c r="BB2392" s="209">
        <v>23053185</v>
      </c>
    </row>
    <row r="2393" spans="2:54" ht="25" hidden="1" customHeight="1">
      <c r="B2393" s="271">
        <v>45829</v>
      </c>
      <c r="C2393" s="441">
        <v>45838</v>
      </c>
      <c r="D2393" s="274">
        <f t="shared" si="931"/>
        <v>2025</v>
      </c>
      <c r="E2393" s="274" t="e">
        <f>VLOOKUP($B2393,Week!$A$1:$C$1462,2,0)</f>
        <v>#N/A</v>
      </c>
      <c r="F2393" s="273" t="str">
        <f t="shared" si="932"/>
        <v>Jun</v>
      </c>
      <c r="G2393" s="274" t="s">
        <v>2267</v>
      </c>
      <c r="H2393" s="274" t="s">
        <v>225</v>
      </c>
      <c r="I2393" s="274" t="s">
        <v>2773</v>
      </c>
      <c r="J2393" s="275" t="s">
        <v>650</v>
      </c>
      <c r="K2393" s="276" t="s">
        <v>2256</v>
      </c>
      <c r="L2393" s="276" t="s">
        <v>2167</v>
      </c>
      <c r="M2393" s="275" t="s">
        <v>2258</v>
      </c>
      <c r="N2393" s="274" t="s">
        <v>2259</v>
      </c>
      <c r="O2393" s="274" t="s">
        <v>110</v>
      </c>
      <c r="P2393" s="277">
        <v>36</v>
      </c>
      <c r="Q2393" s="277">
        <v>5</v>
      </c>
      <c r="R2393" s="278">
        <v>7.4999999999999997E-3</v>
      </c>
      <c r="S2393" s="274" t="s">
        <v>111</v>
      </c>
      <c r="T2393" s="274" t="s">
        <v>112</v>
      </c>
      <c r="U2393" s="274" t="s">
        <v>113</v>
      </c>
      <c r="V2393" s="279">
        <v>768</v>
      </c>
      <c r="W2393" s="279">
        <v>768</v>
      </c>
      <c r="X2393" s="280"/>
      <c r="Y2393" s="281">
        <f t="shared" si="923"/>
        <v>0</v>
      </c>
      <c r="Z2393" s="282">
        <f t="shared" si="924"/>
        <v>0</v>
      </c>
      <c r="AA2393" s="282">
        <f t="shared" si="933"/>
        <v>0</v>
      </c>
      <c r="AB2393" s="812">
        <v>9.7000000000000003E-3</v>
      </c>
      <c r="AC2393" s="279">
        <f t="shared" si="925"/>
        <v>0</v>
      </c>
      <c r="AD2393" s="209"/>
      <c r="AE2393" s="210">
        <f t="shared" si="926"/>
        <v>0</v>
      </c>
      <c r="AF2393" s="210">
        <f t="shared" si="927"/>
        <v>0</v>
      </c>
      <c r="AG2393" s="211">
        <f t="shared" si="934"/>
        <v>0.308</v>
      </c>
      <c r="AH2393" s="157">
        <f t="shared" si="930"/>
        <v>0</v>
      </c>
      <c r="AI2393" s="152">
        <f t="shared" si="929"/>
        <v>27648</v>
      </c>
      <c r="AK2393" s="156" t="s">
        <v>691</v>
      </c>
      <c r="AL2393" s="574" t="s">
        <v>690</v>
      </c>
      <c r="AM2393" s="198">
        <f t="shared" si="922"/>
        <v>0</v>
      </c>
      <c r="AN2393" s="199">
        <f t="shared" si="921"/>
        <v>45829</v>
      </c>
      <c r="AO2393" s="159" t="s">
        <v>692</v>
      </c>
      <c r="AP2393" s="781"/>
      <c r="AQ2393" s="782">
        <v>12063755</v>
      </c>
      <c r="AR2393" s="782">
        <v>12061353</v>
      </c>
      <c r="AS2393" s="782">
        <v>12061354</v>
      </c>
      <c r="AT2393" s="782">
        <v>12095367</v>
      </c>
      <c r="AU2393" s="781"/>
      <c r="AV2393" s="782">
        <v>12095366</v>
      </c>
      <c r="AW2393" s="782">
        <v>12088207</v>
      </c>
      <c r="AX2393" s="782"/>
      <c r="AY2393" s="782">
        <v>12095368</v>
      </c>
      <c r="AZ2393" s="782"/>
      <c r="BA2393" s="781"/>
      <c r="BB2393" s="209">
        <v>23054743</v>
      </c>
    </row>
    <row r="2394" spans="2:54" ht="25" hidden="1" customHeight="1">
      <c r="B2394" s="271">
        <v>45829</v>
      </c>
      <c r="C2394" s="441">
        <v>45839</v>
      </c>
      <c r="D2394" s="274">
        <f t="shared" si="931"/>
        <v>2025</v>
      </c>
      <c r="E2394" s="274" t="e">
        <f>VLOOKUP($B2394,Week!$A$1:$C$1462,2,0)</f>
        <v>#N/A</v>
      </c>
      <c r="F2394" s="273" t="str">
        <f t="shared" si="932"/>
        <v>Jun</v>
      </c>
      <c r="G2394" s="274" t="s">
        <v>2266</v>
      </c>
      <c r="H2394" s="274" t="s">
        <v>225</v>
      </c>
      <c r="I2394" s="274" t="s">
        <v>2773</v>
      </c>
      <c r="J2394" s="275" t="s">
        <v>650</v>
      </c>
      <c r="K2394" s="276" t="s">
        <v>2256</v>
      </c>
      <c r="L2394" s="276" t="s">
        <v>2167</v>
      </c>
      <c r="M2394" s="275" t="s">
        <v>2258</v>
      </c>
      <c r="N2394" s="274" t="s">
        <v>2259</v>
      </c>
      <c r="O2394" s="274" t="s">
        <v>110</v>
      </c>
      <c r="P2394" s="277">
        <v>36</v>
      </c>
      <c r="Q2394" s="277">
        <v>5</v>
      </c>
      <c r="R2394" s="278">
        <v>7.4999999999999997E-3</v>
      </c>
      <c r="S2394" s="274" t="s">
        <v>111</v>
      </c>
      <c r="T2394" s="274" t="s">
        <v>112</v>
      </c>
      <c r="U2394" s="274" t="s">
        <v>113</v>
      </c>
      <c r="V2394" s="279">
        <v>792</v>
      </c>
      <c r="W2394" s="279">
        <v>792</v>
      </c>
      <c r="X2394" s="280"/>
      <c r="Y2394" s="281">
        <f t="shared" si="923"/>
        <v>0</v>
      </c>
      <c r="Z2394" s="282">
        <f t="shared" si="924"/>
        <v>0</v>
      </c>
      <c r="AA2394" s="282">
        <f t="shared" si="933"/>
        <v>0</v>
      </c>
      <c r="AB2394" s="812">
        <v>9.7000000000000003E-3</v>
      </c>
      <c r="AC2394" s="279">
        <f t="shared" si="925"/>
        <v>0</v>
      </c>
      <c r="AD2394" s="209"/>
      <c r="AE2394" s="210">
        <f t="shared" si="926"/>
        <v>0</v>
      </c>
      <c r="AF2394" s="210">
        <f t="shared" si="927"/>
        <v>0</v>
      </c>
      <c r="AG2394" s="211">
        <f t="shared" si="934"/>
        <v>0.308</v>
      </c>
      <c r="AH2394" s="157">
        <f t="shared" si="930"/>
        <v>0</v>
      </c>
      <c r="AI2394" s="152">
        <f t="shared" si="929"/>
        <v>28512</v>
      </c>
      <c r="AK2394" s="156" t="s">
        <v>691</v>
      </c>
      <c r="AL2394" s="574" t="s">
        <v>690</v>
      </c>
      <c r="AM2394" s="198">
        <f t="shared" si="922"/>
        <v>0</v>
      </c>
      <c r="AN2394" s="199">
        <f t="shared" si="921"/>
        <v>45829</v>
      </c>
      <c r="AO2394" s="159" t="s">
        <v>692</v>
      </c>
      <c r="AP2394" s="781"/>
      <c r="AQ2394" s="782">
        <v>12063755</v>
      </c>
      <c r="AR2394" s="782">
        <v>12061353</v>
      </c>
      <c r="AS2394" s="782">
        <v>12061354</v>
      </c>
      <c r="AT2394" s="782">
        <v>12095367</v>
      </c>
      <c r="AU2394" s="781"/>
      <c r="AV2394" s="782">
        <v>12095366</v>
      </c>
      <c r="AW2394" s="782">
        <v>12088207</v>
      </c>
      <c r="AX2394" s="782"/>
      <c r="AY2394" s="782">
        <v>12095368</v>
      </c>
      <c r="AZ2394" s="782"/>
      <c r="BA2394" s="781"/>
      <c r="BB2394" s="209">
        <v>23054743</v>
      </c>
    </row>
    <row r="2395" spans="2:54" ht="25" hidden="1" customHeight="1">
      <c r="B2395" s="271">
        <v>45829</v>
      </c>
      <c r="C2395" s="441">
        <v>45845</v>
      </c>
      <c r="D2395" s="274">
        <f t="shared" si="931"/>
        <v>2025</v>
      </c>
      <c r="E2395" s="274" t="e">
        <f>VLOOKUP($B2395,Week!$A$1:$C$1462,2,0)</f>
        <v>#N/A</v>
      </c>
      <c r="F2395" s="273" t="str">
        <f t="shared" si="932"/>
        <v>Jun</v>
      </c>
      <c r="G2395" s="274" t="s">
        <v>2268</v>
      </c>
      <c r="H2395" s="274" t="s">
        <v>225</v>
      </c>
      <c r="I2395" s="274" t="s">
        <v>2773</v>
      </c>
      <c r="J2395" s="275" t="s">
        <v>650</v>
      </c>
      <c r="K2395" s="276" t="s">
        <v>2256</v>
      </c>
      <c r="L2395" s="276" t="s">
        <v>2167</v>
      </c>
      <c r="M2395" s="275" t="s">
        <v>2258</v>
      </c>
      <c r="N2395" s="274" t="s">
        <v>2259</v>
      </c>
      <c r="O2395" s="274" t="s">
        <v>110</v>
      </c>
      <c r="P2395" s="277">
        <v>36</v>
      </c>
      <c r="Q2395" s="277">
        <v>5</v>
      </c>
      <c r="R2395" s="278">
        <v>7.4999999999999997E-3</v>
      </c>
      <c r="S2395" s="274" t="s">
        <v>111</v>
      </c>
      <c r="T2395" s="274" t="s">
        <v>112</v>
      </c>
      <c r="U2395" s="274" t="s">
        <v>113</v>
      </c>
      <c r="V2395" s="279">
        <v>792</v>
      </c>
      <c r="W2395" s="279">
        <v>792</v>
      </c>
      <c r="X2395" s="280"/>
      <c r="Y2395" s="281">
        <f t="shared" si="923"/>
        <v>0</v>
      </c>
      <c r="Z2395" s="282">
        <f t="shared" si="924"/>
        <v>0</v>
      </c>
      <c r="AA2395" s="282">
        <f t="shared" si="933"/>
        <v>0</v>
      </c>
      <c r="AB2395" s="812">
        <v>9.7000000000000003E-3</v>
      </c>
      <c r="AC2395" s="279">
        <f t="shared" si="925"/>
        <v>0</v>
      </c>
      <c r="AD2395" s="209"/>
      <c r="AE2395" s="210">
        <f t="shared" si="926"/>
        <v>0</v>
      </c>
      <c r="AF2395" s="210">
        <f t="shared" si="927"/>
        <v>0</v>
      </c>
      <c r="AG2395" s="211">
        <f t="shared" si="934"/>
        <v>0.308</v>
      </c>
      <c r="AH2395" s="157">
        <f t="shared" si="930"/>
        <v>0</v>
      </c>
      <c r="AI2395" s="152">
        <f t="shared" si="929"/>
        <v>28512</v>
      </c>
      <c r="AK2395" s="156" t="s">
        <v>691</v>
      </c>
      <c r="AL2395" s="574" t="s">
        <v>690</v>
      </c>
      <c r="AM2395" s="198">
        <f t="shared" si="922"/>
        <v>0</v>
      </c>
      <c r="AN2395" s="199">
        <f t="shared" si="921"/>
        <v>45829</v>
      </c>
      <c r="AO2395" s="159" t="s">
        <v>692</v>
      </c>
      <c r="AP2395" s="781"/>
      <c r="AQ2395" s="782">
        <v>12063755</v>
      </c>
      <c r="AR2395" s="782">
        <v>12061353</v>
      </c>
      <c r="AS2395" s="782">
        <v>12061354</v>
      </c>
      <c r="AT2395" s="782">
        <v>12095367</v>
      </c>
      <c r="AU2395" s="781"/>
      <c r="AV2395" s="782">
        <v>12095366</v>
      </c>
      <c r="AW2395" s="782">
        <v>12088207</v>
      </c>
      <c r="AX2395" s="782"/>
      <c r="AY2395" s="782">
        <v>12095368</v>
      </c>
      <c r="AZ2395" s="782"/>
      <c r="BA2395" s="781"/>
      <c r="BB2395" s="209">
        <v>23054743</v>
      </c>
    </row>
    <row r="2396" spans="2:54" ht="25" hidden="1" customHeight="1">
      <c r="B2396" s="271">
        <v>45829</v>
      </c>
      <c r="C2396" s="441">
        <v>45853</v>
      </c>
      <c r="D2396" s="274">
        <f t="shared" si="931"/>
        <v>2025</v>
      </c>
      <c r="E2396" s="274" t="e">
        <f>VLOOKUP($B2396,Week!$A$1:$C$1462,2,0)</f>
        <v>#N/A</v>
      </c>
      <c r="F2396" s="273" t="str">
        <f t="shared" si="932"/>
        <v>Jun</v>
      </c>
      <c r="G2396" s="274" t="s">
        <v>2269</v>
      </c>
      <c r="H2396" s="274" t="s">
        <v>225</v>
      </c>
      <c r="I2396" s="274" t="s">
        <v>2773</v>
      </c>
      <c r="J2396" s="275" t="s">
        <v>650</v>
      </c>
      <c r="K2396" s="276" t="s">
        <v>2256</v>
      </c>
      <c r="L2396" s="276" t="s">
        <v>2167</v>
      </c>
      <c r="M2396" s="275" t="s">
        <v>2258</v>
      </c>
      <c r="N2396" s="274" t="s">
        <v>2259</v>
      </c>
      <c r="O2396" s="274" t="s">
        <v>110</v>
      </c>
      <c r="P2396" s="277">
        <v>36</v>
      </c>
      <c r="Q2396" s="277">
        <v>5</v>
      </c>
      <c r="R2396" s="278">
        <v>7.4999999999999997E-3</v>
      </c>
      <c r="S2396" s="274" t="s">
        <v>111</v>
      </c>
      <c r="T2396" s="274" t="s">
        <v>112</v>
      </c>
      <c r="U2396" s="274" t="s">
        <v>113</v>
      </c>
      <c r="V2396" s="279">
        <v>792</v>
      </c>
      <c r="W2396" s="279">
        <f>3091-767-792-792</f>
        <v>740</v>
      </c>
      <c r="X2396" s="280">
        <f>(1872)/36</f>
        <v>52</v>
      </c>
      <c r="Y2396" s="281">
        <f t="shared" si="923"/>
        <v>0</v>
      </c>
      <c r="Z2396" s="282">
        <f t="shared" si="924"/>
        <v>0</v>
      </c>
      <c r="AA2396" s="282">
        <f t="shared" si="933"/>
        <v>0</v>
      </c>
      <c r="AB2396" s="812">
        <v>9.7000000000000003E-3</v>
      </c>
      <c r="AC2396" s="279">
        <f t="shared" si="925"/>
        <v>0</v>
      </c>
      <c r="AD2396" s="209"/>
      <c r="AE2396" s="210">
        <f t="shared" si="926"/>
        <v>0</v>
      </c>
      <c r="AF2396" s="210">
        <f t="shared" si="927"/>
        <v>0</v>
      </c>
      <c r="AG2396" s="211">
        <f t="shared" si="934"/>
        <v>0.308</v>
      </c>
      <c r="AH2396" s="157">
        <f t="shared" si="930"/>
        <v>0</v>
      </c>
      <c r="AI2396" s="152">
        <f t="shared" si="929"/>
        <v>28512</v>
      </c>
      <c r="AK2396" s="156" t="s">
        <v>691</v>
      </c>
      <c r="AL2396" s="574" t="s">
        <v>690</v>
      </c>
      <c r="AM2396" s="198">
        <f t="shared" si="922"/>
        <v>0</v>
      </c>
      <c r="AN2396" s="199">
        <f t="shared" si="921"/>
        <v>45829</v>
      </c>
      <c r="AO2396" s="159" t="s">
        <v>692</v>
      </c>
      <c r="AP2396" s="781"/>
      <c r="AQ2396" s="782">
        <v>12063755</v>
      </c>
      <c r="AR2396" s="782">
        <v>12061353</v>
      </c>
      <c r="AS2396" s="782">
        <v>12061354</v>
      </c>
      <c r="AT2396" s="782">
        <v>12095367</v>
      </c>
      <c r="AU2396" s="781"/>
      <c r="AV2396" s="782">
        <v>12095366</v>
      </c>
      <c r="AW2396" s="782">
        <v>12088207</v>
      </c>
      <c r="AX2396" s="782"/>
      <c r="AY2396" s="782">
        <v>12095368</v>
      </c>
      <c r="AZ2396" s="782"/>
      <c r="BA2396" s="781"/>
      <c r="BB2396" s="209">
        <v>23054743</v>
      </c>
    </row>
    <row r="2397" spans="2:54" ht="25" hidden="1" customHeight="1">
      <c r="B2397" s="183">
        <v>45830</v>
      </c>
      <c r="C2397" s="184"/>
      <c r="D2397" s="185">
        <f t="shared" si="931"/>
        <v>2025</v>
      </c>
      <c r="E2397" s="185" t="e">
        <f>VLOOKUP($B2397,Week!$A$1:$C$1462,2,0)</f>
        <v>#N/A</v>
      </c>
      <c r="F2397" s="186" t="str">
        <f t="shared" si="932"/>
        <v>Jun</v>
      </c>
      <c r="G2397" s="481"/>
      <c r="H2397" s="185"/>
      <c r="I2397" s="185"/>
      <c r="J2397" s="187"/>
      <c r="K2397" s="188"/>
      <c r="L2397" s="188"/>
      <c r="M2397" s="187"/>
      <c r="N2397" s="185"/>
      <c r="O2397" s="185"/>
      <c r="P2397" s="189"/>
      <c r="Q2397" s="189"/>
      <c r="R2397" s="190"/>
      <c r="S2397" s="185"/>
      <c r="T2397" s="185"/>
      <c r="U2397" s="185"/>
      <c r="V2397" s="191"/>
      <c r="W2397" s="191"/>
      <c r="X2397" s="192"/>
      <c r="Y2397" s="193"/>
      <c r="Z2397" s="194"/>
      <c r="AA2397" s="194">
        <f t="shared" si="933"/>
        <v>0</v>
      </c>
      <c r="AB2397" s="805"/>
      <c r="AC2397" s="191"/>
      <c r="AD2397" s="187"/>
      <c r="AE2397" s="195"/>
      <c r="AF2397" s="195"/>
      <c r="AG2397" s="196"/>
      <c r="AH2397" s="197"/>
      <c r="AK2397" s="156" t="s">
        <v>691</v>
      </c>
      <c r="AM2397" s="198">
        <f t="shared" si="922"/>
        <v>0</v>
      </c>
      <c r="AN2397" s="199">
        <f t="shared" si="921"/>
        <v>45830</v>
      </c>
      <c r="AO2397" s="159" t="s">
        <v>692</v>
      </c>
      <c r="AP2397" s="781"/>
      <c r="AQ2397" s="782"/>
      <c r="AR2397" s="782"/>
      <c r="AS2397" s="782"/>
      <c r="AT2397" s="782"/>
      <c r="AU2397" s="781"/>
      <c r="AV2397" s="782"/>
      <c r="AW2397" s="782"/>
      <c r="AX2397" s="782"/>
      <c r="AY2397" s="782"/>
      <c r="AZ2397" s="782"/>
      <c r="BA2397" s="781"/>
      <c r="BB2397" s="209"/>
    </row>
    <row r="2398" spans="2:54" ht="24.65" hidden="1" customHeight="1">
      <c r="B2398" s="308">
        <v>45831</v>
      </c>
      <c r="C2398" s="309">
        <v>45848</v>
      </c>
      <c r="D2398" s="185">
        <f t="shared" si="931"/>
        <v>2025</v>
      </c>
      <c r="E2398" s="309" t="e">
        <f>VLOOKUP($B2398,Week!$A$1:$C$1462,2,0)</f>
        <v>#N/A</v>
      </c>
      <c r="F2398" s="310" t="str">
        <f t="shared" si="932"/>
        <v>Jun</v>
      </c>
      <c r="G2398" s="311" t="s">
        <v>2251</v>
      </c>
      <c r="H2398" s="311" t="s">
        <v>311</v>
      </c>
      <c r="I2398" s="311" t="s">
        <v>2772</v>
      </c>
      <c r="J2398" s="312" t="s">
        <v>738</v>
      </c>
      <c r="K2398" s="313" t="s">
        <v>107</v>
      </c>
      <c r="L2398" s="300" t="s">
        <v>2167</v>
      </c>
      <c r="M2398" s="312" t="s">
        <v>313</v>
      </c>
      <c r="N2398" s="311" t="s">
        <v>314</v>
      </c>
      <c r="O2398" s="311" t="s">
        <v>110</v>
      </c>
      <c r="P2398" s="314">
        <v>36</v>
      </c>
      <c r="Q2398" s="314">
        <v>5</v>
      </c>
      <c r="R2398" s="315">
        <v>7.4999999999999997E-3</v>
      </c>
      <c r="S2398" s="311" t="s">
        <v>111</v>
      </c>
      <c r="T2398" s="311" t="s">
        <v>112</v>
      </c>
      <c r="U2398" s="311" t="s">
        <v>57</v>
      </c>
      <c r="V2398" s="316">
        <v>792</v>
      </c>
      <c r="W2398" s="316">
        <f>194+407</f>
        <v>601</v>
      </c>
      <c r="X2398" s="317">
        <f>((13868)/36)-194</f>
        <v>191.22222222222223</v>
      </c>
      <c r="Y2398" s="318">
        <f>(W2398+X2398)-V2398</f>
        <v>0.22222222222217169</v>
      </c>
      <c r="Z2398" s="319">
        <f t="shared" ref="Z2398:Z2431" si="935">IF(Y2398&lt;0,((V2398*P2398)-((W2398+X2398)*P2398)),0)</f>
        <v>0</v>
      </c>
      <c r="AA2398" s="319">
        <f t="shared" si="933"/>
        <v>0</v>
      </c>
      <c r="AB2398" s="815">
        <v>7.4999999999999997E-3</v>
      </c>
      <c r="AC2398" s="316">
        <f>Z2398*AB2398</f>
        <v>0</v>
      </c>
      <c r="AD2398" s="515"/>
      <c r="AE2398" s="210">
        <f t="shared" ref="AE2398:AE2431" si="936">SUM(Q2398*R2398*Z2398)/1000</f>
        <v>0</v>
      </c>
      <c r="AF2398" s="210">
        <f>AE2398/0.54</f>
        <v>0</v>
      </c>
      <c r="AG2398" s="211">
        <f t="shared" ref="AG2398:AG2427" si="937">MID(O2398,1,3)/1000</f>
        <v>0.308</v>
      </c>
      <c r="AH2398" s="157">
        <f t="shared" ref="AH2398:AH2405" si="938">(Z2398*AG2398)/1000</f>
        <v>0</v>
      </c>
      <c r="AI2398" s="152">
        <f t="shared" ref="AI2398:AI2431" si="939">V2398*P2398</f>
        <v>28512</v>
      </c>
      <c r="AK2398" s="156" t="s">
        <v>691</v>
      </c>
      <c r="AL2398" s="212" t="s">
        <v>690</v>
      </c>
      <c r="AM2398" s="198">
        <f t="shared" si="922"/>
        <v>0</v>
      </c>
      <c r="AN2398" s="199">
        <f t="shared" si="921"/>
        <v>45831</v>
      </c>
      <c r="AO2398" s="159" t="s">
        <v>692</v>
      </c>
      <c r="AP2398" s="783" t="s">
        <v>644</v>
      </c>
      <c r="AQ2398" s="782">
        <v>12063755</v>
      </c>
      <c r="AR2398" s="782">
        <v>12061353</v>
      </c>
      <c r="AS2398" s="782">
        <v>12061354</v>
      </c>
      <c r="AT2398" s="782">
        <v>12062266</v>
      </c>
      <c r="AU2398" s="781"/>
      <c r="AV2398" s="782">
        <v>12088159</v>
      </c>
      <c r="AW2398" s="782">
        <v>12088207</v>
      </c>
      <c r="AX2398" s="782"/>
      <c r="AY2398" s="782">
        <v>12094237</v>
      </c>
      <c r="AZ2398" s="782"/>
      <c r="BA2398" s="781"/>
      <c r="BB2398" s="209">
        <v>23053185</v>
      </c>
    </row>
    <row r="2399" spans="2:54" ht="24.65" hidden="1" customHeight="1">
      <c r="B2399" s="308">
        <v>45831</v>
      </c>
      <c r="C2399" s="309">
        <v>45848</v>
      </c>
      <c r="D2399" s="185">
        <f t="shared" si="931"/>
        <v>2025</v>
      </c>
      <c r="E2399" s="309" t="e">
        <f>VLOOKUP($B2399,Week!$A$1:$C$1462,2,0)</f>
        <v>#N/A</v>
      </c>
      <c r="F2399" s="310" t="str">
        <f t="shared" si="932"/>
        <v>Jun</v>
      </c>
      <c r="G2399" s="311" t="s">
        <v>2314</v>
      </c>
      <c r="H2399" s="311" t="s">
        <v>311</v>
      </c>
      <c r="I2399" s="311" t="s">
        <v>2772</v>
      </c>
      <c r="J2399" s="312" t="s">
        <v>738</v>
      </c>
      <c r="K2399" s="313" t="s">
        <v>107</v>
      </c>
      <c r="L2399" s="300" t="s">
        <v>2167</v>
      </c>
      <c r="M2399" s="312" t="s">
        <v>313</v>
      </c>
      <c r="N2399" s="311" t="s">
        <v>314</v>
      </c>
      <c r="O2399" s="311" t="s">
        <v>110</v>
      </c>
      <c r="P2399" s="314">
        <v>36</v>
      </c>
      <c r="Q2399" s="314">
        <v>5</v>
      </c>
      <c r="R2399" s="315">
        <v>7.4999999999999997E-3</v>
      </c>
      <c r="S2399" s="311" t="s">
        <v>111</v>
      </c>
      <c r="T2399" s="311" t="s">
        <v>112</v>
      </c>
      <c r="U2399" s="311" t="s">
        <v>57</v>
      </c>
      <c r="V2399" s="316">
        <v>792</v>
      </c>
      <c r="W2399" s="316">
        <v>792</v>
      </c>
      <c r="X2399" s="317"/>
      <c r="Y2399" s="318">
        <f>(W2399+X2399)-V2399</f>
        <v>0</v>
      </c>
      <c r="Z2399" s="319">
        <f t="shared" si="935"/>
        <v>0</v>
      </c>
      <c r="AA2399" s="319">
        <f t="shared" si="933"/>
        <v>0</v>
      </c>
      <c r="AB2399" s="815">
        <v>7.4999999999999997E-3</v>
      </c>
      <c r="AC2399" s="316">
        <f>Z2399*AB2399</f>
        <v>0</v>
      </c>
      <c r="AD2399" s="515"/>
      <c r="AE2399" s="210">
        <f t="shared" si="936"/>
        <v>0</v>
      </c>
      <c r="AF2399" s="210">
        <f>AE2399/0.54</f>
        <v>0</v>
      </c>
      <c r="AG2399" s="211">
        <f t="shared" si="937"/>
        <v>0.308</v>
      </c>
      <c r="AH2399" s="157">
        <f t="shared" si="938"/>
        <v>0</v>
      </c>
      <c r="AI2399" s="152">
        <f t="shared" si="939"/>
        <v>28512</v>
      </c>
      <c r="AK2399" s="156" t="s">
        <v>691</v>
      </c>
      <c r="AL2399" s="212" t="s">
        <v>690</v>
      </c>
      <c r="AM2399" s="198">
        <f t="shared" si="922"/>
        <v>0</v>
      </c>
      <c r="AN2399" s="199">
        <f t="shared" si="921"/>
        <v>45831</v>
      </c>
      <c r="AO2399" s="159" t="s">
        <v>692</v>
      </c>
      <c r="AP2399" s="783" t="s">
        <v>644</v>
      </c>
      <c r="AQ2399" s="782">
        <v>12063755</v>
      </c>
      <c r="AR2399" s="782">
        <v>12061353</v>
      </c>
      <c r="AS2399" s="782">
        <v>12061354</v>
      </c>
      <c r="AT2399" s="782">
        <v>12062266</v>
      </c>
      <c r="AU2399" s="781"/>
      <c r="AV2399" s="782">
        <v>12088159</v>
      </c>
      <c r="AW2399" s="782">
        <v>12088207</v>
      </c>
      <c r="AX2399" s="782"/>
      <c r="AY2399" s="782">
        <v>12094237</v>
      </c>
      <c r="AZ2399" s="782"/>
      <c r="BA2399" s="781"/>
      <c r="BB2399" s="209">
        <v>23053185</v>
      </c>
    </row>
    <row r="2400" spans="2:54" ht="24.65" hidden="1" customHeight="1">
      <c r="B2400" s="308">
        <v>45831</v>
      </c>
      <c r="C2400" s="309">
        <v>45855</v>
      </c>
      <c r="D2400" s="185">
        <f t="shared" si="931"/>
        <v>2025</v>
      </c>
      <c r="E2400" s="309" t="e">
        <f>VLOOKUP($B2400,Week!$A$1:$C$1462,2,0)</f>
        <v>#N/A</v>
      </c>
      <c r="F2400" s="310" t="str">
        <f t="shared" si="932"/>
        <v>Jun</v>
      </c>
      <c r="G2400" s="311" t="s">
        <v>2313</v>
      </c>
      <c r="H2400" s="311" t="s">
        <v>311</v>
      </c>
      <c r="I2400" s="311" t="s">
        <v>2772</v>
      </c>
      <c r="J2400" s="312" t="s">
        <v>738</v>
      </c>
      <c r="K2400" s="313" t="s">
        <v>107</v>
      </c>
      <c r="L2400" s="300" t="s">
        <v>2167</v>
      </c>
      <c r="M2400" s="312" t="s">
        <v>313</v>
      </c>
      <c r="N2400" s="311" t="s">
        <v>314</v>
      </c>
      <c r="O2400" s="311" t="s">
        <v>110</v>
      </c>
      <c r="P2400" s="314">
        <v>36</v>
      </c>
      <c r="Q2400" s="314">
        <v>5</v>
      </c>
      <c r="R2400" s="315">
        <v>7.4999999999999997E-3</v>
      </c>
      <c r="S2400" s="311" t="s">
        <v>111</v>
      </c>
      <c r="T2400" s="311" t="s">
        <v>112</v>
      </c>
      <c r="U2400" s="311" t="s">
        <v>57</v>
      </c>
      <c r="V2400" s="316">
        <v>792</v>
      </c>
      <c r="W2400" s="316">
        <f>1991-407-792</f>
        <v>792</v>
      </c>
      <c r="X2400" s="317"/>
      <c r="Y2400" s="318">
        <f t="shared" ref="Y2400:Y2405" si="940">(W2400+X2400)-V2400</f>
        <v>0</v>
      </c>
      <c r="Z2400" s="319">
        <f t="shared" si="935"/>
        <v>0</v>
      </c>
      <c r="AA2400" s="319">
        <f t="shared" si="933"/>
        <v>0</v>
      </c>
      <c r="AB2400" s="815">
        <v>7.4999999999999997E-3</v>
      </c>
      <c r="AC2400" s="316">
        <f t="shared" ref="AC2400:AC2405" si="941">Z2400*AB2400</f>
        <v>0</v>
      </c>
      <c r="AD2400" s="515"/>
      <c r="AE2400" s="210">
        <f t="shared" si="936"/>
        <v>0</v>
      </c>
      <c r="AF2400" s="210">
        <f>AE2400/0.54</f>
        <v>0</v>
      </c>
      <c r="AG2400" s="211">
        <f t="shared" si="937"/>
        <v>0.308</v>
      </c>
      <c r="AH2400" s="157">
        <f t="shared" si="938"/>
        <v>0</v>
      </c>
      <c r="AI2400" s="152">
        <f t="shared" si="939"/>
        <v>28512</v>
      </c>
      <c r="AK2400" s="156" t="s">
        <v>691</v>
      </c>
      <c r="AL2400" s="212" t="s">
        <v>690</v>
      </c>
      <c r="AM2400" s="198">
        <f t="shared" si="922"/>
        <v>0</v>
      </c>
      <c r="AN2400" s="199">
        <f t="shared" si="921"/>
        <v>45831</v>
      </c>
      <c r="AO2400" s="159" t="s">
        <v>692</v>
      </c>
      <c r="AP2400" s="783" t="s">
        <v>644</v>
      </c>
      <c r="AQ2400" s="782">
        <v>12063755</v>
      </c>
      <c r="AR2400" s="782">
        <v>12061353</v>
      </c>
      <c r="AS2400" s="782">
        <v>12061354</v>
      </c>
      <c r="AT2400" s="782">
        <v>12062266</v>
      </c>
      <c r="AU2400" s="781"/>
      <c r="AV2400" s="782">
        <v>12088159</v>
      </c>
      <c r="AW2400" s="782">
        <v>12088207</v>
      </c>
      <c r="AX2400" s="782"/>
      <c r="AY2400" s="782">
        <v>12094237</v>
      </c>
      <c r="AZ2400" s="782"/>
      <c r="BA2400" s="781"/>
      <c r="BB2400" s="209">
        <v>23053185</v>
      </c>
    </row>
    <row r="2401" spans="2:54" ht="24.75" hidden="1" customHeight="1">
      <c r="B2401" s="320">
        <v>45831</v>
      </c>
      <c r="C2401" s="321">
        <v>45862</v>
      </c>
      <c r="D2401" s="185">
        <f t="shared" si="931"/>
        <v>2025</v>
      </c>
      <c r="E2401" s="321" t="e">
        <f>VLOOKUP($B2401,Week!$A$1:$C$1462,2,0)</f>
        <v>#N/A</v>
      </c>
      <c r="F2401" s="322" t="str">
        <f t="shared" si="932"/>
        <v>Jun</v>
      </c>
      <c r="G2401" s="323" t="s">
        <v>2372</v>
      </c>
      <c r="H2401" s="323" t="s">
        <v>675</v>
      </c>
      <c r="I2401" s="323" t="s">
        <v>2772</v>
      </c>
      <c r="J2401" s="324" t="s">
        <v>709</v>
      </c>
      <c r="K2401" s="325" t="s">
        <v>107</v>
      </c>
      <c r="L2401" s="300" t="s">
        <v>2167</v>
      </c>
      <c r="M2401" s="324" t="s">
        <v>313</v>
      </c>
      <c r="N2401" s="596" t="s">
        <v>710</v>
      </c>
      <c r="O2401" s="323" t="s">
        <v>592</v>
      </c>
      <c r="P2401" s="326">
        <v>8</v>
      </c>
      <c r="Q2401" s="326">
        <v>4</v>
      </c>
      <c r="R2401" s="327">
        <v>7.4999999999999997E-3</v>
      </c>
      <c r="S2401" s="323" t="s">
        <v>111</v>
      </c>
      <c r="T2401" s="323" t="s">
        <v>112</v>
      </c>
      <c r="U2401" s="323" t="s">
        <v>57</v>
      </c>
      <c r="V2401" s="328">
        <v>390</v>
      </c>
      <c r="W2401" s="328"/>
      <c r="X2401" s="329">
        <f>(380+3862)/8</f>
        <v>530.25</v>
      </c>
      <c r="Y2401" s="330">
        <f t="shared" si="940"/>
        <v>140.25</v>
      </c>
      <c r="Z2401" s="331">
        <f t="shared" si="935"/>
        <v>0</v>
      </c>
      <c r="AA2401" s="331">
        <f t="shared" si="933"/>
        <v>0</v>
      </c>
      <c r="AB2401" s="816">
        <v>7.4999999999999997E-3</v>
      </c>
      <c r="AC2401" s="328">
        <f t="shared" si="941"/>
        <v>0</v>
      </c>
      <c r="AD2401" s="443"/>
      <c r="AE2401" s="210">
        <f t="shared" si="936"/>
        <v>0</v>
      </c>
      <c r="AF2401" s="210">
        <f t="shared" ref="AF2401:AF2408" si="942">AE2401/0.54</f>
        <v>0</v>
      </c>
      <c r="AG2401" s="211">
        <f t="shared" si="937"/>
        <v>0.30499999999999999</v>
      </c>
      <c r="AH2401" s="157">
        <f t="shared" si="938"/>
        <v>0</v>
      </c>
      <c r="AI2401" s="152">
        <f t="shared" si="939"/>
        <v>3120</v>
      </c>
      <c r="AK2401" s="156" t="s">
        <v>691</v>
      </c>
      <c r="AL2401" s="212" t="s">
        <v>690</v>
      </c>
      <c r="AM2401" s="198">
        <f t="shared" si="922"/>
        <v>0</v>
      </c>
      <c r="AN2401" s="199">
        <f t="shared" si="921"/>
        <v>45831</v>
      </c>
      <c r="AO2401" s="159" t="s">
        <v>692</v>
      </c>
      <c r="AP2401" s="783" t="s">
        <v>643</v>
      </c>
      <c r="AQ2401" s="782">
        <v>12063755</v>
      </c>
      <c r="AR2401" s="782">
        <v>12061353</v>
      </c>
      <c r="AS2401" s="782">
        <v>12061354</v>
      </c>
      <c r="AT2401" s="782">
        <v>12089987</v>
      </c>
      <c r="AU2401" s="781"/>
      <c r="AV2401" s="782">
        <v>12089986</v>
      </c>
      <c r="AW2401" s="782"/>
      <c r="AX2401" s="782"/>
      <c r="AY2401" s="782"/>
      <c r="AZ2401" s="782"/>
      <c r="BA2401" s="781"/>
      <c r="BB2401" s="209">
        <v>23053185</v>
      </c>
    </row>
    <row r="2402" spans="2:54" ht="24.75" hidden="1" customHeight="1">
      <c r="B2402" s="320">
        <v>45831</v>
      </c>
      <c r="C2402" s="321">
        <v>45862</v>
      </c>
      <c r="D2402" s="185">
        <f t="shared" si="931"/>
        <v>2025</v>
      </c>
      <c r="E2402" s="321" t="e">
        <f>VLOOKUP($B2402,Week!$A$1:$C$1462,2,0)</f>
        <v>#N/A</v>
      </c>
      <c r="F2402" s="322" t="str">
        <f t="shared" si="932"/>
        <v>Jun</v>
      </c>
      <c r="G2402" s="323" t="s">
        <v>2330</v>
      </c>
      <c r="H2402" s="323" t="s">
        <v>311</v>
      </c>
      <c r="I2402" s="323" t="s">
        <v>2772</v>
      </c>
      <c r="J2402" s="324" t="s">
        <v>738</v>
      </c>
      <c r="K2402" s="325" t="s">
        <v>107</v>
      </c>
      <c r="L2402" s="300" t="s">
        <v>2167</v>
      </c>
      <c r="M2402" s="324" t="s">
        <v>313</v>
      </c>
      <c r="N2402" s="323" t="s">
        <v>591</v>
      </c>
      <c r="O2402" s="323" t="s">
        <v>592</v>
      </c>
      <c r="P2402" s="326">
        <v>8</v>
      </c>
      <c r="Q2402" s="326">
        <v>4</v>
      </c>
      <c r="R2402" s="327">
        <v>7.4999999999999997E-3</v>
      </c>
      <c r="S2402" s="323" t="s">
        <v>111</v>
      </c>
      <c r="T2402" s="323" t="s">
        <v>112</v>
      </c>
      <c r="U2402" s="323" t="s">
        <v>57</v>
      </c>
      <c r="V2402" s="328">
        <f>482/8</f>
        <v>60.25</v>
      </c>
      <c r="W2402" s="328"/>
      <c r="X2402" s="329">
        <f>482/8</f>
        <v>60.25</v>
      </c>
      <c r="Y2402" s="330">
        <f t="shared" si="940"/>
        <v>0</v>
      </c>
      <c r="Z2402" s="331">
        <f t="shared" si="935"/>
        <v>0</v>
      </c>
      <c r="AA2402" s="331">
        <f t="shared" si="933"/>
        <v>0</v>
      </c>
      <c r="AB2402" s="816">
        <v>7.4999999999999997E-3</v>
      </c>
      <c r="AC2402" s="328">
        <f t="shared" si="941"/>
        <v>0</v>
      </c>
      <c r="AD2402" s="443"/>
      <c r="AE2402" s="210">
        <f t="shared" si="936"/>
        <v>0</v>
      </c>
      <c r="AF2402" s="210">
        <f t="shared" si="942"/>
        <v>0</v>
      </c>
      <c r="AG2402" s="211">
        <f t="shared" si="937"/>
        <v>0.30499999999999999</v>
      </c>
      <c r="AH2402" s="157">
        <f t="shared" si="938"/>
        <v>0</v>
      </c>
      <c r="AI2402" s="152">
        <f t="shared" si="939"/>
        <v>482</v>
      </c>
      <c r="AK2402" s="156" t="s">
        <v>691</v>
      </c>
      <c r="AL2402" s="212" t="s">
        <v>690</v>
      </c>
      <c r="AM2402" s="198">
        <f t="shared" ref="AM2402:AM2408" si="943">AG2402*Z2402</f>
        <v>0</v>
      </c>
      <c r="AN2402" s="199">
        <f t="shared" si="921"/>
        <v>45831</v>
      </c>
      <c r="AO2402" s="159" t="s">
        <v>692</v>
      </c>
      <c r="AP2402" s="783" t="s">
        <v>643</v>
      </c>
      <c r="AQ2402" s="782">
        <v>12063755</v>
      </c>
      <c r="AR2402" s="782">
        <v>12061353</v>
      </c>
      <c r="AS2402" s="782">
        <v>12061354</v>
      </c>
      <c r="AT2402" s="782">
        <v>12088679</v>
      </c>
      <c r="AU2402" s="781"/>
      <c r="AV2402" s="782">
        <v>12061557</v>
      </c>
      <c r="AW2402" s="782"/>
      <c r="AX2402" s="782"/>
      <c r="AY2402" s="782"/>
      <c r="AZ2402" s="782"/>
      <c r="BA2402" s="781"/>
      <c r="BB2402" s="209">
        <v>23053185</v>
      </c>
    </row>
    <row r="2403" spans="2:54" ht="24.75" hidden="1" customHeight="1">
      <c r="B2403" s="320">
        <v>45831</v>
      </c>
      <c r="C2403" s="321">
        <v>45862</v>
      </c>
      <c r="D2403" s="185">
        <f t="shared" si="931"/>
        <v>2025</v>
      </c>
      <c r="E2403" s="321" t="e">
        <f>VLOOKUP($B2403,Week!$A$1:$C$1462,2,0)</f>
        <v>#N/A</v>
      </c>
      <c r="F2403" s="322" t="str">
        <f t="shared" si="932"/>
        <v>Jun</v>
      </c>
      <c r="G2403" s="323" t="s">
        <v>2331</v>
      </c>
      <c r="H2403" s="323" t="s">
        <v>311</v>
      </c>
      <c r="I2403" s="323" t="s">
        <v>2772</v>
      </c>
      <c r="J2403" s="324" t="s">
        <v>738</v>
      </c>
      <c r="K2403" s="325" t="s">
        <v>107</v>
      </c>
      <c r="L2403" s="300" t="s">
        <v>2167</v>
      </c>
      <c r="M2403" s="324" t="s">
        <v>313</v>
      </c>
      <c r="N2403" s="323" t="s">
        <v>591</v>
      </c>
      <c r="O2403" s="323" t="s">
        <v>592</v>
      </c>
      <c r="P2403" s="326">
        <v>8</v>
      </c>
      <c r="Q2403" s="326">
        <v>4</v>
      </c>
      <c r="R2403" s="327">
        <v>7.4999999999999997E-3</v>
      </c>
      <c r="S2403" s="323" t="s">
        <v>111</v>
      </c>
      <c r="T2403" s="323" t="s">
        <v>112</v>
      </c>
      <c r="U2403" s="323" t="s">
        <v>57</v>
      </c>
      <c r="V2403" s="328">
        <f>500</f>
        <v>500</v>
      </c>
      <c r="W2403" s="328"/>
      <c r="X2403" s="329">
        <v>500</v>
      </c>
      <c r="Y2403" s="330">
        <f t="shared" si="940"/>
        <v>0</v>
      </c>
      <c r="Z2403" s="331">
        <f t="shared" si="935"/>
        <v>0</v>
      </c>
      <c r="AA2403" s="331">
        <f t="shared" si="933"/>
        <v>0</v>
      </c>
      <c r="AB2403" s="816">
        <v>7.4999999999999997E-3</v>
      </c>
      <c r="AC2403" s="328">
        <f t="shared" si="941"/>
        <v>0</v>
      </c>
      <c r="AD2403" s="443"/>
      <c r="AE2403" s="210">
        <f t="shared" si="936"/>
        <v>0</v>
      </c>
      <c r="AF2403" s="210">
        <f t="shared" si="942"/>
        <v>0</v>
      </c>
      <c r="AG2403" s="211">
        <f t="shared" si="937"/>
        <v>0.30499999999999999</v>
      </c>
      <c r="AH2403" s="157">
        <f t="shared" si="938"/>
        <v>0</v>
      </c>
      <c r="AI2403" s="152">
        <f t="shared" si="939"/>
        <v>4000</v>
      </c>
      <c r="AK2403" s="156" t="s">
        <v>691</v>
      </c>
      <c r="AL2403" s="212" t="s">
        <v>690</v>
      </c>
      <c r="AM2403" s="198">
        <f t="shared" si="943"/>
        <v>0</v>
      </c>
      <c r="AN2403" s="199">
        <f t="shared" si="921"/>
        <v>45831</v>
      </c>
      <c r="AO2403" s="159" t="s">
        <v>692</v>
      </c>
      <c r="AP2403" s="783" t="s">
        <v>643</v>
      </c>
      <c r="AQ2403" s="782">
        <v>12063755</v>
      </c>
      <c r="AR2403" s="782">
        <v>12061353</v>
      </c>
      <c r="AS2403" s="782">
        <v>12061354</v>
      </c>
      <c r="AT2403" s="782">
        <v>12088679</v>
      </c>
      <c r="AU2403" s="781"/>
      <c r="AV2403" s="782">
        <v>12061557</v>
      </c>
      <c r="AW2403" s="782"/>
      <c r="AX2403" s="782"/>
      <c r="AY2403" s="782"/>
      <c r="AZ2403" s="782"/>
      <c r="BA2403" s="781"/>
      <c r="BB2403" s="209">
        <v>23053185</v>
      </c>
    </row>
    <row r="2404" spans="2:54" ht="24.75" hidden="1" customHeight="1">
      <c r="B2404" s="320">
        <v>45831</v>
      </c>
      <c r="C2404" s="321">
        <v>45862</v>
      </c>
      <c r="D2404" s="185">
        <f t="shared" si="931"/>
        <v>2025</v>
      </c>
      <c r="E2404" s="321" t="e">
        <f>VLOOKUP($B2404,Week!$A$1:$C$1462,2,0)</f>
        <v>#N/A</v>
      </c>
      <c r="F2404" s="322" t="str">
        <f t="shared" si="932"/>
        <v>Jun</v>
      </c>
      <c r="G2404" s="323" t="s">
        <v>2332</v>
      </c>
      <c r="H2404" s="323" t="s">
        <v>311</v>
      </c>
      <c r="I2404" s="323" t="s">
        <v>2772</v>
      </c>
      <c r="J2404" s="324" t="s">
        <v>738</v>
      </c>
      <c r="K2404" s="325" t="s">
        <v>107</v>
      </c>
      <c r="L2404" s="300" t="s">
        <v>2167</v>
      </c>
      <c r="M2404" s="324" t="s">
        <v>313</v>
      </c>
      <c r="N2404" s="323" t="s">
        <v>591</v>
      </c>
      <c r="O2404" s="323" t="s">
        <v>592</v>
      </c>
      <c r="P2404" s="326">
        <v>8</v>
      </c>
      <c r="Q2404" s="326">
        <v>4</v>
      </c>
      <c r="R2404" s="327">
        <v>7.4999999999999997E-3</v>
      </c>
      <c r="S2404" s="323" t="s">
        <v>111</v>
      </c>
      <c r="T2404" s="323" t="s">
        <v>112</v>
      </c>
      <c r="U2404" s="323" t="s">
        <v>57</v>
      </c>
      <c r="V2404" s="328">
        <f>500</f>
        <v>500</v>
      </c>
      <c r="W2404" s="328"/>
      <c r="X2404" s="329">
        <v>500</v>
      </c>
      <c r="Y2404" s="330">
        <f t="shared" si="940"/>
        <v>0</v>
      </c>
      <c r="Z2404" s="331">
        <f t="shared" si="935"/>
        <v>0</v>
      </c>
      <c r="AA2404" s="331">
        <f t="shared" si="933"/>
        <v>0</v>
      </c>
      <c r="AB2404" s="816">
        <v>7.4999999999999997E-3</v>
      </c>
      <c r="AC2404" s="328">
        <f t="shared" si="941"/>
        <v>0</v>
      </c>
      <c r="AD2404" s="443"/>
      <c r="AE2404" s="210">
        <f t="shared" si="936"/>
        <v>0</v>
      </c>
      <c r="AF2404" s="210">
        <f t="shared" si="942"/>
        <v>0</v>
      </c>
      <c r="AG2404" s="211">
        <f t="shared" si="937"/>
        <v>0.30499999999999999</v>
      </c>
      <c r="AH2404" s="157">
        <f t="shared" si="938"/>
        <v>0</v>
      </c>
      <c r="AI2404" s="152">
        <f t="shared" si="939"/>
        <v>4000</v>
      </c>
      <c r="AK2404" s="156" t="s">
        <v>691</v>
      </c>
      <c r="AL2404" s="212" t="s">
        <v>690</v>
      </c>
      <c r="AM2404" s="198">
        <f t="shared" si="943"/>
        <v>0</v>
      </c>
      <c r="AN2404" s="199">
        <f t="shared" si="921"/>
        <v>45831</v>
      </c>
      <c r="AO2404" s="159" t="s">
        <v>692</v>
      </c>
      <c r="AP2404" s="783" t="s">
        <v>643</v>
      </c>
      <c r="AQ2404" s="782">
        <v>12063755</v>
      </c>
      <c r="AR2404" s="782">
        <v>12061353</v>
      </c>
      <c r="AS2404" s="782">
        <v>12061354</v>
      </c>
      <c r="AT2404" s="782">
        <v>12088679</v>
      </c>
      <c r="AU2404" s="781"/>
      <c r="AV2404" s="782">
        <v>12061557</v>
      </c>
      <c r="AW2404" s="782"/>
      <c r="AX2404" s="782"/>
      <c r="AY2404" s="782"/>
      <c r="AZ2404" s="782"/>
      <c r="BA2404" s="781"/>
      <c r="BB2404" s="209">
        <v>23053185</v>
      </c>
    </row>
    <row r="2405" spans="2:54" ht="24.75" hidden="1" customHeight="1">
      <c r="B2405" s="320">
        <v>45831</v>
      </c>
      <c r="C2405" s="321">
        <v>45890</v>
      </c>
      <c r="D2405" s="185">
        <f t="shared" si="931"/>
        <v>2025</v>
      </c>
      <c r="E2405" s="321" t="e">
        <f>VLOOKUP($B2405,Week!$A$1:$C$1462,2,0)</f>
        <v>#N/A</v>
      </c>
      <c r="F2405" s="322" t="str">
        <f t="shared" si="932"/>
        <v>Jun</v>
      </c>
      <c r="G2405" s="323" t="s">
        <v>2376</v>
      </c>
      <c r="H2405" s="323" t="s">
        <v>311</v>
      </c>
      <c r="I2405" s="323" t="s">
        <v>2772</v>
      </c>
      <c r="J2405" s="324" t="s">
        <v>738</v>
      </c>
      <c r="K2405" s="325" t="s">
        <v>107</v>
      </c>
      <c r="L2405" s="300" t="s">
        <v>2167</v>
      </c>
      <c r="M2405" s="324" t="s">
        <v>313</v>
      </c>
      <c r="N2405" s="323" t="s">
        <v>591</v>
      </c>
      <c r="O2405" s="323" t="s">
        <v>592</v>
      </c>
      <c r="P2405" s="326">
        <v>8</v>
      </c>
      <c r="Q2405" s="326">
        <v>4</v>
      </c>
      <c r="R2405" s="327">
        <v>7.4999999999999997E-3</v>
      </c>
      <c r="S2405" s="323" t="s">
        <v>111</v>
      </c>
      <c r="T2405" s="323" t="s">
        <v>112</v>
      </c>
      <c r="U2405" s="323" t="s">
        <v>57</v>
      </c>
      <c r="V2405" s="328">
        <f>200</f>
        <v>200</v>
      </c>
      <c r="W2405" s="328"/>
      <c r="X2405" s="329">
        <f>(11375-482-4000-4000)/8</f>
        <v>361.625</v>
      </c>
      <c r="Y2405" s="330">
        <f t="shared" si="940"/>
        <v>161.625</v>
      </c>
      <c r="Z2405" s="331">
        <f t="shared" si="935"/>
        <v>0</v>
      </c>
      <c r="AA2405" s="331">
        <f t="shared" si="933"/>
        <v>0</v>
      </c>
      <c r="AB2405" s="816">
        <v>7.4999999999999997E-3</v>
      </c>
      <c r="AC2405" s="328">
        <f t="shared" si="941"/>
        <v>0</v>
      </c>
      <c r="AD2405" s="443"/>
      <c r="AE2405" s="210">
        <f t="shared" si="936"/>
        <v>0</v>
      </c>
      <c r="AF2405" s="210">
        <f t="shared" si="942"/>
        <v>0</v>
      </c>
      <c r="AG2405" s="211">
        <f t="shared" si="937"/>
        <v>0.30499999999999999</v>
      </c>
      <c r="AH2405" s="157">
        <f t="shared" si="938"/>
        <v>0</v>
      </c>
      <c r="AI2405" s="152">
        <f t="shared" si="939"/>
        <v>1600</v>
      </c>
      <c r="AK2405" s="156" t="s">
        <v>691</v>
      </c>
      <c r="AL2405" s="212" t="s">
        <v>690</v>
      </c>
      <c r="AM2405" s="198">
        <f t="shared" si="943"/>
        <v>0</v>
      </c>
      <c r="AN2405" s="199">
        <f t="shared" si="921"/>
        <v>45831</v>
      </c>
      <c r="AO2405" s="159" t="s">
        <v>692</v>
      </c>
      <c r="AP2405" s="783" t="s">
        <v>643</v>
      </c>
      <c r="AQ2405" s="782">
        <v>12063755</v>
      </c>
      <c r="AR2405" s="782">
        <v>12061353</v>
      </c>
      <c r="AS2405" s="782">
        <v>12061354</v>
      </c>
      <c r="AT2405" s="782">
        <v>12088679</v>
      </c>
      <c r="AU2405" s="781"/>
      <c r="AV2405" s="782">
        <v>12061557</v>
      </c>
      <c r="AW2405" s="782"/>
      <c r="AX2405" s="782"/>
      <c r="AY2405" s="782"/>
      <c r="AZ2405" s="782"/>
      <c r="BA2405" s="781"/>
      <c r="BB2405" s="209">
        <v>23053185</v>
      </c>
    </row>
    <row r="2406" spans="2:54" ht="25" hidden="1" customHeight="1">
      <c r="B2406" s="385">
        <v>45831</v>
      </c>
      <c r="C2406" s="386">
        <v>45840</v>
      </c>
      <c r="D2406" s="185">
        <f t="shared" si="931"/>
        <v>2025</v>
      </c>
      <c r="E2406" s="386" t="e">
        <f>VLOOKUP($B2406,Week!$A$1:$C$1462,2,0)</f>
        <v>#N/A</v>
      </c>
      <c r="F2406" s="387" t="str">
        <f t="shared" si="932"/>
        <v>Jun</v>
      </c>
      <c r="G2406" s="388" t="s">
        <v>2224</v>
      </c>
      <c r="H2406" s="388" t="s">
        <v>600</v>
      </c>
      <c r="I2406" s="388" t="s">
        <v>2772</v>
      </c>
      <c r="J2406" s="389" t="s">
        <v>708</v>
      </c>
      <c r="K2406" s="390" t="s">
        <v>1652</v>
      </c>
      <c r="L2406" s="300" t="s">
        <v>2167</v>
      </c>
      <c r="M2406" s="389" t="s">
        <v>603</v>
      </c>
      <c r="N2406" s="637" t="s">
        <v>1404</v>
      </c>
      <c r="O2406" s="388" t="s">
        <v>602</v>
      </c>
      <c r="P2406" s="391">
        <v>8</v>
      </c>
      <c r="Q2406" s="391">
        <v>3</v>
      </c>
      <c r="R2406" s="392">
        <v>6.0000000000000001E-3</v>
      </c>
      <c r="S2406" s="388" t="s">
        <v>55</v>
      </c>
      <c r="T2406" s="388" t="s">
        <v>112</v>
      </c>
      <c r="U2406" s="601" t="s">
        <v>724</v>
      </c>
      <c r="V2406" s="393">
        <v>3500</v>
      </c>
      <c r="W2406" s="393"/>
      <c r="X2406" s="394">
        <f>(1720+26280)/8</f>
        <v>3500</v>
      </c>
      <c r="Y2406" s="395">
        <f t="shared" ref="Y2406:Y2431" si="944">(W2406+X2406)-V2406</f>
        <v>0</v>
      </c>
      <c r="Z2406" s="396">
        <f t="shared" si="935"/>
        <v>0</v>
      </c>
      <c r="AA2406" s="396">
        <f t="shared" si="933"/>
        <v>0</v>
      </c>
      <c r="AB2406" s="823">
        <v>5.8823E-2</v>
      </c>
      <c r="AC2406" s="393">
        <f t="shared" ref="AC2406:AC2431" si="945">Z2406*AB2406</f>
        <v>0</v>
      </c>
      <c r="AD2406" s="636"/>
      <c r="AE2406" s="210">
        <f t="shared" si="936"/>
        <v>0</v>
      </c>
      <c r="AF2406" s="210">
        <f>AE2406/0.54</f>
        <v>0</v>
      </c>
      <c r="AG2406" s="211">
        <f t="shared" si="937"/>
        <v>0.30199999999999999</v>
      </c>
      <c r="AH2406" s="157">
        <v>0.26621999999999996</v>
      </c>
      <c r="AI2406" s="152">
        <f t="shared" si="939"/>
        <v>28000</v>
      </c>
      <c r="AK2406" s="156" t="s">
        <v>691</v>
      </c>
      <c r="AL2406" s="212" t="s">
        <v>690</v>
      </c>
      <c r="AM2406" s="198">
        <f>AG2406*Z2406</f>
        <v>0</v>
      </c>
      <c r="AN2406" s="199">
        <f t="shared" si="921"/>
        <v>45831</v>
      </c>
      <c r="AO2406" s="159" t="s">
        <v>692</v>
      </c>
      <c r="AP2406" s="781" t="s">
        <v>642</v>
      </c>
      <c r="AQ2406" s="782">
        <v>12063755</v>
      </c>
      <c r="AR2406" s="782">
        <v>12061353</v>
      </c>
      <c r="AS2406" s="782">
        <v>12061354</v>
      </c>
      <c r="AT2406" s="782">
        <v>12091199</v>
      </c>
      <c r="AU2406" s="781"/>
      <c r="AV2406" s="782">
        <v>12091198</v>
      </c>
      <c r="AW2406" s="781"/>
      <c r="AX2406" s="781"/>
      <c r="AY2406" s="781"/>
      <c r="AZ2406" s="782"/>
      <c r="BA2406" s="781"/>
    </row>
    <row r="2407" spans="2:54" ht="25" hidden="1" customHeight="1">
      <c r="B2407" s="332">
        <v>45831</v>
      </c>
      <c r="C2407" s="333">
        <v>45862</v>
      </c>
      <c r="D2407" s="185">
        <f t="shared" si="931"/>
        <v>2025</v>
      </c>
      <c r="E2407" s="333" t="e">
        <f>VLOOKUP($B2407,Week!$A$1:$C$1462,2,0)</f>
        <v>#N/A</v>
      </c>
      <c r="F2407" s="334" t="str">
        <f t="shared" si="932"/>
        <v>Jun</v>
      </c>
      <c r="G2407" s="335" t="s">
        <v>2372</v>
      </c>
      <c r="H2407" s="335" t="s">
        <v>675</v>
      </c>
      <c r="I2407" s="335" t="s">
        <v>2772</v>
      </c>
      <c r="J2407" s="336" t="s">
        <v>709</v>
      </c>
      <c r="K2407" s="337" t="s">
        <v>1652</v>
      </c>
      <c r="L2407" s="300" t="s">
        <v>2167</v>
      </c>
      <c r="M2407" s="336" t="s">
        <v>682</v>
      </c>
      <c r="N2407" s="530" t="s">
        <v>712</v>
      </c>
      <c r="O2407" s="335" t="s">
        <v>602</v>
      </c>
      <c r="P2407" s="338">
        <v>8</v>
      </c>
      <c r="Q2407" s="338">
        <v>3</v>
      </c>
      <c r="R2407" s="339">
        <v>6.0000000000000001E-3</v>
      </c>
      <c r="S2407" s="335" t="s">
        <v>55</v>
      </c>
      <c r="T2407" s="335" t="s">
        <v>112</v>
      </c>
      <c r="U2407" s="340" t="s">
        <v>724</v>
      </c>
      <c r="V2407" s="341">
        <v>500</v>
      </c>
      <c r="W2407" s="341"/>
      <c r="X2407" s="342">
        <f>(261+3850)/8</f>
        <v>513.875</v>
      </c>
      <c r="Y2407" s="343">
        <f t="shared" si="944"/>
        <v>13.875</v>
      </c>
      <c r="Z2407" s="344">
        <f t="shared" si="935"/>
        <v>0</v>
      </c>
      <c r="AA2407" s="344">
        <f t="shared" si="933"/>
        <v>0</v>
      </c>
      <c r="AB2407" s="817">
        <v>5.8823E-2</v>
      </c>
      <c r="AC2407" s="341">
        <f t="shared" si="945"/>
        <v>0</v>
      </c>
      <c r="AD2407" s="443"/>
      <c r="AE2407" s="210">
        <f t="shared" si="936"/>
        <v>0</v>
      </c>
      <c r="AF2407" s="210">
        <f>AE2407/0.54</f>
        <v>0</v>
      </c>
      <c r="AG2407" s="211">
        <f t="shared" si="937"/>
        <v>0.30199999999999999</v>
      </c>
      <c r="AH2407" s="157">
        <v>0.26621999999999996</v>
      </c>
      <c r="AI2407" s="152">
        <f t="shared" si="939"/>
        <v>4000</v>
      </c>
      <c r="AK2407" s="156" t="s">
        <v>691</v>
      </c>
      <c r="AL2407" s="574" t="s">
        <v>690</v>
      </c>
      <c r="AM2407" s="198">
        <f>AG2407*Z2407</f>
        <v>0</v>
      </c>
      <c r="AN2407" s="199">
        <f t="shared" si="921"/>
        <v>45831</v>
      </c>
      <c r="AO2407" s="159" t="s">
        <v>692</v>
      </c>
      <c r="AP2407" s="781" t="s">
        <v>642</v>
      </c>
      <c r="AQ2407" s="782">
        <v>12063755</v>
      </c>
      <c r="AR2407" s="782">
        <v>12061353</v>
      </c>
      <c r="AS2407" s="782">
        <v>12061354</v>
      </c>
      <c r="AT2407" s="782">
        <v>12090030</v>
      </c>
      <c r="AU2407" s="781"/>
      <c r="AV2407" s="782">
        <v>12089992</v>
      </c>
      <c r="AW2407" s="781"/>
      <c r="AX2407" s="781"/>
      <c r="AY2407" s="781"/>
      <c r="AZ2407" s="782"/>
      <c r="BA2407" s="781"/>
      <c r="BB2407" s="209">
        <v>23099860</v>
      </c>
    </row>
    <row r="2408" spans="2:54" ht="26.25" hidden="1" customHeight="1">
      <c r="B2408" s="235">
        <v>45832</v>
      </c>
      <c r="C2408" s="235">
        <v>45846</v>
      </c>
      <c r="D2408" s="185">
        <f t="shared" si="931"/>
        <v>2025</v>
      </c>
      <c r="E2408" s="236" t="e">
        <f>VLOOKUP($B2408,Week!$A$1:$C$1462,2,0)</f>
        <v>#N/A</v>
      </c>
      <c r="F2408" s="237" t="str">
        <f t="shared" si="932"/>
        <v>Jun</v>
      </c>
      <c r="G2408" s="236" t="s">
        <v>2337</v>
      </c>
      <c r="H2408" s="236" t="s">
        <v>392</v>
      </c>
      <c r="I2408" s="236" t="s">
        <v>2772</v>
      </c>
      <c r="J2408" s="238" t="s">
        <v>393</v>
      </c>
      <c r="K2408" s="239" t="s">
        <v>1643</v>
      </c>
      <c r="L2408" s="300" t="s">
        <v>2167</v>
      </c>
      <c r="M2408" s="238" t="s">
        <v>2385</v>
      </c>
      <c r="N2408" s="236" t="s">
        <v>407</v>
      </c>
      <c r="O2408" s="236" t="s">
        <v>206</v>
      </c>
      <c r="P2408" s="240">
        <v>24</v>
      </c>
      <c r="Q2408" s="240">
        <v>5</v>
      </c>
      <c r="R2408" s="241">
        <v>8.0000000000000002E-3</v>
      </c>
      <c r="S2408" s="236" t="s">
        <v>40</v>
      </c>
      <c r="T2408" s="236" t="s">
        <v>56</v>
      </c>
      <c r="U2408" s="640" t="s">
        <v>499</v>
      </c>
      <c r="V2408" s="242">
        <f>900</f>
        <v>900</v>
      </c>
      <c r="W2408" s="242">
        <f>5+895</f>
        <v>900</v>
      </c>
      <c r="X2408" s="243"/>
      <c r="Y2408" s="244">
        <f t="shared" si="944"/>
        <v>0</v>
      </c>
      <c r="Z2408" s="245">
        <f t="shared" si="935"/>
        <v>0</v>
      </c>
      <c r="AA2408" s="245">
        <f t="shared" si="933"/>
        <v>0</v>
      </c>
      <c r="AB2408" s="809">
        <v>1</v>
      </c>
      <c r="AC2408" s="242">
        <f t="shared" si="945"/>
        <v>0</v>
      </c>
      <c r="AD2408" s="209" t="s">
        <v>2239</v>
      </c>
      <c r="AE2408" s="210">
        <f t="shared" si="936"/>
        <v>0</v>
      </c>
      <c r="AF2408" s="210">
        <f t="shared" si="942"/>
        <v>0</v>
      </c>
      <c r="AG2408" s="211">
        <f t="shared" si="937"/>
        <v>0.115</v>
      </c>
      <c r="AH2408" s="157">
        <f t="shared" ref="AH2408:AH2430" si="946">(Z2408*AG2408)/1000</f>
        <v>0</v>
      </c>
      <c r="AI2408" s="152">
        <f t="shared" si="939"/>
        <v>21600</v>
      </c>
      <c r="AK2408" s="156" t="s">
        <v>691</v>
      </c>
      <c r="AL2408" s="574" t="s">
        <v>690</v>
      </c>
      <c r="AM2408" s="198">
        <f t="shared" si="943"/>
        <v>0</v>
      </c>
      <c r="AN2408" s="199">
        <f t="shared" si="921"/>
        <v>45832</v>
      </c>
      <c r="AO2408" s="159" t="s">
        <v>692</v>
      </c>
      <c r="AP2408" s="783" t="s">
        <v>608</v>
      </c>
      <c r="AQ2408" s="782">
        <v>12071839</v>
      </c>
      <c r="AR2408" s="782">
        <v>12047514</v>
      </c>
      <c r="AS2408" s="782">
        <v>12047515</v>
      </c>
      <c r="AT2408" s="781"/>
      <c r="AU2408" s="782">
        <v>12026902</v>
      </c>
      <c r="AV2408" s="782">
        <v>12081781</v>
      </c>
      <c r="AW2408" s="782">
        <v>12026904</v>
      </c>
      <c r="AX2408" s="781"/>
      <c r="AY2408" s="783" t="s">
        <v>625</v>
      </c>
      <c r="AZ2408" s="783" t="s">
        <v>1640</v>
      </c>
      <c r="BA2408" s="783" t="s">
        <v>624</v>
      </c>
      <c r="BB2408" s="209">
        <v>23052995</v>
      </c>
    </row>
    <row r="2409" spans="2:54" ht="24.65" hidden="1" customHeight="1">
      <c r="B2409" s="224">
        <v>45832</v>
      </c>
      <c r="C2409" s="224">
        <v>45846</v>
      </c>
      <c r="D2409" s="185">
        <f t="shared" si="931"/>
        <v>2025</v>
      </c>
      <c r="E2409" s="225" t="e">
        <f>VLOOKUP($B2409,Week!$A$1:$C$1462,2,0)</f>
        <v>#N/A</v>
      </c>
      <c r="F2409" s="226" t="str">
        <f t="shared" si="932"/>
        <v>Jun</v>
      </c>
      <c r="G2409" s="225" t="s">
        <v>2337</v>
      </c>
      <c r="H2409" s="225" t="s">
        <v>392</v>
      </c>
      <c r="I2409" s="225" t="s">
        <v>2772</v>
      </c>
      <c r="J2409" s="227" t="s">
        <v>393</v>
      </c>
      <c r="K2409" s="228" t="s">
        <v>176</v>
      </c>
      <c r="L2409" s="300" t="s">
        <v>2167</v>
      </c>
      <c r="M2409" s="228" t="s">
        <v>399</v>
      </c>
      <c r="N2409" s="225" t="s">
        <v>400</v>
      </c>
      <c r="O2409" s="225" t="s">
        <v>195</v>
      </c>
      <c r="P2409" s="229">
        <v>24</v>
      </c>
      <c r="Q2409" s="229">
        <v>5</v>
      </c>
      <c r="R2409" s="230">
        <v>8.0000000000000002E-3</v>
      </c>
      <c r="S2409" s="225" t="s">
        <v>40</v>
      </c>
      <c r="T2409" s="225" t="s">
        <v>56</v>
      </c>
      <c r="U2409" s="225" t="s">
        <v>57</v>
      </c>
      <c r="V2409" s="231">
        <f>900</f>
        <v>900</v>
      </c>
      <c r="W2409" s="231">
        <f>10+890</f>
        <v>900</v>
      </c>
      <c r="X2409" s="232"/>
      <c r="Y2409" s="233">
        <f t="shared" si="944"/>
        <v>0</v>
      </c>
      <c r="Z2409" s="234">
        <f t="shared" si="935"/>
        <v>0</v>
      </c>
      <c r="AA2409" s="234">
        <f t="shared" si="933"/>
        <v>0</v>
      </c>
      <c r="AB2409" s="808">
        <v>7.4999999999999997E-3</v>
      </c>
      <c r="AC2409" s="231">
        <f t="shared" si="945"/>
        <v>0</v>
      </c>
      <c r="AD2409" s="220" t="s">
        <v>2238</v>
      </c>
      <c r="AE2409" s="210">
        <f t="shared" si="936"/>
        <v>0</v>
      </c>
      <c r="AF2409" s="210">
        <f t="shared" ref="AF2409:AF2431" si="947">AE2409/0.54</f>
        <v>0</v>
      </c>
      <c r="AG2409" s="211">
        <f t="shared" si="937"/>
        <v>0.14499999999999999</v>
      </c>
      <c r="AH2409" s="157">
        <f t="shared" si="946"/>
        <v>0</v>
      </c>
      <c r="AI2409" s="152">
        <f t="shared" si="939"/>
        <v>21600</v>
      </c>
      <c r="AK2409" s="156" t="s">
        <v>691</v>
      </c>
      <c r="AL2409" s="574" t="s">
        <v>690</v>
      </c>
      <c r="AM2409" s="198">
        <f t="shared" ref="AM2409:AM2423" si="948">AG2409*Z2409</f>
        <v>0</v>
      </c>
      <c r="AN2409" s="199">
        <f t="shared" si="921"/>
        <v>45832</v>
      </c>
      <c r="AO2409" s="159" t="s">
        <v>692</v>
      </c>
      <c r="AP2409" s="783" t="s">
        <v>638</v>
      </c>
      <c r="AQ2409" s="783" t="s">
        <v>631</v>
      </c>
      <c r="AR2409" s="783" t="s">
        <v>632</v>
      </c>
      <c r="AS2409" s="783" t="s">
        <v>633</v>
      </c>
      <c r="AT2409" s="781"/>
      <c r="AU2409" s="783" t="s">
        <v>626</v>
      </c>
      <c r="AV2409" s="783" t="s">
        <v>2380</v>
      </c>
      <c r="AW2409" s="783" t="s">
        <v>634</v>
      </c>
      <c r="AX2409" s="781"/>
      <c r="AY2409" s="783" t="s">
        <v>635</v>
      </c>
      <c r="AZ2409" s="783" t="s">
        <v>636</v>
      </c>
      <c r="BA2409" s="783" t="s">
        <v>637</v>
      </c>
      <c r="BB2409" s="209">
        <v>23053185</v>
      </c>
    </row>
    <row r="2410" spans="2:54" ht="24.75" hidden="1" customHeight="1">
      <c r="B2410" s="333">
        <v>45832</v>
      </c>
      <c r="C2410" s="333">
        <v>45842</v>
      </c>
      <c r="D2410" s="185">
        <f t="shared" si="931"/>
        <v>2025</v>
      </c>
      <c r="E2410" s="335" t="e">
        <f>VLOOKUP($B2410,Week!$A$1:$C$1462,2,0)</f>
        <v>#N/A</v>
      </c>
      <c r="F2410" s="334" t="str">
        <f t="shared" si="932"/>
        <v>Jun</v>
      </c>
      <c r="G2410" s="335" t="s">
        <v>2243</v>
      </c>
      <c r="H2410" s="335" t="s">
        <v>363</v>
      </c>
      <c r="I2410" s="335" t="s">
        <v>2772</v>
      </c>
      <c r="J2410" s="336" t="s">
        <v>364</v>
      </c>
      <c r="K2410" s="337" t="s">
        <v>176</v>
      </c>
      <c r="L2410" s="337" t="s">
        <v>2167</v>
      </c>
      <c r="M2410" s="382" t="s">
        <v>646</v>
      </c>
      <c r="N2410" s="335" t="s">
        <v>647</v>
      </c>
      <c r="O2410" s="335" t="s">
        <v>599</v>
      </c>
      <c r="P2410" s="338">
        <v>36</v>
      </c>
      <c r="Q2410" s="338">
        <v>5</v>
      </c>
      <c r="R2410" s="339">
        <v>8.0000000000000002E-3</v>
      </c>
      <c r="S2410" s="335" t="s">
        <v>40</v>
      </c>
      <c r="T2410" s="335" t="s">
        <v>112</v>
      </c>
      <c r="U2410" s="335" t="s">
        <v>57</v>
      </c>
      <c r="V2410" s="341">
        <f>1288</f>
        <v>1288</v>
      </c>
      <c r="W2410" s="341">
        <f>70+1218</f>
        <v>1288</v>
      </c>
      <c r="X2410" s="342"/>
      <c r="Y2410" s="343">
        <f t="shared" si="944"/>
        <v>0</v>
      </c>
      <c r="Z2410" s="344">
        <f t="shared" si="935"/>
        <v>0</v>
      </c>
      <c r="AA2410" s="344">
        <f t="shared" si="933"/>
        <v>0</v>
      </c>
      <c r="AB2410" s="821">
        <v>7.4999999999999997E-3</v>
      </c>
      <c r="AC2410" s="341">
        <f t="shared" si="945"/>
        <v>0</v>
      </c>
      <c r="AD2410" s="209"/>
      <c r="AE2410" s="210">
        <f t="shared" si="936"/>
        <v>0</v>
      </c>
      <c r="AF2410" s="210">
        <f t="shared" si="947"/>
        <v>0</v>
      </c>
      <c r="AG2410" s="211">
        <f t="shared" si="937"/>
        <v>0.14799999999999999</v>
      </c>
      <c r="AH2410" s="157">
        <f t="shared" si="946"/>
        <v>0</v>
      </c>
      <c r="AI2410" s="152">
        <f t="shared" si="939"/>
        <v>46368</v>
      </c>
      <c r="AK2410" s="156" t="s">
        <v>691</v>
      </c>
      <c r="AL2410" s="574" t="s">
        <v>690</v>
      </c>
      <c r="AM2410" s="198">
        <f t="shared" si="948"/>
        <v>0</v>
      </c>
      <c r="AN2410" s="199">
        <f t="shared" si="921"/>
        <v>45832</v>
      </c>
      <c r="AO2410" s="159" t="s">
        <v>692</v>
      </c>
      <c r="AP2410" s="781"/>
      <c r="AQ2410" s="782">
        <v>12071839</v>
      </c>
      <c r="AR2410" s="782">
        <v>12047514</v>
      </c>
      <c r="AS2410" s="782">
        <v>12047515</v>
      </c>
      <c r="AT2410" s="782">
        <v>12084374</v>
      </c>
      <c r="AU2410" s="781"/>
      <c r="AV2410" s="782">
        <v>12084372</v>
      </c>
      <c r="AW2410" s="782">
        <v>12024404</v>
      </c>
      <c r="AX2410" s="782"/>
      <c r="AY2410" s="782">
        <v>12094311</v>
      </c>
      <c r="AZ2410" s="782"/>
      <c r="BA2410" s="781"/>
      <c r="BB2410" s="209">
        <v>23053185</v>
      </c>
    </row>
    <row r="2411" spans="2:54" ht="24.75" hidden="1" customHeight="1">
      <c r="B2411" s="295">
        <v>45832</v>
      </c>
      <c r="C2411" s="771" t="s">
        <v>1931</v>
      </c>
      <c r="D2411" s="185">
        <f t="shared" si="931"/>
        <v>2025</v>
      </c>
      <c r="E2411" s="296" t="e">
        <f>VLOOKUP($B2411,Week!$A$1:$C$1462,2,0)</f>
        <v>#N/A</v>
      </c>
      <c r="F2411" s="297" t="str">
        <f t="shared" si="932"/>
        <v>Jun</v>
      </c>
      <c r="G2411" s="648" t="s">
        <v>47</v>
      </c>
      <c r="H2411" s="298" t="s">
        <v>260</v>
      </c>
      <c r="I2411" s="298" t="s">
        <v>2702</v>
      </c>
      <c r="J2411" s="307" t="s">
        <v>2240</v>
      </c>
      <c r="K2411" s="300" t="s">
        <v>176</v>
      </c>
      <c r="L2411" s="300" t="s">
        <v>2167</v>
      </c>
      <c r="M2411" s="299" t="s">
        <v>2338</v>
      </c>
      <c r="N2411" s="298" t="s">
        <v>350</v>
      </c>
      <c r="O2411" s="298" t="s">
        <v>351</v>
      </c>
      <c r="P2411" s="301">
        <v>24</v>
      </c>
      <c r="Q2411" s="301">
        <v>5</v>
      </c>
      <c r="R2411" s="302">
        <v>6.1999999999999998E-3</v>
      </c>
      <c r="S2411" s="298" t="s">
        <v>352</v>
      </c>
      <c r="T2411" s="298" t="s">
        <v>56</v>
      </c>
      <c r="U2411" s="298" t="s">
        <v>57</v>
      </c>
      <c r="V2411" s="303">
        <v>2323</v>
      </c>
      <c r="W2411" s="303">
        <f>2323</f>
        <v>2323</v>
      </c>
      <c r="X2411" s="304"/>
      <c r="Y2411" s="305">
        <f t="shared" si="944"/>
        <v>0</v>
      </c>
      <c r="Z2411" s="306">
        <f t="shared" si="935"/>
        <v>0</v>
      </c>
      <c r="AA2411" s="306">
        <f t="shared" si="933"/>
        <v>0</v>
      </c>
      <c r="AB2411" s="814">
        <v>7.4999999999999997E-3</v>
      </c>
      <c r="AC2411" s="303">
        <f t="shared" si="945"/>
        <v>0</v>
      </c>
      <c r="AD2411" s="209"/>
      <c r="AE2411" s="210">
        <f t="shared" si="936"/>
        <v>0</v>
      </c>
      <c r="AF2411" s="210">
        <f t="shared" si="947"/>
        <v>0</v>
      </c>
      <c r="AG2411" s="211">
        <f t="shared" si="937"/>
        <v>0.13</v>
      </c>
      <c r="AH2411" s="157">
        <f t="shared" si="946"/>
        <v>0</v>
      </c>
      <c r="AI2411" s="152">
        <f t="shared" si="939"/>
        <v>55752</v>
      </c>
      <c r="AK2411" s="156" t="s">
        <v>691</v>
      </c>
      <c r="AL2411" s="574" t="s">
        <v>690</v>
      </c>
      <c r="AM2411" s="198">
        <f t="shared" si="948"/>
        <v>0</v>
      </c>
      <c r="AN2411" s="199">
        <f t="shared" si="921"/>
        <v>45832</v>
      </c>
      <c r="AO2411" s="159" t="s">
        <v>692</v>
      </c>
      <c r="AP2411" s="783" t="s">
        <v>629</v>
      </c>
      <c r="AQ2411" s="782">
        <v>12071839</v>
      </c>
      <c r="AR2411" s="782">
        <v>12094356</v>
      </c>
      <c r="AS2411" s="782">
        <v>12068233</v>
      </c>
      <c r="AT2411" s="781"/>
      <c r="AU2411" s="781"/>
      <c r="AV2411" s="782">
        <v>12062075</v>
      </c>
      <c r="AW2411" s="781"/>
      <c r="AX2411" s="781"/>
      <c r="AY2411" s="782">
        <v>12094357</v>
      </c>
      <c r="AZ2411" s="781"/>
      <c r="BA2411" s="781"/>
      <c r="BB2411" s="209">
        <v>23053185</v>
      </c>
    </row>
    <row r="2412" spans="2:54" ht="24.75" hidden="1" customHeight="1">
      <c r="B2412" s="295">
        <v>45833</v>
      </c>
      <c r="C2412" s="771" t="s">
        <v>1931</v>
      </c>
      <c r="D2412" s="185">
        <f t="shared" si="931"/>
        <v>2025</v>
      </c>
      <c r="E2412" s="296" t="e">
        <f>VLOOKUP($B2412,Week!$A$1:$C$1462,2,0)</f>
        <v>#N/A</v>
      </c>
      <c r="F2412" s="297" t="str">
        <f t="shared" si="932"/>
        <v>Jun</v>
      </c>
      <c r="G2412" s="648" t="s">
        <v>47</v>
      </c>
      <c r="H2412" s="298" t="s">
        <v>260</v>
      </c>
      <c r="I2412" s="298" t="s">
        <v>2702</v>
      </c>
      <c r="J2412" s="307" t="s">
        <v>2240</v>
      </c>
      <c r="K2412" s="300" t="s">
        <v>176</v>
      </c>
      <c r="L2412" s="300" t="s">
        <v>2167</v>
      </c>
      <c r="M2412" s="299" t="s">
        <v>2338</v>
      </c>
      <c r="N2412" s="298" t="s">
        <v>350</v>
      </c>
      <c r="O2412" s="298" t="s">
        <v>351</v>
      </c>
      <c r="P2412" s="301">
        <v>24</v>
      </c>
      <c r="Q2412" s="301">
        <v>5</v>
      </c>
      <c r="R2412" s="302">
        <v>6.1999999999999998E-3</v>
      </c>
      <c r="S2412" s="298" t="s">
        <v>352</v>
      </c>
      <c r="T2412" s="298" t="s">
        <v>56</v>
      </c>
      <c r="U2412" s="298" t="s">
        <v>57</v>
      </c>
      <c r="V2412" s="303">
        <v>1817</v>
      </c>
      <c r="W2412" s="303">
        <f>1817</f>
        <v>1817</v>
      </c>
      <c r="X2412" s="304"/>
      <c r="Y2412" s="305">
        <f t="shared" si="944"/>
        <v>0</v>
      </c>
      <c r="Z2412" s="306">
        <f t="shared" si="935"/>
        <v>0</v>
      </c>
      <c r="AA2412" s="306">
        <f t="shared" si="933"/>
        <v>0</v>
      </c>
      <c r="AB2412" s="814">
        <v>7.4999999999999997E-3</v>
      </c>
      <c r="AC2412" s="303">
        <f t="shared" si="945"/>
        <v>0</v>
      </c>
      <c r="AD2412" s="209"/>
      <c r="AE2412" s="210">
        <f t="shared" si="936"/>
        <v>0</v>
      </c>
      <c r="AF2412" s="210">
        <f t="shared" si="947"/>
        <v>0</v>
      </c>
      <c r="AG2412" s="211">
        <f t="shared" si="937"/>
        <v>0.13</v>
      </c>
      <c r="AH2412" s="157">
        <f t="shared" si="946"/>
        <v>0</v>
      </c>
      <c r="AI2412" s="152">
        <f t="shared" si="939"/>
        <v>43608</v>
      </c>
      <c r="AK2412" s="156" t="s">
        <v>691</v>
      </c>
      <c r="AL2412" s="574" t="s">
        <v>690</v>
      </c>
      <c r="AM2412" s="198">
        <f t="shared" si="948"/>
        <v>0</v>
      </c>
      <c r="AN2412" s="199">
        <f t="shared" si="921"/>
        <v>45833</v>
      </c>
      <c r="AO2412" s="159" t="s">
        <v>692</v>
      </c>
      <c r="AP2412" s="783" t="s">
        <v>629</v>
      </c>
      <c r="AQ2412" s="782">
        <v>12071839</v>
      </c>
      <c r="AR2412" s="782">
        <v>12094356</v>
      </c>
      <c r="AS2412" s="782">
        <v>12068233</v>
      </c>
      <c r="AT2412" s="781"/>
      <c r="AU2412" s="781"/>
      <c r="AV2412" s="782">
        <v>12062075</v>
      </c>
      <c r="AW2412" s="781"/>
      <c r="AX2412" s="781"/>
      <c r="AY2412" s="782">
        <v>12094357</v>
      </c>
      <c r="AZ2412" s="781"/>
      <c r="BA2412" s="781"/>
      <c r="BB2412" s="209">
        <v>23053185</v>
      </c>
    </row>
    <row r="2413" spans="2:54" ht="25" hidden="1" customHeight="1">
      <c r="B2413" s="398">
        <v>45833</v>
      </c>
      <c r="C2413" s="399" t="s">
        <v>1931</v>
      </c>
      <c r="D2413" s="185">
        <f t="shared" si="931"/>
        <v>2025</v>
      </c>
      <c r="E2413" s="399" t="e">
        <f>VLOOKUP($B2413,Week!$A$1:$C$1462,2,0)</f>
        <v>#N/A</v>
      </c>
      <c r="F2413" s="400" t="str">
        <f t="shared" si="932"/>
        <v>Jun</v>
      </c>
      <c r="G2413" s="401" t="s">
        <v>47</v>
      </c>
      <c r="H2413" s="401" t="s">
        <v>518</v>
      </c>
      <c r="I2413" s="401" t="s">
        <v>2702</v>
      </c>
      <c r="J2413" s="402" t="s">
        <v>70</v>
      </c>
      <c r="K2413" s="403" t="s">
        <v>1645</v>
      </c>
      <c r="L2413" s="300" t="s">
        <v>2167</v>
      </c>
      <c r="M2413" s="402" t="s">
        <v>2340</v>
      </c>
      <c r="N2413" s="404" t="s">
        <v>557</v>
      </c>
      <c r="O2413" s="401" t="s">
        <v>101</v>
      </c>
      <c r="P2413" s="405">
        <v>12</v>
      </c>
      <c r="Q2413" s="405">
        <v>5</v>
      </c>
      <c r="R2413" s="406">
        <v>8.0000000000000002E-3</v>
      </c>
      <c r="S2413" s="401" t="s">
        <v>40</v>
      </c>
      <c r="T2413" s="401" t="s">
        <v>56</v>
      </c>
      <c r="U2413" s="770" t="s">
        <v>499</v>
      </c>
      <c r="V2413" s="407">
        <f>500+36</f>
        <v>536</v>
      </c>
      <c r="W2413" s="407">
        <f>13+1+522</f>
        <v>536</v>
      </c>
      <c r="X2413" s="408"/>
      <c r="Y2413" s="409">
        <f t="shared" si="944"/>
        <v>0</v>
      </c>
      <c r="Z2413" s="410">
        <f t="shared" si="935"/>
        <v>0</v>
      </c>
      <c r="AA2413" s="410">
        <f t="shared" si="933"/>
        <v>0</v>
      </c>
      <c r="AB2413" s="824">
        <v>1</v>
      </c>
      <c r="AC2413" s="407">
        <f t="shared" si="945"/>
        <v>0</v>
      </c>
      <c r="AD2413" s="443"/>
      <c r="AE2413" s="210">
        <f t="shared" si="936"/>
        <v>0</v>
      </c>
      <c r="AF2413" s="210">
        <f t="shared" si="947"/>
        <v>0</v>
      </c>
      <c r="AG2413" s="211">
        <f t="shared" si="937"/>
        <v>0.115</v>
      </c>
      <c r="AH2413" s="157">
        <f t="shared" si="946"/>
        <v>0</v>
      </c>
      <c r="AI2413" s="152">
        <f t="shared" si="939"/>
        <v>6432</v>
      </c>
      <c r="AK2413" s="156" t="s">
        <v>691</v>
      </c>
      <c r="AL2413" s="212" t="s">
        <v>690</v>
      </c>
      <c r="AM2413" s="198">
        <f t="shared" si="948"/>
        <v>0</v>
      </c>
      <c r="AN2413" s="199">
        <f t="shared" si="921"/>
        <v>45833</v>
      </c>
      <c r="AO2413" s="159" t="s">
        <v>692</v>
      </c>
      <c r="AP2413" s="783" t="s">
        <v>623</v>
      </c>
      <c r="AQ2413" s="782">
        <v>12071839</v>
      </c>
      <c r="AR2413" s="782">
        <v>12047514</v>
      </c>
      <c r="AS2413" s="782">
        <v>12047515</v>
      </c>
      <c r="AT2413" s="782"/>
      <c r="AU2413" s="781"/>
      <c r="AV2413" s="782">
        <v>12072447</v>
      </c>
      <c r="AW2413" s="782"/>
      <c r="AX2413" s="782"/>
      <c r="AY2413" s="782">
        <v>12094384</v>
      </c>
      <c r="AZ2413" s="782">
        <v>12094385</v>
      </c>
      <c r="BA2413" s="781"/>
      <c r="BB2413" s="209">
        <v>23052995</v>
      </c>
    </row>
    <row r="2414" spans="2:54" ht="24.65" hidden="1" customHeight="1">
      <c r="B2414" s="411">
        <v>45833</v>
      </c>
      <c r="C2414" s="645" t="s">
        <v>1931</v>
      </c>
      <c r="D2414" s="185">
        <f t="shared" si="931"/>
        <v>2025</v>
      </c>
      <c r="E2414" s="412" t="e">
        <f>VLOOKUP($B2414,Week!$A$1:$C$1462,2,0)</f>
        <v>#N/A</v>
      </c>
      <c r="F2414" s="413" t="str">
        <f t="shared" si="932"/>
        <v>Jun</v>
      </c>
      <c r="G2414" s="414" t="s">
        <v>47</v>
      </c>
      <c r="H2414" s="414" t="s">
        <v>260</v>
      </c>
      <c r="I2414" s="414" t="s">
        <v>2702</v>
      </c>
      <c r="J2414" s="415" t="s">
        <v>261</v>
      </c>
      <c r="K2414" s="416" t="s">
        <v>94</v>
      </c>
      <c r="L2414" s="300" t="s">
        <v>2167</v>
      </c>
      <c r="M2414" s="415" t="s">
        <v>2339</v>
      </c>
      <c r="N2414" s="414" t="s">
        <v>263</v>
      </c>
      <c r="O2414" s="414" t="s">
        <v>195</v>
      </c>
      <c r="P2414" s="417">
        <v>24</v>
      </c>
      <c r="Q2414" s="417">
        <v>5</v>
      </c>
      <c r="R2414" s="418">
        <v>8.0000000000000002E-3</v>
      </c>
      <c r="S2414" s="414" t="s">
        <v>40</v>
      </c>
      <c r="T2414" s="414" t="s">
        <v>56</v>
      </c>
      <c r="U2414" s="414" t="s">
        <v>57</v>
      </c>
      <c r="V2414" s="419">
        <v>4110</v>
      </c>
      <c r="W2414" s="419">
        <f>3399</f>
        <v>3399</v>
      </c>
      <c r="X2414" s="420">
        <f>(17075)/24</f>
        <v>711.45833333333337</v>
      </c>
      <c r="Y2414" s="421">
        <f t="shared" si="944"/>
        <v>0.45833333333303017</v>
      </c>
      <c r="Z2414" s="422">
        <f t="shared" si="935"/>
        <v>0</v>
      </c>
      <c r="AA2414" s="422">
        <f t="shared" si="933"/>
        <v>0</v>
      </c>
      <c r="AB2414" s="825">
        <v>7.4999999999999997E-3</v>
      </c>
      <c r="AC2414" s="419">
        <f t="shared" si="945"/>
        <v>0</v>
      </c>
      <c r="AD2414" s="209"/>
      <c r="AE2414" s="210">
        <f t="shared" si="936"/>
        <v>0</v>
      </c>
      <c r="AF2414" s="210">
        <f t="shared" si="947"/>
        <v>0</v>
      </c>
      <c r="AG2414" s="211">
        <f t="shared" si="937"/>
        <v>0.14499999999999999</v>
      </c>
      <c r="AH2414" s="157">
        <f t="shared" si="946"/>
        <v>0</v>
      </c>
      <c r="AI2414" s="152">
        <f t="shared" si="939"/>
        <v>98640</v>
      </c>
      <c r="AK2414" s="156" t="s">
        <v>691</v>
      </c>
      <c r="AL2414" s="212" t="s">
        <v>690</v>
      </c>
      <c r="AM2414" s="198">
        <f t="shared" si="948"/>
        <v>0</v>
      </c>
      <c r="AN2414" s="199">
        <f t="shared" si="921"/>
        <v>45833</v>
      </c>
      <c r="AO2414" s="159" t="s">
        <v>692</v>
      </c>
      <c r="AP2414" s="783" t="s">
        <v>609</v>
      </c>
      <c r="AQ2414" s="782">
        <v>12071839</v>
      </c>
      <c r="AR2414" s="782">
        <v>12047514</v>
      </c>
      <c r="AS2414" s="782">
        <v>12047515</v>
      </c>
      <c r="AT2414" s="781"/>
      <c r="AU2414" s="781"/>
      <c r="AV2414" s="782">
        <v>12080613</v>
      </c>
      <c r="AW2414" s="781"/>
      <c r="AX2414" s="781"/>
      <c r="AY2414" s="782">
        <v>12094241</v>
      </c>
      <c r="AZ2414" s="782">
        <v>12094242</v>
      </c>
      <c r="BA2414" s="781"/>
      <c r="BB2414" s="209">
        <v>23053185</v>
      </c>
    </row>
    <row r="2415" spans="2:54" ht="24.65" hidden="1" customHeight="1">
      <c r="B2415" s="411">
        <v>45834</v>
      </c>
      <c r="C2415" s="645" t="s">
        <v>1931</v>
      </c>
      <c r="D2415" s="185">
        <f t="shared" si="931"/>
        <v>2025</v>
      </c>
      <c r="E2415" s="412" t="e">
        <f>VLOOKUP($B2415,Week!$A$1:$C$1462,2,0)</f>
        <v>#N/A</v>
      </c>
      <c r="F2415" s="413" t="str">
        <f t="shared" si="932"/>
        <v>Jun</v>
      </c>
      <c r="G2415" s="414" t="s">
        <v>47</v>
      </c>
      <c r="H2415" s="414" t="s">
        <v>260</v>
      </c>
      <c r="I2415" s="414" t="s">
        <v>2702</v>
      </c>
      <c r="J2415" s="415" t="s">
        <v>261</v>
      </c>
      <c r="K2415" s="416" t="s">
        <v>94</v>
      </c>
      <c r="L2415" s="300" t="s">
        <v>2167</v>
      </c>
      <c r="M2415" s="415" t="s">
        <v>2339</v>
      </c>
      <c r="N2415" s="414" t="s">
        <v>263</v>
      </c>
      <c r="O2415" s="414" t="s">
        <v>195</v>
      </c>
      <c r="P2415" s="417">
        <v>24</v>
      </c>
      <c r="Q2415" s="417">
        <v>5</v>
      </c>
      <c r="R2415" s="418">
        <v>8.0000000000000002E-3</v>
      </c>
      <c r="S2415" s="414" t="s">
        <v>40</v>
      </c>
      <c r="T2415" s="414" t="s">
        <v>56</v>
      </c>
      <c r="U2415" s="414" t="s">
        <v>57</v>
      </c>
      <c r="V2415" s="419">
        <f>10000-1696-4110</f>
        <v>4194</v>
      </c>
      <c r="W2415" s="419">
        <f>4194</f>
        <v>4194</v>
      </c>
      <c r="X2415" s="420"/>
      <c r="Y2415" s="421">
        <f t="shared" si="944"/>
        <v>0</v>
      </c>
      <c r="Z2415" s="422">
        <f t="shared" si="935"/>
        <v>0</v>
      </c>
      <c r="AA2415" s="422">
        <f t="shared" si="933"/>
        <v>0</v>
      </c>
      <c r="AB2415" s="825">
        <v>7.4999999999999997E-3</v>
      </c>
      <c r="AC2415" s="419">
        <f t="shared" si="945"/>
        <v>0</v>
      </c>
      <c r="AD2415" s="209"/>
      <c r="AE2415" s="210">
        <f t="shared" si="936"/>
        <v>0</v>
      </c>
      <c r="AF2415" s="210">
        <f t="shared" si="947"/>
        <v>0</v>
      </c>
      <c r="AG2415" s="211">
        <f t="shared" si="937"/>
        <v>0.14499999999999999</v>
      </c>
      <c r="AH2415" s="157">
        <f t="shared" si="946"/>
        <v>0</v>
      </c>
      <c r="AI2415" s="152">
        <f t="shared" si="939"/>
        <v>100656</v>
      </c>
      <c r="AK2415" s="156" t="s">
        <v>691</v>
      </c>
      <c r="AL2415" s="212" t="s">
        <v>690</v>
      </c>
      <c r="AM2415" s="198">
        <f t="shared" si="948"/>
        <v>0</v>
      </c>
      <c r="AN2415" s="199">
        <f t="shared" si="921"/>
        <v>45834</v>
      </c>
      <c r="AO2415" s="159" t="s">
        <v>692</v>
      </c>
      <c r="AP2415" s="783" t="s">
        <v>609</v>
      </c>
      <c r="AQ2415" s="782">
        <v>12071839</v>
      </c>
      <c r="AR2415" s="782">
        <v>12047514</v>
      </c>
      <c r="AS2415" s="782">
        <v>12047515</v>
      </c>
      <c r="AT2415" s="781"/>
      <c r="AU2415" s="781"/>
      <c r="AV2415" s="782">
        <v>12080613</v>
      </c>
      <c r="AW2415" s="781"/>
      <c r="AX2415" s="781"/>
      <c r="AY2415" s="782">
        <v>12094241</v>
      </c>
      <c r="AZ2415" s="782">
        <v>12094242</v>
      </c>
      <c r="BA2415" s="781"/>
      <c r="BB2415" s="209">
        <v>23053185</v>
      </c>
    </row>
    <row r="2416" spans="2:54" ht="24.65" hidden="1" customHeight="1">
      <c r="B2416" s="411">
        <v>45834</v>
      </c>
      <c r="C2416" s="645" t="s">
        <v>1932</v>
      </c>
      <c r="D2416" s="185">
        <f t="shared" si="931"/>
        <v>2025</v>
      </c>
      <c r="E2416" s="412" t="e">
        <f>VLOOKUP($B2416,Week!$A$1:$C$1462,2,0)</f>
        <v>#N/A</v>
      </c>
      <c r="F2416" s="413" t="str">
        <f t="shared" si="932"/>
        <v>Jun</v>
      </c>
      <c r="G2416" s="414" t="s">
        <v>47</v>
      </c>
      <c r="H2416" s="414" t="s">
        <v>260</v>
      </c>
      <c r="I2416" s="414" t="s">
        <v>2702</v>
      </c>
      <c r="J2416" s="415" t="s">
        <v>261</v>
      </c>
      <c r="K2416" s="416" t="s">
        <v>94</v>
      </c>
      <c r="L2416" s="300" t="s">
        <v>2167</v>
      </c>
      <c r="M2416" s="415" t="s">
        <v>2339</v>
      </c>
      <c r="N2416" s="414" t="s">
        <v>263</v>
      </c>
      <c r="O2416" s="414" t="s">
        <v>195</v>
      </c>
      <c r="P2416" s="417">
        <v>24</v>
      </c>
      <c r="Q2416" s="417">
        <v>5</v>
      </c>
      <c r="R2416" s="418">
        <v>8.0000000000000002E-3</v>
      </c>
      <c r="S2416" s="414" t="s">
        <v>40</v>
      </c>
      <c r="T2416" s="414" t="s">
        <v>56</v>
      </c>
      <c r="U2416" s="414" t="s">
        <v>57</v>
      </c>
      <c r="V2416" s="419">
        <v>128</v>
      </c>
      <c r="W2416" s="419">
        <v>128</v>
      </c>
      <c r="X2416" s="420"/>
      <c r="Y2416" s="421">
        <f t="shared" si="944"/>
        <v>0</v>
      </c>
      <c r="Z2416" s="422">
        <f t="shared" si="935"/>
        <v>0</v>
      </c>
      <c r="AA2416" s="422">
        <f t="shared" si="933"/>
        <v>0</v>
      </c>
      <c r="AB2416" s="825">
        <v>7.4999999999999997E-3</v>
      </c>
      <c r="AC2416" s="419">
        <f t="shared" si="945"/>
        <v>0</v>
      </c>
      <c r="AD2416" s="209"/>
      <c r="AE2416" s="210">
        <f t="shared" si="936"/>
        <v>0</v>
      </c>
      <c r="AF2416" s="210">
        <f t="shared" si="947"/>
        <v>0</v>
      </c>
      <c r="AG2416" s="211">
        <f t="shared" si="937"/>
        <v>0.14499999999999999</v>
      </c>
      <c r="AH2416" s="157">
        <f t="shared" si="946"/>
        <v>0</v>
      </c>
      <c r="AI2416" s="152">
        <f t="shared" si="939"/>
        <v>3072</v>
      </c>
      <c r="AK2416" s="156" t="s">
        <v>691</v>
      </c>
      <c r="AL2416" s="212" t="s">
        <v>690</v>
      </c>
      <c r="AM2416" s="198">
        <f t="shared" si="948"/>
        <v>0</v>
      </c>
      <c r="AN2416" s="199">
        <f t="shared" si="921"/>
        <v>45834</v>
      </c>
      <c r="AO2416" s="159" t="s">
        <v>692</v>
      </c>
      <c r="AP2416" s="783" t="s">
        <v>609</v>
      </c>
      <c r="AQ2416" s="782">
        <v>12071839</v>
      </c>
      <c r="AR2416" s="782">
        <v>12047514</v>
      </c>
      <c r="AS2416" s="782">
        <v>12047515</v>
      </c>
      <c r="AT2416" s="781"/>
      <c r="AU2416" s="781"/>
      <c r="AV2416" s="782">
        <v>12080613</v>
      </c>
      <c r="AW2416" s="781"/>
      <c r="AX2416" s="781"/>
      <c r="AY2416" s="782">
        <v>12094241</v>
      </c>
      <c r="AZ2416" s="782">
        <v>12094242</v>
      </c>
      <c r="BA2416" s="781"/>
      <c r="BB2416" s="209">
        <v>23053185</v>
      </c>
    </row>
    <row r="2417" spans="1:54" ht="24.65" hidden="1" customHeight="1">
      <c r="B2417" s="246">
        <v>45834</v>
      </c>
      <c r="C2417" s="780" t="s">
        <v>1931</v>
      </c>
      <c r="D2417" s="185">
        <f t="shared" si="931"/>
        <v>2025</v>
      </c>
      <c r="E2417" s="247" t="e">
        <f>VLOOKUP($B2417,Week!$A$1:$C$1462,2,0)</f>
        <v>#N/A</v>
      </c>
      <c r="F2417" s="248" t="str">
        <f t="shared" si="932"/>
        <v>Jun</v>
      </c>
      <c r="G2417" s="249" t="s">
        <v>47</v>
      </c>
      <c r="H2417" s="249" t="s">
        <v>260</v>
      </c>
      <c r="I2417" s="249" t="s">
        <v>2702</v>
      </c>
      <c r="J2417" s="250" t="s">
        <v>70</v>
      </c>
      <c r="K2417" s="251" t="s">
        <v>1020</v>
      </c>
      <c r="L2417" s="300" t="s">
        <v>2167</v>
      </c>
      <c r="M2417" s="250" t="s">
        <v>2318</v>
      </c>
      <c r="N2417" s="599" t="s">
        <v>2316</v>
      </c>
      <c r="O2417" s="249" t="s">
        <v>742</v>
      </c>
      <c r="P2417" s="252">
        <v>24</v>
      </c>
      <c r="Q2417" s="252">
        <v>5</v>
      </c>
      <c r="R2417" s="249">
        <v>6.1999999999999998E-3</v>
      </c>
      <c r="S2417" s="249" t="s">
        <v>352</v>
      </c>
      <c r="T2417" s="249" t="s">
        <v>56</v>
      </c>
      <c r="U2417" s="878" t="s">
        <v>739</v>
      </c>
      <c r="V2417" s="254">
        <f>3850-2115</f>
        <v>1735</v>
      </c>
      <c r="W2417" s="254">
        <f>1735</f>
        <v>1735</v>
      </c>
      <c r="X2417" s="255"/>
      <c r="Y2417" s="256">
        <f t="shared" si="944"/>
        <v>0</v>
      </c>
      <c r="Z2417" s="257">
        <f t="shared" si="935"/>
        <v>0</v>
      </c>
      <c r="AA2417" s="257">
        <f t="shared" si="933"/>
        <v>0</v>
      </c>
      <c r="AB2417" s="810">
        <v>1.2999999999999999E-2</v>
      </c>
      <c r="AC2417" s="254">
        <f t="shared" si="945"/>
        <v>0</v>
      </c>
      <c r="AD2417" s="307" t="s">
        <v>2317</v>
      </c>
      <c r="AE2417" s="210">
        <f t="shared" si="936"/>
        <v>0</v>
      </c>
      <c r="AF2417" s="210">
        <f t="shared" si="947"/>
        <v>0</v>
      </c>
      <c r="AG2417" s="211">
        <f t="shared" si="937"/>
        <v>0.14299999999999999</v>
      </c>
      <c r="AH2417" s="157">
        <f t="shared" si="946"/>
        <v>0</v>
      </c>
      <c r="AI2417" s="152">
        <f t="shared" si="939"/>
        <v>41640</v>
      </c>
      <c r="AK2417" s="156" t="s">
        <v>691</v>
      </c>
      <c r="AL2417" s="212" t="s">
        <v>690</v>
      </c>
      <c r="AM2417" s="198">
        <f t="shared" si="948"/>
        <v>0</v>
      </c>
      <c r="AN2417" s="199">
        <f t="shared" si="921"/>
        <v>45834</v>
      </c>
      <c r="AO2417" s="159" t="s">
        <v>692</v>
      </c>
      <c r="AP2417" s="783" t="s">
        <v>609</v>
      </c>
      <c r="AQ2417" s="782">
        <v>12071839</v>
      </c>
      <c r="AR2417" s="782">
        <v>12047514</v>
      </c>
      <c r="AS2417" s="782">
        <v>12047515</v>
      </c>
      <c r="AT2417" s="781"/>
      <c r="AU2417" s="781"/>
      <c r="AV2417" s="782">
        <v>12095913</v>
      </c>
      <c r="AW2417" s="781"/>
      <c r="AX2417" s="781"/>
      <c r="AY2417" s="782">
        <v>12095802</v>
      </c>
      <c r="AZ2417" s="782">
        <v>12095803</v>
      </c>
      <c r="BA2417" s="781"/>
      <c r="BB2417" s="209">
        <v>11042803</v>
      </c>
    </row>
    <row r="2418" spans="1:54" ht="25" hidden="1" customHeight="1">
      <c r="A2418" s="754" t="s">
        <v>438</v>
      </c>
      <c r="B2418" s="332">
        <v>45835</v>
      </c>
      <c r="C2418" s="333">
        <v>45862</v>
      </c>
      <c r="D2418" s="185">
        <f t="shared" si="931"/>
        <v>2025</v>
      </c>
      <c r="E2418" s="335" t="e">
        <f>VLOOKUP($B2418,Week!$A$1:$C$1462,2,0)</f>
        <v>#N/A</v>
      </c>
      <c r="F2418" s="334" t="str">
        <f t="shared" si="932"/>
        <v>Jun</v>
      </c>
      <c r="G2418" s="335" t="s">
        <v>2329</v>
      </c>
      <c r="H2418" s="335" t="s">
        <v>311</v>
      </c>
      <c r="I2418" s="335" t="s">
        <v>2772</v>
      </c>
      <c r="J2418" s="336" t="s">
        <v>738</v>
      </c>
      <c r="K2418" s="337" t="s">
        <v>671</v>
      </c>
      <c r="L2418" s="300" t="s">
        <v>2167</v>
      </c>
      <c r="M2418" s="336" t="s">
        <v>661</v>
      </c>
      <c r="N2418" s="335" t="s">
        <v>666</v>
      </c>
      <c r="O2418" s="335" t="s">
        <v>566</v>
      </c>
      <c r="P2418" s="338">
        <v>16</v>
      </c>
      <c r="Q2418" s="338">
        <v>6</v>
      </c>
      <c r="R2418" s="339">
        <v>6.1999999999999998E-3</v>
      </c>
      <c r="S2418" s="335" t="s">
        <v>55</v>
      </c>
      <c r="T2418" s="335" t="s">
        <v>112</v>
      </c>
      <c r="U2418" s="335" t="s">
        <v>662</v>
      </c>
      <c r="V2418" s="341">
        <f>600</f>
        <v>600</v>
      </c>
      <c r="W2418" s="341">
        <f>15+334+251</f>
        <v>600</v>
      </c>
      <c r="X2418" s="342"/>
      <c r="Y2418" s="343">
        <f t="shared" si="944"/>
        <v>0</v>
      </c>
      <c r="Z2418" s="344">
        <f t="shared" si="935"/>
        <v>0</v>
      </c>
      <c r="AA2418" s="344">
        <f t="shared" si="933"/>
        <v>0</v>
      </c>
      <c r="AB2418" s="817">
        <v>1</v>
      </c>
      <c r="AC2418" s="341">
        <f t="shared" si="945"/>
        <v>0</v>
      </c>
      <c r="AD2418" s="209"/>
      <c r="AE2418" s="210">
        <f t="shared" si="936"/>
        <v>0</v>
      </c>
      <c r="AF2418" s="210">
        <f t="shared" si="947"/>
        <v>0</v>
      </c>
      <c r="AG2418" s="211">
        <f t="shared" si="937"/>
        <v>0.11700000000000001</v>
      </c>
      <c r="AH2418" s="157">
        <f t="shared" si="946"/>
        <v>0</v>
      </c>
      <c r="AI2418" s="152">
        <f t="shared" si="939"/>
        <v>9600</v>
      </c>
      <c r="AK2418" s="156" t="s">
        <v>691</v>
      </c>
      <c r="AL2418" s="212" t="s">
        <v>690</v>
      </c>
      <c r="AM2418" s="198">
        <f t="shared" si="948"/>
        <v>0</v>
      </c>
      <c r="AN2418" s="199">
        <f t="shared" si="921"/>
        <v>45835</v>
      </c>
      <c r="AO2418" s="159" t="s">
        <v>692</v>
      </c>
      <c r="AP2418" s="781"/>
      <c r="AQ2418" s="782"/>
      <c r="AR2418" s="782" t="s">
        <v>2144</v>
      </c>
      <c r="AS2418" s="782"/>
      <c r="AT2418" s="782">
        <v>12085802</v>
      </c>
      <c r="AU2418" s="781"/>
      <c r="AV2418" s="782">
        <v>12085309</v>
      </c>
      <c r="AW2418" s="782"/>
      <c r="AX2418" s="798" t="s">
        <v>2145</v>
      </c>
      <c r="AY2418" s="798"/>
      <c r="AZ2418" s="782"/>
      <c r="BA2418" s="781"/>
      <c r="BB2418" s="209">
        <v>23094763</v>
      </c>
    </row>
    <row r="2419" spans="1:54" ht="25" hidden="1" customHeight="1">
      <c r="A2419" s="754" t="s">
        <v>438</v>
      </c>
      <c r="B2419" s="332">
        <v>45835</v>
      </c>
      <c r="C2419" s="333">
        <v>45862</v>
      </c>
      <c r="D2419" s="185">
        <f t="shared" si="931"/>
        <v>2025</v>
      </c>
      <c r="E2419" s="335" t="e">
        <f>VLOOKUP($B2419,Week!$A$1:$C$1462,2,0)</f>
        <v>#N/A</v>
      </c>
      <c r="F2419" s="334" t="str">
        <f t="shared" si="932"/>
        <v>Jun</v>
      </c>
      <c r="G2419" s="335" t="s">
        <v>2330</v>
      </c>
      <c r="H2419" s="335" t="s">
        <v>311</v>
      </c>
      <c r="I2419" s="335" t="s">
        <v>2772</v>
      </c>
      <c r="J2419" s="336" t="s">
        <v>738</v>
      </c>
      <c r="K2419" s="337" t="s">
        <v>671</v>
      </c>
      <c r="L2419" s="300" t="s">
        <v>2167</v>
      </c>
      <c r="M2419" s="336" t="s">
        <v>661</v>
      </c>
      <c r="N2419" s="335" t="s">
        <v>666</v>
      </c>
      <c r="O2419" s="335" t="s">
        <v>566</v>
      </c>
      <c r="P2419" s="338">
        <v>16</v>
      </c>
      <c r="Q2419" s="338">
        <v>6</v>
      </c>
      <c r="R2419" s="339">
        <v>6.1999999999999998E-3</v>
      </c>
      <c r="S2419" s="335" t="s">
        <v>55</v>
      </c>
      <c r="T2419" s="335" t="s">
        <v>112</v>
      </c>
      <c r="U2419" s="335" t="s">
        <v>662</v>
      </c>
      <c r="V2419" s="341">
        <v>250</v>
      </c>
      <c r="W2419" s="341">
        <v>250</v>
      </c>
      <c r="X2419" s="342"/>
      <c r="Y2419" s="343">
        <f t="shared" si="944"/>
        <v>0</v>
      </c>
      <c r="Z2419" s="344">
        <f t="shared" si="935"/>
        <v>0</v>
      </c>
      <c r="AA2419" s="344">
        <f t="shared" si="933"/>
        <v>0</v>
      </c>
      <c r="AB2419" s="817">
        <v>1</v>
      </c>
      <c r="AC2419" s="341">
        <f t="shared" si="945"/>
        <v>0</v>
      </c>
      <c r="AD2419" s="209"/>
      <c r="AE2419" s="210">
        <f t="shared" si="936"/>
        <v>0</v>
      </c>
      <c r="AF2419" s="210">
        <f t="shared" si="947"/>
        <v>0</v>
      </c>
      <c r="AG2419" s="211">
        <f t="shared" si="937"/>
        <v>0.11700000000000001</v>
      </c>
      <c r="AH2419" s="157">
        <f t="shared" si="946"/>
        <v>0</v>
      </c>
      <c r="AI2419" s="152">
        <f t="shared" si="939"/>
        <v>4000</v>
      </c>
      <c r="AK2419" s="156" t="s">
        <v>691</v>
      </c>
      <c r="AL2419" s="212" t="s">
        <v>690</v>
      </c>
      <c r="AM2419" s="198">
        <f t="shared" si="948"/>
        <v>0</v>
      </c>
      <c r="AN2419" s="199">
        <f t="shared" si="921"/>
        <v>45835</v>
      </c>
      <c r="AO2419" s="159" t="s">
        <v>692</v>
      </c>
      <c r="AP2419" s="781"/>
      <c r="AQ2419" s="782"/>
      <c r="AR2419" s="782" t="s">
        <v>2144</v>
      </c>
      <c r="AS2419" s="782"/>
      <c r="AT2419" s="782">
        <v>12085802</v>
      </c>
      <c r="AU2419" s="781"/>
      <c r="AV2419" s="782">
        <v>12085309</v>
      </c>
      <c r="AW2419" s="782"/>
      <c r="AX2419" s="798" t="s">
        <v>2145</v>
      </c>
      <c r="AY2419" s="798"/>
      <c r="AZ2419" s="782"/>
      <c r="BA2419" s="781"/>
      <c r="BB2419" s="209">
        <v>23094763</v>
      </c>
    </row>
    <row r="2420" spans="1:54" ht="25" hidden="1" customHeight="1">
      <c r="A2420" s="754" t="s">
        <v>438</v>
      </c>
      <c r="B2420" s="332">
        <v>45835</v>
      </c>
      <c r="C2420" s="333">
        <v>45862</v>
      </c>
      <c r="D2420" s="185">
        <f t="shared" si="931"/>
        <v>2025</v>
      </c>
      <c r="E2420" s="335" t="e">
        <f>VLOOKUP($B2420,Week!$A$1:$C$1462,2,0)</f>
        <v>#N/A</v>
      </c>
      <c r="F2420" s="334" t="str">
        <f t="shared" si="932"/>
        <v>Jun</v>
      </c>
      <c r="G2420" s="335" t="s">
        <v>2331</v>
      </c>
      <c r="H2420" s="335" t="s">
        <v>311</v>
      </c>
      <c r="I2420" s="335" t="s">
        <v>2772</v>
      </c>
      <c r="J2420" s="336" t="s">
        <v>738</v>
      </c>
      <c r="K2420" s="337" t="s">
        <v>671</v>
      </c>
      <c r="L2420" s="300" t="s">
        <v>2167</v>
      </c>
      <c r="M2420" s="336" t="s">
        <v>661</v>
      </c>
      <c r="N2420" s="335" t="s">
        <v>666</v>
      </c>
      <c r="O2420" s="335" t="s">
        <v>566</v>
      </c>
      <c r="P2420" s="338">
        <v>16</v>
      </c>
      <c r="Q2420" s="338">
        <v>6</v>
      </c>
      <c r="R2420" s="339">
        <v>6.1999999999999998E-3</v>
      </c>
      <c r="S2420" s="335" t="s">
        <v>55</v>
      </c>
      <c r="T2420" s="335" t="s">
        <v>112</v>
      </c>
      <c r="U2420" s="335" t="s">
        <v>662</v>
      </c>
      <c r="V2420" s="341">
        <v>250</v>
      </c>
      <c r="W2420" s="341">
        <v>250</v>
      </c>
      <c r="X2420" s="342"/>
      <c r="Y2420" s="343">
        <f t="shared" si="944"/>
        <v>0</v>
      </c>
      <c r="Z2420" s="344">
        <f t="shared" si="935"/>
        <v>0</v>
      </c>
      <c r="AA2420" s="344">
        <f t="shared" si="933"/>
        <v>0</v>
      </c>
      <c r="AB2420" s="817">
        <v>1</v>
      </c>
      <c r="AC2420" s="341">
        <f t="shared" si="945"/>
        <v>0</v>
      </c>
      <c r="AD2420" s="209"/>
      <c r="AE2420" s="210">
        <f t="shared" si="936"/>
        <v>0</v>
      </c>
      <c r="AF2420" s="210">
        <f t="shared" si="947"/>
        <v>0</v>
      </c>
      <c r="AG2420" s="211">
        <f t="shared" si="937"/>
        <v>0.11700000000000001</v>
      </c>
      <c r="AH2420" s="157">
        <f t="shared" si="946"/>
        <v>0</v>
      </c>
      <c r="AI2420" s="152">
        <f t="shared" si="939"/>
        <v>4000</v>
      </c>
      <c r="AK2420" s="156" t="s">
        <v>691</v>
      </c>
      <c r="AL2420" s="212" t="s">
        <v>690</v>
      </c>
      <c r="AM2420" s="198">
        <f t="shared" si="948"/>
        <v>0</v>
      </c>
      <c r="AN2420" s="199">
        <f t="shared" si="921"/>
        <v>45835</v>
      </c>
      <c r="AO2420" s="159" t="s">
        <v>692</v>
      </c>
      <c r="AP2420" s="781"/>
      <c r="AQ2420" s="782"/>
      <c r="AR2420" s="782" t="s">
        <v>2144</v>
      </c>
      <c r="AS2420" s="782"/>
      <c r="AT2420" s="782">
        <v>12085802</v>
      </c>
      <c r="AU2420" s="781"/>
      <c r="AV2420" s="782">
        <v>12085309</v>
      </c>
      <c r="AW2420" s="782"/>
      <c r="AX2420" s="798" t="s">
        <v>2145</v>
      </c>
      <c r="AY2420" s="798"/>
      <c r="AZ2420" s="782"/>
      <c r="BA2420" s="781"/>
      <c r="BB2420" s="209">
        <v>23094763</v>
      </c>
    </row>
    <row r="2421" spans="1:54" ht="25" hidden="1" customHeight="1">
      <c r="A2421" s="754" t="s">
        <v>438</v>
      </c>
      <c r="B2421" s="332">
        <v>45835</v>
      </c>
      <c r="C2421" s="333">
        <v>45862</v>
      </c>
      <c r="D2421" s="185">
        <f t="shared" si="931"/>
        <v>2025</v>
      </c>
      <c r="E2421" s="335" t="e">
        <f>VLOOKUP($B2421,Week!$A$1:$C$1462,2,0)</f>
        <v>#N/A</v>
      </c>
      <c r="F2421" s="334" t="str">
        <f t="shared" si="932"/>
        <v>Jun</v>
      </c>
      <c r="G2421" s="335" t="s">
        <v>2332</v>
      </c>
      <c r="H2421" s="335" t="s">
        <v>311</v>
      </c>
      <c r="I2421" s="335" t="s">
        <v>2772</v>
      </c>
      <c r="J2421" s="336" t="s">
        <v>738</v>
      </c>
      <c r="K2421" s="337" t="s">
        <v>671</v>
      </c>
      <c r="L2421" s="300" t="s">
        <v>2167</v>
      </c>
      <c r="M2421" s="336" t="s">
        <v>661</v>
      </c>
      <c r="N2421" s="335" t="s">
        <v>666</v>
      </c>
      <c r="O2421" s="335" t="s">
        <v>566</v>
      </c>
      <c r="P2421" s="338">
        <v>16</v>
      </c>
      <c r="Q2421" s="338">
        <v>6</v>
      </c>
      <c r="R2421" s="339">
        <v>6.1999999999999998E-3</v>
      </c>
      <c r="S2421" s="335" t="s">
        <v>55</v>
      </c>
      <c r="T2421" s="335" t="s">
        <v>112</v>
      </c>
      <c r="U2421" s="335" t="s">
        <v>662</v>
      </c>
      <c r="V2421" s="341">
        <v>250</v>
      </c>
      <c r="W2421" s="341">
        <v>250</v>
      </c>
      <c r="X2421" s="342"/>
      <c r="Y2421" s="343">
        <f t="shared" si="944"/>
        <v>0</v>
      </c>
      <c r="Z2421" s="344">
        <f t="shared" si="935"/>
        <v>0</v>
      </c>
      <c r="AA2421" s="344">
        <f t="shared" si="933"/>
        <v>0</v>
      </c>
      <c r="AB2421" s="817">
        <v>1</v>
      </c>
      <c r="AC2421" s="341">
        <f t="shared" si="945"/>
        <v>0</v>
      </c>
      <c r="AD2421" s="209"/>
      <c r="AE2421" s="210">
        <f t="shared" si="936"/>
        <v>0</v>
      </c>
      <c r="AF2421" s="210">
        <f t="shared" si="947"/>
        <v>0</v>
      </c>
      <c r="AG2421" s="211">
        <f t="shared" si="937"/>
        <v>0.11700000000000001</v>
      </c>
      <c r="AH2421" s="157">
        <f t="shared" si="946"/>
        <v>0</v>
      </c>
      <c r="AI2421" s="152">
        <f t="shared" si="939"/>
        <v>4000</v>
      </c>
      <c r="AK2421" s="156" t="s">
        <v>691</v>
      </c>
      <c r="AL2421" s="212" t="s">
        <v>690</v>
      </c>
      <c r="AM2421" s="198">
        <f t="shared" si="948"/>
        <v>0</v>
      </c>
      <c r="AN2421" s="199">
        <f t="shared" si="921"/>
        <v>45835</v>
      </c>
      <c r="AO2421" s="159" t="s">
        <v>692</v>
      </c>
      <c r="AP2421" s="781"/>
      <c r="AQ2421" s="782"/>
      <c r="AR2421" s="782" t="s">
        <v>2144</v>
      </c>
      <c r="AS2421" s="782"/>
      <c r="AT2421" s="782">
        <v>12085802</v>
      </c>
      <c r="AU2421" s="781"/>
      <c r="AV2421" s="782">
        <v>12085309</v>
      </c>
      <c r="AW2421" s="782"/>
      <c r="AX2421" s="798" t="s">
        <v>2145</v>
      </c>
      <c r="AY2421" s="798"/>
      <c r="AZ2421" s="782"/>
      <c r="BA2421" s="781"/>
      <c r="BB2421" s="209">
        <v>23094763</v>
      </c>
    </row>
    <row r="2422" spans="1:54" ht="25" hidden="1" customHeight="1">
      <c r="B2422" s="213">
        <v>45835</v>
      </c>
      <c r="C2422" s="214">
        <v>45853</v>
      </c>
      <c r="D2422" s="185">
        <f t="shared" si="931"/>
        <v>2025</v>
      </c>
      <c r="E2422" s="215" t="e">
        <f>VLOOKUP($B2422,Week!$A$1:$C$1462,2,0)</f>
        <v>#N/A</v>
      </c>
      <c r="F2422" s="216" t="str">
        <f t="shared" si="932"/>
        <v>Jun</v>
      </c>
      <c r="G2422" s="215" t="s">
        <v>2346</v>
      </c>
      <c r="H2422" s="215" t="s">
        <v>134</v>
      </c>
      <c r="I2422" s="215" t="s">
        <v>2772</v>
      </c>
      <c r="J2422" s="209" t="s">
        <v>164</v>
      </c>
      <c r="K2422" s="217" t="s">
        <v>1648</v>
      </c>
      <c r="L2422" s="300" t="s">
        <v>2167</v>
      </c>
      <c r="M2422" s="209" t="s">
        <v>2384</v>
      </c>
      <c r="N2422" s="215" t="s">
        <v>205</v>
      </c>
      <c r="O2422" s="215" t="s">
        <v>206</v>
      </c>
      <c r="P2422" s="218">
        <v>24</v>
      </c>
      <c r="Q2422" s="218">
        <v>5</v>
      </c>
      <c r="R2422" s="219">
        <v>8.0000000000000002E-3</v>
      </c>
      <c r="S2422" s="215" t="s">
        <v>40</v>
      </c>
      <c r="T2422" s="215" t="s">
        <v>56</v>
      </c>
      <c r="U2422" s="480" t="s">
        <v>499</v>
      </c>
      <c r="V2422" s="220">
        <f>500</f>
        <v>500</v>
      </c>
      <c r="W2422" s="220">
        <f>500</f>
        <v>500</v>
      </c>
      <c r="X2422" s="221"/>
      <c r="Y2422" s="222">
        <f t="shared" si="944"/>
        <v>0</v>
      </c>
      <c r="Z2422" s="223">
        <f t="shared" si="935"/>
        <v>0</v>
      </c>
      <c r="AA2422" s="220">
        <f t="shared" si="933"/>
        <v>0</v>
      </c>
      <c r="AB2422" s="807">
        <v>1</v>
      </c>
      <c r="AC2422" s="220">
        <f t="shared" si="945"/>
        <v>0</v>
      </c>
      <c r="AD2422" s="381"/>
      <c r="AE2422" s="210">
        <f t="shared" si="936"/>
        <v>0</v>
      </c>
      <c r="AF2422" s="210">
        <f t="shared" si="947"/>
        <v>0</v>
      </c>
      <c r="AG2422" s="211">
        <f t="shared" si="937"/>
        <v>0.115</v>
      </c>
      <c r="AH2422" s="157">
        <f t="shared" si="946"/>
        <v>0</v>
      </c>
      <c r="AI2422" s="152">
        <f t="shared" si="939"/>
        <v>12000</v>
      </c>
      <c r="AK2422" s="156" t="s">
        <v>691</v>
      </c>
      <c r="AL2422" s="212" t="s">
        <v>690</v>
      </c>
      <c r="AM2422" s="198">
        <f t="shared" si="948"/>
        <v>0</v>
      </c>
      <c r="AN2422" s="199">
        <f t="shared" si="921"/>
        <v>45835</v>
      </c>
      <c r="AO2422" s="159" t="s">
        <v>692</v>
      </c>
      <c r="AP2422" s="783" t="s">
        <v>610</v>
      </c>
      <c r="AQ2422" s="782">
        <v>12071839</v>
      </c>
      <c r="AR2422" s="782">
        <v>12047514</v>
      </c>
      <c r="AS2422" s="782">
        <v>12047515</v>
      </c>
      <c r="AT2422" s="782"/>
      <c r="AU2422" s="782">
        <v>12026902</v>
      </c>
      <c r="AV2422" s="782">
        <v>12054722</v>
      </c>
      <c r="AW2422" s="782">
        <v>12026904</v>
      </c>
      <c r="AX2422" s="782"/>
      <c r="AY2422" s="782">
        <v>12094111</v>
      </c>
      <c r="AZ2422" s="782">
        <v>12094113</v>
      </c>
      <c r="BA2422" s="782">
        <v>12094114</v>
      </c>
    </row>
    <row r="2423" spans="1:54" ht="25" hidden="1" customHeight="1">
      <c r="B2423" s="213">
        <v>45835</v>
      </c>
      <c r="C2423" s="214">
        <v>45853</v>
      </c>
      <c r="D2423" s="185">
        <f t="shared" si="931"/>
        <v>2025</v>
      </c>
      <c r="E2423" s="215" t="e">
        <f>VLOOKUP($B2423,Week!$A$1:$C$1462,2,0)</f>
        <v>#N/A</v>
      </c>
      <c r="F2423" s="216" t="str">
        <f t="shared" si="932"/>
        <v>Jun</v>
      </c>
      <c r="G2423" s="215" t="s">
        <v>2346</v>
      </c>
      <c r="H2423" s="215" t="s">
        <v>134</v>
      </c>
      <c r="I2423" s="215" t="s">
        <v>2772</v>
      </c>
      <c r="J2423" s="209" t="s">
        <v>164</v>
      </c>
      <c r="K2423" s="217" t="s">
        <v>176</v>
      </c>
      <c r="L2423" s="300" t="s">
        <v>2167</v>
      </c>
      <c r="M2423" s="209" t="s">
        <v>193</v>
      </c>
      <c r="N2423" s="215" t="s">
        <v>194</v>
      </c>
      <c r="O2423" s="215" t="s">
        <v>195</v>
      </c>
      <c r="P2423" s="218">
        <v>24</v>
      </c>
      <c r="Q2423" s="218">
        <v>5</v>
      </c>
      <c r="R2423" s="219">
        <v>8.0000000000000002E-3</v>
      </c>
      <c r="S2423" s="215" t="s">
        <v>40</v>
      </c>
      <c r="T2423" s="215" t="s">
        <v>56</v>
      </c>
      <c r="U2423" s="215" t="s">
        <v>57</v>
      </c>
      <c r="V2423" s="220">
        <f>500</f>
        <v>500</v>
      </c>
      <c r="W2423" s="220">
        <f>500</f>
        <v>500</v>
      </c>
      <c r="X2423" s="221"/>
      <c r="Y2423" s="222">
        <f t="shared" si="944"/>
        <v>0</v>
      </c>
      <c r="Z2423" s="223">
        <f t="shared" si="935"/>
        <v>0</v>
      </c>
      <c r="AA2423" s="220">
        <f t="shared" si="933"/>
        <v>0</v>
      </c>
      <c r="AB2423" s="807">
        <v>2</v>
      </c>
      <c r="AC2423" s="220">
        <f t="shared" si="945"/>
        <v>0</v>
      </c>
      <c r="AD2423" s="381"/>
      <c r="AE2423" s="210">
        <f t="shared" si="936"/>
        <v>0</v>
      </c>
      <c r="AF2423" s="210">
        <f t="shared" si="947"/>
        <v>0</v>
      </c>
      <c r="AG2423" s="211">
        <f t="shared" si="937"/>
        <v>0.14499999999999999</v>
      </c>
      <c r="AH2423" s="157">
        <f t="shared" si="946"/>
        <v>0</v>
      </c>
      <c r="AI2423" s="152">
        <f t="shared" si="939"/>
        <v>12000</v>
      </c>
      <c r="AK2423" s="156" t="s">
        <v>691</v>
      </c>
      <c r="AL2423" s="212" t="s">
        <v>690</v>
      </c>
      <c r="AM2423" s="198">
        <f t="shared" si="948"/>
        <v>0</v>
      </c>
      <c r="AN2423" s="199">
        <f t="shared" si="921"/>
        <v>45835</v>
      </c>
      <c r="AO2423" s="159" t="s">
        <v>692</v>
      </c>
      <c r="AP2423" s="783" t="s">
        <v>610</v>
      </c>
      <c r="AQ2423" s="782">
        <v>12071839</v>
      </c>
      <c r="AR2423" s="782">
        <v>12047514</v>
      </c>
      <c r="AS2423" s="782">
        <v>12047515</v>
      </c>
      <c r="AT2423" s="782"/>
      <c r="AU2423" s="782">
        <v>12026902</v>
      </c>
      <c r="AV2423" s="782">
        <v>12054724</v>
      </c>
      <c r="AW2423" s="782">
        <v>12026904</v>
      </c>
      <c r="AX2423" s="782"/>
      <c r="AY2423" s="782">
        <v>12094406</v>
      </c>
      <c r="AZ2423" s="782">
        <v>12094407</v>
      </c>
      <c r="BA2423" s="782">
        <v>12094408</v>
      </c>
    </row>
    <row r="2424" spans="1:54" ht="25" hidden="1" customHeight="1">
      <c r="A2424" s="440"/>
      <c r="B2424" s="295">
        <v>45835</v>
      </c>
      <c r="C2424" s="295">
        <v>45862</v>
      </c>
      <c r="D2424" s="298">
        <f t="shared" si="931"/>
        <v>2025</v>
      </c>
      <c r="E2424" s="855" t="e">
        <f>VLOOKUP($B2424,Week!$A$1:$C$1462,2,0)</f>
        <v>#N/A</v>
      </c>
      <c r="F2424" s="856" t="str">
        <f t="shared" si="932"/>
        <v>Jun</v>
      </c>
      <c r="G2424" s="857" t="s">
        <v>2297</v>
      </c>
      <c r="H2424" s="298" t="s">
        <v>267</v>
      </c>
      <c r="I2424" s="298" t="s">
        <v>2772</v>
      </c>
      <c r="J2424" s="299" t="s">
        <v>699</v>
      </c>
      <c r="K2424" s="300" t="s">
        <v>107</v>
      </c>
      <c r="L2424" s="300" t="s">
        <v>2167</v>
      </c>
      <c r="M2424" s="299" t="s">
        <v>136</v>
      </c>
      <c r="N2424" s="298" t="s">
        <v>2289</v>
      </c>
      <c r="O2424" s="298" t="s">
        <v>270</v>
      </c>
      <c r="P2424" s="301">
        <v>12</v>
      </c>
      <c r="Q2424" s="301">
        <v>3</v>
      </c>
      <c r="R2424" s="302">
        <v>7.4999999999999997E-3</v>
      </c>
      <c r="S2424" s="298" t="s">
        <v>76</v>
      </c>
      <c r="T2424" s="298" t="s">
        <v>112</v>
      </c>
      <c r="U2424" s="298" t="s">
        <v>57</v>
      </c>
      <c r="V2424" s="303">
        <v>2520</v>
      </c>
      <c r="W2424" s="303">
        <v>2520</v>
      </c>
      <c r="X2424" s="304"/>
      <c r="Y2424" s="305">
        <f t="shared" si="944"/>
        <v>0</v>
      </c>
      <c r="Z2424" s="306">
        <f t="shared" si="935"/>
        <v>0</v>
      </c>
      <c r="AA2424" s="306">
        <f t="shared" si="933"/>
        <v>0</v>
      </c>
      <c r="AB2424" s="814">
        <v>7.4999999999999997E-3</v>
      </c>
      <c r="AC2424" s="303">
        <f t="shared" si="945"/>
        <v>0</v>
      </c>
      <c r="AD2424" s="443"/>
      <c r="AE2424" s="210">
        <f t="shared" si="936"/>
        <v>0</v>
      </c>
      <c r="AF2424" s="210">
        <f t="shared" si="947"/>
        <v>0</v>
      </c>
      <c r="AG2424" s="211">
        <f t="shared" si="937"/>
        <v>0.309</v>
      </c>
      <c r="AH2424" s="157">
        <f t="shared" si="946"/>
        <v>0</v>
      </c>
      <c r="AI2424" s="152">
        <f t="shared" si="939"/>
        <v>30240</v>
      </c>
      <c r="AK2424" s="156" t="s">
        <v>691</v>
      </c>
      <c r="AL2424" s="212" t="s">
        <v>690</v>
      </c>
      <c r="AM2424" s="198">
        <f t="shared" ref="AM2424:AM2429" si="949">AG2424*Z2424</f>
        <v>0</v>
      </c>
      <c r="AN2424" s="199">
        <f t="shared" si="921"/>
        <v>45835</v>
      </c>
      <c r="AO2424" s="159" t="s">
        <v>692</v>
      </c>
      <c r="AP2424" s="781"/>
      <c r="AQ2424" s="782">
        <v>12063755</v>
      </c>
      <c r="AR2424" s="782">
        <v>12081257</v>
      </c>
      <c r="AS2424" s="782">
        <v>12081260</v>
      </c>
      <c r="AT2424" s="782"/>
      <c r="AU2424" s="781"/>
      <c r="AV2424" s="782">
        <v>12095577</v>
      </c>
      <c r="AW2424" s="782"/>
      <c r="AX2424" s="782"/>
      <c r="AY2424" s="782">
        <v>12094579</v>
      </c>
      <c r="AZ2424" s="782">
        <v>12094580</v>
      </c>
      <c r="BA2424" s="782">
        <v>12094581</v>
      </c>
      <c r="BB2424" s="209">
        <v>23053185</v>
      </c>
    </row>
    <row r="2425" spans="1:54" ht="25" hidden="1" customHeight="1">
      <c r="B2425" s="345">
        <v>45835</v>
      </c>
      <c r="C2425" s="464">
        <v>45853</v>
      </c>
      <c r="D2425" s="185">
        <f t="shared" si="931"/>
        <v>2025</v>
      </c>
      <c r="E2425" s="464" t="e">
        <f>VLOOKUP($B2425,Week!$A$1:$C$1462,2,0)</f>
        <v>#N/A</v>
      </c>
      <c r="F2425" s="465" t="str">
        <f t="shared" si="932"/>
        <v>Jun</v>
      </c>
      <c r="G2425" s="347" t="s">
        <v>2346</v>
      </c>
      <c r="H2425" s="347" t="s">
        <v>134</v>
      </c>
      <c r="I2425" s="347" t="s">
        <v>2772</v>
      </c>
      <c r="J2425" s="349" t="s">
        <v>135</v>
      </c>
      <c r="K2425" s="350" t="s">
        <v>107</v>
      </c>
      <c r="L2425" s="300" t="s">
        <v>2167</v>
      </c>
      <c r="M2425" s="349" t="s">
        <v>136</v>
      </c>
      <c r="N2425" s="347" t="s">
        <v>137</v>
      </c>
      <c r="O2425" s="347" t="s">
        <v>138</v>
      </c>
      <c r="P2425" s="351">
        <v>24</v>
      </c>
      <c r="Q2425" s="351">
        <v>3</v>
      </c>
      <c r="R2425" s="352">
        <v>7.4999999999999997E-3</v>
      </c>
      <c r="S2425" s="347" t="s">
        <v>111</v>
      </c>
      <c r="T2425" s="347" t="s">
        <v>56</v>
      </c>
      <c r="U2425" s="347" t="s">
        <v>572</v>
      </c>
      <c r="V2425" s="353">
        <f>500</f>
        <v>500</v>
      </c>
      <c r="W2425" s="353">
        <f>8+487+5</f>
        <v>500</v>
      </c>
      <c r="X2425" s="354"/>
      <c r="Y2425" s="355">
        <f t="shared" si="944"/>
        <v>0</v>
      </c>
      <c r="Z2425" s="356">
        <f t="shared" si="935"/>
        <v>0</v>
      </c>
      <c r="AA2425" s="356">
        <f t="shared" si="933"/>
        <v>0</v>
      </c>
      <c r="AB2425" s="818">
        <v>1</v>
      </c>
      <c r="AC2425" s="353">
        <f t="shared" si="945"/>
        <v>0</v>
      </c>
      <c r="AD2425" s="443"/>
      <c r="AE2425" s="210">
        <f t="shared" si="936"/>
        <v>0</v>
      </c>
      <c r="AF2425" s="210">
        <f t="shared" si="947"/>
        <v>0</v>
      </c>
      <c r="AG2425" s="211">
        <f t="shared" si="937"/>
        <v>0.219</v>
      </c>
      <c r="AH2425" s="157">
        <f t="shared" si="946"/>
        <v>0</v>
      </c>
      <c r="AI2425" s="152">
        <f t="shared" si="939"/>
        <v>12000</v>
      </c>
      <c r="AK2425" s="156" t="s">
        <v>691</v>
      </c>
      <c r="AL2425" s="212" t="s">
        <v>690</v>
      </c>
      <c r="AM2425" s="198">
        <f>AG2425*Z2425</f>
        <v>0</v>
      </c>
      <c r="AN2425" s="199">
        <f t="shared" si="921"/>
        <v>45835</v>
      </c>
      <c r="AO2425" s="159" t="s">
        <v>692</v>
      </c>
      <c r="AP2425" s="783" t="s">
        <v>610</v>
      </c>
      <c r="AQ2425" s="796" t="s">
        <v>1500</v>
      </c>
      <c r="AR2425" s="782" t="s">
        <v>140</v>
      </c>
      <c r="AS2425" s="782" t="s">
        <v>141</v>
      </c>
      <c r="AT2425" s="782"/>
      <c r="AU2425" s="783" t="s">
        <v>568</v>
      </c>
      <c r="AV2425" s="796" t="s">
        <v>569</v>
      </c>
      <c r="AW2425" s="796" t="s">
        <v>570</v>
      </c>
      <c r="AX2425" s="782"/>
      <c r="AY2425" s="782">
        <v>12095878</v>
      </c>
      <c r="AZ2425" s="782">
        <v>12095879</v>
      </c>
      <c r="BA2425" s="782">
        <v>12095880</v>
      </c>
    </row>
    <row r="2426" spans="1:54" ht="25" hidden="1" customHeight="1">
      <c r="B2426" s="498">
        <v>45835</v>
      </c>
      <c r="C2426" s="499">
        <v>45869</v>
      </c>
      <c r="D2426" s="185">
        <f t="shared" si="931"/>
        <v>2025</v>
      </c>
      <c r="E2426" s="499" t="e">
        <f>VLOOKUP($B2426,Week!$A$1:$C$1462,2,0)</f>
        <v>#N/A</v>
      </c>
      <c r="F2426" s="500" t="str">
        <f t="shared" si="932"/>
        <v>Jun</v>
      </c>
      <c r="G2426" s="501" t="s">
        <v>2252</v>
      </c>
      <c r="H2426" s="501" t="s">
        <v>311</v>
      </c>
      <c r="I2426" s="501" t="s">
        <v>2772</v>
      </c>
      <c r="J2426" s="502" t="s">
        <v>738</v>
      </c>
      <c r="K2426" s="503" t="s">
        <v>1646</v>
      </c>
      <c r="L2426" s="300" t="s">
        <v>2167</v>
      </c>
      <c r="M2426" s="502" t="s">
        <v>654</v>
      </c>
      <c r="N2426" s="501" t="s">
        <v>726</v>
      </c>
      <c r="O2426" s="501" t="s">
        <v>655</v>
      </c>
      <c r="P2426" s="504">
        <v>24</v>
      </c>
      <c r="Q2426" s="504">
        <v>5</v>
      </c>
      <c r="R2426" s="505">
        <v>7.4999999999999997E-3</v>
      </c>
      <c r="S2426" s="501" t="s">
        <v>40</v>
      </c>
      <c r="T2426" s="501" t="s">
        <v>112</v>
      </c>
      <c r="U2426" s="506" t="s">
        <v>1894</v>
      </c>
      <c r="V2426" s="507">
        <v>924</v>
      </c>
      <c r="W2426" s="507">
        <f>61+844+19</f>
        <v>924</v>
      </c>
      <c r="X2426" s="508"/>
      <c r="Y2426" s="509">
        <f t="shared" si="944"/>
        <v>0</v>
      </c>
      <c r="Z2426" s="510">
        <f t="shared" si="935"/>
        <v>0</v>
      </c>
      <c r="AA2426" s="510">
        <f t="shared" si="933"/>
        <v>0</v>
      </c>
      <c r="AB2426" s="830">
        <v>3.8699999999999998E-2</v>
      </c>
      <c r="AC2426" s="507">
        <f t="shared" si="945"/>
        <v>0</v>
      </c>
      <c r="AD2426" s="209"/>
      <c r="AE2426" s="210">
        <f t="shared" si="936"/>
        <v>0</v>
      </c>
      <c r="AF2426" s="210">
        <f t="shared" si="947"/>
        <v>0</v>
      </c>
      <c r="AG2426" s="211">
        <f t="shared" si="937"/>
        <v>0.307</v>
      </c>
      <c r="AH2426" s="157">
        <f t="shared" si="946"/>
        <v>0</v>
      </c>
      <c r="AI2426" s="152">
        <f t="shared" si="939"/>
        <v>22176</v>
      </c>
      <c r="AK2426" s="156" t="s">
        <v>691</v>
      </c>
      <c r="AL2426" s="212" t="s">
        <v>690</v>
      </c>
      <c r="AM2426" s="198">
        <f>AG2426*Z2426</f>
        <v>0</v>
      </c>
      <c r="AN2426" s="199">
        <f t="shared" si="921"/>
        <v>45835</v>
      </c>
      <c r="AO2426" s="159" t="s">
        <v>692</v>
      </c>
      <c r="AP2426" s="781" t="s">
        <v>642</v>
      </c>
      <c r="AQ2426" s="782">
        <v>12063755</v>
      </c>
      <c r="AR2426" s="782">
        <v>12061353</v>
      </c>
      <c r="AS2426" s="782">
        <v>12061354</v>
      </c>
      <c r="AT2426" s="782">
        <v>12089274</v>
      </c>
      <c r="AU2426" s="781"/>
      <c r="AV2426" s="782">
        <v>12089275</v>
      </c>
      <c r="AW2426" s="782">
        <v>12068154</v>
      </c>
      <c r="AX2426" s="782"/>
      <c r="AY2426" s="782">
        <v>12094140</v>
      </c>
      <c r="AZ2426" s="782"/>
      <c r="BA2426" s="781"/>
      <c r="BB2426" s="209">
        <v>23105470</v>
      </c>
    </row>
    <row r="2427" spans="1:54" ht="24.75" hidden="1" customHeight="1">
      <c r="A2427" s="142" t="s">
        <v>120</v>
      </c>
      <c r="B2427" s="308">
        <v>45836</v>
      </c>
      <c r="C2427" s="644" t="s">
        <v>1931</v>
      </c>
      <c r="D2427" s="185">
        <f t="shared" si="931"/>
        <v>2025</v>
      </c>
      <c r="E2427" s="519" t="e">
        <f>VLOOKUP($B2427,Week!$A$1:$C$1462,2,0)</f>
        <v>#N/A</v>
      </c>
      <c r="F2427" s="520" t="str">
        <f t="shared" si="932"/>
        <v>Jun</v>
      </c>
      <c r="G2427" s="644" t="s">
        <v>47</v>
      </c>
      <c r="H2427" s="311" t="s">
        <v>518</v>
      </c>
      <c r="I2427" s="311" t="s">
        <v>2702</v>
      </c>
      <c r="J2427" s="312" t="s">
        <v>70</v>
      </c>
      <c r="K2427" s="313" t="s">
        <v>85</v>
      </c>
      <c r="L2427" s="390" t="s">
        <v>2166</v>
      </c>
      <c r="M2427" s="312" t="s">
        <v>515</v>
      </c>
      <c r="N2427" s="311" t="s">
        <v>588</v>
      </c>
      <c r="O2427" s="311" t="s">
        <v>546</v>
      </c>
      <c r="P2427" s="314">
        <v>12</v>
      </c>
      <c r="Q2427" s="314">
        <v>20</v>
      </c>
      <c r="R2427" s="315">
        <v>6.1999999999999998E-3</v>
      </c>
      <c r="S2427" s="311" t="s">
        <v>352</v>
      </c>
      <c r="T2427" s="311" t="s">
        <v>56</v>
      </c>
      <c r="U2427" s="311"/>
      <c r="V2427" s="316">
        <f>500</f>
        <v>500</v>
      </c>
      <c r="W2427" s="316">
        <f>29+28+443</f>
        <v>500</v>
      </c>
      <c r="X2427" s="317"/>
      <c r="Y2427" s="318">
        <f t="shared" si="944"/>
        <v>0</v>
      </c>
      <c r="Z2427" s="319">
        <f t="shared" si="935"/>
        <v>0</v>
      </c>
      <c r="AA2427" s="319">
        <f t="shared" si="933"/>
        <v>0</v>
      </c>
      <c r="AB2427" s="815"/>
      <c r="AC2427" s="316">
        <f t="shared" si="945"/>
        <v>0</v>
      </c>
      <c r="AD2427" s="209"/>
      <c r="AE2427" s="210">
        <f t="shared" si="936"/>
        <v>0</v>
      </c>
      <c r="AF2427" s="210">
        <f t="shared" si="947"/>
        <v>0</v>
      </c>
      <c r="AG2427" s="211">
        <f t="shared" si="937"/>
        <v>0.22</v>
      </c>
      <c r="AH2427" s="157">
        <f t="shared" si="946"/>
        <v>0</v>
      </c>
      <c r="AI2427" s="152">
        <f t="shared" si="939"/>
        <v>6000</v>
      </c>
      <c r="AK2427" s="156" t="s">
        <v>691</v>
      </c>
      <c r="AL2427" s="156" t="s">
        <v>689</v>
      </c>
      <c r="AM2427" s="198">
        <f t="shared" si="949"/>
        <v>0</v>
      </c>
      <c r="AN2427" s="199">
        <f t="shared" si="921"/>
        <v>45836</v>
      </c>
      <c r="AO2427" s="159" t="s">
        <v>692</v>
      </c>
      <c r="AP2427" s="783" t="s">
        <v>613</v>
      </c>
      <c r="AQ2427" s="782"/>
      <c r="AR2427" s="782" t="s">
        <v>614</v>
      </c>
      <c r="AS2427" s="782"/>
      <c r="AT2427" s="782"/>
      <c r="AU2427" s="781"/>
      <c r="AV2427" s="782">
        <v>12083143</v>
      </c>
      <c r="AW2427" s="782"/>
      <c r="AX2427" s="782" t="s">
        <v>2187</v>
      </c>
      <c r="AY2427" s="782"/>
      <c r="AZ2427" s="782"/>
      <c r="BA2427" s="781"/>
      <c r="BB2427" s="209"/>
    </row>
    <row r="2428" spans="1:54" ht="25" hidden="1" customHeight="1">
      <c r="A2428" s="142" t="s">
        <v>120</v>
      </c>
      <c r="B2428" s="559">
        <v>45836</v>
      </c>
      <c r="C2428" s="560">
        <v>45853</v>
      </c>
      <c r="D2428" s="185">
        <f t="shared" si="931"/>
        <v>2025</v>
      </c>
      <c r="E2428" s="561" t="e">
        <f>VLOOKUP($B2428,Week!$A$1:$C$1462,2,0)</f>
        <v>#N/A</v>
      </c>
      <c r="F2428" s="562" t="str">
        <f t="shared" si="932"/>
        <v>Jun</v>
      </c>
      <c r="G2428" s="561" t="s">
        <v>2346</v>
      </c>
      <c r="H2428" s="561" t="s">
        <v>134</v>
      </c>
      <c r="I2428" s="561" t="s">
        <v>2772</v>
      </c>
      <c r="J2428" s="563" t="s">
        <v>164</v>
      </c>
      <c r="K2428" s="564" t="s">
        <v>355</v>
      </c>
      <c r="L2428" s="390" t="s">
        <v>2166</v>
      </c>
      <c r="M2428" s="563" t="s">
        <v>356</v>
      </c>
      <c r="N2428" s="561" t="s">
        <v>652</v>
      </c>
      <c r="O2428" s="561" t="s">
        <v>508</v>
      </c>
      <c r="P2428" s="565">
        <v>18</v>
      </c>
      <c r="Q2428" s="565">
        <v>8</v>
      </c>
      <c r="R2428" s="566">
        <v>6.1999999999999998E-3</v>
      </c>
      <c r="S2428" s="561" t="s">
        <v>55</v>
      </c>
      <c r="T2428" s="561" t="s">
        <v>56</v>
      </c>
      <c r="U2428" s="561" t="s">
        <v>89</v>
      </c>
      <c r="V2428" s="567">
        <f>600</f>
        <v>600</v>
      </c>
      <c r="W2428" s="567">
        <f>19+581</f>
        <v>600</v>
      </c>
      <c r="X2428" s="568"/>
      <c r="Y2428" s="569">
        <f t="shared" si="944"/>
        <v>0</v>
      </c>
      <c r="Z2428" s="570">
        <f t="shared" si="935"/>
        <v>0</v>
      </c>
      <c r="AA2428" s="570">
        <f t="shared" si="933"/>
        <v>0</v>
      </c>
      <c r="AB2428" s="834">
        <v>2</v>
      </c>
      <c r="AC2428" s="567">
        <f t="shared" si="945"/>
        <v>0</v>
      </c>
      <c r="AD2428" s="209"/>
      <c r="AE2428" s="210">
        <f t="shared" si="936"/>
        <v>0</v>
      </c>
      <c r="AF2428" s="210">
        <f t="shared" si="947"/>
        <v>0</v>
      </c>
      <c r="AG2428" s="211">
        <f>MID(O2428,1,2)/1000</f>
        <v>0.09</v>
      </c>
      <c r="AH2428" s="157">
        <f t="shared" si="946"/>
        <v>0</v>
      </c>
      <c r="AI2428" s="152">
        <f t="shared" si="939"/>
        <v>10800</v>
      </c>
      <c r="AK2428" s="156" t="s">
        <v>691</v>
      </c>
      <c r="AL2428" s="156" t="s">
        <v>689</v>
      </c>
      <c r="AM2428" s="198">
        <f t="shared" si="949"/>
        <v>0</v>
      </c>
      <c r="AN2428" s="199">
        <f t="shared" si="921"/>
        <v>45836</v>
      </c>
      <c r="AO2428" s="159" t="s">
        <v>692</v>
      </c>
      <c r="AP2428" s="783"/>
      <c r="AQ2428" s="782"/>
      <c r="AR2428" s="782" t="s">
        <v>531</v>
      </c>
      <c r="AS2428" s="782"/>
      <c r="AT2428" s="782"/>
      <c r="AU2428" s="782">
        <v>12054219</v>
      </c>
      <c r="AV2428" s="782">
        <v>12084877</v>
      </c>
      <c r="AW2428" s="782"/>
      <c r="AX2428" s="782" t="s">
        <v>2155</v>
      </c>
      <c r="AY2428" s="782"/>
      <c r="AZ2428" s="782"/>
      <c r="BA2428" s="781"/>
      <c r="BB2428" s="209">
        <v>23053184</v>
      </c>
    </row>
    <row r="2429" spans="1:54" ht="24.65" hidden="1" customHeight="1">
      <c r="A2429" s="142" t="s">
        <v>120</v>
      </c>
      <c r="B2429" s="546">
        <v>45836</v>
      </c>
      <c r="C2429" s="547">
        <v>45853</v>
      </c>
      <c r="D2429" s="549">
        <f t="shared" si="931"/>
        <v>2025</v>
      </c>
      <c r="E2429" s="549" t="e">
        <f>VLOOKUP($B2429,Week!$A$1:$C$1462,2,0)</f>
        <v>#N/A</v>
      </c>
      <c r="F2429" s="548" t="str">
        <f t="shared" si="932"/>
        <v>Jun</v>
      </c>
      <c r="G2429" s="864" t="s">
        <v>2361</v>
      </c>
      <c r="H2429" s="549" t="s">
        <v>134</v>
      </c>
      <c r="I2429" s="549" t="s">
        <v>2772</v>
      </c>
      <c r="J2429" s="550" t="s">
        <v>164</v>
      </c>
      <c r="K2429" s="551" t="s">
        <v>153</v>
      </c>
      <c r="L2429" s="551" t="s">
        <v>2166</v>
      </c>
      <c r="M2429" s="550" t="s">
        <v>2363</v>
      </c>
      <c r="N2429" s="549" t="s">
        <v>2364</v>
      </c>
      <c r="O2429" s="549" t="s">
        <v>2365</v>
      </c>
      <c r="P2429" s="552">
        <v>18</v>
      </c>
      <c r="Q2429" s="552">
        <v>8</v>
      </c>
      <c r="R2429" s="553">
        <v>6.8100000000000001E-3</v>
      </c>
      <c r="S2429" s="549" t="s">
        <v>76</v>
      </c>
      <c r="T2429" s="549" t="s">
        <v>56</v>
      </c>
      <c r="U2429" s="865" t="s">
        <v>499</v>
      </c>
      <c r="V2429" s="554">
        <v>500</v>
      </c>
      <c r="W2429" s="554">
        <f>500</f>
        <v>500</v>
      </c>
      <c r="X2429" s="555"/>
      <c r="Y2429" s="556">
        <f t="shared" si="944"/>
        <v>0</v>
      </c>
      <c r="Z2429" s="557">
        <f t="shared" si="935"/>
        <v>0</v>
      </c>
      <c r="AA2429" s="557">
        <f t="shared" si="933"/>
        <v>0</v>
      </c>
      <c r="AB2429" s="833">
        <v>1</v>
      </c>
      <c r="AC2429" s="554">
        <f t="shared" si="945"/>
        <v>0</v>
      </c>
      <c r="AD2429" s="209" t="s">
        <v>2396</v>
      </c>
      <c r="AE2429" s="210">
        <f t="shared" si="936"/>
        <v>0</v>
      </c>
      <c r="AF2429" s="210">
        <f t="shared" si="947"/>
        <v>0</v>
      </c>
      <c r="AG2429" s="211">
        <f>MID(O2429,1,3)/1000</f>
        <v>0.126</v>
      </c>
      <c r="AH2429" s="157">
        <f t="shared" si="946"/>
        <v>0</v>
      </c>
      <c r="AI2429" s="152">
        <f t="shared" si="939"/>
        <v>9000</v>
      </c>
      <c r="AK2429" s="156" t="s">
        <v>691</v>
      </c>
      <c r="AL2429" s="156" t="s">
        <v>689</v>
      </c>
      <c r="AM2429" s="198">
        <f t="shared" si="949"/>
        <v>0</v>
      </c>
      <c r="AN2429" s="199">
        <f t="shared" si="921"/>
        <v>45836</v>
      </c>
      <c r="AO2429" s="159" t="s">
        <v>692</v>
      </c>
      <c r="AP2429" s="783"/>
      <c r="AQ2429" s="783" t="s">
        <v>631</v>
      </c>
      <c r="AR2429" s="796">
        <v>12038019</v>
      </c>
      <c r="AS2429" s="781"/>
      <c r="AT2429" s="782">
        <v>12083322</v>
      </c>
      <c r="AU2429" s="781"/>
      <c r="AV2429" s="796">
        <v>12083496</v>
      </c>
      <c r="AW2429" s="781"/>
      <c r="AX2429" s="781" t="s">
        <v>162</v>
      </c>
      <c r="AY2429" s="781"/>
      <c r="AZ2429" s="781"/>
      <c r="BA2429" s="781"/>
      <c r="BB2429" s="209"/>
    </row>
    <row r="2430" spans="1:54" ht="24.75" hidden="1" customHeight="1">
      <c r="B2430" s="295">
        <v>45836</v>
      </c>
      <c r="C2430" s="771" t="s">
        <v>1931</v>
      </c>
      <c r="D2430" s="185">
        <f t="shared" si="931"/>
        <v>2025</v>
      </c>
      <c r="E2430" s="296" t="e">
        <f>VLOOKUP($B2430,Week!$A$1:$C$1462,2,0)</f>
        <v>#N/A</v>
      </c>
      <c r="F2430" s="297" t="str">
        <f t="shared" si="932"/>
        <v>Jun</v>
      </c>
      <c r="G2430" s="648" t="s">
        <v>47</v>
      </c>
      <c r="H2430" s="298" t="s">
        <v>260</v>
      </c>
      <c r="I2430" s="298" t="s">
        <v>2702</v>
      </c>
      <c r="J2430" s="307" t="s">
        <v>2240</v>
      </c>
      <c r="K2430" s="300" t="s">
        <v>176</v>
      </c>
      <c r="L2430" s="300" t="s">
        <v>2167</v>
      </c>
      <c r="M2430" s="299" t="s">
        <v>2338</v>
      </c>
      <c r="N2430" s="298" t="s">
        <v>350</v>
      </c>
      <c r="O2430" s="298" t="s">
        <v>351</v>
      </c>
      <c r="P2430" s="301">
        <v>24</v>
      </c>
      <c r="Q2430" s="301">
        <v>5</v>
      </c>
      <c r="R2430" s="302">
        <v>6.1999999999999998E-3</v>
      </c>
      <c r="S2430" s="298" t="s">
        <v>352</v>
      </c>
      <c r="T2430" s="298" t="s">
        <v>56</v>
      </c>
      <c r="U2430" s="298" t="s">
        <v>57</v>
      </c>
      <c r="V2430" s="303">
        <v>2755</v>
      </c>
      <c r="W2430" s="303">
        <v>2755</v>
      </c>
      <c r="X2430" s="304"/>
      <c r="Y2430" s="305">
        <f t="shared" si="944"/>
        <v>0</v>
      </c>
      <c r="Z2430" s="306">
        <f t="shared" si="935"/>
        <v>0</v>
      </c>
      <c r="AA2430" s="306">
        <f t="shared" si="933"/>
        <v>0</v>
      </c>
      <c r="AB2430" s="814">
        <v>7.4999999999999997E-3</v>
      </c>
      <c r="AC2430" s="303">
        <f t="shared" si="945"/>
        <v>0</v>
      </c>
      <c r="AD2430" s="209"/>
      <c r="AE2430" s="210">
        <f t="shared" si="936"/>
        <v>0</v>
      </c>
      <c r="AF2430" s="210">
        <f t="shared" si="947"/>
        <v>0</v>
      </c>
      <c r="AG2430" s="211">
        <f>MID(O2430,1,3)/1000</f>
        <v>0.13</v>
      </c>
      <c r="AH2430" s="157">
        <f t="shared" si="946"/>
        <v>0</v>
      </c>
      <c r="AI2430" s="152">
        <f t="shared" si="939"/>
        <v>66120</v>
      </c>
      <c r="AK2430" s="156" t="s">
        <v>691</v>
      </c>
      <c r="AL2430" s="574" t="s">
        <v>690</v>
      </c>
      <c r="AM2430" s="198">
        <f t="shared" ref="AM2430:AM2439" si="950">AG2430*Z2430</f>
        <v>0</v>
      </c>
      <c r="AN2430" s="199">
        <f t="shared" ref="AN2430:AN2493" si="951">B2430</f>
        <v>45836</v>
      </c>
      <c r="AO2430" s="159" t="s">
        <v>692</v>
      </c>
      <c r="AP2430" s="783" t="s">
        <v>629</v>
      </c>
      <c r="AQ2430" s="782">
        <v>12071839</v>
      </c>
      <c r="AR2430" s="782">
        <v>12094356</v>
      </c>
      <c r="AS2430" s="782">
        <v>12068233</v>
      </c>
      <c r="AT2430" s="781"/>
      <c r="AU2430" s="781"/>
      <c r="AV2430" s="782">
        <v>12062075</v>
      </c>
      <c r="AW2430" s="781"/>
      <c r="AX2430" s="781"/>
      <c r="AY2430" s="782">
        <v>12094357</v>
      </c>
      <c r="AZ2430" s="781"/>
      <c r="BA2430" s="781"/>
      <c r="BB2430" s="209">
        <v>23053185</v>
      </c>
    </row>
    <row r="2431" spans="1:54" ht="25" hidden="1" customHeight="1">
      <c r="B2431" s="425">
        <v>45836</v>
      </c>
      <c r="C2431" s="425">
        <v>45845</v>
      </c>
      <c r="D2431" s="185">
        <f t="shared" si="931"/>
        <v>2025</v>
      </c>
      <c r="E2431" s="425" t="e">
        <f>VLOOKUP($B2431,Week!$A$1:$C$1462,2,0)</f>
        <v>#N/A</v>
      </c>
      <c r="F2431" s="426" t="str">
        <f t="shared" si="932"/>
        <v>Jun</v>
      </c>
      <c r="G2431" s="427" t="s">
        <v>2373</v>
      </c>
      <c r="H2431" s="427" t="s">
        <v>600</v>
      </c>
      <c r="I2431" s="427" t="s">
        <v>2772</v>
      </c>
      <c r="J2431" s="428" t="s">
        <v>708</v>
      </c>
      <c r="K2431" s="429" t="s">
        <v>1650</v>
      </c>
      <c r="L2431" s="300" t="s">
        <v>2167</v>
      </c>
      <c r="M2431" s="428" t="s">
        <v>603</v>
      </c>
      <c r="N2431" s="427" t="s">
        <v>1256</v>
      </c>
      <c r="O2431" s="427" t="s">
        <v>659</v>
      </c>
      <c r="P2431" s="430">
        <v>12</v>
      </c>
      <c r="Q2431" s="430">
        <v>3</v>
      </c>
      <c r="R2431" s="431">
        <v>6.0000000000000001E-3</v>
      </c>
      <c r="S2431" s="427" t="s">
        <v>55</v>
      </c>
      <c r="T2431" s="427" t="s">
        <v>112</v>
      </c>
      <c r="U2431" s="632" t="s">
        <v>1894</v>
      </c>
      <c r="V2431" s="432">
        <f>2520</f>
        <v>2520</v>
      </c>
      <c r="W2431" s="432">
        <f>19+2501</f>
        <v>2520</v>
      </c>
      <c r="X2431" s="433"/>
      <c r="Y2431" s="434">
        <f t="shared" si="944"/>
        <v>0</v>
      </c>
      <c r="Z2431" s="435">
        <f t="shared" si="935"/>
        <v>0</v>
      </c>
      <c r="AA2431" s="435">
        <f t="shared" si="933"/>
        <v>0</v>
      </c>
      <c r="AB2431" s="826">
        <v>3.8699999999999998E-2</v>
      </c>
      <c r="AC2431" s="432">
        <f t="shared" si="945"/>
        <v>0</v>
      </c>
      <c r="AD2431" s="307" t="s">
        <v>1509</v>
      </c>
      <c r="AE2431" s="210">
        <f t="shared" si="936"/>
        <v>0</v>
      </c>
      <c r="AF2431" s="210">
        <f t="shared" si="947"/>
        <v>0</v>
      </c>
      <c r="AG2431" s="211">
        <f>MID(O2431,1,3)/1000</f>
        <v>0.30199999999999999</v>
      </c>
      <c r="AH2431" s="157">
        <v>0.26621999999999996</v>
      </c>
      <c r="AI2431" s="152">
        <f t="shared" si="939"/>
        <v>30240</v>
      </c>
      <c r="AK2431" s="156" t="s">
        <v>691</v>
      </c>
      <c r="AL2431" s="212" t="s">
        <v>690</v>
      </c>
      <c r="AM2431" s="198">
        <f t="shared" si="950"/>
        <v>0</v>
      </c>
      <c r="AN2431" s="199">
        <f t="shared" si="951"/>
        <v>45836</v>
      </c>
      <c r="AO2431" s="159" t="s">
        <v>692</v>
      </c>
      <c r="AP2431" s="781" t="s">
        <v>642</v>
      </c>
      <c r="AQ2431" s="782">
        <v>12063755</v>
      </c>
      <c r="AR2431" s="782">
        <v>12061353</v>
      </c>
      <c r="AS2431" s="782">
        <v>12061354</v>
      </c>
      <c r="AT2431" s="782"/>
      <c r="AU2431" s="781"/>
      <c r="AV2431" s="867">
        <v>12095907</v>
      </c>
      <c r="AW2431" s="781"/>
      <c r="AX2431" s="782"/>
      <c r="AY2431" s="782">
        <v>12094276</v>
      </c>
      <c r="AZ2431" s="782">
        <v>12094277</v>
      </c>
      <c r="BA2431" s="783" t="s">
        <v>2229</v>
      </c>
      <c r="BB2431" s="209">
        <v>23105470</v>
      </c>
    </row>
    <row r="2432" spans="1:54" ht="25" hidden="1" customHeight="1">
      <c r="B2432" s="183">
        <v>45837</v>
      </c>
      <c r="C2432" s="184"/>
      <c r="D2432" s="185">
        <f t="shared" si="931"/>
        <v>2025</v>
      </c>
      <c r="E2432" s="185" t="e">
        <f>VLOOKUP($B2432,Week!$A$1:$C$1462,2,0)</f>
        <v>#N/A</v>
      </c>
      <c r="F2432" s="186" t="str">
        <f t="shared" si="932"/>
        <v>Jun</v>
      </c>
      <c r="G2432" s="481"/>
      <c r="H2432" s="185"/>
      <c r="I2432" s="185"/>
      <c r="J2432" s="187"/>
      <c r="K2432" s="188"/>
      <c r="L2432" s="188"/>
      <c r="M2432" s="187"/>
      <c r="N2432" s="185"/>
      <c r="O2432" s="185"/>
      <c r="P2432" s="189"/>
      <c r="Q2432" s="189"/>
      <c r="R2432" s="190"/>
      <c r="S2432" s="185"/>
      <c r="T2432" s="185"/>
      <c r="U2432" s="185"/>
      <c r="V2432" s="191"/>
      <c r="W2432" s="191"/>
      <c r="X2432" s="192"/>
      <c r="Y2432" s="193"/>
      <c r="Z2432" s="194"/>
      <c r="AA2432" s="194">
        <f t="shared" si="933"/>
        <v>0</v>
      </c>
      <c r="AB2432" s="805"/>
      <c r="AC2432" s="191"/>
      <c r="AD2432" s="187"/>
      <c r="AE2432" s="195"/>
      <c r="AF2432" s="195"/>
      <c r="AG2432" s="196"/>
      <c r="AH2432" s="197"/>
      <c r="AK2432" s="156" t="s">
        <v>691</v>
      </c>
      <c r="AM2432" s="198">
        <f t="shared" si="950"/>
        <v>0</v>
      </c>
      <c r="AN2432" s="199">
        <f t="shared" si="951"/>
        <v>45837</v>
      </c>
      <c r="AO2432" s="159" t="s">
        <v>692</v>
      </c>
      <c r="AP2432" s="781"/>
      <c r="AQ2432" s="782"/>
      <c r="AR2432" s="782"/>
      <c r="AS2432" s="782"/>
      <c r="AT2432" s="782"/>
      <c r="AU2432" s="781"/>
      <c r="AV2432" s="782"/>
      <c r="AW2432" s="782"/>
      <c r="AX2432" s="782"/>
      <c r="AY2432" s="782"/>
      <c r="AZ2432" s="782"/>
      <c r="BA2432" s="781"/>
      <c r="BB2432" s="209"/>
    </row>
    <row r="2433" spans="1:54" ht="24.65" hidden="1" customHeight="1">
      <c r="A2433" s="142" t="s">
        <v>120</v>
      </c>
      <c r="B2433" s="258">
        <v>45838</v>
      </c>
      <c r="C2433" s="259">
        <v>45853</v>
      </c>
      <c r="D2433" s="185">
        <f t="shared" si="931"/>
        <v>2025</v>
      </c>
      <c r="E2433" s="260" t="e">
        <f>VLOOKUP($B2433,Week!$A$1:$C$1462,2,0)</f>
        <v>#N/A</v>
      </c>
      <c r="F2433" s="261" t="str">
        <f t="shared" si="932"/>
        <v>Jun</v>
      </c>
      <c r="G2433" s="262" t="s">
        <v>2346</v>
      </c>
      <c r="H2433" s="260" t="s">
        <v>134</v>
      </c>
      <c r="I2433" s="260" t="s">
        <v>2772</v>
      </c>
      <c r="J2433" s="263" t="s">
        <v>164</v>
      </c>
      <c r="K2433" s="264" t="s">
        <v>153</v>
      </c>
      <c r="L2433" s="390" t="s">
        <v>2166</v>
      </c>
      <c r="M2433" s="263" t="s">
        <v>165</v>
      </c>
      <c r="N2433" s="260" t="s">
        <v>166</v>
      </c>
      <c r="O2433" s="260" t="s">
        <v>502</v>
      </c>
      <c r="P2433" s="265">
        <v>20</v>
      </c>
      <c r="Q2433" s="265">
        <v>12</v>
      </c>
      <c r="R2433" s="266">
        <v>6.8100000000000001E-3</v>
      </c>
      <c r="S2433" s="260" t="s">
        <v>76</v>
      </c>
      <c r="T2433" s="260" t="s">
        <v>56</v>
      </c>
      <c r="U2433" s="260" t="s">
        <v>89</v>
      </c>
      <c r="V2433" s="267">
        <f>1000</f>
        <v>1000</v>
      </c>
      <c r="W2433" s="267">
        <f>1000</f>
        <v>1000</v>
      </c>
      <c r="X2433" s="268"/>
      <c r="Y2433" s="269">
        <f>(W2433+X2433)-V2433</f>
        <v>0</v>
      </c>
      <c r="Z2433" s="270">
        <f>IF(Y2433&lt;0,((V2433*P2433)-((W2433+X2433)*P2433)),0)</f>
        <v>0</v>
      </c>
      <c r="AA2433" s="270">
        <f t="shared" si="933"/>
        <v>0</v>
      </c>
      <c r="AB2433" s="811">
        <v>2</v>
      </c>
      <c r="AC2433" s="267">
        <f>Z2433*AB2433</f>
        <v>0</v>
      </c>
      <c r="AD2433" s="209" t="s">
        <v>168</v>
      </c>
      <c r="AE2433" s="210">
        <f>SUM(Q2433*R2433*Z2433)/1000</f>
        <v>0</v>
      </c>
      <c r="AF2433" s="210">
        <f>AE2433/0.54</f>
        <v>0</v>
      </c>
      <c r="AG2433" s="211">
        <f>MID(O2433,1,3)/1000</f>
        <v>0.154</v>
      </c>
      <c r="AH2433" s="157">
        <f>(Z2433*AG2433)/1000</f>
        <v>0</v>
      </c>
      <c r="AI2433" s="152">
        <f>V2433*P2433</f>
        <v>20000</v>
      </c>
      <c r="AK2433" s="156" t="s">
        <v>691</v>
      </c>
      <c r="AL2433" s="156" t="s">
        <v>689</v>
      </c>
      <c r="AM2433" s="198">
        <f t="shared" si="950"/>
        <v>0</v>
      </c>
      <c r="AN2433" s="199">
        <f t="shared" si="951"/>
        <v>45838</v>
      </c>
      <c r="AO2433" s="159" t="s">
        <v>692</v>
      </c>
      <c r="AP2433" s="783" t="s">
        <v>610</v>
      </c>
      <c r="AQ2433" s="783" t="s">
        <v>631</v>
      </c>
      <c r="AR2433" s="783" t="s">
        <v>523</v>
      </c>
      <c r="AS2433" s="781"/>
      <c r="AT2433" s="782">
        <v>12055919</v>
      </c>
      <c r="AU2433" s="781"/>
      <c r="AV2433" s="783" t="s">
        <v>544</v>
      </c>
      <c r="AW2433" s="781"/>
      <c r="AX2433" s="782" t="s">
        <v>398</v>
      </c>
      <c r="AY2433" s="781"/>
      <c r="AZ2433" s="781"/>
      <c r="BA2433" s="781"/>
      <c r="BB2433" s="209">
        <v>23053184</v>
      </c>
    </row>
    <row r="2434" spans="1:54" ht="24.75" hidden="1" customHeight="1">
      <c r="B2434" s="295">
        <v>45838</v>
      </c>
      <c r="C2434" s="771" t="s">
        <v>1931</v>
      </c>
      <c r="D2434" s="185">
        <f t="shared" si="931"/>
        <v>2025</v>
      </c>
      <c r="E2434" s="296" t="e">
        <f>VLOOKUP($B2434,Week!$A$1:$C$1462,2,0)</f>
        <v>#N/A</v>
      </c>
      <c r="F2434" s="297" t="str">
        <f t="shared" si="932"/>
        <v>Jun</v>
      </c>
      <c r="G2434" s="648" t="s">
        <v>47</v>
      </c>
      <c r="H2434" s="298" t="s">
        <v>260</v>
      </c>
      <c r="I2434" s="298" t="s">
        <v>2702</v>
      </c>
      <c r="J2434" s="307" t="s">
        <v>2240</v>
      </c>
      <c r="K2434" s="300" t="s">
        <v>176</v>
      </c>
      <c r="L2434" s="300" t="s">
        <v>2167</v>
      </c>
      <c r="M2434" s="299" t="s">
        <v>2338</v>
      </c>
      <c r="N2434" s="298" t="s">
        <v>350</v>
      </c>
      <c r="O2434" s="298" t="s">
        <v>351</v>
      </c>
      <c r="P2434" s="301">
        <v>24</v>
      </c>
      <c r="Q2434" s="301">
        <v>5</v>
      </c>
      <c r="R2434" s="302">
        <v>6.1999999999999998E-3</v>
      </c>
      <c r="S2434" s="298" t="s">
        <v>352</v>
      </c>
      <c r="T2434" s="298" t="s">
        <v>56</v>
      </c>
      <c r="U2434" s="298" t="s">
        <v>57</v>
      </c>
      <c r="V2434" s="303">
        <f>12500-2211-1280-2323-1817-2755</f>
        <v>2114</v>
      </c>
      <c r="W2434" s="303">
        <v>2114</v>
      </c>
      <c r="X2434" s="304"/>
      <c r="Y2434" s="305">
        <f>(W2434+X2434)-V2434</f>
        <v>0</v>
      </c>
      <c r="Z2434" s="306">
        <f>IF(Y2434&lt;0,((V2434*P2434)-((W2434+X2434)*P2434)),0)</f>
        <v>0</v>
      </c>
      <c r="AA2434" s="306">
        <f t="shared" si="933"/>
        <v>0</v>
      </c>
      <c r="AB2434" s="814">
        <v>7.4999999999999997E-3</v>
      </c>
      <c r="AC2434" s="303">
        <f>Z2434*AB2434</f>
        <v>0</v>
      </c>
      <c r="AD2434" s="209"/>
      <c r="AE2434" s="210">
        <f>SUM(Q2434*R2434*Z2434)/1000</f>
        <v>0</v>
      </c>
      <c r="AF2434" s="210">
        <f>AE2434/0.54</f>
        <v>0</v>
      </c>
      <c r="AG2434" s="211">
        <f>MID(O2434,1,3)/1000</f>
        <v>0.13</v>
      </c>
      <c r="AH2434" s="157">
        <f>(Z2434*AG2434)/1000</f>
        <v>0</v>
      </c>
      <c r="AI2434" s="152">
        <f>V2434*P2434</f>
        <v>50736</v>
      </c>
      <c r="AK2434" s="156" t="s">
        <v>691</v>
      </c>
      <c r="AL2434" s="574" t="s">
        <v>690</v>
      </c>
      <c r="AM2434" s="198">
        <f t="shared" si="950"/>
        <v>0</v>
      </c>
      <c r="AN2434" s="199">
        <f t="shared" si="951"/>
        <v>45838</v>
      </c>
      <c r="AO2434" s="159" t="s">
        <v>692</v>
      </c>
      <c r="AP2434" s="783" t="s">
        <v>629</v>
      </c>
      <c r="AQ2434" s="782">
        <v>12071839</v>
      </c>
      <c r="AR2434" s="782">
        <v>12094356</v>
      </c>
      <c r="AS2434" s="782">
        <v>12068233</v>
      </c>
      <c r="AT2434" s="781"/>
      <c r="AU2434" s="781"/>
      <c r="AV2434" s="782">
        <v>12062075</v>
      </c>
      <c r="AW2434" s="781"/>
      <c r="AX2434" s="781"/>
      <c r="AY2434" s="782">
        <v>12094357</v>
      </c>
      <c r="AZ2434" s="781"/>
      <c r="BA2434" s="781"/>
      <c r="BB2434" s="209">
        <v>23053185</v>
      </c>
    </row>
    <row r="2435" spans="1:54" ht="24.65" hidden="1" customHeight="1">
      <c r="B2435" s="308">
        <v>45838</v>
      </c>
      <c r="C2435" s="309">
        <v>45869</v>
      </c>
      <c r="D2435" s="185">
        <f t="shared" si="931"/>
        <v>2025</v>
      </c>
      <c r="E2435" s="309" t="e">
        <f>VLOOKUP($B2435,Week!$A$1:$C$1462,2,0)</f>
        <v>#N/A</v>
      </c>
      <c r="F2435" s="310" t="str">
        <f t="shared" si="932"/>
        <v>Jun</v>
      </c>
      <c r="G2435" s="311" t="s">
        <v>2369</v>
      </c>
      <c r="H2435" s="311" t="s">
        <v>311</v>
      </c>
      <c r="I2435" s="311" t="s">
        <v>2772</v>
      </c>
      <c r="J2435" s="312" t="s">
        <v>738</v>
      </c>
      <c r="K2435" s="313" t="s">
        <v>107</v>
      </c>
      <c r="L2435" s="300" t="s">
        <v>2167</v>
      </c>
      <c r="M2435" s="312" t="s">
        <v>313</v>
      </c>
      <c r="N2435" s="311" t="s">
        <v>314</v>
      </c>
      <c r="O2435" s="311" t="s">
        <v>110</v>
      </c>
      <c r="P2435" s="314">
        <v>36</v>
      </c>
      <c r="Q2435" s="314">
        <v>5</v>
      </c>
      <c r="R2435" s="315">
        <v>7.4999999999999997E-3</v>
      </c>
      <c r="S2435" s="311" t="s">
        <v>111</v>
      </c>
      <c r="T2435" s="311" t="s">
        <v>112</v>
      </c>
      <c r="U2435" s="311" t="s">
        <v>57</v>
      </c>
      <c r="V2435" s="316">
        <v>792</v>
      </c>
      <c r="W2435" s="316">
        <f>1+791</f>
        <v>792</v>
      </c>
      <c r="X2435" s="317"/>
      <c r="Y2435" s="318">
        <f>(W2435+X2435)-V2435</f>
        <v>0</v>
      </c>
      <c r="Z2435" s="319">
        <f>IF(Y2435&lt;0,((V2435*P2435)-((W2435+X2435)*P2435)),0)</f>
        <v>0</v>
      </c>
      <c r="AA2435" s="319">
        <f t="shared" si="933"/>
        <v>0</v>
      </c>
      <c r="AB2435" s="815">
        <v>7.4999999999999997E-3</v>
      </c>
      <c r="AC2435" s="316">
        <f>Z2435*AB2435</f>
        <v>0</v>
      </c>
      <c r="AD2435" s="515"/>
      <c r="AE2435" s="210">
        <f>SUM(Q2435*R2435*Z2435)/1000</f>
        <v>0</v>
      </c>
      <c r="AF2435" s="210">
        <f>AE2435/0.54</f>
        <v>0</v>
      </c>
      <c r="AG2435" s="211">
        <f>MID(O2435,1,3)/1000</f>
        <v>0.308</v>
      </c>
      <c r="AH2435" s="157">
        <f>(Z2435*AG2435)/1000</f>
        <v>0</v>
      </c>
      <c r="AI2435" s="152">
        <f>V2435*P2435</f>
        <v>28512</v>
      </c>
      <c r="AK2435" s="156" t="s">
        <v>691</v>
      </c>
      <c r="AL2435" s="212" t="s">
        <v>690</v>
      </c>
      <c r="AM2435" s="198">
        <f t="shared" si="950"/>
        <v>0</v>
      </c>
      <c r="AN2435" s="199">
        <f t="shared" si="951"/>
        <v>45838</v>
      </c>
      <c r="AO2435" s="159" t="s">
        <v>692</v>
      </c>
      <c r="AP2435" s="783" t="s">
        <v>644</v>
      </c>
      <c r="AQ2435" s="782">
        <v>12063755</v>
      </c>
      <c r="AR2435" s="782">
        <v>12061353</v>
      </c>
      <c r="AS2435" s="782">
        <v>12061354</v>
      </c>
      <c r="AT2435" s="782">
        <v>12062266</v>
      </c>
      <c r="AU2435" s="781"/>
      <c r="AV2435" s="782">
        <v>12088159</v>
      </c>
      <c r="AW2435" s="782">
        <v>12088207</v>
      </c>
      <c r="AX2435" s="782"/>
      <c r="AY2435" s="782">
        <v>12094237</v>
      </c>
      <c r="AZ2435" s="782"/>
      <c r="BA2435" s="781"/>
      <c r="BB2435" s="209">
        <v>23053185</v>
      </c>
    </row>
    <row r="2436" spans="1:54" ht="25" hidden="1" customHeight="1">
      <c r="B2436" s="183">
        <v>45839</v>
      </c>
      <c r="C2436" s="184"/>
      <c r="D2436" s="185">
        <f t="shared" si="931"/>
        <v>2025</v>
      </c>
      <c r="E2436" s="185" t="e">
        <f>VLOOKUP($B2436,Week!$A$1:$C$1462,2,0)</f>
        <v>#N/A</v>
      </c>
      <c r="F2436" s="186" t="str">
        <f t="shared" si="932"/>
        <v>Jul</v>
      </c>
      <c r="G2436" s="481"/>
      <c r="H2436" s="185"/>
      <c r="I2436" s="185"/>
      <c r="J2436" s="187"/>
      <c r="K2436" s="188"/>
      <c r="L2436" s="188"/>
      <c r="M2436" s="187"/>
      <c r="N2436" s="185"/>
      <c r="O2436" s="185"/>
      <c r="P2436" s="189"/>
      <c r="Q2436" s="189"/>
      <c r="R2436" s="190"/>
      <c r="S2436" s="185"/>
      <c r="T2436" s="185"/>
      <c r="U2436" s="185"/>
      <c r="V2436" s="191"/>
      <c r="W2436" s="191"/>
      <c r="X2436" s="192"/>
      <c r="Y2436" s="193"/>
      <c r="Z2436" s="194"/>
      <c r="AA2436" s="194">
        <f t="shared" si="933"/>
        <v>0</v>
      </c>
      <c r="AB2436" s="805"/>
      <c r="AC2436" s="191"/>
      <c r="AD2436" s="187"/>
      <c r="AE2436" s="195"/>
      <c r="AF2436" s="195"/>
      <c r="AG2436" s="196"/>
      <c r="AH2436" s="197"/>
      <c r="AK2436" s="156" t="s">
        <v>691</v>
      </c>
      <c r="AM2436" s="198">
        <f t="shared" si="950"/>
        <v>0</v>
      </c>
      <c r="AN2436" s="199">
        <f t="shared" si="951"/>
        <v>45839</v>
      </c>
      <c r="AO2436" s="159" t="s">
        <v>692</v>
      </c>
      <c r="AP2436" s="781"/>
      <c r="AQ2436" s="782"/>
      <c r="AR2436" s="782"/>
      <c r="AS2436" s="782"/>
      <c r="AT2436" s="782"/>
      <c r="AU2436" s="781"/>
      <c r="AV2436" s="782"/>
      <c r="AW2436" s="782"/>
      <c r="AX2436" s="782"/>
      <c r="AY2436" s="782"/>
      <c r="AZ2436" s="782"/>
      <c r="BA2436" s="781"/>
      <c r="BB2436" s="209"/>
    </row>
    <row r="2437" spans="1:54" ht="25" hidden="1" customHeight="1">
      <c r="B2437" s="183">
        <v>45869</v>
      </c>
      <c r="C2437" s="184"/>
      <c r="D2437" s="185">
        <f t="shared" ref="D2437:D2500" si="952">IF(B2437="","",YEAR(B2437))</f>
        <v>2025</v>
      </c>
      <c r="E2437" s="185" t="e">
        <f>VLOOKUP($B2437,Week!$A$1:$C$1462,2,0)</f>
        <v>#N/A</v>
      </c>
      <c r="F2437" s="186" t="str">
        <f t="shared" ref="F2437:F2500" si="953">IF(B2437="","",TEXT(B2437,"[$-409]mmm"))</f>
        <v>Jul</v>
      </c>
      <c r="G2437" s="481"/>
      <c r="H2437" s="185"/>
      <c r="I2437" s="185"/>
      <c r="J2437" s="187"/>
      <c r="K2437" s="188"/>
      <c r="L2437" s="188"/>
      <c r="M2437" s="187"/>
      <c r="N2437" s="185"/>
      <c r="O2437" s="185"/>
      <c r="P2437" s="189"/>
      <c r="Q2437" s="189"/>
      <c r="R2437" s="190"/>
      <c r="S2437" s="185"/>
      <c r="T2437" s="185"/>
      <c r="U2437" s="185"/>
      <c r="V2437" s="191"/>
      <c r="W2437" s="191"/>
      <c r="X2437" s="192"/>
      <c r="Y2437" s="193"/>
      <c r="Z2437" s="194"/>
      <c r="AA2437" s="194">
        <f t="shared" ref="AA2437:AA2500" si="954">Q2437*Z2437</f>
        <v>0</v>
      </c>
      <c r="AB2437" s="805"/>
      <c r="AC2437" s="191"/>
      <c r="AD2437" s="187"/>
      <c r="AE2437" s="195"/>
      <c r="AF2437" s="195"/>
      <c r="AG2437" s="196"/>
      <c r="AH2437" s="197"/>
      <c r="AK2437" s="156" t="s">
        <v>691</v>
      </c>
      <c r="AM2437" s="198">
        <f t="shared" si="950"/>
        <v>0</v>
      </c>
      <c r="AN2437" s="199">
        <f t="shared" si="951"/>
        <v>45869</v>
      </c>
      <c r="AO2437" s="159" t="s">
        <v>692</v>
      </c>
      <c r="AP2437" s="781"/>
      <c r="AQ2437" s="782"/>
      <c r="AR2437" s="782"/>
      <c r="AS2437" s="782"/>
      <c r="AT2437" s="782"/>
      <c r="AU2437" s="781"/>
      <c r="AV2437" s="782"/>
      <c r="AW2437" s="782"/>
      <c r="AX2437" s="782"/>
      <c r="AY2437" s="782"/>
      <c r="AZ2437" s="782"/>
      <c r="BA2437" s="781"/>
      <c r="BB2437" s="209"/>
    </row>
    <row r="2438" spans="1:54" ht="24.65" hidden="1" customHeight="1">
      <c r="A2438" s="142" t="s">
        <v>120</v>
      </c>
      <c r="B2438" s="357">
        <v>45870</v>
      </c>
      <c r="C2438" s="358">
        <v>45885</v>
      </c>
      <c r="D2438" s="185">
        <f t="shared" si="952"/>
        <v>2025</v>
      </c>
      <c r="E2438" s="359" t="e">
        <f>VLOOKUP($B2438,Week!$A$1:$C$1462,2,0)</f>
        <v>#N/A</v>
      </c>
      <c r="F2438" s="360" t="str">
        <f t="shared" si="953"/>
        <v>Aug</v>
      </c>
      <c r="G2438" s="359" t="s">
        <v>2241</v>
      </c>
      <c r="H2438" s="359" t="s">
        <v>344</v>
      </c>
      <c r="I2438" s="359" t="s">
        <v>2772</v>
      </c>
      <c r="J2438" s="361" t="s">
        <v>345</v>
      </c>
      <c r="K2438" s="362" t="s">
        <v>355</v>
      </c>
      <c r="L2438" s="390" t="s">
        <v>2166</v>
      </c>
      <c r="M2438" s="361" t="s">
        <v>356</v>
      </c>
      <c r="N2438" s="359" t="s">
        <v>357</v>
      </c>
      <c r="O2438" s="359" t="s">
        <v>508</v>
      </c>
      <c r="P2438" s="363">
        <v>18</v>
      </c>
      <c r="Q2438" s="363">
        <v>8</v>
      </c>
      <c r="R2438" s="364">
        <v>6.0000000000000001E-3</v>
      </c>
      <c r="S2438" s="359" t="s">
        <v>55</v>
      </c>
      <c r="T2438" s="359" t="s">
        <v>56</v>
      </c>
      <c r="U2438" s="359" t="s">
        <v>89</v>
      </c>
      <c r="V2438" s="365">
        <f>300</f>
        <v>300</v>
      </c>
      <c r="W2438" s="365">
        <f>300</f>
        <v>300</v>
      </c>
      <c r="X2438" s="366"/>
      <c r="Y2438" s="367">
        <f t="shared" ref="Y2438:Y2447" si="955">(W2438+X2438)-V2438</f>
        <v>0</v>
      </c>
      <c r="Z2438" s="368">
        <f t="shared" ref="Z2438:Z2447" si="956">IF(Y2438&lt;0,((V2438*P2438)-((W2438+X2438)*P2438)),0)</f>
        <v>0</v>
      </c>
      <c r="AA2438" s="368">
        <f t="shared" si="954"/>
        <v>0</v>
      </c>
      <c r="AB2438" s="819">
        <v>2</v>
      </c>
      <c r="AC2438" s="365">
        <f t="shared" ref="AC2438:AC2447" si="957">Z2438*AB2438</f>
        <v>0</v>
      </c>
      <c r="AD2438" s="443"/>
      <c r="AE2438" s="210">
        <f t="shared" ref="AE2438:AE2447" si="958">SUM(Q2438*R2438*Z2438)/1000</f>
        <v>0</v>
      </c>
      <c r="AF2438" s="210">
        <f t="shared" ref="AF2438:AF2447" si="959">AE2438/0.54</f>
        <v>0</v>
      </c>
      <c r="AG2438" s="211">
        <f>MID(O2438,1,2)/1000</f>
        <v>0.09</v>
      </c>
      <c r="AH2438" s="157">
        <f>(Z2438*AG2438)/1000</f>
        <v>0</v>
      </c>
      <c r="AI2438" s="152">
        <f t="shared" ref="AI2438:AI2447" si="960">V2438*P2438</f>
        <v>5400</v>
      </c>
      <c r="AK2438" s="156" t="s">
        <v>691</v>
      </c>
      <c r="AL2438" s="156" t="s">
        <v>689</v>
      </c>
      <c r="AM2438" s="198">
        <f t="shared" si="950"/>
        <v>0</v>
      </c>
      <c r="AN2438" s="199">
        <f t="shared" si="951"/>
        <v>45870</v>
      </c>
      <c r="AO2438" s="159" t="s">
        <v>692</v>
      </c>
      <c r="AP2438" s="781"/>
      <c r="AQ2438" s="782"/>
      <c r="AR2438" s="782" t="s">
        <v>531</v>
      </c>
      <c r="AS2438" s="782"/>
      <c r="AT2438" s="782"/>
      <c r="AU2438" s="782">
        <v>12054219</v>
      </c>
      <c r="AV2438" s="782">
        <v>12054239</v>
      </c>
      <c r="AW2438" s="782"/>
      <c r="AX2438" s="782" t="s">
        <v>532</v>
      </c>
      <c r="AY2438" s="782"/>
      <c r="AZ2438" s="782"/>
      <c r="BA2438" s="781"/>
      <c r="BB2438" s="209">
        <v>23053184</v>
      </c>
    </row>
    <row r="2439" spans="1:54" ht="25" hidden="1" customHeight="1">
      <c r="A2439" s="142" t="s">
        <v>120</v>
      </c>
      <c r="B2439" s="369">
        <v>45870</v>
      </c>
      <c r="C2439" s="370">
        <v>45885</v>
      </c>
      <c r="D2439" s="185">
        <f t="shared" si="952"/>
        <v>2025</v>
      </c>
      <c r="E2439" s="371" t="e">
        <f>VLOOKUP($B2439,Week!$A$1:$C$1462,2,0)</f>
        <v>#N/A</v>
      </c>
      <c r="F2439" s="372" t="str">
        <f t="shared" si="953"/>
        <v>Aug</v>
      </c>
      <c r="G2439" s="371" t="s">
        <v>2241</v>
      </c>
      <c r="H2439" s="371" t="s">
        <v>344</v>
      </c>
      <c r="I2439" s="371" t="s">
        <v>2772</v>
      </c>
      <c r="J2439" s="373" t="s">
        <v>345</v>
      </c>
      <c r="K2439" s="374" t="s">
        <v>153</v>
      </c>
      <c r="L2439" s="390" t="s">
        <v>2166</v>
      </c>
      <c r="M2439" s="373" t="s">
        <v>214</v>
      </c>
      <c r="N2439" s="371" t="s">
        <v>346</v>
      </c>
      <c r="O2439" s="371" t="s">
        <v>509</v>
      </c>
      <c r="P2439" s="375">
        <v>18</v>
      </c>
      <c r="Q2439" s="375">
        <v>8</v>
      </c>
      <c r="R2439" s="376">
        <v>6.8100000000000001E-3</v>
      </c>
      <c r="S2439" s="371" t="s">
        <v>76</v>
      </c>
      <c r="T2439" s="371" t="s">
        <v>56</v>
      </c>
      <c r="U2439" s="371" t="s">
        <v>89</v>
      </c>
      <c r="V2439" s="377">
        <f>1600</f>
        <v>1600</v>
      </c>
      <c r="W2439" s="377">
        <f>1098</f>
        <v>1098</v>
      </c>
      <c r="X2439" s="378">
        <f>(1086+7950)/18</f>
        <v>502</v>
      </c>
      <c r="Y2439" s="379">
        <f t="shared" si="955"/>
        <v>0</v>
      </c>
      <c r="Z2439" s="380">
        <f t="shared" si="956"/>
        <v>0</v>
      </c>
      <c r="AA2439" s="380">
        <f t="shared" si="954"/>
        <v>0</v>
      </c>
      <c r="AB2439" s="820">
        <v>1</v>
      </c>
      <c r="AC2439" s="377">
        <f t="shared" si="957"/>
        <v>0</v>
      </c>
      <c r="AD2439" s="443"/>
      <c r="AE2439" s="210">
        <f t="shared" si="958"/>
        <v>0</v>
      </c>
      <c r="AF2439" s="210">
        <f t="shared" si="959"/>
        <v>0</v>
      </c>
      <c r="AG2439" s="211">
        <f t="shared" ref="AG2439:AG2447" si="961">MID(O2439,1,3)/1000</f>
        <v>0.10100000000000001</v>
      </c>
      <c r="AH2439" s="157">
        <f>(Z2439*AG2439)/1000</f>
        <v>0</v>
      </c>
      <c r="AI2439" s="152">
        <f t="shared" si="960"/>
        <v>28800</v>
      </c>
      <c r="AK2439" s="156" t="s">
        <v>691</v>
      </c>
      <c r="AL2439" s="156" t="s">
        <v>689</v>
      </c>
      <c r="AM2439" s="198">
        <f t="shared" si="950"/>
        <v>0</v>
      </c>
      <c r="AN2439" s="199">
        <f t="shared" si="951"/>
        <v>45870</v>
      </c>
      <c r="AO2439" s="159" t="s">
        <v>692</v>
      </c>
      <c r="AP2439" s="781"/>
      <c r="AQ2439" s="783" t="s">
        <v>631</v>
      </c>
      <c r="AR2439" s="782">
        <v>12038019</v>
      </c>
      <c r="AS2439" s="781"/>
      <c r="AT2439" s="800">
        <v>12055751</v>
      </c>
      <c r="AU2439" s="781"/>
      <c r="AV2439" s="800">
        <v>12049471</v>
      </c>
      <c r="AW2439" s="781"/>
      <c r="AX2439" s="781" t="s">
        <v>162</v>
      </c>
      <c r="AY2439" s="781"/>
      <c r="AZ2439" s="781"/>
      <c r="BA2439" s="781"/>
      <c r="BB2439" s="209">
        <v>23053184</v>
      </c>
    </row>
    <row r="2440" spans="1:54" ht="25.15" hidden="1" customHeight="1">
      <c r="B2440" s="271">
        <v>45870</v>
      </c>
      <c r="C2440" s="272">
        <v>45882</v>
      </c>
      <c r="D2440" s="274">
        <f t="shared" si="952"/>
        <v>2025</v>
      </c>
      <c r="E2440" s="274" t="e">
        <f>VLOOKUP($B2440,Week!$A$1:$C$1462,2,0)</f>
        <v>#N/A</v>
      </c>
      <c r="F2440" s="273" t="str">
        <f t="shared" si="953"/>
        <v>Aug</v>
      </c>
      <c r="G2440" s="274" t="s">
        <v>2407</v>
      </c>
      <c r="H2440" s="274" t="s">
        <v>424</v>
      </c>
      <c r="I2440" s="274" t="s">
        <v>2772</v>
      </c>
      <c r="J2440" s="854" t="s">
        <v>425</v>
      </c>
      <c r="K2440" s="276" t="s">
        <v>1643</v>
      </c>
      <c r="L2440" s="276" t="s">
        <v>2167</v>
      </c>
      <c r="M2440" s="275" t="s">
        <v>2418</v>
      </c>
      <c r="N2440" s="274" t="s">
        <v>2255</v>
      </c>
      <c r="O2440" s="274" t="s">
        <v>2253</v>
      </c>
      <c r="P2440" s="277">
        <v>8</v>
      </c>
      <c r="Q2440" s="277">
        <v>5</v>
      </c>
      <c r="R2440" s="278">
        <v>7.4999999999999997E-3</v>
      </c>
      <c r="S2440" s="274" t="s">
        <v>40</v>
      </c>
      <c r="T2440" s="274" t="s">
        <v>112</v>
      </c>
      <c r="U2440" s="423" t="s">
        <v>1894</v>
      </c>
      <c r="V2440" s="279">
        <f>5148</f>
        <v>5148</v>
      </c>
      <c r="W2440" s="279">
        <f>678+796</f>
        <v>1474</v>
      </c>
      <c r="X2440" s="280">
        <f>(82+8918+20663)/8</f>
        <v>3707.875</v>
      </c>
      <c r="Y2440" s="281">
        <f t="shared" si="955"/>
        <v>33.875</v>
      </c>
      <c r="Z2440" s="282">
        <f t="shared" si="956"/>
        <v>0</v>
      </c>
      <c r="AA2440" s="279">
        <f t="shared" si="954"/>
        <v>0</v>
      </c>
      <c r="AB2440" s="812">
        <v>7.4999999999999997E-3</v>
      </c>
      <c r="AC2440" s="279">
        <f t="shared" si="957"/>
        <v>0</v>
      </c>
      <c r="AD2440" s="209"/>
      <c r="AE2440" s="210">
        <f t="shared" si="958"/>
        <v>0</v>
      </c>
      <c r="AF2440" s="210">
        <f t="shared" si="959"/>
        <v>0</v>
      </c>
      <c r="AG2440" s="211">
        <f t="shared" si="961"/>
        <v>0.14699999999999999</v>
      </c>
      <c r="AH2440" s="157">
        <f>(Z2440*AG2440)/1000</f>
        <v>0</v>
      </c>
      <c r="AI2440" s="152">
        <f t="shared" si="960"/>
        <v>41184</v>
      </c>
      <c r="AK2440" s="156" t="s">
        <v>691</v>
      </c>
      <c r="AL2440" s="574" t="s">
        <v>690</v>
      </c>
      <c r="AM2440" s="198">
        <f t="shared" ref="AM2440:AM2447" si="962">AG2440*Z2440</f>
        <v>0</v>
      </c>
      <c r="AN2440" s="199">
        <f t="shared" si="951"/>
        <v>45870</v>
      </c>
      <c r="AO2440" s="159" t="s">
        <v>692</v>
      </c>
      <c r="AP2440" s="783" t="s">
        <v>609</v>
      </c>
      <c r="AQ2440" s="782">
        <v>12071839</v>
      </c>
      <c r="AR2440" s="782">
        <v>12080260</v>
      </c>
      <c r="AS2440" s="782">
        <v>12080259</v>
      </c>
      <c r="AT2440" s="798" t="s">
        <v>2378</v>
      </c>
      <c r="AU2440" s="782"/>
      <c r="AV2440" s="782">
        <v>12096148</v>
      </c>
      <c r="AW2440" s="782"/>
      <c r="AX2440" s="781"/>
      <c r="AY2440" s="782"/>
      <c r="AZ2440" s="782"/>
      <c r="BA2440" s="781"/>
      <c r="BB2440" s="209">
        <v>23053185</v>
      </c>
    </row>
    <row r="2441" spans="1:54" ht="25" hidden="1" customHeight="1">
      <c r="B2441" s="498">
        <v>45870</v>
      </c>
      <c r="C2441" s="499">
        <v>45874</v>
      </c>
      <c r="D2441" s="185">
        <f t="shared" si="952"/>
        <v>2025</v>
      </c>
      <c r="E2441" s="499" t="e">
        <f>VLOOKUP($B2441,Week!$A$1:$C$1462,2,0)</f>
        <v>#N/A</v>
      </c>
      <c r="F2441" s="500" t="str">
        <f t="shared" si="953"/>
        <v>Aug</v>
      </c>
      <c r="G2441" s="871" t="s">
        <v>2435</v>
      </c>
      <c r="H2441" s="501" t="s">
        <v>82</v>
      </c>
      <c r="I2441" s="501" t="s">
        <v>82</v>
      </c>
      <c r="J2441" s="502" t="s">
        <v>235</v>
      </c>
      <c r="K2441" s="503" t="s">
        <v>2400</v>
      </c>
      <c r="L2441" s="300" t="s">
        <v>2167</v>
      </c>
      <c r="M2441" s="502" t="s">
        <v>2325</v>
      </c>
      <c r="N2441" s="501" t="s">
        <v>2321</v>
      </c>
      <c r="O2441" s="501" t="s">
        <v>2323</v>
      </c>
      <c r="P2441" s="504">
        <v>16</v>
      </c>
      <c r="Q2441" s="504">
        <v>3</v>
      </c>
      <c r="R2441" s="505">
        <v>6.0000000000000001E-3</v>
      </c>
      <c r="S2441" s="501" t="s">
        <v>55</v>
      </c>
      <c r="T2441" s="501" t="s">
        <v>112</v>
      </c>
      <c r="U2441" s="506" t="s">
        <v>1894</v>
      </c>
      <c r="V2441" s="507">
        <f>370</f>
        <v>370</v>
      </c>
      <c r="W2441" s="507">
        <f>370</f>
        <v>370</v>
      </c>
      <c r="X2441" s="508">
        <f>(213)/16</f>
        <v>13.3125</v>
      </c>
      <c r="Y2441" s="509">
        <f t="shared" si="955"/>
        <v>13.3125</v>
      </c>
      <c r="Z2441" s="510">
        <f t="shared" si="956"/>
        <v>0</v>
      </c>
      <c r="AA2441" s="510">
        <f t="shared" si="954"/>
        <v>0</v>
      </c>
      <c r="AB2441" s="830">
        <v>3.8699999999999998E-2</v>
      </c>
      <c r="AC2441" s="507">
        <f t="shared" si="957"/>
        <v>0</v>
      </c>
      <c r="AD2441" s="307" t="s">
        <v>1708</v>
      </c>
      <c r="AE2441" s="210">
        <f t="shared" si="958"/>
        <v>0</v>
      </c>
      <c r="AF2441" s="210">
        <f t="shared" si="959"/>
        <v>0</v>
      </c>
      <c r="AG2441" s="211">
        <f t="shared" si="961"/>
        <v>0.30199999999999999</v>
      </c>
      <c r="AH2441" s="157">
        <f>(Z2441*AG2441)/1000</f>
        <v>0</v>
      </c>
      <c r="AI2441" s="152">
        <f t="shared" si="960"/>
        <v>5920</v>
      </c>
      <c r="AK2441" s="156" t="s">
        <v>691</v>
      </c>
      <c r="AL2441" s="212" t="s">
        <v>690</v>
      </c>
      <c r="AM2441" s="198">
        <f t="shared" si="962"/>
        <v>0</v>
      </c>
      <c r="AN2441" s="199">
        <f t="shared" si="951"/>
        <v>45870</v>
      </c>
      <c r="AO2441" s="159" t="s">
        <v>692</v>
      </c>
      <c r="AP2441" s="781" t="s">
        <v>642</v>
      </c>
      <c r="AQ2441" s="782">
        <v>12063755</v>
      </c>
      <c r="AR2441" s="782">
        <v>12061353</v>
      </c>
      <c r="AS2441" s="782">
        <v>12061354</v>
      </c>
      <c r="AT2441" s="782">
        <v>12095657</v>
      </c>
      <c r="AU2441" s="781"/>
      <c r="AV2441" s="782">
        <v>12095989</v>
      </c>
      <c r="AW2441" s="782"/>
      <c r="AX2441" s="782"/>
      <c r="AY2441" s="782">
        <v>12096038</v>
      </c>
      <c r="AZ2441" s="782"/>
      <c r="BA2441" s="781"/>
      <c r="BB2441" s="209">
        <v>23105470</v>
      </c>
    </row>
    <row r="2442" spans="1:54" ht="25" hidden="1" customHeight="1">
      <c r="B2442" s="425">
        <v>45870</v>
      </c>
      <c r="C2442" s="425">
        <v>45882</v>
      </c>
      <c r="D2442" s="185">
        <f t="shared" si="952"/>
        <v>2025</v>
      </c>
      <c r="E2442" s="425" t="e">
        <f>VLOOKUP($B2442,Week!$A$1:$C$1462,2,0)</f>
        <v>#N/A</v>
      </c>
      <c r="F2442" s="426" t="str">
        <f t="shared" si="953"/>
        <v>Aug</v>
      </c>
      <c r="G2442" s="427" t="s">
        <v>2381</v>
      </c>
      <c r="H2442" s="427" t="s">
        <v>600</v>
      </c>
      <c r="I2442" s="427" t="s">
        <v>2772</v>
      </c>
      <c r="J2442" s="428" t="s">
        <v>708</v>
      </c>
      <c r="K2442" s="429" t="s">
        <v>1650</v>
      </c>
      <c r="L2442" s="300" t="s">
        <v>2167</v>
      </c>
      <c r="M2442" s="428" t="s">
        <v>603</v>
      </c>
      <c r="N2442" s="427" t="s">
        <v>1256</v>
      </c>
      <c r="O2442" s="427" t="s">
        <v>659</v>
      </c>
      <c r="P2442" s="430">
        <v>12</v>
      </c>
      <c r="Q2442" s="430">
        <v>3</v>
      </c>
      <c r="R2442" s="431">
        <v>6.0000000000000001E-3</v>
      </c>
      <c r="S2442" s="427" t="s">
        <v>55</v>
      </c>
      <c r="T2442" s="427" t="s">
        <v>112</v>
      </c>
      <c r="U2442" s="632" t="s">
        <v>1894</v>
      </c>
      <c r="V2442" s="432">
        <f>2520</f>
        <v>2520</v>
      </c>
      <c r="W2442" s="432">
        <f>22+2466+28+4</f>
        <v>2520</v>
      </c>
      <c r="X2442" s="433"/>
      <c r="Y2442" s="434">
        <f t="shared" si="955"/>
        <v>0</v>
      </c>
      <c r="Z2442" s="435">
        <f t="shared" si="956"/>
        <v>0</v>
      </c>
      <c r="AA2442" s="435">
        <f t="shared" si="954"/>
        <v>0</v>
      </c>
      <c r="AB2442" s="826">
        <v>3.8699999999999998E-2</v>
      </c>
      <c r="AC2442" s="432">
        <f t="shared" si="957"/>
        <v>0</v>
      </c>
      <c r="AD2442" s="307" t="s">
        <v>1509</v>
      </c>
      <c r="AE2442" s="210">
        <f t="shared" si="958"/>
        <v>0</v>
      </c>
      <c r="AF2442" s="210">
        <f t="shared" si="959"/>
        <v>0</v>
      </c>
      <c r="AG2442" s="211">
        <f t="shared" si="961"/>
        <v>0.30199999999999999</v>
      </c>
      <c r="AH2442" s="157">
        <v>0.26621999999999996</v>
      </c>
      <c r="AI2442" s="152">
        <f t="shared" si="960"/>
        <v>30240</v>
      </c>
      <c r="AK2442" s="156" t="s">
        <v>691</v>
      </c>
      <c r="AL2442" s="212" t="s">
        <v>690</v>
      </c>
      <c r="AM2442" s="198">
        <f t="shared" si="962"/>
        <v>0</v>
      </c>
      <c r="AN2442" s="199">
        <f t="shared" si="951"/>
        <v>45870</v>
      </c>
      <c r="AO2442" s="159" t="s">
        <v>692</v>
      </c>
      <c r="AP2442" s="781" t="s">
        <v>642</v>
      </c>
      <c r="AQ2442" s="782">
        <v>12063755</v>
      </c>
      <c r="AR2442" s="782">
        <v>12061353</v>
      </c>
      <c r="AS2442" s="782">
        <v>12061354</v>
      </c>
      <c r="AT2442" s="782"/>
      <c r="AU2442" s="781"/>
      <c r="AV2442" s="867">
        <v>12095907</v>
      </c>
      <c r="AW2442" s="781"/>
      <c r="AX2442" s="782"/>
      <c r="AY2442" s="782">
        <v>12094276</v>
      </c>
      <c r="AZ2442" s="782">
        <v>12094277</v>
      </c>
      <c r="BA2442" s="783" t="s">
        <v>2229</v>
      </c>
      <c r="BB2442" s="209">
        <v>23105470</v>
      </c>
    </row>
    <row r="2443" spans="1:54" ht="24.75" hidden="1" customHeight="1">
      <c r="B2443" s="333">
        <v>45871</v>
      </c>
      <c r="C2443" s="333">
        <v>45880</v>
      </c>
      <c r="D2443" s="185">
        <f t="shared" si="952"/>
        <v>2025</v>
      </c>
      <c r="E2443" s="335" t="e">
        <f>VLOOKUP($B2443,Week!$A$1:$C$1462,2,0)</f>
        <v>#N/A</v>
      </c>
      <c r="F2443" s="334" t="str">
        <f t="shared" si="953"/>
        <v>Aug</v>
      </c>
      <c r="G2443" s="335" t="s">
        <v>2386</v>
      </c>
      <c r="H2443" s="335" t="s">
        <v>363</v>
      </c>
      <c r="I2443" s="335" t="s">
        <v>2772</v>
      </c>
      <c r="J2443" s="336" t="s">
        <v>364</v>
      </c>
      <c r="K2443" s="337" t="s">
        <v>176</v>
      </c>
      <c r="L2443" s="337" t="s">
        <v>2167</v>
      </c>
      <c r="M2443" s="382" t="s">
        <v>646</v>
      </c>
      <c r="N2443" s="335" t="s">
        <v>647</v>
      </c>
      <c r="O2443" s="335" t="s">
        <v>599</v>
      </c>
      <c r="P2443" s="338">
        <v>36</v>
      </c>
      <c r="Q2443" s="338">
        <v>5</v>
      </c>
      <c r="R2443" s="339">
        <v>8.0000000000000002E-3</v>
      </c>
      <c r="S2443" s="335" t="s">
        <v>40</v>
      </c>
      <c r="T2443" s="335" t="s">
        <v>112</v>
      </c>
      <c r="U2443" s="335" t="s">
        <v>57</v>
      </c>
      <c r="V2443" s="341">
        <f>1288</f>
        <v>1288</v>
      </c>
      <c r="W2443" s="341">
        <f>15+939</f>
        <v>954</v>
      </c>
      <c r="X2443" s="342">
        <f>12024/36</f>
        <v>334</v>
      </c>
      <c r="Y2443" s="343">
        <f t="shared" si="955"/>
        <v>0</v>
      </c>
      <c r="Z2443" s="344">
        <f t="shared" si="956"/>
        <v>0</v>
      </c>
      <c r="AA2443" s="344">
        <f t="shared" si="954"/>
        <v>0</v>
      </c>
      <c r="AB2443" s="821">
        <v>7.4999999999999997E-3</v>
      </c>
      <c r="AC2443" s="341">
        <f t="shared" si="957"/>
        <v>0</v>
      </c>
      <c r="AD2443" s="209"/>
      <c r="AE2443" s="210">
        <f t="shared" si="958"/>
        <v>0</v>
      </c>
      <c r="AF2443" s="210">
        <f t="shared" si="959"/>
        <v>0</v>
      </c>
      <c r="AG2443" s="211">
        <f t="shared" si="961"/>
        <v>0.14799999999999999</v>
      </c>
      <c r="AH2443" s="157">
        <f>(Z2443*AG2443)/1000</f>
        <v>0</v>
      </c>
      <c r="AI2443" s="152">
        <f t="shared" si="960"/>
        <v>46368</v>
      </c>
      <c r="AK2443" s="156" t="s">
        <v>691</v>
      </c>
      <c r="AL2443" s="574" t="s">
        <v>690</v>
      </c>
      <c r="AM2443" s="198">
        <f t="shared" si="962"/>
        <v>0</v>
      </c>
      <c r="AN2443" s="199">
        <f t="shared" si="951"/>
        <v>45871</v>
      </c>
      <c r="AO2443" s="159" t="s">
        <v>692</v>
      </c>
      <c r="AP2443" s="781"/>
      <c r="AQ2443" s="782">
        <v>12071839</v>
      </c>
      <c r="AR2443" s="782">
        <v>12047514</v>
      </c>
      <c r="AS2443" s="782">
        <v>12047515</v>
      </c>
      <c r="AT2443" s="782">
        <v>12084374</v>
      </c>
      <c r="AU2443" s="781"/>
      <c r="AV2443" s="782">
        <v>12084372</v>
      </c>
      <c r="AW2443" s="782">
        <v>12024404</v>
      </c>
      <c r="AX2443" s="782"/>
      <c r="AY2443" s="782">
        <v>12094311</v>
      </c>
      <c r="AZ2443" s="782"/>
      <c r="BA2443" s="781"/>
      <c r="BB2443" s="209">
        <v>23053185</v>
      </c>
    </row>
    <row r="2444" spans="1:54" ht="24.65" hidden="1" customHeight="1">
      <c r="B2444" s="308">
        <v>45871</v>
      </c>
      <c r="C2444" s="309">
        <v>45874</v>
      </c>
      <c r="D2444" s="185">
        <f t="shared" si="952"/>
        <v>2025</v>
      </c>
      <c r="E2444" s="309" t="e">
        <f>VLOOKUP($B2444,Week!$A$1:$C$1462,2,0)</f>
        <v>#N/A</v>
      </c>
      <c r="F2444" s="310" t="str">
        <f t="shared" si="953"/>
        <v>Aug</v>
      </c>
      <c r="G2444" s="579" t="s">
        <v>2435</v>
      </c>
      <c r="H2444" s="311" t="s">
        <v>82</v>
      </c>
      <c r="I2444" s="311" t="s">
        <v>82</v>
      </c>
      <c r="J2444" s="312" t="s">
        <v>235</v>
      </c>
      <c r="K2444" s="313" t="s">
        <v>2256</v>
      </c>
      <c r="L2444" s="300" t="s">
        <v>2167</v>
      </c>
      <c r="M2444" s="312" t="s">
        <v>2324</v>
      </c>
      <c r="N2444" s="311" t="s">
        <v>2320</v>
      </c>
      <c r="O2444" s="311" t="s">
        <v>2322</v>
      </c>
      <c r="P2444" s="314">
        <v>16</v>
      </c>
      <c r="Q2444" s="314">
        <v>4</v>
      </c>
      <c r="R2444" s="315">
        <v>6.8100000000000001E-3</v>
      </c>
      <c r="S2444" s="311" t="s">
        <v>76</v>
      </c>
      <c r="T2444" s="311" t="s">
        <v>112</v>
      </c>
      <c r="U2444" s="311" t="s">
        <v>57</v>
      </c>
      <c r="V2444" s="316">
        <v>300</v>
      </c>
      <c r="W2444" s="316">
        <f>300</f>
        <v>300</v>
      </c>
      <c r="X2444" s="317">
        <f>(144)/16</f>
        <v>9</v>
      </c>
      <c r="Y2444" s="318">
        <f t="shared" si="955"/>
        <v>9</v>
      </c>
      <c r="Z2444" s="319">
        <f t="shared" si="956"/>
        <v>0</v>
      </c>
      <c r="AA2444" s="319">
        <f t="shared" si="954"/>
        <v>0</v>
      </c>
      <c r="AB2444" s="815">
        <v>7.4999999999999997E-3</v>
      </c>
      <c r="AC2444" s="316">
        <f t="shared" si="957"/>
        <v>0</v>
      </c>
      <c r="AD2444" s="307" t="s">
        <v>1708</v>
      </c>
      <c r="AE2444" s="210">
        <f t="shared" si="958"/>
        <v>0</v>
      </c>
      <c r="AF2444" s="210">
        <f t="shared" si="959"/>
        <v>0</v>
      </c>
      <c r="AG2444" s="211">
        <f t="shared" si="961"/>
        <v>0.30499999999999999</v>
      </c>
      <c r="AH2444" s="157">
        <f>(Z2444*AG2444)/1000</f>
        <v>0</v>
      </c>
      <c r="AI2444" s="152">
        <f t="shared" si="960"/>
        <v>4800</v>
      </c>
      <c r="AK2444" s="156" t="s">
        <v>691</v>
      </c>
      <c r="AL2444" s="212" t="s">
        <v>690</v>
      </c>
      <c r="AM2444" s="198">
        <f t="shared" si="962"/>
        <v>0</v>
      </c>
      <c r="AN2444" s="199">
        <f t="shared" si="951"/>
        <v>45871</v>
      </c>
      <c r="AO2444" s="159" t="s">
        <v>692</v>
      </c>
      <c r="AP2444" s="783" t="s">
        <v>644</v>
      </c>
      <c r="AQ2444" s="782">
        <v>12063755</v>
      </c>
      <c r="AR2444" s="782">
        <v>12061353</v>
      </c>
      <c r="AS2444" s="782">
        <v>12061354</v>
      </c>
      <c r="AT2444" s="782">
        <v>12095656</v>
      </c>
      <c r="AU2444" s="781"/>
      <c r="AV2444" s="782">
        <v>12095988</v>
      </c>
      <c r="AW2444" s="782"/>
      <c r="AX2444" s="782"/>
      <c r="AY2444" s="782">
        <v>12096037</v>
      </c>
      <c r="AZ2444" s="782"/>
      <c r="BA2444" s="781"/>
      <c r="BB2444" s="209">
        <v>23053185</v>
      </c>
    </row>
    <row r="2445" spans="1:54" ht="24.65" hidden="1" customHeight="1">
      <c r="B2445" s="308">
        <v>45871</v>
      </c>
      <c r="C2445" s="309">
        <v>45883</v>
      </c>
      <c r="D2445" s="185">
        <f t="shared" si="952"/>
        <v>2025</v>
      </c>
      <c r="E2445" s="309" t="e">
        <f>VLOOKUP($B2445,Week!$A$1:$C$1462,2,0)</f>
        <v>#N/A</v>
      </c>
      <c r="F2445" s="310" t="str">
        <f t="shared" si="953"/>
        <v>Aug</v>
      </c>
      <c r="G2445" s="311" t="s">
        <v>2370</v>
      </c>
      <c r="H2445" s="311" t="s">
        <v>311</v>
      </c>
      <c r="I2445" s="311" t="s">
        <v>2772</v>
      </c>
      <c r="J2445" s="312" t="s">
        <v>738</v>
      </c>
      <c r="K2445" s="313" t="s">
        <v>107</v>
      </c>
      <c r="L2445" s="300" t="s">
        <v>2167</v>
      </c>
      <c r="M2445" s="312" t="s">
        <v>313</v>
      </c>
      <c r="N2445" s="311" t="s">
        <v>314</v>
      </c>
      <c r="O2445" s="311" t="s">
        <v>110</v>
      </c>
      <c r="P2445" s="314">
        <v>36</v>
      </c>
      <c r="Q2445" s="314">
        <v>5</v>
      </c>
      <c r="R2445" s="315">
        <v>7.4999999999999997E-3</v>
      </c>
      <c r="S2445" s="311" t="s">
        <v>111</v>
      </c>
      <c r="T2445" s="311" t="s">
        <v>112</v>
      </c>
      <c r="U2445" s="311" t="s">
        <v>57</v>
      </c>
      <c r="V2445" s="316">
        <v>792</v>
      </c>
      <c r="W2445" s="316">
        <f>12+780</f>
        <v>792</v>
      </c>
      <c r="X2445" s="317"/>
      <c r="Y2445" s="318">
        <f t="shared" si="955"/>
        <v>0</v>
      </c>
      <c r="Z2445" s="319">
        <f t="shared" si="956"/>
        <v>0</v>
      </c>
      <c r="AA2445" s="319">
        <f t="shared" si="954"/>
        <v>0</v>
      </c>
      <c r="AB2445" s="815">
        <v>7.4999999999999997E-3</v>
      </c>
      <c r="AC2445" s="316">
        <f t="shared" si="957"/>
        <v>0</v>
      </c>
      <c r="AD2445" s="515"/>
      <c r="AE2445" s="210">
        <f t="shared" si="958"/>
        <v>0</v>
      </c>
      <c r="AF2445" s="210">
        <f t="shared" si="959"/>
        <v>0</v>
      </c>
      <c r="AG2445" s="211">
        <f t="shared" si="961"/>
        <v>0.308</v>
      </c>
      <c r="AH2445" s="157">
        <f>(Z2445*AG2445)/1000</f>
        <v>0</v>
      </c>
      <c r="AI2445" s="152">
        <f t="shared" si="960"/>
        <v>28512</v>
      </c>
      <c r="AK2445" s="156" t="s">
        <v>691</v>
      </c>
      <c r="AL2445" s="212" t="s">
        <v>690</v>
      </c>
      <c r="AM2445" s="198">
        <f t="shared" si="962"/>
        <v>0</v>
      </c>
      <c r="AN2445" s="199">
        <f t="shared" si="951"/>
        <v>45871</v>
      </c>
      <c r="AO2445" s="159" t="s">
        <v>692</v>
      </c>
      <c r="AP2445" s="783" t="s">
        <v>644</v>
      </c>
      <c r="AQ2445" s="782">
        <v>12063755</v>
      </c>
      <c r="AR2445" s="782">
        <v>12061353</v>
      </c>
      <c r="AS2445" s="782">
        <v>12061354</v>
      </c>
      <c r="AT2445" s="782">
        <v>12062266</v>
      </c>
      <c r="AU2445" s="781"/>
      <c r="AV2445" s="782">
        <v>12088159</v>
      </c>
      <c r="AW2445" s="782">
        <v>12088207</v>
      </c>
      <c r="AX2445" s="782"/>
      <c r="AY2445" s="782">
        <v>12094237</v>
      </c>
      <c r="AZ2445" s="782"/>
      <c r="BA2445" s="781"/>
      <c r="BB2445" s="209">
        <v>23053185</v>
      </c>
    </row>
    <row r="2446" spans="1:54" ht="24.65" hidden="1" customHeight="1">
      <c r="B2446" s="308">
        <v>45871</v>
      </c>
      <c r="C2446" s="309">
        <v>45883</v>
      </c>
      <c r="D2446" s="185">
        <f t="shared" si="952"/>
        <v>2025</v>
      </c>
      <c r="E2446" s="309" t="e">
        <f>VLOOKUP($B2446,Week!$A$1:$C$1462,2,0)</f>
        <v>#N/A</v>
      </c>
      <c r="F2446" s="310" t="str">
        <f t="shared" si="953"/>
        <v>Aug</v>
      </c>
      <c r="G2446" s="311" t="s">
        <v>2371</v>
      </c>
      <c r="H2446" s="311" t="s">
        <v>311</v>
      </c>
      <c r="I2446" s="311" t="s">
        <v>2772</v>
      </c>
      <c r="J2446" s="312" t="s">
        <v>738</v>
      </c>
      <c r="K2446" s="313" t="s">
        <v>107</v>
      </c>
      <c r="L2446" s="300" t="s">
        <v>2167</v>
      </c>
      <c r="M2446" s="312" t="s">
        <v>313</v>
      </c>
      <c r="N2446" s="311" t="s">
        <v>314</v>
      </c>
      <c r="O2446" s="311" t="s">
        <v>110</v>
      </c>
      <c r="P2446" s="314">
        <v>36</v>
      </c>
      <c r="Q2446" s="314">
        <v>5</v>
      </c>
      <c r="R2446" s="315">
        <v>7.4999999999999997E-3</v>
      </c>
      <c r="S2446" s="311" t="s">
        <v>111</v>
      </c>
      <c r="T2446" s="311" t="s">
        <v>112</v>
      </c>
      <c r="U2446" s="311" t="s">
        <v>57</v>
      </c>
      <c r="V2446" s="316">
        <v>792</v>
      </c>
      <c r="W2446" s="316">
        <f>1572-780</f>
        <v>792</v>
      </c>
      <c r="X2446" s="317"/>
      <c r="Y2446" s="318">
        <f t="shared" si="955"/>
        <v>0</v>
      </c>
      <c r="Z2446" s="319">
        <f t="shared" si="956"/>
        <v>0</v>
      </c>
      <c r="AA2446" s="319">
        <f t="shared" si="954"/>
        <v>0</v>
      </c>
      <c r="AB2446" s="815">
        <v>7.4999999999999997E-3</v>
      </c>
      <c r="AC2446" s="316">
        <f t="shared" si="957"/>
        <v>0</v>
      </c>
      <c r="AD2446" s="515"/>
      <c r="AE2446" s="210">
        <f t="shared" si="958"/>
        <v>0</v>
      </c>
      <c r="AF2446" s="210">
        <f t="shared" si="959"/>
        <v>0</v>
      </c>
      <c r="AG2446" s="211">
        <f t="shared" si="961"/>
        <v>0.308</v>
      </c>
      <c r="AH2446" s="157">
        <f>(Z2446*AG2446)/1000</f>
        <v>0</v>
      </c>
      <c r="AI2446" s="152">
        <f t="shared" si="960"/>
        <v>28512</v>
      </c>
      <c r="AK2446" s="156" t="s">
        <v>691</v>
      </c>
      <c r="AL2446" s="212" t="s">
        <v>690</v>
      </c>
      <c r="AM2446" s="198">
        <f t="shared" si="962"/>
        <v>0</v>
      </c>
      <c r="AN2446" s="199">
        <f t="shared" si="951"/>
        <v>45871</v>
      </c>
      <c r="AO2446" s="159" t="s">
        <v>692</v>
      </c>
      <c r="AP2446" s="783" t="s">
        <v>644</v>
      </c>
      <c r="AQ2446" s="782">
        <v>12063755</v>
      </c>
      <c r="AR2446" s="782">
        <v>12061353</v>
      </c>
      <c r="AS2446" s="782">
        <v>12061354</v>
      </c>
      <c r="AT2446" s="782">
        <v>12062266</v>
      </c>
      <c r="AU2446" s="781"/>
      <c r="AV2446" s="782">
        <v>12088159</v>
      </c>
      <c r="AW2446" s="782">
        <v>12088207</v>
      </c>
      <c r="AX2446" s="782"/>
      <c r="AY2446" s="782">
        <v>12094237</v>
      </c>
      <c r="AZ2446" s="782"/>
      <c r="BA2446" s="781"/>
      <c r="BB2446" s="209">
        <v>23053185</v>
      </c>
    </row>
    <row r="2447" spans="1:54" ht="25" hidden="1" customHeight="1">
      <c r="B2447" s="332">
        <v>45871</v>
      </c>
      <c r="C2447" s="333">
        <v>45882</v>
      </c>
      <c r="D2447" s="185">
        <f t="shared" si="952"/>
        <v>2025</v>
      </c>
      <c r="E2447" s="333" t="e">
        <f>VLOOKUP($B2447,Week!$A$1:$C$1462,2,0)</f>
        <v>#N/A</v>
      </c>
      <c r="F2447" s="334" t="str">
        <f t="shared" si="953"/>
        <v>Aug</v>
      </c>
      <c r="G2447" s="335" t="s">
        <v>2382</v>
      </c>
      <c r="H2447" s="335" t="s">
        <v>600</v>
      </c>
      <c r="I2447" s="335" t="s">
        <v>2772</v>
      </c>
      <c r="J2447" s="336" t="s">
        <v>708</v>
      </c>
      <c r="K2447" s="337" t="s">
        <v>1646</v>
      </c>
      <c r="L2447" s="300" t="s">
        <v>2167</v>
      </c>
      <c r="M2447" s="336" t="s">
        <v>601</v>
      </c>
      <c r="N2447" s="335" t="s">
        <v>604</v>
      </c>
      <c r="O2447" s="335" t="s">
        <v>543</v>
      </c>
      <c r="P2447" s="338">
        <v>8</v>
      </c>
      <c r="Q2447" s="338">
        <v>3</v>
      </c>
      <c r="R2447" s="339">
        <v>7.4999999999999997E-3</v>
      </c>
      <c r="S2447" s="335" t="s">
        <v>40</v>
      </c>
      <c r="T2447" s="335" t="s">
        <v>112</v>
      </c>
      <c r="U2447" s="340" t="s">
        <v>1893</v>
      </c>
      <c r="V2447" s="341">
        <v>3500</v>
      </c>
      <c r="W2447" s="341"/>
      <c r="X2447" s="342">
        <f>(1288+26784)/8</f>
        <v>3509</v>
      </c>
      <c r="Y2447" s="343">
        <f t="shared" si="955"/>
        <v>9</v>
      </c>
      <c r="Z2447" s="344">
        <f t="shared" si="956"/>
        <v>0</v>
      </c>
      <c r="AA2447" s="344">
        <f t="shared" si="954"/>
        <v>0</v>
      </c>
      <c r="AB2447" s="817">
        <v>3.85E-2</v>
      </c>
      <c r="AC2447" s="341">
        <f t="shared" si="957"/>
        <v>0</v>
      </c>
      <c r="AD2447" s="307" t="s">
        <v>673</v>
      </c>
      <c r="AE2447" s="210">
        <f t="shared" si="958"/>
        <v>0</v>
      </c>
      <c r="AF2447" s="210">
        <f t="shared" si="959"/>
        <v>0</v>
      </c>
      <c r="AG2447" s="211">
        <f t="shared" si="961"/>
        <v>0.309</v>
      </c>
      <c r="AH2447" s="157">
        <f>(Z2447*AG2447)/1000</f>
        <v>0</v>
      </c>
      <c r="AI2447" s="152">
        <f t="shared" si="960"/>
        <v>28000</v>
      </c>
      <c r="AK2447" s="156" t="s">
        <v>691</v>
      </c>
      <c r="AL2447" s="574" t="s">
        <v>690</v>
      </c>
      <c r="AM2447" s="198">
        <f t="shared" si="962"/>
        <v>0</v>
      </c>
      <c r="AN2447" s="199">
        <f t="shared" si="951"/>
        <v>45871</v>
      </c>
      <c r="AO2447" s="159" t="s">
        <v>692</v>
      </c>
      <c r="AP2447" s="781"/>
      <c r="AQ2447" s="782">
        <v>12063755</v>
      </c>
      <c r="AR2447" s="782">
        <v>12061353</v>
      </c>
      <c r="AS2447" s="782">
        <v>12061354</v>
      </c>
      <c r="AT2447" s="782">
        <v>12084228</v>
      </c>
      <c r="AU2447" s="781"/>
      <c r="AV2447" s="782">
        <v>12084023</v>
      </c>
      <c r="AW2447" s="782"/>
      <c r="AX2447" s="782"/>
      <c r="AY2447" s="782"/>
      <c r="AZ2447" s="782"/>
      <c r="BA2447" s="781"/>
      <c r="BB2447" s="209">
        <v>23105468</v>
      </c>
    </row>
    <row r="2448" spans="1:54" ht="25" hidden="1" customHeight="1">
      <c r="B2448" s="183">
        <v>45872</v>
      </c>
      <c r="C2448" s="184"/>
      <c r="D2448" s="185">
        <f t="shared" si="952"/>
        <v>2025</v>
      </c>
      <c r="E2448" s="185" t="e">
        <f>VLOOKUP($B2448,Week!$A$1:$C$1462,2,0)</f>
        <v>#N/A</v>
      </c>
      <c r="F2448" s="186" t="str">
        <f t="shared" si="953"/>
        <v>Aug</v>
      </c>
      <c r="G2448" s="481"/>
      <c r="H2448" s="185"/>
      <c r="I2448" s="185"/>
      <c r="J2448" s="187"/>
      <c r="K2448" s="188"/>
      <c r="L2448" s="188"/>
      <c r="M2448" s="187"/>
      <c r="N2448" s="185"/>
      <c r="O2448" s="185"/>
      <c r="P2448" s="189"/>
      <c r="Q2448" s="189"/>
      <c r="R2448" s="190"/>
      <c r="S2448" s="185"/>
      <c r="T2448" s="185"/>
      <c r="U2448" s="185"/>
      <c r="V2448" s="191"/>
      <c r="W2448" s="191"/>
      <c r="X2448" s="192"/>
      <c r="Y2448" s="193"/>
      <c r="Z2448" s="194"/>
      <c r="AA2448" s="194">
        <f t="shared" si="954"/>
        <v>0</v>
      </c>
      <c r="AB2448" s="805"/>
      <c r="AC2448" s="191"/>
      <c r="AD2448" s="187"/>
      <c r="AE2448" s="195"/>
      <c r="AF2448" s="195"/>
      <c r="AG2448" s="196"/>
      <c r="AH2448" s="197"/>
      <c r="AK2448" s="156" t="s">
        <v>691</v>
      </c>
      <c r="AM2448" s="198">
        <f>AG2448*Z2448</f>
        <v>0</v>
      </c>
      <c r="AN2448" s="199">
        <f t="shared" si="951"/>
        <v>45872</v>
      </c>
      <c r="AO2448" s="159" t="s">
        <v>692</v>
      </c>
      <c r="AP2448" s="781"/>
      <c r="AQ2448" s="782"/>
      <c r="AR2448" s="782"/>
      <c r="AS2448" s="782"/>
      <c r="AT2448" s="782"/>
      <c r="AU2448" s="781"/>
      <c r="AV2448" s="782"/>
      <c r="AW2448" s="782"/>
      <c r="AX2448" s="782"/>
      <c r="AY2448" s="782"/>
      <c r="AZ2448" s="782"/>
      <c r="BA2448" s="781"/>
      <c r="BB2448" s="209"/>
    </row>
    <row r="2449" spans="1:54" ht="26.25" hidden="1" customHeight="1">
      <c r="B2449" s="235">
        <v>45873</v>
      </c>
      <c r="C2449" s="235">
        <v>45888</v>
      </c>
      <c r="D2449" s="185">
        <f t="shared" si="952"/>
        <v>2025</v>
      </c>
      <c r="E2449" s="236" t="e">
        <f>VLOOKUP($B2449,Week!$A$1:$C$1462,2,0)</f>
        <v>#N/A</v>
      </c>
      <c r="F2449" s="237" t="str">
        <f t="shared" si="953"/>
        <v>Aug</v>
      </c>
      <c r="G2449" s="236" t="s">
        <v>2395</v>
      </c>
      <c r="H2449" s="236" t="s">
        <v>392</v>
      </c>
      <c r="I2449" s="236" t="s">
        <v>2772</v>
      </c>
      <c r="J2449" s="238" t="s">
        <v>393</v>
      </c>
      <c r="K2449" s="239" t="s">
        <v>1643</v>
      </c>
      <c r="L2449" s="300" t="s">
        <v>2167</v>
      </c>
      <c r="M2449" s="238" t="s">
        <v>2385</v>
      </c>
      <c r="N2449" s="236" t="s">
        <v>407</v>
      </c>
      <c r="O2449" s="236" t="s">
        <v>206</v>
      </c>
      <c r="P2449" s="240">
        <v>24</v>
      </c>
      <c r="Q2449" s="240">
        <v>5</v>
      </c>
      <c r="R2449" s="241">
        <v>8.0000000000000002E-3</v>
      </c>
      <c r="S2449" s="236" t="s">
        <v>40</v>
      </c>
      <c r="T2449" s="236" t="s">
        <v>56</v>
      </c>
      <c r="U2449" s="640" t="s">
        <v>499</v>
      </c>
      <c r="V2449" s="242">
        <f>1250</f>
        <v>1250</v>
      </c>
      <c r="W2449" s="242">
        <f>9+1241</f>
        <v>1250</v>
      </c>
      <c r="X2449" s="243"/>
      <c r="Y2449" s="244">
        <f t="shared" ref="Y2449:Y2475" si="963">(W2449+X2449)-V2449</f>
        <v>0</v>
      </c>
      <c r="Z2449" s="245">
        <f t="shared" ref="Z2449:Z2475" si="964">IF(Y2449&lt;0,((V2449*P2449)-((W2449+X2449)*P2449)),0)</f>
        <v>0</v>
      </c>
      <c r="AA2449" s="245">
        <f t="shared" si="954"/>
        <v>0</v>
      </c>
      <c r="AB2449" s="809">
        <v>1</v>
      </c>
      <c r="AC2449" s="242">
        <f t="shared" ref="AC2449:AC2475" si="965">Z2449*AB2449</f>
        <v>0</v>
      </c>
      <c r="AD2449" s="209"/>
      <c r="AE2449" s="210">
        <f t="shared" ref="AE2449:AE2475" si="966">SUM(Q2449*R2449*Z2449)/1000</f>
        <v>0</v>
      </c>
      <c r="AF2449" s="210">
        <f t="shared" ref="AF2449:AF2475" si="967">AE2449/0.54</f>
        <v>0</v>
      </c>
      <c r="AG2449" s="211">
        <f t="shared" ref="AG2449:AG2473" si="968">MID(O2449,1,3)/1000</f>
        <v>0.115</v>
      </c>
      <c r="AH2449" s="157">
        <f t="shared" ref="AH2449:AH2459" si="969">(Z2449*AG2449)/1000</f>
        <v>0</v>
      </c>
      <c r="AI2449" s="152">
        <f t="shared" ref="AI2449:AI2475" si="970">V2449*P2449</f>
        <v>30000</v>
      </c>
      <c r="AK2449" s="156" t="s">
        <v>691</v>
      </c>
      <c r="AL2449" s="574" t="s">
        <v>690</v>
      </c>
      <c r="AM2449" s="198">
        <f t="shared" ref="AM2449:AM2456" si="971">AG2449*Z2449</f>
        <v>0</v>
      </c>
      <c r="AN2449" s="199">
        <f t="shared" si="951"/>
        <v>45873</v>
      </c>
      <c r="AO2449" s="159" t="s">
        <v>692</v>
      </c>
      <c r="AP2449" s="783" t="s">
        <v>608</v>
      </c>
      <c r="AQ2449" s="782">
        <v>12071839</v>
      </c>
      <c r="AR2449" s="782">
        <v>12047514</v>
      </c>
      <c r="AS2449" s="782">
        <v>12047515</v>
      </c>
      <c r="AT2449" s="781"/>
      <c r="AU2449" s="782">
        <v>12026902</v>
      </c>
      <c r="AV2449" s="782">
        <v>12081781</v>
      </c>
      <c r="AW2449" s="782">
        <v>12026904</v>
      </c>
      <c r="AX2449" s="781"/>
      <c r="AY2449" s="783" t="s">
        <v>2403</v>
      </c>
      <c r="AZ2449" s="783" t="s">
        <v>2404</v>
      </c>
      <c r="BA2449" s="783" t="s">
        <v>2405</v>
      </c>
      <c r="BB2449" s="209">
        <v>23052995</v>
      </c>
    </row>
    <row r="2450" spans="1:54" ht="24.65" hidden="1" customHeight="1">
      <c r="B2450" s="224">
        <v>45873</v>
      </c>
      <c r="C2450" s="224">
        <v>45888</v>
      </c>
      <c r="D2450" s="185">
        <f t="shared" si="952"/>
        <v>2025</v>
      </c>
      <c r="E2450" s="225" t="e">
        <f>VLOOKUP($B2450,Week!$A$1:$C$1462,2,0)</f>
        <v>#N/A</v>
      </c>
      <c r="F2450" s="226" t="str">
        <f t="shared" si="953"/>
        <v>Aug</v>
      </c>
      <c r="G2450" s="225" t="s">
        <v>2395</v>
      </c>
      <c r="H2450" s="225" t="s">
        <v>392</v>
      </c>
      <c r="I2450" s="225" t="s">
        <v>2772</v>
      </c>
      <c r="J2450" s="227" t="s">
        <v>393</v>
      </c>
      <c r="K2450" s="228" t="s">
        <v>176</v>
      </c>
      <c r="L2450" s="300" t="s">
        <v>2167</v>
      </c>
      <c r="M2450" s="228" t="s">
        <v>399</v>
      </c>
      <c r="N2450" s="225" t="s">
        <v>400</v>
      </c>
      <c r="O2450" s="225" t="s">
        <v>195</v>
      </c>
      <c r="P2450" s="229">
        <v>24</v>
      </c>
      <c r="Q2450" s="229">
        <v>5</v>
      </c>
      <c r="R2450" s="230">
        <v>8.0000000000000002E-3</v>
      </c>
      <c r="S2450" s="225" t="s">
        <v>40</v>
      </c>
      <c r="T2450" s="225" t="s">
        <v>56</v>
      </c>
      <c r="U2450" s="225" t="s">
        <v>57</v>
      </c>
      <c r="V2450" s="231">
        <f>900</f>
        <v>900</v>
      </c>
      <c r="W2450" s="231">
        <f>4+895+1</f>
        <v>900</v>
      </c>
      <c r="X2450" s="232"/>
      <c r="Y2450" s="233">
        <f t="shared" si="963"/>
        <v>0</v>
      </c>
      <c r="Z2450" s="234">
        <f t="shared" si="964"/>
        <v>0</v>
      </c>
      <c r="AA2450" s="234">
        <f t="shared" si="954"/>
        <v>0</v>
      </c>
      <c r="AB2450" s="808">
        <v>7.4999999999999997E-3</v>
      </c>
      <c r="AC2450" s="231">
        <f t="shared" si="965"/>
        <v>0</v>
      </c>
      <c r="AD2450" s="220"/>
      <c r="AE2450" s="210">
        <f t="shared" si="966"/>
        <v>0</v>
      </c>
      <c r="AF2450" s="210">
        <f t="shared" si="967"/>
        <v>0</v>
      </c>
      <c r="AG2450" s="211">
        <f t="shared" si="968"/>
        <v>0.14499999999999999</v>
      </c>
      <c r="AH2450" s="157">
        <f t="shared" si="969"/>
        <v>0</v>
      </c>
      <c r="AI2450" s="152">
        <f t="shared" si="970"/>
        <v>21600</v>
      </c>
      <c r="AK2450" s="156" t="s">
        <v>691</v>
      </c>
      <c r="AL2450" s="574" t="s">
        <v>690</v>
      </c>
      <c r="AM2450" s="198">
        <f t="shared" si="971"/>
        <v>0</v>
      </c>
      <c r="AN2450" s="199">
        <f t="shared" si="951"/>
        <v>45873</v>
      </c>
      <c r="AO2450" s="159" t="s">
        <v>692</v>
      </c>
      <c r="AP2450" s="783" t="s">
        <v>638</v>
      </c>
      <c r="AQ2450" s="783" t="s">
        <v>631</v>
      </c>
      <c r="AR2450" s="783" t="s">
        <v>632</v>
      </c>
      <c r="AS2450" s="783" t="s">
        <v>633</v>
      </c>
      <c r="AT2450" s="781"/>
      <c r="AU2450" s="783" t="s">
        <v>626</v>
      </c>
      <c r="AV2450" s="783" t="s">
        <v>2380</v>
      </c>
      <c r="AW2450" s="783" t="s">
        <v>634</v>
      </c>
      <c r="AX2450" s="781"/>
      <c r="AY2450" s="783" t="s">
        <v>2463</v>
      </c>
      <c r="AZ2450" s="783" t="s">
        <v>2464</v>
      </c>
      <c r="BA2450" s="783" t="s">
        <v>2465</v>
      </c>
      <c r="BB2450" s="209">
        <v>23053185</v>
      </c>
    </row>
    <row r="2451" spans="1:54" ht="25" hidden="1" customHeight="1">
      <c r="B2451" s="258">
        <v>45873</v>
      </c>
      <c r="C2451" s="259">
        <v>45888</v>
      </c>
      <c r="D2451" s="260">
        <f t="shared" si="952"/>
        <v>2025</v>
      </c>
      <c r="E2451" s="259" t="e">
        <f>VLOOKUP($B2451,Week!$A$1:$C$1462,2,0)</f>
        <v>#N/A</v>
      </c>
      <c r="F2451" s="261" t="str">
        <f t="shared" si="953"/>
        <v>Aug</v>
      </c>
      <c r="G2451" s="260" t="s">
        <v>2414</v>
      </c>
      <c r="H2451" s="260" t="s">
        <v>424</v>
      </c>
      <c r="I2451" s="260" t="s">
        <v>2772</v>
      </c>
      <c r="J2451" s="263" t="s">
        <v>653</v>
      </c>
      <c r="K2451" s="264" t="s">
        <v>1649</v>
      </c>
      <c r="L2451" s="264" t="s">
        <v>2167</v>
      </c>
      <c r="M2451" s="263" t="s">
        <v>2355</v>
      </c>
      <c r="N2451" s="260" t="s">
        <v>2398</v>
      </c>
      <c r="O2451" s="260" t="s">
        <v>415</v>
      </c>
      <c r="P2451" s="265">
        <v>24</v>
      </c>
      <c r="Q2451" s="265">
        <v>5</v>
      </c>
      <c r="R2451" s="266">
        <v>6.0000000000000001E-3</v>
      </c>
      <c r="S2451" s="260" t="s">
        <v>55</v>
      </c>
      <c r="T2451" s="260" t="s">
        <v>112</v>
      </c>
      <c r="U2451" s="621" t="s">
        <v>1894</v>
      </c>
      <c r="V2451" s="267">
        <v>1176</v>
      </c>
      <c r="W2451" s="267">
        <v>1176</v>
      </c>
      <c r="X2451" s="268"/>
      <c r="Y2451" s="269">
        <f t="shared" si="963"/>
        <v>0</v>
      </c>
      <c r="Z2451" s="270">
        <f t="shared" si="964"/>
        <v>0</v>
      </c>
      <c r="AA2451" s="270">
        <f t="shared" si="954"/>
        <v>0</v>
      </c>
      <c r="AB2451" s="811">
        <v>3.8699999999999998E-2</v>
      </c>
      <c r="AC2451" s="267">
        <f t="shared" si="965"/>
        <v>0</v>
      </c>
      <c r="AD2451" s="307" t="s">
        <v>2956</v>
      </c>
      <c r="AE2451" s="210">
        <f t="shared" si="966"/>
        <v>0</v>
      </c>
      <c r="AF2451" s="210">
        <f t="shared" si="967"/>
        <v>0</v>
      </c>
      <c r="AG2451" s="211">
        <f t="shared" si="968"/>
        <v>0.25800000000000001</v>
      </c>
      <c r="AH2451" s="157">
        <f t="shared" si="969"/>
        <v>0</v>
      </c>
      <c r="AI2451" s="152">
        <f t="shared" si="970"/>
        <v>28224</v>
      </c>
      <c r="AK2451" s="156" t="s">
        <v>691</v>
      </c>
      <c r="AL2451" s="212" t="s">
        <v>690</v>
      </c>
      <c r="AM2451" s="198">
        <f t="shared" si="971"/>
        <v>0</v>
      </c>
      <c r="AN2451" s="199">
        <f t="shared" si="951"/>
        <v>45873</v>
      </c>
      <c r="AO2451" s="159" t="s">
        <v>692</v>
      </c>
      <c r="AP2451" s="781" t="s">
        <v>642</v>
      </c>
      <c r="AQ2451" s="782">
        <v>12071839</v>
      </c>
      <c r="AR2451" s="782">
        <v>12095778</v>
      </c>
      <c r="AS2451" s="782">
        <v>12095777</v>
      </c>
      <c r="AT2451" s="782">
        <v>12096090</v>
      </c>
      <c r="AU2451" s="781"/>
      <c r="AV2451" s="782">
        <v>12096087</v>
      </c>
      <c r="AW2451" s="782"/>
      <c r="AX2451" s="782"/>
      <c r="AY2451" s="782">
        <v>12096088</v>
      </c>
      <c r="AZ2451" s="782"/>
      <c r="BA2451" s="781"/>
      <c r="BB2451" s="209">
        <v>23105470</v>
      </c>
    </row>
    <row r="2452" spans="1:54" ht="25" hidden="1" customHeight="1">
      <c r="B2452" s="258">
        <v>45873</v>
      </c>
      <c r="C2452" s="259">
        <v>45888</v>
      </c>
      <c r="D2452" s="185">
        <f t="shared" si="952"/>
        <v>2025</v>
      </c>
      <c r="E2452" s="259" t="e">
        <f>VLOOKUP($B2452,Week!$A$1:$C$1462,2,0)</f>
        <v>#N/A</v>
      </c>
      <c r="F2452" s="261" t="str">
        <f t="shared" si="953"/>
        <v>Aug</v>
      </c>
      <c r="G2452" s="260" t="s">
        <v>2412</v>
      </c>
      <c r="H2452" s="260" t="s">
        <v>697</v>
      </c>
      <c r="I2452" s="260" t="s">
        <v>2772</v>
      </c>
      <c r="J2452" s="263" t="s">
        <v>653</v>
      </c>
      <c r="K2452" s="264" t="s">
        <v>1646</v>
      </c>
      <c r="L2452" s="300" t="s">
        <v>2167</v>
      </c>
      <c r="M2452" s="263" t="s">
        <v>654</v>
      </c>
      <c r="N2452" s="260" t="s">
        <v>656</v>
      </c>
      <c r="O2452" s="260" t="s">
        <v>655</v>
      </c>
      <c r="P2452" s="265">
        <v>24</v>
      </c>
      <c r="Q2452" s="265">
        <v>5</v>
      </c>
      <c r="R2452" s="266">
        <v>7.4999999999999997E-3</v>
      </c>
      <c r="S2452" s="260" t="s">
        <v>40</v>
      </c>
      <c r="T2452" s="260" t="s">
        <v>112</v>
      </c>
      <c r="U2452" s="621" t="s">
        <v>1894</v>
      </c>
      <c r="V2452" s="267">
        <f>645</f>
        <v>645</v>
      </c>
      <c r="W2452" s="267">
        <f>7+247+2</f>
        <v>256</v>
      </c>
      <c r="X2452" s="268">
        <f>(9186+148+2)/24</f>
        <v>389</v>
      </c>
      <c r="Y2452" s="269">
        <f t="shared" si="963"/>
        <v>0</v>
      </c>
      <c r="Z2452" s="270">
        <f t="shared" si="964"/>
        <v>0</v>
      </c>
      <c r="AA2452" s="270">
        <f t="shared" si="954"/>
        <v>0</v>
      </c>
      <c r="AB2452" s="811">
        <v>3.8699999999999998E-2</v>
      </c>
      <c r="AC2452" s="267">
        <f t="shared" si="965"/>
        <v>0</v>
      </c>
      <c r="AD2452" s="443"/>
      <c r="AE2452" s="210">
        <f t="shared" si="966"/>
        <v>0</v>
      </c>
      <c r="AF2452" s="210">
        <f t="shared" si="967"/>
        <v>0</v>
      </c>
      <c r="AG2452" s="211">
        <f t="shared" si="968"/>
        <v>0.307</v>
      </c>
      <c r="AH2452" s="157">
        <f t="shared" si="969"/>
        <v>0</v>
      </c>
      <c r="AI2452" s="152">
        <f t="shared" si="970"/>
        <v>15480</v>
      </c>
      <c r="AK2452" s="156" t="s">
        <v>691</v>
      </c>
      <c r="AL2452" s="212" t="s">
        <v>690</v>
      </c>
      <c r="AM2452" s="198">
        <f t="shared" si="971"/>
        <v>0</v>
      </c>
      <c r="AN2452" s="199">
        <f t="shared" si="951"/>
        <v>45873</v>
      </c>
      <c r="AO2452" s="159" t="s">
        <v>692</v>
      </c>
      <c r="AP2452" s="781" t="s">
        <v>642</v>
      </c>
      <c r="AQ2452" s="782">
        <v>12063755</v>
      </c>
      <c r="AR2452" s="782">
        <v>12081257</v>
      </c>
      <c r="AS2452" s="782">
        <v>12081260</v>
      </c>
      <c r="AT2452" s="782">
        <v>12094048</v>
      </c>
      <c r="AU2452" s="781"/>
      <c r="AV2452" s="782">
        <v>12084608</v>
      </c>
      <c r="AW2452" s="782">
        <v>12068154</v>
      </c>
      <c r="AX2452" s="782"/>
      <c r="AY2452" s="782">
        <v>12094049</v>
      </c>
      <c r="AZ2452" s="782"/>
      <c r="BA2452" s="781"/>
      <c r="BB2452" s="209">
        <v>23105470</v>
      </c>
    </row>
    <row r="2453" spans="1:54" ht="25" hidden="1" customHeight="1">
      <c r="A2453" s="440"/>
      <c r="B2453" s="743">
        <v>45873</v>
      </c>
      <c r="C2453" s="743">
        <v>45888</v>
      </c>
      <c r="D2453" s="746">
        <f t="shared" si="952"/>
        <v>2025</v>
      </c>
      <c r="E2453" s="858" t="e">
        <f>VLOOKUP($B2453,Week!$A$1:$C$1462,2,0)</f>
        <v>#N/A</v>
      </c>
      <c r="F2453" s="859" t="str">
        <f t="shared" si="953"/>
        <v>Aug</v>
      </c>
      <c r="G2453" s="746" t="s">
        <v>2408</v>
      </c>
      <c r="H2453" s="746" t="s">
        <v>424</v>
      </c>
      <c r="I2453" s="746" t="s">
        <v>2772</v>
      </c>
      <c r="J2453" s="747" t="s">
        <v>425</v>
      </c>
      <c r="K2453" s="748" t="s">
        <v>1651</v>
      </c>
      <c r="L2453" s="748" t="s">
        <v>2167</v>
      </c>
      <c r="M2453" s="747" t="s">
        <v>2260</v>
      </c>
      <c r="N2453" s="746" t="s">
        <v>2257</v>
      </c>
      <c r="O2453" s="746" t="s">
        <v>2254</v>
      </c>
      <c r="P2453" s="749">
        <v>6</v>
      </c>
      <c r="Q2453" s="749">
        <v>3</v>
      </c>
      <c r="R2453" s="849">
        <v>6.1999999999999998E-3</v>
      </c>
      <c r="S2453" s="746" t="s">
        <v>55</v>
      </c>
      <c r="T2453" s="746" t="s">
        <v>112</v>
      </c>
      <c r="U2453" s="860" t="s">
        <v>1633</v>
      </c>
      <c r="V2453" s="750">
        <v>1319</v>
      </c>
      <c r="W2453" s="750">
        <f>1218</f>
        <v>1218</v>
      </c>
      <c r="X2453" s="751">
        <f>(608)/6</f>
        <v>101.33333333333333</v>
      </c>
      <c r="Y2453" s="752">
        <f t="shared" si="963"/>
        <v>0.33333333333325754</v>
      </c>
      <c r="Z2453" s="753">
        <f t="shared" si="964"/>
        <v>0</v>
      </c>
      <c r="AA2453" s="753">
        <f t="shared" si="954"/>
        <v>0</v>
      </c>
      <c r="AB2453" s="838">
        <v>6.5000000000000002E-2</v>
      </c>
      <c r="AC2453" s="750">
        <f t="shared" si="965"/>
        <v>0</v>
      </c>
      <c r="AD2453" s="209"/>
      <c r="AE2453" s="210">
        <f t="shared" si="966"/>
        <v>0</v>
      </c>
      <c r="AF2453" s="210">
        <f t="shared" si="967"/>
        <v>0</v>
      </c>
      <c r="AG2453" s="211">
        <f t="shared" si="968"/>
        <v>0.3</v>
      </c>
      <c r="AH2453" s="157">
        <f t="shared" si="969"/>
        <v>0</v>
      </c>
      <c r="AI2453" s="152">
        <f t="shared" si="970"/>
        <v>7914</v>
      </c>
      <c r="AK2453" s="156" t="s">
        <v>691</v>
      </c>
      <c r="AL2453" s="212" t="s">
        <v>690</v>
      </c>
      <c r="AM2453" s="198">
        <f t="shared" si="971"/>
        <v>0</v>
      </c>
      <c r="AN2453" s="199">
        <f t="shared" si="951"/>
        <v>45873</v>
      </c>
      <c r="AO2453" s="159" t="s">
        <v>692</v>
      </c>
      <c r="AP2453" s="781"/>
      <c r="AQ2453" s="782"/>
      <c r="AR2453" s="782" t="s">
        <v>2379</v>
      </c>
      <c r="AS2453" s="782"/>
      <c r="AT2453" s="782">
        <v>12095581</v>
      </c>
      <c r="AU2453" s="783"/>
      <c r="AV2453" s="782">
        <v>12096149</v>
      </c>
      <c r="AW2453" s="782"/>
      <c r="AX2453" s="782"/>
      <c r="AY2453" s="782"/>
      <c r="AZ2453" s="782"/>
      <c r="BA2453" s="782"/>
      <c r="BB2453" s="209">
        <v>23105543</v>
      </c>
    </row>
    <row r="2454" spans="1:54" ht="25" hidden="1" customHeight="1">
      <c r="B2454" s="321">
        <v>45874</v>
      </c>
      <c r="C2454" s="321">
        <v>45888</v>
      </c>
      <c r="D2454" s="185">
        <f t="shared" si="952"/>
        <v>2025</v>
      </c>
      <c r="E2454" s="321" t="e">
        <f>VLOOKUP($B2454,Week!$A$1:$C$1462,2,0)</f>
        <v>#N/A</v>
      </c>
      <c r="F2454" s="322" t="str">
        <f t="shared" si="953"/>
        <v>Aug</v>
      </c>
      <c r="G2454" s="596" t="s">
        <v>2175</v>
      </c>
      <c r="H2454" s="323" t="s">
        <v>500</v>
      </c>
      <c r="I2454" s="323" t="s">
        <v>2772</v>
      </c>
      <c r="J2454" s="324" t="s">
        <v>679</v>
      </c>
      <c r="K2454" s="325" t="s">
        <v>227</v>
      </c>
      <c r="L2454" s="300" t="s">
        <v>2167</v>
      </c>
      <c r="M2454" s="324" t="s">
        <v>1416</v>
      </c>
      <c r="N2454" s="323" t="s">
        <v>1417</v>
      </c>
      <c r="O2454" s="323" t="s">
        <v>1418</v>
      </c>
      <c r="P2454" s="326">
        <v>36</v>
      </c>
      <c r="Q2454" s="326">
        <v>4</v>
      </c>
      <c r="R2454" s="327">
        <v>7.4999999999999997E-3</v>
      </c>
      <c r="S2454" s="323" t="s">
        <v>40</v>
      </c>
      <c r="T2454" s="323" t="s">
        <v>112</v>
      </c>
      <c r="U2454" s="323" t="s">
        <v>57</v>
      </c>
      <c r="V2454" s="328">
        <v>874</v>
      </c>
      <c r="W2454" s="328">
        <f>12+862</f>
        <v>874</v>
      </c>
      <c r="X2454" s="329">
        <f>(435)/36</f>
        <v>12.083333333333334</v>
      </c>
      <c r="Y2454" s="330">
        <f t="shared" si="963"/>
        <v>12.083333333333371</v>
      </c>
      <c r="Z2454" s="331">
        <f t="shared" si="964"/>
        <v>0</v>
      </c>
      <c r="AA2454" s="331">
        <f t="shared" si="954"/>
        <v>0</v>
      </c>
      <c r="AB2454" s="816">
        <v>7.4999999999999997E-3</v>
      </c>
      <c r="AC2454" s="328">
        <f t="shared" si="965"/>
        <v>0</v>
      </c>
      <c r="AD2454" s="209"/>
      <c r="AE2454" s="210">
        <f t="shared" si="966"/>
        <v>0</v>
      </c>
      <c r="AF2454" s="210">
        <f t="shared" si="967"/>
        <v>0</v>
      </c>
      <c r="AG2454" s="211">
        <f t="shared" si="968"/>
        <v>0.23899999999999999</v>
      </c>
      <c r="AH2454" s="157">
        <f t="shared" si="969"/>
        <v>0</v>
      </c>
      <c r="AI2454" s="152">
        <f t="shared" si="970"/>
        <v>31464</v>
      </c>
      <c r="AK2454" s="156" t="s">
        <v>691</v>
      </c>
      <c r="AL2454" s="574" t="s">
        <v>690</v>
      </c>
      <c r="AM2454" s="198">
        <f t="shared" si="971"/>
        <v>0</v>
      </c>
      <c r="AN2454" s="199">
        <f t="shared" si="951"/>
        <v>45874</v>
      </c>
      <c r="AO2454" s="159" t="s">
        <v>692</v>
      </c>
      <c r="AP2454" s="783" t="s">
        <v>612</v>
      </c>
      <c r="AQ2454" s="782">
        <v>12071839</v>
      </c>
      <c r="AR2454" s="782">
        <v>12042650</v>
      </c>
      <c r="AS2454" s="782">
        <v>12042649</v>
      </c>
      <c r="AT2454" s="782">
        <v>12076724</v>
      </c>
      <c r="AU2454" s="781"/>
      <c r="AV2454" s="782">
        <v>12076723</v>
      </c>
      <c r="AW2454" s="782">
        <v>12053504</v>
      </c>
      <c r="AX2454" s="782"/>
      <c r="AY2454" s="782"/>
      <c r="AZ2454" s="782"/>
      <c r="BA2454" s="781"/>
      <c r="BB2454" s="209">
        <v>23053185</v>
      </c>
    </row>
    <row r="2455" spans="1:54" ht="24.75" hidden="1" customHeight="1">
      <c r="B2455" s="333">
        <v>45874</v>
      </c>
      <c r="C2455" s="333">
        <v>45883</v>
      </c>
      <c r="D2455" s="185">
        <f t="shared" si="952"/>
        <v>2025</v>
      </c>
      <c r="E2455" s="335" t="e">
        <f>VLOOKUP($B2455,Week!$A$1:$C$1462,2,0)</f>
        <v>#N/A</v>
      </c>
      <c r="F2455" s="334" t="str">
        <f t="shared" si="953"/>
        <v>Aug</v>
      </c>
      <c r="G2455" s="335" t="s">
        <v>2387</v>
      </c>
      <c r="H2455" s="335" t="s">
        <v>363</v>
      </c>
      <c r="I2455" s="335" t="s">
        <v>2772</v>
      </c>
      <c r="J2455" s="336" t="s">
        <v>364</v>
      </c>
      <c r="K2455" s="337" t="s">
        <v>176</v>
      </c>
      <c r="L2455" s="337" t="s">
        <v>2167</v>
      </c>
      <c r="M2455" s="382" t="s">
        <v>646</v>
      </c>
      <c r="N2455" s="335" t="s">
        <v>647</v>
      </c>
      <c r="O2455" s="335" t="s">
        <v>599</v>
      </c>
      <c r="P2455" s="338">
        <v>36</v>
      </c>
      <c r="Q2455" s="338">
        <v>5</v>
      </c>
      <c r="R2455" s="339">
        <v>8.0000000000000002E-3</v>
      </c>
      <c r="S2455" s="335" t="s">
        <v>40</v>
      </c>
      <c r="T2455" s="335" t="s">
        <v>112</v>
      </c>
      <c r="U2455" s="335" t="s">
        <v>57</v>
      </c>
      <c r="V2455" s="341">
        <f>1288</f>
        <v>1288</v>
      </c>
      <c r="W2455" s="341">
        <f>1280+8</f>
        <v>1288</v>
      </c>
      <c r="X2455" s="342"/>
      <c r="Y2455" s="343">
        <f t="shared" si="963"/>
        <v>0</v>
      </c>
      <c r="Z2455" s="344">
        <f t="shared" si="964"/>
        <v>0</v>
      </c>
      <c r="AA2455" s="344">
        <f t="shared" si="954"/>
        <v>0</v>
      </c>
      <c r="AB2455" s="821">
        <v>7.4999999999999997E-3</v>
      </c>
      <c r="AC2455" s="341">
        <f t="shared" si="965"/>
        <v>0</v>
      </c>
      <c r="AD2455" s="209"/>
      <c r="AE2455" s="210">
        <f t="shared" si="966"/>
        <v>0</v>
      </c>
      <c r="AF2455" s="210">
        <f t="shared" si="967"/>
        <v>0</v>
      </c>
      <c r="AG2455" s="211">
        <f t="shared" si="968"/>
        <v>0.14799999999999999</v>
      </c>
      <c r="AH2455" s="157">
        <f t="shared" si="969"/>
        <v>0</v>
      </c>
      <c r="AI2455" s="152">
        <f t="shared" si="970"/>
        <v>46368</v>
      </c>
      <c r="AK2455" s="156" t="s">
        <v>691</v>
      </c>
      <c r="AL2455" s="574" t="s">
        <v>690</v>
      </c>
      <c r="AM2455" s="198">
        <f t="shared" si="971"/>
        <v>0</v>
      </c>
      <c r="AN2455" s="199">
        <f t="shared" si="951"/>
        <v>45874</v>
      </c>
      <c r="AO2455" s="159" t="s">
        <v>692</v>
      </c>
      <c r="AP2455" s="781"/>
      <c r="AQ2455" s="782">
        <v>12071839</v>
      </c>
      <c r="AR2455" s="782">
        <v>12047514</v>
      </c>
      <c r="AS2455" s="782">
        <v>12047515</v>
      </c>
      <c r="AT2455" s="782">
        <v>12084374</v>
      </c>
      <c r="AU2455" s="781"/>
      <c r="AV2455" s="782">
        <v>12084372</v>
      </c>
      <c r="AW2455" s="782">
        <v>12024404</v>
      </c>
      <c r="AX2455" s="782"/>
      <c r="AY2455" s="782">
        <v>12094311</v>
      </c>
      <c r="AZ2455" s="782"/>
      <c r="BA2455" s="781"/>
      <c r="BB2455" s="209">
        <v>23053185</v>
      </c>
    </row>
    <row r="2456" spans="1:54" ht="24.75" hidden="1" customHeight="1">
      <c r="B2456" s="333">
        <v>45874</v>
      </c>
      <c r="C2456" s="333">
        <v>45883</v>
      </c>
      <c r="D2456" s="185">
        <f t="shared" si="952"/>
        <v>2025</v>
      </c>
      <c r="E2456" s="335" t="e">
        <f>VLOOKUP($B2456,Week!$A$1:$C$1462,2,0)</f>
        <v>#N/A</v>
      </c>
      <c r="F2456" s="334" t="str">
        <f t="shared" si="953"/>
        <v>Aug</v>
      </c>
      <c r="G2456" s="335" t="s">
        <v>2388</v>
      </c>
      <c r="H2456" s="335" t="s">
        <v>363</v>
      </c>
      <c r="I2456" s="335" t="s">
        <v>2772</v>
      </c>
      <c r="J2456" s="336" t="s">
        <v>364</v>
      </c>
      <c r="K2456" s="337" t="s">
        <v>176</v>
      </c>
      <c r="L2456" s="337" t="s">
        <v>2167</v>
      </c>
      <c r="M2456" s="382" t="s">
        <v>646</v>
      </c>
      <c r="N2456" s="335" t="s">
        <v>647</v>
      </c>
      <c r="O2456" s="335" t="s">
        <v>599</v>
      </c>
      <c r="P2456" s="338">
        <v>36</v>
      </c>
      <c r="Q2456" s="338">
        <v>5</v>
      </c>
      <c r="R2456" s="339">
        <v>8.0000000000000002E-3</v>
      </c>
      <c r="S2456" s="335" t="s">
        <v>40</v>
      </c>
      <c r="T2456" s="335" t="s">
        <v>112</v>
      </c>
      <c r="U2456" s="335" t="s">
        <v>57</v>
      </c>
      <c r="V2456" s="341">
        <f>1288</f>
        <v>1288</v>
      </c>
      <c r="W2456" s="341">
        <f>2509-1280+59</f>
        <v>1288</v>
      </c>
      <c r="X2456" s="342"/>
      <c r="Y2456" s="343">
        <f t="shared" si="963"/>
        <v>0</v>
      </c>
      <c r="Z2456" s="344">
        <f t="shared" si="964"/>
        <v>0</v>
      </c>
      <c r="AA2456" s="344">
        <f t="shared" si="954"/>
        <v>0</v>
      </c>
      <c r="AB2456" s="821">
        <v>7.4999999999999997E-3</v>
      </c>
      <c r="AC2456" s="341">
        <f t="shared" si="965"/>
        <v>0</v>
      </c>
      <c r="AD2456" s="209"/>
      <c r="AE2456" s="210">
        <f t="shared" si="966"/>
        <v>0</v>
      </c>
      <c r="AF2456" s="210">
        <f t="shared" si="967"/>
        <v>0</v>
      </c>
      <c r="AG2456" s="211">
        <f t="shared" si="968"/>
        <v>0.14799999999999999</v>
      </c>
      <c r="AH2456" s="157">
        <f t="shared" si="969"/>
        <v>0</v>
      </c>
      <c r="AI2456" s="152">
        <f t="shared" si="970"/>
        <v>46368</v>
      </c>
      <c r="AK2456" s="156" t="s">
        <v>691</v>
      </c>
      <c r="AL2456" s="574" t="s">
        <v>690</v>
      </c>
      <c r="AM2456" s="198">
        <f t="shared" si="971"/>
        <v>0</v>
      </c>
      <c r="AN2456" s="199">
        <f t="shared" si="951"/>
        <v>45874</v>
      </c>
      <c r="AO2456" s="159" t="s">
        <v>692</v>
      </c>
      <c r="AP2456" s="781"/>
      <c r="AQ2456" s="782">
        <v>12071839</v>
      </c>
      <c r="AR2456" s="782">
        <v>12047514</v>
      </c>
      <c r="AS2456" s="782">
        <v>12047515</v>
      </c>
      <c r="AT2456" s="782">
        <v>12084374</v>
      </c>
      <c r="AU2456" s="781"/>
      <c r="AV2456" s="782">
        <v>12084372</v>
      </c>
      <c r="AW2456" s="782">
        <v>12024404</v>
      </c>
      <c r="AX2456" s="782"/>
      <c r="AY2456" s="782">
        <v>12094311</v>
      </c>
      <c r="AZ2456" s="782"/>
      <c r="BA2456" s="781"/>
      <c r="BB2456" s="209">
        <v>23053185</v>
      </c>
    </row>
    <row r="2457" spans="1:54" ht="25" hidden="1" customHeight="1">
      <c r="A2457" s="440"/>
      <c r="B2457" s="743">
        <v>45874</v>
      </c>
      <c r="C2457" s="743">
        <v>45888</v>
      </c>
      <c r="D2457" s="746">
        <f t="shared" si="952"/>
        <v>2025</v>
      </c>
      <c r="E2457" s="858" t="e">
        <f>VLOOKUP($B2457,Week!$A$1:$C$1462,2,0)</f>
        <v>#N/A</v>
      </c>
      <c r="F2457" s="859" t="str">
        <f t="shared" si="953"/>
        <v>Aug</v>
      </c>
      <c r="G2457" s="746" t="s">
        <v>2408</v>
      </c>
      <c r="H2457" s="746" t="s">
        <v>424</v>
      </c>
      <c r="I2457" s="746" t="s">
        <v>2772</v>
      </c>
      <c r="J2457" s="747" t="s">
        <v>425</v>
      </c>
      <c r="K2457" s="748" t="s">
        <v>1651</v>
      </c>
      <c r="L2457" s="748" t="s">
        <v>2167</v>
      </c>
      <c r="M2457" s="747" t="s">
        <v>2260</v>
      </c>
      <c r="N2457" s="746" t="s">
        <v>2257</v>
      </c>
      <c r="O2457" s="746" t="s">
        <v>2254</v>
      </c>
      <c r="P2457" s="749">
        <v>6</v>
      </c>
      <c r="Q2457" s="749">
        <v>3</v>
      </c>
      <c r="R2457" s="849">
        <v>6.1999999999999998E-3</v>
      </c>
      <c r="S2457" s="746" t="s">
        <v>55</v>
      </c>
      <c r="T2457" s="746" t="s">
        <v>112</v>
      </c>
      <c r="U2457" s="860" t="s">
        <v>1633</v>
      </c>
      <c r="V2457" s="750">
        <v>1522</v>
      </c>
      <c r="W2457" s="750">
        <f>1522</f>
        <v>1522</v>
      </c>
      <c r="X2457" s="751"/>
      <c r="Y2457" s="752">
        <f t="shared" si="963"/>
        <v>0</v>
      </c>
      <c r="Z2457" s="753">
        <f t="shared" si="964"/>
        <v>0</v>
      </c>
      <c r="AA2457" s="753">
        <f t="shared" si="954"/>
        <v>0</v>
      </c>
      <c r="AB2457" s="838">
        <v>6.5000000000000002E-2</v>
      </c>
      <c r="AC2457" s="750">
        <f t="shared" si="965"/>
        <v>0</v>
      </c>
      <c r="AD2457" s="209"/>
      <c r="AE2457" s="210">
        <f t="shared" si="966"/>
        <v>0</v>
      </c>
      <c r="AF2457" s="210">
        <f t="shared" si="967"/>
        <v>0</v>
      </c>
      <c r="AG2457" s="211">
        <f t="shared" si="968"/>
        <v>0.3</v>
      </c>
      <c r="AH2457" s="157">
        <f t="shared" si="969"/>
        <v>0</v>
      </c>
      <c r="AI2457" s="152">
        <f t="shared" si="970"/>
        <v>9132</v>
      </c>
      <c r="AK2457" s="156" t="s">
        <v>691</v>
      </c>
      <c r="AL2457" s="212" t="s">
        <v>690</v>
      </c>
      <c r="AM2457" s="198">
        <f t="shared" ref="AM2457:AM2488" si="972">AG2457*Z2457</f>
        <v>0</v>
      </c>
      <c r="AN2457" s="199">
        <f t="shared" si="951"/>
        <v>45874</v>
      </c>
      <c r="AO2457" s="159" t="s">
        <v>692</v>
      </c>
      <c r="AP2457" s="781"/>
      <c r="AQ2457" s="782"/>
      <c r="AR2457" s="782" t="s">
        <v>2379</v>
      </c>
      <c r="AS2457" s="782"/>
      <c r="AT2457" s="782">
        <v>12095581</v>
      </c>
      <c r="AU2457" s="783"/>
      <c r="AV2457" s="782">
        <v>12096149</v>
      </c>
      <c r="AW2457" s="782"/>
      <c r="AX2457" s="782"/>
      <c r="AY2457" s="782"/>
      <c r="AZ2457" s="782"/>
      <c r="BA2457" s="782"/>
      <c r="BB2457" s="209">
        <v>23105543</v>
      </c>
    </row>
    <row r="2458" spans="1:54" ht="25.15" hidden="1" customHeight="1">
      <c r="B2458" s="345">
        <v>45875</v>
      </c>
      <c r="C2458" s="346">
        <v>45888</v>
      </c>
      <c r="D2458" s="185">
        <f t="shared" si="952"/>
        <v>2025</v>
      </c>
      <c r="E2458" s="347" t="e">
        <f>VLOOKUP($B2458,Week!$A$1:$C$1462,2,0)</f>
        <v>#N/A</v>
      </c>
      <c r="F2458" s="348" t="str">
        <f t="shared" si="953"/>
        <v>Aug</v>
      </c>
      <c r="G2458" s="347" t="s">
        <v>2412</v>
      </c>
      <c r="H2458" s="347" t="s">
        <v>697</v>
      </c>
      <c r="I2458" s="347" t="s">
        <v>2772</v>
      </c>
      <c r="J2458" s="438" t="s">
        <v>425</v>
      </c>
      <c r="K2458" s="350" t="s">
        <v>176</v>
      </c>
      <c r="L2458" s="300" t="s">
        <v>2167</v>
      </c>
      <c r="M2458" s="349" t="s">
        <v>426</v>
      </c>
      <c r="N2458" s="347" t="s">
        <v>427</v>
      </c>
      <c r="O2458" s="347" t="s">
        <v>599</v>
      </c>
      <c r="P2458" s="351">
        <v>36</v>
      </c>
      <c r="Q2458" s="351">
        <v>5</v>
      </c>
      <c r="R2458" s="352">
        <v>7.4999999999999997E-3</v>
      </c>
      <c r="S2458" s="347" t="s">
        <v>111</v>
      </c>
      <c r="T2458" s="347" t="s">
        <v>112</v>
      </c>
      <c r="U2458" s="347" t="s">
        <v>57</v>
      </c>
      <c r="V2458" s="353">
        <f>385</f>
        <v>385</v>
      </c>
      <c r="W2458" s="353">
        <f>22+357</f>
        <v>379</v>
      </c>
      <c r="X2458" s="354">
        <v>6</v>
      </c>
      <c r="Y2458" s="355">
        <f t="shared" si="963"/>
        <v>0</v>
      </c>
      <c r="Z2458" s="356">
        <f t="shared" si="964"/>
        <v>0</v>
      </c>
      <c r="AA2458" s="353">
        <f t="shared" si="954"/>
        <v>0</v>
      </c>
      <c r="AB2458" s="818">
        <v>7.4999999999999997E-3</v>
      </c>
      <c r="AC2458" s="353">
        <f t="shared" si="965"/>
        <v>0</v>
      </c>
      <c r="AD2458" s="307" t="s">
        <v>2449</v>
      </c>
      <c r="AE2458" s="210">
        <f t="shared" si="966"/>
        <v>0</v>
      </c>
      <c r="AF2458" s="210">
        <f t="shared" si="967"/>
        <v>0</v>
      </c>
      <c r="AG2458" s="211">
        <f t="shared" si="968"/>
        <v>0.14799999999999999</v>
      </c>
      <c r="AH2458" s="157">
        <f t="shared" si="969"/>
        <v>0</v>
      </c>
      <c r="AI2458" s="152">
        <f t="shared" si="970"/>
        <v>13860</v>
      </c>
      <c r="AK2458" s="156" t="s">
        <v>691</v>
      </c>
      <c r="AL2458" s="574" t="s">
        <v>690</v>
      </c>
      <c r="AM2458" s="198">
        <f t="shared" si="972"/>
        <v>0</v>
      </c>
      <c r="AN2458" s="199">
        <f t="shared" si="951"/>
        <v>45875</v>
      </c>
      <c r="AO2458" s="159" t="s">
        <v>692</v>
      </c>
      <c r="AP2458" s="783" t="s">
        <v>609</v>
      </c>
      <c r="AQ2458" s="782">
        <v>12071839</v>
      </c>
      <c r="AR2458" s="782">
        <v>12080260</v>
      </c>
      <c r="AS2458" s="782">
        <v>12080259</v>
      </c>
      <c r="AT2458" s="782">
        <v>12096006</v>
      </c>
      <c r="AU2458" s="782"/>
      <c r="AV2458" s="782">
        <v>12096007</v>
      </c>
      <c r="AW2458" s="782">
        <v>12024404</v>
      </c>
      <c r="AX2458" s="781"/>
      <c r="AY2458" s="782">
        <v>12096022</v>
      </c>
      <c r="AZ2458" s="782"/>
      <c r="BA2458" s="781"/>
      <c r="BB2458" s="209">
        <v>23053185</v>
      </c>
    </row>
    <row r="2459" spans="1:54" ht="24.75" hidden="1" customHeight="1">
      <c r="B2459" s="295">
        <v>45875</v>
      </c>
      <c r="C2459" s="771" t="s">
        <v>1932</v>
      </c>
      <c r="D2459" s="185">
        <f t="shared" si="952"/>
        <v>2025</v>
      </c>
      <c r="E2459" s="296" t="e">
        <f>VLOOKUP($B2459,Week!$A$1:$C$1462,2,0)</f>
        <v>#N/A</v>
      </c>
      <c r="F2459" s="297" t="str">
        <f t="shared" si="953"/>
        <v>Aug</v>
      </c>
      <c r="G2459" s="648" t="s">
        <v>47</v>
      </c>
      <c r="H2459" s="298" t="s">
        <v>260</v>
      </c>
      <c r="I2459" s="298" t="s">
        <v>2702</v>
      </c>
      <c r="J2459" s="307" t="s">
        <v>2240</v>
      </c>
      <c r="K2459" s="300" t="s">
        <v>176</v>
      </c>
      <c r="L2459" s="300" t="s">
        <v>2167</v>
      </c>
      <c r="M2459" s="299" t="s">
        <v>2338</v>
      </c>
      <c r="N2459" s="298" t="s">
        <v>350</v>
      </c>
      <c r="O2459" s="298" t="s">
        <v>351</v>
      </c>
      <c r="P2459" s="301">
        <v>24</v>
      </c>
      <c r="Q2459" s="301">
        <v>5</v>
      </c>
      <c r="R2459" s="302">
        <v>6.1999999999999998E-3</v>
      </c>
      <c r="S2459" s="298" t="s">
        <v>352</v>
      </c>
      <c r="T2459" s="298" t="s">
        <v>56</v>
      </c>
      <c r="U2459" s="298" t="s">
        <v>57</v>
      </c>
      <c r="V2459" s="303">
        <v>2687</v>
      </c>
      <c r="W2459" s="303">
        <f>194+2493</f>
        <v>2687</v>
      </c>
      <c r="X2459" s="304"/>
      <c r="Y2459" s="305">
        <f t="shared" si="963"/>
        <v>0</v>
      </c>
      <c r="Z2459" s="306">
        <f t="shared" si="964"/>
        <v>0</v>
      </c>
      <c r="AA2459" s="306">
        <f t="shared" si="954"/>
        <v>0</v>
      </c>
      <c r="AB2459" s="814">
        <v>7.4999999999999997E-3</v>
      </c>
      <c r="AC2459" s="303">
        <f t="shared" si="965"/>
        <v>0</v>
      </c>
      <c r="AD2459" s="443"/>
      <c r="AE2459" s="210">
        <f t="shared" si="966"/>
        <v>0</v>
      </c>
      <c r="AF2459" s="210">
        <f t="shared" si="967"/>
        <v>0</v>
      </c>
      <c r="AG2459" s="211">
        <f t="shared" si="968"/>
        <v>0.13</v>
      </c>
      <c r="AH2459" s="157">
        <f t="shared" si="969"/>
        <v>0</v>
      </c>
      <c r="AI2459" s="152">
        <f t="shared" si="970"/>
        <v>64488</v>
      </c>
      <c r="AK2459" s="156" t="s">
        <v>691</v>
      </c>
      <c r="AL2459" s="574" t="s">
        <v>690</v>
      </c>
      <c r="AM2459" s="198">
        <f t="shared" si="972"/>
        <v>0</v>
      </c>
      <c r="AN2459" s="199">
        <f t="shared" si="951"/>
        <v>45875</v>
      </c>
      <c r="AO2459" s="159" t="s">
        <v>692</v>
      </c>
      <c r="AP2459" s="783" t="s">
        <v>629</v>
      </c>
      <c r="AQ2459" s="782">
        <v>12071839</v>
      </c>
      <c r="AR2459" s="782">
        <v>12094356</v>
      </c>
      <c r="AS2459" s="782">
        <v>12068233</v>
      </c>
      <c r="AT2459" s="781"/>
      <c r="AU2459" s="781"/>
      <c r="AV2459" s="782">
        <v>12062075</v>
      </c>
      <c r="AW2459" s="781"/>
      <c r="AX2459" s="781"/>
      <c r="AY2459" s="782">
        <v>12094357</v>
      </c>
      <c r="AZ2459" s="781"/>
      <c r="BA2459" s="781"/>
      <c r="BB2459" s="209">
        <v>23053185</v>
      </c>
    </row>
    <row r="2460" spans="1:54" ht="25" hidden="1" customHeight="1">
      <c r="B2460" s="385">
        <v>45875</v>
      </c>
      <c r="C2460" s="386">
        <v>45888</v>
      </c>
      <c r="D2460" s="185">
        <f t="shared" si="952"/>
        <v>2025</v>
      </c>
      <c r="E2460" s="386" t="e">
        <f>VLOOKUP($B2460,Week!$A$1:$C$1462,2,0)</f>
        <v>#N/A</v>
      </c>
      <c r="F2460" s="387" t="str">
        <f t="shared" si="953"/>
        <v>Aug</v>
      </c>
      <c r="G2460" s="388" t="s">
        <v>2411</v>
      </c>
      <c r="H2460" s="388" t="s">
        <v>424</v>
      </c>
      <c r="I2460" s="388" t="s">
        <v>2772</v>
      </c>
      <c r="J2460" s="389" t="s">
        <v>653</v>
      </c>
      <c r="K2460" s="390" t="s">
        <v>1652</v>
      </c>
      <c r="L2460" s="300" t="s">
        <v>2167</v>
      </c>
      <c r="M2460" s="389" t="s">
        <v>2356</v>
      </c>
      <c r="N2460" s="637" t="s">
        <v>2399</v>
      </c>
      <c r="O2460" s="388" t="s">
        <v>415</v>
      </c>
      <c r="P2460" s="391">
        <v>24</v>
      </c>
      <c r="Q2460" s="391">
        <v>5</v>
      </c>
      <c r="R2460" s="392">
        <v>6.0000000000000001E-3</v>
      </c>
      <c r="S2460" s="388" t="s">
        <v>55</v>
      </c>
      <c r="T2460" s="388" t="s">
        <v>112</v>
      </c>
      <c r="U2460" s="601" t="s">
        <v>2419</v>
      </c>
      <c r="V2460" s="393">
        <v>1176</v>
      </c>
      <c r="W2460" s="393">
        <f>1176</f>
        <v>1176</v>
      </c>
      <c r="X2460" s="394"/>
      <c r="Y2460" s="395">
        <f t="shared" si="963"/>
        <v>0</v>
      </c>
      <c r="Z2460" s="396">
        <f t="shared" si="964"/>
        <v>0</v>
      </c>
      <c r="AA2460" s="396">
        <f t="shared" si="954"/>
        <v>0</v>
      </c>
      <c r="AB2460" s="823">
        <v>5.8823E-2</v>
      </c>
      <c r="AC2460" s="393">
        <f t="shared" si="965"/>
        <v>0</v>
      </c>
      <c r="AD2460" s="307" t="s">
        <v>2354</v>
      </c>
      <c r="AE2460" s="210">
        <f t="shared" si="966"/>
        <v>0</v>
      </c>
      <c r="AF2460" s="210">
        <f t="shared" si="967"/>
        <v>0</v>
      </c>
      <c r="AG2460" s="211">
        <f t="shared" si="968"/>
        <v>0.25800000000000001</v>
      </c>
      <c r="AH2460" s="157">
        <v>0.26621999999999996</v>
      </c>
      <c r="AI2460" s="152">
        <f t="shared" si="970"/>
        <v>28224</v>
      </c>
      <c r="AK2460" s="156" t="s">
        <v>691</v>
      </c>
      <c r="AL2460" s="212" t="s">
        <v>690</v>
      </c>
      <c r="AM2460" s="198">
        <f t="shared" si="972"/>
        <v>0</v>
      </c>
      <c r="AN2460" s="199">
        <f t="shared" si="951"/>
        <v>45875</v>
      </c>
      <c r="AO2460" s="159" t="s">
        <v>692</v>
      </c>
      <c r="AP2460" s="781" t="s">
        <v>642</v>
      </c>
      <c r="AQ2460" s="782">
        <v>12071839</v>
      </c>
      <c r="AR2460" s="782">
        <v>12095778</v>
      </c>
      <c r="AS2460" s="782">
        <v>12095777</v>
      </c>
      <c r="AT2460" s="782">
        <v>12096091</v>
      </c>
      <c r="AU2460" s="781"/>
      <c r="AV2460" s="782">
        <v>12096093</v>
      </c>
      <c r="AW2460" s="781"/>
      <c r="AX2460" s="781"/>
      <c r="AY2460" s="781" t="s">
        <v>2438</v>
      </c>
      <c r="AZ2460" s="782"/>
      <c r="BA2460" s="781"/>
    </row>
    <row r="2461" spans="1:54" ht="25" hidden="1" customHeight="1">
      <c r="A2461" s="440"/>
      <c r="B2461" s="743">
        <v>45875</v>
      </c>
      <c r="C2461" s="743">
        <v>45888</v>
      </c>
      <c r="D2461" s="746">
        <f t="shared" si="952"/>
        <v>2025</v>
      </c>
      <c r="E2461" s="858" t="e">
        <f>VLOOKUP($B2461,Week!$A$1:$C$1462,2,0)</f>
        <v>#N/A</v>
      </c>
      <c r="F2461" s="859" t="str">
        <f t="shared" si="953"/>
        <v>Aug</v>
      </c>
      <c r="G2461" s="746" t="s">
        <v>2408</v>
      </c>
      <c r="H2461" s="746" t="s">
        <v>424</v>
      </c>
      <c r="I2461" s="746" t="s">
        <v>2772</v>
      </c>
      <c r="J2461" s="747" t="s">
        <v>425</v>
      </c>
      <c r="K2461" s="748" t="s">
        <v>1651</v>
      </c>
      <c r="L2461" s="748" t="s">
        <v>2167</v>
      </c>
      <c r="M2461" s="747" t="s">
        <v>2260</v>
      </c>
      <c r="N2461" s="746" t="s">
        <v>2257</v>
      </c>
      <c r="O2461" s="746" t="s">
        <v>2254</v>
      </c>
      <c r="P2461" s="749">
        <v>6</v>
      </c>
      <c r="Q2461" s="749">
        <v>3</v>
      </c>
      <c r="R2461" s="849">
        <v>6.1999999999999998E-3</v>
      </c>
      <c r="S2461" s="746" t="s">
        <v>55</v>
      </c>
      <c r="T2461" s="746" t="s">
        <v>112</v>
      </c>
      <c r="U2461" s="860" t="s">
        <v>1633</v>
      </c>
      <c r="V2461" s="750">
        <v>1232</v>
      </c>
      <c r="W2461" s="750">
        <v>1232</v>
      </c>
      <c r="X2461" s="751"/>
      <c r="Y2461" s="752">
        <f t="shared" si="963"/>
        <v>0</v>
      </c>
      <c r="Z2461" s="753">
        <f t="shared" si="964"/>
        <v>0</v>
      </c>
      <c r="AA2461" s="753">
        <f t="shared" si="954"/>
        <v>0</v>
      </c>
      <c r="AB2461" s="838">
        <v>6.5000000000000002E-2</v>
      </c>
      <c r="AC2461" s="750">
        <f t="shared" si="965"/>
        <v>0</v>
      </c>
      <c r="AD2461" s="209"/>
      <c r="AE2461" s="210">
        <f t="shared" si="966"/>
        <v>0</v>
      </c>
      <c r="AF2461" s="210">
        <f t="shared" si="967"/>
        <v>0</v>
      </c>
      <c r="AG2461" s="211">
        <f t="shared" si="968"/>
        <v>0.3</v>
      </c>
      <c r="AH2461" s="157">
        <f t="shared" ref="AH2461:AH2475" si="973">(Z2461*AG2461)/1000</f>
        <v>0</v>
      </c>
      <c r="AI2461" s="152">
        <f t="shared" si="970"/>
        <v>7392</v>
      </c>
      <c r="AK2461" s="156" t="s">
        <v>691</v>
      </c>
      <c r="AL2461" s="212" t="s">
        <v>690</v>
      </c>
      <c r="AM2461" s="198">
        <f t="shared" si="972"/>
        <v>0</v>
      </c>
      <c r="AN2461" s="199">
        <f t="shared" si="951"/>
        <v>45875</v>
      </c>
      <c r="AO2461" s="159" t="s">
        <v>692</v>
      </c>
      <c r="AP2461" s="781"/>
      <c r="AQ2461" s="782"/>
      <c r="AR2461" s="782" t="s">
        <v>2379</v>
      </c>
      <c r="AS2461" s="782"/>
      <c r="AT2461" s="782">
        <v>12095581</v>
      </c>
      <c r="AU2461" s="783"/>
      <c r="AV2461" s="782">
        <v>12096149</v>
      </c>
      <c r="AW2461" s="782"/>
      <c r="AX2461" s="782"/>
      <c r="AY2461" s="782"/>
      <c r="AZ2461" s="782"/>
      <c r="BA2461" s="782"/>
      <c r="BB2461" s="209">
        <v>23105543</v>
      </c>
    </row>
    <row r="2462" spans="1:54" ht="24.65" hidden="1" customHeight="1">
      <c r="B2462" s="308">
        <v>45876</v>
      </c>
      <c r="C2462" s="309">
        <v>45890</v>
      </c>
      <c r="D2462" s="185">
        <f t="shared" si="952"/>
        <v>2025</v>
      </c>
      <c r="E2462" s="309" t="e">
        <f>VLOOKUP($B2462,Week!$A$1:$C$1462,2,0)</f>
        <v>#N/A</v>
      </c>
      <c r="F2462" s="310" t="str">
        <f t="shared" si="953"/>
        <v>Aug</v>
      </c>
      <c r="G2462" s="311" t="s">
        <v>2394</v>
      </c>
      <c r="H2462" s="311" t="s">
        <v>311</v>
      </c>
      <c r="I2462" s="311" t="s">
        <v>2772</v>
      </c>
      <c r="J2462" s="312" t="s">
        <v>738</v>
      </c>
      <c r="K2462" s="313" t="s">
        <v>107</v>
      </c>
      <c r="L2462" s="300" t="s">
        <v>2167</v>
      </c>
      <c r="M2462" s="312" t="s">
        <v>313</v>
      </c>
      <c r="N2462" s="311" t="s">
        <v>314</v>
      </c>
      <c r="O2462" s="311" t="s">
        <v>110</v>
      </c>
      <c r="P2462" s="314">
        <v>36</v>
      </c>
      <c r="Q2462" s="314">
        <v>5</v>
      </c>
      <c r="R2462" s="315">
        <v>7.4999999999999997E-3</v>
      </c>
      <c r="S2462" s="311" t="s">
        <v>111</v>
      </c>
      <c r="T2462" s="311" t="s">
        <v>112</v>
      </c>
      <c r="U2462" s="311" t="s">
        <v>57</v>
      </c>
      <c r="V2462" s="316">
        <v>792</v>
      </c>
      <c r="W2462" s="316">
        <f>1+791</f>
        <v>792</v>
      </c>
      <c r="X2462" s="317"/>
      <c r="Y2462" s="318">
        <f t="shared" si="963"/>
        <v>0</v>
      </c>
      <c r="Z2462" s="319">
        <f t="shared" si="964"/>
        <v>0</v>
      </c>
      <c r="AA2462" s="319">
        <f t="shared" si="954"/>
        <v>0</v>
      </c>
      <c r="AB2462" s="815">
        <v>7.4999999999999997E-3</v>
      </c>
      <c r="AC2462" s="316">
        <f t="shared" si="965"/>
        <v>0</v>
      </c>
      <c r="AD2462" s="515"/>
      <c r="AE2462" s="210">
        <f t="shared" si="966"/>
        <v>0</v>
      </c>
      <c r="AF2462" s="210">
        <f t="shared" si="967"/>
        <v>0</v>
      </c>
      <c r="AG2462" s="211">
        <f t="shared" si="968"/>
        <v>0.308</v>
      </c>
      <c r="AH2462" s="157">
        <f t="shared" si="973"/>
        <v>0</v>
      </c>
      <c r="AI2462" s="152">
        <f t="shared" si="970"/>
        <v>28512</v>
      </c>
      <c r="AK2462" s="156" t="s">
        <v>691</v>
      </c>
      <c r="AL2462" s="212" t="s">
        <v>690</v>
      </c>
      <c r="AM2462" s="198">
        <f t="shared" si="972"/>
        <v>0</v>
      </c>
      <c r="AN2462" s="199">
        <f t="shared" si="951"/>
        <v>45876</v>
      </c>
      <c r="AO2462" s="159" t="s">
        <v>692</v>
      </c>
      <c r="AP2462" s="783" t="s">
        <v>644</v>
      </c>
      <c r="AQ2462" s="782">
        <v>12063755</v>
      </c>
      <c r="AR2462" s="782">
        <v>12061353</v>
      </c>
      <c r="AS2462" s="782">
        <v>12061354</v>
      </c>
      <c r="AT2462" s="782">
        <v>12062266</v>
      </c>
      <c r="AU2462" s="781"/>
      <c r="AV2462" s="782">
        <v>12088159</v>
      </c>
      <c r="AW2462" s="782">
        <v>12088207</v>
      </c>
      <c r="AX2462" s="782"/>
      <c r="AY2462" s="782">
        <v>12094237</v>
      </c>
      <c r="AZ2462" s="782"/>
      <c r="BA2462" s="781"/>
      <c r="BB2462" s="209">
        <v>23053185</v>
      </c>
    </row>
    <row r="2463" spans="1:54" ht="24.65" hidden="1" customHeight="1">
      <c r="B2463" s="308">
        <v>45876</v>
      </c>
      <c r="C2463" s="309">
        <v>45890</v>
      </c>
      <c r="D2463" s="185">
        <f t="shared" si="952"/>
        <v>2025</v>
      </c>
      <c r="E2463" s="309" t="e">
        <f>VLOOKUP($B2463,Week!$A$1:$C$1462,2,0)</f>
        <v>#N/A</v>
      </c>
      <c r="F2463" s="310" t="str">
        <f t="shared" si="953"/>
        <v>Aug</v>
      </c>
      <c r="G2463" s="311" t="s">
        <v>2401</v>
      </c>
      <c r="H2463" s="311" t="s">
        <v>311</v>
      </c>
      <c r="I2463" s="311" t="s">
        <v>2772</v>
      </c>
      <c r="J2463" s="312" t="s">
        <v>738</v>
      </c>
      <c r="K2463" s="313" t="s">
        <v>107</v>
      </c>
      <c r="L2463" s="300" t="s">
        <v>2167</v>
      </c>
      <c r="M2463" s="312" t="s">
        <v>313</v>
      </c>
      <c r="N2463" s="311" t="s">
        <v>314</v>
      </c>
      <c r="O2463" s="311" t="s">
        <v>110</v>
      </c>
      <c r="P2463" s="314">
        <v>36</v>
      </c>
      <c r="Q2463" s="314">
        <v>5</v>
      </c>
      <c r="R2463" s="315">
        <v>7.4999999999999997E-3</v>
      </c>
      <c r="S2463" s="311" t="s">
        <v>111</v>
      </c>
      <c r="T2463" s="311" t="s">
        <v>112</v>
      </c>
      <c r="U2463" s="311" t="s">
        <v>57</v>
      </c>
      <c r="V2463" s="316">
        <v>792</v>
      </c>
      <c r="W2463" s="316">
        <f>1583-791</f>
        <v>792</v>
      </c>
      <c r="X2463" s="317"/>
      <c r="Y2463" s="318">
        <f t="shared" si="963"/>
        <v>0</v>
      </c>
      <c r="Z2463" s="319">
        <f t="shared" si="964"/>
        <v>0</v>
      </c>
      <c r="AA2463" s="319">
        <f t="shared" si="954"/>
        <v>0</v>
      </c>
      <c r="AB2463" s="815">
        <v>7.4999999999999997E-3</v>
      </c>
      <c r="AC2463" s="316">
        <f t="shared" si="965"/>
        <v>0</v>
      </c>
      <c r="AD2463" s="515"/>
      <c r="AE2463" s="210">
        <f t="shared" si="966"/>
        <v>0</v>
      </c>
      <c r="AF2463" s="210">
        <f t="shared" si="967"/>
        <v>0</v>
      </c>
      <c r="AG2463" s="211">
        <f t="shared" si="968"/>
        <v>0.308</v>
      </c>
      <c r="AH2463" s="157">
        <f t="shared" si="973"/>
        <v>0</v>
      </c>
      <c r="AI2463" s="152">
        <f t="shared" si="970"/>
        <v>28512</v>
      </c>
      <c r="AK2463" s="156" t="s">
        <v>691</v>
      </c>
      <c r="AL2463" s="212" t="s">
        <v>690</v>
      </c>
      <c r="AM2463" s="198">
        <f t="shared" si="972"/>
        <v>0</v>
      </c>
      <c r="AN2463" s="199">
        <f t="shared" si="951"/>
        <v>45876</v>
      </c>
      <c r="AO2463" s="159" t="s">
        <v>692</v>
      </c>
      <c r="AP2463" s="783" t="s">
        <v>644</v>
      </c>
      <c r="AQ2463" s="782">
        <v>12063755</v>
      </c>
      <c r="AR2463" s="782">
        <v>12061353</v>
      </c>
      <c r="AS2463" s="782">
        <v>12061354</v>
      </c>
      <c r="AT2463" s="782">
        <v>12062266</v>
      </c>
      <c r="AU2463" s="781"/>
      <c r="AV2463" s="782">
        <v>12088159</v>
      </c>
      <c r="AW2463" s="782">
        <v>12088207</v>
      </c>
      <c r="AX2463" s="782"/>
      <c r="AY2463" s="782">
        <v>12094237</v>
      </c>
      <c r="AZ2463" s="782"/>
      <c r="BA2463" s="781"/>
      <c r="BB2463" s="209">
        <v>23053185</v>
      </c>
    </row>
    <row r="2464" spans="1:54" ht="25" hidden="1" customHeight="1">
      <c r="A2464" s="440"/>
      <c r="B2464" s="295">
        <v>45876</v>
      </c>
      <c r="C2464" s="295">
        <v>45887</v>
      </c>
      <c r="D2464" s="298">
        <f t="shared" si="952"/>
        <v>2025</v>
      </c>
      <c r="E2464" s="855" t="e">
        <f>VLOOKUP($B2464,Week!$A$1:$C$1462,2,0)</f>
        <v>#N/A</v>
      </c>
      <c r="F2464" s="856" t="str">
        <f t="shared" si="953"/>
        <v>Aug</v>
      </c>
      <c r="G2464" s="857" t="s">
        <v>2298</v>
      </c>
      <c r="H2464" s="298" t="s">
        <v>267</v>
      </c>
      <c r="I2464" s="298" t="s">
        <v>2772</v>
      </c>
      <c r="J2464" s="299" t="s">
        <v>699</v>
      </c>
      <c r="K2464" s="300" t="s">
        <v>107</v>
      </c>
      <c r="L2464" s="300" t="s">
        <v>2167</v>
      </c>
      <c r="M2464" s="299" t="s">
        <v>136</v>
      </c>
      <c r="N2464" s="298" t="s">
        <v>2289</v>
      </c>
      <c r="O2464" s="298" t="s">
        <v>270</v>
      </c>
      <c r="P2464" s="301">
        <v>12</v>
      </c>
      <c r="Q2464" s="301">
        <v>3</v>
      </c>
      <c r="R2464" s="302">
        <v>7.4999999999999997E-3</v>
      </c>
      <c r="S2464" s="298" t="s">
        <v>76</v>
      </c>
      <c r="T2464" s="298" t="s">
        <v>112</v>
      </c>
      <c r="U2464" s="298" t="s">
        <v>57</v>
      </c>
      <c r="V2464" s="303">
        <v>2520</v>
      </c>
      <c r="W2464" s="303">
        <f>17+2503</f>
        <v>2520</v>
      </c>
      <c r="X2464" s="304"/>
      <c r="Y2464" s="305">
        <f t="shared" si="963"/>
        <v>0</v>
      </c>
      <c r="Z2464" s="306">
        <f t="shared" si="964"/>
        <v>0</v>
      </c>
      <c r="AA2464" s="306">
        <f t="shared" si="954"/>
        <v>0</v>
      </c>
      <c r="AB2464" s="814">
        <v>7.4999999999999997E-3</v>
      </c>
      <c r="AC2464" s="303">
        <f t="shared" si="965"/>
        <v>0</v>
      </c>
      <c r="AD2464" s="443"/>
      <c r="AE2464" s="210">
        <f t="shared" si="966"/>
        <v>0</v>
      </c>
      <c r="AF2464" s="210">
        <f t="shared" si="967"/>
        <v>0</v>
      </c>
      <c r="AG2464" s="211">
        <f t="shared" si="968"/>
        <v>0.309</v>
      </c>
      <c r="AH2464" s="157">
        <f t="shared" si="973"/>
        <v>0</v>
      </c>
      <c r="AI2464" s="152">
        <f t="shared" si="970"/>
        <v>30240</v>
      </c>
      <c r="AK2464" s="156" t="s">
        <v>691</v>
      </c>
      <c r="AL2464" s="212" t="s">
        <v>690</v>
      </c>
      <c r="AM2464" s="198">
        <f t="shared" si="972"/>
        <v>0</v>
      </c>
      <c r="AN2464" s="199">
        <f t="shared" si="951"/>
        <v>45876</v>
      </c>
      <c r="AO2464" s="159" t="s">
        <v>692</v>
      </c>
      <c r="AP2464" s="781"/>
      <c r="AQ2464" s="782">
        <v>12063755</v>
      </c>
      <c r="AR2464" s="782">
        <v>12081257</v>
      </c>
      <c r="AS2464" s="782">
        <v>12081260</v>
      </c>
      <c r="AT2464" s="782"/>
      <c r="AU2464" s="781"/>
      <c r="AV2464" s="782">
        <v>12095577</v>
      </c>
      <c r="AW2464" s="782"/>
      <c r="AX2464" s="782"/>
      <c r="AY2464" s="782">
        <v>12094579</v>
      </c>
      <c r="AZ2464" s="782">
        <v>12094580</v>
      </c>
      <c r="BA2464" s="782">
        <v>12094581</v>
      </c>
      <c r="BB2464" s="209">
        <v>23053185</v>
      </c>
    </row>
    <row r="2465" spans="1:54" ht="25" hidden="1" customHeight="1">
      <c r="A2465" s="440"/>
      <c r="B2465" s="743">
        <v>45876</v>
      </c>
      <c r="C2465" s="743">
        <v>45888</v>
      </c>
      <c r="D2465" s="746">
        <f t="shared" si="952"/>
        <v>2025</v>
      </c>
      <c r="E2465" s="858" t="e">
        <f>VLOOKUP($B2465,Week!$A$1:$C$1462,2,0)</f>
        <v>#N/A</v>
      </c>
      <c r="F2465" s="859" t="str">
        <f t="shared" si="953"/>
        <v>Aug</v>
      </c>
      <c r="G2465" s="746" t="s">
        <v>2408</v>
      </c>
      <c r="H2465" s="746" t="s">
        <v>424</v>
      </c>
      <c r="I2465" s="746" t="s">
        <v>2772</v>
      </c>
      <c r="J2465" s="747" t="s">
        <v>425</v>
      </c>
      <c r="K2465" s="748" t="s">
        <v>1651</v>
      </c>
      <c r="L2465" s="748" t="s">
        <v>2167</v>
      </c>
      <c r="M2465" s="747" t="s">
        <v>2260</v>
      </c>
      <c r="N2465" s="746" t="s">
        <v>2257</v>
      </c>
      <c r="O2465" s="746" t="s">
        <v>2254</v>
      </c>
      <c r="P2465" s="749">
        <v>6</v>
      </c>
      <c r="Q2465" s="749">
        <v>3</v>
      </c>
      <c r="R2465" s="849">
        <v>6.1999999999999998E-3</v>
      </c>
      <c r="S2465" s="746" t="s">
        <v>55</v>
      </c>
      <c r="T2465" s="746" t="s">
        <v>112</v>
      </c>
      <c r="U2465" s="860" t="s">
        <v>1633</v>
      </c>
      <c r="V2465" s="750">
        <v>1467</v>
      </c>
      <c r="W2465" s="750">
        <v>1467</v>
      </c>
      <c r="X2465" s="751"/>
      <c r="Y2465" s="752">
        <f t="shared" si="963"/>
        <v>0</v>
      </c>
      <c r="Z2465" s="753">
        <f t="shared" si="964"/>
        <v>0</v>
      </c>
      <c r="AA2465" s="753">
        <f t="shared" si="954"/>
        <v>0</v>
      </c>
      <c r="AB2465" s="838">
        <v>6.5000000000000002E-2</v>
      </c>
      <c r="AC2465" s="750">
        <f t="shared" si="965"/>
        <v>0</v>
      </c>
      <c r="AD2465" s="209"/>
      <c r="AE2465" s="210">
        <f t="shared" si="966"/>
        <v>0</v>
      </c>
      <c r="AF2465" s="210">
        <f t="shared" si="967"/>
        <v>0</v>
      </c>
      <c r="AG2465" s="211">
        <f t="shared" si="968"/>
        <v>0.3</v>
      </c>
      <c r="AH2465" s="157">
        <f t="shared" si="973"/>
        <v>0</v>
      </c>
      <c r="AI2465" s="152">
        <f t="shared" si="970"/>
        <v>8802</v>
      </c>
      <c r="AK2465" s="156" t="s">
        <v>691</v>
      </c>
      <c r="AL2465" s="212" t="s">
        <v>690</v>
      </c>
      <c r="AM2465" s="198">
        <f t="shared" si="972"/>
        <v>0</v>
      </c>
      <c r="AN2465" s="199">
        <f t="shared" si="951"/>
        <v>45876</v>
      </c>
      <c r="AO2465" s="159" t="s">
        <v>692</v>
      </c>
      <c r="AP2465" s="781"/>
      <c r="AQ2465" s="782"/>
      <c r="AR2465" s="782" t="s">
        <v>2379</v>
      </c>
      <c r="AS2465" s="782"/>
      <c r="AT2465" s="782">
        <v>12095581</v>
      </c>
      <c r="AU2465" s="783"/>
      <c r="AV2465" s="782">
        <v>12096149</v>
      </c>
      <c r="AW2465" s="782"/>
      <c r="AX2465" s="782"/>
      <c r="AY2465" s="782"/>
      <c r="AZ2465" s="782"/>
      <c r="BA2465" s="782"/>
      <c r="BB2465" s="209">
        <v>23105543</v>
      </c>
    </row>
    <row r="2466" spans="1:54" ht="24.75" hidden="1" customHeight="1">
      <c r="B2466" s="295">
        <v>45877</v>
      </c>
      <c r="C2466" s="771" t="s">
        <v>1932</v>
      </c>
      <c r="D2466" s="185">
        <f t="shared" si="952"/>
        <v>2025</v>
      </c>
      <c r="E2466" s="296" t="e">
        <f>VLOOKUP($B2466,Week!$A$1:$C$1462,2,0)</f>
        <v>#N/A</v>
      </c>
      <c r="F2466" s="297" t="str">
        <f t="shared" si="953"/>
        <v>Aug</v>
      </c>
      <c r="G2466" s="648" t="s">
        <v>47</v>
      </c>
      <c r="H2466" s="298" t="s">
        <v>260</v>
      </c>
      <c r="I2466" s="298" t="s">
        <v>2702</v>
      </c>
      <c r="J2466" s="307" t="s">
        <v>2240</v>
      </c>
      <c r="K2466" s="300" t="s">
        <v>176</v>
      </c>
      <c r="L2466" s="300" t="s">
        <v>2167</v>
      </c>
      <c r="M2466" s="299" t="s">
        <v>2338</v>
      </c>
      <c r="N2466" s="298" t="s">
        <v>350</v>
      </c>
      <c r="O2466" s="298" t="s">
        <v>351</v>
      </c>
      <c r="P2466" s="301">
        <v>24</v>
      </c>
      <c r="Q2466" s="301">
        <v>5</v>
      </c>
      <c r="R2466" s="302">
        <v>6.1999999999999998E-3</v>
      </c>
      <c r="S2466" s="298" t="s">
        <v>352</v>
      </c>
      <c r="T2466" s="298" t="s">
        <v>56</v>
      </c>
      <c r="U2466" s="298" t="s">
        <v>57</v>
      </c>
      <c r="V2466" s="303">
        <v>2502</v>
      </c>
      <c r="W2466" s="303">
        <v>2502</v>
      </c>
      <c r="X2466" s="304"/>
      <c r="Y2466" s="305">
        <f t="shared" si="963"/>
        <v>0</v>
      </c>
      <c r="Z2466" s="306">
        <f t="shared" si="964"/>
        <v>0</v>
      </c>
      <c r="AA2466" s="306">
        <f t="shared" si="954"/>
        <v>0</v>
      </c>
      <c r="AB2466" s="814">
        <v>7.4999999999999997E-3</v>
      </c>
      <c r="AC2466" s="303">
        <f t="shared" si="965"/>
        <v>0</v>
      </c>
      <c r="AD2466" s="443"/>
      <c r="AE2466" s="210">
        <f t="shared" si="966"/>
        <v>0</v>
      </c>
      <c r="AF2466" s="210">
        <f t="shared" si="967"/>
        <v>0</v>
      </c>
      <c r="AG2466" s="211">
        <f t="shared" si="968"/>
        <v>0.13</v>
      </c>
      <c r="AH2466" s="157">
        <f t="shared" si="973"/>
        <v>0</v>
      </c>
      <c r="AI2466" s="152">
        <f t="shared" si="970"/>
        <v>60048</v>
      </c>
      <c r="AK2466" s="156" t="s">
        <v>691</v>
      </c>
      <c r="AL2466" s="574" t="s">
        <v>690</v>
      </c>
      <c r="AM2466" s="198">
        <f t="shared" si="972"/>
        <v>0</v>
      </c>
      <c r="AN2466" s="199">
        <f t="shared" si="951"/>
        <v>45877</v>
      </c>
      <c r="AO2466" s="159" t="s">
        <v>692</v>
      </c>
      <c r="AP2466" s="783" t="s">
        <v>629</v>
      </c>
      <c r="AQ2466" s="782">
        <v>12071839</v>
      </c>
      <c r="AR2466" s="782">
        <v>12094356</v>
      </c>
      <c r="AS2466" s="782">
        <v>12068233</v>
      </c>
      <c r="AT2466" s="781"/>
      <c r="AU2466" s="781"/>
      <c r="AV2466" s="782">
        <v>12062075</v>
      </c>
      <c r="AW2466" s="781"/>
      <c r="AX2466" s="781"/>
      <c r="AY2466" s="782">
        <v>12094357</v>
      </c>
      <c r="AZ2466" s="781"/>
      <c r="BA2466" s="781"/>
      <c r="BB2466" s="209">
        <v>23053185</v>
      </c>
    </row>
    <row r="2467" spans="1:54" ht="25" hidden="1" customHeight="1">
      <c r="B2467" s="213">
        <v>45877</v>
      </c>
      <c r="C2467" s="214">
        <v>45887</v>
      </c>
      <c r="D2467" s="185">
        <f t="shared" si="952"/>
        <v>2025</v>
      </c>
      <c r="E2467" s="215" t="e">
        <f>VLOOKUP($B2467,Week!$A$1:$C$1462,2,0)</f>
        <v>#N/A</v>
      </c>
      <c r="F2467" s="216" t="str">
        <f t="shared" si="953"/>
        <v>Aug</v>
      </c>
      <c r="G2467" s="215" t="s">
        <v>2347</v>
      </c>
      <c r="H2467" s="215" t="s">
        <v>134</v>
      </c>
      <c r="I2467" s="215" t="s">
        <v>2772</v>
      </c>
      <c r="J2467" s="209" t="s">
        <v>164</v>
      </c>
      <c r="K2467" s="217" t="s">
        <v>176</v>
      </c>
      <c r="L2467" s="300" t="s">
        <v>2167</v>
      </c>
      <c r="M2467" s="209" t="s">
        <v>193</v>
      </c>
      <c r="N2467" s="215" t="s">
        <v>194</v>
      </c>
      <c r="O2467" s="215" t="s">
        <v>195</v>
      </c>
      <c r="P2467" s="218">
        <v>24</v>
      </c>
      <c r="Q2467" s="218">
        <v>5</v>
      </c>
      <c r="R2467" s="219">
        <v>8.0000000000000002E-3</v>
      </c>
      <c r="S2467" s="215" t="s">
        <v>40</v>
      </c>
      <c r="T2467" s="215" t="s">
        <v>56</v>
      </c>
      <c r="U2467" s="215" t="s">
        <v>57</v>
      </c>
      <c r="V2467" s="220">
        <f>250</f>
        <v>250</v>
      </c>
      <c r="W2467" s="220">
        <f>9+241</f>
        <v>250</v>
      </c>
      <c r="X2467" s="221"/>
      <c r="Y2467" s="222">
        <f t="shared" si="963"/>
        <v>0</v>
      </c>
      <c r="Z2467" s="223">
        <f t="shared" si="964"/>
        <v>0</v>
      </c>
      <c r="AA2467" s="220">
        <f t="shared" si="954"/>
        <v>0</v>
      </c>
      <c r="AB2467" s="807">
        <v>2</v>
      </c>
      <c r="AC2467" s="220">
        <f t="shared" si="965"/>
        <v>0</v>
      </c>
      <c r="AD2467" s="381"/>
      <c r="AE2467" s="210">
        <f t="shared" si="966"/>
        <v>0</v>
      </c>
      <c r="AF2467" s="210">
        <f t="shared" si="967"/>
        <v>0</v>
      </c>
      <c r="AG2467" s="211">
        <f t="shared" si="968"/>
        <v>0.14499999999999999</v>
      </c>
      <c r="AH2467" s="157">
        <f t="shared" si="973"/>
        <v>0</v>
      </c>
      <c r="AI2467" s="152">
        <f t="shared" si="970"/>
        <v>6000</v>
      </c>
      <c r="AK2467" s="156" t="s">
        <v>691</v>
      </c>
      <c r="AL2467" s="212" t="s">
        <v>690</v>
      </c>
      <c r="AM2467" s="198">
        <f t="shared" si="972"/>
        <v>0</v>
      </c>
      <c r="AN2467" s="199">
        <f t="shared" si="951"/>
        <v>45877</v>
      </c>
      <c r="AO2467" s="159" t="s">
        <v>692</v>
      </c>
      <c r="AP2467" s="783" t="s">
        <v>610</v>
      </c>
      <c r="AQ2467" s="782">
        <v>12071839</v>
      </c>
      <c r="AR2467" s="782">
        <v>12047514</v>
      </c>
      <c r="AS2467" s="782">
        <v>12047515</v>
      </c>
      <c r="AT2467" s="782"/>
      <c r="AU2467" s="782">
        <v>12026902</v>
      </c>
      <c r="AV2467" s="782">
        <v>12054724</v>
      </c>
      <c r="AW2467" s="782">
        <v>12026904</v>
      </c>
      <c r="AX2467" s="782"/>
      <c r="AY2467" s="782">
        <v>12094406</v>
      </c>
      <c r="AZ2467" s="782">
        <v>12094407</v>
      </c>
      <c r="BA2467" s="782">
        <v>12094408</v>
      </c>
    </row>
    <row r="2468" spans="1:54" ht="25" hidden="1" customHeight="1">
      <c r="B2468" s="213">
        <v>45877</v>
      </c>
      <c r="C2468" s="214">
        <v>45887</v>
      </c>
      <c r="D2468" s="185">
        <f t="shared" si="952"/>
        <v>2025</v>
      </c>
      <c r="E2468" s="215" t="e">
        <f>VLOOKUP($B2468,Week!$A$1:$C$1462,2,0)</f>
        <v>#N/A</v>
      </c>
      <c r="F2468" s="216" t="str">
        <f t="shared" si="953"/>
        <v>Aug</v>
      </c>
      <c r="G2468" s="215" t="s">
        <v>2347</v>
      </c>
      <c r="H2468" s="215" t="s">
        <v>134</v>
      </c>
      <c r="I2468" s="215" t="s">
        <v>2772</v>
      </c>
      <c r="J2468" s="209" t="s">
        <v>164</v>
      </c>
      <c r="K2468" s="217" t="s">
        <v>1648</v>
      </c>
      <c r="L2468" s="300" t="s">
        <v>2167</v>
      </c>
      <c r="M2468" s="209" t="s">
        <v>193</v>
      </c>
      <c r="N2468" s="215" t="s">
        <v>205</v>
      </c>
      <c r="O2468" s="215" t="s">
        <v>206</v>
      </c>
      <c r="P2468" s="218">
        <v>24</v>
      </c>
      <c r="Q2468" s="218">
        <v>5</v>
      </c>
      <c r="R2468" s="219">
        <v>8.0000000000000002E-3</v>
      </c>
      <c r="S2468" s="215" t="s">
        <v>40</v>
      </c>
      <c r="T2468" s="215" t="s">
        <v>56</v>
      </c>
      <c r="U2468" s="480" t="s">
        <v>499</v>
      </c>
      <c r="V2468" s="220">
        <f>250</f>
        <v>250</v>
      </c>
      <c r="W2468" s="220">
        <f>9+241</f>
        <v>250</v>
      </c>
      <c r="X2468" s="221"/>
      <c r="Y2468" s="222">
        <f t="shared" si="963"/>
        <v>0</v>
      </c>
      <c r="Z2468" s="223">
        <f t="shared" si="964"/>
        <v>0</v>
      </c>
      <c r="AA2468" s="220">
        <f t="shared" si="954"/>
        <v>0</v>
      </c>
      <c r="AB2468" s="807">
        <v>1</v>
      </c>
      <c r="AC2468" s="220">
        <f t="shared" si="965"/>
        <v>0</v>
      </c>
      <c r="AD2468" s="381"/>
      <c r="AE2468" s="210">
        <f t="shared" si="966"/>
        <v>0</v>
      </c>
      <c r="AF2468" s="210">
        <f t="shared" si="967"/>
        <v>0</v>
      </c>
      <c r="AG2468" s="211">
        <f t="shared" si="968"/>
        <v>0.115</v>
      </c>
      <c r="AH2468" s="157">
        <f t="shared" si="973"/>
        <v>0</v>
      </c>
      <c r="AI2468" s="152">
        <f t="shared" si="970"/>
        <v>6000</v>
      </c>
      <c r="AK2468" s="156" t="s">
        <v>691</v>
      </c>
      <c r="AL2468" s="212" t="s">
        <v>690</v>
      </c>
      <c r="AM2468" s="198">
        <f t="shared" si="972"/>
        <v>0</v>
      </c>
      <c r="AN2468" s="199">
        <f t="shared" si="951"/>
        <v>45877</v>
      </c>
      <c r="AO2468" s="159" t="s">
        <v>692</v>
      </c>
      <c r="AP2468" s="783" t="s">
        <v>610</v>
      </c>
      <c r="AQ2468" s="782">
        <v>12071839</v>
      </c>
      <c r="AR2468" s="782">
        <v>12047514</v>
      </c>
      <c r="AS2468" s="782">
        <v>12047515</v>
      </c>
      <c r="AT2468" s="782"/>
      <c r="AU2468" s="782">
        <v>12026902</v>
      </c>
      <c r="AV2468" s="782">
        <v>12054722</v>
      </c>
      <c r="AW2468" s="782">
        <v>12026904</v>
      </c>
      <c r="AX2468" s="782"/>
      <c r="AY2468" s="782">
        <v>12094111</v>
      </c>
      <c r="AZ2468" s="782">
        <v>12094113</v>
      </c>
      <c r="BA2468" s="782">
        <v>12094114</v>
      </c>
    </row>
    <row r="2469" spans="1:54" ht="25" hidden="1" customHeight="1">
      <c r="A2469" s="440"/>
      <c r="B2469" s="743">
        <v>45877</v>
      </c>
      <c r="C2469" s="743">
        <v>45888</v>
      </c>
      <c r="D2469" s="746">
        <f t="shared" si="952"/>
        <v>2025</v>
      </c>
      <c r="E2469" s="858" t="e">
        <f>VLOOKUP($B2469,Week!$A$1:$C$1462,2,0)</f>
        <v>#N/A</v>
      </c>
      <c r="F2469" s="859" t="str">
        <f t="shared" si="953"/>
        <v>Aug</v>
      </c>
      <c r="G2469" s="746" t="s">
        <v>2408</v>
      </c>
      <c r="H2469" s="746" t="s">
        <v>424</v>
      </c>
      <c r="I2469" s="746" t="s">
        <v>2772</v>
      </c>
      <c r="J2469" s="747" t="s">
        <v>425</v>
      </c>
      <c r="K2469" s="748" t="s">
        <v>1651</v>
      </c>
      <c r="L2469" s="748" t="s">
        <v>2167</v>
      </c>
      <c r="M2469" s="747" t="s">
        <v>2260</v>
      </c>
      <c r="N2469" s="746" t="s">
        <v>2257</v>
      </c>
      <c r="O2469" s="746" t="s">
        <v>2254</v>
      </c>
      <c r="P2469" s="749">
        <v>6</v>
      </c>
      <c r="Q2469" s="749">
        <v>3</v>
      </c>
      <c r="R2469" s="849">
        <v>6.1999999999999998E-3</v>
      </c>
      <c r="S2469" s="746" t="s">
        <v>55</v>
      </c>
      <c r="T2469" s="746" t="s">
        <v>112</v>
      </c>
      <c r="U2469" s="860" t="s">
        <v>1633</v>
      </c>
      <c r="V2469" s="750">
        <f>8000-1319-1522-1232-1467</f>
        <v>2460</v>
      </c>
      <c r="W2469" s="750">
        <f>477+735+633+637</f>
        <v>2482</v>
      </c>
      <c r="X2469" s="751">
        <f>(166)/6</f>
        <v>27.666666666666668</v>
      </c>
      <c r="Y2469" s="752">
        <f t="shared" si="963"/>
        <v>49.666666666666515</v>
      </c>
      <c r="Z2469" s="753">
        <f t="shared" si="964"/>
        <v>0</v>
      </c>
      <c r="AA2469" s="753">
        <f t="shared" si="954"/>
        <v>0</v>
      </c>
      <c r="AB2469" s="838">
        <v>6.5000000000000002E-2</v>
      </c>
      <c r="AC2469" s="750">
        <f t="shared" si="965"/>
        <v>0</v>
      </c>
      <c r="AD2469" s="209"/>
      <c r="AE2469" s="210">
        <f t="shared" si="966"/>
        <v>0</v>
      </c>
      <c r="AF2469" s="210">
        <f t="shared" si="967"/>
        <v>0</v>
      </c>
      <c r="AG2469" s="211">
        <f t="shared" si="968"/>
        <v>0.3</v>
      </c>
      <c r="AH2469" s="157">
        <f t="shared" si="973"/>
        <v>0</v>
      </c>
      <c r="AI2469" s="152">
        <f t="shared" si="970"/>
        <v>14760</v>
      </c>
      <c r="AK2469" s="156" t="s">
        <v>691</v>
      </c>
      <c r="AL2469" s="212" t="s">
        <v>690</v>
      </c>
      <c r="AM2469" s="198">
        <f t="shared" si="972"/>
        <v>0</v>
      </c>
      <c r="AN2469" s="199">
        <f t="shared" si="951"/>
        <v>45877</v>
      </c>
      <c r="AO2469" s="159" t="s">
        <v>692</v>
      </c>
      <c r="AP2469" s="781"/>
      <c r="AQ2469" s="782"/>
      <c r="AR2469" s="782" t="s">
        <v>2379</v>
      </c>
      <c r="AS2469" s="782"/>
      <c r="AT2469" s="782">
        <v>12095581</v>
      </c>
      <c r="AU2469" s="783"/>
      <c r="AV2469" s="782">
        <v>12096149</v>
      </c>
      <c r="AW2469" s="782"/>
      <c r="AX2469" s="782"/>
      <c r="AY2469" s="782"/>
      <c r="AZ2469" s="782"/>
      <c r="BA2469" s="782"/>
      <c r="BB2469" s="209">
        <v>23105543</v>
      </c>
    </row>
    <row r="2470" spans="1:54" ht="25" hidden="1" customHeight="1">
      <c r="B2470" s="320">
        <v>45877</v>
      </c>
      <c r="C2470" s="321" t="s">
        <v>1932</v>
      </c>
      <c r="D2470" s="185">
        <f t="shared" si="952"/>
        <v>2025</v>
      </c>
      <c r="E2470" s="321" t="e">
        <f>VLOOKUP($B2470,Week!$A$1:$C$1462,2,0)</f>
        <v>#N/A</v>
      </c>
      <c r="F2470" s="322" t="str">
        <f t="shared" si="953"/>
        <v>Aug</v>
      </c>
      <c r="G2470" s="323" t="s">
        <v>47</v>
      </c>
      <c r="H2470" s="323" t="s">
        <v>518</v>
      </c>
      <c r="I2470" s="323" t="s">
        <v>2702</v>
      </c>
      <c r="J2470" s="324" t="s">
        <v>70</v>
      </c>
      <c r="K2470" s="325" t="s">
        <v>564</v>
      </c>
      <c r="L2470" s="300" t="s">
        <v>2167</v>
      </c>
      <c r="M2470" s="324" t="s">
        <v>2343</v>
      </c>
      <c r="N2470" s="323" t="s">
        <v>559</v>
      </c>
      <c r="O2470" s="323" t="s">
        <v>560</v>
      </c>
      <c r="P2470" s="326">
        <v>12</v>
      </c>
      <c r="Q2470" s="326">
        <v>3</v>
      </c>
      <c r="R2470" s="327">
        <v>8.0000000000000002E-3</v>
      </c>
      <c r="S2470" s="323" t="s">
        <v>40</v>
      </c>
      <c r="T2470" s="323" t="s">
        <v>56</v>
      </c>
      <c r="U2470" s="323" t="s">
        <v>57</v>
      </c>
      <c r="V2470" s="397">
        <f>500</f>
        <v>500</v>
      </c>
      <c r="W2470" s="328">
        <f>15+28+1+456</f>
        <v>500</v>
      </c>
      <c r="X2470" s="329"/>
      <c r="Y2470" s="330">
        <f t="shared" si="963"/>
        <v>0</v>
      </c>
      <c r="Z2470" s="331">
        <f t="shared" si="964"/>
        <v>0</v>
      </c>
      <c r="AA2470" s="331">
        <f t="shared" si="954"/>
        <v>0</v>
      </c>
      <c r="AB2470" s="816">
        <v>7.4999999999999997E-3</v>
      </c>
      <c r="AC2470" s="328">
        <f t="shared" si="965"/>
        <v>0</v>
      </c>
      <c r="AD2470" s="209"/>
      <c r="AE2470" s="210">
        <f t="shared" si="966"/>
        <v>0</v>
      </c>
      <c r="AF2470" s="210">
        <f t="shared" si="967"/>
        <v>0</v>
      </c>
      <c r="AG2470" s="211">
        <f t="shared" si="968"/>
        <v>0.22600000000000001</v>
      </c>
      <c r="AH2470" s="157">
        <f t="shared" si="973"/>
        <v>0</v>
      </c>
      <c r="AI2470" s="152">
        <f t="shared" si="970"/>
        <v>6000</v>
      </c>
      <c r="AK2470" s="156" t="s">
        <v>691</v>
      </c>
      <c r="AL2470" s="212" t="s">
        <v>690</v>
      </c>
      <c r="AM2470" s="198">
        <f t="shared" si="972"/>
        <v>0</v>
      </c>
      <c r="AN2470" s="199">
        <f t="shared" si="951"/>
        <v>45877</v>
      </c>
      <c r="AO2470" s="159" t="s">
        <v>692</v>
      </c>
      <c r="AP2470" s="783" t="s">
        <v>623</v>
      </c>
      <c r="AQ2470" s="782">
        <v>12071839</v>
      </c>
      <c r="AR2470" s="782">
        <v>12042650</v>
      </c>
      <c r="AS2470" s="782">
        <v>12042649</v>
      </c>
      <c r="AT2470" s="782"/>
      <c r="AU2470" s="781"/>
      <c r="AV2470" s="782">
        <v>12083156</v>
      </c>
      <c r="AW2470" s="782"/>
      <c r="AX2470" s="782"/>
      <c r="AY2470" s="782">
        <v>12094235</v>
      </c>
      <c r="AZ2470" s="782">
        <v>12094236</v>
      </c>
      <c r="BA2470" s="781"/>
      <c r="BB2470" s="209">
        <v>23053185</v>
      </c>
    </row>
    <row r="2471" spans="1:54" ht="25" hidden="1" customHeight="1">
      <c r="B2471" s="332">
        <v>45877</v>
      </c>
      <c r="C2471" s="333" t="s">
        <v>1932</v>
      </c>
      <c r="D2471" s="185">
        <f t="shared" si="952"/>
        <v>2025</v>
      </c>
      <c r="E2471" s="333" t="e">
        <f>VLOOKUP($B2471,Week!$A$1:$C$1462,2,0)</f>
        <v>#N/A</v>
      </c>
      <c r="F2471" s="334" t="str">
        <f t="shared" si="953"/>
        <v>Aug</v>
      </c>
      <c r="G2471" s="335" t="s">
        <v>47</v>
      </c>
      <c r="H2471" s="335" t="s">
        <v>518</v>
      </c>
      <c r="I2471" s="335" t="s">
        <v>2702</v>
      </c>
      <c r="J2471" s="336" t="s">
        <v>70</v>
      </c>
      <c r="K2471" s="337" t="s">
        <v>582</v>
      </c>
      <c r="L2471" s="300" t="s">
        <v>2167</v>
      </c>
      <c r="M2471" s="336" t="s">
        <v>534</v>
      </c>
      <c r="N2471" s="530" t="s">
        <v>578</v>
      </c>
      <c r="O2471" s="335" t="s">
        <v>583</v>
      </c>
      <c r="P2471" s="338">
        <v>12</v>
      </c>
      <c r="Q2471" s="338">
        <v>3</v>
      </c>
      <c r="R2471" s="339">
        <v>6.0000000000000001E-3</v>
      </c>
      <c r="S2471" s="335" t="s">
        <v>55</v>
      </c>
      <c r="T2471" s="335" t="s">
        <v>56</v>
      </c>
      <c r="U2471" s="335" t="s">
        <v>57</v>
      </c>
      <c r="V2471" s="341">
        <f>200</f>
        <v>200</v>
      </c>
      <c r="W2471" s="341">
        <f>1+199</f>
        <v>200</v>
      </c>
      <c r="X2471" s="342"/>
      <c r="Y2471" s="343">
        <f t="shared" si="963"/>
        <v>0</v>
      </c>
      <c r="Z2471" s="344">
        <f t="shared" si="964"/>
        <v>0</v>
      </c>
      <c r="AA2471" s="344">
        <f t="shared" si="954"/>
        <v>0</v>
      </c>
      <c r="AB2471" s="817">
        <v>7.4999999999999997E-3</v>
      </c>
      <c r="AC2471" s="341">
        <f t="shared" si="965"/>
        <v>0</v>
      </c>
      <c r="AD2471" s="209"/>
      <c r="AE2471" s="210">
        <f t="shared" si="966"/>
        <v>0</v>
      </c>
      <c r="AF2471" s="210">
        <f t="shared" si="967"/>
        <v>0</v>
      </c>
      <c r="AG2471" s="211">
        <f t="shared" si="968"/>
        <v>0.191</v>
      </c>
      <c r="AH2471" s="157">
        <f t="shared" si="973"/>
        <v>0</v>
      </c>
      <c r="AI2471" s="152">
        <f t="shared" si="970"/>
        <v>2400</v>
      </c>
      <c r="AK2471" s="156" t="s">
        <v>691</v>
      </c>
      <c r="AL2471" s="212" t="s">
        <v>690</v>
      </c>
      <c r="AM2471" s="198">
        <f t="shared" si="972"/>
        <v>0</v>
      </c>
      <c r="AN2471" s="199">
        <f t="shared" si="951"/>
        <v>45877</v>
      </c>
      <c r="AO2471" s="159" t="s">
        <v>692</v>
      </c>
      <c r="AP2471" s="781"/>
      <c r="AQ2471" s="782">
        <v>12071839</v>
      </c>
      <c r="AR2471" s="782">
        <v>12042650</v>
      </c>
      <c r="AS2471" s="782">
        <v>12042649</v>
      </c>
      <c r="AT2471" s="782"/>
      <c r="AU2471" s="781"/>
      <c r="AV2471" s="782">
        <v>12083313</v>
      </c>
      <c r="AW2471" s="782"/>
      <c r="AX2471" s="782"/>
      <c r="AY2471" s="782">
        <v>12094233</v>
      </c>
      <c r="AZ2471" s="782">
        <v>12094234</v>
      </c>
      <c r="BA2471" s="781"/>
      <c r="BB2471" s="209">
        <v>23053185</v>
      </c>
    </row>
    <row r="2472" spans="1:54" ht="25" hidden="1" customHeight="1">
      <c r="B2472" s="271">
        <v>45877</v>
      </c>
      <c r="C2472" s="870" t="s">
        <v>1932</v>
      </c>
      <c r="D2472" s="185">
        <f t="shared" si="952"/>
        <v>2025</v>
      </c>
      <c r="E2472" s="272" t="e">
        <f>VLOOKUP($B2472,Week!$A$1:$C$1462,2,0)</f>
        <v>#N/A</v>
      </c>
      <c r="F2472" s="273" t="str">
        <f t="shared" si="953"/>
        <v>Aug</v>
      </c>
      <c r="G2472" s="274" t="s">
        <v>47</v>
      </c>
      <c r="H2472" s="274" t="s">
        <v>518</v>
      </c>
      <c r="I2472" s="274" t="s">
        <v>2702</v>
      </c>
      <c r="J2472" s="275" t="s">
        <v>70</v>
      </c>
      <c r="K2472" s="276" t="s">
        <v>556</v>
      </c>
      <c r="L2472" s="300" t="s">
        <v>2167</v>
      </c>
      <c r="M2472" s="275" t="s">
        <v>520</v>
      </c>
      <c r="N2472" s="423" t="s">
        <v>586</v>
      </c>
      <c r="O2472" s="274" t="s">
        <v>585</v>
      </c>
      <c r="P2472" s="277">
        <v>12</v>
      </c>
      <c r="Q2472" s="277">
        <v>5</v>
      </c>
      <c r="R2472" s="278">
        <v>6.0000000000000001E-3</v>
      </c>
      <c r="S2472" s="274" t="s">
        <v>55</v>
      </c>
      <c r="T2472" s="274" t="s">
        <v>56</v>
      </c>
      <c r="U2472" s="274" t="s">
        <v>57</v>
      </c>
      <c r="V2472" s="279">
        <f>350</f>
        <v>350</v>
      </c>
      <c r="W2472" s="279">
        <f>5+345</f>
        <v>350</v>
      </c>
      <c r="X2472" s="280"/>
      <c r="Y2472" s="281">
        <f t="shared" si="963"/>
        <v>0</v>
      </c>
      <c r="Z2472" s="282">
        <f t="shared" si="964"/>
        <v>0</v>
      </c>
      <c r="AA2472" s="282">
        <f t="shared" si="954"/>
        <v>0</v>
      </c>
      <c r="AB2472" s="812">
        <v>7.4999999999999997E-3</v>
      </c>
      <c r="AC2472" s="279">
        <f t="shared" si="965"/>
        <v>0</v>
      </c>
      <c r="AD2472" s="209"/>
      <c r="AE2472" s="210">
        <f t="shared" si="966"/>
        <v>0</v>
      </c>
      <c r="AF2472" s="210">
        <f t="shared" si="967"/>
        <v>0</v>
      </c>
      <c r="AG2472" s="211">
        <f t="shared" si="968"/>
        <v>0.13500000000000001</v>
      </c>
      <c r="AH2472" s="157">
        <f t="shared" si="973"/>
        <v>0</v>
      </c>
      <c r="AI2472" s="152">
        <f t="shared" si="970"/>
        <v>4200</v>
      </c>
      <c r="AK2472" s="156" t="s">
        <v>691</v>
      </c>
      <c r="AL2472" s="212" t="s">
        <v>690</v>
      </c>
      <c r="AM2472" s="198">
        <f t="shared" si="972"/>
        <v>0</v>
      </c>
      <c r="AN2472" s="199">
        <f t="shared" si="951"/>
        <v>45877</v>
      </c>
      <c r="AO2472" s="159" t="s">
        <v>692</v>
      </c>
      <c r="AP2472" s="781"/>
      <c r="AQ2472" s="782">
        <v>12071839</v>
      </c>
      <c r="AR2472" s="782">
        <v>12047514</v>
      </c>
      <c r="AS2472" s="782">
        <v>12047515</v>
      </c>
      <c r="AT2472" s="782"/>
      <c r="AU2472" s="781"/>
      <c r="AV2472" s="782">
        <v>12083307</v>
      </c>
      <c r="AW2472" s="782"/>
      <c r="AX2472" s="782"/>
      <c r="AY2472" s="782">
        <v>12094380</v>
      </c>
      <c r="AZ2472" s="782">
        <v>12094381</v>
      </c>
      <c r="BA2472" s="781"/>
      <c r="BB2472" s="209">
        <v>23053185</v>
      </c>
    </row>
    <row r="2473" spans="1:54" ht="25" hidden="1" customHeight="1">
      <c r="B2473" s="271">
        <v>45877</v>
      </c>
      <c r="C2473" s="870" t="s">
        <v>1932</v>
      </c>
      <c r="D2473" s="185">
        <f t="shared" si="952"/>
        <v>2025</v>
      </c>
      <c r="E2473" s="272" t="e">
        <f>VLOOKUP($B2473,Week!$A$1:$C$1462,2,0)</f>
        <v>#N/A</v>
      </c>
      <c r="F2473" s="273" t="str">
        <f t="shared" si="953"/>
        <v>Aug</v>
      </c>
      <c r="G2473" s="274" t="s">
        <v>47</v>
      </c>
      <c r="H2473" s="274" t="s">
        <v>518</v>
      </c>
      <c r="I2473" s="274" t="s">
        <v>2702</v>
      </c>
      <c r="J2473" s="275" t="s">
        <v>70</v>
      </c>
      <c r="K2473" s="276" t="s">
        <v>556</v>
      </c>
      <c r="L2473" s="300" t="s">
        <v>2167</v>
      </c>
      <c r="M2473" s="275" t="s">
        <v>520</v>
      </c>
      <c r="N2473" s="423" t="s">
        <v>586</v>
      </c>
      <c r="O2473" s="274" t="s">
        <v>585</v>
      </c>
      <c r="P2473" s="277">
        <v>12</v>
      </c>
      <c r="Q2473" s="277">
        <v>5</v>
      </c>
      <c r="R2473" s="278">
        <v>6.0000000000000001E-3</v>
      </c>
      <c r="S2473" s="274" t="s">
        <v>55</v>
      </c>
      <c r="T2473" s="274" t="s">
        <v>56</v>
      </c>
      <c r="U2473" s="274" t="s">
        <v>57</v>
      </c>
      <c r="V2473" s="279">
        <f>150</f>
        <v>150</v>
      </c>
      <c r="W2473" s="279">
        <f>492-345+3</f>
        <v>150</v>
      </c>
      <c r="X2473" s="280"/>
      <c r="Y2473" s="281">
        <f t="shared" si="963"/>
        <v>0</v>
      </c>
      <c r="Z2473" s="282">
        <f t="shared" si="964"/>
        <v>0</v>
      </c>
      <c r="AA2473" s="282">
        <f t="shared" si="954"/>
        <v>0</v>
      </c>
      <c r="AB2473" s="812">
        <v>7.4999999999999997E-3</v>
      </c>
      <c r="AC2473" s="279">
        <f t="shared" si="965"/>
        <v>0</v>
      </c>
      <c r="AD2473" s="209"/>
      <c r="AE2473" s="210">
        <f t="shared" si="966"/>
        <v>0</v>
      </c>
      <c r="AF2473" s="210">
        <f t="shared" si="967"/>
        <v>0</v>
      </c>
      <c r="AG2473" s="211">
        <f t="shared" si="968"/>
        <v>0.13500000000000001</v>
      </c>
      <c r="AH2473" s="157">
        <f t="shared" si="973"/>
        <v>0</v>
      </c>
      <c r="AI2473" s="152">
        <f t="shared" si="970"/>
        <v>1800</v>
      </c>
      <c r="AK2473" s="156" t="s">
        <v>691</v>
      </c>
      <c r="AL2473" s="212" t="s">
        <v>690</v>
      </c>
      <c r="AM2473" s="198">
        <f t="shared" si="972"/>
        <v>0</v>
      </c>
      <c r="AN2473" s="199">
        <f t="shared" si="951"/>
        <v>45877</v>
      </c>
      <c r="AO2473" s="159" t="s">
        <v>692</v>
      </c>
      <c r="AP2473" s="781"/>
      <c r="AQ2473" s="782">
        <v>12071839</v>
      </c>
      <c r="AR2473" s="782">
        <v>12047514</v>
      </c>
      <c r="AS2473" s="782">
        <v>12047515</v>
      </c>
      <c r="AT2473" s="782"/>
      <c r="AU2473" s="781"/>
      <c r="AV2473" s="782">
        <v>12083307</v>
      </c>
      <c r="AW2473" s="782"/>
      <c r="AX2473" s="782"/>
      <c r="AY2473" s="782">
        <v>12094380</v>
      </c>
      <c r="AZ2473" s="782">
        <v>12094381</v>
      </c>
      <c r="BA2473" s="781"/>
      <c r="BB2473" s="209">
        <v>23053185</v>
      </c>
    </row>
    <row r="2474" spans="1:54" ht="25" hidden="1" customHeight="1">
      <c r="B2474" s="424">
        <v>45877</v>
      </c>
      <c r="C2474" s="647" t="s">
        <v>1932</v>
      </c>
      <c r="D2474" s="185">
        <f t="shared" si="952"/>
        <v>2025</v>
      </c>
      <c r="E2474" s="425" t="e">
        <f>VLOOKUP($B2474,Week!$A$1:$C$1462,2,0)</f>
        <v>#N/A</v>
      </c>
      <c r="F2474" s="426" t="str">
        <f t="shared" si="953"/>
        <v>Aug</v>
      </c>
      <c r="G2474" s="427" t="s">
        <v>47</v>
      </c>
      <c r="H2474" s="427" t="s">
        <v>518</v>
      </c>
      <c r="I2474" s="427" t="s">
        <v>2702</v>
      </c>
      <c r="J2474" s="428" t="s">
        <v>70</v>
      </c>
      <c r="K2474" s="429" t="s">
        <v>94</v>
      </c>
      <c r="L2474" s="300" t="s">
        <v>2167</v>
      </c>
      <c r="M2474" s="428" t="s">
        <v>2342</v>
      </c>
      <c r="N2474" s="427" t="s">
        <v>587</v>
      </c>
      <c r="O2474" s="427" t="s">
        <v>3198</v>
      </c>
      <c r="P2474" s="430">
        <v>18</v>
      </c>
      <c r="Q2474" s="430">
        <v>5</v>
      </c>
      <c r="R2474" s="431">
        <v>8.0000000000000002E-3</v>
      </c>
      <c r="S2474" s="427" t="s">
        <v>40</v>
      </c>
      <c r="T2474" s="427" t="s">
        <v>56</v>
      </c>
      <c r="U2474" s="427" t="s">
        <v>89</v>
      </c>
      <c r="V2474" s="432">
        <v>1200</v>
      </c>
      <c r="W2474" s="432">
        <f>199+696+132+173</f>
        <v>1200</v>
      </c>
      <c r="X2474" s="433"/>
      <c r="Y2474" s="434">
        <f t="shared" si="963"/>
        <v>0</v>
      </c>
      <c r="Z2474" s="435">
        <f t="shared" si="964"/>
        <v>0</v>
      </c>
      <c r="AA2474" s="435">
        <f t="shared" si="954"/>
        <v>0</v>
      </c>
      <c r="AB2474" s="826">
        <v>1</v>
      </c>
      <c r="AC2474" s="432">
        <f t="shared" si="965"/>
        <v>0</v>
      </c>
      <c r="AD2474" s="209"/>
      <c r="AE2474" s="210">
        <f t="shared" si="966"/>
        <v>0</v>
      </c>
      <c r="AF2474" s="210">
        <f t="shared" si="967"/>
        <v>0</v>
      </c>
      <c r="AG2474" s="211" t="e">
        <f>(MID(O2474,1,3)/1000)/3</f>
        <v>#VALUE!</v>
      </c>
      <c r="AH2474" s="157" t="e">
        <f t="shared" si="973"/>
        <v>#VALUE!</v>
      </c>
      <c r="AI2474" s="152">
        <f t="shared" si="970"/>
        <v>21600</v>
      </c>
      <c r="AK2474" s="156" t="s">
        <v>691</v>
      </c>
      <c r="AL2474" s="212" t="s">
        <v>690</v>
      </c>
      <c r="AM2474" s="198" t="e">
        <f t="shared" si="972"/>
        <v>#VALUE!</v>
      </c>
      <c r="AN2474" s="199">
        <f t="shared" si="951"/>
        <v>45877</v>
      </c>
      <c r="AO2474" s="159" t="s">
        <v>692</v>
      </c>
      <c r="AP2474" s="783" t="s">
        <v>628</v>
      </c>
      <c r="AQ2474" s="782"/>
      <c r="AR2474" s="782"/>
      <c r="AS2474" s="782"/>
      <c r="AT2474" s="782"/>
      <c r="AU2474" s="781"/>
      <c r="AV2474" s="782">
        <v>12080791</v>
      </c>
      <c r="AW2474" s="782" t="s">
        <v>641</v>
      </c>
      <c r="AX2474" s="782" t="s">
        <v>533</v>
      </c>
      <c r="AY2474" s="782"/>
      <c r="AZ2474" s="782"/>
      <c r="BA2474" s="781"/>
      <c r="BB2474" s="209">
        <v>23053184</v>
      </c>
    </row>
    <row r="2475" spans="1:54" ht="24.65" hidden="1" customHeight="1">
      <c r="B2475" s="411">
        <v>45878</v>
      </c>
      <c r="C2475" s="645" t="s">
        <v>1932</v>
      </c>
      <c r="D2475" s="185">
        <f t="shared" si="952"/>
        <v>2025</v>
      </c>
      <c r="E2475" s="412" t="e">
        <f>VLOOKUP($B2475,Week!$A$1:$C$1462,2,0)</f>
        <v>#N/A</v>
      </c>
      <c r="F2475" s="413" t="str">
        <f t="shared" si="953"/>
        <v>Aug</v>
      </c>
      <c r="G2475" s="414" t="s">
        <v>47</v>
      </c>
      <c r="H2475" s="414" t="s">
        <v>260</v>
      </c>
      <c r="I2475" s="414" t="s">
        <v>2702</v>
      </c>
      <c r="J2475" s="415" t="s">
        <v>261</v>
      </c>
      <c r="K2475" s="416" t="s">
        <v>94</v>
      </c>
      <c r="L2475" s="300" t="s">
        <v>2167</v>
      </c>
      <c r="M2475" s="415" t="s">
        <v>2339</v>
      </c>
      <c r="N2475" s="414" t="s">
        <v>263</v>
      </c>
      <c r="O2475" s="414" t="s">
        <v>195</v>
      </c>
      <c r="P2475" s="417">
        <v>24</v>
      </c>
      <c r="Q2475" s="417">
        <v>5</v>
      </c>
      <c r="R2475" s="418">
        <v>8.0000000000000002E-3</v>
      </c>
      <c r="S2475" s="414" t="s">
        <v>40</v>
      </c>
      <c r="T2475" s="414" t="s">
        <v>56</v>
      </c>
      <c r="U2475" s="414" t="s">
        <v>57</v>
      </c>
      <c r="V2475" s="419">
        <f>6250-128</f>
        <v>6122</v>
      </c>
      <c r="W2475" s="419">
        <f>1+6121</f>
        <v>6122</v>
      </c>
      <c r="X2475" s="420"/>
      <c r="Y2475" s="421">
        <f t="shared" si="963"/>
        <v>0</v>
      </c>
      <c r="Z2475" s="422">
        <f t="shared" si="964"/>
        <v>0</v>
      </c>
      <c r="AA2475" s="422">
        <f t="shared" si="954"/>
        <v>0</v>
      </c>
      <c r="AB2475" s="825">
        <v>7.4999999999999997E-3</v>
      </c>
      <c r="AC2475" s="419">
        <f t="shared" si="965"/>
        <v>0</v>
      </c>
      <c r="AD2475" s="209"/>
      <c r="AE2475" s="210">
        <f t="shared" si="966"/>
        <v>0</v>
      </c>
      <c r="AF2475" s="210">
        <f t="shared" si="967"/>
        <v>0</v>
      </c>
      <c r="AG2475" s="211">
        <f>MID(O2475,1,3)/1000</f>
        <v>0.14499999999999999</v>
      </c>
      <c r="AH2475" s="157">
        <f t="shared" si="973"/>
        <v>0</v>
      </c>
      <c r="AI2475" s="152">
        <f t="shared" si="970"/>
        <v>146928</v>
      </c>
      <c r="AK2475" s="156" t="s">
        <v>691</v>
      </c>
      <c r="AL2475" s="212" t="s">
        <v>690</v>
      </c>
      <c r="AM2475" s="198">
        <f t="shared" si="972"/>
        <v>0</v>
      </c>
      <c r="AN2475" s="199">
        <f t="shared" si="951"/>
        <v>45878</v>
      </c>
      <c r="AO2475" s="159" t="s">
        <v>692</v>
      </c>
      <c r="AP2475" s="783" t="s">
        <v>609</v>
      </c>
      <c r="AQ2475" s="782">
        <v>12071839</v>
      </c>
      <c r="AR2475" s="782">
        <v>12047514</v>
      </c>
      <c r="AS2475" s="782">
        <v>12047515</v>
      </c>
      <c r="AT2475" s="781"/>
      <c r="AU2475" s="781"/>
      <c r="AV2475" s="782">
        <v>12080613</v>
      </c>
      <c r="AW2475" s="781"/>
      <c r="AX2475" s="781"/>
      <c r="AY2475" s="782">
        <v>12094241</v>
      </c>
      <c r="AZ2475" s="782">
        <v>12094242</v>
      </c>
      <c r="BA2475" s="781"/>
      <c r="BB2475" s="209">
        <v>23053185</v>
      </c>
    </row>
    <row r="2476" spans="1:54" ht="25" hidden="1" customHeight="1">
      <c r="B2476" s="183">
        <v>45879</v>
      </c>
      <c r="C2476" s="184"/>
      <c r="D2476" s="185">
        <f t="shared" si="952"/>
        <v>2025</v>
      </c>
      <c r="E2476" s="185" t="e">
        <f>VLOOKUP($B2476,Week!$A$1:$C$1462,2,0)</f>
        <v>#N/A</v>
      </c>
      <c r="F2476" s="186" t="str">
        <f t="shared" si="953"/>
        <v>Aug</v>
      </c>
      <c r="G2476" s="481"/>
      <c r="H2476" s="185"/>
      <c r="I2476" s="185"/>
      <c r="J2476" s="187"/>
      <c r="K2476" s="188"/>
      <c r="L2476" s="188"/>
      <c r="M2476" s="187"/>
      <c r="N2476" s="185"/>
      <c r="O2476" s="185"/>
      <c r="P2476" s="189"/>
      <c r="Q2476" s="189"/>
      <c r="R2476" s="190"/>
      <c r="S2476" s="185"/>
      <c r="T2476" s="185"/>
      <c r="U2476" s="185"/>
      <c r="V2476" s="191"/>
      <c r="W2476" s="191"/>
      <c r="X2476" s="192"/>
      <c r="Y2476" s="193"/>
      <c r="Z2476" s="194"/>
      <c r="AA2476" s="194">
        <f t="shared" si="954"/>
        <v>0</v>
      </c>
      <c r="AB2476" s="805"/>
      <c r="AC2476" s="191"/>
      <c r="AD2476" s="187"/>
      <c r="AE2476" s="195"/>
      <c r="AF2476" s="195"/>
      <c r="AG2476" s="196"/>
      <c r="AH2476" s="197"/>
      <c r="AK2476" s="156" t="s">
        <v>691</v>
      </c>
      <c r="AM2476" s="198">
        <f t="shared" si="972"/>
        <v>0</v>
      </c>
      <c r="AN2476" s="199">
        <f t="shared" si="951"/>
        <v>45879</v>
      </c>
      <c r="AO2476" s="159" t="s">
        <v>692</v>
      </c>
      <c r="AP2476" s="781"/>
      <c r="AQ2476" s="782"/>
      <c r="AR2476" s="782"/>
      <c r="AS2476" s="782"/>
      <c r="AT2476" s="782"/>
      <c r="AU2476" s="781"/>
      <c r="AV2476" s="782"/>
      <c r="AW2476" s="782"/>
      <c r="AX2476" s="782"/>
      <c r="AY2476" s="782"/>
      <c r="AZ2476" s="782"/>
      <c r="BA2476" s="781"/>
      <c r="BB2476" s="209"/>
    </row>
    <row r="2477" spans="1:54" ht="24.65" hidden="1" customHeight="1">
      <c r="A2477" s="142" t="s">
        <v>120</v>
      </c>
      <c r="B2477" s="258">
        <v>45880</v>
      </c>
      <c r="C2477" s="259">
        <v>45887</v>
      </c>
      <c r="D2477" s="185">
        <f t="shared" si="952"/>
        <v>2025</v>
      </c>
      <c r="E2477" s="260" t="e">
        <f>VLOOKUP($B2477,Week!$A$1:$C$1462,2,0)</f>
        <v>#N/A</v>
      </c>
      <c r="F2477" s="261" t="str">
        <f t="shared" si="953"/>
        <v>Aug</v>
      </c>
      <c r="G2477" s="262" t="s">
        <v>2347</v>
      </c>
      <c r="H2477" s="260" t="s">
        <v>134</v>
      </c>
      <c r="I2477" s="260" t="s">
        <v>2772</v>
      </c>
      <c r="J2477" s="263" t="s">
        <v>164</v>
      </c>
      <c r="K2477" s="264" t="s">
        <v>153</v>
      </c>
      <c r="L2477" s="390" t="s">
        <v>2166</v>
      </c>
      <c r="M2477" s="263" t="s">
        <v>165</v>
      </c>
      <c r="N2477" s="260" t="s">
        <v>166</v>
      </c>
      <c r="O2477" s="260" t="s">
        <v>502</v>
      </c>
      <c r="P2477" s="265">
        <v>20</v>
      </c>
      <c r="Q2477" s="265">
        <v>12</v>
      </c>
      <c r="R2477" s="266">
        <v>6.8100000000000001E-3</v>
      </c>
      <c r="S2477" s="260" t="s">
        <v>76</v>
      </c>
      <c r="T2477" s="260" t="s">
        <v>56</v>
      </c>
      <c r="U2477" s="260" t="s">
        <v>89</v>
      </c>
      <c r="V2477" s="267">
        <f>1000</f>
        <v>1000</v>
      </c>
      <c r="W2477" s="267">
        <f>22+978</f>
        <v>1000</v>
      </c>
      <c r="X2477" s="268"/>
      <c r="Y2477" s="269">
        <f>(W2477+X2477)-V2477</f>
        <v>0</v>
      </c>
      <c r="Z2477" s="270">
        <f>IF(Y2477&lt;0,((V2477*P2477)-((W2477+X2477)*P2477)),0)</f>
        <v>0</v>
      </c>
      <c r="AA2477" s="270">
        <f t="shared" si="954"/>
        <v>0</v>
      </c>
      <c r="AB2477" s="811">
        <v>2</v>
      </c>
      <c r="AC2477" s="267">
        <f>Z2477*AB2477</f>
        <v>0</v>
      </c>
      <c r="AD2477" s="209" t="s">
        <v>168</v>
      </c>
      <c r="AE2477" s="210">
        <f>SUM(Q2477*R2477*Z2477)/1000</f>
        <v>0</v>
      </c>
      <c r="AF2477" s="210">
        <f>AE2477/0.54</f>
        <v>0</v>
      </c>
      <c r="AG2477" s="211">
        <f>MID(O2477,1,3)/1000</f>
        <v>0.154</v>
      </c>
      <c r="AH2477" s="157">
        <f>(Z2477*AG2477)/1000</f>
        <v>0</v>
      </c>
      <c r="AI2477" s="152">
        <f>V2477*P2477</f>
        <v>20000</v>
      </c>
      <c r="AK2477" s="156" t="s">
        <v>691</v>
      </c>
      <c r="AL2477" s="156" t="s">
        <v>689</v>
      </c>
      <c r="AM2477" s="198">
        <f t="shared" si="972"/>
        <v>0</v>
      </c>
      <c r="AN2477" s="199">
        <f t="shared" si="951"/>
        <v>45880</v>
      </c>
      <c r="AO2477" s="159" t="s">
        <v>692</v>
      </c>
      <c r="AP2477" s="783" t="s">
        <v>610</v>
      </c>
      <c r="AQ2477" s="783" t="s">
        <v>631</v>
      </c>
      <c r="AR2477" s="783" t="s">
        <v>523</v>
      </c>
      <c r="AS2477" s="781"/>
      <c r="AT2477" s="782">
        <v>12055919</v>
      </c>
      <c r="AU2477" s="781"/>
      <c r="AV2477" s="783" t="s">
        <v>544</v>
      </c>
      <c r="AW2477" s="781"/>
      <c r="AX2477" s="782" t="s">
        <v>398</v>
      </c>
      <c r="AY2477" s="781"/>
      <c r="AZ2477" s="781"/>
      <c r="BA2477" s="781"/>
      <c r="BB2477" s="209">
        <v>23053184</v>
      </c>
    </row>
    <row r="2478" spans="1:54" ht="25" hidden="1" customHeight="1">
      <c r="A2478" s="754" t="s">
        <v>438</v>
      </c>
      <c r="B2478" s="332">
        <v>45880</v>
      </c>
      <c r="C2478" s="333">
        <v>45890</v>
      </c>
      <c r="D2478" s="185">
        <f t="shared" si="952"/>
        <v>2025</v>
      </c>
      <c r="E2478" s="335" t="e">
        <f>VLOOKUP($B2478,Week!$A$1:$C$1462,2,0)</f>
        <v>#N/A</v>
      </c>
      <c r="F2478" s="334" t="str">
        <f t="shared" si="953"/>
        <v>Aug</v>
      </c>
      <c r="G2478" s="335" t="s">
        <v>2376</v>
      </c>
      <c r="H2478" s="335" t="s">
        <v>311</v>
      </c>
      <c r="I2478" s="335" t="s">
        <v>2772</v>
      </c>
      <c r="J2478" s="336" t="s">
        <v>738</v>
      </c>
      <c r="K2478" s="337" t="s">
        <v>671</v>
      </c>
      <c r="L2478" s="300" t="s">
        <v>2167</v>
      </c>
      <c r="M2478" s="336" t="s">
        <v>661</v>
      </c>
      <c r="N2478" s="335" t="s">
        <v>666</v>
      </c>
      <c r="O2478" s="335" t="s">
        <v>566</v>
      </c>
      <c r="P2478" s="338">
        <v>16</v>
      </c>
      <c r="Q2478" s="338">
        <v>6</v>
      </c>
      <c r="R2478" s="339">
        <v>6.1999999999999998E-3</v>
      </c>
      <c r="S2478" s="335" t="s">
        <v>55</v>
      </c>
      <c r="T2478" s="335" t="s">
        <v>112</v>
      </c>
      <c r="U2478" s="335" t="s">
        <v>662</v>
      </c>
      <c r="V2478" s="341">
        <v>750</v>
      </c>
      <c r="W2478" s="341"/>
      <c r="X2478" s="342">
        <f>(55+6000)/8</f>
        <v>756.875</v>
      </c>
      <c r="Y2478" s="343">
        <f>(W2478+X2478)-V2478</f>
        <v>6.875</v>
      </c>
      <c r="Z2478" s="344">
        <f>IF(Y2478&lt;0,((V2478*P2478)-((W2478+X2478)*P2478)),0)</f>
        <v>0</v>
      </c>
      <c r="AA2478" s="344">
        <f t="shared" si="954"/>
        <v>0</v>
      </c>
      <c r="AB2478" s="817">
        <v>1</v>
      </c>
      <c r="AC2478" s="341">
        <f>Z2478*AB2478</f>
        <v>0</v>
      </c>
      <c r="AD2478" s="209" t="s">
        <v>2426</v>
      </c>
      <c r="AE2478" s="210">
        <f>SUM(Q2478*R2478*Z2478)/1000</f>
        <v>0</v>
      </c>
      <c r="AF2478" s="210">
        <f>AE2478/0.54</f>
        <v>0</v>
      </c>
      <c r="AG2478" s="211">
        <f>MID(O2478,1,3)/1000</f>
        <v>0.11700000000000001</v>
      </c>
      <c r="AH2478" s="157">
        <f>(Z2478*AG2478)/1000</f>
        <v>0</v>
      </c>
      <c r="AI2478" s="152">
        <f>V2478*P2478</f>
        <v>12000</v>
      </c>
      <c r="AK2478" s="156" t="s">
        <v>691</v>
      </c>
      <c r="AL2478" s="212" t="s">
        <v>690</v>
      </c>
      <c r="AM2478" s="198">
        <f t="shared" si="972"/>
        <v>0</v>
      </c>
      <c r="AN2478" s="199">
        <f t="shared" si="951"/>
        <v>45880</v>
      </c>
      <c r="AO2478" s="159" t="s">
        <v>692</v>
      </c>
      <c r="AP2478" s="781"/>
      <c r="AQ2478" s="782"/>
      <c r="AR2478" s="782" t="s">
        <v>2144</v>
      </c>
      <c r="AS2478" s="782"/>
      <c r="AT2478" s="782">
        <v>12085802</v>
      </c>
      <c r="AU2478" s="781"/>
      <c r="AV2478" s="782">
        <v>12085309</v>
      </c>
      <c r="AW2478" s="782"/>
      <c r="AX2478" s="798" t="s">
        <v>2145</v>
      </c>
      <c r="AY2478" s="798"/>
      <c r="AZ2478" s="782"/>
      <c r="BA2478" s="781"/>
      <c r="BB2478" s="209">
        <v>23094763</v>
      </c>
    </row>
    <row r="2479" spans="1:54" ht="25" hidden="1" customHeight="1">
      <c r="A2479" s="754" t="s">
        <v>438</v>
      </c>
      <c r="B2479" s="332">
        <v>45880</v>
      </c>
      <c r="C2479" s="333">
        <v>45911</v>
      </c>
      <c r="D2479" s="185">
        <f t="shared" si="952"/>
        <v>2025</v>
      </c>
      <c r="E2479" s="335" t="e">
        <f>VLOOKUP($B2479,Week!$A$1:$C$1462,2,0)</f>
        <v>#N/A</v>
      </c>
      <c r="F2479" s="334" t="str">
        <f t="shared" si="953"/>
        <v>Aug</v>
      </c>
      <c r="G2479" s="530" t="s">
        <v>2436</v>
      </c>
      <c r="H2479" s="335" t="s">
        <v>675</v>
      </c>
      <c r="I2479" s="335" t="s">
        <v>2772</v>
      </c>
      <c r="J2479" s="336" t="s">
        <v>709</v>
      </c>
      <c r="K2479" s="337" t="s">
        <v>671</v>
      </c>
      <c r="L2479" s="300" t="s">
        <v>2167</v>
      </c>
      <c r="M2479" s="336" t="s">
        <v>661</v>
      </c>
      <c r="N2479" s="335" t="s">
        <v>714</v>
      </c>
      <c r="O2479" s="335" t="s">
        <v>566</v>
      </c>
      <c r="P2479" s="338">
        <v>16</v>
      </c>
      <c r="Q2479" s="338">
        <v>6</v>
      </c>
      <c r="R2479" s="339">
        <v>6.1999999999999998E-3</v>
      </c>
      <c r="S2479" s="335" t="s">
        <v>55</v>
      </c>
      <c r="T2479" s="335" t="s">
        <v>112</v>
      </c>
      <c r="U2479" s="335" t="s">
        <v>662</v>
      </c>
      <c r="V2479" s="341">
        <v>500</v>
      </c>
      <c r="W2479" s="341"/>
      <c r="X2479" s="342">
        <f>(4285)/8</f>
        <v>535.625</v>
      </c>
      <c r="Y2479" s="343">
        <f>(W2479+X2479)-V2479</f>
        <v>35.625</v>
      </c>
      <c r="Z2479" s="344">
        <f>IF(Y2479&lt;0,((V2479*P2479)-((W2479+X2479)*P2479)),0)</f>
        <v>0</v>
      </c>
      <c r="AA2479" s="344">
        <f t="shared" si="954"/>
        <v>0</v>
      </c>
      <c r="AB2479" s="817">
        <v>1</v>
      </c>
      <c r="AC2479" s="341">
        <f>Z2479*AB2479</f>
        <v>0</v>
      </c>
      <c r="AD2479" s="336" t="s">
        <v>2295</v>
      </c>
      <c r="AE2479" s="533">
        <f>SUM(Q2479*R2479*Z2479)/1000</f>
        <v>0</v>
      </c>
      <c r="AF2479" s="533">
        <f>AE2479/0.54</f>
        <v>0</v>
      </c>
      <c r="AG2479" s="211">
        <f>MID(O2479,1,3)/1000</f>
        <v>0.11700000000000001</v>
      </c>
      <c r="AH2479" s="157">
        <f>(Z2479*AG2479)/1000</f>
        <v>0</v>
      </c>
      <c r="AI2479" s="152">
        <f>V2479*P2479</f>
        <v>8000</v>
      </c>
      <c r="AK2479" s="156" t="s">
        <v>691</v>
      </c>
      <c r="AL2479" s="212" t="s">
        <v>690</v>
      </c>
      <c r="AM2479" s="198">
        <f t="shared" si="972"/>
        <v>0</v>
      </c>
      <c r="AN2479" s="199">
        <f t="shared" si="951"/>
        <v>45880</v>
      </c>
      <c r="AO2479" s="159" t="s">
        <v>692</v>
      </c>
      <c r="AP2479" s="797"/>
      <c r="AQ2479" s="798"/>
      <c r="AR2479" s="798" t="s">
        <v>2144</v>
      </c>
      <c r="AS2479" s="798"/>
      <c r="AT2479" s="782">
        <v>12090031</v>
      </c>
      <c r="AU2479" s="799"/>
      <c r="AV2479" s="782">
        <v>12090032</v>
      </c>
      <c r="AW2479" s="798"/>
      <c r="AX2479" s="798" t="s">
        <v>2145</v>
      </c>
      <c r="AY2479" s="798"/>
      <c r="AZ2479" s="798"/>
      <c r="BA2479" s="799"/>
      <c r="BB2479" s="209">
        <v>23094763</v>
      </c>
    </row>
    <row r="2480" spans="1:54" ht="25" hidden="1" customHeight="1">
      <c r="B2480" s="345">
        <v>45880</v>
      </c>
      <c r="C2480" s="464">
        <v>45887</v>
      </c>
      <c r="D2480" s="185">
        <f t="shared" si="952"/>
        <v>2025</v>
      </c>
      <c r="E2480" s="464" t="e">
        <f>VLOOKUP($B2480,Week!$A$1:$C$1462,2,0)</f>
        <v>#N/A</v>
      </c>
      <c r="F2480" s="465" t="str">
        <f t="shared" si="953"/>
        <v>Aug</v>
      </c>
      <c r="G2480" s="347" t="s">
        <v>2347</v>
      </c>
      <c r="H2480" s="347" t="s">
        <v>134</v>
      </c>
      <c r="I2480" s="347" t="s">
        <v>2772</v>
      </c>
      <c r="J2480" s="349" t="s">
        <v>135</v>
      </c>
      <c r="K2480" s="350" t="s">
        <v>107</v>
      </c>
      <c r="L2480" s="300" t="s">
        <v>2167</v>
      </c>
      <c r="M2480" s="349" t="s">
        <v>136</v>
      </c>
      <c r="N2480" s="347" t="s">
        <v>137</v>
      </c>
      <c r="O2480" s="347" t="s">
        <v>138</v>
      </c>
      <c r="P2480" s="351">
        <v>24</v>
      </c>
      <c r="Q2480" s="351">
        <v>3</v>
      </c>
      <c r="R2480" s="352">
        <v>7.4999999999999997E-3</v>
      </c>
      <c r="S2480" s="347" t="s">
        <v>111</v>
      </c>
      <c r="T2480" s="347" t="s">
        <v>56</v>
      </c>
      <c r="U2480" s="347" t="s">
        <v>572</v>
      </c>
      <c r="V2480" s="353">
        <f>250</f>
        <v>250</v>
      </c>
      <c r="W2480" s="353">
        <f>4+246</f>
        <v>250</v>
      </c>
      <c r="X2480" s="354"/>
      <c r="Y2480" s="355">
        <f>(W2480+X2480)-V2480</f>
        <v>0</v>
      </c>
      <c r="Z2480" s="356">
        <f>IF(Y2480&lt;0,((V2480*P2480)-((W2480+X2480)*P2480)),0)</f>
        <v>0</v>
      </c>
      <c r="AA2480" s="356">
        <f t="shared" si="954"/>
        <v>0</v>
      </c>
      <c r="AB2480" s="818">
        <v>1</v>
      </c>
      <c r="AC2480" s="353">
        <f>Z2480*AB2480</f>
        <v>0</v>
      </c>
      <c r="AD2480" s="443"/>
      <c r="AE2480" s="210">
        <f>SUM(Q2480*R2480*Z2480)/1000</f>
        <v>0</v>
      </c>
      <c r="AF2480" s="210">
        <f>AE2480/0.54</f>
        <v>0</v>
      </c>
      <c r="AG2480" s="211">
        <f>MID(O2480,1,3)/1000</f>
        <v>0.219</v>
      </c>
      <c r="AH2480" s="157">
        <f>(Z2480*AG2480)/1000</f>
        <v>0</v>
      </c>
      <c r="AI2480" s="152">
        <f>V2480*P2480</f>
        <v>6000</v>
      </c>
      <c r="AK2480" s="156" t="s">
        <v>691</v>
      </c>
      <c r="AL2480" s="212" t="s">
        <v>690</v>
      </c>
      <c r="AM2480" s="198">
        <f t="shared" si="972"/>
        <v>0</v>
      </c>
      <c r="AN2480" s="199">
        <f t="shared" si="951"/>
        <v>45880</v>
      </c>
      <c r="AO2480" s="159" t="s">
        <v>692</v>
      </c>
      <c r="AP2480" s="783" t="s">
        <v>610</v>
      </c>
      <c r="AQ2480" s="796" t="s">
        <v>1500</v>
      </c>
      <c r="AR2480" s="782" t="s">
        <v>140</v>
      </c>
      <c r="AS2480" s="782" t="s">
        <v>141</v>
      </c>
      <c r="AT2480" s="782"/>
      <c r="AU2480" s="783" t="s">
        <v>568</v>
      </c>
      <c r="AV2480" s="796" t="s">
        <v>569</v>
      </c>
      <c r="AW2480" s="796" t="s">
        <v>570</v>
      </c>
      <c r="AX2480" s="782"/>
      <c r="AY2480" s="782">
        <v>12095878</v>
      </c>
      <c r="AZ2480" s="782">
        <v>12095879</v>
      </c>
      <c r="BA2480" s="782">
        <v>12095880</v>
      </c>
    </row>
    <row r="2481" spans="1:54" ht="25" hidden="1" customHeight="1">
      <c r="B2481" s="357">
        <v>45880</v>
      </c>
      <c r="C2481" s="358">
        <v>45889</v>
      </c>
      <c r="D2481" s="185">
        <f t="shared" si="952"/>
        <v>2025</v>
      </c>
      <c r="E2481" s="358" t="e">
        <f>VLOOKUP($B2481,Week!$A$1:$C$1462,2,0)</f>
        <v>#N/A</v>
      </c>
      <c r="F2481" s="360" t="str">
        <f t="shared" si="953"/>
        <v>Aug</v>
      </c>
      <c r="G2481" s="436" t="s">
        <v>2214</v>
      </c>
      <c r="H2481" s="359" t="s">
        <v>225</v>
      </c>
      <c r="I2481" s="359" t="s">
        <v>2773</v>
      </c>
      <c r="J2481" s="361" t="s">
        <v>650</v>
      </c>
      <c r="K2481" s="362" t="s">
        <v>593</v>
      </c>
      <c r="L2481" s="300" t="s">
        <v>2167</v>
      </c>
      <c r="M2481" s="361" t="s">
        <v>717</v>
      </c>
      <c r="N2481" s="359" t="s">
        <v>719</v>
      </c>
      <c r="O2481" s="359" t="s">
        <v>230</v>
      </c>
      <c r="P2481" s="363">
        <v>12</v>
      </c>
      <c r="Q2481" s="363">
        <v>5</v>
      </c>
      <c r="R2481" s="364">
        <v>6.0000000000000001E-3</v>
      </c>
      <c r="S2481" s="359" t="s">
        <v>55</v>
      </c>
      <c r="T2481" s="359" t="s">
        <v>112</v>
      </c>
      <c r="U2481" s="359" t="s">
        <v>57</v>
      </c>
      <c r="V2481" s="365">
        <v>2600</v>
      </c>
      <c r="W2481" s="365"/>
      <c r="X2481" s="366">
        <f>(1512+29688)/12</f>
        <v>2600</v>
      </c>
      <c r="Y2481" s="367">
        <f>(W2481+X2481)-V2481</f>
        <v>0</v>
      </c>
      <c r="Z2481" s="368">
        <f>IF(Y2481&lt;0,((V2481*P2481)-((W2481+X2481)*P2481)),0)</f>
        <v>0</v>
      </c>
      <c r="AA2481" s="368">
        <f t="shared" si="954"/>
        <v>0</v>
      </c>
      <c r="AB2481" s="819">
        <v>7.4999999999999997E-3</v>
      </c>
      <c r="AC2481" s="365">
        <f>Z2481*AB2481</f>
        <v>0</v>
      </c>
      <c r="AD2481" s="443"/>
      <c r="AE2481" s="210">
        <f>SUM(Q2481*R2481*Z2481)/1000</f>
        <v>0</v>
      </c>
      <c r="AF2481" s="210">
        <f>AE2481/0.54</f>
        <v>0</v>
      </c>
      <c r="AG2481" s="211">
        <f>MID(O2481,1,3)/1000</f>
        <v>0.25800000000000001</v>
      </c>
      <c r="AH2481" s="157">
        <f>(Z2481*AG2481)/1000</f>
        <v>0</v>
      </c>
      <c r="AI2481" s="152">
        <f>V2481*P2481</f>
        <v>31200</v>
      </c>
      <c r="AK2481" s="156" t="s">
        <v>691</v>
      </c>
      <c r="AL2481" s="574" t="s">
        <v>690</v>
      </c>
      <c r="AM2481" s="198">
        <f t="shared" si="972"/>
        <v>0</v>
      </c>
      <c r="AN2481" s="199">
        <f t="shared" si="951"/>
        <v>45880</v>
      </c>
      <c r="AO2481" s="159" t="s">
        <v>692</v>
      </c>
      <c r="AP2481" s="783" t="s">
        <v>612</v>
      </c>
      <c r="AQ2481" s="782">
        <v>12071839</v>
      </c>
      <c r="AR2481" s="782">
        <v>12042650</v>
      </c>
      <c r="AS2481" s="782">
        <v>12042649</v>
      </c>
      <c r="AT2481" s="782">
        <v>12088423</v>
      </c>
      <c r="AU2481" s="781"/>
      <c r="AV2481" s="782">
        <v>12088422</v>
      </c>
      <c r="AW2481" s="782"/>
      <c r="AX2481" s="782"/>
      <c r="AY2481" s="782"/>
      <c r="AZ2481" s="782"/>
      <c r="BA2481" s="781"/>
      <c r="BB2481" s="209">
        <v>23053185</v>
      </c>
    </row>
    <row r="2482" spans="1:54" ht="25" hidden="1" customHeight="1">
      <c r="B2482" s="183">
        <v>45881</v>
      </c>
      <c r="C2482" s="184"/>
      <c r="D2482" s="185">
        <f t="shared" si="952"/>
        <v>2025</v>
      </c>
      <c r="E2482" s="185" t="e">
        <f>VLOOKUP($B2482,Week!$A$1:$C$1462,2,0)</f>
        <v>#N/A</v>
      </c>
      <c r="F2482" s="186" t="str">
        <f t="shared" si="953"/>
        <v>Aug</v>
      </c>
      <c r="G2482" s="481"/>
      <c r="H2482" s="185"/>
      <c r="I2482" s="185"/>
      <c r="J2482" s="187"/>
      <c r="K2482" s="188"/>
      <c r="L2482" s="188"/>
      <c r="M2482" s="187"/>
      <c r="N2482" s="185"/>
      <c r="O2482" s="185"/>
      <c r="P2482" s="189"/>
      <c r="Q2482" s="189"/>
      <c r="R2482" s="190"/>
      <c r="S2482" s="185"/>
      <c r="T2482" s="185"/>
      <c r="U2482" s="185"/>
      <c r="V2482" s="191"/>
      <c r="W2482" s="191"/>
      <c r="X2482" s="192"/>
      <c r="Y2482" s="193"/>
      <c r="Z2482" s="194"/>
      <c r="AA2482" s="194">
        <f t="shared" si="954"/>
        <v>0</v>
      </c>
      <c r="AB2482" s="805"/>
      <c r="AC2482" s="191"/>
      <c r="AD2482" s="187"/>
      <c r="AE2482" s="195"/>
      <c r="AF2482" s="195"/>
      <c r="AG2482" s="196"/>
      <c r="AH2482" s="197"/>
      <c r="AK2482" s="156" t="s">
        <v>691</v>
      </c>
      <c r="AM2482" s="198">
        <f t="shared" si="972"/>
        <v>0</v>
      </c>
      <c r="AN2482" s="199">
        <f t="shared" si="951"/>
        <v>45881</v>
      </c>
      <c r="AO2482" s="159" t="s">
        <v>692</v>
      </c>
      <c r="AP2482" s="781"/>
      <c r="AQ2482" s="782"/>
      <c r="AR2482" s="782"/>
      <c r="AS2482" s="782"/>
      <c r="AT2482" s="782"/>
      <c r="AU2482" s="781"/>
      <c r="AV2482" s="782"/>
      <c r="AW2482" s="782"/>
      <c r="AX2482" s="782"/>
      <c r="AY2482" s="782"/>
      <c r="AZ2482" s="782"/>
      <c r="BA2482" s="781"/>
      <c r="BB2482" s="209"/>
    </row>
    <row r="2483" spans="1:54" ht="24.65" hidden="1" customHeight="1">
      <c r="A2483" s="142" t="s">
        <v>120</v>
      </c>
      <c r="B2483" s="383">
        <v>45882</v>
      </c>
      <c r="C2483" s="224">
        <v>45889</v>
      </c>
      <c r="D2483" s="185">
        <f t="shared" si="952"/>
        <v>2025</v>
      </c>
      <c r="E2483" s="224" t="e">
        <f>VLOOKUP($B2483,Week!$A$1:$C$1462,2,0)</f>
        <v>#N/A</v>
      </c>
      <c r="F2483" s="226" t="str">
        <f t="shared" si="953"/>
        <v>Aug</v>
      </c>
      <c r="G2483" s="225" t="s">
        <v>2451</v>
      </c>
      <c r="H2483" s="225" t="s">
        <v>1259</v>
      </c>
      <c r="I2483" s="225" t="s">
        <v>2772</v>
      </c>
      <c r="J2483" s="227" t="s">
        <v>512</v>
      </c>
      <c r="K2483" s="228" t="s">
        <v>85</v>
      </c>
      <c r="L2483" s="390" t="s">
        <v>2166</v>
      </c>
      <c r="M2483" s="227" t="s">
        <v>165</v>
      </c>
      <c r="N2483" s="225" t="s">
        <v>700</v>
      </c>
      <c r="O2483" s="225" t="s">
        <v>287</v>
      </c>
      <c r="P2483" s="229">
        <v>40</v>
      </c>
      <c r="Q2483" s="229">
        <v>12</v>
      </c>
      <c r="R2483" s="230">
        <v>8.1300000000000001E-3</v>
      </c>
      <c r="S2483" s="225" t="s">
        <v>40</v>
      </c>
      <c r="T2483" s="225" t="s">
        <v>112</v>
      </c>
      <c r="U2483" s="225" t="s">
        <v>89</v>
      </c>
      <c r="V2483" s="231">
        <f>561</f>
        <v>561</v>
      </c>
      <c r="W2483" s="231">
        <f>550</f>
        <v>550</v>
      </c>
      <c r="X2483" s="232">
        <f>(440)/40</f>
        <v>11</v>
      </c>
      <c r="Y2483" s="233">
        <f t="shared" ref="Y2483:Y2496" si="974">(W2483+X2483)-V2483</f>
        <v>0</v>
      </c>
      <c r="Z2483" s="234">
        <f t="shared" ref="Z2483:Z2496" si="975">IF(Y2483&lt;0,((V2483*P2483)-((W2483+X2483)*P2483)),0)</f>
        <v>0</v>
      </c>
      <c r="AA2483" s="234">
        <f t="shared" si="954"/>
        <v>0</v>
      </c>
      <c r="AB2483" s="822">
        <v>2</v>
      </c>
      <c r="AC2483" s="231">
        <f t="shared" ref="AC2483:AC2496" si="976">Z2483*AB2483</f>
        <v>0</v>
      </c>
      <c r="AD2483" s="209"/>
      <c r="AE2483" s="210">
        <f t="shared" ref="AE2483:AE2496" si="977">SUM(Q2483*R2483*Z2483)/1000</f>
        <v>0</v>
      </c>
      <c r="AF2483" s="210">
        <f t="shared" ref="AF2483:AF2496" si="978">AE2483/0.54</f>
        <v>0</v>
      </c>
      <c r="AG2483" s="211">
        <f t="shared" ref="AG2483:AG2496" si="979">MID(O2483,1,3)/1000</f>
        <v>0.154</v>
      </c>
      <c r="AH2483" s="157">
        <f>(Z2483*AG2483)/1000</f>
        <v>0</v>
      </c>
      <c r="AI2483" s="152">
        <f t="shared" ref="AI2483:AI2496" si="980">V2483*P2483</f>
        <v>22440</v>
      </c>
      <c r="AK2483" s="156" t="s">
        <v>691</v>
      </c>
      <c r="AL2483" s="156" t="s">
        <v>689</v>
      </c>
      <c r="AM2483" s="198">
        <f t="shared" si="972"/>
        <v>0</v>
      </c>
      <c r="AN2483" s="199">
        <f t="shared" si="951"/>
        <v>45882</v>
      </c>
      <c r="AO2483" s="159" t="s">
        <v>692</v>
      </c>
      <c r="AP2483" s="781"/>
      <c r="AQ2483" s="782">
        <v>12071839</v>
      </c>
      <c r="AR2483" s="782">
        <v>12019692</v>
      </c>
      <c r="AS2483" s="782"/>
      <c r="AT2483" s="782">
        <v>12056457</v>
      </c>
      <c r="AU2483" s="782"/>
      <c r="AV2483" s="782">
        <v>12056565</v>
      </c>
      <c r="AW2483" s="782">
        <v>12034747</v>
      </c>
      <c r="AX2483" s="782" t="s">
        <v>398</v>
      </c>
      <c r="AY2483" s="782" t="s">
        <v>513</v>
      </c>
      <c r="AZ2483" s="782"/>
      <c r="BA2483" s="781"/>
      <c r="BB2483" s="209">
        <v>23053184</v>
      </c>
    </row>
    <row r="2484" spans="1:54" ht="24.75" hidden="1" customHeight="1">
      <c r="B2484" s="295">
        <v>45882</v>
      </c>
      <c r="C2484" s="771" t="s">
        <v>1932</v>
      </c>
      <c r="D2484" s="185">
        <f t="shared" si="952"/>
        <v>2025</v>
      </c>
      <c r="E2484" s="296" t="e">
        <f>VLOOKUP($B2484,Week!$A$1:$C$1462,2,0)</f>
        <v>#N/A</v>
      </c>
      <c r="F2484" s="297" t="str">
        <f t="shared" si="953"/>
        <v>Aug</v>
      </c>
      <c r="G2484" s="648" t="s">
        <v>47</v>
      </c>
      <c r="H2484" s="298" t="s">
        <v>260</v>
      </c>
      <c r="I2484" s="298" t="s">
        <v>2702</v>
      </c>
      <c r="J2484" s="307" t="s">
        <v>2240</v>
      </c>
      <c r="K2484" s="300" t="s">
        <v>176</v>
      </c>
      <c r="L2484" s="300" t="s">
        <v>2167</v>
      </c>
      <c r="M2484" s="299" t="s">
        <v>2338</v>
      </c>
      <c r="N2484" s="298" t="s">
        <v>350</v>
      </c>
      <c r="O2484" s="298" t="s">
        <v>351</v>
      </c>
      <c r="P2484" s="301">
        <v>24</v>
      </c>
      <c r="Q2484" s="301">
        <v>5</v>
      </c>
      <c r="R2484" s="302">
        <v>6.1999999999999998E-3</v>
      </c>
      <c r="S2484" s="298" t="s">
        <v>352</v>
      </c>
      <c r="T2484" s="298" t="s">
        <v>56</v>
      </c>
      <c r="U2484" s="298" t="s">
        <v>57</v>
      </c>
      <c r="V2484" s="303">
        <v>3790</v>
      </c>
      <c r="W2484" s="303">
        <f>3790</f>
        <v>3790</v>
      </c>
      <c r="X2484" s="304"/>
      <c r="Y2484" s="305">
        <f t="shared" si="974"/>
        <v>0</v>
      </c>
      <c r="Z2484" s="306">
        <f t="shared" si="975"/>
        <v>0</v>
      </c>
      <c r="AA2484" s="306">
        <f t="shared" si="954"/>
        <v>0</v>
      </c>
      <c r="AB2484" s="814">
        <v>7.4999999999999997E-3</v>
      </c>
      <c r="AC2484" s="303">
        <f t="shared" si="976"/>
        <v>0</v>
      </c>
      <c r="AD2484" s="443"/>
      <c r="AE2484" s="210">
        <f t="shared" si="977"/>
        <v>0</v>
      </c>
      <c r="AF2484" s="210">
        <f t="shared" si="978"/>
        <v>0</v>
      </c>
      <c r="AG2484" s="211">
        <f t="shared" si="979"/>
        <v>0.13</v>
      </c>
      <c r="AH2484" s="157">
        <f>(Z2484*AG2484)/1000</f>
        <v>0</v>
      </c>
      <c r="AI2484" s="152">
        <f t="shared" si="980"/>
        <v>90960</v>
      </c>
      <c r="AK2484" s="156" t="s">
        <v>691</v>
      </c>
      <c r="AL2484" s="574" t="s">
        <v>690</v>
      </c>
      <c r="AM2484" s="198">
        <f t="shared" si="972"/>
        <v>0</v>
      </c>
      <c r="AN2484" s="199">
        <f t="shared" si="951"/>
        <v>45882</v>
      </c>
      <c r="AO2484" s="159" t="s">
        <v>692</v>
      </c>
      <c r="AP2484" s="783" t="s">
        <v>629</v>
      </c>
      <c r="AQ2484" s="782">
        <v>12071839</v>
      </c>
      <c r="AR2484" s="782">
        <v>12094356</v>
      </c>
      <c r="AS2484" s="782">
        <v>12068233</v>
      </c>
      <c r="AT2484" s="781"/>
      <c r="AU2484" s="781"/>
      <c r="AV2484" s="782">
        <v>12062075</v>
      </c>
      <c r="AW2484" s="781"/>
      <c r="AX2484" s="781"/>
      <c r="AY2484" s="782">
        <v>12094357</v>
      </c>
      <c r="AZ2484" s="781"/>
      <c r="BA2484" s="781"/>
      <c r="BB2484" s="209">
        <v>23053185</v>
      </c>
    </row>
    <row r="2485" spans="1:54" ht="24.65" hidden="1" customHeight="1">
      <c r="A2485" s="142" t="s">
        <v>120</v>
      </c>
      <c r="B2485" s="383">
        <v>45883</v>
      </c>
      <c r="C2485" s="224">
        <v>45889</v>
      </c>
      <c r="D2485" s="185">
        <f t="shared" si="952"/>
        <v>2025</v>
      </c>
      <c r="E2485" s="224" t="e">
        <f>VLOOKUP($B2485,Week!$A$1:$C$1462,2,0)</f>
        <v>#N/A</v>
      </c>
      <c r="F2485" s="226" t="str">
        <f t="shared" si="953"/>
        <v>Aug</v>
      </c>
      <c r="G2485" s="225" t="s">
        <v>2451</v>
      </c>
      <c r="H2485" s="225" t="s">
        <v>1259</v>
      </c>
      <c r="I2485" s="225" t="s">
        <v>2772</v>
      </c>
      <c r="J2485" s="227" t="s">
        <v>512</v>
      </c>
      <c r="K2485" s="228" t="s">
        <v>85</v>
      </c>
      <c r="L2485" s="390" t="s">
        <v>2166</v>
      </c>
      <c r="M2485" s="227" t="s">
        <v>165</v>
      </c>
      <c r="N2485" s="225" t="s">
        <v>700</v>
      </c>
      <c r="O2485" s="225" t="s">
        <v>287</v>
      </c>
      <c r="P2485" s="229">
        <v>40</v>
      </c>
      <c r="Q2485" s="229">
        <v>12</v>
      </c>
      <c r="R2485" s="230">
        <v>8.1300000000000001E-3</v>
      </c>
      <c r="S2485" s="225" t="s">
        <v>40</v>
      </c>
      <c r="T2485" s="225" t="s">
        <v>112</v>
      </c>
      <c r="U2485" s="225" t="s">
        <v>89</v>
      </c>
      <c r="V2485" s="231">
        <v>560</v>
      </c>
      <c r="W2485" s="231">
        <v>560</v>
      </c>
      <c r="X2485" s="232"/>
      <c r="Y2485" s="233">
        <f t="shared" si="974"/>
        <v>0</v>
      </c>
      <c r="Z2485" s="234">
        <f t="shared" si="975"/>
        <v>0</v>
      </c>
      <c r="AA2485" s="234">
        <f t="shared" si="954"/>
        <v>0</v>
      </c>
      <c r="AB2485" s="822">
        <v>2</v>
      </c>
      <c r="AC2485" s="231">
        <f t="shared" si="976"/>
        <v>0</v>
      </c>
      <c r="AD2485" s="209"/>
      <c r="AE2485" s="210">
        <f t="shared" si="977"/>
        <v>0</v>
      </c>
      <c r="AF2485" s="210">
        <f t="shared" si="978"/>
        <v>0</v>
      </c>
      <c r="AG2485" s="211">
        <f t="shared" si="979"/>
        <v>0.154</v>
      </c>
      <c r="AH2485" s="157">
        <f>(Z2485*AG2485)/1000</f>
        <v>0</v>
      </c>
      <c r="AI2485" s="152">
        <f t="shared" si="980"/>
        <v>22400</v>
      </c>
      <c r="AK2485" s="156" t="s">
        <v>691</v>
      </c>
      <c r="AL2485" s="156" t="s">
        <v>689</v>
      </c>
      <c r="AM2485" s="198">
        <f t="shared" si="972"/>
        <v>0</v>
      </c>
      <c r="AN2485" s="199">
        <f t="shared" si="951"/>
        <v>45883</v>
      </c>
      <c r="AO2485" s="159" t="s">
        <v>692</v>
      </c>
      <c r="AP2485" s="781"/>
      <c r="AQ2485" s="782">
        <v>12071839</v>
      </c>
      <c r="AR2485" s="782">
        <v>12019692</v>
      </c>
      <c r="AS2485" s="782"/>
      <c r="AT2485" s="782">
        <v>12056457</v>
      </c>
      <c r="AU2485" s="782"/>
      <c r="AV2485" s="782">
        <v>12056565</v>
      </c>
      <c r="AW2485" s="782">
        <v>12034747</v>
      </c>
      <c r="AX2485" s="782" t="s">
        <v>398</v>
      </c>
      <c r="AY2485" s="782" t="s">
        <v>513</v>
      </c>
      <c r="AZ2485" s="782"/>
      <c r="BA2485" s="781"/>
      <c r="BB2485" s="209">
        <v>23053184</v>
      </c>
    </row>
    <row r="2486" spans="1:54" ht="25.15" hidden="1" customHeight="1">
      <c r="B2486" s="345">
        <v>45883</v>
      </c>
      <c r="C2486" s="346">
        <v>45895</v>
      </c>
      <c r="D2486" s="185">
        <f t="shared" si="952"/>
        <v>2025</v>
      </c>
      <c r="E2486" s="347" t="e">
        <f>VLOOKUP($B2486,Week!$A$1:$C$1462,2,0)</f>
        <v>#N/A</v>
      </c>
      <c r="F2486" s="348" t="str">
        <f t="shared" si="953"/>
        <v>Aug</v>
      </c>
      <c r="G2486" s="347" t="s">
        <v>2479</v>
      </c>
      <c r="H2486" s="347" t="s">
        <v>424</v>
      </c>
      <c r="I2486" s="347" t="s">
        <v>2772</v>
      </c>
      <c r="J2486" s="438" t="s">
        <v>425</v>
      </c>
      <c r="K2486" s="350" t="s">
        <v>176</v>
      </c>
      <c r="L2486" s="300" t="s">
        <v>2167</v>
      </c>
      <c r="M2486" s="349" t="s">
        <v>426</v>
      </c>
      <c r="N2486" s="347" t="s">
        <v>427</v>
      </c>
      <c r="O2486" s="347" t="s">
        <v>599</v>
      </c>
      <c r="P2486" s="351">
        <v>36</v>
      </c>
      <c r="Q2486" s="351">
        <v>5</v>
      </c>
      <c r="R2486" s="352">
        <v>7.4999999999999997E-3</v>
      </c>
      <c r="S2486" s="347" t="s">
        <v>111</v>
      </c>
      <c r="T2486" s="347" t="s">
        <v>112</v>
      </c>
      <c r="U2486" s="347" t="s">
        <v>57</v>
      </c>
      <c r="V2486" s="353">
        <v>1288</v>
      </c>
      <c r="W2486" s="353">
        <f>22+1266</f>
        <v>1288</v>
      </c>
      <c r="X2486" s="354"/>
      <c r="Y2486" s="355">
        <f t="shared" si="974"/>
        <v>0</v>
      </c>
      <c r="Z2486" s="356">
        <f t="shared" si="975"/>
        <v>0</v>
      </c>
      <c r="AA2486" s="353">
        <f t="shared" si="954"/>
        <v>0</v>
      </c>
      <c r="AB2486" s="818">
        <v>7.4999999999999997E-3</v>
      </c>
      <c r="AC2486" s="353">
        <f t="shared" si="976"/>
        <v>0</v>
      </c>
      <c r="AD2486" s="209" t="s">
        <v>2354</v>
      </c>
      <c r="AE2486" s="210">
        <f t="shared" si="977"/>
        <v>0</v>
      </c>
      <c r="AF2486" s="210">
        <f t="shared" si="978"/>
        <v>0</v>
      </c>
      <c r="AG2486" s="211">
        <f t="shared" si="979"/>
        <v>0.14799999999999999</v>
      </c>
      <c r="AH2486" s="157">
        <f>(Z2486*AG2486)/1000</f>
        <v>0</v>
      </c>
      <c r="AI2486" s="152">
        <f t="shared" si="980"/>
        <v>46368</v>
      </c>
      <c r="AK2486" s="156" t="s">
        <v>691</v>
      </c>
      <c r="AL2486" s="574" t="s">
        <v>690</v>
      </c>
      <c r="AM2486" s="198">
        <f t="shared" si="972"/>
        <v>0</v>
      </c>
      <c r="AN2486" s="199">
        <f t="shared" si="951"/>
        <v>45883</v>
      </c>
      <c r="AO2486" s="159" t="s">
        <v>692</v>
      </c>
      <c r="AP2486" s="783" t="s">
        <v>622</v>
      </c>
      <c r="AQ2486" s="782">
        <v>12071839</v>
      </c>
      <c r="AR2486" s="782">
        <v>12080260</v>
      </c>
      <c r="AS2486" s="782">
        <v>12080259</v>
      </c>
      <c r="AT2486" s="782">
        <v>12094039</v>
      </c>
      <c r="AU2486" s="781"/>
      <c r="AV2486" s="782">
        <v>12062100</v>
      </c>
      <c r="AW2486" s="782">
        <v>12024404</v>
      </c>
      <c r="AX2486" s="796"/>
      <c r="AY2486" s="782">
        <v>12094024</v>
      </c>
      <c r="AZ2486" s="782"/>
      <c r="BA2486" s="781"/>
      <c r="BB2486" s="209">
        <v>23053184</v>
      </c>
    </row>
    <row r="2487" spans="1:54" ht="25" hidden="1" customHeight="1">
      <c r="B2487" s="385">
        <v>45883</v>
      </c>
      <c r="C2487" s="386">
        <v>45895</v>
      </c>
      <c r="D2487" s="185">
        <f t="shared" si="952"/>
        <v>2025</v>
      </c>
      <c r="E2487" s="386" t="e">
        <f>VLOOKUP($B2487,Week!$A$1:$C$1462,2,0)</f>
        <v>#N/A</v>
      </c>
      <c r="F2487" s="387" t="str">
        <f t="shared" si="953"/>
        <v>Aug</v>
      </c>
      <c r="G2487" s="388" t="s">
        <v>2383</v>
      </c>
      <c r="H2487" s="388" t="s">
        <v>600</v>
      </c>
      <c r="I2487" s="388" t="s">
        <v>2772</v>
      </c>
      <c r="J2487" s="389" t="s">
        <v>708</v>
      </c>
      <c r="K2487" s="390" t="s">
        <v>1652</v>
      </c>
      <c r="L2487" s="300" t="s">
        <v>2167</v>
      </c>
      <c r="M2487" s="389" t="s">
        <v>603</v>
      </c>
      <c r="N2487" s="637" t="s">
        <v>1404</v>
      </c>
      <c r="O2487" s="388" t="s">
        <v>602</v>
      </c>
      <c r="P2487" s="391">
        <v>8</v>
      </c>
      <c r="Q2487" s="391">
        <v>3</v>
      </c>
      <c r="R2487" s="392">
        <v>6.0000000000000001E-3</v>
      </c>
      <c r="S2487" s="388" t="s">
        <v>55</v>
      </c>
      <c r="T2487" s="388" t="s">
        <v>112</v>
      </c>
      <c r="U2487" s="601" t="s">
        <v>724</v>
      </c>
      <c r="V2487" s="393">
        <v>3500</v>
      </c>
      <c r="W2487" s="393"/>
      <c r="X2487" s="394">
        <f>(510+28224)/8</f>
        <v>3591.75</v>
      </c>
      <c r="Y2487" s="395">
        <f t="shared" si="974"/>
        <v>91.75</v>
      </c>
      <c r="Z2487" s="396">
        <f t="shared" si="975"/>
        <v>0</v>
      </c>
      <c r="AA2487" s="396">
        <f t="shared" si="954"/>
        <v>0</v>
      </c>
      <c r="AB2487" s="823">
        <v>5.8823E-2</v>
      </c>
      <c r="AC2487" s="393">
        <f t="shared" si="976"/>
        <v>0</v>
      </c>
      <c r="AD2487" s="636"/>
      <c r="AE2487" s="210">
        <f t="shared" si="977"/>
        <v>0</v>
      </c>
      <c r="AF2487" s="210">
        <f t="shared" si="978"/>
        <v>0</v>
      </c>
      <c r="AG2487" s="211">
        <f t="shared" si="979"/>
        <v>0.30199999999999999</v>
      </c>
      <c r="AH2487" s="157">
        <v>0.26621999999999996</v>
      </c>
      <c r="AI2487" s="152">
        <f t="shared" si="980"/>
        <v>28000</v>
      </c>
      <c r="AK2487" s="156" t="s">
        <v>691</v>
      </c>
      <c r="AL2487" s="212" t="s">
        <v>690</v>
      </c>
      <c r="AM2487" s="198">
        <f t="shared" si="972"/>
        <v>0</v>
      </c>
      <c r="AN2487" s="199">
        <f t="shared" si="951"/>
        <v>45883</v>
      </c>
      <c r="AO2487" s="159" t="s">
        <v>692</v>
      </c>
      <c r="AP2487" s="781" t="s">
        <v>642</v>
      </c>
      <c r="AQ2487" s="782">
        <v>12063755</v>
      </c>
      <c r="AR2487" s="782">
        <v>12061353</v>
      </c>
      <c r="AS2487" s="782">
        <v>12061354</v>
      </c>
      <c r="AT2487" s="782">
        <v>12091199</v>
      </c>
      <c r="AU2487" s="781"/>
      <c r="AV2487" s="782">
        <v>12091198</v>
      </c>
      <c r="AW2487" s="781"/>
      <c r="AX2487" s="781"/>
      <c r="AY2487" s="781"/>
      <c r="AZ2487" s="782"/>
      <c r="BA2487" s="781"/>
    </row>
    <row r="2488" spans="1:54" ht="25" hidden="1" customHeight="1">
      <c r="B2488" s="332">
        <v>45883</v>
      </c>
      <c r="C2488" s="333">
        <v>45911</v>
      </c>
      <c r="D2488" s="185">
        <f t="shared" si="952"/>
        <v>2025</v>
      </c>
      <c r="E2488" s="333" t="e">
        <f>VLOOKUP($B2488,Week!$A$1:$C$1462,2,0)</f>
        <v>#N/A</v>
      </c>
      <c r="F2488" s="334" t="str">
        <f t="shared" si="953"/>
        <v>Aug</v>
      </c>
      <c r="G2488" s="335" t="s">
        <v>2436</v>
      </c>
      <c r="H2488" s="335" t="s">
        <v>675</v>
      </c>
      <c r="I2488" s="335" t="s">
        <v>2772</v>
      </c>
      <c r="J2488" s="336" t="s">
        <v>709</v>
      </c>
      <c r="K2488" s="337" t="s">
        <v>1652</v>
      </c>
      <c r="L2488" s="300" t="s">
        <v>2167</v>
      </c>
      <c r="M2488" s="336" t="s">
        <v>682</v>
      </c>
      <c r="N2488" s="530" t="s">
        <v>712</v>
      </c>
      <c r="O2488" s="335" t="s">
        <v>602</v>
      </c>
      <c r="P2488" s="338">
        <v>8</v>
      </c>
      <c r="Q2488" s="338">
        <v>3</v>
      </c>
      <c r="R2488" s="339">
        <v>6.0000000000000001E-3</v>
      </c>
      <c r="S2488" s="335" t="s">
        <v>55</v>
      </c>
      <c r="T2488" s="335" t="s">
        <v>112</v>
      </c>
      <c r="U2488" s="340" t="s">
        <v>724</v>
      </c>
      <c r="V2488" s="341">
        <f>550</f>
        <v>550</v>
      </c>
      <c r="W2488" s="341"/>
      <c r="X2488" s="342">
        <f>4400/8</f>
        <v>550</v>
      </c>
      <c r="Y2488" s="343">
        <f t="shared" si="974"/>
        <v>0</v>
      </c>
      <c r="Z2488" s="344">
        <f t="shared" si="975"/>
        <v>0</v>
      </c>
      <c r="AA2488" s="344">
        <f t="shared" si="954"/>
        <v>0</v>
      </c>
      <c r="AB2488" s="817">
        <v>5.8823E-2</v>
      </c>
      <c r="AC2488" s="341">
        <f t="shared" si="976"/>
        <v>0</v>
      </c>
      <c r="AD2488" s="443"/>
      <c r="AE2488" s="210">
        <f t="shared" si="977"/>
        <v>0</v>
      </c>
      <c r="AF2488" s="210">
        <f t="shared" si="978"/>
        <v>0</v>
      </c>
      <c r="AG2488" s="211">
        <f t="shared" si="979"/>
        <v>0.30199999999999999</v>
      </c>
      <c r="AH2488" s="157">
        <v>0.26621999999999996</v>
      </c>
      <c r="AI2488" s="152">
        <f t="shared" si="980"/>
        <v>4400</v>
      </c>
      <c r="AK2488" s="156" t="s">
        <v>691</v>
      </c>
      <c r="AL2488" s="574" t="s">
        <v>690</v>
      </c>
      <c r="AM2488" s="198">
        <f t="shared" si="972"/>
        <v>0</v>
      </c>
      <c r="AN2488" s="199">
        <f t="shared" si="951"/>
        <v>45883</v>
      </c>
      <c r="AO2488" s="159" t="s">
        <v>692</v>
      </c>
      <c r="AP2488" s="781" t="s">
        <v>642</v>
      </c>
      <c r="AQ2488" s="782">
        <v>12063755</v>
      </c>
      <c r="AR2488" s="782">
        <v>12061353</v>
      </c>
      <c r="AS2488" s="782">
        <v>12061354</v>
      </c>
      <c r="AT2488" s="782">
        <v>12090030</v>
      </c>
      <c r="AU2488" s="781"/>
      <c r="AV2488" s="782">
        <v>12089992</v>
      </c>
      <c r="AW2488" s="781"/>
      <c r="AX2488" s="781"/>
      <c r="AY2488" s="781"/>
      <c r="AZ2488" s="782"/>
      <c r="BA2488" s="781"/>
      <c r="BB2488" s="209">
        <v>23099860</v>
      </c>
    </row>
    <row r="2489" spans="1:54" ht="24.65" hidden="1" customHeight="1">
      <c r="A2489" s="142" t="s">
        <v>120</v>
      </c>
      <c r="B2489" s="383">
        <v>45884</v>
      </c>
      <c r="C2489" s="224">
        <v>45889</v>
      </c>
      <c r="D2489" s="185">
        <f t="shared" si="952"/>
        <v>2025</v>
      </c>
      <c r="E2489" s="224" t="e">
        <f>VLOOKUP($B2489,Week!$A$1:$C$1462,2,0)</f>
        <v>#N/A</v>
      </c>
      <c r="F2489" s="226" t="str">
        <f t="shared" si="953"/>
        <v>Aug</v>
      </c>
      <c r="G2489" s="225" t="s">
        <v>2451</v>
      </c>
      <c r="H2489" s="225" t="s">
        <v>1259</v>
      </c>
      <c r="I2489" s="225" t="s">
        <v>2772</v>
      </c>
      <c r="J2489" s="227" t="s">
        <v>512</v>
      </c>
      <c r="K2489" s="228" t="s">
        <v>85</v>
      </c>
      <c r="L2489" s="390" t="s">
        <v>2166</v>
      </c>
      <c r="M2489" s="227" t="s">
        <v>165</v>
      </c>
      <c r="N2489" s="225" t="s">
        <v>700</v>
      </c>
      <c r="O2489" s="225" t="s">
        <v>287</v>
      </c>
      <c r="P2489" s="229">
        <v>40</v>
      </c>
      <c r="Q2489" s="229">
        <v>12</v>
      </c>
      <c r="R2489" s="230">
        <v>8.1300000000000001E-3</v>
      </c>
      <c r="S2489" s="225" t="s">
        <v>40</v>
      </c>
      <c r="T2489" s="225" t="s">
        <v>112</v>
      </c>
      <c r="U2489" s="225" t="s">
        <v>89</v>
      </c>
      <c r="V2489" s="231">
        <f>1624-561-560</f>
        <v>503</v>
      </c>
      <c r="W2489" s="231">
        <v>503</v>
      </c>
      <c r="X2489" s="232"/>
      <c r="Y2489" s="233">
        <f t="shared" si="974"/>
        <v>0</v>
      </c>
      <c r="Z2489" s="234">
        <f t="shared" si="975"/>
        <v>0</v>
      </c>
      <c r="AA2489" s="234">
        <f t="shared" si="954"/>
        <v>0</v>
      </c>
      <c r="AB2489" s="822">
        <v>2</v>
      </c>
      <c r="AC2489" s="231">
        <f t="shared" si="976"/>
        <v>0</v>
      </c>
      <c r="AD2489" s="209"/>
      <c r="AE2489" s="210">
        <f t="shared" si="977"/>
        <v>0</v>
      </c>
      <c r="AF2489" s="210">
        <f t="shared" si="978"/>
        <v>0</v>
      </c>
      <c r="AG2489" s="211">
        <f t="shared" si="979"/>
        <v>0.154</v>
      </c>
      <c r="AH2489" s="157">
        <f t="shared" ref="AH2489:AH2495" si="981">(Z2489*AG2489)/1000</f>
        <v>0</v>
      </c>
      <c r="AI2489" s="152">
        <f t="shared" si="980"/>
        <v>20120</v>
      </c>
      <c r="AK2489" s="156" t="s">
        <v>691</v>
      </c>
      <c r="AL2489" s="156" t="s">
        <v>689</v>
      </c>
      <c r="AM2489" s="198">
        <f t="shared" ref="AM2489:AM2520" si="982">AG2489*Z2489</f>
        <v>0</v>
      </c>
      <c r="AN2489" s="199">
        <f t="shared" si="951"/>
        <v>45884</v>
      </c>
      <c r="AO2489" s="159" t="s">
        <v>692</v>
      </c>
      <c r="AP2489" s="781"/>
      <c r="AQ2489" s="782">
        <v>12071839</v>
      </c>
      <c r="AR2489" s="782">
        <v>12019692</v>
      </c>
      <c r="AS2489" s="782"/>
      <c r="AT2489" s="782">
        <v>12056457</v>
      </c>
      <c r="AU2489" s="782"/>
      <c r="AV2489" s="782">
        <v>12056565</v>
      </c>
      <c r="AW2489" s="782">
        <v>12034747</v>
      </c>
      <c r="AX2489" s="782" t="s">
        <v>398</v>
      </c>
      <c r="AY2489" s="782" t="s">
        <v>513</v>
      </c>
      <c r="AZ2489" s="782"/>
      <c r="BA2489" s="781"/>
      <c r="BB2489" s="209">
        <v>23053184</v>
      </c>
    </row>
    <row r="2490" spans="1:54" ht="25.15" hidden="1" customHeight="1">
      <c r="B2490" s="345">
        <v>45884</v>
      </c>
      <c r="C2490" s="346">
        <v>45895</v>
      </c>
      <c r="D2490" s="185">
        <f t="shared" si="952"/>
        <v>2025</v>
      </c>
      <c r="E2490" s="347" t="e">
        <f>VLOOKUP($B2490,Week!$A$1:$C$1462,2,0)</f>
        <v>#N/A</v>
      </c>
      <c r="F2490" s="348" t="str">
        <f t="shared" si="953"/>
        <v>Aug</v>
      </c>
      <c r="G2490" s="347" t="s">
        <v>2480</v>
      </c>
      <c r="H2490" s="347" t="s">
        <v>424</v>
      </c>
      <c r="I2490" s="347" t="s">
        <v>2772</v>
      </c>
      <c r="J2490" s="438" t="s">
        <v>425</v>
      </c>
      <c r="K2490" s="350" t="s">
        <v>176</v>
      </c>
      <c r="L2490" s="300" t="s">
        <v>2167</v>
      </c>
      <c r="M2490" s="349" t="s">
        <v>426</v>
      </c>
      <c r="N2490" s="347" t="s">
        <v>427</v>
      </c>
      <c r="O2490" s="347" t="s">
        <v>599</v>
      </c>
      <c r="P2490" s="351">
        <v>36</v>
      </c>
      <c r="Q2490" s="351">
        <v>5</v>
      </c>
      <c r="R2490" s="352">
        <v>7.4999999999999997E-3</v>
      </c>
      <c r="S2490" s="347" t="s">
        <v>111</v>
      </c>
      <c r="T2490" s="347" t="s">
        <v>112</v>
      </c>
      <c r="U2490" s="347" t="s">
        <v>57</v>
      </c>
      <c r="V2490" s="353">
        <v>1288</v>
      </c>
      <c r="W2490" s="353">
        <f>37+1251</f>
        <v>1288</v>
      </c>
      <c r="X2490" s="354"/>
      <c r="Y2490" s="355">
        <f t="shared" si="974"/>
        <v>0</v>
      </c>
      <c r="Z2490" s="356">
        <f t="shared" si="975"/>
        <v>0</v>
      </c>
      <c r="AA2490" s="353">
        <f t="shared" si="954"/>
        <v>0</v>
      </c>
      <c r="AB2490" s="818">
        <v>7.4999999999999997E-3</v>
      </c>
      <c r="AC2490" s="353">
        <f t="shared" si="976"/>
        <v>0</v>
      </c>
      <c r="AD2490" s="307" t="s">
        <v>2449</v>
      </c>
      <c r="AE2490" s="210">
        <f t="shared" si="977"/>
        <v>0</v>
      </c>
      <c r="AF2490" s="210">
        <f t="shared" si="978"/>
        <v>0</v>
      </c>
      <c r="AG2490" s="211">
        <f t="shared" si="979"/>
        <v>0.14799999999999999</v>
      </c>
      <c r="AH2490" s="157">
        <f t="shared" si="981"/>
        <v>0</v>
      </c>
      <c r="AI2490" s="152">
        <f t="shared" si="980"/>
        <v>46368</v>
      </c>
      <c r="AK2490" s="156" t="s">
        <v>691</v>
      </c>
      <c r="AL2490" s="574" t="s">
        <v>690</v>
      </c>
      <c r="AM2490" s="198">
        <f t="shared" si="982"/>
        <v>0</v>
      </c>
      <c r="AN2490" s="199">
        <f t="shared" si="951"/>
        <v>45884</v>
      </c>
      <c r="AO2490" s="159" t="s">
        <v>692</v>
      </c>
      <c r="AP2490" s="783" t="s">
        <v>609</v>
      </c>
      <c r="AQ2490" s="782">
        <v>12071839</v>
      </c>
      <c r="AR2490" s="782">
        <v>12080260</v>
      </c>
      <c r="AS2490" s="782">
        <v>12080259</v>
      </c>
      <c r="AT2490" s="782">
        <v>12096006</v>
      </c>
      <c r="AU2490" s="782"/>
      <c r="AV2490" s="782">
        <v>12096007</v>
      </c>
      <c r="AW2490" s="782">
        <v>12024404</v>
      </c>
      <c r="AX2490" s="781"/>
      <c r="AY2490" s="782">
        <v>12096022</v>
      </c>
      <c r="AZ2490" s="782"/>
      <c r="BA2490" s="781"/>
      <c r="BB2490" s="209">
        <v>23053185</v>
      </c>
    </row>
    <row r="2491" spans="1:54" ht="25.15" hidden="1" customHeight="1">
      <c r="B2491" s="345">
        <v>45884</v>
      </c>
      <c r="C2491" s="346">
        <v>45895</v>
      </c>
      <c r="D2491" s="185">
        <f t="shared" si="952"/>
        <v>2025</v>
      </c>
      <c r="E2491" s="347" t="e">
        <f>VLOOKUP($B2491,Week!$A$1:$C$1462,2,0)</f>
        <v>#N/A</v>
      </c>
      <c r="F2491" s="348" t="str">
        <f t="shared" si="953"/>
        <v>Aug</v>
      </c>
      <c r="G2491" s="347" t="s">
        <v>2481</v>
      </c>
      <c r="H2491" s="347" t="s">
        <v>424</v>
      </c>
      <c r="I2491" s="347" t="s">
        <v>2772</v>
      </c>
      <c r="J2491" s="438" t="s">
        <v>425</v>
      </c>
      <c r="K2491" s="350" t="s">
        <v>176</v>
      </c>
      <c r="L2491" s="300" t="s">
        <v>2167</v>
      </c>
      <c r="M2491" s="349" t="s">
        <v>426</v>
      </c>
      <c r="N2491" s="347" t="s">
        <v>427</v>
      </c>
      <c r="O2491" s="347" t="s">
        <v>599</v>
      </c>
      <c r="P2491" s="351">
        <v>36</v>
      </c>
      <c r="Q2491" s="351">
        <v>5</v>
      </c>
      <c r="R2491" s="352">
        <v>7.4999999999999997E-3</v>
      </c>
      <c r="S2491" s="347" t="s">
        <v>111</v>
      </c>
      <c r="T2491" s="347" t="s">
        <v>112</v>
      </c>
      <c r="U2491" s="347" t="s">
        <v>57</v>
      </c>
      <c r="V2491" s="353">
        <v>1288</v>
      </c>
      <c r="W2491" s="353">
        <f>2525-1251</f>
        <v>1274</v>
      </c>
      <c r="X2491" s="354">
        <f>(504)/36</f>
        <v>14</v>
      </c>
      <c r="Y2491" s="355">
        <f t="shared" si="974"/>
        <v>0</v>
      </c>
      <c r="Z2491" s="356">
        <f t="shared" si="975"/>
        <v>0</v>
      </c>
      <c r="AA2491" s="353">
        <f t="shared" si="954"/>
        <v>0</v>
      </c>
      <c r="AB2491" s="818">
        <v>7.4999999999999997E-3</v>
      </c>
      <c r="AC2491" s="353">
        <f t="shared" si="976"/>
        <v>0</v>
      </c>
      <c r="AD2491" s="307" t="s">
        <v>2449</v>
      </c>
      <c r="AE2491" s="210">
        <f t="shared" si="977"/>
        <v>0</v>
      </c>
      <c r="AF2491" s="210">
        <f t="shared" si="978"/>
        <v>0</v>
      </c>
      <c r="AG2491" s="211">
        <f t="shared" si="979"/>
        <v>0.14799999999999999</v>
      </c>
      <c r="AH2491" s="157">
        <f t="shared" si="981"/>
        <v>0</v>
      </c>
      <c r="AI2491" s="152">
        <f t="shared" si="980"/>
        <v>46368</v>
      </c>
      <c r="AK2491" s="156" t="s">
        <v>691</v>
      </c>
      <c r="AL2491" s="574" t="s">
        <v>690</v>
      </c>
      <c r="AM2491" s="198">
        <f t="shared" si="982"/>
        <v>0</v>
      </c>
      <c r="AN2491" s="199">
        <f t="shared" si="951"/>
        <v>45884</v>
      </c>
      <c r="AO2491" s="159" t="s">
        <v>692</v>
      </c>
      <c r="AP2491" s="783" t="s">
        <v>609</v>
      </c>
      <c r="AQ2491" s="782">
        <v>12071839</v>
      </c>
      <c r="AR2491" s="782">
        <v>12080260</v>
      </c>
      <c r="AS2491" s="782">
        <v>12080259</v>
      </c>
      <c r="AT2491" s="782">
        <v>12096006</v>
      </c>
      <c r="AU2491" s="782"/>
      <c r="AV2491" s="782">
        <v>12096007</v>
      </c>
      <c r="AW2491" s="782">
        <v>12024404</v>
      </c>
      <c r="AX2491" s="781"/>
      <c r="AY2491" s="782">
        <v>12096022</v>
      </c>
      <c r="AZ2491" s="782"/>
      <c r="BA2491" s="781"/>
      <c r="BB2491" s="209">
        <v>23053185</v>
      </c>
    </row>
    <row r="2492" spans="1:54" ht="25" hidden="1" customHeight="1">
      <c r="A2492" s="142" t="s">
        <v>120</v>
      </c>
      <c r="B2492" s="546">
        <v>45885</v>
      </c>
      <c r="C2492" s="547">
        <v>45902</v>
      </c>
      <c r="D2492" s="185">
        <f t="shared" si="952"/>
        <v>2025</v>
      </c>
      <c r="E2492" s="547" t="e">
        <f>VLOOKUP($B2492,Week!$A$1:$C$1462,2,0)</f>
        <v>#N/A</v>
      </c>
      <c r="F2492" s="548" t="str">
        <f t="shared" si="953"/>
        <v>Aug</v>
      </c>
      <c r="G2492" s="549" t="s">
        <v>2350</v>
      </c>
      <c r="H2492" s="549" t="s">
        <v>431</v>
      </c>
      <c r="I2492" s="549" t="s">
        <v>2772</v>
      </c>
      <c r="J2492" s="550" t="s">
        <v>432</v>
      </c>
      <c r="K2492" s="551" t="s">
        <v>85</v>
      </c>
      <c r="L2492" s="390" t="s">
        <v>2166</v>
      </c>
      <c r="M2492" s="550" t="s">
        <v>86</v>
      </c>
      <c r="N2492" s="549" t="s">
        <v>550</v>
      </c>
      <c r="O2492" s="549" t="s">
        <v>548</v>
      </c>
      <c r="P2492" s="552">
        <v>10</v>
      </c>
      <c r="Q2492" s="552">
        <v>50</v>
      </c>
      <c r="R2492" s="553">
        <v>8.1300000000000001E-3</v>
      </c>
      <c r="S2492" s="549" t="s">
        <v>40</v>
      </c>
      <c r="T2492" s="549" t="s">
        <v>112</v>
      </c>
      <c r="U2492" s="549" t="s">
        <v>89</v>
      </c>
      <c r="V2492" s="554">
        <f>525</f>
        <v>525</v>
      </c>
      <c r="W2492" s="554">
        <f>8+517</f>
        <v>525</v>
      </c>
      <c r="X2492" s="555"/>
      <c r="Y2492" s="556">
        <f t="shared" si="974"/>
        <v>0</v>
      </c>
      <c r="Z2492" s="557">
        <f t="shared" si="975"/>
        <v>0</v>
      </c>
      <c r="AA2492" s="557">
        <f t="shared" si="954"/>
        <v>0</v>
      </c>
      <c r="AB2492" s="833">
        <v>6</v>
      </c>
      <c r="AC2492" s="554">
        <f t="shared" si="976"/>
        <v>0</v>
      </c>
      <c r="AD2492" s="209"/>
      <c r="AE2492" s="210">
        <f t="shared" si="977"/>
        <v>0</v>
      </c>
      <c r="AF2492" s="210">
        <f t="shared" si="978"/>
        <v>0</v>
      </c>
      <c r="AG2492" s="211">
        <f t="shared" si="979"/>
        <v>0.63</v>
      </c>
      <c r="AH2492" s="157">
        <f t="shared" si="981"/>
        <v>0</v>
      </c>
      <c r="AI2492" s="152">
        <f t="shared" si="980"/>
        <v>5250</v>
      </c>
      <c r="AK2492" s="156" t="s">
        <v>691</v>
      </c>
      <c r="AL2492" s="156" t="s">
        <v>689</v>
      </c>
      <c r="AM2492" s="198">
        <f t="shared" si="982"/>
        <v>0</v>
      </c>
      <c r="AN2492" s="199">
        <f t="shared" si="951"/>
        <v>45885</v>
      </c>
      <c r="AO2492" s="159" t="s">
        <v>692</v>
      </c>
      <c r="AP2492" s="783" t="s">
        <v>618</v>
      </c>
      <c r="AQ2492" s="782" t="s">
        <v>549</v>
      </c>
      <c r="AR2492" s="796" t="s">
        <v>529</v>
      </c>
      <c r="AS2492" s="782"/>
      <c r="AT2492" s="796" t="s">
        <v>551</v>
      </c>
      <c r="AU2492" s="781"/>
      <c r="AV2492" s="796" t="s">
        <v>552</v>
      </c>
      <c r="AW2492" s="782"/>
      <c r="AX2492" s="782" t="s">
        <v>93</v>
      </c>
      <c r="AY2492" s="782"/>
      <c r="AZ2492" s="782"/>
      <c r="BA2492" s="781"/>
    </row>
    <row r="2493" spans="1:54" ht="24.65" hidden="1" customHeight="1">
      <c r="B2493" s="308">
        <v>45885</v>
      </c>
      <c r="C2493" s="309">
        <v>45904</v>
      </c>
      <c r="D2493" s="185">
        <f t="shared" si="952"/>
        <v>2025</v>
      </c>
      <c r="E2493" s="309" t="e">
        <f>VLOOKUP($B2493,Week!$A$1:$C$1462,2,0)</f>
        <v>#N/A</v>
      </c>
      <c r="F2493" s="310" t="str">
        <f t="shared" si="953"/>
        <v>Aug</v>
      </c>
      <c r="G2493" s="311" t="s">
        <v>2415</v>
      </c>
      <c r="H2493" s="311" t="s">
        <v>311</v>
      </c>
      <c r="I2493" s="311" t="s">
        <v>2772</v>
      </c>
      <c r="J2493" s="312" t="s">
        <v>738</v>
      </c>
      <c r="K2493" s="313" t="s">
        <v>107</v>
      </c>
      <c r="L2493" s="300" t="s">
        <v>2167</v>
      </c>
      <c r="M2493" s="312" t="s">
        <v>313</v>
      </c>
      <c r="N2493" s="311" t="s">
        <v>314</v>
      </c>
      <c r="O2493" s="311" t="s">
        <v>110</v>
      </c>
      <c r="P2493" s="314">
        <v>36</v>
      </c>
      <c r="Q2493" s="314">
        <v>5</v>
      </c>
      <c r="R2493" s="315">
        <v>7.4999999999999997E-3</v>
      </c>
      <c r="S2493" s="311" t="s">
        <v>111</v>
      </c>
      <c r="T2493" s="311" t="s">
        <v>112</v>
      </c>
      <c r="U2493" s="311" t="s">
        <v>57</v>
      </c>
      <c r="V2493" s="316">
        <v>792</v>
      </c>
      <c r="W2493" s="316">
        <f>11+148+633</f>
        <v>792</v>
      </c>
      <c r="X2493" s="317"/>
      <c r="Y2493" s="318">
        <f t="shared" si="974"/>
        <v>0</v>
      </c>
      <c r="Z2493" s="319">
        <f t="shared" si="975"/>
        <v>0</v>
      </c>
      <c r="AA2493" s="319">
        <f t="shared" si="954"/>
        <v>0</v>
      </c>
      <c r="AB2493" s="815">
        <v>7.4999999999999997E-3</v>
      </c>
      <c r="AC2493" s="316">
        <f t="shared" si="976"/>
        <v>0</v>
      </c>
      <c r="AD2493" s="515"/>
      <c r="AE2493" s="210">
        <f t="shared" si="977"/>
        <v>0</v>
      </c>
      <c r="AF2493" s="210">
        <f t="shared" si="978"/>
        <v>0</v>
      </c>
      <c r="AG2493" s="211">
        <f t="shared" si="979"/>
        <v>0.308</v>
      </c>
      <c r="AH2493" s="157">
        <f t="shared" si="981"/>
        <v>0</v>
      </c>
      <c r="AI2493" s="152">
        <f t="shared" si="980"/>
        <v>28512</v>
      </c>
      <c r="AK2493" s="156" t="s">
        <v>691</v>
      </c>
      <c r="AL2493" s="212" t="s">
        <v>690</v>
      </c>
      <c r="AM2493" s="198">
        <f t="shared" si="982"/>
        <v>0</v>
      </c>
      <c r="AN2493" s="199">
        <f t="shared" si="951"/>
        <v>45885</v>
      </c>
      <c r="AO2493" s="159" t="s">
        <v>692</v>
      </c>
      <c r="AP2493" s="783" t="s">
        <v>644</v>
      </c>
      <c r="AQ2493" s="782">
        <v>12063755</v>
      </c>
      <c r="AR2493" s="782">
        <v>12061353</v>
      </c>
      <c r="AS2493" s="782">
        <v>12061354</v>
      </c>
      <c r="AT2493" s="782">
        <v>12062266</v>
      </c>
      <c r="AU2493" s="781"/>
      <c r="AV2493" s="782">
        <v>12088159</v>
      </c>
      <c r="AW2493" s="782">
        <v>12088207</v>
      </c>
      <c r="AX2493" s="782"/>
      <c r="AY2493" s="782">
        <v>12094237</v>
      </c>
      <c r="AZ2493" s="782"/>
      <c r="BA2493" s="781"/>
      <c r="BB2493" s="209">
        <v>23053185</v>
      </c>
    </row>
    <row r="2494" spans="1:54" ht="24.65" hidden="1" customHeight="1">
      <c r="B2494" s="308">
        <v>45885</v>
      </c>
      <c r="C2494" s="309">
        <v>45904</v>
      </c>
      <c r="D2494" s="185">
        <f t="shared" si="952"/>
        <v>2025</v>
      </c>
      <c r="E2494" s="309" t="e">
        <f>VLOOKUP($B2494,Week!$A$1:$C$1462,2,0)</f>
        <v>#N/A</v>
      </c>
      <c r="F2494" s="310" t="str">
        <f t="shared" si="953"/>
        <v>Aug</v>
      </c>
      <c r="G2494" s="311" t="s">
        <v>2416</v>
      </c>
      <c r="H2494" s="311" t="s">
        <v>311</v>
      </c>
      <c r="I2494" s="311" t="s">
        <v>2772</v>
      </c>
      <c r="J2494" s="312" t="s">
        <v>738</v>
      </c>
      <c r="K2494" s="313" t="s">
        <v>107</v>
      </c>
      <c r="L2494" s="300" t="s">
        <v>2167</v>
      </c>
      <c r="M2494" s="312" t="s">
        <v>313</v>
      </c>
      <c r="N2494" s="311" t="s">
        <v>314</v>
      </c>
      <c r="O2494" s="311" t="s">
        <v>110</v>
      </c>
      <c r="P2494" s="314">
        <v>36</v>
      </c>
      <c r="Q2494" s="314">
        <v>5</v>
      </c>
      <c r="R2494" s="315">
        <v>7.4999999999999997E-3</v>
      </c>
      <c r="S2494" s="311" t="s">
        <v>111</v>
      </c>
      <c r="T2494" s="311" t="s">
        <v>112</v>
      </c>
      <c r="U2494" s="311" t="s">
        <v>57</v>
      </c>
      <c r="V2494" s="316">
        <v>792</v>
      </c>
      <c r="W2494" s="316">
        <f>1425-633</f>
        <v>792</v>
      </c>
      <c r="X2494" s="317"/>
      <c r="Y2494" s="318">
        <f t="shared" si="974"/>
        <v>0</v>
      </c>
      <c r="Z2494" s="319">
        <f t="shared" si="975"/>
        <v>0</v>
      </c>
      <c r="AA2494" s="319">
        <f t="shared" si="954"/>
        <v>0</v>
      </c>
      <c r="AB2494" s="815">
        <v>7.4999999999999997E-3</v>
      </c>
      <c r="AC2494" s="316">
        <f t="shared" si="976"/>
        <v>0</v>
      </c>
      <c r="AD2494" s="515"/>
      <c r="AE2494" s="210">
        <f t="shared" si="977"/>
        <v>0</v>
      </c>
      <c r="AF2494" s="210">
        <f t="shared" si="978"/>
        <v>0</v>
      </c>
      <c r="AG2494" s="211">
        <f t="shared" si="979"/>
        <v>0.308</v>
      </c>
      <c r="AH2494" s="157">
        <f t="shared" si="981"/>
        <v>0</v>
      </c>
      <c r="AI2494" s="152">
        <f t="shared" si="980"/>
        <v>28512</v>
      </c>
      <c r="AK2494" s="156" t="s">
        <v>691</v>
      </c>
      <c r="AL2494" s="212" t="s">
        <v>690</v>
      </c>
      <c r="AM2494" s="198">
        <f t="shared" si="982"/>
        <v>0</v>
      </c>
      <c r="AN2494" s="199">
        <f t="shared" ref="AN2494:AN2556" si="983">B2494</f>
        <v>45885</v>
      </c>
      <c r="AO2494" s="159" t="s">
        <v>692</v>
      </c>
      <c r="AP2494" s="783" t="s">
        <v>644</v>
      </c>
      <c r="AQ2494" s="782">
        <v>12063755</v>
      </c>
      <c r="AR2494" s="782">
        <v>12061353</v>
      </c>
      <c r="AS2494" s="782">
        <v>12061354</v>
      </c>
      <c r="AT2494" s="782">
        <v>12062266</v>
      </c>
      <c r="AU2494" s="781"/>
      <c r="AV2494" s="782">
        <v>12088159</v>
      </c>
      <c r="AW2494" s="782">
        <v>12088207</v>
      </c>
      <c r="AX2494" s="782"/>
      <c r="AY2494" s="782">
        <v>12094237</v>
      </c>
      <c r="AZ2494" s="782"/>
      <c r="BA2494" s="781"/>
      <c r="BB2494" s="209">
        <v>23053185</v>
      </c>
    </row>
    <row r="2495" spans="1:54" ht="25" hidden="1" customHeight="1">
      <c r="B2495" s="498">
        <v>45885</v>
      </c>
      <c r="C2495" s="499">
        <v>45904</v>
      </c>
      <c r="D2495" s="185">
        <f t="shared" si="952"/>
        <v>2025</v>
      </c>
      <c r="E2495" s="499" t="e">
        <f>VLOOKUP($B2495,Week!$A$1:$C$1462,2,0)</f>
        <v>#N/A</v>
      </c>
      <c r="F2495" s="500" t="str">
        <f t="shared" si="953"/>
        <v>Aug</v>
      </c>
      <c r="G2495" s="501" t="s">
        <v>2402</v>
      </c>
      <c r="H2495" s="501" t="s">
        <v>311</v>
      </c>
      <c r="I2495" s="501" t="s">
        <v>2772</v>
      </c>
      <c r="J2495" s="502" t="s">
        <v>738</v>
      </c>
      <c r="K2495" s="503" t="s">
        <v>1646</v>
      </c>
      <c r="L2495" s="300" t="s">
        <v>2167</v>
      </c>
      <c r="M2495" s="502" t="s">
        <v>654</v>
      </c>
      <c r="N2495" s="501" t="s">
        <v>726</v>
      </c>
      <c r="O2495" s="501" t="s">
        <v>655</v>
      </c>
      <c r="P2495" s="504">
        <v>24</v>
      </c>
      <c r="Q2495" s="504">
        <v>5</v>
      </c>
      <c r="R2495" s="505">
        <v>7.4999999999999997E-3</v>
      </c>
      <c r="S2495" s="501" t="s">
        <v>40</v>
      </c>
      <c r="T2495" s="501" t="s">
        <v>112</v>
      </c>
      <c r="U2495" s="506" t="s">
        <v>1894</v>
      </c>
      <c r="V2495" s="507">
        <v>924</v>
      </c>
      <c r="W2495" s="507">
        <f>20+904</f>
        <v>924</v>
      </c>
      <c r="X2495" s="508"/>
      <c r="Y2495" s="509">
        <f t="shared" si="974"/>
        <v>0</v>
      </c>
      <c r="Z2495" s="510">
        <f t="shared" si="975"/>
        <v>0</v>
      </c>
      <c r="AA2495" s="510">
        <f t="shared" si="954"/>
        <v>0</v>
      </c>
      <c r="AB2495" s="830">
        <v>3.8699999999999998E-2</v>
      </c>
      <c r="AC2495" s="507">
        <f t="shared" si="976"/>
        <v>0</v>
      </c>
      <c r="AD2495" s="209"/>
      <c r="AE2495" s="210">
        <f t="shared" si="977"/>
        <v>0</v>
      </c>
      <c r="AF2495" s="210">
        <f t="shared" si="978"/>
        <v>0</v>
      </c>
      <c r="AG2495" s="211">
        <f t="shared" si="979"/>
        <v>0.307</v>
      </c>
      <c r="AH2495" s="157">
        <f t="shared" si="981"/>
        <v>0</v>
      </c>
      <c r="AI2495" s="152">
        <f t="shared" si="980"/>
        <v>22176</v>
      </c>
      <c r="AK2495" s="156" t="s">
        <v>691</v>
      </c>
      <c r="AL2495" s="212" t="s">
        <v>690</v>
      </c>
      <c r="AM2495" s="198">
        <f t="shared" si="982"/>
        <v>0</v>
      </c>
      <c r="AN2495" s="199">
        <f t="shared" si="983"/>
        <v>45885</v>
      </c>
      <c r="AO2495" s="159" t="s">
        <v>692</v>
      </c>
      <c r="AP2495" s="781" t="s">
        <v>642</v>
      </c>
      <c r="AQ2495" s="782">
        <v>12063755</v>
      </c>
      <c r="AR2495" s="782">
        <v>12061353</v>
      </c>
      <c r="AS2495" s="782">
        <v>12061354</v>
      </c>
      <c r="AT2495" s="782">
        <v>12089274</v>
      </c>
      <c r="AU2495" s="781"/>
      <c r="AV2495" s="782">
        <v>12089275</v>
      </c>
      <c r="AW2495" s="782">
        <v>12068154</v>
      </c>
      <c r="AX2495" s="782"/>
      <c r="AY2495" s="782">
        <v>12094140</v>
      </c>
      <c r="AZ2495" s="782"/>
      <c r="BA2495" s="781"/>
      <c r="BB2495" s="209">
        <v>23105470</v>
      </c>
    </row>
    <row r="2496" spans="1:54" ht="25" hidden="1" customHeight="1">
      <c r="B2496" s="332">
        <v>45885</v>
      </c>
      <c r="C2496" s="333">
        <v>45911</v>
      </c>
      <c r="D2496" s="185">
        <f t="shared" si="952"/>
        <v>2025</v>
      </c>
      <c r="E2496" s="333" t="e">
        <f>VLOOKUP($B2496,Week!$A$1:$C$1462,2,0)</f>
        <v>#N/A</v>
      </c>
      <c r="F2496" s="334" t="str">
        <f t="shared" si="953"/>
        <v>Aug</v>
      </c>
      <c r="G2496" s="335" t="s">
        <v>2436</v>
      </c>
      <c r="H2496" s="335" t="s">
        <v>675</v>
      </c>
      <c r="I2496" s="335" t="s">
        <v>2772</v>
      </c>
      <c r="J2496" s="336" t="s">
        <v>709</v>
      </c>
      <c r="K2496" s="337" t="s">
        <v>1649</v>
      </c>
      <c r="L2496" s="300" t="s">
        <v>2167</v>
      </c>
      <c r="M2496" s="336" t="s">
        <v>603</v>
      </c>
      <c r="N2496" s="530" t="s">
        <v>711</v>
      </c>
      <c r="O2496" s="335" t="s">
        <v>602</v>
      </c>
      <c r="P2496" s="338">
        <v>8</v>
      </c>
      <c r="Q2496" s="338">
        <v>3</v>
      </c>
      <c r="R2496" s="339">
        <v>6.0000000000000001E-3</v>
      </c>
      <c r="S2496" s="335" t="s">
        <v>55</v>
      </c>
      <c r="T2496" s="335" t="s">
        <v>112</v>
      </c>
      <c r="U2496" s="340" t="s">
        <v>1894</v>
      </c>
      <c r="V2496" s="341">
        <f>650</f>
        <v>650</v>
      </c>
      <c r="W2496" s="341"/>
      <c r="X2496" s="342">
        <f>(5200)/8</f>
        <v>650</v>
      </c>
      <c r="Y2496" s="343">
        <f t="shared" si="974"/>
        <v>0</v>
      </c>
      <c r="Z2496" s="344">
        <f t="shared" si="975"/>
        <v>0</v>
      </c>
      <c r="AA2496" s="344">
        <f t="shared" si="954"/>
        <v>0</v>
      </c>
      <c r="AB2496" s="817">
        <v>3.8699999999999998E-2</v>
      </c>
      <c r="AC2496" s="341">
        <f t="shared" si="976"/>
        <v>0</v>
      </c>
      <c r="AD2496" s="443" t="s">
        <v>2397</v>
      </c>
      <c r="AE2496" s="210">
        <f t="shared" si="977"/>
        <v>0</v>
      </c>
      <c r="AF2496" s="210">
        <f t="shared" si="978"/>
        <v>0</v>
      </c>
      <c r="AG2496" s="211">
        <f t="shared" si="979"/>
        <v>0.30199999999999999</v>
      </c>
      <c r="AH2496" s="157">
        <v>0.26621999999999996</v>
      </c>
      <c r="AI2496" s="152">
        <f t="shared" si="980"/>
        <v>5200</v>
      </c>
      <c r="AK2496" s="156" t="s">
        <v>691</v>
      </c>
      <c r="AL2496" s="212" t="s">
        <v>690</v>
      </c>
      <c r="AM2496" s="198">
        <f t="shared" si="982"/>
        <v>0</v>
      </c>
      <c r="AN2496" s="199">
        <f t="shared" si="983"/>
        <v>45885</v>
      </c>
      <c r="AO2496" s="159" t="s">
        <v>692</v>
      </c>
      <c r="AP2496" s="781" t="s">
        <v>642</v>
      </c>
      <c r="AQ2496" s="782">
        <v>12063755</v>
      </c>
      <c r="AR2496" s="782">
        <v>12061353</v>
      </c>
      <c r="AS2496" s="782">
        <v>12061354</v>
      </c>
      <c r="AT2496" s="782">
        <v>12089985</v>
      </c>
      <c r="AU2496" s="781"/>
      <c r="AV2496" s="782">
        <v>12089988</v>
      </c>
      <c r="AW2496" s="781"/>
      <c r="AX2496" s="781"/>
      <c r="AY2496" s="781"/>
      <c r="AZ2496" s="782"/>
      <c r="BA2496" s="781"/>
      <c r="BB2496" s="209">
        <v>23105470</v>
      </c>
    </row>
    <row r="2497" spans="1:54" ht="25" hidden="1" customHeight="1">
      <c r="B2497" s="183">
        <v>45886</v>
      </c>
      <c r="C2497" s="184"/>
      <c r="D2497" s="185">
        <f t="shared" si="952"/>
        <v>2025</v>
      </c>
      <c r="E2497" s="185" t="e">
        <f>VLOOKUP($B2497,Week!$A$1:$C$1462,2,0)</f>
        <v>#N/A</v>
      </c>
      <c r="F2497" s="186" t="str">
        <f t="shared" si="953"/>
        <v>Aug</v>
      </c>
      <c r="G2497" s="481"/>
      <c r="H2497" s="185"/>
      <c r="I2497" s="185"/>
      <c r="J2497" s="187"/>
      <c r="K2497" s="188"/>
      <c r="L2497" s="188"/>
      <c r="M2497" s="187"/>
      <c r="N2497" s="185"/>
      <c r="O2497" s="185"/>
      <c r="P2497" s="189"/>
      <c r="Q2497" s="189"/>
      <c r="R2497" s="190"/>
      <c r="S2497" s="185"/>
      <c r="T2497" s="185"/>
      <c r="U2497" s="185"/>
      <c r="V2497" s="191"/>
      <c r="W2497" s="191"/>
      <c r="X2497" s="192"/>
      <c r="Y2497" s="193"/>
      <c r="Z2497" s="194"/>
      <c r="AA2497" s="194">
        <f t="shared" si="954"/>
        <v>0</v>
      </c>
      <c r="AB2497" s="805"/>
      <c r="AC2497" s="191"/>
      <c r="AD2497" s="187"/>
      <c r="AE2497" s="195"/>
      <c r="AF2497" s="195"/>
      <c r="AG2497" s="196"/>
      <c r="AH2497" s="197"/>
      <c r="AK2497" s="156" t="s">
        <v>691</v>
      </c>
      <c r="AM2497" s="198">
        <f t="shared" si="982"/>
        <v>0</v>
      </c>
      <c r="AN2497" s="199">
        <f t="shared" si="983"/>
        <v>45886</v>
      </c>
      <c r="AO2497" s="159" t="s">
        <v>692</v>
      </c>
      <c r="AP2497" s="781"/>
      <c r="AQ2497" s="782"/>
      <c r="AR2497" s="782"/>
      <c r="AS2497" s="782"/>
      <c r="AT2497" s="782"/>
      <c r="AU2497" s="781"/>
      <c r="AV2497" s="782"/>
      <c r="AW2497" s="782"/>
      <c r="AX2497" s="782"/>
      <c r="AY2497" s="782"/>
      <c r="AZ2497" s="782"/>
      <c r="BA2497" s="781"/>
      <c r="BB2497" s="209"/>
    </row>
    <row r="2498" spans="1:54" ht="25" hidden="1" customHeight="1">
      <c r="A2498" s="142" t="s">
        <v>120</v>
      </c>
      <c r="B2498" s="385">
        <v>45887</v>
      </c>
      <c r="C2498" s="386">
        <v>45897</v>
      </c>
      <c r="D2498" s="185">
        <f t="shared" si="952"/>
        <v>2025</v>
      </c>
      <c r="E2498" s="386" t="e">
        <f>VLOOKUP($B2498,Week!$A$1:$C$1462,2,0)</f>
        <v>#N/A</v>
      </c>
      <c r="F2498" s="387" t="str">
        <f t="shared" si="953"/>
        <v>Aug</v>
      </c>
      <c r="G2498" s="388" t="s">
        <v>2357</v>
      </c>
      <c r="H2498" s="388" t="s">
        <v>500</v>
      </c>
      <c r="I2498" s="388" t="s">
        <v>2772</v>
      </c>
      <c r="J2498" s="389" t="s">
        <v>285</v>
      </c>
      <c r="K2498" s="390" t="s">
        <v>153</v>
      </c>
      <c r="L2498" s="390" t="s">
        <v>2166</v>
      </c>
      <c r="M2498" s="389" t="s">
        <v>165</v>
      </c>
      <c r="N2498" s="388" t="s">
        <v>286</v>
      </c>
      <c r="O2498" s="388" t="s">
        <v>503</v>
      </c>
      <c r="P2498" s="391">
        <v>40</v>
      </c>
      <c r="Q2498" s="391">
        <v>12</v>
      </c>
      <c r="R2498" s="392">
        <v>6.8100000000000001E-3</v>
      </c>
      <c r="S2498" s="388" t="s">
        <v>76</v>
      </c>
      <c r="T2498" s="388" t="s">
        <v>56</v>
      </c>
      <c r="U2498" s="388" t="s">
        <v>89</v>
      </c>
      <c r="V2498" s="393">
        <v>583</v>
      </c>
      <c r="W2498" s="393">
        <v>583</v>
      </c>
      <c r="X2498" s="394"/>
      <c r="Y2498" s="395">
        <f t="shared" ref="Y2498:Y2530" si="984">(W2498+X2498)-V2498</f>
        <v>0</v>
      </c>
      <c r="Z2498" s="396">
        <f t="shared" ref="Z2498:Z2530" si="985">IF(Y2498&lt;0,((V2498*P2498)-((W2498+X2498)*P2498)),0)</f>
        <v>0</v>
      </c>
      <c r="AA2498" s="396">
        <f t="shared" si="954"/>
        <v>0</v>
      </c>
      <c r="AB2498" s="823">
        <v>2</v>
      </c>
      <c r="AC2498" s="393">
        <f t="shared" ref="AC2498:AC2507" si="986">Z2498*AB2498</f>
        <v>0</v>
      </c>
      <c r="AD2498" s="209"/>
      <c r="AE2498" s="210">
        <f>SUM(Q2498*R2498*Z2498)/1000</f>
        <v>0</v>
      </c>
      <c r="AF2498" s="210">
        <f>AE2498/0.54</f>
        <v>0</v>
      </c>
      <c r="AG2498" s="211">
        <f>MID(O2498,1,3)/1000</f>
        <v>0.154</v>
      </c>
      <c r="AH2498" s="157">
        <f>(Z2498*AG2498)/1000</f>
        <v>0</v>
      </c>
      <c r="AI2498" s="152">
        <f>V2498*P2498</f>
        <v>23320</v>
      </c>
      <c r="AK2498" s="156" t="s">
        <v>691</v>
      </c>
      <c r="AL2498" s="156" t="s">
        <v>689</v>
      </c>
      <c r="AM2498" s="198">
        <f t="shared" si="982"/>
        <v>0</v>
      </c>
      <c r="AN2498" s="199">
        <f t="shared" si="983"/>
        <v>45887</v>
      </c>
      <c r="AO2498" s="159" t="s">
        <v>692</v>
      </c>
      <c r="AP2498" s="783" t="s">
        <v>611</v>
      </c>
      <c r="AQ2498" s="782">
        <v>12088677</v>
      </c>
      <c r="AR2498" s="782">
        <v>12019692</v>
      </c>
      <c r="AS2498" s="781"/>
      <c r="AT2498" s="782">
        <v>12065371</v>
      </c>
      <c r="AU2498" s="782"/>
      <c r="AV2498" s="782">
        <v>12055895</v>
      </c>
      <c r="AW2498" s="782">
        <v>12034747</v>
      </c>
      <c r="AX2498" s="782" t="s">
        <v>398</v>
      </c>
      <c r="AY2498" s="781" t="s">
        <v>290</v>
      </c>
      <c r="AZ2498" s="781"/>
      <c r="BA2498" s="781"/>
      <c r="BB2498" s="209">
        <v>23053184</v>
      </c>
    </row>
    <row r="2499" spans="1:54" ht="24.75" hidden="1" customHeight="1">
      <c r="B2499" s="295">
        <v>45887</v>
      </c>
      <c r="C2499" s="771" t="s">
        <v>1932</v>
      </c>
      <c r="D2499" s="185">
        <f t="shared" si="952"/>
        <v>2025</v>
      </c>
      <c r="E2499" s="296" t="e">
        <f>VLOOKUP($B2499,Week!$A$1:$C$1462,2,0)</f>
        <v>#N/A</v>
      </c>
      <c r="F2499" s="297" t="str">
        <f t="shared" si="953"/>
        <v>Aug</v>
      </c>
      <c r="G2499" s="648" t="s">
        <v>47</v>
      </c>
      <c r="H2499" s="298" t="s">
        <v>260</v>
      </c>
      <c r="I2499" s="298" t="s">
        <v>2702</v>
      </c>
      <c r="J2499" s="307" t="s">
        <v>2240</v>
      </c>
      <c r="K2499" s="300" t="s">
        <v>176</v>
      </c>
      <c r="L2499" s="300" t="s">
        <v>2167</v>
      </c>
      <c r="M2499" s="299" t="s">
        <v>2338</v>
      </c>
      <c r="N2499" s="298" t="s">
        <v>350</v>
      </c>
      <c r="O2499" s="298" t="s">
        <v>351</v>
      </c>
      <c r="P2499" s="301">
        <v>24</v>
      </c>
      <c r="Q2499" s="301">
        <v>5</v>
      </c>
      <c r="R2499" s="302">
        <v>6.1999999999999998E-3</v>
      </c>
      <c r="S2499" s="298" t="s">
        <v>352</v>
      </c>
      <c r="T2499" s="298" t="s">
        <v>56</v>
      </c>
      <c r="U2499" s="298" t="s">
        <v>57</v>
      </c>
      <c r="V2499" s="303">
        <f>10000-2687-2502-3790-22</f>
        <v>999</v>
      </c>
      <c r="W2499" s="303">
        <f>999</f>
        <v>999</v>
      </c>
      <c r="X2499" s="304"/>
      <c r="Y2499" s="305">
        <f t="shared" si="984"/>
        <v>0</v>
      </c>
      <c r="Z2499" s="306">
        <f t="shared" si="985"/>
        <v>0</v>
      </c>
      <c r="AA2499" s="306">
        <f t="shared" si="954"/>
        <v>0</v>
      </c>
      <c r="AB2499" s="814">
        <v>7.4999999999999997E-3</v>
      </c>
      <c r="AC2499" s="303">
        <f t="shared" si="986"/>
        <v>0</v>
      </c>
      <c r="AD2499" s="443"/>
      <c r="AE2499" s="210">
        <f>SUM(Q2499*R2499*Z2499)/1000</f>
        <v>0</v>
      </c>
      <c r="AF2499" s="210">
        <f>AE2499/0.54</f>
        <v>0</v>
      </c>
      <c r="AG2499" s="211">
        <f>MID(O2499,1,3)/1000</f>
        <v>0.13</v>
      </c>
      <c r="AH2499" s="157">
        <f>(Z2499*AG2499)/1000</f>
        <v>0</v>
      </c>
      <c r="AI2499" s="152">
        <f>V2499*P2499</f>
        <v>23976</v>
      </c>
      <c r="AK2499" s="156" t="s">
        <v>691</v>
      </c>
      <c r="AL2499" s="574" t="s">
        <v>690</v>
      </c>
      <c r="AM2499" s="198">
        <f t="shared" si="982"/>
        <v>0</v>
      </c>
      <c r="AN2499" s="199">
        <f t="shared" si="983"/>
        <v>45887</v>
      </c>
      <c r="AO2499" s="159" t="s">
        <v>692</v>
      </c>
      <c r="AP2499" s="783" t="s">
        <v>629</v>
      </c>
      <c r="AQ2499" s="782">
        <v>12071839</v>
      </c>
      <c r="AR2499" s="782">
        <v>12094356</v>
      </c>
      <c r="AS2499" s="782">
        <v>12068233</v>
      </c>
      <c r="AT2499" s="781"/>
      <c r="AU2499" s="781"/>
      <c r="AV2499" s="782">
        <v>12062075</v>
      </c>
      <c r="AW2499" s="781"/>
      <c r="AX2499" s="781"/>
      <c r="AY2499" s="782">
        <v>12094357</v>
      </c>
      <c r="AZ2499" s="781"/>
      <c r="BA2499" s="781"/>
      <c r="BB2499" s="209">
        <v>23053185</v>
      </c>
    </row>
    <row r="2500" spans="1:54" ht="25" hidden="1" customHeight="1">
      <c r="B2500" s="546">
        <v>45887</v>
      </c>
      <c r="C2500" s="547">
        <v>45902</v>
      </c>
      <c r="D2500" s="185">
        <f t="shared" si="952"/>
        <v>2025</v>
      </c>
      <c r="E2500" s="547" t="e">
        <f>VLOOKUP($B2500,Week!$A$1:$C$1462,2,0)</f>
        <v>#N/A</v>
      </c>
      <c r="F2500" s="548" t="str">
        <f t="shared" si="953"/>
        <v>Aug</v>
      </c>
      <c r="G2500" s="575" t="s">
        <v>2454</v>
      </c>
      <c r="H2500" s="575" t="s">
        <v>424</v>
      </c>
      <c r="I2500" s="575" t="s">
        <v>2772</v>
      </c>
      <c r="J2500" s="576" t="s">
        <v>535</v>
      </c>
      <c r="K2500" s="577" t="s">
        <v>176</v>
      </c>
      <c r="L2500" s="300" t="s">
        <v>2167</v>
      </c>
      <c r="M2500" s="576" t="s">
        <v>536</v>
      </c>
      <c r="N2500" s="575" t="s">
        <v>537</v>
      </c>
      <c r="O2500" s="575" t="s">
        <v>187</v>
      </c>
      <c r="P2500" s="552">
        <v>8</v>
      </c>
      <c r="Q2500" s="552">
        <v>5</v>
      </c>
      <c r="R2500" s="553">
        <v>7.4999999999999997E-3</v>
      </c>
      <c r="S2500" s="575" t="s">
        <v>111</v>
      </c>
      <c r="T2500" s="575" t="s">
        <v>112</v>
      </c>
      <c r="U2500" s="575" t="s">
        <v>57</v>
      </c>
      <c r="V2500" s="554">
        <f>1900</f>
        <v>1900</v>
      </c>
      <c r="W2500" s="554"/>
      <c r="X2500" s="555">
        <f>(13963+1237)/8</f>
        <v>1900</v>
      </c>
      <c r="Y2500" s="556">
        <f t="shared" si="984"/>
        <v>0</v>
      </c>
      <c r="Z2500" s="557">
        <f t="shared" si="985"/>
        <v>0</v>
      </c>
      <c r="AA2500" s="557">
        <f t="shared" si="954"/>
        <v>0</v>
      </c>
      <c r="AB2500" s="833">
        <v>7.4999999999999997E-3</v>
      </c>
      <c r="AC2500" s="554">
        <f t="shared" si="986"/>
        <v>0</v>
      </c>
      <c r="AD2500" s="307" t="s">
        <v>2354</v>
      </c>
      <c r="AE2500" s="210"/>
      <c r="AF2500" s="210"/>
      <c r="AG2500" s="211">
        <v>0.14499999999999999</v>
      </c>
      <c r="AH2500" s="157">
        <f>(Z2500*AG2500)/1000</f>
        <v>0</v>
      </c>
      <c r="AI2500" s="152">
        <v>19800</v>
      </c>
      <c r="AK2500" s="156" t="s">
        <v>691</v>
      </c>
      <c r="AL2500" s="212" t="s">
        <v>690</v>
      </c>
      <c r="AM2500" s="198">
        <f t="shared" si="982"/>
        <v>0</v>
      </c>
      <c r="AN2500" s="199">
        <f t="shared" si="983"/>
        <v>45887</v>
      </c>
      <c r="AO2500" s="159" t="s">
        <v>692</v>
      </c>
      <c r="AP2500" s="781"/>
      <c r="AQ2500" s="782">
        <v>12071839</v>
      </c>
      <c r="AR2500" s="782">
        <v>12080260</v>
      </c>
      <c r="AS2500" s="782">
        <v>12080259</v>
      </c>
      <c r="AT2500" s="782">
        <v>12096465</v>
      </c>
      <c r="AU2500" s="782">
        <v>12035353</v>
      </c>
      <c r="AV2500" s="782" t="s">
        <v>538</v>
      </c>
      <c r="AW2500" s="781"/>
      <c r="AX2500" s="781"/>
      <c r="AY2500" s="782">
        <v>12054938</v>
      </c>
      <c r="AZ2500" s="781"/>
      <c r="BA2500" s="781"/>
    </row>
    <row r="2501" spans="1:54" ht="25" hidden="1" customHeight="1">
      <c r="B2501" s="358">
        <v>45887</v>
      </c>
      <c r="C2501" s="358">
        <v>45902</v>
      </c>
      <c r="D2501" s="185">
        <f t="shared" ref="D2501:D2563" si="987">IF(B2501="","",YEAR(B2501))</f>
        <v>2025</v>
      </c>
      <c r="E2501" s="358" t="e">
        <f>VLOOKUP($B2501,Week!$A$1:$C$1462,2,0)</f>
        <v>#N/A</v>
      </c>
      <c r="F2501" s="360" t="str">
        <f t="shared" ref="F2501:F2563" si="988">IF(B2501="","",TEXT(B2501,"[$-409]mmm"))</f>
        <v>Aug</v>
      </c>
      <c r="G2501" s="358" t="s">
        <v>2350</v>
      </c>
      <c r="H2501" s="359" t="s">
        <v>431</v>
      </c>
      <c r="I2501" s="359" t="s">
        <v>2772</v>
      </c>
      <c r="J2501" s="361" t="s">
        <v>432</v>
      </c>
      <c r="K2501" s="362" t="s">
        <v>365</v>
      </c>
      <c r="L2501" s="300" t="s">
        <v>2167</v>
      </c>
      <c r="M2501" s="361" t="s">
        <v>561</v>
      </c>
      <c r="N2501" s="359" t="s">
        <v>562</v>
      </c>
      <c r="O2501" s="359" t="s">
        <v>187</v>
      </c>
      <c r="P2501" s="363">
        <v>8</v>
      </c>
      <c r="Q2501" s="363">
        <v>4</v>
      </c>
      <c r="R2501" s="364">
        <v>7.4999999999999997E-3</v>
      </c>
      <c r="S2501" s="359" t="s">
        <v>111</v>
      </c>
      <c r="T2501" s="359" t="s">
        <v>112</v>
      </c>
      <c r="U2501" s="359" t="s">
        <v>57</v>
      </c>
      <c r="V2501" s="365">
        <f>3000</f>
        <v>3000</v>
      </c>
      <c r="W2501" s="365"/>
      <c r="X2501" s="366">
        <f>(166+23834)/8</f>
        <v>3000</v>
      </c>
      <c r="Y2501" s="367">
        <f t="shared" si="984"/>
        <v>0</v>
      </c>
      <c r="Z2501" s="368">
        <f t="shared" si="985"/>
        <v>0</v>
      </c>
      <c r="AA2501" s="368">
        <f t="shared" ref="AA2501:AA2563" si="989">Q2501*Z2501</f>
        <v>0</v>
      </c>
      <c r="AB2501" s="819">
        <v>7.4999999999999997E-3</v>
      </c>
      <c r="AC2501" s="365">
        <f t="shared" si="986"/>
        <v>0</v>
      </c>
      <c r="AD2501" s="209"/>
      <c r="AE2501" s="210">
        <f>SUM(Q2501*R2501*Z2501)/1000</f>
        <v>0</v>
      </c>
      <c r="AF2501" s="210">
        <f>AE2501/0.54</f>
        <v>0</v>
      </c>
      <c r="AG2501" s="211">
        <f t="shared" ref="AG2501:AG2514" si="990">MID(O2501,1,3)/1000</f>
        <v>0.14499999999999999</v>
      </c>
      <c r="AH2501" s="157">
        <f>(Z2501*AG2501)/1000</f>
        <v>0</v>
      </c>
      <c r="AI2501" s="152">
        <f t="shared" ref="AI2501:AI2530" si="991">V2501*P2501</f>
        <v>24000</v>
      </c>
      <c r="AK2501" s="156" t="s">
        <v>691</v>
      </c>
      <c r="AL2501" s="212" t="s">
        <v>690</v>
      </c>
      <c r="AM2501" s="198">
        <f t="shared" si="982"/>
        <v>0</v>
      </c>
      <c r="AN2501" s="199">
        <f t="shared" si="983"/>
        <v>45887</v>
      </c>
      <c r="AO2501" s="159" t="s">
        <v>692</v>
      </c>
      <c r="AP2501" s="783" t="s">
        <v>613</v>
      </c>
      <c r="AQ2501" s="782">
        <v>12071839</v>
      </c>
      <c r="AR2501" s="782">
        <v>12047514</v>
      </c>
      <c r="AS2501" s="782">
        <v>12047515</v>
      </c>
      <c r="AT2501" s="782">
        <v>12062626</v>
      </c>
      <c r="AU2501" s="782" t="s">
        <v>563</v>
      </c>
      <c r="AV2501" s="782">
        <v>12062625</v>
      </c>
      <c r="AW2501" s="782"/>
      <c r="AX2501" s="782"/>
      <c r="AY2501" s="782"/>
      <c r="AZ2501" s="782"/>
      <c r="BA2501" s="781"/>
    </row>
    <row r="2502" spans="1:54" ht="25" hidden="1" customHeight="1">
      <c r="A2502" s="142" t="s">
        <v>120</v>
      </c>
      <c r="B2502" s="385">
        <v>45888</v>
      </c>
      <c r="C2502" s="386">
        <v>45897</v>
      </c>
      <c r="D2502" s="185">
        <f t="shared" si="987"/>
        <v>2025</v>
      </c>
      <c r="E2502" s="386" t="e">
        <f>VLOOKUP($B2502,Week!$A$1:$C$1462,2,0)</f>
        <v>#N/A</v>
      </c>
      <c r="F2502" s="387" t="str">
        <f t="shared" si="988"/>
        <v>Aug</v>
      </c>
      <c r="G2502" s="388" t="s">
        <v>2357</v>
      </c>
      <c r="H2502" s="388" t="s">
        <v>500</v>
      </c>
      <c r="I2502" s="388" t="s">
        <v>2772</v>
      </c>
      <c r="J2502" s="389" t="s">
        <v>285</v>
      </c>
      <c r="K2502" s="390" t="s">
        <v>153</v>
      </c>
      <c r="L2502" s="390" t="s">
        <v>2166</v>
      </c>
      <c r="M2502" s="389" t="s">
        <v>165</v>
      </c>
      <c r="N2502" s="388" t="s">
        <v>286</v>
      </c>
      <c r="O2502" s="388" t="s">
        <v>503</v>
      </c>
      <c r="P2502" s="391">
        <v>40</v>
      </c>
      <c r="Q2502" s="391">
        <v>12</v>
      </c>
      <c r="R2502" s="392">
        <v>6.8100000000000001E-3</v>
      </c>
      <c r="S2502" s="388" t="s">
        <v>76</v>
      </c>
      <c r="T2502" s="388" t="s">
        <v>56</v>
      </c>
      <c r="U2502" s="388" t="s">
        <v>89</v>
      </c>
      <c r="V2502" s="393">
        <v>588</v>
      </c>
      <c r="W2502" s="393">
        <v>588</v>
      </c>
      <c r="X2502" s="394"/>
      <c r="Y2502" s="395">
        <f t="shared" si="984"/>
        <v>0</v>
      </c>
      <c r="Z2502" s="396">
        <f t="shared" si="985"/>
        <v>0</v>
      </c>
      <c r="AA2502" s="396">
        <f t="shared" si="989"/>
        <v>0</v>
      </c>
      <c r="AB2502" s="823">
        <v>2</v>
      </c>
      <c r="AC2502" s="393">
        <f t="shared" si="986"/>
        <v>0</v>
      </c>
      <c r="AD2502" s="209"/>
      <c r="AE2502" s="210">
        <f>SUM(Q2502*R2502*Z2502)/1000</f>
        <v>0</v>
      </c>
      <c r="AF2502" s="210">
        <f>AE2502/0.54</f>
        <v>0</v>
      </c>
      <c r="AG2502" s="211">
        <f t="shared" si="990"/>
        <v>0.154</v>
      </c>
      <c r="AH2502" s="157">
        <f>(Z2502*AG2502)/1000</f>
        <v>0</v>
      </c>
      <c r="AI2502" s="152">
        <f t="shared" si="991"/>
        <v>23520</v>
      </c>
      <c r="AK2502" s="156" t="s">
        <v>691</v>
      </c>
      <c r="AL2502" s="156" t="s">
        <v>689</v>
      </c>
      <c r="AM2502" s="198">
        <f t="shared" si="982"/>
        <v>0</v>
      </c>
      <c r="AN2502" s="199">
        <f t="shared" si="983"/>
        <v>45888</v>
      </c>
      <c r="AO2502" s="159" t="s">
        <v>692</v>
      </c>
      <c r="AP2502" s="783" t="s">
        <v>611</v>
      </c>
      <c r="AQ2502" s="782">
        <v>12088677</v>
      </c>
      <c r="AR2502" s="782">
        <v>12019692</v>
      </c>
      <c r="AS2502" s="781"/>
      <c r="AT2502" s="782">
        <v>12065371</v>
      </c>
      <c r="AU2502" s="782"/>
      <c r="AV2502" s="782">
        <v>12055895</v>
      </c>
      <c r="AW2502" s="782">
        <v>12034747</v>
      </c>
      <c r="AX2502" s="782" t="s">
        <v>398</v>
      </c>
      <c r="AY2502" s="781" t="s">
        <v>290</v>
      </c>
      <c r="AZ2502" s="781"/>
      <c r="BA2502" s="781"/>
      <c r="BB2502" s="209">
        <v>23053184</v>
      </c>
    </row>
    <row r="2503" spans="1:54" ht="25" hidden="1" customHeight="1">
      <c r="A2503" s="440"/>
      <c r="B2503" s="332">
        <v>45888</v>
      </c>
      <c r="C2503" s="333">
        <v>45911</v>
      </c>
      <c r="D2503" s="185">
        <f t="shared" si="987"/>
        <v>2025</v>
      </c>
      <c r="E2503" s="333" t="e">
        <f>VLOOKUP($B2503,Week!$A$1:$C$1462,2,0)</f>
        <v>#N/A</v>
      </c>
      <c r="F2503" s="334" t="str">
        <f t="shared" si="988"/>
        <v>Aug</v>
      </c>
      <c r="G2503" s="335" t="s">
        <v>2436</v>
      </c>
      <c r="H2503" s="335" t="s">
        <v>675</v>
      </c>
      <c r="I2503" s="335" t="s">
        <v>2772</v>
      </c>
      <c r="J2503" s="336" t="s">
        <v>709</v>
      </c>
      <c r="K2503" s="337" t="s">
        <v>1651</v>
      </c>
      <c r="L2503" s="300" t="s">
        <v>2167</v>
      </c>
      <c r="M2503" s="336" t="s">
        <v>683</v>
      </c>
      <c r="N2503" s="530" t="s">
        <v>2437</v>
      </c>
      <c r="O2503" s="335" t="s">
        <v>2367</v>
      </c>
      <c r="P2503" s="338">
        <v>8</v>
      </c>
      <c r="Q2503" s="338">
        <v>3</v>
      </c>
      <c r="R2503" s="339">
        <v>6.1999999999999998E-3</v>
      </c>
      <c r="S2503" s="335" t="s">
        <v>55</v>
      </c>
      <c r="T2503" s="335" t="s">
        <v>112</v>
      </c>
      <c r="U2503" s="340" t="s">
        <v>1633</v>
      </c>
      <c r="V2503" s="341">
        <f>350</f>
        <v>350</v>
      </c>
      <c r="W2503" s="341"/>
      <c r="X2503" s="342">
        <f>(2960)/8</f>
        <v>370</v>
      </c>
      <c r="Y2503" s="343">
        <f t="shared" si="984"/>
        <v>20</v>
      </c>
      <c r="Z2503" s="344">
        <f t="shared" si="985"/>
        <v>0</v>
      </c>
      <c r="AA2503" s="344">
        <f t="shared" si="989"/>
        <v>0</v>
      </c>
      <c r="AB2503" s="817">
        <v>1</v>
      </c>
      <c r="AC2503" s="341">
        <f t="shared" si="986"/>
        <v>0</v>
      </c>
      <c r="AD2503" s="443" t="s">
        <v>672</v>
      </c>
      <c r="AE2503" s="210">
        <f>SUM(Q2503*R2503*Z2503)/1000</f>
        <v>0</v>
      </c>
      <c r="AF2503" s="210">
        <f>AE2503/0.54</f>
        <v>0</v>
      </c>
      <c r="AG2503" s="211">
        <f t="shared" si="990"/>
        <v>0.24199999999999999</v>
      </c>
      <c r="AH2503" s="157">
        <v>0.26621999999999996</v>
      </c>
      <c r="AI2503" s="152">
        <f t="shared" si="991"/>
        <v>2800</v>
      </c>
      <c r="AK2503" s="156" t="s">
        <v>691</v>
      </c>
      <c r="AL2503" s="574" t="s">
        <v>690</v>
      </c>
      <c r="AM2503" s="198">
        <f t="shared" si="982"/>
        <v>0</v>
      </c>
      <c r="AN2503" s="199">
        <f t="shared" si="983"/>
        <v>45888</v>
      </c>
      <c r="AO2503" s="159" t="s">
        <v>692</v>
      </c>
      <c r="AP2503" s="781" t="s">
        <v>642</v>
      </c>
      <c r="AQ2503" s="782">
        <v>12071839</v>
      </c>
      <c r="AR2503" s="782">
        <v>12042650</v>
      </c>
      <c r="AS2503" s="782">
        <v>12042649</v>
      </c>
      <c r="AT2503" s="782">
        <v>12095893</v>
      </c>
      <c r="AU2503" s="781"/>
      <c r="AV2503" s="782">
        <v>12095892</v>
      </c>
      <c r="AW2503" s="781"/>
      <c r="AX2503" s="781"/>
      <c r="AY2503" s="781"/>
      <c r="AZ2503" s="782"/>
      <c r="BA2503" s="781"/>
      <c r="BB2503" s="209">
        <v>23099087</v>
      </c>
    </row>
    <row r="2504" spans="1:54" ht="25" hidden="1" customHeight="1">
      <c r="B2504" s="357">
        <v>45888</v>
      </c>
      <c r="C2504" s="358">
        <v>45908</v>
      </c>
      <c r="D2504" s="185">
        <f t="shared" si="987"/>
        <v>2025</v>
      </c>
      <c r="E2504" s="358" t="e">
        <f>VLOOKUP($B2504,Week!$A$1:$C$1462,2,0)</f>
        <v>#N/A</v>
      </c>
      <c r="F2504" s="360" t="str">
        <f t="shared" si="988"/>
        <v>Aug</v>
      </c>
      <c r="G2504" s="436" t="s">
        <v>2420</v>
      </c>
      <c r="H2504" s="359" t="s">
        <v>225</v>
      </c>
      <c r="I2504" s="359" t="s">
        <v>2773</v>
      </c>
      <c r="J2504" s="361" t="s">
        <v>650</v>
      </c>
      <c r="K2504" s="362" t="s">
        <v>593</v>
      </c>
      <c r="L2504" s="300" t="s">
        <v>2167</v>
      </c>
      <c r="M2504" s="361" t="s">
        <v>717</v>
      </c>
      <c r="N2504" s="359" t="s">
        <v>719</v>
      </c>
      <c r="O2504" s="359" t="s">
        <v>230</v>
      </c>
      <c r="P2504" s="363">
        <v>12</v>
      </c>
      <c r="Q2504" s="363">
        <v>5</v>
      </c>
      <c r="R2504" s="364">
        <v>6.0000000000000001E-3</v>
      </c>
      <c r="S2504" s="359" t="s">
        <v>55</v>
      </c>
      <c r="T2504" s="359" t="s">
        <v>112</v>
      </c>
      <c r="U2504" s="359" t="s">
        <v>57</v>
      </c>
      <c r="V2504" s="365">
        <v>2600</v>
      </c>
      <c r="W2504" s="365"/>
      <c r="X2504" s="366">
        <f>(1228-150+30122)/12</f>
        <v>2600</v>
      </c>
      <c r="Y2504" s="367">
        <f t="shared" si="984"/>
        <v>0</v>
      </c>
      <c r="Z2504" s="368">
        <f t="shared" si="985"/>
        <v>0</v>
      </c>
      <c r="AA2504" s="368">
        <f t="shared" si="989"/>
        <v>0</v>
      </c>
      <c r="AB2504" s="819">
        <v>7.4999999999999997E-3</v>
      </c>
      <c r="AC2504" s="365">
        <f t="shared" si="986"/>
        <v>0</v>
      </c>
      <c r="AD2504" s="307" t="s">
        <v>2421</v>
      </c>
      <c r="AE2504" s="210">
        <f>SUM(Q2504*R2504*Z2504)/1000</f>
        <v>0</v>
      </c>
      <c r="AF2504" s="210">
        <f>AE2504/0.54</f>
        <v>0</v>
      </c>
      <c r="AG2504" s="211">
        <f t="shared" si="990"/>
        <v>0.25800000000000001</v>
      </c>
      <c r="AH2504" s="157">
        <f>(Z2504*AG2504)/1000</f>
        <v>0</v>
      </c>
      <c r="AI2504" s="152">
        <f t="shared" si="991"/>
        <v>31200</v>
      </c>
      <c r="AK2504" s="156" t="s">
        <v>691</v>
      </c>
      <c r="AL2504" s="574" t="s">
        <v>690</v>
      </c>
      <c r="AM2504" s="198">
        <f t="shared" si="982"/>
        <v>0</v>
      </c>
      <c r="AN2504" s="199">
        <f t="shared" si="983"/>
        <v>45888</v>
      </c>
      <c r="AO2504" s="159" t="s">
        <v>692</v>
      </c>
      <c r="AP2504" s="783" t="s">
        <v>612</v>
      </c>
      <c r="AQ2504" s="782">
        <v>12071839</v>
      </c>
      <c r="AR2504" s="782">
        <v>12042650</v>
      </c>
      <c r="AS2504" s="782">
        <v>12042649</v>
      </c>
      <c r="AT2504" s="782">
        <v>12096387</v>
      </c>
      <c r="AU2504" s="781"/>
      <c r="AV2504" s="782">
        <v>12088422</v>
      </c>
      <c r="AW2504" s="782"/>
      <c r="AX2504" s="782"/>
      <c r="AY2504" s="782"/>
      <c r="AZ2504" s="782"/>
      <c r="BA2504" s="781"/>
      <c r="BB2504" s="209">
        <v>23053185</v>
      </c>
    </row>
    <row r="2505" spans="1:54" ht="25" hidden="1" customHeight="1">
      <c r="B2505" s="200">
        <v>45888</v>
      </c>
      <c r="C2505" s="201">
        <v>45902</v>
      </c>
      <c r="D2505" s="185">
        <f t="shared" si="987"/>
        <v>2025</v>
      </c>
      <c r="E2505" s="201" t="e">
        <f>VLOOKUP($B2505,Week!$A$1:$C$1462,2,0)</f>
        <v>#N/A</v>
      </c>
      <c r="F2505" s="202" t="str">
        <f t="shared" si="988"/>
        <v>Aug</v>
      </c>
      <c r="G2505" s="512" t="s">
        <v>2454</v>
      </c>
      <c r="H2505" s="512" t="s">
        <v>424</v>
      </c>
      <c r="I2505" s="512" t="s">
        <v>2772</v>
      </c>
      <c r="J2505" s="513" t="s">
        <v>535</v>
      </c>
      <c r="K2505" s="514" t="s">
        <v>227</v>
      </c>
      <c r="L2505" s="300" t="s">
        <v>2167</v>
      </c>
      <c r="M2505" s="513" t="s">
        <v>539</v>
      </c>
      <c r="N2505" s="512" t="s">
        <v>540</v>
      </c>
      <c r="O2505" s="512" t="s">
        <v>304</v>
      </c>
      <c r="P2505" s="203">
        <v>8</v>
      </c>
      <c r="Q2505" s="203">
        <v>5</v>
      </c>
      <c r="R2505" s="204">
        <v>7.4999999999999997E-3</v>
      </c>
      <c r="S2505" s="512" t="s">
        <v>111</v>
      </c>
      <c r="T2505" s="512" t="s">
        <v>112</v>
      </c>
      <c r="U2505" s="512" t="s">
        <v>57</v>
      </c>
      <c r="V2505" s="205">
        <f>1700</f>
        <v>1700</v>
      </c>
      <c r="W2505" s="205"/>
      <c r="X2505" s="206">
        <f>(14228)/8</f>
        <v>1778.5</v>
      </c>
      <c r="Y2505" s="207">
        <f t="shared" si="984"/>
        <v>78.5</v>
      </c>
      <c r="Z2505" s="208">
        <f t="shared" si="985"/>
        <v>0</v>
      </c>
      <c r="AA2505" s="208">
        <f t="shared" si="989"/>
        <v>0</v>
      </c>
      <c r="AB2505" s="806">
        <v>7.4999999999999997E-3</v>
      </c>
      <c r="AC2505" s="205">
        <f t="shared" si="986"/>
        <v>0</v>
      </c>
      <c r="AD2505" s="307" t="s">
        <v>2354</v>
      </c>
      <c r="AE2505" s="210"/>
      <c r="AF2505" s="210"/>
      <c r="AG2505" s="211">
        <f t="shared" si="990"/>
        <v>0.25800000000000001</v>
      </c>
      <c r="AH2505" s="157">
        <f>(Z2505*AG2505)/1000</f>
        <v>0</v>
      </c>
      <c r="AI2505" s="152">
        <f t="shared" si="991"/>
        <v>13600</v>
      </c>
      <c r="AK2505" s="156" t="s">
        <v>691</v>
      </c>
      <c r="AL2505" s="212" t="s">
        <v>690</v>
      </c>
      <c r="AM2505" s="198">
        <f t="shared" si="982"/>
        <v>0</v>
      </c>
      <c r="AN2505" s="199">
        <f t="shared" si="983"/>
        <v>45888</v>
      </c>
      <c r="AO2505" s="159" t="s">
        <v>692</v>
      </c>
      <c r="AP2505" s="781"/>
      <c r="AQ2505" s="782">
        <v>12071839</v>
      </c>
      <c r="AR2505" s="782">
        <v>12095778</v>
      </c>
      <c r="AS2505" s="782">
        <v>12095777</v>
      </c>
      <c r="AT2505" s="782">
        <v>12096464</v>
      </c>
      <c r="AU2505" s="782"/>
      <c r="AV2505" s="782">
        <v>12063748</v>
      </c>
      <c r="AW2505" s="781"/>
      <c r="AX2505" s="781"/>
      <c r="AY2505" s="781" t="s">
        <v>541</v>
      </c>
      <c r="AZ2505" s="781"/>
      <c r="BA2505" s="781"/>
    </row>
    <row r="2506" spans="1:54" ht="24.75" hidden="1" customHeight="1">
      <c r="B2506" s="320">
        <v>45888</v>
      </c>
      <c r="C2506" s="321">
        <v>45911</v>
      </c>
      <c r="D2506" s="185">
        <f t="shared" si="987"/>
        <v>2025</v>
      </c>
      <c r="E2506" s="321" t="e">
        <f>VLOOKUP($B2506,Week!$A$1:$C$1462,2,0)</f>
        <v>#N/A</v>
      </c>
      <c r="F2506" s="322" t="str">
        <f t="shared" si="988"/>
        <v>Aug</v>
      </c>
      <c r="G2506" s="323" t="s">
        <v>2436</v>
      </c>
      <c r="H2506" s="323" t="s">
        <v>675</v>
      </c>
      <c r="I2506" s="323" t="s">
        <v>2772</v>
      </c>
      <c r="J2506" s="324" t="s">
        <v>709</v>
      </c>
      <c r="K2506" s="325" t="s">
        <v>107</v>
      </c>
      <c r="L2506" s="300" t="s">
        <v>2167</v>
      </c>
      <c r="M2506" s="324" t="s">
        <v>313</v>
      </c>
      <c r="N2506" s="596" t="s">
        <v>710</v>
      </c>
      <c r="O2506" s="323" t="s">
        <v>592</v>
      </c>
      <c r="P2506" s="326">
        <v>8</v>
      </c>
      <c r="Q2506" s="326">
        <v>4</v>
      </c>
      <c r="R2506" s="327">
        <v>7.4999999999999997E-3</v>
      </c>
      <c r="S2506" s="323" t="s">
        <v>111</v>
      </c>
      <c r="T2506" s="323" t="s">
        <v>112</v>
      </c>
      <c r="U2506" s="323" t="s">
        <v>57</v>
      </c>
      <c r="V2506" s="328">
        <v>1450</v>
      </c>
      <c r="W2506" s="328"/>
      <c r="X2506" s="329">
        <f>(1122+10478)/8</f>
        <v>1450</v>
      </c>
      <c r="Y2506" s="330">
        <f t="shared" si="984"/>
        <v>0</v>
      </c>
      <c r="Z2506" s="331">
        <f t="shared" si="985"/>
        <v>0</v>
      </c>
      <c r="AA2506" s="331">
        <f t="shared" si="989"/>
        <v>0</v>
      </c>
      <c r="AB2506" s="816">
        <v>7.4999999999999997E-3</v>
      </c>
      <c r="AC2506" s="328">
        <f t="shared" si="986"/>
        <v>0</v>
      </c>
      <c r="AD2506" s="443"/>
      <c r="AE2506" s="210">
        <f t="shared" ref="AE2506:AE2530" si="992">SUM(Q2506*R2506*Z2506)/1000</f>
        <v>0</v>
      </c>
      <c r="AF2506" s="210">
        <f>AE2506/0.54</f>
        <v>0</v>
      </c>
      <c r="AG2506" s="211">
        <f t="shared" si="990"/>
        <v>0.30499999999999999</v>
      </c>
      <c r="AH2506" s="157">
        <f>(Z2506*AG2506)/1000</f>
        <v>0</v>
      </c>
      <c r="AI2506" s="152">
        <f t="shared" si="991"/>
        <v>11600</v>
      </c>
      <c r="AK2506" s="156" t="s">
        <v>691</v>
      </c>
      <c r="AL2506" s="212" t="s">
        <v>690</v>
      </c>
      <c r="AM2506" s="198">
        <f t="shared" si="982"/>
        <v>0</v>
      </c>
      <c r="AN2506" s="199">
        <f t="shared" si="983"/>
        <v>45888</v>
      </c>
      <c r="AO2506" s="159" t="s">
        <v>692</v>
      </c>
      <c r="AP2506" s="783" t="s">
        <v>643</v>
      </c>
      <c r="AQ2506" s="782">
        <v>12063755</v>
      </c>
      <c r="AR2506" s="782">
        <v>12061353</v>
      </c>
      <c r="AS2506" s="782">
        <v>12061354</v>
      </c>
      <c r="AT2506" s="782">
        <v>12089987</v>
      </c>
      <c r="AU2506" s="781"/>
      <c r="AV2506" s="782">
        <v>12089986</v>
      </c>
      <c r="AW2506" s="782"/>
      <c r="AX2506" s="782"/>
      <c r="AY2506" s="782"/>
      <c r="AZ2506" s="782"/>
      <c r="BA2506" s="781"/>
      <c r="BB2506" s="209">
        <v>23053185</v>
      </c>
    </row>
    <row r="2507" spans="1:54" ht="25" hidden="1" customHeight="1">
      <c r="A2507" s="142" t="s">
        <v>120</v>
      </c>
      <c r="B2507" s="271">
        <v>45889</v>
      </c>
      <c r="C2507" s="272">
        <v>45897</v>
      </c>
      <c r="D2507" s="185">
        <f t="shared" si="987"/>
        <v>2025</v>
      </c>
      <c r="E2507" s="272" t="e">
        <f>VLOOKUP($B2507,Week!$A$1:$C$1462,2,0)</f>
        <v>#N/A</v>
      </c>
      <c r="F2507" s="273" t="str">
        <f t="shared" si="988"/>
        <v>Aug</v>
      </c>
      <c r="G2507" s="274" t="s">
        <v>2358</v>
      </c>
      <c r="H2507" s="274" t="s">
        <v>500</v>
      </c>
      <c r="I2507" s="274" t="s">
        <v>2772</v>
      </c>
      <c r="J2507" s="275" t="s">
        <v>285</v>
      </c>
      <c r="K2507" s="276" t="s">
        <v>153</v>
      </c>
      <c r="L2507" s="390" t="s">
        <v>2166</v>
      </c>
      <c r="M2507" s="275" t="s">
        <v>86</v>
      </c>
      <c r="N2507" s="274" t="s">
        <v>547</v>
      </c>
      <c r="O2507" s="274" t="s">
        <v>548</v>
      </c>
      <c r="P2507" s="277">
        <v>10</v>
      </c>
      <c r="Q2507" s="277">
        <v>50</v>
      </c>
      <c r="R2507" s="278">
        <v>6.8100000000000001E-3</v>
      </c>
      <c r="S2507" s="274" t="s">
        <v>76</v>
      </c>
      <c r="T2507" s="274" t="s">
        <v>56</v>
      </c>
      <c r="U2507" s="274" t="s">
        <v>89</v>
      </c>
      <c r="V2507" s="279">
        <f>715</f>
        <v>715</v>
      </c>
      <c r="W2507" s="279">
        <f>715</f>
        <v>715</v>
      </c>
      <c r="X2507" s="280"/>
      <c r="Y2507" s="281">
        <f t="shared" si="984"/>
        <v>0</v>
      </c>
      <c r="Z2507" s="282">
        <f t="shared" si="985"/>
        <v>0</v>
      </c>
      <c r="AA2507" s="282">
        <f t="shared" si="989"/>
        <v>0</v>
      </c>
      <c r="AB2507" s="812">
        <v>6</v>
      </c>
      <c r="AC2507" s="279">
        <f t="shared" si="986"/>
        <v>0</v>
      </c>
      <c r="AD2507" s="209"/>
      <c r="AE2507" s="210">
        <f t="shared" si="992"/>
        <v>0</v>
      </c>
      <c r="AF2507" s="210">
        <f>AE2507/0.54</f>
        <v>0</v>
      </c>
      <c r="AG2507" s="211">
        <f t="shared" si="990"/>
        <v>0.63</v>
      </c>
      <c r="AH2507" s="157">
        <f>(Z2507*AG2507)/1000</f>
        <v>0</v>
      </c>
      <c r="AI2507" s="152">
        <f t="shared" si="991"/>
        <v>7150</v>
      </c>
      <c r="AK2507" s="156" t="s">
        <v>691</v>
      </c>
      <c r="AL2507" s="156" t="s">
        <v>689</v>
      </c>
      <c r="AM2507" s="198">
        <f t="shared" si="982"/>
        <v>0</v>
      </c>
      <c r="AN2507" s="199">
        <f t="shared" si="983"/>
        <v>45889</v>
      </c>
      <c r="AO2507" s="159" t="s">
        <v>692</v>
      </c>
      <c r="AP2507" s="783" t="s">
        <v>620</v>
      </c>
      <c r="AQ2507" s="796" t="s">
        <v>422</v>
      </c>
      <c r="AR2507" s="782">
        <v>12055234</v>
      </c>
      <c r="AS2507" s="781"/>
      <c r="AT2507" s="782"/>
      <c r="AU2507" s="782"/>
      <c r="AV2507" s="782">
        <v>12062809</v>
      </c>
      <c r="AW2507" s="782"/>
      <c r="AX2507" s="782" t="s">
        <v>619</v>
      </c>
      <c r="AY2507" s="781"/>
      <c r="AZ2507" s="781"/>
      <c r="BA2507" s="781"/>
      <c r="BB2507" s="209">
        <v>23053184</v>
      </c>
    </row>
    <row r="2508" spans="1:54" ht="25" hidden="1" customHeight="1">
      <c r="B2508" s="320">
        <v>45889</v>
      </c>
      <c r="C2508" s="321" t="s">
        <v>1933</v>
      </c>
      <c r="D2508" s="185">
        <f t="shared" si="987"/>
        <v>2025</v>
      </c>
      <c r="E2508" s="321" t="e">
        <f>VLOOKUP($B2508,Week!$A$1:$C$1462,2,0)</f>
        <v>#N/A</v>
      </c>
      <c r="F2508" s="322" t="str">
        <f t="shared" si="988"/>
        <v>Aug</v>
      </c>
      <c r="G2508" s="323" t="s">
        <v>47</v>
      </c>
      <c r="H2508" s="323" t="s">
        <v>518</v>
      </c>
      <c r="I2508" s="323" t="s">
        <v>2702</v>
      </c>
      <c r="J2508" s="324" t="s">
        <v>70</v>
      </c>
      <c r="K2508" s="325" t="s">
        <v>564</v>
      </c>
      <c r="L2508" s="300" t="s">
        <v>2167</v>
      </c>
      <c r="M2508" s="324" t="s">
        <v>2343</v>
      </c>
      <c r="N2508" s="323" t="s">
        <v>559</v>
      </c>
      <c r="O2508" s="323" t="s">
        <v>560</v>
      </c>
      <c r="P2508" s="326">
        <v>12</v>
      </c>
      <c r="Q2508" s="326">
        <v>3</v>
      </c>
      <c r="R2508" s="327">
        <v>8.0000000000000002E-3</v>
      </c>
      <c r="S2508" s="323" t="s">
        <v>40</v>
      </c>
      <c r="T2508" s="323" t="s">
        <v>56</v>
      </c>
      <c r="U2508" s="323" t="s">
        <v>57</v>
      </c>
      <c r="V2508" s="397">
        <f>500</f>
        <v>500</v>
      </c>
      <c r="W2508" s="328">
        <f>478-456+478</f>
        <v>500</v>
      </c>
      <c r="X2508" s="329"/>
      <c r="Y2508" s="330">
        <f t="shared" si="984"/>
        <v>0</v>
      </c>
      <c r="Z2508" s="331">
        <f t="shared" si="985"/>
        <v>0</v>
      </c>
      <c r="AA2508" s="331">
        <f t="shared" si="989"/>
        <v>0</v>
      </c>
      <c r="AB2508" s="816">
        <v>7.4999999999999997E-3</v>
      </c>
      <c r="AC2508" s="328">
        <f t="shared" ref="AC2508:AC2513" si="993">Z2508*AB2508</f>
        <v>0</v>
      </c>
      <c r="AD2508" s="209"/>
      <c r="AE2508" s="210">
        <f t="shared" si="992"/>
        <v>0</v>
      </c>
      <c r="AF2508" s="210">
        <f t="shared" ref="AF2508:AF2514" si="994">AE2508/0.54</f>
        <v>0</v>
      </c>
      <c r="AG2508" s="211">
        <f t="shared" si="990"/>
        <v>0.22600000000000001</v>
      </c>
      <c r="AH2508" s="157">
        <f t="shared" ref="AH2508:AH2513" si="995">(Z2508*AG2508)/1000</f>
        <v>0</v>
      </c>
      <c r="AI2508" s="152">
        <f t="shared" si="991"/>
        <v>6000</v>
      </c>
      <c r="AK2508" s="156" t="s">
        <v>691</v>
      </c>
      <c r="AL2508" s="212" t="s">
        <v>690</v>
      </c>
      <c r="AM2508" s="198">
        <f t="shared" si="982"/>
        <v>0</v>
      </c>
      <c r="AN2508" s="199">
        <f t="shared" si="983"/>
        <v>45889</v>
      </c>
      <c r="AO2508" s="159" t="s">
        <v>692</v>
      </c>
      <c r="AP2508" s="783" t="s">
        <v>623</v>
      </c>
      <c r="AQ2508" s="782">
        <v>12071839</v>
      </c>
      <c r="AR2508" s="782">
        <v>12042650</v>
      </c>
      <c r="AS2508" s="782">
        <v>12042649</v>
      </c>
      <c r="AT2508" s="782"/>
      <c r="AU2508" s="781"/>
      <c r="AV2508" s="782">
        <v>12083156</v>
      </c>
      <c r="AW2508" s="782"/>
      <c r="AX2508" s="782"/>
      <c r="AY2508" s="782">
        <v>12094235</v>
      </c>
      <c r="AZ2508" s="782">
        <v>12094236</v>
      </c>
      <c r="BA2508" s="781"/>
      <c r="BB2508" s="209">
        <v>23053185</v>
      </c>
    </row>
    <row r="2509" spans="1:54" ht="25" hidden="1" customHeight="1">
      <c r="B2509" s="320">
        <v>45889</v>
      </c>
      <c r="C2509" s="321" t="s">
        <v>1933</v>
      </c>
      <c r="D2509" s="185">
        <f t="shared" si="987"/>
        <v>2025</v>
      </c>
      <c r="E2509" s="321" t="e">
        <f>VLOOKUP($B2509,Week!$A$1:$C$1462,2,0)</f>
        <v>#N/A</v>
      </c>
      <c r="F2509" s="322" t="str">
        <f t="shared" si="988"/>
        <v>Aug</v>
      </c>
      <c r="G2509" s="323" t="s">
        <v>47</v>
      </c>
      <c r="H2509" s="323" t="s">
        <v>518</v>
      </c>
      <c r="I2509" s="323" t="s">
        <v>2702</v>
      </c>
      <c r="J2509" s="324" t="s">
        <v>70</v>
      </c>
      <c r="K2509" s="325" t="s">
        <v>564</v>
      </c>
      <c r="L2509" s="300" t="s">
        <v>2167</v>
      </c>
      <c r="M2509" s="324" t="s">
        <v>2343</v>
      </c>
      <c r="N2509" s="323" t="s">
        <v>559</v>
      </c>
      <c r="O2509" s="323" t="s">
        <v>560</v>
      </c>
      <c r="P2509" s="326">
        <v>12</v>
      </c>
      <c r="Q2509" s="326">
        <v>3</v>
      </c>
      <c r="R2509" s="327">
        <v>8.0000000000000002E-3</v>
      </c>
      <c r="S2509" s="323" t="s">
        <v>40</v>
      </c>
      <c r="T2509" s="323" t="s">
        <v>56</v>
      </c>
      <c r="U2509" s="323" t="s">
        <v>57</v>
      </c>
      <c r="V2509" s="397">
        <f>200</f>
        <v>200</v>
      </c>
      <c r="W2509" s="328">
        <f>200</f>
        <v>200</v>
      </c>
      <c r="X2509" s="329"/>
      <c r="Y2509" s="330">
        <f t="shared" si="984"/>
        <v>0</v>
      </c>
      <c r="Z2509" s="331">
        <f t="shared" si="985"/>
        <v>0</v>
      </c>
      <c r="AA2509" s="331">
        <f t="shared" si="989"/>
        <v>0</v>
      </c>
      <c r="AB2509" s="816">
        <v>7.4999999999999997E-3</v>
      </c>
      <c r="AC2509" s="328">
        <f t="shared" si="993"/>
        <v>0</v>
      </c>
      <c r="AD2509" s="209"/>
      <c r="AE2509" s="210">
        <f t="shared" si="992"/>
        <v>0</v>
      </c>
      <c r="AF2509" s="210">
        <f t="shared" si="994"/>
        <v>0</v>
      </c>
      <c r="AG2509" s="211">
        <f t="shared" si="990"/>
        <v>0.22600000000000001</v>
      </c>
      <c r="AH2509" s="157">
        <f t="shared" si="995"/>
        <v>0</v>
      </c>
      <c r="AI2509" s="152">
        <f t="shared" si="991"/>
        <v>2400</v>
      </c>
      <c r="AK2509" s="156" t="s">
        <v>691</v>
      </c>
      <c r="AL2509" s="212" t="s">
        <v>690</v>
      </c>
      <c r="AM2509" s="198">
        <f t="shared" si="982"/>
        <v>0</v>
      </c>
      <c r="AN2509" s="199">
        <f t="shared" si="983"/>
        <v>45889</v>
      </c>
      <c r="AO2509" s="159" t="s">
        <v>692</v>
      </c>
      <c r="AP2509" s="783" t="s">
        <v>623</v>
      </c>
      <c r="AQ2509" s="782">
        <v>12071839</v>
      </c>
      <c r="AR2509" s="782">
        <v>12042650</v>
      </c>
      <c r="AS2509" s="782">
        <v>12042649</v>
      </c>
      <c r="AT2509" s="782"/>
      <c r="AU2509" s="781"/>
      <c r="AV2509" s="782">
        <v>12083156</v>
      </c>
      <c r="AW2509" s="782"/>
      <c r="AX2509" s="782"/>
      <c r="AY2509" s="782">
        <v>12094235</v>
      </c>
      <c r="AZ2509" s="782">
        <v>12094236</v>
      </c>
      <c r="BA2509" s="781"/>
      <c r="BB2509" s="209">
        <v>23053185</v>
      </c>
    </row>
    <row r="2510" spans="1:54" ht="25" hidden="1" customHeight="1">
      <c r="B2510" s="271">
        <v>45889</v>
      </c>
      <c r="C2510" s="870" t="s">
        <v>1933</v>
      </c>
      <c r="D2510" s="185">
        <f t="shared" si="987"/>
        <v>2025</v>
      </c>
      <c r="E2510" s="272" t="e">
        <f>VLOOKUP($B2510,Week!$A$1:$C$1462,2,0)</f>
        <v>#N/A</v>
      </c>
      <c r="F2510" s="273" t="str">
        <f t="shared" si="988"/>
        <v>Aug</v>
      </c>
      <c r="G2510" s="274" t="s">
        <v>47</v>
      </c>
      <c r="H2510" s="274" t="s">
        <v>518</v>
      </c>
      <c r="I2510" s="274" t="s">
        <v>2702</v>
      </c>
      <c r="J2510" s="275" t="s">
        <v>70</v>
      </c>
      <c r="K2510" s="276" t="s">
        <v>556</v>
      </c>
      <c r="L2510" s="300" t="s">
        <v>2167</v>
      </c>
      <c r="M2510" s="275" t="s">
        <v>520</v>
      </c>
      <c r="N2510" s="423" t="s">
        <v>586</v>
      </c>
      <c r="O2510" s="274" t="s">
        <v>585</v>
      </c>
      <c r="P2510" s="277">
        <v>12</v>
      </c>
      <c r="Q2510" s="277">
        <v>5</v>
      </c>
      <c r="R2510" s="278">
        <v>6.0000000000000001E-3</v>
      </c>
      <c r="S2510" s="274" t="s">
        <v>55</v>
      </c>
      <c r="T2510" s="274" t="s">
        <v>56</v>
      </c>
      <c r="U2510" s="274" t="s">
        <v>57</v>
      </c>
      <c r="V2510" s="279">
        <f>350</f>
        <v>350</v>
      </c>
      <c r="W2510" s="279">
        <f>5+345</f>
        <v>350</v>
      </c>
      <c r="X2510" s="280"/>
      <c r="Y2510" s="281">
        <f t="shared" si="984"/>
        <v>0</v>
      </c>
      <c r="Z2510" s="282">
        <f t="shared" si="985"/>
        <v>0</v>
      </c>
      <c r="AA2510" s="282">
        <f t="shared" si="989"/>
        <v>0</v>
      </c>
      <c r="AB2510" s="812">
        <v>7.4999999999999997E-3</v>
      </c>
      <c r="AC2510" s="279">
        <f t="shared" si="993"/>
        <v>0</v>
      </c>
      <c r="AD2510" s="209"/>
      <c r="AE2510" s="210">
        <f t="shared" si="992"/>
        <v>0</v>
      </c>
      <c r="AF2510" s="210">
        <f t="shared" si="994"/>
        <v>0</v>
      </c>
      <c r="AG2510" s="211">
        <f t="shared" si="990"/>
        <v>0.13500000000000001</v>
      </c>
      <c r="AH2510" s="157">
        <f t="shared" si="995"/>
        <v>0</v>
      </c>
      <c r="AI2510" s="152">
        <f t="shared" si="991"/>
        <v>4200</v>
      </c>
      <c r="AK2510" s="156" t="s">
        <v>691</v>
      </c>
      <c r="AL2510" s="212" t="s">
        <v>690</v>
      </c>
      <c r="AM2510" s="198">
        <f t="shared" si="982"/>
        <v>0</v>
      </c>
      <c r="AN2510" s="199">
        <f t="shared" si="983"/>
        <v>45889</v>
      </c>
      <c r="AO2510" s="159" t="s">
        <v>692</v>
      </c>
      <c r="AP2510" s="781"/>
      <c r="AQ2510" s="782">
        <v>12071839</v>
      </c>
      <c r="AR2510" s="782">
        <v>12047514</v>
      </c>
      <c r="AS2510" s="782">
        <v>12047515</v>
      </c>
      <c r="AT2510" s="782"/>
      <c r="AU2510" s="781"/>
      <c r="AV2510" s="782">
        <v>12083307</v>
      </c>
      <c r="AW2510" s="782"/>
      <c r="AX2510" s="782"/>
      <c r="AY2510" s="782">
        <v>12094380</v>
      </c>
      <c r="AZ2510" s="782">
        <v>12094381</v>
      </c>
      <c r="BA2510" s="781"/>
      <c r="BB2510" s="209">
        <v>23053185</v>
      </c>
    </row>
    <row r="2511" spans="1:54" ht="25" hidden="1" customHeight="1">
      <c r="B2511" s="271">
        <v>45889</v>
      </c>
      <c r="C2511" s="870" t="s">
        <v>1933</v>
      </c>
      <c r="D2511" s="185">
        <f t="shared" si="987"/>
        <v>2025</v>
      </c>
      <c r="E2511" s="272" t="e">
        <f>VLOOKUP($B2511,Week!$A$1:$C$1462,2,0)</f>
        <v>#N/A</v>
      </c>
      <c r="F2511" s="273" t="str">
        <f t="shared" si="988"/>
        <v>Aug</v>
      </c>
      <c r="G2511" s="274" t="s">
        <v>47</v>
      </c>
      <c r="H2511" s="274" t="s">
        <v>518</v>
      </c>
      <c r="I2511" s="274" t="s">
        <v>2702</v>
      </c>
      <c r="J2511" s="275" t="s">
        <v>70</v>
      </c>
      <c r="K2511" s="276" t="s">
        <v>556</v>
      </c>
      <c r="L2511" s="300" t="s">
        <v>2167</v>
      </c>
      <c r="M2511" s="275" t="s">
        <v>520</v>
      </c>
      <c r="N2511" s="423" t="s">
        <v>586</v>
      </c>
      <c r="O2511" s="274" t="s">
        <v>585</v>
      </c>
      <c r="P2511" s="277">
        <v>12</v>
      </c>
      <c r="Q2511" s="277">
        <v>5</v>
      </c>
      <c r="R2511" s="278">
        <v>6.0000000000000001E-3</v>
      </c>
      <c r="S2511" s="274" t="s">
        <v>55</v>
      </c>
      <c r="T2511" s="274" t="s">
        <v>56</v>
      </c>
      <c r="U2511" s="274" t="s">
        <v>57</v>
      </c>
      <c r="V2511" s="279">
        <f>50</f>
        <v>50</v>
      </c>
      <c r="W2511" s="279">
        <v>50</v>
      </c>
      <c r="X2511" s="280"/>
      <c r="Y2511" s="281">
        <f t="shared" si="984"/>
        <v>0</v>
      </c>
      <c r="Z2511" s="282">
        <f t="shared" si="985"/>
        <v>0</v>
      </c>
      <c r="AA2511" s="282">
        <f t="shared" si="989"/>
        <v>0</v>
      </c>
      <c r="AB2511" s="812">
        <v>7.4999999999999997E-3</v>
      </c>
      <c r="AC2511" s="279">
        <f t="shared" si="993"/>
        <v>0</v>
      </c>
      <c r="AD2511" s="209"/>
      <c r="AE2511" s="210">
        <f t="shared" si="992"/>
        <v>0</v>
      </c>
      <c r="AF2511" s="210">
        <f t="shared" si="994"/>
        <v>0</v>
      </c>
      <c r="AG2511" s="211">
        <f t="shared" si="990"/>
        <v>0.13500000000000001</v>
      </c>
      <c r="AH2511" s="157">
        <f t="shared" si="995"/>
        <v>0</v>
      </c>
      <c r="AI2511" s="152">
        <f t="shared" si="991"/>
        <v>600</v>
      </c>
      <c r="AK2511" s="156" t="s">
        <v>691</v>
      </c>
      <c r="AL2511" s="212" t="s">
        <v>690</v>
      </c>
      <c r="AM2511" s="198">
        <f t="shared" si="982"/>
        <v>0</v>
      </c>
      <c r="AN2511" s="199">
        <f t="shared" si="983"/>
        <v>45889</v>
      </c>
      <c r="AO2511" s="159" t="s">
        <v>692</v>
      </c>
      <c r="AP2511" s="781"/>
      <c r="AQ2511" s="782">
        <v>12071839</v>
      </c>
      <c r="AR2511" s="782">
        <v>12047514</v>
      </c>
      <c r="AS2511" s="782">
        <v>12047515</v>
      </c>
      <c r="AT2511" s="782"/>
      <c r="AU2511" s="781"/>
      <c r="AV2511" s="782">
        <v>12083307</v>
      </c>
      <c r="AW2511" s="782"/>
      <c r="AX2511" s="782"/>
      <c r="AY2511" s="782">
        <v>12094380</v>
      </c>
      <c r="AZ2511" s="782">
        <v>12094381</v>
      </c>
      <c r="BA2511" s="781"/>
      <c r="BB2511" s="209">
        <v>23053185</v>
      </c>
    </row>
    <row r="2512" spans="1:54" ht="25" hidden="1" customHeight="1">
      <c r="B2512" s="271">
        <v>45889</v>
      </c>
      <c r="C2512" s="870" t="s">
        <v>1933</v>
      </c>
      <c r="D2512" s="185">
        <f t="shared" si="987"/>
        <v>2025</v>
      </c>
      <c r="E2512" s="272" t="e">
        <f>VLOOKUP($B2512,Week!$A$1:$C$1462,2,0)</f>
        <v>#N/A</v>
      </c>
      <c r="F2512" s="273" t="str">
        <f t="shared" si="988"/>
        <v>Aug</v>
      </c>
      <c r="G2512" s="274" t="s">
        <v>47</v>
      </c>
      <c r="H2512" s="274" t="s">
        <v>518</v>
      </c>
      <c r="I2512" s="274" t="s">
        <v>2702</v>
      </c>
      <c r="J2512" s="275" t="s">
        <v>70</v>
      </c>
      <c r="K2512" s="276" t="s">
        <v>556</v>
      </c>
      <c r="L2512" s="300" t="s">
        <v>2167</v>
      </c>
      <c r="M2512" s="275" t="s">
        <v>520</v>
      </c>
      <c r="N2512" s="423" t="s">
        <v>586</v>
      </c>
      <c r="O2512" s="274" t="s">
        <v>585</v>
      </c>
      <c r="P2512" s="277">
        <v>12</v>
      </c>
      <c r="Q2512" s="277">
        <v>5</v>
      </c>
      <c r="R2512" s="278">
        <v>6.0000000000000001E-3</v>
      </c>
      <c r="S2512" s="274" t="s">
        <v>55</v>
      </c>
      <c r="T2512" s="274" t="s">
        <v>56</v>
      </c>
      <c r="U2512" s="274" t="s">
        <v>57</v>
      </c>
      <c r="V2512" s="279">
        <f>400</f>
        <v>400</v>
      </c>
      <c r="W2512" s="279">
        <v>400</v>
      </c>
      <c r="X2512" s="280"/>
      <c r="Y2512" s="281">
        <f t="shared" si="984"/>
        <v>0</v>
      </c>
      <c r="Z2512" s="282">
        <f t="shared" si="985"/>
        <v>0</v>
      </c>
      <c r="AA2512" s="282">
        <f t="shared" si="989"/>
        <v>0</v>
      </c>
      <c r="AB2512" s="812">
        <v>7.4999999999999997E-3</v>
      </c>
      <c r="AC2512" s="279">
        <f t="shared" si="993"/>
        <v>0</v>
      </c>
      <c r="AD2512" s="209"/>
      <c r="AE2512" s="210">
        <f t="shared" si="992"/>
        <v>0</v>
      </c>
      <c r="AF2512" s="210">
        <f>AE2512/0.54</f>
        <v>0</v>
      </c>
      <c r="AG2512" s="211">
        <f t="shared" si="990"/>
        <v>0.13500000000000001</v>
      </c>
      <c r="AH2512" s="157">
        <f t="shared" si="995"/>
        <v>0</v>
      </c>
      <c r="AI2512" s="152">
        <f t="shared" si="991"/>
        <v>4800</v>
      </c>
      <c r="AK2512" s="156" t="s">
        <v>691</v>
      </c>
      <c r="AL2512" s="212" t="s">
        <v>690</v>
      </c>
      <c r="AM2512" s="198">
        <f t="shared" si="982"/>
        <v>0</v>
      </c>
      <c r="AN2512" s="199">
        <f t="shared" si="983"/>
        <v>45889</v>
      </c>
      <c r="AO2512" s="159" t="s">
        <v>692</v>
      </c>
      <c r="AP2512" s="781"/>
      <c r="AQ2512" s="782">
        <v>12071839</v>
      </c>
      <c r="AR2512" s="782">
        <v>12047514</v>
      </c>
      <c r="AS2512" s="782">
        <v>12047515</v>
      </c>
      <c r="AT2512" s="782"/>
      <c r="AU2512" s="781"/>
      <c r="AV2512" s="782">
        <v>12083307</v>
      </c>
      <c r="AW2512" s="782"/>
      <c r="AX2512" s="782"/>
      <c r="AY2512" s="782">
        <v>12094380</v>
      </c>
      <c r="AZ2512" s="782">
        <v>12094381</v>
      </c>
      <c r="BA2512" s="781"/>
      <c r="BB2512" s="209">
        <v>23053185</v>
      </c>
    </row>
    <row r="2513" spans="1:54" ht="25" hidden="1" customHeight="1">
      <c r="A2513" s="529" t="s">
        <v>1937</v>
      </c>
      <c r="B2513" s="357">
        <v>45889</v>
      </c>
      <c r="C2513" s="776" t="s">
        <v>1933</v>
      </c>
      <c r="D2513" s="185">
        <f t="shared" si="987"/>
        <v>2025</v>
      </c>
      <c r="E2513" s="358" t="e">
        <f>VLOOKUP($B2513,Week!$A$1:$C$1462,2,0)</f>
        <v>#N/A</v>
      </c>
      <c r="F2513" s="360" t="str">
        <f t="shared" si="988"/>
        <v>Aug</v>
      </c>
      <c r="G2513" s="359" t="s">
        <v>47</v>
      </c>
      <c r="H2513" s="359" t="s">
        <v>518</v>
      </c>
      <c r="I2513" s="359" t="s">
        <v>2702</v>
      </c>
      <c r="J2513" s="361" t="s">
        <v>70</v>
      </c>
      <c r="K2513" s="362" t="s">
        <v>94</v>
      </c>
      <c r="L2513" s="362" t="s">
        <v>2167</v>
      </c>
      <c r="M2513" s="361" t="s">
        <v>519</v>
      </c>
      <c r="N2513" s="436" t="s">
        <v>648</v>
      </c>
      <c r="O2513" s="359" t="s">
        <v>97</v>
      </c>
      <c r="P2513" s="363">
        <v>12</v>
      </c>
      <c r="Q2513" s="363">
        <v>5</v>
      </c>
      <c r="R2513" s="364">
        <v>8.0000000000000002E-3</v>
      </c>
      <c r="S2513" s="359" t="s">
        <v>40</v>
      </c>
      <c r="T2513" s="359" t="s">
        <v>56</v>
      </c>
      <c r="U2513" s="359" t="s">
        <v>57</v>
      </c>
      <c r="V2513" s="365">
        <v>12</v>
      </c>
      <c r="W2513" s="365">
        <f>144/12</f>
        <v>12</v>
      </c>
      <c r="X2513" s="366"/>
      <c r="Y2513" s="367">
        <f t="shared" si="984"/>
        <v>0</v>
      </c>
      <c r="Z2513" s="368">
        <f t="shared" si="985"/>
        <v>0</v>
      </c>
      <c r="AA2513" s="368">
        <f t="shared" si="989"/>
        <v>0</v>
      </c>
      <c r="AB2513" s="819">
        <v>7.4999999999999997E-3</v>
      </c>
      <c r="AC2513" s="365">
        <f t="shared" si="993"/>
        <v>0</v>
      </c>
      <c r="AD2513" s="209"/>
      <c r="AE2513" s="210">
        <f t="shared" si="992"/>
        <v>0</v>
      </c>
      <c r="AF2513" s="210">
        <f t="shared" si="994"/>
        <v>0</v>
      </c>
      <c r="AG2513" s="211">
        <f t="shared" si="990"/>
        <v>0.14499999999999999</v>
      </c>
      <c r="AH2513" s="157">
        <f t="shared" si="995"/>
        <v>0</v>
      </c>
      <c r="AI2513" s="152">
        <f t="shared" si="991"/>
        <v>144</v>
      </c>
      <c r="AK2513" s="156" t="s">
        <v>691</v>
      </c>
      <c r="AL2513" s="574" t="s">
        <v>690</v>
      </c>
      <c r="AM2513" s="198">
        <f t="shared" si="982"/>
        <v>0</v>
      </c>
      <c r="AN2513" s="199">
        <f t="shared" si="983"/>
        <v>45889</v>
      </c>
      <c r="AO2513" s="159" t="s">
        <v>692</v>
      </c>
      <c r="AP2513" s="783" t="s">
        <v>628</v>
      </c>
      <c r="AQ2513" s="782">
        <v>12071839</v>
      </c>
      <c r="AR2513" s="782">
        <v>12047514</v>
      </c>
      <c r="AS2513" s="782">
        <v>12047515</v>
      </c>
      <c r="AT2513" s="782"/>
      <c r="AU2513" s="781"/>
      <c r="AV2513" s="782">
        <v>12080617</v>
      </c>
      <c r="AW2513" s="782"/>
      <c r="AX2513" s="782"/>
      <c r="AY2513" s="782">
        <v>12094231</v>
      </c>
      <c r="AZ2513" s="782">
        <v>1209232</v>
      </c>
      <c r="BA2513" s="781"/>
      <c r="BB2513" s="209"/>
    </row>
    <row r="2514" spans="1:54" ht="25" hidden="1" customHeight="1">
      <c r="B2514" s="357">
        <v>45889</v>
      </c>
      <c r="C2514" s="776" t="s">
        <v>1933</v>
      </c>
      <c r="D2514" s="185">
        <f t="shared" si="987"/>
        <v>2025</v>
      </c>
      <c r="E2514" s="358" t="e">
        <f>VLOOKUP($B2514,Week!$A$1:$C$1462,2,0)</f>
        <v>#N/A</v>
      </c>
      <c r="F2514" s="360" t="str">
        <f t="shared" si="988"/>
        <v>Aug</v>
      </c>
      <c r="G2514" s="359" t="s">
        <v>47</v>
      </c>
      <c r="H2514" s="359" t="s">
        <v>518</v>
      </c>
      <c r="I2514" s="359" t="s">
        <v>2702</v>
      </c>
      <c r="J2514" s="361" t="s">
        <v>70</v>
      </c>
      <c r="K2514" s="362" t="s">
        <v>94</v>
      </c>
      <c r="L2514" s="300" t="s">
        <v>2167</v>
      </c>
      <c r="M2514" s="361" t="s">
        <v>2341</v>
      </c>
      <c r="N2514" s="359" t="s">
        <v>589</v>
      </c>
      <c r="O2514" s="359" t="s">
        <v>97</v>
      </c>
      <c r="P2514" s="363">
        <v>12</v>
      </c>
      <c r="Q2514" s="363">
        <v>5</v>
      </c>
      <c r="R2514" s="364">
        <v>8.0000000000000002E-3</v>
      </c>
      <c r="S2514" s="359" t="s">
        <v>40</v>
      </c>
      <c r="T2514" s="359" t="s">
        <v>56</v>
      </c>
      <c r="U2514" s="359" t="s">
        <v>57</v>
      </c>
      <c r="V2514" s="365">
        <f>1250</f>
        <v>1250</v>
      </c>
      <c r="W2514" s="365">
        <v>1250</v>
      </c>
      <c r="X2514" s="366"/>
      <c r="Y2514" s="367">
        <f t="shared" si="984"/>
        <v>0</v>
      </c>
      <c r="Z2514" s="368">
        <f t="shared" si="985"/>
        <v>0</v>
      </c>
      <c r="AA2514" s="368">
        <f t="shared" si="989"/>
        <v>0</v>
      </c>
      <c r="AB2514" s="819">
        <v>7.4999999999999997E-3</v>
      </c>
      <c r="AC2514" s="365">
        <f t="shared" ref="AC2514:AC2530" si="996">Z2514*AB2514</f>
        <v>0</v>
      </c>
      <c r="AD2514" s="209"/>
      <c r="AE2514" s="210">
        <f t="shared" si="992"/>
        <v>0</v>
      </c>
      <c r="AF2514" s="210">
        <f t="shared" si="994"/>
        <v>0</v>
      </c>
      <c r="AG2514" s="211">
        <f t="shared" si="990"/>
        <v>0.14499999999999999</v>
      </c>
      <c r="AH2514" s="157">
        <f t="shared" ref="AH2514:AH2529" si="997">(Z2514*AG2514)/1000</f>
        <v>0</v>
      </c>
      <c r="AI2514" s="152">
        <f t="shared" si="991"/>
        <v>15000</v>
      </c>
      <c r="AK2514" s="156" t="s">
        <v>691</v>
      </c>
      <c r="AL2514" s="574" t="s">
        <v>690</v>
      </c>
      <c r="AM2514" s="198">
        <f t="shared" si="982"/>
        <v>0</v>
      </c>
      <c r="AN2514" s="199">
        <f t="shared" si="983"/>
        <v>45889</v>
      </c>
      <c r="AO2514" s="159" t="s">
        <v>692</v>
      </c>
      <c r="AP2514" s="783" t="s">
        <v>628</v>
      </c>
      <c r="AQ2514" s="782">
        <v>12071839</v>
      </c>
      <c r="AR2514" s="782">
        <v>12047514</v>
      </c>
      <c r="AS2514" s="782">
        <v>12047515</v>
      </c>
      <c r="AT2514" s="782"/>
      <c r="AU2514" s="781"/>
      <c r="AV2514" s="782">
        <v>12080617</v>
      </c>
      <c r="AW2514" s="782"/>
      <c r="AX2514" s="782"/>
      <c r="AY2514" s="782">
        <v>12094231</v>
      </c>
      <c r="AZ2514" s="782">
        <v>1209232</v>
      </c>
      <c r="BA2514" s="781"/>
      <c r="BB2514" s="209">
        <v>23053185</v>
      </c>
    </row>
    <row r="2515" spans="1:54" ht="25" hidden="1" customHeight="1">
      <c r="B2515" s="424">
        <v>45889</v>
      </c>
      <c r="C2515" s="647" t="s">
        <v>1933</v>
      </c>
      <c r="D2515" s="185">
        <f t="shared" si="987"/>
        <v>2025</v>
      </c>
      <c r="E2515" s="425" t="e">
        <f>VLOOKUP($B2515,Week!$A$1:$C$1462,2,0)</f>
        <v>#N/A</v>
      </c>
      <c r="F2515" s="426" t="str">
        <f t="shared" si="988"/>
        <v>Aug</v>
      </c>
      <c r="G2515" s="427" t="s">
        <v>47</v>
      </c>
      <c r="H2515" s="427" t="s">
        <v>518</v>
      </c>
      <c r="I2515" s="427" t="s">
        <v>2702</v>
      </c>
      <c r="J2515" s="428" t="s">
        <v>70</v>
      </c>
      <c r="K2515" s="429" t="s">
        <v>94</v>
      </c>
      <c r="L2515" s="300" t="s">
        <v>2167</v>
      </c>
      <c r="M2515" s="428" t="s">
        <v>2342</v>
      </c>
      <c r="N2515" s="427" t="s">
        <v>587</v>
      </c>
      <c r="O2515" s="427" t="s">
        <v>3198</v>
      </c>
      <c r="P2515" s="430">
        <v>18</v>
      </c>
      <c r="Q2515" s="430">
        <v>5</v>
      </c>
      <c r="R2515" s="431">
        <v>8.0000000000000002E-3</v>
      </c>
      <c r="S2515" s="427" t="s">
        <v>40</v>
      </c>
      <c r="T2515" s="427" t="s">
        <v>56</v>
      </c>
      <c r="U2515" s="427" t="s">
        <v>89</v>
      </c>
      <c r="V2515" s="432">
        <v>1200</v>
      </c>
      <c r="W2515" s="432">
        <f>55+1066+55+24</f>
        <v>1200</v>
      </c>
      <c r="X2515" s="433"/>
      <c r="Y2515" s="434">
        <f t="shared" si="984"/>
        <v>0</v>
      </c>
      <c r="Z2515" s="435">
        <f t="shared" si="985"/>
        <v>0</v>
      </c>
      <c r="AA2515" s="435">
        <f t="shared" si="989"/>
        <v>0</v>
      </c>
      <c r="AB2515" s="826">
        <v>1</v>
      </c>
      <c r="AC2515" s="432">
        <f t="shared" si="996"/>
        <v>0</v>
      </c>
      <c r="AD2515" s="209"/>
      <c r="AE2515" s="210">
        <f t="shared" si="992"/>
        <v>0</v>
      </c>
      <c r="AF2515" s="210">
        <f t="shared" ref="AF2515:AF2530" si="998">AE2515/0.54</f>
        <v>0</v>
      </c>
      <c r="AG2515" s="211" t="e">
        <f>(MID(O2515,1,3)/1000)/3</f>
        <v>#VALUE!</v>
      </c>
      <c r="AH2515" s="157" t="e">
        <f t="shared" si="997"/>
        <v>#VALUE!</v>
      </c>
      <c r="AI2515" s="152">
        <f t="shared" si="991"/>
        <v>21600</v>
      </c>
      <c r="AK2515" s="156" t="s">
        <v>691</v>
      </c>
      <c r="AL2515" s="212" t="s">
        <v>690</v>
      </c>
      <c r="AM2515" s="198" t="e">
        <f t="shared" si="982"/>
        <v>#VALUE!</v>
      </c>
      <c r="AN2515" s="199">
        <f t="shared" si="983"/>
        <v>45889</v>
      </c>
      <c r="AO2515" s="159" t="s">
        <v>692</v>
      </c>
      <c r="AP2515" s="783" t="s">
        <v>628</v>
      </c>
      <c r="AQ2515" s="782"/>
      <c r="AR2515" s="782"/>
      <c r="AS2515" s="782"/>
      <c r="AT2515" s="782"/>
      <c r="AU2515" s="781"/>
      <c r="AV2515" s="782">
        <v>12080791</v>
      </c>
      <c r="AW2515" s="782" t="s">
        <v>641</v>
      </c>
      <c r="AX2515" s="782" t="s">
        <v>533</v>
      </c>
      <c r="AY2515" s="782"/>
      <c r="AZ2515" s="782"/>
      <c r="BA2515" s="781"/>
      <c r="BB2515" s="209">
        <v>23053184</v>
      </c>
    </row>
    <row r="2516" spans="1:54" ht="24.65" hidden="1" customHeight="1">
      <c r="B2516" s="411">
        <v>45889</v>
      </c>
      <c r="C2516" s="645" t="s">
        <v>1933</v>
      </c>
      <c r="D2516" s="185">
        <f t="shared" si="987"/>
        <v>2025</v>
      </c>
      <c r="E2516" s="412" t="e">
        <f>VLOOKUP($B2516,Week!$A$1:$C$1462,2,0)</f>
        <v>#N/A</v>
      </c>
      <c r="F2516" s="413" t="str">
        <f t="shared" si="988"/>
        <v>Aug</v>
      </c>
      <c r="G2516" s="414" t="s">
        <v>47</v>
      </c>
      <c r="H2516" s="414" t="s">
        <v>260</v>
      </c>
      <c r="I2516" s="414" t="s">
        <v>2702</v>
      </c>
      <c r="J2516" s="415" t="s">
        <v>261</v>
      </c>
      <c r="K2516" s="416" t="s">
        <v>94</v>
      </c>
      <c r="L2516" s="300" t="s">
        <v>2167</v>
      </c>
      <c r="M2516" s="415" t="s">
        <v>2339</v>
      </c>
      <c r="N2516" s="414" t="s">
        <v>263</v>
      </c>
      <c r="O2516" s="414" t="s">
        <v>195</v>
      </c>
      <c r="P2516" s="417">
        <v>24</v>
      </c>
      <c r="Q2516" s="417">
        <v>5</v>
      </c>
      <c r="R2516" s="418">
        <v>8.0000000000000002E-3</v>
      </c>
      <c r="S2516" s="414" t="s">
        <v>40</v>
      </c>
      <c r="T2516" s="414" t="s">
        <v>56</v>
      </c>
      <c r="U2516" s="414" t="s">
        <v>57</v>
      </c>
      <c r="V2516" s="419">
        <v>1037</v>
      </c>
      <c r="W2516" s="419">
        <f>6195-6121+963</f>
        <v>1037</v>
      </c>
      <c r="X2516" s="420"/>
      <c r="Y2516" s="421">
        <f t="shared" si="984"/>
        <v>0</v>
      </c>
      <c r="Z2516" s="422">
        <f t="shared" si="985"/>
        <v>0</v>
      </c>
      <c r="AA2516" s="422">
        <f t="shared" si="989"/>
        <v>0</v>
      </c>
      <c r="AB2516" s="825">
        <v>7.4999999999999997E-3</v>
      </c>
      <c r="AC2516" s="419">
        <f t="shared" si="996"/>
        <v>0</v>
      </c>
      <c r="AD2516" s="209"/>
      <c r="AE2516" s="210">
        <f t="shared" si="992"/>
        <v>0</v>
      </c>
      <c r="AF2516" s="210">
        <f t="shared" si="998"/>
        <v>0</v>
      </c>
      <c r="AG2516" s="211">
        <f t="shared" ref="AG2516:AG2530" si="999">MID(O2516,1,3)/1000</f>
        <v>0.14499999999999999</v>
      </c>
      <c r="AH2516" s="157">
        <f t="shared" si="997"/>
        <v>0</v>
      </c>
      <c r="AI2516" s="152">
        <f t="shared" si="991"/>
        <v>24888</v>
      </c>
      <c r="AK2516" s="156" t="s">
        <v>691</v>
      </c>
      <c r="AL2516" s="212" t="s">
        <v>690</v>
      </c>
      <c r="AM2516" s="198">
        <f t="shared" si="982"/>
        <v>0</v>
      </c>
      <c r="AN2516" s="199">
        <f t="shared" si="983"/>
        <v>45889</v>
      </c>
      <c r="AO2516" s="159" t="s">
        <v>692</v>
      </c>
      <c r="AP2516" s="783" t="s">
        <v>609</v>
      </c>
      <c r="AQ2516" s="782">
        <v>12071839</v>
      </c>
      <c r="AR2516" s="782">
        <v>12047514</v>
      </c>
      <c r="AS2516" s="782">
        <v>12047515</v>
      </c>
      <c r="AT2516" s="781"/>
      <c r="AU2516" s="781"/>
      <c r="AV2516" s="782">
        <v>12080613</v>
      </c>
      <c r="AW2516" s="781"/>
      <c r="AX2516" s="781"/>
      <c r="AY2516" s="782">
        <v>12094241</v>
      </c>
      <c r="AZ2516" s="782">
        <v>12094242</v>
      </c>
      <c r="BA2516" s="781"/>
      <c r="BB2516" s="209">
        <v>23053185</v>
      </c>
    </row>
    <row r="2517" spans="1:54" ht="25" hidden="1" customHeight="1">
      <c r="A2517" s="142" t="s">
        <v>120</v>
      </c>
      <c r="B2517" s="385">
        <v>45890</v>
      </c>
      <c r="C2517" s="386">
        <v>45897</v>
      </c>
      <c r="D2517" s="185">
        <f t="shared" si="987"/>
        <v>2025</v>
      </c>
      <c r="E2517" s="386" t="e">
        <f>VLOOKUP($B2517,Week!$A$1:$C$1462,2,0)</f>
        <v>#N/A</v>
      </c>
      <c r="F2517" s="387" t="str">
        <f t="shared" si="988"/>
        <v>Aug</v>
      </c>
      <c r="G2517" s="388" t="s">
        <v>2357</v>
      </c>
      <c r="H2517" s="388" t="s">
        <v>500</v>
      </c>
      <c r="I2517" s="388" t="s">
        <v>2772</v>
      </c>
      <c r="J2517" s="389" t="s">
        <v>285</v>
      </c>
      <c r="K2517" s="390" t="s">
        <v>153</v>
      </c>
      <c r="L2517" s="390" t="s">
        <v>2166</v>
      </c>
      <c r="M2517" s="389" t="s">
        <v>165</v>
      </c>
      <c r="N2517" s="388" t="s">
        <v>286</v>
      </c>
      <c r="O2517" s="388" t="s">
        <v>503</v>
      </c>
      <c r="P2517" s="391">
        <v>40</v>
      </c>
      <c r="Q2517" s="391">
        <v>12</v>
      </c>
      <c r="R2517" s="392">
        <v>6.8100000000000001E-3</v>
      </c>
      <c r="S2517" s="388" t="s">
        <v>76</v>
      </c>
      <c r="T2517" s="388" t="s">
        <v>56</v>
      </c>
      <c r="U2517" s="388" t="s">
        <v>89</v>
      </c>
      <c r="V2517" s="393">
        <f>1624-583-588</f>
        <v>453</v>
      </c>
      <c r="W2517" s="393">
        <v>453</v>
      </c>
      <c r="X2517" s="394"/>
      <c r="Y2517" s="395">
        <f t="shared" si="984"/>
        <v>0</v>
      </c>
      <c r="Z2517" s="396">
        <f t="shared" si="985"/>
        <v>0</v>
      </c>
      <c r="AA2517" s="396">
        <f t="shared" si="989"/>
        <v>0</v>
      </c>
      <c r="AB2517" s="823">
        <v>2</v>
      </c>
      <c r="AC2517" s="393">
        <f t="shared" si="996"/>
        <v>0</v>
      </c>
      <c r="AD2517" s="209"/>
      <c r="AE2517" s="210">
        <f t="shared" si="992"/>
        <v>0</v>
      </c>
      <c r="AF2517" s="210">
        <f t="shared" si="998"/>
        <v>0</v>
      </c>
      <c r="AG2517" s="211">
        <f t="shared" si="999"/>
        <v>0.154</v>
      </c>
      <c r="AH2517" s="157">
        <f t="shared" si="997"/>
        <v>0</v>
      </c>
      <c r="AI2517" s="152">
        <f t="shared" si="991"/>
        <v>18120</v>
      </c>
      <c r="AK2517" s="156" t="s">
        <v>691</v>
      </c>
      <c r="AL2517" s="156" t="s">
        <v>689</v>
      </c>
      <c r="AM2517" s="198">
        <f t="shared" si="982"/>
        <v>0</v>
      </c>
      <c r="AN2517" s="199">
        <f t="shared" si="983"/>
        <v>45890</v>
      </c>
      <c r="AO2517" s="159" t="s">
        <v>692</v>
      </c>
      <c r="AP2517" s="783" t="s">
        <v>611</v>
      </c>
      <c r="AQ2517" s="782">
        <v>12088677</v>
      </c>
      <c r="AR2517" s="782">
        <v>12019692</v>
      </c>
      <c r="AS2517" s="781"/>
      <c r="AT2517" s="782">
        <v>12065371</v>
      </c>
      <c r="AU2517" s="782"/>
      <c r="AV2517" s="782">
        <v>12055895</v>
      </c>
      <c r="AW2517" s="782">
        <v>12034747</v>
      </c>
      <c r="AX2517" s="782" t="s">
        <v>398</v>
      </c>
      <c r="AY2517" s="781" t="s">
        <v>290</v>
      </c>
      <c r="AZ2517" s="781"/>
      <c r="BA2517" s="781"/>
      <c r="BB2517" s="209">
        <v>23053184</v>
      </c>
    </row>
    <row r="2518" spans="1:54" ht="25" hidden="1" customHeight="1">
      <c r="A2518" s="142" t="s">
        <v>120</v>
      </c>
      <c r="B2518" s="271">
        <v>45890</v>
      </c>
      <c r="C2518" s="272">
        <v>45897</v>
      </c>
      <c r="D2518" s="185">
        <f t="shared" si="987"/>
        <v>2025</v>
      </c>
      <c r="E2518" s="272" t="e">
        <f>VLOOKUP($B2518,Week!$A$1:$C$1462,2,0)</f>
        <v>#N/A</v>
      </c>
      <c r="F2518" s="273" t="str">
        <f t="shared" si="988"/>
        <v>Aug</v>
      </c>
      <c r="G2518" s="274" t="s">
        <v>2358</v>
      </c>
      <c r="H2518" s="274" t="s">
        <v>500</v>
      </c>
      <c r="I2518" s="274" t="s">
        <v>2772</v>
      </c>
      <c r="J2518" s="275" t="s">
        <v>285</v>
      </c>
      <c r="K2518" s="276" t="s">
        <v>153</v>
      </c>
      <c r="L2518" s="390" t="s">
        <v>2166</v>
      </c>
      <c r="M2518" s="275" t="s">
        <v>86</v>
      </c>
      <c r="N2518" s="274" t="s">
        <v>547</v>
      </c>
      <c r="O2518" s="274" t="s">
        <v>548</v>
      </c>
      <c r="P2518" s="277">
        <v>10</v>
      </c>
      <c r="Q2518" s="277">
        <v>50</v>
      </c>
      <c r="R2518" s="278">
        <v>6.8100000000000001E-3</v>
      </c>
      <c r="S2518" s="274" t="s">
        <v>76</v>
      </c>
      <c r="T2518" s="274" t="s">
        <v>56</v>
      </c>
      <c r="U2518" s="274" t="s">
        <v>89</v>
      </c>
      <c r="V2518" s="279">
        <f>101</f>
        <v>101</v>
      </c>
      <c r="W2518" s="279">
        <v>101</v>
      </c>
      <c r="X2518" s="280"/>
      <c r="Y2518" s="281">
        <f t="shared" si="984"/>
        <v>0</v>
      </c>
      <c r="Z2518" s="282">
        <f t="shared" si="985"/>
        <v>0</v>
      </c>
      <c r="AA2518" s="282">
        <f t="shared" si="989"/>
        <v>0</v>
      </c>
      <c r="AB2518" s="812">
        <v>6</v>
      </c>
      <c r="AC2518" s="279">
        <f t="shared" si="996"/>
        <v>0</v>
      </c>
      <c r="AD2518" s="209"/>
      <c r="AE2518" s="210">
        <f t="shared" si="992"/>
        <v>0</v>
      </c>
      <c r="AF2518" s="210">
        <f t="shared" si="998"/>
        <v>0</v>
      </c>
      <c r="AG2518" s="211">
        <f t="shared" si="999"/>
        <v>0.63</v>
      </c>
      <c r="AH2518" s="157">
        <f t="shared" si="997"/>
        <v>0</v>
      </c>
      <c r="AI2518" s="152">
        <f t="shared" si="991"/>
        <v>1010</v>
      </c>
      <c r="AK2518" s="156" t="s">
        <v>691</v>
      </c>
      <c r="AL2518" s="156" t="s">
        <v>689</v>
      </c>
      <c r="AM2518" s="198">
        <f t="shared" si="982"/>
        <v>0</v>
      </c>
      <c r="AN2518" s="199">
        <f t="shared" si="983"/>
        <v>45890</v>
      </c>
      <c r="AO2518" s="159" t="s">
        <v>692</v>
      </c>
      <c r="AP2518" s="783" t="s">
        <v>620</v>
      </c>
      <c r="AQ2518" s="796" t="s">
        <v>422</v>
      </c>
      <c r="AR2518" s="782">
        <v>12055234</v>
      </c>
      <c r="AS2518" s="781"/>
      <c r="AT2518" s="782"/>
      <c r="AU2518" s="782"/>
      <c r="AV2518" s="782">
        <v>12062809</v>
      </c>
      <c r="AW2518" s="782"/>
      <c r="AX2518" s="782" t="s">
        <v>619</v>
      </c>
      <c r="AY2518" s="781"/>
      <c r="AZ2518" s="781"/>
      <c r="BA2518" s="781"/>
      <c r="BB2518" s="209">
        <v>23053184</v>
      </c>
    </row>
    <row r="2519" spans="1:54" ht="24.65" hidden="1" customHeight="1">
      <c r="A2519" s="529" t="s">
        <v>2484</v>
      </c>
      <c r="B2519" s="411">
        <v>45890</v>
      </c>
      <c r="C2519" s="645" t="s">
        <v>1933</v>
      </c>
      <c r="D2519" s="185">
        <f t="shared" si="987"/>
        <v>2025</v>
      </c>
      <c r="E2519" s="412" t="e">
        <f>VLOOKUP($B2519,Week!$A$1:$C$1462,2,0)</f>
        <v>#N/A</v>
      </c>
      <c r="F2519" s="413" t="str">
        <f t="shared" si="988"/>
        <v>Aug</v>
      </c>
      <c r="G2519" s="414" t="s">
        <v>47</v>
      </c>
      <c r="H2519" s="414" t="s">
        <v>260</v>
      </c>
      <c r="I2519" s="414" t="s">
        <v>2702</v>
      </c>
      <c r="J2519" s="415" t="s">
        <v>261</v>
      </c>
      <c r="K2519" s="416" t="s">
        <v>94</v>
      </c>
      <c r="L2519" s="300" t="s">
        <v>2167</v>
      </c>
      <c r="M2519" s="415" t="s">
        <v>2339</v>
      </c>
      <c r="N2519" s="414" t="s">
        <v>263</v>
      </c>
      <c r="O2519" s="414" t="s">
        <v>195</v>
      </c>
      <c r="P2519" s="417">
        <v>24</v>
      </c>
      <c r="Q2519" s="417">
        <v>5</v>
      </c>
      <c r="R2519" s="418">
        <v>8.0000000000000002E-3</v>
      </c>
      <c r="S2519" s="414" t="s">
        <v>40</v>
      </c>
      <c r="T2519" s="414" t="s">
        <v>56</v>
      </c>
      <c r="U2519" s="414" t="s">
        <v>57</v>
      </c>
      <c r="V2519" s="419">
        <v>3507</v>
      </c>
      <c r="W2519" s="419">
        <f>3507</f>
        <v>3507</v>
      </c>
      <c r="X2519" s="420"/>
      <c r="Y2519" s="421">
        <f t="shared" si="984"/>
        <v>0</v>
      </c>
      <c r="Z2519" s="422">
        <f t="shared" si="985"/>
        <v>0</v>
      </c>
      <c r="AA2519" s="422">
        <f t="shared" si="989"/>
        <v>0</v>
      </c>
      <c r="AB2519" s="825">
        <v>7.4999999999999997E-3</v>
      </c>
      <c r="AC2519" s="419">
        <f t="shared" si="996"/>
        <v>0</v>
      </c>
      <c r="AD2519" s="209"/>
      <c r="AE2519" s="210">
        <f t="shared" si="992"/>
        <v>0</v>
      </c>
      <c r="AF2519" s="210">
        <f t="shared" si="998"/>
        <v>0</v>
      </c>
      <c r="AG2519" s="211">
        <f t="shared" si="999"/>
        <v>0.14499999999999999</v>
      </c>
      <c r="AH2519" s="157">
        <f t="shared" si="997"/>
        <v>0</v>
      </c>
      <c r="AI2519" s="152">
        <f t="shared" si="991"/>
        <v>84168</v>
      </c>
      <c r="AK2519" s="156" t="s">
        <v>691</v>
      </c>
      <c r="AL2519" s="212" t="s">
        <v>690</v>
      </c>
      <c r="AM2519" s="198">
        <f t="shared" si="982"/>
        <v>0</v>
      </c>
      <c r="AN2519" s="199">
        <f t="shared" si="983"/>
        <v>45890</v>
      </c>
      <c r="AO2519" s="159" t="s">
        <v>692</v>
      </c>
      <c r="AP2519" s="783" t="s">
        <v>609</v>
      </c>
      <c r="AQ2519" s="782">
        <v>12071839</v>
      </c>
      <c r="AR2519" s="782">
        <v>12047514</v>
      </c>
      <c r="AS2519" s="782">
        <v>12047515</v>
      </c>
      <c r="AT2519" s="781"/>
      <c r="AU2519" s="781"/>
      <c r="AV2519" s="782">
        <v>12080613</v>
      </c>
      <c r="AW2519" s="781"/>
      <c r="AX2519" s="781"/>
      <c r="AY2519" s="782">
        <v>12094241</v>
      </c>
      <c r="AZ2519" s="782">
        <v>12094242</v>
      </c>
      <c r="BA2519" s="781"/>
      <c r="BB2519" s="209">
        <v>23053185</v>
      </c>
    </row>
    <row r="2520" spans="1:54" ht="24.75" hidden="1" customHeight="1">
      <c r="A2520" s="142" t="s">
        <v>120</v>
      </c>
      <c r="B2520" s="308">
        <v>45891</v>
      </c>
      <c r="C2520" s="644" t="s">
        <v>1933</v>
      </c>
      <c r="D2520" s="185">
        <f t="shared" si="987"/>
        <v>2025</v>
      </c>
      <c r="E2520" s="519" t="e">
        <f>VLOOKUP($B2520,Week!$A$1:$C$1462,2,0)</f>
        <v>#N/A</v>
      </c>
      <c r="F2520" s="520" t="str">
        <f t="shared" si="988"/>
        <v>Aug</v>
      </c>
      <c r="G2520" s="644" t="s">
        <v>47</v>
      </c>
      <c r="H2520" s="311" t="s">
        <v>518</v>
      </c>
      <c r="I2520" s="311" t="s">
        <v>2702</v>
      </c>
      <c r="J2520" s="312" t="s">
        <v>70</v>
      </c>
      <c r="K2520" s="313" t="s">
        <v>85</v>
      </c>
      <c r="L2520" s="390" t="s">
        <v>2166</v>
      </c>
      <c r="M2520" s="312" t="s">
        <v>515</v>
      </c>
      <c r="N2520" s="311" t="s">
        <v>588</v>
      </c>
      <c r="O2520" s="311" t="s">
        <v>546</v>
      </c>
      <c r="P2520" s="314">
        <v>12</v>
      </c>
      <c r="Q2520" s="314">
        <v>20</v>
      </c>
      <c r="R2520" s="315">
        <v>6.1999999999999998E-3</v>
      </c>
      <c r="S2520" s="311" t="s">
        <v>352</v>
      </c>
      <c r="T2520" s="311" t="s">
        <v>56</v>
      </c>
      <c r="U2520" s="311"/>
      <c r="V2520" s="316">
        <f>500</f>
        <v>500</v>
      </c>
      <c r="W2520" s="316">
        <f>30+470</f>
        <v>500</v>
      </c>
      <c r="X2520" s="317"/>
      <c r="Y2520" s="318">
        <f t="shared" si="984"/>
        <v>0</v>
      </c>
      <c r="Z2520" s="319">
        <f t="shared" si="985"/>
        <v>0</v>
      </c>
      <c r="AA2520" s="319">
        <f t="shared" si="989"/>
        <v>0</v>
      </c>
      <c r="AB2520" s="815"/>
      <c r="AC2520" s="316">
        <f t="shared" si="996"/>
        <v>0</v>
      </c>
      <c r="AD2520" s="209"/>
      <c r="AE2520" s="210">
        <f t="shared" si="992"/>
        <v>0</v>
      </c>
      <c r="AF2520" s="210">
        <f t="shared" si="998"/>
        <v>0</v>
      </c>
      <c r="AG2520" s="211">
        <f t="shared" si="999"/>
        <v>0.22</v>
      </c>
      <c r="AH2520" s="157">
        <f t="shared" si="997"/>
        <v>0</v>
      </c>
      <c r="AI2520" s="152">
        <f t="shared" si="991"/>
        <v>6000</v>
      </c>
      <c r="AK2520" s="156" t="s">
        <v>691</v>
      </c>
      <c r="AL2520" s="156" t="s">
        <v>689</v>
      </c>
      <c r="AM2520" s="198">
        <f t="shared" si="982"/>
        <v>0</v>
      </c>
      <c r="AN2520" s="199">
        <f t="shared" si="983"/>
        <v>45891</v>
      </c>
      <c r="AO2520" s="159" t="s">
        <v>692</v>
      </c>
      <c r="AP2520" s="783" t="s">
        <v>613</v>
      </c>
      <c r="AQ2520" s="782"/>
      <c r="AR2520" s="782" t="s">
        <v>614</v>
      </c>
      <c r="AS2520" s="782"/>
      <c r="AT2520" s="782"/>
      <c r="AU2520" s="781"/>
      <c r="AV2520" s="782">
        <v>12083143</v>
      </c>
      <c r="AW2520" s="782"/>
      <c r="AX2520" s="782" t="s">
        <v>2187</v>
      </c>
      <c r="AY2520" s="782"/>
      <c r="AZ2520" s="782"/>
      <c r="BA2520" s="781"/>
      <c r="BB2520" s="209"/>
    </row>
    <row r="2521" spans="1:54" ht="24.75" hidden="1" customHeight="1">
      <c r="A2521" s="142" t="s">
        <v>120</v>
      </c>
      <c r="B2521" s="308">
        <v>45891</v>
      </c>
      <c r="C2521" s="644" t="s">
        <v>1933</v>
      </c>
      <c r="D2521" s="185">
        <f t="shared" si="987"/>
        <v>2025</v>
      </c>
      <c r="E2521" s="519" t="e">
        <f>VLOOKUP($B2521,Week!$A$1:$C$1462,2,0)</f>
        <v>#N/A</v>
      </c>
      <c r="F2521" s="520" t="str">
        <f t="shared" si="988"/>
        <v>Aug</v>
      </c>
      <c r="G2521" s="644" t="s">
        <v>47</v>
      </c>
      <c r="H2521" s="311" t="s">
        <v>518</v>
      </c>
      <c r="I2521" s="311" t="s">
        <v>2702</v>
      </c>
      <c r="J2521" s="312" t="s">
        <v>70</v>
      </c>
      <c r="K2521" s="313" t="s">
        <v>85</v>
      </c>
      <c r="L2521" s="390" t="s">
        <v>2166</v>
      </c>
      <c r="M2521" s="312" t="s">
        <v>515</v>
      </c>
      <c r="N2521" s="311" t="s">
        <v>588</v>
      </c>
      <c r="O2521" s="311" t="s">
        <v>546</v>
      </c>
      <c r="P2521" s="314">
        <v>12</v>
      </c>
      <c r="Q2521" s="314">
        <v>20</v>
      </c>
      <c r="R2521" s="315">
        <v>6.1999999999999998E-3</v>
      </c>
      <c r="S2521" s="311" t="s">
        <v>352</v>
      </c>
      <c r="T2521" s="311" t="s">
        <v>56</v>
      </c>
      <c r="U2521" s="311"/>
      <c r="V2521" s="316">
        <f>500</f>
        <v>500</v>
      </c>
      <c r="W2521" s="316">
        <v>500</v>
      </c>
      <c r="X2521" s="317"/>
      <c r="Y2521" s="318">
        <f t="shared" si="984"/>
        <v>0</v>
      </c>
      <c r="Z2521" s="319">
        <f t="shared" si="985"/>
        <v>0</v>
      </c>
      <c r="AA2521" s="319">
        <f t="shared" si="989"/>
        <v>0</v>
      </c>
      <c r="AB2521" s="815"/>
      <c r="AC2521" s="316">
        <f t="shared" si="996"/>
        <v>0</v>
      </c>
      <c r="AD2521" s="209"/>
      <c r="AE2521" s="210">
        <f t="shared" si="992"/>
        <v>0</v>
      </c>
      <c r="AF2521" s="210">
        <f t="shared" si="998"/>
        <v>0</v>
      </c>
      <c r="AG2521" s="211">
        <f t="shared" si="999"/>
        <v>0.22</v>
      </c>
      <c r="AH2521" s="157">
        <f t="shared" si="997"/>
        <v>0</v>
      </c>
      <c r="AI2521" s="152">
        <f t="shared" si="991"/>
        <v>6000</v>
      </c>
      <c r="AK2521" s="156" t="s">
        <v>691</v>
      </c>
      <c r="AL2521" s="156" t="s">
        <v>689</v>
      </c>
      <c r="AM2521" s="198">
        <f t="shared" ref="AM2521:AM2552" si="1000">AG2521*Z2521</f>
        <v>0</v>
      </c>
      <c r="AN2521" s="199">
        <f t="shared" si="983"/>
        <v>45891</v>
      </c>
      <c r="AO2521" s="159" t="s">
        <v>692</v>
      </c>
      <c r="AP2521" s="783" t="s">
        <v>613</v>
      </c>
      <c r="AQ2521" s="782"/>
      <c r="AR2521" s="782" t="s">
        <v>614</v>
      </c>
      <c r="AS2521" s="782"/>
      <c r="AT2521" s="782"/>
      <c r="AU2521" s="781"/>
      <c r="AV2521" s="782">
        <v>12083143</v>
      </c>
      <c r="AW2521" s="782"/>
      <c r="AX2521" s="782" t="s">
        <v>2187</v>
      </c>
      <c r="AY2521" s="782"/>
      <c r="AZ2521" s="782"/>
      <c r="BA2521" s="781"/>
      <c r="BB2521" s="209"/>
    </row>
    <row r="2522" spans="1:54" ht="24.75" hidden="1" customHeight="1">
      <c r="A2522" s="142" t="s">
        <v>120</v>
      </c>
      <c r="B2522" s="308">
        <v>45891</v>
      </c>
      <c r="C2522" s="644" t="s">
        <v>1933</v>
      </c>
      <c r="D2522" s="185">
        <f t="shared" si="987"/>
        <v>2025</v>
      </c>
      <c r="E2522" s="519" t="e">
        <f>VLOOKUP($B2522,Week!$A$1:$C$1462,2,0)</f>
        <v>#N/A</v>
      </c>
      <c r="F2522" s="520" t="str">
        <f t="shared" si="988"/>
        <v>Aug</v>
      </c>
      <c r="G2522" s="644" t="s">
        <v>47</v>
      </c>
      <c r="H2522" s="311" t="s">
        <v>518</v>
      </c>
      <c r="I2522" s="311" t="s">
        <v>2702</v>
      </c>
      <c r="J2522" s="312" t="s">
        <v>70</v>
      </c>
      <c r="K2522" s="313" t="s">
        <v>85</v>
      </c>
      <c r="L2522" s="390" t="s">
        <v>2166</v>
      </c>
      <c r="M2522" s="312" t="s">
        <v>515</v>
      </c>
      <c r="N2522" s="311" t="s">
        <v>588</v>
      </c>
      <c r="O2522" s="311" t="s">
        <v>546</v>
      </c>
      <c r="P2522" s="314">
        <v>12</v>
      </c>
      <c r="Q2522" s="314">
        <v>20</v>
      </c>
      <c r="R2522" s="315">
        <v>6.1999999999999998E-3</v>
      </c>
      <c r="S2522" s="311" t="s">
        <v>352</v>
      </c>
      <c r="T2522" s="311" t="s">
        <v>56</v>
      </c>
      <c r="U2522" s="311"/>
      <c r="V2522" s="316">
        <f>200</f>
        <v>200</v>
      </c>
      <c r="W2522" s="316">
        <v>200</v>
      </c>
      <c r="X2522" s="317"/>
      <c r="Y2522" s="318">
        <f t="shared" si="984"/>
        <v>0</v>
      </c>
      <c r="Z2522" s="319">
        <f t="shared" si="985"/>
        <v>0</v>
      </c>
      <c r="AA2522" s="319">
        <f t="shared" si="989"/>
        <v>0</v>
      </c>
      <c r="AB2522" s="815"/>
      <c r="AC2522" s="316">
        <f t="shared" si="996"/>
        <v>0</v>
      </c>
      <c r="AD2522" s="209"/>
      <c r="AE2522" s="210">
        <f t="shared" si="992"/>
        <v>0</v>
      </c>
      <c r="AF2522" s="210">
        <f t="shared" si="998"/>
        <v>0</v>
      </c>
      <c r="AG2522" s="211">
        <f t="shared" si="999"/>
        <v>0.22</v>
      </c>
      <c r="AH2522" s="157">
        <f t="shared" si="997"/>
        <v>0</v>
      </c>
      <c r="AI2522" s="152">
        <f t="shared" si="991"/>
        <v>2400</v>
      </c>
      <c r="AK2522" s="156" t="s">
        <v>691</v>
      </c>
      <c r="AL2522" s="156" t="s">
        <v>689</v>
      </c>
      <c r="AM2522" s="198">
        <f t="shared" si="1000"/>
        <v>0</v>
      </c>
      <c r="AN2522" s="199">
        <f t="shared" si="983"/>
        <v>45891</v>
      </c>
      <c r="AO2522" s="159" t="s">
        <v>692</v>
      </c>
      <c r="AP2522" s="783" t="s">
        <v>613</v>
      </c>
      <c r="AQ2522" s="782"/>
      <c r="AR2522" s="782" t="s">
        <v>614</v>
      </c>
      <c r="AS2522" s="782"/>
      <c r="AT2522" s="782"/>
      <c r="AU2522" s="781"/>
      <c r="AV2522" s="782">
        <v>12083143</v>
      </c>
      <c r="AW2522" s="782"/>
      <c r="AX2522" s="782" t="s">
        <v>2187</v>
      </c>
      <c r="AY2522" s="782"/>
      <c r="AZ2522" s="782"/>
      <c r="BA2522" s="781"/>
      <c r="BB2522" s="209"/>
    </row>
    <row r="2523" spans="1:54" ht="24.65" hidden="1" customHeight="1">
      <c r="B2523" s="411">
        <v>45891</v>
      </c>
      <c r="C2523" s="645" t="s">
        <v>1933</v>
      </c>
      <c r="D2523" s="185">
        <f t="shared" si="987"/>
        <v>2025</v>
      </c>
      <c r="E2523" s="412" t="e">
        <f>VLOOKUP($B2523,Week!$A$1:$C$1462,2,0)</f>
        <v>#N/A</v>
      </c>
      <c r="F2523" s="413" t="str">
        <f t="shared" si="988"/>
        <v>Aug</v>
      </c>
      <c r="G2523" s="414" t="s">
        <v>47</v>
      </c>
      <c r="H2523" s="414" t="s">
        <v>260</v>
      </c>
      <c r="I2523" s="414" t="s">
        <v>2702</v>
      </c>
      <c r="J2523" s="415" t="s">
        <v>261</v>
      </c>
      <c r="K2523" s="416" t="s">
        <v>94</v>
      </c>
      <c r="L2523" s="300" t="s">
        <v>2167</v>
      </c>
      <c r="M2523" s="415" t="s">
        <v>2339</v>
      </c>
      <c r="N2523" s="414" t="s">
        <v>263</v>
      </c>
      <c r="O2523" s="414" t="s">
        <v>195</v>
      </c>
      <c r="P2523" s="417">
        <v>24</v>
      </c>
      <c r="Q2523" s="417">
        <v>5</v>
      </c>
      <c r="R2523" s="418">
        <v>8.0000000000000002E-3</v>
      </c>
      <c r="S2523" s="414" t="s">
        <v>40</v>
      </c>
      <c r="T2523" s="414" t="s">
        <v>56</v>
      </c>
      <c r="U2523" s="414" t="s">
        <v>57</v>
      </c>
      <c r="V2523" s="419">
        <f>7500-1037-3507</f>
        <v>2956</v>
      </c>
      <c r="W2523" s="419">
        <f>3110-154</f>
        <v>2956</v>
      </c>
      <c r="X2523" s="420"/>
      <c r="Y2523" s="421">
        <f t="shared" si="984"/>
        <v>0</v>
      </c>
      <c r="Z2523" s="422">
        <f t="shared" si="985"/>
        <v>0</v>
      </c>
      <c r="AA2523" s="422">
        <f t="shared" si="989"/>
        <v>0</v>
      </c>
      <c r="AB2523" s="825">
        <v>7.4999999999999997E-3</v>
      </c>
      <c r="AC2523" s="419">
        <f t="shared" si="996"/>
        <v>0</v>
      </c>
      <c r="AD2523" s="209"/>
      <c r="AE2523" s="210">
        <f t="shared" si="992"/>
        <v>0</v>
      </c>
      <c r="AF2523" s="210">
        <f t="shared" si="998"/>
        <v>0</v>
      </c>
      <c r="AG2523" s="211">
        <f t="shared" si="999"/>
        <v>0.14499999999999999</v>
      </c>
      <c r="AH2523" s="157">
        <f t="shared" si="997"/>
        <v>0</v>
      </c>
      <c r="AI2523" s="152">
        <f t="shared" si="991"/>
        <v>70944</v>
      </c>
      <c r="AK2523" s="156" t="s">
        <v>691</v>
      </c>
      <c r="AL2523" s="212" t="s">
        <v>690</v>
      </c>
      <c r="AM2523" s="198">
        <f t="shared" si="1000"/>
        <v>0</v>
      </c>
      <c r="AN2523" s="199">
        <f t="shared" si="983"/>
        <v>45891</v>
      </c>
      <c r="AO2523" s="159" t="s">
        <v>692</v>
      </c>
      <c r="AP2523" s="783" t="s">
        <v>609</v>
      </c>
      <c r="AQ2523" s="782">
        <v>12071839</v>
      </c>
      <c r="AR2523" s="782">
        <v>12047514</v>
      </c>
      <c r="AS2523" s="782">
        <v>12047515</v>
      </c>
      <c r="AT2523" s="781"/>
      <c r="AU2523" s="781"/>
      <c r="AV2523" s="782">
        <v>12080613</v>
      </c>
      <c r="AW2523" s="781"/>
      <c r="AX2523" s="781"/>
      <c r="AY2523" s="782">
        <v>12094241</v>
      </c>
      <c r="AZ2523" s="782">
        <v>12094242</v>
      </c>
      <c r="BA2523" s="781"/>
      <c r="BB2523" s="209">
        <v>23053185</v>
      </c>
    </row>
    <row r="2524" spans="1:54" ht="24.65" hidden="1" customHeight="1">
      <c r="B2524" s="411">
        <v>45891</v>
      </c>
      <c r="C2524" s="645" t="s">
        <v>1934</v>
      </c>
      <c r="D2524" s="185">
        <f t="shared" si="987"/>
        <v>2025</v>
      </c>
      <c r="E2524" s="412" t="e">
        <f>VLOOKUP($B2524,Week!$A$1:$C$1462,2,0)</f>
        <v>#N/A</v>
      </c>
      <c r="F2524" s="413" t="str">
        <f t="shared" si="988"/>
        <v>Aug</v>
      </c>
      <c r="G2524" s="414" t="s">
        <v>47</v>
      </c>
      <c r="H2524" s="414" t="s">
        <v>260</v>
      </c>
      <c r="I2524" s="414" t="s">
        <v>2702</v>
      </c>
      <c r="J2524" s="415" t="s">
        <v>261</v>
      </c>
      <c r="K2524" s="416" t="s">
        <v>94</v>
      </c>
      <c r="L2524" s="300" t="s">
        <v>2167</v>
      </c>
      <c r="M2524" s="415" t="s">
        <v>2339</v>
      </c>
      <c r="N2524" s="414" t="s">
        <v>263</v>
      </c>
      <c r="O2524" s="414" t="s">
        <v>195</v>
      </c>
      <c r="P2524" s="417">
        <v>24</v>
      </c>
      <c r="Q2524" s="417">
        <v>5</v>
      </c>
      <c r="R2524" s="418">
        <v>8.0000000000000002E-3</v>
      </c>
      <c r="S2524" s="414" t="s">
        <v>40</v>
      </c>
      <c r="T2524" s="414" t="s">
        <v>56</v>
      </c>
      <c r="U2524" s="414" t="s">
        <v>57</v>
      </c>
      <c r="V2524" s="419">
        <v>334</v>
      </c>
      <c r="W2524" s="419">
        <v>154</v>
      </c>
      <c r="X2524" s="420">
        <v>180</v>
      </c>
      <c r="Y2524" s="421">
        <f t="shared" si="984"/>
        <v>0</v>
      </c>
      <c r="Z2524" s="422">
        <f t="shared" si="985"/>
        <v>0</v>
      </c>
      <c r="AA2524" s="422">
        <f t="shared" si="989"/>
        <v>0</v>
      </c>
      <c r="AB2524" s="825">
        <v>7.4999999999999997E-3</v>
      </c>
      <c r="AC2524" s="419">
        <f t="shared" si="996"/>
        <v>0</v>
      </c>
      <c r="AD2524" s="209"/>
      <c r="AE2524" s="210">
        <f t="shared" si="992"/>
        <v>0</v>
      </c>
      <c r="AF2524" s="210">
        <f t="shared" si="998"/>
        <v>0</v>
      </c>
      <c r="AG2524" s="211">
        <f t="shared" si="999"/>
        <v>0.14499999999999999</v>
      </c>
      <c r="AH2524" s="157">
        <f t="shared" si="997"/>
        <v>0</v>
      </c>
      <c r="AI2524" s="152">
        <f t="shared" si="991"/>
        <v>8016</v>
      </c>
      <c r="AK2524" s="156" t="s">
        <v>691</v>
      </c>
      <c r="AL2524" s="212" t="s">
        <v>690</v>
      </c>
      <c r="AM2524" s="198">
        <f t="shared" si="1000"/>
        <v>0</v>
      </c>
      <c r="AN2524" s="199">
        <f t="shared" si="983"/>
        <v>45891</v>
      </c>
      <c r="AO2524" s="159" t="s">
        <v>692</v>
      </c>
      <c r="AP2524" s="783" t="s">
        <v>609</v>
      </c>
      <c r="AQ2524" s="782">
        <v>12071839</v>
      </c>
      <c r="AR2524" s="782">
        <v>12047514</v>
      </c>
      <c r="AS2524" s="782">
        <v>12047515</v>
      </c>
      <c r="AT2524" s="781"/>
      <c r="AU2524" s="781"/>
      <c r="AV2524" s="782">
        <v>12080613</v>
      </c>
      <c r="AW2524" s="781"/>
      <c r="AX2524" s="781"/>
      <c r="AY2524" s="782">
        <v>12094241</v>
      </c>
      <c r="AZ2524" s="782">
        <v>12094242</v>
      </c>
      <c r="BA2524" s="781"/>
      <c r="BB2524" s="209">
        <v>23053185</v>
      </c>
    </row>
    <row r="2525" spans="1:54" ht="25" hidden="1" customHeight="1">
      <c r="B2525" s="398">
        <v>45891</v>
      </c>
      <c r="C2525" s="399" t="s">
        <v>1933</v>
      </c>
      <c r="D2525" s="185">
        <f t="shared" si="987"/>
        <v>2025</v>
      </c>
      <c r="E2525" s="399" t="e">
        <f>VLOOKUP($B2525,Week!$A$1:$C$1462,2,0)</f>
        <v>#N/A</v>
      </c>
      <c r="F2525" s="400" t="str">
        <f t="shared" si="988"/>
        <v>Aug</v>
      </c>
      <c r="G2525" s="401" t="s">
        <v>47</v>
      </c>
      <c r="H2525" s="401" t="s">
        <v>518</v>
      </c>
      <c r="I2525" s="401" t="s">
        <v>2702</v>
      </c>
      <c r="J2525" s="402" t="s">
        <v>70</v>
      </c>
      <c r="K2525" s="403" t="s">
        <v>1645</v>
      </c>
      <c r="L2525" s="300" t="s">
        <v>2167</v>
      </c>
      <c r="M2525" s="402" t="s">
        <v>2340</v>
      </c>
      <c r="N2525" s="404" t="s">
        <v>557</v>
      </c>
      <c r="O2525" s="401" t="s">
        <v>101</v>
      </c>
      <c r="P2525" s="405">
        <v>12</v>
      </c>
      <c r="Q2525" s="405">
        <v>5</v>
      </c>
      <c r="R2525" s="406">
        <v>8.0000000000000002E-3</v>
      </c>
      <c r="S2525" s="401" t="s">
        <v>40</v>
      </c>
      <c r="T2525" s="401" t="s">
        <v>56</v>
      </c>
      <c r="U2525" s="770" t="s">
        <v>499</v>
      </c>
      <c r="V2525" s="407">
        <v>250</v>
      </c>
      <c r="W2525" s="407">
        <f>5+245</f>
        <v>250</v>
      </c>
      <c r="X2525" s="408"/>
      <c r="Y2525" s="409">
        <f t="shared" si="984"/>
        <v>0</v>
      </c>
      <c r="Z2525" s="410">
        <f t="shared" si="985"/>
        <v>0</v>
      </c>
      <c r="AA2525" s="410">
        <f t="shared" si="989"/>
        <v>0</v>
      </c>
      <c r="AB2525" s="824">
        <v>1</v>
      </c>
      <c r="AC2525" s="407">
        <f t="shared" si="996"/>
        <v>0</v>
      </c>
      <c r="AD2525" s="443"/>
      <c r="AE2525" s="210">
        <f t="shared" si="992"/>
        <v>0</v>
      </c>
      <c r="AF2525" s="210">
        <f t="shared" si="998"/>
        <v>0</v>
      </c>
      <c r="AG2525" s="211">
        <f t="shared" si="999"/>
        <v>0.115</v>
      </c>
      <c r="AH2525" s="157">
        <f t="shared" si="997"/>
        <v>0</v>
      </c>
      <c r="AI2525" s="152">
        <f t="shared" si="991"/>
        <v>3000</v>
      </c>
      <c r="AK2525" s="156" t="s">
        <v>691</v>
      </c>
      <c r="AL2525" s="212" t="s">
        <v>690</v>
      </c>
      <c r="AM2525" s="198">
        <f t="shared" si="1000"/>
        <v>0</v>
      </c>
      <c r="AN2525" s="199">
        <f t="shared" si="983"/>
        <v>45891</v>
      </c>
      <c r="AO2525" s="159" t="s">
        <v>692</v>
      </c>
      <c r="AP2525" s="783" t="s">
        <v>623</v>
      </c>
      <c r="AQ2525" s="782">
        <v>12071839</v>
      </c>
      <c r="AR2525" s="782">
        <v>12047514</v>
      </c>
      <c r="AS2525" s="782">
        <v>12047515</v>
      </c>
      <c r="AT2525" s="782"/>
      <c r="AU2525" s="781"/>
      <c r="AV2525" s="782">
        <v>12072447</v>
      </c>
      <c r="AW2525" s="782"/>
      <c r="AX2525" s="782"/>
      <c r="AY2525" s="782">
        <v>12094384</v>
      </c>
      <c r="AZ2525" s="782">
        <v>12094385</v>
      </c>
      <c r="BA2525" s="781"/>
      <c r="BB2525" s="209">
        <v>23052995</v>
      </c>
    </row>
    <row r="2526" spans="1:54" ht="25" hidden="1" customHeight="1">
      <c r="A2526" s="142" t="s">
        <v>120</v>
      </c>
      <c r="B2526" s="271">
        <v>45892</v>
      </c>
      <c r="C2526" s="272">
        <v>45897</v>
      </c>
      <c r="D2526" s="185">
        <f t="shared" si="987"/>
        <v>2025</v>
      </c>
      <c r="E2526" s="272" t="e">
        <f>VLOOKUP($B2526,Week!$A$1:$C$1462,2,0)</f>
        <v>#N/A</v>
      </c>
      <c r="F2526" s="273" t="str">
        <f t="shared" si="988"/>
        <v>Aug</v>
      </c>
      <c r="G2526" s="274" t="s">
        <v>2358</v>
      </c>
      <c r="H2526" s="274" t="s">
        <v>500</v>
      </c>
      <c r="I2526" s="274" t="s">
        <v>2772</v>
      </c>
      <c r="J2526" s="275" t="s">
        <v>285</v>
      </c>
      <c r="K2526" s="276" t="s">
        <v>153</v>
      </c>
      <c r="L2526" s="390" t="s">
        <v>2166</v>
      </c>
      <c r="M2526" s="275" t="s">
        <v>86</v>
      </c>
      <c r="N2526" s="274" t="s">
        <v>547</v>
      </c>
      <c r="O2526" s="274" t="s">
        <v>548</v>
      </c>
      <c r="P2526" s="277">
        <v>10</v>
      </c>
      <c r="Q2526" s="277">
        <v>50</v>
      </c>
      <c r="R2526" s="278">
        <v>6.8100000000000001E-3</v>
      </c>
      <c r="S2526" s="274" t="s">
        <v>76</v>
      </c>
      <c r="T2526" s="274" t="s">
        <v>56</v>
      </c>
      <c r="U2526" s="274" t="s">
        <v>89</v>
      </c>
      <c r="V2526" s="279">
        <v>731</v>
      </c>
      <c r="W2526" s="279">
        <v>731</v>
      </c>
      <c r="X2526" s="280"/>
      <c r="Y2526" s="281">
        <f t="shared" si="984"/>
        <v>0</v>
      </c>
      <c r="Z2526" s="282">
        <f t="shared" si="985"/>
        <v>0</v>
      </c>
      <c r="AA2526" s="282">
        <f t="shared" si="989"/>
        <v>0</v>
      </c>
      <c r="AB2526" s="812">
        <v>6</v>
      </c>
      <c r="AC2526" s="279">
        <f t="shared" si="996"/>
        <v>0</v>
      </c>
      <c r="AD2526" s="209"/>
      <c r="AE2526" s="210">
        <f t="shared" si="992"/>
        <v>0</v>
      </c>
      <c r="AF2526" s="210">
        <f t="shared" si="998"/>
        <v>0</v>
      </c>
      <c r="AG2526" s="211">
        <f t="shared" si="999"/>
        <v>0.63</v>
      </c>
      <c r="AH2526" s="157">
        <f t="shared" si="997"/>
        <v>0</v>
      </c>
      <c r="AI2526" s="152">
        <f t="shared" si="991"/>
        <v>7310</v>
      </c>
      <c r="AK2526" s="156" t="s">
        <v>691</v>
      </c>
      <c r="AL2526" s="156" t="s">
        <v>689</v>
      </c>
      <c r="AM2526" s="198">
        <f t="shared" si="1000"/>
        <v>0</v>
      </c>
      <c r="AN2526" s="199">
        <f t="shared" si="983"/>
        <v>45892</v>
      </c>
      <c r="AO2526" s="159" t="s">
        <v>692</v>
      </c>
      <c r="AP2526" s="783" t="s">
        <v>620</v>
      </c>
      <c r="AQ2526" s="796" t="s">
        <v>422</v>
      </c>
      <c r="AR2526" s="782">
        <v>12055234</v>
      </c>
      <c r="AS2526" s="781"/>
      <c r="AT2526" s="782"/>
      <c r="AU2526" s="782"/>
      <c r="AV2526" s="782">
        <v>12062809</v>
      </c>
      <c r="AW2526" s="782"/>
      <c r="AX2526" s="782" t="s">
        <v>619</v>
      </c>
      <c r="AY2526" s="781"/>
      <c r="AZ2526" s="781"/>
      <c r="BA2526" s="781"/>
      <c r="BB2526" s="209">
        <v>23053184</v>
      </c>
    </row>
    <row r="2527" spans="1:54" ht="25" hidden="1" customHeight="1">
      <c r="B2527" s="271">
        <v>45892</v>
      </c>
      <c r="C2527" s="441">
        <v>45896</v>
      </c>
      <c r="D2527" s="274">
        <f t="shared" si="987"/>
        <v>2025</v>
      </c>
      <c r="E2527" s="274" t="e">
        <f>VLOOKUP($B2527,Week!$A$1:$C$1462,2,0)</f>
        <v>#N/A</v>
      </c>
      <c r="F2527" s="273" t="str">
        <f t="shared" si="988"/>
        <v>Aug</v>
      </c>
      <c r="G2527" s="274" t="s">
        <v>2270</v>
      </c>
      <c r="H2527" s="274" t="s">
        <v>225</v>
      </c>
      <c r="I2527" s="274" t="s">
        <v>2773</v>
      </c>
      <c r="J2527" s="275" t="s">
        <v>650</v>
      </c>
      <c r="K2527" s="276" t="s">
        <v>2256</v>
      </c>
      <c r="L2527" s="276" t="s">
        <v>2167</v>
      </c>
      <c r="M2527" s="275" t="s">
        <v>2258</v>
      </c>
      <c r="N2527" s="274" t="s">
        <v>2259</v>
      </c>
      <c r="O2527" s="274" t="s">
        <v>110</v>
      </c>
      <c r="P2527" s="277">
        <v>36</v>
      </c>
      <c r="Q2527" s="277">
        <v>5</v>
      </c>
      <c r="R2527" s="278">
        <v>7.4999999999999997E-3</v>
      </c>
      <c r="S2527" s="274" t="s">
        <v>111</v>
      </c>
      <c r="T2527" s="274" t="s">
        <v>112</v>
      </c>
      <c r="U2527" s="274" t="s">
        <v>113</v>
      </c>
      <c r="V2527" s="279">
        <v>792</v>
      </c>
      <c r="W2527" s="279">
        <f>27+1+764</f>
        <v>792</v>
      </c>
      <c r="X2527" s="280"/>
      <c r="Y2527" s="281">
        <f t="shared" si="984"/>
        <v>0</v>
      </c>
      <c r="Z2527" s="282">
        <f t="shared" si="985"/>
        <v>0</v>
      </c>
      <c r="AA2527" s="282">
        <f t="shared" si="989"/>
        <v>0</v>
      </c>
      <c r="AB2527" s="812">
        <v>9.7000000000000003E-3</v>
      </c>
      <c r="AC2527" s="279">
        <f t="shared" si="996"/>
        <v>0</v>
      </c>
      <c r="AD2527" s="209"/>
      <c r="AE2527" s="210">
        <f t="shared" si="992"/>
        <v>0</v>
      </c>
      <c r="AF2527" s="210">
        <f t="shared" si="998"/>
        <v>0</v>
      </c>
      <c r="AG2527" s="211">
        <f t="shared" si="999"/>
        <v>0.308</v>
      </c>
      <c r="AH2527" s="157">
        <f t="shared" si="997"/>
        <v>0</v>
      </c>
      <c r="AI2527" s="152">
        <f t="shared" si="991"/>
        <v>28512</v>
      </c>
      <c r="AK2527" s="156" t="s">
        <v>691</v>
      </c>
      <c r="AL2527" s="574" t="s">
        <v>690</v>
      </c>
      <c r="AM2527" s="198">
        <f t="shared" si="1000"/>
        <v>0</v>
      </c>
      <c r="AN2527" s="199">
        <f t="shared" si="983"/>
        <v>45892</v>
      </c>
      <c r="AO2527" s="159" t="s">
        <v>692</v>
      </c>
      <c r="AP2527" s="781"/>
      <c r="AQ2527" s="782">
        <v>12063755</v>
      </c>
      <c r="AR2527" s="782">
        <v>12061353</v>
      </c>
      <c r="AS2527" s="782">
        <v>12061354</v>
      </c>
      <c r="AT2527" s="782">
        <v>12095367</v>
      </c>
      <c r="AU2527" s="781"/>
      <c r="AV2527" s="782">
        <v>12095366</v>
      </c>
      <c r="AW2527" s="782">
        <v>12088207</v>
      </c>
      <c r="AX2527" s="782"/>
      <c r="AY2527" s="782">
        <v>12095368</v>
      </c>
      <c r="AZ2527" s="782"/>
      <c r="BA2527" s="781"/>
      <c r="BB2527" s="209">
        <v>23054743</v>
      </c>
    </row>
    <row r="2528" spans="1:54" ht="25" hidden="1" customHeight="1">
      <c r="B2528" s="271">
        <v>45892</v>
      </c>
      <c r="C2528" s="441">
        <v>45896</v>
      </c>
      <c r="D2528" s="274">
        <f t="shared" si="987"/>
        <v>2025</v>
      </c>
      <c r="E2528" s="274" t="e">
        <f>VLOOKUP($B2528,Week!$A$1:$C$1462,2,0)</f>
        <v>#N/A</v>
      </c>
      <c r="F2528" s="273" t="str">
        <f t="shared" si="988"/>
        <v>Aug</v>
      </c>
      <c r="G2528" s="274" t="s">
        <v>2272</v>
      </c>
      <c r="H2528" s="274" t="s">
        <v>225</v>
      </c>
      <c r="I2528" s="274" t="s">
        <v>2773</v>
      </c>
      <c r="J2528" s="275" t="s">
        <v>650</v>
      </c>
      <c r="K2528" s="276" t="s">
        <v>2256</v>
      </c>
      <c r="L2528" s="276" t="s">
        <v>2167</v>
      </c>
      <c r="M2528" s="275" t="s">
        <v>2258</v>
      </c>
      <c r="N2528" s="274" t="s">
        <v>2259</v>
      </c>
      <c r="O2528" s="274" t="s">
        <v>110</v>
      </c>
      <c r="P2528" s="277">
        <v>36</v>
      </c>
      <c r="Q2528" s="277">
        <v>5</v>
      </c>
      <c r="R2528" s="278">
        <v>7.4999999999999997E-3</v>
      </c>
      <c r="S2528" s="274" t="s">
        <v>111</v>
      </c>
      <c r="T2528" s="274" t="s">
        <v>112</v>
      </c>
      <c r="U2528" s="274" t="s">
        <v>113</v>
      </c>
      <c r="V2528" s="279">
        <v>792</v>
      </c>
      <c r="W2528" s="279">
        <v>792</v>
      </c>
      <c r="X2528" s="280"/>
      <c r="Y2528" s="281">
        <f t="shared" si="984"/>
        <v>0</v>
      </c>
      <c r="Z2528" s="282">
        <f t="shared" si="985"/>
        <v>0</v>
      </c>
      <c r="AA2528" s="282">
        <f t="shared" si="989"/>
        <v>0</v>
      </c>
      <c r="AB2528" s="812">
        <v>9.7000000000000003E-3</v>
      </c>
      <c r="AC2528" s="279">
        <f t="shared" si="996"/>
        <v>0</v>
      </c>
      <c r="AD2528" s="209"/>
      <c r="AE2528" s="210">
        <f t="shared" si="992"/>
        <v>0</v>
      </c>
      <c r="AF2528" s="210">
        <f t="shared" si="998"/>
        <v>0</v>
      </c>
      <c r="AG2528" s="211">
        <f t="shared" si="999"/>
        <v>0.308</v>
      </c>
      <c r="AH2528" s="157">
        <f t="shared" si="997"/>
        <v>0</v>
      </c>
      <c r="AI2528" s="152">
        <f t="shared" si="991"/>
        <v>28512</v>
      </c>
      <c r="AK2528" s="156" t="s">
        <v>691</v>
      </c>
      <c r="AL2528" s="574" t="s">
        <v>690</v>
      </c>
      <c r="AM2528" s="198">
        <f t="shared" si="1000"/>
        <v>0</v>
      </c>
      <c r="AN2528" s="199">
        <f t="shared" si="983"/>
        <v>45892</v>
      </c>
      <c r="AO2528" s="159" t="s">
        <v>692</v>
      </c>
      <c r="AP2528" s="781"/>
      <c r="AQ2528" s="782">
        <v>12063755</v>
      </c>
      <c r="AR2528" s="782">
        <v>12061353</v>
      </c>
      <c r="AS2528" s="782">
        <v>12061354</v>
      </c>
      <c r="AT2528" s="782">
        <v>12095367</v>
      </c>
      <c r="AU2528" s="781"/>
      <c r="AV2528" s="782">
        <v>12095366</v>
      </c>
      <c r="AW2528" s="782">
        <v>12088207</v>
      </c>
      <c r="AX2528" s="782"/>
      <c r="AY2528" s="782">
        <v>12095368</v>
      </c>
      <c r="AZ2528" s="782"/>
      <c r="BA2528" s="781"/>
      <c r="BB2528" s="209">
        <v>23054743</v>
      </c>
    </row>
    <row r="2529" spans="1:54" ht="25" hidden="1" customHeight="1">
      <c r="B2529" s="271">
        <v>45892</v>
      </c>
      <c r="C2529" s="441">
        <v>45903</v>
      </c>
      <c r="D2529" s="274">
        <f t="shared" si="987"/>
        <v>2025</v>
      </c>
      <c r="E2529" s="274" t="e">
        <f>VLOOKUP($B2529,Week!$A$1:$C$1462,2,0)</f>
        <v>#N/A</v>
      </c>
      <c r="F2529" s="273" t="str">
        <f t="shared" si="988"/>
        <v>Aug</v>
      </c>
      <c r="G2529" s="274" t="s">
        <v>2273</v>
      </c>
      <c r="H2529" s="274" t="s">
        <v>225</v>
      </c>
      <c r="I2529" s="274" t="s">
        <v>2773</v>
      </c>
      <c r="J2529" s="275" t="s">
        <v>650</v>
      </c>
      <c r="K2529" s="276" t="s">
        <v>2256</v>
      </c>
      <c r="L2529" s="276" t="s">
        <v>2167</v>
      </c>
      <c r="M2529" s="275" t="s">
        <v>2258</v>
      </c>
      <c r="N2529" s="274" t="s">
        <v>2259</v>
      </c>
      <c r="O2529" s="274" t="s">
        <v>110</v>
      </c>
      <c r="P2529" s="277">
        <v>36</v>
      </c>
      <c r="Q2529" s="277">
        <v>5</v>
      </c>
      <c r="R2529" s="278">
        <v>7.4999999999999997E-3</v>
      </c>
      <c r="S2529" s="274" t="s">
        <v>111</v>
      </c>
      <c r="T2529" s="274" t="s">
        <v>112</v>
      </c>
      <c r="U2529" s="274" t="s">
        <v>113</v>
      </c>
      <c r="V2529" s="279">
        <v>37</v>
      </c>
      <c r="W2529" s="279">
        <f>1594-765-792</f>
        <v>37</v>
      </c>
      <c r="X2529" s="280"/>
      <c r="Y2529" s="281">
        <f t="shared" si="984"/>
        <v>0</v>
      </c>
      <c r="Z2529" s="282">
        <f t="shared" si="985"/>
        <v>0</v>
      </c>
      <c r="AA2529" s="282">
        <f t="shared" si="989"/>
        <v>0</v>
      </c>
      <c r="AB2529" s="812">
        <v>9.7000000000000003E-3</v>
      </c>
      <c r="AC2529" s="279">
        <f t="shared" si="996"/>
        <v>0</v>
      </c>
      <c r="AD2529" s="209"/>
      <c r="AE2529" s="210">
        <f t="shared" si="992"/>
        <v>0</v>
      </c>
      <c r="AF2529" s="210">
        <f t="shared" si="998"/>
        <v>0</v>
      </c>
      <c r="AG2529" s="211">
        <f t="shared" si="999"/>
        <v>0.308</v>
      </c>
      <c r="AH2529" s="157">
        <f t="shared" si="997"/>
        <v>0</v>
      </c>
      <c r="AI2529" s="152">
        <f t="shared" si="991"/>
        <v>1332</v>
      </c>
      <c r="AK2529" s="156" t="s">
        <v>691</v>
      </c>
      <c r="AL2529" s="574" t="s">
        <v>690</v>
      </c>
      <c r="AM2529" s="198">
        <f t="shared" si="1000"/>
        <v>0</v>
      </c>
      <c r="AN2529" s="199">
        <f t="shared" si="983"/>
        <v>45892</v>
      </c>
      <c r="AO2529" s="159" t="s">
        <v>692</v>
      </c>
      <c r="AP2529" s="781"/>
      <c r="AQ2529" s="782">
        <v>12063755</v>
      </c>
      <c r="AR2529" s="782">
        <v>12061353</v>
      </c>
      <c r="AS2529" s="782">
        <v>12061354</v>
      </c>
      <c r="AT2529" s="782">
        <v>12095367</v>
      </c>
      <c r="AU2529" s="781"/>
      <c r="AV2529" s="782">
        <v>12095366</v>
      </c>
      <c r="AW2529" s="782">
        <v>12088207</v>
      </c>
      <c r="AX2529" s="782"/>
      <c r="AY2529" s="782">
        <v>12095368</v>
      </c>
      <c r="AZ2529" s="782"/>
      <c r="BA2529" s="781"/>
      <c r="BB2529" s="209">
        <v>23054743</v>
      </c>
    </row>
    <row r="2530" spans="1:54" ht="25" hidden="1" customHeight="1">
      <c r="B2530" s="213">
        <v>45892</v>
      </c>
      <c r="C2530" s="214">
        <v>45901</v>
      </c>
      <c r="D2530" s="215">
        <f t="shared" si="987"/>
        <v>2025</v>
      </c>
      <c r="E2530" s="214" t="e">
        <f>VLOOKUP($B2530,Week!$A$1:$C$1462,2,0)</f>
        <v>#N/A</v>
      </c>
      <c r="F2530" s="216" t="str">
        <f t="shared" si="988"/>
        <v>Aug</v>
      </c>
      <c r="G2530" s="215" t="s">
        <v>2432</v>
      </c>
      <c r="H2530" s="215" t="s">
        <v>134</v>
      </c>
      <c r="I2530" s="215" t="s">
        <v>2772</v>
      </c>
      <c r="J2530" s="209" t="s">
        <v>164</v>
      </c>
      <c r="K2530" s="217" t="s">
        <v>2234</v>
      </c>
      <c r="L2530" s="217" t="s">
        <v>2167</v>
      </c>
      <c r="M2530" s="209" t="s">
        <v>2235</v>
      </c>
      <c r="N2530" s="480" t="s">
        <v>2236</v>
      </c>
      <c r="O2530" s="215" t="s">
        <v>2233</v>
      </c>
      <c r="P2530" s="218">
        <v>24</v>
      </c>
      <c r="Q2530" s="218">
        <v>3</v>
      </c>
      <c r="R2530" s="219">
        <v>6.0000000000000001E-3</v>
      </c>
      <c r="S2530" s="215" t="s">
        <v>55</v>
      </c>
      <c r="T2530" s="215" t="s">
        <v>112</v>
      </c>
      <c r="U2530" s="852" t="s">
        <v>739</v>
      </c>
      <c r="V2530" s="220">
        <v>420</v>
      </c>
      <c r="W2530" s="220">
        <f>11+409</f>
        <v>420</v>
      </c>
      <c r="X2530" s="221"/>
      <c r="Y2530" s="222">
        <f t="shared" si="984"/>
        <v>0</v>
      </c>
      <c r="Z2530" s="223">
        <f t="shared" si="985"/>
        <v>0</v>
      </c>
      <c r="AA2530" s="223">
        <f t="shared" si="989"/>
        <v>0</v>
      </c>
      <c r="AB2530" s="807">
        <v>2.4E-2</v>
      </c>
      <c r="AC2530" s="220">
        <f t="shared" si="996"/>
        <v>0</v>
      </c>
      <c r="AD2530" s="443"/>
      <c r="AE2530" s="210">
        <f t="shared" si="992"/>
        <v>0</v>
      </c>
      <c r="AF2530" s="210">
        <f t="shared" si="998"/>
        <v>0</v>
      </c>
      <c r="AG2530" s="211">
        <f t="shared" si="999"/>
        <v>0.3</v>
      </c>
      <c r="AH2530" s="157">
        <v>0.26621999999999996</v>
      </c>
      <c r="AI2530" s="152">
        <f t="shared" si="991"/>
        <v>10080</v>
      </c>
      <c r="AK2530" s="156" t="s">
        <v>691</v>
      </c>
      <c r="AL2530" s="574" t="s">
        <v>690</v>
      </c>
      <c r="AM2530" s="198">
        <f t="shared" si="1000"/>
        <v>0</v>
      </c>
      <c r="AN2530" s="199">
        <f t="shared" si="983"/>
        <v>45892</v>
      </c>
      <c r="AO2530" s="159" t="s">
        <v>692</v>
      </c>
      <c r="AP2530" s="783"/>
      <c r="AQ2530" s="782">
        <v>12063755</v>
      </c>
      <c r="AR2530" s="782">
        <v>12061353</v>
      </c>
      <c r="AS2530" s="782">
        <v>12061354</v>
      </c>
      <c r="AT2530" s="782"/>
      <c r="AU2530" s="783" t="s">
        <v>570</v>
      </c>
      <c r="AV2530" s="782">
        <v>12095301</v>
      </c>
      <c r="AW2530" s="783" t="s">
        <v>568</v>
      </c>
      <c r="AX2530" s="781"/>
      <c r="AY2530" s="796" t="s">
        <v>2460</v>
      </c>
      <c r="AZ2530" s="796" t="s">
        <v>2461</v>
      </c>
      <c r="BA2530" s="796" t="s">
        <v>2462</v>
      </c>
      <c r="BB2530" s="209">
        <v>23053185</v>
      </c>
    </row>
    <row r="2531" spans="1:54" ht="25" hidden="1" customHeight="1">
      <c r="B2531" s="183">
        <v>45893</v>
      </c>
      <c r="C2531" s="184"/>
      <c r="D2531" s="185">
        <f t="shared" si="987"/>
        <v>2025</v>
      </c>
      <c r="E2531" s="185" t="e">
        <f>VLOOKUP($B2531,Week!$A$1:$C$1462,2,0)</f>
        <v>#N/A</v>
      </c>
      <c r="F2531" s="186" t="str">
        <f t="shared" si="988"/>
        <v>Aug</v>
      </c>
      <c r="G2531" s="481"/>
      <c r="H2531" s="185"/>
      <c r="I2531" s="185"/>
      <c r="J2531" s="187"/>
      <c r="K2531" s="188"/>
      <c r="L2531" s="188"/>
      <c r="M2531" s="187"/>
      <c r="N2531" s="185"/>
      <c r="O2531" s="185"/>
      <c r="P2531" s="189"/>
      <c r="Q2531" s="189"/>
      <c r="R2531" s="190"/>
      <c r="S2531" s="185"/>
      <c r="T2531" s="185"/>
      <c r="U2531" s="185"/>
      <c r="V2531" s="191"/>
      <c r="W2531" s="191"/>
      <c r="X2531" s="192"/>
      <c r="Y2531" s="193"/>
      <c r="Z2531" s="194"/>
      <c r="AA2531" s="194">
        <f t="shared" si="989"/>
        <v>0</v>
      </c>
      <c r="AB2531" s="805"/>
      <c r="AC2531" s="191"/>
      <c r="AD2531" s="187"/>
      <c r="AE2531" s="195"/>
      <c r="AF2531" s="195"/>
      <c r="AG2531" s="196"/>
      <c r="AH2531" s="197"/>
      <c r="AK2531" s="156" t="s">
        <v>691</v>
      </c>
      <c r="AM2531" s="198">
        <f t="shared" si="1000"/>
        <v>0</v>
      </c>
      <c r="AN2531" s="199">
        <f t="shared" si="983"/>
        <v>45893</v>
      </c>
      <c r="AO2531" s="159" t="s">
        <v>692</v>
      </c>
      <c r="AP2531" s="781"/>
      <c r="AQ2531" s="782"/>
      <c r="AR2531" s="782"/>
      <c r="AS2531" s="782"/>
      <c r="AT2531" s="782"/>
      <c r="AU2531" s="781"/>
      <c r="AV2531" s="782"/>
      <c r="AW2531" s="782"/>
      <c r="AX2531" s="782"/>
      <c r="AY2531" s="782"/>
      <c r="AZ2531" s="782"/>
      <c r="BA2531" s="781"/>
      <c r="BB2531" s="209"/>
    </row>
    <row r="2532" spans="1:54" ht="25" hidden="1" customHeight="1">
      <c r="A2532" s="142" t="s">
        <v>120</v>
      </c>
      <c r="B2532" s="271">
        <v>45894</v>
      </c>
      <c r="C2532" s="272">
        <v>45897</v>
      </c>
      <c r="D2532" s="185">
        <f t="shared" si="987"/>
        <v>2025</v>
      </c>
      <c r="E2532" s="272" t="e">
        <f>VLOOKUP($B2532,Week!$A$1:$C$1462,2,0)</f>
        <v>#N/A</v>
      </c>
      <c r="F2532" s="273" t="str">
        <f t="shared" si="988"/>
        <v>Aug</v>
      </c>
      <c r="G2532" s="274" t="s">
        <v>2358</v>
      </c>
      <c r="H2532" s="274" t="s">
        <v>500</v>
      </c>
      <c r="I2532" s="274" t="s">
        <v>2772</v>
      </c>
      <c r="J2532" s="275" t="s">
        <v>285</v>
      </c>
      <c r="K2532" s="276" t="s">
        <v>153</v>
      </c>
      <c r="L2532" s="390" t="s">
        <v>2166</v>
      </c>
      <c r="M2532" s="275" t="s">
        <v>86</v>
      </c>
      <c r="N2532" s="274" t="s">
        <v>547</v>
      </c>
      <c r="O2532" s="274" t="s">
        <v>548</v>
      </c>
      <c r="P2532" s="277">
        <v>10</v>
      </c>
      <c r="Q2532" s="277">
        <v>50</v>
      </c>
      <c r="R2532" s="278">
        <v>6.8100000000000001E-3</v>
      </c>
      <c r="S2532" s="274" t="s">
        <v>76</v>
      </c>
      <c r="T2532" s="274" t="s">
        <v>56</v>
      </c>
      <c r="U2532" s="274" t="s">
        <v>89</v>
      </c>
      <c r="V2532" s="279">
        <f>2056-715-101-731</f>
        <v>509</v>
      </c>
      <c r="W2532" s="279">
        <v>509</v>
      </c>
      <c r="X2532" s="280"/>
      <c r="Y2532" s="281">
        <f t="shared" ref="Y2532:Y2555" si="1001">(W2532+X2532)-V2532</f>
        <v>0</v>
      </c>
      <c r="Z2532" s="282">
        <f t="shared" ref="Z2532:Z2555" si="1002">IF(Y2532&lt;0,((V2532*P2532)-((W2532+X2532)*P2532)),0)</f>
        <v>0</v>
      </c>
      <c r="AA2532" s="282">
        <f t="shared" si="989"/>
        <v>0</v>
      </c>
      <c r="AB2532" s="812">
        <v>6</v>
      </c>
      <c r="AC2532" s="279">
        <f t="shared" ref="AC2532:AC2555" si="1003">Z2532*AB2532</f>
        <v>0</v>
      </c>
      <c r="AD2532" s="209"/>
      <c r="AE2532" s="210">
        <f t="shared" ref="AE2532:AE2555" si="1004">SUM(Q2532*R2532*Z2532)/1000</f>
        <v>0</v>
      </c>
      <c r="AF2532" s="210">
        <f t="shared" ref="AF2532:AF2538" si="1005">AE2532/0.54</f>
        <v>0</v>
      </c>
      <c r="AG2532" s="211">
        <f t="shared" ref="AG2532:AG2555" si="1006">MID(O2532,1,3)/1000</f>
        <v>0.63</v>
      </c>
      <c r="AH2532" s="157">
        <f t="shared" ref="AH2532:AH2538" si="1007">(Z2532*AG2532)/1000</f>
        <v>0</v>
      </c>
      <c r="AI2532" s="152">
        <f t="shared" ref="AI2532:AI2555" si="1008">V2532*P2532</f>
        <v>5090</v>
      </c>
      <c r="AK2532" s="156" t="s">
        <v>691</v>
      </c>
      <c r="AL2532" s="156" t="s">
        <v>689</v>
      </c>
      <c r="AM2532" s="198">
        <f t="shared" si="1000"/>
        <v>0</v>
      </c>
      <c r="AN2532" s="199">
        <f t="shared" si="983"/>
        <v>45894</v>
      </c>
      <c r="AO2532" s="159" t="s">
        <v>692</v>
      </c>
      <c r="AP2532" s="783" t="s">
        <v>620</v>
      </c>
      <c r="AQ2532" s="796" t="s">
        <v>422</v>
      </c>
      <c r="AR2532" s="782">
        <v>12055234</v>
      </c>
      <c r="AS2532" s="781"/>
      <c r="AT2532" s="782"/>
      <c r="AU2532" s="782"/>
      <c r="AV2532" s="782">
        <v>12062809</v>
      </c>
      <c r="AW2532" s="782"/>
      <c r="AX2532" s="782" t="s">
        <v>619</v>
      </c>
      <c r="AY2532" s="781"/>
      <c r="AZ2532" s="781"/>
      <c r="BA2532" s="781"/>
      <c r="BB2532" s="209">
        <v>23053184</v>
      </c>
    </row>
    <row r="2533" spans="1:54" ht="24.75" hidden="1" customHeight="1">
      <c r="B2533" s="295">
        <v>45894</v>
      </c>
      <c r="C2533" s="771" t="s">
        <v>1933</v>
      </c>
      <c r="D2533" s="185">
        <f t="shared" si="987"/>
        <v>2025</v>
      </c>
      <c r="E2533" s="296" t="e">
        <f>VLOOKUP($B2533,Week!$A$1:$C$1462,2,0)</f>
        <v>#N/A</v>
      </c>
      <c r="F2533" s="297" t="str">
        <f t="shared" si="988"/>
        <v>Aug</v>
      </c>
      <c r="G2533" s="648" t="s">
        <v>47</v>
      </c>
      <c r="H2533" s="298" t="s">
        <v>260</v>
      </c>
      <c r="I2533" s="298" t="s">
        <v>2702</v>
      </c>
      <c r="J2533" s="307" t="s">
        <v>2240</v>
      </c>
      <c r="K2533" s="300" t="s">
        <v>176</v>
      </c>
      <c r="L2533" s="300" t="s">
        <v>2167</v>
      </c>
      <c r="M2533" s="299" t="s">
        <v>2338</v>
      </c>
      <c r="N2533" s="298" t="s">
        <v>350</v>
      </c>
      <c r="O2533" s="298" t="s">
        <v>351</v>
      </c>
      <c r="P2533" s="301">
        <v>24</v>
      </c>
      <c r="Q2533" s="301">
        <v>5</v>
      </c>
      <c r="R2533" s="302">
        <v>6.1999999999999998E-3</v>
      </c>
      <c r="S2533" s="298" t="s">
        <v>352</v>
      </c>
      <c r="T2533" s="298" t="s">
        <v>56</v>
      </c>
      <c r="U2533" s="298" t="s">
        <v>57</v>
      </c>
      <c r="V2533" s="303">
        <v>3749</v>
      </c>
      <c r="W2533" s="303">
        <f>3749</f>
        <v>3749</v>
      </c>
      <c r="X2533" s="304"/>
      <c r="Y2533" s="305">
        <f t="shared" si="1001"/>
        <v>0</v>
      </c>
      <c r="Z2533" s="306">
        <f t="shared" si="1002"/>
        <v>0</v>
      </c>
      <c r="AA2533" s="306">
        <f t="shared" si="989"/>
        <v>0</v>
      </c>
      <c r="AB2533" s="814">
        <v>7.4999999999999997E-3</v>
      </c>
      <c r="AC2533" s="303">
        <f t="shared" si="1003"/>
        <v>0</v>
      </c>
      <c r="AD2533" s="443"/>
      <c r="AE2533" s="210">
        <f t="shared" si="1004"/>
        <v>0</v>
      </c>
      <c r="AF2533" s="210">
        <f t="shared" si="1005"/>
        <v>0</v>
      </c>
      <c r="AG2533" s="211">
        <f t="shared" si="1006"/>
        <v>0.13</v>
      </c>
      <c r="AH2533" s="157">
        <f t="shared" si="1007"/>
        <v>0</v>
      </c>
      <c r="AI2533" s="152">
        <f t="shared" si="1008"/>
        <v>89976</v>
      </c>
      <c r="AK2533" s="156" t="s">
        <v>691</v>
      </c>
      <c r="AL2533" s="574" t="s">
        <v>690</v>
      </c>
      <c r="AM2533" s="198">
        <f t="shared" si="1000"/>
        <v>0</v>
      </c>
      <c r="AN2533" s="199">
        <f t="shared" si="983"/>
        <v>45894</v>
      </c>
      <c r="AO2533" s="159" t="s">
        <v>692</v>
      </c>
      <c r="AP2533" s="783"/>
      <c r="AQ2533" s="782">
        <v>12071839</v>
      </c>
      <c r="AR2533" s="782">
        <v>12094356</v>
      </c>
      <c r="AS2533" s="782">
        <v>12068233</v>
      </c>
      <c r="AT2533" s="781"/>
      <c r="AU2533" s="781"/>
      <c r="AV2533" s="782">
        <v>12062075</v>
      </c>
      <c r="AW2533" s="781"/>
      <c r="AX2533" s="781"/>
      <c r="AY2533" s="782">
        <v>12094357</v>
      </c>
      <c r="AZ2533" s="781"/>
      <c r="BA2533" s="781"/>
      <c r="BB2533" s="209">
        <v>23053184</v>
      </c>
    </row>
    <row r="2534" spans="1:54" ht="24.65" hidden="1" customHeight="1">
      <c r="A2534" s="630" t="s">
        <v>120</v>
      </c>
      <c r="B2534" s="466">
        <v>45895</v>
      </c>
      <c r="C2534" s="467">
        <v>45902</v>
      </c>
      <c r="D2534" s="185">
        <f t="shared" si="987"/>
        <v>2025</v>
      </c>
      <c r="E2534" s="468" t="e">
        <f>VLOOKUP($B2534,Week!$A$1:$C$1462,2,0)</f>
        <v>#N/A</v>
      </c>
      <c r="F2534" s="469" t="str">
        <f t="shared" si="988"/>
        <v>Aug</v>
      </c>
      <c r="G2534" s="470" t="s">
        <v>2434</v>
      </c>
      <c r="H2534" s="468" t="s">
        <v>82</v>
      </c>
      <c r="I2534" s="468" t="s">
        <v>82</v>
      </c>
      <c r="J2534" s="471" t="s">
        <v>720</v>
      </c>
      <c r="K2534" s="472" t="s">
        <v>85</v>
      </c>
      <c r="L2534" s="390" t="s">
        <v>2166</v>
      </c>
      <c r="M2534" s="471" t="s">
        <v>579</v>
      </c>
      <c r="N2534" s="468" t="s">
        <v>580</v>
      </c>
      <c r="O2534" s="468" t="s">
        <v>581</v>
      </c>
      <c r="P2534" s="473">
        <v>8</v>
      </c>
      <c r="Q2534" s="473">
        <v>60</v>
      </c>
      <c r="R2534" s="474">
        <v>6.8100000000000001E-3</v>
      </c>
      <c r="S2534" s="468" t="s">
        <v>76</v>
      </c>
      <c r="T2534" s="468" t="s">
        <v>56</v>
      </c>
      <c r="U2534" s="468" t="s">
        <v>89</v>
      </c>
      <c r="V2534" s="475">
        <f>724</f>
        <v>724</v>
      </c>
      <c r="W2534" s="475">
        <v>724</v>
      </c>
      <c r="X2534" s="476"/>
      <c r="Y2534" s="477">
        <f t="shared" si="1001"/>
        <v>0</v>
      </c>
      <c r="Z2534" s="478">
        <f t="shared" si="1002"/>
        <v>0</v>
      </c>
      <c r="AA2534" s="478">
        <f t="shared" si="989"/>
        <v>0</v>
      </c>
      <c r="AB2534" s="828">
        <v>6</v>
      </c>
      <c r="AC2534" s="475">
        <f t="shared" si="1003"/>
        <v>0</v>
      </c>
      <c r="AD2534" s="209"/>
      <c r="AE2534" s="210">
        <f t="shared" si="1004"/>
        <v>0</v>
      </c>
      <c r="AF2534" s="210">
        <f t="shared" si="1005"/>
        <v>0</v>
      </c>
      <c r="AG2534" s="211">
        <f t="shared" si="1006"/>
        <v>0.75</v>
      </c>
      <c r="AH2534" s="157">
        <f t="shared" si="1007"/>
        <v>0</v>
      </c>
      <c r="AI2534" s="152">
        <f t="shared" si="1008"/>
        <v>5792</v>
      </c>
      <c r="AK2534" s="156" t="s">
        <v>691</v>
      </c>
      <c r="AL2534" s="156" t="s">
        <v>689</v>
      </c>
      <c r="AM2534" s="198">
        <f t="shared" si="1000"/>
        <v>0</v>
      </c>
      <c r="AN2534" s="199">
        <f t="shared" si="983"/>
        <v>45895</v>
      </c>
      <c r="AO2534" s="159" t="s">
        <v>692</v>
      </c>
      <c r="AP2534" s="783" t="s">
        <v>613</v>
      </c>
      <c r="AQ2534" s="782">
        <v>12088677</v>
      </c>
      <c r="AR2534" s="782" t="s">
        <v>2142</v>
      </c>
      <c r="AS2534" s="782"/>
      <c r="AT2534" s="782">
        <v>12082897</v>
      </c>
      <c r="AU2534" s="781"/>
      <c r="AV2534" s="782">
        <v>12082898</v>
      </c>
      <c r="AW2534" s="782">
        <v>12082899</v>
      </c>
      <c r="AX2534" s="796" t="s">
        <v>621</v>
      </c>
      <c r="AY2534" s="782"/>
      <c r="AZ2534" s="782"/>
      <c r="BA2534" s="781"/>
      <c r="BB2534" s="209"/>
    </row>
    <row r="2535" spans="1:54" ht="25" hidden="1" customHeight="1">
      <c r="B2535" s="271">
        <v>45895</v>
      </c>
      <c r="C2535" s="441">
        <v>45903</v>
      </c>
      <c r="D2535" s="274">
        <f t="shared" si="987"/>
        <v>2025</v>
      </c>
      <c r="E2535" s="274" t="e">
        <f>VLOOKUP($B2535,Week!$A$1:$C$1462,2,0)</f>
        <v>#N/A</v>
      </c>
      <c r="F2535" s="273" t="str">
        <f t="shared" si="988"/>
        <v>Aug</v>
      </c>
      <c r="G2535" s="274" t="s">
        <v>2273</v>
      </c>
      <c r="H2535" s="274" t="s">
        <v>225</v>
      </c>
      <c r="I2535" s="274" t="s">
        <v>2773</v>
      </c>
      <c r="J2535" s="275" t="s">
        <v>650</v>
      </c>
      <c r="K2535" s="276" t="s">
        <v>2256</v>
      </c>
      <c r="L2535" s="276" t="s">
        <v>2167</v>
      </c>
      <c r="M2535" s="275" t="s">
        <v>2258</v>
      </c>
      <c r="N2535" s="274" t="s">
        <v>2259</v>
      </c>
      <c r="O2535" s="274" t="s">
        <v>110</v>
      </c>
      <c r="P2535" s="277">
        <v>36</v>
      </c>
      <c r="Q2535" s="277">
        <v>5</v>
      </c>
      <c r="R2535" s="278">
        <v>7.4999999999999997E-3</v>
      </c>
      <c r="S2535" s="274" t="s">
        <v>111</v>
      </c>
      <c r="T2535" s="274" t="s">
        <v>112</v>
      </c>
      <c r="U2535" s="274" t="s">
        <v>113</v>
      </c>
      <c r="V2535" s="279">
        <f>792-37</f>
        <v>755</v>
      </c>
      <c r="W2535" s="279">
        <f>1+754</f>
        <v>755</v>
      </c>
      <c r="X2535" s="280"/>
      <c r="Y2535" s="281">
        <f t="shared" si="1001"/>
        <v>0</v>
      </c>
      <c r="Z2535" s="282">
        <f t="shared" si="1002"/>
        <v>0</v>
      </c>
      <c r="AA2535" s="282">
        <f t="shared" si="989"/>
        <v>0</v>
      </c>
      <c r="AB2535" s="812">
        <v>9.7000000000000003E-3</v>
      </c>
      <c r="AC2535" s="279">
        <f t="shared" si="1003"/>
        <v>0</v>
      </c>
      <c r="AD2535" s="209"/>
      <c r="AE2535" s="210">
        <f t="shared" si="1004"/>
        <v>0</v>
      </c>
      <c r="AF2535" s="210">
        <f t="shared" si="1005"/>
        <v>0</v>
      </c>
      <c r="AG2535" s="211">
        <f t="shared" si="1006"/>
        <v>0.308</v>
      </c>
      <c r="AH2535" s="157">
        <f t="shared" si="1007"/>
        <v>0</v>
      </c>
      <c r="AI2535" s="152">
        <f t="shared" si="1008"/>
        <v>27180</v>
      </c>
      <c r="AK2535" s="156" t="s">
        <v>691</v>
      </c>
      <c r="AL2535" s="574" t="s">
        <v>690</v>
      </c>
      <c r="AM2535" s="198">
        <f t="shared" si="1000"/>
        <v>0</v>
      </c>
      <c r="AN2535" s="199">
        <f t="shared" si="983"/>
        <v>45895</v>
      </c>
      <c r="AO2535" s="159" t="s">
        <v>692</v>
      </c>
      <c r="AP2535" s="781"/>
      <c r="AQ2535" s="782">
        <v>12063755</v>
      </c>
      <c r="AR2535" s="782">
        <v>12061353</v>
      </c>
      <c r="AS2535" s="782">
        <v>12061354</v>
      </c>
      <c r="AT2535" s="782">
        <v>12095367</v>
      </c>
      <c r="AU2535" s="781"/>
      <c r="AV2535" s="782">
        <v>12095366</v>
      </c>
      <c r="AW2535" s="782">
        <v>12088207</v>
      </c>
      <c r="AX2535" s="782"/>
      <c r="AY2535" s="782">
        <v>12095368</v>
      </c>
      <c r="AZ2535" s="782"/>
      <c r="BA2535" s="781"/>
      <c r="BB2535" s="209">
        <v>23054743</v>
      </c>
    </row>
    <row r="2536" spans="1:54" ht="25" hidden="1" customHeight="1">
      <c r="B2536" s="271">
        <v>45895</v>
      </c>
      <c r="C2536" s="441">
        <v>45903</v>
      </c>
      <c r="D2536" s="274">
        <f t="shared" si="987"/>
        <v>2025</v>
      </c>
      <c r="E2536" s="274" t="e">
        <f>VLOOKUP($B2536,Week!$A$1:$C$1462,2,0)</f>
        <v>#N/A</v>
      </c>
      <c r="F2536" s="273" t="str">
        <f t="shared" si="988"/>
        <v>Aug</v>
      </c>
      <c r="G2536" s="274" t="s">
        <v>2275</v>
      </c>
      <c r="H2536" s="274" t="s">
        <v>225</v>
      </c>
      <c r="I2536" s="274" t="s">
        <v>2773</v>
      </c>
      <c r="J2536" s="275" t="s">
        <v>650</v>
      </c>
      <c r="K2536" s="276" t="s">
        <v>2256</v>
      </c>
      <c r="L2536" s="276" t="s">
        <v>2167</v>
      </c>
      <c r="M2536" s="275" t="s">
        <v>2258</v>
      </c>
      <c r="N2536" s="274" t="s">
        <v>2259</v>
      </c>
      <c r="O2536" s="274" t="s">
        <v>110</v>
      </c>
      <c r="P2536" s="277">
        <v>36</v>
      </c>
      <c r="Q2536" s="277">
        <v>5</v>
      </c>
      <c r="R2536" s="278">
        <v>7.4999999999999997E-3</v>
      </c>
      <c r="S2536" s="274" t="s">
        <v>111</v>
      </c>
      <c r="T2536" s="274" t="s">
        <v>112</v>
      </c>
      <c r="U2536" s="274" t="s">
        <v>113</v>
      </c>
      <c r="V2536" s="279">
        <v>792</v>
      </c>
      <c r="W2536" s="279">
        <v>792</v>
      </c>
      <c r="X2536" s="280"/>
      <c r="Y2536" s="281">
        <f t="shared" si="1001"/>
        <v>0</v>
      </c>
      <c r="Z2536" s="282">
        <f t="shared" si="1002"/>
        <v>0</v>
      </c>
      <c r="AA2536" s="282">
        <f t="shared" si="989"/>
        <v>0</v>
      </c>
      <c r="AB2536" s="812">
        <v>9.7000000000000003E-3</v>
      </c>
      <c r="AC2536" s="279">
        <f t="shared" si="1003"/>
        <v>0</v>
      </c>
      <c r="AD2536" s="209"/>
      <c r="AE2536" s="210">
        <f t="shared" si="1004"/>
        <v>0</v>
      </c>
      <c r="AF2536" s="210">
        <f t="shared" si="1005"/>
        <v>0</v>
      </c>
      <c r="AG2536" s="211">
        <f t="shared" si="1006"/>
        <v>0.308</v>
      </c>
      <c r="AH2536" s="157">
        <f t="shared" si="1007"/>
        <v>0</v>
      </c>
      <c r="AI2536" s="152">
        <f t="shared" si="1008"/>
        <v>28512</v>
      </c>
      <c r="AK2536" s="156" t="s">
        <v>691</v>
      </c>
      <c r="AL2536" s="574" t="s">
        <v>690</v>
      </c>
      <c r="AM2536" s="198">
        <f t="shared" si="1000"/>
        <v>0</v>
      </c>
      <c r="AN2536" s="199">
        <f t="shared" si="983"/>
        <v>45895</v>
      </c>
      <c r="AO2536" s="159" t="s">
        <v>692</v>
      </c>
      <c r="AP2536" s="781"/>
      <c r="AQ2536" s="782">
        <v>12063755</v>
      </c>
      <c r="AR2536" s="782">
        <v>12061353</v>
      </c>
      <c r="AS2536" s="782">
        <v>12061354</v>
      </c>
      <c r="AT2536" s="782">
        <v>12095367</v>
      </c>
      <c r="AU2536" s="781"/>
      <c r="AV2536" s="782">
        <v>12095366</v>
      </c>
      <c r="AW2536" s="782">
        <v>12088207</v>
      </c>
      <c r="AX2536" s="782"/>
      <c r="AY2536" s="782">
        <v>12095368</v>
      </c>
      <c r="AZ2536" s="782"/>
      <c r="BA2536" s="781"/>
      <c r="BB2536" s="209">
        <v>23054743</v>
      </c>
    </row>
    <row r="2537" spans="1:54" ht="25" hidden="1" customHeight="1">
      <c r="B2537" s="271">
        <v>45895</v>
      </c>
      <c r="C2537" s="441">
        <v>45903</v>
      </c>
      <c r="D2537" s="274">
        <f t="shared" si="987"/>
        <v>2025</v>
      </c>
      <c r="E2537" s="274" t="e">
        <f>VLOOKUP($B2537,Week!$A$1:$C$1462,2,0)</f>
        <v>#N/A</v>
      </c>
      <c r="F2537" s="273" t="str">
        <f t="shared" si="988"/>
        <v>Aug</v>
      </c>
      <c r="G2537" s="274" t="s">
        <v>2276</v>
      </c>
      <c r="H2537" s="274" t="s">
        <v>225</v>
      </c>
      <c r="I2537" s="274" t="s">
        <v>2773</v>
      </c>
      <c r="J2537" s="275" t="s">
        <v>650</v>
      </c>
      <c r="K2537" s="276" t="s">
        <v>2256</v>
      </c>
      <c r="L2537" s="276" t="s">
        <v>2167</v>
      </c>
      <c r="M2537" s="275" t="s">
        <v>2258</v>
      </c>
      <c r="N2537" s="274" t="s">
        <v>2259</v>
      </c>
      <c r="O2537" s="274" t="s">
        <v>110</v>
      </c>
      <c r="P2537" s="277">
        <v>36</v>
      </c>
      <c r="Q2537" s="277">
        <v>5</v>
      </c>
      <c r="R2537" s="278">
        <v>7.4999999999999997E-3</v>
      </c>
      <c r="S2537" s="274" t="s">
        <v>111</v>
      </c>
      <c r="T2537" s="274" t="s">
        <v>112</v>
      </c>
      <c r="U2537" s="274" t="s">
        <v>113</v>
      </c>
      <c r="V2537" s="279">
        <v>792</v>
      </c>
      <c r="W2537" s="279">
        <v>792</v>
      </c>
      <c r="X2537" s="280"/>
      <c r="Y2537" s="281">
        <f t="shared" si="1001"/>
        <v>0</v>
      </c>
      <c r="Z2537" s="282">
        <f t="shared" si="1002"/>
        <v>0</v>
      </c>
      <c r="AA2537" s="282">
        <f t="shared" si="989"/>
        <v>0</v>
      </c>
      <c r="AB2537" s="812">
        <v>9.7000000000000003E-3</v>
      </c>
      <c r="AC2537" s="279">
        <f t="shared" si="1003"/>
        <v>0</v>
      </c>
      <c r="AD2537" s="209"/>
      <c r="AE2537" s="210">
        <f t="shared" si="1004"/>
        <v>0</v>
      </c>
      <c r="AF2537" s="210">
        <f t="shared" si="1005"/>
        <v>0</v>
      </c>
      <c r="AG2537" s="211">
        <f t="shared" si="1006"/>
        <v>0.308</v>
      </c>
      <c r="AH2537" s="157">
        <f t="shared" si="1007"/>
        <v>0</v>
      </c>
      <c r="AI2537" s="152">
        <f t="shared" si="1008"/>
        <v>28512</v>
      </c>
      <c r="AK2537" s="156" t="s">
        <v>691</v>
      </c>
      <c r="AL2537" s="574" t="s">
        <v>690</v>
      </c>
      <c r="AM2537" s="198">
        <f t="shared" si="1000"/>
        <v>0</v>
      </c>
      <c r="AN2537" s="199">
        <f t="shared" si="983"/>
        <v>45895</v>
      </c>
      <c r="AO2537" s="159" t="s">
        <v>692</v>
      </c>
      <c r="AP2537" s="781"/>
      <c r="AQ2537" s="782">
        <v>12063755</v>
      </c>
      <c r="AR2537" s="782">
        <v>12061353</v>
      </c>
      <c r="AS2537" s="782">
        <v>12061354</v>
      </c>
      <c r="AT2537" s="782">
        <v>12095367</v>
      </c>
      <c r="AU2537" s="781"/>
      <c r="AV2537" s="782">
        <v>12095366</v>
      </c>
      <c r="AW2537" s="782">
        <v>12088207</v>
      </c>
      <c r="AX2537" s="782"/>
      <c r="AY2537" s="782">
        <v>12095368</v>
      </c>
      <c r="AZ2537" s="782"/>
      <c r="BA2537" s="781"/>
      <c r="BB2537" s="209">
        <v>23054743</v>
      </c>
    </row>
    <row r="2538" spans="1:54" ht="25" hidden="1" customHeight="1">
      <c r="B2538" s="271">
        <v>45895</v>
      </c>
      <c r="C2538" s="441">
        <v>45903</v>
      </c>
      <c r="D2538" s="274">
        <f t="shared" si="987"/>
        <v>2025</v>
      </c>
      <c r="E2538" s="274" t="e">
        <f>VLOOKUP($B2538,Week!$A$1:$C$1462,2,0)</f>
        <v>#N/A</v>
      </c>
      <c r="F2538" s="273" t="str">
        <f t="shared" si="988"/>
        <v>Aug</v>
      </c>
      <c r="G2538" s="274" t="s">
        <v>2271</v>
      </c>
      <c r="H2538" s="274" t="s">
        <v>225</v>
      </c>
      <c r="I2538" s="274" t="s">
        <v>2773</v>
      </c>
      <c r="J2538" s="275" t="s">
        <v>650</v>
      </c>
      <c r="K2538" s="276" t="s">
        <v>2256</v>
      </c>
      <c r="L2538" s="276" t="s">
        <v>2167</v>
      </c>
      <c r="M2538" s="275" t="s">
        <v>2258</v>
      </c>
      <c r="N2538" s="274" t="s">
        <v>2259</v>
      </c>
      <c r="O2538" s="274" t="s">
        <v>110</v>
      </c>
      <c r="P2538" s="277">
        <v>36</v>
      </c>
      <c r="Q2538" s="277">
        <v>5</v>
      </c>
      <c r="R2538" s="278">
        <v>7.4999999999999997E-3</v>
      </c>
      <c r="S2538" s="274" t="s">
        <v>111</v>
      </c>
      <c r="T2538" s="274" t="s">
        <v>112</v>
      </c>
      <c r="U2538" s="274" t="s">
        <v>113</v>
      </c>
      <c r="V2538" s="279">
        <f>2444-754-792-792</f>
        <v>106</v>
      </c>
      <c r="W2538" s="279">
        <f>2444-754-792-792</f>
        <v>106</v>
      </c>
      <c r="X2538" s="280"/>
      <c r="Y2538" s="281">
        <f t="shared" si="1001"/>
        <v>0</v>
      </c>
      <c r="Z2538" s="282">
        <f t="shared" si="1002"/>
        <v>0</v>
      </c>
      <c r="AA2538" s="282">
        <f t="shared" si="989"/>
        <v>0</v>
      </c>
      <c r="AB2538" s="812">
        <v>9.7000000000000003E-3</v>
      </c>
      <c r="AC2538" s="279">
        <f t="shared" si="1003"/>
        <v>0</v>
      </c>
      <c r="AD2538" s="209"/>
      <c r="AE2538" s="210">
        <f t="shared" si="1004"/>
        <v>0</v>
      </c>
      <c r="AF2538" s="210">
        <f t="shared" si="1005"/>
        <v>0</v>
      </c>
      <c r="AG2538" s="211">
        <f t="shared" si="1006"/>
        <v>0.308</v>
      </c>
      <c r="AH2538" s="157">
        <f t="shared" si="1007"/>
        <v>0</v>
      </c>
      <c r="AI2538" s="152">
        <f t="shared" si="1008"/>
        <v>3816</v>
      </c>
      <c r="AK2538" s="156" t="s">
        <v>691</v>
      </c>
      <c r="AL2538" s="574" t="s">
        <v>690</v>
      </c>
      <c r="AM2538" s="198">
        <f t="shared" si="1000"/>
        <v>0</v>
      </c>
      <c r="AN2538" s="199">
        <f t="shared" si="983"/>
        <v>45895</v>
      </c>
      <c r="AO2538" s="159" t="s">
        <v>692</v>
      </c>
      <c r="AP2538" s="781"/>
      <c r="AQ2538" s="782">
        <v>12063755</v>
      </c>
      <c r="AR2538" s="782">
        <v>12061353</v>
      </c>
      <c r="AS2538" s="782">
        <v>12061354</v>
      </c>
      <c r="AT2538" s="782">
        <v>12095367</v>
      </c>
      <c r="AU2538" s="781"/>
      <c r="AV2538" s="782">
        <v>12095366</v>
      </c>
      <c r="AW2538" s="782">
        <v>12088207</v>
      </c>
      <c r="AX2538" s="782"/>
      <c r="AY2538" s="782">
        <v>12095368</v>
      </c>
      <c r="AZ2538" s="782"/>
      <c r="BA2538" s="781"/>
      <c r="BB2538" s="209">
        <v>23054743</v>
      </c>
    </row>
    <row r="2539" spans="1:54" ht="24.65" hidden="1" customHeight="1">
      <c r="A2539" s="630" t="s">
        <v>120</v>
      </c>
      <c r="B2539" s="466">
        <v>45896</v>
      </c>
      <c r="C2539" s="467">
        <v>45902</v>
      </c>
      <c r="D2539" s="185">
        <f t="shared" si="987"/>
        <v>2025</v>
      </c>
      <c r="E2539" s="468" t="e">
        <f>VLOOKUP($B2539,Week!$A$1:$C$1462,2,0)</f>
        <v>#N/A</v>
      </c>
      <c r="F2539" s="469" t="str">
        <f t="shared" si="988"/>
        <v>Aug</v>
      </c>
      <c r="G2539" s="470" t="s">
        <v>2434</v>
      </c>
      <c r="H2539" s="468" t="s">
        <v>82</v>
      </c>
      <c r="I2539" s="468" t="s">
        <v>82</v>
      </c>
      <c r="J2539" s="471" t="s">
        <v>720</v>
      </c>
      <c r="K2539" s="472" t="s">
        <v>85</v>
      </c>
      <c r="L2539" s="390" t="s">
        <v>2166</v>
      </c>
      <c r="M2539" s="471" t="s">
        <v>579</v>
      </c>
      <c r="N2539" s="468" t="s">
        <v>580</v>
      </c>
      <c r="O2539" s="468" t="s">
        <v>581</v>
      </c>
      <c r="P2539" s="473">
        <v>8</v>
      </c>
      <c r="Q2539" s="473">
        <v>60</v>
      </c>
      <c r="R2539" s="474">
        <v>6.8100000000000001E-3</v>
      </c>
      <c r="S2539" s="468" t="s">
        <v>76</v>
      </c>
      <c r="T2539" s="468" t="s">
        <v>56</v>
      </c>
      <c r="U2539" s="468" t="s">
        <v>89</v>
      </c>
      <c r="V2539" s="475">
        <f>1408-724</f>
        <v>684</v>
      </c>
      <c r="W2539" s="475">
        <v>684</v>
      </c>
      <c r="X2539" s="476"/>
      <c r="Y2539" s="477">
        <f t="shared" si="1001"/>
        <v>0</v>
      </c>
      <c r="Z2539" s="478">
        <f t="shared" si="1002"/>
        <v>0</v>
      </c>
      <c r="AA2539" s="478">
        <f t="shared" si="989"/>
        <v>0</v>
      </c>
      <c r="AB2539" s="828">
        <v>6</v>
      </c>
      <c r="AC2539" s="475">
        <f t="shared" si="1003"/>
        <v>0</v>
      </c>
      <c r="AD2539" s="209"/>
      <c r="AE2539" s="210">
        <f t="shared" si="1004"/>
        <v>0</v>
      </c>
      <c r="AF2539" s="210">
        <f t="shared" ref="AF2539:AF2546" si="1009">AE2539/0.54</f>
        <v>0</v>
      </c>
      <c r="AG2539" s="211">
        <f t="shared" si="1006"/>
        <v>0.75</v>
      </c>
      <c r="AH2539" s="157">
        <f t="shared" ref="AH2539:AH2545" si="1010">(Z2539*AG2539)/1000</f>
        <v>0</v>
      </c>
      <c r="AI2539" s="152">
        <f t="shared" si="1008"/>
        <v>5472</v>
      </c>
      <c r="AK2539" s="156" t="s">
        <v>691</v>
      </c>
      <c r="AL2539" s="156" t="s">
        <v>689</v>
      </c>
      <c r="AM2539" s="198">
        <f t="shared" si="1000"/>
        <v>0</v>
      </c>
      <c r="AN2539" s="199">
        <f t="shared" si="983"/>
        <v>45896</v>
      </c>
      <c r="AO2539" s="159" t="s">
        <v>692</v>
      </c>
      <c r="AP2539" s="783" t="s">
        <v>613</v>
      </c>
      <c r="AQ2539" s="782">
        <v>12088677</v>
      </c>
      <c r="AR2539" s="782" t="s">
        <v>2142</v>
      </c>
      <c r="AS2539" s="782"/>
      <c r="AT2539" s="782">
        <v>12082897</v>
      </c>
      <c r="AU2539" s="781"/>
      <c r="AV2539" s="782">
        <v>12082898</v>
      </c>
      <c r="AW2539" s="782">
        <v>12082899</v>
      </c>
      <c r="AX2539" s="796" t="s">
        <v>621</v>
      </c>
      <c r="AY2539" s="782"/>
      <c r="AZ2539" s="782"/>
      <c r="BA2539" s="782"/>
      <c r="BB2539" s="209">
        <v>23053185</v>
      </c>
    </row>
    <row r="2540" spans="1:54" ht="25" hidden="1" customHeight="1">
      <c r="B2540" s="271">
        <v>45896</v>
      </c>
      <c r="C2540" s="441">
        <v>45903</v>
      </c>
      <c r="D2540" s="274">
        <f t="shared" si="987"/>
        <v>2025</v>
      </c>
      <c r="E2540" s="274" t="e">
        <f>VLOOKUP($B2540,Week!$A$1:$C$1462,2,0)</f>
        <v>#N/A</v>
      </c>
      <c r="F2540" s="273" t="str">
        <f t="shared" si="988"/>
        <v>Aug</v>
      </c>
      <c r="G2540" s="274" t="s">
        <v>2271</v>
      </c>
      <c r="H2540" s="274" t="s">
        <v>225</v>
      </c>
      <c r="I2540" s="274" t="s">
        <v>2773</v>
      </c>
      <c r="J2540" s="275" t="s">
        <v>650</v>
      </c>
      <c r="K2540" s="276" t="s">
        <v>2256</v>
      </c>
      <c r="L2540" s="276" t="s">
        <v>2167</v>
      </c>
      <c r="M2540" s="275" t="s">
        <v>2258</v>
      </c>
      <c r="N2540" s="274" t="s">
        <v>2259</v>
      </c>
      <c r="O2540" s="274" t="s">
        <v>110</v>
      </c>
      <c r="P2540" s="277">
        <v>36</v>
      </c>
      <c r="Q2540" s="277">
        <v>5</v>
      </c>
      <c r="R2540" s="278">
        <v>7.4999999999999997E-3</v>
      </c>
      <c r="S2540" s="274" t="s">
        <v>111</v>
      </c>
      <c r="T2540" s="274" t="s">
        <v>112</v>
      </c>
      <c r="U2540" s="274" t="s">
        <v>113</v>
      </c>
      <c r="V2540" s="279">
        <f>792-106</f>
        <v>686</v>
      </c>
      <c r="W2540" s="279">
        <v>686</v>
      </c>
      <c r="X2540" s="280"/>
      <c r="Y2540" s="281">
        <f t="shared" si="1001"/>
        <v>0</v>
      </c>
      <c r="Z2540" s="282">
        <f t="shared" si="1002"/>
        <v>0</v>
      </c>
      <c r="AA2540" s="282">
        <f t="shared" si="989"/>
        <v>0</v>
      </c>
      <c r="AB2540" s="812">
        <v>9.7000000000000003E-3</v>
      </c>
      <c r="AC2540" s="279">
        <f t="shared" si="1003"/>
        <v>0</v>
      </c>
      <c r="AD2540" s="209"/>
      <c r="AE2540" s="210">
        <f t="shared" si="1004"/>
        <v>0</v>
      </c>
      <c r="AF2540" s="210">
        <f>AE2540/0.54</f>
        <v>0</v>
      </c>
      <c r="AG2540" s="211">
        <f t="shared" si="1006"/>
        <v>0.308</v>
      </c>
      <c r="AH2540" s="157">
        <f>(Z2540*AG2540)/1000</f>
        <v>0</v>
      </c>
      <c r="AI2540" s="152">
        <f t="shared" si="1008"/>
        <v>24696</v>
      </c>
      <c r="AK2540" s="156" t="s">
        <v>691</v>
      </c>
      <c r="AL2540" s="574" t="s">
        <v>690</v>
      </c>
      <c r="AM2540" s="198">
        <f t="shared" si="1000"/>
        <v>0</v>
      </c>
      <c r="AN2540" s="199">
        <f t="shared" si="983"/>
        <v>45896</v>
      </c>
      <c r="AO2540" s="159" t="s">
        <v>692</v>
      </c>
      <c r="AP2540" s="781"/>
      <c r="AQ2540" s="782">
        <v>12063755</v>
      </c>
      <c r="AR2540" s="782">
        <v>12061353</v>
      </c>
      <c r="AS2540" s="782">
        <v>12061354</v>
      </c>
      <c r="AT2540" s="782">
        <v>12095367</v>
      </c>
      <c r="AU2540" s="781"/>
      <c r="AV2540" s="782">
        <v>12095366</v>
      </c>
      <c r="AW2540" s="782">
        <v>12088207</v>
      </c>
      <c r="AX2540" s="782"/>
      <c r="AY2540" s="782">
        <v>12095368</v>
      </c>
      <c r="AZ2540" s="782"/>
      <c r="BA2540" s="781"/>
      <c r="BB2540" s="209">
        <v>23054743</v>
      </c>
    </row>
    <row r="2541" spans="1:54" ht="25" hidden="1" customHeight="1">
      <c r="B2541" s="271">
        <v>45896</v>
      </c>
      <c r="C2541" s="441">
        <v>45903</v>
      </c>
      <c r="D2541" s="274">
        <f t="shared" si="987"/>
        <v>2025</v>
      </c>
      <c r="E2541" s="274" t="e">
        <f>VLOOKUP($B2541,Week!$A$1:$C$1462,2,0)</f>
        <v>#N/A</v>
      </c>
      <c r="F2541" s="273" t="str">
        <f t="shared" si="988"/>
        <v>Aug</v>
      </c>
      <c r="G2541" s="274" t="s">
        <v>2274</v>
      </c>
      <c r="H2541" s="274" t="s">
        <v>225</v>
      </c>
      <c r="I2541" s="274" t="s">
        <v>2773</v>
      </c>
      <c r="J2541" s="275" t="s">
        <v>650</v>
      </c>
      <c r="K2541" s="276" t="s">
        <v>2256</v>
      </c>
      <c r="L2541" s="276" t="s">
        <v>2167</v>
      </c>
      <c r="M2541" s="275" t="s">
        <v>2258</v>
      </c>
      <c r="N2541" s="274" t="s">
        <v>2259</v>
      </c>
      <c r="O2541" s="274" t="s">
        <v>110</v>
      </c>
      <c r="P2541" s="277">
        <v>36</v>
      </c>
      <c r="Q2541" s="277">
        <v>5</v>
      </c>
      <c r="R2541" s="278">
        <v>7.4999999999999997E-3</v>
      </c>
      <c r="S2541" s="274" t="s">
        <v>111</v>
      </c>
      <c r="T2541" s="274" t="s">
        <v>112</v>
      </c>
      <c r="U2541" s="274" t="s">
        <v>113</v>
      </c>
      <c r="V2541" s="279">
        <v>792</v>
      </c>
      <c r="W2541" s="279">
        <v>792</v>
      </c>
      <c r="X2541" s="280"/>
      <c r="Y2541" s="281">
        <f t="shared" si="1001"/>
        <v>0</v>
      </c>
      <c r="Z2541" s="282">
        <f t="shared" si="1002"/>
        <v>0</v>
      </c>
      <c r="AA2541" s="282">
        <f t="shared" si="989"/>
        <v>0</v>
      </c>
      <c r="AB2541" s="812">
        <v>9.7000000000000003E-3</v>
      </c>
      <c r="AC2541" s="279">
        <f t="shared" si="1003"/>
        <v>0</v>
      </c>
      <c r="AD2541" s="209"/>
      <c r="AE2541" s="210">
        <f t="shared" si="1004"/>
        <v>0</v>
      </c>
      <c r="AF2541" s="210">
        <f>AE2541/0.54</f>
        <v>0</v>
      </c>
      <c r="AG2541" s="211">
        <f t="shared" si="1006"/>
        <v>0.308</v>
      </c>
      <c r="AH2541" s="157">
        <f>(Z2541*AG2541)/1000</f>
        <v>0</v>
      </c>
      <c r="AI2541" s="152">
        <f t="shared" si="1008"/>
        <v>28512</v>
      </c>
      <c r="AK2541" s="156" t="s">
        <v>691</v>
      </c>
      <c r="AL2541" s="574" t="s">
        <v>690</v>
      </c>
      <c r="AM2541" s="198">
        <f t="shared" si="1000"/>
        <v>0</v>
      </c>
      <c r="AN2541" s="199">
        <f t="shared" si="983"/>
        <v>45896</v>
      </c>
      <c r="AO2541" s="159" t="s">
        <v>692</v>
      </c>
      <c r="AP2541" s="781"/>
      <c r="AQ2541" s="782">
        <v>12063755</v>
      </c>
      <c r="AR2541" s="782">
        <v>12061353</v>
      </c>
      <c r="AS2541" s="782">
        <v>12061354</v>
      </c>
      <c r="AT2541" s="782">
        <v>12095367</v>
      </c>
      <c r="AU2541" s="781"/>
      <c r="AV2541" s="782">
        <v>12095366</v>
      </c>
      <c r="AW2541" s="782">
        <v>12088207</v>
      </c>
      <c r="AX2541" s="782"/>
      <c r="AY2541" s="782">
        <v>12095368</v>
      </c>
      <c r="AZ2541" s="782"/>
      <c r="BA2541" s="781"/>
      <c r="BB2541" s="209">
        <v>23054743</v>
      </c>
    </row>
    <row r="2542" spans="1:54" ht="25" hidden="1" customHeight="1">
      <c r="B2542" s="271">
        <v>45896</v>
      </c>
      <c r="C2542" s="441">
        <v>45903</v>
      </c>
      <c r="D2542" s="274">
        <f t="shared" si="987"/>
        <v>2025</v>
      </c>
      <c r="E2542" s="274" t="e">
        <f>VLOOKUP($B2542,Week!$A$1:$C$1462,2,0)</f>
        <v>#N/A</v>
      </c>
      <c r="F2542" s="273" t="str">
        <f t="shared" si="988"/>
        <v>Aug</v>
      </c>
      <c r="G2542" s="274" t="s">
        <v>2277</v>
      </c>
      <c r="H2542" s="274" t="s">
        <v>225</v>
      </c>
      <c r="I2542" s="274" t="s">
        <v>2773</v>
      </c>
      <c r="J2542" s="275" t="s">
        <v>650</v>
      </c>
      <c r="K2542" s="276" t="s">
        <v>2256</v>
      </c>
      <c r="L2542" s="276" t="s">
        <v>2167</v>
      </c>
      <c r="M2542" s="275" t="s">
        <v>2258</v>
      </c>
      <c r="N2542" s="274" t="s">
        <v>2259</v>
      </c>
      <c r="O2542" s="274" t="s">
        <v>110</v>
      </c>
      <c r="P2542" s="277">
        <v>36</v>
      </c>
      <c r="Q2542" s="277">
        <v>5</v>
      </c>
      <c r="R2542" s="278">
        <v>7.4999999999999997E-3</v>
      </c>
      <c r="S2542" s="274" t="s">
        <v>111</v>
      </c>
      <c r="T2542" s="274" t="s">
        <v>112</v>
      </c>
      <c r="U2542" s="274" t="s">
        <v>113</v>
      </c>
      <c r="V2542" s="279">
        <v>792</v>
      </c>
      <c r="W2542" s="279">
        <v>792</v>
      </c>
      <c r="X2542" s="280"/>
      <c r="Y2542" s="281">
        <f t="shared" si="1001"/>
        <v>0</v>
      </c>
      <c r="Z2542" s="282">
        <f t="shared" si="1002"/>
        <v>0</v>
      </c>
      <c r="AA2542" s="282">
        <f t="shared" si="989"/>
        <v>0</v>
      </c>
      <c r="AB2542" s="812">
        <v>9.7000000000000003E-3</v>
      </c>
      <c r="AC2542" s="279">
        <f t="shared" si="1003"/>
        <v>0</v>
      </c>
      <c r="AD2542" s="209"/>
      <c r="AE2542" s="210">
        <f t="shared" si="1004"/>
        <v>0</v>
      </c>
      <c r="AF2542" s="210">
        <f t="shared" si="1009"/>
        <v>0</v>
      </c>
      <c r="AG2542" s="211">
        <f t="shared" si="1006"/>
        <v>0.308</v>
      </c>
      <c r="AH2542" s="157">
        <f t="shared" si="1010"/>
        <v>0</v>
      </c>
      <c r="AI2542" s="152">
        <f t="shared" si="1008"/>
        <v>28512</v>
      </c>
      <c r="AK2542" s="156" t="s">
        <v>691</v>
      </c>
      <c r="AL2542" s="574" t="s">
        <v>690</v>
      </c>
      <c r="AM2542" s="198">
        <f t="shared" si="1000"/>
        <v>0</v>
      </c>
      <c r="AN2542" s="199">
        <f t="shared" si="983"/>
        <v>45896</v>
      </c>
      <c r="AO2542" s="159" t="s">
        <v>692</v>
      </c>
      <c r="AP2542" s="781"/>
      <c r="AQ2542" s="782">
        <v>12063755</v>
      </c>
      <c r="AR2542" s="782">
        <v>12061353</v>
      </c>
      <c r="AS2542" s="782">
        <v>12061354</v>
      </c>
      <c r="AT2542" s="782">
        <v>12095367</v>
      </c>
      <c r="AU2542" s="781"/>
      <c r="AV2542" s="782">
        <v>12095366</v>
      </c>
      <c r="AW2542" s="782">
        <v>12088207</v>
      </c>
      <c r="AX2542" s="782"/>
      <c r="AY2542" s="782">
        <v>12095368</v>
      </c>
      <c r="AZ2542" s="782"/>
      <c r="BA2542" s="781"/>
      <c r="BB2542" s="209">
        <v>23054743</v>
      </c>
    </row>
    <row r="2543" spans="1:54" ht="25" hidden="1" customHeight="1">
      <c r="B2543" s="271">
        <v>45896</v>
      </c>
      <c r="C2543" s="441">
        <v>45911</v>
      </c>
      <c r="D2543" s="274">
        <f t="shared" si="987"/>
        <v>2025</v>
      </c>
      <c r="E2543" s="274" t="e">
        <f>VLOOKUP($B2543,Week!$A$1:$C$1462,2,0)</f>
        <v>#N/A</v>
      </c>
      <c r="F2543" s="273" t="str">
        <f t="shared" si="988"/>
        <v>Aug</v>
      </c>
      <c r="G2543" s="274" t="s">
        <v>2282</v>
      </c>
      <c r="H2543" s="274" t="s">
        <v>225</v>
      </c>
      <c r="I2543" s="274" t="s">
        <v>2773</v>
      </c>
      <c r="J2543" s="275" t="s">
        <v>650</v>
      </c>
      <c r="K2543" s="276" t="s">
        <v>2256</v>
      </c>
      <c r="L2543" s="276" t="s">
        <v>2167</v>
      </c>
      <c r="M2543" s="275" t="s">
        <v>2258</v>
      </c>
      <c r="N2543" s="274" t="s">
        <v>2259</v>
      </c>
      <c r="O2543" s="274" t="s">
        <v>110</v>
      </c>
      <c r="P2543" s="277">
        <v>36</v>
      </c>
      <c r="Q2543" s="277">
        <v>5</v>
      </c>
      <c r="R2543" s="278">
        <v>7.4999999999999997E-3</v>
      </c>
      <c r="S2543" s="274" t="s">
        <v>111</v>
      </c>
      <c r="T2543" s="274" t="s">
        <v>112</v>
      </c>
      <c r="U2543" s="274" t="s">
        <v>113</v>
      </c>
      <c r="V2543" s="279">
        <f>2387-686-792-792</f>
        <v>117</v>
      </c>
      <c r="W2543" s="279">
        <f>2387-686-792-792</f>
        <v>117</v>
      </c>
      <c r="X2543" s="280"/>
      <c r="Y2543" s="281">
        <f t="shared" si="1001"/>
        <v>0</v>
      </c>
      <c r="Z2543" s="282">
        <f t="shared" si="1002"/>
        <v>0</v>
      </c>
      <c r="AA2543" s="282">
        <f t="shared" si="989"/>
        <v>0</v>
      </c>
      <c r="AB2543" s="812">
        <v>9.7000000000000003E-3</v>
      </c>
      <c r="AC2543" s="279">
        <f t="shared" si="1003"/>
        <v>0</v>
      </c>
      <c r="AD2543" s="209"/>
      <c r="AE2543" s="210">
        <f t="shared" si="1004"/>
        <v>0</v>
      </c>
      <c r="AF2543" s="210">
        <f t="shared" si="1009"/>
        <v>0</v>
      </c>
      <c r="AG2543" s="211">
        <f t="shared" si="1006"/>
        <v>0.308</v>
      </c>
      <c r="AH2543" s="157">
        <f t="shared" si="1010"/>
        <v>0</v>
      </c>
      <c r="AI2543" s="152">
        <f t="shared" si="1008"/>
        <v>4212</v>
      </c>
      <c r="AK2543" s="156" t="s">
        <v>691</v>
      </c>
      <c r="AL2543" s="574" t="s">
        <v>690</v>
      </c>
      <c r="AM2543" s="198">
        <f t="shared" si="1000"/>
        <v>0</v>
      </c>
      <c r="AN2543" s="199">
        <f t="shared" si="983"/>
        <v>45896</v>
      </c>
      <c r="AO2543" s="159" t="s">
        <v>692</v>
      </c>
      <c r="AP2543" s="781"/>
      <c r="AQ2543" s="782">
        <v>12063755</v>
      </c>
      <c r="AR2543" s="782">
        <v>12061353</v>
      </c>
      <c r="AS2543" s="782">
        <v>12061354</v>
      </c>
      <c r="AT2543" s="782">
        <v>12095367</v>
      </c>
      <c r="AU2543" s="781"/>
      <c r="AV2543" s="782">
        <v>12095366</v>
      </c>
      <c r="AW2543" s="782">
        <v>12088207</v>
      </c>
      <c r="AX2543" s="782"/>
      <c r="AY2543" s="782">
        <v>12095368</v>
      </c>
      <c r="AZ2543" s="782"/>
      <c r="BA2543" s="781"/>
      <c r="BB2543" s="209">
        <v>23054743</v>
      </c>
    </row>
    <row r="2544" spans="1:54" ht="24.65" hidden="1" customHeight="1">
      <c r="A2544" s="630" t="s">
        <v>120</v>
      </c>
      <c r="B2544" s="466">
        <v>45897</v>
      </c>
      <c r="C2544" s="467">
        <v>45902</v>
      </c>
      <c r="D2544" s="185">
        <f t="shared" si="987"/>
        <v>2025</v>
      </c>
      <c r="E2544" s="468" t="e">
        <f>VLOOKUP($B2544,Week!$A$1:$C$1462,2,0)</f>
        <v>#N/A</v>
      </c>
      <c r="F2544" s="469" t="str">
        <f t="shared" si="988"/>
        <v>Aug</v>
      </c>
      <c r="G2544" s="470" t="s">
        <v>2443</v>
      </c>
      <c r="H2544" s="468" t="s">
        <v>82</v>
      </c>
      <c r="I2544" s="468" t="s">
        <v>82</v>
      </c>
      <c r="J2544" s="471" t="s">
        <v>720</v>
      </c>
      <c r="K2544" s="472" t="s">
        <v>85</v>
      </c>
      <c r="L2544" s="390" t="s">
        <v>2166</v>
      </c>
      <c r="M2544" s="471" t="s">
        <v>579</v>
      </c>
      <c r="N2544" s="468" t="s">
        <v>580</v>
      </c>
      <c r="O2544" s="468" t="s">
        <v>581</v>
      </c>
      <c r="P2544" s="473">
        <v>8</v>
      </c>
      <c r="Q2544" s="473">
        <v>60</v>
      </c>
      <c r="R2544" s="474">
        <v>6.8100000000000001E-3</v>
      </c>
      <c r="S2544" s="468" t="s">
        <v>76</v>
      </c>
      <c r="T2544" s="468" t="s">
        <v>56</v>
      </c>
      <c r="U2544" s="468" t="s">
        <v>89</v>
      </c>
      <c r="V2544" s="475">
        <v>727</v>
      </c>
      <c r="W2544" s="475">
        <v>727</v>
      </c>
      <c r="X2544" s="476"/>
      <c r="Y2544" s="477">
        <f t="shared" si="1001"/>
        <v>0</v>
      </c>
      <c r="Z2544" s="478">
        <f t="shared" si="1002"/>
        <v>0</v>
      </c>
      <c r="AA2544" s="478">
        <f t="shared" si="989"/>
        <v>0</v>
      </c>
      <c r="AB2544" s="828">
        <v>6</v>
      </c>
      <c r="AC2544" s="475">
        <f t="shared" si="1003"/>
        <v>0</v>
      </c>
      <c r="AD2544" s="209"/>
      <c r="AE2544" s="210">
        <f t="shared" si="1004"/>
        <v>0</v>
      </c>
      <c r="AF2544" s="210">
        <f t="shared" si="1009"/>
        <v>0</v>
      </c>
      <c r="AG2544" s="211">
        <f t="shared" si="1006"/>
        <v>0.75</v>
      </c>
      <c r="AH2544" s="157">
        <f t="shared" si="1010"/>
        <v>0</v>
      </c>
      <c r="AI2544" s="152">
        <f t="shared" si="1008"/>
        <v>5816</v>
      </c>
      <c r="AK2544" s="156" t="s">
        <v>691</v>
      </c>
      <c r="AL2544" s="156" t="s">
        <v>689</v>
      </c>
      <c r="AM2544" s="198">
        <f t="shared" si="1000"/>
        <v>0</v>
      </c>
      <c r="AN2544" s="199">
        <f t="shared" si="983"/>
        <v>45897</v>
      </c>
      <c r="AO2544" s="159" t="s">
        <v>692</v>
      </c>
      <c r="AP2544" s="783" t="s">
        <v>613</v>
      </c>
      <c r="AQ2544" s="782">
        <v>12088677</v>
      </c>
      <c r="AR2544" s="782" t="s">
        <v>2142</v>
      </c>
      <c r="AS2544" s="782"/>
      <c r="AT2544" s="782">
        <v>12082897</v>
      </c>
      <c r="AU2544" s="781"/>
      <c r="AV2544" s="782">
        <v>12082898</v>
      </c>
      <c r="AW2544" s="782">
        <v>12082899</v>
      </c>
      <c r="AX2544" s="796" t="s">
        <v>621</v>
      </c>
      <c r="AY2544" s="782"/>
      <c r="AZ2544" s="782"/>
      <c r="BA2544" s="782"/>
      <c r="BB2544" s="209">
        <v>23099860</v>
      </c>
    </row>
    <row r="2545" spans="1:54" ht="25.15" hidden="1" customHeight="1">
      <c r="B2545" s="345">
        <v>45897</v>
      </c>
      <c r="C2545" s="346">
        <v>45909</v>
      </c>
      <c r="D2545" s="185">
        <f t="shared" si="987"/>
        <v>2025</v>
      </c>
      <c r="E2545" s="347" t="e">
        <f>VLOOKUP($B2545,Week!$A$1:$C$1462,2,0)</f>
        <v>#N/A</v>
      </c>
      <c r="F2545" s="348" t="str">
        <f t="shared" si="988"/>
        <v>Aug</v>
      </c>
      <c r="G2545" s="347" t="s">
        <v>2013</v>
      </c>
      <c r="H2545" s="347" t="s">
        <v>424</v>
      </c>
      <c r="I2545" s="347" t="s">
        <v>2772</v>
      </c>
      <c r="J2545" s="438" t="s">
        <v>425</v>
      </c>
      <c r="K2545" s="350" t="s">
        <v>176</v>
      </c>
      <c r="L2545" s="300" t="s">
        <v>2167</v>
      </c>
      <c r="M2545" s="349" t="s">
        <v>426</v>
      </c>
      <c r="N2545" s="347" t="s">
        <v>427</v>
      </c>
      <c r="O2545" s="347" t="s">
        <v>599</v>
      </c>
      <c r="P2545" s="351">
        <v>36</v>
      </c>
      <c r="Q2545" s="351">
        <v>5</v>
      </c>
      <c r="R2545" s="352">
        <v>7.4999999999999997E-3</v>
      </c>
      <c r="S2545" s="347" t="s">
        <v>111</v>
      </c>
      <c r="T2545" s="347" t="s">
        <v>112</v>
      </c>
      <c r="U2545" s="347" t="s">
        <v>57</v>
      </c>
      <c r="V2545" s="353">
        <v>1288</v>
      </c>
      <c r="W2545" s="353">
        <f>7+1230</f>
        <v>1237</v>
      </c>
      <c r="X2545" s="354">
        <f>(1836)/36</f>
        <v>51</v>
      </c>
      <c r="Y2545" s="355">
        <f t="shared" si="1001"/>
        <v>0</v>
      </c>
      <c r="Z2545" s="356">
        <f t="shared" si="1002"/>
        <v>0</v>
      </c>
      <c r="AA2545" s="353">
        <f t="shared" si="989"/>
        <v>0</v>
      </c>
      <c r="AB2545" s="818">
        <v>7.4999999999999997E-3</v>
      </c>
      <c r="AC2545" s="353">
        <f t="shared" si="1003"/>
        <v>0</v>
      </c>
      <c r="AD2545" s="307" t="s">
        <v>2449</v>
      </c>
      <c r="AE2545" s="210">
        <f t="shared" si="1004"/>
        <v>0</v>
      </c>
      <c r="AF2545" s="210">
        <f t="shared" si="1009"/>
        <v>0</v>
      </c>
      <c r="AG2545" s="211">
        <f t="shared" si="1006"/>
        <v>0.14799999999999999</v>
      </c>
      <c r="AH2545" s="157">
        <f t="shared" si="1010"/>
        <v>0</v>
      </c>
      <c r="AI2545" s="152">
        <f t="shared" si="1008"/>
        <v>46368</v>
      </c>
      <c r="AK2545" s="156" t="s">
        <v>691</v>
      </c>
      <c r="AL2545" s="574" t="s">
        <v>690</v>
      </c>
      <c r="AM2545" s="198">
        <f t="shared" si="1000"/>
        <v>0</v>
      </c>
      <c r="AN2545" s="199">
        <f t="shared" si="983"/>
        <v>45897</v>
      </c>
      <c r="AO2545" s="159" t="s">
        <v>692</v>
      </c>
      <c r="AP2545" s="783" t="s">
        <v>609</v>
      </c>
      <c r="AQ2545" s="782">
        <v>12071839</v>
      </c>
      <c r="AR2545" s="782">
        <v>12080260</v>
      </c>
      <c r="AS2545" s="782">
        <v>12080259</v>
      </c>
      <c r="AT2545" s="782">
        <v>12096006</v>
      </c>
      <c r="AU2545" s="782"/>
      <c r="AV2545" s="782">
        <v>12096007</v>
      </c>
      <c r="AW2545" s="782">
        <v>12024404</v>
      </c>
      <c r="AX2545" s="781"/>
      <c r="AY2545" s="782">
        <v>12096022</v>
      </c>
      <c r="AZ2545" s="782"/>
      <c r="BA2545" s="781"/>
      <c r="BB2545" s="209">
        <v>23053185</v>
      </c>
    </row>
    <row r="2546" spans="1:54" ht="25" hidden="1" customHeight="1">
      <c r="B2546" s="425">
        <v>45897</v>
      </c>
      <c r="C2546" s="425">
        <v>45929</v>
      </c>
      <c r="D2546" s="185">
        <f t="shared" si="987"/>
        <v>2025</v>
      </c>
      <c r="E2546" s="425" t="e">
        <f>VLOOKUP($B2546,Week!$A$1:$C$1462,2,0)</f>
        <v>#N/A</v>
      </c>
      <c r="F2546" s="426" t="str">
        <f t="shared" si="988"/>
        <v>Aug</v>
      </c>
      <c r="G2546" s="427" t="s">
        <v>2439</v>
      </c>
      <c r="H2546" s="427" t="s">
        <v>600</v>
      </c>
      <c r="I2546" s="427" t="s">
        <v>2772</v>
      </c>
      <c r="J2546" s="428" t="s">
        <v>708</v>
      </c>
      <c r="K2546" s="429" t="s">
        <v>1650</v>
      </c>
      <c r="L2546" s="300" t="s">
        <v>2167</v>
      </c>
      <c r="M2546" s="428" t="s">
        <v>603</v>
      </c>
      <c r="N2546" s="427" t="s">
        <v>1256</v>
      </c>
      <c r="O2546" s="427" t="s">
        <v>659</v>
      </c>
      <c r="P2546" s="430">
        <v>12</v>
      </c>
      <c r="Q2546" s="430">
        <v>3</v>
      </c>
      <c r="R2546" s="431">
        <v>6.0000000000000001E-3</v>
      </c>
      <c r="S2546" s="427" t="s">
        <v>55</v>
      </c>
      <c r="T2546" s="427" t="s">
        <v>112</v>
      </c>
      <c r="U2546" s="632" t="s">
        <v>1894</v>
      </c>
      <c r="V2546" s="432">
        <f>2520</f>
        <v>2520</v>
      </c>
      <c r="W2546" s="432">
        <f>11+2509</f>
        <v>2520</v>
      </c>
      <c r="X2546" s="433"/>
      <c r="Y2546" s="434">
        <f t="shared" si="1001"/>
        <v>0</v>
      </c>
      <c r="Z2546" s="435">
        <f t="shared" si="1002"/>
        <v>0</v>
      </c>
      <c r="AA2546" s="435">
        <f t="shared" si="989"/>
        <v>0</v>
      </c>
      <c r="AB2546" s="826">
        <v>3.8699999999999998E-2</v>
      </c>
      <c r="AC2546" s="432">
        <f t="shared" si="1003"/>
        <v>0</v>
      </c>
      <c r="AD2546" s="307" t="s">
        <v>1509</v>
      </c>
      <c r="AE2546" s="210">
        <f t="shared" si="1004"/>
        <v>0</v>
      </c>
      <c r="AF2546" s="210">
        <f t="shared" si="1009"/>
        <v>0</v>
      </c>
      <c r="AG2546" s="211">
        <f t="shared" si="1006"/>
        <v>0.30199999999999999</v>
      </c>
      <c r="AH2546" s="157">
        <v>0.26621999999999996</v>
      </c>
      <c r="AI2546" s="152">
        <f t="shared" si="1008"/>
        <v>30240</v>
      </c>
      <c r="AK2546" s="156" t="s">
        <v>691</v>
      </c>
      <c r="AL2546" s="212" t="s">
        <v>690</v>
      </c>
      <c r="AM2546" s="198">
        <f t="shared" si="1000"/>
        <v>0</v>
      </c>
      <c r="AN2546" s="199">
        <f t="shared" si="983"/>
        <v>45897</v>
      </c>
      <c r="AO2546" s="159" t="s">
        <v>692</v>
      </c>
      <c r="AP2546" s="783" t="s">
        <v>629</v>
      </c>
      <c r="AQ2546" s="782">
        <v>12063755</v>
      </c>
      <c r="AR2546" s="782">
        <v>12061353</v>
      </c>
      <c r="AS2546" s="782">
        <v>12061354</v>
      </c>
      <c r="AT2546" s="782"/>
      <c r="AU2546" s="781"/>
      <c r="AV2546" s="867">
        <v>12095907</v>
      </c>
      <c r="AW2546" s="781"/>
      <c r="AX2546" s="782"/>
      <c r="AY2546" s="782">
        <v>12094276</v>
      </c>
      <c r="AZ2546" s="782">
        <v>12094277</v>
      </c>
      <c r="BA2546" s="783" t="s">
        <v>2229</v>
      </c>
      <c r="BB2546" s="209">
        <v>23053185</v>
      </c>
    </row>
    <row r="2547" spans="1:54" ht="24.65" hidden="1" customHeight="1">
      <c r="A2547" s="630" t="s">
        <v>120</v>
      </c>
      <c r="B2547" s="466">
        <v>45898</v>
      </c>
      <c r="C2547" s="467">
        <v>45902</v>
      </c>
      <c r="D2547" s="185">
        <f t="shared" si="987"/>
        <v>2025</v>
      </c>
      <c r="E2547" s="468" t="e">
        <f>VLOOKUP($B2547,Week!$A$1:$C$1462,2,0)</f>
        <v>#N/A</v>
      </c>
      <c r="F2547" s="469" t="str">
        <f t="shared" si="988"/>
        <v>Aug</v>
      </c>
      <c r="G2547" s="470" t="s">
        <v>2443</v>
      </c>
      <c r="H2547" s="468" t="s">
        <v>82</v>
      </c>
      <c r="I2547" s="468" t="s">
        <v>82</v>
      </c>
      <c r="J2547" s="471" t="s">
        <v>720</v>
      </c>
      <c r="K2547" s="472" t="s">
        <v>85</v>
      </c>
      <c r="L2547" s="390" t="s">
        <v>2166</v>
      </c>
      <c r="M2547" s="471" t="s">
        <v>579</v>
      </c>
      <c r="N2547" s="468" t="s">
        <v>580</v>
      </c>
      <c r="O2547" s="468" t="s">
        <v>581</v>
      </c>
      <c r="P2547" s="473">
        <v>8</v>
      </c>
      <c r="Q2547" s="473">
        <v>60</v>
      </c>
      <c r="R2547" s="474">
        <v>6.8100000000000001E-3</v>
      </c>
      <c r="S2547" s="468" t="s">
        <v>76</v>
      </c>
      <c r="T2547" s="468" t="s">
        <v>56</v>
      </c>
      <c r="U2547" s="468" t="s">
        <v>89</v>
      </c>
      <c r="V2547" s="475">
        <f>1408-727</f>
        <v>681</v>
      </c>
      <c r="W2547" s="475">
        <v>681</v>
      </c>
      <c r="X2547" s="476"/>
      <c r="Y2547" s="477">
        <f t="shared" si="1001"/>
        <v>0</v>
      </c>
      <c r="Z2547" s="478">
        <f t="shared" si="1002"/>
        <v>0</v>
      </c>
      <c r="AA2547" s="478">
        <f t="shared" si="989"/>
        <v>0</v>
      </c>
      <c r="AB2547" s="828">
        <v>6</v>
      </c>
      <c r="AC2547" s="475">
        <f t="shared" si="1003"/>
        <v>0</v>
      </c>
      <c r="AD2547" s="209"/>
      <c r="AE2547" s="210">
        <f t="shared" si="1004"/>
        <v>0</v>
      </c>
      <c r="AF2547" s="210">
        <f t="shared" ref="AF2547:AF2555" si="1011">AE2547/0.54</f>
        <v>0</v>
      </c>
      <c r="AG2547" s="211">
        <f t="shared" si="1006"/>
        <v>0.75</v>
      </c>
      <c r="AH2547" s="157">
        <f t="shared" ref="AH2547:AH2555" si="1012">(Z2547*AG2547)/1000</f>
        <v>0</v>
      </c>
      <c r="AI2547" s="152">
        <f t="shared" si="1008"/>
        <v>5448</v>
      </c>
      <c r="AK2547" s="156" t="s">
        <v>691</v>
      </c>
      <c r="AL2547" s="156" t="s">
        <v>689</v>
      </c>
      <c r="AM2547" s="198">
        <f t="shared" si="1000"/>
        <v>0</v>
      </c>
      <c r="AN2547" s="199">
        <f t="shared" si="983"/>
        <v>45898</v>
      </c>
      <c r="AO2547" s="159" t="s">
        <v>692</v>
      </c>
      <c r="AP2547" s="783" t="s">
        <v>613</v>
      </c>
      <c r="AQ2547" s="782">
        <v>12088677</v>
      </c>
      <c r="AR2547" s="782" t="s">
        <v>2142</v>
      </c>
      <c r="AS2547" s="782"/>
      <c r="AT2547" s="782">
        <v>12082897</v>
      </c>
      <c r="AU2547" s="781"/>
      <c r="AV2547" s="782">
        <v>12082898</v>
      </c>
      <c r="AW2547" s="782">
        <v>12082899</v>
      </c>
      <c r="AX2547" s="796" t="s">
        <v>621</v>
      </c>
      <c r="AY2547" s="782"/>
      <c r="AZ2547" s="781"/>
      <c r="BA2547" s="781"/>
      <c r="BB2547" s="209">
        <v>23053185</v>
      </c>
    </row>
    <row r="2548" spans="1:54" ht="25" hidden="1" customHeight="1">
      <c r="B2548" s="213">
        <v>45898</v>
      </c>
      <c r="C2548" s="214">
        <v>45909</v>
      </c>
      <c r="D2548" s="185">
        <f t="shared" si="987"/>
        <v>2025</v>
      </c>
      <c r="E2548" s="215" t="e">
        <f>VLOOKUP($B2548,Week!$A$1:$C$1462,2,0)</f>
        <v>#N/A</v>
      </c>
      <c r="F2548" s="216" t="str">
        <f t="shared" si="988"/>
        <v>Aug</v>
      </c>
      <c r="G2548" s="215" t="s">
        <v>2348</v>
      </c>
      <c r="H2548" s="215" t="s">
        <v>134</v>
      </c>
      <c r="I2548" s="215" t="s">
        <v>2772</v>
      </c>
      <c r="J2548" s="209" t="s">
        <v>164</v>
      </c>
      <c r="K2548" s="217" t="s">
        <v>1648</v>
      </c>
      <c r="L2548" s="300" t="s">
        <v>2167</v>
      </c>
      <c r="M2548" s="209" t="s">
        <v>193</v>
      </c>
      <c r="N2548" s="215" t="s">
        <v>205</v>
      </c>
      <c r="O2548" s="215" t="s">
        <v>206</v>
      </c>
      <c r="P2548" s="218">
        <v>24</v>
      </c>
      <c r="Q2548" s="218">
        <v>5</v>
      </c>
      <c r="R2548" s="219">
        <v>8.0000000000000002E-3</v>
      </c>
      <c r="S2548" s="215" t="s">
        <v>40</v>
      </c>
      <c r="T2548" s="215" t="s">
        <v>56</v>
      </c>
      <c r="U2548" s="480" t="s">
        <v>499</v>
      </c>
      <c r="V2548" s="220">
        <f>250</f>
        <v>250</v>
      </c>
      <c r="W2548" s="220">
        <f>2+248</f>
        <v>250</v>
      </c>
      <c r="X2548" s="221"/>
      <c r="Y2548" s="222">
        <f t="shared" si="1001"/>
        <v>0</v>
      </c>
      <c r="Z2548" s="223">
        <f t="shared" si="1002"/>
        <v>0</v>
      </c>
      <c r="AA2548" s="220">
        <f t="shared" si="989"/>
        <v>0</v>
      </c>
      <c r="AB2548" s="807">
        <v>1</v>
      </c>
      <c r="AC2548" s="220">
        <f t="shared" si="1003"/>
        <v>0</v>
      </c>
      <c r="AD2548" s="381"/>
      <c r="AE2548" s="210">
        <f t="shared" si="1004"/>
        <v>0</v>
      </c>
      <c r="AF2548" s="210">
        <f t="shared" si="1011"/>
        <v>0</v>
      </c>
      <c r="AG2548" s="211">
        <f t="shared" si="1006"/>
        <v>0.115</v>
      </c>
      <c r="AH2548" s="157">
        <f t="shared" si="1012"/>
        <v>0</v>
      </c>
      <c r="AI2548" s="152">
        <f t="shared" si="1008"/>
        <v>6000</v>
      </c>
      <c r="AK2548" s="156" t="s">
        <v>691</v>
      </c>
      <c r="AL2548" s="212" t="s">
        <v>690</v>
      </c>
      <c r="AM2548" s="198">
        <f t="shared" si="1000"/>
        <v>0</v>
      </c>
      <c r="AN2548" s="199">
        <f t="shared" si="983"/>
        <v>45898</v>
      </c>
      <c r="AO2548" s="159" t="s">
        <v>692</v>
      </c>
      <c r="AP2548" s="783" t="s">
        <v>610</v>
      </c>
      <c r="AQ2548" s="782">
        <v>12071839</v>
      </c>
      <c r="AR2548" s="782">
        <v>12047514</v>
      </c>
      <c r="AS2548" s="782">
        <v>12047515</v>
      </c>
      <c r="AT2548" s="782"/>
      <c r="AU2548" s="782">
        <v>12026902</v>
      </c>
      <c r="AV2548" s="782">
        <v>12054722</v>
      </c>
      <c r="AW2548" s="782">
        <v>12026904</v>
      </c>
      <c r="AX2548" s="782"/>
      <c r="AY2548" s="782">
        <v>12094111</v>
      </c>
      <c r="AZ2548" s="782">
        <v>12094113</v>
      </c>
      <c r="BA2548" s="782">
        <v>12094114</v>
      </c>
    </row>
    <row r="2549" spans="1:54" ht="24.65" hidden="1" customHeight="1">
      <c r="B2549" s="757">
        <v>45898</v>
      </c>
      <c r="C2549" s="758">
        <v>45909</v>
      </c>
      <c r="D2549" s="185">
        <f t="shared" si="987"/>
        <v>2025</v>
      </c>
      <c r="E2549" s="758" t="e">
        <f>VLOOKUP($B2549,Week!$A$1:$C$1462,2,0)</f>
        <v>#N/A</v>
      </c>
      <c r="F2549" s="759" t="str">
        <f t="shared" si="988"/>
        <v>Aug</v>
      </c>
      <c r="G2549" s="760" t="s">
        <v>2327</v>
      </c>
      <c r="H2549" s="761" t="s">
        <v>424</v>
      </c>
      <c r="I2549" s="761" t="s">
        <v>2772</v>
      </c>
      <c r="J2549" s="762" t="s">
        <v>425</v>
      </c>
      <c r="K2549" s="763" t="s">
        <v>593</v>
      </c>
      <c r="L2549" s="300" t="s">
        <v>2167</v>
      </c>
      <c r="M2549" s="762" t="s">
        <v>594</v>
      </c>
      <c r="N2549" s="761" t="s">
        <v>1671</v>
      </c>
      <c r="O2549" s="761" t="s">
        <v>415</v>
      </c>
      <c r="P2549" s="764">
        <v>24</v>
      </c>
      <c r="Q2549" s="764">
        <v>5</v>
      </c>
      <c r="R2549" s="765">
        <v>6.0000000000000001E-3</v>
      </c>
      <c r="S2549" s="761" t="s">
        <v>55</v>
      </c>
      <c r="T2549" s="761" t="s">
        <v>112</v>
      </c>
      <c r="U2549" s="761" t="s">
        <v>57</v>
      </c>
      <c r="V2549" s="766">
        <v>705</v>
      </c>
      <c r="W2549" s="766">
        <f>8+697</f>
        <v>705</v>
      </c>
      <c r="X2549" s="767">
        <f>(696)/24</f>
        <v>29</v>
      </c>
      <c r="Y2549" s="768">
        <f t="shared" si="1001"/>
        <v>29</v>
      </c>
      <c r="Z2549" s="769">
        <f t="shared" si="1002"/>
        <v>0</v>
      </c>
      <c r="AA2549" s="769">
        <f t="shared" si="989"/>
        <v>0</v>
      </c>
      <c r="AB2549" s="837">
        <v>7.4999999999999997E-3</v>
      </c>
      <c r="AC2549" s="766">
        <f t="shared" si="1003"/>
        <v>0</v>
      </c>
      <c r="AD2549" s="485" t="s">
        <v>2333</v>
      </c>
      <c r="AE2549" s="210">
        <f t="shared" si="1004"/>
        <v>0</v>
      </c>
      <c r="AF2549" s="210">
        <f t="shared" si="1011"/>
        <v>0</v>
      </c>
      <c r="AG2549" s="211">
        <f t="shared" si="1006"/>
        <v>0.25800000000000001</v>
      </c>
      <c r="AH2549" s="157">
        <f t="shared" si="1012"/>
        <v>0</v>
      </c>
      <c r="AI2549" s="152">
        <f t="shared" si="1008"/>
        <v>16920</v>
      </c>
      <c r="AK2549" s="156" t="s">
        <v>691</v>
      </c>
      <c r="AL2549" s="212" t="s">
        <v>690</v>
      </c>
      <c r="AM2549" s="198">
        <f t="shared" si="1000"/>
        <v>0</v>
      </c>
      <c r="AN2549" s="199">
        <f t="shared" si="983"/>
        <v>45898</v>
      </c>
      <c r="AO2549" s="159" t="s">
        <v>692</v>
      </c>
      <c r="AP2549" s="783" t="s">
        <v>609</v>
      </c>
      <c r="AQ2549" s="782">
        <v>12071839</v>
      </c>
      <c r="AR2549" s="782">
        <v>12095778</v>
      </c>
      <c r="AS2549" s="782">
        <v>12095777</v>
      </c>
      <c r="AT2549" s="782">
        <v>12096140</v>
      </c>
      <c r="AU2549" s="782"/>
      <c r="AV2549" s="782">
        <v>12096141</v>
      </c>
      <c r="AW2549" s="782"/>
      <c r="AX2549" s="781"/>
      <c r="AY2549" s="782">
        <v>12096139</v>
      </c>
      <c r="AZ2549" s="782"/>
      <c r="BA2549" s="781"/>
      <c r="BB2549" s="209">
        <v>23053185</v>
      </c>
    </row>
    <row r="2550" spans="1:54" ht="25" hidden="1" customHeight="1">
      <c r="B2550" s="345">
        <v>45898</v>
      </c>
      <c r="C2550" s="464">
        <v>45909</v>
      </c>
      <c r="D2550" s="185">
        <f t="shared" si="987"/>
        <v>2025</v>
      </c>
      <c r="E2550" s="464" t="e">
        <f>VLOOKUP($B2550,Week!$A$1:$C$1462,2,0)</f>
        <v>#N/A</v>
      </c>
      <c r="F2550" s="465" t="str">
        <f t="shared" si="988"/>
        <v>Aug</v>
      </c>
      <c r="G2550" s="347" t="s">
        <v>2348</v>
      </c>
      <c r="H2550" s="347" t="s">
        <v>134</v>
      </c>
      <c r="I2550" s="347" t="s">
        <v>2772</v>
      </c>
      <c r="J2550" s="349" t="s">
        <v>135</v>
      </c>
      <c r="K2550" s="350" t="s">
        <v>107</v>
      </c>
      <c r="L2550" s="300" t="s">
        <v>2167</v>
      </c>
      <c r="M2550" s="349" t="s">
        <v>136</v>
      </c>
      <c r="N2550" s="347" t="s">
        <v>137</v>
      </c>
      <c r="O2550" s="347" t="s">
        <v>138</v>
      </c>
      <c r="P2550" s="351">
        <v>24</v>
      </c>
      <c r="Q2550" s="351">
        <v>3</v>
      </c>
      <c r="R2550" s="352">
        <v>7.4999999999999997E-3</v>
      </c>
      <c r="S2550" s="347" t="s">
        <v>111</v>
      </c>
      <c r="T2550" s="347" t="s">
        <v>56</v>
      </c>
      <c r="U2550" s="347" t="s">
        <v>572</v>
      </c>
      <c r="V2550" s="353">
        <f>500</f>
        <v>500</v>
      </c>
      <c r="W2550" s="353">
        <f>3+497</f>
        <v>500</v>
      </c>
      <c r="X2550" s="354"/>
      <c r="Y2550" s="355">
        <f t="shared" si="1001"/>
        <v>0</v>
      </c>
      <c r="Z2550" s="356">
        <f t="shared" si="1002"/>
        <v>0</v>
      </c>
      <c r="AA2550" s="356">
        <f t="shared" si="989"/>
        <v>0</v>
      </c>
      <c r="AB2550" s="818">
        <v>1</v>
      </c>
      <c r="AC2550" s="353">
        <f t="shared" si="1003"/>
        <v>0</v>
      </c>
      <c r="AD2550" s="443"/>
      <c r="AE2550" s="210">
        <f t="shared" si="1004"/>
        <v>0</v>
      </c>
      <c r="AF2550" s="210">
        <f t="shared" si="1011"/>
        <v>0</v>
      </c>
      <c r="AG2550" s="211">
        <f t="shared" si="1006"/>
        <v>0.219</v>
      </c>
      <c r="AH2550" s="157">
        <f t="shared" si="1012"/>
        <v>0</v>
      </c>
      <c r="AI2550" s="152">
        <f t="shared" si="1008"/>
        <v>12000</v>
      </c>
      <c r="AK2550" s="156" t="s">
        <v>691</v>
      </c>
      <c r="AL2550" s="212" t="s">
        <v>690</v>
      </c>
      <c r="AM2550" s="198">
        <f t="shared" si="1000"/>
        <v>0</v>
      </c>
      <c r="AN2550" s="199">
        <f t="shared" si="983"/>
        <v>45898</v>
      </c>
      <c r="AO2550" s="159" t="s">
        <v>692</v>
      </c>
      <c r="AP2550" s="783" t="s">
        <v>610</v>
      </c>
      <c r="AQ2550" s="796" t="s">
        <v>1500</v>
      </c>
      <c r="AR2550" s="782" t="s">
        <v>140</v>
      </c>
      <c r="AS2550" s="782" t="s">
        <v>141</v>
      </c>
      <c r="AT2550" s="782"/>
      <c r="AU2550" s="783" t="s">
        <v>568</v>
      </c>
      <c r="AV2550" s="796" t="s">
        <v>569</v>
      </c>
      <c r="AW2550" s="796" t="s">
        <v>570</v>
      </c>
      <c r="AX2550" s="782"/>
      <c r="AY2550" s="782">
        <v>12095878</v>
      </c>
      <c r="AZ2550" s="782">
        <v>12095879</v>
      </c>
      <c r="BA2550" s="782">
        <v>12095880</v>
      </c>
    </row>
    <row r="2551" spans="1:54" ht="25" hidden="1" customHeight="1">
      <c r="B2551" s="332">
        <v>45898</v>
      </c>
      <c r="C2551" s="333">
        <v>45929</v>
      </c>
      <c r="D2551" s="185">
        <f t="shared" si="987"/>
        <v>2025</v>
      </c>
      <c r="E2551" s="333" t="e">
        <f>VLOOKUP($B2551,Week!$A$1:$C$1462,2,0)</f>
        <v>#N/A</v>
      </c>
      <c r="F2551" s="334" t="str">
        <f t="shared" si="988"/>
        <v>Aug</v>
      </c>
      <c r="G2551" s="335" t="s">
        <v>2440</v>
      </c>
      <c r="H2551" s="335" t="s">
        <v>600</v>
      </c>
      <c r="I2551" s="335" t="s">
        <v>2772</v>
      </c>
      <c r="J2551" s="336" t="s">
        <v>708</v>
      </c>
      <c r="K2551" s="337" t="s">
        <v>1646</v>
      </c>
      <c r="L2551" s="300" t="s">
        <v>2167</v>
      </c>
      <c r="M2551" s="336" t="s">
        <v>601</v>
      </c>
      <c r="N2551" s="335" t="s">
        <v>604</v>
      </c>
      <c r="O2551" s="335" t="s">
        <v>543</v>
      </c>
      <c r="P2551" s="338">
        <v>8</v>
      </c>
      <c r="Q2551" s="338">
        <v>3</v>
      </c>
      <c r="R2551" s="339">
        <v>7.4999999999999997E-3</v>
      </c>
      <c r="S2551" s="335" t="s">
        <v>40</v>
      </c>
      <c r="T2551" s="335" t="s">
        <v>112</v>
      </c>
      <c r="U2551" s="340" t="s">
        <v>1893</v>
      </c>
      <c r="V2551" s="341">
        <v>3500</v>
      </c>
      <c r="W2551" s="341"/>
      <c r="X2551" s="342">
        <v>3500</v>
      </c>
      <c r="Y2551" s="343">
        <f t="shared" si="1001"/>
        <v>0</v>
      </c>
      <c r="Z2551" s="344">
        <f t="shared" si="1002"/>
        <v>0</v>
      </c>
      <c r="AA2551" s="344">
        <f t="shared" si="989"/>
        <v>0</v>
      </c>
      <c r="AB2551" s="817">
        <v>3.85E-2</v>
      </c>
      <c r="AC2551" s="341">
        <f t="shared" si="1003"/>
        <v>0</v>
      </c>
      <c r="AD2551" s="307" t="s">
        <v>673</v>
      </c>
      <c r="AE2551" s="210">
        <f t="shared" si="1004"/>
        <v>0</v>
      </c>
      <c r="AF2551" s="210">
        <f t="shared" si="1011"/>
        <v>0</v>
      </c>
      <c r="AG2551" s="211">
        <f t="shared" si="1006"/>
        <v>0.309</v>
      </c>
      <c r="AH2551" s="157">
        <f t="shared" si="1012"/>
        <v>0</v>
      </c>
      <c r="AI2551" s="152">
        <f t="shared" si="1008"/>
        <v>28000</v>
      </c>
      <c r="AK2551" s="156" t="s">
        <v>691</v>
      </c>
      <c r="AL2551" s="574" t="s">
        <v>690</v>
      </c>
      <c r="AM2551" s="198">
        <f t="shared" si="1000"/>
        <v>0</v>
      </c>
      <c r="AN2551" s="199">
        <f t="shared" si="983"/>
        <v>45898</v>
      </c>
      <c r="AO2551" s="159" t="s">
        <v>692</v>
      </c>
      <c r="AP2551" s="783" t="s">
        <v>629</v>
      </c>
      <c r="AQ2551" s="782">
        <v>12063755</v>
      </c>
      <c r="AR2551" s="782">
        <v>12061353</v>
      </c>
      <c r="AS2551" s="782">
        <v>12061354</v>
      </c>
      <c r="AT2551" s="782">
        <v>12084228</v>
      </c>
      <c r="AU2551" s="781"/>
      <c r="AV2551" s="782">
        <v>12084023</v>
      </c>
      <c r="AW2551" s="781"/>
      <c r="AX2551" s="781"/>
      <c r="AY2551" s="782">
        <v>12094357</v>
      </c>
      <c r="AZ2551" s="781"/>
      <c r="BA2551" s="781"/>
      <c r="BB2551" s="209">
        <v>23053185</v>
      </c>
    </row>
    <row r="2552" spans="1:54" ht="24.65" hidden="1" customHeight="1">
      <c r="A2552" s="630" t="s">
        <v>120</v>
      </c>
      <c r="B2552" s="466">
        <v>45899</v>
      </c>
      <c r="C2552" s="467">
        <v>45906</v>
      </c>
      <c r="D2552" s="185">
        <f t="shared" si="987"/>
        <v>2025</v>
      </c>
      <c r="E2552" s="468" t="e">
        <f>VLOOKUP($B2552,Week!$A$1:$C$1462,2,0)</f>
        <v>#N/A</v>
      </c>
      <c r="F2552" s="469" t="str">
        <f t="shared" si="988"/>
        <v>Aug</v>
      </c>
      <c r="G2552" s="470" t="s">
        <v>2444</v>
      </c>
      <c r="H2552" s="468" t="s">
        <v>82</v>
      </c>
      <c r="I2552" s="468" t="s">
        <v>82</v>
      </c>
      <c r="J2552" s="471" t="s">
        <v>720</v>
      </c>
      <c r="K2552" s="472" t="s">
        <v>85</v>
      </c>
      <c r="L2552" s="390" t="s">
        <v>2166</v>
      </c>
      <c r="M2552" s="471" t="s">
        <v>579</v>
      </c>
      <c r="N2552" s="468" t="s">
        <v>580</v>
      </c>
      <c r="O2552" s="468" t="s">
        <v>581</v>
      </c>
      <c r="P2552" s="473">
        <v>8</v>
      </c>
      <c r="Q2552" s="473">
        <v>60</v>
      </c>
      <c r="R2552" s="474">
        <v>6.8100000000000001E-3</v>
      </c>
      <c r="S2552" s="468" t="s">
        <v>76</v>
      </c>
      <c r="T2552" s="468" t="s">
        <v>56</v>
      </c>
      <c r="U2552" s="468" t="s">
        <v>89</v>
      </c>
      <c r="V2552" s="475">
        <v>716</v>
      </c>
      <c r="W2552" s="475">
        <f>716</f>
        <v>716</v>
      </c>
      <c r="X2552" s="476"/>
      <c r="Y2552" s="477">
        <f t="shared" si="1001"/>
        <v>0</v>
      </c>
      <c r="Z2552" s="478">
        <f t="shared" si="1002"/>
        <v>0</v>
      </c>
      <c r="AA2552" s="478">
        <f t="shared" si="989"/>
        <v>0</v>
      </c>
      <c r="AB2552" s="828">
        <v>6</v>
      </c>
      <c r="AC2552" s="475">
        <f t="shared" si="1003"/>
        <v>0</v>
      </c>
      <c r="AD2552" s="209"/>
      <c r="AE2552" s="210">
        <f t="shared" si="1004"/>
        <v>0</v>
      </c>
      <c r="AF2552" s="210">
        <f t="shared" si="1011"/>
        <v>0</v>
      </c>
      <c r="AG2552" s="211">
        <f t="shared" si="1006"/>
        <v>0.75</v>
      </c>
      <c r="AH2552" s="157">
        <f t="shared" si="1012"/>
        <v>0</v>
      </c>
      <c r="AI2552" s="152">
        <f t="shared" si="1008"/>
        <v>5728</v>
      </c>
      <c r="AK2552" s="156" t="s">
        <v>691</v>
      </c>
      <c r="AL2552" s="156" t="s">
        <v>689</v>
      </c>
      <c r="AM2552" s="198">
        <f t="shared" si="1000"/>
        <v>0</v>
      </c>
      <c r="AN2552" s="199">
        <f t="shared" si="983"/>
        <v>45899</v>
      </c>
      <c r="AO2552" s="159" t="s">
        <v>692</v>
      </c>
      <c r="AP2552" s="783" t="s">
        <v>613</v>
      </c>
      <c r="AQ2552" s="782">
        <v>12088677</v>
      </c>
      <c r="AR2552" s="782" t="s">
        <v>2142</v>
      </c>
      <c r="AS2552" s="782"/>
      <c r="AT2552" s="782">
        <v>12082897</v>
      </c>
      <c r="AU2552" s="781"/>
      <c r="AV2552" s="782">
        <v>12082898</v>
      </c>
      <c r="AW2552" s="782">
        <v>12082899</v>
      </c>
      <c r="AX2552" s="796" t="s">
        <v>621</v>
      </c>
      <c r="AY2552" s="782"/>
      <c r="AZ2552" s="782"/>
      <c r="BA2552" s="783"/>
      <c r="BB2552" s="209">
        <v>23105470</v>
      </c>
    </row>
    <row r="2553" spans="1:54" ht="25" hidden="1" customHeight="1">
      <c r="B2553" s="602">
        <v>45899</v>
      </c>
      <c r="C2553" s="861" t="s">
        <v>1933</v>
      </c>
      <c r="D2553" s="604">
        <f t="shared" si="987"/>
        <v>2025</v>
      </c>
      <c r="E2553" s="603" t="e">
        <f>VLOOKUP($B2553,Week!$A$1:$C$1462,2,0)</f>
        <v>#N/A</v>
      </c>
      <c r="F2553" s="605" t="str">
        <f t="shared" si="988"/>
        <v>Aug</v>
      </c>
      <c r="G2553" s="604" t="s">
        <v>47</v>
      </c>
      <c r="H2553" s="604" t="s">
        <v>518</v>
      </c>
      <c r="I2553" s="604" t="s">
        <v>2702</v>
      </c>
      <c r="J2553" s="606" t="s">
        <v>70</v>
      </c>
      <c r="K2553" s="607" t="s">
        <v>227</v>
      </c>
      <c r="L2553" s="607" t="s">
        <v>2167</v>
      </c>
      <c r="M2553" s="606" t="s">
        <v>2335</v>
      </c>
      <c r="N2553" s="604" t="s">
        <v>2334</v>
      </c>
      <c r="O2553" s="604" t="s">
        <v>2005</v>
      </c>
      <c r="P2553" s="608">
        <v>12</v>
      </c>
      <c r="Q2553" s="608">
        <v>3</v>
      </c>
      <c r="R2553" s="609">
        <v>8.0000000000000002E-3</v>
      </c>
      <c r="S2553" s="604" t="s">
        <v>352</v>
      </c>
      <c r="T2553" s="604" t="s">
        <v>56</v>
      </c>
      <c r="U2553" s="604" t="s">
        <v>2007</v>
      </c>
      <c r="V2553" s="862">
        <v>250</v>
      </c>
      <c r="W2553" s="610">
        <v>250</v>
      </c>
      <c r="X2553" s="611"/>
      <c r="Y2553" s="612">
        <f t="shared" si="1001"/>
        <v>0</v>
      </c>
      <c r="Z2553" s="613">
        <f t="shared" si="1002"/>
        <v>0</v>
      </c>
      <c r="AA2553" s="613">
        <f t="shared" si="989"/>
        <v>0</v>
      </c>
      <c r="AB2553" s="836">
        <v>0.05</v>
      </c>
      <c r="AC2553" s="610">
        <f t="shared" si="1003"/>
        <v>0</v>
      </c>
      <c r="AD2553" s="307" t="s">
        <v>2344</v>
      </c>
      <c r="AE2553" s="210">
        <f t="shared" si="1004"/>
        <v>0</v>
      </c>
      <c r="AF2553" s="210">
        <f t="shared" si="1011"/>
        <v>0</v>
      </c>
      <c r="AG2553" s="211">
        <f t="shared" si="1006"/>
        <v>0.22700000000000001</v>
      </c>
      <c r="AH2553" s="157">
        <f t="shared" si="1012"/>
        <v>0</v>
      </c>
      <c r="AI2553" s="152">
        <f t="shared" si="1008"/>
        <v>3000</v>
      </c>
      <c r="AK2553" s="156" t="s">
        <v>691</v>
      </c>
      <c r="AL2553" s="212" t="s">
        <v>690</v>
      </c>
      <c r="AM2553" s="198">
        <f t="shared" ref="AM2553:AM2581" si="1013">AG2553*Z2553</f>
        <v>0</v>
      </c>
      <c r="AN2553" s="199">
        <f t="shared" si="983"/>
        <v>45899</v>
      </c>
      <c r="AO2553" s="159" t="s">
        <v>692</v>
      </c>
      <c r="AP2553" s="783" t="s">
        <v>623</v>
      </c>
      <c r="AQ2553" s="782">
        <v>12071839</v>
      </c>
      <c r="AR2553" s="782">
        <v>12042650</v>
      </c>
      <c r="AS2553" s="782">
        <v>12042649</v>
      </c>
      <c r="AT2553" s="782"/>
      <c r="AU2553" s="781"/>
      <c r="AV2553" s="782">
        <v>12094036</v>
      </c>
      <c r="AW2553" s="782"/>
      <c r="AX2553" s="782"/>
      <c r="AY2553" s="782">
        <v>12094035</v>
      </c>
      <c r="AZ2553" s="782">
        <v>12094041</v>
      </c>
      <c r="BA2553" s="781"/>
      <c r="BB2553" s="209">
        <v>11044165</v>
      </c>
    </row>
    <row r="2554" spans="1:54" ht="25" hidden="1" customHeight="1">
      <c r="B2554" s="583">
        <v>45899</v>
      </c>
      <c r="C2554" s="795" t="s">
        <v>1933</v>
      </c>
      <c r="D2554" s="185">
        <f t="shared" si="987"/>
        <v>2025</v>
      </c>
      <c r="E2554" s="777" t="e">
        <f>VLOOKUP($B2554,Week!$A$1:$C$1462,2,0)</f>
        <v>#N/A</v>
      </c>
      <c r="F2554" s="778" t="str">
        <f t="shared" si="988"/>
        <v>Aug</v>
      </c>
      <c r="G2554" s="586" t="s">
        <v>47</v>
      </c>
      <c r="H2554" s="586" t="s">
        <v>260</v>
      </c>
      <c r="I2554" s="586" t="s">
        <v>2702</v>
      </c>
      <c r="J2554" s="587" t="s">
        <v>70</v>
      </c>
      <c r="K2554" s="588" t="s">
        <v>227</v>
      </c>
      <c r="L2554" s="300" t="s">
        <v>2167</v>
      </c>
      <c r="M2554" s="587" t="s">
        <v>2006</v>
      </c>
      <c r="N2554" s="586" t="s">
        <v>2004</v>
      </c>
      <c r="O2554" s="586" t="s">
        <v>2005</v>
      </c>
      <c r="P2554" s="589">
        <v>12</v>
      </c>
      <c r="Q2554" s="589">
        <v>3</v>
      </c>
      <c r="R2554" s="590">
        <v>8.0000000000000002E-3</v>
      </c>
      <c r="S2554" s="586" t="s">
        <v>352</v>
      </c>
      <c r="T2554" s="586" t="s">
        <v>56</v>
      </c>
      <c r="U2554" s="586" t="s">
        <v>2007</v>
      </c>
      <c r="V2554" s="779">
        <f>5700-250</f>
        <v>5450</v>
      </c>
      <c r="W2554" s="592">
        <f>24+1+5425</f>
        <v>5450</v>
      </c>
      <c r="X2554" s="593"/>
      <c r="Y2554" s="594">
        <f t="shared" si="1001"/>
        <v>0</v>
      </c>
      <c r="Z2554" s="595">
        <f t="shared" si="1002"/>
        <v>0</v>
      </c>
      <c r="AA2554" s="595">
        <f t="shared" si="989"/>
        <v>0</v>
      </c>
      <c r="AB2554" s="835">
        <v>0.05</v>
      </c>
      <c r="AC2554" s="592">
        <f t="shared" si="1003"/>
        <v>0</v>
      </c>
      <c r="AD2554" s="209"/>
      <c r="AE2554" s="210">
        <f t="shared" si="1004"/>
        <v>0</v>
      </c>
      <c r="AF2554" s="210">
        <f t="shared" si="1011"/>
        <v>0</v>
      </c>
      <c r="AG2554" s="211">
        <f t="shared" si="1006"/>
        <v>0.22700000000000001</v>
      </c>
      <c r="AH2554" s="157">
        <f t="shared" si="1012"/>
        <v>0</v>
      </c>
      <c r="AI2554" s="152">
        <f t="shared" si="1008"/>
        <v>65400</v>
      </c>
      <c r="AK2554" s="156" t="s">
        <v>691</v>
      </c>
      <c r="AL2554" s="212" t="s">
        <v>690</v>
      </c>
      <c r="AM2554" s="198">
        <f t="shared" si="1013"/>
        <v>0</v>
      </c>
      <c r="AN2554" s="199">
        <f t="shared" si="983"/>
        <v>45899</v>
      </c>
      <c r="AO2554" s="159" t="s">
        <v>692</v>
      </c>
      <c r="AP2554" s="783" t="s">
        <v>622</v>
      </c>
      <c r="AQ2554" s="782">
        <v>12071839</v>
      </c>
      <c r="AR2554" s="782">
        <v>12042650</v>
      </c>
      <c r="AS2554" s="782">
        <v>12042649</v>
      </c>
      <c r="AT2554" s="782"/>
      <c r="AU2554" s="781"/>
      <c r="AV2554" s="782">
        <v>12094036</v>
      </c>
      <c r="AW2554" s="782"/>
      <c r="AX2554" s="782"/>
      <c r="AY2554" s="782">
        <v>12094035</v>
      </c>
      <c r="AZ2554" s="782">
        <v>12094041</v>
      </c>
      <c r="BA2554" s="781"/>
      <c r="BB2554" s="209">
        <v>23053184</v>
      </c>
    </row>
    <row r="2555" spans="1:54" ht="25" hidden="1" customHeight="1">
      <c r="B2555" s="583">
        <v>45899</v>
      </c>
      <c r="C2555" s="795" t="s">
        <v>1934</v>
      </c>
      <c r="D2555" s="185">
        <f t="shared" si="987"/>
        <v>2025</v>
      </c>
      <c r="E2555" s="777" t="e">
        <f>VLOOKUP($B2555,Week!$A$1:$C$1462,2,0)</f>
        <v>#N/A</v>
      </c>
      <c r="F2555" s="778" t="str">
        <f t="shared" si="988"/>
        <v>Aug</v>
      </c>
      <c r="G2555" s="586" t="s">
        <v>47</v>
      </c>
      <c r="H2555" s="586" t="s">
        <v>260</v>
      </c>
      <c r="I2555" s="586" t="s">
        <v>2702</v>
      </c>
      <c r="J2555" s="587" t="s">
        <v>70</v>
      </c>
      <c r="K2555" s="588" t="s">
        <v>227</v>
      </c>
      <c r="L2555" s="300" t="s">
        <v>2167</v>
      </c>
      <c r="M2555" s="587" t="s">
        <v>2006</v>
      </c>
      <c r="N2555" s="586" t="s">
        <v>2004</v>
      </c>
      <c r="O2555" s="586" t="s">
        <v>2005</v>
      </c>
      <c r="P2555" s="589">
        <v>12</v>
      </c>
      <c r="Q2555" s="589">
        <v>3</v>
      </c>
      <c r="R2555" s="590">
        <v>8.0000000000000002E-3</v>
      </c>
      <c r="S2555" s="586" t="s">
        <v>352</v>
      </c>
      <c r="T2555" s="586" t="s">
        <v>56</v>
      </c>
      <c r="U2555" s="586" t="s">
        <v>2007</v>
      </c>
      <c r="V2555" s="779">
        <v>2770</v>
      </c>
      <c r="W2555" s="592">
        <f>8195-5425</f>
        <v>2770</v>
      </c>
      <c r="X2555" s="593"/>
      <c r="Y2555" s="594">
        <f t="shared" si="1001"/>
        <v>0</v>
      </c>
      <c r="Z2555" s="595">
        <f t="shared" si="1002"/>
        <v>0</v>
      </c>
      <c r="AA2555" s="595">
        <f t="shared" si="989"/>
        <v>0</v>
      </c>
      <c r="AB2555" s="835">
        <v>0.05</v>
      </c>
      <c r="AC2555" s="592">
        <f t="shared" si="1003"/>
        <v>0</v>
      </c>
      <c r="AD2555" s="209"/>
      <c r="AE2555" s="210">
        <f t="shared" si="1004"/>
        <v>0</v>
      </c>
      <c r="AF2555" s="210">
        <f t="shared" si="1011"/>
        <v>0</v>
      </c>
      <c r="AG2555" s="211">
        <f t="shared" si="1006"/>
        <v>0.22700000000000001</v>
      </c>
      <c r="AH2555" s="157">
        <f t="shared" si="1012"/>
        <v>0</v>
      </c>
      <c r="AI2555" s="152">
        <f t="shared" si="1008"/>
        <v>33240</v>
      </c>
      <c r="AK2555" s="156" t="s">
        <v>691</v>
      </c>
      <c r="AL2555" s="212" t="s">
        <v>690</v>
      </c>
      <c r="AM2555" s="198">
        <f t="shared" si="1013"/>
        <v>0</v>
      </c>
      <c r="AN2555" s="199">
        <f t="shared" si="983"/>
        <v>45899</v>
      </c>
      <c r="AO2555" s="159" t="s">
        <v>692</v>
      </c>
      <c r="AP2555" s="783" t="s">
        <v>622</v>
      </c>
      <c r="AQ2555" s="782">
        <v>12071839</v>
      </c>
      <c r="AR2555" s="782">
        <v>12042650</v>
      </c>
      <c r="AS2555" s="782">
        <v>12042649</v>
      </c>
      <c r="AT2555" s="782"/>
      <c r="AU2555" s="781"/>
      <c r="AV2555" s="782">
        <v>12094036</v>
      </c>
      <c r="AW2555" s="782"/>
      <c r="AX2555" s="782"/>
      <c r="AY2555" s="782">
        <v>12094035</v>
      </c>
      <c r="AZ2555" s="782">
        <v>12094041</v>
      </c>
      <c r="BA2555" s="781"/>
      <c r="BB2555" s="209">
        <v>23053184</v>
      </c>
    </row>
    <row r="2556" spans="1:54" ht="25" hidden="1" customHeight="1">
      <c r="B2556" s="183">
        <v>45900</v>
      </c>
      <c r="C2556" s="184"/>
      <c r="D2556" s="185">
        <f t="shared" si="987"/>
        <v>2025</v>
      </c>
      <c r="E2556" s="185" t="e">
        <f>VLOOKUP($B2556,Week!$A$1:$C$1462,2,0)</f>
        <v>#N/A</v>
      </c>
      <c r="F2556" s="186" t="str">
        <f t="shared" si="988"/>
        <v>Aug</v>
      </c>
      <c r="G2556" s="481"/>
      <c r="H2556" s="185"/>
      <c r="I2556" s="185"/>
      <c r="J2556" s="187"/>
      <c r="K2556" s="188"/>
      <c r="L2556" s="188"/>
      <c r="M2556" s="187"/>
      <c r="N2556" s="185"/>
      <c r="O2556" s="185"/>
      <c r="P2556" s="189"/>
      <c r="Q2556" s="189"/>
      <c r="R2556" s="190"/>
      <c r="S2556" s="185"/>
      <c r="T2556" s="185"/>
      <c r="U2556" s="185"/>
      <c r="V2556" s="191"/>
      <c r="W2556" s="191"/>
      <c r="X2556" s="192"/>
      <c r="Y2556" s="193"/>
      <c r="Z2556" s="194"/>
      <c r="AA2556" s="194">
        <f t="shared" si="989"/>
        <v>0</v>
      </c>
      <c r="AB2556" s="805"/>
      <c r="AC2556" s="191"/>
      <c r="AD2556" s="187"/>
      <c r="AE2556" s="195"/>
      <c r="AF2556" s="195"/>
      <c r="AG2556" s="196"/>
      <c r="AH2556" s="197"/>
      <c r="AK2556" s="156" t="s">
        <v>691</v>
      </c>
      <c r="AM2556" s="198">
        <f t="shared" si="1013"/>
        <v>0</v>
      </c>
      <c r="AN2556" s="199">
        <f t="shared" si="983"/>
        <v>45900</v>
      </c>
      <c r="AO2556" s="159" t="s">
        <v>692</v>
      </c>
      <c r="AP2556" s="783"/>
      <c r="AQ2556" s="782"/>
      <c r="AR2556" s="782"/>
      <c r="AS2556" s="782"/>
      <c r="AT2556" s="782"/>
      <c r="AU2556" s="781"/>
      <c r="AV2556" s="782"/>
      <c r="AW2556" s="782"/>
      <c r="AX2556" s="782"/>
      <c r="AY2556" s="782"/>
      <c r="AZ2556" s="782"/>
      <c r="BA2556" s="781"/>
      <c r="BB2556" s="209"/>
    </row>
    <row r="2557" spans="1:54" ht="24.65" hidden="1" customHeight="1">
      <c r="A2557" s="630" t="s">
        <v>120</v>
      </c>
      <c r="B2557" s="466">
        <v>45901</v>
      </c>
      <c r="C2557" s="467">
        <v>45906</v>
      </c>
      <c r="D2557" s="185">
        <f t="shared" si="987"/>
        <v>2025</v>
      </c>
      <c r="E2557" s="468" t="e">
        <f>VLOOKUP($B2557,Week!$A$1:$C$1462,2,0)</f>
        <v>#N/A</v>
      </c>
      <c r="F2557" s="469" t="str">
        <f t="shared" si="988"/>
        <v>Sep</v>
      </c>
      <c r="G2557" s="470" t="s">
        <v>2444</v>
      </c>
      <c r="H2557" s="468" t="s">
        <v>82</v>
      </c>
      <c r="I2557" s="468" t="s">
        <v>82</v>
      </c>
      <c r="J2557" s="471" t="s">
        <v>720</v>
      </c>
      <c r="K2557" s="472" t="s">
        <v>85</v>
      </c>
      <c r="L2557" s="390" t="s">
        <v>2166</v>
      </c>
      <c r="M2557" s="471" t="s">
        <v>579</v>
      </c>
      <c r="N2557" s="468" t="s">
        <v>580</v>
      </c>
      <c r="O2557" s="468" t="s">
        <v>581</v>
      </c>
      <c r="P2557" s="473">
        <v>8</v>
      </c>
      <c r="Q2557" s="473">
        <v>60</v>
      </c>
      <c r="R2557" s="474">
        <v>6.8100000000000001E-3</v>
      </c>
      <c r="S2557" s="468" t="s">
        <v>76</v>
      </c>
      <c r="T2557" s="468" t="s">
        <v>56</v>
      </c>
      <c r="U2557" s="468" t="s">
        <v>89</v>
      </c>
      <c r="V2557" s="475">
        <f>1408-716</f>
        <v>692</v>
      </c>
      <c r="W2557" s="475"/>
      <c r="X2557" s="476">
        <f>5536/8</f>
        <v>692</v>
      </c>
      <c r="Y2557" s="477">
        <f t="shared" ref="Y2557:Y2590" si="1014">(W2557+X2557)-V2557</f>
        <v>0</v>
      </c>
      <c r="Z2557" s="478">
        <f t="shared" ref="Z2557:Z2590" si="1015">IF(Y2557&lt;0,((V2557*P2557)-((W2557+X2557)*P2557)),0)</f>
        <v>0</v>
      </c>
      <c r="AA2557" s="478">
        <f t="shared" si="989"/>
        <v>0</v>
      </c>
      <c r="AB2557" s="828">
        <v>6</v>
      </c>
      <c r="AC2557" s="475">
        <f t="shared" ref="AC2557:AC2590" si="1016">Z2557*AB2557</f>
        <v>0</v>
      </c>
      <c r="AD2557" s="209"/>
      <c r="AE2557" s="210">
        <f t="shared" ref="AE2557:AE2577" si="1017">SUM(Q2557*R2557*Z2557)/1000</f>
        <v>0</v>
      </c>
      <c r="AF2557" s="210">
        <f t="shared" ref="AF2557:AF2577" si="1018">AE2557/0.54</f>
        <v>0</v>
      </c>
      <c r="AG2557" s="211">
        <f>MID(O2557,1,3)/1000</f>
        <v>0.75</v>
      </c>
      <c r="AH2557" s="157">
        <f t="shared" ref="AH2557:AH2565" si="1019">(Z2557*AG2557)/1000</f>
        <v>0</v>
      </c>
      <c r="AI2557" s="152">
        <f>V2557*P2557</f>
        <v>5536</v>
      </c>
      <c r="AK2557" s="156" t="s">
        <v>691</v>
      </c>
      <c r="AL2557" s="156" t="s">
        <v>689</v>
      </c>
      <c r="AM2557" s="198">
        <f t="shared" si="1013"/>
        <v>0</v>
      </c>
      <c r="AN2557" s="199">
        <f t="shared" ref="AN2557:AN2620" si="1020">B2557</f>
        <v>45901</v>
      </c>
      <c r="AO2557" s="159" t="s">
        <v>692</v>
      </c>
      <c r="AP2557" s="783" t="s">
        <v>613</v>
      </c>
      <c r="AQ2557" s="782">
        <v>12088677</v>
      </c>
      <c r="AR2557" s="782" t="s">
        <v>2142</v>
      </c>
      <c r="AS2557" s="782"/>
      <c r="AT2557" s="782">
        <v>12082897</v>
      </c>
      <c r="AU2557" s="781"/>
      <c r="AV2557" s="782">
        <v>12082898</v>
      </c>
      <c r="AW2557" s="782">
        <v>12082899</v>
      </c>
      <c r="AX2557" s="796" t="s">
        <v>621</v>
      </c>
      <c r="AY2557" s="782"/>
      <c r="AZ2557" s="782"/>
      <c r="BA2557" s="781"/>
      <c r="BB2557" s="209">
        <v>23105468</v>
      </c>
    </row>
    <row r="2558" spans="1:54" ht="24.65" hidden="1" customHeight="1">
      <c r="B2558" s="283">
        <v>45901</v>
      </c>
      <c r="C2558" s="284">
        <v>45908</v>
      </c>
      <c r="D2558" s="185">
        <f t="shared" si="987"/>
        <v>2025</v>
      </c>
      <c r="E2558" s="284" t="e">
        <f>VLOOKUP($B2558,Week!$A$1:$C$1462,2,0)</f>
        <v>#N/A</v>
      </c>
      <c r="F2558" s="285" t="str">
        <f t="shared" si="988"/>
        <v>Sep</v>
      </c>
      <c r="G2558" s="631" t="s">
        <v>2485</v>
      </c>
      <c r="H2558" s="624" t="s">
        <v>104</v>
      </c>
      <c r="I2558" s="624" t="s">
        <v>2772</v>
      </c>
      <c r="J2558" s="625" t="s">
        <v>105</v>
      </c>
      <c r="K2558" s="288" t="s">
        <v>51</v>
      </c>
      <c r="L2558" s="300" t="s">
        <v>2167</v>
      </c>
      <c r="M2558" s="287" t="s">
        <v>595</v>
      </c>
      <c r="N2558" s="286" t="s">
        <v>597</v>
      </c>
      <c r="O2558" s="286" t="s">
        <v>187</v>
      </c>
      <c r="P2558" s="289">
        <v>8</v>
      </c>
      <c r="Q2558" s="289">
        <v>5</v>
      </c>
      <c r="R2558" s="290">
        <v>6.0000000000000001E-3</v>
      </c>
      <c r="S2558" s="286" t="s">
        <v>55</v>
      </c>
      <c r="T2558" s="286" t="s">
        <v>112</v>
      </c>
      <c r="U2558" s="286" t="s">
        <v>57</v>
      </c>
      <c r="V2558" s="291">
        <f>1400</f>
        <v>1400</v>
      </c>
      <c r="W2558" s="291"/>
      <c r="X2558" s="292">
        <f>(596+10604)/8</f>
        <v>1400</v>
      </c>
      <c r="Y2558" s="293">
        <f t="shared" si="1014"/>
        <v>0</v>
      </c>
      <c r="Z2558" s="294">
        <f t="shared" si="1015"/>
        <v>0</v>
      </c>
      <c r="AA2558" s="294">
        <f t="shared" si="989"/>
        <v>0</v>
      </c>
      <c r="AB2558" s="813">
        <v>7.4999999999999997E-3</v>
      </c>
      <c r="AC2558" s="291">
        <f t="shared" si="1016"/>
        <v>0</v>
      </c>
      <c r="AD2558" s="486"/>
      <c r="AE2558" s="210">
        <f t="shared" si="1017"/>
        <v>0</v>
      </c>
      <c r="AF2558" s="210">
        <f t="shared" si="1018"/>
        <v>0</v>
      </c>
      <c r="AG2558" s="211">
        <v>0.14499999999999999</v>
      </c>
      <c r="AH2558" s="157">
        <f t="shared" si="1019"/>
        <v>0</v>
      </c>
      <c r="AI2558" s="152">
        <v>19800</v>
      </c>
      <c r="AK2558" s="156" t="s">
        <v>691</v>
      </c>
      <c r="AL2558" s="212" t="s">
        <v>690</v>
      </c>
      <c r="AM2558" s="198">
        <f t="shared" si="1013"/>
        <v>0</v>
      </c>
      <c r="AN2558" s="199">
        <f t="shared" si="1020"/>
        <v>45901</v>
      </c>
      <c r="AO2558" s="159" t="s">
        <v>692</v>
      </c>
      <c r="AP2558" s="781"/>
      <c r="AQ2558" s="782">
        <v>12071839</v>
      </c>
      <c r="AR2558" s="782">
        <v>12047514</v>
      </c>
      <c r="AS2558" s="782">
        <v>12047515</v>
      </c>
      <c r="AT2558" s="782">
        <v>12083107</v>
      </c>
      <c r="AU2558" s="781"/>
      <c r="AV2558" s="782">
        <v>12084002</v>
      </c>
      <c r="AW2558" s="782"/>
      <c r="AX2558" s="782"/>
      <c r="AY2558" s="782"/>
      <c r="AZ2558" s="782"/>
      <c r="BA2558" s="781"/>
      <c r="BB2558" s="209">
        <v>23053185</v>
      </c>
    </row>
    <row r="2559" spans="1:54" ht="24.65" hidden="1" customHeight="1">
      <c r="B2559" s="283">
        <v>45901</v>
      </c>
      <c r="C2559" s="284">
        <v>45912</v>
      </c>
      <c r="D2559" s="185">
        <f t="shared" si="987"/>
        <v>2025</v>
      </c>
      <c r="E2559" s="284" t="e">
        <f>VLOOKUP($B2559,Week!$A$1:$C$1462,2,0)</f>
        <v>#N/A</v>
      </c>
      <c r="F2559" s="285" t="str">
        <f t="shared" si="988"/>
        <v>Sep</v>
      </c>
      <c r="G2559" s="631" t="s">
        <v>2486</v>
      </c>
      <c r="H2559" s="624" t="s">
        <v>104</v>
      </c>
      <c r="I2559" s="624" t="s">
        <v>2772</v>
      </c>
      <c r="J2559" s="625" t="s">
        <v>105</v>
      </c>
      <c r="K2559" s="288" t="s">
        <v>51</v>
      </c>
      <c r="L2559" s="300" t="s">
        <v>2167</v>
      </c>
      <c r="M2559" s="287" t="s">
        <v>595</v>
      </c>
      <c r="N2559" s="286" t="s">
        <v>597</v>
      </c>
      <c r="O2559" s="286" t="s">
        <v>187</v>
      </c>
      <c r="P2559" s="289">
        <v>8</v>
      </c>
      <c r="Q2559" s="289">
        <v>5</v>
      </c>
      <c r="R2559" s="290">
        <v>6.0000000000000001E-3</v>
      </c>
      <c r="S2559" s="286" t="s">
        <v>55</v>
      </c>
      <c r="T2559" s="286" t="s">
        <v>112</v>
      </c>
      <c r="U2559" s="286" t="s">
        <v>57</v>
      </c>
      <c r="V2559" s="291">
        <f>1400</f>
        <v>1400</v>
      </c>
      <c r="W2559" s="291"/>
      <c r="X2559" s="292">
        <f>11200/8</f>
        <v>1400</v>
      </c>
      <c r="Y2559" s="293">
        <f t="shared" si="1014"/>
        <v>0</v>
      </c>
      <c r="Z2559" s="294">
        <f t="shared" si="1015"/>
        <v>0</v>
      </c>
      <c r="AA2559" s="294">
        <f t="shared" si="989"/>
        <v>0</v>
      </c>
      <c r="AB2559" s="813">
        <v>7.4999999999999997E-3</v>
      </c>
      <c r="AC2559" s="291">
        <f t="shared" si="1016"/>
        <v>0</v>
      </c>
      <c r="AD2559" s="486"/>
      <c r="AE2559" s="210">
        <f t="shared" si="1017"/>
        <v>0</v>
      </c>
      <c r="AF2559" s="210">
        <f t="shared" si="1018"/>
        <v>0</v>
      </c>
      <c r="AG2559" s="211">
        <v>0.14499999999999999</v>
      </c>
      <c r="AH2559" s="157">
        <f t="shared" si="1019"/>
        <v>0</v>
      </c>
      <c r="AI2559" s="152">
        <v>19800</v>
      </c>
      <c r="AK2559" s="156" t="s">
        <v>691</v>
      </c>
      <c r="AL2559" s="212" t="s">
        <v>690</v>
      </c>
      <c r="AM2559" s="198">
        <f t="shared" si="1013"/>
        <v>0</v>
      </c>
      <c r="AN2559" s="199">
        <f t="shared" si="1020"/>
        <v>45901</v>
      </c>
      <c r="AO2559" s="159" t="s">
        <v>692</v>
      </c>
      <c r="AP2559" s="781"/>
      <c r="AQ2559" s="782">
        <v>12071839</v>
      </c>
      <c r="AR2559" s="782">
        <v>12047514</v>
      </c>
      <c r="AS2559" s="782">
        <v>12047515</v>
      </c>
      <c r="AT2559" s="782">
        <v>12083107</v>
      </c>
      <c r="AU2559" s="781"/>
      <c r="AV2559" s="782">
        <v>12084002</v>
      </c>
      <c r="AW2559" s="782"/>
      <c r="AX2559" s="782"/>
      <c r="AY2559" s="782"/>
      <c r="AZ2559" s="782"/>
      <c r="BA2559" s="781"/>
      <c r="BB2559" s="209">
        <v>23053185</v>
      </c>
    </row>
    <row r="2560" spans="1:54" ht="24.65" hidden="1" customHeight="1">
      <c r="B2560" s="224">
        <v>45901</v>
      </c>
      <c r="C2560" s="224">
        <v>45927</v>
      </c>
      <c r="D2560" s="185">
        <f t="shared" si="987"/>
        <v>2025</v>
      </c>
      <c r="E2560" s="225" t="e">
        <f>VLOOKUP($B2560,Week!$A$1:$C$1462,2,0)</f>
        <v>#N/A</v>
      </c>
      <c r="F2560" s="226" t="str">
        <f t="shared" si="988"/>
        <v>Sep</v>
      </c>
      <c r="G2560" s="225" t="s">
        <v>2427</v>
      </c>
      <c r="H2560" s="225" t="s">
        <v>392</v>
      </c>
      <c r="I2560" s="225" t="s">
        <v>2772</v>
      </c>
      <c r="J2560" s="227" t="s">
        <v>393</v>
      </c>
      <c r="K2560" s="228" t="s">
        <v>176</v>
      </c>
      <c r="L2560" s="300" t="s">
        <v>2167</v>
      </c>
      <c r="M2560" s="228" t="s">
        <v>399</v>
      </c>
      <c r="N2560" s="225" t="s">
        <v>400</v>
      </c>
      <c r="O2560" s="225" t="s">
        <v>195</v>
      </c>
      <c r="P2560" s="229">
        <v>24</v>
      </c>
      <c r="Q2560" s="229">
        <v>5</v>
      </c>
      <c r="R2560" s="230">
        <v>8.0000000000000002E-3</v>
      </c>
      <c r="S2560" s="225" t="s">
        <v>40</v>
      </c>
      <c r="T2560" s="225" t="s">
        <v>56</v>
      </c>
      <c r="U2560" s="225" t="s">
        <v>57</v>
      </c>
      <c r="V2560" s="231">
        <f>600</f>
        <v>600</v>
      </c>
      <c r="W2560" s="231">
        <f>11+589</f>
        <v>600</v>
      </c>
      <c r="X2560" s="232"/>
      <c r="Y2560" s="233">
        <f t="shared" si="1014"/>
        <v>0</v>
      </c>
      <c r="Z2560" s="234">
        <f t="shared" si="1015"/>
        <v>0</v>
      </c>
      <c r="AA2560" s="234">
        <f t="shared" si="989"/>
        <v>0</v>
      </c>
      <c r="AB2560" s="808">
        <v>7.4999999999999997E-3</v>
      </c>
      <c r="AC2560" s="231">
        <f t="shared" si="1016"/>
        <v>0</v>
      </c>
      <c r="AD2560" s="220"/>
      <c r="AE2560" s="210">
        <f t="shared" si="1017"/>
        <v>0</v>
      </c>
      <c r="AF2560" s="210">
        <f t="shared" si="1018"/>
        <v>0</v>
      </c>
      <c r="AG2560" s="211">
        <f>MID(O2560,1,3)/1000</f>
        <v>0.14499999999999999</v>
      </c>
      <c r="AH2560" s="157">
        <f t="shared" si="1019"/>
        <v>0</v>
      </c>
      <c r="AI2560" s="152">
        <f t="shared" ref="AI2560:AI2590" si="1021">V2560*P2560</f>
        <v>14400</v>
      </c>
      <c r="AK2560" s="156" t="s">
        <v>691</v>
      </c>
      <c r="AL2560" s="574" t="s">
        <v>690</v>
      </c>
      <c r="AM2560" s="198">
        <f t="shared" si="1013"/>
        <v>0</v>
      </c>
      <c r="AN2560" s="199">
        <f t="shared" si="1020"/>
        <v>45901</v>
      </c>
      <c r="AO2560" s="159" t="s">
        <v>692</v>
      </c>
      <c r="AP2560" s="783" t="s">
        <v>638</v>
      </c>
      <c r="AQ2560" s="783" t="s">
        <v>631</v>
      </c>
      <c r="AR2560" s="783" t="s">
        <v>632</v>
      </c>
      <c r="AS2560" s="783" t="s">
        <v>633</v>
      </c>
      <c r="AT2560" s="781"/>
      <c r="AU2560" s="783" t="s">
        <v>626</v>
      </c>
      <c r="AV2560" s="783" t="s">
        <v>2380</v>
      </c>
      <c r="AW2560" s="783" t="s">
        <v>634</v>
      </c>
      <c r="AX2560" s="781"/>
      <c r="AY2560" s="783" t="s">
        <v>2463</v>
      </c>
      <c r="AZ2560" s="783" t="s">
        <v>2464</v>
      </c>
      <c r="BA2560" s="783" t="s">
        <v>2465</v>
      </c>
      <c r="BB2560" s="209">
        <v>23053185</v>
      </c>
    </row>
    <row r="2561" spans="1:54" ht="24.75" hidden="1" customHeight="1">
      <c r="B2561" s="295">
        <v>45901</v>
      </c>
      <c r="C2561" s="771" t="s">
        <v>1933</v>
      </c>
      <c r="D2561" s="185">
        <f t="shared" si="987"/>
        <v>2025</v>
      </c>
      <c r="E2561" s="296" t="e">
        <f>VLOOKUP($B2561,Week!$A$1:$C$1462,2,0)</f>
        <v>#N/A</v>
      </c>
      <c r="F2561" s="297" t="str">
        <f t="shared" si="988"/>
        <v>Sep</v>
      </c>
      <c r="G2561" s="648" t="s">
        <v>47</v>
      </c>
      <c r="H2561" s="298" t="s">
        <v>260</v>
      </c>
      <c r="I2561" s="298" t="s">
        <v>2702</v>
      </c>
      <c r="J2561" s="307" t="s">
        <v>2240</v>
      </c>
      <c r="K2561" s="300" t="s">
        <v>176</v>
      </c>
      <c r="L2561" s="300" t="s">
        <v>2167</v>
      </c>
      <c r="M2561" s="299" t="s">
        <v>2338</v>
      </c>
      <c r="N2561" s="298" t="s">
        <v>350</v>
      </c>
      <c r="O2561" s="298" t="s">
        <v>351</v>
      </c>
      <c r="P2561" s="301">
        <v>24</v>
      </c>
      <c r="Q2561" s="301">
        <v>5</v>
      </c>
      <c r="R2561" s="302">
        <v>6.1999999999999998E-3</v>
      </c>
      <c r="S2561" s="298" t="s">
        <v>352</v>
      </c>
      <c r="T2561" s="298" t="s">
        <v>56</v>
      </c>
      <c r="U2561" s="298" t="s">
        <v>57</v>
      </c>
      <c r="V2561" s="303">
        <v>2044</v>
      </c>
      <c r="W2561" s="303">
        <f>2044</f>
        <v>2044</v>
      </c>
      <c r="X2561" s="304"/>
      <c r="Y2561" s="305">
        <f t="shared" si="1014"/>
        <v>0</v>
      </c>
      <c r="Z2561" s="306">
        <f t="shared" si="1015"/>
        <v>0</v>
      </c>
      <c r="AA2561" s="306">
        <f t="shared" si="989"/>
        <v>0</v>
      </c>
      <c r="AB2561" s="814">
        <v>7.4999999999999997E-3</v>
      </c>
      <c r="AC2561" s="303">
        <f t="shared" si="1016"/>
        <v>0</v>
      </c>
      <c r="AD2561" s="443"/>
      <c r="AE2561" s="210">
        <f t="shared" si="1017"/>
        <v>0</v>
      </c>
      <c r="AF2561" s="210">
        <f t="shared" si="1018"/>
        <v>0</v>
      </c>
      <c r="AG2561" s="211">
        <f>MID(O2561,1,3)/1000</f>
        <v>0.13</v>
      </c>
      <c r="AH2561" s="157">
        <f t="shared" si="1019"/>
        <v>0</v>
      </c>
      <c r="AI2561" s="152">
        <f t="shared" si="1021"/>
        <v>49056</v>
      </c>
      <c r="AK2561" s="156" t="s">
        <v>691</v>
      </c>
      <c r="AL2561" s="574" t="s">
        <v>690</v>
      </c>
      <c r="AM2561" s="198">
        <f t="shared" si="1013"/>
        <v>0</v>
      </c>
      <c r="AN2561" s="199">
        <f t="shared" si="1020"/>
        <v>45901</v>
      </c>
      <c r="AO2561" s="159" t="s">
        <v>692</v>
      </c>
      <c r="AP2561" s="783" t="s">
        <v>622</v>
      </c>
      <c r="AQ2561" s="782">
        <v>12071839</v>
      </c>
      <c r="AR2561" s="782">
        <v>12094356</v>
      </c>
      <c r="AS2561" s="782">
        <v>12068233</v>
      </c>
      <c r="AT2561" s="781"/>
      <c r="AU2561" s="781"/>
      <c r="AV2561" s="782">
        <v>12062075</v>
      </c>
      <c r="AW2561" s="781"/>
      <c r="AX2561" s="781"/>
      <c r="AY2561" s="782">
        <v>12094357</v>
      </c>
      <c r="AZ2561" s="782"/>
      <c r="BA2561" s="781"/>
      <c r="BB2561" s="209">
        <v>23053184</v>
      </c>
    </row>
    <row r="2562" spans="1:54" ht="25" hidden="1" customHeight="1">
      <c r="A2562" s="142" t="s">
        <v>120</v>
      </c>
      <c r="B2562" s="571">
        <v>45902</v>
      </c>
      <c r="C2562" s="845" t="s">
        <v>1933</v>
      </c>
      <c r="D2562" s="185">
        <f t="shared" si="987"/>
        <v>2025</v>
      </c>
      <c r="E2562" s="236" t="e">
        <f>VLOOKUP($B2562,Week!$A$1:$C$1462,2,0)</f>
        <v>#N/A</v>
      </c>
      <c r="F2562" s="237" t="str">
        <f t="shared" si="988"/>
        <v>Sep</v>
      </c>
      <c r="G2562" s="236" t="s">
        <v>47</v>
      </c>
      <c r="H2562" s="236" t="s">
        <v>47</v>
      </c>
      <c r="I2562" s="236" t="s">
        <v>2702</v>
      </c>
      <c r="J2562" s="238" t="s">
        <v>70</v>
      </c>
      <c r="K2562" s="239" t="s">
        <v>153</v>
      </c>
      <c r="L2562" s="390" t="s">
        <v>2166</v>
      </c>
      <c r="M2562" s="238" t="s">
        <v>154</v>
      </c>
      <c r="N2562" s="236" t="s">
        <v>155</v>
      </c>
      <c r="O2562" s="236" t="s">
        <v>156</v>
      </c>
      <c r="P2562" s="240">
        <v>8</v>
      </c>
      <c r="Q2562" s="240">
        <v>50</v>
      </c>
      <c r="R2562" s="241">
        <v>8.1300000000000001E-3</v>
      </c>
      <c r="S2562" s="236" t="s">
        <v>40</v>
      </c>
      <c r="T2562" s="236" t="s">
        <v>56</v>
      </c>
      <c r="U2562" s="236"/>
      <c r="V2562" s="242">
        <f>200</f>
        <v>200</v>
      </c>
      <c r="W2562" s="242">
        <f>200</f>
        <v>200</v>
      </c>
      <c r="X2562" s="243"/>
      <c r="Y2562" s="244">
        <f t="shared" si="1014"/>
        <v>0</v>
      </c>
      <c r="Z2562" s="245">
        <f t="shared" si="1015"/>
        <v>0</v>
      </c>
      <c r="AA2562" s="242">
        <f t="shared" si="989"/>
        <v>0</v>
      </c>
      <c r="AB2562" s="809"/>
      <c r="AC2562" s="242">
        <f t="shared" si="1016"/>
        <v>0</v>
      </c>
      <c r="AD2562" s="443"/>
      <c r="AE2562" s="210">
        <f t="shared" si="1017"/>
        <v>0</v>
      </c>
      <c r="AF2562" s="220">
        <f t="shared" si="1018"/>
        <v>0</v>
      </c>
      <c r="AG2562" s="211">
        <f>MID(O2562,1,3)/1000</f>
        <v>0.6</v>
      </c>
      <c r="AH2562" s="157">
        <f t="shared" si="1019"/>
        <v>0</v>
      </c>
      <c r="AI2562" s="152">
        <f t="shared" si="1021"/>
        <v>1600</v>
      </c>
      <c r="AK2562" s="156" t="s">
        <v>691</v>
      </c>
      <c r="AL2562" s="156" t="s">
        <v>689</v>
      </c>
      <c r="AM2562" s="198">
        <f t="shared" si="1013"/>
        <v>0</v>
      </c>
      <c r="AN2562" s="199">
        <f t="shared" si="1020"/>
        <v>45902</v>
      </c>
      <c r="AO2562" s="159" t="s">
        <v>692</v>
      </c>
      <c r="AP2562" s="781"/>
      <c r="AQ2562" s="781"/>
      <c r="AR2562" s="783" t="s">
        <v>529</v>
      </c>
      <c r="AS2562" s="781"/>
      <c r="AT2562" s="783"/>
      <c r="AU2562" s="783"/>
      <c r="AV2562" s="783" t="s">
        <v>530</v>
      </c>
      <c r="AW2562" s="781"/>
      <c r="AX2562" s="781" t="s">
        <v>93</v>
      </c>
      <c r="AY2562" s="781"/>
      <c r="AZ2562" s="782"/>
      <c r="BA2562" s="781"/>
    </row>
    <row r="2563" spans="1:54" ht="25.9" hidden="1" customHeight="1">
      <c r="A2563" s="142" t="s">
        <v>120</v>
      </c>
      <c r="B2563" s="235">
        <v>45902</v>
      </c>
      <c r="C2563" s="235">
        <v>45927</v>
      </c>
      <c r="D2563" s="185">
        <f t="shared" si="987"/>
        <v>2025</v>
      </c>
      <c r="E2563" s="236" t="e">
        <f>VLOOKUP($B2563,Week!$A$1:$C$1462,2,0)</f>
        <v>#N/A</v>
      </c>
      <c r="F2563" s="237" t="str">
        <f t="shared" si="988"/>
        <v>Sep</v>
      </c>
      <c r="G2563" s="236" t="s">
        <v>2427</v>
      </c>
      <c r="H2563" s="236" t="s">
        <v>392</v>
      </c>
      <c r="I2563" s="236" t="s">
        <v>2772</v>
      </c>
      <c r="J2563" s="238" t="s">
        <v>393</v>
      </c>
      <c r="K2563" s="239" t="s">
        <v>153</v>
      </c>
      <c r="L2563" s="390" t="s">
        <v>2166</v>
      </c>
      <c r="M2563" s="238" t="s">
        <v>165</v>
      </c>
      <c r="N2563" s="236" t="s">
        <v>685</v>
      </c>
      <c r="O2563" s="236" t="s">
        <v>167</v>
      </c>
      <c r="P2563" s="240">
        <v>20</v>
      </c>
      <c r="Q2563" s="240">
        <v>12</v>
      </c>
      <c r="R2563" s="241">
        <v>6.8100000000000001E-3</v>
      </c>
      <c r="S2563" s="236" t="s">
        <v>76</v>
      </c>
      <c r="T2563" s="236" t="s">
        <v>56</v>
      </c>
      <c r="U2563" s="236" t="s">
        <v>89</v>
      </c>
      <c r="V2563" s="242">
        <f>350</f>
        <v>350</v>
      </c>
      <c r="W2563" s="242">
        <f>36</f>
        <v>36</v>
      </c>
      <c r="X2563" s="243">
        <f>(6280)/20</f>
        <v>314</v>
      </c>
      <c r="Y2563" s="244">
        <f t="shared" si="1014"/>
        <v>0</v>
      </c>
      <c r="Z2563" s="245">
        <f t="shared" si="1015"/>
        <v>0</v>
      </c>
      <c r="AA2563" s="245">
        <f t="shared" si="989"/>
        <v>0</v>
      </c>
      <c r="AB2563" s="809">
        <v>2</v>
      </c>
      <c r="AC2563" s="242">
        <f t="shared" si="1016"/>
        <v>0</v>
      </c>
      <c r="AD2563" s="209"/>
      <c r="AE2563" s="210">
        <f t="shared" si="1017"/>
        <v>0</v>
      </c>
      <c r="AF2563" s="210">
        <f t="shared" si="1018"/>
        <v>0</v>
      </c>
      <c r="AG2563" s="211">
        <f>MID(O2563,1,3)/1000</f>
        <v>0.154</v>
      </c>
      <c r="AH2563" s="157">
        <f t="shared" si="1019"/>
        <v>0</v>
      </c>
      <c r="AI2563" s="152">
        <f t="shared" si="1021"/>
        <v>7000</v>
      </c>
      <c r="AK2563" s="156" t="s">
        <v>691</v>
      </c>
      <c r="AL2563" s="156" t="s">
        <v>689</v>
      </c>
      <c r="AM2563" s="198">
        <f t="shared" si="1013"/>
        <v>0</v>
      </c>
      <c r="AN2563" s="199">
        <f t="shared" si="1020"/>
        <v>45902</v>
      </c>
      <c r="AO2563" s="159" t="s">
        <v>692</v>
      </c>
      <c r="AP2563" s="783" t="s">
        <v>622</v>
      </c>
      <c r="AQ2563" s="783" t="s">
        <v>631</v>
      </c>
      <c r="AR2563" s="783" t="s">
        <v>523</v>
      </c>
      <c r="AS2563" s="781"/>
      <c r="AT2563" s="783" t="s">
        <v>607</v>
      </c>
      <c r="AU2563" s="781"/>
      <c r="AV2563" s="783" t="s">
        <v>606</v>
      </c>
      <c r="AW2563" s="781"/>
      <c r="AX2563" s="781" t="s">
        <v>398</v>
      </c>
      <c r="AY2563" s="781"/>
      <c r="AZ2563" s="782"/>
      <c r="BA2563" s="781"/>
      <c r="BB2563" s="209">
        <v>23053184</v>
      </c>
    </row>
    <row r="2564" spans="1:54" ht="25" hidden="1" customHeight="1">
      <c r="A2564" s="142" t="s">
        <v>120</v>
      </c>
      <c r="B2564" s="559">
        <v>45902</v>
      </c>
      <c r="C2564" s="560">
        <v>45909</v>
      </c>
      <c r="D2564" s="185">
        <f t="shared" ref="D2564:D2627" si="1022">IF(B2564="","",YEAR(B2564))</f>
        <v>2025</v>
      </c>
      <c r="E2564" s="561" t="e">
        <f>VLOOKUP($B2564,Week!$A$1:$C$1462,2,0)</f>
        <v>#N/A</v>
      </c>
      <c r="F2564" s="562" t="str">
        <f t="shared" ref="F2564:F2627" si="1023">IF(B2564="","",TEXT(B2564,"[$-409]mmm"))</f>
        <v>Sep</v>
      </c>
      <c r="G2564" s="561" t="s">
        <v>2348</v>
      </c>
      <c r="H2564" s="561" t="s">
        <v>134</v>
      </c>
      <c r="I2564" s="561" t="s">
        <v>2772</v>
      </c>
      <c r="J2564" s="563" t="s">
        <v>164</v>
      </c>
      <c r="K2564" s="564" t="s">
        <v>355</v>
      </c>
      <c r="L2564" s="390" t="s">
        <v>2166</v>
      </c>
      <c r="M2564" s="563" t="s">
        <v>356</v>
      </c>
      <c r="N2564" s="561" t="s">
        <v>652</v>
      </c>
      <c r="O2564" s="561" t="s">
        <v>508</v>
      </c>
      <c r="P2564" s="565">
        <v>18</v>
      </c>
      <c r="Q2564" s="565">
        <v>8</v>
      </c>
      <c r="R2564" s="566">
        <v>6.1999999999999998E-3</v>
      </c>
      <c r="S2564" s="561" t="s">
        <v>55</v>
      </c>
      <c r="T2564" s="561" t="s">
        <v>56</v>
      </c>
      <c r="U2564" s="561" t="s">
        <v>89</v>
      </c>
      <c r="V2564" s="567">
        <f>600</f>
        <v>600</v>
      </c>
      <c r="W2564" s="567">
        <f>48+552</f>
        <v>600</v>
      </c>
      <c r="X2564" s="568"/>
      <c r="Y2564" s="569">
        <f t="shared" si="1014"/>
        <v>0</v>
      </c>
      <c r="Z2564" s="570">
        <f t="shared" si="1015"/>
        <v>0</v>
      </c>
      <c r="AA2564" s="570">
        <f t="shared" ref="AA2564:AA2627" si="1024">Q2564*Z2564</f>
        <v>0</v>
      </c>
      <c r="AB2564" s="834">
        <v>2</v>
      </c>
      <c r="AC2564" s="567">
        <f t="shared" si="1016"/>
        <v>0</v>
      </c>
      <c r="AD2564" s="209"/>
      <c r="AE2564" s="210">
        <f t="shared" si="1017"/>
        <v>0</v>
      </c>
      <c r="AF2564" s="210">
        <f t="shared" si="1018"/>
        <v>0</v>
      </c>
      <c r="AG2564" s="211">
        <f>MID(O2564,1,2)/1000</f>
        <v>0.09</v>
      </c>
      <c r="AH2564" s="157">
        <f t="shared" si="1019"/>
        <v>0</v>
      </c>
      <c r="AI2564" s="152">
        <f t="shared" si="1021"/>
        <v>10800</v>
      </c>
      <c r="AK2564" s="156" t="s">
        <v>691</v>
      </c>
      <c r="AL2564" s="156" t="s">
        <v>689</v>
      </c>
      <c r="AM2564" s="198">
        <f t="shared" si="1013"/>
        <v>0</v>
      </c>
      <c r="AN2564" s="199">
        <f t="shared" si="1020"/>
        <v>45902</v>
      </c>
      <c r="AO2564" s="159" t="s">
        <v>692</v>
      </c>
      <c r="AP2564" s="783"/>
      <c r="AQ2564" s="782"/>
      <c r="AR2564" s="782" t="s">
        <v>531</v>
      </c>
      <c r="AS2564" s="782"/>
      <c r="AT2564" s="782"/>
      <c r="AU2564" s="782">
        <v>12054219</v>
      </c>
      <c r="AV2564" s="782">
        <v>12084877</v>
      </c>
      <c r="AW2564" s="782"/>
      <c r="AX2564" s="782" t="s">
        <v>2155</v>
      </c>
      <c r="AY2564" s="782"/>
      <c r="AZ2564" s="782"/>
      <c r="BA2564" s="781"/>
      <c r="BB2564" s="209">
        <v>23053184</v>
      </c>
    </row>
    <row r="2565" spans="1:54" ht="26.25" hidden="1" customHeight="1">
      <c r="B2565" s="235">
        <v>45902</v>
      </c>
      <c r="C2565" s="235">
        <v>45927</v>
      </c>
      <c r="D2565" s="185">
        <f t="shared" si="1022"/>
        <v>2025</v>
      </c>
      <c r="E2565" s="236" t="e">
        <f>VLOOKUP($B2565,Week!$A$1:$C$1462,2,0)</f>
        <v>#N/A</v>
      </c>
      <c r="F2565" s="237" t="str">
        <f t="shared" si="1023"/>
        <v>Sep</v>
      </c>
      <c r="G2565" s="236" t="s">
        <v>2427</v>
      </c>
      <c r="H2565" s="236" t="s">
        <v>392</v>
      </c>
      <c r="I2565" s="236" t="s">
        <v>2772</v>
      </c>
      <c r="J2565" s="238" t="s">
        <v>393</v>
      </c>
      <c r="K2565" s="239" t="s">
        <v>1643</v>
      </c>
      <c r="L2565" s="300" t="s">
        <v>2167</v>
      </c>
      <c r="M2565" s="238" t="s">
        <v>2385</v>
      </c>
      <c r="N2565" s="236" t="s">
        <v>407</v>
      </c>
      <c r="O2565" s="236" t="s">
        <v>206</v>
      </c>
      <c r="P2565" s="240">
        <v>24</v>
      </c>
      <c r="Q2565" s="240">
        <v>5</v>
      </c>
      <c r="R2565" s="241">
        <v>8.0000000000000002E-3</v>
      </c>
      <c r="S2565" s="236" t="s">
        <v>40</v>
      </c>
      <c r="T2565" s="236" t="s">
        <v>56</v>
      </c>
      <c r="U2565" s="640" t="s">
        <v>499</v>
      </c>
      <c r="V2565" s="242">
        <f>1150</f>
        <v>1150</v>
      </c>
      <c r="W2565" s="242">
        <f>40+1110</f>
        <v>1150</v>
      </c>
      <c r="X2565" s="243"/>
      <c r="Y2565" s="244">
        <f t="shared" si="1014"/>
        <v>0</v>
      </c>
      <c r="Z2565" s="245">
        <f t="shared" si="1015"/>
        <v>0</v>
      </c>
      <c r="AA2565" s="245">
        <f t="shared" si="1024"/>
        <v>0</v>
      </c>
      <c r="AB2565" s="809">
        <v>1</v>
      </c>
      <c r="AC2565" s="242">
        <f t="shared" si="1016"/>
        <v>0</v>
      </c>
      <c r="AD2565" s="209"/>
      <c r="AE2565" s="210">
        <f t="shared" si="1017"/>
        <v>0</v>
      </c>
      <c r="AF2565" s="210">
        <f t="shared" si="1018"/>
        <v>0</v>
      </c>
      <c r="AG2565" s="211">
        <f t="shared" ref="AG2565:AG2590" si="1025">MID(O2565,1,3)/1000</f>
        <v>0.115</v>
      </c>
      <c r="AH2565" s="157">
        <f t="shared" si="1019"/>
        <v>0</v>
      </c>
      <c r="AI2565" s="152">
        <f t="shared" si="1021"/>
        <v>27600</v>
      </c>
      <c r="AK2565" s="156" t="s">
        <v>691</v>
      </c>
      <c r="AL2565" s="574" t="s">
        <v>690</v>
      </c>
      <c r="AM2565" s="198">
        <f t="shared" si="1013"/>
        <v>0</v>
      </c>
      <c r="AN2565" s="199">
        <f t="shared" si="1020"/>
        <v>45902</v>
      </c>
      <c r="AO2565" s="159" t="s">
        <v>692</v>
      </c>
      <c r="AP2565" s="783" t="s">
        <v>608</v>
      </c>
      <c r="AQ2565" s="782">
        <v>12071839</v>
      </c>
      <c r="AR2565" s="782">
        <v>12047514</v>
      </c>
      <c r="AS2565" s="782">
        <v>12047515</v>
      </c>
      <c r="AT2565" s="781"/>
      <c r="AU2565" s="782">
        <v>12026902</v>
      </c>
      <c r="AV2565" s="782">
        <v>12081781</v>
      </c>
      <c r="AW2565" s="782">
        <v>12026904</v>
      </c>
      <c r="AX2565" s="781"/>
      <c r="AY2565" s="783" t="s">
        <v>2403</v>
      </c>
      <c r="AZ2565" s="783" t="s">
        <v>2404</v>
      </c>
      <c r="BA2565" s="783" t="s">
        <v>2405</v>
      </c>
      <c r="BB2565" s="209">
        <v>23052995</v>
      </c>
    </row>
    <row r="2566" spans="1:54" ht="25" hidden="1" customHeight="1">
      <c r="B2566" s="246">
        <v>45902</v>
      </c>
      <c r="C2566" s="247">
        <v>45908</v>
      </c>
      <c r="D2566" s="185">
        <f t="shared" si="1022"/>
        <v>2025</v>
      </c>
      <c r="E2566" s="247" t="e">
        <f>VLOOKUP($B2566,Week!$A$1:$C$1462,2,0)</f>
        <v>#N/A</v>
      </c>
      <c r="F2566" s="248" t="str">
        <f t="shared" si="1023"/>
        <v>Sep</v>
      </c>
      <c r="G2566" s="599" t="s">
        <v>2485</v>
      </c>
      <c r="H2566" s="249" t="s">
        <v>104</v>
      </c>
      <c r="I2566" s="249" t="s">
        <v>2772</v>
      </c>
      <c r="J2566" s="250" t="s">
        <v>105</v>
      </c>
      <c r="K2566" s="251" t="s">
        <v>593</v>
      </c>
      <c r="L2566" s="300" t="s">
        <v>2167</v>
      </c>
      <c r="M2566" s="250" t="s">
        <v>594</v>
      </c>
      <c r="N2566" s="249" t="s">
        <v>596</v>
      </c>
      <c r="O2566" s="249" t="s">
        <v>304</v>
      </c>
      <c r="P2566" s="252">
        <v>8</v>
      </c>
      <c r="Q2566" s="252">
        <v>5</v>
      </c>
      <c r="R2566" s="253">
        <v>6.0000000000000001E-3</v>
      </c>
      <c r="S2566" s="249" t="s">
        <v>55</v>
      </c>
      <c r="T2566" s="249" t="s">
        <v>112</v>
      </c>
      <c r="U2566" s="249" t="s">
        <v>57</v>
      </c>
      <c r="V2566" s="254">
        <f>2400</f>
        <v>2400</v>
      </c>
      <c r="W2566" s="254"/>
      <c r="X2566" s="255">
        <f>(511+370+18319)/8</f>
        <v>2400</v>
      </c>
      <c r="Y2566" s="256">
        <f t="shared" si="1014"/>
        <v>0</v>
      </c>
      <c r="Z2566" s="257">
        <f t="shared" si="1015"/>
        <v>0</v>
      </c>
      <c r="AA2566" s="257">
        <f t="shared" si="1024"/>
        <v>0</v>
      </c>
      <c r="AB2566" s="810">
        <v>7.4999999999999997E-3</v>
      </c>
      <c r="AC2566" s="254">
        <f t="shared" si="1016"/>
        <v>0</v>
      </c>
      <c r="AD2566" s="209"/>
      <c r="AE2566" s="210">
        <f t="shared" si="1017"/>
        <v>0</v>
      </c>
      <c r="AF2566" s="210">
        <f t="shared" si="1018"/>
        <v>0</v>
      </c>
      <c r="AG2566" s="211">
        <f t="shared" si="1025"/>
        <v>0.25800000000000001</v>
      </c>
      <c r="AH2566" s="157">
        <v>0.26621999999999996</v>
      </c>
      <c r="AI2566" s="152">
        <f t="shared" si="1021"/>
        <v>19200</v>
      </c>
      <c r="AK2566" s="156" t="s">
        <v>691</v>
      </c>
      <c r="AL2566" s="574" t="s">
        <v>690</v>
      </c>
      <c r="AM2566" s="198">
        <f t="shared" si="1013"/>
        <v>0</v>
      </c>
      <c r="AN2566" s="199">
        <f t="shared" si="1020"/>
        <v>45902</v>
      </c>
      <c r="AO2566" s="159" t="s">
        <v>692</v>
      </c>
      <c r="AP2566" s="781"/>
      <c r="AQ2566" s="782">
        <v>12071839</v>
      </c>
      <c r="AR2566" s="782">
        <v>12042650</v>
      </c>
      <c r="AS2566" s="782">
        <v>12042649</v>
      </c>
      <c r="AT2566" s="782">
        <v>12084100</v>
      </c>
      <c r="AU2566" s="781"/>
      <c r="AV2566" s="782">
        <v>12084001</v>
      </c>
      <c r="AW2566" s="781"/>
      <c r="AX2566" s="781"/>
      <c r="AY2566" s="781"/>
      <c r="AZ2566" s="782"/>
      <c r="BA2566" s="781"/>
      <c r="BB2566" s="209">
        <v>23053185</v>
      </c>
    </row>
    <row r="2567" spans="1:54" ht="25" hidden="1" customHeight="1">
      <c r="B2567" s="246">
        <v>45902</v>
      </c>
      <c r="C2567" s="247">
        <v>45912</v>
      </c>
      <c r="D2567" s="185">
        <f t="shared" si="1022"/>
        <v>2025</v>
      </c>
      <c r="E2567" s="247" t="e">
        <f>VLOOKUP($B2567,Week!$A$1:$C$1462,2,0)</f>
        <v>#N/A</v>
      </c>
      <c r="F2567" s="248" t="str">
        <f t="shared" si="1023"/>
        <v>Sep</v>
      </c>
      <c r="G2567" s="599" t="s">
        <v>2486</v>
      </c>
      <c r="H2567" s="249" t="s">
        <v>104</v>
      </c>
      <c r="I2567" s="249" t="s">
        <v>2772</v>
      </c>
      <c r="J2567" s="250" t="s">
        <v>105</v>
      </c>
      <c r="K2567" s="251" t="s">
        <v>593</v>
      </c>
      <c r="L2567" s="300" t="s">
        <v>2167</v>
      </c>
      <c r="M2567" s="250" t="s">
        <v>594</v>
      </c>
      <c r="N2567" s="249" t="s">
        <v>596</v>
      </c>
      <c r="O2567" s="249" t="s">
        <v>304</v>
      </c>
      <c r="P2567" s="252">
        <v>8</v>
      </c>
      <c r="Q2567" s="252">
        <v>5</v>
      </c>
      <c r="R2567" s="253">
        <v>6.0000000000000001E-3</v>
      </c>
      <c r="S2567" s="249" t="s">
        <v>55</v>
      </c>
      <c r="T2567" s="249" t="s">
        <v>112</v>
      </c>
      <c r="U2567" s="249" t="s">
        <v>57</v>
      </c>
      <c r="V2567" s="254">
        <f>2400</f>
        <v>2400</v>
      </c>
      <c r="W2567" s="254"/>
      <c r="X2567" s="255">
        <f>(38445-18319)/8</f>
        <v>2515.75</v>
      </c>
      <c r="Y2567" s="256">
        <f t="shared" si="1014"/>
        <v>115.75</v>
      </c>
      <c r="Z2567" s="257">
        <f t="shared" si="1015"/>
        <v>0</v>
      </c>
      <c r="AA2567" s="257">
        <f t="shared" si="1024"/>
        <v>0</v>
      </c>
      <c r="AB2567" s="810">
        <v>7.4999999999999997E-3</v>
      </c>
      <c r="AC2567" s="254">
        <f t="shared" si="1016"/>
        <v>0</v>
      </c>
      <c r="AD2567" s="209"/>
      <c r="AE2567" s="210">
        <f t="shared" si="1017"/>
        <v>0</v>
      </c>
      <c r="AF2567" s="210">
        <f t="shared" si="1018"/>
        <v>0</v>
      </c>
      <c r="AG2567" s="211">
        <f t="shared" si="1025"/>
        <v>0.25800000000000001</v>
      </c>
      <c r="AH2567" s="157">
        <v>0.26621999999999996</v>
      </c>
      <c r="AI2567" s="152">
        <f t="shared" si="1021"/>
        <v>19200</v>
      </c>
      <c r="AK2567" s="156" t="s">
        <v>691</v>
      </c>
      <c r="AL2567" s="574" t="s">
        <v>690</v>
      </c>
      <c r="AM2567" s="198">
        <f t="shared" si="1013"/>
        <v>0</v>
      </c>
      <c r="AN2567" s="199">
        <f t="shared" si="1020"/>
        <v>45902</v>
      </c>
      <c r="AO2567" s="159" t="s">
        <v>692</v>
      </c>
      <c r="AP2567" s="781"/>
      <c r="AQ2567" s="782">
        <v>12071839</v>
      </c>
      <c r="AR2567" s="782">
        <v>12042650</v>
      </c>
      <c r="AS2567" s="782">
        <v>12042649</v>
      </c>
      <c r="AT2567" s="782">
        <v>12084100</v>
      </c>
      <c r="AU2567" s="781"/>
      <c r="AV2567" s="782">
        <v>12084001</v>
      </c>
      <c r="AW2567" s="781"/>
      <c r="AX2567" s="781"/>
      <c r="AY2567" s="781"/>
      <c r="AZ2567" s="782"/>
      <c r="BA2567" s="781"/>
      <c r="BB2567" s="209">
        <v>23053185</v>
      </c>
    </row>
    <row r="2568" spans="1:54" ht="24.65" hidden="1" customHeight="1">
      <c r="A2568" s="142" t="s">
        <v>120</v>
      </c>
      <c r="B2568" s="258">
        <v>45903</v>
      </c>
      <c r="C2568" s="259">
        <v>45909</v>
      </c>
      <c r="D2568" s="185">
        <f t="shared" si="1022"/>
        <v>2025</v>
      </c>
      <c r="E2568" s="260" t="e">
        <f>VLOOKUP($B2568,Week!$A$1:$C$1462,2,0)</f>
        <v>#N/A</v>
      </c>
      <c r="F2568" s="261" t="str">
        <f t="shared" si="1023"/>
        <v>Sep</v>
      </c>
      <c r="G2568" s="262" t="s">
        <v>2348</v>
      </c>
      <c r="H2568" s="260" t="s">
        <v>134</v>
      </c>
      <c r="I2568" s="260" t="s">
        <v>2772</v>
      </c>
      <c r="J2568" s="263" t="s">
        <v>164</v>
      </c>
      <c r="K2568" s="264" t="s">
        <v>153</v>
      </c>
      <c r="L2568" s="390" t="s">
        <v>2166</v>
      </c>
      <c r="M2568" s="263" t="s">
        <v>165</v>
      </c>
      <c r="N2568" s="260" t="s">
        <v>166</v>
      </c>
      <c r="O2568" s="260" t="s">
        <v>502</v>
      </c>
      <c r="P2568" s="265">
        <v>20</v>
      </c>
      <c r="Q2568" s="265">
        <v>12</v>
      </c>
      <c r="R2568" s="266">
        <v>6.8100000000000001E-3</v>
      </c>
      <c r="S2568" s="260" t="s">
        <v>76</v>
      </c>
      <c r="T2568" s="260" t="s">
        <v>56</v>
      </c>
      <c r="U2568" s="260" t="s">
        <v>89</v>
      </c>
      <c r="V2568" s="267">
        <f>1000</f>
        <v>1000</v>
      </c>
      <c r="W2568" s="267">
        <f>45+955</f>
        <v>1000</v>
      </c>
      <c r="X2568" s="268"/>
      <c r="Y2568" s="269">
        <f t="shared" si="1014"/>
        <v>0</v>
      </c>
      <c r="Z2568" s="270">
        <f t="shared" si="1015"/>
        <v>0</v>
      </c>
      <c r="AA2568" s="270">
        <f t="shared" si="1024"/>
        <v>0</v>
      </c>
      <c r="AB2568" s="811">
        <v>2</v>
      </c>
      <c r="AC2568" s="267">
        <f t="shared" si="1016"/>
        <v>0</v>
      </c>
      <c r="AD2568" s="209" t="s">
        <v>168</v>
      </c>
      <c r="AE2568" s="210">
        <f t="shared" si="1017"/>
        <v>0</v>
      </c>
      <c r="AF2568" s="210">
        <f t="shared" si="1018"/>
        <v>0</v>
      </c>
      <c r="AG2568" s="211">
        <f t="shared" si="1025"/>
        <v>0.154</v>
      </c>
      <c r="AH2568" s="157">
        <f t="shared" ref="AH2568:AH2578" si="1026">(Z2568*AG2568)/1000</f>
        <v>0</v>
      </c>
      <c r="AI2568" s="152">
        <f t="shared" si="1021"/>
        <v>20000</v>
      </c>
      <c r="AK2568" s="156" t="s">
        <v>691</v>
      </c>
      <c r="AL2568" s="156" t="s">
        <v>689</v>
      </c>
      <c r="AM2568" s="198">
        <f t="shared" si="1013"/>
        <v>0</v>
      </c>
      <c r="AN2568" s="199">
        <f t="shared" si="1020"/>
        <v>45903</v>
      </c>
      <c r="AO2568" s="159" t="s">
        <v>692</v>
      </c>
      <c r="AP2568" s="783" t="s">
        <v>610</v>
      </c>
      <c r="AQ2568" s="783" t="s">
        <v>631</v>
      </c>
      <c r="AR2568" s="783" t="s">
        <v>523</v>
      </c>
      <c r="AS2568" s="781"/>
      <c r="AT2568" s="782">
        <v>12055919</v>
      </c>
      <c r="AU2568" s="781"/>
      <c r="AV2568" s="783" t="s">
        <v>544</v>
      </c>
      <c r="AW2568" s="781"/>
      <c r="AX2568" s="782" t="s">
        <v>398</v>
      </c>
      <c r="AY2568" s="781"/>
      <c r="AZ2568" s="781"/>
      <c r="BA2568" s="781"/>
      <c r="BB2568" s="209">
        <v>23053184</v>
      </c>
    </row>
    <row r="2569" spans="1:54" ht="24.65" hidden="1" customHeight="1">
      <c r="A2569" s="142" t="s">
        <v>120</v>
      </c>
      <c r="B2569" s="258">
        <v>45903</v>
      </c>
      <c r="C2569" s="259">
        <v>45909</v>
      </c>
      <c r="D2569" s="185">
        <f t="shared" si="1022"/>
        <v>2025</v>
      </c>
      <c r="E2569" s="260" t="e">
        <f>VLOOKUP($B2569,Week!$A$1:$C$1462,2,0)</f>
        <v>#N/A</v>
      </c>
      <c r="F2569" s="261" t="str">
        <f t="shared" si="1023"/>
        <v>Sep</v>
      </c>
      <c r="G2569" s="262" t="s">
        <v>2466</v>
      </c>
      <c r="H2569" s="260" t="s">
        <v>134</v>
      </c>
      <c r="I2569" s="260" t="s">
        <v>2772</v>
      </c>
      <c r="J2569" s="263" t="s">
        <v>164</v>
      </c>
      <c r="K2569" s="264" t="s">
        <v>153</v>
      </c>
      <c r="L2569" s="390" t="s">
        <v>2166</v>
      </c>
      <c r="M2569" s="263" t="s">
        <v>165</v>
      </c>
      <c r="N2569" s="260" t="s">
        <v>166</v>
      </c>
      <c r="O2569" s="260" t="s">
        <v>502</v>
      </c>
      <c r="P2569" s="265">
        <v>20</v>
      </c>
      <c r="Q2569" s="265">
        <v>12</v>
      </c>
      <c r="R2569" s="266">
        <v>6.8100000000000001E-3</v>
      </c>
      <c r="S2569" s="260" t="s">
        <v>76</v>
      </c>
      <c r="T2569" s="260" t="s">
        <v>56</v>
      </c>
      <c r="U2569" s="260" t="s">
        <v>89</v>
      </c>
      <c r="V2569" s="267">
        <v>230</v>
      </c>
      <c r="W2569" s="267">
        <f>1185-955</f>
        <v>230</v>
      </c>
      <c r="X2569" s="268"/>
      <c r="Y2569" s="269">
        <f t="shared" si="1014"/>
        <v>0</v>
      </c>
      <c r="Z2569" s="270">
        <f t="shared" si="1015"/>
        <v>0</v>
      </c>
      <c r="AA2569" s="270">
        <f t="shared" si="1024"/>
        <v>0</v>
      </c>
      <c r="AB2569" s="811">
        <v>2</v>
      </c>
      <c r="AC2569" s="267">
        <f t="shared" si="1016"/>
        <v>0</v>
      </c>
      <c r="AD2569" s="209" t="s">
        <v>168</v>
      </c>
      <c r="AE2569" s="210">
        <f t="shared" si="1017"/>
        <v>0</v>
      </c>
      <c r="AF2569" s="210">
        <f t="shared" si="1018"/>
        <v>0</v>
      </c>
      <c r="AG2569" s="211">
        <f t="shared" si="1025"/>
        <v>0.154</v>
      </c>
      <c r="AH2569" s="157">
        <f t="shared" si="1026"/>
        <v>0</v>
      </c>
      <c r="AI2569" s="152">
        <f t="shared" si="1021"/>
        <v>4600</v>
      </c>
      <c r="AK2569" s="156" t="s">
        <v>691</v>
      </c>
      <c r="AL2569" s="156" t="s">
        <v>689</v>
      </c>
      <c r="AM2569" s="198">
        <f t="shared" si="1013"/>
        <v>0</v>
      </c>
      <c r="AN2569" s="199">
        <f t="shared" si="1020"/>
        <v>45903</v>
      </c>
      <c r="AO2569" s="159" t="s">
        <v>692</v>
      </c>
      <c r="AP2569" s="783" t="s">
        <v>610</v>
      </c>
      <c r="AQ2569" s="783" t="s">
        <v>631</v>
      </c>
      <c r="AR2569" s="783" t="s">
        <v>523</v>
      </c>
      <c r="AS2569" s="781"/>
      <c r="AT2569" s="782">
        <v>12055919</v>
      </c>
      <c r="AU2569" s="781"/>
      <c r="AV2569" s="783" t="s">
        <v>544</v>
      </c>
      <c r="AW2569" s="781"/>
      <c r="AX2569" s="782" t="s">
        <v>398</v>
      </c>
      <c r="AY2569" s="781"/>
      <c r="AZ2569" s="781"/>
      <c r="BA2569" s="781"/>
      <c r="BB2569" s="209">
        <v>23053184</v>
      </c>
    </row>
    <row r="2570" spans="1:54" ht="24.75" hidden="1" customHeight="1">
      <c r="B2570" s="295">
        <v>45903</v>
      </c>
      <c r="C2570" s="771" t="s">
        <v>1933</v>
      </c>
      <c r="D2570" s="185">
        <f t="shared" si="1022"/>
        <v>2025</v>
      </c>
      <c r="E2570" s="296" t="e">
        <f>VLOOKUP($B2570,Week!$A$1:$C$1462,2,0)</f>
        <v>#N/A</v>
      </c>
      <c r="F2570" s="297" t="str">
        <f t="shared" si="1023"/>
        <v>Sep</v>
      </c>
      <c r="G2570" s="648" t="s">
        <v>47</v>
      </c>
      <c r="H2570" s="298" t="s">
        <v>260</v>
      </c>
      <c r="I2570" s="298" t="s">
        <v>2702</v>
      </c>
      <c r="J2570" s="307" t="s">
        <v>2240</v>
      </c>
      <c r="K2570" s="300" t="s">
        <v>176</v>
      </c>
      <c r="L2570" s="300" t="s">
        <v>2167</v>
      </c>
      <c r="M2570" s="299" t="s">
        <v>2338</v>
      </c>
      <c r="N2570" s="298" t="s">
        <v>350</v>
      </c>
      <c r="O2570" s="298" t="s">
        <v>351</v>
      </c>
      <c r="P2570" s="301">
        <v>24</v>
      </c>
      <c r="Q2570" s="301">
        <v>5</v>
      </c>
      <c r="R2570" s="302">
        <v>6.1999999999999998E-3</v>
      </c>
      <c r="S2570" s="298" t="s">
        <v>352</v>
      </c>
      <c r="T2570" s="298" t="s">
        <v>56</v>
      </c>
      <c r="U2570" s="298" t="s">
        <v>57</v>
      </c>
      <c r="V2570" s="303">
        <f>1874+103</f>
        <v>1977</v>
      </c>
      <c r="W2570" s="303">
        <f>1+1873+103</f>
        <v>1977</v>
      </c>
      <c r="X2570" s="304"/>
      <c r="Y2570" s="305">
        <f t="shared" si="1014"/>
        <v>0</v>
      </c>
      <c r="Z2570" s="306">
        <f t="shared" si="1015"/>
        <v>0</v>
      </c>
      <c r="AA2570" s="306">
        <f t="shared" si="1024"/>
        <v>0</v>
      </c>
      <c r="AB2570" s="814">
        <v>7.4999999999999997E-3</v>
      </c>
      <c r="AC2570" s="303">
        <f t="shared" si="1016"/>
        <v>0</v>
      </c>
      <c r="AD2570" s="443"/>
      <c r="AE2570" s="210">
        <f t="shared" si="1017"/>
        <v>0</v>
      </c>
      <c r="AF2570" s="210">
        <f t="shared" si="1018"/>
        <v>0</v>
      </c>
      <c r="AG2570" s="211">
        <f t="shared" si="1025"/>
        <v>0.13</v>
      </c>
      <c r="AH2570" s="157">
        <f t="shared" si="1026"/>
        <v>0</v>
      </c>
      <c r="AI2570" s="152">
        <f t="shared" si="1021"/>
        <v>47448</v>
      </c>
      <c r="AK2570" s="156" t="s">
        <v>691</v>
      </c>
      <c r="AL2570" s="574" t="s">
        <v>690</v>
      </c>
      <c r="AM2570" s="198">
        <f t="shared" si="1013"/>
        <v>0</v>
      </c>
      <c r="AN2570" s="199">
        <f t="shared" si="1020"/>
        <v>45903</v>
      </c>
      <c r="AO2570" s="159" t="s">
        <v>692</v>
      </c>
      <c r="AP2570" s="783" t="s">
        <v>622</v>
      </c>
      <c r="AQ2570" s="782">
        <v>12071839</v>
      </c>
      <c r="AR2570" s="782">
        <v>12094356</v>
      </c>
      <c r="AS2570" s="782">
        <v>12068233</v>
      </c>
      <c r="AT2570" s="781"/>
      <c r="AU2570" s="781"/>
      <c r="AV2570" s="782">
        <v>12062075</v>
      </c>
      <c r="AW2570" s="781"/>
      <c r="AX2570" s="781"/>
      <c r="AY2570" s="782">
        <v>12094357</v>
      </c>
      <c r="AZ2570" s="782"/>
      <c r="BA2570" s="781"/>
      <c r="BB2570" s="209">
        <v>23053184</v>
      </c>
    </row>
    <row r="2571" spans="1:54" ht="24.75" hidden="1" customHeight="1">
      <c r="B2571" s="333">
        <v>45903</v>
      </c>
      <c r="C2571" s="333">
        <v>45911</v>
      </c>
      <c r="D2571" s="185">
        <f t="shared" si="1022"/>
        <v>2025</v>
      </c>
      <c r="E2571" s="335" t="e">
        <f>VLOOKUP($B2571,Week!$A$1:$C$1462,2,0)</f>
        <v>#N/A</v>
      </c>
      <c r="F2571" s="334" t="str">
        <f t="shared" si="1023"/>
        <v>Sep</v>
      </c>
      <c r="G2571" s="335" t="s">
        <v>2389</v>
      </c>
      <c r="H2571" s="335" t="s">
        <v>363</v>
      </c>
      <c r="I2571" s="335" t="s">
        <v>2772</v>
      </c>
      <c r="J2571" s="336" t="s">
        <v>364</v>
      </c>
      <c r="K2571" s="337" t="s">
        <v>176</v>
      </c>
      <c r="L2571" s="337" t="s">
        <v>2167</v>
      </c>
      <c r="M2571" s="382" t="s">
        <v>646</v>
      </c>
      <c r="N2571" s="335" t="s">
        <v>647</v>
      </c>
      <c r="O2571" s="335" t="s">
        <v>599</v>
      </c>
      <c r="P2571" s="338">
        <v>36</v>
      </c>
      <c r="Q2571" s="338">
        <v>5</v>
      </c>
      <c r="R2571" s="339">
        <v>8.0000000000000002E-3</v>
      </c>
      <c r="S2571" s="335" t="s">
        <v>40</v>
      </c>
      <c r="T2571" s="335" t="s">
        <v>112</v>
      </c>
      <c r="U2571" s="335" t="s">
        <v>57</v>
      </c>
      <c r="V2571" s="341">
        <f>1288</f>
        <v>1288</v>
      </c>
      <c r="W2571" s="341">
        <f>64+1198+6</f>
        <v>1268</v>
      </c>
      <c r="X2571" s="342">
        <f>(732)/36</f>
        <v>20.333333333333332</v>
      </c>
      <c r="Y2571" s="343">
        <f t="shared" si="1014"/>
        <v>0.33333333333325754</v>
      </c>
      <c r="Z2571" s="344">
        <f t="shared" si="1015"/>
        <v>0</v>
      </c>
      <c r="AA2571" s="344">
        <f t="shared" si="1024"/>
        <v>0</v>
      </c>
      <c r="AB2571" s="821">
        <v>7.4999999999999997E-3</v>
      </c>
      <c r="AC2571" s="341">
        <f t="shared" si="1016"/>
        <v>0</v>
      </c>
      <c r="AD2571" s="209"/>
      <c r="AE2571" s="210">
        <f t="shared" si="1017"/>
        <v>0</v>
      </c>
      <c r="AF2571" s="210">
        <f t="shared" si="1018"/>
        <v>0</v>
      </c>
      <c r="AG2571" s="211">
        <f t="shared" si="1025"/>
        <v>0.14799999999999999</v>
      </c>
      <c r="AH2571" s="157">
        <f t="shared" si="1026"/>
        <v>0</v>
      </c>
      <c r="AI2571" s="152">
        <f t="shared" si="1021"/>
        <v>46368</v>
      </c>
      <c r="AK2571" s="156" t="s">
        <v>691</v>
      </c>
      <c r="AL2571" s="574" t="s">
        <v>690</v>
      </c>
      <c r="AM2571" s="198">
        <f t="shared" si="1013"/>
        <v>0</v>
      </c>
      <c r="AN2571" s="199">
        <f t="shared" si="1020"/>
        <v>45903</v>
      </c>
      <c r="AO2571" s="159" t="s">
        <v>692</v>
      </c>
      <c r="AP2571" s="781"/>
      <c r="AQ2571" s="782">
        <v>12071839</v>
      </c>
      <c r="AR2571" s="782">
        <v>12047514</v>
      </c>
      <c r="AS2571" s="782">
        <v>12047515</v>
      </c>
      <c r="AT2571" s="782">
        <v>12084374</v>
      </c>
      <c r="AU2571" s="781"/>
      <c r="AV2571" s="782">
        <v>12084372</v>
      </c>
      <c r="AW2571" s="782">
        <v>12024404</v>
      </c>
      <c r="AX2571" s="782"/>
      <c r="AY2571" s="782">
        <v>12094311</v>
      </c>
      <c r="AZ2571" s="782"/>
      <c r="BA2571" s="781"/>
      <c r="BB2571" s="209">
        <v>23053185</v>
      </c>
    </row>
    <row r="2572" spans="1:54" ht="24.65" hidden="1" customHeight="1">
      <c r="A2572" s="142" t="s">
        <v>120</v>
      </c>
      <c r="B2572" s="258">
        <v>45904</v>
      </c>
      <c r="C2572" s="259">
        <v>45909</v>
      </c>
      <c r="D2572" s="185">
        <f t="shared" si="1022"/>
        <v>2025</v>
      </c>
      <c r="E2572" s="260" t="e">
        <f>VLOOKUP($B2572,Week!$A$1:$C$1462,2,0)</f>
        <v>#N/A</v>
      </c>
      <c r="F2572" s="261" t="str">
        <f t="shared" si="1023"/>
        <v>Sep</v>
      </c>
      <c r="G2572" s="262" t="s">
        <v>2466</v>
      </c>
      <c r="H2572" s="260" t="s">
        <v>134</v>
      </c>
      <c r="I2572" s="260" t="s">
        <v>2772</v>
      </c>
      <c r="J2572" s="263" t="s">
        <v>164</v>
      </c>
      <c r="K2572" s="264" t="s">
        <v>153</v>
      </c>
      <c r="L2572" s="390" t="s">
        <v>2166</v>
      </c>
      <c r="M2572" s="263" t="s">
        <v>165</v>
      </c>
      <c r="N2572" s="260" t="s">
        <v>166</v>
      </c>
      <c r="O2572" s="260" t="s">
        <v>502</v>
      </c>
      <c r="P2572" s="265">
        <v>20</v>
      </c>
      <c r="Q2572" s="265">
        <v>12</v>
      </c>
      <c r="R2572" s="266">
        <v>6.8100000000000001E-3</v>
      </c>
      <c r="S2572" s="260" t="s">
        <v>76</v>
      </c>
      <c r="T2572" s="260" t="s">
        <v>56</v>
      </c>
      <c r="U2572" s="260" t="s">
        <v>89</v>
      </c>
      <c r="V2572" s="267">
        <f>400-230</f>
        <v>170</v>
      </c>
      <c r="W2572" s="267">
        <v>170</v>
      </c>
      <c r="X2572" s="268"/>
      <c r="Y2572" s="269">
        <f t="shared" si="1014"/>
        <v>0</v>
      </c>
      <c r="Z2572" s="270">
        <f t="shared" si="1015"/>
        <v>0</v>
      </c>
      <c r="AA2572" s="270">
        <f t="shared" si="1024"/>
        <v>0</v>
      </c>
      <c r="AB2572" s="811">
        <v>2</v>
      </c>
      <c r="AC2572" s="267">
        <f t="shared" si="1016"/>
        <v>0</v>
      </c>
      <c r="AD2572" s="209" t="s">
        <v>168</v>
      </c>
      <c r="AE2572" s="210">
        <f t="shared" si="1017"/>
        <v>0</v>
      </c>
      <c r="AF2572" s="210">
        <f t="shared" si="1018"/>
        <v>0</v>
      </c>
      <c r="AG2572" s="211">
        <f t="shared" si="1025"/>
        <v>0.154</v>
      </c>
      <c r="AH2572" s="157">
        <f t="shared" si="1026"/>
        <v>0</v>
      </c>
      <c r="AI2572" s="152">
        <f t="shared" si="1021"/>
        <v>3400</v>
      </c>
      <c r="AK2572" s="156" t="s">
        <v>691</v>
      </c>
      <c r="AL2572" s="156" t="s">
        <v>689</v>
      </c>
      <c r="AM2572" s="198">
        <f t="shared" si="1013"/>
        <v>0</v>
      </c>
      <c r="AN2572" s="199">
        <f t="shared" si="1020"/>
        <v>45904</v>
      </c>
      <c r="AO2572" s="159" t="s">
        <v>692</v>
      </c>
      <c r="AP2572" s="783" t="s">
        <v>610</v>
      </c>
      <c r="AQ2572" s="783" t="s">
        <v>631</v>
      </c>
      <c r="AR2572" s="783" t="s">
        <v>523</v>
      </c>
      <c r="AS2572" s="781"/>
      <c r="AT2572" s="782">
        <v>12055919</v>
      </c>
      <c r="AU2572" s="781"/>
      <c r="AV2572" s="783" t="s">
        <v>544</v>
      </c>
      <c r="AW2572" s="781"/>
      <c r="AX2572" s="782" t="s">
        <v>398</v>
      </c>
      <c r="AY2572" s="781"/>
      <c r="AZ2572" s="781"/>
      <c r="BA2572" s="781"/>
      <c r="BB2572" s="209">
        <v>23053184</v>
      </c>
    </row>
    <row r="2573" spans="1:54" ht="24.65" hidden="1" customHeight="1">
      <c r="A2573" s="142" t="s">
        <v>120</v>
      </c>
      <c r="B2573" s="258">
        <v>45904</v>
      </c>
      <c r="C2573" s="259">
        <v>45909</v>
      </c>
      <c r="D2573" s="185">
        <f t="shared" si="1022"/>
        <v>2025</v>
      </c>
      <c r="E2573" s="260" t="e">
        <f>VLOOKUP($B2573,Week!$A$1:$C$1462,2,0)</f>
        <v>#N/A</v>
      </c>
      <c r="F2573" s="261" t="str">
        <f t="shared" si="1023"/>
        <v>Sep</v>
      </c>
      <c r="G2573" s="262" t="s">
        <v>2473</v>
      </c>
      <c r="H2573" s="260" t="s">
        <v>134</v>
      </c>
      <c r="I2573" s="260" t="s">
        <v>2772</v>
      </c>
      <c r="J2573" s="263" t="s">
        <v>164</v>
      </c>
      <c r="K2573" s="264" t="s">
        <v>153</v>
      </c>
      <c r="L2573" s="390" t="s">
        <v>2166</v>
      </c>
      <c r="M2573" s="263" t="s">
        <v>165</v>
      </c>
      <c r="N2573" s="260" t="s">
        <v>166</v>
      </c>
      <c r="O2573" s="260" t="s">
        <v>502</v>
      </c>
      <c r="P2573" s="265">
        <v>20</v>
      </c>
      <c r="Q2573" s="265">
        <v>12</v>
      </c>
      <c r="R2573" s="266">
        <v>6.8100000000000001E-3</v>
      </c>
      <c r="S2573" s="260" t="s">
        <v>76</v>
      </c>
      <c r="T2573" s="260" t="s">
        <v>56</v>
      </c>
      <c r="U2573" s="260" t="s">
        <v>89</v>
      </c>
      <c r="V2573" s="267">
        <v>992</v>
      </c>
      <c r="W2573" s="267">
        <f>1162-170</f>
        <v>992</v>
      </c>
      <c r="X2573" s="268"/>
      <c r="Y2573" s="269">
        <f t="shared" si="1014"/>
        <v>0</v>
      </c>
      <c r="Z2573" s="270">
        <f t="shared" si="1015"/>
        <v>0</v>
      </c>
      <c r="AA2573" s="270">
        <f t="shared" si="1024"/>
        <v>0</v>
      </c>
      <c r="AB2573" s="811">
        <v>2</v>
      </c>
      <c r="AC2573" s="267">
        <f t="shared" si="1016"/>
        <v>0</v>
      </c>
      <c r="AD2573" s="209" t="s">
        <v>168</v>
      </c>
      <c r="AE2573" s="210">
        <f t="shared" si="1017"/>
        <v>0</v>
      </c>
      <c r="AF2573" s="210">
        <f t="shared" si="1018"/>
        <v>0</v>
      </c>
      <c r="AG2573" s="211">
        <f t="shared" si="1025"/>
        <v>0.154</v>
      </c>
      <c r="AH2573" s="157">
        <f t="shared" si="1026"/>
        <v>0</v>
      </c>
      <c r="AI2573" s="152">
        <f t="shared" si="1021"/>
        <v>19840</v>
      </c>
      <c r="AK2573" s="156" t="s">
        <v>691</v>
      </c>
      <c r="AL2573" s="156" t="s">
        <v>689</v>
      </c>
      <c r="AM2573" s="198">
        <f t="shared" si="1013"/>
        <v>0</v>
      </c>
      <c r="AN2573" s="199">
        <f t="shared" si="1020"/>
        <v>45904</v>
      </c>
      <c r="AO2573" s="159" t="s">
        <v>692</v>
      </c>
      <c r="AP2573" s="783" t="s">
        <v>610</v>
      </c>
      <c r="AQ2573" s="783" t="s">
        <v>631</v>
      </c>
      <c r="AR2573" s="783" t="s">
        <v>523</v>
      </c>
      <c r="AS2573" s="781"/>
      <c r="AT2573" s="782">
        <v>12055919</v>
      </c>
      <c r="AU2573" s="781"/>
      <c r="AV2573" s="783" t="s">
        <v>544</v>
      </c>
      <c r="AW2573" s="781"/>
      <c r="AX2573" s="782" t="s">
        <v>398</v>
      </c>
      <c r="AY2573" s="781"/>
      <c r="AZ2573" s="781"/>
      <c r="BA2573" s="781"/>
      <c r="BB2573" s="209">
        <v>23053184</v>
      </c>
    </row>
    <row r="2574" spans="1:54" ht="25" hidden="1" customHeight="1">
      <c r="B2574" s="271">
        <v>45904</v>
      </c>
      <c r="C2574" s="441">
        <v>45911</v>
      </c>
      <c r="D2574" s="274">
        <f t="shared" si="1022"/>
        <v>2025</v>
      </c>
      <c r="E2574" s="274" t="e">
        <f>VLOOKUP($B2574,Week!$A$1:$C$1462,2,0)</f>
        <v>#N/A</v>
      </c>
      <c r="F2574" s="273" t="str">
        <f t="shared" si="1023"/>
        <v>Sep</v>
      </c>
      <c r="G2574" s="274" t="s">
        <v>2282</v>
      </c>
      <c r="H2574" s="274" t="s">
        <v>225</v>
      </c>
      <c r="I2574" s="274" t="s">
        <v>2773</v>
      </c>
      <c r="J2574" s="275" t="s">
        <v>650</v>
      </c>
      <c r="K2574" s="276" t="s">
        <v>2256</v>
      </c>
      <c r="L2574" s="276" t="s">
        <v>2167</v>
      </c>
      <c r="M2574" s="275" t="s">
        <v>2258</v>
      </c>
      <c r="N2574" s="274" t="s">
        <v>2259</v>
      </c>
      <c r="O2574" s="274" t="s">
        <v>110</v>
      </c>
      <c r="P2574" s="277">
        <v>36</v>
      </c>
      <c r="Q2574" s="277">
        <v>5</v>
      </c>
      <c r="R2574" s="278">
        <v>7.4999999999999997E-3</v>
      </c>
      <c r="S2574" s="274" t="s">
        <v>111</v>
      </c>
      <c r="T2574" s="274" t="s">
        <v>112</v>
      </c>
      <c r="U2574" s="274" t="s">
        <v>113</v>
      </c>
      <c r="V2574" s="279">
        <f>792-117</f>
        <v>675</v>
      </c>
      <c r="W2574" s="279">
        <f>1+674</f>
        <v>675</v>
      </c>
      <c r="X2574" s="280"/>
      <c r="Y2574" s="281">
        <f t="shared" si="1014"/>
        <v>0</v>
      </c>
      <c r="Z2574" s="282">
        <f t="shared" si="1015"/>
        <v>0</v>
      </c>
      <c r="AA2574" s="282">
        <f t="shared" si="1024"/>
        <v>0</v>
      </c>
      <c r="AB2574" s="812">
        <v>9.7000000000000003E-3</v>
      </c>
      <c r="AC2574" s="279">
        <f t="shared" si="1016"/>
        <v>0</v>
      </c>
      <c r="AD2574" s="209"/>
      <c r="AE2574" s="210">
        <f t="shared" si="1017"/>
        <v>0</v>
      </c>
      <c r="AF2574" s="210">
        <f t="shared" si="1018"/>
        <v>0</v>
      </c>
      <c r="AG2574" s="211">
        <f t="shared" si="1025"/>
        <v>0.308</v>
      </c>
      <c r="AH2574" s="157">
        <f t="shared" si="1026"/>
        <v>0</v>
      </c>
      <c r="AI2574" s="152">
        <f t="shared" si="1021"/>
        <v>24300</v>
      </c>
      <c r="AK2574" s="156" t="s">
        <v>691</v>
      </c>
      <c r="AL2574" s="574" t="s">
        <v>690</v>
      </c>
      <c r="AM2574" s="198">
        <f t="shared" si="1013"/>
        <v>0</v>
      </c>
      <c r="AN2574" s="199">
        <f t="shared" si="1020"/>
        <v>45904</v>
      </c>
      <c r="AO2574" s="159" t="s">
        <v>692</v>
      </c>
      <c r="AP2574" s="781"/>
      <c r="AQ2574" s="782">
        <v>12063755</v>
      </c>
      <c r="AR2574" s="782">
        <v>12061353</v>
      </c>
      <c r="AS2574" s="782">
        <v>12061354</v>
      </c>
      <c r="AT2574" s="782">
        <v>12095367</v>
      </c>
      <c r="AU2574" s="781"/>
      <c r="AV2574" s="782">
        <v>12095366</v>
      </c>
      <c r="AW2574" s="782">
        <v>12088207</v>
      </c>
      <c r="AX2574" s="782"/>
      <c r="AY2574" s="782">
        <v>12095368</v>
      </c>
      <c r="AZ2574" s="782"/>
      <c r="BA2574" s="781"/>
      <c r="BB2574" s="209">
        <v>23054743</v>
      </c>
    </row>
    <row r="2575" spans="1:54" ht="25" hidden="1" customHeight="1">
      <c r="B2575" s="271">
        <v>45904</v>
      </c>
      <c r="C2575" s="441"/>
      <c r="D2575" s="274">
        <f t="shared" si="1022"/>
        <v>2025</v>
      </c>
      <c r="E2575" s="274" t="e">
        <f>VLOOKUP($B2575,Week!$A$1:$C$1462,2,0)</f>
        <v>#N/A</v>
      </c>
      <c r="F2575" s="273" t="str">
        <f t="shared" si="1023"/>
        <v>Sep</v>
      </c>
      <c r="G2575" s="274" t="s">
        <v>2278</v>
      </c>
      <c r="H2575" s="274" t="s">
        <v>225</v>
      </c>
      <c r="I2575" s="274" t="s">
        <v>2773</v>
      </c>
      <c r="J2575" s="275" t="s">
        <v>650</v>
      </c>
      <c r="K2575" s="276" t="s">
        <v>2256</v>
      </c>
      <c r="L2575" s="276" t="s">
        <v>2167</v>
      </c>
      <c r="M2575" s="275" t="s">
        <v>2258</v>
      </c>
      <c r="N2575" s="274" t="s">
        <v>2259</v>
      </c>
      <c r="O2575" s="274" t="s">
        <v>110</v>
      </c>
      <c r="P2575" s="277">
        <v>36</v>
      </c>
      <c r="Q2575" s="277">
        <v>5</v>
      </c>
      <c r="R2575" s="278">
        <v>7.4999999999999997E-3</v>
      </c>
      <c r="S2575" s="274" t="s">
        <v>111</v>
      </c>
      <c r="T2575" s="274" t="s">
        <v>112</v>
      </c>
      <c r="U2575" s="274" t="s">
        <v>113</v>
      </c>
      <c r="V2575" s="279">
        <v>117</v>
      </c>
      <c r="W2575" s="279">
        <f>784-674+7</f>
        <v>117</v>
      </c>
      <c r="X2575" s="280"/>
      <c r="Y2575" s="281">
        <f t="shared" si="1014"/>
        <v>0</v>
      </c>
      <c r="Z2575" s="282">
        <f t="shared" si="1015"/>
        <v>0</v>
      </c>
      <c r="AA2575" s="282">
        <f t="shared" si="1024"/>
        <v>0</v>
      </c>
      <c r="AB2575" s="812">
        <v>9.7000000000000003E-3</v>
      </c>
      <c r="AC2575" s="279">
        <f t="shared" si="1016"/>
        <v>0</v>
      </c>
      <c r="AD2575" s="209"/>
      <c r="AE2575" s="210">
        <f t="shared" si="1017"/>
        <v>0</v>
      </c>
      <c r="AF2575" s="210">
        <f t="shared" si="1018"/>
        <v>0</v>
      </c>
      <c r="AG2575" s="211">
        <f t="shared" si="1025"/>
        <v>0.308</v>
      </c>
      <c r="AH2575" s="157">
        <f t="shared" si="1026"/>
        <v>0</v>
      </c>
      <c r="AI2575" s="152">
        <f t="shared" si="1021"/>
        <v>4212</v>
      </c>
      <c r="AK2575" s="156" t="s">
        <v>691</v>
      </c>
      <c r="AL2575" s="574" t="s">
        <v>690</v>
      </c>
      <c r="AM2575" s="198">
        <f t="shared" si="1013"/>
        <v>0</v>
      </c>
      <c r="AN2575" s="199">
        <f t="shared" si="1020"/>
        <v>45904</v>
      </c>
      <c r="AO2575" s="159" t="s">
        <v>692</v>
      </c>
      <c r="AP2575" s="781"/>
      <c r="AQ2575" s="782">
        <v>12063755</v>
      </c>
      <c r="AR2575" s="782">
        <v>12061353</v>
      </c>
      <c r="AS2575" s="782">
        <v>12061354</v>
      </c>
      <c r="AT2575" s="782">
        <v>12095367</v>
      </c>
      <c r="AU2575" s="781"/>
      <c r="AV2575" s="782">
        <v>12095366</v>
      </c>
      <c r="AW2575" s="782">
        <v>12088207</v>
      </c>
      <c r="AX2575" s="782"/>
      <c r="AY2575" s="782">
        <v>12095368</v>
      </c>
      <c r="AZ2575" s="782"/>
      <c r="BA2575" s="781"/>
      <c r="BB2575" s="209">
        <v>23054743</v>
      </c>
    </row>
    <row r="2576" spans="1:54" ht="24.75" hidden="1" customHeight="1">
      <c r="B2576" s="320">
        <v>45904</v>
      </c>
      <c r="C2576" s="321">
        <v>45932</v>
      </c>
      <c r="D2576" s="185">
        <f t="shared" si="1022"/>
        <v>2025</v>
      </c>
      <c r="E2576" s="321" t="e">
        <f>VLOOKUP($B2576,Week!$A$1:$C$1462,2,0)</f>
        <v>#N/A</v>
      </c>
      <c r="F2576" s="322" t="str">
        <f t="shared" si="1023"/>
        <v>Sep</v>
      </c>
      <c r="G2576" s="323" t="s">
        <v>2502</v>
      </c>
      <c r="H2576" s="323" t="s">
        <v>675</v>
      </c>
      <c r="I2576" s="323" t="s">
        <v>2772</v>
      </c>
      <c r="J2576" s="324" t="s">
        <v>709</v>
      </c>
      <c r="K2576" s="325" t="s">
        <v>107</v>
      </c>
      <c r="L2576" s="300" t="s">
        <v>2167</v>
      </c>
      <c r="M2576" s="324" t="s">
        <v>313</v>
      </c>
      <c r="N2576" s="596" t="s">
        <v>710</v>
      </c>
      <c r="O2576" s="323" t="s">
        <v>592</v>
      </c>
      <c r="P2576" s="326">
        <v>8</v>
      </c>
      <c r="Q2576" s="326">
        <v>4</v>
      </c>
      <c r="R2576" s="327">
        <v>7.4999999999999997E-3</v>
      </c>
      <c r="S2576" s="323" t="s">
        <v>111</v>
      </c>
      <c r="T2576" s="323" t="s">
        <v>112</v>
      </c>
      <c r="U2576" s="323" t="s">
        <v>57</v>
      </c>
      <c r="V2576" s="328">
        <v>646</v>
      </c>
      <c r="W2576" s="328"/>
      <c r="X2576" s="329">
        <f>(114+5369)/8</f>
        <v>685.375</v>
      </c>
      <c r="Y2576" s="330">
        <f t="shared" si="1014"/>
        <v>39.375</v>
      </c>
      <c r="Z2576" s="331">
        <f t="shared" si="1015"/>
        <v>0</v>
      </c>
      <c r="AA2576" s="331">
        <f t="shared" si="1024"/>
        <v>0</v>
      </c>
      <c r="AB2576" s="816">
        <v>7.4999999999999997E-3</v>
      </c>
      <c r="AC2576" s="328">
        <f t="shared" si="1016"/>
        <v>0</v>
      </c>
      <c r="AD2576" s="443"/>
      <c r="AE2576" s="210">
        <f t="shared" si="1017"/>
        <v>0</v>
      </c>
      <c r="AF2576" s="210">
        <f t="shared" si="1018"/>
        <v>0</v>
      </c>
      <c r="AG2576" s="211">
        <f t="shared" si="1025"/>
        <v>0.30499999999999999</v>
      </c>
      <c r="AH2576" s="157">
        <f t="shared" si="1026"/>
        <v>0</v>
      </c>
      <c r="AI2576" s="152">
        <f t="shared" si="1021"/>
        <v>5168</v>
      </c>
      <c r="AK2576" s="156" t="s">
        <v>691</v>
      </c>
      <c r="AL2576" s="212" t="s">
        <v>690</v>
      </c>
      <c r="AM2576" s="198">
        <f t="shared" si="1013"/>
        <v>0</v>
      </c>
      <c r="AN2576" s="199">
        <f t="shared" si="1020"/>
        <v>45904</v>
      </c>
      <c r="AO2576" s="159" t="s">
        <v>692</v>
      </c>
      <c r="AP2576" s="783" t="s">
        <v>643</v>
      </c>
      <c r="AQ2576" s="782">
        <v>12063755</v>
      </c>
      <c r="AR2576" s="782">
        <v>12061353</v>
      </c>
      <c r="AS2576" s="782">
        <v>12061354</v>
      </c>
      <c r="AT2576" s="782">
        <v>12089987</v>
      </c>
      <c r="AU2576" s="781"/>
      <c r="AV2576" s="782">
        <v>12089986</v>
      </c>
      <c r="AW2576" s="782"/>
      <c r="AX2576" s="782"/>
      <c r="AY2576" s="782"/>
      <c r="AZ2576" s="782"/>
      <c r="BA2576" s="781"/>
      <c r="BB2576" s="209">
        <v>23053185</v>
      </c>
    </row>
    <row r="2577" spans="1:54" ht="25" hidden="1" customHeight="1">
      <c r="B2577" s="308">
        <v>45904</v>
      </c>
      <c r="C2577" s="309">
        <v>45958</v>
      </c>
      <c r="D2577" s="185">
        <f t="shared" si="1022"/>
        <v>2025</v>
      </c>
      <c r="E2577" s="309" t="e">
        <f>VLOOKUP($B2577,Week!$A$1:$C$1462,2,0)</f>
        <v>#N/A</v>
      </c>
      <c r="F2577" s="310" t="str">
        <f t="shared" si="1023"/>
        <v>Sep</v>
      </c>
      <c r="G2577" s="311" t="s">
        <v>2351</v>
      </c>
      <c r="H2577" s="311" t="s">
        <v>431</v>
      </c>
      <c r="I2577" s="311" t="s">
        <v>2772</v>
      </c>
      <c r="J2577" s="312" t="s">
        <v>432</v>
      </c>
      <c r="K2577" s="313" t="s">
        <v>107</v>
      </c>
      <c r="L2577" s="300" t="s">
        <v>2167</v>
      </c>
      <c r="M2577" s="312" t="s">
        <v>136</v>
      </c>
      <c r="N2577" s="311" t="s">
        <v>542</v>
      </c>
      <c r="O2577" s="311" t="s">
        <v>543</v>
      </c>
      <c r="P2577" s="314">
        <v>8</v>
      </c>
      <c r="Q2577" s="314">
        <v>3</v>
      </c>
      <c r="R2577" s="315">
        <v>7.4999999999999997E-3</v>
      </c>
      <c r="S2577" s="311" t="s">
        <v>111</v>
      </c>
      <c r="T2577" s="311" t="s">
        <v>112</v>
      </c>
      <c r="U2577" s="311" t="s">
        <v>57</v>
      </c>
      <c r="V2577" s="316">
        <f>600</f>
        <v>600</v>
      </c>
      <c r="W2577" s="316"/>
      <c r="X2577" s="317">
        <f>(1110+3025+815)/8</f>
        <v>618.75</v>
      </c>
      <c r="Y2577" s="318">
        <f t="shared" si="1014"/>
        <v>18.75</v>
      </c>
      <c r="Z2577" s="319">
        <f t="shared" si="1015"/>
        <v>0</v>
      </c>
      <c r="AA2577" s="319">
        <f t="shared" si="1024"/>
        <v>0</v>
      </c>
      <c r="AB2577" s="815">
        <v>7.4999999999999997E-3</v>
      </c>
      <c r="AC2577" s="316">
        <f t="shared" si="1016"/>
        <v>0</v>
      </c>
      <c r="AD2577" s="209"/>
      <c r="AE2577" s="210">
        <f t="shared" si="1017"/>
        <v>0</v>
      </c>
      <c r="AF2577" s="210">
        <f t="shared" si="1018"/>
        <v>0</v>
      </c>
      <c r="AG2577" s="211">
        <f t="shared" si="1025"/>
        <v>0.309</v>
      </c>
      <c r="AH2577" s="157">
        <f t="shared" si="1026"/>
        <v>0</v>
      </c>
      <c r="AI2577" s="152">
        <f t="shared" si="1021"/>
        <v>4800</v>
      </c>
      <c r="AK2577" s="156" t="s">
        <v>691</v>
      </c>
      <c r="AL2577" s="212" t="s">
        <v>690</v>
      </c>
      <c r="AM2577" s="198">
        <f t="shared" si="1013"/>
        <v>0</v>
      </c>
      <c r="AN2577" s="199">
        <f t="shared" si="1020"/>
        <v>45904</v>
      </c>
      <c r="AO2577" s="159" t="s">
        <v>692</v>
      </c>
      <c r="AP2577" s="781"/>
      <c r="AQ2577" s="782">
        <v>12063755</v>
      </c>
      <c r="AR2577" s="782">
        <v>12061353</v>
      </c>
      <c r="AS2577" s="782">
        <v>12061354</v>
      </c>
      <c r="AT2577" s="782">
        <v>12083615</v>
      </c>
      <c r="AU2577" s="781"/>
      <c r="AV2577" s="782">
        <v>12062186</v>
      </c>
      <c r="AW2577" s="782"/>
      <c r="AX2577" s="782"/>
      <c r="AY2577" s="782"/>
      <c r="AZ2577" s="782"/>
      <c r="BA2577" s="781"/>
    </row>
    <row r="2578" spans="1:54" ht="25" hidden="1" customHeight="1">
      <c r="B2578" s="399">
        <v>45904</v>
      </c>
      <c r="C2578" s="399">
        <v>45919</v>
      </c>
      <c r="D2578" s="185">
        <f t="shared" si="1022"/>
        <v>2025</v>
      </c>
      <c r="E2578" s="399" t="e">
        <f>VLOOKUP($B2578,Week!$A$1:$C$1462,2,0)</f>
        <v>#N/A</v>
      </c>
      <c r="F2578" s="400" t="str">
        <f t="shared" si="1023"/>
        <v>Sep</v>
      </c>
      <c r="G2578" s="401" t="s">
        <v>2482</v>
      </c>
      <c r="H2578" s="401" t="s">
        <v>675</v>
      </c>
      <c r="I2578" s="401" t="s">
        <v>2772</v>
      </c>
      <c r="J2578" s="402" t="s">
        <v>709</v>
      </c>
      <c r="K2578" s="403" t="s">
        <v>1646</v>
      </c>
      <c r="L2578" s="300" t="s">
        <v>2167</v>
      </c>
      <c r="M2578" s="402" t="s">
        <v>654</v>
      </c>
      <c r="N2578" s="401" t="s">
        <v>750</v>
      </c>
      <c r="O2578" s="401" t="s">
        <v>655</v>
      </c>
      <c r="P2578" s="405">
        <v>24</v>
      </c>
      <c r="Q2578" s="405">
        <v>5</v>
      </c>
      <c r="R2578" s="406">
        <v>7.4999999999999997E-3</v>
      </c>
      <c r="S2578" s="401" t="s">
        <v>40</v>
      </c>
      <c r="T2578" s="401" t="s">
        <v>112</v>
      </c>
      <c r="U2578" s="622" t="s">
        <v>1894</v>
      </c>
      <c r="V2578" s="407">
        <v>390</v>
      </c>
      <c r="W2578" s="407">
        <f>321</f>
        <v>321</v>
      </c>
      <c r="X2578" s="408">
        <f>(1464+192)/24</f>
        <v>69</v>
      </c>
      <c r="Y2578" s="409">
        <f t="shared" si="1014"/>
        <v>0</v>
      </c>
      <c r="Z2578" s="410">
        <f t="shared" si="1015"/>
        <v>0</v>
      </c>
      <c r="AA2578" s="410">
        <f t="shared" si="1024"/>
        <v>0</v>
      </c>
      <c r="AB2578" s="824">
        <v>3.8699999999999998E-2</v>
      </c>
      <c r="AC2578" s="407">
        <f t="shared" si="1016"/>
        <v>0</v>
      </c>
      <c r="AD2578" s="209" t="s">
        <v>2549</v>
      </c>
      <c r="AE2578" s="210"/>
      <c r="AF2578" s="210"/>
      <c r="AG2578" s="211">
        <f t="shared" si="1025"/>
        <v>0.307</v>
      </c>
      <c r="AH2578" s="157">
        <f t="shared" si="1026"/>
        <v>0</v>
      </c>
      <c r="AI2578" s="152">
        <f t="shared" si="1021"/>
        <v>9360</v>
      </c>
      <c r="AK2578" s="156" t="s">
        <v>691</v>
      </c>
      <c r="AL2578" s="212" t="s">
        <v>690</v>
      </c>
      <c r="AM2578" s="198">
        <f t="shared" si="1013"/>
        <v>0</v>
      </c>
      <c r="AN2578" s="199">
        <f t="shared" si="1020"/>
        <v>45904</v>
      </c>
      <c r="AO2578" s="159" t="s">
        <v>692</v>
      </c>
      <c r="AP2578" s="781" t="s">
        <v>642</v>
      </c>
      <c r="AQ2578" s="782">
        <v>12063755</v>
      </c>
      <c r="AR2578" s="782">
        <v>12061353</v>
      </c>
      <c r="AS2578" s="782">
        <v>12061354</v>
      </c>
      <c r="AT2578" s="782">
        <v>12090189</v>
      </c>
      <c r="AU2578" s="781"/>
      <c r="AV2578" s="782">
        <v>12090188</v>
      </c>
      <c r="AW2578" s="782">
        <v>12068154</v>
      </c>
      <c r="AX2578" s="782"/>
      <c r="AY2578" s="782">
        <v>12090190</v>
      </c>
      <c r="AZ2578" s="782"/>
      <c r="BA2578" s="781"/>
    </row>
    <row r="2579" spans="1:54" ht="25" hidden="1" customHeight="1">
      <c r="B2579" s="332">
        <v>45904</v>
      </c>
      <c r="C2579" s="333">
        <v>45932</v>
      </c>
      <c r="D2579" s="185">
        <f t="shared" si="1022"/>
        <v>2025</v>
      </c>
      <c r="E2579" s="333" t="e">
        <f>VLOOKUP($B2579,Week!$A$1:$C$1462,2,0)</f>
        <v>#N/A</v>
      </c>
      <c r="F2579" s="334" t="str">
        <f t="shared" si="1023"/>
        <v>Sep</v>
      </c>
      <c r="G2579" s="335" t="s">
        <v>2502</v>
      </c>
      <c r="H2579" s="335" t="s">
        <v>675</v>
      </c>
      <c r="I2579" s="335" t="s">
        <v>2772</v>
      </c>
      <c r="J2579" s="336" t="s">
        <v>709</v>
      </c>
      <c r="K2579" s="337" t="s">
        <v>1649</v>
      </c>
      <c r="L2579" s="300" t="s">
        <v>2167</v>
      </c>
      <c r="M2579" s="336" t="s">
        <v>603</v>
      </c>
      <c r="N2579" s="530" t="s">
        <v>711</v>
      </c>
      <c r="O2579" s="335" t="s">
        <v>602</v>
      </c>
      <c r="P2579" s="338">
        <v>8</v>
      </c>
      <c r="Q2579" s="338">
        <v>3</v>
      </c>
      <c r="R2579" s="339">
        <v>6.0000000000000001E-3</v>
      </c>
      <c r="S2579" s="335" t="s">
        <v>55</v>
      </c>
      <c r="T2579" s="335" t="s">
        <v>112</v>
      </c>
      <c r="U2579" s="340" t="s">
        <v>1894</v>
      </c>
      <c r="V2579" s="341">
        <v>324</v>
      </c>
      <c r="W2579" s="341"/>
      <c r="X2579" s="342">
        <f>(2488+104)/8</f>
        <v>324</v>
      </c>
      <c r="Y2579" s="343">
        <f t="shared" si="1014"/>
        <v>0</v>
      </c>
      <c r="Z2579" s="344">
        <f t="shared" si="1015"/>
        <v>0</v>
      </c>
      <c r="AA2579" s="344">
        <f t="shared" si="1024"/>
        <v>0</v>
      </c>
      <c r="AB2579" s="817">
        <v>3.8699999999999998E-2</v>
      </c>
      <c r="AC2579" s="341">
        <f t="shared" si="1016"/>
        <v>0</v>
      </c>
      <c r="AD2579" s="443" t="s">
        <v>2544</v>
      </c>
      <c r="AE2579" s="210">
        <f>SUM(Q2579*R2579*Z2579)/1000</f>
        <v>0</v>
      </c>
      <c r="AF2579" s="210">
        <f>AE2579/0.54</f>
        <v>0</v>
      </c>
      <c r="AG2579" s="211">
        <f t="shared" si="1025"/>
        <v>0.30199999999999999</v>
      </c>
      <c r="AH2579" s="157">
        <v>0.26621999999999996</v>
      </c>
      <c r="AI2579" s="152">
        <f t="shared" si="1021"/>
        <v>2592</v>
      </c>
      <c r="AK2579" s="156" t="s">
        <v>691</v>
      </c>
      <c r="AL2579" s="212" t="s">
        <v>690</v>
      </c>
      <c r="AM2579" s="198">
        <f t="shared" si="1013"/>
        <v>0</v>
      </c>
      <c r="AN2579" s="199">
        <f t="shared" si="1020"/>
        <v>45904</v>
      </c>
      <c r="AO2579" s="159" t="s">
        <v>692</v>
      </c>
      <c r="AP2579" s="781" t="s">
        <v>642</v>
      </c>
      <c r="AQ2579" s="782">
        <v>12063755</v>
      </c>
      <c r="AR2579" s="782">
        <v>12061353</v>
      </c>
      <c r="AS2579" s="782">
        <v>12061354</v>
      </c>
      <c r="AT2579" s="782">
        <v>12089985</v>
      </c>
      <c r="AU2579" s="781"/>
      <c r="AV2579" s="782">
        <v>12089988</v>
      </c>
      <c r="AW2579" s="781"/>
      <c r="AX2579" s="781"/>
      <c r="AY2579" s="781"/>
      <c r="AZ2579" s="782"/>
      <c r="BA2579" s="781"/>
      <c r="BB2579" s="209">
        <v>23105470</v>
      </c>
    </row>
    <row r="2580" spans="1:54" ht="25" hidden="1" customHeight="1">
      <c r="B2580" s="258">
        <v>45904</v>
      </c>
      <c r="C2580" s="259">
        <v>45930</v>
      </c>
      <c r="D2580" s="260">
        <f t="shared" si="1022"/>
        <v>2025</v>
      </c>
      <c r="E2580" s="259" t="e">
        <f>VLOOKUP($B2580,Week!$A$1:$C$1462,2,0)</f>
        <v>#N/A</v>
      </c>
      <c r="F2580" s="261" t="str">
        <f t="shared" si="1023"/>
        <v>Sep</v>
      </c>
      <c r="G2580" s="260" t="s">
        <v>2413</v>
      </c>
      <c r="H2580" s="260" t="s">
        <v>424</v>
      </c>
      <c r="I2580" s="260" t="s">
        <v>2772</v>
      </c>
      <c r="J2580" s="263" t="s">
        <v>653</v>
      </c>
      <c r="K2580" s="264" t="s">
        <v>1649</v>
      </c>
      <c r="L2580" s="264" t="s">
        <v>2167</v>
      </c>
      <c r="M2580" s="263" t="s">
        <v>2355</v>
      </c>
      <c r="N2580" s="260" t="s">
        <v>2398</v>
      </c>
      <c r="O2580" s="260" t="s">
        <v>415</v>
      </c>
      <c r="P2580" s="265">
        <v>24</v>
      </c>
      <c r="Q2580" s="265">
        <v>5</v>
      </c>
      <c r="R2580" s="266">
        <v>6.0000000000000001E-3</v>
      </c>
      <c r="S2580" s="260" t="s">
        <v>55</v>
      </c>
      <c r="T2580" s="260" t="s">
        <v>112</v>
      </c>
      <c r="U2580" s="621" t="s">
        <v>1894</v>
      </c>
      <c r="V2580" s="267">
        <f>588</f>
        <v>588</v>
      </c>
      <c r="W2580" s="267">
        <f>6+575+1</f>
        <v>582</v>
      </c>
      <c r="X2580" s="268">
        <f>(229-24)/24</f>
        <v>8.5416666666666661</v>
      </c>
      <c r="Y2580" s="269">
        <f t="shared" si="1014"/>
        <v>2.5416666666666288</v>
      </c>
      <c r="Z2580" s="270">
        <f t="shared" si="1015"/>
        <v>0</v>
      </c>
      <c r="AA2580" s="270">
        <f t="shared" si="1024"/>
        <v>0</v>
      </c>
      <c r="AB2580" s="811">
        <v>3.8699999999999998E-2</v>
      </c>
      <c r="AC2580" s="267">
        <f t="shared" si="1016"/>
        <v>0</v>
      </c>
      <c r="AD2580" s="307" t="s">
        <v>2956</v>
      </c>
      <c r="AE2580" s="210">
        <f>SUM(Q2580*R2580*Z2580)/1000</f>
        <v>0</v>
      </c>
      <c r="AF2580" s="210">
        <f>AE2580/0.54</f>
        <v>0</v>
      </c>
      <c r="AG2580" s="211">
        <f t="shared" si="1025"/>
        <v>0.25800000000000001</v>
      </c>
      <c r="AH2580" s="157">
        <f>(Z2580*AG2580)/1000</f>
        <v>0</v>
      </c>
      <c r="AI2580" s="152">
        <f t="shared" si="1021"/>
        <v>14112</v>
      </c>
      <c r="AK2580" s="156" t="s">
        <v>691</v>
      </c>
      <c r="AL2580" s="212" t="s">
        <v>690</v>
      </c>
      <c r="AM2580" s="198">
        <f t="shared" si="1013"/>
        <v>0</v>
      </c>
      <c r="AN2580" s="199">
        <f t="shared" si="1020"/>
        <v>45904</v>
      </c>
      <c r="AO2580" s="159" t="s">
        <v>692</v>
      </c>
      <c r="AP2580" s="781" t="s">
        <v>642</v>
      </c>
      <c r="AQ2580" s="782">
        <v>12071839</v>
      </c>
      <c r="AR2580" s="782">
        <v>12095778</v>
      </c>
      <c r="AS2580" s="782">
        <v>12095777</v>
      </c>
      <c r="AT2580" s="782">
        <v>12096090</v>
      </c>
      <c r="AU2580" s="781"/>
      <c r="AV2580" s="782">
        <v>12096087</v>
      </c>
      <c r="AW2580" s="782"/>
      <c r="AX2580" s="782"/>
      <c r="AY2580" s="782">
        <v>12096088</v>
      </c>
      <c r="AZ2580" s="782"/>
      <c r="BA2580" s="781"/>
      <c r="BB2580" s="209">
        <v>23105470</v>
      </c>
    </row>
    <row r="2581" spans="1:54" ht="24.65" hidden="1" customHeight="1">
      <c r="A2581" s="142" t="s">
        <v>120</v>
      </c>
      <c r="B2581" s="258">
        <v>45905</v>
      </c>
      <c r="C2581" s="259">
        <v>45909</v>
      </c>
      <c r="D2581" s="185">
        <f t="shared" si="1022"/>
        <v>2025</v>
      </c>
      <c r="E2581" s="260" t="e">
        <f>VLOOKUP($B2581,Week!$A$1:$C$1462,2,0)</f>
        <v>#N/A</v>
      </c>
      <c r="F2581" s="261" t="str">
        <f t="shared" si="1023"/>
        <v>Sep</v>
      </c>
      <c r="G2581" s="262" t="s">
        <v>2473</v>
      </c>
      <c r="H2581" s="260" t="s">
        <v>134</v>
      </c>
      <c r="I2581" s="260" t="s">
        <v>2772</v>
      </c>
      <c r="J2581" s="263" t="s">
        <v>164</v>
      </c>
      <c r="K2581" s="264" t="s">
        <v>153</v>
      </c>
      <c r="L2581" s="390" t="s">
        <v>2166</v>
      </c>
      <c r="M2581" s="263" t="s">
        <v>165</v>
      </c>
      <c r="N2581" s="260" t="s">
        <v>166</v>
      </c>
      <c r="O2581" s="260" t="s">
        <v>502</v>
      </c>
      <c r="P2581" s="265">
        <v>20</v>
      </c>
      <c r="Q2581" s="265">
        <v>12</v>
      </c>
      <c r="R2581" s="266">
        <v>6.8100000000000001E-3</v>
      </c>
      <c r="S2581" s="260" t="s">
        <v>76</v>
      </c>
      <c r="T2581" s="260" t="s">
        <v>56</v>
      </c>
      <c r="U2581" s="260" t="s">
        <v>89</v>
      </c>
      <c r="V2581" s="267">
        <f>1300-992</f>
        <v>308</v>
      </c>
      <c r="W2581" s="267">
        <v>308</v>
      </c>
      <c r="X2581" s="268"/>
      <c r="Y2581" s="269">
        <f t="shared" si="1014"/>
        <v>0</v>
      </c>
      <c r="Z2581" s="270">
        <f t="shared" si="1015"/>
        <v>0</v>
      </c>
      <c r="AA2581" s="270">
        <f t="shared" si="1024"/>
        <v>0</v>
      </c>
      <c r="AB2581" s="811">
        <v>2</v>
      </c>
      <c r="AC2581" s="267">
        <f t="shared" si="1016"/>
        <v>0</v>
      </c>
      <c r="AD2581" s="209" t="s">
        <v>168</v>
      </c>
      <c r="AE2581" s="210">
        <f>SUM(Q2581*R2581*Z2581)/1000</f>
        <v>0</v>
      </c>
      <c r="AF2581" s="210">
        <f>AE2581/0.54</f>
        <v>0</v>
      </c>
      <c r="AG2581" s="211">
        <f t="shared" si="1025"/>
        <v>0.154</v>
      </c>
      <c r="AH2581" s="157">
        <f>(Z2581*AG2581)/1000</f>
        <v>0</v>
      </c>
      <c r="AI2581" s="152">
        <f t="shared" si="1021"/>
        <v>6160</v>
      </c>
      <c r="AK2581" s="156" t="s">
        <v>691</v>
      </c>
      <c r="AL2581" s="156" t="s">
        <v>689</v>
      </c>
      <c r="AM2581" s="198">
        <f t="shared" si="1013"/>
        <v>0</v>
      </c>
      <c r="AN2581" s="199">
        <f t="shared" si="1020"/>
        <v>45905</v>
      </c>
      <c r="AO2581" s="159" t="s">
        <v>692</v>
      </c>
      <c r="AP2581" s="783" t="s">
        <v>610</v>
      </c>
      <c r="AQ2581" s="783" t="s">
        <v>631</v>
      </c>
      <c r="AR2581" s="783" t="s">
        <v>523</v>
      </c>
      <c r="AS2581" s="781"/>
      <c r="AT2581" s="782">
        <v>12055919</v>
      </c>
      <c r="AU2581" s="781"/>
      <c r="AV2581" s="783" t="s">
        <v>544</v>
      </c>
      <c r="AW2581" s="781"/>
      <c r="AX2581" s="782" t="s">
        <v>398</v>
      </c>
      <c r="AY2581" s="781"/>
      <c r="AZ2581" s="781"/>
      <c r="BA2581" s="781"/>
      <c r="BB2581" s="209">
        <v>23053184</v>
      </c>
    </row>
    <row r="2582" spans="1:54" ht="25" hidden="1" customHeight="1">
      <c r="A2582" s="142" t="s">
        <v>120</v>
      </c>
      <c r="B2582" s="448">
        <v>45905</v>
      </c>
      <c r="C2582" s="449">
        <v>45909</v>
      </c>
      <c r="D2582" s="185">
        <f t="shared" si="1022"/>
        <v>2025</v>
      </c>
      <c r="E2582" s="450" t="e">
        <f>VLOOKUP($B2582,Week!$A$1:$C$1462,2,0)</f>
        <v>#N/A</v>
      </c>
      <c r="F2582" s="451" t="str">
        <f t="shared" si="1023"/>
        <v>Sep</v>
      </c>
      <c r="G2582" s="450" t="s">
        <v>2466</v>
      </c>
      <c r="H2582" s="450" t="s">
        <v>134</v>
      </c>
      <c r="I2582" s="450" t="s">
        <v>2772</v>
      </c>
      <c r="J2582" s="452" t="s">
        <v>164</v>
      </c>
      <c r="K2582" s="453" t="s">
        <v>153</v>
      </c>
      <c r="L2582" s="390" t="s">
        <v>2166</v>
      </c>
      <c r="M2582" s="452" t="s">
        <v>1642</v>
      </c>
      <c r="N2582" s="450" t="s">
        <v>429</v>
      </c>
      <c r="O2582" s="450" t="s">
        <v>505</v>
      </c>
      <c r="P2582" s="454">
        <v>20</v>
      </c>
      <c r="Q2582" s="454">
        <v>12</v>
      </c>
      <c r="R2582" s="455">
        <v>6.8100000000000001E-3</v>
      </c>
      <c r="S2582" s="450" t="s">
        <v>76</v>
      </c>
      <c r="T2582" s="450" t="s">
        <v>56</v>
      </c>
      <c r="U2582" s="773" t="s">
        <v>430</v>
      </c>
      <c r="V2582" s="456">
        <f>800</f>
        <v>800</v>
      </c>
      <c r="W2582" s="456">
        <f>9+784</f>
        <v>793</v>
      </c>
      <c r="X2582" s="457">
        <f>(140)/20</f>
        <v>7</v>
      </c>
      <c r="Y2582" s="458">
        <f t="shared" si="1014"/>
        <v>0</v>
      </c>
      <c r="Z2582" s="459">
        <f t="shared" si="1015"/>
        <v>0</v>
      </c>
      <c r="AA2582" s="459">
        <f t="shared" si="1024"/>
        <v>0</v>
      </c>
      <c r="AB2582" s="827">
        <v>2</v>
      </c>
      <c r="AC2582" s="456">
        <f t="shared" si="1016"/>
        <v>0</v>
      </c>
      <c r="AD2582" s="209" t="s">
        <v>218</v>
      </c>
      <c r="AE2582" s="210"/>
      <c r="AF2582" s="210"/>
      <c r="AG2582" s="211">
        <f t="shared" si="1025"/>
        <v>0.20399999999999999</v>
      </c>
      <c r="AH2582" s="157">
        <f t="shared" ref="AH2582:AH2587" si="1027">(Z2582*AG2582)/1000</f>
        <v>0</v>
      </c>
      <c r="AI2582" s="152">
        <f t="shared" si="1021"/>
        <v>16000</v>
      </c>
      <c r="AK2582" s="156" t="s">
        <v>691</v>
      </c>
      <c r="AL2582" s="156" t="s">
        <v>689</v>
      </c>
      <c r="AM2582" s="198">
        <f t="shared" ref="AM2582:AM2587" si="1028">AG2582*Z2582</f>
        <v>0</v>
      </c>
      <c r="AN2582" s="199">
        <f t="shared" si="1020"/>
        <v>45905</v>
      </c>
      <c r="AO2582" s="159" t="s">
        <v>692</v>
      </c>
      <c r="AP2582" s="781"/>
      <c r="AQ2582" s="782">
        <v>12071839</v>
      </c>
      <c r="AR2582" s="782">
        <v>12019692</v>
      </c>
      <c r="AS2582" s="782"/>
      <c r="AT2582" s="867">
        <v>12095767</v>
      </c>
      <c r="AU2582" s="868"/>
      <c r="AV2582" s="867">
        <v>12095768</v>
      </c>
      <c r="AW2582" s="782"/>
      <c r="AX2582" s="782" t="s">
        <v>398</v>
      </c>
      <c r="AY2582" s="782"/>
      <c r="AZ2582" s="782"/>
      <c r="BA2582" s="781"/>
      <c r="BB2582" s="209">
        <v>23057444</v>
      </c>
    </row>
    <row r="2583" spans="1:54" ht="24.65" hidden="1" customHeight="1">
      <c r="B2583" s="308">
        <v>45905</v>
      </c>
      <c r="C2583" s="309">
        <v>45918</v>
      </c>
      <c r="D2583" s="185">
        <f t="shared" si="1022"/>
        <v>2025</v>
      </c>
      <c r="E2583" s="309" t="e">
        <f>VLOOKUP($B2583,Week!$A$1:$C$1462,2,0)</f>
        <v>#N/A</v>
      </c>
      <c r="F2583" s="310" t="str">
        <f t="shared" si="1023"/>
        <v>Sep</v>
      </c>
      <c r="G2583" s="311" t="s">
        <v>2428</v>
      </c>
      <c r="H2583" s="311" t="s">
        <v>311</v>
      </c>
      <c r="I2583" s="311" t="s">
        <v>2772</v>
      </c>
      <c r="J2583" s="312" t="s">
        <v>738</v>
      </c>
      <c r="K2583" s="313" t="s">
        <v>107</v>
      </c>
      <c r="L2583" s="300" t="s">
        <v>2167</v>
      </c>
      <c r="M2583" s="312" t="s">
        <v>313</v>
      </c>
      <c r="N2583" s="311" t="s">
        <v>314</v>
      </c>
      <c r="O2583" s="311" t="s">
        <v>110</v>
      </c>
      <c r="P2583" s="314">
        <v>36</v>
      </c>
      <c r="Q2583" s="314">
        <v>5</v>
      </c>
      <c r="R2583" s="315">
        <v>7.4999999999999997E-3</v>
      </c>
      <c r="S2583" s="311" t="s">
        <v>111</v>
      </c>
      <c r="T2583" s="311" t="s">
        <v>112</v>
      </c>
      <c r="U2583" s="311" t="s">
        <v>57</v>
      </c>
      <c r="V2583" s="316">
        <v>792</v>
      </c>
      <c r="W2583" s="316">
        <f>76+716</f>
        <v>792</v>
      </c>
      <c r="X2583" s="317"/>
      <c r="Y2583" s="318">
        <f t="shared" si="1014"/>
        <v>0</v>
      </c>
      <c r="Z2583" s="319">
        <f t="shared" si="1015"/>
        <v>0</v>
      </c>
      <c r="AA2583" s="319">
        <f t="shared" si="1024"/>
        <v>0</v>
      </c>
      <c r="AB2583" s="815">
        <v>7.4999999999999997E-3</v>
      </c>
      <c r="AC2583" s="316">
        <f t="shared" si="1016"/>
        <v>0</v>
      </c>
      <c r="AD2583" s="515"/>
      <c r="AE2583" s="210">
        <f t="shared" ref="AE2583:AE2590" si="1029">SUM(Q2583*R2583*Z2583)/1000</f>
        <v>0</v>
      </c>
      <c r="AF2583" s="210">
        <f t="shared" ref="AF2583:AF2590" si="1030">AE2583/0.54</f>
        <v>0</v>
      </c>
      <c r="AG2583" s="211">
        <f t="shared" si="1025"/>
        <v>0.308</v>
      </c>
      <c r="AH2583" s="157">
        <f t="shared" si="1027"/>
        <v>0</v>
      </c>
      <c r="AI2583" s="152">
        <f t="shared" si="1021"/>
        <v>28512</v>
      </c>
      <c r="AK2583" s="156" t="s">
        <v>691</v>
      </c>
      <c r="AL2583" s="212" t="s">
        <v>690</v>
      </c>
      <c r="AM2583" s="198">
        <f t="shared" si="1028"/>
        <v>0</v>
      </c>
      <c r="AN2583" s="199">
        <f t="shared" si="1020"/>
        <v>45905</v>
      </c>
      <c r="AO2583" s="159" t="s">
        <v>692</v>
      </c>
      <c r="AP2583" s="783" t="s">
        <v>644</v>
      </c>
      <c r="AQ2583" s="782">
        <v>12063755</v>
      </c>
      <c r="AR2583" s="782">
        <v>12061353</v>
      </c>
      <c r="AS2583" s="782">
        <v>12061354</v>
      </c>
      <c r="AT2583" s="782">
        <v>12062266</v>
      </c>
      <c r="AU2583" s="781"/>
      <c r="AV2583" s="782">
        <v>12088159</v>
      </c>
      <c r="AW2583" s="782">
        <v>12088207</v>
      </c>
      <c r="AX2583" s="782"/>
      <c r="AY2583" s="782">
        <v>12094237</v>
      </c>
      <c r="AZ2583" s="782"/>
      <c r="BA2583" s="781"/>
      <c r="BB2583" s="209">
        <v>23053185</v>
      </c>
    </row>
    <row r="2584" spans="1:54" ht="24.65" hidden="1" customHeight="1">
      <c r="B2584" s="308">
        <v>45905</v>
      </c>
      <c r="C2584" s="309">
        <v>45918</v>
      </c>
      <c r="D2584" s="185">
        <f t="shared" si="1022"/>
        <v>2025</v>
      </c>
      <c r="E2584" s="309" t="e">
        <f>VLOOKUP($B2584,Week!$A$1:$C$1462,2,0)</f>
        <v>#N/A</v>
      </c>
      <c r="F2584" s="310" t="str">
        <f t="shared" si="1023"/>
        <v>Sep</v>
      </c>
      <c r="G2584" s="311" t="s">
        <v>2429</v>
      </c>
      <c r="H2584" s="311" t="s">
        <v>311</v>
      </c>
      <c r="I2584" s="311" t="s">
        <v>2772</v>
      </c>
      <c r="J2584" s="312" t="s">
        <v>738</v>
      </c>
      <c r="K2584" s="313" t="s">
        <v>107</v>
      </c>
      <c r="L2584" s="300" t="s">
        <v>2167</v>
      </c>
      <c r="M2584" s="312" t="s">
        <v>313</v>
      </c>
      <c r="N2584" s="311" t="s">
        <v>314</v>
      </c>
      <c r="O2584" s="311" t="s">
        <v>110</v>
      </c>
      <c r="P2584" s="314">
        <v>36</v>
      </c>
      <c r="Q2584" s="314">
        <v>5</v>
      </c>
      <c r="R2584" s="315">
        <v>7.4999999999999997E-3</v>
      </c>
      <c r="S2584" s="311" t="s">
        <v>111</v>
      </c>
      <c r="T2584" s="311" t="s">
        <v>112</v>
      </c>
      <c r="U2584" s="311" t="s">
        <v>57</v>
      </c>
      <c r="V2584" s="316">
        <v>792</v>
      </c>
      <c r="W2584" s="316">
        <v>792</v>
      </c>
      <c r="X2584" s="317"/>
      <c r="Y2584" s="318">
        <f t="shared" si="1014"/>
        <v>0</v>
      </c>
      <c r="Z2584" s="319">
        <f t="shared" si="1015"/>
        <v>0</v>
      </c>
      <c r="AA2584" s="319">
        <f t="shared" si="1024"/>
        <v>0</v>
      </c>
      <c r="AB2584" s="815">
        <v>7.4999999999999997E-3</v>
      </c>
      <c r="AC2584" s="316">
        <f t="shared" si="1016"/>
        <v>0</v>
      </c>
      <c r="AD2584" s="515"/>
      <c r="AE2584" s="210">
        <f t="shared" si="1029"/>
        <v>0</v>
      </c>
      <c r="AF2584" s="210">
        <f t="shared" si="1030"/>
        <v>0</v>
      </c>
      <c r="AG2584" s="211">
        <f t="shared" si="1025"/>
        <v>0.308</v>
      </c>
      <c r="AH2584" s="157">
        <f t="shared" si="1027"/>
        <v>0</v>
      </c>
      <c r="AI2584" s="152">
        <f t="shared" si="1021"/>
        <v>28512</v>
      </c>
      <c r="AK2584" s="156" t="s">
        <v>691</v>
      </c>
      <c r="AL2584" s="212" t="s">
        <v>690</v>
      </c>
      <c r="AM2584" s="198">
        <f t="shared" si="1028"/>
        <v>0</v>
      </c>
      <c r="AN2584" s="199">
        <f t="shared" si="1020"/>
        <v>45905</v>
      </c>
      <c r="AO2584" s="159" t="s">
        <v>692</v>
      </c>
      <c r="AP2584" s="783" t="s">
        <v>644</v>
      </c>
      <c r="AQ2584" s="782">
        <v>12063755</v>
      </c>
      <c r="AR2584" s="782">
        <v>12061353</v>
      </c>
      <c r="AS2584" s="782">
        <v>12061354</v>
      </c>
      <c r="AT2584" s="782">
        <v>12062266</v>
      </c>
      <c r="AU2584" s="781"/>
      <c r="AV2584" s="782">
        <v>12088159</v>
      </c>
      <c r="AW2584" s="782">
        <v>12088207</v>
      </c>
      <c r="AX2584" s="782"/>
      <c r="AY2584" s="782">
        <v>12094237</v>
      </c>
      <c r="AZ2584" s="782"/>
      <c r="BA2584" s="781"/>
      <c r="BB2584" s="209">
        <v>23053185</v>
      </c>
    </row>
    <row r="2585" spans="1:54" ht="24.65" hidden="1" customHeight="1">
      <c r="B2585" s="308">
        <v>45905</v>
      </c>
      <c r="C2585" s="309">
        <v>45922</v>
      </c>
      <c r="D2585" s="185">
        <f t="shared" si="1022"/>
        <v>2025</v>
      </c>
      <c r="E2585" s="309" t="e">
        <f>VLOOKUP($B2585,Week!$A$1:$C$1462,2,0)</f>
        <v>#N/A</v>
      </c>
      <c r="F2585" s="310" t="str">
        <f t="shared" si="1023"/>
        <v>Sep</v>
      </c>
      <c r="G2585" s="311" t="s">
        <v>2431</v>
      </c>
      <c r="H2585" s="311" t="s">
        <v>311</v>
      </c>
      <c r="I2585" s="311" t="s">
        <v>2772</v>
      </c>
      <c r="J2585" s="312" t="s">
        <v>738</v>
      </c>
      <c r="K2585" s="313" t="s">
        <v>107</v>
      </c>
      <c r="L2585" s="300" t="s">
        <v>2167</v>
      </c>
      <c r="M2585" s="312" t="s">
        <v>313</v>
      </c>
      <c r="N2585" s="311" t="s">
        <v>314</v>
      </c>
      <c r="O2585" s="311" t="s">
        <v>110</v>
      </c>
      <c r="P2585" s="314">
        <v>36</v>
      </c>
      <c r="Q2585" s="314">
        <v>5</v>
      </c>
      <c r="R2585" s="315">
        <v>7.4999999999999997E-3</v>
      </c>
      <c r="S2585" s="311" t="s">
        <v>111</v>
      </c>
      <c r="T2585" s="311" t="s">
        <v>112</v>
      </c>
      <c r="U2585" s="311" t="s">
        <v>57</v>
      </c>
      <c r="V2585" s="316">
        <v>753</v>
      </c>
      <c r="W2585" s="316">
        <f>2261-716-792</f>
        <v>753</v>
      </c>
      <c r="X2585" s="317"/>
      <c r="Y2585" s="318">
        <f t="shared" si="1014"/>
        <v>0</v>
      </c>
      <c r="Z2585" s="319">
        <f t="shared" si="1015"/>
        <v>0</v>
      </c>
      <c r="AA2585" s="319">
        <f t="shared" si="1024"/>
        <v>0</v>
      </c>
      <c r="AB2585" s="815">
        <v>7.4999999999999997E-3</v>
      </c>
      <c r="AC2585" s="316">
        <f t="shared" si="1016"/>
        <v>0</v>
      </c>
      <c r="AD2585" s="515"/>
      <c r="AE2585" s="210">
        <f t="shared" si="1029"/>
        <v>0</v>
      </c>
      <c r="AF2585" s="210">
        <f t="shared" si="1030"/>
        <v>0</v>
      </c>
      <c r="AG2585" s="211">
        <f t="shared" si="1025"/>
        <v>0.308</v>
      </c>
      <c r="AH2585" s="157">
        <f t="shared" si="1027"/>
        <v>0</v>
      </c>
      <c r="AI2585" s="152">
        <f t="shared" si="1021"/>
        <v>27108</v>
      </c>
      <c r="AK2585" s="156" t="s">
        <v>691</v>
      </c>
      <c r="AL2585" s="212" t="s">
        <v>690</v>
      </c>
      <c r="AM2585" s="198">
        <f t="shared" si="1028"/>
        <v>0</v>
      </c>
      <c r="AN2585" s="199">
        <f t="shared" si="1020"/>
        <v>45905</v>
      </c>
      <c r="AO2585" s="159" t="s">
        <v>692</v>
      </c>
      <c r="AP2585" s="783" t="s">
        <v>644</v>
      </c>
      <c r="AQ2585" s="782">
        <v>12063755</v>
      </c>
      <c r="AR2585" s="782">
        <v>12061353</v>
      </c>
      <c r="AS2585" s="782">
        <v>12061354</v>
      </c>
      <c r="AT2585" s="782">
        <v>12062266</v>
      </c>
      <c r="AU2585" s="781"/>
      <c r="AV2585" s="782">
        <v>12088159</v>
      </c>
      <c r="AW2585" s="782">
        <v>12088207</v>
      </c>
      <c r="AX2585" s="782"/>
      <c r="AY2585" s="782">
        <v>12094237</v>
      </c>
      <c r="AZ2585" s="782"/>
      <c r="BA2585" s="781"/>
      <c r="BB2585" s="209">
        <v>23053185</v>
      </c>
    </row>
    <row r="2586" spans="1:54" ht="24.65" hidden="1" customHeight="1">
      <c r="A2586" s="630" t="s">
        <v>120</v>
      </c>
      <c r="B2586" s="466">
        <v>45906</v>
      </c>
      <c r="C2586" s="467">
        <v>45920</v>
      </c>
      <c r="D2586" s="185">
        <f t="shared" si="1022"/>
        <v>2025</v>
      </c>
      <c r="E2586" s="468" t="e">
        <f>VLOOKUP($B2586,Week!$A$1:$C$1462,2,0)</f>
        <v>#N/A</v>
      </c>
      <c r="F2586" s="469" t="str">
        <f t="shared" si="1023"/>
        <v>Sep</v>
      </c>
      <c r="G2586" s="470" t="s">
        <v>2433</v>
      </c>
      <c r="H2586" s="468" t="s">
        <v>82</v>
      </c>
      <c r="I2586" s="468" t="s">
        <v>82</v>
      </c>
      <c r="J2586" s="471" t="s">
        <v>720</v>
      </c>
      <c r="K2586" s="472" t="s">
        <v>85</v>
      </c>
      <c r="L2586" s="390" t="s">
        <v>2166</v>
      </c>
      <c r="M2586" s="471" t="s">
        <v>579</v>
      </c>
      <c r="N2586" s="468" t="s">
        <v>580</v>
      </c>
      <c r="O2586" s="468" t="s">
        <v>581</v>
      </c>
      <c r="P2586" s="473">
        <v>8</v>
      </c>
      <c r="Q2586" s="473">
        <v>60</v>
      </c>
      <c r="R2586" s="474">
        <v>6.8100000000000001E-3</v>
      </c>
      <c r="S2586" s="468" t="s">
        <v>76</v>
      </c>
      <c r="T2586" s="468" t="s">
        <v>56</v>
      </c>
      <c r="U2586" s="468" t="s">
        <v>89</v>
      </c>
      <c r="V2586" s="475">
        <v>697</v>
      </c>
      <c r="W2586" s="475">
        <f>691</f>
        <v>691</v>
      </c>
      <c r="X2586" s="476">
        <f>(48)/8</f>
        <v>6</v>
      </c>
      <c r="Y2586" s="477">
        <f t="shared" si="1014"/>
        <v>0</v>
      </c>
      <c r="Z2586" s="478">
        <f t="shared" si="1015"/>
        <v>0</v>
      </c>
      <c r="AA2586" s="478">
        <f t="shared" si="1024"/>
        <v>0</v>
      </c>
      <c r="AB2586" s="828">
        <v>6</v>
      </c>
      <c r="AC2586" s="475">
        <f t="shared" si="1016"/>
        <v>0</v>
      </c>
      <c r="AD2586" s="209"/>
      <c r="AE2586" s="210">
        <f t="shared" si="1029"/>
        <v>0</v>
      </c>
      <c r="AF2586" s="210">
        <f t="shared" si="1030"/>
        <v>0</v>
      </c>
      <c r="AG2586" s="211">
        <f t="shared" si="1025"/>
        <v>0.75</v>
      </c>
      <c r="AH2586" s="157">
        <f t="shared" si="1027"/>
        <v>0</v>
      </c>
      <c r="AI2586" s="152">
        <f t="shared" si="1021"/>
        <v>5576</v>
      </c>
      <c r="AK2586" s="156" t="s">
        <v>691</v>
      </c>
      <c r="AL2586" s="156" t="s">
        <v>689</v>
      </c>
      <c r="AM2586" s="198">
        <f t="shared" si="1028"/>
        <v>0</v>
      </c>
      <c r="AN2586" s="199">
        <f t="shared" si="1020"/>
        <v>45906</v>
      </c>
      <c r="AO2586" s="159" t="s">
        <v>692</v>
      </c>
      <c r="AP2586" s="783" t="s">
        <v>613</v>
      </c>
      <c r="AQ2586" s="782">
        <v>12088677</v>
      </c>
      <c r="AR2586" s="782" t="s">
        <v>2142</v>
      </c>
      <c r="AS2586" s="782"/>
      <c r="AT2586" s="782">
        <v>12082897</v>
      </c>
      <c r="AU2586" s="781"/>
      <c r="AV2586" s="782">
        <v>12082898</v>
      </c>
      <c r="AW2586" s="782">
        <v>12082899</v>
      </c>
      <c r="AX2586" s="796" t="s">
        <v>621</v>
      </c>
      <c r="AY2586" s="782"/>
      <c r="AZ2586" s="782"/>
      <c r="BA2586" s="781"/>
      <c r="BB2586" s="209">
        <v>23053184</v>
      </c>
    </row>
    <row r="2587" spans="1:54" ht="25" hidden="1" customHeight="1">
      <c r="B2587" s="357">
        <v>45906</v>
      </c>
      <c r="C2587" s="358">
        <v>45922</v>
      </c>
      <c r="D2587" s="185">
        <f t="shared" si="1022"/>
        <v>2025</v>
      </c>
      <c r="E2587" s="358" t="e">
        <f>VLOOKUP($B2587,Week!$A$1:$C$1462,2,0)</f>
        <v>#N/A</v>
      </c>
      <c r="F2587" s="360" t="str">
        <f t="shared" si="1023"/>
        <v>Sep</v>
      </c>
      <c r="G2587" s="436" t="s">
        <v>2513</v>
      </c>
      <c r="H2587" s="359" t="s">
        <v>225</v>
      </c>
      <c r="I2587" s="359" t="s">
        <v>2773</v>
      </c>
      <c r="J2587" s="361" t="s">
        <v>650</v>
      </c>
      <c r="K2587" s="362" t="s">
        <v>593</v>
      </c>
      <c r="L2587" s="300" t="s">
        <v>2167</v>
      </c>
      <c r="M2587" s="361" t="s">
        <v>717</v>
      </c>
      <c r="N2587" s="359" t="s">
        <v>719</v>
      </c>
      <c r="O2587" s="359" t="s">
        <v>230</v>
      </c>
      <c r="P2587" s="363">
        <v>12</v>
      </c>
      <c r="Q2587" s="363">
        <v>5</v>
      </c>
      <c r="R2587" s="364">
        <v>6.0000000000000001E-3</v>
      </c>
      <c r="S2587" s="359" t="s">
        <v>55</v>
      </c>
      <c r="T2587" s="359" t="s">
        <v>112</v>
      </c>
      <c r="U2587" s="359" t="s">
        <v>57</v>
      </c>
      <c r="V2587" s="365">
        <v>2600</v>
      </c>
      <c r="W2587" s="365"/>
      <c r="X2587" s="366">
        <f>(1212+29988)/12</f>
        <v>2600</v>
      </c>
      <c r="Y2587" s="367">
        <f t="shared" si="1014"/>
        <v>0</v>
      </c>
      <c r="Z2587" s="368">
        <f t="shared" si="1015"/>
        <v>0</v>
      </c>
      <c r="AA2587" s="368">
        <f t="shared" si="1024"/>
        <v>0</v>
      </c>
      <c r="AB2587" s="819">
        <v>7.4999999999999997E-3</v>
      </c>
      <c r="AC2587" s="365">
        <f t="shared" si="1016"/>
        <v>0</v>
      </c>
      <c r="AD2587" s="307" t="s">
        <v>2421</v>
      </c>
      <c r="AE2587" s="210">
        <f t="shared" si="1029"/>
        <v>0</v>
      </c>
      <c r="AF2587" s="210">
        <f t="shared" si="1030"/>
        <v>0</v>
      </c>
      <c r="AG2587" s="211">
        <f t="shared" si="1025"/>
        <v>0.25800000000000001</v>
      </c>
      <c r="AH2587" s="157">
        <f t="shared" si="1027"/>
        <v>0</v>
      </c>
      <c r="AI2587" s="152">
        <f t="shared" si="1021"/>
        <v>31200</v>
      </c>
      <c r="AK2587" s="156" t="s">
        <v>691</v>
      </c>
      <c r="AL2587" s="574" t="s">
        <v>690</v>
      </c>
      <c r="AM2587" s="198">
        <f t="shared" si="1028"/>
        <v>0</v>
      </c>
      <c r="AN2587" s="199">
        <f t="shared" si="1020"/>
        <v>45906</v>
      </c>
      <c r="AO2587" s="159" t="s">
        <v>692</v>
      </c>
      <c r="AP2587" s="783" t="s">
        <v>612</v>
      </c>
      <c r="AQ2587" s="782">
        <v>12071839</v>
      </c>
      <c r="AR2587" s="782">
        <v>12042650</v>
      </c>
      <c r="AS2587" s="782">
        <v>12042649</v>
      </c>
      <c r="AT2587" s="782">
        <v>12096387</v>
      </c>
      <c r="AU2587" s="781"/>
      <c r="AV2587" s="782">
        <v>12088422</v>
      </c>
      <c r="AW2587" s="782"/>
      <c r="AX2587" s="782"/>
      <c r="AY2587" s="782"/>
      <c r="AZ2587" s="782"/>
      <c r="BA2587" s="781"/>
      <c r="BB2587" s="209">
        <v>23053185</v>
      </c>
    </row>
    <row r="2588" spans="1:54" ht="24.75" hidden="1" customHeight="1">
      <c r="B2588" s="295">
        <v>45906</v>
      </c>
      <c r="C2588" s="771" t="s">
        <v>1933</v>
      </c>
      <c r="D2588" s="185">
        <f t="shared" si="1022"/>
        <v>2025</v>
      </c>
      <c r="E2588" s="296" t="e">
        <f>VLOOKUP($B2588,Week!$A$1:$C$1462,2,0)</f>
        <v>#N/A</v>
      </c>
      <c r="F2588" s="297" t="str">
        <f t="shared" si="1023"/>
        <v>Sep</v>
      </c>
      <c r="G2588" s="648" t="s">
        <v>47</v>
      </c>
      <c r="H2588" s="298" t="s">
        <v>260</v>
      </c>
      <c r="I2588" s="298" t="s">
        <v>2702</v>
      </c>
      <c r="J2588" s="307" t="s">
        <v>2240</v>
      </c>
      <c r="K2588" s="300" t="s">
        <v>176</v>
      </c>
      <c r="L2588" s="300" t="s">
        <v>2167</v>
      </c>
      <c r="M2588" s="299" t="s">
        <v>2338</v>
      </c>
      <c r="N2588" s="298" t="s">
        <v>350</v>
      </c>
      <c r="O2588" s="298" t="s">
        <v>351</v>
      </c>
      <c r="P2588" s="301">
        <v>24</v>
      </c>
      <c r="Q2588" s="301">
        <v>5</v>
      </c>
      <c r="R2588" s="302">
        <v>6.1999999999999998E-3</v>
      </c>
      <c r="S2588" s="298" t="s">
        <v>352</v>
      </c>
      <c r="T2588" s="298" t="s">
        <v>56</v>
      </c>
      <c r="U2588" s="298" t="s">
        <v>57</v>
      </c>
      <c r="V2588" s="303">
        <v>1515</v>
      </c>
      <c r="W2588" s="303">
        <f>1515</f>
        <v>1515</v>
      </c>
      <c r="X2588" s="304"/>
      <c r="Y2588" s="305">
        <f t="shared" si="1014"/>
        <v>0</v>
      </c>
      <c r="Z2588" s="306">
        <f t="shared" si="1015"/>
        <v>0</v>
      </c>
      <c r="AA2588" s="306">
        <f t="shared" si="1024"/>
        <v>0</v>
      </c>
      <c r="AB2588" s="814">
        <v>7.4999999999999997E-3</v>
      </c>
      <c r="AC2588" s="303">
        <f t="shared" si="1016"/>
        <v>0</v>
      </c>
      <c r="AD2588" s="443"/>
      <c r="AE2588" s="210">
        <f t="shared" si="1029"/>
        <v>0</v>
      </c>
      <c r="AF2588" s="210">
        <f t="shared" si="1030"/>
        <v>0</v>
      </c>
      <c r="AG2588" s="211">
        <f t="shared" si="1025"/>
        <v>0.13</v>
      </c>
      <c r="AH2588" s="157">
        <f>(Z2588*AG2588)/1000</f>
        <v>0</v>
      </c>
      <c r="AI2588" s="152">
        <f t="shared" si="1021"/>
        <v>36360</v>
      </c>
      <c r="AK2588" s="156" t="s">
        <v>691</v>
      </c>
      <c r="AL2588" s="574" t="s">
        <v>690</v>
      </c>
      <c r="AM2588" s="198">
        <f t="shared" ref="AM2588:AM2619" si="1031">AG2588*Z2588</f>
        <v>0</v>
      </c>
      <c r="AN2588" s="199">
        <f t="shared" si="1020"/>
        <v>45906</v>
      </c>
      <c r="AO2588" s="159" t="s">
        <v>692</v>
      </c>
      <c r="AP2588" s="783" t="s">
        <v>622</v>
      </c>
      <c r="AQ2588" s="782">
        <v>12071839</v>
      </c>
      <c r="AR2588" s="782">
        <v>12094356</v>
      </c>
      <c r="AS2588" s="782">
        <v>12068233</v>
      </c>
      <c r="AT2588" s="781"/>
      <c r="AU2588" s="781"/>
      <c r="AV2588" s="782">
        <v>12062075</v>
      </c>
      <c r="AW2588" s="781"/>
      <c r="AX2588" s="781"/>
      <c r="AY2588" s="782">
        <v>12094357</v>
      </c>
      <c r="AZ2588" s="782"/>
      <c r="BA2588" s="781"/>
      <c r="BB2588" s="209">
        <v>23053184</v>
      </c>
    </row>
    <row r="2589" spans="1:54" ht="24.65" hidden="1" customHeight="1">
      <c r="A2589" s="529" t="s">
        <v>1812</v>
      </c>
      <c r="B2589" s="357">
        <v>45906</v>
      </c>
      <c r="C2589" s="776">
        <v>45912</v>
      </c>
      <c r="D2589" s="185">
        <f t="shared" si="1022"/>
        <v>2025</v>
      </c>
      <c r="E2589" s="358" t="e">
        <f>VLOOKUP($B2589,Week!$A$1:$C$1462,2,0)</f>
        <v>#N/A</v>
      </c>
      <c r="F2589" s="360" t="str">
        <f t="shared" si="1023"/>
        <v>Sep</v>
      </c>
      <c r="G2589" s="359" t="s">
        <v>2511</v>
      </c>
      <c r="H2589" s="436" t="s">
        <v>1820</v>
      </c>
      <c r="I2589" s="436" t="s">
        <v>1820</v>
      </c>
      <c r="J2589" s="437" t="s">
        <v>1821</v>
      </c>
      <c r="K2589" s="362" t="s">
        <v>94</v>
      </c>
      <c r="L2589" s="300" t="s">
        <v>2167</v>
      </c>
      <c r="M2589" s="361" t="s">
        <v>1823</v>
      </c>
      <c r="N2589" s="436" t="s">
        <v>1818</v>
      </c>
      <c r="O2589" s="359" t="s">
        <v>97</v>
      </c>
      <c r="P2589" s="363">
        <v>12</v>
      </c>
      <c r="Q2589" s="363">
        <v>5</v>
      </c>
      <c r="R2589" s="364">
        <v>8.0000000000000002E-3</v>
      </c>
      <c r="S2589" s="359" t="s">
        <v>40</v>
      </c>
      <c r="T2589" s="359" t="s">
        <v>56</v>
      </c>
      <c r="U2589" s="359" t="s">
        <v>57</v>
      </c>
      <c r="V2589" s="365">
        <v>150</v>
      </c>
      <c r="W2589" s="365">
        <v>150</v>
      </c>
      <c r="X2589" s="366"/>
      <c r="Y2589" s="367">
        <f t="shared" si="1014"/>
        <v>0</v>
      </c>
      <c r="Z2589" s="368">
        <f t="shared" si="1015"/>
        <v>0</v>
      </c>
      <c r="AA2589" s="368">
        <f t="shared" si="1024"/>
        <v>0</v>
      </c>
      <c r="AB2589" s="819">
        <v>7.4999999999999997E-3</v>
      </c>
      <c r="AC2589" s="365">
        <f t="shared" si="1016"/>
        <v>0</v>
      </c>
      <c r="AD2589" s="443" t="s">
        <v>2512</v>
      </c>
      <c r="AE2589" s="210">
        <f t="shared" si="1029"/>
        <v>0</v>
      </c>
      <c r="AF2589" s="210">
        <f t="shared" si="1030"/>
        <v>0</v>
      </c>
      <c r="AG2589" s="211">
        <f t="shared" si="1025"/>
        <v>0.14499999999999999</v>
      </c>
      <c r="AH2589" s="157">
        <f>(Z2589*AG2589)/1000</f>
        <v>0</v>
      </c>
      <c r="AI2589" s="152">
        <f t="shared" si="1021"/>
        <v>1800</v>
      </c>
      <c r="AK2589" s="156" t="s">
        <v>691</v>
      </c>
      <c r="AL2589" s="574" t="s">
        <v>690</v>
      </c>
      <c r="AM2589" s="198">
        <f t="shared" si="1031"/>
        <v>0</v>
      </c>
      <c r="AN2589" s="199">
        <f t="shared" si="1020"/>
        <v>45906</v>
      </c>
      <c r="AO2589" s="159" t="s">
        <v>692</v>
      </c>
      <c r="AP2589" s="783" t="s">
        <v>628</v>
      </c>
      <c r="AQ2589" s="782">
        <v>12071839</v>
      </c>
      <c r="AR2589" s="782">
        <v>12047514</v>
      </c>
      <c r="AS2589" s="782">
        <v>12047515</v>
      </c>
      <c r="AT2589" s="782"/>
      <c r="AU2589" s="781"/>
      <c r="AV2589" s="782">
        <v>12080617</v>
      </c>
      <c r="AW2589" s="782"/>
      <c r="AX2589" s="782"/>
      <c r="AY2589" s="782">
        <v>12094231</v>
      </c>
      <c r="AZ2589" s="782">
        <v>1209232</v>
      </c>
      <c r="BA2589" s="781"/>
      <c r="BB2589" s="209">
        <v>23053185</v>
      </c>
    </row>
    <row r="2590" spans="1:54" ht="24.65" hidden="1" customHeight="1">
      <c r="A2590" s="529" t="s">
        <v>1812</v>
      </c>
      <c r="B2590" s="357">
        <v>45906</v>
      </c>
      <c r="C2590" s="776">
        <v>45935</v>
      </c>
      <c r="D2590" s="185">
        <f t="shared" si="1022"/>
        <v>2025</v>
      </c>
      <c r="E2590" s="358" t="e">
        <f>VLOOKUP($B2590,Week!$A$1:$C$1462,2,0)</f>
        <v>#N/A</v>
      </c>
      <c r="F2590" s="360" t="str">
        <f t="shared" si="1023"/>
        <v>Sep</v>
      </c>
      <c r="G2590" s="359" t="s">
        <v>2511</v>
      </c>
      <c r="H2590" s="436" t="s">
        <v>1820</v>
      </c>
      <c r="I2590" s="436" t="s">
        <v>1820</v>
      </c>
      <c r="J2590" s="437" t="s">
        <v>1821</v>
      </c>
      <c r="K2590" s="362" t="s">
        <v>94</v>
      </c>
      <c r="L2590" s="300" t="s">
        <v>2167</v>
      </c>
      <c r="M2590" s="361" t="s">
        <v>1823</v>
      </c>
      <c r="N2590" s="436" t="s">
        <v>1818</v>
      </c>
      <c r="O2590" s="359" t="s">
        <v>97</v>
      </c>
      <c r="P2590" s="363">
        <v>12</v>
      </c>
      <c r="Q2590" s="363">
        <v>5</v>
      </c>
      <c r="R2590" s="364">
        <v>8.0000000000000002E-3</v>
      </c>
      <c r="S2590" s="359" t="s">
        <v>40</v>
      </c>
      <c r="T2590" s="359" t="s">
        <v>56</v>
      </c>
      <c r="U2590" s="359" t="s">
        <v>57</v>
      </c>
      <c r="V2590" s="365">
        <v>70</v>
      </c>
      <c r="W2590" s="365">
        <v>70</v>
      </c>
      <c r="X2590" s="366"/>
      <c r="Y2590" s="367">
        <f t="shared" si="1014"/>
        <v>0</v>
      </c>
      <c r="Z2590" s="368">
        <f t="shared" si="1015"/>
        <v>0</v>
      </c>
      <c r="AA2590" s="368">
        <f t="shared" si="1024"/>
        <v>0</v>
      </c>
      <c r="AB2590" s="819">
        <v>7.4999999999999997E-3</v>
      </c>
      <c r="AC2590" s="365">
        <f t="shared" si="1016"/>
        <v>0</v>
      </c>
      <c r="AD2590" s="443" t="s">
        <v>2512</v>
      </c>
      <c r="AE2590" s="210">
        <f t="shared" si="1029"/>
        <v>0</v>
      </c>
      <c r="AF2590" s="210">
        <f t="shared" si="1030"/>
        <v>0</v>
      </c>
      <c r="AG2590" s="211">
        <f t="shared" si="1025"/>
        <v>0.14499999999999999</v>
      </c>
      <c r="AH2590" s="157">
        <f>(Z2590*AG2590)/1000</f>
        <v>0</v>
      </c>
      <c r="AI2590" s="152">
        <f t="shared" si="1021"/>
        <v>840</v>
      </c>
      <c r="AK2590" s="156" t="s">
        <v>691</v>
      </c>
      <c r="AL2590" s="574" t="s">
        <v>690</v>
      </c>
      <c r="AM2590" s="198">
        <f t="shared" si="1031"/>
        <v>0</v>
      </c>
      <c r="AN2590" s="199">
        <f t="shared" si="1020"/>
        <v>45906</v>
      </c>
      <c r="AO2590" s="159" t="s">
        <v>692</v>
      </c>
      <c r="AP2590" s="783" t="s">
        <v>628</v>
      </c>
      <c r="AQ2590" s="782">
        <v>12071839</v>
      </c>
      <c r="AR2590" s="782">
        <v>12047514</v>
      </c>
      <c r="AS2590" s="782">
        <v>12047515</v>
      </c>
      <c r="AT2590" s="782"/>
      <c r="AU2590" s="781"/>
      <c r="AV2590" s="782">
        <v>12080617</v>
      </c>
      <c r="AW2590" s="782"/>
      <c r="AX2590" s="782"/>
      <c r="AY2590" s="782">
        <v>12094231</v>
      </c>
      <c r="AZ2590" s="782">
        <v>1209232</v>
      </c>
      <c r="BA2590" s="781"/>
      <c r="BB2590" s="209">
        <v>23053185</v>
      </c>
    </row>
    <row r="2591" spans="1:54" ht="25" hidden="1" customHeight="1">
      <c r="B2591" s="183">
        <v>45907</v>
      </c>
      <c r="C2591" s="184"/>
      <c r="D2591" s="185">
        <f t="shared" si="1022"/>
        <v>2025</v>
      </c>
      <c r="E2591" s="185" t="e">
        <f>VLOOKUP($B2591,Week!$A$1:$C$1462,2,0)</f>
        <v>#N/A</v>
      </c>
      <c r="F2591" s="186" t="str">
        <f t="shared" si="1023"/>
        <v>Sep</v>
      </c>
      <c r="G2591" s="481"/>
      <c r="H2591" s="185"/>
      <c r="I2591" s="185"/>
      <c r="J2591" s="187"/>
      <c r="K2591" s="188"/>
      <c r="L2591" s="188"/>
      <c r="M2591" s="187"/>
      <c r="N2591" s="185"/>
      <c r="O2591" s="185"/>
      <c r="P2591" s="189"/>
      <c r="Q2591" s="189"/>
      <c r="R2591" s="190"/>
      <c r="S2591" s="185"/>
      <c r="T2591" s="185"/>
      <c r="U2591" s="185"/>
      <c r="V2591" s="191"/>
      <c r="W2591" s="191"/>
      <c r="X2591" s="192"/>
      <c r="Y2591" s="193"/>
      <c r="Z2591" s="194"/>
      <c r="AA2591" s="194">
        <f t="shared" si="1024"/>
        <v>0</v>
      </c>
      <c r="AB2591" s="805"/>
      <c r="AC2591" s="191"/>
      <c r="AD2591" s="187"/>
      <c r="AE2591" s="195"/>
      <c r="AF2591" s="195"/>
      <c r="AG2591" s="196"/>
      <c r="AH2591" s="197"/>
      <c r="AK2591" s="156" t="s">
        <v>691</v>
      </c>
      <c r="AM2591" s="198">
        <f t="shared" si="1031"/>
        <v>0</v>
      </c>
      <c r="AN2591" s="199">
        <f t="shared" si="1020"/>
        <v>45907</v>
      </c>
      <c r="AO2591" s="159" t="s">
        <v>692</v>
      </c>
      <c r="AP2591" s="781"/>
      <c r="AQ2591" s="782"/>
      <c r="AR2591" s="782"/>
      <c r="AS2591" s="782"/>
      <c r="AT2591" s="782"/>
      <c r="AU2591" s="781"/>
      <c r="AV2591" s="782"/>
      <c r="AW2591" s="782"/>
      <c r="AX2591" s="782"/>
      <c r="AY2591" s="782"/>
      <c r="AZ2591" s="782"/>
      <c r="BA2591" s="781"/>
      <c r="BB2591" s="209"/>
    </row>
    <row r="2592" spans="1:54" ht="25" hidden="1" customHeight="1">
      <c r="B2592" s="357">
        <v>45908</v>
      </c>
      <c r="C2592" s="358">
        <v>45931</v>
      </c>
      <c r="D2592" s="185">
        <f t="shared" si="1022"/>
        <v>2025</v>
      </c>
      <c r="E2592" s="358" t="e">
        <f>VLOOKUP($B2592,Week!$A$1:$C$1462,2,0)</f>
        <v>#N/A</v>
      </c>
      <c r="F2592" s="360" t="str">
        <f t="shared" si="1023"/>
        <v>Sep</v>
      </c>
      <c r="G2592" s="436" t="s">
        <v>2422</v>
      </c>
      <c r="H2592" s="359" t="s">
        <v>225</v>
      </c>
      <c r="I2592" s="359" t="s">
        <v>2773</v>
      </c>
      <c r="J2592" s="361" t="s">
        <v>650</v>
      </c>
      <c r="K2592" s="362" t="s">
        <v>593</v>
      </c>
      <c r="L2592" s="300" t="s">
        <v>2167</v>
      </c>
      <c r="M2592" s="361" t="s">
        <v>717</v>
      </c>
      <c r="N2592" s="359" t="s">
        <v>719</v>
      </c>
      <c r="O2592" s="359" t="s">
        <v>230</v>
      </c>
      <c r="P2592" s="363">
        <v>12</v>
      </c>
      <c r="Q2592" s="363">
        <v>5</v>
      </c>
      <c r="R2592" s="364">
        <v>6.0000000000000001E-3</v>
      </c>
      <c r="S2592" s="359" t="s">
        <v>55</v>
      </c>
      <c r="T2592" s="359" t="s">
        <v>112</v>
      </c>
      <c r="U2592" s="359" t="s">
        <v>57</v>
      </c>
      <c r="V2592" s="365">
        <v>2600</v>
      </c>
      <c r="W2592" s="365"/>
      <c r="X2592" s="366">
        <f>(688+30512)/12</f>
        <v>2600</v>
      </c>
      <c r="Y2592" s="367">
        <f t="shared" ref="Y2592:Y2619" si="1032">(W2592+X2592)-V2592</f>
        <v>0</v>
      </c>
      <c r="Z2592" s="368">
        <f t="shared" ref="Z2592:Z2619" si="1033">IF(Y2592&lt;0,((V2592*P2592)-((W2592+X2592)*P2592)),0)</f>
        <v>0</v>
      </c>
      <c r="AA2592" s="368">
        <f t="shared" si="1024"/>
        <v>0</v>
      </c>
      <c r="AB2592" s="819">
        <v>7.4999999999999997E-3</v>
      </c>
      <c r="AC2592" s="365">
        <f t="shared" ref="AC2592:AC2619" si="1034">Z2592*AB2592</f>
        <v>0</v>
      </c>
      <c r="AD2592" s="307" t="s">
        <v>2421</v>
      </c>
      <c r="AE2592" s="210">
        <f t="shared" ref="AE2592:AE2619" si="1035">SUM(Q2592*R2592*Z2592)/1000</f>
        <v>0</v>
      </c>
      <c r="AF2592" s="210">
        <f t="shared" ref="AF2592:AF2619" si="1036">AE2592/0.54</f>
        <v>0</v>
      </c>
      <c r="AG2592" s="211">
        <f t="shared" ref="AG2592:AG2598" si="1037">MID(O2592,1,3)/1000</f>
        <v>0.25800000000000001</v>
      </c>
      <c r="AH2592" s="157">
        <f t="shared" ref="AH2592:AH2619" si="1038">(Z2592*AG2592)/1000</f>
        <v>0</v>
      </c>
      <c r="AI2592" s="152">
        <f t="shared" ref="AI2592:AI2598" si="1039">V2592*P2592</f>
        <v>31200</v>
      </c>
      <c r="AK2592" s="156" t="s">
        <v>691</v>
      </c>
      <c r="AL2592" s="574" t="s">
        <v>690</v>
      </c>
      <c r="AM2592" s="198">
        <f t="shared" si="1031"/>
        <v>0</v>
      </c>
      <c r="AN2592" s="199">
        <f t="shared" si="1020"/>
        <v>45908</v>
      </c>
      <c r="AO2592" s="159" t="s">
        <v>692</v>
      </c>
      <c r="AP2592" s="783" t="s">
        <v>612</v>
      </c>
      <c r="AQ2592" s="782">
        <v>12071839</v>
      </c>
      <c r="AR2592" s="782">
        <v>12042650</v>
      </c>
      <c r="AS2592" s="782">
        <v>12042649</v>
      </c>
      <c r="AT2592" s="782">
        <v>12096387</v>
      </c>
      <c r="AU2592" s="781"/>
      <c r="AV2592" s="782">
        <v>12088422</v>
      </c>
      <c r="AW2592" s="782"/>
      <c r="AX2592" s="782"/>
      <c r="AY2592" s="782"/>
      <c r="AZ2592" s="782"/>
      <c r="BA2592" s="781"/>
      <c r="BB2592" s="209">
        <v>23053185</v>
      </c>
    </row>
    <row r="2593" spans="1:54" ht="24.75" hidden="1" customHeight="1">
      <c r="B2593" s="295">
        <v>45908</v>
      </c>
      <c r="C2593" s="771" t="s">
        <v>1933</v>
      </c>
      <c r="D2593" s="185">
        <f t="shared" si="1022"/>
        <v>2025</v>
      </c>
      <c r="E2593" s="296" t="e">
        <f>VLOOKUP($B2593,Week!$A$1:$C$1462,2,0)</f>
        <v>#N/A</v>
      </c>
      <c r="F2593" s="297" t="str">
        <f t="shared" si="1023"/>
        <v>Sep</v>
      </c>
      <c r="G2593" s="648" t="s">
        <v>47</v>
      </c>
      <c r="H2593" s="298" t="s">
        <v>260</v>
      </c>
      <c r="I2593" s="298" t="s">
        <v>2702</v>
      </c>
      <c r="J2593" s="307" t="s">
        <v>2240</v>
      </c>
      <c r="K2593" s="300" t="s">
        <v>176</v>
      </c>
      <c r="L2593" s="300" t="s">
        <v>2167</v>
      </c>
      <c r="M2593" s="299" t="s">
        <v>2338</v>
      </c>
      <c r="N2593" s="298" t="s">
        <v>350</v>
      </c>
      <c r="O2593" s="298" t="s">
        <v>351</v>
      </c>
      <c r="P2593" s="301">
        <v>24</v>
      </c>
      <c r="Q2593" s="301">
        <v>5</v>
      </c>
      <c r="R2593" s="302">
        <v>6.1999999999999998E-3</v>
      </c>
      <c r="S2593" s="298" t="s">
        <v>352</v>
      </c>
      <c r="T2593" s="298" t="s">
        <v>56</v>
      </c>
      <c r="U2593" s="298" t="s">
        <v>57</v>
      </c>
      <c r="V2593" s="303">
        <f>10000-3749-2044-1977-1515-1</f>
        <v>714</v>
      </c>
      <c r="W2593" s="303">
        <f>1+713</f>
        <v>714</v>
      </c>
      <c r="X2593" s="304"/>
      <c r="Y2593" s="305">
        <f t="shared" si="1032"/>
        <v>0</v>
      </c>
      <c r="Z2593" s="306">
        <f t="shared" si="1033"/>
        <v>0</v>
      </c>
      <c r="AA2593" s="306">
        <f t="shared" si="1024"/>
        <v>0</v>
      </c>
      <c r="AB2593" s="814">
        <v>7.4999999999999997E-3</v>
      </c>
      <c r="AC2593" s="303">
        <f t="shared" si="1034"/>
        <v>0</v>
      </c>
      <c r="AD2593" s="443"/>
      <c r="AE2593" s="210">
        <f t="shared" si="1035"/>
        <v>0</v>
      </c>
      <c r="AF2593" s="210">
        <f t="shared" si="1036"/>
        <v>0</v>
      </c>
      <c r="AG2593" s="211">
        <f t="shared" si="1037"/>
        <v>0.13</v>
      </c>
      <c r="AH2593" s="157">
        <f t="shared" si="1038"/>
        <v>0</v>
      </c>
      <c r="AI2593" s="152">
        <f t="shared" si="1039"/>
        <v>17136</v>
      </c>
      <c r="AK2593" s="156" t="s">
        <v>691</v>
      </c>
      <c r="AL2593" s="574" t="s">
        <v>690</v>
      </c>
      <c r="AM2593" s="198">
        <f t="shared" si="1031"/>
        <v>0</v>
      </c>
      <c r="AN2593" s="199">
        <f t="shared" si="1020"/>
        <v>45908</v>
      </c>
      <c r="AO2593" s="159" t="s">
        <v>692</v>
      </c>
      <c r="AP2593" s="783" t="s">
        <v>622</v>
      </c>
      <c r="AQ2593" s="782">
        <v>12071839</v>
      </c>
      <c r="AR2593" s="782">
        <v>12094356</v>
      </c>
      <c r="AS2593" s="782">
        <v>12068233</v>
      </c>
      <c r="AT2593" s="781"/>
      <c r="AU2593" s="781"/>
      <c r="AV2593" s="782">
        <v>12062075</v>
      </c>
      <c r="AW2593" s="781"/>
      <c r="AX2593" s="781"/>
      <c r="AY2593" s="782">
        <v>12094357</v>
      </c>
      <c r="AZ2593" s="782"/>
      <c r="BA2593" s="781"/>
      <c r="BB2593" s="209">
        <v>23053184</v>
      </c>
    </row>
    <row r="2594" spans="1:54" ht="24.75" hidden="1" customHeight="1">
      <c r="B2594" s="295">
        <v>45908</v>
      </c>
      <c r="C2594" s="771" t="s">
        <v>1934</v>
      </c>
      <c r="D2594" s="185">
        <f t="shared" si="1022"/>
        <v>2025</v>
      </c>
      <c r="E2594" s="296" t="e">
        <f>VLOOKUP($B2594,Week!$A$1:$C$1462,2,0)</f>
        <v>#N/A</v>
      </c>
      <c r="F2594" s="297" t="str">
        <f t="shared" si="1023"/>
        <v>Sep</v>
      </c>
      <c r="G2594" s="648" t="s">
        <v>47</v>
      </c>
      <c r="H2594" s="298" t="s">
        <v>260</v>
      </c>
      <c r="I2594" s="298" t="s">
        <v>2702</v>
      </c>
      <c r="J2594" s="307" t="s">
        <v>2240</v>
      </c>
      <c r="K2594" s="300" t="s">
        <v>176</v>
      </c>
      <c r="L2594" s="300" t="s">
        <v>2167</v>
      </c>
      <c r="M2594" s="299" t="s">
        <v>2338</v>
      </c>
      <c r="N2594" s="298" t="s">
        <v>350</v>
      </c>
      <c r="O2594" s="298" t="s">
        <v>351</v>
      </c>
      <c r="P2594" s="301">
        <v>24</v>
      </c>
      <c r="Q2594" s="301">
        <v>5</v>
      </c>
      <c r="R2594" s="302">
        <v>6.1999999999999998E-3</v>
      </c>
      <c r="S2594" s="298" t="s">
        <v>352</v>
      </c>
      <c r="T2594" s="298" t="s">
        <v>56</v>
      </c>
      <c r="U2594" s="298" t="s">
        <v>57</v>
      </c>
      <c r="V2594" s="303">
        <f>1663-713</f>
        <v>950</v>
      </c>
      <c r="W2594" s="303">
        <f>1663-713</f>
        <v>950</v>
      </c>
      <c r="X2594" s="304"/>
      <c r="Y2594" s="305">
        <f t="shared" si="1032"/>
        <v>0</v>
      </c>
      <c r="Z2594" s="306">
        <f t="shared" si="1033"/>
        <v>0</v>
      </c>
      <c r="AA2594" s="306">
        <f t="shared" si="1024"/>
        <v>0</v>
      </c>
      <c r="AB2594" s="814">
        <v>7.4999999999999997E-3</v>
      </c>
      <c r="AC2594" s="303">
        <f t="shared" si="1034"/>
        <v>0</v>
      </c>
      <c r="AD2594" s="443"/>
      <c r="AE2594" s="210">
        <f t="shared" si="1035"/>
        <v>0</v>
      </c>
      <c r="AF2594" s="210">
        <f t="shared" si="1036"/>
        <v>0</v>
      </c>
      <c r="AG2594" s="211">
        <f t="shared" si="1037"/>
        <v>0.13</v>
      </c>
      <c r="AH2594" s="157">
        <f t="shared" si="1038"/>
        <v>0</v>
      </c>
      <c r="AI2594" s="152">
        <f t="shared" si="1039"/>
        <v>22800</v>
      </c>
      <c r="AK2594" s="156" t="s">
        <v>691</v>
      </c>
      <c r="AL2594" s="574" t="s">
        <v>690</v>
      </c>
      <c r="AM2594" s="198">
        <f t="shared" si="1031"/>
        <v>0</v>
      </c>
      <c r="AN2594" s="199">
        <f t="shared" si="1020"/>
        <v>45908</v>
      </c>
      <c r="AO2594" s="159" t="s">
        <v>692</v>
      </c>
      <c r="AP2594" s="783" t="s">
        <v>622</v>
      </c>
      <c r="AQ2594" s="782">
        <v>12071839</v>
      </c>
      <c r="AR2594" s="782">
        <v>12094356</v>
      </c>
      <c r="AS2594" s="782">
        <v>12068233</v>
      </c>
      <c r="AT2594" s="781"/>
      <c r="AU2594" s="781"/>
      <c r="AV2594" s="782">
        <v>12062075</v>
      </c>
      <c r="AW2594" s="781"/>
      <c r="AX2594" s="781"/>
      <c r="AY2594" s="782">
        <v>12094357</v>
      </c>
      <c r="AZ2594" s="782"/>
      <c r="BA2594" s="781"/>
      <c r="BB2594" s="209">
        <v>23053184</v>
      </c>
    </row>
    <row r="2595" spans="1:54" ht="24.75" hidden="1" customHeight="1">
      <c r="B2595" s="333">
        <v>45908</v>
      </c>
      <c r="C2595" s="333">
        <v>45918</v>
      </c>
      <c r="D2595" s="185">
        <f t="shared" si="1022"/>
        <v>2025</v>
      </c>
      <c r="E2595" s="335" t="e">
        <f>VLOOKUP($B2595,Week!$A$1:$C$1462,2,0)</f>
        <v>#N/A</v>
      </c>
      <c r="F2595" s="334" t="str">
        <f t="shared" si="1023"/>
        <v>Sep</v>
      </c>
      <c r="G2595" s="335" t="s">
        <v>2390</v>
      </c>
      <c r="H2595" s="335" t="s">
        <v>363</v>
      </c>
      <c r="I2595" s="335" t="s">
        <v>2772</v>
      </c>
      <c r="J2595" s="336" t="s">
        <v>364</v>
      </c>
      <c r="K2595" s="337" t="s">
        <v>176</v>
      </c>
      <c r="L2595" s="337" t="s">
        <v>2167</v>
      </c>
      <c r="M2595" s="382" t="s">
        <v>646</v>
      </c>
      <c r="N2595" s="335" t="s">
        <v>647</v>
      </c>
      <c r="O2595" s="335" t="s">
        <v>599</v>
      </c>
      <c r="P2595" s="338">
        <v>36</v>
      </c>
      <c r="Q2595" s="338">
        <v>5</v>
      </c>
      <c r="R2595" s="339">
        <v>8.0000000000000002E-3</v>
      </c>
      <c r="S2595" s="335" t="s">
        <v>40</v>
      </c>
      <c r="T2595" s="335" t="s">
        <v>112</v>
      </c>
      <c r="U2595" s="335" t="s">
        <v>57</v>
      </c>
      <c r="V2595" s="341">
        <v>1256</v>
      </c>
      <c r="W2595" s="341">
        <f>1256</f>
        <v>1256</v>
      </c>
      <c r="X2595" s="342"/>
      <c r="Y2595" s="343">
        <f t="shared" si="1032"/>
        <v>0</v>
      </c>
      <c r="Z2595" s="344">
        <f t="shared" si="1033"/>
        <v>0</v>
      </c>
      <c r="AA2595" s="344">
        <f t="shared" si="1024"/>
        <v>0</v>
      </c>
      <c r="AB2595" s="821">
        <v>7.4999999999999997E-3</v>
      </c>
      <c r="AC2595" s="341">
        <f t="shared" si="1034"/>
        <v>0</v>
      </c>
      <c r="AD2595" s="209"/>
      <c r="AE2595" s="210">
        <f t="shared" si="1035"/>
        <v>0</v>
      </c>
      <c r="AF2595" s="210">
        <f t="shared" si="1036"/>
        <v>0</v>
      </c>
      <c r="AG2595" s="211">
        <f t="shared" si="1037"/>
        <v>0.14799999999999999</v>
      </c>
      <c r="AH2595" s="157">
        <f t="shared" si="1038"/>
        <v>0</v>
      </c>
      <c r="AI2595" s="152">
        <f t="shared" si="1039"/>
        <v>45216</v>
      </c>
      <c r="AK2595" s="156" t="s">
        <v>691</v>
      </c>
      <c r="AL2595" s="574" t="s">
        <v>690</v>
      </c>
      <c r="AM2595" s="198">
        <f t="shared" si="1031"/>
        <v>0</v>
      </c>
      <c r="AN2595" s="199">
        <f t="shared" si="1020"/>
        <v>45908</v>
      </c>
      <c r="AO2595" s="159" t="s">
        <v>692</v>
      </c>
      <c r="AP2595" s="781"/>
      <c r="AQ2595" s="782">
        <v>12071839</v>
      </c>
      <c r="AR2595" s="782">
        <v>12047514</v>
      </c>
      <c r="AS2595" s="782">
        <v>12047515</v>
      </c>
      <c r="AT2595" s="782">
        <v>12084374</v>
      </c>
      <c r="AU2595" s="781"/>
      <c r="AV2595" s="782">
        <v>12084372</v>
      </c>
      <c r="AW2595" s="782">
        <v>12024404</v>
      </c>
      <c r="AX2595" s="782"/>
      <c r="AY2595" s="782">
        <v>12094311</v>
      </c>
      <c r="AZ2595" s="782"/>
      <c r="BA2595" s="781"/>
      <c r="BB2595" s="209">
        <v>23053185</v>
      </c>
    </row>
    <row r="2596" spans="1:54" ht="25" hidden="1" customHeight="1">
      <c r="A2596" s="623"/>
      <c r="B2596" s="358">
        <v>45908</v>
      </c>
      <c r="C2596" s="358">
        <v>45958</v>
      </c>
      <c r="D2596" s="185">
        <f t="shared" si="1022"/>
        <v>2025</v>
      </c>
      <c r="E2596" s="358" t="e">
        <f>VLOOKUP($B2596,Week!$A$1:$C$1462,2,0)</f>
        <v>#N/A</v>
      </c>
      <c r="F2596" s="360" t="str">
        <f t="shared" si="1023"/>
        <v>Sep</v>
      </c>
      <c r="G2596" s="358" t="s">
        <v>2351</v>
      </c>
      <c r="H2596" s="359" t="s">
        <v>431</v>
      </c>
      <c r="I2596" s="359" t="s">
        <v>2772</v>
      </c>
      <c r="J2596" s="361" t="s">
        <v>432</v>
      </c>
      <c r="K2596" s="362" t="s">
        <v>365</v>
      </c>
      <c r="L2596" s="300" t="s">
        <v>2167</v>
      </c>
      <c r="M2596" s="361" t="s">
        <v>561</v>
      </c>
      <c r="N2596" s="359" t="s">
        <v>562</v>
      </c>
      <c r="O2596" s="359" t="s">
        <v>187</v>
      </c>
      <c r="P2596" s="363">
        <v>8</v>
      </c>
      <c r="Q2596" s="363">
        <v>4</v>
      </c>
      <c r="R2596" s="364">
        <v>7.4999999999999997E-3</v>
      </c>
      <c r="S2596" s="359" t="s">
        <v>111</v>
      </c>
      <c r="T2596" s="359" t="s">
        <v>112</v>
      </c>
      <c r="U2596" s="359" t="s">
        <v>57</v>
      </c>
      <c r="V2596" s="365">
        <f>2400</f>
        <v>2400</v>
      </c>
      <c r="W2596" s="365"/>
      <c r="X2596" s="366">
        <f>(806+17569+1063)/8</f>
        <v>2429.75</v>
      </c>
      <c r="Y2596" s="367">
        <f t="shared" si="1032"/>
        <v>29.75</v>
      </c>
      <c r="Z2596" s="368">
        <f t="shared" si="1033"/>
        <v>0</v>
      </c>
      <c r="AA2596" s="368">
        <f t="shared" si="1024"/>
        <v>0</v>
      </c>
      <c r="AB2596" s="819">
        <v>7.4999999999999997E-3</v>
      </c>
      <c r="AC2596" s="365">
        <f t="shared" si="1034"/>
        <v>0</v>
      </c>
      <c r="AD2596" s="209"/>
      <c r="AE2596" s="210">
        <f t="shared" si="1035"/>
        <v>0</v>
      </c>
      <c r="AF2596" s="210">
        <f t="shared" si="1036"/>
        <v>0</v>
      </c>
      <c r="AG2596" s="211">
        <f t="shared" si="1037"/>
        <v>0.14499999999999999</v>
      </c>
      <c r="AH2596" s="157">
        <f t="shared" si="1038"/>
        <v>0</v>
      </c>
      <c r="AI2596" s="152">
        <f t="shared" si="1039"/>
        <v>19200</v>
      </c>
      <c r="AK2596" s="156" t="s">
        <v>691</v>
      </c>
      <c r="AL2596" s="212" t="s">
        <v>690</v>
      </c>
      <c r="AM2596" s="198">
        <f t="shared" si="1031"/>
        <v>0</v>
      </c>
      <c r="AN2596" s="199">
        <f t="shared" si="1020"/>
        <v>45908</v>
      </c>
      <c r="AO2596" s="159" t="s">
        <v>692</v>
      </c>
      <c r="AP2596" s="783" t="s">
        <v>613</v>
      </c>
      <c r="AQ2596" s="782">
        <v>12071839</v>
      </c>
      <c r="AR2596" s="782">
        <v>12047514</v>
      </c>
      <c r="AS2596" s="782">
        <v>12047515</v>
      </c>
      <c r="AT2596" s="782">
        <v>12062626</v>
      </c>
      <c r="AU2596" s="782" t="s">
        <v>563</v>
      </c>
      <c r="AV2596" s="782">
        <v>12062625</v>
      </c>
      <c r="AW2596" s="782"/>
      <c r="AX2596" s="782"/>
      <c r="AY2596" s="782"/>
      <c r="AZ2596" s="782"/>
      <c r="BA2596" s="781"/>
    </row>
    <row r="2597" spans="1:54" ht="25.15" hidden="1" customHeight="1">
      <c r="B2597" s="345">
        <v>45909</v>
      </c>
      <c r="C2597" s="346">
        <v>45923</v>
      </c>
      <c r="D2597" s="185">
        <f t="shared" si="1022"/>
        <v>2025</v>
      </c>
      <c r="E2597" s="347" t="e">
        <f>VLOOKUP($B2597,Week!$A$1:$C$1462,2,0)</f>
        <v>#N/A</v>
      </c>
      <c r="F2597" s="348" t="str">
        <f t="shared" si="1023"/>
        <v>Sep</v>
      </c>
      <c r="G2597" s="347" t="s">
        <v>2446</v>
      </c>
      <c r="H2597" s="347" t="s">
        <v>424</v>
      </c>
      <c r="I2597" s="347" t="s">
        <v>2772</v>
      </c>
      <c r="J2597" s="438" t="s">
        <v>425</v>
      </c>
      <c r="K2597" s="350" t="s">
        <v>176</v>
      </c>
      <c r="L2597" s="350" t="s">
        <v>2167</v>
      </c>
      <c r="M2597" s="349" t="s">
        <v>426</v>
      </c>
      <c r="N2597" s="347" t="s">
        <v>427</v>
      </c>
      <c r="O2597" s="347" t="s">
        <v>599</v>
      </c>
      <c r="P2597" s="351">
        <v>36</v>
      </c>
      <c r="Q2597" s="351">
        <v>5</v>
      </c>
      <c r="R2597" s="352">
        <v>7.4999999999999997E-3</v>
      </c>
      <c r="S2597" s="347" t="s">
        <v>111</v>
      </c>
      <c r="T2597" s="347" t="s">
        <v>112</v>
      </c>
      <c r="U2597" s="347" t="s">
        <v>57</v>
      </c>
      <c r="V2597" s="353">
        <v>1288</v>
      </c>
      <c r="W2597" s="353">
        <f>52+1236</f>
        <v>1288</v>
      </c>
      <c r="X2597" s="354"/>
      <c r="Y2597" s="355">
        <f t="shared" si="1032"/>
        <v>0</v>
      </c>
      <c r="Z2597" s="356">
        <f t="shared" si="1033"/>
        <v>0</v>
      </c>
      <c r="AA2597" s="353">
        <f t="shared" si="1024"/>
        <v>0</v>
      </c>
      <c r="AB2597" s="818">
        <v>7.4999999999999997E-3</v>
      </c>
      <c r="AC2597" s="353">
        <f t="shared" si="1034"/>
        <v>0</v>
      </c>
      <c r="AD2597" s="307" t="s">
        <v>2449</v>
      </c>
      <c r="AE2597" s="210">
        <f t="shared" si="1035"/>
        <v>0</v>
      </c>
      <c r="AF2597" s="210">
        <f t="shared" si="1036"/>
        <v>0</v>
      </c>
      <c r="AG2597" s="211">
        <f t="shared" si="1037"/>
        <v>0.14799999999999999</v>
      </c>
      <c r="AH2597" s="157">
        <f t="shared" si="1038"/>
        <v>0</v>
      </c>
      <c r="AI2597" s="152">
        <f t="shared" si="1039"/>
        <v>46368</v>
      </c>
      <c r="AK2597" s="156" t="s">
        <v>691</v>
      </c>
      <c r="AL2597" s="574" t="s">
        <v>690</v>
      </c>
      <c r="AM2597" s="198">
        <f t="shared" si="1031"/>
        <v>0</v>
      </c>
      <c r="AN2597" s="199">
        <f t="shared" si="1020"/>
        <v>45909</v>
      </c>
      <c r="AO2597" s="159" t="s">
        <v>692</v>
      </c>
      <c r="AP2597" s="783" t="s">
        <v>609</v>
      </c>
      <c r="AQ2597" s="782">
        <v>12071839</v>
      </c>
      <c r="AR2597" s="782">
        <v>12080260</v>
      </c>
      <c r="AS2597" s="782">
        <v>12080259</v>
      </c>
      <c r="AT2597" s="782">
        <v>12096006</v>
      </c>
      <c r="AU2597" s="782"/>
      <c r="AV2597" s="782">
        <v>12096007</v>
      </c>
      <c r="AW2597" s="782">
        <v>12024404</v>
      </c>
      <c r="AX2597" s="781"/>
      <c r="AY2597" s="782">
        <v>12096022</v>
      </c>
      <c r="AZ2597" s="782"/>
      <c r="BA2597" s="781"/>
      <c r="BB2597" s="209">
        <v>23053185</v>
      </c>
    </row>
    <row r="2598" spans="1:54" ht="25.15" hidden="1" customHeight="1">
      <c r="B2598" s="345">
        <v>45909</v>
      </c>
      <c r="C2598" s="346">
        <v>45930</v>
      </c>
      <c r="D2598" s="185">
        <f t="shared" si="1022"/>
        <v>2025</v>
      </c>
      <c r="E2598" s="347" t="e">
        <f>VLOOKUP($B2598,Week!$A$1:$C$1462,2,0)</f>
        <v>#N/A</v>
      </c>
      <c r="F2598" s="348" t="str">
        <f t="shared" si="1023"/>
        <v>Sep</v>
      </c>
      <c r="G2598" s="347" t="s">
        <v>2374</v>
      </c>
      <c r="H2598" s="347" t="s">
        <v>424</v>
      </c>
      <c r="I2598" s="347" t="s">
        <v>2772</v>
      </c>
      <c r="J2598" s="438" t="s">
        <v>425</v>
      </c>
      <c r="K2598" s="350" t="s">
        <v>176</v>
      </c>
      <c r="L2598" s="350" t="s">
        <v>2167</v>
      </c>
      <c r="M2598" s="349" t="s">
        <v>426</v>
      </c>
      <c r="N2598" s="347" t="s">
        <v>427</v>
      </c>
      <c r="O2598" s="347" t="s">
        <v>599</v>
      </c>
      <c r="P2598" s="351">
        <v>36</v>
      </c>
      <c r="Q2598" s="351">
        <v>5</v>
      </c>
      <c r="R2598" s="352">
        <v>7.4999999999999997E-3</v>
      </c>
      <c r="S2598" s="347" t="s">
        <v>111</v>
      </c>
      <c r="T2598" s="347" t="s">
        <v>112</v>
      </c>
      <c r="U2598" s="347" t="s">
        <v>57</v>
      </c>
      <c r="V2598" s="353">
        <v>1264</v>
      </c>
      <c r="W2598" s="353">
        <f>1956-1236</f>
        <v>720</v>
      </c>
      <c r="X2598" s="354">
        <f>(19568+16)/36</f>
        <v>544</v>
      </c>
      <c r="Y2598" s="355">
        <f t="shared" si="1032"/>
        <v>0</v>
      </c>
      <c r="Z2598" s="356">
        <f t="shared" si="1033"/>
        <v>0</v>
      </c>
      <c r="AA2598" s="353">
        <f t="shared" si="1024"/>
        <v>0</v>
      </c>
      <c r="AB2598" s="818">
        <v>7.4999999999999997E-3</v>
      </c>
      <c r="AC2598" s="353">
        <f t="shared" si="1034"/>
        <v>0</v>
      </c>
      <c r="AD2598" s="307" t="s">
        <v>2449</v>
      </c>
      <c r="AE2598" s="210">
        <f t="shared" si="1035"/>
        <v>0</v>
      </c>
      <c r="AF2598" s="210">
        <f t="shared" si="1036"/>
        <v>0</v>
      </c>
      <c r="AG2598" s="211">
        <f t="shared" si="1037"/>
        <v>0.14799999999999999</v>
      </c>
      <c r="AH2598" s="157">
        <f t="shared" si="1038"/>
        <v>0</v>
      </c>
      <c r="AI2598" s="152">
        <f t="shared" si="1039"/>
        <v>45504</v>
      </c>
      <c r="AK2598" s="156" t="s">
        <v>691</v>
      </c>
      <c r="AL2598" s="574" t="s">
        <v>690</v>
      </c>
      <c r="AM2598" s="198">
        <f t="shared" si="1031"/>
        <v>0</v>
      </c>
      <c r="AN2598" s="199">
        <f t="shared" si="1020"/>
        <v>45909</v>
      </c>
      <c r="AO2598" s="159" t="s">
        <v>692</v>
      </c>
      <c r="AP2598" s="783" t="s">
        <v>609</v>
      </c>
      <c r="AQ2598" s="782">
        <v>12071839</v>
      </c>
      <c r="AR2598" s="782">
        <v>12080260</v>
      </c>
      <c r="AS2598" s="782">
        <v>12080259</v>
      </c>
      <c r="AT2598" s="782">
        <v>12096006</v>
      </c>
      <c r="AU2598" s="782"/>
      <c r="AV2598" s="782">
        <v>12096007</v>
      </c>
      <c r="AW2598" s="782">
        <v>12024404</v>
      </c>
      <c r="AX2598" s="781"/>
      <c r="AY2598" s="782">
        <v>12096022</v>
      </c>
      <c r="AZ2598" s="782"/>
      <c r="BA2598" s="781"/>
      <c r="BB2598" s="209">
        <v>23053185</v>
      </c>
    </row>
    <row r="2599" spans="1:54" ht="24.65" hidden="1" customHeight="1">
      <c r="B2599" s="283">
        <v>45909</v>
      </c>
      <c r="C2599" s="284">
        <v>45931</v>
      </c>
      <c r="D2599" s="185">
        <f t="shared" si="1022"/>
        <v>2025</v>
      </c>
      <c r="E2599" s="284" t="e">
        <f>VLOOKUP($B2599,Week!$A$1:$C$1462,2,0)</f>
        <v>#N/A</v>
      </c>
      <c r="F2599" s="285" t="str">
        <f t="shared" si="1023"/>
        <v>Sep</v>
      </c>
      <c r="G2599" s="631" t="s">
        <v>2516</v>
      </c>
      <c r="H2599" s="624" t="s">
        <v>104</v>
      </c>
      <c r="I2599" s="624" t="s">
        <v>2772</v>
      </c>
      <c r="J2599" s="625" t="s">
        <v>105</v>
      </c>
      <c r="K2599" s="288" t="s">
        <v>51</v>
      </c>
      <c r="L2599" s="300" t="s">
        <v>2167</v>
      </c>
      <c r="M2599" s="287" t="s">
        <v>595</v>
      </c>
      <c r="N2599" s="286" t="s">
        <v>597</v>
      </c>
      <c r="O2599" s="286" t="s">
        <v>187</v>
      </c>
      <c r="P2599" s="289">
        <v>8</v>
      </c>
      <c r="Q2599" s="289">
        <v>5</v>
      </c>
      <c r="R2599" s="290">
        <v>6.0000000000000001E-3</v>
      </c>
      <c r="S2599" s="286" t="s">
        <v>55</v>
      </c>
      <c r="T2599" s="286" t="s">
        <v>112</v>
      </c>
      <c r="U2599" s="286" t="s">
        <v>57</v>
      </c>
      <c r="V2599" s="291">
        <f>5000</f>
        <v>5000</v>
      </c>
      <c r="W2599" s="291"/>
      <c r="X2599" s="292">
        <f>(528+39472)/8</f>
        <v>5000</v>
      </c>
      <c r="Y2599" s="293">
        <f t="shared" si="1032"/>
        <v>0</v>
      </c>
      <c r="Z2599" s="294">
        <f t="shared" si="1033"/>
        <v>0</v>
      </c>
      <c r="AA2599" s="294">
        <f t="shared" si="1024"/>
        <v>0</v>
      </c>
      <c r="AB2599" s="813">
        <v>7.4999999999999997E-3</v>
      </c>
      <c r="AC2599" s="291">
        <f t="shared" si="1034"/>
        <v>0</v>
      </c>
      <c r="AD2599" s="486"/>
      <c r="AE2599" s="210">
        <f t="shared" si="1035"/>
        <v>0</v>
      </c>
      <c r="AF2599" s="210">
        <f t="shared" si="1036"/>
        <v>0</v>
      </c>
      <c r="AG2599" s="211">
        <v>0.14499999999999999</v>
      </c>
      <c r="AH2599" s="157">
        <f t="shared" si="1038"/>
        <v>0</v>
      </c>
      <c r="AI2599" s="152">
        <v>19800</v>
      </c>
      <c r="AK2599" s="156" t="s">
        <v>691</v>
      </c>
      <c r="AL2599" s="212" t="s">
        <v>690</v>
      </c>
      <c r="AM2599" s="198">
        <f t="shared" si="1031"/>
        <v>0</v>
      </c>
      <c r="AN2599" s="199">
        <f t="shared" si="1020"/>
        <v>45909</v>
      </c>
      <c r="AO2599" s="159" t="s">
        <v>692</v>
      </c>
      <c r="AP2599" s="781"/>
      <c r="AQ2599" s="782">
        <v>12071839</v>
      </c>
      <c r="AR2599" s="782">
        <v>12047514</v>
      </c>
      <c r="AS2599" s="782">
        <v>12047515</v>
      </c>
      <c r="AT2599" s="782">
        <v>12083107</v>
      </c>
      <c r="AU2599" s="781"/>
      <c r="AV2599" s="782">
        <v>12084002</v>
      </c>
      <c r="AW2599" s="782"/>
      <c r="AX2599" s="782"/>
      <c r="AY2599" s="782"/>
      <c r="AZ2599" s="782"/>
      <c r="BA2599" s="781"/>
      <c r="BB2599" s="209">
        <v>23053185</v>
      </c>
    </row>
    <row r="2600" spans="1:54" ht="25" hidden="1" customHeight="1">
      <c r="A2600" s="142" t="s">
        <v>120</v>
      </c>
      <c r="B2600" s="369">
        <v>45910</v>
      </c>
      <c r="C2600" s="370">
        <v>45915</v>
      </c>
      <c r="D2600" s="185">
        <f t="shared" si="1022"/>
        <v>2025</v>
      </c>
      <c r="E2600" s="371" t="e">
        <f>VLOOKUP($B2600,Week!$A$1:$C$1462,2,0)</f>
        <v>#N/A</v>
      </c>
      <c r="F2600" s="372" t="str">
        <f t="shared" si="1023"/>
        <v>Sep</v>
      </c>
      <c r="G2600" s="371" t="s">
        <v>2406</v>
      </c>
      <c r="H2600" s="371" t="s">
        <v>344</v>
      </c>
      <c r="I2600" s="371" t="s">
        <v>2772</v>
      </c>
      <c r="J2600" s="373" t="s">
        <v>345</v>
      </c>
      <c r="K2600" s="374" t="s">
        <v>153</v>
      </c>
      <c r="L2600" s="390" t="s">
        <v>2166</v>
      </c>
      <c r="M2600" s="373" t="s">
        <v>214</v>
      </c>
      <c r="N2600" s="371" t="s">
        <v>346</v>
      </c>
      <c r="O2600" s="371" t="s">
        <v>509</v>
      </c>
      <c r="P2600" s="375">
        <v>18</v>
      </c>
      <c r="Q2600" s="375">
        <v>8</v>
      </c>
      <c r="R2600" s="376">
        <v>6.8100000000000001E-3</v>
      </c>
      <c r="S2600" s="371" t="s">
        <v>76</v>
      </c>
      <c r="T2600" s="371" t="s">
        <v>56</v>
      </c>
      <c r="U2600" s="371" t="s">
        <v>89</v>
      </c>
      <c r="V2600" s="377">
        <v>1650</v>
      </c>
      <c r="W2600" s="377">
        <f>1122+132</f>
        <v>1254</v>
      </c>
      <c r="X2600" s="378">
        <f>(900+6228)/18</f>
        <v>396</v>
      </c>
      <c r="Y2600" s="379">
        <f t="shared" si="1032"/>
        <v>0</v>
      </c>
      <c r="Z2600" s="380">
        <f t="shared" si="1033"/>
        <v>0</v>
      </c>
      <c r="AA2600" s="380">
        <f t="shared" si="1024"/>
        <v>0</v>
      </c>
      <c r="AB2600" s="820">
        <v>1</v>
      </c>
      <c r="AC2600" s="377">
        <f t="shared" si="1034"/>
        <v>0</v>
      </c>
      <c r="AD2600" s="443"/>
      <c r="AE2600" s="210">
        <f t="shared" si="1035"/>
        <v>0</v>
      </c>
      <c r="AF2600" s="210">
        <f t="shared" si="1036"/>
        <v>0</v>
      </c>
      <c r="AG2600" s="211">
        <f>MID(O2600,1,3)/1000</f>
        <v>0.10100000000000001</v>
      </c>
      <c r="AH2600" s="157">
        <f t="shared" si="1038"/>
        <v>0</v>
      </c>
      <c r="AI2600" s="152">
        <f t="shared" ref="AI2600:AI2619" si="1040">V2600*P2600</f>
        <v>29700</v>
      </c>
      <c r="AK2600" s="156" t="s">
        <v>691</v>
      </c>
      <c r="AL2600" s="156" t="s">
        <v>689</v>
      </c>
      <c r="AM2600" s="198">
        <f t="shared" si="1031"/>
        <v>0</v>
      </c>
      <c r="AN2600" s="199">
        <f t="shared" si="1020"/>
        <v>45910</v>
      </c>
      <c r="AO2600" s="159" t="s">
        <v>692</v>
      </c>
      <c r="AP2600" s="781"/>
      <c r="AQ2600" s="783" t="s">
        <v>631</v>
      </c>
      <c r="AR2600" s="782">
        <v>12038019</v>
      </c>
      <c r="AS2600" s="781"/>
      <c r="AT2600" s="800">
        <v>12055751</v>
      </c>
      <c r="AU2600" s="781"/>
      <c r="AV2600" s="800">
        <v>12049471</v>
      </c>
      <c r="AW2600" s="781"/>
      <c r="AX2600" s="781" t="s">
        <v>162</v>
      </c>
      <c r="AY2600" s="781"/>
      <c r="AZ2600" s="781"/>
      <c r="BA2600" s="781"/>
      <c r="BB2600" s="209">
        <v>23053184</v>
      </c>
    </row>
    <row r="2601" spans="1:54" ht="24.65" hidden="1" customHeight="1">
      <c r="A2601" s="142" t="s">
        <v>120</v>
      </c>
      <c r="B2601" s="357">
        <v>45910</v>
      </c>
      <c r="C2601" s="358">
        <v>45915</v>
      </c>
      <c r="D2601" s="185">
        <f t="shared" si="1022"/>
        <v>2025</v>
      </c>
      <c r="E2601" s="359" t="e">
        <f>VLOOKUP($B2601,Week!$A$1:$C$1462,2,0)</f>
        <v>#N/A</v>
      </c>
      <c r="F2601" s="360" t="str">
        <f t="shared" si="1023"/>
        <v>Sep</v>
      </c>
      <c r="G2601" s="359" t="s">
        <v>2406</v>
      </c>
      <c r="H2601" s="359" t="s">
        <v>344</v>
      </c>
      <c r="I2601" s="359" t="s">
        <v>2772</v>
      </c>
      <c r="J2601" s="361" t="s">
        <v>345</v>
      </c>
      <c r="K2601" s="362" t="s">
        <v>355</v>
      </c>
      <c r="L2601" s="390" t="s">
        <v>2166</v>
      </c>
      <c r="M2601" s="361" t="s">
        <v>356</v>
      </c>
      <c r="N2601" s="359" t="s">
        <v>357</v>
      </c>
      <c r="O2601" s="359" t="s">
        <v>508</v>
      </c>
      <c r="P2601" s="363">
        <v>18</v>
      </c>
      <c r="Q2601" s="363">
        <v>8</v>
      </c>
      <c r="R2601" s="364">
        <v>6.0000000000000001E-3</v>
      </c>
      <c r="S2601" s="359" t="s">
        <v>55</v>
      </c>
      <c r="T2601" s="359" t="s">
        <v>56</v>
      </c>
      <c r="U2601" s="359" t="s">
        <v>89</v>
      </c>
      <c r="V2601" s="365">
        <v>250</v>
      </c>
      <c r="W2601" s="365">
        <f>8+242</f>
        <v>250</v>
      </c>
      <c r="X2601" s="366"/>
      <c r="Y2601" s="367">
        <f t="shared" si="1032"/>
        <v>0</v>
      </c>
      <c r="Z2601" s="368">
        <f t="shared" si="1033"/>
        <v>0</v>
      </c>
      <c r="AA2601" s="368">
        <f t="shared" si="1024"/>
        <v>0</v>
      </c>
      <c r="AB2601" s="819">
        <v>2</v>
      </c>
      <c r="AC2601" s="365">
        <f t="shared" si="1034"/>
        <v>0</v>
      </c>
      <c r="AD2601" s="443"/>
      <c r="AE2601" s="210">
        <f t="shared" si="1035"/>
        <v>0</v>
      </c>
      <c r="AF2601" s="210">
        <f t="shared" si="1036"/>
        <v>0</v>
      </c>
      <c r="AG2601" s="211">
        <f>MID(O2601,1,2)/1000</f>
        <v>0.09</v>
      </c>
      <c r="AH2601" s="157">
        <f t="shared" si="1038"/>
        <v>0</v>
      </c>
      <c r="AI2601" s="152">
        <f t="shared" si="1040"/>
        <v>4500</v>
      </c>
      <c r="AK2601" s="156" t="s">
        <v>691</v>
      </c>
      <c r="AL2601" s="156" t="s">
        <v>689</v>
      </c>
      <c r="AM2601" s="198">
        <f t="shared" si="1031"/>
        <v>0</v>
      </c>
      <c r="AN2601" s="199">
        <f t="shared" si="1020"/>
        <v>45910</v>
      </c>
      <c r="AO2601" s="159" t="s">
        <v>692</v>
      </c>
      <c r="AP2601" s="781"/>
      <c r="AQ2601" s="782"/>
      <c r="AR2601" s="782" t="s">
        <v>531</v>
      </c>
      <c r="AS2601" s="782"/>
      <c r="AT2601" s="782"/>
      <c r="AU2601" s="782">
        <v>12054219</v>
      </c>
      <c r="AV2601" s="782">
        <v>12054239</v>
      </c>
      <c r="AW2601" s="782"/>
      <c r="AX2601" s="782" t="s">
        <v>532</v>
      </c>
      <c r="AY2601" s="782"/>
      <c r="AZ2601" s="782"/>
      <c r="BA2601" s="781"/>
      <c r="BB2601" s="209">
        <v>23053184</v>
      </c>
    </row>
    <row r="2602" spans="1:54" ht="24.75" hidden="1" customHeight="1">
      <c r="B2602" s="333">
        <v>45910</v>
      </c>
      <c r="C2602" s="333">
        <v>45918</v>
      </c>
      <c r="D2602" s="185">
        <f t="shared" si="1022"/>
        <v>2025</v>
      </c>
      <c r="E2602" s="335" t="e">
        <f>VLOOKUP($B2602,Week!$A$1:$C$1462,2,0)</f>
        <v>#N/A</v>
      </c>
      <c r="F2602" s="334" t="str">
        <f t="shared" si="1023"/>
        <v>Sep</v>
      </c>
      <c r="G2602" s="335" t="s">
        <v>2390</v>
      </c>
      <c r="H2602" s="335" t="s">
        <v>363</v>
      </c>
      <c r="I2602" s="335" t="s">
        <v>2772</v>
      </c>
      <c r="J2602" s="336" t="s">
        <v>364</v>
      </c>
      <c r="K2602" s="337" t="s">
        <v>176</v>
      </c>
      <c r="L2602" s="337" t="s">
        <v>2167</v>
      </c>
      <c r="M2602" s="382" t="s">
        <v>646</v>
      </c>
      <c r="N2602" s="335" t="s">
        <v>647</v>
      </c>
      <c r="O2602" s="335" t="s">
        <v>599</v>
      </c>
      <c r="P2602" s="338">
        <v>36</v>
      </c>
      <c r="Q2602" s="338">
        <v>5</v>
      </c>
      <c r="R2602" s="339">
        <v>8.0000000000000002E-3</v>
      </c>
      <c r="S2602" s="335" t="s">
        <v>40</v>
      </c>
      <c r="T2602" s="335" t="s">
        <v>112</v>
      </c>
      <c r="U2602" s="335" t="s">
        <v>57</v>
      </c>
      <c r="V2602" s="341">
        <f>1288-1256</f>
        <v>32</v>
      </c>
      <c r="W2602" s="341">
        <v>32</v>
      </c>
      <c r="X2602" s="342"/>
      <c r="Y2602" s="343">
        <f t="shared" si="1032"/>
        <v>0</v>
      </c>
      <c r="Z2602" s="344">
        <f t="shared" si="1033"/>
        <v>0</v>
      </c>
      <c r="AA2602" s="344">
        <f t="shared" si="1024"/>
        <v>0</v>
      </c>
      <c r="AB2602" s="821">
        <v>7.4999999999999997E-3</v>
      </c>
      <c r="AC2602" s="341">
        <f t="shared" si="1034"/>
        <v>0</v>
      </c>
      <c r="AD2602" s="209"/>
      <c r="AE2602" s="210">
        <f t="shared" si="1035"/>
        <v>0</v>
      </c>
      <c r="AF2602" s="210">
        <f t="shared" si="1036"/>
        <v>0</v>
      </c>
      <c r="AG2602" s="211">
        <f t="shared" ref="AG2602:AG2619" si="1041">MID(O2602,1,3)/1000</f>
        <v>0.14799999999999999</v>
      </c>
      <c r="AH2602" s="157">
        <f t="shared" si="1038"/>
        <v>0</v>
      </c>
      <c r="AI2602" s="152">
        <f t="shared" si="1040"/>
        <v>1152</v>
      </c>
      <c r="AK2602" s="156" t="s">
        <v>691</v>
      </c>
      <c r="AL2602" s="574" t="s">
        <v>690</v>
      </c>
      <c r="AM2602" s="198">
        <f t="shared" si="1031"/>
        <v>0</v>
      </c>
      <c r="AN2602" s="199">
        <f t="shared" si="1020"/>
        <v>45910</v>
      </c>
      <c r="AO2602" s="159" t="s">
        <v>692</v>
      </c>
      <c r="AP2602" s="781"/>
      <c r="AQ2602" s="782">
        <v>12071839</v>
      </c>
      <c r="AR2602" s="782">
        <v>12047514</v>
      </c>
      <c r="AS2602" s="782">
        <v>12047515</v>
      </c>
      <c r="AT2602" s="782">
        <v>12084374</v>
      </c>
      <c r="AU2602" s="781"/>
      <c r="AV2602" s="782">
        <v>12084372</v>
      </c>
      <c r="AW2602" s="782">
        <v>12024404</v>
      </c>
      <c r="AX2602" s="782"/>
      <c r="AY2602" s="782">
        <v>12094311</v>
      </c>
      <c r="AZ2602" s="782"/>
      <c r="BA2602" s="781"/>
      <c r="BB2602" s="209">
        <v>23053185</v>
      </c>
    </row>
    <row r="2603" spans="1:54" ht="24.75" hidden="1" customHeight="1">
      <c r="B2603" s="333">
        <v>45910</v>
      </c>
      <c r="C2603" s="333">
        <v>45925</v>
      </c>
      <c r="D2603" s="185">
        <f t="shared" si="1022"/>
        <v>2025</v>
      </c>
      <c r="E2603" s="335" t="e">
        <f>VLOOKUP($B2603,Week!$A$1:$C$1462,2,0)</f>
        <v>#N/A</v>
      </c>
      <c r="F2603" s="334" t="str">
        <f t="shared" si="1023"/>
        <v>Sep</v>
      </c>
      <c r="G2603" s="335" t="s">
        <v>2391</v>
      </c>
      <c r="H2603" s="335" t="s">
        <v>363</v>
      </c>
      <c r="I2603" s="335" t="s">
        <v>2772</v>
      </c>
      <c r="J2603" s="336" t="s">
        <v>364</v>
      </c>
      <c r="K2603" s="337" t="s">
        <v>176</v>
      </c>
      <c r="L2603" s="337" t="s">
        <v>2167</v>
      </c>
      <c r="M2603" s="382" t="s">
        <v>646</v>
      </c>
      <c r="N2603" s="335" t="s">
        <v>647</v>
      </c>
      <c r="O2603" s="335" t="s">
        <v>599</v>
      </c>
      <c r="P2603" s="338">
        <v>36</v>
      </c>
      <c r="Q2603" s="338">
        <v>5</v>
      </c>
      <c r="R2603" s="339">
        <v>8.0000000000000002E-3</v>
      </c>
      <c r="S2603" s="335" t="s">
        <v>40</v>
      </c>
      <c r="T2603" s="335" t="s">
        <v>112</v>
      </c>
      <c r="U2603" s="335" t="s">
        <v>57</v>
      </c>
      <c r="V2603" s="341">
        <f>1288</f>
        <v>1288</v>
      </c>
      <c r="W2603" s="341">
        <v>1288</v>
      </c>
      <c r="X2603" s="342"/>
      <c r="Y2603" s="343">
        <f t="shared" si="1032"/>
        <v>0</v>
      </c>
      <c r="Z2603" s="344">
        <f t="shared" si="1033"/>
        <v>0</v>
      </c>
      <c r="AA2603" s="344">
        <f t="shared" si="1024"/>
        <v>0</v>
      </c>
      <c r="AB2603" s="821">
        <v>7.4999999999999997E-3</v>
      </c>
      <c r="AC2603" s="341">
        <f t="shared" si="1034"/>
        <v>0</v>
      </c>
      <c r="AD2603" s="209"/>
      <c r="AE2603" s="210">
        <f t="shared" si="1035"/>
        <v>0</v>
      </c>
      <c r="AF2603" s="210">
        <f t="shared" si="1036"/>
        <v>0</v>
      </c>
      <c r="AG2603" s="211">
        <f t="shared" si="1041"/>
        <v>0.14799999999999999</v>
      </c>
      <c r="AH2603" s="157">
        <f t="shared" si="1038"/>
        <v>0</v>
      </c>
      <c r="AI2603" s="152">
        <f t="shared" si="1040"/>
        <v>46368</v>
      </c>
      <c r="AK2603" s="156" t="s">
        <v>691</v>
      </c>
      <c r="AL2603" s="574" t="s">
        <v>690</v>
      </c>
      <c r="AM2603" s="198">
        <f t="shared" si="1031"/>
        <v>0</v>
      </c>
      <c r="AN2603" s="199">
        <f t="shared" si="1020"/>
        <v>45910</v>
      </c>
      <c r="AO2603" s="159" t="s">
        <v>692</v>
      </c>
      <c r="AP2603" s="781"/>
      <c r="AQ2603" s="782">
        <v>12071839</v>
      </c>
      <c r="AR2603" s="782">
        <v>12047514</v>
      </c>
      <c r="AS2603" s="782">
        <v>12047515</v>
      </c>
      <c r="AT2603" s="782">
        <v>12084374</v>
      </c>
      <c r="AU2603" s="781"/>
      <c r="AV2603" s="782">
        <v>12084372</v>
      </c>
      <c r="AW2603" s="782">
        <v>12024404</v>
      </c>
      <c r="AX2603" s="782"/>
      <c r="AY2603" s="782">
        <v>12094311</v>
      </c>
      <c r="AZ2603" s="782"/>
      <c r="BA2603" s="781"/>
      <c r="BB2603" s="209">
        <v>23053185</v>
      </c>
    </row>
    <row r="2604" spans="1:54" ht="24.65" hidden="1" customHeight="1">
      <c r="B2604" s="308">
        <v>45910</v>
      </c>
      <c r="C2604" s="309">
        <v>45922</v>
      </c>
      <c r="D2604" s="185">
        <f t="shared" si="1022"/>
        <v>2025</v>
      </c>
      <c r="E2604" s="309" t="e">
        <f>VLOOKUP($B2604,Week!$A$1:$C$1462,2,0)</f>
        <v>#N/A</v>
      </c>
      <c r="F2604" s="310" t="str">
        <f t="shared" si="1023"/>
        <v>Sep</v>
      </c>
      <c r="G2604" s="311" t="s">
        <v>2431</v>
      </c>
      <c r="H2604" s="311" t="s">
        <v>311</v>
      </c>
      <c r="I2604" s="311" t="s">
        <v>2772</v>
      </c>
      <c r="J2604" s="312" t="s">
        <v>738</v>
      </c>
      <c r="K2604" s="313" t="s">
        <v>107</v>
      </c>
      <c r="L2604" s="300" t="s">
        <v>2167</v>
      </c>
      <c r="M2604" s="312" t="s">
        <v>313</v>
      </c>
      <c r="N2604" s="311" t="s">
        <v>314</v>
      </c>
      <c r="O2604" s="311" t="s">
        <v>110</v>
      </c>
      <c r="P2604" s="314">
        <v>36</v>
      </c>
      <c r="Q2604" s="314">
        <v>5</v>
      </c>
      <c r="R2604" s="315">
        <v>7.4999999999999997E-3</v>
      </c>
      <c r="S2604" s="311" t="s">
        <v>111</v>
      </c>
      <c r="T2604" s="311" t="s">
        <v>112</v>
      </c>
      <c r="U2604" s="311" t="s">
        <v>57</v>
      </c>
      <c r="V2604" s="316">
        <f>792-753</f>
        <v>39</v>
      </c>
      <c r="W2604" s="316">
        <f>1+38</f>
        <v>39</v>
      </c>
      <c r="X2604" s="317"/>
      <c r="Y2604" s="318">
        <f t="shared" si="1032"/>
        <v>0</v>
      </c>
      <c r="Z2604" s="319">
        <f t="shared" si="1033"/>
        <v>0</v>
      </c>
      <c r="AA2604" s="319">
        <f t="shared" si="1024"/>
        <v>0</v>
      </c>
      <c r="AB2604" s="815">
        <v>7.4999999999999997E-3</v>
      </c>
      <c r="AC2604" s="316">
        <f t="shared" si="1034"/>
        <v>0</v>
      </c>
      <c r="AD2604" s="515"/>
      <c r="AE2604" s="210">
        <f t="shared" si="1035"/>
        <v>0</v>
      </c>
      <c r="AF2604" s="210">
        <f t="shared" si="1036"/>
        <v>0</v>
      </c>
      <c r="AG2604" s="211">
        <f t="shared" si="1041"/>
        <v>0.308</v>
      </c>
      <c r="AH2604" s="157">
        <f t="shared" si="1038"/>
        <v>0</v>
      </c>
      <c r="AI2604" s="152">
        <f t="shared" si="1040"/>
        <v>1404</v>
      </c>
      <c r="AK2604" s="156" t="s">
        <v>691</v>
      </c>
      <c r="AL2604" s="212" t="s">
        <v>690</v>
      </c>
      <c r="AM2604" s="198">
        <f t="shared" si="1031"/>
        <v>0</v>
      </c>
      <c r="AN2604" s="199">
        <f t="shared" si="1020"/>
        <v>45910</v>
      </c>
      <c r="AO2604" s="159" t="s">
        <v>692</v>
      </c>
      <c r="AP2604" s="783" t="s">
        <v>644</v>
      </c>
      <c r="AQ2604" s="782">
        <v>12063755</v>
      </c>
      <c r="AR2604" s="782">
        <v>12061353</v>
      </c>
      <c r="AS2604" s="782">
        <v>12061354</v>
      </c>
      <c r="AT2604" s="782">
        <v>12062266</v>
      </c>
      <c r="AU2604" s="781"/>
      <c r="AV2604" s="782">
        <v>12088159</v>
      </c>
      <c r="AW2604" s="782">
        <v>12088207</v>
      </c>
      <c r="AX2604" s="782"/>
      <c r="AY2604" s="782">
        <v>12094237</v>
      </c>
      <c r="AZ2604" s="782"/>
      <c r="BA2604" s="781"/>
      <c r="BB2604" s="209">
        <v>23053185</v>
      </c>
    </row>
    <row r="2605" spans="1:54" ht="24.65" hidden="1" customHeight="1">
      <c r="B2605" s="308">
        <v>45910</v>
      </c>
      <c r="C2605" s="309">
        <v>45922</v>
      </c>
      <c r="D2605" s="185">
        <f t="shared" si="1022"/>
        <v>2025</v>
      </c>
      <c r="E2605" s="309" t="e">
        <f>VLOOKUP($B2605,Week!$A$1:$C$1462,2,0)</f>
        <v>#N/A</v>
      </c>
      <c r="F2605" s="310" t="str">
        <f t="shared" si="1023"/>
        <v>Sep</v>
      </c>
      <c r="G2605" s="311" t="s">
        <v>2455</v>
      </c>
      <c r="H2605" s="311" t="s">
        <v>311</v>
      </c>
      <c r="I2605" s="311" t="s">
        <v>2772</v>
      </c>
      <c r="J2605" s="312" t="s">
        <v>738</v>
      </c>
      <c r="K2605" s="313" t="s">
        <v>107</v>
      </c>
      <c r="L2605" s="300" t="s">
        <v>2167</v>
      </c>
      <c r="M2605" s="312" t="s">
        <v>313</v>
      </c>
      <c r="N2605" s="311" t="s">
        <v>314</v>
      </c>
      <c r="O2605" s="311" t="s">
        <v>110</v>
      </c>
      <c r="P2605" s="314">
        <v>36</v>
      </c>
      <c r="Q2605" s="314">
        <v>5</v>
      </c>
      <c r="R2605" s="315">
        <v>7.4999999999999997E-3</v>
      </c>
      <c r="S2605" s="311" t="s">
        <v>111</v>
      </c>
      <c r="T2605" s="311" t="s">
        <v>112</v>
      </c>
      <c r="U2605" s="311" t="s">
        <v>57</v>
      </c>
      <c r="V2605" s="316">
        <v>792</v>
      </c>
      <c r="W2605" s="316">
        <f>829-38+1</f>
        <v>792</v>
      </c>
      <c r="X2605" s="317"/>
      <c r="Y2605" s="318">
        <f t="shared" si="1032"/>
        <v>0</v>
      </c>
      <c r="Z2605" s="319">
        <f t="shared" si="1033"/>
        <v>0</v>
      </c>
      <c r="AA2605" s="319">
        <f t="shared" si="1024"/>
        <v>0</v>
      </c>
      <c r="AB2605" s="815">
        <v>7.4999999999999997E-3</v>
      </c>
      <c r="AC2605" s="316">
        <f t="shared" si="1034"/>
        <v>0</v>
      </c>
      <c r="AD2605" s="515"/>
      <c r="AE2605" s="210">
        <f t="shared" si="1035"/>
        <v>0</v>
      </c>
      <c r="AF2605" s="210">
        <f t="shared" si="1036"/>
        <v>0</v>
      </c>
      <c r="AG2605" s="211">
        <f t="shared" si="1041"/>
        <v>0.308</v>
      </c>
      <c r="AH2605" s="157">
        <f t="shared" si="1038"/>
        <v>0</v>
      </c>
      <c r="AI2605" s="152">
        <f t="shared" si="1040"/>
        <v>28512</v>
      </c>
      <c r="AK2605" s="156" t="s">
        <v>691</v>
      </c>
      <c r="AL2605" s="212" t="s">
        <v>690</v>
      </c>
      <c r="AM2605" s="198">
        <f t="shared" si="1031"/>
        <v>0</v>
      </c>
      <c r="AN2605" s="199">
        <f t="shared" si="1020"/>
        <v>45910</v>
      </c>
      <c r="AO2605" s="159" t="s">
        <v>692</v>
      </c>
      <c r="AP2605" s="783" t="s">
        <v>644</v>
      </c>
      <c r="AQ2605" s="782">
        <v>12063755</v>
      </c>
      <c r="AR2605" s="782">
        <v>12061353</v>
      </c>
      <c r="AS2605" s="782">
        <v>12061354</v>
      </c>
      <c r="AT2605" s="782">
        <v>12062266</v>
      </c>
      <c r="AU2605" s="781"/>
      <c r="AV2605" s="782">
        <v>12088159</v>
      </c>
      <c r="AW2605" s="782">
        <v>12088207</v>
      </c>
      <c r="AX2605" s="782"/>
      <c r="AY2605" s="782">
        <v>12094237</v>
      </c>
      <c r="AZ2605" s="782"/>
      <c r="BA2605" s="781"/>
      <c r="BB2605" s="209">
        <v>23053185</v>
      </c>
    </row>
    <row r="2606" spans="1:54" ht="24.65" hidden="1" customHeight="1">
      <c r="B2606" s="602">
        <v>45910</v>
      </c>
      <c r="C2606" s="603">
        <v>45920</v>
      </c>
      <c r="D2606" s="185">
        <f t="shared" si="1022"/>
        <v>2025</v>
      </c>
      <c r="E2606" s="603" t="e">
        <f>VLOOKUP($B2606,Week!$A$1:$C$1462,2,0)</f>
        <v>#N/A</v>
      </c>
      <c r="F2606" s="605" t="str">
        <f t="shared" si="1023"/>
        <v>Sep</v>
      </c>
      <c r="G2606" s="847" t="s">
        <v>2508</v>
      </c>
      <c r="H2606" s="604" t="s">
        <v>82</v>
      </c>
      <c r="I2606" s="604" t="s">
        <v>82</v>
      </c>
      <c r="J2606" s="606" t="s">
        <v>235</v>
      </c>
      <c r="K2606" s="607" t="s">
        <v>107</v>
      </c>
      <c r="L2606" s="300" t="s">
        <v>2167</v>
      </c>
      <c r="M2606" s="606" t="s">
        <v>654</v>
      </c>
      <c r="N2606" s="604" t="s">
        <v>753</v>
      </c>
      <c r="O2606" s="604" t="s">
        <v>110</v>
      </c>
      <c r="P2606" s="608">
        <v>36</v>
      </c>
      <c r="Q2606" s="608">
        <v>5</v>
      </c>
      <c r="R2606" s="609">
        <v>7.4999999999999997E-3</v>
      </c>
      <c r="S2606" s="604" t="s">
        <v>111</v>
      </c>
      <c r="T2606" s="604" t="s">
        <v>112</v>
      </c>
      <c r="U2606" s="604" t="s">
        <v>113</v>
      </c>
      <c r="V2606" s="610">
        <v>320</v>
      </c>
      <c r="W2606" s="610">
        <f>296</f>
        <v>296</v>
      </c>
      <c r="X2606" s="611">
        <v>24</v>
      </c>
      <c r="Y2606" s="612">
        <f t="shared" si="1032"/>
        <v>0</v>
      </c>
      <c r="Z2606" s="613">
        <f t="shared" si="1033"/>
        <v>0</v>
      </c>
      <c r="AA2606" s="613">
        <f t="shared" si="1024"/>
        <v>0</v>
      </c>
      <c r="AB2606" s="836">
        <v>9.7000000000000003E-3</v>
      </c>
      <c r="AC2606" s="610">
        <f t="shared" si="1034"/>
        <v>0</v>
      </c>
      <c r="AD2606" s="307" t="s">
        <v>2548</v>
      </c>
      <c r="AE2606" s="210">
        <f t="shared" si="1035"/>
        <v>0</v>
      </c>
      <c r="AF2606" s="210">
        <f t="shared" si="1036"/>
        <v>0</v>
      </c>
      <c r="AG2606" s="211">
        <f t="shared" si="1041"/>
        <v>0.308</v>
      </c>
      <c r="AH2606" s="157">
        <f t="shared" si="1038"/>
        <v>0</v>
      </c>
      <c r="AI2606" s="152">
        <f t="shared" si="1040"/>
        <v>11520</v>
      </c>
      <c r="AK2606" s="156" t="s">
        <v>691</v>
      </c>
      <c r="AL2606" s="212" t="s">
        <v>690</v>
      </c>
      <c r="AM2606" s="198">
        <f t="shared" si="1031"/>
        <v>0</v>
      </c>
      <c r="AN2606" s="199">
        <f t="shared" si="1020"/>
        <v>45910</v>
      </c>
      <c r="AO2606" s="159" t="s">
        <v>692</v>
      </c>
      <c r="AP2606" s="783" t="s">
        <v>644</v>
      </c>
      <c r="AQ2606" s="782">
        <v>12063755</v>
      </c>
      <c r="AR2606" s="782">
        <v>12061353</v>
      </c>
      <c r="AS2606" s="782">
        <v>12061354</v>
      </c>
      <c r="AT2606" s="782">
        <v>12096611</v>
      </c>
      <c r="AU2606" s="781"/>
      <c r="AV2606" s="782">
        <v>12096612</v>
      </c>
      <c r="AW2606" s="782">
        <v>12088207</v>
      </c>
      <c r="AX2606" s="782"/>
      <c r="AY2606" s="782">
        <v>12096583</v>
      </c>
      <c r="AZ2606" s="782"/>
      <c r="BA2606" s="781"/>
      <c r="BB2606" s="209">
        <v>23054743</v>
      </c>
    </row>
    <row r="2607" spans="1:54" ht="24.75" hidden="1" customHeight="1">
      <c r="A2607" s="142" t="s">
        <v>120</v>
      </c>
      <c r="B2607" s="308">
        <v>45911</v>
      </c>
      <c r="C2607" s="644" t="s">
        <v>1934</v>
      </c>
      <c r="D2607" s="185">
        <f t="shared" si="1022"/>
        <v>2025</v>
      </c>
      <c r="E2607" s="519" t="e">
        <f>VLOOKUP($B2607,Week!$A$1:$C$1462,2,0)</f>
        <v>#N/A</v>
      </c>
      <c r="F2607" s="520" t="str">
        <f t="shared" si="1023"/>
        <v>Sep</v>
      </c>
      <c r="G2607" s="644" t="s">
        <v>47</v>
      </c>
      <c r="H2607" s="311" t="s">
        <v>518</v>
      </c>
      <c r="I2607" s="311" t="s">
        <v>2702</v>
      </c>
      <c r="J2607" s="312" t="s">
        <v>70</v>
      </c>
      <c r="K2607" s="313" t="s">
        <v>85</v>
      </c>
      <c r="L2607" s="390" t="s">
        <v>2166</v>
      </c>
      <c r="M2607" s="312" t="s">
        <v>515</v>
      </c>
      <c r="N2607" s="311" t="s">
        <v>588</v>
      </c>
      <c r="O2607" s="311" t="s">
        <v>546</v>
      </c>
      <c r="P2607" s="314">
        <v>12</v>
      </c>
      <c r="Q2607" s="314">
        <v>20</v>
      </c>
      <c r="R2607" s="315">
        <v>6.1999999999999998E-3</v>
      </c>
      <c r="S2607" s="311" t="s">
        <v>352</v>
      </c>
      <c r="T2607" s="311" t="s">
        <v>56</v>
      </c>
      <c r="U2607" s="311"/>
      <c r="V2607" s="316">
        <f>700</f>
        <v>700</v>
      </c>
      <c r="W2607" s="316">
        <f>82+618</f>
        <v>700</v>
      </c>
      <c r="X2607" s="317"/>
      <c r="Y2607" s="318">
        <f t="shared" si="1032"/>
        <v>0</v>
      </c>
      <c r="Z2607" s="319">
        <f t="shared" si="1033"/>
        <v>0</v>
      </c>
      <c r="AA2607" s="319">
        <f t="shared" si="1024"/>
        <v>0</v>
      </c>
      <c r="AB2607" s="815"/>
      <c r="AC2607" s="316">
        <f t="shared" si="1034"/>
        <v>0</v>
      </c>
      <c r="AD2607" s="209"/>
      <c r="AE2607" s="210">
        <f t="shared" si="1035"/>
        <v>0</v>
      </c>
      <c r="AF2607" s="210">
        <f t="shared" si="1036"/>
        <v>0</v>
      </c>
      <c r="AG2607" s="211">
        <f t="shared" si="1041"/>
        <v>0.22</v>
      </c>
      <c r="AH2607" s="157">
        <f t="shared" si="1038"/>
        <v>0</v>
      </c>
      <c r="AI2607" s="152">
        <f t="shared" si="1040"/>
        <v>8400</v>
      </c>
      <c r="AK2607" s="156" t="s">
        <v>691</v>
      </c>
      <c r="AL2607" s="156" t="s">
        <v>689</v>
      </c>
      <c r="AM2607" s="198">
        <f t="shared" si="1031"/>
        <v>0</v>
      </c>
      <c r="AN2607" s="199">
        <f t="shared" si="1020"/>
        <v>45911</v>
      </c>
      <c r="AO2607" s="159" t="s">
        <v>692</v>
      </c>
      <c r="AP2607" s="783" t="s">
        <v>613</v>
      </c>
      <c r="AQ2607" s="782"/>
      <c r="AR2607" s="782" t="s">
        <v>614</v>
      </c>
      <c r="AS2607" s="782"/>
      <c r="AT2607" s="782"/>
      <c r="AU2607" s="781"/>
      <c r="AV2607" s="782">
        <v>12083143</v>
      </c>
      <c r="AW2607" s="782"/>
      <c r="AX2607" s="782" t="s">
        <v>2187</v>
      </c>
      <c r="AY2607" s="782"/>
      <c r="AZ2607" s="782"/>
      <c r="BA2607" s="781"/>
      <c r="BB2607" s="209"/>
    </row>
    <row r="2608" spans="1:54" ht="24.75" hidden="1" customHeight="1">
      <c r="A2608" s="142" t="s">
        <v>120</v>
      </c>
      <c r="B2608" s="308">
        <v>45911</v>
      </c>
      <c r="C2608" s="644" t="s">
        <v>1934</v>
      </c>
      <c r="D2608" s="185">
        <f t="shared" si="1022"/>
        <v>2025</v>
      </c>
      <c r="E2608" s="519" t="e">
        <f>VLOOKUP($B2608,Week!$A$1:$C$1462,2,0)</f>
        <v>#N/A</v>
      </c>
      <c r="F2608" s="520" t="str">
        <f t="shared" si="1023"/>
        <v>Sep</v>
      </c>
      <c r="G2608" s="644" t="s">
        <v>47</v>
      </c>
      <c r="H2608" s="311" t="s">
        <v>518</v>
      </c>
      <c r="I2608" s="311" t="s">
        <v>2702</v>
      </c>
      <c r="J2608" s="312" t="s">
        <v>70</v>
      </c>
      <c r="K2608" s="313" t="s">
        <v>85</v>
      </c>
      <c r="L2608" s="390" t="s">
        <v>2166</v>
      </c>
      <c r="M2608" s="312" t="s">
        <v>515</v>
      </c>
      <c r="N2608" s="311" t="s">
        <v>588</v>
      </c>
      <c r="O2608" s="311" t="s">
        <v>546</v>
      </c>
      <c r="P2608" s="314">
        <v>12</v>
      </c>
      <c r="Q2608" s="314">
        <v>20</v>
      </c>
      <c r="R2608" s="315">
        <v>6.1999999999999998E-3</v>
      </c>
      <c r="S2608" s="311" t="s">
        <v>352</v>
      </c>
      <c r="T2608" s="311" t="s">
        <v>56</v>
      </c>
      <c r="U2608" s="311"/>
      <c r="V2608" s="316">
        <f>500</f>
        <v>500</v>
      </c>
      <c r="W2608" s="316">
        <v>500</v>
      </c>
      <c r="X2608" s="317"/>
      <c r="Y2608" s="318">
        <f t="shared" si="1032"/>
        <v>0</v>
      </c>
      <c r="Z2608" s="319">
        <f t="shared" si="1033"/>
        <v>0</v>
      </c>
      <c r="AA2608" s="319">
        <f t="shared" si="1024"/>
        <v>0</v>
      </c>
      <c r="AB2608" s="815"/>
      <c r="AC2608" s="316">
        <f t="shared" si="1034"/>
        <v>0</v>
      </c>
      <c r="AD2608" s="209"/>
      <c r="AE2608" s="210">
        <f t="shared" si="1035"/>
        <v>0</v>
      </c>
      <c r="AF2608" s="210">
        <f t="shared" si="1036"/>
        <v>0</v>
      </c>
      <c r="AG2608" s="211">
        <f t="shared" si="1041"/>
        <v>0.22</v>
      </c>
      <c r="AH2608" s="157">
        <f t="shared" si="1038"/>
        <v>0</v>
      </c>
      <c r="AI2608" s="152">
        <f t="shared" si="1040"/>
        <v>6000</v>
      </c>
      <c r="AK2608" s="156" t="s">
        <v>691</v>
      </c>
      <c r="AL2608" s="156" t="s">
        <v>689</v>
      </c>
      <c r="AM2608" s="198">
        <f t="shared" si="1031"/>
        <v>0</v>
      </c>
      <c r="AN2608" s="199">
        <f t="shared" si="1020"/>
        <v>45911</v>
      </c>
      <c r="AO2608" s="159" t="s">
        <v>692</v>
      </c>
      <c r="AP2608" s="783" t="s">
        <v>613</v>
      </c>
      <c r="AQ2608" s="782"/>
      <c r="AR2608" s="782" t="s">
        <v>614</v>
      </c>
      <c r="AS2608" s="782"/>
      <c r="AT2608" s="782"/>
      <c r="AU2608" s="781"/>
      <c r="AV2608" s="782">
        <v>12083143</v>
      </c>
      <c r="AW2608" s="782"/>
      <c r="AX2608" s="782" t="s">
        <v>2187</v>
      </c>
      <c r="AY2608" s="782"/>
      <c r="AZ2608" s="782"/>
      <c r="BA2608" s="781"/>
      <c r="BB2608" s="209"/>
    </row>
    <row r="2609" spans="1:54" ht="25.15" hidden="1" customHeight="1">
      <c r="B2609" s="345">
        <v>45911</v>
      </c>
      <c r="C2609" s="346">
        <v>45930</v>
      </c>
      <c r="D2609" s="185">
        <f t="shared" si="1022"/>
        <v>2025</v>
      </c>
      <c r="E2609" s="347" t="e">
        <f>VLOOKUP($B2609,Week!$A$1:$C$1462,2,0)</f>
        <v>#N/A</v>
      </c>
      <c r="F2609" s="348" t="str">
        <f t="shared" si="1023"/>
        <v>Sep</v>
      </c>
      <c r="G2609" s="347" t="s">
        <v>2374</v>
      </c>
      <c r="H2609" s="347" t="s">
        <v>424</v>
      </c>
      <c r="I2609" s="347" t="s">
        <v>2772</v>
      </c>
      <c r="J2609" s="438" t="s">
        <v>425</v>
      </c>
      <c r="K2609" s="350" t="s">
        <v>176</v>
      </c>
      <c r="L2609" s="350" t="s">
        <v>2167</v>
      </c>
      <c r="M2609" s="349" t="s">
        <v>426</v>
      </c>
      <c r="N2609" s="347" t="s">
        <v>427</v>
      </c>
      <c r="O2609" s="347" t="s">
        <v>599</v>
      </c>
      <c r="P2609" s="351">
        <v>36</v>
      </c>
      <c r="Q2609" s="351">
        <v>5</v>
      </c>
      <c r="R2609" s="352">
        <v>7.4999999999999997E-3</v>
      </c>
      <c r="S2609" s="347" t="s">
        <v>111</v>
      </c>
      <c r="T2609" s="347" t="s">
        <v>112</v>
      </c>
      <c r="U2609" s="347" t="s">
        <v>57</v>
      </c>
      <c r="V2609" s="353">
        <v>24</v>
      </c>
      <c r="W2609" s="353">
        <v>24</v>
      </c>
      <c r="X2609" s="354"/>
      <c r="Y2609" s="355">
        <f t="shared" si="1032"/>
        <v>0</v>
      </c>
      <c r="Z2609" s="356">
        <f t="shared" si="1033"/>
        <v>0</v>
      </c>
      <c r="AA2609" s="353">
        <f t="shared" si="1024"/>
        <v>0</v>
      </c>
      <c r="AB2609" s="818">
        <v>7.4999999999999997E-3</v>
      </c>
      <c r="AC2609" s="353">
        <f t="shared" si="1034"/>
        <v>0</v>
      </c>
      <c r="AD2609" s="307" t="s">
        <v>2449</v>
      </c>
      <c r="AE2609" s="210">
        <f t="shared" si="1035"/>
        <v>0</v>
      </c>
      <c r="AF2609" s="210">
        <f t="shared" si="1036"/>
        <v>0</v>
      </c>
      <c r="AG2609" s="211">
        <f t="shared" si="1041"/>
        <v>0.14799999999999999</v>
      </c>
      <c r="AH2609" s="157">
        <f t="shared" si="1038"/>
        <v>0</v>
      </c>
      <c r="AI2609" s="152">
        <f t="shared" si="1040"/>
        <v>864</v>
      </c>
      <c r="AK2609" s="156" t="s">
        <v>691</v>
      </c>
      <c r="AL2609" s="574" t="s">
        <v>690</v>
      </c>
      <c r="AM2609" s="198">
        <f t="shared" si="1031"/>
        <v>0</v>
      </c>
      <c r="AN2609" s="199">
        <f t="shared" si="1020"/>
        <v>45911</v>
      </c>
      <c r="AO2609" s="159" t="s">
        <v>692</v>
      </c>
      <c r="AP2609" s="783" t="s">
        <v>609</v>
      </c>
      <c r="AQ2609" s="782">
        <v>12071839</v>
      </c>
      <c r="AR2609" s="782">
        <v>12080260</v>
      </c>
      <c r="AS2609" s="782">
        <v>12080259</v>
      </c>
      <c r="AT2609" s="782">
        <v>12096006</v>
      </c>
      <c r="AU2609" s="782"/>
      <c r="AV2609" s="782">
        <v>12096007</v>
      </c>
      <c r="AW2609" s="782">
        <v>12024404</v>
      </c>
      <c r="AX2609" s="781"/>
      <c r="AY2609" s="782">
        <v>12096022</v>
      </c>
      <c r="AZ2609" s="782"/>
      <c r="BA2609" s="781"/>
      <c r="BB2609" s="209">
        <v>23053185</v>
      </c>
    </row>
    <row r="2610" spans="1:54" ht="25.15" hidden="1" customHeight="1">
      <c r="B2610" s="345">
        <v>45911</v>
      </c>
      <c r="C2610" s="346">
        <v>45937</v>
      </c>
      <c r="D2610" s="185">
        <f t="shared" si="1022"/>
        <v>2025</v>
      </c>
      <c r="E2610" s="347" t="e">
        <f>VLOOKUP($B2610,Week!$A$1:$C$1462,2,0)</f>
        <v>#N/A</v>
      </c>
      <c r="F2610" s="348" t="str">
        <f t="shared" si="1023"/>
        <v>Sep</v>
      </c>
      <c r="G2610" s="347" t="s">
        <v>2447</v>
      </c>
      <c r="H2610" s="347" t="s">
        <v>424</v>
      </c>
      <c r="I2610" s="347" t="s">
        <v>2772</v>
      </c>
      <c r="J2610" s="438" t="s">
        <v>425</v>
      </c>
      <c r="K2610" s="350" t="s">
        <v>176</v>
      </c>
      <c r="L2610" s="350" t="s">
        <v>2167</v>
      </c>
      <c r="M2610" s="349" t="s">
        <v>426</v>
      </c>
      <c r="N2610" s="347" t="s">
        <v>427</v>
      </c>
      <c r="O2610" s="347" t="s">
        <v>599</v>
      </c>
      <c r="P2610" s="351">
        <v>36</v>
      </c>
      <c r="Q2610" s="351">
        <v>5</v>
      </c>
      <c r="R2610" s="352">
        <v>7.4999999999999997E-3</v>
      </c>
      <c r="S2610" s="347" t="s">
        <v>111</v>
      </c>
      <c r="T2610" s="347" t="s">
        <v>112</v>
      </c>
      <c r="U2610" s="347" t="s">
        <v>57</v>
      </c>
      <c r="V2610" s="353">
        <v>1288</v>
      </c>
      <c r="W2610" s="353">
        <f>1312-24</f>
        <v>1288</v>
      </c>
      <c r="X2610" s="354"/>
      <c r="Y2610" s="355">
        <f t="shared" si="1032"/>
        <v>0</v>
      </c>
      <c r="Z2610" s="356">
        <f t="shared" si="1033"/>
        <v>0</v>
      </c>
      <c r="AA2610" s="353">
        <f t="shared" si="1024"/>
        <v>0</v>
      </c>
      <c r="AB2610" s="818">
        <v>7.4999999999999997E-3</v>
      </c>
      <c r="AC2610" s="353">
        <f t="shared" si="1034"/>
        <v>0</v>
      </c>
      <c r="AD2610" s="307" t="s">
        <v>2449</v>
      </c>
      <c r="AE2610" s="210">
        <f t="shared" si="1035"/>
        <v>0</v>
      </c>
      <c r="AF2610" s="210">
        <f t="shared" si="1036"/>
        <v>0</v>
      </c>
      <c r="AG2610" s="211">
        <f t="shared" si="1041"/>
        <v>0.14799999999999999</v>
      </c>
      <c r="AH2610" s="157">
        <f t="shared" si="1038"/>
        <v>0</v>
      </c>
      <c r="AI2610" s="152">
        <f t="shared" si="1040"/>
        <v>46368</v>
      </c>
      <c r="AK2610" s="156" t="s">
        <v>691</v>
      </c>
      <c r="AL2610" s="574" t="s">
        <v>690</v>
      </c>
      <c r="AM2610" s="198">
        <f t="shared" si="1031"/>
        <v>0</v>
      </c>
      <c r="AN2610" s="199">
        <f t="shared" si="1020"/>
        <v>45911</v>
      </c>
      <c r="AO2610" s="159" t="s">
        <v>692</v>
      </c>
      <c r="AP2610" s="783" t="s">
        <v>609</v>
      </c>
      <c r="AQ2610" s="782">
        <v>12071839</v>
      </c>
      <c r="AR2610" s="782">
        <v>12080260</v>
      </c>
      <c r="AS2610" s="782">
        <v>12080259</v>
      </c>
      <c r="AT2610" s="782">
        <v>12096006</v>
      </c>
      <c r="AU2610" s="782"/>
      <c r="AV2610" s="782">
        <v>12096007</v>
      </c>
      <c r="AW2610" s="782">
        <v>12024404</v>
      </c>
      <c r="AX2610" s="781"/>
      <c r="AY2610" s="782">
        <v>12096022</v>
      </c>
      <c r="AZ2610" s="782"/>
      <c r="BA2610" s="781"/>
      <c r="BB2610" s="209">
        <v>23053185</v>
      </c>
    </row>
    <row r="2611" spans="1:54" ht="24.75" hidden="1" customHeight="1">
      <c r="B2611" s="295">
        <v>45911</v>
      </c>
      <c r="C2611" s="771" t="s">
        <v>1934</v>
      </c>
      <c r="D2611" s="185">
        <f t="shared" si="1022"/>
        <v>2025</v>
      </c>
      <c r="E2611" s="296" t="e">
        <f>VLOOKUP($B2611,Week!$A$1:$C$1462,2,0)</f>
        <v>#N/A</v>
      </c>
      <c r="F2611" s="297" t="str">
        <f t="shared" si="1023"/>
        <v>Sep</v>
      </c>
      <c r="G2611" s="648" t="s">
        <v>47</v>
      </c>
      <c r="H2611" s="298" t="s">
        <v>260</v>
      </c>
      <c r="I2611" s="298" t="s">
        <v>2702</v>
      </c>
      <c r="J2611" s="307" t="s">
        <v>2240</v>
      </c>
      <c r="K2611" s="300" t="s">
        <v>176</v>
      </c>
      <c r="L2611" s="300" t="s">
        <v>2167</v>
      </c>
      <c r="M2611" s="299" t="s">
        <v>2338</v>
      </c>
      <c r="N2611" s="298" t="s">
        <v>350</v>
      </c>
      <c r="O2611" s="298" t="s">
        <v>351</v>
      </c>
      <c r="P2611" s="301">
        <v>24</v>
      </c>
      <c r="Q2611" s="301">
        <v>5</v>
      </c>
      <c r="R2611" s="302">
        <v>6.1999999999999998E-3</v>
      </c>
      <c r="S2611" s="298" t="s">
        <v>352</v>
      </c>
      <c r="T2611" s="298" t="s">
        <v>56</v>
      </c>
      <c r="U2611" s="298" t="s">
        <v>57</v>
      </c>
      <c r="V2611" s="303">
        <v>1852</v>
      </c>
      <c r="W2611" s="303">
        <f>1+1851</f>
        <v>1852</v>
      </c>
      <c r="X2611" s="304"/>
      <c r="Y2611" s="305">
        <f t="shared" si="1032"/>
        <v>0</v>
      </c>
      <c r="Z2611" s="306">
        <f t="shared" si="1033"/>
        <v>0</v>
      </c>
      <c r="AA2611" s="306">
        <f t="shared" si="1024"/>
        <v>0</v>
      </c>
      <c r="AB2611" s="814">
        <v>7.4999999999999997E-3</v>
      </c>
      <c r="AC2611" s="303">
        <f t="shared" si="1034"/>
        <v>0</v>
      </c>
      <c r="AD2611" s="443"/>
      <c r="AE2611" s="210">
        <f t="shared" si="1035"/>
        <v>0</v>
      </c>
      <c r="AF2611" s="210">
        <f t="shared" si="1036"/>
        <v>0</v>
      </c>
      <c r="AG2611" s="211">
        <f t="shared" si="1041"/>
        <v>0.13</v>
      </c>
      <c r="AH2611" s="157">
        <f t="shared" si="1038"/>
        <v>0</v>
      </c>
      <c r="AI2611" s="152">
        <f t="shared" si="1040"/>
        <v>44448</v>
      </c>
      <c r="AK2611" s="156" t="s">
        <v>691</v>
      </c>
      <c r="AL2611" s="574" t="s">
        <v>690</v>
      </c>
      <c r="AM2611" s="198">
        <f t="shared" si="1031"/>
        <v>0</v>
      </c>
      <c r="AN2611" s="199">
        <f t="shared" si="1020"/>
        <v>45911</v>
      </c>
      <c r="AO2611" s="159" t="s">
        <v>692</v>
      </c>
      <c r="AP2611" s="783" t="s">
        <v>622</v>
      </c>
      <c r="AQ2611" s="782">
        <v>12071839</v>
      </c>
      <c r="AR2611" s="782">
        <v>12094356</v>
      </c>
      <c r="AS2611" s="782">
        <v>12068233</v>
      </c>
      <c r="AT2611" s="781"/>
      <c r="AU2611" s="781"/>
      <c r="AV2611" s="782">
        <v>12062075</v>
      </c>
      <c r="AW2611" s="781"/>
      <c r="AX2611" s="781"/>
      <c r="AY2611" s="782">
        <v>12094357</v>
      </c>
      <c r="AZ2611" s="782"/>
      <c r="BA2611" s="781"/>
      <c r="BB2611" s="209">
        <v>23053184</v>
      </c>
    </row>
    <row r="2612" spans="1:54" ht="24.65" hidden="1" customHeight="1">
      <c r="A2612" s="630" t="s">
        <v>120</v>
      </c>
      <c r="B2612" s="466">
        <v>45912</v>
      </c>
      <c r="C2612" s="467">
        <v>45920</v>
      </c>
      <c r="D2612" s="185">
        <f t="shared" si="1022"/>
        <v>2025</v>
      </c>
      <c r="E2612" s="468" t="e">
        <f>VLOOKUP($B2612,Week!$A$1:$C$1462,2,0)</f>
        <v>#N/A</v>
      </c>
      <c r="F2612" s="469" t="str">
        <f t="shared" si="1023"/>
        <v>Sep</v>
      </c>
      <c r="G2612" s="470" t="s">
        <v>2433</v>
      </c>
      <c r="H2612" s="468" t="s">
        <v>82</v>
      </c>
      <c r="I2612" s="468" t="s">
        <v>82</v>
      </c>
      <c r="J2612" s="471" t="s">
        <v>720</v>
      </c>
      <c r="K2612" s="472" t="s">
        <v>85</v>
      </c>
      <c r="L2612" s="390" t="s">
        <v>2166</v>
      </c>
      <c r="M2612" s="471" t="s">
        <v>579</v>
      </c>
      <c r="N2612" s="468" t="s">
        <v>580</v>
      </c>
      <c r="O2612" s="468" t="s">
        <v>581</v>
      </c>
      <c r="P2612" s="473">
        <v>8</v>
      </c>
      <c r="Q2612" s="473">
        <v>60</v>
      </c>
      <c r="R2612" s="474">
        <v>6.8100000000000001E-3</v>
      </c>
      <c r="S2612" s="468" t="s">
        <v>76</v>
      </c>
      <c r="T2612" s="468" t="s">
        <v>56</v>
      </c>
      <c r="U2612" s="468" t="s">
        <v>89</v>
      </c>
      <c r="V2612" s="475">
        <f>1408-697</f>
        <v>711</v>
      </c>
      <c r="W2612" s="475">
        <f>711</f>
        <v>711</v>
      </c>
      <c r="X2612" s="476"/>
      <c r="Y2612" s="477">
        <f t="shared" si="1032"/>
        <v>0</v>
      </c>
      <c r="Z2612" s="478">
        <f t="shared" si="1033"/>
        <v>0</v>
      </c>
      <c r="AA2612" s="478">
        <f t="shared" si="1024"/>
        <v>0</v>
      </c>
      <c r="AB2612" s="828">
        <v>6</v>
      </c>
      <c r="AC2612" s="475">
        <f t="shared" si="1034"/>
        <v>0</v>
      </c>
      <c r="AD2612" s="209"/>
      <c r="AE2612" s="210">
        <f t="shared" si="1035"/>
        <v>0</v>
      </c>
      <c r="AF2612" s="210">
        <f t="shared" si="1036"/>
        <v>0</v>
      </c>
      <c r="AG2612" s="211">
        <f t="shared" si="1041"/>
        <v>0.75</v>
      </c>
      <c r="AH2612" s="157">
        <f t="shared" si="1038"/>
        <v>0</v>
      </c>
      <c r="AI2612" s="152">
        <f t="shared" si="1040"/>
        <v>5688</v>
      </c>
      <c r="AK2612" s="156" t="s">
        <v>691</v>
      </c>
      <c r="AL2612" s="156" t="s">
        <v>689</v>
      </c>
      <c r="AM2612" s="198">
        <f t="shared" si="1031"/>
        <v>0</v>
      </c>
      <c r="AN2612" s="199">
        <f t="shared" si="1020"/>
        <v>45912</v>
      </c>
      <c r="AO2612" s="159" t="s">
        <v>692</v>
      </c>
      <c r="AP2612" s="783" t="s">
        <v>613</v>
      </c>
      <c r="AQ2612" s="782">
        <v>12088677</v>
      </c>
      <c r="AR2612" s="782" t="s">
        <v>2142</v>
      </c>
      <c r="AS2612" s="782"/>
      <c r="AT2612" s="782">
        <v>12082897</v>
      </c>
      <c r="AU2612" s="781"/>
      <c r="AV2612" s="782">
        <v>12082898</v>
      </c>
      <c r="AW2612" s="782">
        <v>12082899</v>
      </c>
      <c r="AX2612" s="796" t="s">
        <v>621</v>
      </c>
      <c r="AY2612" s="782"/>
      <c r="AZ2612" s="782"/>
      <c r="BA2612" s="781"/>
      <c r="BB2612" s="209">
        <v>23053184</v>
      </c>
    </row>
    <row r="2613" spans="1:54" ht="24.75" hidden="1" customHeight="1">
      <c r="B2613" s="295">
        <v>45912</v>
      </c>
      <c r="C2613" s="771" t="s">
        <v>1934</v>
      </c>
      <c r="D2613" s="185">
        <f t="shared" si="1022"/>
        <v>2025</v>
      </c>
      <c r="E2613" s="296" t="e">
        <f>VLOOKUP($B2613,Week!$A$1:$C$1462,2,0)</f>
        <v>#N/A</v>
      </c>
      <c r="F2613" s="297" t="str">
        <f t="shared" si="1023"/>
        <v>Sep</v>
      </c>
      <c r="G2613" s="648" t="s">
        <v>47</v>
      </c>
      <c r="H2613" s="298" t="s">
        <v>260</v>
      </c>
      <c r="I2613" s="298" t="s">
        <v>2702</v>
      </c>
      <c r="J2613" s="307" t="s">
        <v>2240</v>
      </c>
      <c r="K2613" s="300" t="s">
        <v>176</v>
      </c>
      <c r="L2613" s="300" t="s">
        <v>2167</v>
      </c>
      <c r="M2613" s="299" t="s">
        <v>2338</v>
      </c>
      <c r="N2613" s="298" t="s">
        <v>350</v>
      </c>
      <c r="O2613" s="298" t="s">
        <v>351</v>
      </c>
      <c r="P2613" s="301">
        <v>24</v>
      </c>
      <c r="Q2613" s="301">
        <v>5</v>
      </c>
      <c r="R2613" s="302">
        <v>6.1999999999999998E-3</v>
      </c>
      <c r="S2613" s="298" t="s">
        <v>352</v>
      </c>
      <c r="T2613" s="298" t="s">
        <v>56</v>
      </c>
      <c r="U2613" s="298" t="s">
        <v>57</v>
      </c>
      <c r="V2613" s="303">
        <v>2259</v>
      </c>
      <c r="W2613" s="303">
        <f>1+2258</f>
        <v>2259</v>
      </c>
      <c r="X2613" s="304"/>
      <c r="Y2613" s="305">
        <f t="shared" si="1032"/>
        <v>0</v>
      </c>
      <c r="Z2613" s="306">
        <f t="shared" si="1033"/>
        <v>0</v>
      </c>
      <c r="AA2613" s="306">
        <f t="shared" si="1024"/>
        <v>0</v>
      </c>
      <c r="AB2613" s="814">
        <v>7.4999999999999997E-3</v>
      </c>
      <c r="AC2613" s="303">
        <f t="shared" si="1034"/>
        <v>0</v>
      </c>
      <c r="AD2613" s="443"/>
      <c r="AE2613" s="210">
        <f t="shared" si="1035"/>
        <v>0</v>
      </c>
      <c r="AF2613" s="210">
        <f t="shared" si="1036"/>
        <v>0</v>
      </c>
      <c r="AG2613" s="211">
        <f t="shared" si="1041"/>
        <v>0.13</v>
      </c>
      <c r="AH2613" s="157">
        <f t="shared" si="1038"/>
        <v>0</v>
      </c>
      <c r="AI2613" s="152">
        <f t="shared" si="1040"/>
        <v>54216</v>
      </c>
      <c r="AK2613" s="156" t="s">
        <v>691</v>
      </c>
      <c r="AL2613" s="574" t="s">
        <v>690</v>
      </c>
      <c r="AM2613" s="198">
        <f t="shared" si="1031"/>
        <v>0</v>
      </c>
      <c r="AN2613" s="199">
        <f t="shared" si="1020"/>
        <v>45912</v>
      </c>
      <c r="AO2613" s="159" t="s">
        <v>692</v>
      </c>
      <c r="AP2613" s="783" t="s">
        <v>622</v>
      </c>
      <c r="AQ2613" s="782">
        <v>12071839</v>
      </c>
      <c r="AR2613" s="782">
        <v>12094356</v>
      </c>
      <c r="AS2613" s="782">
        <v>12068233</v>
      </c>
      <c r="AT2613" s="781"/>
      <c r="AU2613" s="781"/>
      <c r="AV2613" s="782">
        <v>12062075</v>
      </c>
      <c r="AW2613" s="781"/>
      <c r="AX2613" s="781"/>
      <c r="AY2613" s="782">
        <v>12094357</v>
      </c>
      <c r="AZ2613" s="782"/>
      <c r="BA2613" s="781"/>
      <c r="BB2613" s="209">
        <v>23053184</v>
      </c>
    </row>
    <row r="2614" spans="1:54" ht="24.65" hidden="1" customHeight="1">
      <c r="B2614" s="308">
        <v>45912</v>
      </c>
      <c r="C2614" s="309">
        <v>45922</v>
      </c>
      <c r="D2614" s="185">
        <f t="shared" si="1022"/>
        <v>2025</v>
      </c>
      <c r="E2614" s="309" t="e">
        <f>VLOOKUP($B2614,Week!$A$1:$C$1462,2,0)</f>
        <v>#N/A</v>
      </c>
      <c r="F2614" s="310" t="str">
        <f t="shared" si="1023"/>
        <v>Sep</v>
      </c>
      <c r="G2614" s="311" t="s">
        <v>2456</v>
      </c>
      <c r="H2614" s="311" t="s">
        <v>311</v>
      </c>
      <c r="I2614" s="311" t="s">
        <v>2772</v>
      </c>
      <c r="J2614" s="312" t="s">
        <v>738</v>
      </c>
      <c r="K2614" s="313" t="s">
        <v>107</v>
      </c>
      <c r="L2614" s="300" t="s">
        <v>2167</v>
      </c>
      <c r="M2614" s="312" t="s">
        <v>313</v>
      </c>
      <c r="N2614" s="311" t="s">
        <v>314</v>
      </c>
      <c r="O2614" s="311" t="s">
        <v>110</v>
      </c>
      <c r="P2614" s="314">
        <v>36</v>
      </c>
      <c r="Q2614" s="314">
        <v>5</v>
      </c>
      <c r="R2614" s="315">
        <v>7.4999999999999997E-3</v>
      </c>
      <c r="S2614" s="311" t="s">
        <v>111</v>
      </c>
      <c r="T2614" s="311" t="s">
        <v>112</v>
      </c>
      <c r="U2614" s="311" t="s">
        <v>57</v>
      </c>
      <c r="V2614" s="316">
        <v>792</v>
      </c>
      <c r="W2614" s="316">
        <f>11+781</f>
        <v>792</v>
      </c>
      <c r="X2614" s="317"/>
      <c r="Y2614" s="318">
        <f t="shared" si="1032"/>
        <v>0</v>
      </c>
      <c r="Z2614" s="319">
        <f t="shared" si="1033"/>
        <v>0</v>
      </c>
      <c r="AA2614" s="319">
        <f t="shared" si="1024"/>
        <v>0</v>
      </c>
      <c r="AB2614" s="815">
        <v>7.4999999999999997E-3</v>
      </c>
      <c r="AC2614" s="316">
        <f t="shared" si="1034"/>
        <v>0</v>
      </c>
      <c r="AD2614" s="515"/>
      <c r="AE2614" s="210">
        <f t="shared" si="1035"/>
        <v>0</v>
      </c>
      <c r="AF2614" s="210">
        <f t="shared" si="1036"/>
        <v>0</v>
      </c>
      <c r="AG2614" s="211">
        <f t="shared" si="1041"/>
        <v>0.308</v>
      </c>
      <c r="AH2614" s="157">
        <f t="shared" si="1038"/>
        <v>0</v>
      </c>
      <c r="AI2614" s="152">
        <f t="shared" si="1040"/>
        <v>28512</v>
      </c>
      <c r="AK2614" s="156" t="s">
        <v>691</v>
      </c>
      <c r="AL2614" s="212" t="s">
        <v>690</v>
      </c>
      <c r="AM2614" s="198">
        <f t="shared" si="1031"/>
        <v>0</v>
      </c>
      <c r="AN2614" s="199">
        <f t="shared" si="1020"/>
        <v>45912</v>
      </c>
      <c r="AO2614" s="159" t="s">
        <v>692</v>
      </c>
      <c r="AP2614" s="783" t="s">
        <v>644</v>
      </c>
      <c r="AQ2614" s="782">
        <v>12063755</v>
      </c>
      <c r="AR2614" s="782">
        <v>12061353</v>
      </c>
      <c r="AS2614" s="782">
        <v>12061354</v>
      </c>
      <c r="AT2614" s="782">
        <v>12062266</v>
      </c>
      <c r="AU2614" s="781"/>
      <c r="AV2614" s="782">
        <v>12088159</v>
      </c>
      <c r="AW2614" s="782">
        <v>12088207</v>
      </c>
      <c r="AX2614" s="782"/>
      <c r="AY2614" s="782">
        <v>12094237</v>
      </c>
      <c r="AZ2614" s="782"/>
      <c r="BA2614" s="781"/>
      <c r="BB2614" s="209">
        <v>23053185</v>
      </c>
    </row>
    <row r="2615" spans="1:54" ht="24.65" hidden="1" customHeight="1">
      <c r="A2615" s="630" t="s">
        <v>120</v>
      </c>
      <c r="B2615" s="466">
        <v>45913</v>
      </c>
      <c r="C2615" s="467">
        <v>45920</v>
      </c>
      <c r="D2615" s="185">
        <f t="shared" si="1022"/>
        <v>2025</v>
      </c>
      <c r="E2615" s="468" t="e">
        <f>VLOOKUP($B2615,Week!$A$1:$C$1462,2,0)</f>
        <v>#N/A</v>
      </c>
      <c r="F2615" s="469" t="str">
        <f t="shared" si="1023"/>
        <v>Sep</v>
      </c>
      <c r="G2615" s="470" t="s">
        <v>2445</v>
      </c>
      <c r="H2615" s="468" t="s">
        <v>82</v>
      </c>
      <c r="I2615" s="468" t="s">
        <v>82</v>
      </c>
      <c r="J2615" s="471" t="s">
        <v>720</v>
      </c>
      <c r="K2615" s="472" t="s">
        <v>85</v>
      </c>
      <c r="L2615" s="390" t="s">
        <v>2166</v>
      </c>
      <c r="M2615" s="471" t="s">
        <v>579</v>
      </c>
      <c r="N2615" s="468" t="s">
        <v>580</v>
      </c>
      <c r="O2615" s="468" t="s">
        <v>581</v>
      </c>
      <c r="P2615" s="473">
        <v>8</v>
      </c>
      <c r="Q2615" s="473">
        <v>60</v>
      </c>
      <c r="R2615" s="474">
        <v>6.8100000000000001E-3</v>
      </c>
      <c r="S2615" s="468" t="s">
        <v>76</v>
      </c>
      <c r="T2615" s="468" t="s">
        <v>56</v>
      </c>
      <c r="U2615" s="468" t="s">
        <v>89</v>
      </c>
      <c r="V2615" s="475">
        <f>750</f>
        <v>750</v>
      </c>
      <c r="W2615" s="475">
        <v>750</v>
      </c>
      <c r="X2615" s="476"/>
      <c r="Y2615" s="477">
        <f t="shared" si="1032"/>
        <v>0</v>
      </c>
      <c r="Z2615" s="478">
        <f t="shared" si="1033"/>
        <v>0</v>
      </c>
      <c r="AA2615" s="478">
        <f t="shared" si="1024"/>
        <v>0</v>
      </c>
      <c r="AB2615" s="828">
        <v>6</v>
      </c>
      <c r="AC2615" s="475">
        <f t="shared" si="1034"/>
        <v>0</v>
      </c>
      <c r="AD2615" s="209"/>
      <c r="AE2615" s="210">
        <f t="shared" si="1035"/>
        <v>0</v>
      </c>
      <c r="AF2615" s="210">
        <f t="shared" si="1036"/>
        <v>0</v>
      </c>
      <c r="AG2615" s="211">
        <f t="shared" si="1041"/>
        <v>0.75</v>
      </c>
      <c r="AH2615" s="157">
        <f t="shared" si="1038"/>
        <v>0</v>
      </c>
      <c r="AI2615" s="152">
        <f t="shared" si="1040"/>
        <v>6000</v>
      </c>
      <c r="AK2615" s="156" t="s">
        <v>691</v>
      </c>
      <c r="AL2615" s="156" t="s">
        <v>689</v>
      </c>
      <c r="AM2615" s="198">
        <f t="shared" si="1031"/>
        <v>0</v>
      </c>
      <c r="AN2615" s="199">
        <f t="shared" si="1020"/>
        <v>45913</v>
      </c>
      <c r="AO2615" s="159" t="s">
        <v>692</v>
      </c>
      <c r="AP2615" s="783" t="s">
        <v>622</v>
      </c>
      <c r="AQ2615" s="782">
        <v>12088677</v>
      </c>
      <c r="AR2615" s="782" t="s">
        <v>2142</v>
      </c>
      <c r="AS2615" s="782"/>
      <c r="AT2615" s="782">
        <v>12082897</v>
      </c>
      <c r="AU2615" s="781"/>
      <c r="AV2615" s="782">
        <v>12082898</v>
      </c>
      <c r="AW2615" s="782">
        <v>12082899</v>
      </c>
      <c r="AX2615" s="796" t="s">
        <v>621</v>
      </c>
      <c r="AY2615" s="782"/>
      <c r="AZ2615" s="782"/>
      <c r="BA2615" s="781"/>
      <c r="BB2615" s="209">
        <v>23053184</v>
      </c>
    </row>
    <row r="2616" spans="1:54" ht="24.65" hidden="1" customHeight="1">
      <c r="B2616" s="308">
        <v>45913</v>
      </c>
      <c r="C2616" s="309">
        <v>45936</v>
      </c>
      <c r="D2616" s="185">
        <f t="shared" si="1022"/>
        <v>2025</v>
      </c>
      <c r="E2616" s="309" t="e">
        <f>VLOOKUP($B2616,Week!$A$1:$C$1462,2,0)</f>
        <v>#N/A</v>
      </c>
      <c r="F2616" s="310" t="str">
        <f t="shared" si="1023"/>
        <v>Sep</v>
      </c>
      <c r="G2616" s="311" t="s">
        <v>2457</v>
      </c>
      <c r="H2616" s="311" t="s">
        <v>311</v>
      </c>
      <c r="I2616" s="311" t="s">
        <v>2772</v>
      </c>
      <c r="J2616" s="312" t="s">
        <v>738</v>
      </c>
      <c r="K2616" s="313" t="s">
        <v>107</v>
      </c>
      <c r="L2616" s="300" t="s">
        <v>2167</v>
      </c>
      <c r="M2616" s="312" t="s">
        <v>313</v>
      </c>
      <c r="N2616" s="311" t="s">
        <v>314</v>
      </c>
      <c r="O2616" s="311" t="s">
        <v>110</v>
      </c>
      <c r="P2616" s="314">
        <v>36</v>
      </c>
      <c r="Q2616" s="314">
        <v>5</v>
      </c>
      <c r="R2616" s="315">
        <v>7.4999999999999997E-3</v>
      </c>
      <c r="S2616" s="311" t="s">
        <v>111</v>
      </c>
      <c r="T2616" s="311" t="s">
        <v>112</v>
      </c>
      <c r="U2616" s="311" t="s">
        <v>57</v>
      </c>
      <c r="V2616" s="316">
        <v>792</v>
      </c>
      <c r="W2616" s="316">
        <f>2+790</f>
        <v>792</v>
      </c>
      <c r="X2616" s="317"/>
      <c r="Y2616" s="318">
        <f t="shared" si="1032"/>
        <v>0</v>
      </c>
      <c r="Z2616" s="319">
        <f t="shared" si="1033"/>
        <v>0</v>
      </c>
      <c r="AA2616" s="319">
        <f t="shared" si="1024"/>
        <v>0</v>
      </c>
      <c r="AB2616" s="815">
        <v>7.4999999999999997E-3</v>
      </c>
      <c r="AC2616" s="316">
        <f t="shared" si="1034"/>
        <v>0</v>
      </c>
      <c r="AD2616" s="515"/>
      <c r="AE2616" s="210">
        <f t="shared" si="1035"/>
        <v>0</v>
      </c>
      <c r="AF2616" s="210">
        <f t="shared" si="1036"/>
        <v>0</v>
      </c>
      <c r="AG2616" s="211">
        <f t="shared" si="1041"/>
        <v>0.308</v>
      </c>
      <c r="AH2616" s="157">
        <f t="shared" si="1038"/>
        <v>0</v>
      </c>
      <c r="AI2616" s="152">
        <f t="shared" si="1040"/>
        <v>28512</v>
      </c>
      <c r="AK2616" s="156" t="s">
        <v>691</v>
      </c>
      <c r="AL2616" s="212" t="s">
        <v>690</v>
      </c>
      <c r="AM2616" s="198">
        <f t="shared" si="1031"/>
        <v>0</v>
      </c>
      <c r="AN2616" s="199">
        <f t="shared" si="1020"/>
        <v>45913</v>
      </c>
      <c r="AO2616" s="159" t="s">
        <v>692</v>
      </c>
      <c r="AP2616" s="783" t="s">
        <v>644</v>
      </c>
      <c r="AQ2616" s="782">
        <v>12063755</v>
      </c>
      <c r="AR2616" s="782">
        <v>12061353</v>
      </c>
      <c r="AS2616" s="782">
        <v>12061354</v>
      </c>
      <c r="AT2616" s="782">
        <v>12062266</v>
      </c>
      <c r="AU2616" s="781"/>
      <c r="AV2616" s="782">
        <v>12088159</v>
      </c>
      <c r="AW2616" s="782">
        <v>12088207</v>
      </c>
      <c r="AX2616" s="782"/>
      <c r="AY2616" s="782">
        <v>12094237</v>
      </c>
      <c r="AZ2616" s="782"/>
      <c r="BA2616" s="781"/>
      <c r="BB2616" s="209">
        <v>23053185</v>
      </c>
    </row>
    <row r="2617" spans="1:54" ht="24.65" hidden="1" customHeight="1">
      <c r="B2617" s="308">
        <v>45913</v>
      </c>
      <c r="C2617" s="309">
        <v>45936</v>
      </c>
      <c r="D2617" s="185">
        <f t="shared" si="1022"/>
        <v>2025</v>
      </c>
      <c r="E2617" s="309" t="e">
        <f>VLOOKUP($B2617,Week!$A$1:$C$1462,2,0)</f>
        <v>#N/A</v>
      </c>
      <c r="F2617" s="310" t="str">
        <f t="shared" si="1023"/>
        <v>Sep</v>
      </c>
      <c r="G2617" s="311" t="s">
        <v>2458</v>
      </c>
      <c r="H2617" s="311" t="s">
        <v>311</v>
      </c>
      <c r="I2617" s="311" t="s">
        <v>2772</v>
      </c>
      <c r="J2617" s="312" t="s">
        <v>738</v>
      </c>
      <c r="K2617" s="313" t="s">
        <v>107</v>
      </c>
      <c r="L2617" s="300" t="s">
        <v>2167</v>
      </c>
      <c r="M2617" s="312" t="s">
        <v>313</v>
      </c>
      <c r="N2617" s="311" t="s">
        <v>314</v>
      </c>
      <c r="O2617" s="311" t="s">
        <v>110</v>
      </c>
      <c r="P2617" s="314">
        <v>36</v>
      </c>
      <c r="Q2617" s="314">
        <v>5</v>
      </c>
      <c r="R2617" s="315">
        <v>7.4999999999999997E-3</v>
      </c>
      <c r="S2617" s="311" t="s">
        <v>111</v>
      </c>
      <c r="T2617" s="311" t="s">
        <v>112</v>
      </c>
      <c r="U2617" s="311" t="s">
        <v>57</v>
      </c>
      <c r="V2617" s="316">
        <v>792</v>
      </c>
      <c r="W2617" s="316">
        <v>792</v>
      </c>
      <c r="X2617" s="317"/>
      <c r="Y2617" s="318">
        <f t="shared" si="1032"/>
        <v>0</v>
      </c>
      <c r="Z2617" s="319">
        <f t="shared" si="1033"/>
        <v>0</v>
      </c>
      <c r="AA2617" s="319">
        <f t="shared" si="1024"/>
        <v>0</v>
      </c>
      <c r="AB2617" s="815">
        <v>7.4999999999999997E-3</v>
      </c>
      <c r="AC2617" s="316">
        <f t="shared" si="1034"/>
        <v>0</v>
      </c>
      <c r="AD2617" s="515"/>
      <c r="AE2617" s="210">
        <f t="shared" si="1035"/>
        <v>0</v>
      </c>
      <c r="AF2617" s="210">
        <f t="shared" si="1036"/>
        <v>0</v>
      </c>
      <c r="AG2617" s="211">
        <f t="shared" si="1041"/>
        <v>0.308</v>
      </c>
      <c r="AH2617" s="157">
        <f t="shared" si="1038"/>
        <v>0</v>
      </c>
      <c r="AI2617" s="152">
        <f t="shared" si="1040"/>
        <v>28512</v>
      </c>
      <c r="AK2617" s="156" t="s">
        <v>691</v>
      </c>
      <c r="AL2617" s="212" t="s">
        <v>690</v>
      </c>
      <c r="AM2617" s="198">
        <f t="shared" si="1031"/>
        <v>0</v>
      </c>
      <c r="AN2617" s="199">
        <f t="shared" si="1020"/>
        <v>45913</v>
      </c>
      <c r="AO2617" s="159" t="s">
        <v>692</v>
      </c>
      <c r="AP2617" s="783" t="s">
        <v>644</v>
      </c>
      <c r="AQ2617" s="782">
        <v>12063755</v>
      </c>
      <c r="AR2617" s="782">
        <v>12061353</v>
      </c>
      <c r="AS2617" s="782">
        <v>12061354</v>
      </c>
      <c r="AT2617" s="782">
        <v>12062266</v>
      </c>
      <c r="AU2617" s="781"/>
      <c r="AV2617" s="782">
        <v>12088159</v>
      </c>
      <c r="AW2617" s="782">
        <v>12088207</v>
      </c>
      <c r="AX2617" s="782"/>
      <c r="AY2617" s="782">
        <v>12094237</v>
      </c>
      <c r="AZ2617" s="782"/>
      <c r="BA2617" s="781"/>
      <c r="BB2617" s="209">
        <v>23053185</v>
      </c>
    </row>
    <row r="2618" spans="1:54" ht="24.65" hidden="1" customHeight="1">
      <c r="B2618" s="308">
        <v>45913</v>
      </c>
      <c r="C2618" s="309">
        <v>45936</v>
      </c>
      <c r="D2618" s="185">
        <f t="shared" si="1022"/>
        <v>2025</v>
      </c>
      <c r="E2618" s="309" t="e">
        <f>VLOOKUP($B2618,Week!$A$1:$C$1462,2,0)</f>
        <v>#N/A</v>
      </c>
      <c r="F2618" s="310" t="str">
        <f t="shared" si="1023"/>
        <v>Sep</v>
      </c>
      <c r="G2618" s="311" t="s">
        <v>2459</v>
      </c>
      <c r="H2618" s="311" t="s">
        <v>311</v>
      </c>
      <c r="I2618" s="311" t="s">
        <v>2772</v>
      </c>
      <c r="J2618" s="312" t="s">
        <v>738</v>
      </c>
      <c r="K2618" s="313" t="s">
        <v>107</v>
      </c>
      <c r="L2618" s="300" t="s">
        <v>2167</v>
      </c>
      <c r="M2618" s="312" t="s">
        <v>313</v>
      </c>
      <c r="N2618" s="311" t="s">
        <v>314</v>
      </c>
      <c r="O2618" s="311" t="s">
        <v>110</v>
      </c>
      <c r="P2618" s="314">
        <v>36</v>
      </c>
      <c r="Q2618" s="314">
        <v>5</v>
      </c>
      <c r="R2618" s="315">
        <v>7.4999999999999997E-3</v>
      </c>
      <c r="S2618" s="311" t="s">
        <v>111</v>
      </c>
      <c r="T2618" s="311" t="s">
        <v>112</v>
      </c>
      <c r="U2618" s="311" t="s">
        <v>57</v>
      </c>
      <c r="V2618" s="316">
        <v>792</v>
      </c>
      <c r="W2618" s="316">
        <f>2374-790-792</f>
        <v>792</v>
      </c>
      <c r="X2618" s="317"/>
      <c r="Y2618" s="318">
        <f t="shared" si="1032"/>
        <v>0</v>
      </c>
      <c r="Z2618" s="319">
        <f t="shared" si="1033"/>
        <v>0</v>
      </c>
      <c r="AA2618" s="319">
        <f t="shared" si="1024"/>
        <v>0</v>
      </c>
      <c r="AB2618" s="815">
        <v>7.4999999999999997E-3</v>
      </c>
      <c r="AC2618" s="316">
        <f t="shared" si="1034"/>
        <v>0</v>
      </c>
      <c r="AD2618" s="515"/>
      <c r="AE2618" s="210">
        <f t="shared" si="1035"/>
        <v>0</v>
      </c>
      <c r="AF2618" s="210">
        <f t="shared" si="1036"/>
        <v>0</v>
      </c>
      <c r="AG2618" s="211">
        <f t="shared" si="1041"/>
        <v>0.308</v>
      </c>
      <c r="AH2618" s="157">
        <f t="shared" si="1038"/>
        <v>0</v>
      </c>
      <c r="AI2618" s="152">
        <f t="shared" si="1040"/>
        <v>28512</v>
      </c>
      <c r="AK2618" s="156" t="s">
        <v>691</v>
      </c>
      <c r="AL2618" s="212" t="s">
        <v>690</v>
      </c>
      <c r="AM2618" s="198">
        <f t="shared" si="1031"/>
        <v>0</v>
      </c>
      <c r="AN2618" s="199">
        <f t="shared" si="1020"/>
        <v>45913</v>
      </c>
      <c r="AO2618" s="159" t="s">
        <v>692</v>
      </c>
      <c r="AP2618" s="783" t="s">
        <v>644</v>
      </c>
      <c r="AQ2618" s="782">
        <v>12063755</v>
      </c>
      <c r="AR2618" s="782">
        <v>12061353</v>
      </c>
      <c r="AS2618" s="782">
        <v>12061354</v>
      </c>
      <c r="AT2618" s="782">
        <v>12062266</v>
      </c>
      <c r="AU2618" s="781"/>
      <c r="AV2618" s="782">
        <v>12088159</v>
      </c>
      <c r="AW2618" s="782">
        <v>12088207</v>
      </c>
      <c r="AX2618" s="782"/>
      <c r="AY2618" s="782">
        <v>12094237</v>
      </c>
      <c r="AZ2618" s="782"/>
      <c r="BA2618" s="781"/>
      <c r="BB2618" s="209">
        <v>23053185</v>
      </c>
    </row>
    <row r="2619" spans="1:54" ht="24.65" hidden="1" customHeight="1">
      <c r="A2619" s="529" t="s">
        <v>1812</v>
      </c>
      <c r="B2619" s="571">
        <v>45913</v>
      </c>
      <c r="C2619" s="235">
        <v>45915</v>
      </c>
      <c r="D2619" s="185">
        <f t="shared" si="1022"/>
        <v>2025</v>
      </c>
      <c r="E2619" s="235" t="e">
        <f>VLOOKUP($B2619,Week!$A$1:$C$1462,2,0)</f>
        <v>#N/A</v>
      </c>
      <c r="F2619" s="237" t="str">
        <f t="shared" si="1023"/>
        <v>Sep</v>
      </c>
      <c r="G2619" s="236" t="s">
        <v>2541</v>
      </c>
      <c r="H2619" s="756" t="s">
        <v>1820</v>
      </c>
      <c r="I2619" s="756" t="s">
        <v>1820</v>
      </c>
      <c r="J2619" s="774" t="s">
        <v>1821</v>
      </c>
      <c r="K2619" s="239" t="s">
        <v>1020</v>
      </c>
      <c r="L2619" s="300" t="s">
        <v>2167</v>
      </c>
      <c r="M2619" s="238" t="s">
        <v>741</v>
      </c>
      <c r="N2619" s="756" t="s">
        <v>740</v>
      </c>
      <c r="O2619" s="236" t="s">
        <v>742</v>
      </c>
      <c r="P2619" s="240">
        <v>24</v>
      </c>
      <c r="Q2619" s="240">
        <v>5</v>
      </c>
      <c r="R2619" s="236">
        <v>6.1999999999999998E-3</v>
      </c>
      <c r="S2619" s="236" t="s">
        <v>352</v>
      </c>
      <c r="T2619" s="236" t="s">
        <v>56</v>
      </c>
      <c r="U2619" s="236" t="s">
        <v>739</v>
      </c>
      <c r="V2619" s="242">
        <f>120</f>
        <v>120</v>
      </c>
      <c r="W2619" s="242"/>
      <c r="X2619" s="243">
        <v>120</v>
      </c>
      <c r="Y2619" s="244">
        <f t="shared" si="1032"/>
        <v>0</v>
      </c>
      <c r="Z2619" s="245">
        <f t="shared" si="1033"/>
        <v>0</v>
      </c>
      <c r="AA2619" s="245">
        <f t="shared" si="1024"/>
        <v>0</v>
      </c>
      <c r="AB2619" s="809">
        <v>1.2999999999999999E-2</v>
      </c>
      <c r="AC2619" s="242">
        <f t="shared" si="1034"/>
        <v>0</v>
      </c>
      <c r="AD2619" s="307" t="s">
        <v>2542</v>
      </c>
      <c r="AE2619" s="210">
        <f t="shared" si="1035"/>
        <v>0</v>
      </c>
      <c r="AF2619" s="210">
        <f t="shared" si="1036"/>
        <v>0</v>
      </c>
      <c r="AG2619" s="211">
        <f t="shared" si="1041"/>
        <v>0.14299999999999999</v>
      </c>
      <c r="AH2619" s="157">
        <f t="shared" si="1038"/>
        <v>0</v>
      </c>
      <c r="AI2619" s="152">
        <f t="shared" si="1040"/>
        <v>2880</v>
      </c>
      <c r="AK2619" s="156" t="s">
        <v>691</v>
      </c>
      <c r="AL2619" s="212" t="s">
        <v>690</v>
      </c>
      <c r="AM2619" s="198">
        <f t="shared" si="1031"/>
        <v>0</v>
      </c>
      <c r="AN2619" s="199">
        <f t="shared" si="1020"/>
        <v>45913</v>
      </c>
      <c r="AO2619" s="159" t="s">
        <v>692</v>
      </c>
      <c r="AP2619" s="783" t="s">
        <v>609</v>
      </c>
      <c r="AQ2619" s="782">
        <v>12071839</v>
      </c>
      <c r="AR2619" s="782">
        <v>12047514</v>
      </c>
      <c r="AS2619" s="782">
        <v>12047515</v>
      </c>
      <c r="AT2619" s="781"/>
      <c r="AU2619" s="781"/>
      <c r="AV2619" s="782">
        <v>12089668</v>
      </c>
      <c r="AW2619" s="781"/>
      <c r="AX2619" s="781"/>
      <c r="AY2619" s="782" t="s">
        <v>2227</v>
      </c>
      <c r="AZ2619" s="798" t="s">
        <v>2228</v>
      </c>
      <c r="BA2619" s="781"/>
      <c r="BB2619" s="209">
        <v>11042803</v>
      </c>
    </row>
    <row r="2620" spans="1:54" ht="25" hidden="1" customHeight="1">
      <c r="B2620" s="183">
        <v>45914</v>
      </c>
      <c r="C2620" s="184"/>
      <c r="D2620" s="185">
        <f t="shared" si="1022"/>
        <v>2025</v>
      </c>
      <c r="E2620" s="185" t="e">
        <f>VLOOKUP($B2620,Week!$A$1:$C$1462,2,0)</f>
        <v>#N/A</v>
      </c>
      <c r="F2620" s="186" t="str">
        <f t="shared" si="1023"/>
        <v>Sep</v>
      </c>
      <c r="G2620" s="481"/>
      <c r="H2620" s="185"/>
      <c r="I2620" s="185"/>
      <c r="J2620" s="187"/>
      <c r="K2620" s="188"/>
      <c r="L2620" s="188"/>
      <c r="M2620" s="187"/>
      <c r="N2620" s="185"/>
      <c r="O2620" s="185"/>
      <c r="P2620" s="189"/>
      <c r="Q2620" s="189"/>
      <c r="R2620" s="190"/>
      <c r="S2620" s="185"/>
      <c r="T2620" s="185"/>
      <c r="U2620" s="185"/>
      <c r="V2620" s="191"/>
      <c r="W2620" s="191"/>
      <c r="X2620" s="192"/>
      <c r="Y2620" s="193"/>
      <c r="Z2620" s="194"/>
      <c r="AA2620" s="194">
        <f t="shared" si="1024"/>
        <v>0</v>
      </c>
      <c r="AB2620" s="805"/>
      <c r="AC2620" s="191"/>
      <c r="AD2620" s="187"/>
      <c r="AE2620" s="195"/>
      <c r="AF2620" s="195"/>
      <c r="AG2620" s="196"/>
      <c r="AH2620" s="197"/>
      <c r="AK2620" s="156" t="s">
        <v>691</v>
      </c>
      <c r="AM2620" s="198">
        <f t="shared" ref="AM2620:AM2651" si="1042">AG2620*Z2620</f>
        <v>0</v>
      </c>
      <c r="AN2620" s="199">
        <f t="shared" si="1020"/>
        <v>45914</v>
      </c>
      <c r="AO2620" s="159" t="s">
        <v>692</v>
      </c>
      <c r="AP2620" s="781"/>
      <c r="AQ2620" s="782"/>
      <c r="AR2620" s="782"/>
      <c r="AS2620" s="782"/>
      <c r="AT2620" s="782"/>
      <c r="AU2620" s="781"/>
      <c r="AV2620" s="782"/>
      <c r="AW2620" s="782"/>
      <c r="AX2620" s="782"/>
      <c r="AY2620" s="782"/>
      <c r="AZ2620" s="782"/>
      <c r="BA2620" s="781"/>
      <c r="BB2620" s="209"/>
    </row>
    <row r="2621" spans="1:54" ht="24.65" hidden="1" customHeight="1">
      <c r="A2621" s="630" t="s">
        <v>120</v>
      </c>
      <c r="B2621" s="466">
        <v>45915</v>
      </c>
      <c r="C2621" s="467">
        <v>45920</v>
      </c>
      <c r="D2621" s="185">
        <f t="shared" si="1022"/>
        <v>2025</v>
      </c>
      <c r="E2621" s="468" t="e">
        <f>VLOOKUP($B2621,Week!$A$1:$C$1462,2,0)</f>
        <v>#N/A</v>
      </c>
      <c r="F2621" s="469" t="str">
        <f t="shared" si="1023"/>
        <v>Sep</v>
      </c>
      <c r="G2621" s="470" t="s">
        <v>2445</v>
      </c>
      <c r="H2621" s="468" t="s">
        <v>82</v>
      </c>
      <c r="I2621" s="468" t="s">
        <v>82</v>
      </c>
      <c r="J2621" s="471" t="s">
        <v>720</v>
      </c>
      <c r="K2621" s="472" t="s">
        <v>85</v>
      </c>
      <c r="L2621" s="390" t="s">
        <v>2166</v>
      </c>
      <c r="M2621" s="471" t="s">
        <v>579</v>
      </c>
      <c r="N2621" s="468" t="s">
        <v>580</v>
      </c>
      <c r="O2621" s="468" t="s">
        <v>581</v>
      </c>
      <c r="P2621" s="473">
        <v>8</v>
      </c>
      <c r="Q2621" s="473">
        <v>60</v>
      </c>
      <c r="R2621" s="474">
        <v>6.8100000000000001E-3</v>
      </c>
      <c r="S2621" s="468" t="s">
        <v>76</v>
      </c>
      <c r="T2621" s="468" t="s">
        <v>56</v>
      </c>
      <c r="U2621" s="468" t="s">
        <v>89</v>
      </c>
      <c r="V2621" s="475">
        <f>1408-750</f>
        <v>658</v>
      </c>
      <c r="W2621" s="475">
        <f>428</f>
        <v>428</v>
      </c>
      <c r="X2621" s="476">
        <f>(1840)/8</f>
        <v>230</v>
      </c>
      <c r="Y2621" s="477">
        <f t="shared" ref="Y2621:Y2632" si="1043">(W2621+X2621)-V2621</f>
        <v>0</v>
      </c>
      <c r="Z2621" s="478">
        <f t="shared" ref="Z2621:Z2636" si="1044">IF(Y2621&lt;0,((V2621*P2621)-((W2621+X2621)*P2621)),0)</f>
        <v>0</v>
      </c>
      <c r="AA2621" s="478">
        <f t="shared" si="1024"/>
        <v>0</v>
      </c>
      <c r="AB2621" s="828">
        <v>6</v>
      </c>
      <c r="AC2621" s="475">
        <f t="shared" ref="AC2621:AC2632" si="1045">Z2621*AB2621</f>
        <v>0</v>
      </c>
      <c r="AD2621" s="209"/>
      <c r="AE2621" s="210">
        <f t="shared" ref="AE2621:AE2636" si="1046">SUM(Q2621*R2621*Z2621)/1000</f>
        <v>0</v>
      </c>
      <c r="AF2621" s="210">
        <f t="shared" ref="AF2621:AF2641" si="1047">AE2621/0.54</f>
        <v>0</v>
      </c>
      <c r="AG2621" s="211">
        <f t="shared" ref="AG2621:AG2634" si="1048">MID(O2621,1,3)/1000</f>
        <v>0.75</v>
      </c>
      <c r="AH2621" s="157">
        <f>(Z2621*AG2621)/1000</f>
        <v>0</v>
      </c>
      <c r="AI2621" s="152">
        <f t="shared" ref="AI2621:AI2636" si="1049">V2621*P2621</f>
        <v>5264</v>
      </c>
      <c r="AK2621" s="156" t="s">
        <v>691</v>
      </c>
      <c r="AL2621" s="156" t="s">
        <v>689</v>
      </c>
      <c r="AM2621" s="198">
        <f t="shared" si="1042"/>
        <v>0</v>
      </c>
      <c r="AN2621" s="199">
        <f t="shared" ref="AN2621:AN2685" si="1050">B2621</f>
        <v>45915</v>
      </c>
      <c r="AO2621" s="159" t="s">
        <v>692</v>
      </c>
      <c r="AP2621" s="783" t="s">
        <v>622</v>
      </c>
      <c r="AQ2621" s="782">
        <v>12088677</v>
      </c>
      <c r="AR2621" s="782" t="s">
        <v>2142</v>
      </c>
      <c r="AS2621" s="782"/>
      <c r="AT2621" s="782">
        <v>12082897</v>
      </c>
      <c r="AU2621" s="781"/>
      <c r="AV2621" s="782">
        <v>12082898</v>
      </c>
      <c r="AW2621" s="782">
        <v>12082899</v>
      </c>
      <c r="AX2621" s="796" t="s">
        <v>621</v>
      </c>
      <c r="AY2621" s="782"/>
      <c r="AZ2621" s="782"/>
      <c r="BA2621" s="781"/>
      <c r="BB2621" s="209">
        <v>23053184</v>
      </c>
    </row>
    <row r="2622" spans="1:54" ht="24.75" hidden="1" customHeight="1">
      <c r="B2622" s="295">
        <v>45916</v>
      </c>
      <c r="C2622" s="771" t="s">
        <v>1934</v>
      </c>
      <c r="D2622" s="185">
        <f t="shared" si="1022"/>
        <v>2025</v>
      </c>
      <c r="E2622" s="296" t="e">
        <f>VLOOKUP($B2622,Week!$A$1:$C$1462,2,0)</f>
        <v>#N/A</v>
      </c>
      <c r="F2622" s="297" t="str">
        <f t="shared" si="1023"/>
        <v>Sep</v>
      </c>
      <c r="G2622" s="648" t="s">
        <v>47</v>
      </c>
      <c r="H2622" s="298" t="s">
        <v>260</v>
      </c>
      <c r="I2622" s="298" t="s">
        <v>2702</v>
      </c>
      <c r="J2622" s="307" t="s">
        <v>2240</v>
      </c>
      <c r="K2622" s="300" t="s">
        <v>176</v>
      </c>
      <c r="L2622" s="300" t="s">
        <v>2167</v>
      </c>
      <c r="M2622" s="299" t="s">
        <v>2338</v>
      </c>
      <c r="N2622" s="298" t="s">
        <v>350</v>
      </c>
      <c r="O2622" s="298" t="s">
        <v>351</v>
      </c>
      <c r="P2622" s="301">
        <v>24</v>
      </c>
      <c r="Q2622" s="301">
        <v>5</v>
      </c>
      <c r="R2622" s="302">
        <v>6.1999999999999998E-3</v>
      </c>
      <c r="S2622" s="298" t="s">
        <v>352</v>
      </c>
      <c r="T2622" s="298" t="s">
        <v>56</v>
      </c>
      <c r="U2622" s="298" t="s">
        <v>57</v>
      </c>
      <c r="V2622" s="303">
        <v>954</v>
      </c>
      <c r="W2622" s="303">
        <f>1+953</f>
        <v>954</v>
      </c>
      <c r="X2622" s="304"/>
      <c r="Y2622" s="305">
        <f t="shared" si="1043"/>
        <v>0</v>
      </c>
      <c r="Z2622" s="306">
        <f t="shared" si="1044"/>
        <v>0</v>
      </c>
      <c r="AA2622" s="306">
        <f t="shared" si="1024"/>
        <v>0</v>
      </c>
      <c r="AB2622" s="814">
        <v>7.4999999999999997E-3</v>
      </c>
      <c r="AC2622" s="303">
        <f t="shared" si="1045"/>
        <v>0</v>
      </c>
      <c r="AD2622" s="443"/>
      <c r="AE2622" s="210">
        <f t="shared" si="1046"/>
        <v>0</v>
      </c>
      <c r="AF2622" s="210">
        <f t="shared" si="1047"/>
        <v>0</v>
      </c>
      <c r="AG2622" s="211">
        <f t="shared" si="1048"/>
        <v>0.13</v>
      </c>
      <c r="AH2622" s="157">
        <f>(Z2622*AG2622)/1000</f>
        <v>0</v>
      </c>
      <c r="AI2622" s="152">
        <f t="shared" si="1049"/>
        <v>22896</v>
      </c>
      <c r="AK2622" s="156" t="s">
        <v>691</v>
      </c>
      <c r="AL2622" s="574" t="s">
        <v>690</v>
      </c>
      <c r="AM2622" s="198">
        <f t="shared" si="1042"/>
        <v>0</v>
      </c>
      <c r="AN2622" s="199">
        <f t="shared" si="1050"/>
        <v>45916</v>
      </c>
      <c r="AO2622" s="159" t="s">
        <v>692</v>
      </c>
      <c r="AP2622" s="783" t="s">
        <v>622</v>
      </c>
      <c r="AQ2622" s="782">
        <v>12071839</v>
      </c>
      <c r="AR2622" s="782">
        <v>12094356</v>
      </c>
      <c r="AS2622" s="782">
        <v>12068233</v>
      </c>
      <c r="AT2622" s="781"/>
      <c r="AU2622" s="781"/>
      <c r="AV2622" s="782">
        <v>12062075</v>
      </c>
      <c r="AW2622" s="781"/>
      <c r="AX2622" s="781"/>
      <c r="AY2622" s="782">
        <v>12094357</v>
      </c>
      <c r="AZ2622" s="782"/>
      <c r="BA2622" s="781"/>
      <c r="BB2622" s="209">
        <v>23053184</v>
      </c>
    </row>
    <row r="2623" spans="1:54" ht="25" hidden="1" customHeight="1">
      <c r="A2623" s="623"/>
      <c r="B2623" s="320">
        <v>45916</v>
      </c>
      <c r="C2623" s="321">
        <v>45955</v>
      </c>
      <c r="D2623" s="323">
        <f t="shared" si="1022"/>
        <v>2025</v>
      </c>
      <c r="E2623" s="321" t="e">
        <f>VLOOKUP($B2623,Week!$A$1:$C$1462,2,0)</f>
        <v>#N/A</v>
      </c>
      <c r="F2623" s="322" t="str">
        <f t="shared" si="1023"/>
        <v>Sep</v>
      </c>
      <c r="G2623" s="323" t="s">
        <v>2441</v>
      </c>
      <c r="H2623" s="323" t="s">
        <v>500</v>
      </c>
      <c r="I2623" s="323" t="s">
        <v>2772</v>
      </c>
      <c r="J2623" s="324" t="s">
        <v>679</v>
      </c>
      <c r="K2623" s="325" t="s">
        <v>2410</v>
      </c>
      <c r="L2623" s="325" t="s">
        <v>2167</v>
      </c>
      <c r="M2623" s="324" t="s">
        <v>682</v>
      </c>
      <c r="N2623" s="323" t="s">
        <v>2417</v>
      </c>
      <c r="O2623" s="323" t="s">
        <v>2409</v>
      </c>
      <c r="P2623" s="326">
        <v>36</v>
      </c>
      <c r="Q2623" s="326">
        <v>3</v>
      </c>
      <c r="R2623" s="327">
        <v>6.0000000000000001E-3</v>
      </c>
      <c r="S2623" s="323" t="s">
        <v>55</v>
      </c>
      <c r="T2623" s="323" t="s">
        <v>112</v>
      </c>
      <c r="U2623" s="872" t="s">
        <v>2419</v>
      </c>
      <c r="V2623" s="328">
        <v>792</v>
      </c>
      <c r="W2623" s="328">
        <f>792</f>
        <v>792</v>
      </c>
      <c r="X2623" s="329"/>
      <c r="Y2623" s="330">
        <f t="shared" si="1043"/>
        <v>0</v>
      </c>
      <c r="Z2623" s="331">
        <f t="shared" si="1044"/>
        <v>0</v>
      </c>
      <c r="AA2623" s="331">
        <f t="shared" si="1024"/>
        <v>0</v>
      </c>
      <c r="AB2623" s="816">
        <v>5.8823E-2</v>
      </c>
      <c r="AC2623" s="328">
        <f t="shared" si="1045"/>
        <v>0</v>
      </c>
      <c r="AD2623" s="443"/>
      <c r="AE2623" s="210">
        <f t="shared" si="1046"/>
        <v>0</v>
      </c>
      <c r="AF2623" s="210">
        <f t="shared" si="1047"/>
        <v>0</v>
      </c>
      <c r="AG2623" s="211">
        <f t="shared" si="1048"/>
        <v>0.30199999999999999</v>
      </c>
      <c r="AH2623" s="157">
        <v>0.26621999999999996</v>
      </c>
      <c r="AI2623" s="152">
        <f t="shared" si="1049"/>
        <v>28512</v>
      </c>
      <c r="AK2623" s="156" t="s">
        <v>691</v>
      </c>
      <c r="AL2623" s="574" t="s">
        <v>690</v>
      </c>
      <c r="AM2623" s="198">
        <f t="shared" si="1042"/>
        <v>0</v>
      </c>
      <c r="AN2623" s="199">
        <f t="shared" si="1050"/>
        <v>45916</v>
      </c>
      <c r="AO2623" s="159" t="s">
        <v>692</v>
      </c>
      <c r="AP2623" s="781" t="s">
        <v>642</v>
      </c>
      <c r="AQ2623" s="782">
        <v>12063755</v>
      </c>
      <c r="AR2623" s="782">
        <v>12061353</v>
      </c>
      <c r="AS2623" s="782">
        <v>12061354</v>
      </c>
      <c r="AT2623" s="782">
        <v>12096250</v>
      </c>
      <c r="AU2623" s="781"/>
      <c r="AV2623" s="782">
        <v>12096681</v>
      </c>
      <c r="AW2623" s="781"/>
      <c r="AX2623" s="781"/>
      <c r="AY2623" s="781"/>
      <c r="AZ2623" s="782"/>
      <c r="BA2623" s="781"/>
      <c r="BB2623" s="209">
        <v>23099860</v>
      </c>
    </row>
    <row r="2624" spans="1:54" ht="25" hidden="1" customHeight="1">
      <c r="A2624" s="623"/>
      <c r="B2624" s="385">
        <v>45916</v>
      </c>
      <c r="C2624" s="386">
        <v>45930</v>
      </c>
      <c r="D2624" s="185">
        <f t="shared" si="1022"/>
        <v>2025</v>
      </c>
      <c r="E2624" s="386" t="e">
        <f>VLOOKUP($B2624,Week!$A$1:$C$1462,2,0)</f>
        <v>#N/A</v>
      </c>
      <c r="F2624" s="387" t="str">
        <f t="shared" si="1023"/>
        <v>Sep</v>
      </c>
      <c r="G2624" s="388" t="s">
        <v>2413</v>
      </c>
      <c r="H2624" s="388" t="s">
        <v>424</v>
      </c>
      <c r="I2624" s="388" t="s">
        <v>2772</v>
      </c>
      <c r="J2624" s="389" t="s">
        <v>653</v>
      </c>
      <c r="K2624" s="390" t="s">
        <v>1652</v>
      </c>
      <c r="L2624" s="300" t="s">
        <v>2167</v>
      </c>
      <c r="M2624" s="389" t="s">
        <v>2356</v>
      </c>
      <c r="N2624" s="637" t="s">
        <v>2399</v>
      </c>
      <c r="O2624" s="388" t="s">
        <v>415</v>
      </c>
      <c r="P2624" s="391">
        <v>24</v>
      </c>
      <c r="Q2624" s="391">
        <v>5</v>
      </c>
      <c r="R2624" s="392">
        <v>6.0000000000000001E-3</v>
      </c>
      <c r="S2624" s="388" t="s">
        <v>55</v>
      </c>
      <c r="T2624" s="388" t="s">
        <v>112</v>
      </c>
      <c r="U2624" s="601" t="s">
        <v>2419</v>
      </c>
      <c r="V2624" s="393">
        <f>588</f>
        <v>588</v>
      </c>
      <c r="W2624" s="393"/>
      <c r="X2624" s="394">
        <f>(14755)/24</f>
        <v>614.79166666666663</v>
      </c>
      <c r="Y2624" s="395">
        <f t="shared" si="1043"/>
        <v>26.791666666666629</v>
      </c>
      <c r="Z2624" s="396">
        <f t="shared" si="1044"/>
        <v>0</v>
      </c>
      <c r="AA2624" s="396">
        <f t="shared" si="1024"/>
        <v>0</v>
      </c>
      <c r="AB2624" s="823">
        <v>5.8823E-2</v>
      </c>
      <c r="AC2624" s="393">
        <f t="shared" si="1045"/>
        <v>0</v>
      </c>
      <c r="AD2624" s="307" t="s">
        <v>2354</v>
      </c>
      <c r="AE2624" s="210">
        <f t="shared" si="1046"/>
        <v>0</v>
      </c>
      <c r="AF2624" s="210">
        <f t="shared" si="1047"/>
        <v>0</v>
      </c>
      <c r="AG2624" s="211">
        <f t="shared" si="1048"/>
        <v>0.25800000000000001</v>
      </c>
      <c r="AH2624" s="157">
        <v>0.26621999999999996</v>
      </c>
      <c r="AI2624" s="152">
        <f t="shared" si="1049"/>
        <v>14112</v>
      </c>
      <c r="AK2624" s="156" t="s">
        <v>691</v>
      </c>
      <c r="AL2624" s="212" t="s">
        <v>690</v>
      </c>
      <c r="AM2624" s="198">
        <f t="shared" si="1042"/>
        <v>0</v>
      </c>
      <c r="AN2624" s="199">
        <f t="shared" si="1050"/>
        <v>45916</v>
      </c>
      <c r="AO2624" s="159" t="s">
        <v>692</v>
      </c>
      <c r="AP2624" s="781" t="s">
        <v>642</v>
      </c>
      <c r="AQ2624" s="782">
        <v>12071839</v>
      </c>
      <c r="AR2624" s="782">
        <v>12095778</v>
      </c>
      <c r="AS2624" s="782">
        <v>12095777</v>
      </c>
      <c r="AT2624" s="782">
        <v>12096091</v>
      </c>
      <c r="AU2624" s="781"/>
      <c r="AV2624" s="782">
        <v>12096093</v>
      </c>
      <c r="AW2624" s="781"/>
      <c r="AX2624" s="781"/>
      <c r="AY2624" s="781" t="s">
        <v>2438</v>
      </c>
      <c r="AZ2624" s="782"/>
      <c r="BA2624" s="781"/>
    </row>
    <row r="2625" spans="1:54" ht="25" hidden="1" customHeight="1">
      <c r="B2625" s="332">
        <v>45916</v>
      </c>
      <c r="C2625" s="333">
        <v>45932</v>
      </c>
      <c r="D2625" s="185">
        <f t="shared" si="1022"/>
        <v>2025</v>
      </c>
      <c r="E2625" s="333" t="e">
        <f>VLOOKUP($B2625,Week!$A$1:$C$1462,2,0)</f>
        <v>#N/A</v>
      </c>
      <c r="F2625" s="334" t="str">
        <f t="shared" si="1023"/>
        <v>Sep</v>
      </c>
      <c r="G2625" s="335" t="s">
        <v>2502</v>
      </c>
      <c r="H2625" s="335" t="s">
        <v>675</v>
      </c>
      <c r="I2625" s="335" t="s">
        <v>2772</v>
      </c>
      <c r="J2625" s="336" t="s">
        <v>709</v>
      </c>
      <c r="K2625" s="337" t="s">
        <v>1652</v>
      </c>
      <c r="L2625" s="300" t="s">
        <v>2167</v>
      </c>
      <c r="M2625" s="336" t="s">
        <v>682</v>
      </c>
      <c r="N2625" s="530" t="s">
        <v>712</v>
      </c>
      <c r="O2625" s="335" t="s">
        <v>602</v>
      </c>
      <c r="P2625" s="338">
        <v>8</v>
      </c>
      <c r="Q2625" s="338">
        <v>3</v>
      </c>
      <c r="R2625" s="339">
        <v>6.0000000000000001E-3</v>
      </c>
      <c r="S2625" s="335" t="s">
        <v>55</v>
      </c>
      <c r="T2625" s="335" t="s">
        <v>112</v>
      </c>
      <c r="U2625" s="340" t="s">
        <v>724</v>
      </c>
      <c r="V2625" s="341">
        <f>486</f>
        <v>486</v>
      </c>
      <c r="W2625" s="341"/>
      <c r="X2625" s="342">
        <f>(1532+678+1678)/8</f>
        <v>486</v>
      </c>
      <c r="Y2625" s="343">
        <f t="shared" si="1043"/>
        <v>0</v>
      </c>
      <c r="Z2625" s="344">
        <f t="shared" si="1044"/>
        <v>0</v>
      </c>
      <c r="AA2625" s="344">
        <f t="shared" si="1024"/>
        <v>0</v>
      </c>
      <c r="AB2625" s="817">
        <v>5.8823E-2</v>
      </c>
      <c r="AC2625" s="341">
        <f t="shared" si="1045"/>
        <v>0</v>
      </c>
      <c r="AD2625" s="443" t="s">
        <v>2545</v>
      </c>
      <c r="AE2625" s="210">
        <f t="shared" si="1046"/>
        <v>0</v>
      </c>
      <c r="AF2625" s="210">
        <f t="shared" si="1047"/>
        <v>0</v>
      </c>
      <c r="AG2625" s="211">
        <f t="shared" si="1048"/>
        <v>0.30199999999999999</v>
      </c>
      <c r="AH2625" s="157">
        <v>0.26621999999999996</v>
      </c>
      <c r="AI2625" s="152">
        <f t="shared" si="1049"/>
        <v>3888</v>
      </c>
      <c r="AK2625" s="156" t="s">
        <v>691</v>
      </c>
      <c r="AL2625" s="574" t="s">
        <v>690</v>
      </c>
      <c r="AM2625" s="198">
        <f t="shared" si="1042"/>
        <v>0</v>
      </c>
      <c r="AN2625" s="199">
        <f t="shared" si="1050"/>
        <v>45916</v>
      </c>
      <c r="AO2625" s="159" t="s">
        <v>692</v>
      </c>
      <c r="AP2625" s="781" t="s">
        <v>642</v>
      </c>
      <c r="AQ2625" s="782">
        <v>12063755</v>
      </c>
      <c r="AR2625" s="782">
        <v>12061353</v>
      </c>
      <c r="AS2625" s="782">
        <v>12061354</v>
      </c>
      <c r="AT2625" s="782">
        <v>12090030</v>
      </c>
      <c r="AU2625" s="781"/>
      <c r="AV2625" s="782">
        <v>12089992</v>
      </c>
      <c r="AW2625" s="781"/>
      <c r="AX2625" s="781"/>
      <c r="AY2625" s="781"/>
      <c r="AZ2625" s="782"/>
      <c r="BA2625" s="781"/>
      <c r="BB2625" s="209">
        <v>23099860</v>
      </c>
    </row>
    <row r="2626" spans="1:54" ht="25" hidden="1" customHeight="1">
      <c r="B2626" s="332">
        <v>45916</v>
      </c>
      <c r="C2626" s="333">
        <v>45962</v>
      </c>
      <c r="D2626" s="185">
        <f>IF(B2626="","",YEAR(B2626))</f>
        <v>2025</v>
      </c>
      <c r="E2626" s="333" t="e">
        <f>VLOOKUP($B2626,Week!$A$1:$C$1462,2,0)</f>
        <v>#N/A</v>
      </c>
      <c r="F2626" s="334" t="str">
        <f>IF(B2626="","",TEXT(B2626,"[$-409]mmm"))</f>
        <v>Sep</v>
      </c>
      <c r="G2626" s="335" t="s">
        <v>2517</v>
      </c>
      <c r="H2626" s="335" t="s">
        <v>675</v>
      </c>
      <c r="I2626" s="335" t="s">
        <v>2772</v>
      </c>
      <c r="J2626" s="336" t="s">
        <v>709</v>
      </c>
      <c r="K2626" s="337" t="s">
        <v>1652</v>
      </c>
      <c r="L2626" s="300" t="s">
        <v>2167</v>
      </c>
      <c r="M2626" s="336" t="s">
        <v>682</v>
      </c>
      <c r="N2626" s="530" t="s">
        <v>712</v>
      </c>
      <c r="O2626" s="335" t="s">
        <v>602</v>
      </c>
      <c r="P2626" s="338">
        <v>8</v>
      </c>
      <c r="Q2626" s="338">
        <v>3</v>
      </c>
      <c r="R2626" s="339">
        <v>6.0000000000000001E-3</v>
      </c>
      <c r="S2626" s="335" t="s">
        <v>55</v>
      </c>
      <c r="T2626" s="335" t="s">
        <v>112</v>
      </c>
      <c r="U2626" s="340" t="s">
        <v>724</v>
      </c>
      <c r="V2626" s="341">
        <f>865</f>
        <v>865</v>
      </c>
      <c r="W2626" s="341"/>
      <c r="X2626" s="342">
        <v>865</v>
      </c>
      <c r="Y2626" s="343">
        <f t="shared" si="1043"/>
        <v>0</v>
      </c>
      <c r="Z2626" s="344">
        <f>IF(Y2626&lt;0,((V2626*P2626)-((W2626+X2626)*P2626)),0)</f>
        <v>0</v>
      </c>
      <c r="AA2626" s="344">
        <f>Q2626*Z2626</f>
        <v>0</v>
      </c>
      <c r="AB2626" s="817">
        <v>5.8823E-2</v>
      </c>
      <c r="AC2626" s="341">
        <f t="shared" si="1045"/>
        <v>0</v>
      </c>
      <c r="AD2626" s="443" t="s">
        <v>2546</v>
      </c>
      <c r="AE2626" s="210">
        <f>SUM(Q2626*R2626*Z2626)/1000</f>
        <v>0</v>
      </c>
      <c r="AF2626" s="210">
        <f t="shared" si="1047"/>
        <v>0</v>
      </c>
      <c r="AG2626" s="211">
        <f>MID(O2626,1,3)/1000</f>
        <v>0.30199999999999999</v>
      </c>
      <c r="AH2626" s="157">
        <v>0.26621999999999996</v>
      </c>
      <c r="AI2626" s="152">
        <f>V2626*P2626</f>
        <v>6920</v>
      </c>
      <c r="AK2626" s="156" t="s">
        <v>691</v>
      </c>
      <c r="AL2626" s="574" t="s">
        <v>690</v>
      </c>
      <c r="AM2626" s="198">
        <f t="shared" si="1042"/>
        <v>0</v>
      </c>
      <c r="AN2626" s="199">
        <f>B2626</f>
        <v>45916</v>
      </c>
      <c r="AO2626" s="159" t="s">
        <v>692</v>
      </c>
      <c r="AP2626" s="781" t="s">
        <v>642</v>
      </c>
      <c r="AQ2626" s="782">
        <v>12063755</v>
      </c>
      <c r="AR2626" s="782">
        <v>12061353</v>
      </c>
      <c r="AS2626" s="782">
        <v>12061354</v>
      </c>
      <c r="AT2626" s="782">
        <v>12090030</v>
      </c>
      <c r="AU2626" s="781"/>
      <c r="AV2626" s="782">
        <v>12089992</v>
      </c>
      <c r="AW2626" s="781"/>
      <c r="AX2626" s="781"/>
      <c r="AY2626" s="781"/>
      <c r="AZ2626" s="782"/>
      <c r="BA2626" s="781"/>
      <c r="BB2626" s="209">
        <v>23099860</v>
      </c>
    </row>
    <row r="2627" spans="1:54" ht="24.65" hidden="1" customHeight="1">
      <c r="B2627" s="411">
        <v>45917</v>
      </c>
      <c r="C2627" s="645" t="s">
        <v>1934</v>
      </c>
      <c r="D2627" s="185">
        <f t="shared" si="1022"/>
        <v>2025</v>
      </c>
      <c r="E2627" s="412" t="e">
        <f>VLOOKUP($B2627,Week!$A$1:$C$1462,2,0)</f>
        <v>#N/A</v>
      </c>
      <c r="F2627" s="413" t="str">
        <f t="shared" si="1023"/>
        <v>Sep</v>
      </c>
      <c r="G2627" s="414" t="s">
        <v>47</v>
      </c>
      <c r="H2627" s="414" t="s">
        <v>260</v>
      </c>
      <c r="I2627" s="414" t="s">
        <v>2702</v>
      </c>
      <c r="J2627" s="415" t="s">
        <v>261</v>
      </c>
      <c r="K2627" s="416" t="s">
        <v>94</v>
      </c>
      <c r="L2627" s="300" t="s">
        <v>2167</v>
      </c>
      <c r="M2627" s="415" t="s">
        <v>2339</v>
      </c>
      <c r="N2627" s="414" t="s">
        <v>263</v>
      </c>
      <c r="O2627" s="414" t="s">
        <v>195</v>
      </c>
      <c r="P2627" s="417">
        <v>24</v>
      </c>
      <c r="Q2627" s="417">
        <v>5</v>
      </c>
      <c r="R2627" s="418">
        <v>8.0000000000000002E-3</v>
      </c>
      <c r="S2627" s="414" t="s">
        <v>40</v>
      </c>
      <c r="T2627" s="414" t="s">
        <v>56</v>
      </c>
      <c r="U2627" s="414" t="s">
        <v>57</v>
      </c>
      <c r="V2627" s="419">
        <v>3439</v>
      </c>
      <c r="W2627" s="419">
        <f>3439</f>
        <v>3439</v>
      </c>
      <c r="X2627" s="420"/>
      <c r="Y2627" s="421">
        <f t="shared" si="1043"/>
        <v>0</v>
      </c>
      <c r="Z2627" s="422">
        <f t="shared" si="1044"/>
        <v>0</v>
      </c>
      <c r="AA2627" s="422">
        <f t="shared" si="1024"/>
        <v>0</v>
      </c>
      <c r="AB2627" s="825">
        <v>7.4999999999999997E-3</v>
      </c>
      <c r="AC2627" s="419">
        <f t="shared" si="1045"/>
        <v>0</v>
      </c>
      <c r="AD2627" s="209"/>
      <c r="AE2627" s="210">
        <f t="shared" si="1046"/>
        <v>0</v>
      </c>
      <c r="AF2627" s="210">
        <f t="shared" si="1047"/>
        <v>0</v>
      </c>
      <c r="AG2627" s="211">
        <f t="shared" si="1048"/>
        <v>0.14499999999999999</v>
      </c>
      <c r="AH2627" s="157">
        <f t="shared" ref="AH2627:AH2632" si="1051">(Z2627*AG2627)/1000</f>
        <v>0</v>
      </c>
      <c r="AI2627" s="152">
        <f t="shared" si="1049"/>
        <v>82536</v>
      </c>
      <c r="AK2627" s="156" t="s">
        <v>691</v>
      </c>
      <c r="AL2627" s="212" t="s">
        <v>690</v>
      </c>
      <c r="AM2627" s="198">
        <f t="shared" si="1042"/>
        <v>0</v>
      </c>
      <c r="AN2627" s="199">
        <f t="shared" si="1050"/>
        <v>45917</v>
      </c>
      <c r="AO2627" s="159" t="s">
        <v>692</v>
      </c>
      <c r="AP2627" s="783" t="s">
        <v>609</v>
      </c>
      <c r="AQ2627" s="782">
        <v>12071839</v>
      </c>
      <c r="AR2627" s="782">
        <v>12047514</v>
      </c>
      <c r="AS2627" s="782">
        <v>12047515</v>
      </c>
      <c r="AT2627" s="781"/>
      <c r="AU2627" s="781"/>
      <c r="AV2627" s="782">
        <v>12080613</v>
      </c>
      <c r="AW2627" s="781"/>
      <c r="AX2627" s="781"/>
      <c r="AY2627" s="782">
        <v>12094241</v>
      </c>
      <c r="AZ2627" s="782">
        <v>12094242</v>
      </c>
      <c r="BA2627" s="781"/>
      <c r="BB2627" s="209">
        <v>23053185</v>
      </c>
    </row>
    <row r="2628" spans="1:54" ht="25" hidden="1" customHeight="1">
      <c r="B2628" s="332">
        <v>45918</v>
      </c>
      <c r="C2628" s="646" t="s">
        <v>1934</v>
      </c>
      <c r="D2628" s="185">
        <f t="shared" ref="D2628:D2685" si="1052">IF(B2628="","",YEAR(B2628))</f>
        <v>2025</v>
      </c>
      <c r="E2628" s="333" t="e">
        <f>VLOOKUP($B2628,Week!$A$1:$C$1462,2,0)</f>
        <v>#N/A</v>
      </c>
      <c r="F2628" s="334" t="str">
        <f t="shared" ref="F2628:F2685" si="1053">IF(B2628="","",TEXT(B2628,"[$-409]mmm"))</f>
        <v>Sep</v>
      </c>
      <c r="G2628" s="335" t="s">
        <v>47</v>
      </c>
      <c r="H2628" s="335" t="s">
        <v>518</v>
      </c>
      <c r="I2628" s="335" t="s">
        <v>2702</v>
      </c>
      <c r="J2628" s="336" t="s">
        <v>70</v>
      </c>
      <c r="K2628" s="337" t="s">
        <v>582</v>
      </c>
      <c r="L2628" s="300" t="s">
        <v>2167</v>
      </c>
      <c r="M2628" s="336" t="s">
        <v>534</v>
      </c>
      <c r="N2628" s="530" t="s">
        <v>578</v>
      </c>
      <c r="O2628" s="335" t="s">
        <v>583</v>
      </c>
      <c r="P2628" s="338">
        <v>12</v>
      </c>
      <c r="Q2628" s="338">
        <v>3</v>
      </c>
      <c r="R2628" s="339">
        <v>6.0000000000000001E-3</v>
      </c>
      <c r="S2628" s="335" t="s">
        <v>55</v>
      </c>
      <c r="T2628" s="335" t="s">
        <v>56</v>
      </c>
      <c r="U2628" s="335" t="s">
        <v>57</v>
      </c>
      <c r="V2628" s="341">
        <f>150</f>
        <v>150</v>
      </c>
      <c r="W2628" s="341">
        <f>215-199+3+131</f>
        <v>150</v>
      </c>
      <c r="X2628" s="342"/>
      <c r="Y2628" s="343">
        <f t="shared" si="1043"/>
        <v>0</v>
      </c>
      <c r="Z2628" s="344">
        <f t="shared" si="1044"/>
        <v>0</v>
      </c>
      <c r="AA2628" s="344">
        <f t="shared" ref="AA2628:AA2685" si="1054">Q2628*Z2628</f>
        <v>0</v>
      </c>
      <c r="AB2628" s="817">
        <v>7.4999999999999997E-3</v>
      </c>
      <c r="AC2628" s="341">
        <f t="shared" si="1045"/>
        <v>0</v>
      </c>
      <c r="AD2628" s="209"/>
      <c r="AE2628" s="210">
        <f t="shared" si="1046"/>
        <v>0</v>
      </c>
      <c r="AF2628" s="210">
        <f t="shared" si="1047"/>
        <v>0</v>
      </c>
      <c r="AG2628" s="211">
        <f t="shared" si="1048"/>
        <v>0.191</v>
      </c>
      <c r="AH2628" s="157">
        <f t="shared" si="1051"/>
        <v>0</v>
      </c>
      <c r="AI2628" s="152">
        <f t="shared" si="1049"/>
        <v>1800</v>
      </c>
      <c r="AK2628" s="156" t="s">
        <v>691</v>
      </c>
      <c r="AL2628" s="212" t="s">
        <v>690</v>
      </c>
      <c r="AM2628" s="198">
        <f t="shared" si="1042"/>
        <v>0</v>
      </c>
      <c r="AN2628" s="199">
        <f t="shared" si="1050"/>
        <v>45918</v>
      </c>
      <c r="AO2628" s="159" t="s">
        <v>692</v>
      </c>
      <c r="AP2628" s="781"/>
      <c r="AQ2628" s="782">
        <v>12071839</v>
      </c>
      <c r="AR2628" s="782">
        <v>12042650</v>
      </c>
      <c r="AS2628" s="782">
        <v>12042649</v>
      </c>
      <c r="AT2628" s="782"/>
      <c r="AU2628" s="781"/>
      <c r="AV2628" s="782">
        <v>12083313</v>
      </c>
      <c r="AW2628" s="782"/>
      <c r="AX2628" s="782"/>
      <c r="AY2628" s="782">
        <v>12094233</v>
      </c>
      <c r="AZ2628" s="782">
        <v>12094234</v>
      </c>
      <c r="BA2628" s="781"/>
      <c r="BB2628" s="209">
        <v>23053185</v>
      </c>
    </row>
    <row r="2629" spans="1:54" ht="24.65" hidden="1" customHeight="1">
      <c r="B2629" s="411">
        <v>45918</v>
      </c>
      <c r="C2629" s="645" t="s">
        <v>1934</v>
      </c>
      <c r="D2629" s="185">
        <f t="shared" si="1052"/>
        <v>2025</v>
      </c>
      <c r="E2629" s="412" t="e">
        <f>VLOOKUP($B2629,Week!$A$1:$C$1462,2,0)</f>
        <v>#N/A</v>
      </c>
      <c r="F2629" s="413" t="str">
        <f t="shared" si="1053"/>
        <v>Sep</v>
      </c>
      <c r="G2629" s="414" t="s">
        <v>47</v>
      </c>
      <c r="H2629" s="414" t="s">
        <v>260</v>
      </c>
      <c r="I2629" s="414" t="s">
        <v>2702</v>
      </c>
      <c r="J2629" s="415" t="s">
        <v>261</v>
      </c>
      <c r="K2629" s="416" t="s">
        <v>94</v>
      </c>
      <c r="L2629" s="300" t="s">
        <v>2167</v>
      </c>
      <c r="M2629" s="415" t="s">
        <v>2339</v>
      </c>
      <c r="N2629" s="414" t="s">
        <v>263</v>
      </c>
      <c r="O2629" s="414" t="s">
        <v>195</v>
      </c>
      <c r="P2629" s="417">
        <v>24</v>
      </c>
      <c r="Q2629" s="417">
        <v>5</v>
      </c>
      <c r="R2629" s="418">
        <v>8.0000000000000002E-3</v>
      </c>
      <c r="S2629" s="414" t="s">
        <v>40</v>
      </c>
      <c r="T2629" s="414" t="s">
        <v>56</v>
      </c>
      <c r="U2629" s="414" t="s">
        <v>57</v>
      </c>
      <c r="V2629" s="419">
        <v>800</v>
      </c>
      <c r="W2629" s="419">
        <f>800</f>
        <v>800</v>
      </c>
      <c r="X2629" s="420"/>
      <c r="Y2629" s="421">
        <f t="shared" si="1043"/>
        <v>0</v>
      </c>
      <c r="Z2629" s="422">
        <f t="shared" si="1044"/>
        <v>0</v>
      </c>
      <c r="AA2629" s="422">
        <f t="shared" si="1054"/>
        <v>0</v>
      </c>
      <c r="AB2629" s="825">
        <v>7.4999999999999997E-3</v>
      </c>
      <c r="AC2629" s="419">
        <f t="shared" si="1045"/>
        <v>0</v>
      </c>
      <c r="AD2629" s="209"/>
      <c r="AE2629" s="210">
        <f t="shared" si="1046"/>
        <v>0</v>
      </c>
      <c r="AF2629" s="210">
        <f t="shared" si="1047"/>
        <v>0</v>
      </c>
      <c r="AG2629" s="211">
        <f t="shared" si="1048"/>
        <v>0.14499999999999999</v>
      </c>
      <c r="AH2629" s="157">
        <f t="shared" si="1051"/>
        <v>0</v>
      </c>
      <c r="AI2629" s="152">
        <f t="shared" si="1049"/>
        <v>19200</v>
      </c>
      <c r="AK2629" s="156" t="s">
        <v>691</v>
      </c>
      <c r="AL2629" s="212" t="s">
        <v>690</v>
      </c>
      <c r="AM2629" s="198">
        <f t="shared" si="1042"/>
        <v>0</v>
      </c>
      <c r="AN2629" s="199">
        <f t="shared" si="1050"/>
        <v>45918</v>
      </c>
      <c r="AO2629" s="159" t="s">
        <v>692</v>
      </c>
      <c r="AP2629" s="783" t="s">
        <v>609</v>
      </c>
      <c r="AQ2629" s="782">
        <v>12071839</v>
      </c>
      <c r="AR2629" s="782">
        <v>12047514</v>
      </c>
      <c r="AS2629" s="782">
        <v>12047515</v>
      </c>
      <c r="AT2629" s="781"/>
      <c r="AU2629" s="781"/>
      <c r="AV2629" s="782">
        <v>12080613</v>
      </c>
      <c r="AW2629" s="781"/>
      <c r="AX2629" s="781"/>
      <c r="AY2629" s="782">
        <v>12094241</v>
      </c>
      <c r="AZ2629" s="782">
        <v>12094242</v>
      </c>
      <c r="BA2629" s="781"/>
      <c r="BB2629" s="209">
        <v>23053185</v>
      </c>
    </row>
    <row r="2630" spans="1:54" ht="25" hidden="1" customHeight="1">
      <c r="A2630" s="529" t="s">
        <v>1937</v>
      </c>
      <c r="B2630" s="357">
        <v>45918</v>
      </c>
      <c r="C2630" s="776" t="s">
        <v>1934</v>
      </c>
      <c r="D2630" s="185">
        <f t="shared" si="1052"/>
        <v>2025</v>
      </c>
      <c r="E2630" s="358" t="e">
        <f>VLOOKUP($B2630,Week!$A$1:$C$1462,2,0)</f>
        <v>#N/A</v>
      </c>
      <c r="F2630" s="360" t="str">
        <f t="shared" si="1053"/>
        <v>Sep</v>
      </c>
      <c r="G2630" s="359" t="s">
        <v>47</v>
      </c>
      <c r="H2630" s="359" t="s">
        <v>518</v>
      </c>
      <c r="I2630" s="359" t="s">
        <v>2702</v>
      </c>
      <c r="J2630" s="361" t="s">
        <v>70</v>
      </c>
      <c r="K2630" s="362" t="s">
        <v>94</v>
      </c>
      <c r="L2630" s="362" t="s">
        <v>2167</v>
      </c>
      <c r="M2630" s="361" t="s">
        <v>519</v>
      </c>
      <c r="N2630" s="436" t="s">
        <v>648</v>
      </c>
      <c r="O2630" s="359" t="s">
        <v>97</v>
      </c>
      <c r="P2630" s="363">
        <v>12</v>
      </c>
      <c r="Q2630" s="363">
        <v>5</v>
      </c>
      <c r="R2630" s="364">
        <v>8.0000000000000002E-3</v>
      </c>
      <c r="S2630" s="359" t="s">
        <v>40</v>
      </c>
      <c r="T2630" s="359" t="s">
        <v>56</v>
      </c>
      <c r="U2630" s="359" t="s">
        <v>57</v>
      </c>
      <c r="V2630" s="365">
        <v>12</v>
      </c>
      <c r="W2630" s="365">
        <v>12</v>
      </c>
      <c r="X2630" s="366"/>
      <c r="Y2630" s="367">
        <f t="shared" si="1043"/>
        <v>0</v>
      </c>
      <c r="Z2630" s="368">
        <f t="shared" si="1044"/>
        <v>0</v>
      </c>
      <c r="AA2630" s="368">
        <f t="shared" si="1054"/>
        <v>0</v>
      </c>
      <c r="AB2630" s="819">
        <v>7.4999999999999997E-3</v>
      </c>
      <c r="AC2630" s="365">
        <f t="shared" si="1045"/>
        <v>0</v>
      </c>
      <c r="AD2630" s="209"/>
      <c r="AE2630" s="210">
        <f t="shared" si="1046"/>
        <v>0</v>
      </c>
      <c r="AF2630" s="210">
        <f t="shared" si="1047"/>
        <v>0</v>
      </c>
      <c r="AG2630" s="211">
        <f t="shared" si="1048"/>
        <v>0.14499999999999999</v>
      </c>
      <c r="AH2630" s="157">
        <f t="shared" si="1051"/>
        <v>0</v>
      </c>
      <c r="AI2630" s="152">
        <f t="shared" si="1049"/>
        <v>144</v>
      </c>
      <c r="AK2630" s="156" t="s">
        <v>691</v>
      </c>
      <c r="AL2630" s="574" t="s">
        <v>690</v>
      </c>
      <c r="AM2630" s="198">
        <f t="shared" si="1042"/>
        <v>0</v>
      </c>
      <c r="AN2630" s="199">
        <f t="shared" si="1050"/>
        <v>45918</v>
      </c>
      <c r="AO2630" s="159" t="s">
        <v>692</v>
      </c>
      <c r="AP2630" s="783" t="s">
        <v>628</v>
      </c>
      <c r="AQ2630" s="782">
        <v>12071839</v>
      </c>
      <c r="AR2630" s="782">
        <v>12047514</v>
      </c>
      <c r="AS2630" s="782">
        <v>12047515</v>
      </c>
      <c r="AT2630" s="782"/>
      <c r="AU2630" s="781"/>
      <c r="AV2630" s="782">
        <v>12080617</v>
      </c>
      <c r="AW2630" s="782"/>
      <c r="AX2630" s="782"/>
      <c r="AY2630" s="782">
        <v>12094231</v>
      </c>
      <c r="AZ2630" s="782">
        <v>1209232</v>
      </c>
      <c r="BA2630" s="781"/>
      <c r="BB2630" s="209"/>
    </row>
    <row r="2631" spans="1:54" ht="24.65" hidden="1" customHeight="1">
      <c r="A2631" s="529" t="s">
        <v>1812</v>
      </c>
      <c r="B2631" s="357">
        <v>45918</v>
      </c>
      <c r="C2631" s="776">
        <v>45935</v>
      </c>
      <c r="D2631" s="185">
        <f t="shared" si="1052"/>
        <v>2025</v>
      </c>
      <c r="E2631" s="358" t="e">
        <f>VLOOKUP($B2631,Week!$A$1:$C$1462,2,0)</f>
        <v>#N/A</v>
      </c>
      <c r="F2631" s="360" t="str">
        <f t="shared" si="1053"/>
        <v>Sep</v>
      </c>
      <c r="G2631" s="359" t="s">
        <v>2511</v>
      </c>
      <c r="H2631" s="436" t="s">
        <v>1820</v>
      </c>
      <c r="I2631" s="436" t="s">
        <v>1820</v>
      </c>
      <c r="J2631" s="437" t="s">
        <v>1821</v>
      </c>
      <c r="K2631" s="362" t="s">
        <v>94</v>
      </c>
      <c r="L2631" s="300" t="s">
        <v>2167</v>
      </c>
      <c r="M2631" s="361" t="s">
        <v>1823</v>
      </c>
      <c r="N2631" s="436" t="s">
        <v>1818</v>
      </c>
      <c r="O2631" s="359" t="s">
        <v>97</v>
      </c>
      <c r="P2631" s="363">
        <v>12</v>
      </c>
      <c r="Q2631" s="363">
        <v>5</v>
      </c>
      <c r="R2631" s="364">
        <v>8.0000000000000002E-3</v>
      </c>
      <c r="S2631" s="359" t="s">
        <v>40</v>
      </c>
      <c r="T2631" s="359" t="s">
        <v>56</v>
      </c>
      <c r="U2631" s="359" t="s">
        <v>57</v>
      </c>
      <c r="V2631" s="365">
        <f>150-70</f>
        <v>80</v>
      </c>
      <c r="W2631" s="365">
        <f>80</f>
        <v>80</v>
      </c>
      <c r="X2631" s="366"/>
      <c r="Y2631" s="367">
        <f t="shared" si="1043"/>
        <v>0</v>
      </c>
      <c r="Z2631" s="368">
        <f t="shared" si="1044"/>
        <v>0</v>
      </c>
      <c r="AA2631" s="368">
        <f t="shared" si="1054"/>
        <v>0</v>
      </c>
      <c r="AB2631" s="819">
        <v>7.4999999999999997E-3</v>
      </c>
      <c r="AC2631" s="365">
        <f t="shared" si="1045"/>
        <v>0</v>
      </c>
      <c r="AD2631" s="443"/>
      <c r="AE2631" s="210">
        <f t="shared" si="1046"/>
        <v>0</v>
      </c>
      <c r="AF2631" s="210">
        <f t="shared" si="1047"/>
        <v>0</v>
      </c>
      <c r="AG2631" s="211">
        <f t="shared" si="1048"/>
        <v>0.14499999999999999</v>
      </c>
      <c r="AH2631" s="157">
        <f t="shared" si="1051"/>
        <v>0</v>
      </c>
      <c r="AI2631" s="152">
        <f t="shared" si="1049"/>
        <v>960</v>
      </c>
      <c r="AK2631" s="156" t="s">
        <v>691</v>
      </c>
      <c r="AL2631" s="574" t="s">
        <v>690</v>
      </c>
      <c r="AM2631" s="198">
        <f t="shared" si="1042"/>
        <v>0</v>
      </c>
      <c r="AN2631" s="199">
        <f t="shared" si="1050"/>
        <v>45918</v>
      </c>
      <c r="AO2631" s="159" t="s">
        <v>692</v>
      </c>
      <c r="AP2631" s="783" t="s">
        <v>628</v>
      </c>
      <c r="AQ2631" s="782">
        <v>12071839</v>
      </c>
      <c r="AR2631" s="782">
        <v>12047514</v>
      </c>
      <c r="AS2631" s="782">
        <v>12047515</v>
      </c>
      <c r="AT2631" s="782"/>
      <c r="AU2631" s="781"/>
      <c r="AV2631" s="782">
        <v>12080617</v>
      </c>
      <c r="AW2631" s="782"/>
      <c r="AX2631" s="782"/>
      <c r="AY2631" s="782">
        <v>12094231</v>
      </c>
      <c r="AZ2631" s="782">
        <v>1209232</v>
      </c>
      <c r="BA2631" s="781"/>
      <c r="BB2631" s="209">
        <v>23053185</v>
      </c>
    </row>
    <row r="2632" spans="1:54" ht="25" hidden="1" customHeight="1">
      <c r="B2632" s="357">
        <v>45918</v>
      </c>
      <c r="C2632" s="776" t="s">
        <v>1934</v>
      </c>
      <c r="D2632" s="185">
        <f t="shared" si="1052"/>
        <v>2025</v>
      </c>
      <c r="E2632" s="358" t="e">
        <f>VLOOKUP($B2632,Week!$A$1:$C$1462,2,0)</f>
        <v>#N/A</v>
      </c>
      <c r="F2632" s="360" t="str">
        <f t="shared" si="1053"/>
        <v>Sep</v>
      </c>
      <c r="G2632" s="359" t="s">
        <v>47</v>
      </c>
      <c r="H2632" s="359" t="s">
        <v>518</v>
      </c>
      <c r="I2632" s="359" t="s">
        <v>2702</v>
      </c>
      <c r="J2632" s="361" t="s">
        <v>70</v>
      </c>
      <c r="K2632" s="362" t="s">
        <v>94</v>
      </c>
      <c r="L2632" s="300" t="s">
        <v>2167</v>
      </c>
      <c r="M2632" s="361" t="s">
        <v>2341</v>
      </c>
      <c r="N2632" s="359" t="s">
        <v>589</v>
      </c>
      <c r="O2632" s="359" t="s">
        <v>97</v>
      </c>
      <c r="P2632" s="363">
        <v>12</v>
      </c>
      <c r="Q2632" s="363">
        <v>5</v>
      </c>
      <c r="R2632" s="364">
        <v>8.0000000000000002E-3</v>
      </c>
      <c r="S2632" s="359" t="s">
        <v>40</v>
      </c>
      <c r="T2632" s="359" t="s">
        <v>56</v>
      </c>
      <c r="U2632" s="359" t="s">
        <v>57</v>
      </c>
      <c r="V2632" s="365">
        <f>1250</f>
        <v>1250</v>
      </c>
      <c r="W2632" s="365">
        <f>26+4+1230-10</f>
        <v>1250</v>
      </c>
      <c r="X2632" s="366"/>
      <c r="Y2632" s="367">
        <f t="shared" si="1043"/>
        <v>0</v>
      </c>
      <c r="Z2632" s="368">
        <f t="shared" si="1044"/>
        <v>0</v>
      </c>
      <c r="AA2632" s="368">
        <f t="shared" si="1054"/>
        <v>0</v>
      </c>
      <c r="AB2632" s="819">
        <v>7.4999999999999997E-3</v>
      </c>
      <c r="AC2632" s="365">
        <f t="shared" si="1045"/>
        <v>0</v>
      </c>
      <c r="AD2632" s="209"/>
      <c r="AE2632" s="210">
        <f t="shared" si="1046"/>
        <v>0</v>
      </c>
      <c r="AF2632" s="210">
        <f t="shared" si="1047"/>
        <v>0</v>
      </c>
      <c r="AG2632" s="211">
        <f t="shared" si="1048"/>
        <v>0.14499999999999999</v>
      </c>
      <c r="AH2632" s="157">
        <f t="shared" si="1051"/>
        <v>0</v>
      </c>
      <c r="AI2632" s="152">
        <f t="shared" si="1049"/>
        <v>15000</v>
      </c>
      <c r="AK2632" s="156" t="s">
        <v>691</v>
      </c>
      <c r="AL2632" s="574" t="s">
        <v>690</v>
      </c>
      <c r="AM2632" s="198">
        <f t="shared" si="1042"/>
        <v>0</v>
      </c>
      <c r="AN2632" s="199">
        <f t="shared" si="1050"/>
        <v>45918</v>
      </c>
      <c r="AO2632" s="159" t="s">
        <v>692</v>
      </c>
      <c r="AP2632" s="783" t="s">
        <v>628</v>
      </c>
      <c r="AQ2632" s="782">
        <v>12071839</v>
      </c>
      <c r="AR2632" s="782">
        <v>12047514</v>
      </c>
      <c r="AS2632" s="782">
        <v>12047515</v>
      </c>
      <c r="AT2632" s="782"/>
      <c r="AU2632" s="781"/>
      <c r="AV2632" s="782">
        <v>12080617</v>
      </c>
      <c r="AW2632" s="782"/>
      <c r="AX2632" s="782"/>
      <c r="AY2632" s="782">
        <v>12094231</v>
      </c>
      <c r="AZ2632" s="782">
        <v>1209232</v>
      </c>
      <c r="BA2632" s="781"/>
      <c r="BB2632" s="209">
        <v>23053185</v>
      </c>
    </row>
    <row r="2633" spans="1:54" ht="25" hidden="1" customHeight="1">
      <c r="B2633" s="398">
        <v>45918</v>
      </c>
      <c r="C2633" s="399" t="s">
        <v>1934</v>
      </c>
      <c r="D2633" s="185">
        <f t="shared" si="1052"/>
        <v>2025</v>
      </c>
      <c r="E2633" s="399" t="e">
        <f>VLOOKUP($B2633,Week!$A$1:$C$1462,2,0)</f>
        <v>#N/A</v>
      </c>
      <c r="F2633" s="400" t="str">
        <f t="shared" si="1053"/>
        <v>Sep</v>
      </c>
      <c r="G2633" s="401" t="s">
        <v>47</v>
      </c>
      <c r="H2633" s="401" t="s">
        <v>518</v>
      </c>
      <c r="I2633" s="401" t="s">
        <v>2702</v>
      </c>
      <c r="J2633" s="402" t="s">
        <v>70</v>
      </c>
      <c r="K2633" s="403" t="s">
        <v>1645</v>
      </c>
      <c r="L2633" s="300" t="s">
        <v>2167</v>
      </c>
      <c r="M2633" s="402" t="s">
        <v>2340</v>
      </c>
      <c r="N2633" s="404" t="s">
        <v>557</v>
      </c>
      <c r="O2633" s="401" t="s">
        <v>101</v>
      </c>
      <c r="P2633" s="405">
        <v>12</v>
      </c>
      <c r="Q2633" s="405">
        <v>5</v>
      </c>
      <c r="R2633" s="406">
        <v>8.0000000000000002E-3</v>
      </c>
      <c r="S2633" s="401" t="s">
        <v>40</v>
      </c>
      <c r="T2633" s="401" t="s">
        <v>56</v>
      </c>
      <c r="U2633" s="770" t="s">
        <v>499</v>
      </c>
      <c r="V2633" s="407">
        <f>400</f>
        <v>400</v>
      </c>
      <c r="W2633" s="407">
        <f>7+10+383</f>
        <v>400</v>
      </c>
      <c r="X2633" s="408"/>
      <c r="Y2633" s="409">
        <f t="shared" ref="Y2633:Y2638" si="1055">(W2633+X2633)-V2633</f>
        <v>0</v>
      </c>
      <c r="Z2633" s="410">
        <f t="shared" si="1044"/>
        <v>0</v>
      </c>
      <c r="AA2633" s="410">
        <f t="shared" si="1054"/>
        <v>0</v>
      </c>
      <c r="AB2633" s="824">
        <v>1</v>
      </c>
      <c r="AC2633" s="407">
        <f t="shared" ref="AC2633:AC2638" si="1056">Z2633*AB2633</f>
        <v>0</v>
      </c>
      <c r="AD2633" s="443"/>
      <c r="AE2633" s="210">
        <f t="shared" si="1046"/>
        <v>0</v>
      </c>
      <c r="AF2633" s="210">
        <f t="shared" si="1047"/>
        <v>0</v>
      </c>
      <c r="AG2633" s="211">
        <f t="shared" si="1048"/>
        <v>0.115</v>
      </c>
      <c r="AH2633" s="157">
        <f t="shared" ref="AH2633:AH2638" si="1057">(Z2633*AG2633)/1000</f>
        <v>0</v>
      </c>
      <c r="AI2633" s="152">
        <f t="shared" si="1049"/>
        <v>4800</v>
      </c>
      <c r="AK2633" s="156" t="s">
        <v>691</v>
      </c>
      <c r="AL2633" s="212" t="s">
        <v>690</v>
      </c>
      <c r="AM2633" s="198">
        <f t="shared" si="1042"/>
        <v>0</v>
      </c>
      <c r="AN2633" s="199">
        <f t="shared" si="1050"/>
        <v>45918</v>
      </c>
      <c r="AO2633" s="159" t="s">
        <v>692</v>
      </c>
      <c r="AP2633" s="783" t="s">
        <v>623</v>
      </c>
      <c r="AQ2633" s="782">
        <v>12071839</v>
      </c>
      <c r="AR2633" s="782">
        <v>12047514</v>
      </c>
      <c r="AS2633" s="782">
        <v>12047515</v>
      </c>
      <c r="AT2633" s="782"/>
      <c r="AU2633" s="781"/>
      <c r="AV2633" s="782">
        <v>12072447</v>
      </c>
      <c r="AW2633" s="782"/>
      <c r="AX2633" s="782"/>
      <c r="AY2633" s="782">
        <v>12094384</v>
      </c>
      <c r="AZ2633" s="782">
        <v>12094385</v>
      </c>
      <c r="BA2633" s="781"/>
      <c r="BB2633" s="209">
        <v>23052995</v>
      </c>
    </row>
    <row r="2634" spans="1:54" ht="25" hidden="1" customHeight="1">
      <c r="B2634" s="398">
        <v>45918</v>
      </c>
      <c r="C2634" s="399" t="s">
        <v>1934</v>
      </c>
      <c r="D2634" s="185">
        <f t="shared" si="1052"/>
        <v>2025</v>
      </c>
      <c r="E2634" s="399" t="e">
        <f>VLOOKUP($B2634,Week!$A$1:$C$1462,2,0)</f>
        <v>#N/A</v>
      </c>
      <c r="F2634" s="400" t="str">
        <f t="shared" si="1053"/>
        <v>Sep</v>
      </c>
      <c r="G2634" s="401" t="s">
        <v>47</v>
      </c>
      <c r="H2634" s="401" t="s">
        <v>518</v>
      </c>
      <c r="I2634" s="401" t="s">
        <v>2702</v>
      </c>
      <c r="J2634" s="402" t="s">
        <v>70</v>
      </c>
      <c r="K2634" s="403" t="s">
        <v>1645</v>
      </c>
      <c r="L2634" s="300" t="s">
        <v>2167</v>
      </c>
      <c r="M2634" s="402" t="s">
        <v>2340</v>
      </c>
      <c r="N2634" s="404" t="s">
        <v>557</v>
      </c>
      <c r="O2634" s="401" t="s">
        <v>101</v>
      </c>
      <c r="P2634" s="405">
        <v>12</v>
      </c>
      <c r="Q2634" s="405">
        <v>5</v>
      </c>
      <c r="R2634" s="406">
        <v>8.0000000000000002E-3</v>
      </c>
      <c r="S2634" s="401" t="s">
        <v>40</v>
      </c>
      <c r="T2634" s="401" t="s">
        <v>56</v>
      </c>
      <c r="U2634" s="770" t="s">
        <v>499</v>
      </c>
      <c r="V2634" s="407">
        <f>160+10</f>
        <v>170</v>
      </c>
      <c r="W2634" s="407">
        <f>553-383</f>
        <v>170</v>
      </c>
      <c r="X2634" s="408">
        <f>(203)/24</f>
        <v>8.4583333333333339</v>
      </c>
      <c r="Y2634" s="409">
        <f t="shared" si="1055"/>
        <v>8.4583333333333428</v>
      </c>
      <c r="Z2634" s="410">
        <f t="shared" si="1044"/>
        <v>0</v>
      </c>
      <c r="AA2634" s="410">
        <f t="shared" si="1054"/>
        <v>0</v>
      </c>
      <c r="AB2634" s="824">
        <v>1</v>
      </c>
      <c r="AC2634" s="407">
        <f t="shared" si="1056"/>
        <v>0</v>
      </c>
      <c r="AD2634" s="443"/>
      <c r="AE2634" s="210">
        <f t="shared" si="1046"/>
        <v>0</v>
      </c>
      <c r="AF2634" s="210">
        <f t="shared" si="1047"/>
        <v>0</v>
      </c>
      <c r="AG2634" s="211">
        <f t="shared" si="1048"/>
        <v>0.115</v>
      </c>
      <c r="AH2634" s="157">
        <f t="shared" si="1057"/>
        <v>0</v>
      </c>
      <c r="AI2634" s="152">
        <f t="shared" si="1049"/>
        <v>2040</v>
      </c>
      <c r="AK2634" s="156" t="s">
        <v>691</v>
      </c>
      <c r="AL2634" s="212" t="s">
        <v>690</v>
      </c>
      <c r="AM2634" s="198">
        <f t="shared" si="1042"/>
        <v>0</v>
      </c>
      <c r="AN2634" s="199">
        <f t="shared" si="1050"/>
        <v>45918</v>
      </c>
      <c r="AO2634" s="159" t="s">
        <v>692</v>
      </c>
      <c r="AP2634" s="783" t="s">
        <v>623</v>
      </c>
      <c r="AQ2634" s="782">
        <v>12071839</v>
      </c>
      <c r="AR2634" s="782">
        <v>12047514</v>
      </c>
      <c r="AS2634" s="782">
        <v>12047515</v>
      </c>
      <c r="AT2634" s="782"/>
      <c r="AU2634" s="781"/>
      <c r="AV2634" s="782">
        <v>12072447</v>
      </c>
      <c r="AW2634" s="782"/>
      <c r="AX2634" s="782"/>
      <c r="AY2634" s="782">
        <v>12094384</v>
      </c>
      <c r="AZ2634" s="782">
        <v>12094385</v>
      </c>
      <c r="BA2634" s="781"/>
      <c r="BB2634" s="209">
        <v>23052995</v>
      </c>
    </row>
    <row r="2635" spans="1:54" ht="25" hidden="1" customHeight="1">
      <c r="B2635" s="424">
        <v>45918</v>
      </c>
      <c r="C2635" s="647" t="s">
        <v>1934</v>
      </c>
      <c r="D2635" s="185">
        <f t="shared" si="1052"/>
        <v>2025</v>
      </c>
      <c r="E2635" s="425" t="e">
        <f>VLOOKUP($B2635,Week!$A$1:$C$1462,2,0)</f>
        <v>#N/A</v>
      </c>
      <c r="F2635" s="426" t="str">
        <f t="shared" si="1053"/>
        <v>Sep</v>
      </c>
      <c r="G2635" s="427" t="s">
        <v>47</v>
      </c>
      <c r="H2635" s="427" t="s">
        <v>518</v>
      </c>
      <c r="I2635" s="427" t="s">
        <v>2702</v>
      </c>
      <c r="J2635" s="428" t="s">
        <v>70</v>
      </c>
      <c r="K2635" s="429" t="s">
        <v>94</v>
      </c>
      <c r="L2635" s="300" t="s">
        <v>2167</v>
      </c>
      <c r="M2635" s="428" t="s">
        <v>2342</v>
      </c>
      <c r="N2635" s="427" t="s">
        <v>587</v>
      </c>
      <c r="O2635" s="427" t="s">
        <v>3198</v>
      </c>
      <c r="P2635" s="430">
        <v>18</v>
      </c>
      <c r="Q2635" s="430">
        <v>5</v>
      </c>
      <c r="R2635" s="431">
        <v>8.0000000000000002E-3</v>
      </c>
      <c r="S2635" s="427" t="s">
        <v>40</v>
      </c>
      <c r="T2635" s="427" t="s">
        <v>56</v>
      </c>
      <c r="U2635" s="427" t="s">
        <v>89</v>
      </c>
      <c r="V2635" s="432">
        <v>1200</v>
      </c>
      <c r="W2635" s="432">
        <f>10+756+76+358</f>
        <v>1200</v>
      </c>
      <c r="X2635" s="433"/>
      <c r="Y2635" s="434">
        <f t="shared" si="1055"/>
        <v>0</v>
      </c>
      <c r="Z2635" s="435">
        <f t="shared" si="1044"/>
        <v>0</v>
      </c>
      <c r="AA2635" s="435">
        <f t="shared" si="1054"/>
        <v>0</v>
      </c>
      <c r="AB2635" s="826">
        <v>1</v>
      </c>
      <c r="AC2635" s="432">
        <f t="shared" si="1056"/>
        <v>0</v>
      </c>
      <c r="AD2635" s="209"/>
      <c r="AE2635" s="210">
        <f t="shared" si="1046"/>
        <v>0</v>
      </c>
      <c r="AF2635" s="210">
        <f t="shared" si="1047"/>
        <v>0</v>
      </c>
      <c r="AG2635" s="211" t="e">
        <f>(MID(O2635,1,3)/1000)/3</f>
        <v>#VALUE!</v>
      </c>
      <c r="AH2635" s="157" t="e">
        <f t="shared" si="1057"/>
        <v>#VALUE!</v>
      </c>
      <c r="AI2635" s="152">
        <f t="shared" si="1049"/>
        <v>21600</v>
      </c>
      <c r="AK2635" s="156" t="s">
        <v>691</v>
      </c>
      <c r="AL2635" s="212" t="s">
        <v>690</v>
      </c>
      <c r="AM2635" s="198" t="e">
        <f t="shared" si="1042"/>
        <v>#VALUE!</v>
      </c>
      <c r="AN2635" s="199">
        <f t="shared" si="1050"/>
        <v>45918</v>
      </c>
      <c r="AO2635" s="159" t="s">
        <v>692</v>
      </c>
      <c r="AP2635" s="783" t="s">
        <v>628</v>
      </c>
      <c r="AQ2635" s="782"/>
      <c r="AR2635" s="782"/>
      <c r="AS2635" s="782"/>
      <c r="AT2635" s="782"/>
      <c r="AU2635" s="781"/>
      <c r="AV2635" s="782">
        <v>12080791</v>
      </c>
      <c r="AW2635" s="782" t="s">
        <v>641</v>
      </c>
      <c r="AX2635" s="782" t="s">
        <v>533</v>
      </c>
      <c r="AY2635" s="782"/>
      <c r="AZ2635" s="782"/>
      <c r="BA2635" s="781"/>
      <c r="BB2635" s="209">
        <v>23053184</v>
      </c>
    </row>
    <row r="2636" spans="1:54" ht="25" hidden="1" customHeight="1">
      <c r="B2636" s="424">
        <v>45918</v>
      </c>
      <c r="C2636" s="647" t="s">
        <v>1934</v>
      </c>
      <c r="D2636" s="185">
        <f t="shared" si="1052"/>
        <v>2025</v>
      </c>
      <c r="E2636" s="425" t="e">
        <f>VLOOKUP($B2636,Week!$A$1:$C$1462,2,0)</f>
        <v>#N/A</v>
      </c>
      <c r="F2636" s="426" t="str">
        <f t="shared" si="1053"/>
        <v>Sep</v>
      </c>
      <c r="G2636" s="427" t="s">
        <v>47</v>
      </c>
      <c r="H2636" s="427" t="s">
        <v>518</v>
      </c>
      <c r="I2636" s="427" t="s">
        <v>2702</v>
      </c>
      <c r="J2636" s="428" t="s">
        <v>70</v>
      </c>
      <c r="K2636" s="429" t="s">
        <v>94</v>
      </c>
      <c r="L2636" s="300" t="s">
        <v>2167</v>
      </c>
      <c r="M2636" s="428" t="s">
        <v>2342</v>
      </c>
      <c r="N2636" s="427" t="s">
        <v>587</v>
      </c>
      <c r="O2636" s="427" t="s">
        <v>3198</v>
      </c>
      <c r="P2636" s="430">
        <v>18</v>
      </c>
      <c r="Q2636" s="430">
        <v>5</v>
      </c>
      <c r="R2636" s="431">
        <v>8.0000000000000002E-3</v>
      </c>
      <c r="S2636" s="427" t="s">
        <v>40</v>
      </c>
      <c r="T2636" s="427" t="s">
        <v>56</v>
      </c>
      <c r="U2636" s="427" t="s">
        <v>89</v>
      </c>
      <c r="V2636" s="432">
        <v>1200</v>
      </c>
      <c r="W2636" s="432">
        <f>1056-358+11+491</f>
        <v>1200</v>
      </c>
      <c r="X2636" s="433"/>
      <c r="Y2636" s="434">
        <f t="shared" si="1055"/>
        <v>0</v>
      </c>
      <c r="Z2636" s="435">
        <f t="shared" si="1044"/>
        <v>0</v>
      </c>
      <c r="AA2636" s="435">
        <f t="shared" si="1054"/>
        <v>0</v>
      </c>
      <c r="AB2636" s="826">
        <v>1</v>
      </c>
      <c r="AC2636" s="432">
        <f t="shared" si="1056"/>
        <v>0</v>
      </c>
      <c r="AD2636" s="209"/>
      <c r="AE2636" s="210">
        <f t="shared" si="1046"/>
        <v>0</v>
      </c>
      <c r="AF2636" s="210">
        <f t="shared" si="1047"/>
        <v>0</v>
      </c>
      <c r="AG2636" s="211" t="e">
        <f>(MID(O2636,1,3)/1000)/3</f>
        <v>#VALUE!</v>
      </c>
      <c r="AH2636" s="157" t="e">
        <f t="shared" si="1057"/>
        <v>#VALUE!</v>
      </c>
      <c r="AI2636" s="152">
        <f t="shared" si="1049"/>
        <v>21600</v>
      </c>
      <c r="AK2636" s="156" t="s">
        <v>691</v>
      </c>
      <c r="AL2636" s="212" t="s">
        <v>690</v>
      </c>
      <c r="AM2636" s="198" t="e">
        <f t="shared" si="1042"/>
        <v>#VALUE!</v>
      </c>
      <c r="AN2636" s="199">
        <f t="shared" si="1050"/>
        <v>45918</v>
      </c>
      <c r="AO2636" s="159" t="s">
        <v>692</v>
      </c>
      <c r="AP2636" s="783" t="s">
        <v>628</v>
      </c>
      <c r="AQ2636" s="782"/>
      <c r="AR2636" s="782"/>
      <c r="AS2636" s="782"/>
      <c r="AT2636" s="782"/>
      <c r="AU2636" s="781"/>
      <c r="AV2636" s="782">
        <v>12080791</v>
      </c>
      <c r="AW2636" s="782" t="s">
        <v>641</v>
      </c>
      <c r="AX2636" s="782" t="s">
        <v>533</v>
      </c>
      <c r="AY2636" s="782"/>
      <c r="AZ2636" s="782"/>
      <c r="BA2636" s="781"/>
      <c r="BB2636" s="209">
        <v>23053184</v>
      </c>
    </row>
    <row r="2637" spans="1:54" ht="24.65" hidden="1" customHeight="1">
      <c r="B2637" s="411">
        <v>45919</v>
      </c>
      <c r="C2637" s="645" t="s">
        <v>1934</v>
      </c>
      <c r="D2637" s="185">
        <f>IF(B2637="","",YEAR(B2637))</f>
        <v>2025</v>
      </c>
      <c r="E2637" s="412" t="e">
        <f>VLOOKUP($B2637,Week!$A$1:$C$1462,2,0)</f>
        <v>#N/A</v>
      </c>
      <c r="F2637" s="413" t="str">
        <f>IF(B2637="","",TEXT(B2637,"[$-409]mmm"))</f>
        <v>Sep</v>
      </c>
      <c r="G2637" s="414" t="s">
        <v>47</v>
      </c>
      <c r="H2637" s="414" t="s">
        <v>260</v>
      </c>
      <c r="I2637" s="414" t="s">
        <v>2702</v>
      </c>
      <c r="J2637" s="415" t="s">
        <v>261</v>
      </c>
      <c r="K2637" s="416" t="s">
        <v>94</v>
      </c>
      <c r="L2637" s="300" t="s">
        <v>2167</v>
      </c>
      <c r="M2637" s="415" t="s">
        <v>2339</v>
      </c>
      <c r="N2637" s="414" t="s">
        <v>263</v>
      </c>
      <c r="O2637" s="414" t="s">
        <v>195</v>
      </c>
      <c r="P2637" s="417">
        <v>24</v>
      </c>
      <c r="Q2637" s="417">
        <v>5</v>
      </c>
      <c r="R2637" s="418">
        <v>8.0000000000000002E-3</v>
      </c>
      <c r="S2637" s="414" t="s">
        <v>40</v>
      </c>
      <c r="T2637" s="414" t="s">
        <v>56</v>
      </c>
      <c r="U2637" s="414" t="s">
        <v>57</v>
      </c>
      <c r="V2637" s="419">
        <f>7500-334-3439-800</f>
        <v>2927</v>
      </c>
      <c r="W2637" s="419">
        <f>2617</f>
        <v>2617</v>
      </c>
      <c r="X2637" s="420">
        <f>7440/24</f>
        <v>310</v>
      </c>
      <c r="Y2637" s="421">
        <f t="shared" si="1055"/>
        <v>0</v>
      </c>
      <c r="Z2637" s="422">
        <f>IF(Y2637&lt;0,((V2637*P2637)-((W2637+X2637)*P2637)),0)</f>
        <v>0</v>
      </c>
      <c r="AA2637" s="422">
        <f>Q2637*Z2637</f>
        <v>0</v>
      </c>
      <c r="AB2637" s="825">
        <v>7.4999999999999997E-3</v>
      </c>
      <c r="AC2637" s="419">
        <f t="shared" si="1056"/>
        <v>0</v>
      </c>
      <c r="AD2637" s="209"/>
      <c r="AE2637" s="210">
        <f>SUM(Q2637*R2637*Z2637)/1000</f>
        <v>0</v>
      </c>
      <c r="AF2637" s="210">
        <f t="shared" si="1047"/>
        <v>0</v>
      </c>
      <c r="AG2637" s="211">
        <f>MID(O2637,1,3)/1000</f>
        <v>0.14499999999999999</v>
      </c>
      <c r="AH2637" s="157">
        <f t="shared" si="1057"/>
        <v>0</v>
      </c>
      <c r="AI2637" s="152">
        <f>V2637*P2637</f>
        <v>70248</v>
      </c>
      <c r="AK2637" s="156" t="s">
        <v>691</v>
      </c>
      <c r="AL2637" s="212" t="s">
        <v>690</v>
      </c>
      <c r="AM2637" s="198">
        <f t="shared" si="1042"/>
        <v>0</v>
      </c>
      <c r="AN2637" s="199">
        <f>B2637</f>
        <v>45919</v>
      </c>
      <c r="AO2637" s="159" t="s">
        <v>692</v>
      </c>
      <c r="AP2637" s="783" t="s">
        <v>609</v>
      </c>
      <c r="AQ2637" s="782">
        <v>12071839</v>
      </c>
      <c r="AR2637" s="782">
        <v>12047514</v>
      </c>
      <c r="AS2637" s="782">
        <v>12047515</v>
      </c>
      <c r="AT2637" s="781"/>
      <c r="AU2637" s="781"/>
      <c r="AV2637" s="782">
        <v>12080613</v>
      </c>
      <c r="AW2637" s="781"/>
      <c r="AX2637" s="781"/>
      <c r="AY2637" s="782">
        <v>12094241</v>
      </c>
      <c r="AZ2637" s="782">
        <v>12094242</v>
      </c>
      <c r="BA2637" s="781"/>
      <c r="BB2637" s="209">
        <v>23053185</v>
      </c>
    </row>
    <row r="2638" spans="1:54" ht="24.65" hidden="1" customHeight="1">
      <c r="B2638" s="411">
        <v>45919</v>
      </c>
      <c r="C2638" s="645" t="s">
        <v>1935</v>
      </c>
      <c r="D2638" s="185">
        <f>IF(B2638="","",YEAR(B2638))</f>
        <v>2025</v>
      </c>
      <c r="E2638" s="412" t="e">
        <f>VLOOKUP($B2638,Week!$A$1:$C$1462,2,0)</f>
        <v>#N/A</v>
      </c>
      <c r="F2638" s="413" t="str">
        <f>IF(B2638="","",TEXT(B2638,"[$-409]mmm"))</f>
        <v>Sep</v>
      </c>
      <c r="G2638" s="414" t="s">
        <v>47</v>
      </c>
      <c r="H2638" s="414" t="s">
        <v>260</v>
      </c>
      <c r="I2638" s="414" t="s">
        <v>2702</v>
      </c>
      <c r="J2638" s="415" t="s">
        <v>261</v>
      </c>
      <c r="K2638" s="416" t="s">
        <v>94</v>
      </c>
      <c r="L2638" s="300" t="s">
        <v>2167</v>
      </c>
      <c r="M2638" s="415" t="s">
        <v>2339</v>
      </c>
      <c r="N2638" s="414" t="s">
        <v>263</v>
      </c>
      <c r="O2638" s="414" t="s">
        <v>195</v>
      </c>
      <c r="P2638" s="417">
        <v>24</v>
      </c>
      <c r="Q2638" s="417">
        <v>5</v>
      </c>
      <c r="R2638" s="418">
        <v>8.0000000000000002E-3</v>
      </c>
      <c r="S2638" s="414" t="s">
        <v>40</v>
      </c>
      <c r="T2638" s="414" t="s">
        <v>56</v>
      </c>
      <c r="U2638" s="414" t="s">
        <v>57</v>
      </c>
      <c r="V2638" s="419">
        <v>195</v>
      </c>
      <c r="W2638" s="419"/>
      <c r="X2638" s="420">
        <v>195</v>
      </c>
      <c r="Y2638" s="421">
        <f t="shared" si="1055"/>
        <v>0</v>
      </c>
      <c r="Z2638" s="422">
        <f>IF(Y2638&lt;0,((V2638*P2638)-((W2638+X2638)*P2638)),0)</f>
        <v>0</v>
      </c>
      <c r="AA2638" s="422">
        <f>Q2638*Z2638</f>
        <v>0</v>
      </c>
      <c r="AB2638" s="825">
        <v>7.4999999999999997E-3</v>
      </c>
      <c r="AC2638" s="419">
        <f t="shared" si="1056"/>
        <v>0</v>
      </c>
      <c r="AD2638" s="209"/>
      <c r="AE2638" s="210">
        <f>SUM(Q2638*R2638*Z2638)/1000</f>
        <v>0</v>
      </c>
      <c r="AF2638" s="210">
        <f t="shared" si="1047"/>
        <v>0</v>
      </c>
      <c r="AG2638" s="211">
        <f>MID(O2638,1,3)/1000</f>
        <v>0.14499999999999999</v>
      </c>
      <c r="AH2638" s="157">
        <f t="shared" si="1057"/>
        <v>0</v>
      </c>
      <c r="AI2638" s="152">
        <f>V2638*P2638</f>
        <v>4680</v>
      </c>
      <c r="AK2638" s="156" t="s">
        <v>691</v>
      </c>
      <c r="AL2638" s="212" t="s">
        <v>690</v>
      </c>
      <c r="AM2638" s="198">
        <f t="shared" si="1042"/>
        <v>0</v>
      </c>
      <c r="AN2638" s="199">
        <f>B2638</f>
        <v>45919</v>
      </c>
      <c r="AO2638" s="159" t="s">
        <v>692</v>
      </c>
      <c r="AP2638" s="783" t="s">
        <v>609</v>
      </c>
      <c r="AQ2638" s="782">
        <v>12071839</v>
      </c>
      <c r="AR2638" s="782">
        <v>12047514</v>
      </c>
      <c r="AS2638" s="782">
        <v>12047515</v>
      </c>
      <c r="AT2638" s="781"/>
      <c r="AU2638" s="781"/>
      <c r="AV2638" s="782">
        <v>12080613</v>
      </c>
      <c r="AW2638" s="781"/>
      <c r="AX2638" s="781"/>
      <c r="AY2638" s="782">
        <v>12094241</v>
      </c>
      <c r="AZ2638" s="782">
        <v>12094242</v>
      </c>
      <c r="BA2638" s="781"/>
      <c r="BB2638" s="209">
        <v>23053185</v>
      </c>
    </row>
    <row r="2639" spans="1:54" ht="24.75" hidden="1" customHeight="1">
      <c r="B2639" s="295">
        <v>45920</v>
      </c>
      <c r="C2639" s="771" t="s">
        <v>1934</v>
      </c>
      <c r="D2639" s="185">
        <f>IF(B2639="","",YEAR(B2639))</f>
        <v>2025</v>
      </c>
      <c r="E2639" s="296" t="e">
        <f>VLOOKUP($B2639,Week!$A$1:$C$1462,2,0)</f>
        <v>#N/A</v>
      </c>
      <c r="F2639" s="297" t="str">
        <f>IF(B2639="","",TEXT(B2639,"[$-409]mmm"))</f>
        <v>Sep</v>
      </c>
      <c r="G2639" s="648" t="s">
        <v>47</v>
      </c>
      <c r="H2639" s="298" t="s">
        <v>260</v>
      </c>
      <c r="I2639" s="298" t="s">
        <v>2702</v>
      </c>
      <c r="J2639" s="307" t="s">
        <v>2240</v>
      </c>
      <c r="K2639" s="300" t="s">
        <v>176</v>
      </c>
      <c r="L2639" s="300" t="s">
        <v>2167</v>
      </c>
      <c r="M2639" s="299" t="s">
        <v>2338</v>
      </c>
      <c r="N2639" s="298" t="s">
        <v>350</v>
      </c>
      <c r="O2639" s="298" t="s">
        <v>351</v>
      </c>
      <c r="P2639" s="301">
        <v>24</v>
      </c>
      <c r="Q2639" s="301">
        <v>5</v>
      </c>
      <c r="R2639" s="302">
        <v>6.1999999999999998E-3</v>
      </c>
      <c r="S2639" s="298" t="s">
        <v>352</v>
      </c>
      <c r="T2639" s="298" t="s">
        <v>56</v>
      </c>
      <c r="U2639" s="298" t="s">
        <v>57</v>
      </c>
      <c r="V2639" s="303">
        <v>1174</v>
      </c>
      <c r="W2639" s="303">
        <f>1+1173</f>
        <v>1174</v>
      </c>
      <c r="X2639" s="304"/>
      <c r="Y2639" s="305">
        <f>(W2639+X2639)-V2639</f>
        <v>0</v>
      </c>
      <c r="Z2639" s="306">
        <f>IF(Y2639&lt;0,((V2639*P2639)-((W2639+X2639)*P2639)),0)</f>
        <v>0</v>
      </c>
      <c r="AA2639" s="306">
        <f>Q2639*Z2639</f>
        <v>0</v>
      </c>
      <c r="AB2639" s="814">
        <v>7.4999999999999997E-3</v>
      </c>
      <c r="AC2639" s="303">
        <f>Z2639*AB2639</f>
        <v>0</v>
      </c>
      <c r="AD2639" s="443"/>
      <c r="AE2639" s="210">
        <f>SUM(Q2639*R2639*Z2639)/1000</f>
        <v>0</v>
      </c>
      <c r="AF2639" s="210">
        <f t="shared" si="1047"/>
        <v>0</v>
      </c>
      <c r="AG2639" s="211">
        <f>MID(O2639,1,3)/1000</f>
        <v>0.13</v>
      </c>
      <c r="AH2639" s="157">
        <f>(Z2639*AG2639)/1000</f>
        <v>0</v>
      </c>
      <c r="AI2639" s="152">
        <f>V2639*P2639</f>
        <v>28176</v>
      </c>
      <c r="AK2639" s="156" t="s">
        <v>691</v>
      </c>
      <c r="AL2639" s="574" t="s">
        <v>690</v>
      </c>
      <c r="AM2639" s="198">
        <f t="shared" si="1042"/>
        <v>0</v>
      </c>
      <c r="AN2639" s="199">
        <f>B2639</f>
        <v>45920</v>
      </c>
      <c r="AO2639" s="159" t="s">
        <v>692</v>
      </c>
      <c r="AP2639" s="783" t="s">
        <v>622</v>
      </c>
      <c r="AQ2639" s="782">
        <v>12071839</v>
      </c>
      <c r="AR2639" s="782">
        <v>12094356</v>
      </c>
      <c r="AS2639" s="782">
        <v>12068233</v>
      </c>
      <c r="AT2639" s="781"/>
      <c r="AU2639" s="781"/>
      <c r="AV2639" s="782">
        <v>12062075</v>
      </c>
      <c r="AW2639" s="781"/>
      <c r="AX2639" s="781"/>
      <c r="AY2639" s="782">
        <v>12094357</v>
      </c>
      <c r="AZ2639" s="782"/>
      <c r="BA2639" s="781"/>
      <c r="BB2639" s="209">
        <v>23053184</v>
      </c>
    </row>
    <row r="2640" spans="1:54" ht="25" hidden="1" customHeight="1">
      <c r="B2640" s="357">
        <v>45920</v>
      </c>
      <c r="C2640" s="358">
        <v>45945</v>
      </c>
      <c r="D2640" s="185">
        <f>IF(B2640="","",YEAR(B2640))</f>
        <v>2025</v>
      </c>
      <c r="E2640" s="358" t="e">
        <f>VLOOKUP($B2640,Week!$A$1:$C$1462,2,0)</f>
        <v>#N/A</v>
      </c>
      <c r="F2640" s="360" t="str">
        <f>IF(B2640="","",TEXT(B2640,"[$-409]mmm"))</f>
        <v>Sep</v>
      </c>
      <c r="G2640" s="436" t="s">
        <v>2423</v>
      </c>
      <c r="H2640" s="359" t="s">
        <v>225</v>
      </c>
      <c r="I2640" s="359" t="s">
        <v>2773</v>
      </c>
      <c r="J2640" s="361" t="s">
        <v>650</v>
      </c>
      <c r="K2640" s="362" t="s">
        <v>593</v>
      </c>
      <c r="L2640" s="300" t="s">
        <v>2167</v>
      </c>
      <c r="M2640" s="361" t="s">
        <v>717</v>
      </c>
      <c r="N2640" s="359" t="s">
        <v>719</v>
      </c>
      <c r="O2640" s="359" t="s">
        <v>230</v>
      </c>
      <c r="P2640" s="363">
        <v>12</v>
      </c>
      <c r="Q2640" s="363">
        <v>5</v>
      </c>
      <c r="R2640" s="364">
        <v>6.0000000000000001E-3</v>
      </c>
      <c r="S2640" s="359" t="s">
        <v>55</v>
      </c>
      <c r="T2640" s="359" t="s">
        <v>112</v>
      </c>
      <c r="U2640" s="359" t="s">
        <v>57</v>
      </c>
      <c r="V2640" s="365">
        <v>2600</v>
      </c>
      <c r="W2640" s="365"/>
      <c r="X2640" s="366">
        <f>(1698+29502)/12</f>
        <v>2600</v>
      </c>
      <c r="Y2640" s="367">
        <f>(W2640+X2640)-V2640</f>
        <v>0</v>
      </c>
      <c r="Z2640" s="368">
        <f>IF(Y2640&lt;0,((V2640*P2640)-((W2640+X2640)*P2640)),0)</f>
        <v>0</v>
      </c>
      <c r="AA2640" s="368">
        <f>Q2640*Z2640</f>
        <v>0</v>
      </c>
      <c r="AB2640" s="819">
        <v>7.4999999999999997E-3</v>
      </c>
      <c r="AC2640" s="365">
        <f>Z2640*AB2640</f>
        <v>0</v>
      </c>
      <c r="AD2640" s="307" t="s">
        <v>2421</v>
      </c>
      <c r="AE2640" s="210">
        <f>SUM(Q2640*R2640*Z2640)/1000</f>
        <v>0</v>
      </c>
      <c r="AF2640" s="210">
        <f t="shared" si="1047"/>
        <v>0</v>
      </c>
      <c r="AG2640" s="211">
        <f>MID(O2640,1,3)/1000</f>
        <v>0.25800000000000001</v>
      </c>
      <c r="AH2640" s="157">
        <f>(Z2640*AG2640)/1000</f>
        <v>0</v>
      </c>
      <c r="AI2640" s="152">
        <f>V2640*P2640</f>
        <v>31200</v>
      </c>
      <c r="AK2640" s="156" t="s">
        <v>691</v>
      </c>
      <c r="AL2640" s="574" t="s">
        <v>690</v>
      </c>
      <c r="AM2640" s="198">
        <f t="shared" si="1042"/>
        <v>0</v>
      </c>
      <c r="AN2640" s="199">
        <f>B2640</f>
        <v>45920</v>
      </c>
      <c r="AO2640" s="159" t="s">
        <v>692</v>
      </c>
      <c r="AP2640" s="783" t="s">
        <v>612</v>
      </c>
      <c r="AQ2640" s="782">
        <v>12071839</v>
      </c>
      <c r="AR2640" s="782">
        <v>12042650</v>
      </c>
      <c r="AS2640" s="782">
        <v>12042649</v>
      </c>
      <c r="AT2640" s="782">
        <v>12096387</v>
      </c>
      <c r="AU2640" s="781"/>
      <c r="AV2640" s="782">
        <v>12088422</v>
      </c>
      <c r="AW2640" s="782"/>
      <c r="AX2640" s="782"/>
      <c r="AY2640" s="782"/>
      <c r="AZ2640" s="782"/>
      <c r="BA2640" s="781"/>
      <c r="BB2640" s="209">
        <v>23053185</v>
      </c>
    </row>
    <row r="2641" spans="1:54" ht="25" hidden="1" customHeight="1">
      <c r="B2641" s="213">
        <v>45920</v>
      </c>
      <c r="C2641" s="214">
        <v>45944</v>
      </c>
      <c r="D2641" s="215">
        <f>IF(B2641="","",YEAR(B2641))</f>
        <v>2025</v>
      </c>
      <c r="E2641" s="214" t="e">
        <f>VLOOKUP($B2641,Week!$A$1:$C$1462,2,0)</f>
        <v>#N/A</v>
      </c>
      <c r="F2641" s="216" t="str">
        <f>IF(B2641="","",TEXT(B2641,"[$-409]mmm"))</f>
        <v>Sep</v>
      </c>
      <c r="G2641" s="215" t="s">
        <v>2532</v>
      </c>
      <c r="H2641" s="215" t="s">
        <v>600</v>
      </c>
      <c r="I2641" s="215" t="s">
        <v>2772</v>
      </c>
      <c r="J2641" s="209" t="s">
        <v>708</v>
      </c>
      <c r="K2641" s="217" t="s">
        <v>2534</v>
      </c>
      <c r="L2641" s="217" t="s">
        <v>2167</v>
      </c>
      <c r="M2641" s="209" t="s">
        <v>2235</v>
      </c>
      <c r="N2641" s="480" t="s">
        <v>2533</v>
      </c>
      <c r="O2641" s="215" t="s">
        <v>1925</v>
      </c>
      <c r="P2641" s="218">
        <v>8</v>
      </c>
      <c r="Q2641" s="218">
        <v>3</v>
      </c>
      <c r="R2641" s="219">
        <v>6.1999999999999998E-3</v>
      </c>
      <c r="S2641" s="215" t="s">
        <v>55</v>
      </c>
      <c r="T2641" s="215" t="s">
        <v>112</v>
      </c>
      <c r="U2641" s="852" t="s">
        <v>739</v>
      </c>
      <c r="V2641" s="220">
        <f>3500</f>
        <v>3500</v>
      </c>
      <c r="W2641" s="220">
        <f>3074+426</f>
        <v>3500</v>
      </c>
      <c r="X2641" s="221"/>
      <c r="Y2641" s="222">
        <f>(W2641+X2641)-V2641</f>
        <v>0</v>
      </c>
      <c r="Z2641" s="223">
        <f>IF(Y2641&lt;0,((V2641*P2641)-((W2641+X2641)*P2641)),0)</f>
        <v>0</v>
      </c>
      <c r="AA2641" s="223">
        <f>Q2641*Z2641</f>
        <v>0</v>
      </c>
      <c r="AB2641" s="807">
        <v>1.2999999999999999E-2</v>
      </c>
      <c r="AC2641" s="220">
        <f>Z2641*AB2641</f>
        <v>0</v>
      </c>
      <c r="AD2641" s="443"/>
      <c r="AE2641" s="210">
        <f>SUM(Q2641*R2641*Z2641)/1000</f>
        <v>0</v>
      </c>
      <c r="AF2641" s="210">
        <f t="shared" si="1047"/>
        <v>0</v>
      </c>
      <c r="AG2641" s="211">
        <f>MID(O2641,1,3)/1000</f>
        <v>0.3</v>
      </c>
      <c r="AH2641" s="157">
        <v>0.26621999999999996</v>
      </c>
      <c r="AI2641" s="152">
        <f>V2641*P2641</f>
        <v>28000</v>
      </c>
      <c r="AK2641" s="156" t="s">
        <v>691</v>
      </c>
      <c r="AL2641" s="574" t="s">
        <v>690</v>
      </c>
      <c r="AM2641" s="198">
        <f t="shared" si="1042"/>
        <v>0</v>
      </c>
      <c r="AN2641" s="199">
        <f>B2641</f>
        <v>45920</v>
      </c>
      <c r="AO2641" s="159" t="s">
        <v>692</v>
      </c>
      <c r="AP2641" s="781" t="s">
        <v>642</v>
      </c>
      <c r="AQ2641" s="782">
        <v>12063755</v>
      </c>
      <c r="AR2641" s="782">
        <v>12061353</v>
      </c>
      <c r="AS2641" s="782">
        <v>12061354</v>
      </c>
      <c r="AT2641" s="782">
        <v>12094313</v>
      </c>
      <c r="AU2641" s="783"/>
      <c r="AV2641" s="782">
        <v>12094312</v>
      </c>
      <c r="AW2641" s="783"/>
      <c r="AX2641" s="781"/>
      <c r="AY2641" s="796"/>
      <c r="AZ2641" s="796"/>
      <c r="BA2641" s="796"/>
      <c r="BB2641" s="209">
        <v>23099860</v>
      </c>
    </row>
    <row r="2642" spans="1:54" ht="25" hidden="1" customHeight="1">
      <c r="B2642" s="183">
        <v>45921</v>
      </c>
      <c r="C2642" s="184"/>
      <c r="D2642" s="185">
        <f t="shared" si="1052"/>
        <v>2025</v>
      </c>
      <c r="E2642" s="185" t="e">
        <f>VLOOKUP($B2642,Week!$A$1:$C$1462,2,0)</f>
        <v>#N/A</v>
      </c>
      <c r="F2642" s="186" t="str">
        <f t="shared" si="1053"/>
        <v>Sep</v>
      </c>
      <c r="G2642" s="481"/>
      <c r="H2642" s="185"/>
      <c r="I2642" s="185"/>
      <c r="J2642" s="187"/>
      <c r="K2642" s="188"/>
      <c r="L2642" s="188"/>
      <c r="M2642" s="187"/>
      <c r="N2642" s="185"/>
      <c r="O2642" s="185"/>
      <c r="P2642" s="189"/>
      <c r="Q2642" s="189"/>
      <c r="R2642" s="190"/>
      <c r="S2642" s="185"/>
      <c r="T2642" s="185"/>
      <c r="U2642" s="185"/>
      <c r="V2642" s="191"/>
      <c r="W2642" s="191"/>
      <c r="X2642" s="192"/>
      <c r="Y2642" s="193"/>
      <c r="Z2642" s="194"/>
      <c r="AA2642" s="194">
        <f t="shared" si="1054"/>
        <v>0</v>
      </c>
      <c r="AB2642" s="805"/>
      <c r="AC2642" s="191"/>
      <c r="AD2642" s="187"/>
      <c r="AE2642" s="195"/>
      <c r="AF2642" s="195"/>
      <c r="AG2642" s="196"/>
      <c r="AH2642" s="197"/>
      <c r="AK2642" s="156" t="s">
        <v>691</v>
      </c>
      <c r="AM2642" s="198">
        <f t="shared" si="1042"/>
        <v>0</v>
      </c>
      <c r="AN2642" s="199">
        <f t="shared" si="1050"/>
        <v>45921</v>
      </c>
      <c r="AO2642" s="159" t="s">
        <v>692</v>
      </c>
      <c r="AP2642" s="781"/>
      <c r="AQ2642" s="782"/>
      <c r="AR2642" s="782"/>
      <c r="AS2642" s="782"/>
      <c r="AT2642" s="782"/>
      <c r="AU2642" s="781"/>
      <c r="AV2642" s="782"/>
      <c r="AW2642" s="782"/>
      <c r="AX2642" s="782"/>
      <c r="AY2642" s="782"/>
      <c r="AZ2642" s="782"/>
      <c r="BA2642" s="781"/>
      <c r="BB2642" s="209"/>
    </row>
    <row r="2643" spans="1:54" ht="25" hidden="1" customHeight="1">
      <c r="A2643" s="142" t="s">
        <v>120</v>
      </c>
      <c r="B2643" s="385">
        <v>45922</v>
      </c>
      <c r="C2643" s="386">
        <v>45930</v>
      </c>
      <c r="D2643" s="185">
        <f>IF(B2643="","",YEAR(B2643))</f>
        <v>2025</v>
      </c>
      <c r="E2643" s="386" t="e">
        <f>VLOOKUP($B2643,Week!$A$1:$C$1462,2,0)</f>
        <v>#N/A</v>
      </c>
      <c r="F2643" s="387" t="str">
        <f>IF(B2643="","",TEXT(B2643,"[$-409]mmm"))</f>
        <v>Sep</v>
      </c>
      <c r="G2643" s="388" t="s">
        <v>2359</v>
      </c>
      <c r="H2643" s="388" t="s">
        <v>500</v>
      </c>
      <c r="I2643" s="388" t="s">
        <v>2772</v>
      </c>
      <c r="J2643" s="389" t="s">
        <v>285</v>
      </c>
      <c r="K2643" s="390" t="s">
        <v>153</v>
      </c>
      <c r="L2643" s="390" t="s">
        <v>2166</v>
      </c>
      <c r="M2643" s="389" t="s">
        <v>165</v>
      </c>
      <c r="N2643" s="388" t="s">
        <v>286</v>
      </c>
      <c r="O2643" s="388" t="s">
        <v>503</v>
      </c>
      <c r="P2643" s="391">
        <v>40</v>
      </c>
      <c r="Q2643" s="391">
        <v>12</v>
      </c>
      <c r="R2643" s="392">
        <v>6.8100000000000001E-3</v>
      </c>
      <c r="S2643" s="388" t="s">
        <v>76</v>
      </c>
      <c r="T2643" s="388" t="s">
        <v>56</v>
      </c>
      <c r="U2643" s="388" t="s">
        <v>89</v>
      </c>
      <c r="V2643" s="393">
        <f>618</f>
        <v>618</v>
      </c>
      <c r="W2643" s="393">
        <f>4+614</f>
        <v>618</v>
      </c>
      <c r="X2643" s="394"/>
      <c r="Y2643" s="395">
        <f t="shared" ref="Y2643:Y2655" si="1058">(W2643+X2643)-V2643</f>
        <v>0</v>
      </c>
      <c r="Z2643" s="396">
        <f>IF(Y2643&lt;0,((V2643*P2643)-((W2643+X2643)*P2643)),0)</f>
        <v>0</v>
      </c>
      <c r="AA2643" s="396">
        <f>Q2643*Z2643</f>
        <v>0</v>
      </c>
      <c r="AB2643" s="823">
        <v>2</v>
      </c>
      <c r="AC2643" s="393">
        <f t="shared" ref="AC2643:AC2655" si="1059">Z2643*AB2643</f>
        <v>0</v>
      </c>
      <c r="AD2643" s="209"/>
      <c r="AE2643" s="210">
        <f>SUM(Q2643*R2643*Z2643)/1000</f>
        <v>0</v>
      </c>
      <c r="AF2643" s="210">
        <f t="shared" ref="AF2643:AF2655" si="1060">AE2643/0.54</f>
        <v>0</v>
      </c>
      <c r="AG2643" s="211">
        <f t="shared" ref="AG2643:AG2650" si="1061">MID(O2643,1,3)/1000</f>
        <v>0.154</v>
      </c>
      <c r="AH2643" s="157">
        <f t="shared" ref="AH2643:AH2655" si="1062">(Z2643*AG2643)/1000</f>
        <v>0</v>
      </c>
      <c r="AI2643" s="152">
        <f t="shared" ref="AI2643:AI2650" si="1063">V2643*P2643</f>
        <v>24720</v>
      </c>
      <c r="AK2643" s="156" t="s">
        <v>691</v>
      </c>
      <c r="AL2643" s="156" t="s">
        <v>689</v>
      </c>
      <c r="AM2643" s="198">
        <f t="shared" si="1042"/>
        <v>0</v>
      </c>
      <c r="AN2643" s="199">
        <f>B2643</f>
        <v>45922</v>
      </c>
      <c r="AO2643" s="159" t="s">
        <v>692</v>
      </c>
      <c r="AP2643" s="783" t="s">
        <v>611</v>
      </c>
      <c r="AQ2643" s="782">
        <v>12088677</v>
      </c>
      <c r="AR2643" s="782">
        <v>12019692</v>
      </c>
      <c r="AS2643" s="781"/>
      <c r="AT2643" s="782">
        <v>12065371</v>
      </c>
      <c r="AU2643" s="782"/>
      <c r="AV2643" s="782">
        <v>12055895</v>
      </c>
      <c r="AW2643" s="782">
        <v>12034747</v>
      </c>
      <c r="AX2643" s="782" t="s">
        <v>398</v>
      </c>
      <c r="AY2643" s="781" t="s">
        <v>290</v>
      </c>
      <c r="AZ2643" s="781"/>
      <c r="BA2643" s="781"/>
      <c r="BB2643" s="209">
        <v>23053184</v>
      </c>
    </row>
    <row r="2644" spans="1:54" ht="24.65" hidden="1" customHeight="1">
      <c r="A2644" s="529" t="s">
        <v>2506</v>
      </c>
      <c r="B2644" s="308">
        <v>45923</v>
      </c>
      <c r="C2644" s="309">
        <v>45944</v>
      </c>
      <c r="D2644" s="185">
        <f t="shared" si="1052"/>
        <v>2025</v>
      </c>
      <c r="E2644" s="309" t="e">
        <f>VLOOKUP($B2644,Week!$A$1:$C$1462,2,0)</f>
        <v>#N/A</v>
      </c>
      <c r="F2644" s="310" t="str">
        <f t="shared" si="1053"/>
        <v>Sep</v>
      </c>
      <c r="G2644" s="311" t="s">
        <v>2467</v>
      </c>
      <c r="H2644" s="311" t="s">
        <v>311</v>
      </c>
      <c r="I2644" s="311" t="s">
        <v>2772</v>
      </c>
      <c r="J2644" s="312" t="s">
        <v>738</v>
      </c>
      <c r="K2644" s="313" t="s">
        <v>107</v>
      </c>
      <c r="L2644" s="300" t="s">
        <v>2167</v>
      </c>
      <c r="M2644" s="312" t="s">
        <v>313</v>
      </c>
      <c r="N2644" s="311" t="s">
        <v>314</v>
      </c>
      <c r="O2644" s="311" t="s">
        <v>110</v>
      </c>
      <c r="P2644" s="314">
        <v>36</v>
      </c>
      <c r="Q2644" s="314">
        <v>5</v>
      </c>
      <c r="R2644" s="315">
        <v>7.4999999999999997E-3</v>
      </c>
      <c r="S2644" s="311" t="s">
        <v>111</v>
      </c>
      <c r="T2644" s="311" t="s">
        <v>112</v>
      </c>
      <c r="U2644" s="311" t="s">
        <v>57</v>
      </c>
      <c r="V2644" s="316">
        <v>792</v>
      </c>
      <c r="W2644" s="316">
        <f>11+781</f>
        <v>792</v>
      </c>
      <c r="X2644" s="317"/>
      <c r="Y2644" s="318">
        <f t="shared" si="1058"/>
        <v>0</v>
      </c>
      <c r="Z2644" s="319">
        <f t="shared" ref="Z2644:Z2654" si="1064">IF(Y2644&lt;0,((V2644*P2644)-((W2644+X2644)*P2644)),0)</f>
        <v>0</v>
      </c>
      <c r="AA2644" s="319">
        <f t="shared" si="1054"/>
        <v>0</v>
      </c>
      <c r="AB2644" s="815">
        <v>7.4999999999999997E-3</v>
      </c>
      <c r="AC2644" s="316">
        <f t="shared" si="1059"/>
        <v>0</v>
      </c>
      <c r="AD2644" s="515"/>
      <c r="AE2644" s="210">
        <f t="shared" ref="AE2644:AE2654" si="1065">SUM(Q2644*R2644*Z2644)/1000</f>
        <v>0</v>
      </c>
      <c r="AF2644" s="210">
        <f t="shared" si="1060"/>
        <v>0</v>
      </c>
      <c r="AG2644" s="211">
        <f t="shared" si="1061"/>
        <v>0.308</v>
      </c>
      <c r="AH2644" s="157">
        <f t="shared" si="1062"/>
        <v>0</v>
      </c>
      <c r="AI2644" s="152">
        <f t="shared" si="1063"/>
        <v>28512</v>
      </c>
      <c r="AK2644" s="156" t="s">
        <v>691</v>
      </c>
      <c r="AL2644" s="212" t="s">
        <v>690</v>
      </c>
      <c r="AM2644" s="198">
        <f t="shared" si="1042"/>
        <v>0</v>
      </c>
      <c r="AN2644" s="199">
        <f t="shared" si="1050"/>
        <v>45923</v>
      </c>
      <c r="AO2644" s="159" t="s">
        <v>692</v>
      </c>
      <c r="AP2644" s="783" t="s">
        <v>644</v>
      </c>
      <c r="AQ2644" s="782">
        <v>12063755</v>
      </c>
      <c r="AR2644" s="782">
        <v>12061353</v>
      </c>
      <c r="AS2644" s="782">
        <v>12061354</v>
      </c>
      <c r="AT2644" s="782">
        <v>12062266</v>
      </c>
      <c r="AU2644" s="781"/>
      <c r="AV2644" s="782">
        <v>12088159</v>
      </c>
      <c r="AW2644" s="782">
        <v>12088207</v>
      </c>
      <c r="AX2644" s="782"/>
      <c r="AY2644" s="782">
        <v>12094237</v>
      </c>
      <c r="AZ2644" s="782"/>
      <c r="BA2644" s="781"/>
      <c r="BB2644" s="209">
        <v>23053185</v>
      </c>
    </row>
    <row r="2645" spans="1:54" ht="24.65" hidden="1" customHeight="1">
      <c r="A2645" s="529" t="s">
        <v>2506</v>
      </c>
      <c r="B2645" s="308">
        <v>45923</v>
      </c>
      <c r="C2645" s="309">
        <v>45944</v>
      </c>
      <c r="D2645" s="185">
        <f t="shared" si="1052"/>
        <v>2025</v>
      </c>
      <c r="E2645" s="309" t="e">
        <f>VLOOKUP($B2645,Week!$A$1:$C$1462,2,0)</f>
        <v>#N/A</v>
      </c>
      <c r="F2645" s="310" t="str">
        <f t="shared" si="1053"/>
        <v>Sep</v>
      </c>
      <c r="G2645" s="311" t="s">
        <v>2468</v>
      </c>
      <c r="H2645" s="311" t="s">
        <v>311</v>
      </c>
      <c r="I2645" s="311" t="s">
        <v>2772</v>
      </c>
      <c r="J2645" s="312" t="s">
        <v>738</v>
      </c>
      <c r="K2645" s="313" t="s">
        <v>107</v>
      </c>
      <c r="L2645" s="300" t="s">
        <v>2167</v>
      </c>
      <c r="M2645" s="312" t="s">
        <v>313</v>
      </c>
      <c r="N2645" s="311" t="s">
        <v>314</v>
      </c>
      <c r="O2645" s="311" t="s">
        <v>110</v>
      </c>
      <c r="P2645" s="314">
        <v>36</v>
      </c>
      <c r="Q2645" s="314">
        <v>5</v>
      </c>
      <c r="R2645" s="315">
        <v>7.4999999999999997E-3</v>
      </c>
      <c r="S2645" s="311" t="s">
        <v>111</v>
      </c>
      <c r="T2645" s="311" t="s">
        <v>112</v>
      </c>
      <c r="U2645" s="311" t="s">
        <v>57</v>
      </c>
      <c r="V2645" s="316">
        <v>792</v>
      </c>
      <c r="W2645" s="316">
        <v>792</v>
      </c>
      <c r="X2645" s="317"/>
      <c r="Y2645" s="318">
        <f t="shared" si="1058"/>
        <v>0</v>
      </c>
      <c r="Z2645" s="319">
        <f t="shared" si="1064"/>
        <v>0</v>
      </c>
      <c r="AA2645" s="319">
        <f t="shared" si="1054"/>
        <v>0</v>
      </c>
      <c r="AB2645" s="815">
        <v>7.4999999999999997E-3</v>
      </c>
      <c r="AC2645" s="316">
        <f t="shared" si="1059"/>
        <v>0</v>
      </c>
      <c r="AD2645" s="515"/>
      <c r="AE2645" s="210">
        <f t="shared" si="1065"/>
        <v>0</v>
      </c>
      <c r="AF2645" s="210">
        <f t="shared" si="1060"/>
        <v>0</v>
      </c>
      <c r="AG2645" s="211">
        <f t="shared" si="1061"/>
        <v>0.308</v>
      </c>
      <c r="AH2645" s="157">
        <f t="shared" si="1062"/>
        <v>0</v>
      </c>
      <c r="AI2645" s="152">
        <f t="shared" si="1063"/>
        <v>28512</v>
      </c>
      <c r="AK2645" s="156" t="s">
        <v>691</v>
      </c>
      <c r="AL2645" s="212" t="s">
        <v>690</v>
      </c>
      <c r="AM2645" s="198">
        <f t="shared" si="1042"/>
        <v>0</v>
      </c>
      <c r="AN2645" s="199">
        <f t="shared" si="1050"/>
        <v>45923</v>
      </c>
      <c r="AO2645" s="159" t="s">
        <v>692</v>
      </c>
      <c r="AP2645" s="783" t="s">
        <v>644</v>
      </c>
      <c r="AQ2645" s="782">
        <v>12063755</v>
      </c>
      <c r="AR2645" s="782">
        <v>12061353</v>
      </c>
      <c r="AS2645" s="782">
        <v>12061354</v>
      </c>
      <c r="AT2645" s="782">
        <v>12062266</v>
      </c>
      <c r="AU2645" s="781"/>
      <c r="AV2645" s="782">
        <v>12088159</v>
      </c>
      <c r="AW2645" s="782">
        <v>12088207</v>
      </c>
      <c r="AX2645" s="782"/>
      <c r="AY2645" s="782">
        <v>12094237</v>
      </c>
      <c r="AZ2645" s="782"/>
      <c r="BA2645" s="781"/>
      <c r="BB2645" s="209">
        <v>23053185</v>
      </c>
    </row>
    <row r="2646" spans="1:54" ht="24.65" hidden="1" customHeight="1">
      <c r="A2646" s="529" t="s">
        <v>2506</v>
      </c>
      <c r="B2646" s="308">
        <v>45923</v>
      </c>
      <c r="C2646" s="309">
        <v>45944</v>
      </c>
      <c r="D2646" s="185">
        <f t="shared" si="1052"/>
        <v>2025</v>
      </c>
      <c r="E2646" s="309" t="e">
        <f>VLOOKUP($B2646,Week!$A$1:$C$1462,2,0)</f>
        <v>#N/A</v>
      </c>
      <c r="F2646" s="310" t="str">
        <f t="shared" si="1053"/>
        <v>Sep</v>
      </c>
      <c r="G2646" s="311" t="s">
        <v>2469</v>
      </c>
      <c r="H2646" s="311" t="s">
        <v>311</v>
      </c>
      <c r="I2646" s="311" t="s">
        <v>2772</v>
      </c>
      <c r="J2646" s="312" t="s">
        <v>738</v>
      </c>
      <c r="K2646" s="313" t="s">
        <v>107</v>
      </c>
      <c r="L2646" s="300" t="s">
        <v>2167</v>
      </c>
      <c r="M2646" s="312" t="s">
        <v>313</v>
      </c>
      <c r="N2646" s="311" t="s">
        <v>314</v>
      </c>
      <c r="O2646" s="311" t="s">
        <v>110</v>
      </c>
      <c r="P2646" s="314">
        <v>36</v>
      </c>
      <c r="Q2646" s="314">
        <v>5</v>
      </c>
      <c r="R2646" s="315">
        <v>7.4999999999999997E-3</v>
      </c>
      <c r="S2646" s="311" t="s">
        <v>111</v>
      </c>
      <c r="T2646" s="311" t="s">
        <v>112</v>
      </c>
      <c r="U2646" s="311" t="s">
        <v>57</v>
      </c>
      <c r="V2646" s="316">
        <v>792</v>
      </c>
      <c r="W2646" s="316">
        <f>2365-781-792</f>
        <v>792</v>
      </c>
      <c r="X2646" s="317"/>
      <c r="Y2646" s="318">
        <f t="shared" si="1058"/>
        <v>0</v>
      </c>
      <c r="Z2646" s="319">
        <f t="shared" si="1064"/>
        <v>0</v>
      </c>
      <c r="AA2646" s="319">
        <f t="shared" si="1054"/>
        <v>0</v>
      </c>
      <c r="AB2646" s="815">
        <v>7.4999999999999997E-3</v>
      </c>
      <c r="AC2646" s="316">
        <f t="shared" si="1059"/>
        <v>0</v>
      </c>
      <c r="AD2646" s="515"/>
      <c r="AE2646" s="210">
        <f t="shared" si="1065"/>
        <v>0</v>
      </c>
      <c r="AF2646" s="210">
        <f t="shared" si="1060"/>
        <v>0</v>
      </c>
      <c r="AG2646" s="211">
        <f t="shared" si="1061"/>
        <v>0.308</v>
      </c>
      <c r="AH2646" s="157">
        <f t="shared" si="1062"/>
        <v>0</v>
      </c>
      <c r="AI2646" s="152">
        <f t="shared" si="1063"/>
        <v>28512</v>
      </c>
      <c r="AK2646" s="156" t="s">
        <v>691</v>
      </c>
      <c r="AL2646" s="212" t="s">
        <v>690</v>
      </c>
      <c r="AM2646" s="198">
        <f t="shared" si="1042"/>
        <v>0</v>
      </c>
      <c r="AN2646" s="199">
        <f t="shared" si="1050"/>
        <v>45923</v>
      </c>
      <c r="AO2646" s="159" t="s">
        <v>692</v>
      </c>
      <c r="AP2646" s="783" t="s">
        <v>644</v>
      </c>
      <c r="AQ2646" s="782">
        <v>12063755</v>
      </c>
      <c r="AR2646" s="782">
        <v>12061353</v>
      </c>
      <c r="AS2646" s="782">
        <v>12061354</v>
      </c>
      <c r="AT2646" s="782">
        <v>12062266</v>
      </c>
      <c r="AU2646" s="781"/>
      <c r="AV2646" s="782">
        <v>12088159</v>
      </c>
      <c r="AW2646" s="782">
        <v>12088207</v>
      </c>
      <c r="AX2646" s="782"/>
      <c r="AY2646" s="782">
        <v>12094237</v>
      </c>
      <c r="AZ2646" s="782"/>
      <c r="BA2646" s="781"/>
      <c r="BB2646" s="209">
        <v>23053185</v>
      </c>
    </row>
    <row r="2647" spans="1:54" ht="25" hidden="1" customHeight="1">
      <c r="A2647" s="142" t="s">
        <v>120</v>
      </c>
      <c r="B2647" s="385">
        <v>45924</v>
      </c>
      <c r="C2647" s="386">
        <v>45930</v>
      </c>
      <c r="D2647" s="185">
        <f>IF(B2647="","",YEAR(B2647))</f>
        <v>2025</v>
      </c>
      <c r="E2647" s="386" t="e">
        <f>VLOOKUP($B2647,Week!$A$1:$C$1462,2,0)</f>
        <v>#N/A</v>
      </c>
      <c r="F2647" s="387" t="str">
        <f>IF(B2647="","",TEXT(B2647,"[$-409]mmm"))</f>
        <v>Sep</v>
      </c>
      <c r="G2647" s="388" t="s">
        <v>2359</v>
      </c>
      <c r="H2647" s="388" t="s">
        <v>500</v>
      </c>
      <c r="I2647" s="388" t="s">
        <v>2772</v>
      </c>
      <c r="J2647" s="389" t="s">
        <v>285</v>
      </c>
      <c r="K2647" s="390" t="s">
        <v>153</v>
      </c>
      <c r="L2647" s="390" t="s">
        <v>2166</v>
      </c>
      <c r="M2647" s="389" t="s">
        <v>165</v>
      </c>
      <c r="N2647" s="388" t="s">
        <v>286</v>
      </c>
      <c r="O2647" s="388" t="s">
        <v>503</v>
      </c>
      <c r="P2647" s="391">
        <v>40</v>
      </c>
      <c r="Q2647" s="391">
        <v>12</v>
      </c>
      <c r="R2647" s="392">
        <v>6.8100000000000001E-3</v>
      </c>
      <c r="S2647" s="388" t="s">
        <v>76</v>
      </c>
      <c r="T2647" s="388" t="s">
        <v>56</v>
      </c>
      <c r="U2647" s="388" t="s">
        <v>89</v>
      </c>
      <c r="V2647" s="393">
        <v>613</v>
      </c>
      <c r="W2647" s="393">
        <v>613</v>
      </c>
      <c r="X2647" s="394"/>
      <c r="Y2647" s="395">
        <f t="shared" si="1058"/>
        <v>0</v>
      </c>
      <c r="Z2647" s="396">
        <f>IF(Y2647&lt;0,((V2647*P2647)-((W2647+X2647)*P2647)),0)</f>
        <v>0</v>
      </c>
      <c r="AA2647" s="396">
        <f>Q2647*Z2647</f>
        <v>0</v>
      </c>
      <c r="AB2647" s="823">
        <v>2</v>
      </c>
      <c r="AC2647" s="393">
        <f t="shared" si="1059"/>
        <v>0</v>
      </c>
      <c r="AD2647" s="209"/>
      <c r="AE2647" s="210">
        <f>SUM(Q2647*R2647*Z2647)/1000</f>
        <v>0</v>
      </c>
      <c r="AF2647" s="210">
        <f t="shared" si="1060"/>
        <v>0</v>
      </c>
      <c r="AG2647" s="211">
        <f t="shared" si="1061"/>
        <v>0.154</v>
      </c>
      <c r="AH2647" s="157">
        <f t="shared" si="1062"/>
        <v>0</v>
      </c>
      <c r="AI2647" s="152">
        <f t="shared" si="1063"/>
        <v>24520</v>
      </c>
      <c r="AK2647" s="156" t="s">
        <v>691</v>
      </c>
      <c r="AL2647" s="156" t="s">
        <v>689</v>
      </c>
      <c r="AM2647" s="198">
        <f t="shared" si="1042"/>
        <v>0</v>
      </c>
      <c r="AN2647" s="199">
        <f>B2647</f>
        <v>45924</v>
      </c>
      <c r="AO2647" s="159" t="s">
        <v>692</v>
      </c>
      <c r="AP2647" s="783" t="s">
        <v>611</v>
      </c>
      <c r="AQ2647" s="782">
        <v>12088677</v>
      </c>
      <c r="AR2647" s="782">
        <v>12019692</v>
      </c>
      <c r="AS2647" s="781"/>
      <c r="AT2647" s="782">
        <v>12065371</v>
      </c>
      <c r="AU2647" s="782"/>
      <c r="AV2647" s="782">
        <v>12055895</v>
      </c>
      <c r="AW2647" s="782">
        <v>12034747</v>
      </c>
      <c r="AX2647" s="782" t="s">
        <v>398</v>
      </c>
      <c r="AY2647" s="781" t="s">
        <v>290</v>
      </c>
      <c r="AZ2647" s="781"/>
      <c r="BA2647" s="781"/>
      <c r="BB2647" s="209">
        <v>23053184</v>
      </c>
    </row>
    <row r="2648" spans="1:54" ht="25" hidden="1" customHeight="1">
      <c r="A2648" s="142" t="s">
        <v>120</v>
      </c>
      <c r="B2648" s="385">
        <v>45925</v>
      </c>
      <c r="C2648" s="386">
        <v>45930</v>
      </c>
      <c r="D2648" s="185">
        <f>IF(B2648="","",YEAR(B2648))</f>
        <v>2025</v>
      </c>
      <c r="E2648" s="386" t="e">
        <f>VLOOKUP($B2648,Week!$A$1:$C$1462,2,0)</f>
        <v>#N/A</v>
      </c>
      <c r="F2648" s="387" t="str">
        <f>IF(B2648="","",TEXT(B2648,"[$-409]mmm"))</f>
        <v>Sep</v>
      </c>
      <c r="G2648" s="388" t="s">
        <v>2359</v>
      </c>
      <c r="H2648" s="388" t="s">
        <v>500</v>
      </c>
      <c r="I2648" s="388" t="s">
        <v>2772</v>
      </c>
      <c r="J2648" s="389" t="s">
        <v>285</v>
      </c>
      <c r="K2648" s="390" t="s">
        <v>153</v>
      </c>
      <c r="L2648" s="390" t="s">
        <v>2166</v>
      </c>
      <c r="M2648" s="389" t="s">
        <v>165</v>
      </c>
      <c r="N2648" s="388" t="s">
        <v>286</v>
      </c>
      <c r="O2648" s="388" t="s">
        <v>503</v>
      </c>
      <c r="P2648" s="391">
        <v>40</v>
      </c>
      <c r="Q2648" s="391">
        <v>12</v>
      </c>
      <c r="R2648" s="392">
        <v>6.8100000000000001E-3</v>
      </c>
      <c r="S2648" s="388" t="s">
        <v>76</v>
      </c>
      <c r="T2648" s="388" t="s">
        <v>56</v>
      </c>
      <c r="U2648" s="388" t="s">
        <v>89</v>
      </c>
      <c r="V2648" s="393">
        <f>1624-618-613</f>
        <v>393</v>
      </c>
      <c r="W2648" s="393">
        <f>392+1</f>
        <v>393</v>
      </c>
      <c r="X2648" s="394"/>
      <c r="Y2648" s="395">
        <f t="shared" si="1058"/>
        <v>0</v>
      </c>
      <c r="Z2648" s="396">
        <f>IF(Y2648&lt;0,((V2648*P2648)-((W2648+X2648)*P2648)),0)</f>
        <v>0</v>
      </c>
      <c r="AA2648" s="396">
        <f>Q2648*Z2648</f>
        <v>0</v>
      </c>
      <c r="AB2648" s="823">
        <v>2</v>
      </c>
      <c r="AC2648" s="393">
        <f t="shared" si="1059"/>
        <v>0</v>
      </c>
      <c r="AD2648" s="209"/>
      <c r="AE2648" s="210">
        <f>SUM(Q2648*R2648*Z2648)/1000</f>
        <v>0</v>
      </c>
      <c r="AF2648" s="210">
        <f t="shared" si="1060"/>
        <v>0</v>
      </c>
      <c r="AG2648" s="211">
        <f t="shared" si="1061"/>
        <v>0.154</v>
      </c>
      <c r="AH2648" s="157">
        <f t="shared" si="1062"/>
        <v>0</v>
      </c>
      <c r="AI2648" s="152">
        <f t="shared" si="1063"/>
        <v>15720</v>
      </c>
      <c r="AK2648" s="156" t="s">
        <v>691</v>
      </c>
      <c r="AL2648" s="156" t="s">
        <v>689</v>
      </c>
      <c r="AM2648" s="198">
        <f t="shared" si="1042"/>
        <v>0</v>
      </c>
      <c r="AN2648" s="199">
        <f>B2648</f>
        <v>45925</v>
      </c>
      <c r="AO2648" s="159" t="s">
        <v>692</v>
      </c>
      <c r="AP2648" s="783" t="s">
        <v>611</v>
      </c>
      <c r="AQ2648" s="782">
        <v>12088677</v>
      </c>
      <c r="AR2648" s="782">
        <v>12019692</v>
      </c>
      <c r="AS2648" s="781"/>
      <c r="AT2648" s="782">
        <v>12065371</v>
      </c>
      <c r="AU2648" s="782"/>
      <c r="AV2648" s="782">
        <v>12055895</v>
      </c>
      <c r="AW2648" s="782">
        <v>12034747</v>
      </c>
      <c r="AX2648" s="782" t="s">
        <v>398</v>
      </c>
      <c r="AY2648" s="781" t="s">
        <v>290</v>
      </c>
      <c r="AZ2648" s="781"/>
      <c r="BA2648" s="781"/>
      <c r="BB2648" s="209">
        <v>23053184</v>
      </c>
    </row>
    <row r="2649" spans="1:54" ht="25" hidden="1" customHeight="1">
      <c r="A2649" s="142" t="s">
        <v>120</v>
      </c>
      <c r="B2649" s="271">
        <v>45925</v>
      </c>
      <c r="C2649" s="272">
        <v>45937</v>
      </c>
      <c r="D2649" s="185">
        <f>IF(B2649="","",YEAR(B2649))</f>
        <v>2025</v>
      </c>
      <c r="E2649" s="272" t="e">
        <f>VLOOKUP($B2649,Week!$A$1:$C$1462,2,0)</f>
        <v>#N/A</v>
      </c>
      <c r="F2649" s="273" t="str">
        <f>IF(B2649="","",TEXT(B2649,"[$-409]mmm"))</f>
        <v>Sep</v>
      </c>
      <c r="G2649" s="274" t="s">
        <v>2360</v>
      </c>
      <c r="H2649" s="274" t="s">
        <v>500</v>
      </c>
      <c r="I2649" s="274" t="s">
        <v>2772</v>
      </c>
      <c r="J2649" s="275" t="s">
        <v>285</v>
      </c>
      <c r="K2649" s="276" t="s">
        <v>153</v>
      </c>
      <c r="L2649" s="390" t="s">
        <v>2166</v>
      </c>
      <c r="M2649" s="275" t="s">
        <v>86</v>
      </c>
      <c r="N2649" s="274" t="s">
        <v>547</v>
      </c>
      <c r="O2649" s="274" t="s">
        <v>548</v>
      </c>
      <c r="P2649" s="277">
        <v>10</v>
      </c>
      <c r="Q2649" s="277">
        <v>50</v>
      </c>
      <c r="R2649" s="278">
        <v>6.8100000000000001E-3</v>
      </c>
      <c r="S2649" s="274" t="s">
        <v>76</v>
      </c>
      <c r="T2649" s="274" t="s">
        <v>56</v>
      </c>
      <c r="U2649" s="274" t="s">
        <v>89</v>
      </c>
      <c r="V2649" s="279">
        <v>246</v>
      </c>
      <c r="W2649" s="279">
        <f>12+234</f>
        <v>246</v>
      </c>
      <c r="X2649" s="280"/>
      <c r="Y2649" s="281">
        <f t="shared" si="1058"/>
        <v>0</v>
      </c>
      <c r="Z2649" s="282">
        <f>IF(Y2649&lt;0,((V2649*P2649)-((W2649+X2649)*P2649)),0)</f>
        <v>0</v>
      </c>
      <c r="AA2649" s="282">
        <f>Q2649*Z2649</f>
        <v>0</v>
      </c>
      <c r="AB2649" s="812">
        <v>6</v>
      </c>
      <c r="AC2649" s="279">
        <f t="shared" si="1059"/>
        <v>0</v>
      </c>
      <c r="AD2649" s="209"/>
      <c r="AE2649" s="210">
        <f>SUM(Q2649*R2649*Z2649)/1000</f>
        <v>0</v>
      </c>
      <c r="AF2649" s="210">
        <f t="shared" si="1060"/>
        <v>0</v>
      </c>
      <c r="AG2649" s="211">
        <f t="shared" si="1061"/>
        <v>0.63</v>
      </c>
      <c r="AH2649" s="157">
        <f t="shared" si="1062"/>
        <v>0</v>
      </c>
      <c r="AI2649" s="152">
        <f t="shared" si="1063"/>
        <v>2460</v>
      </c>
      <c r="AK2649" s="156" t="s">
        <v>691</v>
      </c>
      <c r="AL2649" s="156" t="s">
        <v>689</v>
      </c>
      <c r="AM2649" s="198">
        <f t="shared" si="1042"/>
        <v>0</v>
      </c>
      <c r="AN2649" s="199">
        <f>B2649</f>
        <v>45925</v>
      </c>
      <c r="AO2649" s="159" t="s">
        <v>692</v>
      </c>
      <c r="AP2649" s="783" t="s">
        <v>620</v>
      </c>
      <c r="AQ2649" s="796" t="s">
        <v>422</v>
      </c>
      <c r="AR2649" s="782">
        <v>12055234</v>
      </c>
      <c r="AS2649" s="781"/>
      <c r="AT2649" s="782"/>
      <c r="AU2649" s="782"/>
      <c r="AV2649" s="782">
        <v>12062809</v>
      </c>
      <c r="AW2649" s="782"/>
      <c r="AX2649" s="782" t="s">
        <v>619</v>
      </c>
      <c r="AY2649" s="781"/>
      <c r="AZ2649" s="781"/>
      <c r="BA2649" s="781"/>
      <c r="BB2649" s="209">
        <v>23053184</v>
      </c>
    </row>
    <row r="2650" spans="1:54" ht="25" hidden="1" customHeight="1">
      <c r="A2650" s="142" t="s">
        <v>120</v>
      </c>
      <c r="B2650" s="271">
        <v>45926</v>
      </c>
      <c r="C2650" s="272">
        <v>45937</v>
      </c>
      <c r="D2650" s="185">
        <f>IF(B2650="","",YEAR(B2650))</f>
        <v>2025</v>
      </c>
      <c r="E2650" s="272" t="e">
        <f>VLOOKUP($B2650,Week!$A$1:$C$1462,2,0)</f>
        <v>#N/A</v>
      </c>
      <c r="F2650" s="273" t="str">
        <f>IF(B2650="","",TEXT(B2650,"[$-409]mmm"))</f>
        <v>Sep</v>
      </c>
      <c r="G2650" s="274" t="s">
        <v>2360</v>
      </c>
      <c r="H2650" s="274" t="s">
        <v>500</v>
      </c>
      <c r="I2650" s="274" t="s">
        <v>2772</v>
      </c>
      <c r="J2650" s="275" t="s">
        <v>285</v>
      </c>
      <c r="K2650" s="276" t="s">
        <v>153</v>
      </c>
      <c r="L2650" s="390" t="s">
        <v>2166</v>
      </c>
      <c r="M2650" s="275" t="s">
        <v>86</v>
      </c>
      <c r="N2650" s="274" t="s">
        <v>547</v>
      </c>
      <c r="O2650" s="274" t="s">
        <v>548</v>
      </c>
      <c r="P2650" s="277">
        <v>10</v>
      </c>
      <c r="Q2650" s="277">
        <v>50</v>
      </c>
      <c r="R2650" s="278">
        <v>6.8100000000000001E-3</v>
      </c>
      <c r="S2650" s="274" t="s">
        <v>76</v>
      </c>
      <c r="T2650" s="274" t="s">
        <v>56</v>
      </c>
      <c r="U2650" s="274" t="s">
        <v>89</v>
      </c>
      <c r="V2650" s="279">
        <v>728</v>
      </c>
      <c r="W2650" s="279">
        <v>728</v>
      </c>
      <c r="X2650" s="280"/>
      <c r="Y2650" s="281">
        <f t="shared" si="1058"/>
        <v>0</v>
      </c>
      <c r="Z2650" s="282">
        <f>IF(Y2650&lt;0,((V2650*P2650)-((W2650+X2650)*P2650)),0)</f>
        <v>0</v>
      </c>
      <c r="AA2650" s="282">
        <f>Q2650*Z2650</f>
        <v>0</v>
      </c>
      <c r="AB2650" s="812">
        <v>6</v>
      </c>
      <c r="AC2650" s="279">
        <f t="shared" si="1059"/>
        <v>0</v>
      </c>
      <c r="AD2650" s="209"/>
      <c r="AE2650" s="210">
        <f>SUM(Q2650*R2650*Z2650)/1000</f>
        <v>0</v>
      </c>
      <c r="AF2650" s="210">
        <f t="shared" si="1060"/>
        <v>0</v>
      </c>
      <c r="AG2650" s="211">
        <f t="shared" si="1061"/>
        <v>0.63</v>
      </c>
      <c r="AH2650" s="157">
        <f t="shared" si="1062"/>
        <v>0</v>
      </c>
      <c r="AI2650" s="152">
        <f t="shared" si="1063"/>
        <v>7280</v>
      </c>
      <c r="AK2650" s="156" t="s">
        <v>691</v>
      </c>
      <c r="AL2650" s="156" t="s">
        <v>689</v>
      </c>
      <c r="AM2650" s="198">
        <f t="shared" si="1042"/>
        <v>0</v>
      </c>
      <c r="AN2650" s="199">
        <f>B2650</f>
        <v>45926</v>
      </c>
      <c r="AO2650" s="159" t="s">
        <v>692</v>
      </c>
      <c r="AP2650" s="783" t="s">
        <v>620</v>
      </c>
      <c r="AQ2650" s="796" t="s">
        <v>422</v>
      </c>
      <c r="AR2650" s="782">
        <v>12055234</v>
      </c>
      <c r="AS2650" s="781"/>
      <c r="AT2650" s="782"/>
      <c r="AU2650" s="782"/>
      <c r="AV2650" s="782">
        <v>12062809</v>
      </c>
      <c r="AW2650" s="782"/>
      <c r="AX2650" s="782" t="s">
        <v>619</v>
      </c>
      <c r="AY2650" s="781"/>
      <c r="AZ2650" s="781"/>
      <c r="BA2650" s="781"/>
      <c r="BB2650" s="209">
        <v>23053184</v>
      </c>
    </row>
    <row r="2651" spans="1:54" ht="24.65" hidden="1" customHeight="1">
      <c r="B2651" s="466">
        <v>45927</v>
      </c>
      <c r="C2651" s="467">
        <v>45932</v>
      </c>
      <c r="D2651" s="185">
        <f t="shared" si="1052"/>
        <v>2025</v>
      </c>
      <c r="E2651" s="467" t="e">
        <f>VLOOKUP($B2651,Week!$A$1:$C$1462,2,0)</f>
        <v>#N/A</v>
      </c>
      <c r="F2651" s="469" t="str">
        <f t="shared" si="1053"/>
        <v>Sep</v>
      </c>
      <c r="G2651" s="641" t="s">
        <v>2531</v>
      </c>
      <c r="H2651" s="482" t="s">
        <v>104</v>
      </c>
      <c r="I2651" s="482" t="s">
        <v>2772</v>
      </c>
      <c r="J2651" s="483" t="s">
        <v>105</v>
      </c>
      <c r="K2651" s="484" t="s">
        <v>51</v>
      </c>
      <c r="L2651" s="300" t="s">
        <v>2167</v>
      </c>
      <c r="M2651" s="483" t="s">
        <v>674</v>
      </c>
      <c r="N2651" s="482" t="s">
        <v>677</v>
      </c>
      <c r="O2651" s="482" t="s">
        <v>501</v>
      </c>
      <c r="P2651" s="473">
        <v>36</v>
      </c>
      <c r="Q2651" s="473">
        <v>5</v>
      </c>
      <c r="R2651" s="474">
        <v>6.0000000000000001E-3</v>
      </c>
      <c r="S2651" s="482" t="s">
        <v>55</v>
      </c>
      <c r="T2651" s="482" t="s">
        <v>112</v>
      </c>
      <c r="U2651" s="482" t="s">
        <v>57</v>
      </c>
      <c r="V2651" s="475">
        <f>300</f>
        <v>300</v>
      </c>
      <c r="W2651" s="475">
        <f>64+236</f>
        <v>300</v>
      </c>
      <c r="X2651" s="476"/>
      <c r="Y2651" s="477">
        <f t="shared" si="1058"/>
        <v>0</v>
      </c>
      <c r="Z2651" s="478">
        <f t="shared" si="1064"/>
        <v>0</v>
      </c>
      <c r="AA2651" s="478">
        <f t="shared" si="1054"/>
        <v>0</v>
      </c>
      <c r="AB2651" s="828">
        <v>7.4999999999999997E-3</v>
      </c>
      <c r="AC2651" s="475">
        <f t="shared" si="1059"/>
        <v>0</v>
      </c>
      <c r="AD2651" s="866" t="s">
        <v>2551</v>
      </c>
      <c r="AE2651" s="210">
        <f t="shared" si="1065"/>
        <v>0</v>
      </c>
      <c r="AF2651" s="210">
        <f t="shared" si="1060"/>
        <v>0</v>
      </c>
      <c r="AG2651" s="211">
        <v>0.14499999999999999</v>
      </c>
      <c r="AH2651" s="157">
        <f t="shared" si="1062"/>
        <v>0</v>
      </c>
      <c r="AI2651" s="152">
        <v>19800</v>
      </c>
      <c r="AK2651" s="156" t="s">
        <v>691</v>
      </c>
      <c r="AL2651" s="212" t="s">
        <v>690</v>
      </c>
      <c r="AM2651" s="198">
        <f t="shared" si="1042"/>
        <v>0</v>
      </c>
      <c r="AN2651" s="199">
        <f t="shared" si="1050"/>
        <v>45927</v>
      </c>
      <c r="AO2651" s="159" t="s">
        <v>692</v>
      </c>
      <c r="AP2651" s="781"/>
      <c r="AQ2651" s="782">
        <v>12071839</v>
      </c>
      <c r="AR2651" s="782">
        <v>12047514</v>
      </c>
      <c r="AS2651" s="782">
        <v>12047515</v>
      </c>
      <c r="AT2651" s="782">
        <v>12085743</v>
      </c>
      <c r="AU2651" s="781"/>
      <c r="AV2651" s="782">
        <v>12085745</v>
      </c>
      <c r="AW2651" s="782">
        <v>12024404</v>
      </c>
      <c r="AX2651" s="782"/>
      <c r="AY2651" s="782" t="s">
        <v>2559</v>
      </c>
      <c r="AZ2651" s="782"/>
      <c r="BA2651" s="781"/>
      <c r="BB2651" s="209">
        <v>23053185</v>
      </c>
    </row>
    <row r="2652" spans="1:54" ht="24.65" hidden="1" customHeight="1">
      <c r="B2652" s="466">
        <v>45927</v>
      </c>
      <c r="C2652" s="467">
        <v>45933</v>
      </c>
      <c r="D2652" s="185">
        <f t="shared" si="1052"/>
        <v>2025</v>
      </c>
      <c r="E2652" s="467" t="e">
        <f>VLOOKUP($B2652,Week!$A$1:$C$1462,2,0)</f>
        <v>#N/A</v>
      </c>
      <c r="F2652" s="469" t="str">
        <f t="shared" si="1053"/>
        <v>Sep</v>
      </c>
      <c r="G2652" s="641" t="s">
        <v>2532</v>
      </c>
      <c r="H2652" s="482" t="s">
        <v>104</v>
      </c>
      <c r="I2652" s="482" t="s">
        <v>2772</v>
      </c>
      <c r="J2652" s="483" t="s">
        <v>105</v>
      </c>
      <c r="K2652" s="484" t="s">
        <v>51</v>
      </c>
      <c r="L2652" s="300" t="s">
        <v>2167</v>
      </c>
      <c r="M2652" s="483" t="s">
        <v>674</v>
      </c>
      <c r="N2652" s="482" t="s">
        <v>677</v>
      </c>
      <c r="O2652" s="482" t="s">
        <v>501</v>
      </c>
      <c r="P2652" s="473">
        <v>36</v>
      </c>
      <c r="Q2652" s="473">
        <v>5</v>
      </c>
      <c r="R2652" s="474">
        <v>6.0000000000000001E-3</v>
      </c>
      <c r="S2652" s="482" t="s">
        <v>55</v>
      </c>
      <c r="T2652" s="482" t="s">
        <v>112</v>
      </c>
      <c r="U2652" s="482" t="s">
        <v>57</v>
      </c>
      <c r="V2652" s="475">
        <f>450</f>
        <v>450</v>
      </c>
      <c r="W2652" s="475">
        <f>686-236</f>
        <v>450</v>
      </c>
      <c r="X2652" s="476"/>
      <c r="Y2652" s="477">
        <f t="shared" si="1058"/>
        <v>0</v>
      </c>
      <c r="Z2652" s="478">
        <f t="shared" si="1064"/>
        <v>0</v>
      </c>
      <c r="AA2652" s="478">
        <f t="shared" si="1054"/>
        <v>0</v>
      </c>
      <c r="AB2652" s="828">
        <v>7.4999999999999997E-3</v>
      </c>
      <c r="AC2652" s="475">
        <f t="shared" si="1059"/>
        <v>0</v>
      </c>
      <c r="AD2652" s="486"/>
      <c r="AE2652" s="210">
        <f t="shared" si="1065"/>
        <v>0</v>
      </c>
      <c r="AF2652" s="210">
        <f t="shared" si="1060"/>
        <v>0</v>
      </c>
      <c r="AG2652" s="211">
        <v>0.14499999999999999</v>
      </c>
      <c r="AH2652" s="157">
        <f t="shared" si="1062"/>
        <v>0</v>
      </c>
      <c r="AI2652" s="152">
        <v>19800</v>
      </c>
      <c r="AK2652" s="156" t="s">
        <v>691</v>
      </c>
      <c r="AL2652" s="212" t="s">
        <v>690</v>
      </c>
      <c r="AM2652" s="198">
        <f t="shared" ref="AM2652:AM2683" si="1066">AG2652*Z2652</f>
        <v>0</v>
      </c>
      <c r="AN2652" s="199">
        <f t="shared" si="1050"/>
        <v>45927</v>
      </c>
      <c r="AO2652" s="159" t="s">
        <v>692</v>
      </c>
      <c r="AP2652" s="781"/>
      <c r="AQ2652" s="782">
        <v>12071839</v>
      </c>
      <c r="AR2652" s="782">
        <v>12047514</v>
      </c>
      <c r="AS2652" s="782">
        <v>12047515</v>
      </c>
      <c r="AT2652" s="782">
        <v>12085743</v>
      </c>
      <c r="AU2652" s="781"/>
      <c r="AV2652" s="782">
        <v>12085745</v>
      </c>
      <c r="AW2652" s="782">
        <v>12024404</v>
      </c>
      <c r="AX2652" s="782"/>
      <c r="AY2652" s="782">
        <v>12094238</v>
      </c>
      <c r="AZ2652" s="782"/>
      <c r="BA2652" s="781"/>
      <c r="BB2652" s="209">
        <v>23053185</v>
      </c>
    </row>
    <row r="2653" spans="1:54" ht="24.65" hidden="1" customHeight="1">
      <c r="B2653" s="369">
        <v>45927</v>
      </c>
      <c r="C2653" s="370">
        <v>45932</v>
      </c>
      <c r="D2653" s="185">
        <f t="shared" si="1052"/>
        <v>2025</v>
      </c>
      <c r="E2653" s="370" t="e">
        <f>VLOOKUP($B2653,Week!$A$1:$C$1462,2,0)</f>
        <v>#N/A</v>
      </c>
      <c r="F2653" s="372" t="str">
        <f t="shared" si="1053"/>
        <v>Sep</v>
      </c>
      <c r="G2653" s="439" t="s">
        <v>2531</v>
      </c>
      <c r="H2653" s="371" t="s">
        <v>104</v>
      </c>
      <c r="I2653" s="371" t="s">
        <v>2772</v>
      </c>
      <c r="J2653" s="373" t="s">
        <v>105</v>
      </c>
      <c r="K2653" s="374" t="s">
        <v>593</v>
      </c>
      <c r="L2653" s="300" t="s">
        <v>2167</v>
      </c>
      <c r="M2653" s="373" t="s">
        <v>594</v>
      </c>
      <c r="N2653" s="371" t="s">
        <v>687</v>
      </c>
      <c r="O2653" s="371" t="s">
        <v>415</v>
      </c>
      <c r="P2653" s="375">
        <v>24</v>
      </c>
      <c r="Q2653" s="375">
        <v>5</v>
      </c>
      <c r="R2653" s="376">
        <v>6.0000000000000001E-3</v>
      </c>
      <c r="S2653" s="371" t="s">
        <v>55</v>
      </c>
      <c r="T2653" s="371" t="s">
        <v>112</v>
      </c>
      <c r="U2653" s="371" t="s">
        <v>57</v>
      </c>
      <c r="V2653" s="377">
        <f>800</f>
        <v>800</v>
      </c>
      <c r="W2653" s="377"/>
      <c r="X2653" s="378">
        <f>(820+18380)/24</f>
        <v>800</v>
      </c>
      <c r="Y2653" s="379">
        <f t="shared" si="1058"/>
        <v>0</v>
      </c>
      <c r="Z2653" s="380">
        <f t="shared" si="1064"/>
        <v>0</v>
      </c>
      <c r="AA2653" s="380">
        <f t="shared" si="1054"/>
        <v>0</v>
      </c>
      <c r="AB2653" s="820">
        <v>7.4999999999999997E-3</v>
      </c>
      <c r="AC2653" s="377">
        <f t="shared" si="1059"/>
        <v>0</v>
      </c>
      <c r="AD2653" s="866" t="s">
        <v>2550</v>
      </c>
      <c r="AE2653" s="210">
        <f t="shared" si="1065"/>
        <v>0</v>
      </c>
      <c r="AF2653" s="210">
        <f t="shared" si="1060"/>
        <v>0</v>
      </c>
      <c r="AG2653" s="211">
        <f>MID(O2653,1,3)/1000</f>
        <v>0.25800000000000001</v>
      </c>
      <c r="AH2653" s="157">
        <f t="shared" si="1062"/>
        <v>0</v>
      </c>
      <c r="AI2653" s="152">
        <f>V2653*P2653</f>
        <v>19200</v>
      </c>
      <c r="AK2653" s="156" t="s">
        <v>691</v>
      </c>
      <c r="AL2653" s="212" t="s">
        <v>690</v>
      </c>
      <c r="AM2653" s="198">
        <f t="shared" si="1066"/>
        <v>0</v>
      </c>
      <c r="AN2653" s="199">
        <f t="shared" si="1050"/>
        <v>45927</v>
      </c>
      <c r="AO2653" s="159" t="s">
        <v>692</v>
      </c>
      <c r="AP2653" s="783"/>
      <c r="AQ2653" s="782">
        <v>12071839</v>
      </c>
      <c r="AR2653" s="782">
        <v>12042650</v>
      </c>
      <c r="AS2653" s="782">
        <v>12042649</v>
      </c>
      <c r="AT2653" s="782">
        <v>12085742</v>
      </c>
      <c r="AU2653" s="781"/>
      <c r="AV2653" s="782">
        <v>12085744</v>
      </c>
      <c r="AW2653" s="782">
        <v>12049607</v>
      </c>
      <c r="AX2653" s="782"/>
      <c r="AY2653" s="782">
        <v>12094129</v>
      </c>
      <c r="AZ2653" s="782"/>
      <c r="BA2653" s="781"/>
      <c r="BB2653" s="209">
        <v>23053185</v>
      </c>
    </row>
    <row r="2654" spans="1:54" ht="24.65" hidden="1" customHeight="1">
      <c r="B2654" s="369">
        <v>45927</v>
      </c>
      <c r="C2654" s="370">
        <v>45933</v>
      </c>
      <c r="D2654" s="185">
        <f t="shared" si="1052"/>
        <v>2025</v>
      </c>
      <c r="E2654" s="370" t="e">
        <f>VLOOKUP($B2654,Week!$A$1:$C$1462,2,0)</f>
        <v>#N/A</v>
      </c>
      <c r="F2654" s="372" t="str">
        <f t="shared" si="1053"/>
        <v>Sep</v>
      </c>
      <c r="G2654" s="439" t="s">
        <v>2532</v>
      </c>
      <c r="H2654" s="371" t="s">
        <v>104</v>
      </c>
      <c r="I2654" s="371" t="s">
        <v>2772</v>
      </c>
      <c r="J2654" s="373" t="s">
        <v>105</v>
      </c>
      <c r="K2654" s="374" t="s">
        <v>593</v>
      </c>
      <c r="L2654" s="300" t="s">
        <v>2167</v>
      </c>
      <c r="M2654" s="373" t="s">
        <v>594</v>
      </c>
      <c r="N2654" s="371" t="s">
        <v>687</v>
      </c>
      <c r="O2654" s="371" t="s">
        <v>415</v>
      </c>
      <c r="P2654" s="375">
        <v>24</v>
      </c>
      <c r="Q2654" s="375">
        <v>5</v>
      </c>
      <c r="R2654" s="376">
        <v>6.0000000000000001E-3</v>
      </c>
      <c r="S2654" s="371" t="s">
        <v>55</v>
      </c>
      <c r="T2654" s="371" t="s">
        <v>112</v>
      </c>
      <c r="U2654" s="371" t="s">
        <v>57</v>
      </c>
      <c r="V2654" s="377">
        <f>700</f>
        <v>700</v>
      </c>
      <c r="W2654" s="377"/>
      <c r="X2654" s="378">
        <f>(17037)/24</f>
        <v>709.875</v>
      </c>
      <c r="Y2654" s="379">
        <f t="shared" si="1058"/>
        <v>9.875</v>
      </c>
      <c r="Z2654" s="380">
        <f t="shared" si="1064"/>
        <v>0</v>
      </c>
      <c r="AA2654" s="380">
        <f t="shared" si="1054"/>
        <v>0</v>
      </c>
      <c r="AB2654" s="820">
        <v>7.4999999999999997E-3</v>
      </c>
      <c r="AC2654" s="377">
        <f t="shared" si="1059"/>
        <v>0</v>
      </c>
      <c r="AD2654" s="486"/>
      <c r="AE2654" s="210">
        <f t="shared" si="1065"/>
        <v>0</v>
      </c>
      <c r="AF2654" s="210">
        <f t="shared" si="1060"/>
        <v>0</v>
      </c>
      <c r="AG2654" s="211">
        <f>MID(O2654,1,3)/1000</f>
        <v>0.25800000000000001</v>
      </c>
      <c r="AH2654" s="157">
        <f t="shared" si="1062"/>
        <v>0</v>
      </c>
      <c r="AI2654" s="152">
        <f>V2654*P2654</f>
        <v>16800</v>
      </c>
      <c r="AK2654" s="156" t="s">
        <v>691</v>
      </c>
      <c r="AL2654" s="212" t="s">
        <v>690</v>
      </c>
      <c r="AM2654" s="198">
        <f t="shared" si="1066"/>
        <v>0</v>
      </c>
      <c r="AN2654" s="199">
        <f t="shared" si="1050"/>
        <v>45927</v>
      </c>
      <c r="AO2654" s="159" t="s">
        <v>692</v>
      </c>
      <c r="AP2654" s="783"/>
      <c r="AQ2654" s="782">
        <v>12071839</v>
      </c>
      <c r="AR2654" s="782">
        <v>12042650</v>
      </c>
      <c r="AS2654" s="782">
        <v>12042649</v>
      </c>
      <c r="AT2654" s="782">
        <v>12085742</v>
      </c>
      <c r="AU2654" s="781"/>
      <c r="AV2654" s="782">
        <v>12085744</v>
      </c>
      <c r="AW2654" s="782">
        <v>12049607</v>
      </c>
      <c r="AX2654" s="782"/>
      <c r="AY2654" s="782">
        <v>12094129</v>
      </c>
      <c r="AZ2654" s="782"/>
      <c r="BA2654" s="781"/>
      <c r="BB2654" s="209">
        <v>23053185</v>
      </c>
    </row>
    <row r="2655" spans="1:54" ht="24.75" hidden="1" customHeight="1">
      <c r="B2655" s="320">
        <v>45927</v>
      </c>
      <c r="C2655" s="321">
        <v>45962</v>
      </c>
      <c r="D2655" s="185">
        <f>IF(B2655="","",YEAR(B2655))</f>
        <v>2025</v>
      </c>
      <c r="E2655" s="321" t="e">
        <f>VLOOKUP($B2655,Week!$A$1:$C$1462,2,0)</f>
        <v>#N/A</v>
      </c>
      <c r="F2655" s="322" t="str">
        <f>IF(B2655="","",TEXT(B2655,"[$-409]mmm"))</f>
        <v>Sep</v>
      </c>
      <c r="G2655" s="323" t="s">
        <v>2517</v>
      </c>
      <c r="H2655" s="323" t="s">
        <v>675</v>
      </c>
      <c r="I2655" s="323" t="s">
        <v>2772</v>
      </c>
      <c r="J2655" s="324" t="s">
        <v>709</v>
      </c>
      <c r="K2655" s="325" t="s">
        <v>107</v>
      </c>
      <c r="L2655" s="300" t="s">
        <v>2167</v>
      </c>
      <c r="M2655" s="324" t="s">
        <v>313</v>
      </c>
      <c r="N2655" s="596" t="s">
        <v>710</v>
      </c>
      <c r="O2655" s="323" t="s">
        <v>592</v>
      </c>
      <c r="P2655" s="326">
        <v>8</v>
      </c>
      <c r="Q2655" s="326">
        <v>4</v>
      </c>
      <c r="R2655" s="327">
        <v>7.4999999999999997E-3</v>
      </c>
      <c r="S2655" s="323" t="s">
        <v>111</v>
      </c>
      <c r="T2655" s="323" t="s">
        <v>112</v>
      </c>
      <c r="U2655" s="323" t="s">
        <v>57</v>
      </c>
      <c r="V2655" s="328">
        <v>1450</v>
      </c>
      <c r="W2655" s="328"/>
      <c r="X2655" s="329">
        <f>(315+11377)/8</f>
        <v>1461.5</v>
      </c>
      <c r="Y2655" s="330">
        <f t="shared" si="1058"/>
        <v>11.5</v>
      </c>
      <c r="Z2655" s="331">
        <f>IF(Y2655&lt;0,((V2655*P2655)-((W2655+X2655)*P2655)),0)</f>
        <v>0</v>
      </c>
      <c r="AA2655" s="331">
        <f>Q2655*Z2655</f>
        <v>0</v>
      </c>
      <c r="AB2655" s="816">
        <v>7.4999999999999997E-3</v>
      </c>
      <c r="AC2655" s="328">
        <f t="shared" si="1059"/>
        <v>0</v>
      </c>
      <c r="AD2655" s="443"/>
      <c r="AE2655" s="210">
        <f>SUM(Q2655*R2655*Z2655)/1000</f>
        <v>0</v>
      </c>
      <c r="AF2655" s="210">
        <f t="shared" si="1060"/>
        <v>0</v>
      </c>
      <c r="AG2655" s="211">
        <f>MID(O2655,1,3)/1000</f>
        <v>0.30499999999999999</v>
      </c>
      <c r="AH2655" s="157">
        <f t="shared" si="1062"/>
        <v>0</v>
      </c>
      <c r="AI2655" s="152">
        <f>V2655*P2655</f>
        <v>11600</v>
      </c>
      <c r="AK2655" s="156" t="s">
        <v>691</v>
      </c>
      <c r="AL2655" s="212" t="s">
        <v>690</v>
      </c>
      <c r="AM2655" s="198">
        <f t="shared" si="1066"/>
        <v>0</v>
      </c>
      <c r="AN2655" s="199">
        <f>B2655</f>
        <v>45927</v>
      </c>
      <c r="AO2655" s="159" t="s">
        <v>692</v>
      </c>
      <c r="AP2655" s="783" t="s">
        <v>643</v>
      </c>
      <c r="AQ2655" s="782">
        <v>12063755</v>
      </c>
      <c r="AR2655" s="782">
        <v>12061353</v>
      </c>
      <c r="AS2655" s="782">
        <v>12061354</v>
      </c>
      <c r="AT2655" s="782">
        <v>12089987</v>
      </c>
      <c r="AU2655" s="781"/>
      <c r="AV2655" s="782">
        <v>12089986</v>
      </c>
      <c r="AW2655" s="782"/>
      <c r="AX2655" s="782"/>
      <c r="AY2655" s="782"/>
      <c r="AZ2655" s="782"/>
      <c r="BA2655" s="781"/>
      <c r="BB2655" s="209">
        <v>23053185</v>
      </c>
    </row>
    <row r="2656" spans="1:54" ht="25" hidden="1" customHeight="1">
      <c r="B2656" s="183">
        <v>45928</v>
      </c>
      <c r="C2656" s="184"/>
      <c r="D2656" s="185">
        <f t="shared" si="1052"/>
        <v>2025</v>
      </c>
      <c r="E2656" s="185" t="e">
        <f>VLOOKUP($B2656,Week!$A$1:$C$1462,2,0)</f>
        <v>#N/A</v>
      </c>
      <c r="F2656" s="186" t="str">
        <f t="shared" si="1053"/>
        <v>Sep</v>
      </c>
      <c r="G2656" s="481"/>
      <c r="H2656" s="185"/>
      <c r="I2656" s="185"/>
      <c r="J2656" s="187"/>
      <c r="K2656" s="188"/>
      <c r="L2656" s="188"/>
      <c r="M2656" s="187"/>
      <c r="N2656" s="185"/>
      <c r="O2656" s="185"/>
      <c r="P2656" s="189"/>
      <c r="Q2656" s="189"/>
      <c r="R2656" s="190"/>
      <c r="S2656" s="185"/>
      <c r="T2656" s="185"/>
      <c r="U2656" s="185"/>
      <c r="V2656" s="191"/>
      <c r="W2656" s="191"/>
      <c r="X2656" s="192"/>
      <c r="Y2656" s="193"/>
      <c r="Z2656" s="194"/>
      <c r="AA2656" s="194">
        <f t="shared" si="1054"/>
        <v>0</v>
      </c>
      <c r="AB2656" s="805"/>
      <c r="AC2656" s="191"/>
      <c r="AD2656" s="187"/>
      <c r="AE2656" s="195"/>
      <c r="AF2656" s="195"/>
      <c r="AG2656" s="196"/>
      <c r="AH2656" s="197"/>
      <c r="AK2656" s="156" t="s">
        <v>691</v>
      </c>
      <c r="AM2656" s="198">
        <f t="shared" si="1066"/>
        <v>0</v>
      </c>
      <c r="AN2656" s="199">
        <f t="shared" si="1050"/>
        <v>45928</v>
      </c>
      <c r="AO2656" s="159" t="s">
        <v>692</v>
      </c>
      <c r="AP2656" s="781"/>
      <c r="AQ2656" s="782"/>
      <c r="AR2656" s="782"/>
      <c r="AS2656" s="782"/>
      <c r="AT2656" s="782"/>
      <c r="AU2656" s="781"/>
      <c r="AV2656" s="782"/>
      <c r="AW2656" s="782"/>
      <c r="AX2656" s="782"/>
      <c r="AY2656" s="782"/>
      <c r="AZ2656" s="782"/>
      <c r="BA2656" s="781"/>
      <c r="BB2656" s="209"/>
    </row>
    <row r="2657" spans="1:54" ht="25" hidden="1" customHeight="1">
      <c r="A2657" s="630" t="s">
        <v>120</v>
      </c>
      <c r="B2657" s="308">
        <v>45929</v>
      </c>
      <c r="C2657" s="309">
        <v>45932</v>
      </c>
      <c r="D2657" s="185">
        <f>IF(B2657="","",YEAR(B2657))</f>
        <v>2025</v>
      </c>
      <c r="E2657" s="309" t="e">
        <f>VLOOKUP($B2657,Week!$A$1:$C$1462,2,0)</f>
        <v>#N/A</v>
      </c>
      <c r="F2657" s="310" t="str">
        <f>IF(B2657="","",TEXT(B2657,"[$-409]mmm"))</f>
        <v>Sep</v>
      </c>
      <c r="G2657" s="579" t="s">
        <v>2531</v>
      </c>
      <c r="H2657" s="311" t="s">
        <v>104</v>
      </c>
      <c r="I2657" s="311" t="s">
        <v>2772</v>
      </c>
      <c r="J2657" s="312" t="s">
        <v>105</v>
      </c>
      <c r="K2657" s="313" t="s">
        <v>85</v>
      </c>
      <c r="L2657" s="390" t="s">
        <v>2166</v>
      </c>
      <c r="M2657" s="312" t="s">
        <v>86</v>
      </c>
      <c r="N2657" s="311" t="s">
        <v>421</v>
      </c>
      <c r="O2657" s="311" t="s">
        <v>506</v>
      </c>
      <c r="P2657" s="314">
        <v>10</v>
      </c>
      <c r="Q2657" s="314">
        <v>50</v>
      </c>
      <c r="R2657" s="315">
        <v>6.8100000000000001E-3</v>
      </c>
      <c r="S2657" s="311" t="s">
        <v>76</v>
      </c>
      <c r="T2657" s="311" t="s">
        <v>112</v>
      </c>
      <c r="U2657" s="311" t="s">
        <v>89</v>
      </c>
      <c r="V2657" s="316">
        <f>100</f>
        <v>100</v>
      </c>
      <c r="W2657" s="316">
        <f>5+95</f>
        <v>100</v>
      </c>
      <c r="X2657" s="317"/>
      <c r="Y2657" s="318">
        <f t="shared" ref="Y2657:Y2663" si="1067">(W2657+X2657)-V2657</f>
        <v>0</v>
      </c>
      <c r="Z2657" s="319">
        <f>IF(Y2657&lt;0,((V2657*P2657)-((W2657+X2657)*P2657)),0)</f>
        <v>0</v>
      </c>
      <c r="AA2657" s="319">
        <f>Q2657*Z2657</f>
        <v>0</v>
      </c>
      <c r="AB2657" s="815">
        <v>6</v>
      </c>
      <c r="AC2657" s="316">
        <f t="shared" ref="AC2657:AC2663" si="1068">Z2657*AB2657</f>
        <v>0</v>
      </c>
      <c r="AD2657" s="381"/>
      <c r="AE2657" s="210">
        <f>SUM(Q2657*R2657*Z2657)/1000</f>
        <v>0</v>
      </c>
      <c r="AF2657" s="210">
        <f t="shared" ref="AF2657:AF2663" si="1069">AE2657/0.54</f>
        <v>0</v>
      </c>
      <c r="AG2657" s="211">
        <f t="shared" ref="AG2657:AG2662" si="1070">MID(O2657,1,3)/1000</f>
        <v>0.57999999999999996</v>
      </c>
      <c r="AH2657" s="157">
        <f t="shared" ref="AH2657:AH2663" si="1071">(Z2657*AG2657)/1000</f>
        <v>0</v>
      </c>
      <c r="AI2657" s="152">
        <f>V2657*P2657</f>
        <v>1000</v>
      </c>
      <c r="AJ2657" s="156">
        <f>AI2657*Q2657</f>
        <v>50000</v>
      </c>
      <c r="AK2657" s="156" t="s">
        <v>691</v>
      </c>
      <c r="AL2657" s="156" t="s">
        <v>689</v>
      </c>
      <c r="AM2657" s="198">
        <f t="shared" si="1066"/>
        <v>0</v>
      </c>
      <c r="AN2657" s="199">
        <f>B2657</f>
        <v>45929</v>
      </c>
      <c r="AO2657" s="159" t="s">
        <v>692</v>
      </c>
      <c r="AP2657" s="781" t="s">
        <v>423</v>
      </c>
      <c r="AQ2657" s="781" t="s">
        <v>422</v>
      </c>
      <c r="AR2657" s="782">
        <v>12055234</v>
      </c>
      <c r="AS2657" s="781"/>
      <c r="AT2657" s="782">
        <v>12069432</v>
      </c>
      <c r="AU2657" s="781"/>
      <c r="AV2657" s="782">
        <v>12069433</v>
      </c>
      <c r="AW2657" s="781"/>
      <c r="AX2657" s="781" t="s">
        <v>93</v>
      </c>
      <c r="AY2657" s="781"/>
      <c r="AZ2657" s="782"/>
      <c r="BA2657" s="781"/>
      <c r="BB2657" s="209">
        <v>23053184</v>
      </c>
    </row>
    <row r="2658" spans="1:54" ht="25" hidden="1" customHeight="1">
      <c r="A2658" s="630" t="s">
        <v>120</v>
      </c>
      <c r="B2658" s="308">
        <v>45929</v>
      </c>
      <c r="C2658" s="309">
        <v>45933</v>
      </c>
      <c r="D2658" s="185">
        <f>IF(B2658="","",YEAR(B2658))</f>
        <v>2025</v>
      </c>
      <c r="E2658" s="309" t="e">
        <f>VLOOKUP($B2658,Week!$A$1:$C$1462,2,0)</f>
        <v>#N/A</v>
      </c>
      <c r="F2658" s="310" t="str">
        <f>IF(B2658="","",TEXT(B2658,"[$-409]mmm"))</f>
        <v>Sep</v>
      </c>
      <c r="G2658" s="579" t="s">
        <v>2532</v>
      </c>
      <c r="H2658" s="311" t="s">
        <v>104</v>
      </c>
      <c r="I2658" s="311" t="s">
        <v>2772</v>
      </c>
      <c r="J2658" s="312" t="s">
        <v>105</v>
      </c>
      <c r="K2658" s="313" t="s">
        <v>85</v>
      </c>
      <c r="L2658" s="390" t="s">
        <v>2166</v>
      </c>
      <c r="M2658" s="312" t="s">
        <v>86</v>
      </c>
      <c r="N2658" s="311" t="s">
        <v>421</v>
      </c>
      <c r="O2658" s="311" t="s">
        <v>506</v>
      </c>
      <c r="P2658" s="314">
        <v>10</v>
      </c>
      <c r="Q2658" s="314">
        <v>50</v>
      </c>
      <c r="R2658" s="315">
        <v>6.8100000000000001E-3</v>
      </c>
      <c r="S2658" s="311" t="s">
        <v>76</v>
      </c>
      <c r="T2658" s="311" t="s">
        <v>112</v>
      </c>
      <c r="U2658" s="311" t="s">
        <v>89</v>
      </c>
      <c r="V2658" s="316">
        <f>100</f>
        <v>100</v>
      </c>
      <c r="W2658" s="316">
        <v>100</v>
      </c>
      <c r="X2658" s="317">
        <f>(30)/10</f>
        <v>3</v>
      </c>
      <c r="Y2658" s="318">
        <f t="shared" si="1067"/>
        <v>3</v>
      </c>
      <c r="Z2658" s="319">
        <f>IF(Y2658&lt;0,((V2658*P2658)-((W2658+X2658)*P2658)),0)</f>
        <v>0</v>
      </c>
      <c r="AA2658" s="319">
        <f>Q2658*Z2658</f>
        <v>0</v>
      </c>
      <c r="AB2658" s="815">
        <v>6</v>
      </c>
      <c r="AC2658" s="316">
        <f t="shared" si="1068"/>
        <v>0</v>
      </c>
      <c r="AD2658" s="381"/>
      <c r="AE2658" s="210">
        <f>SUM(Q2658*R2658*Z2658)/1000</f>
        <v>0</v>
      </c>
      <c r="AF2658" s="210">
        <f t="shared" si="1069"/>
        <v>0</v>
      </c>
      <c r="AG2658" s="211">
        <f t="shared" si="1070"/>
        <v>0.57999999999999996</v>
      </c>
      <c r="AH2658" s="157">
        <f t="shared" si="1071"/>
        <v>0</v>
      </c>
      <c r="AI2658" s="152">
        <f>V2658*P2658</f>
        <v>1000</v>
      </c>
      <c r="AJ2658" s="156">
        <f>AI2658*Q2658</f>
        <v>50000</v>
      </c>
      <c r="AK2658" s="156" t="s">
        <v>691</v>
      </c>
      <c r="AL2658" s="156" t="s">
        <v>689</v>
      </c>
      <c r="AM2658" s="198">
        <f t="shared" si="1066"/>
        <v>0</v>
      </c>
      <c r="AN2658" s="199">
        <f>B2658</f>
        <v>45929</v>
      </c>
      <c r="AO2658" s="159" t="s">
        <v>692</v>
      </c>
      <c r="AP2658" s="781" t="s">
        <v>423</v>
      </c>
      <c r="AQ2658" s="781" t="s">
        <v>422</v>
      </c>
      <c r="AR2658" s="782">
        <v>12055234</v>
      </c>
      <c r="AS2658" s="781"/>
      <c r="AT2658" s="782">
        <v>12069432</v>
      </c>
      <c r="AU2658" s="781"/>
      <c r="AV2658" s="782">
        <v>12069433</v>
      </c>
      <c r="AW2658" s="781"/>
      <c r="AX2658" s="781" t="s">
        <v>93</v>
      </c>
      <c r="AY2658" s="781"/>
      <c r="AZ2658" s="782"/>
      <c r="BA2658" s="781"/>
      <c r="BB2658" s="209">
        <v>23053184</v>
      </c>
    </row>
    <row r="2659" spans="1:54" ht="25" hidden="1" customHeight="1">
      <c r="A2659" s="142" t="s">
        <v>120</v>
      </c>
      <c r="B2659" s="271">
        <v>45929</v>
      </c>
      <c r="C2659" s="272">
        <v>45937</v>
      </c>
      <c r="D2659" s="185">
        <f>IF(B2659="","",YEAR(B2659))</f>
        <v>2025</v>
      </c>
      <c r="E2659" s="272" t="e">
        <f>VLOOKUP($B2659,Week!$A$1:$C$1462,2,0)</f>
        <v>#N/A</v>
      </c>
      <c r="F2659" s="273" t="str">
        <f>IF(B2659="","",TEXT(B2659,"[$-409]mmm"))</f>
        <v>Sep</v>
      </c>
      <c r="G2659" s="274" t="s">
        <v>2360</v>
      </c>
      <c r="H2659" s="274" t="s">
        <v>500</v>
      </c>
      <c r="I2659" s="274" t="s">
        <v>2772</v>
      </c>
      <c r="J2659" s="275" t="s">
        <v>285</v>
      </c>
      <c r="K2659" s="276" t="s">
        <v>153</v>
      </c>
      <c r="L2659" s="390" t="s">
        <v>2166</v>
      </c>
      <c r="M2659" s="275" t="s">
        <v>86</v>
      </c>
      <c r="N2659" s="274" t="s">
        <v>547</v>
      </c>
      <c r="O2659" s="274" t="s">
        <v>548</v>
      </c>
      <c r="P2659" s="277">
        <v>10</v>
      </c>
      <c r="Q2659" s="277">
        <v>50</v>
      </c>
      <c r="R2659" s="278">
        <v>6.8100000000000001E-3</v>
      </c>
      <c r="S2659" s="274" t="s">
        <v>76</v>
      </c>
      <c r="T2659" s="274" t="s">
        <v>56</v>
      </c>
      <c r="U2659" s="274" t="s">
        <v>89</v>
      </c>
      <c r="V2659" s="279">
        <v>405</v>
      </c>
      <c r="W2659" s="279">
        <v>405</v>
      </c>
      <c r="X2659" s="280"/>
      <c r="Y2659" s="281">
        <f t="shared" si="1067"/>
        <v>0</v>
      </c>
      <c r="Z2659" s="282">
        <f>IF(Y2659&lt;0,((V2659*P2659)-((W2659+X2659)*P2659)),0)</f>
        <v>0</v>
      </c>
      <c r="AA2659" s="282">
        <f>Q2659*Z2659</f>
        <v>0</v>
      </c>
      <c r="AB2659" s="812">
        <v>6</v>
      </c>
      <c r="AC2659" s="279">
        <f t="shared" si="1068"/>
        <v>0</v>
      </c>
      <c r="AD2659" s="209"/>
      <c r="AE2659" s="210">
        <f>SUM(Q2659*R2659*Z2659)/1000</f>
        <v>0</v>
      </c>
      <c r="AF2659" s="210">
        <f t="shared" si="1069"/>
        <v>0</v>
      </c>
      <c r="AG2659" s="211">
        <f t="shared" si="1070"/>
        <v>0.63</v>
      </c>
      <c r="AH2659" s="157">
        <f t="shared" si="1071"/>
        <v>0</v>
      </c>
      <c r="AI2659" s="152">
        <f>V2659*P2659</f>
        <v>4050</v>
      </c>
      <c r="AK2659" s="156" t="s">
        <v>691</v>
      </c>
      <c r="AL2659" s="156" t="s">
        <v>689</v>
      </c>
      <c r="AM2659" s="198">
        <f t="shared" si="1066"/>
        <v>0</v>
      </c>
      <c r="AN2659" s="199">
        <f>B2659</f>
        <v>45929</v>
      </c>
      <c r="AO2659" s="159" t="s">
        <v>692</v>
      </c>
      <c r="AP2659" s="783" t="s">
        <v>620</v>
      </c>
      <c r="AQ2659" s="796" t="s">
        <v>422</v>
      </c>
      <c r="AR2659" s="782">
        <v>12055234</v>
      </c>
      <c r="AS2659" s="781"/>
      <c r="AT2659" s="782"/>
      <c r="AU2659" s="782"/>
      <c r="AV2659" s="782">
        <v>12062809</v>
      </c>
      <c r="AW2659" s="782"/>
      <c r="AX2659" s="782" t="s">
        <v>619</v>
      </c>
      <c r="AY2659" s="781"/>
      <c r="AZ2659" s="781"/>
      <c r="BA2659" s="781"/>
      <c r="BB2659" s="209">
        <v>23053184</v>
      </c>
    </row>
    <row r="2660" spans="1:54" ht="25" hidden="1" customHeight="1">
      <c r="A2660" s="142" t="s">
        <v>120</v>
      </c>
      <c r="B2660" s="271">
        <v>45930</v>
      </c>
      <c r="C2660" s="272">
        <v>45937</v>
      </c>
      <c r="D2660" s="185">
        <f t="shared" si="1052"/>
        <v>2025</v>
      </c>
      <c r="E2660" s="272" t="e">
        <f>VLOOKUP($B2660,Week!$A$1:$C$1462,2,0)</f>
        <v>#N/A</v>
      </c>
      <c r="F2660" s="273" t="str">
        <f t="shared" si="1053"/>
        <v>Sep</v>
      </c>
      <c r="G2660" s="274" t="s">
        <v>2360</v>
      </c>
      <c r="H2660" s="274" t="s">
        <v>500</v>
      </c>
      <c r="I2660" s="274" t="s">
        <v>2772</v>
      </c>
      <c r="J2660" s="275" t="s">
        <v>285</v>
      </c>
      <c r="K2660" s="276" t="s">
        <v>153</v>
      </c>
      <c r="L2660" s="390" t="s">
        <v>2166</v>
      </c>
      <c r="M2660" s="275" t="s">
        <v>86</v>
      </c>
      <c r="N2660" s="274" t="s">
        <v>547</v>
      </c>
      <c r="O2660" s="274" t="s">
        <v>548</v>
      </c>
      <c r="P2660" s="277">
        <v>10</v>
      </c>
      <c r="Q2660" s="277">
        <v>50</v>
      </c>
      <c r="R2660" s="278">
        <v>6.8100000000000001E-3</v>
      </c>
      <c r="S2660" s="274" t="s">
        <v>76</v>
      </c>
      <c r="T2660" s="274" t="s">
        <v>56</v>
      </c>
      <c r="U2660" s="274" t="s">
        <v>89</v>
      </c>
      <c r="V2660" s="279">
        <f>2056-246-728-405</f>
        <v>677</v>
      </c>
      <c r="W2660" s="279">
        <v>677</v>
      </c>
      <c r="X2660" s="280"/>
      <c r="Y2660" s="281">
        <f t="shared" si="1067"/>
        <v>0</v>
      </c>
      <c r="Z2660" s="282">
        <f t="shared" ref="Z2660:Z2671" si="1072">IF(Y2660&lt;0,((V2660*P2660)-((W2660+X2660)*P2660)),0)</f>
        <v>0</v>
      </c>
      <c r="AA2660" s="282">
        <f t="shared" si="1054"/>
        <v>0</v>
      </c>
      <c r="AB2660" s="812">
        <v>6</v>
      </c>
      <c r="AC2660" s="279">
        <f t="shared" si="1068"/>
        <v>0</v>
      </c>
      <c r="AD2660" s="209"/>
      <c r="AE2660" s="210">
        <f t="shared" ref="AE2660:AE2671" si="1073">SUM(Q2660*R2660*Z2660)/1000</f>
        <v>0</v>
      </c>
      <c r="AF2660" s="210">
        <f t="shared" si="1069"/>
        <v>0</v>
      </c>
      <c r="AG2660" s="211">
        <f t="shared" si="1070"/>
        <v>0.63</v>
      </c>
      <c r="AH2660" s="157">
        <f t="shared" si="1071"/>
        <v>0</v>
      </c>
      <c r="AI2660" s="152">
        <f t="shared" ref="AI2660:AI2671" si="1074">V2660*P2660</f>
        <v>6770</v>
      </c>
      <c r="AK2660" s="156" t="s">
        <v>691</v>
      </c>
      <c r="AL2660" s="156" t="s">
        <v>689</v>
      </c>
      <c r="AM2660" s="198">
        <f t="shared" si="1066"/>
        <v>0</v>
      </c>
      <c r="AN2660" s="199">
        <f t="shared" si="1050"/>
        <v>45930</v>
      </c>
      <c r="AO2660" s="159" t="s">
        <v>692</v>
      </c>
      <c r="AP2660" s="783" t="s">
        <v>620</v>
      </c>
      <c r="AQ2660" s="796" t="s">
        <v>422</v>
      </c>
      <c r="AR2660" s="782">
        <v>12055234</v>
      </c>
      <c r="AS2660" s="781"/>
      <c r="AT2660" s="782"/>
      <c r="AU2660" s="782"/>
      <c r="AV2660" s="782">
        <v>12062809</v>
      </c>
      <c r="AW2660" s="782"/>
      <c r="AX2660" s="782" t="s">
        <v>619</v>
      </c>
      <c r="AY2660" s="781"/>
      <c r="AZ2660" s="781"/>
      <c r="BA2660" s="781"/>
      <c r="BB2660" s="209">
        <v>23053184</v>
      </c>
    </row>
    <row r="2661" spans="1:54" ht="24.65" hidden="1" customHeight="1">
      <c r="A2661" s="142" t="s">
        <v>120</v>
      </c>
      <c r="B2661" s="258">
        <v>45930</v>
      </c>
      <c r="C2661" s="259">
        <v>45934</v>
      </c>
      <c r="D2661" s="185">
        <f>IF(B2661="","",YEAR(B2661))</f>
        <v>2025</v>
      </c>
      <c r="E2661" s="260" t="e">
        <f>VLOOKUP($B2661,Week!$A$1:$C$1462,2,0)</f>
        <v>#N/A</v>
      </c>
      <c r="F2661" s="261" t="str">
        <f>IF(B2661="","",TEXT(B2661,"[$-409]mmm"))</f>
        <v>Sep</v>
      </c>
      <c r="G2661" s="262" t="s">
        <v>2488</v>
      </c>
      <c r="H2661" s="260" t="s">
        <v>134</v>
      </c>
      <c r="I2661" s="260" t="s">
        <v>2772</v>
      </c>
      <c r="J2661" s="263" t="s">
        <v>164</v>
      </c>
      <c r="K2661" s="264" t="s">
        <v>153</v>
      </c>
      <c r="L2661" s="390" t="s">
        <v>2166</v>
      </c>
      <c r="M2661" s="263" t="s">
        <v>165</v>
      </c>
      <c r="N2661" s="260" t="s">
        <v>166</v>
      </c>
      <c r="O2661" s="260" t="s">
        <v>502</v>
      </c>
      <c r="P2661" s="265">
        <v>20</v>
      </c>
      <c r="Q2661" s="265">
        <v>12</v>
      </c>
      <c r="R2661" s="266">
        <v>6.8100000000000001E-3</v>
      </c>
      <c r="S2661" s="260" t="s">
        <v>76</v>
      </c>
      <c r="T2661" s="260" t="s">
        <v>56</v>
      </c>
      <c r="U2661" s="260" t="s">
        <v>89</v>
      </c>
      <c r="V2661" s="267">
        <v>120</v>
      </c>
      <c r="W2661" s="267">
        <f>3+117</f>
        <v>120</v>
      </c>
      <c r="X2661" s="268"/>
      <c r="Y2661" s="269">
        <f t="shared" si="1067"/>
        <v>0</v>
      </c>
      <c r="Z2661" s="270">
        <f>IF(Y2661&lt;0,((V2661*P2661)-((W2661+X2661)*P2661)),0)</f>
        <v>0</v>
      </c>
      <c r="AA2661" s="270">
        <f>Q2661*Z2661</f>
        <v>0</v>
      </c>
      <c r="AB2661" s="811">
        <v>2</v>
      </c>
      <c r="AC2661" s="267">
        <f t="shared" si="1068"/>
        <v>0</v>
      </c>
      <c r="AD2661" s="209" t="s">
        <v>168</v>
      </c>
      <c r="AE2661" s="210">
        <f>SUM(Q2661*R2661*Z2661)/1000</f>
        <v>0</v>
      </c>
      <c r="AF2661" s="210">
        <f t="shared" si="1069"/>
        <v>0</v>
      </c>
      <c r="AG2661" s="211">
        <f t="shared" si="1070"/>
        <v>0.154</v>
      </c>
      <c r="AH2661" s="157">
        <f t="shared" si="1071"/>
        <v>0</v>
      </c>
      <c r="AI2661" s="152">
        <f>V2661*P2661</f>
        <v>2400</v>
      </c>
      <c r="AK2661" s="156" t="s">
        <v>691</v>
      </c>
      <c r="AL2661" s="156" t="s">
        <v>689</v>
      </c>
      <c r="AM2661" s="198">
        <f t="shared" si="1066"/>
        <v>0</v>
      </c>
      <c r="AN2661" s="199">
        <f>B2661</f>
        <v>45930</v>
      </c>
      <c r="AO2661" s="159" t="s">
        <v>692</v>
      </c>
      <c r="AP2661" s="783" t="s">
        <v>610</v>
      </c>
      <c r="AQ2661" s="783" t="s">
        <v>631</v>
      </c>
      <c r="AR2661" s="783" t="s">
        <v>523</v>
      </c>
      <c r="AS2661" s="781"/>
      <c r="AT2661" s="782">
        <v>12096524</v>
      </c>
      <c r="AU2661" s="781"/>
      <c r="AV2661" s="783" t="s">
        <v>2507</v>
      </c>
      <c r="AW2661" s="781"/>
      <c r="AX2661" s="782" t="s">
        <v>398</v>
      </c>
      <c r="AY2661" s="781"/>
      <c r="AZ2661" s="781"/>
      <c r="BA2661" s="781"/>
      <c r="BB2661" s="209">
        <v>23053184</v>
      </c>
    </row>
    <row r="2662" spans="1:54" ht="25" hidden="1" customHeight="1">
      <c r="A2662" s="142" t="s">
        <v>120</v>
      </c>
      <c r="B2662" s="283">
        <v>45931</v>
      </c>
      <c r="C2662" s="284">
        <v>45934</v>
      </c>
      <c r="D2662" s="185">
        <f t="shared" si="1052"/>
        <v>2025</v>
      </c>
      <c r="E2662" s="286" t="e">
        <f>VLOOKUP($B2662,Week!$A$1:$C$1462,2,0)</f>
        <v>#N/A</v>
      </c>
      <c r="F2662" s="285" t="str">
        <f t="shared" si="1053"/>
        <v>Oct</v>
      </c>
      <c r="G2662" s="286" t="s">
        <v>2474</v>
      </c>
      <c r="H2662" s="286" t="s">
        <v>134</v>
      </c>
      <c r="I2662" s="286" t="s">
        <v>2772</v>
      </c>
      <c r="J2662" s="287" t="s">
        <v>164</v>
      </c>
      <c r="K2662" s="288" t="s">
        <v>153</v>
      </c>
      <c r="L2662" s="390" t="s">
        <v>2166</v>
      </c>
      <c r="M2662" s="287" t="s">
        <v>214</v>
      </c>
      <c r="N2662" s="286" t="s">
        <v>215</v>
      </c>
      <c r="O2662" s="286" t="s">
        <v>504</v>
      </c>
      <c r="P2662" s="289">
        <v>20</v>
      </c>
      <c r="Q2662" s="289">
        <v>8</v>
      </c>
      <c r="R2662" s="290">
        <v>1.4999999999999999E-2</v>
      </c>
      <c r="S2662" s="286" t="s">
        <v>217</v>
      </c>
      <c r="T2662" s="286" t="s">
        <v>56</v>
      </c>
      <c r="U2662" s="286" t="s">
        <v>89</v>
      </c>
      <c r="V2662" s="291">
        <f>250</f>
        <v>250</v>
      </c>
      <c r="W2662" s="291">
        <f>1+249</f>
        <v>250</v>
      </c>
      <c r="X2662" s="292"/>
      <c r="Y2662" s="293">
        <f t="shared" si="1067"/>
        <v>0</v>
      </c>
      <c r="Z2662" s="294">
        <f t="shared" si="1072"/>
        <v>0</v>
      </c>
      <c r="AA2662" s="291">
        <f t="shared" si="1054"/>
        <v>0</v>
      </c>
      <c r="AB2662" s="813">
        <v>2</v>
      </c>
      <c r="AC2662" s="291">
        <f t="shared" si="1068"/>
        <v>0</v>
      </c>
      <c r="AD2662" s="209" t="s">
        <v>218</v>
      </c>
      <c r="AE2662" s="210">
        <f t="shared" si="1073"/>
        <v>0</v>
      </c>
      <c r="AF2662" s="210">
        <f t="shared" si="1069"/>
        <v>0</v>
      </c>
      <c r="AG2662" s="211">
        <f t="shared" si="1070"/>
        <v>0.19400000000000001</v>
      </c>
      <c r="AH2662" s="157">
        <f t="shared" si="1071"/>
        <v>0</v>
      </c>
      <c r="AI2662" s="152">
        <f t="shared" si="1074"/>
        <v>5000</v>
      </c>
      <c r="AK2662" s="156" t="s">
        <v>691</v>
      </c>
      <c r="AL2662" s="156" t="s">
        <v>689</v>
      </c>
      <c r="AM2662" s="198">
        <f t="shared" si="1066"/>
        <v>0</v>
      </c>
      <c r="AN2662" s="199">
        <f t="shared" si="1050"/>
        <v>45931</v>
      </c>
      <c r="AO2662" s="159" t="s">
        <v>692</v>
      </c>
      <c r="AP2662" s="783" t="s">
        <v>610</v>
      </c>
      <c r="AQ2662" s="782">
        <v>12071839</v>
      </c>
      <c r="AR2662" s="782">
        <v>12064528</v>
      </c>
      <c r="AS2662" s="782"/>
      <c r="AT2662" s="782">
        <v>12064478</v>
      </c>
      <c r="AU2662" s="781"/>
      <c r="AV2662" s="782">
        <v>12064493</v>
      </c>
      <c r="AW2662" s="782"/>
      <c r="AX2662" s="782" t="s">
        <v>545</v>
      </c>
      <c r="AY2662" s="782"/>
      <c r="AZ2662" s="782"/>
      <c r="BA2662" s="781"/>
      <c r="BB2662" s="209">
        <v>23053184</v>
      </c>
    </row>
    <row r="2663" spans="1:54" ht="25" hidden="1" customHeight="1">
      <c r="A2663" s="142" t="s">
        <v>120</v>
      </c>
      <c r="B2663" s="559">
        <v>45931</v>
      </c>
      <c r="C2663" s="560">
        <v>45934</v>
      </c>
      <c r="D2663" s="185">
        <f t="shared" si="1052"/>
        <v>2025</v>
      </c>
      <c r="E2663" s="561" t="e">
        <f>VLOOKUP($B2663,Week!$A$1:$C$1462,2,0)</f>
        <v>#N/A</v>
      </c>
      <c r="F2663" s="562" t="str">
        <f t="shared" si="1053"/>
        <v>Oct</v>
      </c>
      <c r="G2663" s="561" t="s">
        <v>2474</v>
      </c>
      <c r="H2663" s="561" t="s">
        <v>134</v>
      </c>
      <c r="I2663" s="561" t="s">
        <v>2772</v>
      </c>
      <c r="J2663" s="563" t="s">
        <v>164</v>
      </c>
      <c r="K2663" s="564" t="s">
        <v>355</v>
      </c>
      <c r="L2663" s="390" t="s">
        <v>2166</v>
      </c>
      <c r="M2663" s="563" t="s">
        <v>356</v>
      </c>
      <c r="N2663" s="561" t="s">
        <v>652</v>
      </c>
      <c r="O2663" s="561" t="s">
        <v>508</v>
      </c>
      <c r="P2663" s="565">
        <v>18</v>
      </c>
      <c r="Q2663" s="565">
        <v>8</v>
      </c>
      <c r="R2663" s="566">
        <v>6.1999999999999998E-3</v>
      </c>
      <c r="S2663" s="561" t="s">
        <v>55</v>
      </c>
      <c r="T2663" s="561" t="s">
        <v>56</v>
      </c>
      <c r="U2663" s="561" t="s">
        <v>89</v>
      </c>
      <c r="V2663" s="567">
        <f>600</f>
        <v>600</v>
      </c>
      <c r="W2663" s="567">
        <f>44+523+33</f>
        <v>600</v>
      </c>
      <c r="X2663" s="568"/>
      <c r="Y2663" s="569">
        <f t="shared" si="1067"/>
        <v>0</v>
      </c>
      <c r="Z2663" s="570">
        <f t="shared" si="1072"/>
        <v>0</v>
      </c>
      <c r="AA2663" s="570">
        <f t="shared" si="1054"/>
        <v>0</v>
      </c>
      <c r="AB2663" s="834">
        <v>2</v>
      </c>
      <c r="AC2663" s="567">
        <f t="shared" si="1068"/>
        <v>0</v>
      </c>
      <c r="AD2663" s="209"/>
      <c r="AE2663" s="210">
        <f t="shared" si="1073"/>
        <v>0</v>
      </c>
      <c r="AF2663" s="210">
        <f t="shared" si="1069"/>
        <v>0</v>
      </c>
      <c r="AG2663" s="211">
        <f>MID(O2663,1,2)/1000</f>
        <v>0.09</v>
      </c>
      <c r="AH2663" s="157">
        <f t="shared" si="1071"/>
        <v>0</v>
      </c>
      <c r="AI2663" s="152">
        <f t="shared" si="1074"/>
        <v>10800</v>
      </c>
      <c r="AK2663" s="156" t="s">
        <v>691</v>
      </c>
      <c r="AL2663" s="156" t="s">
        <v>689</v>
      </c>
      <c r="AM2663" s="198">
        <f t="shared" si="1066"/>
        <v>0</v>
      </c>
      <c r="AN2663" s="199">
        <f t="shared" si="1050"/>
        <v>45931</v>
      </c>
      <c r="AO2663" s="159" t="s">
        <v>692</v>
      </c>
      <c r="AP2663" s="783"/>
      <c r="AQ2663" s="782"/>
      <c r="AR2663" s="782" t="s">
        <v>531</v>
      </c>
      <c r="AS2663" s="782"/>
      <c r="AT2663" s="782"/>
      <c r="AU2663" s="782">
        <v>12054219</v>
      </c>
      <c r="AV2663" s="782">
        <v>12084877</v>
      </c>
      <c r="AW2663" s="782"/>
      <c r="AX2663" s="782" t="s">
        <v>2155</v>
      </c>
      <c r="AY2663" s="782"/>
      <c r="AZ2663" s="782"/>
      <c r="BA2663" s="781"/>
      <c r="BB2663" s="209">
        <v>23053184</v>
      </c>
    </row>
    <row r="2664" spans="1:54" ht="24.65" hidden="1" customHeight="1">
      <c r="A2664" s="142" t="s">
        <v>120</v>
      </c>
      <c r="B2664" s="258">
        <v>45931</v>
      </c>
      <c r="C2664" s="259">
        <v>45934</v>
      </c>
      <c r="D2664" s="185">
        <f t="shared" si="1052"/>
        <v>2025</v>
      </c>
      <c r="E2664" s="260" t="e">
        <f>VLOOKUP($B2664,Week!$A$1:$C$1462,2,0)</f>
        <v>#N/A</v>
      </c>
      <c r="F2664" s="261" t="str">
        <f t="shared" si="1053"/>
        <v>Oct</v>
      </c>
      <c r="G2664" s="262" t="s">
        <v>2488</v>
      </c>
      <c r="H2664" s="260" t="s">
        <v>134</v>
      </c>
      <c r="I2664" s="260" t="s">
        <v>2772</v>
      </c>
      <c r="J2664" s="263" t="s">
        <v>164</v>
      </c>
      <c r="K2664" s="264" t="s">
        <v>153</v>
      </c>
      <c r="L2664" s="390" t="s">
        <v>2166</v>
      </c>
      <c r="M2664" s="263" t="s">
        <v>165</v>
      </c>
      <c r="N2664" s="260" t="s">
        <v>166</v>
      </c>
      <c r="O2664" s="260" t="s">
        <v>502</v>
      </c>
      <c r="P2664" s="265">
        <v>20</v>
      </c>
      <c r="Q2664" s="265">
        <v>12</v>
      </c>
      <c r="R2664" s="266">
        <v>6.8100000000000001E-3</v>
      </c>
      <c r="S2664" s="260" t="s">
        <v>76</v>
      </c>
      <c r="T2664" s="260" t="s">
        <v>56</v>
      </c>
      <c r="U2664" s="260" t="s">
        <v>89</v>
      </c>
      <c r="V2664" s="267">
        <f>450-120</f>
        <v>330</v>
      </c>
      <c r="W2664" s="267">
        <v>330</v>
      </c>
      <c r="X2664" s="268"/>
      <c r="Y2664" s="269">
        <f t="shared" ref="Y2664:Y2670" si="1075">(W2664+X2664)-V2664</f>
        <v>0</v>
      </c>
      <c r="Z2664" s="270">
        <f t="shared" si="1072"/>
        <v>0</v>
      </c>
      <c r="AA2664" s="270">
        <f t="shared" si="1054"/>
        <v>0</v>
      </c>
      <c r="AB2664" s="811">
        <v>2</v>
      </c>
      <c r="AC2664" s="267">
        <f t="shared" ref="AC2664:AC2670" si="1076">Z2664*AB2664</f>
        <v>0</v>
      </c>
      <c r="AD2664" s="209" t="s">
        <v>168</v>
      </c>
      <c r="AE2664" s="210">
        <f t="shared" si="1073"/>
        <v>0</v>
      </c>
      <c r="AF2664" s="210">
        <f t="shared" ref="AF2664:AF2670" si="1077">AE2664/0.54</f>
        <v>0</v>
      </c>
      <c r="AG2664" s="211">
        <f t="shared" ref="AG2664:AG2671" si="1078">MID(O2664,1,3)/1000</f>
        <v>0.154</v>
      </c>
      <c r="AH2664" s="157">
        <f t="shared" ref="AH2664:AH2670" si="1079">(Z2664*AG2664)/1000</f>
        <v>0</v>
      </c>
      <c r="AI2664" s="152">
        <f t="shared" si="1074"/>
        <v>6600</v>
      </c>
      <c r="AK2664" s="156" t="s">
        <v>691</v>
      </c>
      <c r="AL2664" s="156" t="s">
        <v>689</v>
      </c>
      <c r="AM2664" s="198">
        <f t="shared" si="1066"/>
        <v>0</v>
      </c>
      <c r="AN2664" s="199">
        <f t="shared" si="1050"/>
        <v>45931</v>
      </c>
      <c r="AO2664" s="159" t="s">
        <v>692</v>
      </c>
      <c r="AP2664" s="783" t="s">
        <v>610</v>
      </c>
      <c r="AQ2664" s="783" t="s">
        <v>631</v>
      </c>
      <c r="AR2664" s="783" t="s">
        <v>523</v>
      </c>
      <c r="AS2664" s="781"/>
      <c r="AT2664" s="782">
        <v>12096524</v>
      </c>
      <c r="AU2664" s="781"/>
      <c r="AV2664" s="783" t="s">
        <v>2507</v>
      </c>
      <c r="AW2664" s="781"/>
      <c r="AX2664" s="782" t="s">
        <v>398</v>
      </c>
      <c r="AY2664" s="781"/>
      <c r="AZ2664" s="781"/>
      <c r="BA2664" s="781"/>
      <c r="BB2664" s="209">
        <v>23053184</v>
      </c>
    </row>
    <row r="2665" spans="1:54" ht="24.65" hidden="1" customHeight="1">
      <c r="A2665" s="142" t="s">
        <v>120</v>
      </c>
      <c r="B2665" s="258">
        <v>45931</v>
      </c>
      <c r="C2665" s="259">
        <v>45950</v>
      </c>
      <c r="D2665" s="185">
        <f>IF(B2665="","",YEAR(B2665))</f>
        <v>2025</v>
      </c>
      <c r="E2665" s="260" t="e">
        <f>VLOOKUP($B2665,Week!$A$1:$C$1462,2,0)</f>
        <v>#N/A</v>
      </c>
      <c r="F2665" s="261" t="str">
        <f>IF(B2665="","",TEXT(B2665,"[$-409]mmm"))</f>
        <v>Oct</v>
      </c>
      <c r="G2665" s="262" t="s">
        <v>2475</v>
      </c>
      <c r="H2665" s="260" t="s">
        <v>134</v>
      </c>
      <c r="I2665" s="260" t="s">
        <v>2772</v>
      </c>
      <c r="J2665" s="263" t="s">
        <v>164</v>
      </c>
      <c r="K2665" s="264" t="s">
        <v>153</v>
      </c>
      <c r="L2665" s="390" t="s">
        <v>2166</v>
      </c>
      <c r="M2665" s="263" t="s">
        <v>165</v>
      </c>
      <c r="N2665" s="260" t="s">
        <v>166</v>
      </c>
      <c r="O2665" s="260" t="s">
        <v>502</v>
      </c>
      <c r="P2665" s="265">
        <v>20</v>
      </c>
      <c r="Q2665" s="265">
        <v>12</v>
      </c>
      <c r="R2665" s="266">
        <v>6.8100000000000001E-3</v>
      </c>
      <c r="S2665" s="260" t="s">
        <v>76</v>
      </c>
      <c r="T2665" s="260" t="s">
        <v>56</v>
      </c>
      <c r="U2665" s="260" t="s">
        <v>89</v>
      </c>
      <c r="V2665" s="267">
        <v>274</v>
      </c>
      <c r="W2665" s="267">
        <f>363-330</f>
        <v>33</v>
      </c>
      <c r="X2665" s="268">
        <f>(4820)/20</f>
        <v>241</v>
      </c>
      <c r="Y2665" s="269">
        <f t="shared" si="1075"/>
        <v>0</v>
      </c>
      <c r="Z2665" s="270">
        <f>IF(Y2665&lt;0,((V2665*P2665)-((W2665+X2665)*P2665)),0)</f>
        <v>0</v>
      </c>
      <c r="AA2665" s="270">
        <f>Q2665*Z2665</f>
        <v>0</v>
      </c>
      <c r="AB2665" s="811">
        <v>2</v>
      </c>
      <c r="AC2665" s="267">
        <f t="shared" si="1076"/>
        <v>0</v>
      </c>
      <c r="AD2665" s="209" t="s">
        <v>168</v>
      </c>
      <c r="AE2665" s="210">
        <f>SUM(Q2665*R2665*Z2665)/1000</f>
        <v>0</v>
      </c>
      <c r="AF2665" s="210">
        <f t="shared" si="1077"/>
        <v>0</v>
      </c>
      <c r="AG2665" s="211">
        <f>MID(O2665,1,3)/1000</f>
        <v>0.154</v>
      </c>
      <c r="AH2665" s="157">
        <f t="shared" si="1079"/>
        <v>0</v>
      </c>
      <c r="AI2665" s="152">
        <f>V2665*P2665</f>
        <v>5480</v>
      </c>
      <c r="AK2665" s="156" t="s">
        <v>691</v>
      </c>
      <c r="AL2665" s="156" t="s">
        <v>689</v>
      </c>
      <c r="AM2665" s="198">
        <f t="shared" si="1066"/>
        <v>0</v>
      </c>
      <c r="AN2665" s="199">
        <f>B2665</f>
        <v>45931</v>
      </c>
      <c r="AO2665" s="159" t="s">
        <v>692</v>
      </c>
      <c r="AP2665" s="783" t="s">
        <v>610</v>
      </c>
      <c r="AQ2665" s="783" t="s">
        <v>631</v>
      </c>
      <c r="AR2665" s="783" t="s">
        <v>523</v>
      </c>
      <c r="AS2665" s="781"/>
      <c r="AT2665" s="782">
        <v>12096524</v>
      </c>
      <c r="AU2665" s="781"/>
      <c r="AV2665" s="783" t="s">
        <v>2507</v>
      </c>
      <c r="AW2665" s="781"/>
      <c r="AX2665" s="782" t="s">
        <v>398</v>
      </c>
      <c r="AY2665" s="781"/>
      <c r="AZ2665" s="781"/>
      <c r="BA2665" s="781"/>
      <c r="BB2665" s="209">
        <v>23053184</v>
      </c>
    </row>
    <row r="2666" spans="1:54" ht="24.65" hidden="1" customHeight="1">
      <c r="A2666" s="630" t="s">
        <v>120</v>
      </c>
      <c r="B2666" s="466">
        <v>45932</v>
      </c>
      <c r="C2666" s="467">
        <v>45939</v>
      </c>
      <c r="D2666" s="185">
        <f>IF(B2666="","",YEAR(B2666))</f>
        <v>2025</v>
      </c>
      <c r="E2666" s="468" t="e">
        <f>VLOOKUP($B2666,Week!$A$1:$C$1462,2,0)</f>
        <v>#N/A</v>
      </c>
      <c r="F2666" s="469" t="str">
        <f>IF(B2666="","",TEXT(B2666,"[$-409]mmm"))</f>
        <v>Oct</v>
      </c>
      <c r="G2666" s="470" t="s">
        <v>2491</v>
      </c>
      <c r="H2666" s="468" t="s">
        <v>82</v>
      </c>
      <c r="I2666" s="468" t="s">
        <v>82</v>
      </c>
      <c r="J2666" s="471" t="s">
        <v>720</v>
      </c>
      <c r="K2666" s="472" t="s">
        <v>85</v>
      </c>
      <c r="L2666" s="390" t="s">
        <v>2166</v>
      </c>
      <c r="M2666" s="471" t="s">
        <v>579</v>
      </c>
      <c r="N2666" s="468" t="s">
        <v>580</v>
      </c>
      <c r="O2666" s="468" t="s">
        <v>581</v>
      </c>
      <c r="P2666" s="473">
        <v>8</v>
      </c>
      <c r="Q2666" s="473">
        <v>60</v>
      </c>
      <c r="R2666" s="474">
        <v>6.8100000000000001E-3</v>
      </c>
      <c r="S2666" s="468" t="s">
        <v>76</v>
      </c>
      <c r="T2666" s="468" t="s">
        <v>56</v>
      </c>
      <c r="U2666" s="468" t="s">
        <v>89</v>
      </c>
      <c r="V2666" s="475">
        <f>806</f>
        <v>806</v>
      </c>
      <c r="W2666" s="475">
        <f>790+16</f>
        <v>806</v>
      </c>
      <c r="X2666" s="476"/>
      <c r="Y2666" s="477">
        <f t="shared" si="1075"/>
        <v>0</v>
      </c>
      <c r="Z2666" s="478">
        <f>IF(Y2666&lt;0,((V2666*P2666)-((W2666+X2666)*P2666)),0)</f>
        <v>0</v>
      </c>
      <c r="AA2666" s="478">
        <f>Q2666*Z2666</f>
        <v>0</v>
      </c>
      <c r="AB2666" s="828">
        <v>6</v>
      </c>
      <c r="AC2666" s="475">
        <f t="shared" si="1076"/>
        <v>0</v>
      </c>
      <c r="AD2666" s="209"/>
      <c r="AE2666" s="210">
        <f>SUM(Q2666*R2666*Z2666)/1000</f>
        <v>0</v>
      </c>
      <c r="AF2666" s="210">
        <f t="shared" si="1077"/>
        <v>0</v>
      </c>
      <c r="AG2666" s="211">
        <f>MID(O2666,1,3)/1000</f>
        <v>0.75</v>
      </c>
      <c r="AH2666" s="157">
        <f t="shared" si="1079"/>
        <v>0</v>
      </c>
      <c r="AI2666" s="152">
        <f>V2666*P2666</f>
        <v>6448</v>
      </c>
      <c r="AK2666" s="156" t="s">
        <v>691</v>
      </c>
      <c r="AL2666" s="156" t="s">
        <v>689</v>
      </c>
      <c r="AM2666" s="198">
        <f t="shared" si="1066"/>
        <v>0</v>
      </c>
      <c r="AN2666" s="199">
        <f>B2666</f>
        <v>45932</v>
      </c>
      <c r="AO2666" s="159" t="s">
        <v>692</v>
      </c>
      <c r="AP2666" s="783" t="s">
        <v>622</v>
      </c>
      <c r="AQ2666" s="782">
        <v>12088677</v>
      </c>
      <c r="AR2666" s="782" t="s">
        <v>2142</v>
      </c>
      <c r="AS2666" s="782"/>
      <c r="AT2666" s="782">
        <v>12082897</v>
      </c>
      <c r="AU2666" s="781"/>
      <c r="AV2666" s="782">
        <v>12082898</v>
      </c>
      <c r="AW2666" s="782">
        <v>12082899</v>
      </c>
      <c r="AX2666" s="796" t="s">
        <v>621</v>
      </c>
      <c r="AY2666" s="782"/>
      <c r="AZ2666" s="782"/>
      <c r="BA2666" s="781"/>
      <c r="BB2666" s="209">
        <v>23053184</v>
      </c>
    </row>
    <row r="2667" spans="1:54" ht="24.65" hidden="1" customHeight="1">
      <c r="A2667" s="630" t="s">
        <v>120</v>
      </c>
      <c r="B2667" s="466">
        <v>45933</v>
      </c>
      <c r="C2667" s="467">
        <v>45939</v>
      </c>
      <c r="D2667" s="185">
        <f>IF(B2667="","",YEAR(B2667))</f>
        <v>2025</v>
      </c>
      <c r="E2667" s="468" t="e">
        <f>VLOOKUP($B2667,Week!$A$1:$C$1462,2,0)</f>
        <v>#N/A</v>
      </c>
      <c r="F2667" s="469" t="str">
        <f>IF(B2667="","",TEXT(B2667,"[$-409]mmm"))</f>
        <v>Oct</v>
      </c>
      <c r="G2667" s="470" t="s">
        <v>2491</v>
      </c>
      <c r="H2667" s="468" t="s">
        <v>82</v>
      </c>
      <c r="I2667" s="468" t="s">
        <v>82</v>
      </c>
      <c r="J2667" s="471" t="s">
        <v>720</v>
      </c>
      <c r="K2667" s="472" t="s">
        <v>85</v>
      </c>
      <c r="L2667" s="390" t="s">
        <v>2166</v>
      </c>
      <c r="M2667" s="471" t="s">
        <v>579</v>
      </c>
      <c r="N2667" s="468" t="s">
        <v>580</v>
      </c>
      <c r="O2667" s="468" t="s">
        <v>581</v>
      </c>
      <c r="P2667" s="473">
        <v>8</v>
      </c>
      <c r="Q2667" s="473">
        <v>60</v>
      </c>
      <c r="R2667" s="474">
        <v>6.8100000000000001E-3</v>
      </c>
      <c r="S2667" s="468" t="s">
        <v>76</v>
      </c>
      <c r="T2667" s="468" t="s">
        <v>56</v>
      </c>
      <c r="U2667" s="468" t="s">
        <v>89</v>
      </c>
      <c r="V2667" s="475">
        <f>1408-806</f>
        <v>602</v>
      </c>
      <c r="W2667" s="475">
        <f>447</f>
        <v>447</v>
      </c>
      <c r="X2667" s="476">
        <f>1240/8</f>
        <v>155</v>
      </c>
      <c r="Y2667" s="477">
        <f t="shared" si="1075"/>
        <v>0</v>
      </c>
      <c r="Z2667" s="478">
        <f>IF(Y2667&lt;0,((V2667*P2667)-((W2667+X2667)*P2667)),0)</f>
        <v>0</v>
      </c>
      <c r="AA2667" s="478">
        <f>Q2667*Z2667</f>
        <v>0</v>
      </c>
      <c r="AB2667" s="828">
        <v>6</v>
      </c>
      <c r="AC2667" s="475">
        <f t="shared" si="1076"/>
        <v>0</v>
      </c>
      <c r="AD2667" s="209"/>
      <c r="AE2667" s="210">
        <f>SUM(Q2667*R2667*Z2667)/1000</f>
        <v>0</v>
      </c>
      <c r="AF2667" s="210">
        <f t="shared" si="1077"/>
        <v>0</v>
      </c>
      <c r="AG2667" s="211">
        <f>MID(O2667,1,3)/1000</f>
        <v>0.75</v>
      </c>
      <c r="AH2667" s="157">
        <f t="shared" si="1079"/>
        <v>0</v>
      </c>
      <c r="AI2667" s="152">
        <f>V2667*P2667</f>
        <v>4816</v>
      </c>
      <c r="AK2667" s="156" t="s">
        <v>691</v>
      </c>
      <c r="AL2667" s="156" t="s">
        <v>689</v>
      </c>
      <c r="AM2667" s="198">
        <f t="shared" si="1066"/>
        <v>0</v>
      </c>
      <c r="AN2667" s="199">
        <f>B2667</f>
        <v>45933</v>
      </c>
      <c r="AO2667" s="159" t="s">
        <v>692</v>
      </c>
      <c r="AP2667" s="783" t="s">
        <v>622</v>
      </c>
      <c r="AQ2667" s="782">
        <v>12088677</v>
      </c>
      <c r="AR2667" s="782" t="s">
        <v>2142</v>
      </c>
      <c r="AS2667" s="782"/>
      <c r="AT2667" s="782">
        <v>12082897</v>
      </c>
      <c r="AU2667" s="781"/>
      <c r="AV2667" s="782">
        <v>12082898</v>
      </c>
      <c r="AW2667" s="782">
        <v>12082899</v>
      </c>
      <c r="AX2667" s="796" t="s">
        <v>621</v>
      </c>
      <c r="AY2667" s="782"/>
      <c r="AZ2667" s="782"/>
      <c r="BA2667" s="781"/>
      <c r="BB2667" s="209">
        <v>23053184</v>
      </c>
    </row>
    <row r="2668" spans="1:54" ht="24.65" hidden="1" customHeight="1">
      <c r="A2668" s="630" t="s">
        <v>120</v>
      </c>
      <c r="B2668" s="466">
        <v>45933</v>
      </c>
      <c r="C2668" s="467">
        <v>45941</v>
      </c>
      <c r="D2668" s="185">
        <f>IF(B2668="","",YEAR(B2668))</f>
        <v>2025</v>
      </c>
      <c r="E2668" s="468" t="e">
        <f>VLOOKUP($B2668,Week!$A$1:$C$1462,2,0)</f>
        <v>#N/A</v>
      </c>
      <c r="F2668" s="469" t="str">
        <f>IF(B2668="","",TEXT(B2668,"[$-409]mmm"))</f>
        <v>Oct</v>
      </c>
      <c r="G2668" s="470" t="s">
        <v>2492</v>
      </c>
      <c r="H2668" s="468" t="s">
        <v>82</v>
      </c>
      <c r="I2668" s="468" t="s">
        <v>82</v>
      </c>
      <c r="J2668" s="471" t="s">
        <v>720</v>
      </c>
      <c r="K2668" s="472" t="s">
        <v>85</v>
      </c>
      <c r="L2668" s="390" t="s">
        <v>2166</v>
      </c>
      <c r="M2668" s="471" t="s">
        <v>579</v>
      </c>
      <c r="N2668" s="468" t="s">
        <v>580</v>
      </c>
      <c r="O2668" s="468" t="s">
        <v>581</v>
      </c>
      <c r="P2668" s="473">
        <v>8</v>
      </c>
      <c r="Q2668" s="473">
        <v>60</v>
      </c>
      <c r="R2668" s="474">
        <v>6.8100000000000001E-3</v>
      </c>
      <c r="S2668" s="468" t="s">
        <v>76</v>
      </c>
      <c r="T2668" s="468" t="s">
        <v>56</v>
      </c>
      <c r="U2668" s="468" t="s">
        <v>89</v>
      </c>
      <c r="V2668" s="475">
        <v>167</v>
      </c>
      <c r="W2668" s="475"/>
      <c r="X2668" s="476">
        <f>(1336)/8</f>
        <v>167</v>
      </c>
      <c r="Y2668" s="477">
        <f t="shared" si="1075"/>
        <v>0</v>
      </c>
      <c r="Z2668" s="478">
        <f>IF(Y2668&lt;0,((V2668*P2668)-((W2668+X2668)*P2668)),0)</f>
        <v>0</v>
      </c>
      <c r="AA2668" s="478">
        <f>Q2668*Z2668</f>
        <v>0</v>
      </c>
      <c r="AB2668" s="828">
        <v>6</v>
      </c>
      <c r="AC2668" s="475">
        <f t="shared" si="1076"/>
        <v>0</v>
      </c>
      <c r="AD2668" s="209"/>
      <c r="AE2668" s="210">
        <f>SUM(Q2668*R2668*Z2668)/1000</f>
        <v>0</v>
      </c>
      <c r="AF2668" s="210">
        <f t="shared" si="1077"/>
        <v>0</v>
      </c>
      <c r="AG2668" s="211">
        <f>MID(O2668,1,3)/1000</f>
        <v>0.75</v>
      </c>
      <c r="AH2668" s="157">
        <f t="shared" si="1079"/>
        <v>0</v>
      </c>
      <c r="AI2668" s="152">
        <f>V2668*P2668</f>
        <v>1336</v>
      </c>
      <c r="AK2668" s="156" t="s">
        <v>691</v>
      </c>
      <c r="AL2668" s="156" t="s">
        <v>689</v>
      </c>
      <c r="AM2668" s="198">
        <f t="shared" si="1066"/>
        <v>0</v>
      </c>
      <c r="AN2668" s="199">
        <f>B2668</f>
        <v>45933</v>
      </c>
      <c r="AO2668" s="159" t="s">
        <v>692</v>
      </c>
      <c r="AP2668" s="783" t="s">
        <v>622</v>
      </c>
      <c r="AQ2668" s="782">
        <v>12088677</v>
      </c>
      <c r="AR2668" s="782" t="s">
        <v>2142</v>
      </c>
      <c r="AS2668" s="782"/>
      <c r="AT2668" s="782">
        <v>12082897</v>
      </c>
      <c r="AU2668" s="781"/>
      <c r="AV2668" s="782">
        <v>12082898</v>
      </c>
      <c r="AW2668" s="782">
        <v>12082899</v>
      </c>
      <c r="AX2668" s="796" t="s">
        <v>621</v>
      </c>
      <c r="AY2668" s="782"/>
      <c r="AZ2668" s="782"/>
      <c r="BA2668" s="781"/>
      <c r="BB2668" s="209">
        <v>23053184</v>
      </c>
    </row>
    <row r="2669" spans="1:54" ht="24.65" hidden="1" customHeight="1">
      <c r="A2669" s="623"/>
      <c r="B2669" s="308">
        <v>45934</v>
      </c>
      <c r="C2669" s="309">
        <v>45950</v>
      </c>
      <c r="D2669" s="185">
        <f t="shared" si="1052"/>
        <v>2025</v>
      </c>
      <c r="E2669" s="309" t="e">
        <f>VLOOKUP($B2669,Week!$A$1:$C$1462,2,0)</f>
        <v>#N/A</v>
      </c>
      <c r="F2669" s="310" t="str">
        <f t="shared" si="1053"/>
        <v>Oct</v>
      </c>
      <c r="G2669" s="311" t="s">
        <v>2470</v>
      </c>
      <c r="H2669" s="311" t="s">
        <v>311</v>
      </c>
      <c r="I2669" s="311" t="s">
        <v>2772</v>
      </c>
      <c r="J2669" s="312" t="s">
        <v>738</v>
      </c>
      <c r="K2669" s="313" t="s">
        <v>107</v>
      </c>
      <c r="L2669" s="300" t="s">
        <v>2167</v>
      </c>
      <c r="M2669" s="312" t="s">
        <v>313</v>
      </c>
      <c r="N2669" s="311" t="s">
        <v>314</v>
      </c>
      <c r="O2669" s="311" t="s">
        <v>110</v>
      </c>
      <c r="P2669" s="314">
        <v>36</v>
      </c>
      <c r="Q2669" s="314">
        <v>5</v>
      </c>
      <c r="R2669" s="315">
        <v>7.4999999999999997E-3</v>
      </c>
      <c r="S2669" s="311" t="s">
        <v>111</v>
      </c>
      <c r="T2669" s="311" t="s">
        <v>112</v>
      </c>
      <c r="U2669" s="311" t="s">
        <v>57</v>
      </c>
      <c r="V2669" s="316">
        <v>792</v>
      </c>
      <c r="W2669" s="316">
        <f>62+730</f>
        <v>792</v>
      </c>
      <c r="X2669" s="317"/>
      <c r="Y2669" s="318">
        <f t="shared" si="1075"/>
        <v>0</v>
      </c>
      <c r="Z2669" s="319">
        <f t="shared" si="1072"/>
        <v>0</v>
      </c>
      <c r="AA2669" s="319">
        <f t="shared" si="1054"/>
        <v>0</v>
      </c>
      <c r="AB2669" s="815">
        <v>7.4999999999999997E-3</v>
      </c>
      <c r="AC2669" s="316">
        <f t="shared" si="1076"/>
        <v>0</v>
      </c>
      <c r="AD2669" s="515"/>
      <c r="AE2669" s="210">
        <f t="shared" si="1073"/>
        <v>0</v>
      </c>
      <c r="AF2669" s="210">
        <f t="shared" si="1077"/>
        <v>0</v>
      </c>
      <c r="AG2669" s="211">
        <f t="shared" si="1078"/>
        <v>0.308</v>
      </c>
      <c r="AH2669" s="157">
        <f t="shared" si="1079"/>
        <v>0</v>
      </c>
      <c r="AI2669" s="152">
        <f t="shared" si="1074"/>
        <v>28512</v>
      </c>
      <c r="AK2669" s="156" t="s">
        <v>691</v>
      </c>
      <c r="AL2669" s="212" t="s">
        <v>690</v>
      </c>
      <c r="AM2669" s="198">
        <f t="shared" si="1066"/>
        <v>0</v>
      </c>
      <c r="AN2669" s="199">
        <f t="shared" si="1050"/>
        <v>45934</v>
      </c>
      <c r="AO2669" s="159" t="s">
        <v>692</v>
      </c>
      <c r="AP2669" s="783" t="s">
        <v>644</v>
      </c>
      <c r="AQ2669" s="782">
        <v>12063755</v>
      </c>
      <c r="AR2669" s="782">
        <v>12061353</v>
      </c>
      <c r="AS2669" s="782">
        <v>12061354</v>
      </c>
      <c r="AT2669" s="782">
        <v>12062266</v>
      </c>
      <c r="AU2669" s="781"/>
      <c r="AV2669" s="782">
        <v>12088159</v>
      </c>
      <c r="AW2669" s="782">
        <v>12088207</v>
      </c>
      <c r="AX2669" s="782"/>
      <c r="AY2669" s="782">
        <v>12094237</v>
      </c>
      <c r="AZ2669" s="782"/>
      <c r="BA2669" s="781"/>
      <c r="BB2669" s="209">
        <v>23053185</v>
      </c>
    </row>
    <row r="2670" spans="1:54" ht="24.65" hidden="1" customHeight="1">
      <c r="A2670" s="623"/>
      <c r="B2670" s="308">
        <v>45934</v>
      </c>
      <c r="C2670" s="309">
        <v>45950</v>
      </c>
      <c r="D2670" s="185">
        <f t="shared" si="1052"/>
        <v>2025</v>
      </c>
      <c r="E2670" s="309" t="e">
        <f>VLOOKUP($B2670,Week!$A$1:$C$1462,2,0)</f>
        <v>#N/A</v>
      </c>
      <c r="F2670" s="310" t="str">
        <f t="shared" si="1053"/>
        <v>Oct</v>
      </c>
      <c r="G2670" s="311" t="s">
        <v>2471</v>
      </c>
      <c r="H2670" s="311" t="s">
        <v>311</v>
      </c>
      <c r="I2670" s="311" t="s">
        <v>2772</v>
      </c>
      <c r="J2670" s="312" t="s">
        <v>738</v>
      </c>
      <c r="K2670" s="313" t="s">
        <v>107</v>
      </c>
      <c r="L2670" s="300" t="s">
        <v>2167</v>
      </c>
      <c r="M2670" s="312" t="s">
        <v>313</v>
      </c>
      <c r="N2670" s="311" t="s">
        <v>314</v>
      </c>
      <c r="O2670" s="311" t="s">
        <v>110</v>
      </c>
      <c r="P2670" s="314">
        <v>36</v>
      </c>
      <c r="Q2670" s="314">
        <v>5</v>
      </c>
      <c r="R2670" s="315">
        <v>7.4999999999999997E-3</v>
      </c>
      <c r="S2670" s="311" t="s">
        <v>111</v>
      </c>
      <c r="T2670" s="311" t="s">
        <v>112</v>
      </c>
      <c r="U2670" s="311" t="s">
        <v>57</v>
      </c>
      <c r="V2670" s="316">
        <v>792</v>
      </c>
      <c r="W2670" s="316">
        <v>792</v>
      </c>
      <c r="X2670" s="317"/>
      <c r="Y2670" s="318">
        <f t="shared" si="1075"/>
        <v>0</v>
      </c>
      <c r="Z2670" s="319">
        <f t="shared" si="1072"/>
        <v>0</v>
      </c>
      <c r="AA2670" s="319">
        <f t="shared" si="1054"/>
        <v>0</v>
      </c>
      <c r="AB2670" s="815">
        <v>7.4999999999999997E-3</v>
      </c>
      <c r="AC2670" s="316">
        <f t="shared" si="1076"/>
        <v>0</v>
      </c>
      <c r="AD2670" s="515"/>
      <c r="AE2670" s="210">
        <f t="shared" si="1073"/>
        <v>0</v>
      </c>
      <c r="AF2670" s="210">
        <f t="shared" si="1077"/>
        <v>0</v>
      </c>
      <c r="AG2670" s="211">
        <f t="shared" si="1078"/>
        <v>0.308</v>
      </c>
      <c r="AH2670" s="157">
        <f t="shared" si="1079"/>
        <v>0</v>
      </c>
      <c r="AI2670" s="152">
        <f t="shared" si="1074"/>
        <v>28512</v>
      </c>
      <c r="AK2670" s="156" t="s">
        <v>691</v>
      </c>
      <c r="AL2670" s="212" t="s">
        <v>690</v>
      </c>
      <c r="AM2670" s="198">
        <f t="shared" si="1066"/>
        <v>0</v>
      </c>
      <c r="AN2670" s="199">
        <f t="shared" si="1050"/>
        <v>45934</v>
      </c>
      <c r="AO2670" s="159" t="s">
        <v>692</v>
      </c>
      <c r="AP2670" s="783" t="s">
        <v>644</v>
      </c>
      <c r="AQ2670" s="782">
        <v>12063755</v>
      </c>
      <c r="AR2670" s="782">
        <v>12061353</v>
      </c>
      <c r="AS2670" s="782">
        <v>12061354</v>
      </c>
      <c r="AT2670" s="782">
        <v>12062266</v>
      </c>
      <c r="AU2670" s="781"/>
      <c r="AV2670" s="782">
        <v>12088159</v>
      </c>
      <c r="AW2670" s="782">
        <v>12088207</v>
      </c>
      <c r="AX2670" s="782"/>
      <c r="AY2670" s="782">
        <v>12094237</v>
      </c>
      <c r="AZ2670" s="782"/>
      <c r="BA2670" s="781"/>
      <c r="BB2670" s="209">
        <v>23053185</v>
      </c>
    </row>
    <row r="2671" spans="1:54" ht="24.65" hidden="1" customHeight="1">
      <c r="A2671" s="623"/>
      <c r="B2671" s="308">
        <v>45934</v>
      </c>
      <c r="C2671" s="309">
        <v>45950</v>
      </c>
      <c r="D2671" s="185">
        <f t="shared" si="1052"/>
        <v>2025</v>
      </c>
      <c r="E2671" s="309" t="e">
        <f>VLOOKUP($B2671,Week!$A$1:$C$1462,2,0)</f>
        <v>#N/A</v>
      </c>
      <c r="F2671" s="310" t="str">
        <f t="shared" si="1053"/>
        <v>Oct</v>
      </c>
      <c r="G2671" s="311" t="s">
        <v>2472</v>
      </c>
      <c r="H2671" s="311" t="s">
        <v>311</v>
      </c>
      <c r="I2671" s="311" t="s">
        <v>2772</v>
      </c>
      <c r="J2671" s="312" t="s">
        <v>738</v>
      </c>
      <c r="K2671" s="313" t="s">
        <v>107</v>
      </c>
      <c r="L2671" s="300" t="s">
        <v>2167</v>
      </c>
      <c r="M2671" s="312" t="s">
        <v>313</v>
      </c>
      <c r="N2671" s="311" t="s">
        <v>314</v>
      </c>
      <c r="O2671" s="311" t="s">
        <v>110</v>
      </c>
      <c r="P2671" s="314">
        <v>36</v>
      </c>
      <c r="Q2671" s="314">
        <v>5</v>
      </c>
      <c r="R2671" s="315">
        <v>7.4999999999999997E-3</v>
      </c>
      <c r="S2671" s="311" t="s">
        <v>111</v>
      </c>
      <c r="T2671" s="311" t="s">
        <v>112</v>
      </c>
      <c r="U2671" s="311" t="s">
        <v>57</v>
      </c>
      <c r="V2671" s="316">
        <v>792</v>
      </c>
      <c r="W2671" s="316">
        <f>2208-730-792</f>
        <v>686</v>
      </c>
      <c r="X2671" s="317">
        <f>(3816)/36</f>
        <v>106</v>
      </c>
      <c r="Y2671" s="318">
        <f>(W2671+X2671)-V2671</f>
        <v>0</v>
      </c>
      <c r="Z2671" s="319">
        <f t="shared" si="1072"/>
        <v>0</v>
      </c>
      <c r="AA2671" s="319">
        <f t="shared" si="1054"/>
        <v>0</v>
      </c>
      <c r="AB2671" s="815">
        <v>7.4999999999999997E-3</v>
      </c>
      <c r="AC2671" s="316">
        <f>Z2671*AB2671</f>
        <v>0</v>
      </c>
      <c r="AD2671" s="515"/>
      <c r="AE2671" s="210">
        <f t="shared" si="1073"/>
        <v>0</v>
      </c>
      <c r="AF2671" s="210">
        <f>AE2671/0.54</f>
        <v>0</v>
      </c>
      <c r="AG2671" s="211">
        <f t="shared" si="1078"/>
        <v>0.308</v>
      </c>
      <c r="AH2671" s="157">
        <f>(Z2671*AG2671)/1000</f>
        <v>0</v>
      </c>
      <c r="AI2671" s="152">
        <f t="shared" si="1074"/>
        <v>28512</v>
      </c>
      <c r="AK2671" s="156" t="s">
        <v>691</v>
      </c>
      <c r="AL2671" s="212" t="s">
        <v>690</v>
      </c>
      <c r="AM2671" s="198">
        <f t="shared" si="1066"/>
        <v>0</v>
      </c>
      <c r="AN2671" s="199">
        <f t="shared" si="1050"/>
        <v>45934</v>
      </c>
      <c r="AO2671" s="159" t="s">
        <v>692</v>
      </c>
      <c r="AP2671" s="783" t="s">
        <v>644</v>
      </c>
      <c r="AQ2671" s="782">
        <v>12063755</v>
      </c>
      <c r="AR2671" s="782">
        <v>12061353</v>
      </c>
      <c r="AS2671" s="782">
        <v>12061354</v>
      </c>
      <c r="AT2671" s="782">
        <v>12062266</v>
      </c>
      <c r="AU2671" s="781"/>
      <c r="AV2671" s="782">
        <v>12088159</v>
      </c>
      <c r="AW2671" s="782">
        <v>12088207</v>
      </c>
      <c r="AX2671" s="782"/>
      <c r="AY2671" s="782">
        <v>12094237</v>
      </c>
      <c r="AZ2671" s="782"/>
      <c r="BA2671" s="781"/>
      <c r="BB2671" s="209">
        <v>23053185</v>
      </c>
    </row>
    <row r="2672" spans="1:54" ht="25" hidden="1" customHeight="1">
      <c r="B2672" s="183">
        <v>45935</v>
      </c>
      <c r="C2672" s="184"/>
      <c r="D2672" s="185">
        <f t="shared" si="1052"/>
        <v>2025</v>
      </c>
      <c r="E2672" s="185" t="e">
        <f>VLOOKUP($B2672,Week!$A$1:$C$1462,2,0)</f>
        <v>#N/A</v>
      </c>
      <c r="F2672" s="186" t="str">
        <f t="shared" si="1053"/>
        <v>Oct</v>
      </c>
      <c r="G2672" s="481"/>
      <c r="H2672" s="185"/>
      <c r="I2672" s="185"/>
      <c r="J2672" s="187"/>
      <c r="K2672" s="188"/>
      <c r="L2672" s="188"/>
      <c r="M2672" s="187"/>
      <c r="N2672" s="185"/>
      <c r="O2672" s="185"/>
      <c r="P2672" s="189"/>
      <c r="Q2672" s="189"/>
      <c r="R2672" s="190"/>
      <c r="S2672" s="185"/>
      <c r="T2672" s="185"/>
      <c r="U2672" s="185"/>
      <c r="V2672" s="191"/>
      <c r="W2672" s="191"/>
      <c r="X2672" s="192"/>
      <c r="Y2672" s="193"/>
      <c r="Z2672" s="194"/>
      <c r="AA2672" s="194">
        <f t="shared" si="1054"/>
        <v>0</v>
      </c>
      <c r="AB2672" s="805"/>
      <c r="AC2672" s="191"/>
      <c r="AD2672" s="187"/>
      <c r="AE2672" s="195"/>
      <c r="AF2672" s="195"/>
      <c r="AG2672" s="196"/>
      <c r="AH2672" s="197"/>
      <c r="AK2672" s="156" t="s">
        <v>691</v>
      </c>
      <c r="AM2672" s="198">
        <f t="shared" si="1066"/>
        <v>0</v>
      </c>
      <c r="AN2672" s="199">
        <f t="shared" si="1050"/>
        <v>45935</v>
      </c>
      <c r="AO2672" s="159" t="s">
        <v>692</v>
      </c>
      <c r="AP2672" s="781"/>
      <c r="AQ2672" s="782"/>
      <c r="AR2672" s="782"/>
      <c r="AS2672" s="782"/>
      <c r="AT2672" s="782"/>
      <c r="AU2672" s="781"/>
      <c r="AV2672" s="782"/>
      <c r="AW2672" s="782"/>
      <c r="AX2672" s="782"/>
      <c r="AY2672" s="782"/>
      <c r="AZ2672" s="782"/>
      <c r="BA2672" s="781"/>
      <c r="BB2672" s="209"/>
    </row>
    <row r="2673" spans="1:54" ht="24.65" hidden="1" customHeight="1">
      <c r="A2673" s="630" t="s">
        <v>120</v>
      </c>
      <c r="B2673" s="466">
        <v>45936</v>
      </c>
      <c r="C2673" s="467">
        <v>45941</v>
      </c>
      <c r="D2673" s="185">
        <f>IF(B2673="","",YEAR(B2673))</f>
        <v>2025</v>
      </c>
      <c r="E2673" s="468" t="e">
        <f>VLOOKUP($B2673,Week!$A$1:$C$1462,2,0)</f>
        <v>#N/A</v>
      </c>
      <c r="F2673" s="469" t="str">
        <f>IF(B2673="","",TEXT(B2673,"[$-409]mmm"))</f>
        <v>Oct</v>
      </c>
      <c r="G2673" s="470" t="s">
        <v>2492</v>
      </c>
      <c r="H2673" s="468" t="s">
        <v>82</v>
      </c>
      <c r="I2673" s="468" t="s">
        <v>82</v>
      </c>
      <c r="J2673" s="471" t="s">
        <v>720</v>
      </c>
      <c r="K2673" s="472" t="s">
        <v>85</v>
      </c>
      <c r="L2673" s="390" t="s">
        <v>2166</v>
      </c>
      <c r="M2673" s="471" t="s">
        <v>579</v>
      </c>
      <c r="N2673" s="468" t="s">
        <v>580</v>
      </c>
      <c r="O2673" s="468" t="s">
        <v>581</v>
      </c>
      <c r="P2673" s="473">
        <v>8</v>
      </c>
      <c r="Q2673" s="473">
        <v>60</v>
      </c>
      <c r="R2673" s="474">
        <v>6.8100000000000001E-3</v>
      </c>
      <c r="S2673" s="468" t="s">
        <v>76</v>
      </c>
      <c r="T2673" s="468" t="s">
        <v>56</v>
      </c>
      <c r="U2673" s="468" t="s">
        <v>89</v>
      </c>
      <c r="V2673" s="475">
        <v>809</v>
      </c>
      <c r="W2673" s="475">
        <v>809</v>
      </c>
      <c r="X2673" s="476"/>
      <c r="Y2673" s="477">
        <f>(W2673+X2673)-V2673</f>
        <v>0</v>
      </c>
      <c r="Z2673" s="478">
        <f>IF(Y2673&lt;0,((V2673*P2673)-((W2673+X2673)*P2673)),0)</f>
        <v>0</v>
      </c>
      <c r="AA2673" s="478">
        <f>Q2673*Z2673</f>
        <v>0</v>
      </c>
      <c r="AB2673" s="828">
        <v>6</v>
      </c>
      <c r="AC2673" s="475">
        <f>Z2673*AB2673</f>
        <v>0</v>
      </c>
      <c r="AD2673" s="209"/>
      <c r="AE2673" s="210">
        <f>SUM(Q2673*R2673*Z2673)/1000</f>
        <v>0</v>
      </c>
      <c r="AF2673" s="210">
        <f>AE2673/0.54</f>
        <v>0</v>
      </c>
      <c r="AG2673" s="211">
        <f>MID(O2673,1,3)/1000</f>
        <v>0.75</v>
      </c>
      <c r="AH2673" s="157">
        <f>(Z2673*AG2673)/1000</f>
        <v>0</v>
      </c>
      <c r="AI2673" s="152">
        <f>V2673*P2673</f>
        <v>6472</v>
      </c>
      <c r="AK2673" s="156" t="s">
        <v>691</v>
      </c>
      <c r="AL2673" s="156" t="s">
        <v>689</v>
      </c>
      <c r="AM2673" s="198">
        <f t="shared" si="1066"/>
        <v>0</v>
      </c>
      <c r="AN2673" s="199">
        <f>B2673</f>
        <v>45936</v>
      </c>
      <c r="AO2673" s="159" t="s">
        <v>692</v>
      </c>
      <c r="AP2673" s="783" t="s">
        <v>622</v>
      </c>
      <c r="AQ2673" s="782">
        <v>12088677</v>
      </c>
      <c r="AR2673" s="782" t="s">
        <v>2142</v>
      </c>
      <c r="AS2673" s="782"/>
      <c r="AT2673" s="782">
        <v>12082897</v>
      </c>
      <c r="AU2673" s="781"/>
      <c r="AV2673" s="782">
        <v>12082898</v>
      </c>
      <c r="AW2673" s="782">
        <v>12082899</v>
      </c>
      <c r="AX2673" s="796" t="s">
        <v>621</v>
      </c>
      <c r="AY2673" s="782"/>
      <c r="AZ2673" s="782"/>
      <c r="BA2673" s="781"/>
      <c r="BB2673" s="209">
        <v>23053184</v>
      </c>
    </row>
    <row r="2674" spans="1:54" ht="24.65" hidden="1" customHeight="1">
      <c r="A2674" s="630" t="s">
        <v>120</v>
      </c>
      <c r="B2674" s="466">
        <v>45937</v>
      </c>
      <c r="C2674" s="467">
        <v>45941</v>
      </c>
      <c r="D2674" s="185">
        <f>IF(B2674="","",YEAR(B2674))</f>
        <v>2025</v>
      </c>
      <c r="E2674" s="468" t="e">
        <f>VLOOKUP($B2674,Week!$A$1:$C$1462,2,0)</f>
        <v>#N/A</v>
      </c>
      <c r="F2674" s="469" t="str">
        <f>IF(B2674="","",TEXT(B2674,"[$-409]mmm"))</f>
        <v>Oct</v>
      </c>
      <c r="G2674" s="470" t="s">
        <v>2492</v>
      </c>
      <c r="H2674" s="468" t="s">
        <v>82</v>
      </c>
      <c r="I2674" s="468" t="s">
        <v>82</v>
      </c>
      <c r="J2674" s="471" t="s">
        <v>720</v>
      </c>
      <c r="K2674" s="472" t="s">
        <v>85</v>
      </c>
      <c r="L2674" s="390" t="s">
        <v>2166</v>
      </c>
      <c r="M2674" s="471" t="s">
        <v>579</v>
      </c>
      <c r="N2674" s="468" t="s">
        <v>580</v>
      </c>
      <c r="O2674" s="468" t="s">
        <v>581</v>
      </c>
      <c r="P2674" s="473">
        <v>8</v>
      </c>
      <c r="Q2674" s="473">
        <v>60</v>
      </c>
      <c r="R2674" s="474">
        <v>6.8100000000000001E-3</v>
      </c>
      <c r="S2674" s="468" t="s">
        <v>76</v>
      </c>
      <c r="T2674" s="468" t="s">
        <v>56</v>
      </c>
      <c r="U2674" s="468" t="s">
        <v>89</v>
      </c>
      <c r="V2674" s="475">
        <f>1408-167-809</f>
        <v>432</v>
      </c>
      <c r="W2674" s="475">
        <v>432</v>
      </c>
      <c r="X2674" s="476"/>
      <c r="Y2674" s="477">
        <f>(W2674+X2674)-V2674</f>
        <v>0</v>
      </c>
      <c r="Z2674" s="478">
        <f>IF(Y2674&lt;0,((V2674*P2674)-((W2674+X2674)*P2674)),0)</f>
        <v>0</v>
      </c>
      <c r="AA2674" s="478">
        <f>Q2674*Z2674</f>
        <v>0</v>
      </c>
      <c r="AB2674" s="828">
        <v>6</v>
      </c>
      <c r="AC2674" s="475">
        <f>Z2674*AB2674</f>
        <v>0</v>
      </c>
      <c r="AD2674" s="209"/>
      <c r="AE2674" s="210">
        <f>SUM(Q2674*R2674*Z2674)/1000</f>
        <v>0</v>
      </c>
      <c r="AF2674" s="210">
        <f>AE2674/0.54</f>
        <v>0</v>
      </c>
      <c r="AG2674" s="211">
        <f>MID(O2674,1,3)/1000</f>
        <v>0.75</v>
      </c>
      <c r="AH2674" s="157">
        <f>(Z2674*AG2674)/1000</f>
        <v>0</v>
      </c>
      <c r="AI2674" s="152">
        <f>V2674*P2674</f>
        <v>3456</v>
      </c>
      <c r="AK2674" s="156" t="s">
        <v>691</v>
      </c>
      <c r="AL2674" s="156" t="s">
        <v>689</v>
      </c>
      <c r="AM2674" s="198">
        <f t="shared" si="1066"/>
        <v>0</v>
      </c>
      <c r="AN2674" s="199">
        <f>B2674</f>
        <v>45937</v>
      </c>
      <c r="AO2674" s="159" t="s">
        <v>692</v>
      </c>
      <c r="AP2674" s="783" t="s">
        <v>622</v>
      </c>
      <c r="AQ2674" s="782">
        <v>12088677</v>
      </c>
      <c r="AR2674" s="782" t="s">
        <v>2142</v>
      </c>
      <c r="AS2674" s="782"/>
      <c r="AT2674" s="782">
        <v>12082897</v>
      </c>
      <c r="AU2674" s="781"/>
      <c r="AV2674" s="782">
        <v>12082898</v>
      </c>
      <c r="AW2674" s="782">
        <v>12082899</v>
      </c>
      <c r="AX2674" s="796" t="s">
        <v>621</v>
      </c>
      <c r="AY2674" s="782"/>
      <c r="AZ2674" s="782"/>
      <c r="BA2674" s="781"/>
      <c r="BB2674" s="209">
        <v>23053184</v>
      </c>
    </row>
    <row r="2675" spans="1:54" ht="24.65" hidden="1" customHeight="1">
      <c r="A2675" s="630" t="s">
        <v>120</v>
      </c>
      <c r="B2675" s="466">
        <v>45937</v>
      </c>
      <c r="C2675" s="467">
        <v>45947</v>
      </c>
      <c r="D2675" s="185">
        <f>IF(B2675="","",YEAR(B2675))</f>
        <v>2025</v>
      </c>
      <c r="E2675" s="468" t="e">
        <f>VLOOKUP($B2675,Week!$A$1:$C$1462,2,0)</f>
        <v>#N/A</v>
      </c>
      <c r="F2675" s="469" t="str">
        <f>IF(B2675="","",TEXT(B2675,"[$-409]mmm"))</f>
        <v>Oct</v>
      </c>
      <c r="G2675" s="470" t="s">
        <v>2493</v>
      </c>
      <c r="H2675" s="468" t="s">
        <v>82</v>
      </c>
      <c r="I2675" s="468" t="s">
        <v>82</v>
      </c>
      <c r="J2675" s="471" t="s">
        <v>720</v>
      </c>
      <c r="K2675" s="472" t="s">
        <v>85</v>
      </c>
      <c r="L2675" s="390" t="s">
        <v>2166</v>
      </c>
      <c r="M2675" s="471" t="s">
        <v>579</v>
      </c>
      <c r="N2675" s="468" t="s">
        <v>580</v>
      </c>
      <c r="O2675" s="468" t="s">
        <v>581</v>
      </c>
      <c r="P2675" s="473">
        <v>8</v>
      </c>
      <c r="Q2675" s="473">
        <v>60</v>
      </c>
      <c r="R2675" s="474">
        <v>6.8100000000000001E-3</v>
      </c>
      <c r="S2675" s="468" t="s">
        <v>76</v>
      </c>
      <c r="T2675" s="468" t="s">
        <v>56</v>
      </c>
      <c r="U2675" s="468" t="s">
        <v>89</v>
      </c>
      <c r="V2675" s="475">
        <v>391</v>
      </c>
      <c r="W2675" s="475">
        <v>391</v>
      </c>
      <c r="X2675" s="476"/>
      <c r="Y2675" s="477">
        <f>(W2675+X2675)-V2675</f>
        <v>0</v>
      </c>
      <c r="Z2675" s="478">
        <f>IF(Y2675&lt;0,((V2675*P2675)-((W2675+X2675)*P2675)),0)</f>
        <v>0</v>
      </c>
      <c r="AA2675" s="478">
        <f>Q2675*Z2675</f>
        <v>0</v>
      </c>
      <c r="AB2675" s="828">
        <v>6</v>
      </c>
      <c r="AC2675" s="475">
        <f>Z2675*AB2675</f>
        <v>0</v>
      </c>
      <c r="AD2675" s="209"/>
      <c r="AE2675" s="210">
        <f>SUM(Q2675*R2675*Z2675)/1000</f>
        <v>0</v>
      </c>
      <c r="AF2675" s="210">
        <f>AE2675/0.54</f>
        <v>0</v>
      </c>
      <c r="AG2675" s="211">
        <f>MID(O2675,1,3)/1000</f>
        <v>0.75</v>
      </c>
      <c r="AH2675" s="157">
        <f>(Z2675*AG2675)/1000</f>
        <v>0</v>
      </c>
      <c r="AI2675" s="152">
        <f>V2675*P2675</f>
        <v>3128</v>
      </c>
      <c r="AK2675" s="156" t="s">
        <v>691</v>
      </c>
      <c r="AL2675" s="156" t="s">
        <v>689</v>
      </c>
      <c r="AM2675" s="198">
        <f t="shared" si="1066"/>
        <v>0</v>
      </c>
      <c r="AN2675" s="199">
        <f>B2675</f>
        <v>45937</v>
      </c>
      <c r="AO2675" s="159" t="s">
        <v>692</v>
      </c>
      <c r="AP2675" s="783" t="s">
        <v>622</v>
      </c>
      <c r="AQ2675" s="782">
        <v>12088677</v>
      </c>
      <c r="AR2675" s="782" t="s">
        <v>2142</v>
      </c>
      <c r="AS2675" s="782"/>
      <c r="AT2675" s="782">
        <v>12082897</v>
      </c>
      <c r="AU2675" s="781"/>
      <c r="AV2675" s="782">
        <v>12082898</v>
      </c>
      <c r="AW2675" s="782">
        <v>12082899</v>
      </c>
      <c r="AX2675" s="796" t="s">
        <v>621</v>
      </c>
      <c r="AY2675" s="782"/>
      <c r="AZ2675" s="782"/>
      <c r="BA2675" s="781"/>
      <c r="BB2675" s="209">
        <v>23053184</v>
      </c>
    </row>
    <row r="2676" spans="1:54" ht="25" hidden="1" customHeight="1">
      <c r="B2676" s="183">
        <v>45938</v>
      </c>
      <c r="C2676" s="184"/>
      <c r="D2676" s="185">
        <f t="shared" si="1052"/>
        <v>2025</v>
      </c>
      <c r="E2676" s="185" t="e">
        <f>VLOOKUP($B2676,Week!$A$1:$C$1462,2,0)</f>
        <v>#N/A</v>
      </c>
      <c r="F2676" s="186" t="str">
        <f t="shared" si="1053"/>
        <v>Oct</v>
      </c>
      <c r="G2676" s="481"/>
      <c r="H2676" s="185"/>
      <c r="I2676" s="185"/>
      <c r="J2676" s="187"/>
      <c r="K2676" s="188"/>
      <c r="L2676" s="188"/>
      <c r="M2676" s="187"/>
      <c r="N2676" s="185"/>
      <c r="O2676" s="185"/>
      <c r="P2676" s="189"/>
      <c r="Q2676" s="189"/>
      <c r="R2676" s="190"/>
      <c r="S2676" s="185"/>
      <c r="T2676" s="185"/>
      <c r="U2676" s="185"/>
      <c r="V2676" s="191"/>
      <c r="W2676" s="191"/>
      <c r="X2676" s="192"/>
      <c r="Y2676" s="193"/>
      <c r="Z2676" s="194"/>
      <c r="AA2676" s="194">
        <f t="shared" si="1054"/>
        <v>0</v>
      </c>
      <c r="AB2676" s="805"/>
      <c r="AC2676" s="191"/>
      <c r="AD2676" s="187"/>
      <c r="AE2676" s="195"/>
      <c r="AF2676" s="195"/>
      <c r="AG2676" s="196"/>
      <c r="AH2676" s="197"/>
      <c r="AK2676" s="156" t="s">
        <v>691</v>
      </c>
      <c r="AM2676" s="198">
        <f t="shared" si="1066"/>
        <v>0</v>
      </c>
      <c r="AN2676" s="199">
        <f t="shared" si="1050"/>
        <v>45938</v>
      </c>
      <c r="AO2676" s="159" t="s">
        <v>692</v>
      </c>
      <c r="AP2676" s="781"/>
      <c r="AQ2676" s="782"/>
      <c r="AR2676" s="782"/>
      <c r="AS2676" s="782"/>
      <c r="AT2676" s="782"/>
      <c r="AU2676" s="781"/>
      <c r="AV2676" s="782"/>
      <c r="AW2676" s="782"/>
      <c r="AX2676" s="782"/>
      <c r="AY2676" s="782"/>
      <c r="AZ2676" s="782"/>
      <c r="BA2676" s="781"/>
      <c r="BB2676" s="209"/>
    </row>
    <row r="2677" spans="1:54" ht="24.65" hidden="1" customHeight="1">
      <c r="A2677" s="630" t="s">
        <v>120</v>
      </c>
      <c r="B2677" s="466">
        <v>45939</v>
      </c>
      <c r="C2677" s="467">
        <v>45947</v>
      </c>
      <c r="D2677" s="185">
        <f t="shared" ref="D2677:D2683" si="1080">IF(B2677="","",YEAR(B2677))</f>
        <v>2025</v>
      </c>
      <c r="E2677" s="468" t="e">
        <f>VLOOKUP($B2677,Week!$A$1:$C$1462,2,0)</f>
        <v>#N/A</v>
      </c>
      <c r="F2677" s="469" t="str">
        <f t="shared" ref="F2677:F2683" si="1081">IF(B2677="","",TEXT(B2677,"[$-409]mmm"))</f>
        <v>Oct</v>
      </c>
      <c r="G2677" s="470" t="s">
        <v>2493</v>
      </c>
      <c r="H2677" s="468" t="s">
        <v>82</v>
      </c>
      <c r="I2677" s="468" t="s">
        <v>82</v>
      </c>
      <c r="J2677" s="471" t="s">
        <v>720</v>
      </c>
      <c r="K2677" s="472" t="s">
        <v>85</v>
      </c>
      <c r="L2677" s="390" t="s">
        <v>2166</v>
      </c>
      <c r="M2677" s="471" t="s">
        <v>579</v>
      </c>
      <c r="N2677" s="468" t="s">
        <v>580</v>
      </c>
      <c r="O2677" s="468" t="s">
        <v>581</v>
      </c>
      <c r="P2677" s="473">
        <v>8</v>
      </c>
      <c r="Q2677" s="473">
        <v>60</v>
      </c>
      <c r="R2677" s="474">
        <v>6.8100000000000001E-3</v>
      </c>
      <c r="S2677" s="468" t="s">
        <v>76</v>
      </c>
      <c r="T2677" s="468" t="s">
        <v>56</v>
      </c>
      <c r="U2677" s="468" t="s">
        <v>89</v>
      </c>
      <c r="V2677" s="475">
        <v>814</v>
      </c>
      <c r="W2677" s="475">
        <v>814</v>
      </c>
      <c r="X2677" s="476"/>
      <c r="Y2677" s="477">
        <f t="shared" ref="Y2677:Y2683" si="1082">(W2677+X2677)-V2677</f>
        <v>0</v>
      </c>
      <c r="Z2677" s="478">
        <f t="shared" ref="Z2677:Z2683" si="1083">IF(Y2677&lt;0,((V2677*P2677)-((W2677+X2677)*P2677)),0)</f>
        <v>0</v>
      </c>
      <c r="AA2677" s="478">
        <f t="shared" ref="AA2677:AA2683" si="1084">Q2677*Z2677</f>
        <v>0</v>
      </c>
      <c r="AB2677" s="828">
        <v>6</v>
      </c>
      <c r="AC2677" s="475">
        <f t="shared" ref="AC2677:AC2683" si="1085">Z2677*AB2677</f>
        <v>0</v>
      </c>
      <c r="AD2677" s="209"/>
      <c r="AE2677" s="210">
        <f t="shared" ref="AE2677:AE2683" si="1086">SUM(Q2677*R2677*Z2677)/1000</f>
        <v>0</v>
      </c>
      <c r="AF2677" s="210">
        <f t="shared" ref="AF2677:AF2683" si="1087">AE2677/0.54</f>
        <v>0</v>
      </c>
      <c r="AG2677" s="211">
        <f t="shared" ref="AG2677:AG2683" si="1088">MID(O2677,1,3)/1000</f>
        <v>0.75</v>
      </c>
      <c r="AH2677" s="157">
        <f t="shared" ref="AH2677:AH2682" si="1089">(Z2677*AG2677)/1000</f>
        <v>0</v>
      </c>
      <c r="AI2677" s="152">
        <f t="shared" ref="AI2677:AI2683" si="1090">V2677*P2677</f>
        <v>6512</v>
      </c>
      <c r="AK2677" s="156" t="s">
        <v>691</v>
      </c>
      <c r="AL2677" s="156" t="s">
        <v>689</v>
      </c>
      <c r="AM2677" s="198">
        <f t="shared" si="1066"/>
        <v>0</v>
      </c>
      <c r="AN2677" s="199">
        <f t="shared" ref="AN2677:AN2683" si="1091">B2677</f>
        <v>45939</v>
      </c>
      <c r="AO2677" s="159" t="s">
        <v>692</v>
      </c>
      <c r="AP2677" s="783" t="s">
        <v>622</v>
      </c>
      <c r="AQ2677" s="782">
        <v>12088677</v>
      </c>
      <c r="AR2677" s="782" t="s">
        <v>2142</v>
      </c>
      <c r="AS2677" s="782"/>
      <c r="AT2677" s="782">
        <v>12082897</v>
      </c>
      <c r="AU2677" s="781"/>
      <c r="AV2677" s="782">
        <v>12082898</v>
      </c>
      <c r="AW2677" s="782">
        <v>12082899</v>
      </c>
      <c r="AX2677" s="796" t="s">
        <v>621</v>
      </c>
      <c r="AY2677" s="782"/>
      <c r="AZ2677" s="782"/>
      <c r="BA2677" s="781"/>
      <c r="BB2677" s="209">
        <v>23053184</v>
      </c>
    </row>
    <row r="2678" spans="1:54" ht="24.65" hidden="1" customHeight="1">
      <c r="A2678" s="630" t="s">
        <v>120</v>
      </c>
      <c r="B2678" s="466">
        <v>45940</v>
      </c>
      <c r="C2678" s="467">
        <v>45947</v>
      </c>
      <c r="D2678" s="185">
        <f t="shared" si="1080"/>
        <v>2025</v>
      </c>
      <c r="E2678" s="468" t="e">
        <f>VLOOKUP($B2678,Week!$A$1:$C$1462,2,0)</f>
        <v>#N/A</v>
      </c>
      <c r="F2678" s="469" t="str">
        <f t="shared" si="1081"/>
        <v>Oct</v>
      </c>
      <c r="G2678" s="470" t="s">
        <v>2493</v>
      </c>
      <c r="H2678" s="468" t="s">
        <v>82</v>
      </c>
      <c r="I2678" s="468" t="s">
        <v>82</v>
      </c>
      <c r="J2678" s="471" t="s">
        <v>720</v>
      </c>
      <c r="K2678" s="472" t="s">
        <v>85</v>
      </c>
      <c r="L2678" s="390" t="s">
        <v>2166</v>
      </c>
      <c r="M2678" s="471" t="s">
        <v>579</v>
      </c>
      <c r="N2678" s="468" t="s">
        <v>580</v>
      </c>
      <c r="O2678" s="468" t="s">
        <v>581</v>
      </c>
      <c r="P2678" s="473">
        <v>8</v>
      </c>
      <c r="Q2678" s="473">
        <v>60</v>
      </c>
      <c r="R2678" s="474">
        <v>6.8100000000000001E-3</v>
      </c>
      <c r="S2678" s="468" t="s">
        <v>76</v>
      </c>
      <c r="T2678" s="468" t="s">
        <v>56</v>
      </c>
      <c r="U2678" s="468" t="s">
        <v>89</v>
      </c>
      <c r="V2678" s="475">
        <f>1408-391-814</f>
        <v>203</v>
      </c>
      <c r="W2678" s="475">
        <v>203</v>
      </c>
      <c r="X2678" s="476"/>
      <c r="Y2678" s="477">
        <f t="shared" si="1082"/>
        <v>0</v>
      </c>
      <c r="Z2678" s="478">
        <f t="shared" si="1083"/>
        <v>0</v>
      </c>
      <c r="AA2678" s="478">
        <f t="shared" si="1084"/>
        <v>0</v>
      </c>
      <c r="AB2678" s="828">
        <v>6</v>
      </c>
      <c r="AC2678" s="475">
        <f t="shared" si="1085"/>
        <v>0</v>
      </c>
      <c r="AD2678" s="209"/>
      <c r="AE2678" s="210">
        <f t="shared" si="1086"/>
        <v>0</v>
      </c>
      <c r="AF2678" s="210">
        <f t="shared" si="1087"/>
        <v>0</v>
      </c>
      <c r="AG2678" s="211">
        <f t="shared" si="1088"/>
        <v>0.75</v>
      </c>
      <c r="AH2678" s="157">
        <f t="shared" si="1089"/>
        <v>0</v>
      </c>
      <c r="AI2678" s="152">
        <f t="shared" si="1090"/>
        <v>1624</v>
      </c>
      <c r="AK2678" s="156" t="s">
        <v>691</v>
      </c>
      <c r="AL2678" s="156" t="s">
        <v>689</v>
      </c>
      <c r="AM2678" s="198">
        <f t="shared" si="1066"/>
        <v>0</v>
      </c>
      <c r="AN2678" s="199">
        <f t="shared" si="1091"/>
        <v>45940</v>
      </c>
      <c r="AO2678" s="159" t="s">
        <v>692</v>
      </c>
      <c r="AP2678" s="783" t="s">
        <v>622</v>
      </c>
      <c r="AQ2678" s="782">
        <v>12088677</v>
      </c>
      <c r="AR2678" s="782" t="s">
        <v>2142</v>
      </c>
      <c r="AS2678" s="782"/>
      <c r="AT2678" s="782">
        <v>12082897</v>
      </c>
      <c r="AU2678" s="781"/>
      <c r="AV2678" s="782">
        <v>12082898</v>
      </c>
      <c r="AW2678" s="782">
        <v>12082899</v>
      </c>
      <c r="AX2678" s="796" t="s">
        <v>621</v>
      </c>
      <c r="AY2678" s="782"/>
      <c r="AZ2678" s="782"/>
      <c r="BA2678" s="781"/>
      <c r="BB2678" s="209">
        <v>23053184</v>
      </c>
    </row>
    <row r="2679" spans="1:54" ht="25" hidden="1" customHeight="1">
      <c r="A2679" s="142" t="s">
        <v>120</v>
      </c>
      <c r="B2679" s="546">
        <v>45940</v>
      </c>
      <c r="C2679" s="547">
        <v>45958</v>
      </c>
      <c r="D2679" s="185">
        <f t="shared" si="1080"/>
        <v>2025</v>
      </c>
      <c r="E2679" s="547" t="e">
        <f>VLOOKUP($B2679,Week!$A$1:$C$1462,2,0)</f>
        <v>#N/A</v>
      </c>
      <c r="F2679" s="548" t="str">
        <f t="shared" si="1081"/>
        <v>Oct</v>
      </c>
      <c r="G2679" s="549" t="s">
        <v>2351</v>
      </c>
      <c r="H2679" s="549" t="s">
        <v>431</v>
      </c>
      <c r="I2679" s="549" t="s">
        <v>2772</v>
      </c>
      <c r="J2679" s="550" t="s">
        <v>432</v>
      </c>
      <c r="K2679" s="551" t="s">
        <v>85</v>
      </c>
      <c r="L2679" s="390" t="s">
        <v>2166</v>
      </c>
      <c r="M2679" s="550" t="s">
        <v>86</v>
      </c>
      <c r="N2679" s="549" t="s">
        <v>550</v>
      </c>
      <c r="O2679" s="549" t="s">
        <v>548</v>
      </c>
      <c r="P2679" s="552">
        <v>10</v>
      </c>
      <c r="Q2679" s="552">
        <v>50</v>
      </c>
      <c r="R2679" s="553">
        <v>8.1300000000000001E-3</v>
      </c>
      <c r="S2679" s="549" t="s">
        <v>40</v>
      </c>
      <c r="T2679" s="549" t="s">
        <v>112</v>
      </c>
      <c r="U2679" s="549" t="s">
        <v>89</v>
      </c>
      <c r="V2679" s="554">
        <f>500</f>
        <v>500</v>
      </c>
      <c r="W2679" s="554">
        <f>8+492</f>
        <v>500</v>
      </c>
      <c r="X2679" s="555"/>
      <c r="Y2679" s="556">
        <f t="shared" si="1082"/>
        <v>0</v>
      </c>
      <c r="Z2679" s="557">
        <f t="shared" si="1083"/>
        <v>0</v>
      </c>
      <c r="AA2679" s="557">
        <f t="shared" si="1084"/>
        <v>0</v>
      </c>
      <c r="AB2679" s="833">
        <v>6</v>
      </c>
      <c r="AC2679" s="554">
        <f t="shared" si="1085"/>
        <v>0</v>
      </c>
      <c r="AD2679" s="209"/>
      <c r="AE2679" s="210">
        <f t="shared" si="1086"/>
        <v>0</v>
      </c>
      <c r="AF2679" s="210">
        <f t="shared" si="1087"/>
        <v>0</v>
      </c>
      <c r="AG2679" s="211">
        <f t="shared" si="1088"/>
        <v>0.63</v>
      </c>
      <c r="AH2679" s="157">
        <f t="shared" si="1089"/>
        <v>0</v>
      </c>
      <c r="AI2679" s="152">
        <f t="shared" si="1090"/>
        <v>5000</v>
      </c>
      <c r="AK2679" s="156" t="s">
        <v>691</v>
      </c>
      <c r="AL2679" s="156" t="s">
        <v>689</v>
      </c>
      <c r="AM2679" s="198">
        <f t="shared" si="1066"/>
        <v>0</v>
      </c>
      <c r="AN2679" s="199">
        <f t="shared" si="1091"/>
        <v>45940</v>
      </c>
      <c r="AO2679" s="159" t="s">
        <v>692</v>
      </c>
      <c r="AP2679" s="783" t="s">
        <v>618</v>
      </c>
      <c r="AQ2679" s="782" t="s">
        <v>549</v>
      </c>
      <c r="AR2679" s="796" t="s">
        <v>529</v>
      </c>
      <c r="AS2679" s="782"/>
      <c r="AT2679" s="796" t="s">
        <v>551</v>
      </c>
      <c r="AU2679" s="781"/>
      <c r="AV2679" s="796" t="s">
        <v>552</v>
      </c>
      <c r="AW2679" s="782"/>
      <c r="AX2679" s="782" t="s">
        <v>93</v>
      </c>
      <c r="AY2679" s="782"/>
      <c r="AZ2679" s="782"/>
      <c r="BA2679" s="781"/>
    </row>
    <row r="2680" spans="1:54" ht="24.75" hidden="1" customHeight="1">
      <c r="B2680" s="295">
        <v>45941</v>
      </c>
      <c r="C2680" s="771" t="s">
        <v>1934</v>
      </c>
      <c r="D2680" s="185">
        <f t="shared" si="1080"/>
        <v>2025</v>
      </c>
      <c r="E2680" s="296" t="e">
        <f>VLOOKUP($B2680,Week!$A$1:$C$1462,2,0)</f>
        <v>#N/A</v>
      </c>
      <c r="F2680" s="297" t="str">
        <f t="shared" si="1081"/>
        <v>Oct</v>
      </c>
      <c r="G2680" s="648" t="s">
        <v>47</v>
      </c>
      <c r="H2680" s="298" t="s">
        <v>260</v>
      </c>
      <c r="I2680" s="298" t="s">
        <v>2702</v>
      </c>
      <c r="J2680" s="307" t="s">
        <v>2240</v>
      </c>
      <c r="K2680" s="300" t="s">
        <v>176</v>
      </c>
      <c r="L2680" s="300" t="s">
        <v>2167</v>
      </c>
      <c r="M2680" s="299" t="s">
        <v>2338</v>
      </c>
      <c r="N2680" s="298" t="s">
        <v>350</v>
      </c>
      <c r="O2680" s="298" t="s">
        <v>351</v>
      </c>
      <c r="P2680" s="301">
        <v>24</v>
      </c>
      <c r="Q2680" s="301">
        <v>5</v>
      </c>
      <c r="R2680" s="302">
        <v>6.1999999999999998E-3</v>
      </c>
      <c r="S2680" s="298" t="s">
        <v>352</v>
      </c>
      <c r="T2680" s="298" t="s">
        <v>56</v>
      </c>
      <c r="U2680" s="298" t="s">
        <v>57</v>
      </c>
      <c r="V2680" s="303">
        <v>1977</v>
      </c>
      <c r="W2680" s="303">
        <f>1977</f>
        <v>1977</v>
      </c>
      <c r="X2680" s="304"/>
      <c r="Y2680" s="305">
        <f t="shared" si="1082"/>
        <v>0</v>
      </c>
      <c r="Z2680" s="306">
        <f t="shared" si="1083"/>
        <v>0</v>
      </c>
      <c r="AA2680" s="306">
        <f t="shared" si="1084"/>
        <v>0</v>
      </c>
      <c r="AB2680" s="814">
        <v>7.4999999999999997E-3</v>
      </c>
      <c r="AC2680" s="303">
        <f t="shared" si="1085"/>
        <v>0</v>
      </c>
      <c r="AD2680" s="443"/>
      <c r="AE2680" s="210">
        <f t="shared" si="1086"/>
        <v>0</v>
      </c>
      <c r="AF2680" s="210">
        <f t="shared" si="1087"/>
        <v>0</v>
      </c>
      <c r="AG2680" s="211">
        <f t="shared" si="1088"/>
        <v>0.13</v>
      </c>
      <c r="AH2680" s="157">
        <f t="shared" si="1089"/>
        <v>0</v>
      </c>
      <c r="AI2680" s="152">
        <f t="shared" si="1090"/>
        <v>47448</v>
      </c>
      <c r="AK2680" s="156" t="s">
        <v>691</v>
      </c>
      <c r="AL2680" s="574" t="s">
        <v>690</v>
      </c>
      <c r="AM2680" s="198">
        <f t="shared" si="1066"/>
        <v>0</v>
      </c>
      <c r="AN2680" s="199">
        <f t="shared" si="1091"/>
        <v>45941</v>
      </c>
      <c r="AO2680" s="159" t="s">
        <v>692</v>
      </c>
      <c r="AP2680" s="783" t="s">
        <v>622</v>
      </c>
      <c r="AQ2680" s="782">
        <v>12071839</v>
      </c>
      <c r="AR2680" s="782">
        <v>12094356</v>
      </c>
      <c r="AS2680" s="782">
        <v>12068233</v>
      </c>
      <c r="AT2680" s="781"/>
      <c r="AU2680" s="781"/>
      <c r="AV2680" s="782">
        <v>12062075</v>
      </c>
      <c r="AW2680" s="781"/>
      <c r="AX2680" s="781"/>
      <c r="AY2680" s="782">
        <v>12094357</v>
      </c>
      <c r="AZ2680" s="782"/>
      <c r="BA2680" s="781"/>
      <c r="BB2680" s="209">
        <v>23053184</v>
      </c>
    </row>
    <row r="2681" spans="1:54" ht="25" hidden="1" customHeight="1">
      <c r="B2681" s="581">
        <v>45941</v>
      </c>
      <c r="C2681" s="332">
        <v>45946</v>
      </c>
      <c r="D2681" s="185">
        <f t="shared" si="1080"/>
        <v>2025</v>
      </c>
      <c r="E2681" s="333" t="e">
        <f>VLOOKUP($B2681,Week!$A$1:$C$1462,2,0)</f>
        <v>#N/A</v>
      </c>
      <c r="F2681" s="334" t="str">
        <f t="shared" si="1081"/>
        <v>Oct</v>
      </c>
      <c r="G2681" s="530" t="s">
        <v>2560</v>
      </c>
      <c r="H2681" s="335" t="s">
        <v>82</v>
      </c>
      <c r="I2681" s="335" t="s">
        <v>82</v>
      </c>
      <c r="J2681" s="336" t="s">
        <v>235</v>
      </c>
      <c r="K2681" s="337" t="s">
        <v>1643</v>
      </c>
      <c r="L2681" s="300" t="s">
        <v>2167</v>
      </c>
      <c r="M2681" s="336" t="s">
        <v>336</v>
      </c>
      <c r="N2681" s="530" t="s">
        <v>1018</v>
      </c>
      <c r="O2681" s="335" t="s">
        <v>743</v>
      </c>
      <c r="P2681" s="338">
        <v>36</v>
      </c>
      <c r="Q2681" s="338">
        <v>5</v>
      </c>
      <c r="R2681" s="339">
        <v>7.4999999999999997E-3</v>
      </c>
      <c r="S2681" s="335" t="s">
        <v>40</v>
      </c>
      <c r="T2681" s="335" t="s">
        <v>112</v>
      </c>
      <c r="U2681" s="340" t="s">
        <v>1894</v>
      </c>
      <c r="V2681" s="341">
        <f>390</f>
        <v>390</v>
      </c>
      <c r="W2681" s="341">
        <f>43+347</f>
        <v>390</v>
      </c>
      <c r="X2681" s="342">
        <f>(234)/36</f>
        <v>6.5</v>
      </c>
      <c r="Y2681" s="343">
        <f t="shared" si="1082"/>
        <v>6.5</v>
      </c>
      <c r="Z2681" s="344">
        <f t="shared" si="1083"/>
        <v>0</v>
      </c>
      <c r="AA2681" s="344">
        <f t="shared" si="1084"/>
        <v>0</v>
      </c>
      <c r="AB2681" s="817">
        <v>2.2419999999999999E-2</v>
      </c>
      <c r="AC2681" s="341">
        <f t="shared" si="1085"/>
        <v>0</v>
      </c>
      <c r="AD2681" s="307" t="s">
        <v>2547</v>
      </c>
      <c r="AE2681" s="210">
        <f t="shared" si="1086"/>
        <v>0</v>
      </c>
      <c r="AF2681" s="210">
        <f t="shared" si="1087"/>
        <v>0</v>
      </c>
      <c r="AG2681" s="211">
        <f t="shared" si="1088"/>
        <v>0.14699999999999999</v>
      </c>
      <c r="AH2681" s="157">
        <f t="shared" si="1089"/>
        <v>0</v>
      </c>
      <c r="AI2681" s="152">
        <f t="shared" si="1090"/>
        <v>14040</v>
      </c>
      <c r="AK2681" s="156" t="s">
        <v>691</v>
      </c>
      <c r="AL2681" s="574" t="s">
        <v>690</v>
      </c>
      <c r="AM2681" s="198">
        <f t="shared" si="1066"/>
        <v>0</v>
      </c>
      <c r="AN2681" s="199">
        <f t="shared" si="1091"/>
        <v>45941</v>
      </c>
      <c r="AO2681" s="159" t="s">
        <v>692</v>
      </c>
      <c r="AP2681" s="783" t="s">
        <v>639</v>
      </c>
      <c r="AQ2681" s="782">
        <v>12071839</v>
      </c>
      <c r="AR2681" s="782">
        <v>12047514</v>
      </c>
      <c r="AS2681" s="782">
        <v>12047515</v>
      </c>
      <c r="AT2681" s="782">
        <v>12090591</v>
      </c>
      <c r="AU2681" s="781"/>
      <c r="AV2681" s="782">
        <v>12090590</v>
      </c>
      <c r="AW2681" s="782">
        <v>12024404</v>
      </c>
      <c r="AX2681" s="781"/>
      <c r="AY2681" s="782" t="s">
        <v>2595</v>
      </c>
      <c r="AZ2681" s="781"/>
      <c r="BA2681" s="781"/>
      <c r="BB2681" s="209">
        <v>23105470</v>
      </c>
    </row>
    <row r="2682" spans="1:54" ht="25" hidden="1" customHeight="1">
      <c r="A2682" s="623"/>
      <c r="B2682" s="498">
        <v>45941</v>
      </c>
      <c r="C2682" s="499">
        <v>45981</v>
      </c>
      <c r="D2682" s="185">
        <f t="shared" si="1080"/>
        <v>2025</v>
      </c>
      <c r="E2682" s="499" t="e">
        <f>VLOOKUP($B2682,Week!$A$1:$C$1462,2,0)</f>
        <v>#N/A</v>
      </c>
      <c r="F2682" s="500" t="str">
        <f t="shared" si="1081"/>
        <v>Oct</v>
      </c>
      <c r="G2682" s="501" t="s">
        <v>2430</v>
      </c>
      <c r="H2682" s="501" t="s">
        <v>311</v>
      </c>
      <c r="I2682" s="501" t="s">
        <v>2772</v>
      </c>
      <c r="J2682" s="502" t="s">
        <v>738</v>
      </c>
      <c r="K2682" s="503" t="s">
        <v>1646</v>
      </c>
      <c r="L2682" s="300" t="s">
        <v>2167</v>
      </c>
      <c r="M2682" s="502" t="s">
        <v>654</v>
      </c>
      <c r="N2682" s="501" t="s">
        <v>726</v>
      </c>
      <c r="O2682" s="501" t="s">
        <v>655</v>
      </c>
      <c r="P2682" s="504">
        <v>24</v>
      </c>
      <c r="Q2682" s="504">
        <v>5</v>
      </c>
      <c r="R2682" s="505">
        <v>7.4999999999999997E-3</v>
      </c>
      <c r="S2682" s="501" t="s">
        <v>40</v>
      </c>
      <c r="T2682" s="501" t="s">
        <v>112</v>
      </c>
      <c r="U2682" s="506" t="s">
        <v>1894</v>
      </c>
      <c r="V2682" s="507">
        <v>924</v>
      </c>
      <c r="W2682" s="507">
        <f>60+830</f>
        <v>890</v>
      </c>
      <c r="X2682" s="508">
        <f>(1983)/24</f>
        <v>82.625</v>
      </c>
      <c r="Y2682" s="509">
        <f t="shared" si="1082"/>
        <v>48.625</v>
      </c>
      <c r="Z2682" s="510">
        <f t="shared" si="1083"/>
        <v>0</v>
      </c>
      <c r="AA2682" s="510">
        <f t="shared" si="1084"/>
        <v>0</v>
      </c>
      <c r="AB2682" s="830">
        <v>3.8699999999999998E-2</v>
      </c>
      <c r="AC2682" s="507">
        <f t="shared" si="1085"/>
        <v>0</v>
      </c>
      <c r="AD2682" s="209" t="s">
        <v>2588</v>
      </c>
      <c r="AE2682" s="210">
        <f t="shared" si="1086"/>
        <v>0</v>
      </c>
      <c r="AF2682" s="210">
        <f t="shared" si="1087"/>
        <v>0</v>
      </c>
      <c r="AG2682" s="211">
        <f t="shared" si="1088"/>
        <v>0.307</v>
      </c>
      <c r="AH2682" s="157">
        <f t="shared" si="1089"/>
        <v>0</v>
      </c>
      <c r="AI2682" s="152">
        <f t="shared" si="1090"/>
        <v>22176</v>
      </c>
      <c r="AK2682" s="156" t="s">
        <v>691</v>
      </c>
      <c r="AL2682" s="212" t="s">
        <v>690</v>
      </c>
      <c r="AM2682" s="198">
        <f t="shared" si="1066"/>
        <v>0</v>
      </c>
      <c r="AN2682" s="199">
        <f t="shared" si="1091"/>
        <v>45941</v>
      </c>
      <c r="AO2682" s="159" t="s">
        <v>692</v>
      </c>
      <c r="AP2682" s="781" t="s">
        <v>642</v>
      </c>
      <c r="AQ2682" s="782">
        <v>12063755</v>
      </c>
      <c r="AR2682" s="782">
        <v>12061353</v>
      </c>
      <c r="AS2682" s="782">
        <v>12061354</v>
      </c>
      <c r="AT2682" s="782">
        <v>12089274</v>
      </c>
      <c r="AU2682" s="781"/>
      <c r="AV2682" s="782">
        <v>12089275</v>
      </c>
      <c r="AW2682" s="782">
        <v>12068154</v>
      </c>
      <c r="AX2682" s="782"/>
      <c r="AY2682" s="782">
        <v>12094140</v>
      </c>
      <c r="AZ2682" s="782"/>
      <c r="BA2682" s="781"/>
      <c r="BB2682" s="209">
        <v>23105470</v>
      </c>
    </row>
    <row r="2683" spans="1:54" ht="25" hidden="1" customHeight="1">
      <c r="B2683" s="332">
        <v>45941</v>
      </c>
      <c r="C2683" s="333">
        <v>45962</v>
      </c>
      <c r="D2683" s="185">
        <f t="shared" si="1080"/>
        <v>2025</v>
      </c>
      <c r="E2683" s="333" t="e">
        <f>VLOOKUP($B2683,Week!$A$1:$C$1462,2,0)</f>
        <v>#N/A</v>
      </c>
      <c r="F2683" s="334" t="str">
        <f t="shared" si="1081"/>
        <v>Oct</v>
      </c>
      <c r="G2683" s="335" t="s">
        <v>2517</v>
      </c>
      <c r="H2683" s="335" t="s">
        <v>675</v>
      </c>
      <c r="I2683" s="335" t="s">
        <v>2772</v>
      </c>
      <c r="J2683" s="336" t="s">
        <v>709</v>
      </c>
      <c r="K2683" s="337" t="s">
        <v>1649</v>
      </c>
      <c r="L2683" s="300" t="s">
        <v>2167</v>
      </c>
      <c r="M2683" s="336" t="s">
        <v>603</v>
      </c>
      <c r="N2683" s="530" t="s">
        <v>711</v>
      </c>
      <c r="O2683" s="335" t="s">
        <v>602</v>
      </c>
      <c r="P2683" s="338">
        <v>8</v>
      </c>
      <c r="Q2683" s="338">
        <v>3</v>
      </c>
      <c r="R2683" s="339">
        <v>6.0000000000000001E-3</v>
      </c>
      <c r="S2683" s="335" t="s">
        <v>55</v>
      </c>
      <c r="T2683" s="335" t="s">
        <v>112</v>
      </c>
      <c r="U2683" s="340" t="s">
        <v>1894</v>
      </c>
      <c r="V2683" s="341">
        <f>650</f>
        <v>650</v>
      </c>
      <c r="W2683" s="341"/>
      <c r="X2683" s="342">
        <f>(2058+3142)/8</f>
        <v>650</v>
      </c>
      <c r="Y2683" s="343">
        <f t="shared" si="1082"/>
        <v>0</v>
      </c>
      <c r="Z2683" s="344">
        <f t="shared" si="1083"/>
        <v>0</v>
      </c>
      <c r="AA2683" s="344">
        <f t="shared" si="1084"/>
        <v>0</v>
      </c>
      <c r="AB2683" s="817">
        <v>3.8699999999999998E-2</v>
      </c>
      <c r="AC2683" s="341">
        <f t="shared" si="1085"/>
        <v>0</v>
      </c>
      <c r="AD2683" s="443" t="s">
        <v>2543</v>
      </c>
      <c r="AE2683" s="210">
        <f t="shared" si="1086"/>
        <v>0</v>
      </c>
      <c r="AF2683" s="210">
        <f t="shared" si="1087"/>
        <v>0</v>
      </c>
      <c r="AG2683" s="211">
        <f t="shared" si="1088"/>
        <v>0.30199999999999999</v>
      </c>
      <c r="AH2683" s="157">
        <v>0.26621999999999996</v>
      </c>
      <c r="AI2683" s="152">
        <f t="shared" si="1090"/>
        <v>5200</v>
      </c>
      <c r="AK2683" s="156" t="s">
        <v>691</v>
      </c>
      <c r="AL2683" s="212" t="s">
        <v>690</v>
      </c>
      <c r="AM2683" s="198">
        <f t="shared" si="1066"/>
        <v>0</v>
      </c>
      <c r="AN2683" s="199">
        <f t="shared" si="1091"/>
        <v>45941</v>
      </c>
      <c r="AO2683" s="159" t="s">
        <v>692</v>
      </c>
      <c r="AP2683" s="781" t="s">
        <v>642</v>
      </c>
      <c r="AQ2683" s="782">
        <v>12063755</v>
      </c>
      <c r="AR2683" s="782">
        <v>12061353</v>
      </c>
      <c r="AS2683" s="782">
        <v>12061354</v>
      </c>
      <c r="AT2683" s="782">
        <v>12089985</v>
      </c>
      <c r="AU2683" s="781"/>
      <c r="AV2683" s="782">
        <v>12089988</v>
      </c>
      <c r="AW2683" s="781"/>
      <c r="AX2683" s="781"/>
      <c r="AY2683" s="781"/>
      <c r="AZ2683" s="782"/>
      <c r="BA2683" s="781"/>
      <c r="BB2683" s="209">
        <v>23105470</v>
      </c>
    </row>
    <row r="2684" spans="1:54" ht="25" hidden="1" customHeight="1">
      <c r="B2684" s="183">
        <v>45942</v>
      </c>
      <c r="C2684" s="184"/>
      <c r="D2684" s="185">
        <f t="shared" si="1052"/>
        <v>2025</v>
      </c>
      <c r="E2684" s="185" t="e">
        <f>VLOOKUP($B2684,Week!$A$1:$C$1462,2,0)</f>
        <v>#N/A</v>
      </c>
      <c r="F2684" s="186" t="str">
        <f t="shared" si="1053"/>
        <v>Oct</v>
      </c>
      <c r="G2684" s="481"/>
      <c r="H2684" s="185"/>
      <c r="I2684" s="185"/>
      <c r="J2684" s="187"/>
      <c r="K2684" s="188"/>
      <c r="L2684" s="188"/>
      <c r="M2684" s="187"/>
      <c r="N2684" s="185"/>
      <c r="O2684" s="185"/>
      <c r="P2684" s="189"/>
      <c r="Q2684" s="189"/>
      <c r="R2684" s="190"/>
      <c r="S2684" s="185"/>
      <c r="T2684" s="185"/>
      <c r="U2684" s="185"/>
      <c r="V2684" s="191"/>
      <c r="W2684" s="191"/>
      <c r="X2684" s="192"/>
      <c r="Y2684" s="193"/>
      <c r="Z2684" s="194"/>
      <c r="AA2684" s="194">
        <f t="shared" si="1054"/>
        <v>0</v>
      </c>
      <c r="AB2684" s="805"/>
      <c r="AC2684" s="191"/>
      <c r="AD2684" s="187"/>
      <c r="AE2684" s="195"/>
      <c r="AF2684" s="195"/>
      <c r="AG2684" s="196"/>
      <c r="AH2684" s="197"/>
      <c r="AK2684" s="156" t="s">
        <v>691</v>
      </c>
      <c r="AM2684" s="198">
        <f t="shared" ref="AM2684:AM2715" si="1092">AG2684*Z2684</f>
        <v>0</v>
      </c>
      <c r="AN2684" s="199">
        <f t="shared" si="1050"/>
        <v>45942</v>
      </c>
      <c r="AO2684" s="159" t="s">
        <v>692</v>
      </c>
      <c r="AP2684" s="781"/>
      <c r="AQ2684" s="782"/>
      <c r="AR2684" s="782"/>
      <c r="AS2684" s="782"/>
      <c r="AT2684" s="782"/>
      <c r="AU2684" s="781"/>
      <c r="AV2684" s="782"/>
      <c r="AW2684" s="782"/>
      <c r="AX2684" s="782"/>
      <c r="AY2684" s="782"/>
      <c r="AZ2684" s="782"/>
      <c r="BA2684" s="781"/>
      <c r="BB2684" s="209"/>
    </row>
    <row r="2685" spans="1:54" ht="25" hidden="1" customHeight="1">
      <c r="B2685" s="183">
        <v>45943</v>
      </c>
      <c r="C2685" s="184"/>
      <c r="D2685" s="185">
        <f t="shared" si="1052"/>
        <v>2025</v>
      </c>
      <c r="E2685" s="185" t="e">
        <f>VLOOKUP($B2685,Week!$A$1:$C$1462,2,0)</f>
        <v>#N/A</v>
      </c>
      <c r="F2685" s="186" t="str">
        <f t="shared" si="1053"/>
        <v>Oct</v>
      </c>
      <c r="G2685" s="481"/>
      <c r="H2685" s="185"/>
      <c r="I2685" s="185"/>
      <c r="J2685" s="187"/>
      <c r="K2685" s="188"/>
      <c r="L2685" s="188"/>
      <c r="M2685" s="187"/>
      <c r="N2685" s="185"/>
      <c r="O2685" s="185"/>
      <c r="P2685" s="189"/>
      <c r="Q2685" s="189"/>
      <c r="R2685" s="190"/>
      <c r="S2685" s="185"/>
      <c r="T2685" s="185"/>
      <c r="U2685" s="185"/>
      <c r="V2685" s="191"/>
      <c r="W2685" s="191"/>
      <c r="X2685" s="192"/>
      <c r="Y2685" s="193"/>
      <c r="Z2685" s="194"/>
      <c r="AA2685" s="194">
        <f t="shared" si="1054"/>
        <v>0</v>
      </c>
      <c r="AB2685" s="805"/>
      <c r="AC2685" s="191"/>
      <c r="AD2685" s="187"/>
      <c r="AE2685" s="195"/>
      <c r="AF2685" s="195"/>
      <c r="AG2685" s="196"/>
      <c r="AH2685" s="197"/>
      <c r="AK2685" s="156" t="s">
        <v>691</v>
      </c>
      <c r="AM2685" s="198">
        <f t="shared" si="1092"/>
        <v>0</v>
      </c>
      <c r="AN2685" s="199">
        <f t="shared" si="1050"/>
        <v>45943</v>
      </c>
      <c r="AO2685" s="159" t="s">
        <v>692</v>
      </c>
      <c r="AP2685" s="781"/>
      <c r="AQ2685" s="782"/>
      <c r="AR2685" s="782"/>
      <c r="AS2685" s="782"/>
      <c r="AT2685" s="782"/>
      <c r="AU2685" s="781"/>
      <c r="AV2685" s="782"/>
      <c r="AW2685" s="782"/>
      <c r="AX2685" s="782"/>
      <c r="AY2685" s="782"/>
      <c r="AZ2685" s="782"/>
      <c r="BA2685" s="781"/>
      <c r="BB2685" s="209"/>
    </row>
    <row r="2686" spans="1:54" ht="24.75" hidden="1" customHeight="1">
      <c r="A2686" s="142" t="s">
        <v>120</v>
      </c>
      <c r="B2686" s="308">
        <v>45944</v>
      </c>
      <c r="C2686" s="644" t="s">
        <v>1935</v>
      </c>
      <c r="D2686" s="185">
        <f>IF(B2686="","",YEAR(B2686))</f>
        <v>2025</v>
      </c>
      <c r="E2686" s="519" t="e">
        <f>VLOOKUP($B2686,Week!$A$1:$C$1462,2,0)</f>
        <v>#N/A</v>
      </c>
      <c r="F2686" s="520" t="str">
        <f>IF(B2686="","",TEXT(B2686,"[$-409]mmm"))</f>
        <v>Oct</v>
      </c>
      <c r="G2686" s="644" t="s">
        <v>47</v>
      </c>
      <c r="H2686" s="311" t="s">
        <v>518</v>
      </c>
      <c r="I2686" s="311" t="s">
        <v>2702</v>
      </c>
      <c r="J2686" s="312" t="s">
        <v>70</v>
      </c>
      <c r="K2686" s="313" t="s">
        <v>85</v>
      </c>
      <c r="L2686" s="390" t="s">
        <v>2166</v>
      </c>
      <c r="M2686" s="312" t="s">
        <v>515</v>
      </c>
      <c r="N2686" s="311" t="s">
        <v>588</v>
      </c>
      <c r="O2686" s="311" t="s">
        <v>546</v>
      </c>
      <c r="P2686" s="314">
        <v>12</v>
      </c>
      <c r="Q2686" s="314">
        <v>20</v>
      </c>
      <c r="R2686" s="315">
        <v>6.1999999999999998E-3</v>
      </c>
      <c r="S2686" s="311" t="s">
        <v>352</v>
      </c>
      <c r="T2686" s="311" t="s">
        <v>56</v>
      </c>
      <c r="U2686" s="311"/>
      <c r="V2686" s="316">
        <f>500</f>
        <v>500</v>
      </c>
      <c r="W2686" s="316">
        <f>21+479</f>
        <v>500</v>
      </c>
      <c r="X2686" s="317"/>
      <c r="Y2686" s="318">
        <f t="shared" ref="Y2686:Y2704" si="1093">(W2686+X2686)-V2686</f>
        <v>0</v>
      </c>
      <c r="Z2686" s="319">
        <f t="shared" ref="Z2686:Z2704" si="1094">IF(Y2686&lt;0,((V2686*P2686)-((W2686+X2686)*P2686)),0)</f>
        <v>0</v>
      </c>
      <c r="AA2686" s="319">
        <f>Q2686*Z2686</f>
        <v>0</v>
      </c>
      <c r="AB2686" s="815"/>
      <c r="AC2686" s="316">
        <f t="shared" ref="AC2686:AC2704" si="1095">Z2686*AB2686</f>
        <v>0</v>
      </c>
      <c r="AD2686" s="209"/>
      <c r="AE2686" s="210">
        <f t="shared" ref="AE2686:AE2704" si="1096">SUM(Q2686*R2686*Z2686)/1000</f>
        <v>0</v>
      </c>
      <c r="AF2686" s="210">
        <f t="shared" ref="AF2686:AF2704" si="1097">AE2686/0.54</f>
        <v>0</v>
      </c>
      <c r="AG2686" s="211">
        <f t="shared" ref="AG2686:AG2704" si="1098">MID(O2686,1,3)/1000</f>
        <v>0.22</v>
      </c>
      <c r="AH2686" s="157">
        <f t="shared" ref="AH2686:AH2695" si="1099">(Z2686*AG2686)/1000</f>
        <v>0</v>
      </c>
      <c r="AI2686" s="152">
        <f t="shared" ref="AI2686:AI2704" si="1100">V2686*P2686</f>
        <v>6000</v>
      </c>
      <c r="AK2686" s="156" t="s">
        <v>691</v>
      </c>
      <c r="AL2686" s="156" t="s">
        <v>689</v>
      </c>
      <c r="AM2686" s="198">
        <f t="shared" si="1092"/>
        <v>0</v>
      </c>
      <c r="AN2686" s="199">
        <f>B2686</f>
        <v>45944</v>
      </c>
      <c r="AO2686" s="159" t="s">
        <v>692</v>
      </c>
      <c r="AP2686" s="783" t="s">
        <v>613</v>
      </c>
      <c r="AQ2686" s="782"/>
      <c r="AR2686" s="782" t="s">
        <v>614</v>
      </c>
      <c r="AS2686" s="782"/>
      <c r="AT2686" s="782"/>
      <c r="AU2686" s="781"/>
      <c r="AV2686" s="782">
        <v>12083143</v>
      </c>
      <c r="AW2686" s="782"/>
      <c r="AX2686" s="782" t="s">
        <v>2518</v>
      </c>
      <c r="AY2686" s="782"/>
      <c r="AZ2686" s="782"/>
      <c r="BA2686" s="781"/>
      <c r="BB2686" s="209"/>
    </row>
    <row r="2687" spans="1:54" ht="24.75" hidden="1" customHeight="1">
      <c r="A2687" s="142" t="s">
        <v>120</v>
      </c>
      <c r="B2687" s="308">
        <v>45944</v>
      </c>
      <c r="C2687" s="644" t="s">
        <v>1935</v>
      </c>
      <c r="D2687" s="185">
        <f>IF(B2687="","",YEAR(B2687))</f>
        <v>2025</v>
      </c>
      <c r="E2687" s="519" t="e">
        <f>VLOOKUP($B2687,Week!$A$1:$C$1462,2,0)</f>
        <v>#N/A</v>
      </c>
      <c r="F2687" s="520" t="str">
        <f>IF(B2687="","",TEXT(B2687,"[$-409]mmm"))</f>
        <v>Oct</v>
      </c>
      <c r="G2687" s="644" t="s">
        <v>47</v>
      </c>
      <c r="H2687" s="311" t="s">
        <v>518</v>
      </c>
      <c r="I2687" s="311" t="s">
        <v>2702</v>
      </c>
      <c r="J2687" s="312" t="s">
        <v>70</v>
      </c>
      <c r="K2687" s="313" t="s">
        <v>85</v>
      </c>
      <c r="L2687" s="390" t="s">
        <v>2166</v>
      </c>
      <c r="M2687" s="312" t="s">
        <v>515</v>
      </c>
      <c r="N2687" s="311" t="s">
        <v>588</v>
      </c>
      <c r="O2687" s="311" t="s">
        <v>546</v>
      </c>
      <c r="P2687" s="314">
        <v>12</v>
      </c>
      <c r="Q2687" s="314">
        <v>20</v>
      </c>
      <c r="R2687" s="315">
        <v>6.1999999999999998E-3</v>
      </c>
      <c r="S2687" s="311" t="s">
        <v>352</v>
      </c>
      <c r="T2687" s="311" t="s">
        <v>56</v>
      </c>
      <c r="U2687" s="311"/>
      <c r="V2687" s="316">
        <f>300+9</f>
        <v>309</v>
      </c>
      <c r="W2687" s="316">
        <f>788-479</f>
        <v>309</v>
      </c>
      <c r="X2687" s="317"/>
      <c r="Y2687" s="318">
        <f t="shared" si="1093"/>
        <v>0</v>
      </c>
      <c r="Z2687" s="319">
        <f t="shared" si="1094"/>
        <v>0</v>
      </c>
      <c r="AA2687" s="319">
        <f>Q2687*Z2687</f>
        <v>0</v>
      </c>
      <c r="AB2687" s="815"/>
      <c r="AC2687" s="316">
        <f t="shared" si="1095"/>
        <v>0</v>
      </c>
      <c r="AD2687" s="209"/>
      <c r="AE2687" s="210">
        <f t="shared" si="1096"/>
        <v>0</v>
      </c>
      <c r="AF2687" s="210">
        <f t="shared" si="1097"/>
        <v>0</v>
      </c>
      <c r="AG2687" s="211">
        <f t="shared" si="1098"/>
        <v>0.22</v>
      </c>
      <c r="AH2687" s="157">
        <f t="shared" si="1099"/>
        <v>0</v>
      </c>
      <c r="AI2687" s="152">
        <f t="shared" si="1100"/>
        <v>3708</v>
      </c>
      <c r="AK2687" s="156" t="s">
        <v>691</v>
      </c>
      <c r="AL2687" s="156" t="s">
        <v>689</v>
      </c>
      <c r="AM2687" s="198">
        <f t="shared" si="1092"/>
        <v>0</v>
      </c>
      <c r="AN2687" s="199">
        <f>B2687</f>
        <v>45944</v>
      </c>
      <c r="AO2687" s="159" t="s">
        <v>692</v>
      </c>
      <c r="AP2687" s="783" t="s">
        <v>613</v>
      </c>
      <c r="AQ2687" s="782"/>
      <c r="AR2687" s="782" t="s">
        <v>614</v>
      </c>
      <c r="AS2687" s="782"/>
      <c r="AT2687" s="782"/>
      <c r="AU2687" s="781"/>
      <c r="AV2687" s="782">
        <v>12083143</v>
      </c>
      <c r="AW2687" s="782"/>
      <c r="AX2687" s="782" t="s">
        <v>2518</v>
      </c>
      <c r="AY2687" s="782"/>
      <c r="AZ2687" s="782"/>
      <c r="BA2687" s="781"/>
      <c r="BB2687" s="209"/>
    </row>
    <row r="2688" spans="1:54" ht="24.65" hidden="1" customHeight="1">
      <c r="A2688" s="142" t="s">
        <v>120</v>
      </c>
      <c r="B2688" s="546">
        <v>45944</v>
      </c>
      <c r="C2688" s="547">
        <v>45950</v>
      </c>
      <c r="D2688" s="549">
        <f t="shared" ref="D2688:D2695" si="1101">IF(B2688="","",YEAR(B2688))</f>
        <v>2025</v>
      </c>
      <c r="E2688" s="549" t="e">
        <f>VLOOKUP($B2688,Week!$A$1:$C$1462,2,0)</f>
        <v>#N/A</v>
      </c>
      <c r="F2688" s="548" t="str">
        <f t="shared" ref="F2688:F2695" si="1102">IF(B2688="","",TEXT(B2688,"[$-409]mmm"))</f>
        <v>Oct</v>
      </c>
      <c r="G2688" s="864" t="s">
        <v>2362</v>
      </c>
      <c r="H2688" s="549" t="s">
        <v>134</v>
      </c>
      <c r="I2688" s="549" t="s">
        <v>2772</v>
      </c>
      <c r="J2688" s="550" t="s">
        <v>164</v>
      </c>
      <c r="K2688" s="551" t="s">
        <v>153</v>
      </c>
      <c r="L2688" s="551" t="s">
        <v>2166</v>
      </c>
      <c r="M2688" s="550" t="s">
        <v>2363</v>
      </c>
      <c r="N2688" s="549" t="s">
        <v>2364</v>
      </c>
      <c r="O2688" s="549" t="s">
        <v>2365</v>
      </c>
      <c r="P2688" s="552">
        <v>18</v>
      </c>
      <c r="Q2688" s="552">
        <v>8</v>
      </c>
      <c r="R2688" s="553">
        <v>6.8100000000000001E-3</v>
      </c>
      <c r="S2688" s="549" t="s">
        <v>76</v>
      </c>
      <c r="T2688" s="549" t="s">
        <v>56</v>
      </c>
      <c r="U2688" s="865" t="s">
        <v>499</v>
      </c>
      <c r="V2688" s="554">
        <v>500</v>
      </c>
      <c r="W2688" s="554">
        <f>498</f>
        <v>498</v>
      </c>
      <c r="X2688" s="555"/>
      <c r="Y2688" s="556">
        <f t="shared" si="1093"/>
        <v>-2</v>
      </c>
      <c r="Z2688" s="557">
        <f t="shared" si="1094"/>
        <v>36</v>
      </c>
      <c r="AA2688" s="557">
        <f t="shared" ref="AA2688:AA2695" si="1103">Q2688*Z2688</f>
        <v>288</v>
      </c>
      <c r="AB2688" s="833">
        <v>1</v>
      </c>
      <c r="AC2688" s="554">
        <f t="shared" si="1095"/>
        <v>36</v>
      </c>
      <c r="AD2688" s="209"/>
      <c r="AE2688" s="210">
        <f t="shared" si="1096"/>
        <v>1.9612799999999997E-3</v>
      </c>
      <c r="AF2688" s="210">
        <f t="shared" si="1097"/>
        <v>3.6319999999999994E-3</v>
      </c>
      <c r="AG2688" s="211">
        <f t="shared" si="1098"/>
        <v>0.126</v>
      </c>
      <c r="AH2688" s="157">
        <f t="shared" si="1099"/>
        <v>4.5359999999999992E-3</v>
      </c>
      <c r="AI2688" s="152">
        <f t="shared" si="1100"/>
        <v>9000</v>
      </c>
      <c r="AK2688" s="156" t="s">
        <v>691</v>
      </c>
      <c r="AL2688" s="156" t="s">
        <v>689</v>
      </c>
      <c r="AM2688" s="198">
        <f t="shared" si="1092"/>
        <v>4.5359999999999996</v>
      </c>
      <c r="AN2688" s="199">
        <f t="shared" ref="AN2688:AN2695" si="1104">B2688</f>
        <v>45944</v>
      </c>
      <c r="AO2688" s="159" t="s">
        <v>692</v>
      </c>
      <c r="AP2688" s="783"/>
      <c r="AQ2688" s="783" t="s">
        <v>631</v>
      </c>
      <c r="AR2688" s="796">
        <v>12038019</v>
      </c>
      <c r="AS2688" s="781"/>
      <c r="AT2688" s="782">
        <v>12083322</v>
      </c>
      <c r="AU2688" s="781"/>
      <c r="AV2688" s="796">
        <v>12083496</v>
      </c>
      <c r="AW2688" s="781"/>
      <c r="AX2688" s="781" t="s">
        <v>162</v>
      </c>
      <c r="AY2688" s="781"/>
      <c r="AZ2688" s="781"/>
      <c r="BA2688" s="781"/>
      <c r="BB2688" s="209"/>
    </row>
    <row r="2689" spans="1:54" ht="24.65" hidden="1" customHeight="1">
      <c r="A2689" s="142" t="s">
        <v>120</v>
      </c>
      <c r="B2689" s="258">
        <v>45944</v>
      </c>
      <c r="C2689" s="259">
        <v>45950</v>
      </c>
      <c r="D2689" s="185">
        <f>IF(B2689="","",YEAR(B2689))</f>
        <v>2025</v>
      </c>
      <c r="E2689" s="260" t="e">
        <f>VLOOKUP($B2689,Week!$A$1:$C$1462,2,0)</f>
        <v>#N/A</v>
      </c>
      <c r="F2689" s="261" t="str">
        <f>IF(B2689="","",TEXT(B2689,"[$-409]mmm"))</f>
        <v>Oct</v>
      </c>
      <c r="G2689" s="262" t="s">
        <v>2475</v>
      </c>
      <c r="H2689" s="260" t="s">
        <v>134</v>
      </c>
      <c r="I2689" s="260" t="s">
        <v>2772</v>
      </c>
      <c r="J2689" s="263" t="s">
        <v>164</v>
      </c>
      <c r="K2689" s="264" t="s">
        <v>153</v>
      </c>
      <c r="L2689" s="390" t="s">
        <v>2166</v>
      </c>
      <c r="M2689" s="263" t="s">
        <v>165</v>
      </c>
      <c r="N2689" s="260" t="s">
        <v>166</v>
      </c>
      <c r="O2689" s="260" t="s">
        <v>502</v>
      </c>
      <c r="P2689" s="265">
        <v>20</v>
      </c>
      <c r="Q2689" s="265">
        <v>12</v>
      </c>
      <c r="R2689" s="266">
        <v>6.8100000000000001E-3</v>
      </c>
      <c r="S2689" s="260" t="s">
        <v>76</v>
      </c>
      <c r="T2689" s="260" t="s">
        <v>56</v>
      </c>
      <c r="U2689" s="260" t="s">
        <v>89</v>
      </c>
      <c r="V2689" s="267">
        <f>1200-274</f>
        <v>926</v>
      </c>
      <c r="W2689" s="267">
        <f>634</f>
        <v>634</v>
      </c>
      <c r="X2689" s="268">
        <f>(6120-280)/20</f>
        <v>292</v>
      </c>
      <c r="Y2689" s="269">
        <f t="shared" si="1093"/>
        <v>0</v>
      </c>
      <c r="Z2689" s="270">
        <f t="shared" si="1094"/>
        <v>0</v>
      </c>
      <c r="AA2689" s="270">
        <f>Q2689*Z2689</f>
        <v>0</v>
      </c>
      <c r="AB2689" s="811">
        <v>2</v>
      </c>
      <c r="AC2689" s="267">
        <f t="shared" si="1095"/>
        <v>0</v>
      </c>
      <c r="AD2689" s="209" t="s">
        <v>168</v>
      </c>
      <c r="AE2689" s="210">
        <f t="shared" si="1096"/>
        <v>0</v>
      </c>
      <c r="AF2689" s="210">
        <f t="shared" si="1097"/>
        <v>0</v>
      </c>
      <c r="AG2689" s="211">
        <f t="shared" si="1098"/>
        <v>0.154</v>
      </c>
      <c r="AH2689" s="157">
        <f t="shared" si="1099"/>
        <v>0</v>
      </c>
      <c r="AI2689" s="152">
        <f t="shared" si="1100"/>
        <v>18520</v>
      </c>
      <c r="AK2689" s="156" t="s">
        <v>691</v>
      </c>
      <c r="AL2689" s="156" t="s">
        <v>689</v>
      </c>
      <c r="AM2689" s="198">
        <f t="shared" si="1092"/>
        <v>0</v>
      </c>
      <c r="AN2689" s="199">
        <f>B2689</f>
        <v>45944</v>
      </c>
      <c r="AO2689" s="159" t="s">
        <v>692</v>
      </c>
      <c r="AP2689" s="783" t="s">
        <v>610</v>
      </c>
      <c r="AQ2689" s="783" t="s">
        <v>631</v>
      </c>
      <c r="AR2689" s="783" t="s">
        <v>523</v>
      </c>
      <c r="AS2689" s="781"/>
      <c r="AT2689" s="782">
        <v>12096524</v>
      </c>
      <c r="AU2689" s="781"/>
      <c r="AV2689" s="783" t="s">
        <v>2507</v>
      </c>
      <c r="AW2689" s="781"/>
      <c r="AX2689" s="782" t="s">
        <v>398</v>
      </c>
      <c r="AY2689" s="781"/>
      <c r="AZ2689" s="781"/>
      <c r="BA2689" s="781"/>
      <c r="BB2689" s="209">
        <v>23053184</v>
      </c>
    </row>
    <row r="2690" spans="1:54" ht="25.9" hidden="1" customHeight="1">
      <c r="A2690" s="142" t="s">
        <v>120</v>
      </c>
      <c r="B2690" s="235">
        <v>45944</v>
      </c>
      <c r="C2690" s="235">
        <v>45965</v>
      </c>
      <c r="D2690" s="185">
        <f>IF(B2690="","",YEAR(B2690))</f>
        <v>2025</v>
      </c>
      <c r="E2690" s="236" t="e">
        <f>VLOOKUP($B2690,Week!$A$1:$C$1462,2,0)</f>
        <v>#N/A</v>
      </c>
      <c r="F2690" s="237" t="str">
        <f>IF(B2690="","",TEXT(B2690,"[$-409]mmm"))</f>
        <v>Oct</v>
      </c>
      <c r="G2690" s="236" t="s">
        <v>2509</v>
      </c>
      <c r="H2690" s="236" t="s">
        <v>392</v>
      </c>
      <c r="I2690" s="236" t="s">
        <v>2772</v>
      </c>
      <c r="J2690" s="238" t="s">
        <v>393</v>
      </c>
      <c r="K2690" s="239" t="s">
        <v>153</v>
      </c>
      <c r="L2690" s="390" t="s">
        <v>2166</v>
      </c>
      <c r="M2690" s="238" t="s">
        <v>165</v>
      </c>
      <c r="N2690" s="236" t="s">
        <v>685</v>
      </c>
      <c r="O2690" s="236" t="s">
        <v>167</v>
      </c>
      <c r="P2690" s="240">
        <v>20</v>
      </c>
      <c r="Q2690" s="240">
        <v>12</v>
      </c>
      <c r="R2690" s="241">
        <v>6.8100000000000001E-3</v>
      </c>
      <c r="S2690" s="236" t="s">
        <v>76</v>
      </c>
      <c r="T2690" s="236" t="s">
        <v>56</v>
      </c>
      <c r="U2690" s="236" t="s">
        <v>89</v>
      </c>
      <c r="V2690" s="242">
        <f>350</f>
        <v>350</v>
      </c>
      <c r="W2690" s="242">
        <v>350</v>
      </c>
      <c r="X2690" s="243"/>
      <c r="Y2690" s="244">
        <f t="shared" si="1093"/>
        <v>0</v>
      </c>
      <c r="Z2690" s="245">
        <f t="shared" si="1094"/>
        <v>0</v>
      </c>
      <c r="AA2690" s="245">
        <f>Q2690*Z2690</f>
        <v>0</v>
      </c>
      <c r="AB2690" s="809">
        <v>2</v>
      </c>
      <c r="AC2690" s="242">
        <f t="shared" si="1095"/>
        <v>0</v>
      </c>
      <c r="AD2690" s="209"/>
      <c r="AE2690" s="210">
        <f t="shared" si="1096"/>
        <v>0</v>
      </c>
      <c r="AF2690" s="210">
        <f t="shared" si="1097"/>
        <v>0</v>
      </c>
      <c r="AG2690" s="211">
        <f t="shared" si="1098"/>
        <v>0.154</v>
      </c>
      <c r="AH2690" s="157">
        <f t="shared" si="1099"/>
        <v>0</v>
      </c>
      <c r="AI2690" s="152">
        <f t="shared" si="1100"/>
        <v>7000</v>
      </c>
      <c r="AK2690" s="156" t="s">
        <v>691</v>
      </c>
      <c r="AL2690" s="156" t="s">
        <v>689</v>
      </c>
      <c r="AM2690" s="198">
        <f t="shared" si="1092"/>
        <v>0</v>
      </c>
      <c r="AN2690" s="199">
        <f>B2690</f>
        <v>45944</v>
      </c>
      <c r="AO2690" s="159" t="s">
        <v>692</v>
      </c>
      <c r="AP2690" s="783" t="s">
        <v>622</v>
      </c>
      <c r="AQ2690" s="783" t="s">
        <v>631</v>
      </c>
      <c r="AR2690" s="783" t="s">
        <v>523</v>
      </c>
      <c r="AS2690" s="781"/>
      <c r="AT2690" s="783" t="s">
        <v>607</v>
      </c>
      <c r="AU2690" s="781"/>
      <c r="AV2690" s="783" t="s">
        <v>606</v>
      </c>
      <c r="AW2690" s="781"/>
      <c r="AX2690" s="781" t="s">
        <v>398</v>
      </c>
      <c r="AY2690" s="781"/>
      <c r="AZ2690" s="782"/>
      <c r="BA2690" s="781"/>
      <c r="BB2690" s="209">
        <v>23053184</v>
      </c>
    </row>
    <row r="2691" spans="1:54" ht="24.75" hidden="1" customHeight="1">
      <c r="B2691" s="295">
        <v>45945</v>
      </c>
      <c r="C2691" s="771" t="s">
        <v>1934</v>
      </c>
      <c r="D2691" s="185">
        <f t="shared" si="1101"/>
        <v>2025</v>
      </c>
      <c r="E2691" s="296" t="e">
        <f>VLOOKUP($B2691,Week!$A$1:$C$1462,2,0)</f>
        <v>#N/A</v>
      </c>
      <c r="F2691" s="297" t="str">
        <f t="shared" si="1102"/>
        <v>Oct</v>
      </c>
      <c r="G2691" s="648" t="s">
        <v>47</v>
      </c>
      <c r="H2691" s="298" t="s">
        <v>260</v>
      </c>
      <c r="I2691" s="298" t="s">
        <v>2702</v>
      </c>
      <c r="J2691" s="307" t="s">
        <v>2240</v>
      </c>
      <c r="K2691" s="300" t="s">
        <v>176</v>
      </c>
      <c r="L2691" s="300" t="s">
        <v>2167</v>
      </c>
      <c r="M2691" s="299" t="s">
        <v>2338</v>
      </c>
      <c r="N2691" s="298" t="s">
        <v>350</v>
      </c>
      <c r="O2691" s="298" t="s">
        <v>351</v>
      </c>
      <c r="P2691" s="301">
        <v>24</v>
      </c>
      <c r="Q2691" s="301">
        <v>5</v>
      </c>
      <c r="R2691" s="302">
        <v>6.1999999999999998E-3</v>
      </c>
      <c r="S2691" s="298" t="s">
        <v>352</v>
      </c>
      <c r="T2691" s="298" t="s">
        <v>56</v>
      </c>
      <c r="U2691" s="298" t="s">
        <v>57</v>
      </c>
      <c r="V2691" s="303">
        <f>10000-950-1852-2259-954-1174-1977+1</f>
        <v>835</v>
      </c>
      <c r="W2691" s="303">
        <f>835</f>
        <v>835</v>
      </c>
      <c r="X2691" s="304"/>
      <c r="Y2691" s="305">
        <f t="shared" si="1093"/>
        <v>0</v>
      </c>
      <c r="Z2691" s="306">
        <f t="shared" si="1094"/>
        <v>0</v>
      </c>
      <c r="AA2691" s="306">
        <f t="shared" si="1103"/>
        <v>0</v>
      </c>
      <c r="AB2691" s="814">
        <v>7.4999999999999997E-3</v>
      </c>
      <c r="AC2691" s="303">
        <f t="shared" si="1095"/>
        <v>0</v>
      </c>
      <c r="AD2691" s="443"/>
      <c r="AE2691" s="210">
        <f t="shared" si="1096"/>
        <v>0</v>
      </c>
      <c r="AF2691" s="210">
        <f t="shared" si="1097"/>
        <v>0</v>
      </c>
      <c r="AG2691" s="211">
        <f t="shared" si="1098"/>
        <v>0.13</v>
      </c>
      <c r="AH2691" s="157">
        <f t="shared" si="1099"/>
        <v>0</v>
      </c>
      <c r="AI2691" s="152">
        <f t="shared" si="1100"/>
        <v>20040</v>
      </c>
      <c r="AK2691" s="156" t="s">
        <v>691</v>
      </c>
      <c r="AL2691" s="574" t="s">
        <v>690</v>
      </c>
      <c r="AM2691" s="198">
        <f t="shared" si="1092"/>
        <v>0</v>
      </c>
      <c r="AN2691" s="199">
        <f t="shared" si="1104"/>
        <v>45945</v>
      </c>
      <c r="AO2691" s="159" t="s">
        <v>692</v>
      </c>
      <c r="AP2691" s="783" t="s">
        <v>622</v>
      </c>
      <c r="AQ2691" s="782">
        <v>12071839</v>
      </c>
      <c r="AR2691" s="782">
        <v>12094356</v>
      </c>
      <c r="AS2691" s="782">
        <v>12068233</v>
      </c>
      <c r="AT2691" s="781"/>
      <c r="AU2691" s="781"/>
      <c r="AV2691" s="782">
        <v>12062075</v>
      </c>
      <c r="AW2691" s="781"/>
      <c r="AX2691" s="781"/>
      <c r="AY2691" s="782">
        <v>12094357</v>
      </c>
      <c r="AZ2691" s="782"/>
      <c r="BA2691" s="781"/>
      <c r="BB2691" s="209">
        <v>23053184</v>
      </c>
    </row>
    <row r="2692" spans="1:54" ht="24.75" hidden="1" customHeight="1">
      <c r="B2692" s="295">
        <v>45945</v>
      </c>
      <c r="C2692" s="771" t="s">
        <v>1935</v>
      </c>
      <c r="D2692" s="185">
        <f t="shared" si="1101"/>
        <v>2025</v>
      </c>
      <c r="E2692" s="296" t="e">
        <f>VLOOKUP($B2692,Week!$A$1:$C$1462,2,0)</f>
        <v>#N/A</v>
      </c>
      <c r="F2692" s="297" t="str">
        <f t="shared" si="1102"/>
        <v>Oct</v>
      </c>
      <c r="G2692" s="648" t="s">
        <v>47</v>
      </c>
      <c r="H2692" s="298" t="s">
        <v>260</v>
      </c>
      <c r="I2692" s="298" t="s">
        <v>2702</v>
      </c>
      <c r="J2692" s="307" t="s">
        <v>2240</v>
      </c>
      <c r="K2692" s="300" t="s">
        <v>176</v>
      </c>
      <c r="L2692" s="300" t="s">
        <v>2167</v>
      </c>
      <c r="M2692" s="299" t="s">
        <v>2338</v>
      </c>
      <c r="N2692" s="298" t="s">
        <v>350</v>
      </c>
      <c r="O2692" s="298" t="s">
        <v>351</v>
      </c>
      <c r="P2692" s="301">
        <v>24</v>
      </c>
      <c r="Q2692" s="301">
        <v>5</v>
      </c>
      <c r="R2692" s="302">
        <v>6.0000000000000001E-3</v>
      </c>
      <c r="S2692" s="298" t="s">
        <v>352</v>
      </c>
      <c r="T2692" s="298" t="s">
        <v>56</v>
      </c>
      <c r="U2692" s="298" t="s">
        <v>57</v>
      </c>
      <c r="V2692" s="303">
        <f>959-835</f>
        <v>124</v>
      </c>
      <c r="W2692" s="303">
        <v>124</v>
      </c>
      <c r="X2692" s="304"/>
      <c r="Y2692" s="305">
        <f t="shared" si="1093"/>
        <v>0</v>
      </c>
      <c r="Z2692" s="306">
        <f t="shared" si="1094"/>
        <v>0</v>
      </c>
      <c r="AA2692" s="306">
        <f t="shared" si="1103"/>
        <v>0</v>
      </c>
      <c r="AB2692" s="814">
        <v>7.4999999999999997E-3</v>
      </c>
      <c r="AC2692" s="303">
        <f t="shared" si="1095"/>
        <v>0</v>
      </c>
      <c r="AD2692" s="443"/>
      <c r="AE2692" s="210">
        <f t="shared" si="1096"/>
        <v>0</v>
      </c>
      <c r="AF2692" s="210">
        <f t="shared" si="1097"/>
        <v>0</v>
      </c>
      <c r="AG2692" s="211">
        <f t="shared" si="1098"/>
        <v>0.13</v>
      </c>
      <c r="AH2692" s="157">
        <f t="shared" si="1099"/>
        <v>0</v>
      </c>
      <c r="AI2692" s="152">
        <f t="shared" si="1100"/>
        <v>2976</v>
      </c>
      <c r="AK2692" s="156" t="s">
        <v>691</v>
      </c>
      <c r="AL2692" s="574" t="s">
        <v>690</v>
      </c>
      <c r="AM2692" s="198">
        <f t="shared" si="1092"/>
        <v>0</v>
      </c>
      <c r="AN2692" s="199">
        <f t="shared" si="1104"/>
        <v>45945</v>
      </c>
      <c r="AO2692" s="159" t="s">
        <v>692</v>
      </c>
      <c r="AP2692" s="783" t="s">
        <v>622</v>
      </c>
      <c r="AQ2692" s="782">
        <v>12071839</v>
      </c>
      <c r="AR2692" s="782">
        <v>12094356</v>
      </c>
      <c r="AS2692" s="782">
        <v>12068233</v>
      </c>
      <c r="AT2692" s="781"/>
      <c r="AU2692" s="781"/>
      <c r="AV2692" s="782">
        <v>12062075</v>
      </c>
      <c r="AW2692" s="781"/>
      <c r="AX2692" s="781"/>
      <c r="AY2692" s="782">
        <v>12094357</v>
      </c>
      <c r="AZ2692" s="782"/>
      <c r="BA2692" s="781"/>
      <c r="BB2692" s="209">
        <v>23053184</v>
      </c>
    </row>
    <row r="2693" spans="1:54" ht="24.65" hidden="1" customHeight="1">
      <c r="B2693" s="224">
        <v>45945</v>
      </c>
      <c r="C2693" s="224">
        <v>45965</v>
      </c>
      <c r="D2693" s="185">
        <f>IF(B2693="","",YEAR(B2693))</f>
        <v>2025</v>
      </c>
      <c r="E2693" s="225" t="e">
        <f>VLOOKUP($B2693,Week!$A$1:$C$1462,2,0)</f>
        <v>#N/A</v>
      </c>
      <c r="F2693" s="226" t="str">
        <f>IF(B2693="","",TEXT(B2693,"[$-409]mmm"))</f>
        <v>Oct</v>
      </c>
      <c r="G2693" s="225" t="s">
        <v>2509</v>
      </c>
      <c r="H2693" s="225" t="s">
        <v>392</v>
      </c>
      <c r="I2693" s="225" t="s">
        <v>2772</v>
      </c>
      <c r="J2693" s="227" t="s">
        <v>393</v>
      </c>
      <c r="K2693" s="228" t="s">
        <v>176</v>
      </c>
      <c r="L2693" s="300" t="s">
        <v>2167</v>
      </c>
      <c r="M2693" s="228" t="s">
        <v>399</v>
      </c>
      <c r="N2693" s="225" t="s">
        <v>400</v>
      </c>
      <c r="O2693" s="225" t="s">
        <v>195</v>
      </c>
      <c r="P2693" s="229">
        <v>24</v>
      </c>
      <c r="Q2693" s="229">
        <v>5</v>
      </c>
      <c r="R2693" s="230">
        <v>8.0000000000000002E-3</v>
      </c>
      <c r="S2693" s="225" t="s">
        <v>40</v>
      </c>
      <c r="T2693" s="225" t="s">
        <v>56</v>
      </c>
      <c r="U2693" s="225" t="s">
        <v>57</v>
      </c>
      <c r="V2693" s="231">
        <f>925</f>
        <v>925</v>
      </c>
      <c r="W2693" s="231">
        <f>7+918</f>
        <v>925</v>
      </c>
      <c r="X2693" s="232"/>
      <c r="Y2693" s="233">
        <f t="shared" si="1093"/>
        <v>0</v>
      </c>
      <c r="Z2693" s="234">
        <f t="shared" si="1094"/>
        <v>0</v>
      </c>
      <c r="AA2693" s="234">
        <f>Q2693*Z2693</f>
        <v>0</v>
      </c>
      <c r="AB2693" s="808">
        <v>7.4999999999999997E-3</v>
      </c>
      <c r="AC2693" s="231">
        <f t="shared" si="1095"/>
        <v>0</v>
      </c>
      <c r="AD2693" s="220"/>
      <c r="AE2693" s="210">
        <f t="shared" si="1096"/>
        <v>0</v>
      </c>
      <c r="AF2693" s="210">
        <f t="shared" si="1097"/>
        <v>0</v>
      </c>
      <c r="AG2693" s="211">
        <f t="shared" si="1098"/>
        <v>0.14499999999999999</v>
      </c>
      <c r="AH2693" s="157">
        <f t="shared" si="1099"/>
        <v>0</v>
      </c>
      <c r="AI2693" s="152">
        <f t="shared" si="1100"/>
        <v>22200</v>
      </c>
      <c r="AK2693" s="156" t="s">
        <v>691</v>
      </c>
      <c r="AL2693" s="574" t="s">
        <v>690</v>
      </c>
      <c r="AM2693" s="198">
        <f t="shared" si="1092"/>
        <v>0</v>
      </c>
      <c r="AN2693" s="199">
        <f>B2693</f>
        <v>45945</v>
      </c>
      <c r="AO2693" s="159" t="s">
        <v>692</v>
      </c>
      <c r="AP2693" s="783" t="s">
        <v>638</v>
      </c>
      <c r="AQ2693" s="783" t="s">
        <v>631</v>
      </c>
      <c r="AR2693" s="783" t="s">
        <v>632</v>
      </c>
      <c r="AS2693" s="783" t="s">
        <v>633</v>
      </c>
      <c r="AT2693" s="781"/>
      <c r="AU2693" s="783" t="s">
        <v>2596</v>
      </c>
      <c r="AV2693" s="783" t="s">
        <v>2380</v>
      </c>
      <c r="AW2693" s="783" t="s">
        <v>2597</v>
      </c>
      <c r="AX2693" s="781"/>
      <c r="AY2693" s="783" t="s">
        <v>2463</v>
      </c>
      <c r="AZ2693" s="783" t="s">
        <v>2464</v>
      </c>
      <c r="BA2693" s="783" t="s">
        <v>2465</v>
      </c>
      <c r="BB2693" s="209">
        <v>23053185</v>
      </c>
    </row>
    <row r="2694" spans="1:54" ht="25" hidden="1" customHeight="1">
      <c r="B2694" s="345">
        <v>45945</v>
      </c>
      <c r="C2694" s="464">
        <v>45987</v>
      </c>
      <c r="D2694" s="185">
        <f t="shared" si="1101"/>
        <v>2025</v>
      </c>
      <c r="E2694" s="464" t="e">
        <f>VLOOKUP($B2694,Week!$A$1:$C$1462,2,0)</f>
        <v>#N/A</v>
      </c>
      <c r="F2694" s="465" t="str">
        <f t="shared" si="1102"/>
        <v>Oct</v>
      </c>
      <c r="G2694" s="347" t="s">
        <v>2478</v>
      </c>
      <c r="H2694" s="347" t="s">
        <v>134</v>
      </c>
      <c r="I2694" s="347" t="s">
        <v>2772</v>
      </c>
      <c r="J2694" s="349" t="s">
        <v>135</v>
      </c>
      <c r="K2694" s="350" t="s">
        <v>107</v>
      </c>
      <c r="L2694" s="300" t="s">
        <v>2167</v>
      </c>
      <c r="M2694" s="349" t="s">
        <v>136</v>
      </c>
      <c r="N2694" s="347" t="s">
        <v>137</v>
      </c>
      <c r="O2694" s="347" t="s">
        <v>138</v>
      </c>
      <c r="P2694" s="351">
        <v>24</v>
      </c>
      <c r="Q2694" s="351">
        <v>3</v>
      </c>
      <c r="R2694" s="352">
        <v>7.4999999999999997E-3</v>
      </c>
      <c r="S2694" s="347" t="s">
        <v>111</v>
      </c>
      <c r="T2694" s="347" t="s">
        <v>56</v>
      </c>
      <c r="U2694" s="347" t="s">
        <v>572</v>
      </c>
      <c r="V2694" s="353">
        <f>250</f>
        <v>250</v>
      </c>
      <c r="W2694" s="353">
        <f>13+191+28+18</f>
        <v>250</v>
      </c>
      <c r="X2694" s="354"/>
      <c r="Y2694" s="355">
        <f t="shared" si="1093"/>
        <v>0</v>
      </c>
      <c r="Z2694" s="356">
        <f t="shared" si="1094"/>
        <v>0</v>
      </c>
      <c r="AA2694" s="356">
        <f t="shared" si="1103"/>
        <v>0</v>
      </c>
      <c r="AB2694" s="818">
        <v>1</v>
      </c>
      <c r="AC2694" s="353">
        <f t="shared" si="1095"/>
        <v>0</v>
      </c>
      <c r="AD2694" s="443"/>
      <c r="AE2694" s="210">
        <f t="shared" si="1096"/>
        <v>0</v>
      </c>
      <c r="AF2694" s="210">
        <f t="shared" si="1097"/>
        <v>0</v>
      </c>
      <c r="AG2694" s="211">
        <f t="shared" si="1098"/>
        <v>0.219</v>
      </c>
      <c r="AH2694" s="157">
        <f t="shared" si="1099"/>
        <v>0</v>
      </c>
      <c r="AI2694" s="152">
        <f t="shared" si="1100"/>
        <v>6000</v>
      </c>
      <c r="AK2694" s="156" t="s">
        <v>691</v>
      </c>
      <c r="AL2694" s="212" t="s">
        <v>690</v>
      </c>
      <c r="AM2694" s="198">
        <f t="shared" si="1092"/>
        <v>0</v>
      </c>
      <c r="AN2694" s="199">
        <f t="shared" si="1104"/>
        <v>45945</v>
      </c>
      <c r="AO2694" s="159" t="s">
        <v>692</v>
      </c>
      <c r="AP2694" s="783" t="s">
        <v>610</v>
      </c>
      <c r="AQ2694" s="796" t="s">
        <v>1500</v>
      </c>
      <c r="AR2694" s="782" t="s">
        <v>140</v>
      </c>
      <c r="AS2694" s="782" t="s">
        <v>141</v>
      </c>
      <c r="AT2694" s="782"/>
      <c r="AU2694" s="783" t="s">
        <v>568</v>
      </c>
      <c r="AV2694" s="796" t="s">
        <v>569</v>
      </c>
      <c r="AW2694" s="796" t="s">
        <v>570</v>
      </c>
      <c r="AX2694" s="782"/>
      <c r="AY2694" s="782">
        <v>12095878</v>
      </c>
      <c r="AZ2694" s="782">
        <v>12095879</v>
      </c>
      <c r="BA2694" s="782">
        <v>12095880</v>
      </c>
    </row>
    <row r="2695" spans="1:54" ht="25" hidden="1" customHeight="1">
      <c r="B2695" s="345">
        <v>45945</v>
      </c>
      <c r="C2695" s="464">
        <v>45966</v>
      </c>
      <c r="D2695" s="185">
        <f t="shared" si="1101"/>
        <v>2025</v>
      </c>
      <c r="E2695" s="464" t="e">
        <f>VLOOKUP($B2695,Week!$A$1:$C$1462,2,0)</f>
        <v>#N/A</v>
      </c>
      <c r="F2695" s="465" t="str">
        <f t="shared" si="1102"/>
        <v>Oct</v>
      </c>
      <c r="G2695" s="347" t="s">
        <v>2535</v>
      </c>
      <c r="H2695" s="347" t="s">
        <v>344</v>
      </c>
      <c r="I2695" s="347" t="s">
        <v>2772</v>
      </c>
      <c r="J2695" s="349" t="s">
        <v>345</v>
      </c>
      <c r="K2695" s="350" t="s">
        <v>107</v>
      </c>
      <c r="L2695" s="300" t="s">
        <v>2167</v>
      </c>
      <c r="M2695" s="349" t="s">
        <v>136</v>
      </c>
      <c r="N2695" s="347" t="s">
        <v>2526</v>
      </c>
      <c r="O2695" s="347" t="s">
        <v>138</v>
      </c>
      <c r="P2695" s="351">
        <v>24</v>
      </c>
      <c r="Q2695" s="351">
        <v>3</v>
      </c>
      <c r="R2695" s="352">
        <v>7.4999999999999997E-3</v>
      </c>
      <c r="S2695" s="347" t="s">
        <v>111</v>
      </c>
      <c r="T2695" s="347" t="s">
        <v>56</v>
      </c>
      <c r="U2695" s="347" t="s">
        <v>572</v>
      </c>
      <c r="V2695" s="353">
        <f>10</f>
        <v>10</v>
      </c>
      <c r="W2695" s="353"/>
      <c r="X2695" s="354">
        <f>(249)/24</f>
        <v>10.375</v>
      </c>
      <c r="Y2695" s="355">
        <f t="shared" si="1093"/>
        <v>0.375</v>
      </c>
      <c r="Z2695" s="356">
        <f t="shared" si="1094"/>
        <v>0</v>
      </c>
      <c r="AA2695" s="356">
        <f t="shared" si="1103"/>
        <v>0</v>
      </c>
      <c r="AB2695" s="818">
        <v>1</v>
      </c>
      <c r="AC2695" s="353">
        <f t="shared" si="1095"/>
        <v>0</v>
      </c>
      <c r="AD2695" s="443"/>
      <c r="AE2695" s="210">
        <f t="shared" si="1096"/>
        <v>0</v>
      </c>
      <c r="AF2695" s="210">
        <f t="shared" si="1097"/>
        <v>0</v>
      </c>
      <c r="AG2695" s="211">
        <f t="shared" si="1098"/>
        <v>0.219</v>
      </c>
      <c r="AH2695" s="157">
        <f t="shared" si="1099"/>
        <v>0</v>
      </c>
      <c r="AI2695" s="152">
        <f t="shared" si="1100"/>
        <v>240</v>
      </c>
      <c r="AK2695" s="156" t="s">
        <v>691</v>
      </c>
      <c r="AL2695" s="212" t="s">
        <v>690</v>
      </c>
      <c r="AM2695" s="198">
        <f t="shared" si="1092"/>
        <v>0</v>
      </c>
      <c r="AN2695" s="199">
        <f t="shared" si="1104"/>
        <v>45945</v>
      </c>
      <c r="AO2695" s="159" t="s">
        <v>692</v>
      </c>
      <c r="AP2695" s="783" t="s">
        <v>610</v>
      </c>
      <c r="AQ2695" s="796" t="s">
        <v>1500</v>
      </c>
      <c r="AR2695" s="782" t="s">
        <v>140</v>
      </c>
      <c r="AS2695" s="782" t="s">
        <v>141</v>
      </c>
      <c r="AT2695" s="782"/>
      <c r="AU2695" s="783" t="s">
        <v>568</v>
      </c>
      <c r="AV2695" s="796" t="s">
        <v>569</v>
      </c>
      <c r="AW2695" s="796" t="s">
        <v>570</v>
      </c>
      <c r="AX2695" s="782"/>
      <c r="AY2695" s="782">
        <v>12095878</v>
      </c>
      <c r="AZ2695" s="782">
        <v>12095879</v>
      </c>
      <c r="BA2695" s="782">
        <v>12095880</v>
      </c>
    </row>
    <row r="2696" spans="1:54" ht="25" hidden="1" customHeight="1">
      <c r="B2696" s="385">
        <v>45945</v>
      </c>
      <c r="C2696" s="386">
        <v>45965</v>
      </c>
      <c r="D2696" s="185">
        <f t="shared" ref="D2696:D2721" si="1105">IF(B2696="","",YEAR(B2696))</f>
        <v>2025</v>
      </c>
      <c r="E2696" s="386" t="e">
        <f>VLOOKUP($B2696,Week!$A$1:$C$1462,2,0)</f>
        <v>#N/A</v>
      </c>
      <c r="F2696" s="387" t="str">
        <f t="shared" ref="F2696:F2721" si="1106">IF(B2696="","",TEXT(B2696,"[$-409]mmm"))</f>
        <v>Oct</v>
      </c>
      <c r="G2696" s="388" t="s">
        <v>2552</v>
      </c>
      <c r="H2696" s="388" t="s">
        <v>600</v>
      </c>
      <c r="I2696" s="388" t="s">
        <v>2772</v>
      </c>
      <c r="J2696" s="389" t="s">
        <v>708</v>
      </c>
      <c r="K2696" s="390" t="s">
        <v>1652</v>
      </c>
      <c r="L2696" s="300" t="s">
        <v>2167</v>
      </c>
      <c r="M2696" s="389" t="s">
        <v>603</v>
      </c>
      <c r="N2696" s="637" t="s">
        <v>1404</v>
      </c>
      <c r="O2696" s="388" t="s">
        <v>602</v>
      </c>
      <c r="P2696" s="391">
        <v>8</v>
      </c>
      <c r="Q2696" s="391">
        <v>3</v>
      </c>
      <c r="R2696" s="392">
        <v>6.0000000000000001E-3</v>
      </c>
      <c r="S2696" s="388" t="s">
        <v>55</v>
      </c>
      <c r="T2696" s="388" t="s">
        <v>112</v>
      </c>
      <c r="U2696" s="601" t="s">
        <v>724</v>
      </c>
      <c r="V2696" s="393">
        <v>3500</v>
      </c>
      <c r="W2696" s="393"/>
      <c r="X2696" s="394">
        <f>215+1435+664+1064+116</f>
        <v>3494</v>
      </c>
      <c r="Y2696" s="395">
        <f t="shared" si="1093"/>
        <v>-6</v>
      </c>
      <c r="Z2696" s="396">
        <f t="shared" si="1094"/>
        <v>48</v>
      </c>
      <c r="AA2696" s="396">
        <f t="shared" ref="AA2696:AA2721" si="1107">Q2696*Z2696</f>
        <v>144</v>
      </c>
      <c r="AB2696" s="823">
        <v>5.8823E-2</v>
      </c>
      <c r="AC2696" s="393">
        <f t="shared" si="1095"/>
        <v>2.8235039999999998</v>
      </c>
      <c r="AD2696" s="636"/>
      <c r="AE2696" s="210">
        <f t="shared" si="1096"/>
        <v>8.6400000000000008E-4</v>
      </c>
      <c r="AF2696" s="210">
        <f t="shared" si="1097"/>
        <v>1.6000000000000001E-3</v>
      </c>
      <c r="AG2696" s="211">
        <f t="shared" si="1098"/>
        <v>0.30199999999999999</v>
      </c>
      <c r="AH2696" s="157">
        <v>0.26621999999999996</v>
      </c>
      <c r="AI2696" s="152">
        <f t="shared" si="1100"/>
        <v>28000</v>
      </c>
      <c r="AK2696" s="156" t="s">
        <v>691</v>
      </c>
      <c r="AL2696" s="212" t="s">
        <v>690</v>
      </c>
      <c r="AM2696" s="198">
        <f t="shared" si="1092"/>
        <v>14.495999999999999</v>
      </c>
      <c r="AN2696" s="199">
        <f t="shared" ref="AN2696:AN2721" si="1108">B2696</f>
        <v>45945</v>
      </c>
      <c r="AO2696" s="159" t="s">
        <v>692</v>
      </c>
      <c r="AP2696" s="781" t="s">
        <v>642</v>
      </c>
      <c r="AQ2696" s="782">
        <v>12063755</v>
      </c>
      <c r="AR2696" s="782">
        <v>12061353</v>
      </c>
      <c r="AS2696" s="782">
        <v>12061354</v>
      </c>
      <c r="AT2696" s="782">
        <v>12091199</v>
      </c>
      <c r="AU2696" s="781"/>
      <c r="AV2696" s="782">
        <v>12091198</v>
      </c>
      <c r="AW2696" s="781"/>
      <c r="AX2696" s="781"/>
      <c r="AY2696" s="781"/>
      <c r="AZ2696" s="782"/>
      <c r="BA2696" s="781"/>
    </row>
    <row r="2697" spans="1:54" ht="24.65" hidden="1" customHeight="1">
      <c r="A2697" s="630" t="s">
        <v>120</v>
      </c>
      <c r="B2697" s="466">
        <v>45946</v>
      </c>
      <c r="C2697" s="517">
        <v>45951</v>
      </c>
      <c r="D2697" s="185">
        <f t="shared" si="1105"/>
        <v>2025</v>
      </c>
      <c r="E2697" s="468" t="e">
        <f>VLOOKUP($B2697,Week!$A$1:$C$1462,2,0)</f>
        <v>#N/A</v>
      </c>
      <c r="F2697" s="469" t="str">
        <f t="shared" si="1106"/>
        <v>Oct</v>
      </c>
      <c r="G2697" s="470" t="s">
        <v>2536</v>
      </c>
      <c r="H2697" s="468" t="s">
        <v>82</v>
      </c>
      <c r="I2697" s="468" t="s">
        <v>82</v>
      </c>
      <c r="J2697" s="471" t="s">
        <v>720</v>
      </c>
      <c r="K2697" s="472" t="s">
        <v>85</v>
      </c>
      <c r="L2697" s="390" t="s">
        <v>2166</v>
      </c>
      <c r="M2697" s="471" t="s">
        <v>579</v>
      </c>
      <c r="N2697" s="468" t="s">
        <v>580</v>
      </c>
      <c r="O2697" s="468" t="s">
        <v>581</v>
      </c>
      <c r="P2697" s="473">
        <v>8</v>
      </c>
      <c r="Q2697" s="473">
        <v>60</v>
      </c>
      <c r="R2697" s="474">
        <v>6.8100000000000001E-3</v>
      </c>
      <c r="S2697" s="468" t="s">
        <v>76</v>
      </c>
      <c r="T2697" s="468" t="s">
        <v>56</v>
      </c>
      <c r="U2697" s="468" t="s">
        <v>89</v>
      </c>
      <c r="V2697" s="475">
        <v>1408</v>
      </c>
      <c r="W2697" s="475">
        <f>17+1391</f>
        <v>1408</v>
      </c>
      <c r="X2697" s="476"/>
      <c r="Y2697" s="477">
        <f t="shared" si="1093"/>
        <v>0</v>
      </c>
      <c r="Z2697" s="478">
        <f t="shared" si="1094"/>
        <v>0</v>
      </c>
      <c r="AA2697" s="478">
        <f t="shared" si="1107"/>
        <v>0</v>
      </c>
      <c r="AB2697" s="828">
        <v>6</v>
      </c>
      <c r="AC2697" s="475">
        <f t="shared" si="1095"/>
        <v>0</v>
      </c>
      <c r="AD2697" s="209"/>
      <c r="AE2697" s="210">
        <f t="shared" si="1096"/>
        <v>0</v>
      </c>
      <c r="AF2697" s="210">
        <f t="shared" si="1097"/>
        <v>0</v>
      </c>
      <c r="AG2697" s="211">
        <f t="shared" si="1098"/>
        <v>0.75</v>
      </c>
      <c r="AH2697" s="157">
        <f t="shared" ref="AH2697:AH2704" si="1109">(Z2697*AG2697)/1000</f>
        <v>0</v>
      </c>
      <c r="AI2697" s="152">
        <f t="shared" si="1100"/>
        <v>11264</v>
      </c>
      <c r="AK2697" s="156" t="s">
        <v>691</v>
      </c>
      <c r="AL2697" s="156" t="s">
        <v>689</v>
      </c>
      <c r="AM2697" s="198">
        <f t="shared" si="1092"/>
        <v>0</v>
      </c>
      <c r="AN2697" s="199">
        <f t="shared" si="1108"/>
        <v>45946</v>
      </c>
      <c r="AO2697" s="159" t="s">
        <v>692</v>
      </c>
      <c r="AP2697" s="783" t="s">
        <v>622</v>
      </c>
      <c r="AQ2697" s="782">
        <v>12088677</v>
      </c>
      <c r="AR2697" s="782" t="s">
        <v>2142</v>
      </c>
      <c r="AS2697" s="782"/>
      <c r="AT2697" s="782">
        <v>12082897</v>
      </c>
      <c r="AU2697" s="781"/>
      <c r="AV2697" s="782">
        <v>12082898</v>
      </c>
      <c r="AW2697" s="782">
        <v>12082899</v>
      </c>
      <c r="AX2697" s="796" t="s">
        <v>621</v>
      </c>
      <c r="AY2697" s="782"/>
      <c r="AZ2697" s="782"/>
      <c r="BA2697" s="781"/>
      <c r="BB2697" s="209">
        <v>23053184</v>
      </c>
    </row>
    <row r="2698" spans="1:54" ht="26.25" hidden="1" customHeight="1">
      <c r="B2698" s="235">
        <v>45947</v>
      </c>
      <c r="C2698" s="235">
        <v>45965</v>
      </c>
      <c r="D2698" s="185">
        <f t="shared" si="1105"/>
        <v>2025</v>
      </c>
      <c r="E2698" s="236" t="e">
        <f>VLOOKUP($B2698,Week!$A$1:$C$1462,2,0)</f>
        <v>#N/A</v>
      </c>
      <c r="F2698" s="237" t="str">
        <f t="shared" si="1106"/>
        <v>Oct</v>
      </c>
      <c r="G2698" s="236" t="s">
        <v>2509</v>
      </c>
      <c r="H2698" s="236" t="s">
        <v>392</v>
      </c>
      <c r="I2698" s="236" t="s">
        <v>2772</v>
      </c>
      <c r="J2698" s="238" t="s">
        <v>393</v>
      </c>
      <c r="K2698" s="239" t="s">
        <v>1643</v>
      </c>
      <c r="L2698" s="300" t="s">
        <v>2167</v>
      </c>
      <c r="M2698" s="238" t="s">
        <v>2385</v>
      </c>
      <c r="N2698" s="236" t="s">
        <v>407</v>
      </c>
      <c r="O2698" s="236" t="s">
        <v>206</v>
      </c>
      <c r="P2698" s="240">
        <v>24</v>
      </c>
      <c r="Q2698" s="240">
        <v>5</v>
      </c>
      <c r="R2698" s="241">
        <v>8.0000000000000002E-3</v>
      </c>
      <c r="S2698" s="236" t="s">
        <v>40</v>
      </c>
      <c r="T2698" s="236" t="s">
        <v>56</v>
      </c>
      <c r="U2698" s="640" t="s">
        <v>499</v>
      </c>
      <c r="V2698" s="242">
        <v>875</v>
      </c>
      <c r="W2698" s="242">
        <f>38+837</f>
        <v>875</v>
      </c>
      <c r="X2698" s="243"/>
      <c r="Y2698" s="244">
        <f t="shared" si="1093"/>
        <v>0</v>
      </c>
      <c r="Z2698" s="245">
        <f t="shared" si="1094"/>
        <v>0</v>
      </c>
      <c r="AA2698" s="245">
        <f t="shared" si="1107"/>
        <v>0</v>
      </c>
      <c r="AB2698" s="809">
        <v>1</v>
      </c>
      <c r="AC2698" s="242">
        <f t="shared" si="1095"/>
        <v>0</v>
      </c>
      <c r="AD2698" s="209"/>
      <c r="AE2698" s="210">
        <f t="shared" si="1096"/>
        <v>0</v>
      </c>
      <c r="AF2698" s="210">
        <f t="shared" si="1097"/>
        <v>0</v>
      </c>
      <c r="AG2698" s="211">
        <f t="shared" si="1098"/>
        <v>0.115</v>
      </c>
      <c r="AH2698" s="157">
        <f t="shared" si="1109"/>
        <v>0</v>
      </c>
      <c r="AI2698" s="152">
        <f t="shared" si="1100"/>
        <v>21000</v>
      </c>
      <c r="AK2698" s="156" t="s">
        <v>691</v>
      </c>
      <c r="AL2698" s="574" t="s">
        <v>690</v>
      </c>
      <c r="AM2698" s="198">
        <f t="shared" si="1092"/>
        <v>0</v>
      </c>
      <c r="AN2698" s="199">
        <f t="shared" si="1108"/>
        <v>45947</v>
      </c>
      <c r="AO2698" s="159" t="s">
        <v>692</v>
      </c>
      <c r="AP2698" s="783" t="s">
        <v>608</v>
      </c>
      <c r="AQ2698" s="782">
        <v>12071839</v>
      </c>
      <c r="AR2698" s="782">
        <v>12047514</v>
      </c>
      <c r="AS2698" s="782">
        <v>12047515</v>
      </c>
      <c r="AT2698" s="781"/>
      <c r="AU2698" s="782" t="s">
        <v>2598</v>
      </c>
      <c r="AV2698" s="782">
        <v>12081781</v>
      </c>
      <c r="AW2698" s="782" t="s">
        <v>2599</v>
      </c>
      <c r="AX2698" s="781"/>
      <c r="AY2698" s="783" t="s">
        <v>2403</v>
      </c>
      <c r="AZ2698" s="783" t="s">
        <v>2404</v>
      </c>
      <c r="BA2698" s="783" t="s">
        <v>2405</v>
      </c>
      <c r="BB2698" s="209">
        <v>23052995</v>
      </c>
    </row>
    <row r="2699" spans="1:54" ht="25" hidden="1" customHeight="1">
      <c r="B2699" s="213">
        <v>45947</v>
      </c>
      <c r="C2699" s="214">
        <v>45987</v>
      </c>
      <c r="D2699" s="185">
        <f t="shared" si="1105"/>
        <v>2025</v>
      </c>
      <c r="E2699" s="215" t="e">
        <f>VLOOKUP($B2699,Week!$A$1:$C$1462,2,0)</f>
        <v>#N/A</v>
      </c>
      <c r="F2699" s="216" t="str">
        <f t="shared" si="1106"/>
        <v>Oct</v>
      </c>
      <c r="G2699" s="215" t="s">
        <v>2478</v>
      </c>
      <c r="H2699" s="215" t="s">
        <v>134</v>
      </c>
      <c r="I2699" s="215" t="s">
        <v>2772</v>
      </c>
      <c r="J2699" s="209" t="s">
        <v>164</v>
      </c>
      <c r="K2699" s="217" t="s">
        <v>1648</v>
      </c>
      <c r="L2699" s="300" t="s">
        <v>2167</v>
      </c>
      <c r="M2699" s="209" t="s">
        <v>193</v>
      </c>
      <c r="N2699" s="215" t="s">
        <v>205</v>
      </c>
      <c r="O2699" s="215" t="s">
        <v>206</v>
      </c>
      <c r="P2699" s="218">
        <v>24</v>
      </c>
      <c r="Q2699" s="218">
        <v>5</v>
      </c>
      <c r="R2699" s="219">
        <v>8.0000000000000002E-3</v>
      </c>
      <c r="S2699" s="215" t="s">
        <v>40</v>
      </c>
      <c r="T2699" s="215" t="s">
        <v>56</v>
      </c>
      <c r="U2699" s="480" t="s">
        <v>499</v>
      </c>
      <c r="V2699" s="220">
        <f>250</f>
        <v>250</v>
      </c>
      <c r="W2699" s="220">
        <f>6+244</f>
        <v>250</v>
      </c>
      <c r="X2699" s="221"/>
      <c r="Y2699" s="222">
        <f t="shared" si="1093"/>
        <v>0</v>
      </c>
      <c r="Z2699" s="223">
        <f t="shared" si="1094"/>
        <v>0</v>
      </c>
      <c r="AA2699" s="220">
        <f t="shared" si="1107"/>
        <v>0</v>
      </c>
      <c r="AB2699" s="807">
        <v>1</v>
      </c>
      <c r="AC2699" s="220">
        <f t="shared" si="1095"/>
        <v>0</v>
      </c>
      <c r="AD2699" s="381"/>
      <c r="AE2699" s="210">
        <f t="shared" si="1096"/>
        <v>0</v>
      </c>
      <c r="AF2699" s="210">
        <f t="shared" si="1097"/>
        <v>0</v>
      </c>
      <c r="AG2699" s="211">
        <f t="shared" si="1098"/>
        <v>0.115</v>
      </c>
      <c r="AH2699" s="157">
        <f t="shared" si="1109"/>
        <v>0</v>
      </c>
      <c r="AI2699" s="152">
        <f t="shared" si="1100"/>
        <v>6000</v>
      </c>
      <c r="AK2699" s="156" t="s">
        <v>691</v>
      </c>
      <c r="AL2699" s="212" t="s">
        <v>690</v>
      </c>
      <c r="AM2699" s="198">
        <f t="shared" si="1092"/>
        <v>0</v>
      </c>
      <c r="AN2699" s="199">
        <f t="shared" si="1108"/>
        <v>45947</v>
      </c>
      <c r="AO2699" s="159" t="s">
        <v>692</v>
      </c>
      <c r="AP2699" s="783" t="s">
        <v>610</v>
      </c>
      <c r="AQ2699" s="782">
        <v>12071839</v>
      </c>
      <c r="AR2699" s="782">
        <v>12047514</v>
      </c>
      <c r="AS2699" s="782">
        <v>12047515</v>
      </c>
      <c r="AT2699" s="782"/>
      <c r="AU2699" s="782">
        <v>12026902</v>
      </c>
      <c r="AV2699" s="782">
        <v>12054722</v>
      </c>
      <c r="AW2699" s="782">
        <v>12026904</v>
      </c>
      <c r="AX2699" s="782"/>
      <c r="AY2699" s="782">
        <v>12094111</v>
      </c>
      <c r="AZ2699" s="782">
        <v>12094113</v>
      </c>
      <c r="BA2699" s="782">
        <v>12094114</v>
      </c>
    </row>
    <row r="2700" spans="1:54" ht="25" hidden="1" customHeight="1">
      <c r="B2700" s="213">
        <v>45947</v>
      </c>
      <c r="C2700" s="214">
        <v>45966</v>
      </c>
      <c r="D2700" s="185">
        <f t="shared" si="1105"/>
        <v>2025</v>
      </c>
      <c r="E2700" s="215" t="e">
        <f>VLOOKUP($B2700,Week!$A$1:$C$1462,2,0)</f>
        <v>#N/A</v>
      </c>
      <c r="F2700" s="216" t="str">
        <f t="shared" si="1106"/>
        <v>Oct</v>
      </c>
      <c r="G2700" s="215" t="s">
        <v>2535</v>
      </c>
      <c r="H2700" s="215" t="s">
        <v>344</v>
      </c>
      <c r="I2700" s="215" t="s">
        <v>2772</v>
      </c>
      <c r="J2700" s="209" t="s">
        <v>345</v>
      </c>
      <c r="K2700" s="217" t="s">
        <v>1648</v>
      </c>
      <c r="L2700" s="300" t="s">
        <v>2167</v>
      </c>
      <c r="M2700" s="209" t="s">
        <v>193</v>
      </c>
      <c r="N2700" s="215" t="s">
        <v>2527</v>
      </c>
      <c r="O2700" s="215" t="s">
        <v>206</v>
      </c>
      <c r="P2700" s="218">
        <v>24</v>
      </c>
      <c r="Q2700" s="218">
        <v>5</v>
      </c>
      <c r="R2700" s="219">
        <v>8.0000000000000002E-3</v>
      </c>
      <c r="S2700" s="215" t="s">
        <v>40</v>
      </c>
      <c r="T2700" s="215" t="s">
        <v>56</v>
      </c>
      <c r="U2700" s="480" t="s">
        <v>499</v>
      </c>
      <c r="V2700" s="220">
        <f>15</f>
        <v>15</v>
      </c>
      <c r="W2700" s="220"/>
      <c r="X2700" s="221">
        <f>360/24</f>
        <v>15</v>
      </c>
      <c r="Y2700" s="222">
        <f t="shared" si="1093"/>
        <v>0</v>
      </c>
      <c r="Z2700" s="223">
        <f t="shared" si="1094"/>
        <v>0</v>
      </c>
      <c r="AA2700" s="220">
        <f t="shared" si="1107"/>
        <v>0</v>
      </c>
      <c r="AB2700" s="807">
        <v>1</v>
      </c>
      <c r="AC2700" s="220">
        <f t="shared" si="1095"/>
        <v>0</v>
      </c>
      <c r="AD2700" s="381"/>
      <c r="AE2700" s="210">
        <f t="shared" si="1096"/>
        <v>0</v>
      </c>
      <c r="AF2700" s="210">
        <f t="shared" si="1097"/>
        <v>0</v>
      </c>
      <c r="AG2700" s="211">
        <f t="shared" si="1098"/>
        <v>0.115</v>
      </c>
      <c r="AH2700" s="157">
        <f t="shared" si="1109"/>
        <v>0</v>
      </c>
      <c r="AI2700" s="152">
        <f t="shared" si="1100"/>
        <v>360</v>
      </c>
      <c r="AK2700" s="156" t="s">
        <v>691</v>
      </c>
      <c r="AL2700" s="212" t="s">
        <v>690</v>
      </c>
      <c r="AM2700" s="198">
        <f t="shared" si="1092"/>
        <v>0</v>
      </c>
      <c r="AN2700" s="199">
        <f t="shared" si="1108"/>
        <v>45947</v>
      </c>
      <c r="AO2700" s="159" t="s">
        <v>692</v>
      </c>
      <c r="AP2700" s="783" t="s">
        <v>610</v>
      </c>
      <c r="AQ2700" s="782">
        <v>12071839</v>
      </c>
      <c r="AR2700" s="782">
        <v>12047514</v>
      </c>
      <c r="AS2700" s="782">
        <v>12047515</v>
      </c>
      <c r="AT2700" s="782"/>
      <c r="AU2700" s="782">
        <v>12026902</v>
      </c>
      <c r="AV2700" s="782">
        <v>12054722</v>
      </c>
      <c r="AW2700" s="782">
        <v>12026904</v>
      </c>
      <c r="AX2700" s="782"/>
      <c r="AY2700" s="782">
        <v>12094111</v>
      </c>
      <c r="AZ2700" s="782">
        <v>12094113</v>
      </c>
      <c r="BA2700" s="782">
        <v>12094114</v>
      </c>
    </row>
    <row r="2701" spans="1:54" ht="25" hidden="1" customHeight="1">
      <c r="B2701" s="583">
        <v>45947</v>
      </c>
      <c r="C2701" s="795" t="s">
        <v>1934</v>
      </c>
      <c r="D2701" s="185">
        <f t="shared" si="1105"/>
        <v>2025</v>
      </c>
      <c r="E2701" s="777" t="e">
        <f>VLOOKUP($B2701,Week!$A$1:$C$1462,2,0)</f>
        <v>#N/A</v>
      </c>
      <c r="F2701" s="778" t="str">
        <f t="shared" si="1106"/>
        <v>Oct</v>
      </c>
      <c r="G2701" s="586" t="s">
        <v>47</v>
      </c>
      <c r="H2701" s="586" t="s">
        <v>260</v>
      </c>
      <c r="I2701" s="586" t="s">
        <v>2702</v>
      </c>
      <c r="J2701" s="587" t="s">
        <v>70</v>
      </c>
      <c r="K2701" s="588" t="s">
        <v>227</v>
      </c>
      <c r="L2701" s="300" t="s">
        <v>2167</v>
      </c>
      <c r="M2701" s="587" t="s">
        <v>2006</v>
      </c>
      <c r="N2701" s="586" t="s">
        <v>2004</v>
      </c>
      <c r="O2701" s="586" t="s">
        <v>2005</v>
      </c>
      <c r="P2701" s="589">
        <v>12</v>
      </c>
      <c r="Q2701" s="589">
        <v>3</v>
      </c>
      <c r="R2701" s="590">
        <v>8.0000000000000002E-3</v>
      </c>
      <c r="S2701" s="586" t="s">
        <v>352</v>
      </c>
      <c r="T2701" s="586" t="s">
        <v>56</v>
      </c>
      <c r="U2701" s="586" t="s">
        <v>2007</v>
      </c>
      <c r="V2701" s="779">
        <f>3030</f>
        <v>3030</v>
      </c>
      <c r="W2701" s="592">
        <v>3030</v>
      </c>
      <c r="X2701" s="593">
        <f>120/12</f>
        <v>10</v>
      </c>
      <c r="Y2701" s="594">
        <f t="shared" si="1093"/>
        <v>10</v>
      </c>
      <c r="Z2701" s="595">
        <f t="shared" si="1094"/>
        <v>0</v>
      </c>
      <c r="AA2701" s="595">
        <f t="shared" si="1107"/>
        <v>0</v>
      </c>
      <c r="AB2701" s="835">
        <v>0.05</v>
      </c>
      <c r="AC2701" s="592">
        <f t="shared" si="1095"/>
        <v>0</v>
      </c>
      <c r="AD2701" s="209"/>
      <c r="AE2701" s="210">
        <f t="shared" si="1096"/>
        <v>0</v>
      </c>
      <c r="AF2701" s="210">
        <f t="shared" si="1097"/>
        <v>0</v>
      </c>
      <c r="AG2701" s="211">
        <f t="shared" si="1098"/>
        <v>0.22700000000000001</v>
      </c>
      <c r="AH2701" s="157">
        <f t="shared" si="1109"/>
        <v>0</v>
      </c>
      <c r="AI2701" s="152">
        <f t="shared" si="1100"/>
        <v>36360</v>
      </c>
      <c r="AK2701" s="156" t="s">
        <v>691</v>
      </c>
      <c r="AL2701" s="212" t="s">
        <v>690</v>
      </c>
      <c r="AM2701" s="198">
        <f t="shared" si="1092"/>
        <v>0</v>
      </c>
      <c r="AN2701" s="199">
        <f t="shared" si="1108"/>
        <v>45947</v>
      </c>
      <c r="AO2701" s="159" t="s">
        <v>692</v>
      </c>
      <c r="AP2701" s="783" t="s">
        <v>622</v>
      </c>
      <c r="AQ2701" s="782">
        <v>12071839</v>
      </c>
      <c r="AR2701" s="782">
        <v>12042650</v>
      </c>
      <c r="AS2701" s="782">
        <v>12042649</v>
      </c>
      <c r="AT2701" s="782"/>
      <c r="AU2701" s="781"/>
      <c r="AV2701" s="782">
        <v>12094036</v>
      </c>
      <c r="AW2701" s="782"/>
      <c r="AX2701" s="782"/>
      <c r="AY2701" s="782">
        <v>12094035</v>
      </c>
      <c r="AZ2701" s="782">
        <v>12094041</v>
      </c>
      <c r="BA2701" s="781"/>
      <c r="BB2701" s="209">
        <v>23053184</v>
      </c>
    </row>
    <row r="2702" spans="1:54" ht="25" hidden="1" customHeight="1">
      <c r="B2702" s="602">
        <v>45947</v>
      </c>
      <c r="C2702" s="861" t="s">
        <v>1935</v>
      </c>
      <c r="D2702" s="604">
        <f t="shared" si="1105"/>
        <v>2025</v>
      </c>
      <c r="E2702" s="603" t="e">
        <f>VLOOKUP($B2702,Week!$A$1:$C$1462,2,0)</f>
        <v>#N/A</v>
      </c>
      <c r="F2702" s="605" t="str">
        <f t="shared" si="1106"/>
        <v>Oct</v>
      </c>
      <c r="G2702" s="604" t="s">
        <v>47</v>
      </c>
      <c r="H2702" s="604" t="s">
        <v>518</v>
      </c>
      <c r="I2702" s="604" t="s">
        <v>2702</v>
      </c>
      <c r="J2702" s="606" t="s">
        <v>70</v>
      </c>
      <c r="K2702" s="607" t="s">
        <v>227</v>
      </c>
      <c r="L2702" s="607" t="s">
        <v>2167</v>
      </c>
      <c r="M2702" s="606" t="s">
        <v>2554</v>
      </c>
      <c r="N2702" s="604" t="s">
        <v>2334</v>
      </c>
      <c r="O2702" s="604" t="s">
        <v>2005</v>
      </c>
      <c r="P2702" s="608">
        <v>12</v>
      </c>
      <c r="Q2702" s="608">
        <v>3</v>
      </c>
      <c r="R2702" s="609">
        <v>8.0000000000000002E-3</v>
      </c>
      <c r="S2702" s="604" t="s">
        <v>352</v>
      </c>
      <c r="T2702" s="604" t="s">
        <v>56</v>
      </c>
      <c r="U2702" s="604" t="s">
        <v>2007</v>
      </c>
      <c r="V2702" s="862">
        <f>500</f>
        <v>500</v>
      </c>
      <c r="W2702" s="610">
        <f>500</f>
        <v>500</v>
      </c>
      <c r="X2702" s="611"/>
      <c r="Y2702" s="612">
        <f t="shared" si="1093"/>
        <v>0</v>
      </c>
      <c r="Z2702" s="613">
        <f t="shared" si="1094"/>
        <v>0</v>
      </c>
      <c r="AA2702" s="613">
        <f t="shared" si="1107"/>
        <v>0</v>
      </c>
      <c r="AB2702" s="836">
        <v>0.05</v>
      </c>
      <c r="AC2702" s="610">
        <f t="shared" si="1095"/>
        <v>0</v>
      </c>
      <c r="AD2702" s="307" t="s">
        <v>2344</v>
      </c>
      <c r="AE2702" s="210">
        <f t="shared" si="1096"/>
        <v>0</v>
      </c>
      <c r="AF2702" s="210">
        <f t="shared" si="1097"/>
        <v>0</v>
      </c>
      <c r="AG2702" s="211">
        <f t="shared" si="1098"/>
        <v>0.22700000000000001</v>
      </c>
      <c r="AH2702" s="157">
        <f t="shared" si="1109"/>
        <v>0</v>
      </c>
      <c r="AI2702" s="152">
        <f t="shared" si="1100"/>
        <v>6000</v>
      </c>
      <c r="AK2702" s="156" t="s">
        <v>691</v>
      </c>
      <c r="AL2702" s="212" t="s">
        <v>690</v>
      </c>
      <c r="AM2702" s="198">
        <f t="shared" si="1092"/>
        <v>0</v>
      </c>
      <c r="AN2702" s="199">
        <f t="shared" si="1108"/>
        <v>45947</v>
      </c>
      <c r="AO2702" s="159" t="s">
        <v>692</v>
      </c>
      <c r="AP2702" s="783" t="s">
        <v>623</v>
      </c>
      <c r="AQ2702" s="782">
        <v>12071839</v>
      </c>
      <c r="AR2702" s="782">
        <v>12042650</v>
      </c>
      <c r="AS2702" s="782">
        <v>12042649</v>
      </c>
      <c r="AT2702" s="782"/>
      <c r="AU2702" s="781"/>
      <c r="AV2702" s="782">
        <v>12094036</v>
      </c>
      <c r="AW2702" s="782"/>
      <c r="AX2702" s="782"/>
      <c r="AY2702" s="782">
        <v>12094035</v>
      </c>
      <c r="AZ2702" s="782">
        <v>12094041</v>
      </c>
      <c r="BA2702" s="781"/>
      <c r="BB2702" s="209">
        <v>11044165</v>
      </c>
    </row>
    <row r="2703" spans="1:54" ht="25" hidden="1" customHeight="1">
      <c r="B2703" s="246">
        <v>45948</v>
      </c>
      <c r="C2703" s="780">
        <v>45952</v>
      </c>
      <c r="D2703" s="249">
        <f t="shared" si="1105"/>
        <v>2025</v>
      </c>
      <c r="E2703" s="247" t="e">
        <f>VLOOKUP($B2703,Week!$A$1:$C$1462,2,0)</f>
        <v>#N/A</v>
      </c>
      <c r="F2703" s="248" t="str">
        <f t="shared" si="1106"/>
        <v>Oct</v>
      </c>
      <c r="G2703" s="249" t="s">
        <v>47</v>
      </c>
      <c r="H2703" s="249" t="s">
        <v>518</v>
      </c>
      <c r="I2703" s="249" t="s">
        <v>2702</v>
      </c>
      <c r="J2703" s="250" t="s">
        <v>70</v>
      </c>
      <c r="K2703" s="251" t="s">
        <v>564</v>
      </c>
      <c r="L2703" s="251" t="s">
        <v>2167</v>
      </c>
      <c r="M2703" s="250" t="s">
        <v>2522</v>
      </c>
      <c r="N2703" s="249" t="s">
        <v>2524</v>
      </c>
      <c r="O2703" s="249" t="s">
        <v>2594</v>
      </c>
      <c r="P2703" s="252">
        <v>18</v>
      </c>
      <c r="Q2703" s="252">
        <v>3</v>
      </c>
      <c r="R2703" s="253">
        <v>8.0000000000000002E-3</v>
      </c>
      <c r="S2703" s="249" t="s">
        <v>40</v>
      </c>
      <c r="T2703" s="249" t="s">
        <v>56</v>
      </c>
      <c r="U2703" s="249" t="s">
        <v>57</v>
      </c>
      <c r="V2703" s="876">
        <f>2500</f>
        <v>2500</v>
      </c>
      <c r="W2703" s="254">
        <f>122+441</f>
        <v>563</v>
      </c>
      <c r="X2703" s="255">
        <f>(11621)/6</f>
        <v>1936.8333333333333</v>
      </c>
      <c r="Y2703" s="256">
        <f t="shared" si="1093"/>
        <v>-0.16666666666696983</v>
      </c>
      <c r="Z2703" s="257">
        <f t="shared" si="1094"/>
        <v>3.000000000007276</v>
      </c>
      <c r="AA2703" s="257">
        <f t="shared" si="1107"/>
        <v>9.0000000000218279</v>
      </c>
      <c r="AB2703" s="810">
        <v>7.4999999999999997E-3</v>
      </c>
      <c r="AC2703" s="254">
        <f t="shared" si="1095"/>
        <v>2.250000000005457E-2</v>
      </c>
      <c r="AD2703" s="209"/>
      <c r="AE2703" s="210">
        <f t="shared" si="1096"/>
        <v>7.2000000000174613E-5</v>
      </c>
      <c r="AF2703" s="210">
        <f t="shared" si="1097"/>
        <v>1.3333333333365668E-4</v>
      </c>
      <c r="AG2703" s="211">
        <f t="shared" si="1098"/>
        <v>0.22600000000000001</v>
      </c>
      <c r="AH2703" s="157">
        <f t="shared" si="1109"/>
        <v>6.7800000000164441E-4</v>
      </c>
      <c r="AI2703" s="152">
        <f t="shared" si="1100"/>
        <v>45000</v>
      </c>
      <c r="AK2703" s="156" t="s">
        <v>691</v>
      </c>
      <c r="AL2703" s="212" t="s">
        <v>690</v>
      </c>
      <c r="AM2703" s="198">
        <f t="shared" si="1092"/>
        <v>0.6780000000016444</v>
      </c>
      <c r="AN2703" s="199">
        <f t="shared" si="1108"/>
        <v>45948</v>
      </c>
      <c r="AO2703" s="159" t="s">
        <v>692</v>
      </c>
      <c r="AP2703" s="783" t="s">
        <v>623</v>
      </c>
      <c r="AQ2703" s="782">
        <v>12071839</v>
      </c>
      <c r="AR2703" s="782">
        <v>12042650</v>
      </c>
      <c r="AS2703" s="782">
        <v>12042649</v>
      </c>
      <c r="AT2703" s="782"/>
      <c r="AU2703" s="781"/>
      <c r="AV2703" s="782">
        <v>12096830</v>
      </c>
      <c r="AW2703" s="782"/>
      <c r="AX2703" s="782">
        <v>12094444</v>
      </c>
      <c r="AY2703" s="782">
        <v>12094235</v>
      </c>
      <c r="AZ2703" s="782">
        <v>12094236</v>
      </c>
      <c r="BA2703" s="781" t="s">
        <v>2600</v>
      </c>
      <c r="BB2703" s="209">
        <v>23053185</v>
      </c>
    </row>
    <row r="2704" spans="1:54" ht="25" hidden="1" customHeight="1">
      <c r="B2704" s="546">
        <v>45948</v>
      </c>
      <c r="C2704" s="877">
        <v>45952</v>
      </c>
      <c r="D2704" s="549">
        <f t="shared" si="1105"/>
        <v>2025</v>
      </c>
      <c r="E2704" s="547" t="e">
        <f>VLOOKUP($B2704,Week!$A$1:$C$1462,2,0)</f>
        <v>#N/A</v>
      </c>
      <c r="F2704" s="548" t="str">
        <f t="shared" si="1106"/>
        <v>Oct</v>
      </c>
      <c r="G2704" s="549" t="s">
        <v>47</v>
      </c>
      <c r="H2704" s="549" t="s">
        <v>518</v>
      </c>
      <c r="I2704" s="549" t="s">
        <v>2702</v>
      </c>
      <c r="J2704" s="550" t="s">
        <v>70</v>
      </c>
      <c r="K2704" s="551" t="s">
        <v>556</v>
      </c>
      <c r="L2704" s="551" t="s">
        <v>2167</v>
      </c>
      <c r="M2704" s="550" t="s">
        <v>2521</v>
      </c>
      <c r="N2704" s="618" t="s">
        <v>2523</v>
      </c>
      <c r="O2704" s="549" t="s">
        <v>2593</v>
      </c>
      <c r="P2704" s="552">
        <v>18</v>
      </c>
      <c r="Q2704" s="552">
        <v>5</v>
      </c>
      <c r="R2704" s="553">
        <v>6.0000000000000001E-3</v>
      </c>
      <c r="S2704" s="549" t="s">
        <v>55</v>
      </c>
      <c r="T2704" s="549" t="s">
        <v>56</v>
      </c>
      <c r="U2704" s="549" t="s">
        <v>57</v>
      </c>
      <c r="V2704" s="554">
        <f>2500</f>
        <v>2500</v>
      </c>
      <c r="W2704" s="554"/>
      <c r="X2704" s="555">
        <f>((847)/18)+((14995)/6)</f>
        <v>2546.2222222222222</v>
      </c>
      <c r="Y2704" s="556">
        <f t="shared" si="1093"/>
        <v>46.222222222222172</v>
      </c>
      <c r="Z2704" s="557">
        <f t="shared" si="1094"/>
        <v>0</v>
      </c>
      <c r="AA2704" s="557">
        <f t="shared" si="1107"/>
        <v>0</v>
      </c>
      <c r="AB2704" s="833">
        <v>7.4999999999999997E-3</v>
      </c>
      <c r="AC2704" s="554">
        <f t="shared" si="1095"/>
        <v>0</v>
      </c>
      <c r="AD2704" s="209"/>
      <c r="AE2704" s="210">
        <f t="shared" si="1096"/>
        <v>0</v>
      </c>
      <c r="AF2704" s="210">
        <f t="shared" si="1097"/>
        <v>0</v>
      </c>
      <c r="AG2704" s="211">
        <f t="shared" si="1098"/>
        <v>0.13500000000000001</v>
      </c>
      <c r="AH2704" s="157">
        <f t="shared" si="1109"/>
        <v>0</v>
      </c>
      <c r="AI2704" s="152">
        <f t="shared" si="1100"/>
        <v>45000</v>
      </c>
      <c r="AK2704" s="156" t="s">
        <v>691</v>
      </c>
      <c r="AL2704" s="212" t="s">
        <v>690</v>
      </c>
      <c r="AM2704" s="198">
        <f t="shared" si="1092"/>
        <v>0</v>
      </c>
      <c r="AN2704" s="199">
        <f t="shared" si="1108"/>
        <v>45948</v>
      </c>
      <c r="AO2704" s="159" t="s">
        <v>692</v>
      </c>
      <c r="AP2704" s="781"/>
      <c r="AQ2704" s="782">
        <v>12071839</v>
      </c>
      <c r="AR2704" s="782">
        <v>12047514</v>
      </c>
      <c r="AS2704" s="782">
        <v>12047515</v>
      </c>
      <c r="AT2704" s="782"/>
      <c r="AU2704" s="781"/>
      <c r="AV2704" s="782">
        <v>12096832</v>
      </c>
      <c r="AW2704" s="782"/>
      <c r="AX2704" s="782">
        <v>12091078</v>
      </c>
      <c r="AY2704" s="782">
        <v>12094380</v>
      </c>
      <c r="AZ2704" s="782">
        <v>12094381</v>
      </c>
      <c r="BA2704" s="781" t="s">
        <v>2601</v>
      </c>
      <c r="BB2704" s="209">
        <v>23053185</v>
      </c>
    </row>
    <row r="2705" spans="1:54" ht="25" hidden="1" customHeight="1">
      <c r="B2705" s="183">
        <v>45949</v>
      </c>
      <c r="C2705" s="184"/>
      <c r="D2705" s="185">
        <f t="shared" si="1105"/>
        <v>2025</v>
      </c>
      <c r="E2705" s="185" t="e">
        <f>VLOOKUP($B2705,Week!$A$1:$C$1462,2,0)</f>
        <v>#N/A</v>
      </c>
      <c r="F2705" s="186" t="str">
        <f t="shared" si="1106"/>
        <v>Oct</v>
      </c>
      <c r="G2705" s="481"/>
      <c r="H2705" s="185"/>
      <c r="I2705" s="185"/>
      <c r="J2705" s="187"/>
      <c r="K2705" s="188"/>
      <c r="L2705" s="188"/>
      <c r="M2705" s="187"/>
      <c r="N2705" s="185"/>
      <c r="O2705" s="185"/>
      <c r="P2705" s="189"/>
      <c r="Q2705" s="189"/>
      <c r="R2705" s="190"/>
      <c r="S2705" s="185"/>
      <c r="T2705" s="185"/>
      <c r="U2705" s="185"/>
      <c r="V2705" s="191"/>
      <c r="W2705" s="191"/>
      <c r="X2705" s="192"/>
      <c r="Y2705" s="193"/>
      <c r="Z2705" s="194"/>
      <c r="AA2705" s="194">
        <f t="shared" si="1107"/>
        <v>0</v>
      </c>
      <c r="AB2705" s="805"/>
      <c r="AC2705" s="191"/>
      <c r="AD2705" s="187"/>
      <c r="AE2705" s="195"/>
      <c r="AF2705" s="195"/>
      <c r="AG2705" s="196"/>
      <c r="AH2705" s="197"/>
      <c r="AK2705" s="156" t="s">
        <v>691</v>
      </c>
      <c r="AM2705" s="198">
        <f t="shared" si="1092"/>
        <v>0</v>
      </c>
      <c r="AN2705" s="199">
        <f t="shared" si="1108"/>
        <v>45949</v>
      </c>
      <c r="AO2705" s="159" t="s">
        <v>692</v>
      </c>
      <c r="AP2705" s="781"/>
      <c r="AQ2705" s="782"/>
      <c r="AR2705" s="782"/>
      <c r="AS2705" s="782"/>
      <c r="AT2705" s="782"/>
      <c r="AU2705" s="781"/>
      <c r="AV2705" s="782"/>
      <c r="AW2705" s="782"/>
      <c r="AX2705" s="782"/>
      <c r="AY2705" s="782"/>
      <c r="AZ2705" s="782"/>
      <c r="BA2705" s="781"/>
      <c r="BB2705" s="209"/>
    </row>
    <row r="2706" spans="1:54" ht="25" hidden="1" customHeight="1">
      <c r="B2706" s="357">
        <v>45950</v>
      </c>
      <c r="C2706" s="358">
        <v>45957</v>
      </c>
      <c r="D2706" s="185">
        <f t="shared" si="1105"/>
        <v>2025</v>
      </c>
      <c r="E2706" s="358" t="e">
        <f>VLOOKUP($B2706,Week!$A$1:$C$1462,2,0)</f>
        <v>#N/A</v>
      </c>
      <c r="F2706" s="360" t="str">
        <f t="shared" si="1106"/>
        <v>Oct</v>
      </c>
      <c r="G2706" s="436" t="s">
        <v>2424</v>
      </c>
      <c r="H2706" s="359" t="s">
        <v>225</v>
      </c>
      <c r="I2706" s="359" t="s">
        <v>2773</v>
      </c>
      <c r="J2706" s="361" t="s">
        <v>650</v>
      </c>
      <c r="K2706" s="362" t="s">
        <v>593</v>
      </c>
      <c r="L2706" s="300" t="s">
        <v>2167</v>
      </c>
      <c r="M2706" s="361" t="s">
        <v>717</v>
      </c>
      <c r="N2706" s="359" t="s">
        <v>719</v>
      </c>
      <c r="O2706" s="359" t="s">
        <v>230</v>
      </c>
      <c r="P2706" s="363">
        <v>12</v>
      </c>
      <c r="Q2706" s="363">
        <v>5</v>
      </c>
      <c r="R2706" s="364">
        <v>6.0000000000000001E-3</v>
      </c>
      <c r="S2706" s="359" t="s">
        <v>55</v>
      </c>
      <c r="T2706" s="359" t="s">
        <v>112</v>
      </c>
      <c r="U2706" s="359" t="s">
        <v>57</v>
      </c>
      <c r="V2706" s="365">
        <v>2600</v>
      </c>
      <c r="W2706" s="365"/>
      <c r="X2706" s="366">
        <f>(979+30221)/12</f>
        <v>2600</v>
      </c>
      <c r="Y2706" s="367">
        <f t="shared" ref="Y2706:Y2721" si="1110">(W2706+X2706)-V2706</f>
        <v>0</v>
      </c>
      <c r="Z2706" s="368">
        <f t="shared" ref="Z2706:Z2721" si="1111">IF(Y2706&lt;0,((V2706*P2706)-((W2706+X2706)*P2706)),0)</f>
        <v>0</v>
      </c>
      <c r="AA2706" s="368">
        <f t="shared" si="1107"/>
        <v>0</v>
      </c>
      <c r="AB2706" s="819">
        <v>7.4999999999999997E-3</v>
      </c>
      <c r="AC2706" s="365">
        <f t="shared" ref="AC2706:AC2721" si="1112">Z2706*AB2706</f>
        <v>0</v>
      </c>
      <c r="AD2706" s="307" t="s">
        <v>2421</v>
      </c>
      <c r="AE2706" s="210">
        <f t="shared" ref="AE2706:AE2721" si="1113">SUM(Q2706*R2706*Z2706)/1000</f>
        <v>0</v>
      </c>
      <c r="AF2706" s="210">
        <f t="shared" ref="AF2706:AF2721" si="1114">AE2706/0.54</f>
        <v>0</v>
      </c>
      <c r="AG2706" s="211">
        <f t="shared" ref="AG2706:AG2716" si="1115">MID(O2706,1,3)/1000</f>
        <v>0.25800000000000001</v>
      </c>
      <c r="AH2706" s="157">
        <f t="shared" ref="AH2706:AH2715" si="1116">(Z2706*AG2706)/1000</f>
        <v>0</v>
      </c>
      <c r="AI2706" s="152">
        <f t="shared" ref="AI2706:AI2721" si="1117">V2706*P2706</f>
        <v>31200</v>
      </c>
      <c r="AK2706" s="156" t="s">
        <v>691</v>
      </c>
      <c r="AL2706" s="574" t="s">
        <v>690</v>
      </c>
      <c r="AM2706" s="198">
        <f t="shared" si="1092"/>
        <v>0</v>
      </c>
      <c r="AN2706" s="199">
        <f t="shared" si="1108"/>
        <v>45950</v>
      </c>
      <c r="AO2706" s="159" t="s">
        <v>692</v>
      </c>
      <c r="AP2706" s="783" t="s">
        <v>612</v>
      </c>
      <c r="AQ2706" s="782">
        <v>12071839</v>
      </c>
      <c r="AR2706" s="782">
        <v>12042650</v>
      </c>
      <c r="AS2706" s="782">
        <v>12042649</v>
      </c>
      <c r="AT2706" s="782">
        <v>12096387</v>
      </c>
      <c r="AU2706" s="781"/>
      <c r="AV2706" s="782">
        <v>12088422</v>
      </c>
      <c r="AW2706" s="782"/>
      <c r="AX2706" s="782"/>
      <c r="AY2706" s="782"/>
      <c r="AZ2706" s="782"/>
      <c r="BA2706" s="781"/>
      <c r="BB2706" s="209">
        <v>23053185</v>
      </c>
    </row>
    <row r="2707" spans="1:54" ht="24.65" hidden="1" customHeight="1">
      <c r="A2707" s="623"/>
      <c r="B2707" s="308">
        <v>45950</v>
      </c>
      <c r="C2707" s="309">
        <v>45964</v>
      </c>
      <c r="D2707" s="185">
        <f t="shared" si="1105"/>
        <v>2025</v>
      </c>
      <c r="E2707" s="309" t="e">
        <f>VLOOKUP($B2707,Week!$A$1:$C$1462,2,0)</f>
        <v>#N/A</v>
      </c>
      <c r="F2707" s="310" t="str">
        <f t="shared" si="1106"/>
        <v>Oct</v>
      </c>
      <c r="G2707" s="311" t="s">
        <v>2503</v>
      </c>
      <c r="H2707" s="311" t="s">
        <v>311</v>
      </c>
      <c r="I2707" s="311" t="s">
        <v>2772</v>
      </c>
      <c r="J2707" s="312" t="s">
        <v>738</v>
      </c>
      <c r="K2707" s="313" t="s">
        <v>107</v>
      </c>
      <c r="L2707" s="300" t="s">
        <v>2167</v>
      </c>
      <c r="M2707" s="312" t="s">
        <v>313</v>
      </c>
      <c r="N2707" s="311" t="s">
        <v>314</v>
      </c>
      <c r="O2707" s="311" t="s">
        <v>110</v>
      </c>
      <c r="P2707" s="314">
        <v>36</v>
      </c>
      <c r="Q2707" s="314">
        <v>5</v>
      </c>
      <c r="R2707" s="315">
        <v>7.4999999999999997E-3</v>
      </c>
      <c r="S2707" s="311" t="s">
        <v>111</v>
      </c>
      <c r="T2707" s="311" t="s">
        <v>112</v>
      </c>
      <c r="U2707" s="311" t="s">
        <v>57</v>
      </c>
      <c r="V2707" s="316">
        <v>792</v>
      </c>
      <c r="W2707" s="316">
        <f>420</f>
        <v>420</v>
      </c>
      <c r="X2707" s="317">
        <f>(1481+11911)/36</f>
        <v>372</v>
      </c>
      <c r="Y2707" s="318">
        <f t="shared" si="1110"/>
        <v>0</v>
      </c>
      <c r="Z2707" s="319">
        <f t="shared" si="1111"/>
        <v>0</v>
      </c>
      <c r="AA2707" s="319">
        <f t="shared" si="1107"/>
        <v>0</v>
      </c>
      <c r="AB2707" s="815">
        <v>7.4999999999999997E-3</v>
      </c>
      <c r="AC2707" s="316">
        <f t="shared" si="1112"/>
        <v>0</v>
      </c>
      <c r="AD2707" s="515"/>
      <c r="AE2707" s="210">
        <f t="shared" si="1113"/>
        <v>0</v>
      </c>
      <c r="AF2707" s="210">
        <f t="shared" si="1114"/>
        <v>0</v>
      </c>
      <c r="AG2707" s="211">
        <f t="shared" si="1115"/>
        <v>0.308</v>
      </c>
      <c r="AH2707" s="157">
        <f t="shared" si="1116"/>
        <v>0</v>
      </c>
      <c r="AI2707" s="152">
        <f t="shared" si="1117"/>
        <v>28512</v>
      </c>
      <c r="AK2707" s="156" t="s">
        <v>691</v>
      </c>
      <c r="AL2707" s="212" t="s">
        <v>690</v>
      </c>
      <c r="AM2707" s="198">
        <f t="shared" si="1092"/>
        <v>0</v>
      </c>
      <c r="AN2707" s="199">
        <f t="shared" si="1108"/>
        <v>45950</v>
      </c>
      <c r="AO2707" s="159" t="s">
        <v>692</v>
      </c>
      <c r="AP2707" s="783" t="s">
        <v>644</v>
      </c>
      <c r="AQ2707" s="782">
        <v>12063755</v>
      </c>
      <c r="AR2707" s="782">
        <v>12061353</v>
      </c>
      <c r="AS2707" s="782">
        <v>12061354</v>
      </c>
      <c r="AT2707" s="782">
        <v>12062266</v>
      </c>
      <c r="AU2707" s="781"/>
      <c r="AV2707" s="782">
        <v>12088159</v>
      </c>
      <c r="AW2707" s="782">
        <v>12088207</v>
      </c>
      <c r="AX2707" s="782"/>
      <c r="AY2707" s="782">
        <v>12094237</v>
      </c>
      <c r="AZ2707" s="782"/>
      <c r="BA2707" s="781"/>
      <c r="BB2707" s="209">
        <v>23053185</v>
      </c>
    </row>
    <row r="2708" spans="1:54" ht="24.65" hidden="1" customHeight="1">
      <c r="A2708" s="623"/>
      <c r="B2708" s="308">
        <v>45950</v>
      </c>
      <c r="C2708" s="309">
        <v>45964</v>
      </c>
      <c r="D2708" s="185">
        <f t="shared" si="1105"/>
        <v>2025</v>
      </c>
      <c r="E2708" s="309" t="e">
        <f>VLOOKUP($B2708,Week!$A$1:$C$1462,2,0)</f>
        <v>#N/A</v>
      </c>
      <c r="F2708" s="310" t="str">
        <f t="shared" si="1106"/>
        <v>Oct</v>
      </c>
      <c r="G2708" s="311" t="s">
        <v>2504</v>
      </c>
      <c r="H2708" s="311" t="s">
        <v>311</v>
      </c>
      <c r="I2708" s="311" t="s">
        <v>2772</v>
      </c>
      <c r="J2708" s="312" t="s">
        <v>738</v>
      </c>
      <c r="K2708" s="313" t="s">
        <v>107</v>
      </c>
      <c r="L2708" s="300" t="s">
        <v>2167</v>
      </c>
      <c r="M2708" s="312" t="s">
        <v>313</v>
      </c>
      <c r="N2708" s="311" t="s">
        <v>314</v>
      </c>
      <c r="O2708" s="311" t="s">
        <v>110</v>
      </c>
      <c r="P2708" s="314">
        <v>36</v>
      </c>
      <c r="Q2708" s="314">
        <v>5</v>
      </c>
      <c r="R2708" s="315">
        <v>7.4999999999999997E-3</v>
      </c>
      <c r="S2708" s="311" t="s">
        <v>111</v>
      </c>
      <c r="T2708" s="311" t="s">
        <v>112</v>
      </c>
      <c r="U2708" s="311" t="s">
        <v>57</v>
      </c>
      <c r="V2708" s="316">
        <v>792</v>
      </c>
      <c r="W2708" s="316"/>
      <c r="X2708" s="317">
        <f>(28049+539)/36</f>
        <v>794.11111111111109</v>
      </c>
      <c r="Y2708" s="318">
        <f t="shared" si="1110"/>
        <v>2.1111111111110858</v>
      </c>
      <c r="Z2708" s="319">
        <f t="shared" si="1111"/>
        <v>0</v>
      </c>
      <c r="AA2708" s="319">
        <f t="shared" si="1107"/>
        <v>0</v>
      </c>
      <c r="AB2708" s="815">
        <v>7.4999999999999997E-3</v>
      </c>
      <c r="AC2708" s="316">
        <f t="shared" si="1112"/>
        <v>0</v>
      </c>
      <c r="AD2708" s="515"/>
      <c r="AE2708" s="210">
        <f t="shared" si="1113"/>
        <v>0</v>
      </c>
      <c r="AF2708" s="210">
        <f t="shared" si="1114"/>
        <v>0</v>
      </c>
      <c r="AG2708" s="211">
        <f t="shared" si="1115"/>
        <v>0.308</v>
      </c>
      <c r="AH2708" s="157">
        <f t="shared" si="1116"/>
        <v>0</v>
      </c>
      <c r="AI2708" s="152">
        <f t="shared" si="1117"/>
        <v>28512</v>
      </c>
      <c r="AK2708" s="156" t="s">
        <v>691</v>
      </c>
      <c r="AL2708" s="212" t="s">
        <v>690</v>
      </c>
      <c r="AM2708" s="198">
        <f t="shared" si="1092"/>
        <v>0</v>
      </c>
      <c r="AN2708" s="199">
        <f t="shared" si="1108"/>
        <v>45950</v>
      </c>
      <c r="AO2708" s="159" t="s">
        <v>692</v>
      </c>
      <c r="AP2708" s="783" t="s">
        <v>644</v>
      </c>
      <c r="AQ2708" s="782">
        <v>12063755</v>
      </c>
      <c r="AR2708" s="782">
        <v>12061353</v>
      </c>
      <c r="AS2708" s="782">
        <v>12061354</v>
      </c>
      <c r="AT2708" s="782">
        <v>12062266</v>
      </c>
      <c r="AU2708" s="781"/>
      <c r="AV2708" s="782">
        <v>12088159</v>
      </c>
      <c r="AW2708" s="782">
        <v>12088207</v>
      </c>
      <c r="AX2708" s="782"/>
      <c r="AY2708" s="782">
        <v>12094237</v>
      </c>
      <c r="AZ2708" s="782"/>
      <c r="BA2708" s="781"/>
      <c r="BB2708" s="209">
        <v>23053185</v>
      </c>
    </row>
    <row r="2709" spans="1:54" ht="24.65" hidden="1" customHeight="1">
      <c r="A2709" s="630" t="s">
        <v>120</v>
      </c>
      <c r="B2709" s="466">
        <v>45951</v>
      </c>
      <c r="C2709" s="517">
        <v>45955</v>
      </c>
      <c r="D2709" s="185">
        <f t="shared" si="1105"/>
        <v>2025</v>
      </c>
      <c r="E2709" s="468" t="e">
        <f>VLOOKUP($B2709,Week!$A$1:$C$1462,2,0)</f>
        <v>#N/A</v>
      </c>
      <c r="F2709" s="469" t="str">
        <f t="shared" si="1106"/>
        <v>Oct</v>
      </c>
      <c r="G2709" s="470" t="s">
        <v>2537</v>
      </c>
      <c r="H2709" s="468" t="s">
        <v>82</v>
      </c>
      <c r="I2709" s="468" t="s">
        <v>82</v>
      </c>
      <c r="J2709" s="471" t="s">
        <v>720</v>
      </c>
      <c r="K2709" s="472" t="s">
        <v>85</v>
      </c>
      <c r="L2709" s="390" t="s">
        <v>2166</v>
      </c>
      <c r="M2709" s="471" t="s">
        <v>579</v>
      </c>
      <c r="N2709" s="468" t="s">
        <v>580</v>
      </c>
      <c r="O2709" s="468" t="s">
        <v>581</v>
      </c>
      <c r="P2709" s="473">
        <v>8</v>
      </c>
      <c r="Q2709" s="473">
        <v>60</v>
      </c>
      <c r="R2709" s="474">
        <v>6.8100000000000001E-3</v>
      </c>
      <c r="S2709" s="468" t="s">
        <v>76</v>
      </c>
      <c r="T2709" s="468" t="s">
        <v>56</v>
      </c>
      <c r="U2709" s="468" t="s">
        <v>89</v>
      </c>
      <c r="V2709" s="475">
        <v>1408</v>
      </c>
      <c r="W2709" s="475">
        <f>26+1382</f>
        <v>1408</v>
      </c>
      <c r="X2709" s="476"/>
      <c r="Y2709" s="477">
        <f t="shared" si="1110"/>
        <v>0</v>
      </c>
      <c r="Z2709" s="478">
        <f t="shared" si="1111"/>
        <v>0</v>
      </c>
      <c r="AA2709" s="478">
        <f t="shared" si="1107"/>
        <v>0</v>
      </c>
      <c r="AB2709" s="828">
        <v>6</v>
      </c>
      <c r="AC2709" s="475">
        <f t="shared" si="1112"/>
        <v>0</v>
      </c>
      <c r="AD2709" s="209"/>
      <c r="AE2709" s="210">
        <f t="shared" si="1113"/>
        <v>0</v>
      </c>
      <c r="AF2709" s="210">
        <f t="shared" si="1114"/>
        <v>0</v>
      </c>
      <c r="AG2709" s="211">
        <f t="shared" si="1115"/>
        <v>0.75</v>
      </c>
      <c r="AH2709" s="157">
        <f t="shared" si="1116"/>
        <v>0</v>
      </c>
      <c r="AI2709" s="152">
        <f t="shared" si="1117"/>
        <v>11264</v>
      </c>
      <c r="AK2709" s="156" t="s">
        <v>691</v>
      </c>
      <c r="AL2709" s="156" t="s">
        <v>689</v>
      </c>
      <c r="AM2709" s="198">
        <f t="shared" si="1092"/>
        <v>0</v>
      </c>
      <c r="AN2709" s="199">
        <f t="shared" si="1108"/>
        <v>45951</v>
      </c>
      <c r="AO2709" s="159" t="s">
        <v>692</v>
      </c>
      <c r="AP2709" s="783" t="s">
        <v>622</v>
      </c>
      <c r="AQ2709" s="782">
        <v>12088677</v>
      </c>
      <c r="AR2709" s="782" t="s">
        <v>2142</v>
      </c>
      <c r="AS2709" s="782"/>
      <c r="AT2709" s="782">
        <v>12082897</v>
      </c>
      <c r="AU2709" s="781"/>
      <c r="AV2709" s="782">
        <v>12082898</v>
      </c>
      <c r="AW2709" s="782">
        <v>12082899</v>
      </c>
      <c r="AX2709" s="796" t="s">
        <v>621</v>
      </c>
      <c r="AY2709" s="782"/>
      <c r="AZ2709" s="782"/>
      <c r="BA2709" s="781"/>
      <c r="BB2709" s="209">
        <v>23053184</v>
      </c>
    </row>
    <row r="2710" spans="1:54" ht="24.65" hidden="1" customHeight="1">
      <c r="A2710" s="630" t="s">
        <v>120</v>
      </c>
      <c r="B2710" s="466">
        <v>45951</v>
      </c>
      <c r="C2710" s="517">
        <v>45957</v>
      </c>
      <c r="D2710" s="185">
        <f t="shared" si="1105"/>
        <v>2025</v>
      </c>
      <c r="E2710" s="468" t="e">
        <f>VLOOKUP($B2710,Week!$A$1:$C$1462,2,0)</f>
        <v>#N/A</v>
      </c>
      <c r="F2710" s="469" t="str">
        <f t="shared" si="1106"/>
        <v>Oct</v>
      </c>
      <c r="G2710" s="470" t="s">
        <v>2538</v>
      </c>
      <c r="H2710" s="468" t="s">
        <v>82</v>
      </c>
      <c r="I2710" s="468" t="s">
        <v>82</v>
      </c>
      <c r="J2710" s="471" t="s">
        <v>720</v>
      </c>
      <c r="K2710" s="472" t="s">
        <v>85</v>
      </c>
      <c r="L2710" s="390" t="s">
        <v>2166</v>
      </c>
      <c r="M2710" s="471" t="s">
        <v>579</v>
      </c>
      <c r="N2710" s="468" t="s">
        <v>580</v>
      </c>
      <c r="O2710" s="468" t="s">
        <v>581</v>
      </c>
      <c r="P2710" s="473">
        <v>8</v>
      </c>
      <c r="Q2710" s="473">
        <v>60</v>
      </c>
      <c r="R2710" s="474">
        <v>6.8100000000000001E-3</v>
      </c>
      <c r="S2710" s="468" t="s">
        <v>76</v>
      </c>
      <c r="T2710" s="468" t="s">
        <v>56</v>
      </c>
      <c r="U2710" s="468" t="s">
        <v>89</v>
      </c>
      <c r="V2710" s="475">
        <f>1438-1382+19</f>
        <v>75</v>
      </c>
      <c r="W2710" s="475">
        <f>56+19</f>
        <v>75</v>
      </c>
      <c r="X2710" s="476"/>
      <c r="Y2710" s="477">
        <f t="shared" si="1110"/>
        <v>0</v>
      </c>
      <c r="Z2710" s="478">
        <f t="shared" si="1111"/>
        <v>0</v>
      </c>
      <c r="AA2710" s="478">
        <f t="shared" si="1107"/>
        <v>0</v>
      </c>
      <c r="AB2710" s="828">
        <v>6</v>
      </c>
      <c r="AC2710" s="475">
        <f t="shared" si="1112"/>
        <v>0</v>
      </c>
      <c r="AD2710" s="209"/>
      <c r="AE2710" s="210">
        <f t="shared" si="1113"/>
        <v>0</v>
      </c>
      <c r="AF2710" s="210">
        <f t="shared" si="1114"/>
        <v>0</v>
      </c>
      <c r="AG2710" s="211">
        <f t="shared" si="1115"/>
        <v>0.75</v>
      </c>
      <c r="AH2710" s="157">
        <f t="shared" si="1116"/>
        <v>0</v>
      </c>
      <c r="AI2710" s="152">
        <f t="shared" si="1117"/>
        <v>600</v>
      </c>
      <c r="AK2710" s="156" t="s">
        <v>691</v>
      </c>
      <c r="AL2710" s="156" t="s">
        <v>689</v>
      </c>
      <c r="AM2710" s="198">
        <f t="shared" si="1092"/>
        <v>0</v>
      </c>
      <c r="AN2710" s="199">
        <f t="shared" si="1108"/>
        <v>45951</v>
      </c>
      <c r="AO2710" s="159" t="s">
        <v>692</v>
      </c>
      <c r="AP2710" s="783" t="s">
        <v>622</v>
      </c>
      <c r="AQ2710" s="782">
        <v>12088677</v>
      </c>
      <c r="AR2710" s="782" t="s">
        <v>2142</v>
      </c>
      <c r="AS2710" s="782"/>
      <c r="AT2710" s="782">
        <v>12082897</v>
      </c>
      <c r="AU2710" s="781"/>
      <c r="AV2710" s="782">
        <v>12082898</v>
      </c>
      <c r="AW2710" s="782">
        <v>12082899</v>
      </c>
      <c r="AX2710" s="796" t="s">
        <v>621</v>
      </c>
      <c r="AY2710" s="782"/>
      <c r="AZ2710" s="782"/>
      <c r="BA2710" s="781"/>
      <c r="BB2710" s="209">
        <v>23053184</v>
      </c>
    </row>
    <row r="2711" spans="1:54" ht="24.65" hidden="1" customHeight="1">
      <c r="A2711" s="630" t="s">
        <v>120</v>
      </c>
      <c r="B2711" s="466">
        <v>45952</v>
      </c>
      <c r="C2711" s="517">
        <v>45957</v>
      </c>
      <c r="D2711" s="185">
        <f t="shared" si="1105"/>
        <v>2025</v>
      </c>
      <c r="E2711" s="468" t="e">
        <f>VLOOKUP($B2711,Week!$A$1:$C$1462,2,0)</f>
        <v>#N/A</v>
      </c>
      <c r="F2711" s="469" t="str">
        <f t="shared" si="1106"/>
        <v>Oct</v>
      </c>
      <c r="G2711" s="470" t="s">
        <v>2538</v>
      </c>
      <c r="H2711" s="468" t="s">
        <v>82</v>
      </c>
      <c r="I2711" s="468" t="s">
        <v>82</v>
      </c>
      <c r="J2711" s="471" t="s">
        <v>720</v>
      </c>
      <c r="K2711" s="472" t="s">
        <v>85</v>
      </c>
      <c r="L2711" s="390" t="s">
        <v>2166</v>
      </c>
      <c r="M2711" s="471" t="s">
        <v>579</v>
      </c>
      <c r="N2711" s="468" t="s">
        <v>580</v>
      </c>
      <c r="O2711" s="468" t="s">
        <v>581</v>
      </c>
      <c r="P2711" s="473">
        <v>8</v>
      </c>
      <c r="Q2711" s="473">
        <v>60</v>
      </c>
      <c r="R2711" s="474">
        <v>6.8100000000000001E-3</v>
      </c>
      <c r="S2711" s="468" t="s">
        <v>76</v>
      </c>
      <c r="T2711" s="468" t="s">
        <v>56</v>
      </c>
      <c r="U2711" s="468" t="s">
        <v>89</v>
      </c>
      <c r="V2711" s="475">
        <f>1408-56-19</f>
        <v>1333</v>
      </c>
      <c r="W2711" s="475">
        <v>1333</v>
      </c>
      <c r="X2711" s="476"/>
      <c r="Y2711" s="477">
        <f t="shared" si="1110"/>
        <v>0</v>
      </c>
      <c r="Z2711" s="478">
        <f t="shared" si="1111"/>
        <v>0</v>
      </c>
      <c r="AA2711" s="478">
        <f t="shared" si="1107"/>
        <v>0</v>
      </c>
      <c r="AB2711" s="828">
        <v>6</v>
      </c>
      <c r="AC2711" s="475">
        <f t="shared" si="1112"/>
        <v>0</v>
      </c>
      <c r="AD2711" s="209"/>
      <c r="AE2711" s="210">
        <f t="shared" si="1113"/>
        <v>0</v>
      </c>
      <c r="AF2711" s="210">
        <f t="shared" si="1114"/>
        <v>0</v>
      </c>
      <c r="AG2711" s="211">
        <f t="shared" si="1115"/>
        <v>0.75</v>
      </c>
      <c r="AH2711" s="157">
        <f t="shared" si="1116"/>
        <v>0</v>
      </c>
      <c r="AI2711" s="152">
        <f t="shared" si="1117"/>
        <v>10664</v>
      </c>
      <c r="AK2711" s="156" t="s">
        <v>691</v>
      </c>
      <c r="AL2711" s="156" t="s">
        <v>689</v>
      </c>
      <c r="AM2711" s="198">
        <f t="shared" si="1092"/>
        <v>0</v>
      </c>
      <c r="AN2711" s="199">
        <f t="shared" si="1108"/>
        <v>45952</v>
      </c>
      <c r="AO2711" s="159" t="s">
        <v>692</v>
      </c>
      <c r="AP2711" s="783" t="s">
        <v>622</v>
      </c>
      <c r="AQ2711" s="782">
        <v>12088677</v>
      </c>
      <c r="AR2711" s="782" t="s">
        <v>2142</v>
      </c>
      <c r="AS2711" s="782"/>
      <c r="AT2711" s="782">
        <v>12082897</v>
      </c>
      <c r="AU2711" s="781"/>
      <c r="AV2711" s="782">
        <v>12082898</v>
      </c>
      <c r="AW2711" s="782">
        <v>12082899</v>
      </c>
      <c r="AX2711" s="796" t="s">
        <v>621</v>
      </c>
      <c r="AY2711" s="782"/>
      <c r="AZ2711" s="782"/>
      <c r="BA2711" s="781"/>
      <c r="BB2711" s="209">
        <v>23053184</v>
      </c>
    </row>
    <row r="2712" spans="1:54" ht="25" hidden="1" customHeight="1">
      <c r="B2712" s="320">
        <v>45953</v>
      </c>
      <c r="C2712" s="844" t="s">
        <v>1935</v>
      </c>
      <c r="D2712" s="185">
        <f t="shared" si="1105"/>
        <v>2025</v>
      </c>
      <c r="E2712" s="321" t="e">
        <f>VLOOKUP($B2712,Week!$A$1:$C$1462,2,0)</f>
        <v>#N/A</v>
      </c>
      <c r="F2712" s="322" t="str">
        <f t="shared" si="1106"/>
        <v>Oct</v>
      </c>
      <c r="G2712" s="323" t="s">
        <v>47</v>
      </c>
      <c r="H2712" s="323" t="s">
        <v>518</v>
      </c>
      <c r="I2712" s="323" t="s">
        <v>2702</v>
      </c>
      <c r="J2712" s="324" t="s">
        <v>70</v>
      </c>
      <c r="K2712" s="325" t="s">
        <v>564</v>
      </c>
      <c r="L2712" s="300" t="s">
        <v>2167</v>
      </c>
      <c r="M2712" s="324" t="s">
        <v>2343</v>
      </c>
      <c r="N2712" s="323" t="s">
        <v>559</v>
      </c>
      <c r="O2712" s="323" t="s">
        <v>560</v>
      </c>
      <c r="P2712" s="326">
        <v>12</v>
      </c>
      <c r="Q2712" s="326">
        <v>3</v>
      </c>
      <c r="R2712" s="327">
        <v>8.0000000000000002E-3</v>
      </c>
      <c r="S2712" s="323" t="s">
        <v>40</v>
      </c>
      <c r="T2712" s="323" t="s">
        <v>56</v>
      </c>
      <c r="U2712" s="323" t="s">
        <v>57</v>
      </c>
      <c r="V2712" s="397">
        <v>713</v>
      </c>
      <c r="W2712" s="328">
        <f>689-678+465+237</f>
        <v>713</v>
      </c>
      <c r="X2712" s="329"/>
      <c r="Y2712" s="330">
        <f t="shared" si="1110"/>
        <v>0</v>
      </c>
      <c r="Z2712" s="331">
        <f t="shared" si="1111"/>
        <v>0</v>
      </c>
      <c r="AA2712" s="331">
        <f t="shared" si="1107"/>
        <v>0</v>
      </c>
      <c r="AB2712" s="816">
        <v>7.4999999999999997E-3</v>
      </c>
      <c r="AC2712" s="328">
        <f t="shared" si="1112"/>
        <v>0</v>
      </c>
      <c r="AD2712" s="209"/>
      <c r="AE2712" s="210">
        <f t="shared" si="1113"/>
        <v>0</v>
      </c>
      <c r="AF2712" s="210">
        <f t="shared" si="1114"/>
        <v>0</v>
      </c>
      <c r="AG2712" s="211">
        <f t="shared" si="1115"/>
        <v>0.22600000000000001</v>
      </c>
      <c r="AH2712" s="157">
        <f t="shared" si="1116"/>
        <v>0</v>
      </c>
      <c r="AI2712" s="152">
        <f t="shared" si="1117"/>
        <v>8556</v>
      </c>
      <c r="AK2712" s="156" t="s">
        <v>691</v>
      </c>
      <c r="AL2712" s="212" t="s">
        <v>690</v>
      </c>
      <c r="AM2712" s="198">
        <f t="shared" si="1092"/>
        <v>0</v>
      </c>
      <c r="AN2712" s="199">
        <f t="shared" si="1108"/>
        <v>45953</v>
      </c>
      <c r="AO2712" s="159" t="s">
        <v>692</v>
      </c>
      <c r="AP2712" s="783" t="s">
        <v>623</v>
      </c>
      <c r="AQ2712" s="782">
        <v>12071839</v>
      </c>
      <c r="AR2712" s="782">
        <v>12042650</v>
      </c>
      <c r="AS2712" s="782">
        <v>12042649</v>
      </c>
      <c r="AT2712" s="782"/>
      <c r="AU2712" s="781"/>
      <c r="AV2712" s="782">
        <v>12083156</v>
      </c>
      <c r="AW2712" s="782"/>
      <c r="AX2712" s="782"/>
      <c r="AY2712" s="782">
        <v>12094235</v>
      </c>
      <c r="AZ2712" s="782">
        <v>12094236</v>
      </c>
      <c r="BA2712" s="781"/>
      <c r="BB2712" s="209">
        <v>23053185</v>
      </c>
    </row>
    <row r="2713" spans="1:54" ht="25" hidden="1" customHeight="1">
      <c r="B2713" s="332">
        <v>45953</v>
      </c>
      <c r="C2713" s="646" t="s">
        <v>1935</v>
      </c>
      <c r="D2713" s="185">
        <f t="shared" si="1105"/>
        <v>2025</v>
      </c>
      <c r="E2713" s="333" t="e">
        <f>VLOOKUP($B2713,Week!$A$1:$C$1462,2,0)</f>
        <v>#N/A</v>
      </c>
      <c r="F2713" s="334" t="str">
        <f t="shared" si="1106"/>
        <v>Oct</v>
      </c>
      <c r="G2713" s="335" t="s">
        <v>47</v>
      </c>
      <c r="H2713" s="335" t="s">
        <v>518</v>
      </c>
      <c r="I2713" s="335" t="s">
        <v>2702</v>
      </c>
      <c r="J2713" s="336" t="s">
        <v>70</v>
      </c>
      <c r="K2713" s="337" t="s">
        <v>582</v>
      </c>
      <c r="L2713" s="300" t="s">
        <v>2167</v>
      </c>
      <c r="M2713" s="336" t="s">
        <v>534</v>
      </c>
      <c r="N2713" s="530" t="s">
        <v>578</v>
      </c>
      <c r="O2713" s="335" t="s">
        <v>583</v>
      </c>
      <c r="P2713" s="338">
        <v>12</v>
      </c>
      <c r="Q2713" s="338">
        <v>3</v>
      </c>
      <c r="R2713" s="339">
        <v>6.0000000000000001E-3</v>
      </c>
      <c r="S2713" s="335" t="s">
        <v>55</v>
      </c>
      <c r="T2713" s="335" t="s">
        <v>56</v>
      </c>
      <c r="U2713" s="335" t="s">
        <v>57</v>
      </c>
      <c r="V2713" s="341">
        <f>200</f>
        <v>200</v>
      </c>
      <c r="W2713" s="341">
        <f>137-131+3+191</f>
        <v>200</v>
      </c>
      <c r="X2713" s="342"/>
      <c r="Y2713" s="343">
        <f t="shared" si="1110"/>
        <v>0</v>
      </c>
      <c r="Z2713" s="344">
        <f t="shared" si="1111"/>
        <v>0</v>
      </c>
      <c r="AA2713" s="344">
        <f t="shared" si="1107"/>
        <v>0</v>
      </c>
      <c r="AB2713" s="817">
        <v>7.4999999999999997E-3</v>
      </c>
      <c r="AC2713" s="341">
        <f t="shared" si="1112"/>
        <v>0</v>
      </c>
      <c r="AD2713" s="209"/>
      <c r="AE2713" s="210">
        <f t="shared" si="1113"/>
        <v>0</v>
      </c>
      <c r="AF2713" s="210">
        <f t="shared" si="1114"/>
        <v>0</v>
      </c>
      <c r="AG2713" s="211">
        <f t="shared" si="1115"/>
        <v>0.191</v>
      </c>
      <c r="AH2713" s="157">
        <f t="shared" si="1116"/>
        <v>0</v>
      </c>
      <c r="AI2713" s="152">
        <f t="shared" si="1117"/>
        <v>2400</v>
      </c>
      <c r="AK2713" s="156" t="s">
        <v>691</v>
      </c>
      <c r="AL2713" s="212" t="s">
        <v>690</v>
      </c>
      <c r="AM2713" s="198">
        <f t="shared" si="1092"/>
        <v>0</v>
      </c>
      <c r="AN2713" s="199">
        <f t="shared" si="1108"/>
        <v>45953</v>
      </c>
      <c r="AO2713" s="159" t="s">
        <v>692</v>
      </c>
      <c r="AP2713" s="781"/>
      <c r="AQ2713" s="782">
        <v>12071839</v>
      </c>
      <c r="AR2713" s="782">
        <v>12042650</v>
      </c>
      <c r="AS2713" s="782">
        <v>12042649</v>
      </c>
      <c r="AT2713" s="782"/>
      <c r="AU2713" s="781"/>
      <c r="AV2713" s="782">
        <v>12083313</v>
      </c>
      <c r="AW2713" s="782"/>
      <c r="AX2713" s="782"/>
      <c r="AY2713" s="782">
        <v>12094233</v>
      </c>
      <c r="AZ2713" s="782">
        <v>12094234</v>
      </c>
      <c r="BA2713" s="781"/>
      <c r="BB2713" s="209">
        <v>23053185</v>
      </c>
    </row>
    <row r="2714" spans="1:54" ht="25" hidden="1" customHeight="1">
      <c r="A2714" s="529" t="s">
        <v>1937</v>
      </c>
      <c r="B2714" s="357">
        <v>45953</v>
      </c>
      <c r="C2714" s="776" t="s">
        <v>1935</v>
      </c>
      <c r="D2714" s="185">
        <f t="shared" si="1105"/>
        <v>2025</v>
      </c>
      <c r="E2714" s="358" t="e">
        <f>VLOOKUP($B2714,Week!$A$1:$C$1462,2,0)</f>
        <v>#N/A</v>
      </c>
      <c r="F2714" s="360" t="str">
        <f t="shared" si="1106"/>
        <v>Oct</v>
      </c>
      <c r="G2714" s="359" t="s">
        <v>47</v>
      </c>
      <c r="H2714" s="359" t="s">
        <v>518</v>
      </c>
      <c r="I2714" s="359" t="s">
        <v>2702</v>
      </c>
      <c r="J2714" s="361" t="s">
        <v>70</v>
      </c>
      <c r="K2714" s="362" t="s">
        <v>94</v>
      </c>
      <c r="L2714" s="362" t="s">
        <v>2167</v>
      </c>
      <c r="M2714" s="361" t="s">
        <v>519</v>
      </c>
      <c r="N2714" s="436" t="s">
        <v>648</v>
      </c>
      <c r="O2714" s="359" t="s">
        <v>97</v>
      </c>
      <c r="P2714" s="363">
        <v>12</v>
      </c>
      <c r="Q2714" s="363">
        <v>5</v>
      </c>
      <c r="R2714" s="364">
        <v>8.0000000000000002E-3</v>
      </c>
      <c r="S2714" s="359" t="s">
        <v>40</v>
      </c>
      <c r="T2714" s="359" t="s">
        <v>56</v>
      </c>
      <c r="U2714" s="359" t="s">
        <v>57</v>
      </c>
      <c r="V2714" s="365">
        <v>12</v>
      </c>
      <c r="W2714" s="365">
        <v>12</v>
      </c>
      <c r="X2714" s="366"/>
      <c r="Y2714" s="367">
        <f t="shared" si="1110"/>
        <v>0</v>
      </c>
      <c r="Z2714" s="368">
        <f t="shared" si="1111"/>
        <v>0</v>
      </c>
      <c r="AA2714" s="368">
        <f t="shared" si="1107"/>
        <v>0</v>
      </c>
      <c r="AB2714" s="819">
        <v>7.4999999999999997E-3</v>
      </c>
      <c r="AC2714" s="365">
        <f t="shared" si="1112"/>
        <v>0</v>
      </c>
      <c r="AD2714" s="209"/>
      <c r="AE2714" s="210">
        <f t="shared" si="1113"/>
        <v>0</v>
      </c>
      <c r="AF2714" s="210">
        <f t="shared" si="1114"/>
        <v>0</v>
      </c>
      <c r="AG2714" s="211">
        <f t="shared" si="1115"/>
        <v>0.14499999999999999</v>
      </c>
      <c r="AH2714" s="157">
        <f t="shared" si="1116"/>
        <v>0</v>
      </c>
      <c r="AI2714" s="152">
        <f t="shared" si="1117"/>
        <v>144</v>
      </c>
      <c r="AK2714" s="156" t="s">
        <v>691</v>
      </c>
      <c r="AL2714" s="574" t="s">
        <v>690</v>
      </c>
      <c r="AM2714" s="198">
        <f t="shared" si="1092"/>
        <v>0</v>
      </c>
      <c r="AN2714" s="199">
        <f t="shared" si="1108"/>
        <v>45953</v>
      </c>
      <c r="AO2714" s="159" t="s">
        <v>692</v>
      </c>
      <c r="AP2714" s="783" t="s">
        <v>628</v>
      </c>
      <c r="AQ2714" s="782">
        <v>12071839</v>
      </c>
      <c r="AR2714" s="782">
        <v>12047514</v>
      </c>
      <c r="AS2714" s="782">
        <v>12047515</v>
      </c>
      <c r="AT2714" s="782"/>
      <c r="AU2714" s="781"/>
      <c r="AV2714" s="782">
        <v>12080617</v>
      </c>
      <c r="AW2714" s="782"/>
      <c r="AX2714" s="782"/>
      <c r="AY2714" s="782">
        <v>12094231</v>
      </c>
      <c r="AZ2714" s="782">
        <v>1209232</v>
      </c>
      <c r="BA2714" s="781"/>
      <c r="BB2714" s="209"/>
    </row>
    <row r="2715" spans="1:54" ht="25" hidden="1" customHeight="1">
      <c r="B2715" s="357">
        <v>45953</v>
      </c>
      <c r="C2715" s="776" t="s">
        <v>1935</v>
      </c>
      <c r="D2715" s="185">
        <f t="shared" si="1105"/>
        <v>2025</v>
      </c>
      <c r="E2715" s="358" t="e">
        <f>VLOOKUP($B2715,Week!$A$1:$C$1462,2,0)</f>
        <v>#N/A</v>
      </c>
      <c r="F2715" s="360" t="str">
        <f t="shared" si="1106"/>
        <v>Oct</v>
      </c>
      <c r="G2715" s="359" t="s">
        <v>47</v>
      </c>
      <c r="H2715" s="359" t="s">
        <v>518</v>
      </c>
      <c r="I2715" s="359" t="s">
        <v>2702</v>
      </c>
      <c r="J2715" s="361" t="s">
        <v>70</v>
      </c>
      <c r="K2715" s="362" t="s">
        <v>94</v>
      </c>
      <c r="L2715" s="300" t="s">
        <v>2167</v>
      </c>
      <c r="M2715" s="361" t="s">
        <v>2341</v>
      </c>
      <c r="N2715" s="359" t="s">
        <v>589</v>
      </c>
      <c r="O2715" s="359" t="s">
        <v>97</v>
      </c>
      <c r="P2715" s="363">
        <v>12</v>
      </c>
      <c r="Q2715" s="363">
        <v>5</v>
      </c>
      <c r="R2715" s="364">
        <v>8.0000000000000002E-3</v>
      </c>
      <c r="S2715" s="359" t="s">
        <v>40</v>
      </c>
      <c r="T2715" s="359" t="s">
        <v>56</v>
      </c>
      <c r="U2715" s="359" t="s">
        <v>57</v>
      </c>
      <c r="V2715" s="365">
        <f>1250</f>
        <v>1250</v>
      </c>
      <c r="W2715" s="365">
        <f>10+1240</f>
        <v>1250</v>
      </c>
      <c r="X2715" s="366"/>
      <c r="Y2715" s="367">
        <f t="shared" si="1110"/>
        <v>0</v>
      </c>
      <c r="Z2715" s="368">
        <f t="shared" si="1111"/>
        <v>0</v>
      </c>
      <c r="AA2715" s="368">
        <f t="shared" si="1107"/>
        <v>0</v>
      </c>
      <c r="AB2715" s="819">
        <v>7.4999999999999997E-3</v>
      </c>
      <c r="AC2715" s="365">
        <f t="shared" si="1112"/>
        <v>0</v>
      </c>
      <c r="AD2715" s="209"/>
      <c r="AE2715" s="210">
        <f t="shared" si="1113"/>
        <v>0</v>
      </c>
      <c r="AF2715" s="210">
        <f t="shared" si="1114"/>
        <v>0</v>
      </c>
      <c r="AG2715" s="211">
        <f t="shared" si="1115"/>
        <v>0.14499999999999999</v>
      </c>
      <c r="AH2715" s="157">
        <f t="shared" si="1116"/>
        <v>0</v>
      </c>
      <c r="AI2715" s="152">
        <f t="shared" si="1117"/>
        <v>15000</v>
      </c>
      <c r="AK2715" s="156" t="s">
        <v>691</v>
      </c>
      <c r="AL2715" s="574" t="s">
        <v>690</v>
      </c>
      <c r="AM2715" s="198">
        <f t="shared" si="1092"/>
        <v>0</v>
      </c>
      <c r="AN2715" s="199">
        <f t="shared" si="1108"/>
        <v>45953</v>
      </c>
      <c r="AO2715" s="159" t="s">
        <v>692</v>
      </c>
      <c r="AP2715" s="783" t="s">
        <v>628</v>
      </c>
      <c r="AQ2715" s="782">
        <v>12071839</v>
      </c>
      <c r="AR2715" s="782">
        <v>12047514</v>
      </c>
      <c r="AS2715" s="782">
        <v>12047515</v>
      </c>
      <c r="AT2715" s="782"/>
      <c r="AU2715" s="781"/>
      <c r="AV2715" s="782">
        <v>12080617</v>
      </c>
      <c r="AW2715" s="782"/>
      <c r="AX2715" s="782"/>
      <c r="AY2715" s="782">
        <v>12094231</v>
      </c>
      <c r="AZ2715" s="782">
        <v>1209232</v>
      </c>
      <c r="BA2715" s="781"/>
      <c r="BB2715" s="209">
        <v>23053185</v>
      </c>
    </row>
    <row r="2716" spans="1:54" ht="24.65" hidden="1" customHeight="1">
      <c r="B2716" s="411">
        <v>45953</v>
      </c>
      <c r="C2716" s="645" t="s">
        <v>1935</v>
      </c>
      <c r="D2716" s="185">
        <f t="shared" si="1105"/>
        <v>2025</v>
      </c>
      <c r="E2716" s="412" t="e">
        <f>VLOOKUP($B2716,Week!$A$1:$C$1462,2,0)</f>
        <v>#N/A</v>
      </c>
      <c r="F2716" s="413" t="str">
        <f t="shared" si="1106"/>
        <v>Oct</v>
      </c>
      <c r="G2716" s="414" t="s">
        <v>47</v>
      </c>
      <c r="H2716" s="414" t="s">
        <v>260</v>
      </c>
      <c r="I2716" s="414" t="s">
        <v>2702</v>
      </c>
      <c r="J2716" s="415" t="s">
        <v>261</v>
      </c>
      <c r="K2716" s="416" t="s">
        <v>94</v>
      </c>
      <c r="L2716" s="300" t="s">
        <v>2167</v>
      </c>
      <c r="M2716" s="415" t="s">
        <v>2339</v>
      </c>
      <c r="N2716" s="414" t="s">
        <v>263</v>
      </c>
      <c r="O2716" s="414" t="s">
        <v>195</v>
      </c>
      <c r="P2716" s="417">
        <v>24</v>
      </c>
      <c r="Q2716" s="417">
        <v>5</v>
      </c>
      <c r="R2716" s="418">
        <v>8.0000000000000002E-3</v>
      </c>
      <c r="S2716" s="414" t="s">
        <v>40</v>
      </c>
      <c r="T2716" s="414" t="s">
        <v>56</v>
      </c>
      <c r="U2716" s="414" t="s">
        <v>57</v>
      </c>
      <c r="V2716" s="419">
        <v>920</v>
      </c>
      <c r="W2716" s="419">
        <v>920</v>
      </c>
      <c r="X2716" s="420"/>
      <c r="Y2716" s="421">
        <f t="shared" si="1110"/>
        <v>0</v>
      </c>
      <c r="Z2716" s="422">
        <f t="shared" si="1111"/>
        <v>0</v>
      </c>
      <c r="AA2716" s="422">
        <f t="shared" si="1107"/>
        <v>0</v>
      </c>
      <c r="AB2716" s="825">
        <v>7.4999999999999997E-3</v>
      </c>
      <c r="AC2716" s="419">
        <f t="shared" si="1112"/>
        <v>0</v>
      </c>
      <c r="AD2716" s="209"/>
      <c r="AE2716" s="210">
        <f t="shared" si="1113"/>
        <v>0</v>
      </c>
      <c r="AF2716" s="210">
        <f t="shared" si="1114"/>
        <v>0</v>
      </c>
      <c r="AG2716" s="211">
        <f t="shared" si="1115"/>
        <v>0.14499999999999999</v>
      </c>
      <c r="AH2716" s="157">
        <f t="shared" ref="AH2716:AH2723" si="1118">(Z2716*AG2716)/1000</f>
        <v>0</v>
      </c>
      <c r="AI2716" s="152">
        <f t="shared" si="1117"/>
        <v>22080</v>
      </c>
      <c r="AK2716" s="156" t="s">
        <v>691</v>
      </c>
      <c r="AL2716" s="212" t="s">
        <v>690</v>
      </c>
      <c r="AM2716" s="198">
        <f t="shared" ref="AM2716:AM2721" si="1119">AG2716*Z2716</f>
        <v>0</v>
      </c>
      <c r="AN2716" s="199">
        <f t="shared" si="1108"/>
        <v>45953</v>
      </c>
      <c r="AO2716" s="159" t="s">
        <v>692</v>
      </c>
      <c r="AP2716" s="783" t="s">
        <v>609</v>
      </c>
      <c r="AQ2716" s="782">
        <v>12071839</v>
      </c>
      <c r="AR2716" s="782">
        <v>12047514</v>
      </c>
      <c r="AS2716" s="782">
        <v>12047515</v>
      </c>
      <c r="AT2716" s="781"/>
      <c r="AU2716" s="781"/>
      <c r="AV2716" s="782">
        <v>12080613</v>
      </c>
      <c r="AW2716" s="781"/>
      <c r="AX2716" s="781"/>
      <c r="AY2716" s="782">
        <v>12094241</v>
      </c>
      <c r="AZ2716" s="782">
        <v>12094242</v>
      </c>
      <c r="BA2716" s="781"/>
      <c r="BB2716" s="209">
        <v>23053185</v>
      </c>
    </row>
    <row r="2717" spans="1:54" ht="25" hidden="1" customHeight="1">
      <c r="B2717" s="424">
        <v>45953</v>
      </c>
      <c r="C2717" s="647" t="s">
        <v>1935</v>
      </c>
      <c r="D2717" s="185">
        <f t="shared" si="1105"/>
        <v>2025</v>
      </c>
      <c r="E2717" s="425" t="e">
        <f>VLOOKUP($B2717,Week!$A$1:$C$1462,2,0)</f>
        <v>#N/A</v>
      </c>
      <c r="F2717" s="426" t="str">
        <f t="shared" si="1106"/>
        <v>Oct</v>
      </c>
      <c r="G2717" s="427" t="s">
        <v>47</v>
      </c>
      <c r="H2717" s="427" t="s">
        <v>518</v>
      </c>
      <c r="I2717" s="427" t="s">
        <v>2702</v>
      </c>
      <c r="J2717" s="428" t="s">
        <v>70</v>
      </c>
      <c r="K2717" s="429" t="s">
        <v>94</v>
      </c>
      <c r="L2717" s="300" t="s">
        <v>2167</v>
      </c>
      <c r="M2717" s="428" t="s">
        <v>2342</v>
      </c>
      <c r="N2717" s="427" t="s">
        <v>587</v>
      </c>
      <c r="O2717" s="427" t="s">
        <v>3198</v>
      </c>
      <c r="P2717" s="430">
        <v>18</v>
      </c>
      <c r="Q2717" s="430">
        <v>5</v>
      </c>
      <c r="R2717" s="431">
        <v>8.0000000000000002E-3</v>
      </c>
      <c r="S2717" s="427" t="s">
        <v>40</v>
      </c>
      <c r="T2717" s="427" t="s">
        <v>56</v>
      </c>
      <c r="U2717" s="427" t="s">
        <v>89</v>
      </c>
      <c r="V2717" s="432">
        <v>1200</v>
      </c>
      <c r="W2717" s="432">
        <f>767+433</f>
        <v>1200</v>
      </c>
      <c r="X2717" s="433"/>
      <c r="Y2717" s="434">
        <f t="shared" si="1110"/>
        <v>0</v>
      </c>
      <c r="Z2717" s="435">
        <f t="shared" si="1111"/>
        <v>0</v>
      </c>
      <c r="AA2717" s="435">
        <f t="shared" si="1107"/>
        <v>0</v>
      </c>
      <c r="AB2717" s="826">
        <v>1</v>
      </c>
      <c r="AC2717" s="432">
        <f t="shared" si="1112"/>
        <v>0</v>
      </c>
      <c r="AD2717" s="209"/>
      <c r="AE2717" s="210">
        <f t="shared" si="1113"/>
        <v>0</v>
      </c>
      <c r="AF2717" s="210">
        <f t="shared" si="1114"/>
        <v>0</v>
      </c>
      <c r="AG2717" s="211" t="e">
        <f>(MID(O2717,1,3)/1000)/3</f>
        <v>#VALUE!</v>
      </c>
      <c r="AH2717" s="157" t="e">
        <f t="shared" si="1118"/>
        <v>#VALUE!</v>
      </c>
      <c r="AI2717" s="152">
        <f t="shared" si="1117"/>
        <v>21600</v>
      </c>
      <c r="AK2717" s="156" t="s">
        <v>691</v>
      </c>
      <c r="AL2717" s="212" t="s">
        <v>690</v>
      </c>
      <c r="AM2717" s="198" t="e">
        <f t="shared" si="1119"/>
        <v>#VALUE!</v>
      </c>
      <c r="AN2717" s="199">
        <f t="shared" si="1108"/>
        <v>45953</v>
      </c>
      <c r="AO2717" s="159" t="s">
        <v>692</v>
      </c>
      <c r="AP2717" s="783" t="s">
        <v>628</v>
      </c>
      <c r="AQ2717" s="782"/>
      <c r="AR2717" s="782"/>
      <c r="AS2717" s="782"/>
      <c r="AT2717" s="782"/>
      <c r="AU2717" s="781"/>
      <c r="AV2717" s="782">
        <v>12080791</v>
      </c>
      <c r="AW2717" s="782" t="s">
        <v>641</v>
      </c>
      <c r="AX2717" s="782" t="s">
        <v>533</v>
      </c>
      <c r="AY2717" s="782"/>
      <c r="AZ2717" s="782"/>
      <c r="BA2717" s="781"/>
      <c r="BB2717" s="209">
        <v>23053184</v>
      </c>
    </row>
    <row r="2718" spans="1:54" ht="25" hidden="1" customHeight="1">
      <c r="B2718" s="424">
        <v>45953</v>
      </c>
      <c r="C2718" s="647" t="s">
        <v>1935</v>
      </c>
      <c r="D2718" s="185">
        <f t="shared" si="1105"/>
        <v>2025</v>
      </c>
      <c r="E2718" s="425" t="e">
        <f>VLOOKUP($B2718,Week!$A$1:$C$1462,2,0)</f>
        <v>#N/A</v>
      </c>
      <c r="F2718" s="426" t="str">
        <f t="shared" si="1106"/>
        <v>Oct</v>
      </c>
      <c r="G2718" s="427" t="s">
        <v>47</v>
      </c>
      <c r="H2718" s="427" t="s">
        <v>518</v>
      </c>
      <c r="I2718" s="427" t="s">
        <v>2702</v>
      </c>
      <c r="J2718" s="428" t="s">
        <v>70</v>
      </c>
      <c r="K2718" s="429" t="s">
        <v>94</v>
      </c>
      <c r="L2718" s="300" t="s">
        <v>2167</v>
      </c>
      <c r="M2718" s="428" t="s">
        <v>2342</v>
      </c>
      <c r="N2718" s="427" t="s">
        <v>587</v>
      </c>
      <c r="O2718" s="427" t="s">
        <v>3198</v>
      </c>
      <c r="P2718" s="430">
        <v>18</v>
      </c>
      <c r="Q2718" s="430">
        <v>5</v>
      </c>
      <c r="R2718" s="431">
        <v>8.0000000000000002E-3</v>
      </c>
      <c r="S2718" s="427" t="s">
        <v>40</v>
      </c>
      <c r="T2718" s="427" t="s">
        <v>56</v>
      </c>
      <c r="U2718" s="427" t="s">
        <v>89</v>
      </c>
      <c r="V2718" s="432">
        <f>1200</f>
        <v>1200</v>
      </c>
      <c r="W2718" s="432">
        <f>1166-767+801</f>
        <v>1200</v>
      </c>
      <c r="X2718" s="433"/>
      <c r="Y2718" s="434">
        <f t="shared" si="1110"/>
        <v>0</v>
      </c>
      <c r="Z2718" s="435">
        <f t="shared" si="1111"/>
        <v>0</v>
      </c>
      <c r="AA2718" s="435">
        <f t="shared" si="1107"/>
        <v>0</v>
      </c>
      <c r="AB2718" s="826">
        <v>1</v>
      </c>
      <c r="AC2718" s="432">
        <f t="shared" si="1112"/>
        <v>0</v>
      </c>
      <c r="AD2718" s="209"/>
      <c r="AE2718" s="210">
        <f t="shared" si="1113"/>
        <v>0</v>
      </c>
      <c r="AF2718" s="210">
        <f t="shared" si="1114"/>
        <v>0</v>
      </c>
      <c r="AG2718" s="211" t="e">
        <f>(MID(O2718,1,3)/1000)/3</f>
        <v>#VALUE!</v>
      </c>
      <c r="AH2718" s="157" t="e">
        <f t="shared" si="1118"/>
        <v>#VALUE!</v>
      </c>
      <c r="AI2718" s="152">
        <f t="shared" si="1117"/>
        <v>21600</v>
      </c>
      <c r="AK2718" s="156" t="s">
        <v>691</v>
      </c>
      <c r="AL2718" s="212" t="s">
        <v>690</v>
      </c>
      <c r="AM2718" s="198" t="e">
        <f t="shared" si="1119"/>
        <v>#VALUE!</v>
      </c>
      <c r="AN2718" s="199">
        <f t="shared" si="1108"/>
        <v>45953</v>
      </c>
      <c r="AO2718" s="159" t="s">
        <v>692</v>
      </c>
      <c r="AP2718" s="783" t="s">
        <v>628</v>
      </c>
      <c r="AQ2718" s="782"/>
      <c r="AR2718" s="782"/>
      <c r="AS2718" s="782"/>
      <c r="AT2718" s="782"/>
      <c r="AU2718" s="781"/>
      <c r="AV2718" s="782">
        <v>12080791</v>
      </c>
      <c r="AW2718" s="782" t="s">
        <v>641</v>
      </c>
      <c r="AX2718" s="782" t="s">
        <v>533</v>
      </c>
      <c r="AY2718" s="782"/>
      <c r="AZ2718" s="782"/>
      <c r="BA2718" s="781"/>
      <c r="BB2718" s="209">
        <v>23053184</v>
      </c>
    </row>
    <row r="2719" spans="1:54" ht="25" hidden="1" customHeight="1">
      <c r="A2719" s="142" t="s">
        <v>120</v>
      </c>
      <c r="B2719" s="320">
        <v>45954</v>
      </c>
      <c r="C2719" s="321">
        <v>45965</v>
      </c>
      <c r="D2719" s="323">
        <f t="shared" si="1105"/>
        <v>2025</v>
      </c>
      <c r="E2719" s="321" t="e">
        <f>VLOOKUP($B2719,Week!$A$1:$C$1462,2,0)</f>
        <v>#N/A</v>
      </c>
      <c r="F2719" s="322" t="str">
        <f t="shared" si="1106"/>
        <v>Oct</v>
      </c>
      <c r="G2719" s="323" t="s">
        <v>2633</v>
      </c>
      <c r="H2719" s="323" t="s">
        <v>363</v>
      </c>
      <c r="I2719" s="323" t="s">
        <v>2772</v>
      </c>
      <c r="J2719" s="324" t="s">
        <v>364</v>
      </c>
      <c r="K2719" s="325" t="s">
        <v>2583</v>
      </c>
      <c r="L2719" s="325" t="s">
        <v>2166</v>
      </c>
      <c r="M2719" s="324" t="s">
        <v>2586</v>
      </c>
      <c r="N2719" s="323" t="s">
        <v>2634</v>
      </c>
      <c r="O2719" s="323" t="s">
        <v>2635</v>
      </c>
      <c r="P2719" s="326">
        <v>10</v>
      </c>
      <c r="Q2719" s="326">
        <v>50</v>
      </c>
      <c r="R2719" s="327">
        <v>6.0000000000000001E-3</v>
      </c>
      <c r="S2719" s="323" t="s">
        <v>55</v>
      </c>
      <c r="T2719" s="323" t="s">
        <v>112</v>
      </c>
      <c r="U2719" s="323" t="s">
        <v>77</v>
      </c>
      <c r="V2719" s="328">
        <v>20</v>
      </c>
      <c r="W2719" s="328"/>
      <c r="X2719" s="329">
        <v>20</v>
      </c>
      <c r="Y2719" s="330">
        <f t="shared" si="1110"/>
        <v>0</v>
      </c>
      <c r="Z2719" s="331">
        <f t="shared" si="1111"/>
        <v>0</v>
      </c>
      <c r="AA2719" s="331">
        <f t="shared" si="1107"/>
        <v>0</v>
      </c>
      <c r="AB2719" s="816">
        <v>6</v>
      </c>
      <c r="AC2719" s="328">
        <f t="shared" si="1112"/>
        <v>0</v>
      </c>
      <c r="AD2719" s="209"/>
      <c r="AE2719" s="210">
        <f t="shared" si="1113"/>
        <v>0</v>
      </c>
      <c r="AF2719" s="210">
        <f t="shared" si="1114"/>
        <v>0</v>
      </c>
      <c r="AG2719" s="211">
        <f>MID(O2719,1,3)/1000</f>
        <v>0.5</v>
      </c>
      <c r="AH2719" s="157">
        <f>(Z2719*AG2719)/1000</f>
        <v>0</v>
      </c>
      <c r="AI2719" s="152">
        <f t="shared" si="1117"/>
        <v>200</v>
      </c>
      <c r="AK2719" s="156" t="s">
        <v>691</v>
      </c>
      <c r="AL2719" s="156" t="s">
        <v>689</v>
      </c>
      <c r="AM2719" s="198">
        <f t="shared" si="1119"/>
        <v>0</v>
      </c>
      <c r="AN2719" s="199">
        <f t="shared" si="1108"/>
        <v>45954</v>
      </c>
      <c r="AO2719" s="159" t="s">
        <v>692</v>
      </c>
      <c r="AP2719" s="783" t="s">
        <v>620</v>
      </c>
      <c r="AQ2719" s="796" t="s">
        <v>422</v>
      </c>
      <c r="AR2719" s="782">
        <v>12055234</v>
      </c>
      <c r="AS2719" s="781"/>
      <c r="AT2719" s="782"/>
      <c r="AU2719" s="782"/>
      <c r="AV2719" s="782">
        <v>12094353</v>
      </c>
      <c r="AW2719" s="782"/>
      <c r="AX2719" s="782">
        <v>12036656</v>
      </c>
      <c r="AY2719" s="799" t="s">
        <v>2616</v>
      </c>
      <c r="AZ2719" s="781"/>
      <c r="BA2719" s="781"/>
      <c r="BB2719" s="209">
        <v>23053184</v>
      </c>
    </row>
    <row r="2720" spans="1:54" ht="25" hidden="1" customHeight="1">
      <c r="A2720" s="142" t="s">
        <v>120</v>
      </c>
      <c r="B2720" s="320">
        <v>45954</v>
      </c>
      <c r="C2720" s="321">
        <v>45961</v>
      </c>
      <c r="D2720" s="323">
        <f t="shared" si="1105"/>
        <v>2025</v>
      </c>
      <c r="E2720" s="321" t="e">
        <f>VLOOKUP($B2720,Week!$A$1:$C$1462,2,0)</f>
        <v>#N/A</v>
      </c>
      <c r="F2720" s="322" t="str">
        <f t="shared" si="1106"/>
        <v>Oct</v>
      </c>
      <c r="G2720" s="323" t="s">
        <v>2585</v>
      </c>
      <c r="H2720" s="323" t="s">
        <v>363</v>
      </c>
      <c r="I2720" s="323" t="s">
        <v>2772</v>
      </c>
      <c r="J2720" s="324" t="s">
        <v>364</v>
      </c>
      <c r="K2720" s="325" t="s">
        <v>2583</v>
      </c>
      <c r="L2720" s="325" t="s">
        <v>2166</v>
      </c>
      <c r="M2720" s="324" t="s">
        <v>2586</v>
      </c>
      <c r="N2720" s="323" t="s">
        <v>2584</v>
      </c>
      <c r="O2720" s="323" t="s">
        <v>2587</v>
      </c>
      <c r="P2720" s="326">
        <v>20</v>
      </c>
      <c r="Q2720" s="326">
        <v>50</v>
      </c>
      <c r="R2720" s="327">
        <v>4.0000000000000001E-3</v>
      </c>
      <c r="S2720" s="323" t="s">
        <v>55</v>
      </c>
      <c r="T2720" s="323" t="s">
        <v>112</v>
      </c>
      <c r="U2720" s="323" t="s">
        <v>77</v>
      </c>
      <c r="V2720" s="328">
        <v>218</v>
      </c>
      <c r="W2720" s="328">
        <v>218</v>
      </c>
      <c r="X2720" s="329"/>
      <c r="Y2720" s="330">
        <f t="shared" si="1110"/>
        <v>0</v>
      </c>
      <c r="Z2720" s="331">
        <f t="shared" si="1111"/>
        <v>0</v>
      </c>
      <c r="AA2720" s="331">
        <f t="shared" si="1107"/>
        <v>0</v>
      </c>
      <c r="AB2720" s="816">
        <v>6</v>
      </c>
      <c r="AC2720" s="328">
        <f t="shared" si="1112"/>
        <v>0</v>
      </c>
      <c r="AD2720" s="209"/>
      <c r="AE2720" s="210">
        <f t="shared" si="1113"/>
        <v>0</v>
      </c>
      <c r="AF2720" s="210">
        <f t="shared" si="1114"/>
        <v>0</v>
      </c>
      <c r="AG2720" s="211">
        <f>MID(O2720,1,3)/1000</f>
        <v>0.5</v>
      </c>
      <c r="AH2720" s="157">
        <f t="shared" si="1118"/>
        <v>0</v>
      </c>
      <c r="AI2720" s="152">
        <f t="shared" si="1117"/>
        <v>4360</v>
      </c>
      <c r="AK2720" s="156" t="s">
        <v>691</v>
      </c>
      <c r="AL2720" s="156" t="s">
        <v>689</v>
      </c>
      <c r="AM2720" s="198">
        <f t="shared" si="1119"/>
        <v>0</v>
      </c>
      <c r="AN2720" s="199">
        <f t="shared" si="1108"/>
        <v>45954</v>
      </c>
      <c r="AO2720" s="159" t="s">
        <v>692</v>
      </c>
      <c r="AP2720" s="783" t="s">
        <v>620</v>
      </c>
      <c r="AQ2720" s="796" t="s">
        <v>422</v>
      </c>
      <c r="AR2720" s="782">
        <v>12055234</v>
      </c>
      <c r="AS2720" s="781"/>
      <c r="AT2720" s="782"/>
      <c r="AU2720" s="782"/>
      <c r="AV2720" s="782">
        <v>12094353</v>
      </c>
      <c r="AW2720" s="782"/>
      <c r="AX2720" s="782">
        <v>12036656</v>
      </c>
      <c r="AY2720" s="799" t="s">
        <v>2616</v>
      </c>
      <c r="AZ2720" s="781"/>
      <c r="BA2720" s="781"/>
      <c r="BB2720" s="209">
        <v>23053184</v>
      </c>
    </row>
    <row r="2721" spans="1:54" ht="25" hidden="1" customHeight="1">
      <c r="A2721" s="142" t="s">
        <v>120</v>
      </c>
      <c r="B2721" s="320">
        <v>45955</v>
      </c>
      <c r="C2721" s="321">
        <v>45961</v>
      </c>
      <c r="D2721" s="323">
        <f t="shared" si="1105"/>
        <v>2025</v>
      </c>
      <c r="E2721" s="321" t="e">
        <f>VLOOKUP($B2721,Week!$A$1:$C$1462,2,0)</f>
        <v>#N/A</v>
      </c>
      <c r="F2721" s="322" t="str">
        <f t="shared" si="1106"/>
        <v>Oct</v>
      </c>
      <c r="G2721" s="323" t="s">
        <v>2585</v>
      </c>
      <c r="H2721" s="323" t="s">
        <v>363</v>
      </c>
      <c r="I2721" s="323" t="s">
        <v>2772</v>
      </c>
      <c r="J2721" s="324" t="s">
        <v>364</v>
      </c>
      <c r="K2721" s="325" t="s">
        <v>2583</v>
      </c>
      <c r="L2721" s="325" t="s">
        <v>2166</v>
      </c>
      <c r="M2721" s="324" t="s">
        <v>2586</v>
      </c>
      <c r="N2721" s="323" t="s">
        <v>2584</v>
      </c>
      <c r="O2721" s="323" t="s">
        <v>2587</v>
      </c>
      <c r="P2721" s="326">
        <v>20</v>
      </c>
      <c r="Q2721" s="326">
        <v>50</v>
      </c>
      <c r="R2721" s="327">
        <v>4.0000000000000001E-3</v>
      </c>
      <c r="S2721" s="323" t="s">
        <v>55</v>
      </c>
      <c r="T2721" s="323" t="s">
        <v>112</v>
      </c>
      <c r="U2721" s="323" t="s">
        <v>77</v>
      </c>
      <c r="V2721" s="328">
        <f>352-218</f>
        <v>134</v>
      </c>
      <c r="W2721" s="328">
        <v>134</v>
      </c>
      <c r="X2721" s="329"/>
      <c r="Y2721" s="330">
        <f t="shared" si="1110"/>
        <v>0</v>
      </c>
      <c r="Z2721" s="331">
        <f t="shared" si="1111"/>
        <v>0</v>
      </c>
      <c r="AA2721" s="331">
        <f t="shared" si="1107"/>
        <v>0</v>
      </c>
      <c r="AB2721" s="816">
        <v>6</v>
      </c>
      <c r="AC2721" s="328">
        <f t="shared" si="1112"/>
        <v>0</v>
      </c>
      <c r="AD2721" s="209"/>
      <c r="AE2721" s="210">
        <f t="shared" si="1113"/>
        <v>0</v>
      </c>
      <c r="AF2721" s="210">
        <f t="shared" si="1114"/>
        <v>0</v>
      </c>
      <c r="AG2721" s="211">
        <f>MID(O2721,1,3)/1000</f>
        <v>0.5</v>
      </c>
      <c r="AH2721" s="157">
        <f>(Z2721*AG2721)/1000</f>
        <v>0</v>
      </c>
      <c r="AI2721" s="152">
        <f t="shared" si="1117"/>
        <v>2680</v>
      </c>
      <c r="AK2721" s="156" t="s">
        <v>691</v>
      </c>
      <c r="AL2721" s="156" t="s">
        <v>689</v>
      </c>
      <c r="AM2721" s="198">
        <f t="shared" si="1119"/>
        <v>0</v>
      </c>
      <c r="AN2721" s="199">
        <f t="shared" si="1108"/>
        <v>45955</v>
      </c>
      <c r="AO2721" s="159" t="s">
        <v>692</v>
      </c>
      <c r="AP2721" s="783" t="s">
        <v>620</v>
      </c>
      <c r="AQ2721" s="796" t="s">
        <v>422</v>
      </c>
      <c r="AR2721" s="782">
        <v>12055234</v>
      </c>
      <c r="AS2721" s="781"/>
      <c r="AT2721" s="782"/>
      <c r="AU2721" s="782"/>
      <c r="AV2721" s="782">
        <v>12094353</v>
      </c>
      <c r="AW2721" s="782"/>
      <c r="AX2721" s="782">
        <v>12036656</v>
      </c>
      <c r="AY2721" s="799" t="s">
        <v>2616</v>
      </c>
      <c r="AZ2721" s="781"/>
      <c r="BA2721" s="781"/>
      <c r="BB2721" s="209">
        <v>23053184</v>
      </c>
    </row>
    <row r="2722" spans="1:54" ht="25" hidden="1" customHeight="1">
      <c r="A2722" s="754" t="s">
        <v>438</v>
      </c>
      <c r="B2722" s="332">
        <v>45955</v>
      </c>
      <c r="C2722" s="333">
        <v>45962</v>
      </c>
      <c r="D2722" s="185">
        <f t="shared" ref="D2722:D2727" si="1120">IF(B2722="","",YEAR(B2722))</f>
        <v>2025</v>
      </c>
      <c r="E2722" s="335" t="e">
        <f>VLOOKUP($B2722,Week!$A$1:$C$1462,2,0)</f>
        <v>#N/A</v>
      </c>
      <c r="F2722" s="334" t="str">
        <f t="shared" ref="F2722:F2727" si="1121">IF(B2722="","",TEXT(B2722,"[$-409]mmm"))</f>
        <v>Oct</v>
      </c>
      <c r="G2722" s="530" t="s">
        <v>2517</v>
      </c>
      <c r="H2722" s="335" t="s">
        <v>675</v>
      </c>
      <c r="I2722" s="335" t="s">
        <v>2772</v>
      </c>
      <c r="J2722" s="336" t="s">
        <v>709</v>
      </c>
      <c r="K2722" s="337" t="s">
        <v>671</v>
      </c>
      <c r="L2722" s="300" t="s">
        <v>2167</v>
      </c>
      <c r="M2722" s="336" t="s">
        <v>661</v>
      </c>
      <c r="N2722" s="335" t="s">
        <v>714</v>
      </c>
      <c r="O2722" s="335" t="s">
        <v>566</v>
      </c>
      <c r="P2722" s="338">
        <v>16</v>
      </c>
      <c r="Q2722" s="338">
        <v>6</v>
      </c>
      <c r="R2722" s="339">
        <v>6.0000000000000001E-3</v>
      </c>
      <c r="S2722" s="335" t="s">
        <v>55</v>
      </c>
      <c r="T2722" s="335" t="s">
        <v>112</v>
      </c>
      <c r="U2722" s="335" t="s">
        <v>662</v>
      </c>
      <c r="V2722" s="341">
        <v>425</v>
      </c>
      <c r="W2722" s="341"/>
      <c r="X2722" s="342">
        <f>(231+53+3369)/8</f>
        <v>456.625</v>
      </c>
      <c r="Y2722" s="343">
        <f t="shared" ref="Y2722:Y2727" si="1122">(W2722+X2722)-V2722</f>
        <v>31.625</v>
      </c>
      <c r="Z2722" s="344">
        <f t="shared" ref="Z2722:Z2727" si="1123">IF(Y2722&lt;0,((V2722*P2722)-((W2722+X2722)*P2722)),0)</f>
        <v>0</v>
      </c>
      <c r="AA2722" s="344">
        <f t="shared" ref="AA2722:AA2727" si="1124">Q2722*Z2722</f>
        <v>0</v>
      </c>
      <c r="AB2722" s="817">
        <v>1</v>
      </c>
      <c r="AC2722" s="341">
        <f t="shared" ref="AC2722:AC2727" si="1125">Z2722*AB2722</f>
        <v>0</v>
      </c>
      <c r="AD2722" s="336" t="s">
        <v>2570</v>
      </c>
      <c r="AE2722" s="533">
        <f t="shared" ref="AE2722:AE2727" si="1126">SUM(Q2722*R2722*Z2722)/1000</f>
        <v>0</v>
      </c>
      <c r="AF2722" s="533">
        <f t="shared" ref="AF2722:AF2727" si="1127">AE2722/0.54</f>
        <v>0</v>
      </c>
      <c r="AG2722" s="211">
        <f t="shared" ref="AG2722:AG2727" si="1128">MID(O2722,1,3)/1000</f>
        <v>0.11700000000000001</v>
      </c>
      <c r="AH2722" s="157">
        <f t="shared" si="1118"/>
        <v>0</v>
      </c>
      <c r="AI2722" s="152">
        <f t="shared" ref="AI2722:AI2727" si="1129">V2722*P2722</f>
        <v>6800</v>
      </c>
      <c r="AK2722" s="156" t="s">
        <v>691</v>
      </c>
      <c r="AL2722" s="212" t="s">
        <v>690</v>
      </c>
      <c r="AM2722" s="198">
        <f t="shared" ref="AM2722:AM2727" si="1130">AG2722*Z2722</f>
        <v>0</v>
      </c>
      <c r="AN2722" s="199">
        <f t="shared" ref="AN2722:AN2727" si="1131">B2722</f>
        <v>45955</v>
      </c>
      <c r="AO2722" s="159" t="s">
        <v>692</v>
      </c>
      <c r="AP2722" s="797"/>
      <c r="AQ2722" s="798"/>
      <c r="AR2722" s="798" t="s">
        <v>2144</v>
      </c>
      <c r="AS2722" s="798"/>
      <c r="AT2722" s="782">
        <v>12090031</v>
      </c>
      <c r="AU2722" s="799"/>
      <c r="AV2722" s="782">
        <v>12090032</v>
      </c>
      <c r="AW2722" s="798"/>
      <c r="AX2722" s="798" t="s">
        <v>2145</v>
      </c>
      <c r="AY2722" s="798"/>
      <c r="AZ2722" s="798"/>
      <c r="BA2722" s="799"/>
      <c r="BB2722" s="209">
        <v>23094763</v>
      </c>
    </row>
    <row r="2723" spans="1:54" ht="24.75" hidden="1" customHeight="1">
      <c r="B2723" s="295">
        <v>45955</v>
      </c>
      <c r="C2723" s="771" t="s">
        <v>1935</v>
      </c>
      <c r="D2723" s="185">
        <f t="shared" si="1120"/>
        <v>2025</v>
      </c>
      <c r="E2723" s="296" t="e">
        <f>VLOOKUP($B2723,Week!$A$1:$C$1462,2,0)</f>
        <v>#N/A</v>
      </c>
      <c r="F2723" s="297" t="str">
        <f t="shared" si="1121"/>
        <v>Oct</v>
      </c>
      <c r="G2723" s="648" t="s">
        <v>47</v>
      </c>
      <c r="H2723" s="298" t="s">
        <v>260</v>
      </c>
      <c r="I2723" s="298" t="s">
        <v>2702</v>
      </c>
      <c r="J2723" s="307" t="s">
        <v>2240</v>
      </c>
      <c r="K2723" s="300" t="s">
        <v>176</v>
      </c>
      <c r="L2723" s="300" t="s">
        <v>2167</v>
      </c>
      <c r="M2723" s="299" t="s">
        <v>2338</v>
      </c>
      <c r="N2723" s="298" t="s">
        <v>350</v>
      </c>
      <c r="O2723" s="298" t="s">
        <v>351</v>
      </c>
      <c r="P2723" s="301">
        <v>24</v>
      </c>
      <c r="Q2723" s="301">
        <v>5</v>
      </c>
      <c r="R2723" s="302">
        <v>6.0000000000000001E-3</v>
      </c>
      <c r="S2723" s="298" t="s">
        <v>352</v>
      </c>
      <c r="T2723" s="298" t="s">
        <v>56</v>
      </c>
      <c r="U2723" s="298" t="s">
        <v>57</v>
      </c>
      <c r="V2723" s="303">
        <v>1458</v>
      </c>
      <c r="W2723" s="303">
        <f>1458</f>
        <v>1458</v>
      </c>
      <c r="X2723" s="304"/>
      <c r="Y2723" s="305">
        <f t="shared" si="1122"/>
        <v>0</v>
      </c>
      <c r="Z2723" s="306">
        <f t="shared" si="1123"/>
        <v>0</v>
      </c>
      <c r="AA2723" s="306">
        <f t="shared" si="1124"/>
        <v>0</v>
      </c>
      <c r="AB2723" s="814">
        <v>7.4999999999999997E-3</v>
      </c>
      <c r="AC2723" s="303">
        <f t="shared" si="1125"/>
        <v>0</v>
      </c>
      <c r="AD2723" s="443"/>
      <c r="AE2723" s="210">
        <f t="shared" si="1126"/>
        <v>0</v>
      </c>
      <c r="AF2723" s="210">
        <f t="shared" si="1127"/>
        <v>0</v>
      </c>
      <c r="AG2723" s="211">
        <f t="shared" si="1128"/>
        <v>0.13</v>
      </c>
      <c r="AH2723" s="157">
        <f t="shared" si="1118"/>
        <v>0</v>
      </c>
      <c r="AI2723" s="152">
        <f t="shared" si="1129"/>
        <v>34992</v>
      </c>
      <c r="AK2723" s="156" t="s">
        <v>691</v>
      </c>
      <c r="AL2723" s="574" t="s">
        <v>690</v>
      </c>
      <c r="AM2723" s="198">
        <f t="shared" si="1130"/>
        <v>0</v>
      </c>
      <c r="AN2723" s="199">
        <f t="shared" si="1131"/>
        <v>45955</v>
      </c>
      <c r="AO2723" s="159" t="s">
        <v>692</v>
      </c>
      <c r="AP2723" s="783" t="s">
        <v>622</v>
      </c>
      <c r="AQ2723" s="782">
        <v>12071839</v>
      </c>
      <c r="AR2723" s="782">
        <v>12094356</v>
      </c>
      <c r="AS2723" s="782">
        <v>12068233</v>
      </c>
      <c r="AT2723" s="781"/>
      <c r="AU2723" s="781"/>
      <c r="AV2723" s="782">
        <v>12062075</v>
      </c>
      <c r="AW2723" s="781"/>
      <c r="AX2723" s="781"/>
      <c r="AY2723" s="782">
        <v>12094357</v>
      </c>
      <c r="AZ2723" s="782"/>
      <c r="BA2723" s="781"/>
      <c r="BB2723" s="209">
        <v>23053184</v>
      </c>
    </row>
    <row r="2724" spans="1:54" ht="25" hidden="1" customHeight="1">
      <c r="A2724" s="440"/>
      <c r="B2724" s="332">
        <v>45955</v>
      </c>
      <c r="C2724" s="333">
        <v>45962</v>
      </c>
      <c r="D2724" s="185">
        <f>IF(B2724="","",YEAR(B2724))</f>
        <v>2025</v>
      </c>
      <c r="E2724" s="333" t="e">
        <f>VLOOKUP($B2724,Week!$A$1:$C$1462,2,0)</f>
        <v>#N/A</v>
      </c>
      <c r="F2724" s="334" t="str">
        <f>IF(B2724="","",TEXT(B2724,"[$-409]mmm"))</f>
        <v>Oct</v>
      </c>
      <c r="G2724" s="335" t="s">
        <v>2517</v>
      </c>
      <c r="H2724" s="335" t="s">
        <v>675</v>
      </c>
      <c r="I2724" s="335" t="s">
        <v>2772</v>
      </c>
      <c r="J2724" s="336" t="s">
        <v>709</v>
      </c>
      <c r="K2724" s="337" t="s">
        <v>1651</v>
      </c>
      <c r="L2724" s="300" t="s">
        <v>2167</v>
      </c>
      <c r="M2724" s="336" t="s">
        <v>683</v>
      </c>
      <c r="N2724" s="530" t="s">
        <v>2437</v>
      </c>
      <c r="O2724" s="335" t="s">
        <v>2367</v>
      </c>
      <c r="P2724" s="338">
        <v>8</v>
      </c>
      <c r="Q2724" s="338">
        <v>3</v>
      </c>
      <c r="R2724" s="339">
        <v>6.0000000000000001E-3</v>
      </c>
      <c r="S2724" s="335" t="s">
        <v>55</v>
      </c>
      <c r="T2724" s="335" t="s">
        <v>112</v>
      </c>
      <c r="U2724" s="340" t="s">
        <v>1633</v>
      </c>
      <c r="V2724" s="341">
        <f>440</f>
        <v>440</v>
      </c>
      <c r="W2724" s="341"/>
      <c r="X2724" s="342">
        <f>(160+3360)/8</f>
        <v>440</v>
      </c>
      <c r="Y2724" s="343">
        <f>(W2724+X2724)-V2724</f>
        <v>0</v>
      </c>
      <c r="Z2724" s="344">
        <f>IF(Y2724&lt;0,((V2724*P2724)-((W2724+X2724)*P2724)),0)</f>
        <v>0</v>
      </c>
      <c r="AA2724" s="344">
        <f>Q2724*Z2724</f>
        <v>0</v>
      </c>
      <c r="AB2724" s="817">
        <v>1</v>
      </c>
      <c r="AC2724" s="341">
        <f>Z2724*AB2724</f>
        <v>0</v>
      </c>
      <c r="AD2724" s="443" t="s">
        <v>672</v>
      </c>
      <c r="AE2724" s="210">
        <f>SUM(Q2724*R2724*Z2724)/1000</f>
        <v>0</v>
      </c>
      <c r="AF2724" s="210">
        <f>AE2724/0.54</f>
        <v>0</v>
      </c>
      <c r="AG2724" s="211">
        <f>MID(O2724,1,3)/1000</f>
        <v>0.24199999999999999</v>
      </c>
      <c r="AH2724" s="157">
        <v>0.26621999999999996</v>
      </c>
      <c r="AI2724" s="152">
        <f>V2724*P2724</f>
        <v>3520</v>
      </c>
      <c r="AK2724" s="156" t="s">
        <v>691</v>
      </c>
      <c r="AL2724" s="574" t="s">
        <v>690</v>
      </c>
      <c r="AM2724" s="198">
        <f>AG2724*Z2724</f>
        <v>0</v>
      </c>
      <c r="AN2724" s="199">
        <f>B2724</f>
        <v>45955</v>
      </c>
      <c r="AO2724" s="159" t="s">
        <v>692</v>
      </c>
      <c r="AP2724" s="781" t="s">
        <v>642</v>
      </c>
      <c r="AQ2724" s="782">
        <v>12071839</v>
      </c>
      <c r="AR2724" s="782">
        <v>12042650</v>
      </c>
      <c r="AS2724" s="782">
        <v>12042649</v>
      </c>
      <c r="AT2724" s="782">
        <v>12095893</v>
      </c>
      <c r="AU2724" s="781"/>
      <c r="AV2724" s="782">
        <v>12095892</v>
      </c>
      <c r="AW2724" s="781"/>
      <c r="AX2724" s="781"/>
      <c r="AY2724" s="781"/>
      <c r="AZ2724" s="782"/>
      <c r="BA2724" s="781"/>
      <c r="BB2724" s="209">
        <v>23099087</v>
      </c>
    </row>
    <row r="2725" spans="1:54" ht="25" hidden="1" customHeight="1">
      <c r="A2725" s="440"/>
      <c r="B2725" s="332">
        <v>45955</v>
      </c>
      <c r="C2725" s="333">
        <v>46009</v>
      </c>
      <c r="D2725" s="185">
        <f t="shared" si="1120"/>
        <v>2025</v>
      </c>
      <c r="E2725" s="333" t="e">
        <f>VLOOKUP($B2725,Week!$A$1:$C$1462,2,0)</f>
        <v>#N/A</v>
      </c>
      <c r="F2725" s="334" t="str">
        <f t="shared" si="1121"/>
        <v>Oct</v>
      </c>
      <c r="G2725" s="335" t="s">
        <v>2609</v>
      </c>
      <c r="H2725" s="335" t="s">
        <v>675</v>
      </c>
      <c r="I2725" s="335" t="s">
        <v>2772</v>
      </c>
      <c r="J2725" s="336" t="s">
        <v>709</v>
      </c>
      <c r="K2725" s="337" t="s">
        <v>1651</v>
      </c>
      <c r="L2725" s="300" t="s">
        <v>2167</v>
      </c>
      <c r="M2725" s="336" t="s">
        <v>683</v>
      </c>
      <c r="N2725" s="530" t="s">
        <v>2437</v>
      </c>
      <c r="O2725" s="335" t="s">
        <v>2367</v>
      </c>
      <c r="P2725" s="338">
        <v>8</v>
      </c>
      <c r="Q2725" s="338">
        <v>3</v>
      </c>
      <c r="R2725" s="339">
        <v>6.0000000000000001E-3</v>
      </c>
      <c r="S2725" s="335" t="s">
        <v>55</v>
      </c>
      <c r="T2725" s="335" t="s">
        <v>112</v>
      </c>
      <c r="U2725" s="340" t="s">
        <v>1633</v>
      </c>
      <c r="V2725" s="341">
        <f>54</f>
        <v>54</v>
      </c>
      <c r="W2725" s="341"/>
      <c r="X2725" s="342">
        <f>(3858-3360)/8</f>
        <v>62.25</v>
      </c>
      <c r="Y2725" s="343">
        <f t="shared" si="1122"/>
        <v>8.25</v>
      </c>
      <c r="Z2725" s="344">
        <f t="shared" si="1123"/>
        <v>0</v>
      </c>
      <c r="AA2725" s="344">
        <f t="shared" si="1124"/>
        <v>0</v>
      </c>
      <c r="AB2725" s="817">
        <v>1</v>
      </c>
      <c r="AC2725" s="341">
        <f t="shared" si="1125"/>
        <v>0</v>
      </c>
      <c r="AD2725" s="443" t="s">
        <v>672</v>
      </c>
      <c r="AE2725" s="210">
        <f t="shared" si="1126"/>
        <v>0</v>
      </c>
      <c r="AF2725" s="210">
        <f t="shared" si="1127"/>
        <v>0</v>
      </c>
      <c r="AG2725" s="211">
        <f t="shared" si="1128"/>
        <v>0.24199999999999999</v>
      </c>
      <c r="AH2725" s="157">
        <v>0.26621999999999996</v>
      </c>
      <c r="AI2725" s="152">
        <f t="shared" si="1129"/>
        <v>432</v>
      </c>
      <c r="AK2725" s="156" t="s">
        <v>691</v>
      </c>
      <c r="AL2725" s="574" t="s">
        <v>690</v>
      </c>
      <c r="AM2725" s="198">
        <f t="shared" si="1130"/>
        <v>0</v>
      </c>
      <c r="AN2725" s="199">
        <f t="shared" si="1131"/>
        <v>45955</v>
      </c>
      <c r="AO2725" s="159" t="s">
        <v>692</v>
      </c>
      <c r="AP2725" s="781" t="s">
        <v>642</v>
      </c>
      <c r="AQ2725" s="782">
        <v>12071839</v>
      </c>
      <c r="AR2725" s="782">
        <v>12042650</v>
      </c>
      <c r="AS2725" s="782">
        <v>12042649</v>
      </c>
      <c r="AT2725" s="782">
        <v>12095893</v>
      </c>
      <c r="AU2725" s="781"/>
      <c r="AV2725" s="782">
        <v>12095892</v>
      </c>
      <c r="AW2725" s="781"/>
      <c r="AX2725" s="781"/>
      <c r="AY2725" s="781"/>
      <c r="AZ2725" s="782"/>
      <c r="BA2725" s="781"/>
      <c r="BB2725" s="209">
        <v>23099087</v>
      </c>
    </row>
    <row r="2726" spans="1:54" ht="25" hidden="1" customHeight="1">
      <c r="B2726" s="213">
        <v>45955</v>
      </c>
      <c r="C2726" s="214">
        <v>45971</v>
      </c>
      <c r="D2726" s="215">
        <f t="shared" si="1120"/>
        <v>2025</v>
      </c>
      <c r="E2726" s="214" t="e">
        <f>VLOOKUP($B2726,Week!$A$1:$C$1462,2,0)</f>
        <v>#N/A</v>
      </c>
      <c r="F2726" s="216" t="str">
        <f t="shared" si="1121"/>
        <v>Oct</v>
      </c>
      <c r="G2726" s="215" t="s">
        <v>2476</v>
      </c>
      <c r="H2726" s="215" t="s">
        <v>134</v>
      </c>
      <c r="I2726" s="215" t="s">
        <v>2772</v>
      </c>
      <c r="J2726" s="209" t="s">
        <v>164</v>
      </c>
      <c r="K2726" s="217" t="s">
        <v>2534</v>
      </c>
      <c r="L2726" s="217" t="s">
        <v>2167</v>
      </c>
      <c r="M2726" s="209" t="s">
        <v>2235</v>
      </c>
      <c r="N2726" s="480" t="s">
        <v>2236</v>
      </c>
      <c r="O2726" s="215" t="s">
        <v>2233</v>
      </c>
      <c r="P2726" s="218">
        <v>24</v>
      </c>
      <c r="Q2726" s="218">
        <v>3</v>
      </c>
      <c r="R2726" s="219">
        <v>6.0000000000000001E-3</v>
      </c>
      <c r="S2726" s="215" t="s">
        <v>55</v>
      </c>
      <c r="T2726" s="215" t="s">
        <v>112</v>
      </c>
      <c r="U2726" s="852" t="s">
        <v>739</v>
      </c>
      <c r="V2726" s="220">
        <f>210</f>
        <v>210</v>
      </c>
      <c r="W2726" s="220">
        <f>210</f>
        <v>210</v>
      </c>
      <c r="X2726" s="221"/>
      <c r="Y2726" s="222">
        <f t="shared" si="1122"/>
        <v>0</v>
      </c>
      <c r="Z2726" s="223">
        <f t="shared" si="1123"/>
        <v>0</v>
      </c>
      <c r="AA2726" s="223">
        <f t="shared" si="1124"/>
        <v>0</v>
      </c>
      <c r="AB2726" s="807">
        <v>2.4E-2</v>
      </c>
      <c r="AC2726" s="220">
        <f t="shared" si="1125"/>
        <v>0</v>
      </c>
      <c r="AD2726" s="443" t="s">
        <v>2612</v>
      </c>
      <c r="AE2726" s="210">
        <f t="shared" si="1126"/>
        <v>0</v>
      </c>
      <c r="AF2726" s="210">
        <f t="shared" si="1127"/>
        <v>0</v>
      </c>
      <c r="AG2726" s="211">
        <f t="shared" si="1128"/>
        <v>0.3</v>
      </c>
      <c r="AH2726" s="157">
        <v>0.26621999999999996</v>
      </c>
      <c r="AI2726" s="152">
        <f t="shared" si="1129"/>
        <v>5040</v>
      </c>
      <c r="AK2726" s="156" t="s">
        <v>691</v>
      </c>
      <c r="AL2726" s="574" t="s">
        <v>690</v>
      </c>
      <c r="AM2726" s="198">
        <f t="shared" si="1130"/>
        <v>0</v>
      </c>
      <c r="AN2726" s="199">
        <f t="shared" si="1131"/>
        <v>45955</v>
      </c>
      <c r="AO2726" s="159" t="s">
        <v>692</v>
      </c>
      <c r="AP2726" s="781" t="s">
        <v>642</v>
      </c>
      <c r="AQ2726" s="782">
        <v>12063755</v>
      </c>
      <c r="AR2726" s="782">
        <v>12061353</v>
      </c>
      <c r="AS2726" s="782">
        <v>12061354</v>
      </c>
      <c r="AT2726" s="782"/>
      <c r="AU2726" s="783" t="s">
        <v>570</v>
      </c>
      <c r="AV2726" s="782">
        <v>12095301</v>
      </c>
      <c r="AW2726" s="783" t="s">
        <v>568</v>
      </c>
      <c r="AX2726" s="781"/>
      <c r="AY2726" s="796" t="s">
        <v>2460</v>
      </c>
      <c r="AZ2726" s="796" t="s">
        <v>2461</v>
      </c>
      <c r="BA2726" s="796" t="s">
        <v>2462</v>
      </c>
      <c r="BB2726" s="209">
        <v>23099860</v>
      </c>
    </row>
    <row r="2727" spans="1:54" ht="25" hidden="1" customHeight="1">
      <c r="B2727" s="213">
        <v>45955</v>
      </c>
      <c r="C2727" s="214">
        <v>45966</v>
      </c>
      <c r="D2727" s="215">
        <f t="shared" si="1120"/>
        <v>2025</v>
      </c>
      <c r="E2727" s="214" t="e">
        <f>VLOOKUP($B2727,Week!$A$1:$C$1462,2,0)</f>
        <v>#N/A</v>
      </c>
      <c r="F2727" s="216" t="str">
        <f t="shared" si="1121"/>
        <v>Oct</v>
      </c>
      <c r="G2727" s="215" t="s">
        <v>2535</v>
      </c>
      <c r="H2727" s="215" t="s">
        <v>344</v>
      </c>
      <c r="I2727" s="215" t="s">
        <v>2772</v>
      </c>
      <c r="J2727" s="209" t="s">
        <v>345</v>
      </c>
      <c r="K2727" s="217" t="s">
        <v>2534</v>
      </c>
      <c r="L2727" s="217" t="s">
        <v>2167</v>
      </c>
      <c r="M2727" s="209" t="s">
        <v>2235</v>
      </c>
      <c r="N2727" s="480" t="s">
        <v>2528</v>
      </c>
      <c r="O2727" s="215" t="s">
        <v>2233</v>
      </c>
      <c r="P2727" s="218">
        <v>24</v>
      </c>
      <c r="Q2727" s="218">
        <v>3</v>
      </c>
      <c r="R2727" s="219">
        <v>6.0000000000000001E-3</v>
      </c>
      <c r="S2727" s="215" t="s">
        <v>55</v>
      </c>
      <c r="T2727" s="215" t="s">
        <v>112</v>
      </c>
      <c r="U2727" s="852" t="s">
        <v>739</v>
      </c>
      <c r="V2727" s="220">
        <v>10</v>
      </c>
      <c r="W2727" s="220"/>
      <c r="X2727" s="221">
        <v>10</v>
      </c>
      <c r="Y2727" s="222">
        <f t="shared" si="1122"/>
        <v>0</v>
      </c>
      <c r="Z2727" s="223">
        <f t="shared" si="1123"/>
        <v>0</v>
      </c>
      <c r="AA2727" s="223">
        <f t="shared" si="1124"/>
        <v>0</v>
      </c>
      <c r="AB2727" s="807">
        <v>1.2999999999999999E-2</v>
      </c>
      <c r="AC2727" s="220">
        <f t="shared" si="1125"/>
        <v>0</v>
      </c>
      <c r="AD2727" s="443" t="s">
        <v>2612</v>
      </c>
      <c r="AE2727" s="210">
        <f t="shared" si="1126"/>
        <v>0</v>
      </c>
      <c r="AF2727" s="210">
        <f t="shared" si="1127"/>
        <v>0</v>
      </c>
      <c r="AG2727" s="211">
        <f t="shared" si="1128"/>
        <v>0.3</v>
      </c>
      <c r="AH2727" s="157">
        <v>0.26621999999999996</v>
      </c>
      <c r="AI2727" s="152">
        <f t="shared" si="1129"/>
        <v>240</v>
      </c>
      <c r="AK2727" s="156" t="s">
        <v>691</v>
      </c>
      <c r="AL2727" s="574" t="s">
        <v>690</v>
      </c>
      <c r="AM2727" s="198">
        <f t="shared" si="1130"/>
        <v>0</v>
      </c>
      <c r="AN2727" s="199">
        <f t="shared" si="1131"/>
        <v>45955</v>
      </c>
      <c r="AO2727" s="159" t="s">
        <v>692</v>
      </c>
      <c r="AP2727" s="781" t="s">
        <v>642</v>
      </c>
      <c r="AQ2727" s="782">
        <v>12063755</v>
      </c>
      <c r="AR2727" s="782">
        <v>12061353</v>
      </c>
      <c r="AS2727" s="782">
        <v>12061354</v>
      </c>
      <c r="AT2727" s="782"/>
      <c r="AU2727" s="783" t="s">
        <v>570</v>
      </c>
      <c r="AV2727" s="782">
        <v>12095301</v>
      </c>
      <c r="AW2727" s="783" t="s">
        <v>568</v>
      </c>
      <c r="AX2727" s="781"/>
      <c r="AY2727" s="796" t="s">
        <v>2460</v>
      </c>
      <c r="AZ2727" s="796" t="s">
        <v>2461</v>
      </c>
      <c r="BA2727" s="796" t="s">
        <v>2462</v>
      </c>
      <c r="BB2727" s="209">
        <v>23099860</v>
      </c>
    </row>
    <row r="2728" spans="1:54" ht="25" hidden="1" customHeight="1">
      <c r="B2728" s="183">
        <v>45956</v>
      </c>
      <c r="C2728" s="184"/>
      <c r="D2728" s="185">
        <f>IF(B2728="","",YEAR(B2728))</f>
        <v>2025</v>
      </c>
      <c r="E2728" s="185" t="e">
        <f>VLOOKUP($B2728,Week!$A$1:$C$1462,2,0)</f>
        <v>#N/A</v>
      </c>
      <c r="F2728" s="186" t="str">
        <f>IF(B2728="","",TEXT(B2728,"[$-409]mmm"))</f>
        <v>Oct</v>
      </c>
      <c r="G2728" s="481"/>
      <c r="H2728" s="185"/>
      <c r="I2728" s="185"/>
      <c r="J2728" s="187"/>
      <c r="K2728" s="188"/>
      <c r="L2728" s="188"/>
      <c r="M2728" s="187"/>
      <c r="N2728" s="185"/>
      <c r="O2728" s="185"/>
      <c r="P2728" s="189"/>
      <c r="Q2728" s="189"/>
      <c r="R2728" s="190"/>
      <c r="S2728" s="185"/>
      <c r="T2728" s="185"/>
      <c r="U2728" s="185"/>
      <c r="V2728" s="191"/>
      <c r="W2728" s="191"/>
      <c r="X2728" s="192"/>
      <c r="Y2728" s="193"/>
      <c r="Z2728" s="194"/>
      <c r="AA2728" s="194">
        <f>Q2728*Z2728</f>
        <v>0</v>
      </c>
      <c r="AB2728" s="805"/>
      <c r="AC2728" s="191"/>
      <c r="AD2728" s="187"/>
      <c r="AE2728" s="195"/>
      <c r="AF2728" s="195"/>
      <c r="AG2728" s="196"/>
      <c r="AH2728" s="197"/>
      <c r="AK2728" s="156" t="s">
        <v>691</v>
      </c>
      <c r="AM2728" s="198">
        <f t="shared" ref="AM2728:AM2759" si="1132">AG2728*Z2728</f>
        <v>0</v>
      </c>
      <c r="AN2728" s="199">
        <f>B2728</f>
        <v>45956</v>
      </c>
      <c r="AO2728" s="159" t="s">
        <v>692</v>
      </c>
      <c r="AP2728" s="781"/>
      <c r="AQ2728" s="782"/>
      <c r="AR2728" s="782"/>
      <c r="AS2728" s="782"/>
      <c r="AT2728" s="782"/>
      <c r="AU2728" s="781"/>
      <c r="AV2728" s="782"/>
      <c r="AW2728" s="782"/>
      <c r="AX2728" s="782"/>
      <c r="AY2728" s="782"/>
      <c r="AZ2728" s="782"/>
      <c r="BA2728" s="781"/>
      <c r="BB2728" s="209"/>
    </row>
    <row r="2729" spans="1:54" ht="25" hidden="1" customHeight="1">
      <c r="A2729" s="142" t="s">
        <v>120</v>
      </c>
      <c r="B2729" s="581">
        <v>45957</v>
      </c>
      <c r="C2729" s="333">
        <v>45961</v>
      </c>
      <c r="D2729" s="185">
        <f>IF(B2729="","",YEAR(B2729))</f>
        <v>2025</v>
      </c>
      <c r="E2729" s="335" t="e">
        <f>VLOOKUP($B2729,Week!$A$1:$C$1462,2,0)</f>
        <v>#N/A</v>
      </c>
      <c r="F2729" s="334" t="str">
        <f>IF(B2729="","",TEXT(B2729,"[$-409]mmm"))</f>
        <v>Oct</v>
      </c>
      <c r="G2729" s="530" t="s">
        <v>2617</v>
      </c>
      <c r="H2729" s="335" t="s">
        <v>82</v>
      </c>
      <c r="I2729" s="335" t="s">
        <v>82</v>
      </c>
      <c r="J2729" s="336" t="s">
        <v>235</v>
      </c>
      <c r="K2729" s="337" t="s">
        <v>85</v>
      </c>
      <c r="L2729" s="390" t="s">
        <v>2166</v>
      </c>
      <c r="M2729" s="336" t="s">
        <v>86</v>
      </c>
      <c r="N2729" s="335" t="s">
        <v>273</v>
      </c>
      <c r="O2729" s="335" t="s">
        <v>507</v>
      </c>
      <c r="P2729" s="338">
        <v>8</v>
      </c>
      <c r="Q2729" s="338">
        <v>50</v>
      </c>
      <c r="R2729" s="339">
        <v>6.8100000000000001E-3</v>
      </c>
      <c r="S2729" s="335" t="s">
        <v>76</v>
      </c>
      <c r="T2729" s="335" t="s">
        <v>56</v>
      </c>
      <c r="U2729" s="335" t="s">
        <v>89</v>
      </c>
      <c r="V2729" s="341">
        <v>924</v>
      </c>
      <c r="W2729" s="341">
        <v>924</v>
      </c>
      <c r="X2729" s="342"/>
      <c r="Y2729" s="343">
        <f t="shared" ref="Y2729:Y2737" si="1133">(W2729+X2729)-V2729</f>
        <v>0</v>
      </c>
      <c r="Z2729" s="344">
        <f t="shared" ref="Z2729:Z2737" si="1134">IF(Y2729&lt;0,((V2729*P2729)-((W2729+X2729)*P2729)),0)</f>
        <v>0</v>
      </c>
      <c r="AA2729" s="344">
        <f>Q2729*Z2729</f>
        <v>0</v>
      </c>
      <c r="AB2729" s="817">
        <v>6</v>
      </c>
      <c r="AC2729" s="341">
        <f t="shared" ref="AC2729:AC2737" si="1135">Z2729*AB2729</f>
        <v>0</v>
      </c>
      <c r="AD2729" s="443"/>
      <c r="AE2729" s="210">
        <f t="shared" ref="AE2729:AE2737" si="1136">SUM(Q2729*R2729*Z2729)/1000</f>
        <v>0</v>
      </c>
      <c r="AF2729" s="210">
        <f t="shared" ref="AF2729:AF2744" si="1137">AE2729/0.54</f>
        <v>0</v>
      </c>
      <c r="AG2729" s="211">
        <f t="shared" ref="AG2729:AG2734" si="1138">MID(O2729,1,3)/1000</f>
        <v>0.63</v>
      </c>
      <c r="AH2729" s="157">
        <f t="shared" ref="AH2729:AH2737" si="1139">(Z2729*AG2729)/1000</f>
        <v>0</v>
      </c>
      <c r="AI2729" s="152">
        <f t="shared" ref="AI2729:AI2737" si="1140">V2729*P2729</f>
        <v>7392</v>
      </c>
      <c r="AK2729" s="156" t="s">
        <v>691</v>
      </c>
      <c r="AL2729" s="156" t="s">
        <v>689</v>
      </c>
      <c r="AM2729" s="198">
        <f t="shared" si="1132"/>
        <v>0</v>
      </c>
      <c r="AN2729" s="199">
        <f>B2729</f>
        <v>45957</v>
      </c>
      <c r="AO2729" s="159" t="s">
        <v>692</v>
      </c>
      <c r="AP2729" s="781"/>
      <c r="AQ2729" s="782">
        <v>12088677</v>
      </c>
      <c r="AR2729" s="782">
        <v>12055234</v>
      </c>
      <c r="AS2729" s="782"/>
      <c r="AT2729" s="782">
        <v>12056345</v>
      </c>
      <c r="AU2729" s="781"/>
      <c r="AV2729" s="782">
        <v>12056200</v>
      </c>
      <c r="AW2729" s="782"/>
      <c r="AX2729" s="782" t="s">
        <v>93</v>
      </c>
      <c r="AY2729" s="782"/>
      <c r="AZ2729" s="782"/>
      <c r="BA2729" s="781"/>
    </row>
    <row r="2730" spans="1:54" ht="25" hidden="1" customHeight="1">
      <c r="A2730" s="142" t="s">
        <v>120</v>
      </c>
      <c r="B2730" s="369">
        <v>45957</v>
      </c>
      <c r="C2730" s="370">
        <v>45966</v>
      </c>
      <c r="D2730" s="185">
        <f>IF(B2730="","",YEAR(B2730))</f>
        <v>2025</v>
      </c>
      <c r="E2730" s="371" t="e">
        <f>VLOOKUP($B2730,Week!$A$1:$C$1462,2,0)</f>
        <v>#N/A</v>
      </c>
      <c r="F2730" s="372" t="str">
        <f>IF(B2730="","",TEXT(B2730,"[$-409]mmm"))</f>
        <v>Oct</v>
      </c>
      <c r="G2730" s="371" t="s">
        <v>2490</v>
      </c>
      <c r="H2730" s="371" t="s">
        <v>344</v>
      </c>
      <c r="I2730" s="371" t="s">
        <v>2772</v>
      </c>
      <c r="J2730" s="373" t="s">
        <v>345</v>
      </c>
      <c r="K2730" s="374" t="s">
        <v>153</v>
      </c>
      <c r="L2730" s="390" t="s">
        <v>2166</v>
      </c>
      <c r="M2730" s="373" t="s">
        <v>214</v>
      </c>
      <c r="N2730" s="371" t="s">
        <v>346</v>
      </c>
      <c r="O2730" s="371" t="s">
        <v>509</v>
      </c>
      <c r="P2730" s="375">
        <v>18</v>
      </c>
      <c r="Q2730" s="375">
        <v>8</v>
      </c>
      <c r="R2730" s="376">
        <v>6.8100000000000001E-3</v>
      </c>
      <c r="S2730" s="371" t="s">
        <v>76</v>
      </c>
      <c r="T2730" s="371" t="s">
        <v>56</v>
      </c>
      <c r="U2730" s="371" t="s">
        <v>89</v>
      </c>
      <c r="V2730" s="377">
        <v>1322</v>
      </c>
      <c r="W2730" s="377">
        <f>775</f>
        <v>775</v>
      </c>
      <c r="X2730" s="378">
        <f>(9846)/18</f>
        <v>547</v>
      </c>
      <c r="Y2730" s="379">
        <f t="shared" si="1133"/>
        <v>0</v>
      </c>
      <c r="Z2730" s="380">
        <f t="shared" si="1134"/>
        <v>0</v>
      </c>
      <c r="AA2730" s="380">
        <f>Q2730*Z2730</f>
        <v>0</v>
      </c>
      <c r="AB2730" s="820">
        <v>1</v>
      </c>
      <c r="AC2730" s="377">
        <f t="shared" si="1135"/>
        <v>0</v>
      </c>
      <c r="AD2730" s="307" t="s">
        <v>2614</v>
      </c>
      <c r="AE2730" s="210">
        <f t="shared" si="1136"/>
        <v>0</v>
      </c>
      <c r="AF2730" s="210">
        <f t="shared" si="1137"/>
        <v>0</v>
      </c>
      <c r="AG2730" s="211">
        <f t="shared" si="1138"/>
        <v>0.10100000000000001</v>
      </c>
      <c r="AH2730" s="157">
        <f t="shared" si="1139"/>
        <v>0</v>
      </c>
      <c r="AI2730" s="152">
        <f t="shared" si="1140"/>
        <v>23796</v>
      </c>
      <c r="AK2730" s="156" t="s">
        <v>691</v>
      </c>
      <c r="AL2730" s="156" t="s">
        <v>689</v>
      </c>
      <c r="AM2730" s="198">
        <f t="shared" si="1132"/>
        <v>0</v>
      </c>
      <c r="AN2730" s="199">
        <f>B2730</f>
        <v>45957</v>
      </c>
      <c r="AO2730" s="159" t="s">
        <v>692</v>
      </c>
      <c r="AP2730" s="781"/>
      <c r="AQ2730" s="783" t="s">
        <v>631</v>
      </c>
      <c r="AR2730" s="782">
        <v>12038019</v>
      </c>
      <c r="AS2730" s="781"/>
      <c r="AT2730" s="800">
        <v>12096586</v>
      </c>
      <c r="AU2730" s="781"/>
      <c r="AV2730" s="800">
        <v>12096585</v>
      </c>
      <c r="AW2730" s="781"/>
      <c r="AX2730" s="781" t="s">
        <v>162</v>
      </c>
      <c r="AY2730" s="781"/>
      <c r="AZ2730" s="781"/>
      <c r="BA2730" s="781"/>
      <c r="BB2730" s="209">
        <v>23053184</v>
      </c>
    </row>
    <row r="2731" spans="1:54" ht="25" hidden="1" customHeight="1">
      <c r="A2731" s="142" t="s">
        <v>120</v>
      </c>
      <c r="B2731" s="369">
        <v>45958</v>
      </c>
      <c r="C2731" s="370">
        <v>45966</v>
      </c>
      <c r="D2731" s="185">
        <f>IF(B2731="","",YEAR(B2731))</f>
        <v>2025</v>
      </c>
      <c r="E2731" s="371" t="e">
        <f>VLOOKUP($B2731,Week!$A$1:$C$1462,2,0)</f>
        <v>#N/A</v>
      </c>
      <c r="F2731" s="372" t="str">
        <f>IF(B2731="","",TEXT(B2731,"[$-409]mmm"))</f>
        <v>Oct</v>
      </c>
      <c r="G2731" s="371" t="s">
        <v>2490</v>
      </c>
      <c r="H2731" s="371" t="s">
        <v>344</v>
      </c>
      <c r="I2731" s="371" t="s">
        <v>2772</v>
      </c>
      <c r="J2731" s="373" t="s">
        <v>345</v>
      </c>
      <c r="K2731" s="374" t="s">
        <v>153</v>
      </c>
      <c r="L2731" s="390" t="s">
        <v>2166</v>
      </c>
      <c r="M2731" s="373" t="s">
        <v>214</v>
      </c>
      <c r="N2731" s="371" t="s">
        <v>346</v>
      </c>
      <c r="O2731" s="371" t="s">
        <v>509</v>
      </c>
      <c r="P2731" s="375">
        <v>18</v>
      </c>
      <c r="Q2731" s="375">
        <v>8</v>
      </c>
      <c r="R2731" s="376">
        <v>6.8100000000000001E-3</v>
      </c>
      <c r="S2731" s="371" t="s">
        <v>76</v>
      </c>
      <c r="T2731" s="371" t="s">
        <v>56</v>
      </c>
      <c r="U2731" s="371" t="s">
        <v>89</v>
      </c>
      <c r="V2731" s="377">
        <f>1650-1322</f>
        <v>328</v>
      </c>
      <c r="W2731" s="377">
        <f>328</f>
        <v>328</v>
      </c>
      <c r="X2731" s="378"/>
      <c r="Y2731" s="379">
        <f t="shared" si="1133"/>
        <v>0</v>
      </c>
      <c r="Z2731" s="380">
        <f t="shared" si="1134"/>
        <v>0</v>
      </c>
      <c r="AA2731" s="380">
        <f>Q2731*Z2731</f>
        <v>0</v>
      </c>
      <c r="AB2731" s="820">
        <v>1</v>
      </c>
      <c r="AC2731" s="377">
        <f t="shared" si="1135"/>
        <v>0</v>
      </c>
      <c r="AD2731" s="307" t="s">
        <v>2614</v>
      </c>
      <c r="AE2731" s="210">
        <f t="shared" si="1136"/>
        <v>0</v>
      </c>
      <c r="AF2731" s="210">
        <f t="shared" si="1137"/>
        <v>0</v>
      </c>
      <c r="AG2731" s="211">
        <f t="shared" si="1138"/>
        <v>0.10100000000000001</v>
      </c>
      <c r="AH2731" s="157">
        <f t="shared" si="1139"/>
        <v>0</v>
      </c>
      <c r="AI2731" s="152">
        <f t="shared" si="1140"/>
        <v>5904</v>
      </c>
      <c r="AK2731" s="156" t="s">
        <v>691</v>
      </c>
      <c r="AL2731" s="156" t="s">
        <v>689</v>
      </c>
      <c r="AM2731" s="198">
        <f t="shared" si="1132"/>
        <v>0</v>
      </c>
      <c r="AN2731" s="199">
        <f>B2731</f>
        <v>45958</v>
      </c>
      <c r="AO2731" s="159" t="s">
        <v>692</v>
      </c>
      <c r="AP2731" s="781"/>
      <c r="AQ2731" s="783" t="s">
        <v>631</v>
      </c>
      <c r="AR2731" s="782">
        <v>12038019</v>
      </c>
      <c r="AS2731" s="781"/>
      <c r="AT2731" s="800">
        <v>12096586</v>
      </c>
      <c r="AU2731" s="781"/>
      <c r="AV2731" s="800">
        <v>12096585</v>
      </c>
      <c r="AW2731" s="781"/>
      <c r="AX2731" s="781" t="s">
        <v>162</v>
      </c>
      <c r="AY2731" s="781"/>
      <c r="AZ2731" s="781"/>
      <c r="BA2731" s="781"/>
      <c r="BB2731" s="209">
        <v>23053184</v>
      </c>
    </row>
    <row r="2732" spans="1:54" ht="24.75" hidden="1" customHeight="1">
      <c r="B2732" s="295">
        <v>45958</v>
      </c>
      <c r="C2732" s="771" t="s">
        <v>1935</v>
      </c>
      <c r="D2732" s="185">
        <f t="shared" ref="D2732:D2738" si="1141">IF(B2732="","",YEAR(B2732))</f>
        <v>2025</v>
      </c>
      <c r="E2732" s="296" t="e">
        <f>VLOOKUP($B2732,Week!$A$1:$C$1462,2,0)</f>
        <v>#N/A</v>
      </c>
      <c r="F2732" s="297" t="str">
        <f t="shared" ref="F2732:F2738" si="1142">IF(B2732="","",TEXT(B2732,"[$-409]mmm"))</f>
        <v>Oct</v>
      </c>
      <c r="G2732" s="648" t="s">
        <v>47</v>
      </c>
      <c r="H2732" s="298" t="s">
        <v>260</v>
      </c>
      <c r="I2732" s="298" t="s">
        <v>2702</v>
      </c>
      <c r="J2732" s="307" t="s">
        <v>2240</v>
      </c>
      <c r="K2732" s="300" t="s">
        <v>176</v>
      </c>
      <c r="L2732" s="300" t="s">
        <v>2167</v>
      </c>
      <c r="M2732" s="299" t="s">
        <v>2338</v>
      </c>
      <c r="N2732" s="298" t="s">
        <v>350</v>
      </c>
      <c r="O2732" s="298" t="s">
        <v>351</v>
      </c>
      <c r="P2732" s="301">
        <v>24</v>
      </c>
      <c r="Q2732" s="301">
        <v>5</v>
      </c>
      <c r="R2732" s="302">
        <v>6.1999999999999998E-3</v>
      </c>
      <c r="S2732" s="298" t="s">
        <v>352</v>
      </c>
      <c r="T2732" s="298" t="s">
        <v>56</v>
      </c>
      <c r="U2732" s="298" t="s">
        <v>57</v>
      </c>
      <c r="V2732" s="303">
        <v>2346</v>
      </c>
      <c r="W2732" s="303">
        <v>2346</v>
      </c>
      <c r="X2732" s="304"/>
      <c r="Y2732" s="305">
        <f t="shared" si="1133"/>
        <v>0</v>
      </c>
      <c r="Z2732" s="306">
        <f t="shared" si="1134"/>
        <v>0</v>
      </c>
      <c r="AA2732" s="306">
        <f t="shared" ref="AA2732:AA2738" si="1143">Q2732*Z2732</f>
        <v>0</v>
      </c>
      <c r="AB2732" s="814">
        <v>7.4999999999999997E-3</v>
      </c>
      <c r="AC2732" s="303">
        <f t="shared" si="1135"/>
        <v>0</v>
      </c>
      <c r="AD2732" s="443"/>
      <c r="AE2732" s="210">
        <f t="shared" si="1136"/>
        <v>0</v>
      </c>
      <c r="AF2732" s="210">
        <f t="shared" si="1137"/>
        <v>0</v>
      </c>
      <c r="AG2732" s="211">
        <f t="shared" si="1138"/>
        <v>0.13</v>
      </c>
      <c r="AH2732" s="157">
        <f t="shared" si="1139"/>
        <v>0</v>
      </c>
      <c r="AI2732" s="152">
        <f t="shared" si="1140"/>
        <v>56304</v>
      </c>
      <c r="AK2732" s="156" t="s">
        <v>691</v>
      </c>
      <c r="AL2732" s="574" t="s">
        <v>690</v>
      </c>
      <c r="AM2732" s="198">
        <f t="shared" si="1132"/>
        <v>0</v>
      </c>
      <c r="AN2732" s="199">
        <f t="shared" ref="AN2732:AN2738" si="1144">B2732</f>
        <v>45958</v>
      </c>
      <c r="AO2732" s="159" t="s">
        <v>692</v>
      </c>
      <c r="AP2732" s="783" t="s">
        <v>622</v>
      </c>
      <c r="AQ2732" s="782">
        <v>12071839</v>
      </c>
      <c r="AR2732" s="782">
        <v>12094356</v>
      </c>
      <c r="AS2732" s="782">
        <v>12068233</v>
      </c>
      <c r="AT2732" s="781"/>
      <c r="AU2732" s="781"/>
      <c r="AV2732" s="782">
        <v>12062075</v>
      </c>
      <c r="AW2732" s="781"/>
      <c r="AX2732" s="781"/>
      <c r="AY2732" s="782">
        <v>12094357</v>
      </c>
      <c r="AZ2732" s="782"/>
      <c r="BA2732" s="781"/>
      <c r="BB2732" s="209">
        <v>23053184</v>
      </c>
    </row>
    <row r="2733" spans="1:54" ht="25" hidden="1" customHeight="1">
      <c r="B2733" s="602">
        <v>45958</v>
      </c>
      <c r="C2733" s="861" t="s">
        <v>1935</v>
      </c>
      <c r="D2733" s="604">
        <f>IF(B2733="","",YEAR(B2733))</f>
        <v>2025</v>
      </c>
      <c r="E2733" s="603" t="e">
        <f>VLOOKUP($B2733,Week!$A$1:$C$1462,2,0)</f>
        <v>#N/A</v>
      </c>
      <c r="F2733" s="605" t="str">
        <f>IF(B2733="","",TEXT(B2733,"[$-409]mmm"))</f>
        <v>Oct</v>
      </c>
      <c r="G2733" s="604" t="s">
        <v>47</v>
      </c>
      <c r="H2733" s="604" t="s">
        <v>518</v>
      </c>
      <c r="I2733" s="604" t="s">
        <v>2702</v>
      </c>
      <c r="J2733" s="606" t="s">
        <v>70</v>
      </c>
      <c r="K2733" s="607" t="s">
        <v>227</v>
      </c>
      <c r="L2733" s="607" t="s">
        <v>2167</v>
      </c>
      <c r="M2733" s="606" t="s">
        <v>2554</v>
      </c>
      <c r="N2733" s="604" t="s">
        <v>2334</v>
      </c>
      <c r="O2733" s="604" t="s">
        <v>2005</v>
      </c>
      <c r="P2733" s="608">
        <v>12</v>
      </c>
      <c r="Q2733" s="608">
        <v>3</v>
      </c>
      <c r="R2733" s="609">
        <v>8.0000000000000002E-3</v>
      </c>
      <c r="S2733" s="604" t="s">
        <v>352</v>
      </c>
      <c r="T2733" s="604" t="s">
        <v>56</v>
      </c>
      <c r="U2733" s="604" t="s">
        <v>2007</v>
      </c>
      <c r="V2733" s="862">
        <f>2000</f>
        <v>2000</v>
      </c>
      <c r="W2733" s="610">
        <f>4+325+1671</f>
        <v>2000</v>
      </c>
      <c r="X2733" s="611"/>
      <c r="Y2733" s="612">
        <f t="shared" si="1133"/>
        <v>0</v>
      </c>
      <c r="Z2733" s="613">
        <f t="shared" si="1134"/>
        <v>0</v>
      </c>
      <c r="AA2733" s="613">
        <f>Q2733*Z2733</f>
        <v>0</v>
      </c>
      <c r="AB2733" s="836">
        <v>0.05</v>
      </c>
      <c r="AC2733" s="610">
        <f t="shared" si="1135"/>
        <v>0</v>
      </c>
      <c r="AD2733" s="307" t="s">
        <v>2344</v>
      </c>
      <c r="AE2733" s="210">
        <f t="shared" si="1136"/>
        <v>0</v>
      </c>
      <c r="AF2733" s="210">
        <f t="shared" si="1137"/>
        <v>0</v>
      </c>
      <c r="AG2733" s="211">
        <f t="shared" si="1138"/>
        <v>0.22700000000000001</v>
      </c>
      <c r="AH2733" s="157">
        <f t="shared" si="1139"/>
        <v>0</v>
      </c>
      <c r="AI2733" s="152">
        <f t="shared" si="1140"/>
        <v>24000</v>
      </c>
      <c r="AK2733" s="156" t="s">
        <v>691</v>
      </c>
      <c r="AL2733" s="212" t="s">
        <v>690</v>
      </c>
      <c r="AM2733" s="198">
        <f t="shared" si="1132"/>
        <v>0</v>
      </c>
      <c r="AN2733" s="199">
        <f>B2733</f>
        <v>45958</v>
      </c>
      <c r="AO2733" s="159" t="s">
        <v>692</v>
      </c>
      <c r="AP2733" s="783" t="s">
        <v>623</v>
      </c>
      <c r="AQ2733" s="782">
        <v>12071839</v>
      </c>
      <c r="AR2733" s="782">
        <v>12042650</v>
      </c>
      <c r="AS2733" s="782">
        <v>12042649</v>
      </c>
      <c r="AT2733" s="782"/>
      <c r="AU2733" s="781"/>
      <c r="AV2733" s="782">
        <v>12094036</v>
      </c>
      <c r="AW2733" s="782"/>
      <c r="AX2733" s="782"/>
      <c r="AY2733" s="782">
        <v>12094035</v>
      </c>
      <c r="AZ2733" s="782">
        <v>12094041</v>
      </c>
      <c r="BA2733" s="781"/>
      <c r="BB2733" s="209">
        <v>11044165</v>
      </c>
    </row>
    <row r="2734" spans="1:54" ht="24.65" hidden="1" customHeight="1">
      <c r="A2734" s="630" t="s">
        <v>120</v>
      </c>
      <c r="B2734" s="466">
        <v>45959</v>
      </c>
      <c r="C2734" s="517">
        <v>45964</v>
      </c>
      <c r="D2734" s="185">
        <f>IF(B2734="","",YEAR(B2734))</f>
        <v>2025</v>
      </c>
      <c r="E2734" s="468" t="e">
        <f>VLOOKUP($B2734,Week!$A$1:$C$1462,2,0)</f>
        <v>#N/A</v>
      </c>
      <c r="F2734" s="469" t="str">
        <f>IF(B2734="","",TEXT(B2734,"[$-409]mmm"))</f>
        <v>Oct</v>
      </c>
      <c r="G2734" s="470" t="s">
        <v>2539</v>
      </c>
      <c r="H2734" s="468" t="s">
        <v>82</v>
      </c>
      <c r="I2734" s="468" t="s">
        <v>82</v>
      </c>
      <c r="J2734" s="471" t="s">
        <v>720</v>
      </c>
      <c r="K2734" s="472" t="s">
        <v>85</v>
      </c>
      <c r="L2734" s="390" t="s">
        <v>2166</v>
      </c>
      <c r="M2734" s="471" t="s">
        <v>579</v>
      </c>
      <c r="N2734" s="468" t="s">
        <v>580</v>
      </c>
      <c r="O2734" s="468" t="s">
        <v>581</v>
      </c>
      <c r="P2734" s="473">
        <v>8</v>
      </c>
      <c r="Q2734" s="473">
        <v>60</v>
      </c>
      <c r="R2734" s="474">
        <v>6.8100000000000001E-3</v>
      </c>
      <c r="S2734" s="468" t="s">
        <v>76</v>
      </c>
      <c r="T2734" s="468" t="s">
        <v>56</v>
      </c>
      <c r="U2734" s="468" t="s">
        <v>89</v>
      </c>
      <c r="V2734" s="475">
        <v>1408</v>
      </c>
      <c r="W2734" s="475">
        <f>30+1378</f>
        <v>1408</v>
      </c>
      <c r="X2734" s="476"/>
      <c r="Y2734" s="477">
        <f t="shared" si="1133"/>
        <v>0</v>
      </c>
      <c r="Z2734" s="478">
        <f t="shared" si="1134"/>
        <v>0</v>
      </c>
      <c r="AA2734" s="478">
        <f>Q2734*Z2734</f>
        <v>0</v>
      </c>
      <c r="AB2734" s="828">
        <v>6</v>
      </c>
      <c r="AC2734" s="475">
        <f t="shared" si="1135"/>
        <v>0</v>
      </c>
      <c r="AD2734" s="209"/>
      <c r="AE2734" s="210">
        <f t="shared" si="1136"/>
        <v>0</v>
      </c>
      <c r="AF2734" s="210">
        <f t="shared" si="1137"/>
        <v>0</v>
      </c>
      <c r="AG2734" s="211">
        <f t="shared" si="1138"/>
        <v>0.75</v>
      </c>
      <c r="AH2734" s="157">
        <f t="shared" si="1139"/>
        <v>0</v>
      </c>
      <c r="AI2734" s="152">
        <f t="shared" si="1140"/>
        <v>11264</v>
      </c>
      <c r="AK2734" s="156" t="s">
        <v>691</v>
      </c>
      <c r="AL2734" s="156" t="s">
        <v>689</v>
      </c>
      <c r="AM2734" s="198">
        <f t="shared" si="1132"/>
        <v>0</v>
      </c>
      <c r="AN2734" s="199">
        <f>B2734</f>
        <v>45959</v>
      </c>
      <c r="AO2734" s="159" t="s">
        <v>692</v>
      </c>
      <c r="AP2734" s="783" t="s">
        <v>622</v>
      </c>
      <c r="AQ2734" s="782">
        <v>12088677</v>
      </c>
      <c r="AR2734" s="782" t="s">
        <v>2142</v>
      </c>
      <c r="AS2734" s="782"/>
      <c r="AT2734" s="782">
        <v>12082897</v>
      </c>
      <c r="AU2734" s="781"/>
      <c r="AV2734" s="782">
        <v>12082898</v>
      </c>
      <c r="AW2734" s="782">
        <v>12082899</v>
      </c>
      <c r="AX2734" s="796" t="s">
        <v>621</v>
      </c>
      <c r="AY2734" s="782"/>
      <c r="AZ2734" s="782"/>
      <c r="BA2734" s="781"/>
      <c r="BB2734" s="209">
        <v>23053184</v>
      </c>
    </row>
    <row r="2735" spans="1:54" ht="24.65" hidden="1" customHeight="1">
      <c r="A2735" s="142" t="s">
        <v>120</v>
      </c>
      <c r="B2735" s="357">
        <v>45959</v>
      </c>
      <c r="C2735" s="358">
        <v>45966</v>
      </c>
      <c r="D2735" s="185">
        <f>IF(B2735="","",YEAR(B2735))</f>
        <v>2025</v>
      </c>
      <c r="E2735" s="359" t="e">
        <f>VLOOKUP($B2735,Week!$A$1:$C$1462,2,0)</f>
        <v>#N/A</v>
      </c>
      <c r="F2735" s="360" t="str">
        <f>IF(B2735="","",TEXT(B2735,"[$-409]mmm"))</f>
        <v>Oct</v>
      </c>
      <c r="G2735" s="359" t="s">
        <v>2490</v>
      </c>
      <c r="H2735" s="359" t="s">
        <v>344</v>
      </c>
      <c r="I2735" s="359" t="s">
        <v>2772</v>
      </c>
      <c r="J2735" s="361" t="s">
        <v>345</v>
      </c>
      <c r="K2735" s="362" t="s">
        <v>355</v>
      </c>
      <c r="L2735" s="390" t="s">
        <v>2166</v>
      </c>
      <c r="M2735" s="361" t="s">
        <v>356</v>
      </c>
      <c r="N2735" s="359" t="s">
        <v>357</v>
      </c>
      <c r="O2735" s="359" t="s">
        <v>508</v>
      </c>
      <c r="P2735" s="363">
        <v>18</v>
      </c>
      <c r="Q2735" s="363">
        <v>8</v>
      </c>
      <c r="R2735" s="364">
        <v>6.0000000000000001E-3</v>
      </c>
      <c r="S2735" s="359" t="s">
        <v>55</v>
      </c>
      <c r="T2735" s="359" t="s">
        <v>56</v>
      </c>
      <c r="U2735" s="359" t="s">
        <v>89</v>
      </c>
      <c r="V2735" s="365">
        <v>250</v>
      </c>
      <c r="W2735" s="365">
        <f>24+226</f>
        <v>250</v>
      </c>
      <c r="X2735" s="366"/>
      <c r="Y2735" s="367">
        <f t="shared" si="1133"/>
        <v>0</v>
      </c>
      <c r="Z2735" s="368">
        <f t="shared" si="1134"/>
        <v>0</v>
      </c>
      <c r="AA2735" s="368">
        <f>Q2735*Z2735</f>
        <v>0</v>
      </c>
      <c r="AB2735" s="819">
        <v>2</v>
      </c>
      <c r="AC2735" s="365">
        <f t="shared" si="1135"/>
        <v>0</v>
      </c>
      <c r="AD2735" s="209"/>
      <c r="AE2735" s="210">
        <f t="shared" si="1136"/>
        <v>0</v>
      </c>
      <c r="AF2735" s="210">
        <f t="shared" si="1137"/>
        <v>0</v>
      </c>
      <c r="AG2735" s="211">
        <f>MID(O2735,1,2)/1000</f>
        <v>0.09</v>
      </c>
      <c r="AH2735" s="157">
        <f t="shared" si="1139"/>
        <v>0</v>
      </c>
      <c r="AI2735" s="152">
        <f t="shared" si="1140"/>
        <v>4500</v>
      </c>
      <c r="AK2735" s="156" t="s">
        <v>691</v>
      </c>
      <c r="AL2735" s="156" t="s">
        <v>689</v>
      </c>
      <c r="AM2735" s="198">
        <f t="shared" si="1132"/>
        <v>0</v>
      </c>
      <c r="AN2735" s="199">
        <f>B2735</f>
        <v>45959</v>
      </c>
      <c r="AO2735" s="159" t="s">
        <v>692</v>
      </c>
      <c r="AP2735" s="781"/>
      <c r="AQ2735" s="782"/>
      <c r="AR2735" s="782" t="s">
        <v>531</v>
      </c>
      <c r="AS2735" s="782"/>
      <c r="AT2735" s="782"/>
      <c r="AU2735" s="782">
        <v>12054219</v>
      </c>
      <c r="AV2735" s="782">
        <v>12054239</v>
      </c>
      <c r="AW2735" s="782"/>
      <c r="AX2735" s="782" t="s">
        <v>532</v>
      </c>
      <c r="AY2735" s="782"/>
      <c r="AZ2735" s="782"/>
      <c r="BA2735" s="781"/>
      <c r="BB2735" s="209">
        <v>23053184</v>
      </c>
    </row>
    <row r="2736" spans="1:54" ht="25" hidden="1" customHeight="1">
      <c r="B2736" s="357">
        <v>45960</v>
      </c>
      <c r="C2736" s="358">
        <v>45971</v>
      </c>
      <c r="D2736" s="185">
        <f>IF(B2736="","",YEAR(B2736))</f>
        <v>2025</v>
      </c>
      <c r="E2736" s="358" t="e">
        <f>VLOOKUP($B2736,Week!$A$1:$C$1462,2,0)</f>
        <v>#N/A</v>
      </c>
      <c r="F2736" s="360" t="str">
        <f>IF(B2736="","",TEXT(B2736,"[$-409]mmm"))</f>
        <v>Oct</v>
      </c>
      <c r="G2736" s="436" t="s">
        <v>2425</v>
      </c>
      <c r="H2736" s="359" t="s">
        <v>225</v>
      </c>
      <c r="I2736" s="359" t="s">
        <v>2773</v>
      </c>
      <c r="J2736" s="361" t="s">
        <v>650</v>
      </c>
      <c r="K2736" s="362" t="s">
        <v>593</v>
      </c>
      <c r="L2736" s="300" t="s">
        <v>2167</v>
      </c>
      <c r="M2736" s="361" t="s">
        <v>717</v>
      </c>
      <c r="N2736" s="359" t="s">
        <v>719</v>
      </c>
      <c r="O2736" s="359" t="s">
        <v>230</v>
      </c>
      <c r="P2736" s="363">
        <v>12</v>
      </c>
      <c r="Q2736" s="363">
        <v>5</v>
      </c>
      <c r="R2736" s="364">
        <v>6.0000000000000001E-3</v>
      </c>
      <c r="S2736" s="359" t="s">
        <v>55</v>
      </c>
      <c r="T2736" s="359" t="s">
        <v>112</v>
      </c>
      <c r="U2736" s="359" t="s">
        <v>57</v>
      </c>
      <c r="V2736" s="365">
        <v>2600</v>
      </c>
      <c r="W2736" s="365"/>
      <c r="X2736" s="366">
        <f>(1660+29540)/12</f>
        <v>2600</v>
      </c>
      <c r="Y2736" s="367">
        <f t="shared" si="1133"/>
        <v>0</v>
      </c>
      <c r="Z2736" s="368">
        <f t="shared" si="1134"/>
        <v>0</v>
      </c>
      <c r="AA2736" s="368">
        <f>Q2736*Z2736</f>
        <v>0</v>
      </c>
      <c r="AB2736" s="819">
        <v>7.4999999999999997E-3</v>
      </c>
      <c r="AC2736" s="365">
        <f t="shared" si="1135"/>
        <v>0</v>
      </c>
      <c r="AD2736" s="307" t="s">
        <v>2421</v>
      </c>
      <c r="AE2736" s="210">
        <f t="shared" si="1136"/>
        <v>0</v>
      </c>
      <c r="AF2736" s="210">
        <f t="shared" si="1137"/>
        <v>0</v>
      </c>
      <c r="AG2736" s="211">
        <f>MID(O2736,1,3)/1000</f>
        <v>0.25800000000000001</v>
      </c>
      <c r="AH2736" s="157">
        <f t="shared" si="1139"/>
        <v>0</v>
      </c>
      <c r="AI2736" s="152">
        <f t="shared" si="1140"/>
        <v>31200</v>
      </c>
      <c r="AK2736" s="156" t="s">
        <v>691</v>
      </c>
      <c r="AL2736" s="574" t="s">
        <v>690</v>
      </c>
      <c r="AM2736" s="198">
        <f t="shared" si="1132"/>
        <v>0</v>
      </c>
      <c r="AN2736" s="199">
        <f>B2736</f>
        <v>45960</v>
      </c>
      <c r="AO2736" s="159" t="s">
        <v>692</v>
      </c>
      <c r="AP2736" s="783" t="s">
        <v>612</v>
      </c>
      <c r="AQ2736" s="782">
        <v>12071839</v>
      </c>
      <c r="AR2736" s="782">
        <v>12042650</v>
      </c>
      <c r="AS2736" s="782">
        <v>12042649</v>
      </c>
      <c r="AT2736" s="782">
        <v>12096387</v>
      </c>
      <c r="AU2736" s="781"/>
      <c r="AV2736" s="782">
        <v>12088422</v>
      </c>
      <c r="AW2736" s="782"/>
      <c r="AX2736" s="782"/>
      <c r="AY2736" s="782"/>
      <c r="AZ2736" s="782"/>
      <c r="BA2736" s="781"/>
      <c r="BB2736" s="209">
        <v>23053185</v>
      </c>
    </row>
    <row r="2737" spans="1:54" ht="24.65" hidden="1" customHeight="1">
      <c r="B2737" s="411">
        <v>45960</v>
      </c>
      <c r="C2737" s="645" t="s">
        <v>1935</v>
      </c>
      <c r="D2737" s="185">
        <f t="shared" si="1141"/>
        <v>2025</v>
      </c>
      <c r="E2737" s="412" t="e">
        <f>VLOOKUP($B2737,Week!$A$1:$C$1462,2,0)</f>
        <v>#N/A</v>
      </c>
      <c r="F2737" s="413" t="str">
        <f t="shared" si="1142"/>
        <v>Oct</v>
      </c>
      <c r="G2737" s="414" t="s">
        <v>47</v>
      </c>
      <c r="H2737" s="414" t="s">
        <v>260</v>
      </c>
      <c r="I2737" s="414" t="s">
        <v>2702</v>
      </c>
      <c r="J2737" s="415" t="s">
        <v>261</v>
      </c>
      <c r="K2737" s="416" t="s">
        <v>94</v>
      </c>
      <c r="L2737" s="300" t="s">
        <v>2167</v>
      </c>
      <c r="M2737" s="415" t="s">
        <v>2339</v>
      </c>
      <c r="N2737" s="414" t="s">
        <v>263</v>
      </c>
      <c r="O2737" s="414" t="s">
        <v>195</v>
      </c>
      <c r="P2737" s="417">
        <v>24</v>
      </c>
      <c r="Q2737" s="417">
        <v>5</v>
      </c>
      <c r="R2737" s="418">
        <v>8.0000000000000002E-3</v>
      </c>
      <c r="S2737" s="414" t="s">
        <v>40</v>
      </c>
      <c r="T2737" s="414" t="s">
        <v>56</v>
      </c>
      <c r="U2737" s="414" t="s">
        <v>57</v>
      </c>
      <c r="V2737" s="419">
        <v>1371</v>
      </c>
      <c r="W2737" s="419">
        <v>1371</v>
      </c>
      <c r="X2737" s="420"/>
      <c r="Y2737" s="421">
        <f t="shared" si="1133"/>
        <v>0</v>
      </c>
      <c r="Z2737" s="422">
        <f t="shared" si="1134"/>
        <v>0</v>
      </c>
      <c r="AA2737" s="422">
        <f t="shared" si="1143"/>
        <v>0</v>
      </c>
      <c r="AB2737" s="825">
        <v>7.4999999999999997E-3</v>
      </c>
      <c r="AC2737" s="419">
        <f t="shared" si="1135"/>
        <v>0</v>
      </c>
      <c r="AD2737" s="209"/>
      <c r="AE2737" s="210">
        <f t="shared" si="1136"/>
        <v>0</v>
      </c>
      <c r="AF2737" s="210">
        <f t="shared" si="1137"/>
        <v>0</v>
      </c>
      <c r="AG2737" s="211">
        <f>MID(O2737,1,3)/1000</f>
        <v>0.14499999999999999</v>
      </c>
      <c r="AH2737" s="157">
        <f t="shared" si="1139"/>
        <v>0</v>
      </c>
      <c r="AI2737" s="152">
        <f t="shared" si="1140"/>
        <v>32904</v>
      </c>
      <c r="AK2737" s="156" t="s">
        <v>691</v>
      </c>
      <c r="AL2737" s="212" t="s">
        <v>690</v>
      </c>
      <c r="AM2737" s="198">
        <f t="shared" si="1132"/>
        <v>0</v>
      </c>
      <c r="AN2737" s="199">
        <f t="shared" si="1144"/>
        <v>45960</v>
      </c>
      <c r="AO2737" s="159" t="s">
        <v>692</v>
      </c>
      <c r="AP2737" s="783" t="s">
        <v>609</v>
      </c>
      <c r="AQ2737" s="782">
        <v>12071839</v>
      </c>
      <c r="AR2737" s="782">
        <v>12047514</v>
      </c>
      <c r="AS2737" s="782">
        <v>12047515</v>
      </c>
      <c r="AT2737" s="781"/>
      <c r="AU2737" s="781"/>
      <c r="AV2737" s="782">
        <v>12080613</v>
      </c>
      <c r="AW2737" s="781"/>
      <c r="AX2737" s="781"/>
      <c r="AY2737" s="782">
        <v>12094241</v>
      </c>
      <c r="AZ2737" s="782">
        <v>12094242</v>
      </c>
      <c r="BA2737" s="781"/>
      <c r="BB2737" s="209">
        <v>23053185</v>
      </c>
    </row>
    <row r="2738" spans="1:54" ht="25" hidden="1" customHeight="1">
      <c r="B2738" s="424">
        <v>45960</v>
      </c>
      <c r="C2738" s="647" t="s">
        <v>1935</v>
      </c>
      <c r="D2738" s="185">
        <f t="shared" si="1141"/>
        <v>2025</v>
      </c>
      <c r="E2738" s="425" t="e">
        <f>VLOOKUP($B2738,Week!$A$1:$C$1462,2,0)</f>
        <v>#N/A</v>
      </c>
      <c r="F2738" s="426" t="str">
        <f t="shared" si="1142"/>
        <v>Oct</v>
      </c>
      <c r="G2738" s="427" t="s">
        <v>47</v>
      </c>
      <c r="H2738" s="427" t="s">
        <v>518</v>
      </c>
      <c r="I2738" s="427" t="s">
        <v>2702</v>
      </c>
      <c r="J2738" s="428" t="s">
        <v>70</v>
      </c>
      <c r="K2738" s="429" t="s">
        <v>94</v>
      </c>
      <c r="L2738" s="300" t="s">
        <v>2167</v>
      </c>
      <c r="M2738" s="428" t="s">
        <v>2342</v>
      </c>
      <c r="N2738" s="427" t="s">
        <v>587</v>
      </c>
      <c r="O2738" s="427" t="s">
        <v>3198</v>
      </c>
      <c r="P2738" s="430">
        <v>18</v>
      </c>
      <c r="Q2738" s="430">
        <v>5</v>
      </c>
      <c r="R2738" s="431">
        <v>8.0000000000000002E-3</v>
      </c>
      <c r="S2738" s="427" t="s">
        <v>40</v>
      </c>
      <c r="T2738" s="427" t="s">
        <v>56</v>
      </c>
      <c r="U2738" s="427" t="s">
        <v>89</v>
      </c>
      <c r="V2738" s="432">
        <v>1200</v>
      </c>
      <c r="W2738" s="432">
        <f>43+1157</f>
        <v>1200</v>
      </c>
      <c r="X2738" s="433"/>
      <c r="Y2738" s="434">
        <f t="shared" ref="Y2738:Y2744" si="1145">(W2738+X2738)-V2738</f>
        <v>0</v>
      </c>
      <c r="Z2738" s="435">
        <f t="shared" ref="Z2738:Z2744" si="1146">IF(Y2738&lt;0,((V2738*P2738)-((W2738+X2738)*P2738)),0)</f>
        <v>0</v>
      </c>
      <c r="AA2738" s="435">
        <f t="shared" si="1143"/>
        <v>0</v>
      </c>
      <c r="AB2738" s="826">
        <v>1</v>
      </c>
      <c r="AC2738" s="432">
        <f t="shared" ref="AC2738:AC2744" si="1147">Z2738*AB2738</f>
        <v>0</v>
      </c>
      <c r="AD2738" s="209"/>
      <c r="AE2738" s="210">
        <f t="shared" ref="AE2738:AE2744" si="1148">SUM(Q2738*R2738*Z2738)/1000</f>
        <v>0</v>
      </c>
      <c r="AF2738" s="210">
        <f t="shared" si="1137"/>
        <v>0</v>
      </c>
      <c r="AG2738" s="211" t="e">
        <f>(MID(O2738,1,3)/1000)/3</f>
        <v>#VALUE!</v>
      </c>
      <c r="AH2738" s="157" t="e">
        <f t="shared" ref="AH2738:AH2744" si="1149">(Z2738*AG2738)/1000</f>
        <v>#VALUE!</v>
      </c>
      <c r="AI2738" s="152">
        <f t="shared" ref="AI2738:AI2744" si="1150">V2738*P2738</f>
        <v>21600</v>
      </c>
      <c r="AK2738" s="156" t="s">
        <v>691</v>
      </c>
      <c r="AL2738" s="212" t="s">
        <v>690</v>
      </c>
      <c r="AM2738" s="198" t="e">
        <f t="shared" si="1132"/>
        <v>#VALUE!</v>
      </c>
      <c r="AN2738" s="199">
        <f t="shared" si="1144"/>
        <v>45960</v>
      </c>
      <c r="AO2738" s="159" t="s">
        <v>692</v>
      </c>
      <c r="AP2738" s="783" t="s">
        <v>628</v>
      </c>
      <c r="AQ2738" s="782"/>
      <c r="AR2738" s="782"/>
      <c r="AS2738" s="782"/>
      <c r="AT2738" s="782"/>
      <c r="AU2738" s="781"/>
      <c r="AV2738" s="782">
        <v>12080791</v>
      </c>
      <c r="AW2738" s="782" t="s">
        <v>641</v>
      </c>
      <c r="AX2738" s="782" t="s">
        <v>533</v>
      </c>
      <c r="AY2738" s="782"/>
      <c r="AZ2738" s="782"/>
      <c r="BA2738" s="781"/>
      <c r="BB2738" s="209">
        <v>23053184</v>
      </c>
    </row>
    <row r="2739" spans="1:54" ht="24.65" hidden="1" customHeight="1">
      <c r="A2739" s="630" t="s">
        <v>120</v>
      </c>
      <c r="B2739" s="466">
        <v>45961</v>
      </c>
      <c r="C2739" s="517">
        <v>45968</v>
      </c>
      <c r="D2739" s="185">
        <f t="shared" ref="D2739:D2776" si="1151">IF(B2739="","",YEAR(B2739))</f>
        <v>2025</v>
      </c>
      <c r="E2739" s="468" t="e">
        <f>VLOOKUP($B2739,Week!$A$1:$C$1462,2,0)</f>
        <v>#N/A</v>
      </c>
      <c r="F2739" s="469" t="str">
        <f t="shared" ref="F2739:F2776" si="1152">IF(B2739="","",TEXT(B2739,"[$-409]mmm"))</f>
        <v>Oct</v>
      </c>
      <c r="G2739" s="470" t="s">
        <v>2540</v>
      </c>
      <c r="H2739" s="468" t="s">
        <v>82</v>
      </c>
      <c r="I2739" s="468" t="s">
        <v>82</v>
      </c>
      <c r="J2739" s="471" t="s">
        <v>720</v>
      </c>
      <c r="K2739" s="472" t="s">
        <v>85</v>
      </c>
      <c r="L2739" s="390" t="s">
        <v>2166</v>
      </c>
      <c r="M2739" s="471" t="s">
        <v>579</v>
      </c>
      <c r="N2739" s="468" t="s">
        <v>580</v>
      </c>
      <c r="O2739" s="468" t="s">
        <v>581</v>
      </c>
      <c r="P2739" s="473">
        <v>8</v>
      </c>
      <c r="Q2739" s="473">
        <v>60</v>
      </c>
      <c r="R2739" s="474">
        <v>6.8100000000000001E-3</v>
      </c>
      <c r="S2739" s="468" t="s">
        <v>76</v>
      </c>
      <c r="T2739" s="468" t="s">
        <v>56</v>
      </c>
      <c r="U2739" s="468" t="s">
        <v>89</v>
      </c>
      <c r="V2739" s="475">
        <v>1408</v>
      </c>
      <c r="W2739" s="475">
        <f>123+1285</f>
        <v>1408</v>
      </c>
      <c r="X2739" s="476"/>
      <c r="Y2739" s="477">
        <f t="shared" si="1145"/>
        <v>0</v>
      </c>
      <c r="Z2739" s="478">
        <f t="shared" si="1146"/>
        <v>0</v>
      </c>
      <c r="AA2739" s="478">
        <f t="shared" ref="AA2739:AA2776" si="1153">Q2739*Z2739</f>
        <v>0</v>
      </c>
      <c r="AB2739" s="828">
        <v>6</v>
      </c>
      <c r="AC2739" s="475">
        <f t="shared" si="1147"/>
        <v>0</v>
      </c>
      <c r="AD2739" s="209"/>
      <c r="AE2739" s="210">
        <f t="shared" si="1148"/>
        <v>0</v>
      </c>
      <c r="AF2739" s="210">
        <f t="shared" si="1137"/>
        <v>0</v>
      </c>
      <c r="AG2739" s="211">
        <f t="shared" ref="AG2739:AG2744" si="1154">MID(O2739,1,3)/1000</f>
        <v>0.75</v>
      </c>
      <c r="AH2739" s="157">
        <f t="shared" si="1149"/>
        <v>0</v>
      </c>
      <c r="AI2739" s="152">
        <f t="shared" si="1150"/>
        <v>11264</v>
      </c>
      <c r="AK2739" s="156" t="s">
        <v>691</v>
      </c>
      <c r="AL2739" s="156" t="s">
        <v>689</v>
      </c>
      <c r="AM2739" s="198">
        <f t="shared" si="1132"/>
        <v>0</v>
      </c>
      <c r="AN2739" s="199">
        <f t="shared" ref="AN2739:AN2776" si="1155">B2739</f>
        <v>45961</v>
      </c>
      <c r="AO2739" s="159" t="s">
        <v>692</v>
      </c>
      <c r="AP2739" s="783" t="s">
        <v>622</v>
      </c>
      <c r="AQ2739" s="782">
        <v>12088677</v>
      </c>
      <c r="AR2739" s="782" t="s">
        <v>2142</v>
      </c>
      <c r="AS2739" s="782"/>
      <c r="AT2739" s="782">
        <v>12082897</v>
      </c>
      <c r="AU2739" s="781"/>
      <c r="AV2739" s="782">
        <v>12082898</v>
      </c>
      <c r="AW2739" s="782">
        <v>12082899</v>
      </c>
      <c r="AX2739" s="796" t="s">
        <v>621</v>
      </c>
      <c r="AY2739" s="782"/>
      <c r="AZ2739" s="782"/>
      <c r="BA2739" s="781"/>
      <c r="BB2739" s="209">
        <v>23053184</v>
      </c>
    </row>
    <row r="2740" spans="1:54" ht="25" hidden="1" customHeight="1">
      <c r="A2740" s="142" t="s">
        <v>120</v>
      </c>
      <c r="B2740" s="283">
        <v>45961</v>
      </c>
      <c r="C2740" s="284">
        <v>45966</v>
      </c>
      <c r="D2740" s="185">
        <f t="shared" si="1151"/>
        <v>2025</v>
      </c>
      <c r="E2740" s="286" t="e">
        <f>VLOOKUP($B2740,Week!$A$1:$C$1462,2,0)</f>
        <v>#N/A</v>
      </c>
      <c r="F2740" s="285" t="str">
        <f t="shared" si="1152"/>
        <v>Oct</v>
      </c>
      <c r="G2740" s="286" t="s">
        <v>2535</v>
      </c>
      <c r="H2740" s="286" t="s">
        <v>344</v>
      </c>
      <c r="I2740" s="286" t="s">
        <v>2772</v>
      </c>
      <c r="J2740" s="287" t="s">
        <v>345</v>
      </c>
      <c r="K2740" s="288" t="s">
        <v>153</v>
      </c>
      <c r="L2740" s="390" t="s">
        <v>2166</v>
      </c>
      <c r="M2740" s="287" t="s">
        <v>214</v>
      </c>
      <c r="N2740" s="286" t="s">
        <v>2525</v>
      </c>
      <c r="O2740" s="286" t="s">
        <v>504</v>
      </c>
      <c r="P2740" s="289">
        <v>20</v>
      </c>
      <c r="Q2740" s="289">
        <v>8</v>
      </c>
      <c r="R2740" s="290">
        <v>1.4999999999999999E-2</v>
      </c>
      <c r="S2740" s="286" t="s">
        <v>217</v>
      </c>
      <c r="T2740" s="286" t="s">
        <v>56</v>
      </c>
      <c r="U2740" s="286" t="s">
        <v>89</v>
      </c>
      <c r="V2740" s="291">
        <v>10</v>
      </c>
      <c r="W2740" s="291"/>
      <c r="X2740" s="292">
        <v>10</v>
      </c>
      <c r="Y2740" s="293">
        <f t="shared" si="1145"/>
        <v>0</v>
      </c>
      <c r="Z2740" s="294">
        <f t="shared" si="1146"/>
        <v>0</v>
      </c>
      <c r="AA2740" s="291">
        <f t="shared" si="1153"/>
        <v>0</v>
      </c>
      <c r="AB2740" s="813">
        <v>2</v>
      </c>
      <c r="AC2740" s="291">
        <f t="shared" si="1147"/>
        <v>0</v>
      </c>
      <c r="AD2740" s="209" t="s">
        <v>218</v>
      </c>
      <c r="AE2740" s="210">
        <f t="shared" si="1148"/>
        <v>0</v>
      </c>
      <c r="AF2740" s="210">
        <f t="shared" si="1137"/>
        <v>0</v>
      </c>
      <c r="AG2740" s="211">
        <f t="shared" si="1154"/>
        <v>0.19400000000000001</v>
      </c>
      <c r="AH2740" s="157">
        <f t="shared" si="1149"/>
        <v>0</v>
      </c>
      <c r="AI2740" s="152">
        <f t="shared" si="1150"/>
        <v>200</v>
      </c>
      <c r="AK2740" s="156" t="s">
        <v>691</v>
      </c>
      <c r="AL2740" s="156" t="s">
        <v>689</v>
      </c>
      <c r="AM2740" s="198">
        <f t="shared" si="1132"/>
        <v>0</v>
      </c>
      <c r="AN2740" s="199">
        <f t="shared" si="1155"/>
        <v>45961</v>
      </c>
      <c r="AO2740" s="159" t="s">
        <v>692</v>
      </c>
      <c r="AP2740" s="783" t="s">
        <v>610</v>
      </c>
      <c r="AQ2740" s="782">
        <v>12071839</v>
      </c>
      <c r="AR2740" s="782">
        <v>12064528</v>
      </c>
      <c r="AS2740" s="782"/>
      <c r="AT2740" s="782">
        <v>12096526</v>
      </c>
      <c r="AU2740" s="781"/>
      <c r="AV2740" s="782">
        <v>12096527</v>
      </c>
      <c r="AW2740" s="782"/>
      <c r="AX2740" s="782" t="s">
        <v>545</v>
      </c>
      <c r="AY2740" s="782"/>
      <c r="AZ2740" s="782"/>
      <c r="BA2740" s="781"/>
      <c r="BB2740" s="209">
        <v>23053184</v>
      </c>
    </row>
    <row r="2741" spans="1:54" ht="25" hidden="1" customHeight="1">
      <c r="A2741" s="142" t="s">
        <v>120</v>
      </c>
      <c r="B2741" s="283">
        <v>45961</v>
      </c>
      <c r="C2741" s="284">
        <v>45971</v>
      </c>
      <c r="D2741" s="185">
        <f t="shared" si="1151"/>
        <v>2025</v>
      </c>
      <c r="E2741" s="286" t="e">
        <f>VLOOKUP($B2741,Week!$A$1:$C$1462,2,0)</f>
        <v>#N/A</v>
      </c>
      <c r="F2741" s="285" t="str">
        <f t="shared" si="1152"/>
        <v>Oct</v>
      </c>
      <c r="G2741" s="286" t="s">
        <v>2476</v>
      </c>
      <c r="H2741" s="286" t="s">
        <v>134</v>
      </c>
      <c r="I2741" s="286" t="s">
        <v>2772</v>
      </c>
      <c r="J2741" s="287" t="s">
        <v>164</v>
      </c>
      <c r="K2741" s="288" t="s">
        <v>153</v>
      </c>
      <c r="L2741" s="390" t="s">
        <v>2166</v>
      </c>
      <c r="M2741" s="287" t="s">
        <v>214</v>
      </c>
      <c r="N2741" s="286" t="s">
        <v>215</v>
      </c>
      <c r="O2741" s="286" t="s">
        <v>504</v>
      </c>
      <c r="P2741" s="289">
        <v>20</v>
      </c>
      <c r="Q2741" s="289">
        <v>8</v>
      </c>
      <c r="R2741" s="290">
        <v>1.4999999999999999E-2</v>
      </c>
      <c r="S2741" s="286" t="s">
        <v>217</v>
      </c>
      <c r="T2741" s="286" t="s">
        <v>56</v>
      </c>
      <c r="U2741" s="286" t="s">
        <v>89</v>
      </c>
      <c r="V2741" s="291">
        <f>250</f>
        <v>250</v>
      </c>
      <c r="W2741" s="291">
        <f>173</f>
        <v>173</v>
      </c>
      <c r="X2741" s="292">
        <f>(80+1460)/20</f>
        <v>77</v>
      </c>
      <c r="Y2741" s="293">
        <f t="shared" si="1145"/>
        <v>0</v>
      </c>
      <c r="Z2741" s="294">
        <f t="shared" si="1146"/>
        <v>0</v>
      </c>
      <c r="AA2741" s="291">
        <f t="shared" si="1153"/>
        <v>0</v>
      </c>
      <c r="AB2741" s="813">
        <v>2</v>
      </c>
      <c r="AC2741" s="291">
        <f t="shared" si="1147"/>
        <v>0</v>
      </c>
      <c r="AD2741" s="209" t="s">
        <v>218</v>
      </c>
      <c r="AE2741" s="210">
        <f t="shared" si="1148"/>
        <v>0</v>
      </c>
      <c r="AF2741" s="210">
        <f t="shared" si="1137"/>
        <v>0</v>
      </c>
      <c r="AG2741" s="211">
        <f t="shared" si="1154"/>
        <v>0.19400000000000001</v>
      </c>
      <c r="AH2741" s="157">
        <f t="shared" si="1149"/>
        <v>0</v>
      </c>
      <c r="AI2741" s="152">
        <f t="shared" si="1150"/>
        <v>5000</v>
      </c>
      <c r="AK2741" s="156" t="s">
        <v>691</v>
      </c>
      <c r="AL2741" s="156" t="s">
        <v>689</v>
      </c>
      <c r="AM2741" s="198">
        <f t="shared" si="1132"/>
        <v>0</v>
      </c>
      <c r="AN2741" s="199">
        <f t="shared" si="1155"/>
        <v>45961</v>
      </c>
      <c r="AO2741" s="159" t="s">
        <v>692</v>
      </c>
      <c r="AP2741" s="783" t="s">
        <v>610</v>
      </c>
      <c r="AQ2741" s="782">
        <v>12071839</v>
      </c>
      <c r="AR2741" s="782">
        <v>12064528</v>
      </c>
      <c r="AS2741" s="782"/>
      <c r="AT2741" s="782">
        <v>12096526</v>
      </c>
      <c r="AU2741" s="781"/>
      <c r="AV2741" s="782">
        <v>12096527</v>
      </c>
      <c r="AW2741" s="782"/>
      <c r="AX2741" s="782" t="s">
        <v>545</v>
      </c>
      <c r="AY2741" s="782"/>
      <c r="AZ2741" s="782"/>
      <c r="BA2741" s="781"/>
      <c r="BB2741" s="209">
        <v>23053184</v>
      </c>
    </row>
    <row r="2742" spans="1:54" ht="25" hidden="1" customHeight="1">
      <c r="A2742" s="142" t="s">
        <v>120</v>
      </c>
      <c r="B2742" s="283">
        <v>45961</v>
      </c>
      <c r="C2742" s="284">
        <v>45971</v>
      </c>
      <c r="D2742" s="185">
        <f t="shared" si="1151"/>
        <v>2025</v>
      </c>
      <c r="E2742" s="286" t="e">
        <f>VLOOKUP($B2742,Week!$A$1:$C$1462,2,0)</f>
        <v>#N/A</v>
      </c>
      <c r="F2742" s="285" t="str">
        <f t="shared" si="1152"/>
        <v>Oct</v>
      </c>
      <c r="G2742" s="286" t="s">
        <v>2489</v>
      </c>
      <c r="H2742" s="286" t="s">
        <v>134</v>
      </c>
      <c r="I2742" s="286" t="s">
        <v>2772</v>
      </c>
      <c r="J2742" s="287" t="s">
        <v>164</v>
      </c>
      <c r="K2742" s="288" t="s">
        <v>153</v>
      </c>
      <c r="L2742" s="390" t="s">
        <v>2166</v>
      </c>
      <c r="M2742" s="287" t="s">
        <v>214</v>
      </c>
      <c r="N2742" s="286" t="s">
        <v>215</v>
      </c>
      <c r="O2742" s="286" t="s">
        <v>504</v>
      </c>
      <c r="P2742" s="289">
        <v>20</v>
      </c>
      <c r="Q2742" s="289">
        <v>8</v>
      </c>
      <c r="R2742" s="290">
        <v>1.4999999999999999E-2</v>
      </c>
      <c r="S2742" s="286" t="s">
        <v>217</v>
      </c>
      <c r="T2742" s="286" t="s">
        <v>56</v>
      </c>
      <c r="U2742" s="286" t="s">
        <v>89</v>
      </c>
      <c r="V2742" s="291">
        <f>150</f>
        <v>150</v>
      </c>
      <c r="W2742" s="291"/>
      <c r="X2742" s="292">
        <f>150</f>
        <v>150</v>
      </c>
      <c r="Y2742" s="293">
        <f t="shared" si="1145"/>
        <v>0</v>
      </c>
      <c r="Z2742" s="294">
        <f t="shared" si="1146"/>
        <v>0</v>
      </c>
      <c r="AA2742" s="291">
        <f t="shared" si="1153"/>
        <v>0</v>
      </c>
      <c r="AB2742" s="813">
        <v>2</v>
      </c>
      <c r="AC2742" s="291">
        <f t="shared" si="1147"/>
        <v>0</v>
      </c>
      <c r="AD2742" s="209" t="s">
        <v>218</v>
      </c>
      <c r="AE2742" s="210">
        <f t="shared" si="1148"/>
        <v>0</v>
      </c>
      <c r="AF2742" s="210">
        <f t="shared" si="1137"/>
        <v>0</v>
      </c>
      <c r="AG2742" s="211">
        <f t="shared" si="1154"/>
        <v>0.19400000000000001</v>
      </c>
      <c r="AH2742" s="157">
        <f t="shared" si="1149"/>
        <v>0</v>
      </c>
      <c r="AI2742" s="152">
        <f t="shared" si="1150"/>
        <v>3000</v>
      </c>
      <c r="AK2742" s="156" t="s">
        <v>691</v>
      </c>
      <c r="AL2742" s="156" t="s">
        <v>689</v>
      </c>
      <c r="AM2742" s="198">
        <f t="shared" si="1132"/>
        <v>0</v>
      </c>
      <c r="AN2742" s="199">
        <f t="shared" si="1155"/>
        <v>45961</v>
      </c>
      <c r="AO2742" s="159" t="s">
        <v>692</v>
      </c>
      <c r="AP2742" s="783" t="s">
        <v>610</v>
      </c>
      <c r="AQ2742" s="782">
        <v>12071839</v>
      </c>
      <c r="AR2742" s="782">
        <v>12064528</v>
      </c>
      <c r="AS2742" s="782"/>
      <c r="AT2742" s="782">
        <v>12096526</v>
      </c>
      <c r="AU2742" s="781"/>
      <c r="AV2742" s="782">
        <v>12096527</v>
      </c>
      <c r="AW2742" s="782"/>
      <c r="AX2742" s="782" t="s">
        <v>545</v>
      </c>
      <c r="AY2742" s="782"/>
      <c r="AZ2742" s="782"/>
      <c r="BA2742" s="781"/>
      <c r="BB2742" s="209">
        <v>23053184</v>
      </c>
    </row>
    <row r="2743" spans="1:54" ht="24.75" hidden="1" customHeight="1">
      <c r="B2743" s="295">
        <v>45962</v>
      </c>
      <c r="C2743" s="771" t="s">
        <v>1935</v>
      </c>
      <c r="D2743" s="185">
        <f t="shared" si="1151"/>
        <v>2025</v>
      </c>
      <c r="E2743" s="296" t="e">
        <f>VLOOKUP($B2743,Week!$A$1:$C$1462,2,0)</f>
        <v>#N/A</v>
      </c>
      <c r="F2743" s="297" t="str">
        <f t="shared" si="1152"/>
        <v>Nov</v>
      </c>
      <c r="G2743" s="648" t="s">
        <v>47</v>
      </c>
      <c r="H2743" s="298" t="s">
        <v>260</v>
      </c>
      <c r="I2743" s="298" t="s">
        <v>2702</v>
      </c>
      <c r="J2743" s="307" t="s">
        <v>2240</v>
      </c>
      <c r="K2743" s="300" t="s">
        <v>176</v>
      </c>
      <c r="L2743" s="300" t="s">
        <v>2167</v>
      </c>
      <c r="M2743" s="299" t="s">
        <v>2338</v>
      </c>
      <c r="N2743" s="298" t="s">
        <v>350</v>
      </c>
      <c r="O2743" s="298" t="s">
        <v>351</v>
      </c>
      <c r="P2743" s="301">
        <v>24</v>
      </c>
      <c r="Q2743" s="301">
        <v>5</v>
      </c>
      <c r="R2743" s="302">
        <v>6.1999999999999998E-3</v>
      </c>
      <c r="S2743" s="298" t="s">
        <v>352</v>
      </c>
      <c r="T2743" s="298" t="s">
        <v>56</v>
      </c>
      <c r="U2743" s="298" t="s">
        <v>57</v>
      </c>
      <c r="V2743" s="303">
        <v>1913</v>
      </c>
      <c r="W2743" s="303">
        <v>1913</v>
      </c>
      <c r="X2743" s="304"/>
      <c r="Y2743" s="305">
        <f t="shared" si="1145"/>
        <v>0</v>
      </c>
      <c r="Z2743" s="306">
        <f t="shared" si="1146"/>
        <v>0</v>
      </c>
      <c r="AA2743" s="306">
        <f t="shared" si="1153"/>
        <v>0</v>
      </c>
      <c r="AB2743" s="814">
        <v>7.4999999999999997E-3</v>
      </c>
      <c r="AC2743" s="303">
        <f t="shared" si="1147"/>
        <v>0</v>
      </c>
      <c r="AD2743" s="443"/>
      <c r="AE2743" s="210">
        <f t="shared" si="1148"/>
        <v>0</v>
      </c>
      <c r="AF2743" s="210">
        <f t="shared" si="1137"/>
        <v>0</v>
      </c>
      <c r="AG2743" s="211">
        <f t="shared" si="1154"/>
        <v>0.13</v>
      </c>
      <c r="AH2743" s="157">
        <f t="shared" si="1149"/>
        <v>0</v>
      </c>
      <c r="AI2743" s="152">
        <f t="shared" si="1150"/>
        <v>45912</v>
      </c>
      <c r="AK2743" s="156" t="s">
        <v>691</v>
      </c>
      <c r="AL2743" s="574" t="s">
        <v>690</v>
      </c>
      <c r="AM2743" s="198">
        <f t="shared" si="1132"/>
        <v>0</v>
      </c>
      <c r="AN2743" s="199">
        <f t="shared" si="1155"/>
        <v>45962</v>
      </c>
      <c r="AO2743" s="159" t="s">
        <v>692</v>
      </c>
      <c r="AP2743" s="783" t="s">
        <v>622</v>
      </c>
      <c r="AQ2743" s="782">
        <v>12071839</v>
      </c>
      <c r="AR2743" s="782">
        <v>12094356</v>
      </c>
      <c r="AS2743" s="782">
        <v>12068233</v>
      </c>
      <c r="AT2743" s="781"/>
      <c r="AU2743" s="781"/>
      <c r="AV2743" s="782">
        <v>12062075</v>
      </c>
      <c r="AW2743" s="781"/>
      <c r="AX2743" s="781"/>
      <c r="AY2743" s="782">
        <v>12094357</v>
      </c>
      <c r="AZ2743" s="782"/>
      <c r="BA2743" s="781"/>
      <c r="BB2743" s="209">
        <v>23053184</v>
      </c>
    </row>
    <row r="2744" spans="1:54" ht="24.75" hidden="1" customHeight="1">
      <c r="B2744" s="333">
        <v>45962</v>
      </c>
      <c r="C2744" s="333">
        <v>45974</v>
      </c>
      <c r="D2744" s="185">
        <f t="shared" si="1151"/>
        <v>2025</v>
      </c>
      <c r="E2744" s="335" t="e">
        <f>VLOOKUP($B2744,Week!$A$1:$C$1462,2,0)</f>
        <v>#N/A</v>
      </c>
      <c r="F2744" s="334" t="str">
        <f t="shared" si="1152"/>
        <v>Nov</v>
      </c>
      <c r="G2744" s="335" t="s">
        <v>2392</v>
      </c>
      <c r="H2744" s="335" t="s">
        <v>363</v>
      </c>
      <c r="I2744" s="335" t="s">
        <v>2772</v>
      </c>
      <c r="J2744" s="336" t="s">
        <v>364</v>
      </c>
      <c r="K2744" s="337" t="s">
        <v>176</v>
      </c>
      <c r="L2744" s="337" t="s">
        <v>2167</v>
      </c>
      <c r="M2744" s="382" t="s">
        <v>646</v>
      </c>
      <c r="N2744" s="335" t="s">
        <v>647</v>
      </c>
      <c r="O2744" s="335" t="s">
        <v>599</v>
      </c>
      <c r="P2744" s="338">
        <v>36</v>
      </c>
      <c r="Q2744" s="338">
        <v>5</v>
      </c>
      <c r="R2744" s="339">
        <v>8.0000000000000002E-3</v>
      </c>
      <c r="S2744" s="335" t="s">
        <v>40</v>
      </c>
      <c r="T2744" s="335" t="s">
        <v>112</v>
      </c>
      <c r="U2744" s="335" t="s">
        <v>57</v>
      </c>
      <c r="V2744" s="341">
        <f>1242</f>
        <v>1242</v>
      </c>
      <c r="W2744" s="341">
        <f>38+1204</f>
        <v>1242</v>
      </c>
      <c r="X2744" s="342"/>
      <c r="Y2744" s="343">
        <f t="shared" si="1145"/>
        <v>0</v>
      </c>
      <c r="Z2744" s="344">
        <f t="shared" si="1146"/>
        <v>0</v>
      </c>
      <c r="AA2744" s="344">
        <f t="shared" si="1153"/>
        <v>0</v>
      </c>
      <c r="AB2744" s="821">
        <v>7.4999999999999997E-3</v>
      </c>
      <c r="AC2744" s="341">
        <f t="shared" si="1147"/>
        <v>0</v>
      </c>
      <c r="AD2744" s="209"/>
      <c r="AE2744" s="210">
        <f t="shared" si="1148"/>
        <v>0</v>
      </c>
      <c r="AF2744" s="210">
        <f t="shared" si="1137"/>
        <v>0</v>
      </c>
      <c r="AG2744" s="211">
        <f t="shared" si="1154"/>
        <v>0.14799999999999999</v>
      </c>
      <c r="AH2744" s="157">
        <f t="shared" si="1149"/>
        <v>0</v>
      </c>
      <c r="AI2744" s="152">
        <f t="shared" si="1150"/>
        <v>44712</v>
      </c>
      <c r="AK2744" s="156" t="s">
        <v>691</v>
      </c>
      <c r="AL2744" s="574" t="s">
        <v>690</v>
      </c>
      <c r="AM2744" s="198">
        <f t="shared" si="1132"/>
        <v>0</v>
      </c>
      <c r="AN2744" s="199">
        <f t="shared" si="1155"/>
        <v>45962</v>
      </c>
      <c r="AO2744" s="159" t="s">
        <v>692</v>
      </c>
      <c r="AP2744" s="781"/>
      <c r="AQ2744" s="782">
        <v>12071839</v>
      </c>
      <c r="AR2744" s="782">
        <v>12047514</v>
      </c>
      <c r="AS2744" s="782">
        <v>12047515</v>
      </c>
      <c r="AT2744" s="782">
        <v>12084374</v>
      </c>
      <c r="AU2744" s="781"/>
      <c r="AV2744" s="782">
        <v>12084372</v>
      </c>
      <c r="AW2744" s="782">
        <v>12024404</v>
      </c>
      <c r="AX2744" s="782"/>
      <c r="AY2744" s="782">
        <v>12094311</v>
      </c>
      <c r="AZ2744" s="782"/>
      <c r="BA2744" s="781"/>
      <c r="BB2744" s="209">
        <v>23053185</v>
      </c>
    </row>
    <row r="2745" spans="1:54" ht="25" hidden="1" customHeight="1">
      <c r="B2745" s="183">
        <v>45963</v>
      </c>
      <c r="C2745" s="184"/>
      <c r="D2745" s="185">
        <f t="shared" si="1151"/>
        <v>2025</v>
      </c>
      <c r="E2745" s="185" t="e">
        <f>VLOOKUP($B2745,Week!$A$1:$C$1462,2,0)</f>
        <v>#N/A</v>
      </c>
      <c r="F2745" s="186" t="str">
        <f t="shared" si="1152"/>
        <v>Nov</v>
      </c>
      <c r="G2745" s="481"/>
      <c r="H2745" s="185"/>
      <c r="I2745" s="185"/>
      <c r="J2745" s="187"/>
      <c r="K2745" s="188"/>
      <c r="L2745" s="188"/>
      <c r="M2745" s="187"/>
      <c r="N2745" s="185"/>
      <c r="O2745" s="185"/>
      <c r="P2745" s="189"/>
      <c r="Q2745" s="189"/>
      <c r="R2745" s="190"/>
      <c r="S2745" s="185"/>
      <c r="T2745" s="185"/>
      <c r="U2745" s="185"/>
      <c r="V2745" s="191"/>
      <c r="W2745" s="191"/>
      <c r="X2745" s="192"/>
      <c r="Y2745" s="193"/>
      <c r="Z2745" s="194"/>
      <c r="AA2745" s="194">
        <f t="shared" si="1153"/>
        <v>0</v>
      </c>
      <c r="AB2745" s="805"/>
      <c r="AC2745" s="191"/>
      <c r="AD2745" s="187"/>
      <c r="AE2745" s="195"/>
      <c r="AF2745" s="195"/>
      <c r="AG2745" s="196"/>
      <c r="AH2745" s="197"/>
      <c r="AK2745" s="156" t="s">
        <v>691</v>
      </c>
      <c r="AM2745" s="198">
        <f t="shared" si="1132"/>
        <v>0</v>
      </c>
      <c r="AN2745" s="199">
        <f t="shared" si="1155"/>
        <v>45963</v>
      </c>
      <c r="AO2745" s="159" t="s">
        <v>692</v>
      </c>
      <c r="AP2745" s="781"/>
      <c r="AQ2745" s="782"/>
      <c r="AR2745" s="782"/>
      <c r="AS2745" s="782"/>
      <c r="AT2745" s="782"/>
      <c r="AU2745" s="781"/>
      <c r="AV2745" s="782"/>
      <c r="AW2745" s="782"/>
      <c r="AX2745" s="782"/>
      <c r="AY2745" s="782"/>
      <c r="AZ2745" s="782"/>
      <c r="BA2745" s="781"/>
      <c r="BB2745" s="209"/>
    </row>
    <row r="2746" spans="1:54" ht="25" hidden="1" customHeight="1">
      <c r="A2746" s="142" t="s">
        <v>120</v>
      </c>
      <c r="B2746" s="271">
        <v>45964</v>
      </c>
      <c r="C2746" s="272">
        <v>45978</v>
      </c>
      <c r="D2746" s="185">
        <f t="shared" si="1151"/>
        <v>2025</v>
      </c>
      <c r="E2746" s="272" t="e">
        <f>VLOOKUP($B2746,Week!$A$1:$C$1462,2,0)</f>
        <v>#N/A</v>
      </c>
      <c r="F2746" s="273" t="str">
        <f t="shared" si="1152"/>
        <v>Nov</v>
      </c>
      <c r="G2746" s="274" t="s">
        <v>2553</v>
      </c>
      <c r="H2746" s="274" t="s">
        <v>500</v>
      </c>
      <c r="I2746" s="274" t="s">
        <v>2772</v>
      </c>
      <c r="J2746" s="275" t="s">
        <v>285</v>
      </c>
      <c r="K2746" s="276" t="s">
        <v>153</v>
      </c>
      <c r="L2746" s="390" t="s">
        <v>2166</v>
      </c>
      <c r="M2746" s="275" t="s">
        <v>86</v>
      </c>
      <c r="N2746" s="274" t="s">
        <v>547</v>
      </c>
      <c r="O2746" s="274" t="s">
        <v>548</v>
      </c>
      <c r="P2746" s="277">
        <v>10</v>
      </c>
      <c r="Q2746" s="277">
        <v>50</v>
      </c>
      <c r="R2746" s="278">
        <v>6.8100000000000001E-3</v>
      </c>
      <c r="S2746" s="274" t="s">
        <v>76</v>
      </c>
      <c r="T2746" s="274" t="s">
        <v>56</v>
      </c>
      <c r="U2746" s="274" t="s">
        <v>89</v>
      </c>
      <c r="V2746" s="279">
        <v>607</v>
      </c>
      <c r="W2746" s="279">
        <f>592</f>
        <v>592</v>
      </c>
      <c r="X2746" s="280">
        <f>(150)/10</f>
        <v>15</v>
      </c>
      <c r="Y2746" s="281">
        <f t="shared" ref="Y2746:Y2765" si="1156">(W2746+X2746)-V2746</f>
        <v>0</v>
      </c>
      <c r="Z2746" s="282">
        <f t="shared" ref="Z2746:Z2765" si="1157">IF(Y2746&lt;0,((V2746*P2746)-((W2746+X2746)*P2746)),0)</f>
        <v>0</v>
      </c>
      <c r="AA2746" s="282">
        <f t="shared" si="1153"/>
        <v>0</v>
      </c>
      <c r="AB2746" s="812">
        <v>6</v>
      </c>
      <c r="AC2746" s="279">
        <f t="shared" ref="AC2746:AC2765" si="1158">Z2746*AB2746</f>
        <v>0</v>
      </c>
      <c r="AD2746" s="209">
        <f>40000</f>
        <v>40000</v>
      </c>
      <c r="AE2746" s="210">
        <f t="shared" ref="AE2746:AE2765" si="1159">SUM(Q2746*R2746*Z2746)/1000</f>
        <v>0</v>
      </c>
      <c r="AF2746" s="210">
        <f t="shared" ref="AF2746:AF2765" si="1160">AE2746/0.54</f>
        <v>0</v>
      </c>
      <c r="AG2746" s="211">
        <f t="shared" ref="AG2746:AG2765" si="1161">MID(O2746,1,3)/1000</f>
        <v>0.63</v>
      </c>
      <c r="AH2746" s="157">
        <f t="shared" ref="AH2746:AH2762" si="1162">(Z2746*AG2746)/1000</f>
        <v>0</v>
      </c>
      <c r="AI2746" s="152">
        <f t="shared" ref="AI2746:AI2765" si="1163">V2746*P2746</f>
        <v>6070</v>
      </c>
      <c r="AK2746" s="156" t="s">
        <v>691</v>
      </c>
      <c r="AL2746" s="156" t="s">
        <v>689</v>
      </c>
      <c r="AM2746" s="198">
        <f t="shared" si="1132"/>
        <v>0</v>
      </c>
      <c r="AN2746" s="199">
        <f t="shared" si="1155"/>
        <v>45964</v>
      </c>
      <c r="AO2746" s="159" t="s">
        <v>692</v>
      </c>
      <c r="AP2746" s="783" t="s">
        <v>620</v>
      </c>
      <c r="AQ2746" s="796" t="s">
        <v>422</v>
      </c>
      <c r="AR2746" s="782">
        <v>12055234</v>
      </c>
      <c r="AS2746" s="781"/>
      <c r="AT2746" s="782"/>
      <c r="AU2746" s="782"/>
      <c r="AV2746" s="782">
        <v>12062809</v>
      </c>
      <c r="AW2746" s="782"/>
      <c r="AX2746" s="782" t="s">
        <v>619</v>
      </c>
      <c r="AY2746" s="781"/>
      <c r="AZ2746" s="781"/>
      <c r="BA2746" s="781"/>
      <c r="BB2746" s="209">
        <v>23053184</v>
      </c>
    </row>
    <row r="2747" spans="1:54" ht="24.75" hidden="1" customHeight="1">
      <c r="B2747" s="295">
        <v>45964</v>
      </c>
      <c r="C2747" s="771" t="s">
        <v>1935</v>
      </c>
      <c r="D2747" s="185">
        <f t="shared" si="1151"/>
        <v>2025</v>
      </c>
      <c r="E2747" s="296" t="e">
        <f>VLOOKUP($B2747,Week!$A$1:$C$1462,2,0)</f>
        <v>#N/A</v>
      </c>
      <c r="F2747" s="297" t="str">
        <f t="shared" si="1152"/>
        <v>Nov</v>
      </c>
      <c r="G2747" s="648" t="s">
        <v>47</v>
      </c>
      <c r="H2747" s="298" t="s">
        <v>260</v>
      </c>
      <c r="I2747" s="298" t="s">
        <v>2702</v>
      </c>
      <c r="J2747" s="307" t="s">
        <v>2240</v>
      </c>
      <c r="K2747" s="300" t="s">
        <v>176</v>
      </c>
      <c r="L2747" s="300" t="s">
        <v>2167</v>
      </c>
      <c r="M2747" s="299" t="s">
        <v>2338</v>
      </c>
      <c r="N2747" s="298" t="s">
        <v>350</v>
      </c>
      <c r="O2747" s="298" t="s">
        <v>351</v>
      </c>
      <c r="P2747" s="301">
        <v>24</v>
      </c>
      <c r="Q2747" s="301">
        <v>5</v>
      </c>
      <c r="R2747" s="302">
        <v>6.1999999999999998E-3</v>
      </c>
      <c r="S2747" s="298" t="s">
        <v>352</v>
      </c>
      <c r="T2747" s="298" t="s">
        <v>56</v>
      </c>
      <c r="U2747" s="298" t="s">
        <v>57</v>
      </c>
      <c r="V2747" s="303">
        <v>3682</v>
      </c>
      <c r="W2747" s="303">
        <f>3682</f>
        <v>3682</v>
      </c>
      <c r="X2747" s="304"/>
      <c r="Y2747" s="305">
        <f t="shared" si="1156"/>
        <v>0</v>
      </c>
      <c r="Z2747" s="306">
        <f t="shared" si="1157"/>
        <v>0</v>
      </c>
      <c r="AA2747" s="306">
        <f t="shared" si="1153"/>
        <v>0</v>
      </c>
      <c r="AB2747" s="814">
        <v>7.4999999999999997E-3</v>
      </c>
      <c r="AC2747" s="303">
        <f t="shared" si="1158"/>
        <v>0</v>
      </c>
      <c r="AD2747" s="443"/>
      <c r="AE2747" s="210">
        <f t="shared" si="1159"/>
        <v>0</v>
      </c>
      <c r="AF2747" s="210">
        <f t="shared" si="1160"/>
        <v>0</v>
      </c>
      <c r="AG2747" s="211">
        <f t="shared" si="1161"/>
        <v>0.13</v>
      </c>
      <c r="AH2747" s="157">
        <f t="shared" si="1162"/>
        <v>0</v>
      </c>
      <c r="AI2747" s="152">
        <f t="shared" si="1163"/>
        <v>88368</v>
      </c>
      <c r="AK2747" s="156" t="s">
        <v>691</v>
      </c>
      <c r="AL2747" s="574" t="s">
        <v>690</v>
      </c>
      <c r="AM2747" s="198">
        <f t="shared" si="1132"/>
        <v>0</v>
      </c>
      <c r="AN2747" s="199">
        <f t="shared" si="1155"/>
        <v>45964</v>
      </c>
      <c r="AO2747" s="159" t="s">
        <v>692</v>
      </c>
      <c r="AP2747" s="783" t="s">
        <v>622</v>
      </c>
      <c r="AQ2747" s="782">
        <v>12071839</v>
      </c>
      <c r="AR2747" s="782">
        <v>12094356</v>
      </c>
      <c r="AS2747" s="782">
        <v>12068233</v>
      </c>
      <c r="AT2747" s="781"/>
      <c r="AU2747" s="781"/>
      <c r="AV2747" s="782">
        <v>12062075</v>
      </c>
      <c r="AW2747" s="781"/>
      <c r="AX2747" s="781"/>
      <c r="AY2747" s="782">
        <v>12094357</v>
      </c>
      <c r="AZ2747" s="782"/>
      <c r="BA2747" s="781"/>
      <c r="BB2747" s="209">
        <v>23053184</v>
      </c>
    </row>
    <row r="2748" spans="1:54" ht="25" hidden="1" customHeight="1">
      <c r="A2748" s="142" t="s">
        <v>120</v>
      </c>
      <c r="B2748" s="271">
        <v>45965</v>
      </c>
      <c r="C2748" s="272">
        <v>45978</v>
      </c>
      <c r="D2748" s="185">
        <f t="shared" si="1151"/>
        <v>2025</v>
      </c>
      <c r="E2748" s="272" t="e">
        <f>VLOOKUP($B2748,Week!$A$1:$C$1462,2,0)</f>
        <v>#N/A</v>
      </c>
      <c r="F2748" s="273" t="str">
        <f t="shared" si="1152"/>
        <v>Nov</v>
      </c>
      <c r="G2748" s="274" t="s">
        <v>2553</v>
      </c>
      <c r="H2748" s="274" t="s">
        <v>500</v>
      </c>
      <c r="I2748" s="274" t="s">
        <v>2772</v>
      </c>
      <c r="J2748" s="275" t="s">
        <v>285</v>
      </c>
      <c r="K2748" s="276" t="s">
        <v>153</v>
      </c>
      <c r="L2748" s="390" t="s">
        <v>2166</v>
      </c>
      <c r="M2748" s="275" t="s">
        <v>86</v>
      </c>
      <c r="N2748" s="274" t="s">
        <v>547</v>
      </c>
      <c r="O2748" s="274" t="s">
        <v>548</v>
      </c>
      <c r="P2748" s="277">
        <v>10</v>
      </c>
      <c r="Q2748" s="277">
        <v>50</v>
      </c>
      <c r="R2748" s="278">
        <v>6.8100000000000001E-3</v>
      </c>
      <c r="S2748" s="274" t="s">
        <v>76</v>
      </c>
      <c r="T2748" s="274" t="s">
        <v>56</v>
      </c>
      <c r="U2748" s="274" t="s">
        <v>89</v>
      </c>
      <c r="V2748" s="279">
        <v>618</v>
      </c>
      <c r="W2748" s="279">
        <f>618</f>
        <v>618</v>
      </c>
      <c r="X2748" s="280"/>
      <c r="Y2748" s="281">
        <f t="shared" si="1156"/>
        <v>0</v>
      </c>
      <c r="Z2748" s="282">
        <f t="shared" si="1157"/>
        <v>0</v>
      </c>
      <c r="AA2748" s="282">
        <f t="shared" si="1153"/>
        <v>0</v>
      </c>
      <c r="AB2748" s="812">
        <v>6</v>
      </c>
      <c r="AC2748" s="279">
        <f t="shared" si="1158"/>
        <v>0</v>
      </c>
      <c r="AD2748" s="209">
        <f>40000</f>
        <v>40000</v>
      </c>
      <c r="AE2748" s="210">
        <f t="shared" si="1159"/>
        <v>0</v>
      </c>
      <c r="AF2748" s="210">
        <f t="shared" si="1160"/>
        <v>0</v>
      </c>
      <c r="AG2748" s="211">
        <f t="shared" si="1161"/>
        <v>0.63</v>
      </c>
      <c r="AH2748" s="157">
        <f t="shared" si="1162"/>
        <v>0</v>
      </c>
      <c r="AI2748" s="152">
        <f t="shared" si="1163"/>
        <v>6180</v>
      </c>
      <c r="AK2748" s="156" t="s">
        <v>691</v>
      </c>
      <c r="AL2748" s="156" t="s">
        <v>689</v>
      </c>
      <c r="AM2748" s="198">
        <f t="shared" si="1132"/>
        <v>0</v>
      </c>
      <c r="AN2748" s="199">
        <f t="shared" si="1155"/>
        <v>45965</v>
      </c>
      <c r="AO2748" s="159" t="s">
        <v>692</v>
      </c>
      <c r="AP2748" s="783" t="s">
        <v>620</v>
      </c>
      <c r="AQ2748" s="796" t="s">
        <v>422</v>
      </c>
      <c r="AR2748" s="782">
        <v>12055234</v>
      </c>
      <c r="AS2748" s="781"/>
      <c r="AT2748" s="782"/>
      <c r="AU2748" s="782"/>
      <c r="AV2748" s="782">
        <v>12062809</v>
      </c>
      <c r="AW2748" s="782"/>
      <c r="AX2748" s="782" t="s">
        <v>619</v>
      </c>
      <c r="AY2748" s="781"/>
      <c r="AZ2748" s="781"/>
      <c r="BA2748" s="781"/>
      <c r="BB2748" s="209">
        <v>23053184</v>
      </c>
    </row>
    <row r="2749" spans="1:54" ht="25" hidden="1" customHeight="1">
      <c r="B2749" s="271">
        <v>45965</v>
      </c>
      <c r="C2749" s="441">
        <v>45973</v>
      </c>
      <c r="D2749" s="274">
        <f t="shared" si="1151"/>
        <v>2025</v>
      </c>
      <c r="E2749" s="274" t="e">
        <f>VLOOKUP($B2749,Week!$A$1:$C$1462,2,0)</f>
        <v>#N/A</v>
      </c>
      <c r="F2749" s="273" t="str">
        <f t="shared" si="1152"/>
        <v>Nov</v>
      </c>
      <c r="G2749" s="274" t="s">
        <v>2278</v>
      </c>
      <c r="H2749" s="274" t="s">
        <v>225</v>
      </c>
      <c r="I2749" s="274" t="s">
        <v>2773</v>
      </c>
      <c r="J2749" s="275" t="s">
        <v>650</v>
      </c>
      <c r="K2749" s="276" t="s">
        <v>2256</v>
      </c>
      <c r="L2749" s="276" t="s">
        <v>2167</v>
      </c>
      <c r="M2749" s="275" t="s">
        <v>2258</v>
      </c>
      <c r="N2749" s="274" t="s">
        <v>2259</v>
      </c>
      <c r="O2749" s="274" t="s">
        <v>110</v>
      </c>
      <c r="P2749" s="277">
        <v>36</v>
      </c>
      <c r="Q2749" s="277">
        <v>5</v>
      </c>
      <c r="R2749" s="278">
        <v>7.4999999999999997E-3</v>
      </c>
      <c r="S2749" s="274" t="s">
        <v>111</v>
      </c>
      <c r="T2749" s="274" t="s">
        <v>112</v>
      </c>
      <c r="U2749" s="274" t="s">
        <v>113</v>
      </c>
      <c r="V2749" s="279">
        <f>792-117</f>
        <v>675</v>
      </c>
      <c r="W2749" s="279">
        <f>792-117</f>
        <v>675</v>
      </c>
      <c r="X2749" s="280"/>
      <c r="Y2749" s="281">
        <f t="shared" si="1156"/>
        <v>0</v>
      </c>
      <c r="Z2749" s="282">
        <f t="shared" si="1157"/>
        <v>0</v>
      </c>
      <c r="AA2749" s="282">
        <f t="shared" si="1153"/>
        <v>0</v>
      </c>
      <c r="AB2749" s="812">
        <v>9.7000000000000003E-3</v>
      </c>
      <c r="AC2749" s="279">
        <f t="shared" si="1158"/>
        <v>0</v>
      </c>
      <c r="AD2749" s="209"/>
      <c r="AE2749" s="210">
        <f t="shared" si="1159"/>
        <v>0</v>
      </c>
      <c r="AF2749" s="210">
        <f t="shared" si="1160"/>
        <v>0</v>
      </c>
      <c r="AG2749" s="211">
        <f t="shared" si="1161"/>
        <v>0.308</v>
      </c>
      <c r="AH2749" s="157">
        <f t="shared" si="1162"/>
        <v>0</v>
      </c>
      <c r="AI2749" s="152">
        <f t="shared" si="1163"/>
        <v>24300</v>
      </c>
      <c r="AK2749" s="156" t="s">
        <v>691</v>
      </c>
      <c r="AL2749" s="574" t="s">
        <v>690</v>
      </c>
      <c r="AM2749" s="198">
        <f t="shared" si="1132"/>
        <v>0</v>
      </c>
      <c r="AN2749" s="199">
        <f t="shared" si="1155"/>
        <v>45965</v>
      </c>
      <c r="AO2749" s="159" t="s">
        <v>692</v>
      </c>
      <c r="AP2749" s="781"/>
      <c r="AQ2749" s="782">
        <v>12063755</v>
      </c>
      <c r="AR2749" s="782">
        <v>12061353</v>
      </c>
      <c r="AS2749" s="782">
        <v>12061354</v>
      </c>
      <c r="AT2749" s="782">
        <v>12095367</v>
      </c>
      <c r="AU2749" s="781"/>
      <c r="AV2749" s="782">
        <v>12095366</v>
      </c>
      <c r="AW2749" s="782">
        <v>12088207</v>
      </c>
      <c r="AX2749" s="782"/>
      <c r="AY2749" s="782">
        <v>12095368</v>
      </c>
      <c r="AZ2749" s="782"/>
      <c r="BA2749" s="781"/>
      <c r="BB2749" s="209">
        <v>23054743</v>
      </c>
    </row>
    <row r="2750" spans="1:54" ht="25" hidden="1" customHeight="1">
      <c r="B2750" s="271">
        <v>45965</v>
      </c>
      <c r="C2750" s="441">
        <v>45973</v>
      </c>
      <c r="D2750" s="274">
        <f t="shared" si="1151"/>
        <v>2025</v>
      </c>
      <c r="E2750" s="274" t="e">
        <f>VLOOKUP($B2750,Week!$A$1:$C$1462,2,0)</f>
        <v>#N/A</v>
      </c>
      <c r="F2750" s="273" t="str">
        <f t="shared" si="1152"/>
        <v>Nov</v>
      </c>
      <c r="G2750" s="274" t="s">
        <v>2279</v>
      </c>
      <c r="H2750" s="274" t="s">
        <v>225</v>
      </c>
      <c r="I2750" s="274" t="s">
        <v>2773</v>
      </c>
      <c r="J2750" s="275" t="s">
        <v>650</v>
      </c>
      <c r="K2750" s="276" t="s">
        <v>2256</v>
      </c>
      <c r="L2750" s="276" t="s">
        <v>2167</v>
      </c>
      <c r="M2750" s="275" t="s">
        <v>2258</v>
      </c>
      <c r="N2750" s="274" t="s">
        <v>2259</v>
      </c>
      <c r="O2750" s="274" t="s">
        <v>110</v>
      </c>
      <c r="P2750" s="277">
        <v>36</v>
      </c>
      <c r="Q2750" s="277">
        <v>5</v>
      </c>
      <c r="R2750" s="278">
        <v>7.4999999999999997E-3</v>
      </c>
      <c r="S2750" s="274" t="s">
        <v>111</v>
      </c>
      <c r="T2750" s="274" t="s">
        <v>112</v>
      </c>
      <c r="U2750" s="274" t="s">
        <v>113</v>
      </c>
      <c r="V2750" s="279">
        <v>792</v>
      </c>
      <c r="W2750" s="279">
        <v>792</v>
      </c>
      <c r="X2750" s="280"/>
      <c r="Y2750" s="281">
        <f t="shared" si="1156"/>
        <v>0</v>
      </c>
      <c r="Z2750" s="282">
        <f t="shared" si="1157"/>
        <v>0</v>
      </c>
      <c r="AA2750" s="282">
        <f t="shared" si="1153"/>
        <v>0</v>
      </c>
      <c r="AB2750" s="812">
        <v>9.7000000000000003E-3</v>
      </c>
      <c r="AC2750" s="279">
        <f t="shared" si="1158"/>
        <v>0</v>
      </c>
      <c r="AD2750" s="209"/>
      <c r="AE2750" s="210">
        <f t="shared" si="1159"/>
        <v>0</v>
      </c>
      <c r="AF2750" s="210">
        <f t="shared" si="1160"/>
        <v>0</v>
      </c>
      <c r="AG2750" s="211">
        <f t="shared" si="1161"/>
        <v>0.308</v>
      </c>
      <c r="AH2750" s="157">
        <f t="shared" si="1162"/>
        <v>0</v>
      </c>
      <c r="AI2750" s="152">
        <f t="shared" si="1163"/>
        <v>28512</v>
      </c>
      <c r="AK2750" s="156" t="s">
        <v>691</v>
      </c>
      <c r="AL2750" s="574" t="s">
        <v>690</v>
      </c>
      <c r="AM2750" s="198">
        <f t="shared" si="1132"/>
        <v>0</v>
      </c>
      <c r="AN2750" s="199">
        <f t="shared" si="1155"/>
        <v>45965</v>
      </c>
      <c r="AO2750" s="159" t="s">
        <v>692</v>
      </c>
      <c r="AP2750" s="781"/>
      <c r="AQ2750" s="782">
        <v>12063755</v>
      </c>
      <c r="AR2750" s="782">
        <v>12061353</v>
      </c>
      <c r="AS2750" s="782">
        <v>12061354</v>
      </c>
      <c r="AT2750" s="782">
        <v>12095367</v>
      </c>
      <c r="AU2750" s="781"/>
      <c r="AV2750" s="782">
        <v>12095366</v>
      </c>
      <c r="AW2750" s="782">
        <v>12088207</v>
      </c>
      <c r="AX2750" s="782"/>
      <c r="AY2750" s="782">
        <v>12095368</v>
      </c>
      <c r="AZ2750" s="782"/>
      <c r="BA2750" s="781"/>
      <c r="BB2750" s="209">
        <v>23054743</v>
      </c>
    </row>
    <row r="2751" spans="1:54" ht="25" hidden="1" customHeight="1">
      <c r="B2751" s="271">
        <v>45965</v>
      </c>
      <c r="C2751" s="441">
        <v>45973</v>
      </c>
      <c r="D2751" s="274">
        <f t="shared" si="1151"/>
        <v>2025</v>
      </c>
      <c r="E2751" s="274" t="e">
        <f>VLOOKUP($B2751,Week!$A$1:$C$1462,2,0)</f>
        <v>#N/A</v>
      </c>
      <c r="F2751" s="273" t="str">
        <f t="shared" si="1152"/>
        <v>Nov</v>
      </c>
      <c r="G2751" s="274" t="s">
        <v>2280</v>
      </c>
      <c r="H2751" s="274" t="s">
        <v>225</v>
      </c>
      <c r="I2751" s="274" t="s">
        <v>2773</v>
      </c>
      <c r="J2751" s="275" t="s">
        <v>650</v>
      </c>
      <c r="K2751" s="276" t="s">
        <v>2256</v>
      </c>
      <c r="L2751" s="276" t="s">
        <v>2167</v>
      </c>
      <c r="M2751" s="275" t="s">
        <v>2258</v>
      </c>
      <c r="N2751" s="274" t="s">
        <v>2259</v>
      </c>
      <c r="O2751" s="274" t="s">
        <v>110</v>
      </c>
      <c r="P2751" s="277">
        <v>36</v>
      </c>
      <c r="Q2751" s="277">
        <v>5</v>
      </c>
      <c r="R2751" s="278">
        <v>7.4999999999999997E-3</v>
      </c>
      <c r="S2751" s="274" t="s">
        <v>111</v>
      </c>
      <c r="T2751" s="274" t="s">
        <v>112</v>
      </c>
      <c r="U2751" s="274" t="s">
        <v>113</v>
      </c>
      <c r="V2751" s="279">
        <v>792</v>
      </c>
      <c r="W2751" s="279">
        <v>792</v>
      </c>
      <c r="X2751" s="280"/>
      <c r="Y2751" s="281">
        <f t="shared" si="1156"/>
        <v>0</v>
      </c>
      <c r="Z2751" s="282">
        <f t="shared" si="1157"/>
        <v>0</v>
      </c>
      <c r="AA2751" s="282">
        <f t="shared" si="1153"/>
        <v>0</v>
      </c>
      <c r="AB2751" s="812">
        <v>9.7000000000000003E-3</v>
      </c>
      <c r="AC2751" s="279">
        <f t="shared" si="1158"/>
        <v>0</v>
      </c>
      <c r="AD2751" s="209"/>
      <c r="AE2751" s="210">
        <f t="shared" si="1159"/>
        <v>0</v>
      </c>
      <c r="AF2751" s="210">
        <f t="shared" si="1160"/>
        <v>0</v>
      </c>
      <c r="AG2751" s="211">
        <f t="shared" si="1161"/>
        <v>0.308</v>
      </c>
      <c r="AH2751" s="157">
        <f t="shared" si="1162"/>
        <v>0</v>
      </c>
      <c r="AI2751" s="152">
        <f t="shared" si="1163"/>
        <v>28512</v>
      </c>
      <c r="AK2751" s="156" t="s">
        <v>691</v>
      </c>
      <c r="AL2751" s="574" t="s">
        <v>690</v>
      </c>
      <c r="AM2751" s="198">
        <f t="shared" si="1132"/>
        <v>0</v>
      </c>
      <c r="AN2751" s="199">
        <f t="shared" si="1155"/>
        <v>45965</v>
      </c>
      <c r="AO2751" s="159" t="s">
        <v>692</v>
      </c>
      <c r="AP2751" s="781"/>
      <c r="AQ2751" s="782">
        <v>12063755</v>
      </c>
      <c r="AR2751" s="782">
        <v>12061353</v>
      </c>
      <c r="AS2751" s="782">
        <v>12061354</v>
      </c>
      <c r="AT2751" s="782">
        <v>12095367</v>
      </c>
      <c r="AU2751" s="781"/>
      <c r="AV2751" s="782">
        <v>12095366</v>
      </c>
      <c r="AW2751" s="782">
        <v>12088207</v>
      </c>
      <c r="AX2751" s="782"/>
      <c r="AY2751" s="782">
        <v>12095368</v>
      </c>
      <c r="AZ2751" s="782"/>
      <c r="BA2751" s="781"/>
      <c r="BB2751" s="209">
        <v>23054743</v>
      </c>
    </row>
    <row r="2752" spans="1:54" ht="25" hidden="1" customHeight="1">
      <c r="B2752" s="271">
        <v>45965</v>
      </c>
      <c r="C2752" s="441">
        <v>45989</v>
      </c>
      <c r="D2752" s="274">
        <f t="shared" si="1151"/>
        <v>2025</v>
      </c>
      <c r="E2752" s="274" t="e">
        <f>VLOOKUP($B2752,Week!$A$1:$C$1462,2,0)</f>
        <v>#N/A</v>
      </c>
      <c r="F2752" s="273" t="str">
        <f t="shared" si="1152"/>
        <v>Nov</v>
      </c>
      <c r="G2752" s="274" t="s">
        <v>2281</v>
      </c>
      <c r="H2752" s="274" t="s">
        <v>225</v>
      </c>
      <c r="I2752" s="274" t="s">
        <v>2773</v>
      </c>
      <c r="J2752" s="275" t="s">
        <v>650</v>
      </c>
      <c r="K2752" s="276" t="s">
        <v>2256</v>
      </c>
      <c r="L2752" s="276" t="s">
        <v>2167</v>
      </c>
      <c r="M2752" s="275" t="s">
        <v>2258</v>
      </c>
      <c r="N2752" s="274" t="s">
        <v>2259</v>
      </c>
      <c r="O2752" s="274" t="s">
        <v>110</v>
      </c>
      <c r="P2752" s="277">
        <v>36</v>
      </c>
      <c r="Q2752" s="277">
        <v>5</v>
      </c>
      <c r="R2752" s="278">
        <v>7.4999999999999997E-3</v>
      </c>
      <c r="S2752" s="274" t="s">
        <v>111</v>
      </c>
      <c r="T2752" s="274" t="s">
        <v>112</v>
      </c>
      <c r="U2752" s="274" t="s">
        <v>113</v>
      </c>
      <c r="V2752" s="279">
        <f>2295-675-792-792</f>
        <v>36</v>
      </c>
      <c r="W2752" s="279">
        <f>2295-675-792-792</f>
        <v>36</v>
      </c>
      <c r="X2752" s="280"/>
      <c r="Y2752" s="281">
        <f t="shared" si="1156"/>
        <v>0</v>
      </c>
      <c r="Z2752" s="282">
        <f t="shared" si="1157"/>
        <v>0</v>
      </c>
      <c r="AA2752" s="282">
        <f t="shared" si="1153"/>
        <v>0</v>
      </c>
      <c r="AB2752" s="812">
        <v>9.7000000000000003E-3</v>
      </c>
      <c r="AC2752" s="279">
        <f t="shared" si="1158"/>
        <v>0</v>
      </c>
      <c r="AD2752" s="307" t="s">
        <v>2608</v>
      </c>
      <c r="AE2752" s="210">
        <f t="shared" si="1159"/>
        <v>0</v>
      </c>
      <c r="AF2752" s="210">
        <f t="shared" si="1160"/>
        <v>0</v>
      </c>
      <c r="AG2752" s="211">
        <f t="shared" si="1161"/>
        <v>0.308</v>
      </c>
      <c r="AH2752" s="157">
        <f t="shared" si="1162"/>
        <v>0</v>
      </c>
      <c r="AI2752" s="152">
        <f t="shared" si="1163"/>
        <v>1296</v>
      </c>
      <c r="AK2752" s="156" t="s">
        <v>691</v>
      </c>
      <c r="AL2752" s="574" t="s">
        <v>690</v>
      </c>
      <c r="AM2752" s="198">
        <f t="shared" si="1132"/>
        <v>0</v>
      </c>
      <c r="AN2752" s="199">
        <f t="shared" si="1155"/>
        <v>45965</v>
      </c>
      <c r="AO2752" s="159" t="s">
        <v>692</v>
      </c>
      <c r="AP2752" s="781"/>
      <c r="AQ2752" s="782">
        <v>12063755</v>
      </c>
      <c r="AR2752" s="782">
        <v>12061353</v>
      </c>
      <c r="AS2752" s="782">
        <v>12061354</v>
      </c>
      <c r="AT2752" s="782">
        <v>12095367</v>
      </c>
      <c r="AU2752" s="781"/>
      <c r="AV2752" s="782">
        <v>12095366</v>
      </c>
      <c r="AW2752" s="782">
        <v>12088207</v>
      </c>
      <c r="AX2752" s="782"/>
      <c r="AY2752" s="782">
        <v>12095368</v>
      </c>
      <c r="AZ2752" s="782"/>
      <c r="BA2752" s="781"/>
      <c r="BB2752" s="209">
        <v>23054743</v>
      </c>
    </row>
    <row r="2753" spans="1:54" ht="25" hidden="1" customHeight="1">
      <c r="A2753" s="142" t="s">
        <v>120</v>
      </c>
      <c r="B2753" s="271">
        <v>45966</v>
      </c>
      <c r="C2753" s="272">
        <v>45978</v>
      </c>
      <c r="D2753" s="185">
        <f t="shared" si="1151"/>
        <v>2025</v>
      </c>
      <c r="E2753" s="272" t="e">
        <f>VLOOKUP($B2753,Week!$A$1:$C$1462,2,0)</f>
        <v>#N/A</v>
      </c>
      <c r="F2753" s="273" t="str">
        <f t="shared" si="1152"/>
        <v>Nov</v>
      </c>
      <c r="G2753" s="274" t="s">
        <v>2553</v>
      </c>
      <c r="H2753" s="274" t="s">
        <v>500</v>
      </c>
      <c r="I2753" s="274" t="s">
        <v>2772</v>
      </c>
      <c r="J2753" s="275" t="s">
        <v>285</v>
      </c>
      <c r="K2753" s="276" t="s">
        <v>153</v>
      </c>
      <c r="L2753" s="390" t="s">
        <v>2166</v>
      </c>
      <c r="M2753" s="275" t="s">
        <v>86</v>
      </c>
      <c r="N2753" s="274" t="s">
        <v>547</v>
      </c>
      <c r="O2753" s="274" t="s">
        <v>548</v>
      </c>
      <c r="P2753" s="277">
        <v>10</v>
      </c>
      <c r="Q2753" s="277">
        <v>50</v>
      </c>
      <c r="R2753" s="278">
        <v>6.8100000000000001E-3</v>
      </c>
      <c r="S2753" s="274" t="s">
        <v>76</v>
      </c>
      <c r="T2753" s="274" t="s">
        <v>56</v>
      </c>
      <c r="U2753" s="274" t="s">
        <v>89</v>
      </c>
      <c r="V2753" s="279">
        <v>606</v>
      </c>
      <c r="W2753" s="279">
        <v>606</v>
      </c>
      <c r="X2753" s="280"/>
      <c r="Y2753" s="281">
        <f t="shared" si="1156"/>
        <v>0</v>
      </c>
      <c r="Z2753" s="282">
        <f t="shared" si="1157"/>
        <v>0</v>
      </c>
      <c r="AA2753" s="282">
        <f t="shared" si="1153"/>
        <v>0</v>
      </c>
      <c r="AB2753" s="812">
        <v>6</v>
      </c>
      <c r="AC2753" s="279">
        <f t="shared" si="1158"/>
        <v>0</v>
      </c>
      <c r="AD2753" s="209">
        <f>40000</f>
        <v>40000</v>
      </c>
      <c r="AE2753" s="210">
        <f t="shared" si="1159"/>
        <v>0</v>
      </c>
      <c r="AF2753" s="210">
        <f t="shared" si="1160"/>
        <v>0</v>
      </c>
      <c r="AG2753" s="211">
        <f t="shared" si="1161"/>
        <v>0.63</v>
      </c>
      <c r="AH2753" s="157">
        <f t="shared" si="1162"/>
        <v>0</v>
      </c>
      <c r="AI2753" s="152">
        <f t="shared" si="1163"/>
        <v>6060</v>
      </c>
      <c r="AK2753" s="156" t="s">
        <v>691</v>
      </c>
      <c r="AL2753" s="156" t="s">
        <v>689</v>
      </c>
      <c r="AM2753" s="198">
        <f t="shared" si="1132"/>
        <v>0</v>
      </c>
      <c r="AN2753" s="199">
        <f t="shared" si="1155"/>
        <v>45966</v>
      </c>
      <c r="AO2753" s="159" t="s">
        <v>692</v>
      </c>
      <c r="AP2753" s="783" t="s">
        <v>620</v>
      </c>
      <c r="AQ2753" s="796" t="s">
        <v>422</v>
      </c>
      <c r="AR2753" s="782">
        <v>12055234</v>
      </c>
      <c r="AS2753" s="781"/>
      <c r="AT2753" s="782"/>
      <c r="AU2753" s="782"/>
      <c r="AV2753" s="782">
        <v>12062809</v>
      </c>
      <c r="AW2753" s="782"/>
      <c r="AX2753" s="782" t="s">
        <v>619</v>
      </c>
      <c r="AY2753" s="781"/>
      <c r="AZ2753" s="781"/>
      <c r="BA2753" s="781"/>
      <c r="BB2753" s="209">
        <v>23053184</v>
      </c>
    </row>
    <row r="2754" spans="1:54" ht="24.65" hidden="1" customHeight="1">
      <c r="B2754" s="308">
        <v>45966</v>
      </c>
      <c r="C2754" s="309">
        <v>45981</v>
      </c>
      <c r="D2754" s="185">
        <f t="shared" si="1151"/>
        <v>2025</v>
      </c>
      <c r="E2754" s="309" t="e">
        <f>VLOOKUP($B2754,Week!$A$1:$C$1462,2,0)</f>
        <v>#N/A</v>
      </c>
      <c r="F2754" s="310" t="str">
        <f t="shared" si="1152"/>
        <v>Nov</v>
      </c>
      <c r="G2754" s="311" t="s">
        <v>2505</v>
      </c>
      <c r="H2754" s="311" t="s">
        <v>311</v>
      </c>
      <c r="I2754" s="311" t="s">
        <v>2772</v>
      </c>
      <c r="J2754" s="312" t="s">
        <v>738</v>
      </c>
      <c r="K2754" s="313" t="s">
        <v>107</v>
      </c>
      <c r="L2754" s="300" t="s">
        <v>2167</v>
      </c>
      <c r="M2754" s="312" t="s">
        <v>313</v>
      </c>
      <c r="N2754" s="311" t="s">
        <v>314</v>
      </c>
      <c r="O2754" s="311" t="s">
        <v>110</v>
      </c>
      <c r="P2754" s="314">
        <v>36</v>
      </c>
      <c r="Q2754" s="314">
        <v>5</v>
      </c>
      <c r="R2754" s="315">
        <v>7.4999999999999997E-3</v>
      </c>
      <c r="S2754" s="311" t="s">
        <v>111</v>
      </c>
      <c r="T2754" s="311" t="s">
        <v>112</v>
      </c>
      <c r="U2754" s="311" t="s">
        <v>57</v>
      </c>
      <c r="V2754" s="316">
        <v>792</v>
      </c>
      <c r="W2754" s="316">
        <f>2+790</f>
        <v>792</v>
      </c>
      <c r="X2754" s="317"/>
      <c r="Y2754" s="318">
        <f t="shared" si="1156"/>
        <v>0</v>
      </c>
      <c r="Z2754" s="319">
        <f t="shared" si="1157"/>
        <v>0</v>
      </c>
      <c r="AA2754" s="319">
        <f t="shared" si="1153"/>
        <v>0</v>
      </c>
      <c r="AB2754" s="815">
        <v>7.4999999999999997E-3</v>
      </c>
      <c r="AC2754" s="316">
        <f t="shared" si="1158"/>
        <v>0</v>
      </c>
      <c r="AD2754" s="515"/>
      <c r="AE2754" s="210">
        <f t="shared" si="1159"/>
        <v>0</v>
      </c>
      <c r="AF2754" s="210">
        <f t="shared" si="1160"/>
        <v>0</v>
      </c>
      <c r="AG2754" s="211">
        <f t="shared" si="1161"/>
        <v>0.308</v>
      </c>
      <c r="AH2754" s="157">
        <f t="shared" si="1162"/>
        <v>0</v>
      </c>
      <c r="AI2754" s="152">
        <f t="shared" si="1163"/>
        <v>28512</v>
      </c>
      <c r="AK2754" s="156" t="s">
        <v>691</v>
      </c>
      <c r="AL2754" s="212" t="s">
        <v>690</v>
      </c>
      <c r="AM2754" s="198">
        <f t="shared" si="1132"/>
        <v>0</v>
      </c>
      <c r="AN2754" s="199">
        <f t="shared" si="1155"/>
        <v>45966</v>
      </c>
      <c r="AO2754" s="159" t="s">
        <v>692</v>
      </c>
      <c r="AP2754" s="783" t="s">
        <v>644</v>
      </c>
      <c r="AQ2754" s="782">
        <v>12063755</v>
      </c>
      <c r="AR2754" s="782">
        <v>12061353</v>
      </c>
      <c r="AS2754" s="782">
        <v>12061354</v>
      </c>
      <c r="AT2754" s="782">
        <v>12062266</v>
      </c>
      <c r="AU2754" s="781"/>
      <c r="AV2754" s="782">
        <v>12088159</v>
      </c>
      <c r="AW2754" s="782">
        <v>12088207</v>
      </c>
      <c r="AX2754" s="782"/>
      <c r="AY2754" s="782">
        <v>12094237</v>
      </c>
      <c r="AZ2754" s="782"/>
      <c r="BA2754" s="781"/>
      <c r="BB2754" s="209">
        <v>23053185</v>
      </c>
    </row>
    <row r="2755" spans="1:54" ht="24.65" hidden="1" customHeight="1">
      <c r="B2755" s="308">
        <v>45966</v>
      </c>
      <c r="C2755" s="309">
        <v>45988</v>
      </c>
      <c r="D2755" s="185">
        <f t="shared" si="1151"/>
        <v>2025</v>
      </c>
      <c r="E2755" s="309" t="e">
        <f>VLOOKUP($B2755,Week!$A$1:$C$1462,2,0)</f>
        <v>#N/A</v>
      </c>
      <c r="F2755" s="310" t="str">
        <f t="shared" si="1152"/>
        <v>Nov</v>
      </c>
      <c r="G2755" s="311" t="s">
        <v>2529</v>
      </c>
      <c r="H2755" s="311" t="s">
        <v>311</v>
      </c>
      <c r="I2755" s="311" t="s">
        <v>2772</v>
      </c>
      <c r="J2755" s="312" t="s">
        <v>738</v>
      </c>
      <c r="K2755" s="313" t="s">
        <v>107</v>
      </c>
      <c r="L2755" s="300" t="s">
        <v>2167</v>
      </c>
      <c r="M2755" s="312" t="s">
        <v>313</v>
      </c>
      <c r="N2755" s="311" t="s">
        <v>314</v>
      </c>
      <c r="O2755" s="311" t="s">
        <v>110</v>
      </c>
      <c r="P2755" s="314">
        <v>36</v>
      </c>
      <c r="Q2755" s="314">
        <v>5</v>
      </c>
      <c r="R2755" s="315">
        <v>7.4999999999999997E-3</v>
      </c>
      <c r="S2755" s="311" t="s">
        <v>111</v>
      </c>
      <c r="T2755" s="311" t="s">
        <v>112</v>
      </c>
      <c r="U2755" s="311" t="s">
        <v>57</v>
      </c>
      <c r="V2755" s="316">
        <v>792</v>
      </c>
      <c r="W2755" s="316">
        <f>2+790</f>
        <v>792</v>
      </c>
      <c r="X2755" s="317"/>
      <c r="Y2755" s="318">
        <f t="shared" si="1156"/>
        <v>0</v>
      </c>
      <c r="Z2755" s="319">
        <f t="shared" si="1157"/>
        <v>0</v>
      </c>
      <c r="AA2755" s="319">
        <f t="shared" si="1153"/>
        <v>0</v>
      </c>
      <c r="AB2755" s="815">
        <v>7.4999999999999997E-3</v>
      </c>
      <c r="AC2755" s="316">
        <f t="shared" si="1158"/>
        <v>0</v>
      </c>
      <c r="AD2755" s="515"/>
      <c r="AE2755" s="210">
        <f t="shared" si="1159"/>
        <v>0</v>
      </c>
      <c r="AF2755" s="210">
        <f t="shared" si="1160"/>
        <v>0</v>
      </c>
      <c r="AG2755" s="211">
        <f t="shared" si="1161"/>
        <v>0.308</v>
      </c>
      <c r="AH2755" s="157">
        <f t="shared" si="1162"/>
        <v>0</v>
      </c>
      <c r="AI2755" s="152">
        <f t="shared" si="1163"/>
        <v>28512</v>
      </c>
      <c r="AK2755" s="156" t="s">
        <v>691</v>
      </c>
      <c r="AL2755" s="212" t="s">
        <v>690</v>
      </c>
      <c r="AM2755" s="198">
        <f t="shared" si="1132"/>
        <v>0</v>
      </c>
      <c r="AN2755" s="199">
        <f t="shared" si="1155"/>
        <v>45966</v>
      </c>
      <c r="AO2755" s="159" t="s">
        <v>692</v>
      </c>
      <c r="AP2755" s="783" t="s">
        <v>644</v>
      </c>
      <c r="AQ2755" s="782">
        <v>12063755</v>
      </c>
      <c r="AR2755" s="782">
        <v>12061353</v>
      </c>
      <c r="AS2755" s="782">
        <v>12061354</v>
      </c>
      <c r="AT2755" s="782">
        <v>12062266</v>
      </c>
      <c r="AU2755" s="781"/>
      <c r="AV2755" s="782">
        <v>12088159</v>
      </c>
      <c r="AW2755" s="782">
        <v>12088207</v>
      </c>
      <c r="AX2755" s="782"/>
      <c r="AY2755" s="782">
        <v>12094237</v>
      </c>
      <c r="AZ2755" s="782"/>
      <c r="BA2755" s="781"/>
      <c r="BB2755" s="209">
        <v>23053185</v>
      </c>
    </row>
    <row r="2756" spans="1:54" ht="24.65" hidden="1" customHeight="1">
      <c r="B2756" s="308">
        <v>45966</v>
      </c>
      <c r="C2756" s="309">
        <v>45995</v>
      </c>
      <c r="D2756" s="185">
        <f t="shared" si="1151"/>
        <v>2025</v>
      </c>
      <c r="E2756" s="309" t="e">
        <f>VLOOKUP($B2756,Week!$A$1:$C$1462,2,0)</f>
        <v>#N/A</v>
      </c>
      <c r="F2756" s="310" t="str">
        <f t="shared" si="1152"/>
        <v>Nov</v>
      </c>
      <c r="G2756" s="311" t="s">
        <v>2530</v>
      </c>
      <c r="H2756" s="311" t="s">
        <v>311</v>
      </c>
      <c r="I2756" s="311" t="s">
        <v>2772</v>
      </c>
      <c r="J2756" s="312" t="s">
        <v>738</v>
      </c>
      <c r="K2756" s="313" t="s">
        <v>107</v>
      </c>
      <c r="L2756" s="300" t="s">
        <v>2167</v>
      </c>
      <c r="M2756" s="312" t="s">
        <v>313</v>
      </c>
      <c r="N2756" s="311" t="s">
        <v>314</v>
      </c>
      <c r="O2756" s="311" t="s">
        <v>110</v>
      </c>
      <c r="P2756" s="314">
        <v>36</v>
      </c>
      <c r="Q2756" s="314">
        <v>5</v>
      </c>
      <c r="R2756" s="315">
        <v>7.4999999999999997E-3</v>
      </c>
      <c r="S2756" s="311" t="s">
        <v>111</v>
      </c>
      <c r="T2756" s="311" t="s">
        <v>112</v>
      </c>
      <c r="U2756" s="311" t="s">
        <v>57</v>
      </c>
      <c r="V2756" s="316">
        <v>792</v>
      </c>
      <c r="W2756" s="316">
        <f>2371-790-792</f>
        <v>789</v>
      </c>
      <c r="X2756" s="317">
        <f>(108)/36</f>
        <v>3</v>
      </c>
      <c r="Y2756" s="318">
        <f t="shared" si="1156"/>
        <v>0</v>
      </c>
      <c r="Z2756" s="319">
        <f t="shared" si="1157"/>
        <v>0</v>
      </c>
      <c r="AA2756" s="319">
        <f t="shared" si="1153"/>
        <v>0</v>
      </c>
      <c r="AB2756" s="815">
        <v>7.4999999999999997E-3</v>
      </c>
      <c r="AC2756" s="316">
        <f t="shared" si="1158"/>
        <v>0</v>
      </c>
      <c r="AD2756" s="515"/>
      <c r="AE2756" s="210">
        <f t="shared" si="1159"/>
        <v>0</v>
      </c>
      <c r="AF2756" s="210">
        <f t="shared" si="1160"/>
        <v>0</v>
      </c>
      <c r="AG2756" s="211">
        <f t="shared" si="1161"/>
        <v>0.308</v>
      </c>
      <c r="AH2756" s="157">
        <f t="shared" si="1162"/>
        <v>0</v>
      </c>
      <c r="AI2756" s="152">
        <f t="shared" si="1163"/>
        <v>28512</v>
      </c>
      <c r="AK2756" s="156" t="s">
        <v>691</v>
      </c>
      <c r="AL2756" s="212" t="s">
        <v>690</v>
      </c>
      <c r="AM2756" s="198">
        <f t="shared" si="1132"/>
        <v>0</v>
      </c>
      <c r="AN2756" s="199">
        <f t="shared" si="1155"/>
        <v>45966</v>
      </c>
      <c r="AO2756" s="159" t="s">
        <v>692</v>
      </c>
      <c r="AP2756" s="783" t="s">
        <v>644</v>
      </c>
      <c r="AQ2756" s="782">
        <v>12063755</v>
      </c>
      <c r="AR2756" s="782">
        <v>12061353</v>
      </c>
      <c r="AS2756" s="782">
        <v>12061354</v>
      </c>
      <c r="AT2756" s="782">
        <v>12062266</v>
      </c>
      <c r="AU2756" s="781"/>
      <c r="AV2756" s="782">
        <v>12088159</v>
      </c>
      <c r="AW2756" s="782">
        <v>12088207</v>
      </c>
      <c r="AX2756" s="782"/>
      <c r="AY2756" s="782">
        <v>12094237</v>
      </c>
      <c r="AZ2756" s="782"/>
      <c r="BA2756" s="781"/>
      <c r="BB2756" s="209">
        <v>23053185</v>
      </c>
    </row>
    <row r="2757" spans="1:54" ht="25" hidden="1" customHeight="1">
      <c r="A2757" s="142" t="s">
        <v>120</v>
      </c>
      <c r="B2757" s="271">
        <v>45967</v>
      </c>
      <c r="C2757" s="272">
        <v>45978</v>
      </c>
      <c r="D2757" s="185">
        <f t="shared" si="1151"/>
        <v>2025</v>
      </c>
      <c r="E2757" s="272" t="e">
        <f>VLOOKUP($B2757,Week!$A$1:$C$1462,2,0)</f>
        <v>#N/A</v>
      </c>
      <c r="F2757" s="273" t="str">
        <f t="shared" si="1152"/>
        <v>Nov</v>
      </c>
      <c r="G2757" s="274" t="s">
        <v>2553</v>
      </c>
      <c r="H2757" s="274" t="s">
        <v>500</v>
      </c>
      <c r="I2757" s="274" t="s">
        <v>2772</v>
      </c>
      <c r="J2757" s="275" t="s">
        <v>285</v>
      </c>
      <c r="K2757" s="276" t="s">
        <v>153</v>
      </c>
      <c r="L2757" s="390" t="s">
        <v>2166</v>
      </c>
      <c r="M2757" s="275" t="s">
        <v>86</v>
      </c>
      <c r="N2757" s="274" t="s">
        <v>547</v>
      </c>
      <c r="O2757" s="274" t="s">
        <v>548</v>
      </c>
      <c r="P2757" s="277">
        <v>10</v>
      </c>
      <c r="Q2757" s="277">
        <v>50</v>
      </c>
      <c r="R2757" s="278">
        <v>6.8100000000000001E-3</v>
      </c>
      <c r="S2757" s="274" t="s">
        <v>76</v>
      </c>
      <c r="T2757" s="274" t="s">
        <v>56</v>
      </c>
      <c r="U2757" s="274" t="s">
        <v>89</v>
      </c>
      <c r="V2757" s="279">
        <f>2056-607-618-606</f>
        <v>225</v>
      </c>
      <c r="W2757" s="279">
        <v>225</v>
      </c>
      <c r="X2757" s="280"/>
      <c r="Y2757" s="281">
        <f t="shared" si="1156"/>
        <v>0</v>
      </c>
      <c r="Z2757" s="282">
        <f t="shared" si="1157"/>
        <v>0</v>
      </c>
      <c r="AA2757" s="282">
        <f t="shared" si="1153"/>
        <v>0</v>
      </c>
      <c r="AB2757" s="812">
        <v>6</v>
      </c>
      <c r="AC2757" s="279">
        <f t="shared" si="1158"/>
        <v>0</v>
      </c>
      <c r="AD2757" s="209"/>
      <c r="AE2757" s="210">
        <f t="shared" si="1159"/>
        <v>0</v>
      </c>
      <c r="AF2757" s="210">
        <f t="shared" si="1160"/>
        <v>0</v>
      </c>
      <c r="AG2757" s="211">
        <f t="shared" si="1161"/>
        <v>0.63</v>
      </c>
      <c r="AH2757" s="157">
        <f t="shared" si="1162"/>
        <v>0</v>
      </c>
      <c r="AI2757" s="152">
        <f t="shared" si="1163"/>
        <v>2250</v>
      </c>
      <c r="AK2757" s="156" t="s">
        <v>691</v>
      </c>
      <c r="AL2757" s="156" t="s">
        <v>689</v>
      </c>
      <c r="AM2757" s="198">
        <f t="shared" si="1132"/>
        <v>0</v>
      </c>
      <c r="AN2757" s="199">
        <f t="shared" si="1155"/>
        <v>45967</v>
      </c>
      <c r="AO2757" s="159" t="s">
        <v>692</v>
      </c>
      <c r="AP2757" s="783" t="s">
        <v>620</v>
      </c>
      <c r="AQ2757" s="796" t="s">
        <v>422</v>
      </c>
      <c r="AR2757" s="782">
        <v>12055234</v>
      </c>
      <c r="AS2757" s="781"/>
      <c r="AT2757" s="782"/>
      <c r="AU2757" s="782"/>
      <c r="AV2757" s="782">
        <v>12062809</v>
      </c>
      <c r="AW2757" s="782"/>
      <c r="AX2757" s="782" t="s">
        <v>619</v>
      </c>
      <c r="AY2757" s="781"/>
      <c r="AZ2757" s="781"/>
      <c r="BA2757" s="781"/>
      <c r="BB2757" s="209">
        <v>23053184</v>
      </c>
    </row>
    <row r="2758" spans="1:54" ht="24.65" hidden="1" customHeight="1">
      <c r="A2758" s="142" t="s">
        <v>120</v>
      </c>
      <c r="B2758" s="258">
        <v>45967</v>
      </c>
      <c r="C2758" s="259">
        <v>45985</v>
      </c>
      <c r="D2758" s="185">
        <f t="shared" si="1151"/>
        <v>2025</v>
      </c>
      <c r="E2758" s="260" t="e">
        <f>VLOOKUP($B2758,Week!$A$1:$C$1462,2,0)</f>
        <v>#N/A</v>
      </c>
      <c r="F2758" s="261" t="str">
        <f t="shared" si="1152"/>
        <v>Nov</v>
      </c>
      <c r="G2758" s="262" t="s">
        <v>2477</v>
      </c>
      <c r="H2758" s="260" t="s">
        <v>134</v>
      </c>
      <c r="I2758" s="260" t="s">
        <v>2772</v>
      </c>
      <c r="J2758" s="263" t="s">
        <v>164</v>
      </c>
      <c r="K2758" s="264" t="s">
        <v>153</v>
      </c>
      <c r="L2758" s="390" t="s">
        <v>2166</v>
      </c>
      <c r="M2758" s="263" t="s">
        <v>165</v>
      </c>
      <c r="N2758" s="260" t="s">
        <v>166</v>
      </c>
      <c r="O2758" s="260" t="s">
        <v>502</v>
      </c>
      <c r="P2758" s="265">
        <v>20</v>
      </c>
      <c r="Q2758" s="265">
        <v>12</v>
      </c>
      <c r="R2758" s="266">
        <v>6.8100000000000001E-3</v>
      </c>
      <c r="S2758" s="260" t="s">
        <v>76</v>
      </c>
      <c r="T2758" s="260" t="s">
        <v>56</v>
      </c>
      <c r="U2758" s="260" t="s">
        <v>89</v>
      </c>
      <c r="V2758" s="267">
        <v>673</v>
      </c>
      <c r="W2758" s="267">
        <f>659</f>
        <v>659</v>
      </c>
      <c r="X2758" s="268">
        <f>(280)/20</f>
        <v>14</v>
      </c>
      <c r="Y2758" s="269">
        <f t="shared" si="1156"/>
        <v>0</v>
      </c>
      <c r="Z2758" s="270">
        <f t="shared" si="1157"/>
        <v>0</v>
      </c>
      <c r="AA2758" s="270">
        <f t="shared" si="1153"/>
        <v>0</v>
      </c>
      <c r="AB2758" s="811">
        <v>2</v>
      </c>
      <c r="AC2758" s="267">
        <f t="shared" si="1158"/>
        <v>0</v>
      </c>
      <c r="AD2758" s="209" t="s">
        <v>168</v>
      </c>
      <c r="AE2758" s="210">
        <f t="shared" si="1159"/>
        <v>0</v>
      </c>
      <c r="AF2758" s="210">
        <f t="shared" si="1160"/>
        <v>0</v>
      </c>
      <c r="AG2758" s="211">
        <f t="shared" si="1161"/>
        <v>0.154</v>
      </c>
      <c r="AH2758" s="157">
        <f t="shared" si="1162"/>
        <v>0</v>
      </c>
      <c r="AI2758" s="152">
        <f t="shared" si="1163"/>
        <v>13460</v>
      </c>
      <c r="AK2758" s="156" t="s">
        <v>691</v>
      </c>
      <c r="AL2758" s="156" t="s">
        <v>689</v>
      </c>
      <c r="AM2758" s="198">
        <f t="shared" si="1132"/>
        <v>0</v>
      </c>
      <c r="AN2758" s="199">
        <f t="shared" si="1155"/>
        <v>45967</v>
      </c>
      <c r="AO2758" s="159" t="s">
        <v>692</v>
      </c>
      <c r="AP2758" s="783" t="s">
        <v>610</v>
      </c>
      <c r="AQ2758" s="783" t="s">
        <v>631</v>
      </c>
      <c r="AR2758" s="783" t="s">
        <v>523</v>
      </c>
      <c r="AS2758" s="781"/>
      <c r="AT2758" s="782">
        <v>12096524</v>
      </c>
      <c r="AU2758" s="781"/>
      <c r="AV2758" s="783" t="s">
        <v>2507</v>
      </c>
      <c r="AW2758" s="781"/>
      <c r="AX2758" s="782" t="s">
        <v>398</v>
      </c>
      <c r="AY2758" s="781"/>
      <c r="AZ2758" s="781"/>
      <c r="BA2758" s="781"/>
      <c r="BB2758" s="209">
        <v>23053184</v>
      </c>
    </row>
    <row r="2759" spans="1:54" ht="24.65" hidden="1" customHeight="1">
      <c r="B2759" s="411">
        <v>45967</v>
      </c>
      <c r="C2759" s="645" t="s">
        <v>1935</v>
      </c>
      <c r="D2759" s="185">
        <f t="shared" si="1151"/>
        <v>2025</v>
      </c>
      <c r="E2759" s="412" t="e">
        <f>VLOOKUP($B2759,Week!$A$1:$C$1462,2,0)</f>
        <v>#N/A</v>
      </c>
      <c r="F2759" s="413" t="str">
        <f t="shared" si="1152"/>
        <v>Nov</v>
      </c>
      <c r="G2759" s="414" t="s">
        <v>47</v>
      </c>
      <c r="H2759" s="414" t="s">
        <v>260</v>
      </c>
      <c r="I2759" s="414" t="s">
        <v>2702</v>
      </c>
      <c r="J2759" s="415" t="s">
        <v>261</v>
      </c>
      <c r="K2759" s="416" t="s">
        <v>94</v>
      </c>
      <c r="L2759" s="300" t="s">
        <v>2167</v>
      </c>
      <c r="M2759" s="415" t="s">
        <v>2339</v>
      </c>
      <c r="N2759" s="414" t="s">
        <v>263</v>
      </c>
      <c r="O2759" s="414" t="s">
        <v>195</v>
      </c>
      <c r="P2759" s="417">
        <v>24</v>
      </c>
      <c r="Q2759" s="417">
        <v>5</v>
      </c>
      <c r="R2759" s="418">
        <v>8.0000000000000002E-3</v>
      </c>
      <c r="S2759" s="414" t="s">
        <v>40</v>
      </c>
      <c r="T2759" s="414" t="s">
        <v>56</v>
      </c>
      <c r="U2759" s="414" t="s">
        <v>57</v>
      </c>
      <c r="V2759" s="419">
        <v>3507</v>
      </c>
      <c r="W2759" s="419">
        <f>3507</f>
        <v>3507</v>
      </c>
      <c r="X2759" s="420"/>
      <c r="Y2759" s="421">
        <f t="shared" si="1156"/>
        <v>0</v>
      </c>
      <c r="Z2759" s="422">
        <f t="shared" si="1157"/>
        <v>0</v>
      </c>
      <c r="AA2759" s="422">
        <f t="shared" si="1153"/>
        <v>0</v>
      </c>
      <c r="AB2759" s="825">
        <v>7.4999999999999997E-3</v>
      </c>
      <c r="AC2759" s="419">
        <f t="shared" si="1158"/>
        <v>0</v>
      </c>
      <c r="AD2759" s="209"/>
      <c r="AE2759" s="210">
        <f t="shared" si="1159"/>
        <v>0</v>
      </c>
      <c r="AF2759" s="210">
        <f t="shared" si="1160"/>
        <v>0</v>
      </c>
      <c r="AG2759" s="211">
        <f t="shared" si="1161"/>
        <v>0.14499999999999999</v>
      </c>
      <c r="AH2759" s="157">
        <f t="shared" si="1162"/>
        <v>0</v>
      </c>
      <c r="AI2759" s="152">
        <f t="shared" si="1163"/>
        <v>84168</v>
      </c>
      <c r="AK2759" s="156" t="s">
        <v>691</v>
      </c>
      <c r="AL2759" s="212" t="s">
        <v>690</v>
      </c>
      <c r="AM2759" s="198">
        <f t="shared" si="1132"/>
        <v>0</v>
      </c>
      <c r="AN2759" s="199">
        <f t="shared" si="1155"/>
        <v>45967</v>
      </c>
      <c r="AO2759" s="159" t="s">
        <v>692</v>
      </c>
      <c r="AP2759" s="783" t="s">
        <v>609</v>
      </c>
      <c r="AQ2759" s="782">
        <v>12071839</v>
      </c>
      <c r="AR2759" s="782">
        <v>12047514</v>
      </c>
      <c r="AS2759" s="782">
        <v>12047515</v>
      </c>
      <c r="AT2759" s="781"/>
      <c r="AU2759" s="781"/>
      <c r="AV2759" s="782">
        <v>12080613</v>
      </c>
      <c r="AW2759" s="781"/>
      <c r="AX2759" s="781"/>
      <c r="AY2759" s="782">
        <v>12094241</v>
      </c>
      <c r="AZ2759" s="782">
        <v>12094242</v>
      </c>
      <c r="BA2759" s="781"/>
      <c r="BB2759" s="209">
        <v>23053185</v>
      </c>
    </row>
    <row r="2760" spans="1:54" ht="24.65" hidden="1" customHeight="1">
      <c r="A2760" s="142" t="s">
        <v>120</v>
      </c>
      <c r="B2760" s="258">
        <v>45968</v>
      </c>
      <c r="C2760" s="259">
        <v>45985</v>
      </c>
      <c r="D2760" s="185">
        <f t="shared" si="1151"/>
        <v>2025</v>
      </c>
      <c r="E2760" s="260" t="e">
        <f>VLOOKUP($B2760,Week!$A$1:$C$1462,2,0)</f>
        <v>#N/A</v>
      </c>
      <c r="F2760" s="261" t="str">
        <f t="shared" si="1152"/>
        <v>Nov</v>
      </c>
      <c r="G2760" s="262" t="s">
        <v>2477</v>
      </c>
      <c r="H2760" s="260" t="s">
        <v>134</v>
      </c>
      <c r="I2760" s="260" t="s">
        <v>2772</v>
      </c>
      <c r="J2760" s="263" t="s">
        <v>164</v>
      </c>
      <c r="K2760" s="264" t="s">
        <v>153</v>
      </c>
      <c r="L2760" s="390" t="s">
        <v>2166</v>
      </c>
      <c r="M2760" s="263" t="s">
        <v>165</v>
      </c>
      <c r="N2760" s="260" t="s">
        <v>166</v>
      </c>
      <c r="O2760" s="260" t="s">
        <v>502</v>
      </c>
      <c r="P2760" s="265">
        <v>20</v>
      </c>
      <c r="Q2760" s="265">
        <v>12</v>
      </c>
      <c r="R2760" s="266">
        <v>6.8100000000000001E-3</v>
      </c>
      <c r="S2760" s="260" t="s">
        <v>76</v>
      </c>
      <c r="T2760" s="260" t="s">
        <v>56</v>
      </c>
      <c r="U2760" s="260" t="s">
        <v>89</v>
      </c>
      <c r="V2760" s="267">
        <f>1800-673</f>
        <v>1127</v>
      </c>
      <c r="W2760" s="267">
        <v>954</v>
      </c>
      <c r="X2760" s="268">
        <f>3460/20</f>
        <v>173</v>
      </c>
      <c r="Y2760" s="269">
        <f t="shared" si="1156"/>
        <v>0</v>
      </c>
      <c r="Z2760" s="270">
        <f t="shared" si="1157"/>
        <v>0</v>
      </c>
      <c r="AA2760" s="270">
        <f t="shared" si="1153"/>
        <v>0</v>
      </c>
      <c r="AB2760" s="811">
        <v>2</v>
      </c>
      <c r="AC2760" s="267">
        <f t="shared" si="1158"/>
        <v>0</v>
      </c>
      <c r="AD2760" s="209" t="s">
        <v>168</v>
      </c>
      <c r="AE2760" s="210">
        <f t="shared" si="1159"/>
        <v>0</v>
      </c>
      <c r="AF2760" s="210">
        <f t="shared" si="1160"/>
        <v>0</v>
      </c>
      <c r="AG2760" s="211">
        <f t="shared" si="1161"/>
        <v>0.154</v>
      </c>
      <c r="AH2760" s="157">
        <f t="shared" si="1162"/>
        <v>0</v>
      </c>
      <c r="AI2760" s="152">
        <f t="shared" si="1163"/>
        <v>22540</v>
      </c>
      <c r="AK2760" s="156" t="s">
        <v>691</v>
      </c>
      <c r="AL2760" s="156" t="s">
        <v>689</v>
      </c>
      <c r="AM2760" s="198">
        <f t="shared" ref="AM2760:AM2776" si="1164">AG2760*Z2760</f>
        <v>0</v>
      </c>
      <c r="AN2760" s="199">
        <f t="shared" si="1155"/>
        <v>45968</v>
      </c>
      <c r="AO2760" s="159" t="s">
        <v>692</v>
      </c>
      <c r="AP2760" s="783" t="s">
        <v>610</v>
      </c>
      <c r="AQ2760" s="783" t="s">
        <v>631</v>
      </c>
      <c r="AR2760" s="783" t="s">
        <v>523</v>
      </c>
      <c r="AS2760" s="781"/>
      <c r="AT2760" s="782">
        <v>12096524</v>
      </c>
      <c r="AU2760" s="781"/>
      <c r="AV2760" s="783" t="s">
        <v>2507</v>
      </c>
      <c r="AW2760" s="781"/>
      <c r="AX2760" s="782" t="s">
        <v>398</v>
      </c>
      <c r="AY2760" s="781"/>
      <c r="AZ2760" s="781"/>
      <c r="BA2760" s="781"/>
      <c r="BB2760" s="209">
        <v>23053184</v>
      </c>
    </row>
    <row r="2761" spans="1:54" ht="24.75" hidden="1" customHeight="1">
      <c r="B2761" s="295">
        <v>45968</v>
      </c>
      <c r="C2761" s="771" t="s">
        <v>1935</v>
      </c>
      <c r="D2761" s="185">
        <f t="shared" si="1151"/>
        <v>2025</v>
      </c>
      <c r="E2761" s="296" t="e">
        <f>VLOOKUP($B2761,Week!$A$1:$C$1462,2,0)</f>
        <v>#N/A</v>
      </c>
      <c r="F2761" s="297" t="str">
        <f t="shared" si="1152"/>
        <v>Nov</v>
      </c>
      <c r="G2761" s="648" t="s">
        <v>47</v>
      </c>
      <c r="H2761" s="298" t="s">
        <v>260</v>
      </c>
      <c r="I2761" s="298" t="s">
        <v>2702</v>
      </c>
      <c r="J2761" s="307" t="s">
        <v>2240</v>
      </c>
      <c r="K2761" s="300" t="s">
        <v>176</v>
      </c>
      <c r="L2761" s="300" t="s">
        <v>2167</v>
      </c>
      <c r="M2761" s="299" t="s">
        <v>2338</v>
      </c>
      <c r="N2761" s="298" t="s">
        <v>350</v>
      </c>
      <c r="O2761" s="298" t="s">
        <v>351</v>
      </c>
      <c r="P2761" s="301">
        <v>24</v>
      </c>
      <c r="Q2761" s="301">
        <v>5</v>
      </c>
      <c r="R2761" s="302">
        <v>6.1999999999999998E-3</v>
      </c>
      <c r="S2761" s="298" t="s">
        <v>352</v>
      </c>
      <c r="T2761" s="298" t="s">
        <v>56</v>
      </c>
      <c r="U2761" s="298" t="s">
        <v>57</v>
      </c>
      <c r="V2761" s="303">
        <v>1075</v>
      </c>
      <c r="W2761" s="303">
        <v>1075</v>
      </c>
      <c r="X2761" s="304"/>
      <c r="Y2761" s="305">
        <f t="shared" si="1156"/>
        <v>0</v>
      </c>
      <c r="Z2761" s="306">
        <f t="shared" si="1157"/>
        <v>0</v>
      </c>
      <c r="AA2761" s="306">
        <f t="shared" si="1153"/>
        <v>0</v>
      </c>
      <c r="AB2761" s="814">
        <v>7.4999999999999997E-3</v>
      </c>
      <c r="AC2761" s="303">
        <f t="shared" si="1158"/>
        <v>0</v>
      </c>
      <c r="AD2761" s="443"/>
      <c r="AE2761" s="210">
        <f t="shared" si="1159"/>
        <v>0</v>
      </c>
      <c r="AF2761" s="210">
        <f t="shared" si="1160"/>
        <v>0</v>
      </c>
      <c r="AG2761" s="211">
        <f t="shared" si="1161"/>
        <v>0.13</v>
      </c>
      <c r="AH2761" s="157">
        <f t="shared" si="1162"/>
        <v>0</v>
      </c>
      <c r="AI2761" s="152">
        <f t="shared" si="1163"/>
        <v>25800</v>
      </c>
      <c r="AK2761" s="156" t="s">
        <v>691</v>
      </c>
      <c r="AL2761" s="574" t="s">
        <v>690</v>
      </c>
      <c r="AM2761" s="198">
        <f t="shared" si="1164"/>
        <v>0</v>
      </c>
      <c r="AN2761" s="199">
        <f t="shared" si="1155"/>
        <v>45968</v>
      </c>
      <c r="AO2761" s="159" t="s">
        <v>692</v>
      </c>
      <c r="AP2761" s="783" t="s">
        <v>622</v>
      </c>
      <c r="AQ2761" s="782">
        <v>12071839</v>
      </c>
      <c r="AR2761" s="782">
        <v>12094356</v>
      </c>
      <c r="AS2761" s="782">
        <v>12068233</v>
      </c>
      <c r="AT2761" s="781"/>
      <c r="AU2761" s="781"/>
      <c r="AV2761" s="782">
        <v>12062075</v>
      </c>
      <c r="AW2761" s="781"/>
      <c r="AX2761" s="781"/>
      <c r="AY2761" s="782">
        <v>12094357</v>
      </c>
      <c r="AZ2761" s="782"/>
      <c r="BA2761" s="781"/>
      <c r="BB2761" s="209">
        <v>23053184</v>
      </c>
    </row>
    <row r="2762" spans="1:54" ht="24.65" hidden="1" customHeight="1">
      <c r="B2762" s="424">
        <v>45968</v>
      </c>
      <c r="C2762" s="647" t="s">
        <v>1677</v>
      </c>
      <c r="D2762" s="185">
        <f t="shared" si="1151"/>
        <v>2025</v>
      </c>
      <c r="E2762" s="425" t="e">
        <f>VLOOKUP($B2762,Week!$A$1:$C$1462,2,0)</f>
        <v>#N/A</v>
      </c>
      <c r="F2762" s="426" t="str">
        <f t="shared" si="1152"/>
        <v>Nov</v>
      </c>
      <c r="G2762" s="427" t="s">
        <v>47</v>
      </c>
      <c r="H2762" s="427" t="s">
        <v>260</v>
      </c>
      <c r="I2762" s="427" t="s">
        <v>2702</v>
      </c>
      <c r="J2762" s="428" t="s">
        <v>70</v>
      </c>
      <c r="K2762" s="429" t="s">
        <v>1646</v>
      </c>
      <c r="L2762" s="300" t="s">
        <v>2167</v>
      </c>
      <c r="M2762" s="428" t="s">
        <v>2569</v>
      </c>
      <c r="N2762" s="427" t="s">
        <v>2571</v>
      </c>
      <c r="O2762" s="427" t="s">
        <v>2568</v>
      </c>
      <c r="P2762" s="430">
        <v>24</v>
      </c>
      <c r="Q2762" s="430">
        <v>3</v>
      </c>
      <c r="R2762" s="431">
        <v>6.1999999999999998E-3</v>
      </c>
      <c r="S2762" s="427" t="s">
        <v>352</v>
      </c>
      <c r="T2762" s="427" t="s">
        <v>56</v>
      </c>
      <c r="U2762" s="755" t="s">
        <v>669</v>
      </c>
      <c r="V2762" s="628">
        <v>2841</v>
      </c>
      <c r="W2762" s="432"/>
      <c r="X2762" s="433">
        <f>68184/24</f>
        <v>2841</v>
      </c>
      <c r="Y2762" s="434">
        <f t="shared" si="1156"/>
        <v>0</v>
      </c>
      <c r="Z2762" s="435">
        <f t="shared" si="1157"/>
        <v>0</v>
      </c>
      <c r="AA2762" s="435">
        <f t="shared" si="1153"/>
        <v>0</v>
      </c>
      <c r="AB2762" s="826">
        <v>1.6E-2</v>
      </c>
      <c r="AC2762" s="432">
        <f t="shared" si="1158"/>
        <v>0</v>
      </c>
      <c r="AD2762" s="209" t="s">
        <v>2626</v>
      </c>
      <c r="AE2762" s="210">
        <f t="shared" si="1159"/>
        <v>0</v>
      </c>
      <c r="AF2762" s="210">
        <f t="shared" si="1160"/>
        <v>0</v>
      </c>
      <c r="AG2762" s="211">
        <f t="shared" si="1161"/>
        <v>0.21099999999999999</v>
      </c>
      <c r="AH2762" s="157">
        <f t="shared" si="1162"/>
        <v>0</v>
      </c>
      <c r="AI2762" s="152">
        <f t="shared" si="1163"/>
        <v>68184</v>
      </c>
      <c r="AK2762" s="156" t="s">
        <v>691</v>
      </c>
      <c r="AL2762" s="212" t="s">
        <v>690</v>
      </c>
      <c r="AM2762" s="198">
        <f t="shared" si="1164"/>
        <v>0</v>
      </c>
      <c r="AN2762" s="199">
        <f t="shared" si="1155"/>
        <v>45968</v>
      </c>
      <c r="AO2762" s="159" t="s">
        <v>692</v>
      </c>
      <c r="AP2762" s="783" t="s">
        <v>623</v>
      </c>
      <c r="AQ2762" s="782">
        <v>12071839</v>
      </c>
      <c r="AR2762" s="782">
        <v>12042650</v>
      </c>
      <c r="AS2762" s="782">
        <v>12042649</v>
      </c>
      <c r="AT2762" s="782"/>
      <c r="AU2762" s="781"/>
      <c r="AV2762" s="782">
        <v>12097005</v>
      </c>
      <c r="AW2762" s="782"/>
      <c r="AX2762" s="782"/>
      <c r="AY2762" s="782">
        <v>12097003</v>
      </c>
      <c r="AZ2762" s="782">
        <v>12097004</v>
      </c>
      <c r="BA2762" s="781"/>
      <c r="BB2762" s="209">
        <v>23098853</v>
      </c>
    </row>
    <row r="2763" spans="1:54" ht="25" hidden="1" customHeight="1">
      <c r="A2763" s="440"/>
      <c r="B2763" s="332">
        <v>45969</v>
      </c>
      <c r="C2763" s="333" t="s">
        <v>1935</v>
      </c>
      <c r="D2763" s="185">
        <f t="shared" si="1151"/>
        <v>2025</v>
      </c>
      <c r="E2763" s="333" t="e">
        <f>VLOOKUP($B2763,Week!$A$1:$C$1462,2,0)</f>
        <v>#N/A</v>
      </c>
      <c r="F2763" s="334" t="str">
        <f t="shared" si="1152"/>
        <v>Nov</v>
      </c>
      <c r="G2763" s="335" t="s">
        <v>47</v>
      </c>
      <c r="H2763" s="335" t="s">
        <v>518</v>
      </c>
      <c r="I2763" s="335" t="s">
        <v>2702</v>
      </c>
      <c r="J2763" s="336" t="s">
        <v>70</v>
      </c>
      <c r="K2763" s="337" t="s">
        <v>2580</v>
      </c>
      <c r="L2763" s="300" t="s">
        <v>2167</v>
      </c>
      <c r="M2763" s="336" t="s">
        <v>2576</v>
      </c>
      <c r="N2763" s="530" t="s">
        <v>2579</v>
      </c>
      <c r="O2763" s="335" t="s">
        <v>2574</v>
      </c>
      <c r="P2763" s="338">
        <v>12</v>
      </c>
      <c r="Q2763" s="338">
        <v>3</v>
      </c>
      <c r="R2763" s="339">
        <v>6.1999999999999998E-3</v>
      </c>
      <c r="S2763" s="335" t="s">
        <v>55</v>
      </c>
      <c r="T2763" s="335" t="s">
        <v>56</v>
      </c>
      <c r="U2763" s="340" t="s">
        <v>2577</v>
      </c>
      <c r="V2763" s="341">
        <v>2400</v>
      </c>
      <c r="W2763" s="341">
        <f>2388+12</f>
        <v>2400</v>
      </c>
      <c r="X2763" s="342"/>
      <c r="Y2763" s="343">
        <f t="shared" si="1156"/>
        <v>0</v>
      </c>
      <c r="Z2763" s="344">
        <f t="shared" si="1157"/>
        <v>0</v>
      </c>
      <c r="AA2763" s="344">
        <f t="shared" si="1153"/>
        <v>0</v>
      </c>
      <c r="AB2763" s="817"/>
      <c r="AC2763" s="341">
        <f t="shared" si="1158"/>
        <v>0</v>
      </c>
      <c r="AD2763" s="443" t="s">
        <v>2624</v>
      </c>
      <c r="AE2763" s="210">
        <f t="shared" si="1159"/>
        <v>0</v>
      </c>
      <c r="AF2763" s="210">
        <f t="shared" si="1160"/>
        <v>0</v>
      </c>
      <c r="AG2763" s="211">
        <f t="shared" si="1161"/>
        <v>0.23499999999999999</v>
      </c>
      <c r="AH2763" s="157">
        <v>0.26621999999999996</v>
      </c>
      <c r="AI2763" s="152">
        <f t="shared" si="1163"/>
        <v>28800</v>
      </c>
      <c r="AK2763" s="156" t="s">
        <v>691</v>
      </c>
      <c r="AL2763" s="574" t="s">
        <v>690</v>
      </c>
      <c r="AM2763" s="198">
        <f t="shared" si="1164"/>
        <v>0</v>
      </c>
      <c r="AN2763" s="199">
        <f t="shared" si="1155"/>
        <v>45969</v>
      </c>
      <c r="AO2763" s="159" t="s">
        <v>692</v>
      </c>
      <c r="AP2763" s="781" t="s">
        <v>642</v>
      </c>
      <c r="AQ2763" s="782">
        <v>12071839</v>
      </c>
      <c r="AR2763" s="782">
        <v>12042650</v>
      </c>
      <c r="AS2763" s="782">
        <v>12042649</v>
      </c>
      <c r="AT2763" s="782"/>
      <c r="AU2763" s="781"/>
      <c r="AV2763" s="782">
        <v>12096531</v>
      </c>
      <c r="AW2763" s="781"/>
      <c r="AX2763" s="781"/>
      <c r="AY2763" s="783" t="s">
        <v>2604</v>
      </c>
      <c r="AZ2763" s="796" t="s">
        <v>2605</v>
      </c>
      <c r="BA2763" s="781"/>
      <c r="BB2763" s="209">
        <v>23099087</v>
      </c>
    </row>
    <row r="2764" spans="1:54" ht="25" hidden="1" customHeight="1">
      <c r="A2764" s="440"/>
      <c r="B2764" s="332">
        <v>45969</v>
      </c>
      <c r="C2764" s="333" t="s">
        <v>1935</v>
      </c>
      <c r="D2764" s="185">
        <f t="shared" si="1151"/>
        <v>2025</v>
      </c>
      <c r="E2764" s="333" t="e">
        <f>VLOOKUP($B2764,Week!$A$1:$C$1462,2,0)</f>
        <v>#N/A</v>
      </c>
      <c r="F2764" s="334" t="str">
        <f t="shared" si="1152"/>
        <v>Nov</v>
      </c>
      <c r="G2764" s="335" t="s">
        <v>47</v>
      </c>
      <c r="H2764" s="335" t="s">
        <v>518</v>
      </c>
      <c r="I2764" s="335" t="s">
        <v>2702</v>
      </c>
      <c r="J2764" s="336" t="s">
        <v>70</v>
      </c>
      <c r="K2764" s="337" t="s">
        <v>2581</v>
      </c>
      <c r="L2764" s="300" t="s">
        <v>2167</v>
      </c>
      <c r="M2764" s="336" t="s">
        <v>2575</v>
      </c>
      <c r="N2764" s="530" t="s">
        <v>2578</v>
      </c>
      <c r="O2764" s="335" t="s">
        <v>2574</v>
      </c>
      <c r="P2764" s="338">
        <v>12</v>
      </c>
      <c r="Q2764" s="338">
        <v>3</v>
      </c>
      <c r="R2764" s="339">
        <v>6.1999999999999998E-3</v>
      </c>
      <c r="S2764" s="335" t="s">
        <v>55</v>
      </c>
      <c r="T2764" s="335" t="s">
        <v>56</v>
      </c>
      <c r="U2764" s="340" t="s">
        <v>1633</v>
      </c>
      <c r="V2764" s="341">
        <v>2400</v>
      </c>
      <c r="W2764" s="341">
        <f>2387+13</f>
        <v>2400</v>
      </c>
      <c r="X2764" s="342"/>
      <c r="Y2764" s="343">
        <f t="shared" si="1156"/>
        <v>0</v>
      </c>
      <c r="Z2764" s="344">
        <f t="shared" si="1157"/>
        <v>0</v>
      </c>
      <c r="AA2764" s="344">
        <f t="shared" si="1153"/>
        <v>0</v>
      </c>
      <c r="AB2764" s="817"/>
      <c r="AC2764" s="341">
        <f t="shared" si="1158"/>
        <v>0</v>
      </c>
      <c r="AD2764" s="443" t="s">
        <v>2623</v>
      </c>
      <c r="AE2764" s="210">
        <f t="shared" si="1159"/>
        <v>0</v>
      </c>
      <c r="AF2764" s="210">
        <f t="shared" si="1160"/>
        <v>0</v>
      </c>
      <c r="AG2764" s="211">
        <f t="shared" si="1161"/>
        <v>0.23499999999999999</v>
      </c>
      <c r="AH2764" s="157">
        <v>0.26621999999999996</v>
      </c>
      <c r="AI2764" s="152">
        <f t="shared" si="1163"/>
        <v>28800</v>
      </c>
      <c r="AK2764" s="156" t="s">
        <v>691</v>
      </c>
      <c r="AL2764" s="574" t="s">
        <v>690</v>
      </c>
      <c r="AM2764" s="198">
        <f t="shared" si="1164"/>
        <v>0</v>
      </c>
      <c r="AN2764" s="199">
        <f t="shared" si="1155"/>
        <v>45969</v>
      </c>
      <c r="AO2764" s="159" t="s">
        <v>692</v>
      </c>
      <c r="AP2764" s="781" t="s">
        <v>642</v>
      </c>
      <c r="AQ2764" s="782">
        <v>12071839</v>
      </c>
      <c r="AR2764" s="782">
        <v>12042650</v>
      </c>
      <c r="AS2764" s="782">
        <v>12042649</v>
      </c>
      <c r="AT2764" s="782"/>
      <c r="AU2764" s="781"/>
      <c r="AV2764" s="782">
        <v>12094444</v>
      </c>
      <c r="AW2764" s="781"/>
      <c r="AX2764" s="781"/>
      <c r="AY2764" s="783" t="s">
        <v>2602</v>
      </c>
      <c r="AZ2764" s="796" t="s">
        <v>2603</v>
      </c>
      <c r="BA2764" s="781"/>
      <c r="BB2764" s="209">
        <v>23099087</v>
      </c>
    </row>
    <row r="2765" spans="1:54" ht="24.65" hidden="1" customHeight="1">
      <c r="B2765" s="424">
        <v>45969</v>
      </c>
      <c r="C2765" s="647" t="s">
        <v>1677</v>
      </c>
      <c r="D2765" s="185">
        <f t="shared" si="1151"/>
        <v>2025</v>
      </c>
      <c r="E2765" s="425" t="e">
        <f>VLOOKUP($B2765,Week!$A$1:$C$1462,2,0)</f>
        <v>#N/A</v>
      </c>
      <c r="F2765" s="426" t="str">
        <f t="shared" si="1152"/>
        <v>Nov</v>
      </c>
      <c r="G2765" s="427" t="s">
        <v>47</v>
      </c>
      <c r="H2765" s="427" t="s">
        <v>260</v>
      </c>
      <c r="I2765" s="427" t="s">
        <v>2702</v>
      </c>
      <c r="J2765" s="428" t="s">
        <v>70</v>
      </c>
      <c r="K2765" s="429" t="s">
        <v>1646</v>
      </c>
      <c r="L2765" s="300" t="s">
        <v>2167</v>
      </c>
      <c r="M2765" s="428" t="s">
        <v>2569</v>
      </c>
      <c r="N2765" s="427" t="s">
        <v>2571</v>
      </c>
      <c r="O2765" s="427" t="s">
        <v>2568</v>
      </c>
      <c r="P2765" s="430">
        <v>24</v>
      </c>
      <c r="Q2765" s="430">
        <v>3</v>
      </c>
      <c r="R2765" s="431">
        <v>6.1999999999999998E-3</v>
      </c>
      <c r="S2765" s="427" t="s">
        <v>352</v>
      </c>
      <c r="T2765" s="427" t="s">
        <v>56</v>
      </c>
      <c r="U2765" s="755" t="s">
        <v>669</v>
      </c>
      <c r="V2765" s="628">
        <v>3116</v>
      </c>
      <c r="W2765" s="432">
        <f>3116</f>
        <v>3116</v>
      </c>
      <c r="X2765" s="433"/>
      <c r="Y2765" s="434">
        <f t="shared" si="1156"/>
        <v>0</v>
      </c>
      <c r="Z2765" s="435">
        <f t="shared" si="1157"/>
        <v>0</v>
      </c>
      <c r="AA2765" s="435">
        <f t="shared" si="1153"/>
        <v>0</v>
      </c>
      <c r="AB2765" s="826">
        <v>1.6E-2</v>
      </c>
      <c r="AC2765" s="432">
        <f t="shared" si="1158"/>
        <v>0</v>
      </c>
      <c r="AD2765" s="209" t="s">
        <v>2626</v>
      </c>
      <c r="AE2765" s="210">
        <f t="shared" si="1159"/>
        <v>0</v>
      </c>
      <c r="AF2765" s="210">
        <f t="shared" si="1160"/>
        <v>0</v>
      </c>
      <c r="AG2765" s="211">
        <f t="shared" si="1161"/>
        <v>0.21099999999999999</v>
      </c>
      <c r="AH2765" s="157">
        <f>(Z2765*AG2765)/1000</f>
        <v>0</v>
      </c>
      <c r="AI2765" s="152">
        <f t="shared" si="1163"/>
        <v>74784</v>
      </c>
      <c r="AK2765" s="156" t="s">
        <v>691</v>
      </c>
      <c r="AL2765" s="212" t="s">
        <v>690</v>
      </c>
      <c r="AM2765" s="198">
        <f t="shared" si="1164"/>
        <v>0</v>
      </c>
      <c r="AN2765" s="199">
        <f t="shared" si="1155"/>
        <v>45969</v>
      </c>
      <c r="AO2765" s="159" t="s">
        <v>692</v>
      </c>
      <c r="AP2765" s="783" t="s">
        <v>623</v>
      </c>
      <c r="AQ2765" s="782">
        <v>12071839</v>
      </c>
      <c r="AR2765" s="782">
        <v>12042650</v>
      </c>
      <c r="AS2765" s="782">
        <v>12042649</v>
      </c>
      <c r="AT2765" s="782"/>
      <c r="AU2765" s="781"/>
      <c r="AV2765" s="782">
        <v>12097005</v>
      </c>
      <c r="AW2765" s="782"/>
      <c r="AX2765" s="782"/>
      <c r="AY2765" s="782">
        <v>12097003</v>
      </c>
      <c r="AZ2765" s="782">
        <v>12097004</v>
      </c>
      <c r="BA2765" s="781"/>
      <c r="BB2765" s="209">
        <v>23098853</v>
      </c>
    </row>
    <row r="2766" spans="1:54" ht="25" hidden="1" customHeight="1">
      <c r="B2766" s="183">
        <v>45970</v>
      </c>
      <c r="C2766" s="184"/>
      <c r="D2766" s="185">
        <f t="shared" si="1151"/>
        <v>2025</v>
      </c>
      <c r="E2766" s="185" t="e">
        <f>VLOOKUP($B2766,Week!$A$1:$C$1462,2,0)</f>
        <v>#N/A</v>
      </c>
      <c r="F2766" s="186" t="str">
        <f t="shared" si="1152"/>
        <v>Nov</v>
      </c>
      <c r="G2766" s="481"/>
      <c r="H2766" s="185"/>
      <c r="I2766" s="185"/>
      <c r="J2766" s="187"/>
      <c r="K2766" s="188"/>
      <c r="L2766" s="188"/>
      <c r="M2766" s="187"/>
      <c r="N2766" s="185"/>
      <c r="O2766" s="185"/>
      <c r="P2766" s="189"/>
      <c r="Q2766" s="189"/>
      <c r="R2766" s="190"/>
      <c r="S2766" s="185"/>
      <c r="T2766" s="185"/>
      <c r="U2766" s="185"/>
      <c r="V2766" s="191"/>
      <c r="W2766" s="191"/>
      <c r="X2766" s="192"/>
      <c r="Y2766" s="193"/>
      <c r="Z2766" s="194"/>
      <c r="AA2766" s="194">
        <f t="shared" si="1153"/>
        <v>0</v>
      </c>
      <c r="AB2766" s="805"/>
      <c r="AC2766" s="191"/>
      <c r="AD2766" s="187"/>
      <c r="AE2766" s="195"/>
      <c r="AF2766" s="195"/>
      <c r="AG2766" s="196"/>
      <c r="AH2766" s="197"/>
      <c r="AK2766" s="156" t="s">
        <v>691</v>
      </c>
      <c r="AM2766" s="198">
        <f t="shared" si="1164"/>
        <v>0</v>
      </c>
      <c r="AN2766" s="199">
        <f t="shared" si="1155"/>
        <v>45970</v>
      </c>
      <c r="AO2766" s="159" t="s">
        <v>692</v>
      </c>
      <c r="AP2766" s="781"/>
      <c r="AQ2766" s="782"/>
      <c r="AR2766" s="782"/>
      <c r="AS2766" s="782"/>
      <c r="AT2766" s="782"/>
      <c r="AU2766" s="781"/>
      <c r="AV2766" s="782"/>
      <c r="AW2766" s="782"/>
      <c r="AX2766" s="782"/>
      <c r="AY2766" s="782"/>
      <c r="AZ2766" s="782"/>
      <c r="BA2766" s="781"/>
      <c r="BB2766" s="209"/>
    </row>
    <row r="2767" spans="1:54" ht="24.65" hidden="1" customHeight="1">
      <c r="A2767" s="142" t="s">
        <v>120</v>
      </c>
      <c r="B2767" s="383">
        <v>45971</v>
      </c>
      <c r="C2767" s="224">
        <v>46000</v>
      </c>
      <c r="D2767" s="185">
        <f t="shared" si="1151"/>
        <v>2025</v>
      </c>
      <c r="E2767" s="224" t="e">
        <f>VLOOKUP($B2767,Week!$A$1:$C$1462,2,0)</f>
        <v>#N/A</v>
      </c>
      <c r="F2767" s="226" t="str">
        <f t="shared" si="1152"/>
        <v>Nov</v>
      </c>
      <c r="G2767" s="225" t="s">
        <v>2452</v>
      </c>
      <c r="H2767" s="225" t="s">
        <v>1259</v>
      </c>
      <c r="I2767" s="225" t="s">
        <v>2772</v>
      </c>
      <c r="J2767" s="227" t="s">
        <v>512</v>
      </c>
      <c r="K2767" s="228" t="s">
        <v>85</v>
      </c>
      <c r="L2767" s="390" t="s">
        <v>2166</v>
      </c>
      <c r="M2767" s="227" t="s">
        <v>165</v>
      </c>
      <c r="N2767" s="225" t="s">
        <v>700</v>
      </c>
      <c r="O2767" s="225" t="s">
        <v>287</v>
      </c>
      <c r="P2767" s="229">
        <v>40</v>
      </c>
      <c r="Q2767" s="229">
        <v>12</v>
      </c>
      <c r="R2767" s="230">
        <v>8.1300000000000001E-3</v>
      </c>
      <c r="S2767" s="225" t="s">
        <v>40</v>
      </c>
      <c r="T2767" s="225" t="s">
        <v>112</v>
      </c>
      <c r="U2767" s="225" t="s">
        <v>89</v>
      </c>
      <c r="V2767" s="231">
        <v>574</v>
      </c>
      <c r="W2767" s="231">
        <f>413</f>
        <v>413</v>
      </c>
      <c r="X2767" s="232">
        <f>(440+6000)/40</f>
        <v>161</v>
      </c>
      <c r="Y2767" s="233">
        <f t="shared" ref="Y2767:Y2776" si="1165">(W2767+X2767)-V2767</f>
        <v>0</v>
      </c>
      <c r="Z2767" s="234">
        <f t="shared" ref="Z2767:Z2776" si="1166">IF(Y2767&lt;0,((V2767*P2767)-((W2767+X2767)*P2767)),0)</f>
        <v>0</v>
      </c>
      <c r="AA2767" s="234">
        <f t="shared" si="1153"/>
        <v>0</v>
      </c>
      <c r="AB2767" s="822">
        <v>2</v>
      </c>
      <c r="AC2767" s="231">
        <f t="shared" ref="AC2767:AC2787" si="1167">Z2767*AB2767</f>
        <v>0</v>
      </c>
      <c r="AD2767" s="209"/>
      <c r="AE2767" s="210">
        <f t="shared" ref="AE2767:AE2776" si="1168">SUM(Q2767*R2767*Z2767)/1000</f>
        <v>0</v>
      </c>
      <c r="AF2767" s="210">
        <f t="shared" ref="AF2767:AF2787" si="1169">AE2767/0.54</f>
        <v>0</v>
      </c>
      <c r="AG2767" s="211">
        <f t="shared" ref="AG2767:AG2790" si="1170">MID(O2767,1,3)/1000</f>
        <v>0.154</v>
      </c>
      <c r="AH2767" s="157">
        <f>(Z2767*AG2767)/1000</f>
        <v>0</v>
      </c>
      <c r="AI2767" s="152">
        <f t="shared" ref="AI2767:AI2776" si="1171">V2767*P2767</f>
        <v>22960</v>
      </c>
      <c r="AK2767" s="156" t="s">
        <v>691</v>
      </c>
      <c r="AL2767" s="156" t="s">
        <v>689</v>
      </c>
      <c r="AM2767" s="198">
        <f t="shared" si="1164"/>
        <v>0</v>
      </c>
      <c r="AN2767" s="199">
        <f t="shared" si="1155"/>
        <v>45971</v>
      </c>
      <c r="AO2767" s="159" t="s">
        <v>692</v>
      </c>
      <c r="AP2767" s="781"/>
      <c r="AQ2767" s="782">
        <v>12071839</v>
      </c>
      <c r="AR2767" s="782">
        <v>12019692</v>
      </c>
      <c r="AS2767" s="782"/>
      <c r="AT2767" s="782">
        <v>12056457</v>
      </c>
      <c r="AU2767" s="782"/>
      <c r="AV2767" s="782">
        <v>12056565</v>
      </c>
      <c r="AW2767" s="782">
        <v>12034747</v>
      </c>
      <c r="AX2767" s="782" t="s">
        <v>398</v>
      </c>
      <c r="AY2767" s="782" t="s">
        <v>513</v>
      </c>
      <c r="AZ2767" s="782"/>
      <c r="BA2767" s="781"/>
      <c r="BB2767" s="209">
        <v>23053184</v>
      </c>
    </row>
    <row r="2768" spans="1:54" ht="24.75" hidden="1" customHeight="1">
      <c r="B2768" s="295">
        <v>45971</v>
      </c>
      <c r="C2768" s="771" t="s">
        <v>1935</v>
      </c>
      <c r="D2768" s="185">
        <f t="shared" si="1151"/>
        <v>2025</v>
      </c>
      <c r="E2768" s="296" t="e">
        <f>VLOOKUP($B2768,Week!$A$1:$C$1462,2,0)</f>
        <v>#N/A</v>
      </c>
      <c r="F2768" s="297" t="str">
        <f t="shared" si="1152"/>
        <v>Nov</v>
      </c>
      <c r="G2768" s="648" t="s">
        <v>47</v>
      </c>
      <c r="H2768" s="298" t="s">
        <v>260</v>
      </c>
      <c r="I2768" s="298" t="s">
        <v>2702</v>
      </c>
      <c r="J2768" s="307" t="s">
        <v>2240</v>
      </c>
      <c r="K2768" s="300" t="s">
        <v>176</v>
      </c>
      <c r="L2768" s="300" t="s">
        <v>2167</v>
      </c>
      <c r="M2768" s="299" t="s">
        <v>2338</v>
      </c>
      <c r="N2768" s="298" t="s">
        <v>350</v>
      </c>
      <c r="O2768" s="298" t="s">
        <v>351</v>
      </c>
      <c r="P2768" s="301">
        <v>24</v>
      </c>
      <c r="Q2768" s="301">
        <v>5</v>
      </c>
      <c r="R2768" s="302">
        <v>6.1999999999999998E-3</v>
      </c>
      <c r="S2768" s="298" t="s">
        <v>352</v>
      </c>
      <c r="T2768" s="298" t="s">
        <v>56</v>
      </c>
      <c r="U2768" s="298" t="s">
        <v>57</v>
      </c>
      <c r="V2768" s="303">
        <v>1084</v>
      </c>
      <c r="W2768" s="303">
        <f>1084</f>
        <v>1084</v>
      </c>
      <c r="X2768" s="304"/>
      <c r="Y2768" s="305">
        <f t="shared" si="1165"/>
        <v>0</v>
      </c>
      <c r="Z2768" s="306">
        <f t="shared" si="1166"/>
        <v>0</v>
      </c>
      <c r="AA2768" s="306">
        <f t="shared" si="1153"/>
        <v>0</v>
      </c>
      <c r="AB2768" s="814">
        <v>7.4999999999999997E-3</v>
      </c>
      <c r="AC2768" s="303">
        <f t="shared" si="1167"/>
        <v>0</v>
      </c>
      <c r="AD2768" s="443"/>
      <c r="AE2768" s="210">
        <f t="shared" si="1168"/>
        <v>0</v>
      </c>
      <c r="AF2768" s="210">
        <f t="shared" si="1169"/>
        <v>0</v>
      </c>
      <c r="AG2768" s="211">
        <f t="shared" si="1170"/>
        <v>0.13</v>
      </c>
      <c r="AH2768" s="157">
        <f>(Z2768*AG2768)/1000</f>
        <v>0</v>
      </c>
      <c r="AI2768" s="152">
        <f t="shared" si="1171"/>
        <v>26016</v>
      </c>
      <c r="AK2768" s="156" t="s">
        <v>691</v>
      </c>
      <c r="AL2768" s="574" t="s">
        <v>690</v>
      </c>
      <c r="AM2768" s="198">
        <f t="shared" si="1164"/>
        <v>0</v>
      </c>
      <c r="AN2768" s="199">
        <f t="shared" si="1155"/>
        <v>45971</v>
      </c>
      <c r="AO2768" s="159" t="s">
        <v>692</v>
      </c>
      <c r="AP2768" s="783" t="s">
        <v>622</v>
      </c>
      <c r="AQ2768" s="782">
        <v>12071839</v>
      </c>
      <c r="AR2768" s="782">
        <v>12094356</v>
      </c>
      <c r="AS2768" s="782">
        <v>12068233</v>
      </c>
      <c r="AT2768" s="781"/>
      <c r="AU2768" s="781"/>
      <c r="AV2768" s="782">
        <v>12062075</v>
      </c>
      <c r="AW2768" s="781"/>
      <c r="AX2768" s="781"/>
      <c r="AY2768" s="782">
        <v>12094357</v>
      </c>
      <c r="AZ2768" s="782"/>
      <c r="BA2768" s="781"/>
      <c r="BB2768" s="209">
        <v>23053184</v>
      </c>
    </row>
    <row r="2769" spans="1:54" ht="25" hidden="1" customHeight="1">
      <c r="B2769" s="571">
        <v>45971</v>
      </c>
      <c r="C2769" s="235">
        <v>45979</v>
      </c>
      <c r="D2769" s="236">
        <f t="shared" si="1151"/>
        <v>2025</v>
      </c>
      <c r="E2769" s="235" t="e">
        <f>VLOOKUP($B2769,Week!$A$1:$C$1462,2,0)</f>
        <v>#N/A</v>
      </c>
      <c r="F2769" s="237" t="str">
        <f t="shared" si="1152"/>
        <v>Nov</v>
      </c>
      <c r="G2769" s="756" t="s">
        <v>2632</v>
      </c>
      <c r="H2769" s="236" t="s">
        <v>500</v>
      </c>
      <c r="I2769" s="236" t="s">
        <v>2772</v>
      </c>
      <c r="J2769" s="238" t="s">
        <v>285</v>
      </c>
      <c r="K2769" s="239" t="s">
        <v>593</v>
      </c>
      <c r="L2769" s="239" t="s">
        <v>2167</v>
      </c>
      <c r="M2769" s="238" t="s">
        <v>2556</v>
      </c>
      <c r="N2769" s="236" t="s">
        <v>2558</v>
      </c>
      <c r="O2769" s="236" t="s">
        <v>2555</v>
      </c>
      <c r="P2769" s="240">
        <v>12</v>
      </c>
      <c r="Q2769" s="240">
        <v>4</v>
      </c>
      <c r="R2769" s="241">
        <v>6.0000000000000001E-3</v>
      </c>
      <c r="S2769" s="236" t="s">
        <v>55</v>
      </c>
      <c r="T2769" s="236" t="s">
        <v>112</v>
      </c>
      <c r="U2769" s="236" t="s">
        <v>57</v>
      </c>
      <c r="V2769" s="242">
        <v>37</v>
      </c>
      <c r="W2769" s="242">
        <v>37</v>
      </c>
      <c r="X2769" s="243"/>
      <c r="Y2769" s="244">
        <f t="shared" si="1165"/>
        <v>0</v>
      </c>
      <c r="Z2769" s="245">
        <f t="shared" si="1166"/>
        <v>0</v>
      </c>
      <c r="AA2769" s="245">
        <f t="shared" si="1153"/>
        <v>0</v>
      </c>
      <c r="AB2769" s="809">
        <v>7.4999999999999997E-3</v>
      </c>
      <c r="AC2769" s="242">
        <f t="shared" si="1167"/>
        <v>0</v>
      </c>
      <c r="AD2769" s="443"/>
      <c r="AE2769" s="210">
        <f t="shared" si="1168"/>
        <v>0</v>
      </c>
      <c r="AF2769" s="210">
        <f t="shared" si="1169"/>
        <v>0</v>
      </c>
      <c r="AG2769" s="211">
        <f t="shared" si="1170"/>
        <v>0.23100000000000001</v>
      </c>
      <c r="AH2769" s="157">
        <f>(Z2769*AG2769)/1000</f>
        <v>0</v>
      </c>
      <c r="AI2769" s="152">
        <f t="shared" si="1171"/>
        <v>444</v>
      </c>
      <c r="AK2769" s="156" t="s">
        <v>691</v>
      </c>
      <c r="AL2769" s="574" t="s">
        <v>690</v>
      </c>
      <c r="AM2769" s="198">
        <f t="shared" si="1164"/>
        <v>0</v>
      </c>
      <c r="AN2769" s="199">
        <f t="shared" si="1155"/>
        <v>45971</v>
      </c>
      <c r="AO2769" s="159" t="s">
        <v>692</v>
      </c>
      <c r="AP2769" s="783"/>
      <c r="AQ2769" s="782">
        <v>12063755</v>
      </c>
      <c r="AR2769" s="782">
        <v>12061353</v>
      </c>
      <c r="AS2769" s="782">
        <v>12061354</v>
      </c>
      <c r="AT2769" s="782"/>
      <c r="AU2769" s="781"/>
      <c r="AV2769" s="782">
        <v>12096898</v>
      </c>
      <c r="AW2769" s="782"/>
      <c r="AX2769" s="782"/>
      <c r="AY2769" s="782">
        <v>12096895</v>
      </c>
      <c r="AZ2769" s="782">
        <v>12096896</v>
      </c>
      <c r="BA2769" s="782">
        <v>12096897</v>
      </c>
      <c r="BB2769" s="209">
        <v>23053185</v>
      </c>
    </row>
    <row r="2770" spans="1:54" ht="25" hidden="1" customHeight="1">
      <c r="B2770" s="571">
        <v>45971</v>
      </c>
      <c r="C2770" s="235">
        <v>45978</v>
      </c>
      <c r="D2770" s="236">
        <f t="shared" si="1151"/>
        <v>2025</v>
      </c>
      <c r="E2770" s="235" t="e">
        <f>VLOOKUP($B2770,Week!$A$1:$C$1462,2,0)</f>
        <v>#N/A</v>
      </c>
      <c r="F2770" s="237" t="str">
        <f t="shared" si="1152"/>
        <v>Nov</v>
      </c>
      <c r="G2770" s="756" t="s">
        <v>2557</v>
      </c>
      <c r="H2770" s="236" t="s">
        <v>500</v>
      </c>
      <c r="I2770" s="236" t="s">
        <v>2772</v>
      </c>
      <c r="J2770" s="238" t="s">
        <v>285</v>
      </c>
      <c r="K2770" s="239" t="s">
        <v>593</v>
      </c>
      <c r="L2770" s="239" t="s">
        <v>2167</v>
      </c>
      <c r="M2770" s="238" t="s">
        <v>2556</v>
      </c>
      <c r="N2770" s="236" t="s">
        <v>2558</v>
      </c>
      <c r="O2770" s="236" t="s">
        <v>2555</v>
      </c>
      <c r="P2770" s="240">
        <v>12</v>
      </c>
      <c r="Q2770" s="240">
        <v>4</v>
      </c>
      <c r="R2770" s="241">
        <v>6.0000000000000001E-3</v>
      </c>
      <c r="S2770" s="236" t="s">
        <v>55</v>
      </c>
      <c r="T2770" s="236" t="s">
        <v>112</v>
      </c>
      <c r="U2770" s="236" t="s">
        <v>57</v>
      </c>
      <c r="V2770" s="242">
        <v>2500</v>
      </c>
      <c r="W2770" s="242">
        <v>2500</v>
      </c>
      <c r="X2770" s="243">
        <f>(85)/12</f>
        <v>7.083333333333333</v>
      </c>
      <c r="Y2770" s="244">
        <f t="shared" si="1165"/>
        <v>7.0833333333334849</v>
      </c>
      <c r="Z2770" s="245">
        <f t="shared" si="1166"/>
        <v>0</v>
      </c>
      <c r="AA2770" s="245">
        <f t="shared" si="1153"/>
        <v>0</v>
      </c>
      <c r="AB2770" s="809">
        <v>7.4999999999999997E-3</v>
      </c>
      <c r="AC2770" s="242">
        <f t="shared" si="1167"/>
        <v>0</v>
      </c>
      <c r="AD2770" s="443"/>
      <c r="AE2770" s="210">
        <f t="shared" si="1168"/>
        <v>0</v>
      </c>
      <c r="AF2770" s="210">
        <f t="shared" si="1169"/>
        <v>0</v>
      </c>
      <c r="AG2770" s="211">
        <f t="shared" si="1170"/>
        <v>0.23100000000000001</v>
      </c>
      <c r="AH2770" s="157">
        <f>(Z2770*AG2770)/1000</f>
        <v>0</v>
      </c>
      <c r="AI2770" s="152">
        <f t="shared" si="1171"/>
        <v>30000</v>
      </c>
      <c r="AK2770" s="156" t="s">
        <v>691</v>
      </c>
      <c r="AL2770" s="574" t="s">
        <v>690</v>
      </c>
      <c r="AM2770" s="198">
        <f t="shared" si="1164"/>
        <v>0</v>
      </c>
      <c r="AN2770" s="199">
        <f t="shared" si="1155"/>
        <v>45971</v>
      </c>
      <c r="AO2770" s="159" t="s">
        <v>692</v>
      </c>
      <c r="AP2770" s="783"/>
      <c r="AQ2770" s="782">
        <v>12063755</v>
      </c>
      <c r="AR2770" s="782">
        <v>12061353</v>
      </c>
      <c r="AS2770" s="782">
        <v>12061354</v>
      </c>
      <c r="AT2770" s="782"/>
      <c r="AU2770" s="781"/>
      <c r="AV2770" s="782">
        <v>12096898</v>
      </c>
      <c r="AW2770" s="782"/>
      <c r="AX2770" s="782"/>
      <c r="AY2770" s="782">
        <v>12096895</v>
      </c>
      <c r="AZ2770" s="782">
        <v>12096896</v>
      </c>
      <c r="BA2770" s="782">
        <v>12096897</v>
      </c>
      <c r="BB2770" s="209">
        <v>23053185</v>
      </c>
    </row>
    <row r="2771" spans="1:54" ht="25" hidden="1" customHeight="1">
      <c r="A2771" s="623"/>
      <c r="B2771" s="320">
        <v>45971</v>
      </c>
      <c r="C2771" s="321">
        <v>45978</v>
      </c>
      <c r="D2771" s="323">
        <f t="shared" si="1151"/>
        <v>2025</v>
      </c>
      <c r="E2771" s="321" t="e">
        <f>VLOOKUP($B2771,Week!$A$1:$C$1462,2,0)</f>
        <v>#N/A</v>
      </c>
      <c r="F2771" s="322" t="str">
        <f t="shared" si="1152"/>
        <v>Nov</v>
      </c>
      <c r="G2771" s="323" t="s">
        <v>2442</v>
      </c>
      <c r="H2771" s="323" t="s">
        <v>500</v>
      </c>
      <c r="I2771" s="323" t="s">
        <v>2772</v>
      </c>
      <c r="J2771" s="324" t="s">
        <v>679</v>
      </c>
      <c r="K2771" s="325" t="s">
        <v>2410</v>
      </c>
      <c r="L2771" s="325" t="s">
        <v>2167</v>
      </c>
      <c r="M2771" s="324" t="s">
        <v>682</v>
      </c>
      <c r="N2771" s="323" t="s">
        <v>2417</v>
      </c>
      <c r="O2771" s="323" t="s">
        <v>2409</v>
      </c>
      <c r="P2771" s="326">
        <v>36</v>
      </c>
      <c r="Q2771" s="326">
        <v>3</v>
      </c>
      <c r="R2771" s="327">
        <v>6.0000000000000001E-3</v>
      </c>
      <c r="S2771" s="323" t="s">
        <v>55</v>
      </c>
      <c r="T2771" s="323" t="s">
        <v>112</v>
      </c>
      <c r="U2771" s="872" t="s">
        <v>2419</v>
      </c>
      <c r="V2771" s="328">
        <v>792</v>
      </c>
      <c r="W2771" s="328">
        <f>67+715</f>
        <v>782</v>
      </c>
      <c r="X2771" s="329">
        <v>10</v>
      </c>
      <c r="Y2771" s="330">
        <f t="shared" si="1165"/>
        <v>0</v>
      </c>
      <c r="Z2771" s="331">
        <f t="shared" si="1166"/>
        <v>0</v>
      </c>
      <c r="AA2771" s="331">
        <f t="shared" si="1153"/>
        <v>0</v>
      </c>
      <c r="AB2771" s="816">
        <v>5.8823E-2</v>
      </c>
      <c r="AC2771" s="328">
        <f t="shared" si="1167"/>
        <v>0</v>
      </c>
      <c r="AD2771" s="443"/>
      <c r="AE2771" s="210">
        <f t="shared" si="1168"/>
        <v>0</v>
      </c>
      <c r="AF2771" s="210">
        <f t="shared" si="1169"/>
        <v>0</v>
      </c>
      <c r="AG2771" s="211">
        <f t="shared" si="1170"/>
        <v>0.30199999999999999</v>
      </c>
      <c r="AH2771" s="157">
        <v>0.26621999999999996</v>
      </c>
      <c r="AI2771" s="152">
        <f t="shared" si="1171"/>
        <v>28512</v>
      </c>
      <c r="AK2771" s="156" t="s">
        <v>691</v>
      </c>
      <c r="AL2771" s="574" t="s">
        <v>690</v>
      </c>
      <c r="AM2771" s="198">
        <f t="shared" si="1164"/>
        <v>0</v>
      </c>
      <c r="AN2771" s="199">
        <f t="shared" si="1155"/>
        <v>45971</v>
      </c>
      <c r="AO2771" s="159" t="s">
        <v>692</v>
      </c>
      <c r="AP2771" s="781" t="s">
        <v>642</v>
      </c>
      <c r="AQ2771" s="782">
        <v>12063755</v>
      </c>
      <c r="AR2771" s="782">
        <v>12061353</v>
      </c>
      <c r="AS2771" s="782">
        <v>12061354</v>
      </c>
      <c r="AT2771" s="782">
        <v>12096250</v>
      </c>
      <c r="AU2771" s="781"/>
      <c r="AV2771" s="782">
        <v>12096681</v>
      </c>
      <c r="AW2771" s="781"/>
      <c r="AX2771" s="781"/>
      <c r="AY2771" s="781"/>
      <c r="AZ2771" s="782"/>
      <c r="BA2771" s="781"/>
      <c r="BB2771" s="209">
        <v>23099860</v>
      </c>
    </row>
    <row r="2772" spans="1:54" ht="24.65" hidden="1" customHeight="1">
      <c r="A2772" s="142" t="s">
        <v>120</v>
      </c>
      <c r="B2772" s="383">
        <v>45972</v>
      </c>
      <c r="C2772" s="224">
        <v>46000</v>
      </c>
      <c r="D2772" s="185">
        <f t="shared" si="1151"/>
        <v>2025</v>
      </c>
      <c r="E2772" s="224" t="e">
        <f>VLOOKUP($B2772,Week!$A$1:$C$1462,2,0)</f>
        <v>#N/A</v>
      </c>
      <c r="F2772" s="226" t="str">
        <f t="shared" si="1152"/>
        <v>Nov</v>
      </c>
      <c r="G2772" s="225" t="s">
        <v>2452</v>
      </c>
      <c r="H2772" s="225" t="s">
        <v>1259</v>
      </c>
      <c r="I2772" s="225" t="s">
        <v>2772</v>
      </c>
      <c r="J2772" s="227" t="s">
        <v>512</v>
      </c>
      <c r="K2772" s="228" t="s">
        <v>85</v>
      </c>
      <c r="L2772" s="390" t="s">
        <v>2166</v>
      </c>
      <c r="M2772" s="227" t="s">
        <v>165</v>
      </c>
      <c r="N2772" s="225" t="s">
        <v>700</v>
      </c>
      <c r="O2772" s="225" t="s">
        <v>287</v>
      </c>
      <c r="P2772" s="229">
        <v>40</v>
      </c>
      <c r="Q2772" s="229">
        <v>12</v>
      </c>
      <c r="R2772" s="230">
        <v>8.1300000000000001E-3</v>
      </c>
      <c r="S2772" s="225" t="s">
        <v>40</v>
      </c>
      <c r="T2772" s="225" t="s">
        <v>112</v>
      </c>
      <c r="U2772" s="225" t="s">
        <v>89</v>
      </c>
      <c r="V2772" s="231">
        <v>569</v>
      </c>
      <c r="W2772" s="231">
        <f>543</f>
        <v>543</v>
      </c>
      <c r="X2772" s="232">
        <f>(1040)/40</f>
        <v>26</v>
      </c>
      <c r="Y2772" s="233">
        <f t="shared" si="1165"/>
        <v>0</v>
      </c>
      <c r="Z2772" s="234">
        <f t="shared" si="1166"/>
        <v>0</v>
      </c>
      <c r="AA2772" s="234">
        <f t="shared" si="1153"/>
        <v>0</v>
      </c>
      <c r="AB2772" s="822">
        <v>2</v>
      </c>
      <c r="AC2772" s="231">
        <f t="shared" si="1167"/>
        <v>0</v>
      </c>
      <c r="AD2772" s="209"/>
      <c r="AE2772" s="210">
        <f t="shared" si="1168"/>
        <v>0</v>
      </c>
      <c r="AF2772" s="210">
        <f t="shared" si="1169"/>
        <v>0</v>
      </c>
      <c r="AG2772" s="211">
        <f t="shared" si="1170"/>
        <v>0.154</v>
      </c>
      <c r="AH2772" s="157">
        <f t="shared" ref="AH2772:AH2787" si="1172">(Z2772*AG2772)/1000</f>
        <v>0</v>
      </c>
      <c r="AI2772" s="152">
        <f t="shared" si="1171"/>
        <v>22760</v>
      </c>
      <c r="AK2772" s="156" t="s">
        <v>691</v>
      </c>
      <c r="AL2772" s="156" t="s">
        <v>689</v>
      </c>
      <c r="AM2772" s="198">
        <f t="shared" si="1164"/>
        <v>0</v>
      </c>
      <c r="AN2772" s="199">
        <f t="shared" si="1155"/>
        <v>45972</v>
      </c>
      <c r="AO2772" s="159" t="s">
        <v>692</v>
      </c>
      <c r="AP2772" s="781"/>
      <c r="AQ2772" s="782">
        <v>12071839</v>
      </c>
      <c r="AR2772" s="782">
        <v>12019692</v>
      </c>
      <c r="AS2772" s="782"/>
      <c r="AT2772" s="782">
        <v>12056457</v>
      </c>
      <c r="AU2772" s="782"/>
      <c r="AV2772" s="782">
        <v>12056565</v>
      </c>
      <c r="AW2772" s="782">
        <v>12034747</v>
      </c>
      <c r="AX2772" s="782" t="s">
        <v>398</v>
      </c>
      <c r="AY2772" s="782" t="s">
        <v>513</v>
      </c>
      <c r="AZ2772" s="782"/>
      <c r="BA2772" s="781"/>
      <c r="BB2772" s="209">
        <v>23053184</v>
      </c>
    </row>
    <row r="2773" spans="1:54" ht="24.75" hidden="1" customHeight="1">
      <c r="B2773" s="295">
        <v>45972</v>
      </c>
      <c r="C2773" s="771" t="s">
        <v>1935</v>
      </c>
      <c r="D2773" s="185">
        <f t="shared" si="1151"/>
        <v>2025</v>
      </c>
      <c r="E2773" s="296" t="e">
        <f>VLOOKUP($B2773,Week!$A$1:$C$1462,2,0)</f>
        <v>#N/A</v>
      </c>
      <c r="F2773" s="297" t="str">
        <f t="shared" si="1152"/>
        <v>Nov</v>
      </c>
      <c r="G2773" s="648" t="s">
        <v>47</v>
      </c>
      <c r="H2773" s="298" t="s">
        <v>260</v>
      </c>
      <c r="I2773" s="298" t="s">
        <v>2702</v>
      </c>
      <c r="J2773" s="307" t="s">
        <v>2240</v>
      </c>
      <c r="K2773" s="300" t="s">
        <v>176</v>
      </c>
      <c r="L2773" s="300" t="s">
        <v>2167</v>
      </c>
      <c r="M2773" s="299" t="s">
        <v>2338</v>
      </c>
      <c r="N2773" s="298" t="s">
        <v>350</v>
      </c>
      <c r="O2773" s="298" t="s">
        <v>351</v>
      </c>
      <c r="P2773" s="301">
        <v>24</v>
      </c>
      <c r="Q2773" s="301">
        <v>5</v>
      </c>
      <c r="R2773" s="302">
        <v>6.1999999999999998E-3</v>
      </c>
      <c r="S2773" s="298" t="s">
        <v>352</v>
      </c>
      <c r="T2773" s="298" t="s">
        <v>56</v>
      </c>
      <c r="U2773" s="298" t="s">
        <v>57</v>
      </c>
      <c r="V2773" s="303">
        <v>2386</v>
      </c>
      <c r="W2773" s="303">
        <v>2386</v>
      </c>
      <c r="X2773" s="304"/>
      <c r="Y2773" s="305">
        <f t="shared" si="1165"/>
        <v>0</v>
      </c>
      <c r="Z2773" s="306">
        <f t="shared" si="1166"/>
        <v>0</v>
      </c>
      <c r="AA2773" s="306">
        <f t="shared" si="1153"/>
        <v>0</v>
      </c>
      <c r="AB2773" s="814">
        <v>7.4999999999999997E-3</v>
      </c>
      <c r="AC2773" s="303">
        <f t="shared" si="1167"/>
        <v>0</v>
      </c>
      <c r="AD2773" s="443"/>
      <c r="AE2773" s="210">
        <f t="shared" si="1168"/>
        <v>0</v>
      </c>
      <c r="AF2773" s="210">
        <f t="shared" si="1169"/>
        <v>0</v>
      </c>
      <c r="AG2773" s="211">
        <f t="shared" si="1170"/>
        <v>0.13</v>
      </c>
      <c r="AH2773" s="157">
        <f t="shared" si="1172"/>
        <v>0</v>
      </c>
      <c r="AI2773" s="152">
        <f t="shared" si="1171"/>
        <v>57264</v>
      </c>
      <c r="AK2773" s="156" t="s">
        <v>691</v>
      </c>
      <c r="AL2773" s="574" t="s">
        <v>690</v>
      </c>
      <c r="AM2773" s="198">
        <f t="shared" si="1164"/>
        <v>0</v>
      </c>
      <c r="AN2773" s="199">
        <f t="shared" si="1155"/>
        <v>45972</v>
      </c>
      <c r="AO2773" s="159" t="s">
        <v>692</v>
      </c>
      <c r="AP2773" s="783" t="s">
        <v>622</v>
      </c>
      <c r="AQ2773" s="782">
        <v>12071839</v>
      </c>
      <c r="AR2773" s="782">
        <v>12094356</v>
      </c>
      <c r="AS2773" s="782">
        <v>12068233</v>
      </c>
      <c r="AT2773" s="781"/>
      <c r="AU2773" s="781"/>
      <c r="AV2773" s="782">
        <v>12062075</v>
      </c>
      <c r="AW2773" s="781"/>
      <c r="AX2773" s="781"/>
      <c r="AY2773" s="782">
        <v>12094357</v>
      </c>
      <c r="AZ2773" s="782"/>
      <c r="BA2773" s="781"/>
      <c r="BB2773" s="209">
        <v>23053184</v>
      </c>
    </row>
    <row r="2774" spans="1:54" ht="25" hidden="1" customHeight="1">
      <c r="B2774" s="357">
        <v>45972</v>
      </c>
      <c r="C2774" s="358">
        <v>46017</v>
      </c>
      <c r="D2774" s="185">
        <f t="shared" si="1151"/>
        <v>2025</v>
      </c>
      <c r="E2774" s="358" t="e">
        <f>VLOOKUP($B2774,Week!$A$1:$C$1462,2,0)</f>
        <v>#N/A</v>
      </c>
      <c r="F2774" s="360" t="str">
        <f t="shared" si="1152"/>
        <v>Nov</v>
      </c>
      <c r="G2774" s="436" t="s">
        <v>2514</v>
      </c>
      <c r="H2774" s="359" t="s">
        <v>225</v>
      </c>
      <c r="I2774" s="359" t="s">
        <v>2773</v>
      </c>
      <c r="J2774" s="361" t="s">
        <v>650</v>
      </c>
      <c r="K2774" s="362" t="s">
        <v>593</v>
      </c>
      <c r="L2774" s="300" t="s">
        <v>2167</v>
      </c>
      <c r="M2774" s="361" t="s">
        <v>717</v>
      </c>
      <c r="N2774" s="359" t="s">
        <v>719</v>
      </c>
      <c r="O2774" s="359" t="s">
        <v>230</v>
      </c>
      <c r="P2774" s="363">
        <v>12</v>
      </c>
      <c r="Q2774" s="363">
        <v>5</v>
      </c>
      <c r="R2774" s="364">
        <v>6.0000000000000001E-3</v>
      </c>
      <c r="S2774" s="359" t="s">
        <v>55</v>
      </c>
      <c r="T2774" s="359" t="s">
        <v>112</v>
      </c>
      <c r="U2774" s="359" t="s">
        <v>57</v>
      </c>
      <c r="V2774" s="365">
        <v>2600</v>
      </c>
      <c r="W2774" s="365"/>
      <c r="X2774" s="366">
        <f>(1019+30181)/12</f>
        <v>2600</v>
      </c>
      <c r="Y2774" s="367">
        <f t="shared" si="1165"/>
        <v>0</v>
      </c>
      <c r="Z2774" s="368">
        <f t="shared" si="1166"/>
        <v>0</v>
      </c>
      <c r="AA2774" s="368">
        <f t="shared" si="1153"/>
        <v>0</v>
      </c>
      <c r="AB2774" s="819">
        <v>7.4999999999999997E-3</v>
      </c>
      <c r="AC2774" s="365">
        <f t="shared" si="1167"/>
        <v>0</v>
      </c>
      <c r="AD2774" s="307" t="s">
        <v>2421</v>
      </c>
      <c r="AE2774" s="210">
        <f t="shared" si="1168"/>
        <v>0</v>
      </c>
      <c r="AF2774" s="210">
        <f t="shared" si="1169"/>
        <v>0</v>
      </c>
      <c r="AG2774" s="211">
        <f t="shared" si="1170"/>
        <v>0.25800000000000001</v>
      </c>
      <c r="AH2774" s="157">
        <f t="shared" si="1172"/>
        <v>0</v>
      </c>
      <c r="AI2774" s="152">
        <f t="shared" si="1171"/>
        <v>31200</v>
      </c>
      <c r="AK2774" s="156" t="s">
        <v>691</v>
      </c>
      <c r="AL2774" s="574" t="s">
        <v>690</v>
      </c>
      <c r="AM2774" s="198">
        <f t="shared" si="1164"/>
        <v>0</v>
      </c>
      <c r="AN2774" s="199">
        <f t="shared" si="1155"/>
        <v>45972</v>
      </c>
      <c r="AO2774" s="159" t="s">
        <v>692</v>
      </c>
      <c r="AP2774" s="783" t="s">
        <v>612</v>
      </c>
      <c r="AQ2774" s="782">
        <v>12071839</v>
      </c>
      <c r="AR2774" s="782">
        <v>12042650</v>
      </c>
      <c r="AS2774" s="782">
        <v>12042649</v>
      </c>
      <c r="AT2774" s="782">
        <v>12096387</v>
      </c>
      <c r="AU2774" s="781"/>
      <c r="AV2774" s="782">
        <v>12088422</v>
      </c>
      <c r="AW2774" s="782"/>
      <c r="AX2774" s="782"/>
      <c r="AY2774" s="782"/>
      <c r="AZ2774" s="782"/>
      <c r="BA2774" s="781"/>
      <c r="BB2774" s="209">
        <v>23053185</v>
      </c>
    </row>
    <row r="2775" spans="1:54" ht="24.65" hidden="1" customHeight="1">
      <c r="A2775" s="142" t="s">
        <v>120</v>
      </c>
      <c r="B2775" s="383">
        <v>45973</v>
      </c>
      <c r="C2775" s="224">
        <v>46000</v>
      </c>
      <c r="D2775" s="185">
        <f t="shared" si="1151"/>
        <v>2025</v>
      </c>
      <c r="E2775" s="224" t="e">
        <f>VLOOKUP($B2775,Week!$A$1:$C$1462,2,0)</f>
        <v>#N/A</v>
      </c>
      <c r="F2775" s="226" t="str">
        <f t="shared" si="1152"/>
        <v>Nov</v>
      </c>
      <c r="G2775" s="225" t="s">
        <v>2452</v>
      </c>
      <c r="H2775" s="225" t="s">
        <v>1259</v>
      </c>
      <c r="I2775" s="225" t="s">
        <v>2772</v>
      </c>
      <c r="J2775" s="227" t="s">
        <v>512</v>
      </c>
      <c r="K2775" s="228" t="s">
        <v>85</v>
      </c>
      <c r="L2775" s="390" t="s">
        <v>2166</v>
      </c>
      <c r="M2775" s="227" t="s">
        <v>165</v>
      </c>
      <c r="N2775" s="225" t="s">
        <v>700</v>
      </c>
      <c r="O2775" s="225" t="s">
        <v>287</v>
      </c>
      <c r="P2775" s="229">
        <v>40</v>
      </c>
      <c r="Q2775" s="229">
        <v>12</v>
      </c>
      <c r="R2775" s="230">
        <v>8.1300000000000001E-3</v>
      </c>
      <c r="S2775" s="225" t="s">
        <v>40</v>
      </c>
      <c r="T2775" s="225" t="s">
        <v>112</v>
      </c>
      <c r="U2775" s="225" t="s">
        <v>89</v>
      </c>
      <c r="V2775" s="231">
        <f>1624-574-569</f>
        <v>481</v>
      </c>
      <c r="W2775" s="231">
        <v>481</v>
      </c>
      <c r="X2775" s="232"/>
      <c r="Y2775" s="233">
        <f t="shared" si="1165"/>
        <v>0</v>
      </c>
      <c r="Z2775" s="234">
        <f t="shared" si="1166"/>
        <v>0</v>
      </c>
      <c r="AA2775" s="234">
        <f t="shared" si="1153"/>
        <v>0</v>
      </c>
      <c r="AB2775" s="822">
        <v>2</v>
      </c>
      <c r="AC2775" s="231">
        <f t="shared" si="1167"/>
        <v>0</v>
      </c>
      <c r="AD2775" s="209"/>
      <c r="AE2775" s="210">
        <f t="shared" si="1168"/>
        <v>0</v>
      </c>
      <c r="AF2775" s="210">
        <f t="shared" si="1169"/>
        <v>0</v>
      </c>
      <c r="AG2775" s="211">
        <f t="shared" si="1170"/>
        <v>0.154</v>
      </c>
      <c r="AH2775" s="157">
        <f t="shared" si="1172"/>
        <v>0</v>
      </c>
      <c r="AI2775" s="152">
        <f t="shared" si="1171"/>
        <v>19240</v>
      </c>
      <c r="AK2775" s="156" t="s">
        <v>691</v>
      </c>
      <c r="AL2775" s="156" t="s">
        <v>689</v>
      </c>
      <c r="AM2775" s="198">
        <f t="shared" si="1164"/>
        <v>0</v>
      </c>
      <c r="AN2775" s="199">
        <f t="shared" si="1155"/>
        <v>45973</v>
      </c>
      <c r="AO2775" s="159" t="s">
        <v>692</v>
      </c>
      <c r="AP2775" s="781"/>
      <c r="AQ2775" s="782">
        <v>12071839</v>
      </c>
      <c r="AR2775" s="782">
        <v>12019692</v>
      </c>
      <c r="AS2775" s="782"/>
      <c r="AT2775" s="782">
        <v>12056457</v>
      </c>
      <c r="AU2775" s="782"/>
      <c r="AV2775" s="782">
        <v>12056565</v>
      </c>
      <c r="AW2775" s="782">
        <v>12034747</v>
      </c>
      <c r="AX2775" s="782" t="s">
        <v>398</v>
      </c>
      <c r="AY2775" s="782" t="s">
        <v>513</v>
      </c>
      <c r="AZ2775" s="782"/>
      <c r="BA2775" s="781"/>
      <c r="BB2775" s="209">
        <v>23053184</v>
      </c>
    </row>
    <row r="2776" spans="1:54" ht="25.15" hidden="1" customHeight="1">
      <c r="B2776" s="345">
        <v>45973</v>
      </c>
      <c r="C2776" s="346">
        <v>45985</v>
      </c>
      <c r="D2776" s="185">
        <f t="shared" si="1151"/>
        <v>2025</v>
      </c>
      <c r="E2776" s="347" t="e">
        <f>VLOOKUP($B2776,Week!$A$1:$C$1462,2,0)</f>
        <v>#N/A</v>
      </c>
      <c r="F2776" s="348" t="str">
        <f t="shared" si="1152"/>
        <v>Nov</v>
      </c>
      <c r="G2776" s="347" t="s">
        <v>2375</v>
      </c>
      <c r="H2776" s="347" t="s">
        <v>697</v>
      </c>
      <c r="I2776" s="347" t="s">
        <v>2772</v>
      </c>
      <c r="J2776" s="438" t="s">
        <v>425</v>
      </c>
      <c r="K2776" s="350" t="s">
        <v>176</v>
      </c>
      <c r="L2776" s="350" t="s">
        <v>2167</v>
      </c>
      <c r="M2776" s="349" t="s">
        <v>426</v>
      </c>
      <c r="N2776" s="347" t="s">
        <v>427</v>
      </c>
      <c r="O2776" s="347" t="s">
        <v>599</v>
      </c>
      <c r="P2776" s="351">
        <v>36</v>
      </c>
      <c r="Q2776" s="351">
        <v>5</v>
      </c>
      <c r="R2776" s="352">
        <v>7.4999999999999997E-3</v>
      </c>
      <c r="S2776" s="347" t="s">
        <v>111</v>
      </c>
      <c r="T2776" s="347" t="s">
        <v>112</v>
      </c>
      <c r="U2776" s="347" t="s">
        <v>57</v>
      </c>
      <c r="V2776" s="353">
        <v>1288</v>
      </c>
      <c r="W2776" s="353">
        <f>71+1217</f>
        <v>1288</v>
      </c>
      <c r="X2776" s="354"/>
      <c r="Y2776" s="355">
        <f t="shared" si="1165"/>
        <v>0</v>
      </c>
      <c r="Z2776" s="356">
        <f t="shared" si="1166"/>
        <v>0</v>
      </c>
      <c r="AA2776" s="353">
        <f t="shared" si="1153"/>
        <v>0</v>
      </c>
      <c r="AB2776" s="818">
        <v>7.4999999999999997E-3</v>
      </c>
      <c r="AC2776" s="353">
        <f t="shared" si="1167"/>
        <v>0</v>
      </c>
      <c r="AD2776" s="307" t="s">
        <v>2448</v>
      </c>
      <c r="AE2776" s="210">
        <f t="shared" si="1168"/>
        <v>0</v>
      </c>
      <c r="AF2776" s="210">
        <f t="shared" si="1169"/>
        <v>0</v>
      </c>
      <c r="AG2776" s="211">
        <f t="shared" si="1170"/>
        <v>0.14799999999999999</v>
      </c>
      <c r="AH2776" s="157">
        <f t="shared" si="1172"/>
        <v>0</v>
      </c>
      <c r="AI2776" s="152">
        <f t="shared" si="1171"/>
        <v>46368</v>
      </c>
      <c r="AK2776" s="156" t="s">
        <v>691</v>
      </c>
      <c r="AL2776" s="574" t="s">
        <v>690</v>
      </c>
      <c r="AM2776" s="198">
        <f t="shared" si="1164"/>
        <v>0</v>
      </c>
      <c r="AN2776" s="199">
        <f t="shared" si="1155"/>
        <v>45973</v>
      </c>
      <c r="AO2776" s="159" t="s">
        <v>692</v>
      </c>
      <c r="AP2776" s="783" t="s">
        <v>609</v>
      </c>
      <c r="AQ2776" s="782">
        <v>12071839</v>
      </c>
      <c r="AR2776" s="782">
        <v>12080260</v>
      </c>
      <c r="AS2776" s="782">
        <v>12080259</v>
      </c>
      <c r="AT2776" s="782">
        <v>12096006</v>
      </c>
      <c r="AU2776" s="782"/>
      <c r="AV2776" s="782">
        <v>12096007</v>
      </c>
      <c r="AW2776" s="782">
        <v>12024404</v>
      </c>
      <c r="AX2776" s="781"/>
      <c r="AY2776" s="782">
        <v>12096022</v>
      </c>
      <c r="AZ2776" s="782"/>
      <c r="BA2776" s="781"/>
      <c r="BB2776" s="209">
        <v>23053185</v>
      </c>
    </row>
    <row r="2777" spans="1:54" ht="24.75" hidden="1" customHeight="1">
      <c r="B2777" s="295">
        <v>45973</v>
      </c>
      <c r="C2777" s="771" t="s">
        <v>1935</v>
      </c>
      <c r="D2777" s="185">
        <f t="shared" ref="D2777:D2782" si="1173">IF(B2777="","",YEAR(B2777))</f>
        <v>2025</v>
      </c>
      <c r="E2777" s="296" t="e">
        <f>VLOOKUP($B2777,Week!$A$1:$C$1462,2,0)</f>
        <v>#N/A</v>
      </c>
      <c r="F2777" s="297" t="str">
        <f t="shared" ref="F2777:F2782" si="1174">IF(B2777="","",TEXT(B2777,"[$-409]mmm"))</f>
        <v>Nov</v>
      </c>
      <c r="G2777" s="648" t="s">
        <v>47</v>
      </c>
      <c r="H2777" s="298" t="s">
        <v>260</v>
      </c>
      <c r="I2777" s="298" t="s">
        <v>2702</v>
      </c>
      <c r="J2777" s="307" t="s">
        <v>2240</v>
      </c>
      <c r="K2777" s="300" t="s">
        <v>176</v>
      </c>
      <c r="L2777" s="300" t="s">
        <v>2167</v>
      </c>
      <c r="M2777" s="299" t="s">
        <v>2338</v>
      </c>
      <c r="N2777" s="298" t="s">
        <v>350</v>
      </c>
      <c r="O2777" s="298" t="s">
        <v>351</v>
      </c>
      <c r="P2777" s="301">
        <v>24</v>
      </c>
      <c r="Q2777" s="301">
        <v>5</v>
      </c>
      <c r="R2777" s="302">
        <v>6.1999999999999998E-3</v>
      </c>
      <c r="S2777" s="298" t="s">
        <v>352</v>
      </c>
      <c r="T2777" s="298" t="s">
        <v>56</v>
      </c>
      <c r="U2777" s="298" t="s">
        <v>57</v>
      </c>
      <c r="V2777" s="303">
        <f>15000-124-1458-2346-1913-3682-1075-1084-2386</f>
        <v>932</v>
      </c>
      <c r="W2777" s="303">
        <v>932</v>
      </c>
      <c r="X2777" s="304"/>
      <c r="Y2777" s="305">
        <f t="shared" ref="Y2777:Y2782" si="1175">(W2777+X2777)-V2777</f>
        <v>0</v>
      </c>
      <c r="Z2777" s="306">
        <f t="shared" ref="Z2777:Z2782" si="1176">IF(Y2777&lt;0,((V2777*P2777)-((W2777+X2777)*P2777)),0)</f>
        <v>0</v>
      </c>
      <c r="AA2777" s="306">
        <f t="shared" ref="AA2777:AA2782" si="1177">Q2777*Z2777</f>
        <v>0</v>
      </c>
      <c r="AB2777" s="814">
        <v>7.4999999999999997E-3</v>
      </c>
      <c r="AC2777" s="303">
        <f t="shared" si="1167"/>
        <v>0</v>
      </c>
      <c r="AD2777" s="443"/>
      <c r="AE2777" s="210">
        <f t="shared" ref="AE2777:AE2782" si="1178">SUM(Q2777*R2777*Z2777)/1000</f>
        <v>0</v>
      </c>
      <c r="AF2777" s="210">
        <f t="shared" si="1169"/>
        <v>0</v>
      </c>
      <c r="AG2777" s="211">
        <f t="shared" si="1170"/>
        <v>0.13</v>
      </c>
      <c r="AH2777" s="157">
        <f t="shared" si="1172"/>
        <v>0</v>
      </c>
      <c r="AI2777" s="152">
        <f t="shared" ref="AI2777:AI2782" si="1179">V2777*P2777</f>
        <v>22368</v>
      </c>
      <c r="AK2777" s="156" t="s">
        <v>691</v>
      </c>
      <c r="AL2777" s="574" t="s">
        <v>690</v>
      </c>
      <c r="AM2777" s="198">
        <f t="shared" ref="AM2777:AM2782" si="1180">AG2777*Z2777</f>
        <v>0</v>
      </c>
      <c r="AN2777" s="199">
        <f t="shared" ref="AN2777:AN2782" si="1181">B2777</f>
        <v>45973</v>
      </c>
      <c r="AO2777" s="159" t="s">
        <v>692</v>
      </c>
      <c r="AP2777" s="783" t="s">
        <v>622</v>
      </c>
      <c r="AQ2777" s="782">
        <v>12071839</v>
      </c>
      <c r="AR2777" s="782">
        <v>12094356</v>
      </c>
      <c r="AS2777" s="782">
        <v>12068233</v>
      </c>
      <c r="AT2777" s="781"/>
      <c r="AU2777" s="781"/>
      <c r="AV2777" s="782">
        <v>12062075</v>
      </c>
      <c r="AW2777" s="781"/>
      <c r="AX2777" s="781"/>
      <c r="AY2777" s="782">
        <v>12094357</v>
      </c>
      <c r="AZ2777" s="782"/>
      <c r="BA2777" s="781"/>
      <c r="BB2777" s="209">
        <v>23053184</v>
      </c>
    </row>
    <row r="2778" spans="1:54" ht="24.75" hidden="1" customHeight="1">
      <c r="B2778" s="295">
        <v>45973</v>
      </c>
      <c r="C2778" s="771" t="s">
        <v>1936</v>
      </c>
      <c r="D2778" s="185">
        <f t="shared" si="1173"/>
        <v>2025</v>
      </c>
      <c r="E2778" s="296" t="e">
        <f>VLOOKUP($B2778,Week!$A$1:$C$1462,2,0)</f>
        <v>#N/A</v>
      </c>
      <c r="F2778" s="297" t="str">
        <f t="shared" si="1174"/>
        <v>Nov</v>
      </c>
      <c r="G2778" s="648" t="s">
        <v>47</v>
      </c>
      <c r="H2778" s="298" t="s">
        <v>260</v>
      </c>
      <c r="I2778" s="298" t="s">
        <v>2702</v>
      </c>
      <c r="J2778" s="307" t="s">
        <v>2240</v>
      </c>
      <c r="K2778" s="300" t="s">
        <v>176</v>
      </c>
      <c r="L2778" s="300" t="s">
        <v>2167</v>
      </c>
      <c r="M2778" s="299" t="s">
        <v>2338</v>
      </c>
      <c r="N2778" s="298" t="s">
        <v>350</v>
      </c>
      <c r="O2778" s="298" t="s">
        <v>351</v>
      </c>
      <c r="P2778" s="301">
        <v>24</v>
      </c>
      <c r="Q2778" s="301">
        <v>5</v>
      </c>
      <c r="R2778" s="302">
        <v>6.1999999999999998E-3</v>
      </c>
      <c r="S2778" s="298" t="s">
        <v>352</v>
      </c>
      <c r="T2778" s="298" t="s">
        <v>56</v>
      </c>
      <c r="U2778" s="298" t="s">
        <v>57</v>
      </c>
      <c r="V2778" s="303">
        <v>629</v>
      </c>
      <c r="W2778" s="303">
        <f>1561-932</f>
        <v>629</v>
      </c>
      <c r="X2778" s="304"/>
      <c r="Y2778" s="305">
        <f t="shared" si="1175"/>
        <v>0</v>
      </c>
      <c r="Z2778" s="306">
        <f t="shared" si="1176"/>
        <v>0</v>
      </c>
      <c r="AA2778" s="306">
        <f t="shared" si="1177"/>
        <v>0</v>
      </c>
      <c r="AB2778" s="814">
        <v>7.4999999999999997E-3</v>
      </c>
      <c r="AC2778" s="303">
        <f t="shared" si="1167"/>
        <v>0</v>
      </c>
      <c r="AD2778" s="443"/>
      <c r="AE2778" s="210">
        <f t="shared" si="1178"/>
        <v>0</v>
      </c>
      <c r="AF2778" s="210">
        <f t="shared" si="1169"/>
        <v>0</v>
      </c>
      <c r="AG2778" s="211">
        <f t="shared" si="1170"/>
        <v>0.13</v>
      </c>
      <c r="AH2778" s="157">
        <f t="shared" si="1172"/>
        <v>0</v>
      </c>
      <c r="AI2778" s="152">
        <f t="shared" si="1179"/>
        <v>15096</v>
      </c>
      <c r="AK2778" s="156" t="s">
        <v>691</v>
      </c>
      <c r="AL2778" s="574" t="s">
        <v>690</v>
      </c>
      <c r="AM2778" s="198">
        <f t="shared" si="1180"/>
        <v>0</v>
      </c>
      <c r="AN2778" s="199">
        <f t="shared" si="1181"/>
        <v>45973</v>
      </c>
      <c r="AO2778" s="159" t="s">
        <v>692</v>
      </c>
      <c r="AP2778" s="783" t="s">
        <v>622</v>
      </c>
      <c r="AQ2778" s="782">
        <v>12071839</v>
      </c>
      <c r="AR2778" s="782">
        <v>12094356</v>
      </c>
      <c r="AS2778" s="782">
        <v>12068233</v>
      </c>
      <c r="AT2778" s="781"/>
      <c r="AU2778" s="781"/>
      <c r="AV2778" s="782">
        <v>12062075</v>
      </c>
      <c r="AW2778" s="781"/>
      <c r="AX2778" s="781"/>
      <c r="AY2778" s="782">
        <v>12094357</v>
      </c>
      <c r="AZ2778" s="782"/>
      <c r="BA2778" s="781"/>
      <c r="BB2778" s="209">
        <v>23053184</v>
      </c>
    </row>
    <row r="2779" spans="1:54" ht="25" hidden="1" customHeight="1">
      <c r="A2779" s="142" t="s">
        <v>120</v>
      </c>
      <c r="B2779" s="320">
        <v>45974</v>
      </c>
      <c r="C2779" s="321">
        <v>45985</v>
      </c>
      <c r="D2779" s="323">
        <f t="shared" si="1173"/>
        <v>2025</v>
      </c>
      <c r="E2779" s="321" t="e">
        <f>VLOOKUP($B2779,Week!$A$1:$C$1462,2,0)</f>
        <v>#N/A</v>
      </c>
      <c r="F2779" s="322" t="str">
        <f t="shared" si="1174"/>
        <v>Nov</v>
      </c>
      <c r="G2779" s="323" t="s">
        <v>2641</v>
      </c>
      <c r="H2779" s="323" t="s">
        <v>363</v>
      </c>
      <c r="I2779" s="323" t="s">
        <v>2772</v>
      </c>
      <c r="J2779" s="324" t="s">
        <v>364</v>
      </c>
      <c r="K2779" s="325" t="s">
        <v>2583</v>
      </c>
      <c r="L2779" s="325" t="s">
        <v>2166</v>
      </c>
      <c r="M2779" s="324" t="s">
        <v>2586</v>
      </c>
      <c r="N2779" s="323" t="s">
        <v>2584</v>
      </c>
      <c r="O2779" s="323" t="s">
        <v>2587</v>
      </c>
      <c r="P2779" s="326">
        <v>20</v>
      </c>
      <c r="Q2779" s="326">
        <v>50</v>
      </c>
      <c r="R2779" s="327">
        <v>4.0000000000000001E-3</v>
      </c>
      <c r="S2779" s="323" t="s">
        <v>55</v>
      </c>
      <c r="T2779" s="323" t="s">
        <v>112</v>
      </c>
      <c r="U2779" s="323" t="s">
        <v>77</v>
      </c>
      <c r="V2779" s="328">
        <f>130</f>
        <v>130</v>
      </c>
      <c r="W2779" s="328">
        <f>130</f>
        <v>130</v>
      </c>
      <c r="X2779" s="329"/>
      <c r="Y2779" s="330">
        <f t="shared" si="1175"/>
        <v>0</v>
      </c>
      <c r="Z2779" s="331">
        <f t="shared" si="1176"/>
        <v>0</v>
      </c>
      <c r="AA2779" s="331">
        <f t="shared" si="1177"/>
        <v>0</v>
      </c>
      <c r="AB2779" s="816">
        <v>6</v>
      </c>
      <c r="AC2779" s="328">
        <f t="shared" si="1167"/>
        <v>0</v>
      </c>
      <c r="AD2779" s="209"/>
      <c r="AE2779" s="210">
        <f t="shared" si="1178"/>
        <v>0</v>
      </c>
      <c r="AF2779" s="210">
        <f t="shared" si="1169"/>
        <v>0</v>
      </c>
      <c r="AG2779" s="211">
        <f t="shared" si="1170"/>
        <v>0.5</v>
      </c>
      <c r="AH2779" s="157">
        <f t="shared" si="1172"/>
        <v>0</v>
      </c>
      <c r="AI2779" s="152">
        <f t="shared" si="1179"/>
        <v>2600</v>
      </c>
      <c r="AK2779" s="156" t="s">
        <v>691</v>
      </c>
      <c r="AL2779" s="156" t="s">
        <v>689</v>
      </c>
      <c r="AM2779" s="198">
        <f t="shared" si="1180"/>
        <v>0</v>
      </c>
      <c r="AN2779" s="199">
        <f t="shared" si="1181"/>
        <v>45974</v>
      </c>
      <c r="AO2779" s="159" t="s">
        <v>692</v>
      </c>
      <c r="AP2779" s="783" t="s">
        <v>620</v>
      </c>
      <c r="AQ2779" s="796" t="s">
        <v>422</v>
      </c>
      <c r="AR2779" s="782">
        <v>12055234</v>
      </c>
      <c r="AS2779" s="781"/>
      <c r="AT2779" s="782"/>
      <c r="AU2779" s="782"/>
      <c r="AV2779" s="782">
        <v>12094353</v>
      </c>
      <c r="AW2779" s="782"/>
      <c r="AX2779" s="782">
        <v>12036656</v>
      </c>
      <c r="AY2779" s="799" t="s">
        <v>2616</v>
      </c>
      <c r="AZ2779" s="781"/>
      <c r="BA2779" s="781"/>
      <c r="BB2779" s="209">
        <v>23053184</v>
      </c>
    </row>
    <row r="2780" spans="1:54" ht="25" hidden="1" customHeight="1">
      <c r="A2780" s="529" t="s">
        <v>1937</v>
      </c>
      <c r="B2780" s="357">
        <v>45974</v>
      </c>
      <c r="C2780" s="776" t="s">
        <v>1936</v>
      </c>
      <c r="D2780" s="185">
        <f t="shared" si="1173"/>
        <v>2025</v>
      </c>
      <c r="E2780" s="358" t="e">
        <f>VLOOKUP($B2780,Week!$A$1:$C$1462,2,0)</f>
        <v>#N/A</v>
      </c>
      <c r="F2780" s="360" t="str">
        <f t="shared" si="1174"/>
        <v>Nov</v>
      </c>
      <c r="G2780" s="359" t="s">
        <v>47</v>
      </c>
      <c r="H2780" s="359" t="s">
        <v>518</v>
      </c>
      <c r="I2780" s="359" t="s">
        <v>2702</v>
      </c>
      <c r="J2780" s="361" t="s">
        <v>70</v>
      </c>
      <c r="K2780" s="362" t="s">
        <v>94</v>
      </c>
      <c r="L2780" s="362" t="s">
        <v>2167</v>
      </c>
      <c r="M2780" s="361" t="s">
        <v>519</v>
      </c>
      <c r="N2780" s="436" t="s">
        <v>648</v>
      </c>
      <c r="O2780" s="359" t="s">
        <v>97</v>
      </c>
      <c r="P2780" s="363">
        <v>12</v>
      </c>
      <c r="Q2780" s="363">
        <v>5</v>
      </c>
      <c r="R2780" s="364">
        <v>8.0000000000000002E-3</v>
      </c>
      <c r="S2780" s="359" t="s">
        <v>40</v>
      </c>
      <c r="T2780" s="359" t="s">
        <v>56</v>
      </c>
      <c r="U2780" s="359" t="s">
        <v>57</v>
      </c>
      <c r="V2780" s="365">
        <f>20</f>
        <v>20</v>
      </c>
      <c r="W2780" s="365">
        <f>(144+100)/12</f>
        <v>20.333333333333332</v>
      </c>
      <c r="X2780" s="366"/>
      <c r="Y2780" s="367">
        <f t="shared" si="1175"/>
        <v>0.33333333333333215</v>
      </c>
      <c r="Z2780" s="368">
        <f t="shared" si="1176"/>
        <v>0</v>
      </c>
      <c r="AA2780" s="368">
        <f t="shared" si="1177"/>
        <v>0</v>
      </c>
      <c r="AB2780" s="819">
        <v>7.4999999999999997E-3</v>
      </c>
      <c r="AC2780" s="365">
        <f t="shared" si="1167"/>
        <v>0</v>
      </c>
      <c r="AD2780" s="209"/>
      <c r="AE2780" s="210">
        <f t="shared" si="1178"/>
        <v>0</v>
      </c>
      <c r="AF2780" s="210">
        <f t="shared" si="1169"/>
        <v>0</v>
      </c>
      <c r="AG2780" s="211">
        <f t="shared" si="1170"/>
        <v>0.14499999999999999</v>
      </c>
      <c r="AH2780" s="157">
        <f t="shared" si="1172"/>
        <v>0</v>
      </c>
      <c r="AI2780" s="152">
        <f t="shared" si="1179"/>
        <v>240</v>
      </c>
      <c r="AK2780" s="156" t="s">
        <v>691</v>
      </c>
      <c r="AL2780" s="574" t="s">
        <v>690</v>
      </c>
      <c r="AM2780" s="198">
        <f t="shared" si="1180"/>
        <v>0</v>
      </c>
      <c r="AN2780" s="199">
        <f t="shared" si="1181"/>
        <v>45974</v>
      </c>
      <c r="AO2780" s="159" t="s">
        <v>692</v>
      </c>
      <c r="AP2780" s="783" t="s">
        <v>628</v>
      </c>
      <c r="AQ2780" s="782">
        <v>12071839</v>
      </c>
      <c r="AR2780" s="782">
        <v>12047514</v>
      </c>
      <c r="AS2780" s="782">
        <v>12047515</v>
      </c>
      <c r="AT2780" s="782"/>
      <c r="AU2780" s="781"/>
      <c r="AV2780" s="782">
        <v>12080617</v>
      </c>
      <c r="AW2780" s="782"/>
      <c r="AX2780" s="782"/>
      <c r="AY2780" s="782">
        <v>12094231</v>
      </c>
      <c r="AZ2780" s="782">
        <v>1209232</v>
      </c>
      <c r="BA2780" s="781"/>
      <c r="BB2780" s="209"/>
    </row>
    <row r="2781" spans="1:54" ht="25" hidden="1" customHeight="1">
      <c r="B2781" s="357">
        <v>45974</v>
      </c>
      <c r="C2781" s="776" t="s">
        <v>1935</v>
      </c>
      <c r="D2781" s="185">
        <f t="shared" si="1173"/>
        <v>2025</v>
      </c>
      <c r="E2781" s="358" t="e">
        <f>VLOOKUP($B2781,Week!$A$1:$C$1462,2,0)</f>
        <v>#N/A</v>
      </c>
      <c r="F2781" s="360" t="str">
        <f t="shared" si="1174"/>
        <v>Nov</v>
      </c>
      <c r="G2781" s="359" t="s">
        <v>47</v>
      </c>
      <c r="H2781" s="359" t="s">
        <v>518</v>
      </c>
      <c r="I2781" s="359" t="s">
        <v>2702</v>
      </c>
      <c r="J2781" s="361" t="s">
        <v>70</v>
      </c>
      <c r="K2781" s="362" t="s">
        <v>94</v>
      </c>
      <c r="L2781" s="300" t="s">
        <v>2167</v>
      </c>
      <c r="M2781" s="361" t="s">
        <v>2341</v>
      </c>
      <c r="N2781" s="359" t="s">
        <v>589</v>
      </c>
      <c r="O2781" s="359" t="s">
        <v>97</v>
      </c>
      <c r="P2781" s="363">
        <v>12</v>
      </c>
      <c r="Q2781" s="363">
        <v>5</v>
      </c>
      <c r="R2781" s="364">
        <v>8.0000000000000002E-3</v>
      </c>
      <c r="S2781" s="359" t="s">
        <v>40</v>
      </c>
      <c r="T2781" s="359" t="s">
        <v>56</v>
      </c>
      <c r="U2781" s="359" t="s">
        <v>57</v>
      </c>
      <c r="V2781" s="365">
        <f>1250</f>
        <v>1250</v>
      </c>
      <c r="W2781" s="365">
        <f>1261-1240+1+1228</f>
        <v>1250</v>
      </c>
      <c r="X2781" s="366"/>
      <c r="Y2781" s="367">
        <f t="shared" si="1175"/>
        <v>0</v>
      </c>
      <c r="Z2781" s="368">
        <f t="shared" si="1176"/>
        <v>0</v>
      </c>
      <c r="AA2781" s="368">
        <f t="shared" si="1177"/>
        <v>0</v>
      </c>
      <c r="AB2781" s="819">
        <v>7.4999999999999997E-3</v>
      </c>
      <c r="AC2781" s="365">
        <f t="shared" si="1167"/>
        <v>0</v>
      </c>
      <c r="AD2781" s="209"/>
      <c r="AE2781" s="210">
        <f t="shared" si="1178"/>
        <v>0</v>
      </c>
      <c r="AF2781" s="210">
        <f t="shared" si="1169"/>
        <v>0</v>
      </c>
      <c r="AG2781" s="211">
        <f t="shared" si="1170"/>
        <v>0.14499999999999999</v>
      </c>
      <c r="AH2781" s="157">
        <f t="shared" si="1172"/>
        <v>0</v>
      </c>
      <c r="AI2781" s="152">
        <f t="shared" si="1179"/>
        <v>15000</v>
      </c>
      <c r="AK2781" s="156" t="s">
        <v>691</v>
      </c>
      <c r="AL2781" s="574" t="s">
        <v>690</v>
      </c>
      <c r="AM2781" s="198">
        <f t="shared" si="1180"/>
        <v>0</v>
      </c>
      <c r="AN2781" s="199">
        <f t="shared" si="1181"/>
        <v>45974</v>
      </c>
      <c r="AO2781" s="159" t="s">
        <v>692</v>
      </c>
      <c r="AP2781" s="783" t="s">
        <v>628</v>
      </c>
      <c r="AQ2781" s="782">
        <v>12071839</v>
      </c>
      <c r="AR2781" s="782">
        <v>12047514</v>
      </c>
      <c r="AS2781" s="782">
        <v>12047515</v>
      </c>
      <c r="AT2781" s="782"/>
      <c r="AU2781" s="781"/>
      <c r="AV2781" s="782">
        <v>12080617</v>
      </c>
      <c r="AW2781" s="782"/>
      <c r="AX2781" s="782"/>
      <c r="AY2781" s="782">
        <v>12094231</v>
      </c>
      <c r="AZ2781" s="782">
        <v>1209232</v>
      </c>
      <c r="BA2781" s="781"/>
      <c r="BB2781" s="209">
        <v>23053185</v>
      </c>
    </row>
    <row r="2782" spans="1:54" ht="25" hidden="1" customHeight="1">
      <c r="B2782" s="357">
        <v>45974</v>
      </c>
      <c r="C2782" s="776" t="s">
        <v>1935</v>
      </c>
      <c r="D2782" s="185">
        <f t="shared" si="1173"/>
        <v>2025</v>
      </c>
      <c r="E2782" s="358" t="e">
        <f>VLOOKUP($B2782,Week!$A$1:$C$1462,2,0)</f>
        <v>#N/A</v>
      </c>
      <c r="F2782" s="360" t="str">
        <f t="shared" si="1174"/>
        <v>Nov</v>
      </c>
      <c r="G2782" s="359" t="s">
        <v>47</v>
      </c>
      <c r="H2782" s="359" t="s">
        <v>518</v>
      </c>
      <c r="I2782" s="359" t="s">
        <v>2702</v>
      </c>
      <c r="J2782" s="361" t="s">
        <v>70</v>
      </c>
      <c r="K2782" s="362" t="s">
        <v>94</v>
      </c>
      <c r="L2782" s="300" t="s">
        <v>2167</v>
      </c>
      <c r="M2782" s="361" t="s">
        <v>2341</v>
      </c>
      <c r="N2782" s="359" t="s">
        <v>589</v>
      </c>
      <c r="O2782" s="359" t="s">
        <v>97</v>
      </c>
      <c r="P2782" s="363">
        <v>12</v>
      </c>
      <c r="Q2782" s="363">
        <v>5</v>
      </c>
      <c r="R2782" s="364">
        <v>8.0000000000000002E-3</v>
      </c>
      <c r="S2782" s="359" t="s">
        <v>40</v>
      </c>
      <c r="T2782" s="359" t="s">
        <v>56</v>
      </c>
      <c r="U2782" s="359" t="s">
        <v>57</v>
      </c>
      <c r="V2782" s="365">
        <f>1250</f>
        <v>1250</v>
      </c>
      <c r="W2782" s="365">
        <v>1250</v>
      </c>
      <c r="X2782" s="366"/>
      <c r="Y2782" s="367">
        <f t="shared" si="1175"/>
        <v>0</v>
      </c>
      <c r="Z2782" s="368">
        <f t="shared" si="1176"/>
        <v>0</v>
      </c>
      <c r="AA2782" s="368">
        <f t="shared" si="1177"/>
        <v>0</v>
      </c>
      <c r="AB2782" s="819">
        <v>7.4999999999999997E-3</v>
      </c>
      <c r="AC2782" s="365">
        <f t="shared" si="1167"/>
        <v>0</v>
      </c>
      <c r="AD2782" s="209"/>
      <c r="AE2782" s="210">
        <f t="shared" si="1178"/>
        <v>0</v>
      </c>
      <c r="AF2782" s="210">
        <f t="shared" si="1169"/>
        <v>0</v>
      </c>
      <c r="AG2782" s="211">
        <f t="shared" si="1170"/>
        <v>0.14499999999999999</v>
      </c>
      <c r="AH2782" s="157">
        <f t="shared" si="1172"/>
        <v>0</v>
      </c>
      <c r="AI2782" s="152">
        <f t="shared" si="1179"/>
        <v>15000</v>
      </c>
      <c r="AK2782" s="156" t="s">
        <v>691</v>
      </c>
      <c r="AL2782" s="574" t="s">
        <v>690</v>
      </c>
      <c r="AM2782" s="198">
        <f t="shared" si="1180"/>
        <v>0</v>
      </c>
      <c r="AN2782" s="199">
        <f t="shared" si="1181"/>
        <v>45974</v>
      </c>
      <c r="AO2782" s="159" t="s">
        <v>692</v>
      </c>
      <c r="AP2782" s="783" t="s">
        <v>628</v>
      </c>
      <c r="AQ2782" s="782">
        <v>12071839</v>
      </c>
      <c r="AR2782" s="782">
        <v>12047514</v>
      </c>
      <c r="AS2782" s="782">
        <v>12047515</v>
      </c>
      <c r="AT2782" s="782"/>
      <c r="AU2782" s="781"/>
      <c r="AV2782" s="782">
        <v>12080617</v>
      </c>
      <c r="AW2782" s="782"/>
      <c r="AX2782" s="782"/>
      <c r="AY2782" s="782">
        <v>12094231</v>
      </c>
      <c r="AZ2782" s="782">
        <v>1209232</v>
      </c>
      <c r="BA2782" s="781"/>
      <c r="BB2782" s="209">
        <v>23053185</v>
      </c>
    </row>
    <row r="2783" spans="1:54" ht="24.65" hidden="1" customHeight="1">
      <c r="B2783" s="411">
        <v>45974</v>
      </c>
      <c r="C2783" s="645" t="s">
        <v>1935</v>
      </c>
      <c r="D2783" s="185">
        <f t="shared" ref="D2783:D2813" si="1182">IF(B2783="","",YEAR(B2783))</f>
        <v>2025</v>
      </c>
      <c r="E2783" s="412" t="e">
        <f>VLOOKUP($B2783,Week!$A$1:$C$1462,2,0)</f>
        <v>#N/A</v>
      </c>
      <c r="F2783" s="413" t="str">
        <f t="shared" ref="F2783:F2813" si="1183">IF(B2783="","",TEXT(B2783,"[$-409]mmm"))</f>
        <v>Nov</v>
      </c>
      <c r="G2783" s="414" t="s">
        <v>47</v>
      </c>
      <c r="H2783" s="414" t="s">
        <v>260</v>
      </c>
      <c r="I2783" s="414" t="s">
        <v>2702</v>
      </c>
      <c r="J2783" s="415" t="s">
        <v>261</v>
      </c>
      <c r="K2783" s="416" t="s">
        <v>94</v>
      </c>
      <c r="L2783" s="300" t="s">
        <v>2167</v>
      </c>
      <c r="M2783" s="415" t="s">
        <v>2339</v>
      </c>
      <c r="N2783" s="414" t="s">
        <v>263</v>
      </c>
      <c r="O2783" s="414" t="s">
        <v>195</v>
      </c>
      <c r="P2783" s="417">
        <v>24</v>
      </c>
      <c r="Q2783" s="417">
        <v>5</v>
      </c>
      <c r="R2783" s="418">
        <v>8.0000000000000002E-3</v>
      </c>
      <c r="S2783" s="414" t="s">
        <v>40</v>
      </c>
      <c r="T2783" s="414" t="s">
        <v>56</v>
      </c>
      <c r="U2783" s="414" t="s">
        <v>57</v>
      </c>
      <c r="V2783" s="419">
        <v>1622</v>
      </c>
      <c r="W2783" s="419">
        <f>1+1621</f>
        <v>1622</v>
      </c>
      <c r="X2783" s="420"/>
      <c r="Y2783" s="421">
        <f t="shared" ref="Y2783:Y2790" si="1184">(W2783+X2783)-V2783</f>
        <v>0</v>
      </c>
      <c r="Z2783" s="422">
        <f t="shared" ref="Z2783:Z2790" si="1185">IF(Y2783&lt;0,((V2783*P2783)-((W2783+X2783)*P2783)),0)</f>
        <v>0</v>
      </c>
      <c r="AA2783" s="422">
        <f t="shared" ref="AA2783:AA2813" si="1186">Q2783*Z2783</f>
        <v>0</v>
      </c>
      <c r="AB2783" s="825">
        <v>7.4999999999999997E-3</v>
      </c>
      <c r="AC2783" s="419">
        <f t="shared" si="1167"/>
        <v>0</v>
      </c>
      <c r="AD2783" s="209"/>
      <c r="AE2783" s="210">
        <f>SUM(Q2783*R2783*Z2783)/1000</f>
        <v>0</v>
      </c>
      <c r="AF2783" s="210">
        <f t="shared" si="1169"/>
        <v>0</v>
      </c>
      <c r="AG2783" s="211">
        <f t="shared" si="1170"/>
        <v>0.14499999999999999</v>
      </c>
      <c r="AH2783" s="157">
        <f t="shared" si="1172"/>
        <v>0</v>
      </c>
      <c r="AI2783" s="152">
        <f>V2783*P2783</f>
        <v>38928</v>
      </c>
      <c r="AK2783" s="156" t="s">
        <v>691</v>
      </c>
      <c r="AL2783" s="212" t="s">
        <v>690</v>
      </c>
      <c r="AM2783" s="198">
        <f t="shared" ref="AM2783:AM2798" si="1187">AG2783*Z2783</f>
        <v>0</v>
      </c>
      <c r="AN2783" s="199">
        <f t="shared" ref="AN2783:AN2813" si="1188">B2783</f>
        <v>45974</v>
      </c>
      <c r="AO2783" s="159" t="s">
        <v>692</v>
      </c>
      <c r="AP2783" s="783" t="s">
        <v>609</v>
      </c>
      <c r="AQ2783" s="782">
        <v>12071839</v>
      </c>
      <c r="AR2783" s="782">
        <v>12047514</v>
      </c>
      <c r="AS2783" s="782">
        <v>12047515</v>
      </c>
      <c r="AT2783" s="781"/>
      <c r="AU2783" s="781"/>
      <c r="AV2783" s="782">
        <v>12080613</v>
      </c>
      <c r="AW2783" s="781"/>
      <c r="AX2783" s="781"/>
      <c r="AY2783" s="782">
        <v>12094241</v>
      </c>
      <c r="AZ2783" s="782">
        <v>12094242</v>
      </c>
      <c r="BA2783" s="781"/>
      <c r="BB2783" s="209">
        <v>23053185</v>
      </c>
    </row>
    <row r="2784" spans="1:54" ht="25" hidden="1" customHeight="1">
      <c r="B2784" s="398">
        <v>45974</v>
      </c>
      <c r="C2784" s="399" t="s">
        <v>1935</v>
      </c>
      <c r="D2784" s="185">
        <f t="shared" si="1182"/>
        <v>2025</v>
      </c>
      <c r="E2784" s="399" t="e">
        <f>VLOOKUP($B2784,Week!$A$1:$C$1462,2,0)</f>
        <v>#N/A</v>
      </c>
      <c r="F2784" s="400" t="str">
        <f t="shared" si="1183"/>
        <v>Nov</v>
      </c>
      <c r="G2784" s="401" t="s">
        <v>47</v>
      </c>
      <c r="H2784" s="401" t="s">
        <v>518</v>
      </c>
      <c r="I2784" s="401" t="s">
        <v>2702</v>
      </c>
      <c r="J2784" s="402" t="s">
        <v>70</v>
      </c>
      <c r="K2784" s="403" t="s">
        <v>1645</v>
      </c>
      <c r="L2784" s="300" t="s">
        <v>2167</v>
      </c>
      <c r="M2784" s="402" t="s">
        <v>2567</v>
      </c>
      <c r="N2784" s="404" t="s">
        <v>2520</v>
      </c>
      <c r="O2784" s="401" t="s">
        <v>747</v>
      </c>
      <c r="P2784" s="405">
        <v>12</v>
      </c>
      <c r="Q2784" s="405">
        <v>5</v>
      </c>
      <c r="R2784" s="406">
        <v>8.0000000000000002E-3</v>
      </c>
      <c r="S2784" s="401" t="s">
        <v>352</v>
      </c>
      <c r="T2784" s="401" t="s">
        <v>56</v>
      </c>
      <c r="U2784" s="770" t="s">
        <v>669</v>
      </c>
      <c r="V2784" s="407">
        <v>1200</v>
      </c>
      <c r="W2784" s="407">
        <f>1171+22</f>
        <v>1193</v>
      </c>
      <c r="X2784" s="408">
        <v>7</v>
      </c>
      <c r="Y2784" s="409">
        <f t="shared" si="1184"/>
        <v>0</v>
      </c>
      <c r="Z2784" s="410">
        <f t="shared" si="1185"/>
        <v>0</v>
      </c>
      <c r="AA2784" s="410">
        <f t="shared" si="1186"/>
        <v>0</v>
      </c>
      <c r="AB2784" s="824">
        <v>8.9999999999999993E-3</v>
      </c>
      <c r="AC2784" s="407">
        <f t="shared" si="1167"/>
        <v>0</v>
      </c>
      <c r="AD2784" s="443" t="s">
        <v>2625</v>
      </c>
      <c r="AE2784" s="210">
        <f>SUM(Q2784*R2784*Z2784)/1000</f>
        <v>0</v>
      </c>
      <c r="AF2784" s="210">
        <f t="shared" si="1169"/>
        <v>0</v>
      </c>
      <c r="AG2784" s="211">
        <f t="shared" si="1170"/>
        <v>0.14299999999999999</v>
      </c>
      <c r="AH2784" s="157">
        <f t="shared" si="1172"/>
        <v>0</v>
      </c>
      <c r="AI2784" s="152">
        <f>V2784*P2784</f>
        <v>14400</v>
      </c>
      <c r="AK2784" s="156" t="s">
        <v>691</v>
      </c>
      <c r="AL2784" s="212" t="s">
        <v>690</v>
      </c>
      <c r="AM2784" s="198">
        <f t="shared" si="1187"/>
        <v>0</v>
      </c>
      <c r="AN2784" s="199">
        <f t="shared" si="1188"/>
        <v>45974</v>
      </c>
      <c r="AO2784" s="159" t="s">
        <v>692</v>
      </c>
      <c r="AP2784" s="783" t="s">
        <v>623</v>
      </c>
      <c r="AQ2784" s="782">
        <v>12071839</v>
      </c>
      <c r="AR2784" s="782">
        <v>12047514</v>
      </c>
      <c r="AS2784" s="782">
        <v>12047515</v>
      </c>
      <c r="AT2784" s="782"/>
      <c r="AU2784" s="781"/>
      <c r="AV2784" s="782">
        <v>12096536</v>
      </c>
      <c r="AW2784" s="782"/>
      <c r="AX2784" s="782"/>
      <c r="AY2784" s="782">
        <v>12096534</v>
      </c>
      <c r="AZ2784" s="782">
        <v>12096535</v>
      </c>
      <c r="BA2784" s="781"/>
      <c r="BB2784" s="209">
        <v>23098853</v>
      </c>
    </row>
    <row r="2785" spans="1:54" ht="25" hidden="1" customHeight="1">
      <c r="A2785" s="142" t="s">
        <v>120</v>
      </c>
      <c r="B2785" s="320">
        <v>45975</v>
      </c>
      <c r="C2785" s="321">
        <v>45985</v>
      </c>
      <c r="D2785" s="323">
        <f t="shared" si="1182"/>
        <v>2025</v>
      </c>
      <c r="E2785" s="321" t="e">
        <f>VLOOKUP($B2785,Week!$A$1:$C$1462,2,0)</f>
        <v>#N/A</v>
      </c>
      <c r="F2785" s="322" t="str">
        <f t="shared" si="1183"/>
        <v>Nov</v>
      </c>
      <c r="G2785" s="323" t="s">
        <v>2641</v>
      </c>
      <c r="H2785" s="323" t="s">
        <v>363</v>
      </c>
      <c r="I2785" s="323" t="s">
        <v>2772</v>
      </c>
      <c r="J2785" s="324" t="s">
        <v>364</v>
      </c>
      <c r="K2785" s="325" t="s">
        <v>2583</v>
      </c>
      <c r="L2785" s="325" t="s">
        <v>2166</v>
      </c>
      <c r="M2785" s="324" t="s">
        <v>2586</v>
      </c>
      <c r="N2785" s="323" t="s">
        <v>2584</v>
      </c>
      <c r="O2785" s="323" t="s">
        <v>2587</v>
      </c>
      <c r="P2785" s="326">
        <v>20</v>
      </c>
      <c r="Q2785" s="326">
        <v>50</v>
      </c>
      <c r="R2785" s="327">
        <v>4.0000000000000001E-3</v>
      </c>
      <c r="S2785" s="323" t="s">
        <v>55</v>
      </c>
      <c r="T2785" s="323" t="s">
        <v>112</v>
      </c>
      <c r="U2785" s="323" t="s">
        <v>77</v>
      </c>
      <c r="V2785" s="328">
        <v>159</v>
      </c>
      <c r="W2785" s="328">
        <v>159</v>
      </c>
      <c r="X2785" s="329"/>
      <c r="Y2785" s="330">
        <f t="shared" si="1184"/>
        <v>0</v>
      </c>
      <c r="Z2785" s="331">
        <f t="shared" si="1185"/>
        <v>0</v>
      </c>
      <c r="AA2785" s="331">
        <f t="shared" si="1186"/>
        <v>0</v>
      </c>
      <c r="AB2785" s="816">
        <v>6</v>
      </c>
      <c r="AC2785" s="328">
        <f t="shared" si="1167"/>
        <v>0</v>
      </c>
      <c r="AD2785" s="209"/>
      <c r="AE2785" s="210">
        <f>SUM(Q2785*R2785*Z2785)/1000</f>
        <v>0</v>
      </c>
      <c r="AF2785" s="210">
        <f t="shared" si="1169"/>
        <v>0</v>
      </c>
      <c r="AG2785" s="211">
        <f t="shared" si="1170"/>
        <v>0.5</v>
      </c>
      <c r="AH2785" s="157">
        <f t="shared" si="1172"/>
        <v>0</v>
      </c>
      <c r="AI2785" s="152">
        <f>V2785*P2785</f>
        <v>3180</v>
      </c>
      <c r="AK2785" s="156" t="s">
        <v>691</v>
      </c>
      <c r="AL2785" s="156" t="s">
        <v>689</v>
      </c>
      <c r="AM2785" s="198">
        <f t="shared" si="1187"/>
        <v>0</v>
      </c>
      <c r="AN2785" s="199">
        <f t="shared" si="1188"/>
        <v>45975</v>
      </c>
      <c r="AO2785" s="159" t="s">
        <v>692</v>
      </c>
      <c r="AP2785" s="783" t="s">
        <v>620</v>
      </c>
      <c r="AQ2785" s="796" t="s">
        <v>422</v>
      </c>
      <c r="AR2785" s="782">
        <v>12055234</v>
      </c>
      <c r="AS2785" s="781"/>
      <c r="AT2785" s="782"/>
      <c r="AU2785" s="782"/>
      <c r="AV2785" s="782">
        <v>12094353</v>
      </c>
      <c r="AW2785" s="782"/>
      <c r="AX2785" s="782">
        <v>12036656</v>
      </c>
      <c r="AY2785" s="799" t="s">
        <v>2616</v>
      </c>
      <c r="AZ2785" s="781"/>
      <c r="BA2785" s="781"/>
      <c r="BB2785" s="209">
        <v>23053184</v>
      </c>
    </row>
    <row r="2786" spans="1:54" ht="24.65" hidden="1" customHeight="1">
      <c r="B2786" s="411">
        <v>45975</v>
      </c>
      <c r="C2786" s="645" t="s">
        <v>1935</v>
      </c>
      <c r="D2786" s="185">
        <f t="shared" si="1182"/>
        <v>2025</v>
      </c>
      <c r="E2786" s="412" t="e">
        <f>VLOOKUP($B2786,Week!$A$1:$C$1462,2,0)</f>
        <v>#N/A</v>
      </c>
      <c r="F2786" s="413" t="str">
        <f t="shared" si="1183"/>
        <v>Nov</v>
      </c>
      <c r="G2786" s="414" t="s">
        <v>47</v>
      </c>
      <c r="H2786" s="414" t="s">
        <v>260</v>
      </c>
      <c r="I2786" s="414" t="s">
        <v>2702</v>
      </c>
      <c r="J2786" s="415" t="s">
        <v>261</v>
      </c>
      <c r="K2786" s="416" t="s">
        <v>94</v>
      </c>
      <c r="L2786" s="300" t="s">
        <v>2167</v>
      </c>
      <c r="M2786" s="415" t="s">
        <v>2339</v>
      </c>
      <c r="N2786" s="414" t="s">
        <v>263</v>
      </c>
      <c r="O2786" s="414" t="s">
        <v>195</v>
      </c>
      <c r="P2786" s="417">
        <v>24</v>
      </c>
      <c r="Q2786" s="417">
        <v>5</v>
      </c>
      <c r="R2786" s="418">
        <v>8.0000000000000002E-3</v>
      </c>
      <c r="S2786" s="414" t="s">
        <v>40</v>
      </c>
      <c r="T2786" s="414" t="s">
        <v>56</v>
      </c>
      <c r="U2786" s="414" t="s">
        <v>57</v>
      </c>
      <c r="V2786" s="419">
        <f>10000-195-920-1371-3507-1622-14</f>
        <v>2371</v>
      </c>
      <c r="W2786" s="419">
        <v>2371</v>
      </c>
      <c r="X2786" s="420"/>
      <c r="Y2786" s="421">
        <f t="shared" si="1184"/>
        <v>0</v>
      </c>
      <c r="Z2786" s="422">
        <f t="shared" si="1185"/>
        <v>0</v>
      </c>
      <c r="AA2786" s="422">
        <f t="shared" si="1186"/>
        <v>0</v>
      </c>
      <c r="AB2786" s="825">
        <v>7.4999999999999997E-3</v>
      </c>
      <c r="AC2786" s="419">
        <f t="shared" si="1167"/>
        <v>0</v>
      </c>
      <c r="AD2786" s="209"/>
      <c r="AE2786" s="210">
        <f>SUM(Q2786*R2786*Z2786)/1000</f>
        <v>0</v>
      </c>
      <c r="AF2786" s="210">
        <f t="shared" si="1169"/>
        <v>0</v>
      </c>
      <c r="AG2786" s="211">
        <f t="shared" si="1170"/>
        <v>0.14499999999999999</v>
      </c>
      <c r="AH2786" s="157">
        <f t="shared" si="1172"/>
        <v>0</v>
      </c>
      <c r="AI2786" s="152">
        <f>V2786*P2786</f>
        <v>56904</v>
      </c>
      <c r="AK2786" s="156" t="s">
        <v>691</v>
      </c>
      <c r="AL2786" s="212" t="s">
        <v>690</v>
      </c>
      <c r="AM2786" s="198">
        <f t="shared" si="1187"/>
        <v>0</v>
      </c>
      <c r="AN2786" s="199">
        <f t="shared" si="1188"/>
        <v>45975</v>
      </c>
      <c r="AO2786" s="159" t="s">
        <v>692</v>
      </c>
      <c r="AP2786" s="783" t="s">
        <v>609</v>
      </c>
      <c r="AQ2786" s="782">
        <v>12071839</v>
      </c>
      <c r="AR2786" s="782">
        <v>12047514</v>
      </c>
      <c r="AS2786" s="782">
        <v>12047515</v>
      </c>
      <c r="AT2786" s="781"/>
      <c r="AU2786" s="781"/>
      <c r="AV2786" s="782">
        <v>12080613</v>
      </c>
      <c r="AW2786" s="781"/>
      <c r="AX2786" s="781"/>
      <c r="AY2786" s="782">
        <v>12094241</v>
      </c>
      <c r="AZ2786" s="782">
        <v>12094242</v>
      </c>
      <c r="BA2786" s="781"/>
      <c r="BB2786" s="209">
        <v>23053185</v>
      </c>
    </row>
    <row r="2787" spans="1:54" ht="24.65" hidden="1" customHeight="1">
      <c r="B2787" s="411">
        <v>45975</v>
      </c>
      <c r="C2787" s="645" t="s">
        <v>1936</v>
      </c>
      <c r="D2787" s="185">
        <f t="shared" si="1182"/>
        <v>2025</v>
      </c>
      <c r="E2787" s="412" t="e">
        <f>VLOOKUP($B2787,Week!$A$1:$C$1462,2,0)</f>
        <v>#N/A</v>
      </c>
      <c r="F2787" s="413" t="str">
        <f t="shared" si="1183"/>
        <v>Nov</v>
      </c>
      <c r="G2787" s="414" t="s">
        <v>47</v>
      </c>
      <c r="H2787" s="414" t="s">
        <v>260</v>
      </c>
      <c r="I2787" s="414" t="s">
        <v>2702</v>
      </c>
      <c r="J2787" s="415" t="s">
        <v>261</v>
      </c>
      <c r="K2787" s="416" t="s">
        <v>94</v>
      </c>
      <c r="L2787" s="300" t="s">
        <v>2167</v>
      </c>
      <c r="M2787" s="415" t="s">
        <v>2339</v>
      </c>
      <c r="N2787" s="414" t="s">
        <v>263</v>
      </c>
      <c r="O2787" s="414" t="s">
        <v>195</v>
      </c>
      <c r="P2787" s="417">
        <v>24</v>
      </c>
      <c r="Q2787" s="417">
        <v>5</v>
      </c>
      <c r="R2787" s="418">
        <v>8.0000000000000002E-3</v>
      </c>
      <c r="S2787" s="414" t="s">
        <v>40</v>
      </c>
      <c r="T2787" s="414" t="s">
        <v>56</v>
      </c>
      <c r="U2787" s="414" t="s">
        <v>57</v>
      </c>
      <c r="V2787" s="419">
        <v>942</v>
      </c>
      <c r="W2787" s="419">
        <f>3313-2371</f>
        <v>942</v>
      </c>
      <c r="X2787" s="420"/>
      <c r="Y2787" s="421">
        <f t="shared" si="1184"/>
        <v>0</v>
      </c>
      <c r="Z2787" s="422">
        <f t="shared" si="1185"/>
        <v>0</v>
      </c>
      <c r="AA2787" s="422">
        <f t="shared" si="1186"/>
        <v>0</v>
      </c>
      <c r="AB2787" s="825">
        <v>7.4999999999999997E-3</v>
      </c>
      <c r="AC2787" s="419">
        <f t="shared" si="1167"/>
        <v>0</v>
      </c>
      <c r="AD2787" s="209"/>
      <c r="AE2787" s="210">
        <f>SUM(Q2787*R2787*Z2787)/1000</f>
        <v>0</v>
      </c>
      <c r="AF2787" s="210">
        <f t="shared" si="1169"/>
        <v>0</v>
      </c>
      <c r="AG2787" s="211">
        <f t="shared" si="1170"/>
        <v>0.14499999999999999</v>
      </c>
      <c r="AH2787" s="157">
        <f t="shared" si="1172"/>
        <v>0</v>
      </c>
      <c r="AI2787" s="152">
        <f>V2787*P2787</f>
        <v>22608</v>
      </c>
      <c r="AK2787" s="156" t="s">
        <v>691</v>
      </c>
      <c r="AL2787" s="212" t="s">
        <v>690</v>
      </c>
      <c r="AM2787" s="198">
        <f t="shared" si="1187"/>
        <v>0</v>
      </c>
      <c r="AN2787" s="199">
        <f t="shared" si="1188"/>
        <v>45975</v>
      </c>
      <c r="AO2787" s="159" t="s">
        <v>692</v>
      </c>
      <c r="AP2787" s="783" t="s">
        <v>609</v>
      </c>
      <c r="AQ2787" s="782">
        <v>12071839</v>
      </c>
      <c r="AR2787" s="782">
        <v>12047514</v>
      </c>
      <c r="AS2787" s="782">
        <v>12047515</v>
      </c>
      <c r="AT2787" s="781"/>
      <c r="AU2787" s="781"/>
      <c r="AV2787" s="782">
        <v>12080613</v>
      </c>
      <c r="AW2787" s="781"/>
      <c r="AX2787" s="781"/>
      <c r="AY2787" s="782">
        <v>12094241</v>
      </c>
      <c r="AZ2787" s="782">
        <v>12094242</v>
      </c>
      <c r="BA2787" s="781"/>
      <c r="BB2787" s="209">
        <v>23053185</v>
      </c>
    </row>
    <row r="2788" spans="1:54" ht="25" hidden="1" customHeight="1">
      <c r="B2788" s="258">
        <v>45975</v>
      </c>
      <c r="C2788" s="259">
        <v>45985</v>
      </c>
      <c r="D2788" s="185">
        <f t="shared" si="1182"/>
        <v>2025</v>
      </c>
      <c r="E2788" s="260" t="e">
        <f>VLOOKUP($B2788,Week!$A$1:$C$1462,2,0)</f>
        <v>#N/A</v>
      </c>
      <c r="F2788" s="261" t="str">
        <f t="shared" si="1183"/>
        <v>Nov</v>
      </c>
      <c r="G2788" s="260" t="s">
        <v>47</v>
      </c>
      <c r="H2788" s="260" t="s">
        <v>554</v>
      </c>
      <c r="I2788" s="260" t="s">
        <v>554</v>
      </c>
      <c r="J2788" s="263" t="s">
        <v>2630</v>
      </c>
      <c r="K2788" s="264" t="s">
        <v>72</v>
      </c>
      <c r="L2788" s="300" t="s">
        <v>2167</v>
      </c>
      <c r="M2788" s="263" t="s">
        <v>73</v>
      </c>
      <c r="N2788" s="260" t="s">
        <v>74</v>
      </c>
      <c r="O2788" s="260" t="s">
        <v>75</v>
      </c>
      <c r="P2788" s="265">
        <v>64</v>
      </c>
      <c r="Q2788" s="265">
        <v>5</v>
      </c>
      <c r="R2788" s="266">
        <v>7.0000000000000001E-3</v>
      </c>
      <c r="S2788" s="260" t="s">
        <v>76</v>
      </c>
      <c r="T2788" s="260" t="s">
        <v>56</v>
      </c>
      <c r="U2788" s="260"/>
      <c r="V2788" s="267">
        <f>100</f>
        <v>100</v>
      </c>
      <c r="W2788" s="267">
        <f>100</f>
        <v>100</v>
      </c>
      <c r="X2788" s="268">
        <f>56/16</f>
        <v>3.5</v>
      </c>
      <c r="Y2788" s="269">
        <f t="shared" si="1184"/>
        <v>3.5</v>
      </c>
      <c r="Z2788" s="270">
        <f t="shared" si="1185"/>
        <v>0</v>
      </c>
      <c r="AA2788" s="270">
        <f t="shared" si="1186"/>
        <v>0</v>
      </c>
      <c r="AB2788" s="811"/>
      <c r="AC2788" s="267"/>
      <c r="AD2788" s="263"/>
      <c r="AE2788" s="461"/>
      <c r="AF2788" s="461"/>
      <c r="AG2788" s="211">
        <f t="shared" si="1170"/>
        <v>0.02</v>
      </c>
      <c r="AK2788" s="156" t="s">
        <v>691</v>
      </c>
      <c r="AM2788" s="198">
        <f t="shared" si="1187"/>
        <v>0</v>
      </c>
      <c r="AN2788" s="199">
        <f t="shared" si="1188"/>
        <v>45975</v>
      </c>
      <c r="AO2788" s="159" t="s">
        <v>692</v>
      </c>
      <c r="AP2788" s="781"/>
      <c r="AQ2788" s="782"/>
      <c r="AR2788" s="782"/>
      <c r="AS2788" s="782"/>
      <c r="AT2788" s="782"/>
      <c r="AU2788" s="781"/>
      <c r="AV2788" s="782">
        <v>12054050</v>
      </c>
      <c r="AW2788" s="782"/>
      <c r="AX2788" s="782" t="s">
        <v>79</v>
      </c>
      <c r="AY2788" s="782">
        <v>12054140</v>
      </c>
      <c r="AZ2788" s="782"/>
      <c r="BA2788" s="781"/>
    </row>
    <row r="2789" spans="1:54" ht="25" hidden="1" customHeight="1">
      <c r="A2789" s="142" t="s">
        <v>120</v>
      </c>
      <c r="B2789" s="320">
        <v>45976</v>
      </c>
      <c r="C2789" s="321">
        <v>45985</v>
      </c>
      <c r="D2789" s="323">
        <f t="shared" si="1182"/>
        <v>2025</v>
      </c>
      <c r="E2789" s="321" t="e">
        <f>VLOOKUP($B2789,Week!$A$1:$C$1462,2,0)</f>
        <v>#N/A</v>
      </c>
      <c r="F2789" s="322" t="str">
        <f t="shared" si="1183"/>
        <v>Nov</v>
      </c>
      <c r="G2789" s="323" t="s">
        <v>2641</v>
      </c>
      <c r="H2789" s="323" t="s">
        <v>363</v>
      </c>
      <c r="I2789" s="323" t="s">
        <v>2772</v>
      </c>
      <c r="J2789" s="324" t="s">
        <v>364</v>
      </c>
      <c r="K2789" s="325" t="s">
        <v>2583</v>
      </c>
      <c r="L2789" s="325" t="s">
        <v>2166</v>
      </c>
      <c r="M2789" s="324" t="s">
        <v>2586</v>
      </c>
      <c r="N2789" s="323" t="s">
        <v>2584</v>
      </c>
      <c r="O2789" s="323" t="s">
        <v>2587</v>
      </c>
      <c r="P2789" s="326">
        <v>20</v>
      </c>
      <c r="Q2789" s="326">
        <v>50</v>
      </c>
      <c r="R2789" s="327">
        <v>4.0000000000000001E-3</v>
      </c>
      <c r="S2789" s="323" t="s">
        <v>55</v>
      </c>
      <c r="T2789" s="323" t="s">
        <v>112</v>
      </c>
      <c r="U2789" s="323" t="s">
        <v>77</v>
      </c>
      <c r="V2789" s="328">
        <v>164</v>
      </c>
      <c r="W2789" s="328">
        <v>164</v>
      </c>
      <c r="X2789" s="329"/>
      <c r="Y2789" s="330">
        <f t="shared" si="1184"/>
        <v>0</v>
      </c>
      <c r="Z2789" s="331">
        <f t="shared" si="1185"/>
        <v>0</v>
      </c>
      <c r="AA2789" s="331">
        <f t="shared" si="1186"/>
        <v>0</v>
      </c>
      <c r="AB2789" s="816">
        <v>6</v>
      </c>
      <c r="AC2789" s="328">
        <f>Z2789*AB2789</f>
        <v>0</v>
      </c>
      <c r="AD2789" s="209"/>
      <c r="AE2789" s="210">
        <f>SUM(Q2789*R2789*Z2789)/1000</f>
        <v>0</v>
      </c>
      <c r="AF2789" s="210">
        <f>AE2789/0.54</f>
        <v>0</v>
      </c>
      <c r="AG2789" s="211">
        <f t="shared" si="1170"/>
        <v>0.5</v>
      </c>
      <c r="AH2789" s="157">
        <f>(Z2789*AG2789)/1000</f>
        <v>0</v>
      </c>
      <c r="AI2789" s="152">
        <f>V2789*P2789</f>
        <v>3280</v>
      </c>
      <c r="AK2789" s="156" t="s">
        <v>691</v>
      </c>
      <c r="AL2789" s="156" t="s">
        <v>689</v>
      </c>
      <c r="AM2789" s="198">
        <f t="shared" si="1187"/>
        <v>0</v>
      </c>
      <c r="AN2789" s="199">
        <f t="shared" si="1188"/>
        <v>45976</v>
      </c>
      <c r="AO2789" s="159" t="s">
        <v>692</v>
      </c>
      <c r="AP2789" s="783" t="s">
        <v>620</v>
      </c>
      <c r="AQ2789" s="796" t="s">
        <v>422</v>
      </c>
      <c r="AR2789" s="782">
        <v>12055234</v>
      </c>
      <c r="AS2789" s="781"/>
      <c r="AT2789" s="782"/>
      <c r="AU2789" s="782"/>
      <c r="AV2789" s="782">
        <v>12094353</v>
      </c>
      <c r="AW2789" s="782"/>
      <c r="AX2789" s="782">
        <v>12036656</v>
      </c>
      <c r="AY2789" s="799" t="s">
        <v>2616</v>
      </c>
      <c r="AZ2789" s="781"/>
      <c r="BA2789" s="781"/>
      <c r="BB2789" s="209">
        <v>23053184</v>
      </c>
    </row>
    <row r="2790" spans="1:54" ht="24.75" hidden="1" customHeight="1">
      <c r="B2790" s="295">
        <v>45976</v>
      </c>
      <c r="C2790" s="771" t="s">
        <v>1936</v>
      </c>
      <c r="D2790" s="185">
        <f t="shared" si="1182"/>
        <v>2025</v>
      </c>
      <c r="E2790" s="296" t="e">
        <f>VLOOKUP($B2790,Week!$A$1:$C$1462,2,0)</f>
        <v>#N/A</v>
      </c>
      <c r="F2790" s="297" t="str">
        <f t="shared" si="1183"/>
        <v>Nov</v>
      </c>
      <c r="G2790" s="648" t="s">
        <v>47</v>
      </c>
      <c r="H2790" s="298" t="s">
        <v>260</v>
      </c>
      <c r="I2790" s="298" t="s">
        <v>2702</v>
      </c>
      <c r="J2790" s="307" t="s">
        <v>2240</v>
      </c>
      <c r="K2790" s="300" t="s">
        <v>176</v>
      </c>
      <c r="L2790" s="300" t="s">
        <v>2167</v>
      </c>
      <c r="M2790" s="299" t="s">
        <v>2338</v>
      </c>
      <c r="N2790" s="298" t="s">
        <v>350</v>
      </c>
      <c r="O2790" s="298" t="s">
        <v>351</v>
      </c>
      <c r="P2790" s="301">
        <v>24</v>
      </c>
      <c r="Q2790" s="301">
        <v>5</v>
      </c>
      <c r="R2790" s="302">
        <v>6.1999999999999998E-3</v>
      </c>
      <c r="S2790" s="298" t="s">
        <v>352</v>
      </c>
      <c r="T2790" s="298" t="s">
        <v>56</v>
      </c>
      <c r="U2790" s="298" t="s">
        <v>57</v>
      </c>
      <c r="V2790" s="303">
        <v>764</v>
      </c>
      <c r="W2790" s="303">
        <v>764</v>
      </c>
      <c r="X2790" s="304"/>
      <c r="Y2790" s="305">
        <f t="shared" si="1184"/>
        <v>0</v>
      </c>
      <c r="Z2790" s="306">
        <f t="shared" si="1185"/>
        <v>0</v>
      </c>
      <c r="AA2790" s="306">
        <f t="shared" si="1186"/>
        <v>0</v>
      </c>
      <c r="AB2790" s="814">
        <v>7.4999999999999997E-3</v>
      </c>
      <c r="AC2790" s="303">
        <f>Z2790*AB2790</f>
        <v>0</v>
      </c>
      <c r="AD2790" s="443"/>
      <c r="AE2790" s="210">
        <f>SUM(Q2790*R2790*Z2790)/1000</f>
        <v>0</v>
      </c>
      <c r="AF2790" s="210">
        <f>AE2790/0.54</f>
        <v>0</v>
      </c>
      <c r="AG2790" s="211">
        <f t="shared" si="1170"/>
        <v>0.13</v>
      </c>
      <c r="AH2790" s="157">
        <f>(Z2790*AG2790)/1000</f>
        <v>0</v>
      </c>
      <c r="AI2790" s="152">
        <f>V2790*P2790</f>
        <v>18336</v>
      </c>
      <c r="AK2790" s="156" t="s">
        <v>691</v>
      </c>
      <c r="AL2790" s="574" t="s">
        <v>690</v>
      </c>
      <c r="AM2790" s="198">
        <f t="shared" si="1187"/>
        <v>0</v>
      </c>
      <c r="AN2790" s="199">
        <f t="shared" si="1188"/>
        <v>45976</v>
      </c>
      <c r="AO2790" s="159" t="s">
        <v>692</v>
      </c>
      <c r="AP2790" s="783" t="s">
        <v>622</v>
      </c>
      <c r="AQ2790" s="782">
        <v>12071839</v>
      </c>
      <c r="AR2790" s="782">
        <v>12094356</v>
      </c>
      <c r="AS2790" s="782">
        <v>12068233</v>
      </c>
      <c r="AT2790" s="781"/>
      <c r="AU2790" s="781"/>
      <c r="AV2790" s="782">
        <v>12062075</v>
      </c>
      <c r="AW2790" s="781"/>
      <c r="AX2790" s="781"/>
      <c r="AY2790" s="782">
        <v>12094357</v>
      </c>
      <c r="AZ2790" s="782"/>
      <c r="BA2790" s="781"/>
      <c r="BB2790" s="209">
        <v>23053184</v>
      </c>
    </row>
    <row r="2791" spans="1:54" ht="25" hidden="1" customHeight="1">
      <c r="A2791" s="440"/>
      <c r="B2791" s="332">
        <v>45976</v>
      </c>
      <c r="C2791" s="333" t="s">
        <v>1935</v>
      </c>
      <c r="D2791" s="185">
        <f>IF(B2791="","",YEAR(B2791))</f>
        <v>2025</v>
      </c>
      <c r="E2791" s="333" t="e">
        <f>VLOOKUP($B2791,Week!$A$1:$C$1462,2,0)</f>
        <v>#N/A</v>
      </c>
      <c r="F2791" s="334" t="str">
        <f>IF(B2791="","",TEXT(B2791,"[$-409]mmm"))</f>
        <v>Nov</v>
      </c>
      <c r="G2791" s="335" t="s">
        <v>47</v>
      </c>
      <c r="H2791" s="335" t="s">
        <v>518</v>
      </c>
      <c r="I2791" s="335" t="s">
        <v>2702</v>
      </c>
      <c r="J2791" s="336" t="s">
        <v>70</v>
      </c>
      <c r="K2791" s="337" t="s">
        <v>2581</v>
      </c>
      <c r="L2791" s="300" t="s">
        <v>2167</v>
      </c>
      <c r="M2791" s="336" t="s">
        <v>2575</v>
      </c>
      <c r="N2791" s="530" t="s">
        <v>2578</v>
      </c>
      <c r="O2791" s="335" t="s">
        <v>2574</v>
      </c>
      <c r="P2791" s="338">
        <v>12</v>
      </c>
      <c r="Q2791" s="338">
        <v>3</v>
      </c>
      <c r="R2791" s="339">
        <v>6.1999999999999998E-3</v>
      </c>
      <c r="S2791" s="335" t="s">
        <v>55</v>
      </c>
      <c r="T2791" s="335" t="s">
        <v>56</v>
      </c>
      <c r="U2791" s="340" t="s">
        <v>1633</v>
      </c>
      <c r="V2791" s="341">
        <f>2500</f>
        <v>2500</v>
      </c>
      <c r="W2791" s="341">
        <f>14+2486</f>
        <v>2500</v>
      </c>
      <c r="X2791" s="342"/>
      <c r="Y2791" s="343">
        <f>(W2791+X2791)-V2791</f>
        <v>0</v>
      </c>
      <c r="Z2791" s="344">
        <f>IF(Y2791&lt;0,((V2791*P2791)-((W2791+X2791)*P2791)),0)</f>
        <v>0</v>
      </c>
      <c r="AA2791" s="344">
        <f>Q2791*Z2791</f>
        <v>0</v>
      </c>
      <c r="AB2791" s="817"/>
      <c r="AC2791" s="341">
        <f>Z2791*AB2791</f>
        <v>0</v>
      </c>
      <c r="AD2791" s="443"/>
      <c r="AE2791" s="210">
        <f>SUM(Q2791*R2791*Z2791)/1000</f>
        <v>0</v>
      </c>
      <c r="AF2791" s="210">
        <f>AE2791/0.54</f>
        <v>0</v>
      </c>
      <c r="AG2791" s="211">
        <f>MID(O2791,1,3)/1000</f>
        <v>0.23499999999999999</v>
      </c>
      <c r="AH2791" s="157">
        <v>0.26621999999999996</v>
      </c>
      <c r="AI2791" s="152">
        <f>V2791*P2791</f>
        <v>30000</v>
      </c>
      <c r="AK2791" s="156" t="s">
        <v>691</v>
      </c>
      <c r="AL2791" s="574" t="s">
        <v>690</v>
      </c>
      <c r="AM2791" s="198">
        <f>AG2791*Z2791</f>
        <v>0</v>
      </c>
      <c r="AN2791" s="199">
        <f>B2791</f>
        <v>45976</v>
      </c>
      <c r="AO2791" s="159" t="s">
        <v>692</v>
      </c>
      <c r="AP2791" s="781" t="s">
        <v>642</v>
      </c>
      <c r="AQ2791" s="782">
        <v>12071839</v>
      </c>
      <c r="AR2791" s="782">
        <v>12042650</v>
      </c>
      <c r="AS2791" s="782">
        <v>12042649</v>
      </c>
      <c r="AT2791" s="782"/>
      <c r="AU2791" s="781"/>
      <c r="AV2791" s="782">
        <v>12094444</v>
      </c>
      <c r="AW2791" s="781"/>
      <c r="AX2791" s="781"/>
      <c r="AY2791" s="783" t="s">
        <v>2602</v>
      </c>
      <c r="AZ2791" s="796" t="s">
        <v>2603</v>
      </c>
      <c r="BA2791" s="781"/>
      <c r="BB2791" s="209">
        <v>23099087</v>
      </c>
    </row>
    <row r="2792" spans="1:54" ht="25" hidden="1" customHeight="1">
      <c r="A2792" s="440"/>
      <c r="B2792" s="332">
        <v>45976</v>
      </c>
      <c r="C2792" s="333" t="s">
        <v>1935</v>
      </c>
      <c r="D2792" s="185">
        <f>IF(B2792="","",YEAR(B2792))</f>
        <v>2025</v>
      </c>
      <c r="E2792" s="333" t="e">
        <f>VLOOKUP($B2792,Week!$A$1:$C$1462,2,0)</f>
        <v>#N/A</v>
      </c>
      <c r="F2792" s="334" t="str">
        <f>IF(B2792="","",TEXT(B2792,"[$-409]mmm"))</f>
        <v>Nov</v>
      </c>
      <c r="G2792" s="335" t="s">
        <v>47</v>
      </c>
      <c r="H2792" s="335" t="s">
        <v>518</v>
      </c>
      <c r="I2792" s="335" t="s">
        <v>2702</v>
      </c>
      <c r="J2792" s="336" t="s">
        <v>70</v>
      </c>
      <c r="K2792" s="337" t="s">
        <v>2580</v>
      </c>
      <c r="L2792" s="300" t="s">
        <v>2167</v>
      </c>
      <c r="M2792" s="336" t="s">
        <v>2576</v>
      </c>
      <c r="N2792" s="530" t="s">
        <v>2579</v>
      </c>
      <c r="O2792" s="335" t="s">
        <v>2574</v>
      </c>
      <c r="P2792" s="338">
        <v>12</v>
      </c>
      <c r="Q2792" s="338">
        <v>3</v>
      </c>
      <c r="R2792" s="339">
        <v>6.1999999999999998E-3</v>
      </c>
      <c r="S2792" s="335" t="s">
        <v>55</v>
      </c>
      <c r="T2792" s="335" t="s">
        <v>56</v>
      </c>
      <c r="U2792" s="340" t="s">
        <v>2577</v>
      </c>
      <c r="V2792" s="341">
        <f>2500</f>
        <v>2500</v>
      </c>
      <c r="W2792" s="341">
        <f>2+2453+45</f>
        <v>2500</v>
      </c>
      <c r="X2792" s="342"/>
      <c r="Y2792" s="343">
        <f>(W2792+X2792)-V2792</f>
        <v>0</v>
      </c>
      <c r="Z2792" s="344">
        <f>IF(Y2792&lt;0,((V2792*P2792)-((W2792+X2792)*P2792)),0)</f>
        <v>0</v>
      </c>
      <c r="AA2792" s="344">
        <f>Q2792*Z2792</f>
        <v>0</v>
      </c>
      <c r="AB2792" s="817"/>
      <c r="AC2792" s="341">
        <f>Z2792*AB2792</f>
        <v>0</v>
      </c>
      <c r="AD2792" s="443"/>
      <c r="AE2792" s="210">
        <f>SUM(Q2792*R2792*Z2792)/1000</f>
        <v>0</v>
      </c>
      <c r="AF2792" s="210">
        <f>AE2792/0.54</f>
        <v>0</v>
      </c>
      <c r="AG2792" s="211">
        <f>MID(O2792,1,3)/1000</f>
        <v>0.23499999999999999</v>
      </c>
      <c r="AH2792" s="157">
        <v>0.26621999999999996</v>
      </c>
      <c r="AI2792" s="152">
        <f>V2792*P2792</f>
        <v>30000</v>
      </c>
      <c r="AK2792" s="156" t="s">
        <v>691</v>
      </c>
      <c r="AL2792" s="574" t="s">
        <v>690</v>
      </c>
      <c r="AM2792" s="198">
        <f>AG2792*Z2792</f>
        <v>0</v>
      </c>
      <c r="AN2792" s="199">
        <f>B2792</f>
        <v>45976</v>
      </c>
      <c r="AO2792" s="159" t="s">
        <v>692</v>
      </c>
      <c r="AP2792" s="781" t="s">
        <v>642</v>
      </c>
      <c r="AQ2792" s="782">
        <v>12071839</v>
      </c>
      <c r="AR2792" s="782">
        <v>12042650</v>
      </c>
      <c r="AS2792" s="782">
        <v>12042649</v>
      </c>
      <c r="AT2792" s="782"/>
      <c r="AU2792" s="781"/>
      <c r="AV2792" s="782">
        <v>12096531</v>
      </c>
      <c r="AW2792" s="781"/>
      <c r="AX2792" s="781"/>
      <c r="AY2792" s="783" t="s">
        <v>2604</v>
      </c>
      <c r="AZ2792" s="796" t="s">
        <v>2605</v>
      </c>
      <c r="BA2792" s="781"/>
      <c r="BB2792" s="209">
        <v>23099087</v>
      </c>
    </row>
    <row r="2793" spans="1:54" ht="25" hidden="1" customHeight="1">
      <c r="B2793" s="183">
        <v>45977</v>
      </c>
      <c r="C2793" s="184"/>
      <c r="D2793" s="185">
        <f t="shared" si="1182"/>
        <v>2025</v>
      </c>
      <c r="E2793" s="185" t="e">
        <f>VLOOKUP($B2793,Week!$A$1:$C$1462,2,0)</f>
        <v>#N/A</v>
      </c>
      <c r="F2793" s="186" t="str">
        <f t="shared" si="1183"/>
        <v>Nov</v>
      </c>
      <c r="G2793" s="481"/>
      <c r="H2793" s="185"/>
      <c r="I2793" s="185"/>
      <c r="J2793" s="187"/>
      <c r="K2793" s="188"/>
      <c r="L2793" s="188"/>
      <c r="M2793" s="187"/>
      <c r="N2793" s="185"/>
      <c r="O2793" s="185"/>
      <c r="P2793" s="189"/>
      <c r="Q2793" s="189"/>
      <c r="R2793" s="190"/>
      <c r="S2793" s="185"/>
      <c r="T2793" s="185"/>
      <c r="U2793" s="185"/>
      <c r="V2793" s="191"/>
      <c r="W2793" s="191"/>
      <c r="X2793" s="192"/>
      <c r="Y2793" s="193"/>
      <c r="Z2793" s="194"/>
      <c r="AA2793" s="194">
        <f t="shared" si="1186"/>
        <v>0</v>
      </c>
      <c r="AB2793" s="805"/>
      <c r="AC2793" s="191"/>
      <c r="AD2793" s="187"/>
      <c r="AE2793" s="195"/>
      <c r="AF2793" s="195"/>
      <c r="AG2793" s="196"/>
      <c r="AH2793" s="197"/>
      <c r="AK2793" s="156" t="s">
        <v>691</v>
      </c>
      <c r="AM2793" s="198">
        <f t="shared" si="1187"/>
        <v>0</v>
      </c>
      <c r="AN2793" s="199">
        <f t="shared" si="1188"/>
        <v>45977</v>
      </c>
      <c r="AO2793" s="159" t="s">
        <v>692</v>
      </c>
      <c r="AP2793" s="781"/>
      <c r="AQ2793" s="782"/>
      <c r="AR2793" s="782"/>
      <c r="AS2793" s="782"/>
      <c r="AT2793" s="782"/>
      <c r="AU2793" s="781"/>
      <c r="AV2793" s="782"/>
      <c r="AW2793" s="782"/>
      <c r="AX2793" s="782"/>
      <c r="AY2793" s="782"/>
      <c r="AZ2793" s="782"/>
      <c r="BA2793" s="781"/>
      <c r="BB2793" s="209"/>
    </row>
    <row r="2794" spans="1:54" ht="25" hidden="1" customHeight="1">
      <c r="A2794" s="142" t="s">
        <v>120</v>
      </c>
      <c r="B2794" s="320">
        <v>45978</v>
      </c>
      <c r="C2794" s="321">
        <v>45985</v>
      </c>
      <c r="D2794" s="323">
        <f>IF(B2794="","",YEAR(B2794))</f>
        <v>2025</v>
      </c>
      <c r="E2794" s="321" t="e">
        <f>VLOOKUP($B2794,Week!$A$1:$C$1462,2,0)</f>
        <v>#N/A</v>
      </c>
      <c r="F2794" s="322" t="str">
        <f>IF(B2794="","",TEXT(B2794,"[$-409]mmm"))</f>
        <v>Nov</v>
      </c>
      <c r="G2794" s="323" t="s">
        <v>2641</v>
      </c>
      <c r="H2794" s="323" t="s">
        <v>363</v>
      </c>
      <c r="I2794" s="323" t="s">
        <v>2772</v>
      </c>
      <c r="J2794" s="324" t="s">
        <v>364</v>
      </c>
      <c r="K2794" s="325" t="s">
        <v>2583</v>
      </c>
      <c r="L2794" s="325" t="s">
        <v>2166</v>
      </c>
      <c r="M2794" s="324" t="s">
        <v>2586</v>
      </c>
      <c r="N2794" s="323" t="s">
        <v>2584</v>
      </c>
      <c r="O2794" s="323" t="s">
        <v>2587</v>
      </c>
      <c r="P2794" s="326">
        <v>20</v>
      </c>
      <c r="Q2794" s="326">
        <v>50</v>
      </c>
      <c r="R2794" s="327">
        <v>4.0000000000000001E-3</v>
      </c>
      <c r="S2794" s="323" t="s">
        <v>55</v>
      </c>
      <c r="T2794" s="323" t="s">
        <v>112</v>
      </c>
      <c r="U2794" s="323" t="s">
        <v>77</v>
      </c>
      <c r="V2794" s="328">
        <f>289</f>
        <v>289</v>
      </c>
      <c r="W2794" s="328">
        <v>289</v>
      </c>
      <c r="X2794" s="329"/>
      <c r="Y2794" s="330">
        <f>(W2794+X2794)-V2794</f>
        <v>0</v>
      </c>
      <c r="Z2794" s="331">
        <f t="shared" ref="Z2794:Z2812" si="1189">IF(Y2794&lt;0,((V2794*P2794)-((W2794+X2794)*P2794)),0)</f>
        <v>0</v>
      </c>
      <c r="AA2794" s="331">
        <f>Q2794*Z2794</f>
        <v>0</v>
      </c>
      <c r="AB2794" s="816">
        <v>6</v>
      </c>
      <c r="AC2794" s="328">
        <f>Z2794*AB2794</f>
        <v>0</v>
      </c>
      <c r="AD2794" s="209"/>
      <c r="AE2794" s="210">
        <f>SUM(Q2794*R2794*Z2794)/1000</f>
        <v>0</v>
      </c>
      <c r="AF2794" s="210">
        <f t="shared" ref="AF2794:AF2812" si="1190">AE2794/0.54</f>
        <v>0</v>
      </c>
      <c r="AG2794" s="211">
        <f>MID(O2794,1,3)/1000</f>
        <v>0.5</v>
      </c>
      <c r="AH2794" s="157">
        <f>(Z2794*AG2794)/1000</f>
        <v>0</v>
      </c>
      <c r="AI2794" s="152">
        <f>V2794*P2794</f>
        <v>5780</v>
      </c>
      <c r="AK2794" s="156" t="s">
        <v>691</v>
      </c>
      <c r="AL2794" s="156" t="s">
        <v>689</v>
      </c>
      <c r="AM2794" s="198">
        <f>AG2794*Z2794</f>
        <v>0</v>
      </c>
      <c r="AN2794" s="199">
        <f>B2794</f>
        <v>45978</v>
      </c>
      <c r="AO2794" s="159" t="s">
        <v>692</v>
      </c>
      <c r="AP2794" s="783" t="s">
        <v>620</v>
      </c>
      <c r="AQ2794" s="796" t="s">
        <v>422</v>
      </c>
      <c r="AR2794" s="782">
        <v>12055234</v>
      </c>
      <c r="AS2794" s="781"/>
      <c r="AT2794" s="782"/>
      <c r="AU2794" s="782"/>
      <c r="AV2794" s="782">
        <v>12094353</v>
      </c>
      <c r="AW2794" s="782"/>
      <c r="AX2794" s="782">
        <v>12036656</v>
      </c>
      <c r="AY2794" s="799" t="s">
        <v>2616</v>
      </c>
      <c r="AZ2794" s="781"/>
      <c r="BA2794" s="781"/>
      <c r="BB2794" s="209">
        <v>23053184</v>
      </c>
    </row>
    <row r="2795" spans="1:54" ht="25" hidden="1" customHeight="1">
      <c r="A2795" s="142" t="s">
        <v>120</v>
      </c>
      <c r="B2795" s="320">
        <v>45979</v>
      </c>
      <c r="C2795" s="321">
        <v>45985</v>
      </c>
      <c r="D2795" s="323">
        <f t="shared" si="1182"/>
        <v>2025</v>
      </c>
      <c r="E2795" s="321" t="e">
        <f>VLOOKUP($B2795,Week!$A$1:$C$1462,2,0)</f>
        <v>#N/A</v>
      </c>
      <c r="F2795" s="322" t="str">
        <f t="shared" si="1183"/>
        <v>Nov</v>
      </c>
      <c r="G2795" s="323" t="s">
        <v>2641</v>
      </c>
      <c r="H2795" s="323" t="s">
        <v>363</v>
      </c>
      <c r="I2795" s="323" t="s">
        <v>2772</v>
      </c>
      <c r="J2795" s="324" t="s">
        <v>364</v>
      </c>
      <c r="K2795" s="325" t="s">
        <v>2583</v>
      </c>
      <c r="L2795" s="325" t="s">
        <v>2166</v>
      </c>
      <c r="M2795" s="324" t="s">
        <v>2586</v>
      </c>
      <c r="N2795" s="323" t="s">
        <v>2584</v>
      </c>
      <c r="O2795" s="323" t="s">
        <v>2587</v>
      </c>
      <c r="P2795" s="326">
        <v>20</v>
      </c>
      <c r="Q2795" s="326">
        <v>50</v>
      </c>
      <c r="R2795" s="327">
        <v>4.0000000000000001E-3</v>
      </c>
      <c r="S2795" s="323" t="s">
        <v>55</v>
      </c>
      <c r="T2795" s="323" t="s">
        <v>112</v>
      </c>
      <c r="U2795" s="323" t="s">
        <v>77</v>
      </c>
      <c r="V2795" s="328">
        <f>1040-130-159-164-289</f>
        <v>298</v>
      </c>
      <c r="W2795" s="328">
        <v>298</v>
      </c>
      <c r="X2795" s="329"/>
      <c r="Y2795" s="330">
        <f t="shared" ref="Y2795:Y2812" si="1191">(W2795+X2795)-V2795</f>
        <v>0</v>
      </c>
      <c r="Z2795" s="331">
        <f t="shared" si="1189"/>
        <v>0</v>
      </c>
      <c r="AA2795" s="331">
        <f t="shared" si="1186"/>
        <v>0</v>
      </c>
      <c r="AB2795" s="816">
        <v>6</v>
      </c>
      <c r="AC2795" s="328">
        <f t="shared" ref="AC2795:AC2812" si="1192">Z2795*AB2795</f>
        <v>0</v>
      </c>
      <c r="AD2795" s="209"/>
      <c r="AE2795" s="210">
        <f t="shared" ref="AE2795:AE2812" si="1193">SUM(Q2795*R2795*Z2795)/1000</f>
        <v>0</v>
      </c>
      <c r="AF2795" s="210">
        <f t="shared" si="1190"/>
        <v>0</v>
      </c>
      <c r="AG2795" s="211">
        <f>MID(O2795,1,3)/1000</f>
        <v>0.5</v>
      </c>
      <c r="AH2795" s="157">
        <f t="shared" ref="AH2795:AH2812" si="1194">(Z2795*AG2795)/1000</f>
        <v>0</v>
      </c>
      <c r="AI2795" s="152">
        <f t="shared" ref="AI2795:AI2805" si="1195">V2795*P2795</f>
        <v>5960</v>
      </c>
      <c r="AK2795" s="156" t="s">
        <v>691</v>
      </c>
      <c r="AL2795" s="156" t="s">
        <v>689</v>
      </c>
      <c r="AM2795" s="198">
        <f t="shared" si="1187"/>
        <v>0</v>
      </c>
      <c r="AN2795" s="199">
        <f t="shared" si="1188"/>
        <v>45979</v>
      </c>
      <c r="AO2795" s="159" t="s">
        <v>692</v>
      </c>
      <c r="AP2795" s="783" t="s">
        <v>620</v>
      </c>
      <c r="AQ2795" s="796" t="s">
        <v>422</v>
      </c>
      <c r="AR2795" s="782">
        <v>12055234</v>
      </c>
      <c r="AS2795" s="781"/>
      <c r="AT2795" s="782"/>
      <c r="AU2795" s="782"/>
      <c r="AV2795" s="782">
        <v>12094353</v>
      </c>
      <c r="AW2795" s="782"/>
      <c r="AX2795" s="782">
        <v>12036656</v>
      </c>
      <c r="AY2795" s="799" t="s">
        <v>2616</v>
      </c>
      <c r="AZ2795" s="781"/>
      <c r="BA2795" s="781"/>
      <c r="BB2795" s="209">
        <v>23053184</v>
      </c>
    </row>
    <row r="2796" spans="1:54" ht="25" hidden="1" customHeight="1">
      <c r="A2796" s="142" t="s">
        <v>120</v>
      </c>
      <c r="B2796" s="320">
        <v>45980</v>
      </c>
      <c r="C2796" s="321">
        <v>45993</v>
      </c>
      <c r="D2796" s="323">
        <f t="shared" si="1182"/>
        <v>2025</v>
      </c>
      <c r="E2796" s="321" t="e">
        <f>VLOOKUP($B2796,Week!$A$1:$C$1462,2,0)</f>
        <v>#N/A</v>
      </c>
      <c r="F2796" s="322" t="str">
        <f t="shared" si="1183"/>
        <v>Nov</v>
      </c>
      <c r="G2796" s="323" t="s">
        <v>2642</v>
      </c>
      <c r="H2796" s="323" t="s">
        <v>363</v>
      </c>
      <c r="I2796" s="323" t="s">
        <v>2772</v>
      </c>
      <c r="J2796" s="324" t="s">
        <v>364</v>
      </c>
      <c r="K2796" s="325" t="s">
        <v>2583</v>
      </c>
      <c r="L2796" s="325" t="s">
        <v>2166</v>
      </c>
      <c r="M2796" s="324" t="s">
        <v>2586</v>
      </c>
      <c r="N2796" s="323" t="s">
        <v>2584</v>
      </c>
      <c r="O2796" s="323" t="s">
        <v>2587</v>
      </c>
      <c r="P2796" s="326">
        <v>20</v>
      </c>
      <c r="Q2796" s="326">
        <v>50</v>
      </c>
      <c r="R2796" s="327">
        <v>4.0000000000000001E-3</v>
      </c>
      <c r="S2796" s="323" t="s">
        <v>55</v>
      </c>
      <c r="T2796" s="323" t="s">
        <v>112</v>
      </c>
      <c r="U2796" s="323" t="s">
        <v>77</v>
      </c>
      <c r="V2796" s="328">
        <v>178</v>
      </c>
      <c r="W2796" s="328">
        <v>178</v>
      </c>
      <c r="X2796" s="329"/>
      <c r="Y2796" s="330">
        <f t="shared" si="1191"/>
        <v>0</v>
      </c>
      <c r="Z2796" s="331">
        <f t="shared" si="1189"/>
        <v>0</v>
      </c>
      <c r="AA2796" s="331">
        <f t="shared" si="1186"/>
        <v>0</v>
      </c>
      <c r="AB2796" s="816">
        <v>6</v>
      </c>
      <c r="AC2796" s="328">
        <f t="shared" si="1192"/>
        <v>0</v>
      </c>
      <c r="AD2796" s="209"/>
      <c r="AE2796" s="210">
        <f t="shared" si="1193"/>
        <v>0</v>
      </c>
      <c r="AF2796" s="210">
        <f t="shared" si="1190"/>
        <v>0</v>
      </c>
      <c r="AG2796" s="211">
        <f>MID(O2796,1,3)/1000</f>
        <v>0.5</v>
      </c>
      <c r="AH2796" s="157">
        <f t="shared" si="1194"/>
        <v>0</v>
      </c>
      <c r="AI2796" s="152">
        <f t="shared" si="1195"/>
        <v>3560</v>
      </c>
      <c r="AK2796" s="156" t="s">
        <v>691</v>
      </c>
      <c r="AL2796" s="156" t="s">
        <v>689</v>
      </c>
      <c r="AM2796" s="198">
        <f t="shared" si="1187"/>
        <v>0</v>
      </c>
      <c r="AN2796" s="199">
        <f t="shared" si="1188"/>
        <v>45980</v>
      </c>
      <c r="AO2796" s="159" t="s">
        <v>692</v>
      </c>
      <c r="AP2796" s="783" t="s">
        <v>620</v>
      </c>
      <c r="AQ2796" s="796" t="s">
        <v>422</v>
      </c>
      <c r="AR2796" s="782">
        <v>12055234</v>
      </c>
      <c r="AS2796" s="781"/>
      <c r="AT2796" s="782"/>
      <c r="AU2796" s="782"/>
      <c r="AV2796" s="782">
        <v>12094353</v>
      </c>
      <c r="AW2796" s="782"/>
      <c r="AX2796" s="782">
        <v>12036656</v>
      </c>
      <c r="AY2796" s="799" t="s">
        <v>2616</v>
      </c>
      <c r="AZ2796" s="781"/>
      <c r="BA2796" s="781"/>
      <c r="BB2796" s="209">
        <v>23053184</v>
      </c>
    </row>
    <row r="2797" spans="1:54" ht="24.65" hidden="1" customHeight="1">
      <c r="B2797" s="411">
        <v>45980</v>
      </c>
      <c r="C2797" s="645" t="s">
        <v>1936</v>
      </c>
      <c r="D2797" s="185">
        <f t="shared" si="1182"/>
        <v>2025</v>
      </c>
      <c r="E2797" s="412" t="e">
        <f>VLOOKUP($B2797,Week!$A$1:$C$1462,2,0)</f>
        <v>#N/A</v>
      </c>
      <c r="F2797" s="413" t="str">
        <f t="shared" si="1183"/>
        <v>Nov</v>
      </c>
      <c r="G2797" s="414" t="s">
        <v>47</v>
      </c>
      <c r="H2797" s="414" t="s">
        <v>260</v>
      </c>
      <c r="I2797" s="414" t="s">
        <v>2702</v>
      </c>
      <c r="J2797" s="415" t="s">
        <v>261</v>
      </c>
      <c r="K2797" s="416" t="s">
        <v>94</v>
      </c>
      <c r="L2797" s="300" t="s">
        <v>2167</v>
      </c>
      <c r="M2797" s="415" t="s">
        <v>2339</v>
      </c>
      <c r="N2797" s="414" t="s">
        <v>263</v>
      </c>
      <c r="O2797" s="414" t="s">
        <v>195</v>
      </c>
      <c r="P2797" s="417">
        <v>24</v>
      </c>
      <c r="Q2797" s="417">
        <v>5</v>
      </c>
      <c r="R2797" s="418">
        <v>8.0000000000000002E-3</v>
      </c>
      <c r="S2797" s="414" t="s">
        <v>40</v>
      </c>
      <c r="T2797" s="414" t="s">
        <v>56</v>
      </c>
      <c r="U2797" s="414" t="s">
        <v>57</v>
      </c>
      <c r="V2797" s="419">
        <v>2558</v>
      </c>
      <c r="W2797" s="419">
        <f>2558</f>
        <v>2558</v>
      </c>
      <c r="X2797" s="420"/>
      <c r="Y2797" s="421">
        <f t="shared" si="1191"/>
        <v>0</v>
      </c>
      <c r="Z2797" s="422">
        <f t="shared" si="1189"/>
        <v>0</v>
      </c>
      <c r="AA2797" s="422">
        <f t="shared" si="1186"/>
        <v>0</v>
      </c>
      <c r="AB2797" s="825">
        <v>7.4999999999999997E-3</v>
      </c>
      <c r="AC2797" s="419">
        <f t="shared" si="1192"/>
        <v>0</v>
      </c>
      <c r="AD2797" s="209"/>
      <c r="AE2797" s="210">
        <f t="shared" si="1193"/>
        <v>0</v>
      </c>
      <c r="AF2797" s="210">
        <f t="shared" si="1190"/>
        <v>0</v>
      </c>
      <c r="AG2797" s="211">
        <f>MID(O2797,1,3)/1000</f>
        <v>0.14499999999999999</v>
      </c>
      <c r="AH2797" s="157">
        <f t="shared" si="1194"/>
        <v>0</v>
      </c>
      <c r="AI2797" s="152">
        <f t="shared" si="1195"/>
        <v>61392</v>
      </c>
      <c r="AK2797" s="156" t="s">
        <v>691</v>
      </c>
      <c r="AL2797" s="212" t="s">
        <v>690</v>
      </c>
      <c r="AM2797" s="198">
        <f t="shared" si="1187"/>
        <v>0</v>
      </c>
      <c r="AN2797" s="199">
        <f t="shared" si="1188"/>
        <v>45980</v>
      </c>
      <c r="AO2797" s="159" t="s">
        <v>692</v>
      </c>
      <c r="AP2797" s="783" t="s">
        <v>609</v>
      </c>
      <c r="AQ2797" s="782">
        <v>12071839</v>
      </c>
      <c r="AR2797" s="782">
        <v>12047514</v>
      </c>
      <c r="AS2797" s="782">
        <v>12047515</v>
      </c>
      <c r="AT2797" s="781"/>
      <c r="AU2797" s="781"/>
      <c r="AV2797" s="782">
        <v>12080613</v>
      </c>
      <c r="AW2797" s="781"/>
      <c r="AX2797" s="781"/>
      <c r="AY2797" s="782">
        <v>12094241</v>
      </c>
      <c r="AZ2797" s="782">
        <v>12094242</v>
      </c>
      <c r="BA2797" s="781"/>
      <c r="BB2797" s="209">
        <v>23053185</v>
      </c>
    </row>
    <row r="2798" spans="1:54" ht="25" hidden="1" customHeight="1">
      <c r="B2798" s="424">
        <v>45980</v>
      </c>
      <c r="C2798" s="647" t="s">
        <v>1936</v>
      </c>
      <c r="D2798" s="185">
        <f t="shared" si="1182"/>
        <v>2025</v>
      </c>
      <c r="E2798" s="425" t="e">
        <f>VLOOKUP($B2798,Week!$A$1:$C$1462,2,0)</f>
        <v>#N/A</v>
      </c>
      <c r="F2798" s="426" t="str">
        <f t="shared" si="1183"/>
        <v>Nov</v>
      </c>
      <c r="G2798" s="427" t="s">
        <v>47</v>
      </c>
      <c r="H2798" s="427" t="s">
        <v>518</v>
      </c>
      <c r="I2798" s="427" t="s">
        <v>2702</v>
      </c>
      <c r="J2798" s="428" t="s">
        <v>70</v>
      </c>
      <c r="K2798" s="429" t="s">
        <v>94</v>
      </c>
      <c r="L2798" s="300" t="s">
        <v>2167</v>
      </c>
      <c r="M2798" s="428" t="s">
        <v>2342</v>
      </c>
      <c r="N2798" s="427" t="s">
        <v>587</v>
      </c>
      <c r="O2798" s="427" t="s">
        <v>3198</v>
      </c>
      <c r="P2798" s="430">
        <v>18</v>
      </c>
      <c r="Q2798" s="430">
        <v>5</v>
      </c>
      <c r="R2798" s="431">
        <v>8.0000000000000002E-3</v>
      </c>
      <c r="S2798" s="427" t="s">
        <v>40</v>
      </c>
      <c r="T2798" s="427" t="s">
        <v>56</v>
      </c>
      <c r="U2798" s="427" t="s">
        <v>89</v>
      </c>
      <c r="V2798" s="432">
        <v>1131</v>
      </c>
      <c r="W2798" s="432">
        <f>34+1097</f>
        <v>1131</v>
      </c>
      <c r="X2798" s="433"/>
      <c r="Y2798" s="434">
        <f t="shared" si="1191"/>
        <v>0</v>
      </c>
      <c r="Z2798" s="435">
        <f t="shared" si="1189"/>
        <v>0</v>
      </c>
      <c r="AA2798" s="435">
        <f t="shared" si="1186"/>
        <v>0</v>
      </c>
      <c r="AB2798" s="826">
        <v>1</v>
      </c>
      <c r="AC2798" s="432">
        <f t="shared" si="1192"/>
        <v>0</v>
      </c>
      <c r="AD2798" s="209"/>
      <c r="AE2798" s="210">
        <f t="shared" si="1193"/>
        <v>0</v>
      </c>
      <c r="AF2798" s="210">
        <f t="shared" si="1190"/>
        <v>0</v>
      </c>
      <c r="AG2798" s="211" t="e">
        <f>(MID(O2798,1,3)/1000)/3</f>
        <v>#VALUE!</v>
      </c>
      <c r="AH2798" s="157" t="e">
        <f t="shared" si="1194"/>
        <v>#VALUE!</v>
      </c>
      <c r="AI2798" s="152">
        <f t="shared" si="1195"/>
        <v>20358</v>
      </c>
      <c r="AK2798" s="156" t="s">
        <v>691</v>
      </c>
      <c r="AL2798" s="212" t="s">
        <v>690</v>
      </c>
      <c r="AM2798" s="198" t="e">
        <f t="shared" si="1187"/>
        <v>#VALUE!</v>
      </c>
      <c r="AN2798" s="199">
        <f t="shared" si="1188"/>
        <v>45980</v>
      </c>
      <c r="AO2798" s="159" t="s">
        <v>692</v>
      </c>
      <c r="AP2798" s="783" t="s">
        <v>628</v>
      </c>
      <c r="AQ2798" s="782"/>
      <c r="AR2798" s="782"/>
      <c r="AS2798" s="782"/>
      <c r="AT2798" s="782"/>
      <c r="AU2798" s="781"/>
      <c r="AV2798" s="782">
        <v>12080791</v>
      </c>
      <c r="AW2798" s="782" t="s">
        <v>641</v>
      </c>
      <c r="AX2798" s="782" t="s">
        <v>533</v>
      </c>
      <c r="AY2798" s="782"/>
      <c r="AZ2798" s="782"/>
      <c r="BA2798" s="781"/>
      <c r="BB2798" s="209">
        <v>23053184</v>
      </c>
    </row>
    <row r="2799" spans="1:54" ht="25" hidden="1" customHeight="1">
      <c r="A2799" s="142" t="s">
        <v>120</v>
      </c>
      <c r="B2799" s="320">
        <v>45981</v>
      </c>
      <c r="C2799" s="321">
        <v>45993</v>
      </c>
      <c r="D2799" s="323">
        <f t="shared" si="1182"/>
        <v>2025</v>
      </c>
      <c r="E2799" s="321" t="e">
        <f>VLOOKUP($B2799,Week!$A$1:$C$1462,2,0)</f>
        <v>#N/A</v>
      </c>
      <c r="F2799" s="322" t="str">
        <f t="shared" si="1183"/>
        <v>Nov</v>
      </c>
      <c r="G2799" s="323" t="s">
        <v>2642</v>
      </c>
      <c r="H2799" s="323" t="s">
        <v>363</v>
      </c>
      <c r="I2799" s="323" t="s">
        <v>2772</v>
      </c>
      <c r="J2799" s="324" t="s">
        <v>364</v>
      </c>
      <c r="K2799" s="325" t="s">
        <v>2583</v>
      </c>
      <c r="L2799" s="325" t="s">
        <v>2166</v>
      </c>
      <c r="M2799" s="324" t="s">
        <v>2586</v>
      </c>
      <c r="N2799" s="323" t="s">
        <v>2584</v>
      </c>
      <c r="O2799" s="323" t="s">
        <v>2587</v>
      </c>
      <c r="P2799" s="326">
        <v>20</v>
      </c>
      <c r="Q2799" s="326">
        <v>50</v>
      </c>
      <c r="R2799" s="327">
        <v>4.0000000000000001E-3</v>
      </c>
      <c r="S2799" s="323" t="s">
        <v>55</v>
      </c>
      <c r="T2799" s="323" t="s">
        <v>112</v>
      </c>
      <c r="U2799" s="323" t="s">
        <v>77</v>
      </c>
      <c r="V2799" s="328">
        <v>179</v>
      </c>
      <c r="W2799" s="328">
        <v>179</v>
      </c>
      <c r="X2799" s="329"/>
      <c r="Y2799" s="330">
        <f t="shared" si="1191"/>
        <v>0</v>
      </c>
      <c r="Z2799" s="331">
        <f t="shared" si="1189"/>
        <v>0</v>
      </c>
      <c r="AA2799" s="331">
        <f t="shared" si="1186"/>
        <v>0</v>
      </c>
      <c r="AB2799" s="816">
        <v>6</v>
      </c>
      <c r="AC2799" s="328">
        <f t="shared" si="1192"/>
        <v>0</v>
      </c>
      <c r="AD2799" s="209"/>
      <c r="AE2799" s="210">
        <f t="shared" si="1193"/>
        <v>0</v>
      </c>
      <c r="AF2799" s="210">
        <f t="shared" si="1190"/>
        <v>0</v>
      </c>
      <c r="AG2799" s="211">
        <f>MID(O2799,1,3)/1000</f>
        <v>0.5</v>
      </c>
      <c r="AH2799" s="157">
        <f t="shared" si="1194"/>
        <v>0</v>
      </c>
      <c r="AI2799" s="152">
        <f t="shared" si="1195"/>
        <v>3580</v>
      </c>
      <c r="AK2799" s="156" t="s">
        <v>691</v>
      </c>
      <c r="AL2799" s="156" t="s">
        <v>689</v>
      </c>
      <c r="AM2799" s="198">
        <f t="shared" ref="AM2799:AM2813" si="1196">AG2799*Z2799</f>
        <v>0</v>
      </c>
      <c r="AN2799" s="199">
        <f t="shared" si="1188"/>
        <v>45981</v>
      </c>
      <c r="AO2799" s="159" t="s">
        <v>692</v>
      </c>
      <c r="AP2799" s="783" t="s">
        <v>620</v>
      </c>
      <c r="AQ2799" s="796" t="s">
        <v>422</v>
      </c>
      <c r="AR2799" s="782">
        <v>12055234</v>
      </c>
      <c r="AS2799" s="781"/>
      <c r="AT2799" s="782"/>
      <c r="AU2799" s="782"/>
      <c r="AV2799" s="782">
        <v>12094353</v>
      </c>
      <c r="AW2799" s="782"/>
      <c r="AX2799" s="782">
        <v>12036656</v>
      </c>
      <c r="AY2799" s="799" t="s">
        <v>2616</v>
      </c>
      <c r="AZ2799" s="781"/>
      <c r="BA2799" s="781"/>
      <c r="BB2799" s="209">
        <v>23053184</v>
      </c>
    </row>
    <row r="2800" spans="1:54" ht="25" hidden="1" customHeight="1">
      <c r="B2800" s="332">
        <v>45981</v>
      </c>
      <c r="C2800" s="646" t="s">
        <v>1936</v>
      </c>
      <c r="D2800" s="185">
        <f t="shared" si="1182"/>
        <v>2025</v>
      </c>
      <c r="E2800" s="333" t="e">
        <f>VLOOKUP($B2800,Week!$A$1:$C$1462,2,0)</f>
        <v>#N/A</v>
      </c>
      <c r="F2800" s="334" t="str">
        <f t="shared" si="1183"/>
        <v>Nov</v>
      </c>
      <c r="G2800" s="335" t="s">
        <v>47</v>
      </c>
      <c r="H2800" s="335" t="s">
        <v>518</v>
      </c>
      <c r="I2800" s="335" t="s">
        <v>2702</v>
      </c>
      <c r="J2800" s="336" t="s">
        <v>70</v>
      </c>
      <c r="K2800" s="337" t="s">
        <v>582</v>
      </c>
      <c r="L2800" s="300" t="s">
        <v>2167</v>
      </c>
      <c r="M2800" s="336" t="s">
        <v>2591</v>
      </c>
      <c r="N2800" s="530" t="s">
        <v>2590</v>
      </c>
      <c r="O2800" s="335" t="s">
        <v>2592</v>
      </c>
      <c r="P2800" s="338">
        <v>18</v>
      </c>
      <c r="Q2800" s="338">
        <v>3</v>
      </c>
      <c r="R2800" s="339">
        <v>6.0000000000000001E-3</v>
      </c>
      <c r="S2800" s="335" t="s">
        <v>55</v>
      </c>
      <c r="T2800" s="335" t="s">
        <v>56</v>
      </c>
      <c r="U2800" s="335" t="s">
        <v>57</v>
      </c>
      <c r="V2800" s="341">
        <v>2350</v>
      </c>
      <c r="W2800" s="341"/>
      <c r="X2800" s="342">
        <v>2350</v>
      </c>
      <c r="Y2800" s="343">
        <f t="shared" si="1191"/>
        <v>0</v>
      </c>
      <c r="Z2800" s="344">
        <f t="shared" si="1189"/>
        <v>0</v>
      </c>
      <c r="AA2800" s="344">
        <f t="shared" si="1186"/>
        <v>0</v>
      </c>
      <c r="AB2800" s="817">
        <v>7.4999999999999997E-3</v>
      </c>
      <c r="AC2800" s="341">
        <f t="shared" si="1192"/>
        <v>0</v>
      </c>
      <c r="AD2800" s="209"/>
      <c r="AE2800" s="210">
        <f t="shared" si="1193"/>
        <v>0</v>
      </c>
      <c r="AF2800" s="210">
        <f t="shared" si="1190"/>
        <v>0</v>
      </c>
      <c r="AG2800" s="211">
        <f>MID(O2800,1,3)/1000</f>
        <v>0.191</v>
      </c>
      <c r="AH2800" s="157">
        <f t="shared" si="1194"/>
        <v>0</v>
      </c>
      <c r="AI2800" s="152">
        <f t="shared" si="1195"/>
        <v>42300</v>
      </c>
      <c r="AK2800" s="156" t="s">
        <v>691</v>
      </c>
      <c r="AL2800" s="212" t="s">
        <v>690</v>
      </c>
      <c r="AM2800" s="198">
        <f t="shared" si="1196"/>
        <v>0</v>
      </c>
      <c r="AN2800" s="199">
        <f t="shared" si="1188"/>
        <v>45981</v>
      </c>
      <c r="AO2800" s="159" t="s">
        <v>692</v>
      </c>
      <c r="AP2800" s="781"/>
      <c r="AQ2800" s="782">
        <v>12071839</v>
      </c>
      <c r="AR2800" s="782">
        <v>12042650</v>
      </c>
      <c r="AS2800" s="782">
        <v>12042649</v>
      </c>
      <c r="AT2800" s="782"/>
      <c r="AU2800" s="781"/>
      <c r="AV2800" s="782">
        <v>12097172</v>
      </c>
      <c r="AW2800" s="782"/>
      <c r="AX2800" s="782">
        <v>12094444</v>
      </c>
      <c r="AY2800" s="782">
        <v>12094233</v>
      </c>
      <c r="AZ2800" s="782">
        <v>12094234</v>
      </c>
      <c r="BA2800" s="781" t="s">
        <v>2640</v>
      </c>
      <c r="BB2800" s="209">
        <v>23053185</v>
      </c>
    </row>
    <row r="2801" spans="1:54" ht="25" hidden="1" customHeight="1">
      <c r="B2801" s="332">
        <v>45981</v>
      </c>
      <c r="C2801" s="646" t="s">
        <v>1935</v>
      </c>
      <c r="D2801" s="185">
        <f t="shared" si="1182"/>
        <v>2025</v>
      </c>
      <c r="E2801" s="333" t="e">
        <f>VLOOKUP($B2801,Week!$A$1:$C$1462,2,0)</f>
        <v>#N/A</v>
      </c>
      <c r="F2801" s="334" t="str">
        <f t="shared" si="1183"/>
        <v>Nov</v>
      </c>
      <c r="G2801" s="335" t="s">
        <v>47</v>
      </c>
      <c r="H2801" s="335" t="s">
        <v>518</v>
      </c>
      <c r="I2801" s="335" t="s">
        <v>2702</v>
      </c>
      <c r="J2801" s="336" t="s">
        <v>70</v>
      </c>
      <c r="K2801" s="337" t="s">
        <v>582</v>
      </c>
      <c r="L2801" s="300" t="s">
        <v>2167</v>
      </c>
      <c r="M2801" s="336" t="s">
        <v>534</v>
      </c>
      <c r="N2801" s="530" t="s">
        <v>578</v>
      </c>
      <c r="O2801" s="335" t="s">
        <v>583</v>
      </c>
      <c r="P2801" s="338">
        <v>12</v>
      </c>
      <c r="Q2801" s="338">
        <v>3</v>
      </c>
      <c r="R2801" s="339">
        <v>6.0000000000000001E-3</v>
      </c>
      <c r="S2801" s="335" t="s">
        <v>55</v>
      </c>
      <c r="T2801" s="335" t="s">
        <v>56</v>
      </c>
      <c r="U2801" s="335" t="s">
        <v>57</v>
      </c>
      <c r="V2801" s="341">
        <f>200</f>
        <v>200</v>
      </c>
      <c r="W2801" s="341">
        <f>5+195</f>
        <v>200</v>
      </c>
      <c r="X2801" s="342"/>
      <c r="Y2801" s="343">
        <f t="shared" si="1191"/>
        <v>0</v>
      </c>
      <c r="Z2801" s="344">
        <f t="shared" si="1189"/>
        <v>0</v>
      </c>
      <c r="AA2801" s="344">
        <f t="shared" si="1186"/>
        <v>0</v>
      </c>
      <c r="AB2801" s="817">
        <v>7.4999999999999997E-3</v>
      </c>
      <c r="AC2801" s="341">
        <f t="shared" si="1192"/>
        <v>0</v>
      </c>
      <c r="AD2801" s="209"/>
      <c r="AE2801" s="210">
        <f t="shared" si="1193"/>
        <v>0</v>
      </c>
      <c r="AF2801" s="210">
        <f t="shared" si="1190"/>
        <v>0</v>
      </c>
      <c r="AG2801" s="211">
        <f>MID(O2801,1,3)/1000</f>
        <v>0.191</v>
      </c>
      <c r="AH2801" s="157">
        <f t="shared" si="1194"/>
        <v>0</v>
      </c>
      <c r="AI2801" s="152">
        <f t="shared" si="1195"/>
        <v>2400</v>
      </c>
      <c r="AK2801" s="156" t="s">
        <v>691</v>
      </c>
      <c r="AL2801" s="212" t="s">
        <v>690</v>
      </c>
      <c r="AM2801" s="198">
        <f t="shared" si="1196"/>
        <v>0</v>
      </c>
      <c r="AN2801" s="199">
        <f t="shared" si="1188"/>
        <v>45981</v>
      </c>
      <c r="AO2801" s="159" t="s">
        <v>692</v>
      </c>
      <c r="AP2801" s="781"/>
      <c r="AQ2801" s="782">
        <v>12071839</v>
      </c>
      <c r="AR2801" s="782">
        <v>12042650</v>
      </c>
      <c r="AS2801" s="782">
        <v>12042649</v>
      </c>
      <c r="AT2801" s="782"/>
      <c r="AU2801" s="781"/>
      <c r="AV2801" s="782">
        <v>12083313</v>
      </c>
      <c r="AW2801" s="782"/>
      <c r="AX2801" s="782"/>
      <c r="AY2801" s="782">
        <v>12094233</v>
      </c>
      <c r="AZ2801" s="782">
        <v>12094234</v>
      </c>
      <c r="BA2801" s="781"/>
      <c r="BB2801" s="209">
        <v>23053185</v>
      </c>
    </row>
    <row r="2802" spans="1:54" ht="25" hidden="1" customHeight="1">
      <c r="B2802" s="320">
        <v>45981</v>
      </c>
      <c r="C2802" s="844" t="s">
        <v>1935</v>
      </c>
      <c r="D2802" s="185">
        <f t="shared" si="1182"/>
        <v>2025</v>
      </c>
      <c r="E2802" s="321" t="e">
        <f>VLOOKUP($B2802,Week!$A$1:$C$1462,2,0)</f>
        <v>#N/A</v>
      </c>
      <c r="F2802" s="322" t="str">
        <f t="shared" si="1183"/>
        <v>Nov</v>
      </c>
      <c r="G2802" s="323" t="s">
        <v>47</v>
      </c>
      <c r="H2802" s="323" t="s">
        <v>518</v>
      </c>
      <c r="I2802" s="323" t="s">
        <v>2702</v>
      </c>
      <c r="J2802" s="324" t="s">
        <v>70</v>
      </c>
      <c r="K2802" s="325" t="s">
        <v>564</v>
      </c>
      <c r="L2802" s="300" t="s">
        <v>2167</v>
      </c>
      <c r="M2802" s="324" t="s">
        <v>2343</v>
      </c>
      <c r="N2802" s="323" t="s">
        <v>559</v>
      </c>
      <c r="O2802" s="323" t="s">
        <v>560</v>
      </c>
      <c r="P2802" s="326">
        <v>12</v>
      </c>
      <c r="Q2802" s="326">
        <v>3</v>
      </c>
      <c r="R2802" s="327">
        <v>8.0000000000000002E-3</v>
      </c>
      <c r="S2802" s="323" t="s">
        <v>40</v>
      </c>
      <c r="T2802" s="323" t="s">
        <v>56</v>
      </c>
      <c r="U2802" s="323" t="s">
        <v>57</v>
      </c>
      <c r="V2802" s="397">
        <v>800</v>
      </c>
      <c r="W2802" s="328">
        <f>800</f>
        <v>800</v>
      </c>
      <c r="X2802" s="329"/>
      <c r="Y2802" s="330">
        <f t="shared" si="1191"/>
        <v>0</v>
      </c>
      <c r="Z2802" s="331">
        <f t="shared" si="1189"/>
        <v>0</v>
      </c>
      <c r="AA2802" s="331">
        <f t="shared" si="1186"/>
        <v>0</v>
      </c>
      <c r="AB2802" s="816">
        <v>7.4999999999999997E-3</v>
      </c>
      <c r="AC2802" s="328">
        <f t="shared" si="1192"/>
        <v>0</v>
      </c>
      <c r="AD2802" s="209"/>
      <c r="AE2802" s="210">
        <f t="shared" si="1193"/>
        <v>0</v>
      </c>
      <c r="AF2802" s="210">
        <f t="shared" si="1190"/>
        <v>0</v>
      </c>
      <c r="AG2802" s="211">
        <f>MID(O2802,1,3)/1000</f>
        <v>0.22600000000000001</v>
      </c>
      <c r="AH2802" s="157">
        <f t="shared" si="1194"/>
        <v>0</v>
      </c>
      <c r="AI2802" s="152">
        <f t="shared" si="1195"/>
        <v>9600</v>
      </c>
      <c r="AK2802" s="156" t="s">
        <v>691</v>
      </c>
      <c r="AL2802" s="212" t="s">
        <v>690</v>
      </c>
      <c r="AM2802" s="198">
        <f t="shared" si="1196"/>
        <v>0</v>
      </c>
      <c r="AN2802" s="199">
        <f t="shared" si="1188"/>
        <v>45981</v>
      </c>
      <c r="AO2802" s="159" t="s">
        <v>692</v>
      </c>
      <c r="AP2802" s="783" t="s">
        <v>623</v>
      </c>
      <c r="AQ2802" s="782">
        <v>12071839</v>
      </c>
      <c r="AR2802" s="782">
        <v>12042650</v>
      </c>
      <c r="AS2802" s="782">
        <v>12042649</v>
      </c>
      <c r="AT2802" s="782"/>
      <c r="AU2802" s="781"/>
      <c r="AV2802" s="782">
        <v>12083156</v>
      </c>
      <c r="AW2802" s="782"/>
      <c r="AX2802" s="782"/>
      <c r="AY2802" s="782">
        <v>12094235</v>
      </c>
      <c r="AZ2802" s="782">
        <v>12094236</v>
      </c>
      <c r="BA2802" s="781"/>
      <c r="BB2802" s="209">
        <v>23053185</v>
      </c>
    </row>
    <row r="2803" spans="1:54" ht="25" hidden="1" customHeight="1">
      <c r="B2803" s="357">
        <v>45981</v>
      </c>
      <c r="C2803" s="776" t="s">
        <v>1936</v>
      </c>
      <c r="D2803" s="185">
        <f t="shared" si="1182"/>
        <v>2025</v>
      </c>
      <c r="E2803" s="358" t="e">
        <f>VLOOKUP($B2803,Week!$A$1:$C$1462,2,0)</f>
        <v>#N/A</v>
      </c>
      <c r="F2803" s="360" t="str">
        <f t="shared" si="1183"/>
        <v>Nov</v>
      </c>
      <c r="G2803" s="359" t="s">
        <v>47</v>
      </c>
      <c r="H2803" s="359" t="s">
        <v>518</v>
      </c>
      <c r="I2803" s="359" t="s">
        <v>2702</v>
      </c>
      <c r="J2803" s="361" t="s">
        <v>70</v>
      </c>
      <c r="K2803" s="362" t="s">
        <v>94</v>
      </c>
      <c r="L2803" s="300" t="s">
        <v>2167</v>
      </c>
      <c r="M2803" s="361" t="s">
        <v>2341</v>
      </c>
      <c r="N2803" s="359" t="s">
        <v>589</v>
      </c>
      <c r="O2803" s="359" t="s">
        <v>97</v>
      </c>
      <c r="P2803" s="363">
        <v>12</v>
      </c>
      <c r="Q2803" s="363">
        <v>5</v>
      </c>
      <c r="R2803" s="364">
        <v>8.0000000000000002E-3</v>
      </c>
      <c r="S2803" s="359" t="s">
        <v>40</v>
      </c>
      <c r="T2803" s="359" t="s">
        <v>56</v>
      </c>
      <c r="U2803" s="359" t="s">
        <v>57</v>
      </c>
      <c r="V2803" s="365">
        <f>1250</f>
        <v>1250</v>
      </c>
      <c r="W2803" s="365">
        <f>8+33+1+1208</f>
        <v>1250</v>
      </c>
      <c r="X2803" s="366"/>
      <c r="Y2803" s="367">
        <f t="shared" si="1191"/>
        <v>0</v>
      </c>
      <c r="Z2803" s="368">
        <f t="shared" si="1189"/>
        <v>0</v>
      </c>
      <c r="AA2803" s="368">
        <f t="shared" si="1186"/>
        <v>0</v>
      </c>
      <c r="AB2803" s="819">
        <v>7.4999999999999997E-3</v>
      </c>
      <c r="AC2803" s="365">
        <f t="shared" si="1192"/>
        <v>0</v>
      </c>
      <c r="AD2803" s="209"/>
      <c r="AE2803" s="210">
        <f t="shared" si="1193"/>
        <v>0</v>
      </c>
      <c r="AF2803" s="210">
        <f t="shared" si="1190"/>
        <v>0</v>
      </c>
      <c r="AG2803" s="211">
        <f>MID(O2803,1,3)/1000</f>
        <v>0.14499999999999999</v>
      </c>
      <c r="AH2803" s="157">
        <f t="shared" si="1194"/>
        <v>0</v>
      </c>
      <c r="AI2803" s="152">
        <f t="shared" si="1195"/>
        <v>15000</v>
      </c>
      <c r="AK2803" s="156" t="s">
        <v>691</v>
      </c>
      <c r="AL2803" s="574" t="s">
        <v>690</v>
      </c>
      <c r="AM2803" s="198">
        <f t="shared" si="1196"/>
        <v>0</v>
      </c>
      <c r="AN2803" s="199">
        <f t="shared" si="1188"/>
        <v>45981</v>
      </c>
      <c r="AO2803" s="159" t="s">
        <v>692</v>
      </c>
      <c r="AP2803" s="783" t="s">
        <v>628</v>
      </c>
      <c r="AQ2803" s="782">
        <v>12071839</v>
      </c>
      <c r="AR2803" s="782">
        <v>12047514</v>
      </c>
      <c r="AS2803" s="782">
        <v>12047515</v>
      </c>
      <c r="AT2803" s="782"/>
      <c r="AU2803" s="781"/>
      <c r="AV2803" s="782">
        <v>12080617</v>
      </c>
      <c r="AW2803" s="782"/>
      <c r="AX2803" s="782"/>
      <c r="AY2803" s="782">
        <v>12094231</v>
      </c>
      <c r="AZ2803" s="782">
        <v>1209232</v>
      </c>
      <c r="BA2803" s="781"/>
      <c r="BB2803" s="209">
        <v>23053185</v>
      </c>
    </row>
    <row r="2804" spans="1:54" ht="25" hidden="1" customHeight="1">
      <c r="B2804" s="424">
        <v>45981</v>
      </c>
      <c r="C2804" s="647" t="s">
        <v>1936</v>
      </c>
      <c r="D2804" s="185">
        <f t="shared" si="1182"/>
        <v>2025</v>
      </c>
      <c r="E2804" s="425" t="e">
        <f>VLOOKUP($B2804,Week!$A$1:$C$1462,2,0)</f>
        <v>#N/A</v>
      </c>
      <c r="F2804" s="426" t="str">
        <f t="shared" si="1183"/>
        <v>Nov</v>
      </c>
      <c r="G2804" s="427" t="s">
        <v>47</v>
      </c>
      <c r="H2804" s="427" t="s">
        <v>518</v>
      </c>
      <c r="I2804" s="427" t="s">
        <v>2702</v>
      </c>
      <c r="J2804" s="428" t="s">
        <v>70</v>
      </c>
      <c r="K2804" s="429" t="s">
        <v>94</v>
      </c>
      <c r="L2804" s="300" t="s">
        <v>2167</v>
      </c>
      <c r="M2804" s="428" t="s">
        <v>2342</v>
      </c>
      <c r="N2804" s="427" t="s">
        <v>587</v>
      </c>
      <c r="O2804" s="427" t="s">
        <v>3198</v>
      </c>
      <c r="P2804" s="430">
        <v>18</v>
      </c>
      <c r="Q2804" s="430">
        <v>5</v>
      </c>
      <c r="R2804" s="431">
        <v>8.0000000000000002E-3</v>
      </c>
      <c r="S2804" s="427" t="s">
        <v>40</v>
      </c>
      <c r="T2804" s="427" t="s">
        <v>56</v>
      </c>
      <c r="U2804" s="427" t="s">
        <v>89</v>
      </c>
      <c r="V2804" s="432">
        <v>1226</v>
      </c>
      <c r="W2804" s="432">
        <v>1226</v>
      </c>
      <c r="X2804" s="433"/>
      <c r="Y2804" s="434">
        <f t="shared" si="1191"/>
        <v>0</v>
      </c>
      <c r="Z2804" s="435">
        <f t="shared" si="1189"/>
        <v>0</v>
      </c>
      <c r="AA2804" s="435">
        <f t="shared" si="1186"/>
        <v>0</v>
      </c>
      <c r="AB2804" s="826">
        <v>1</v>
      </c>
      <c r="AC2804" s="432">
        <f t="shared" si="1192"/>
        <v>0</v>
      </c>
      <c r="AD2804" s="209"/>
      <c r="AE2804" s="210">
        <f t="shared" si="1193"/>
        <v>0</v>
      </c>
      <c r="AF2804" s="210">
        <f t="shared" si="1190"/>
        <v>0</v>
      </c>
      <c r="AG2804" s="211" t="e">
        <f>(MID(O2804,1,3)/1000)/3</f>
        <v>#VALUE!</v>
      </c>
      <c r="AH2804" s="157" t="e">
        <f t="shared" si="1194"/>
        <v>#VALUE!</v>
      </c>
      <c r="AI2804" s="152">
        <f t="shared" si="1195"/>
        <v>22068</v>
      </c>
      <c r="AK2804" s="156" t="s">
        <v>691</v>
      </c>
      <c r="AL2804" s="212" t="s">
        <v>690</v>
      </c>
      <c r="AM2804" s="198" t="e">
        <f t="shared" si="1196"/>
        <v>#VALUE!</v>
      </c>
      <c r="AN2804" s="199">
        <f t="shared" si="1188"/>
        <v>45981</v>
      </c>
      <c r="AO2804" s="159" t="s">
        <v>692</v>
      </c>
      <c r="AP2804" s="783" t="s">
        <v>628</v>
      </c>
      <c r="AQ2804" s="782"/>
      <c r="AR2804" s="782"/>
      <c r="AS2804" s="782"/>
      <c r="AT2804" s="782"/>
      <c r="AU2804" s="781"/>
      <c r="AV2804" s="782">
        <v>12080791</v>
      </c>
      <c r="AW2804" s="782" t="s">
        <v>641</v>
      </c>
      <c r="AX2804" s="782" t="s">
        <v>533</v>
      </c>
      <c r="AY2804" s="782"/>
      <c r="AZ2804" s="782"/>
      <c r="BA2804" s="781"/>
      <c r="BB2804" s="209">
        <v>23053184</v>
      </c>
    </row>
    <row r="2805" spans="1:54" ht="25" hidden="1" customHeight="1">
      <c r="A2805" s="142" t="s">
        <v>120</v>
      </c>
      <c r="B2805" s="320">
        <v>45982</v>
      </c>
      <c r="C2805" s="321">
        <v>45993</v>
      </c>
      <c r="D2805" s="323">
        <f t="shared" si="1182"/>
        <v>2025</v>
      </c>
      <c r="E2805" s="321" t="e">
        <f>VLOOKUP($B2805,Week!$A$1:$C$1462,2,0)</f>
        <v>#N/A</v>
      </c>
      <c r="F2805" s="322" t="str">
        <f t="shared" si="1183"/>
        <v>Nov</v>
      </c>
      <c r="G2805" s="323" t="s">
        <v>2642</v>
      </c>
      <c r="H2805" s="323" t="s">
        <v>363</v>
      </c>
      <c r="I2805" s="323" t="s">
        <v>2772</v>
      </c>
      <c r="J2805" s="324" t="s">
        <v>364</v>
      </c>
      <c r="K2805" s="325" t="s">
        <v>2583</v>
      </c>
      <c r="L2805" s="325" t="s">
        <v>2166</v>
      </c>
      <c r="M2805" s="324" t="s">
        <v>2586</v>
      </c>
      <c r="N2805" s="323" t="s">
        <v>2584</v>
      </c>
      <c r="O2805" s="323" t="s">
        <v>2587</v>
      </c>
      <c r="P2805" s="326">
        <v>20</v>
      </c>
      <c r="Q2805" s="326">
        <v>50</v>
      </c>
      <c r="R2805" s="327">
        <v>4.0000000000000001E-3</v>
      </c>
      <c r="S2805" s="323" t="s">
        <v>55</v>
      </c>
      <c r="T2805" s="323" t="s">
        <v>112</v>
      </c>
      <c r="U2805" s="323" t="s">
        <v>77</v>
      </c>
      <c r="V2805" s="328">
        <v>203</v>
      </c>
      <c r="W2805" s="328">
        <v>203</v>
      </c>
      <c r="X2805" s="329"/>
      <c r="Y2805" s="330">
        <f t="shared" si="1191"/>
        <v>0</v>
      </c>
      <c r="Z2805" s="331">
        <f t="shared" si="1189"/>
        <v>0</v>
      </c>
      <c r="AA2805" s="331">
        <f t="shared" si="1186"/>
        <v>0</v>
      </c>
      <c r="AB2805" s="816">
        <v>6</v>
      </c>
      <c r="AC2805" s="328">
        <f t="shared" si="1192"/>
        <v>0</v>
      </c>
      <c r="AD2805" s="209"/>
      <c r="AE2805" s="210">
        <f t="shared" si="1193"/>
        <v>0</v>
      </c>
      <c r="AF2805" s="210">
        <f t="shared" si="1190"/>
        <v>0</v>
      </c>
      <c r="AG2805" s="211">
        <f>MID(O2805,1,3)/1000</f>
        <v>0.5</v>
      </c>
      <c r="AH2805" s="157">
        <f t="shared" si="1194"/>
        <v>0</v>
      </c>
      <c r="AI2805" s="152">
        <f t="shared" si="1195"/>
        <v>4060</v>
      </c>
      <c r="AK2805" s="156" t="s">
        <v>691</v>
      </c>
      <c r="AL2805" s="156" t="s">
        <v>689</v>
      </c>
      <c r="AM2805" s="198">
        <f t="shared" si="1196"/>
        <v>0</v>
      </c>
      <c r="AN2805" s="199">
        <f t="shared" si="1188"/>
        <v>45982</v>
      </c>
      <c r="AO2805" s="159" t="s">
        <v>692</v>
      </c>
      <c r="AP2805" s="783" t="s">
        <v>620</v>
      </c>
      <c r="AQ2805" s="796" t="s">
        <v>422</v>
      </c>
      <c r="AR2805" s="782">
        <v>12055234</v>
      </c>
      <c r="AS2805" s="781"/>
      <c r="AT2805" s="782"/>
      <c r="AU2805" s="782"/>
      <c r="AV2805" s="782">
        <v>12094353</v>
      </c>
      <c r="AW2805" s="782"/>
      <c r="AX2805" s="782">
        <v>12036656</v>
      </c>
      <c r="AY2805" s="799" t="s">
        <v>2616</v>
      </c>
      <c r="AZ2805" s="781"/>
      <c r="BA2805" s="781"/>
      <c r="BB2805" s="209">
        <v>23053184</v>
      </c>
    </row>
    <row r="2806" spans="1:54" ht="24.65" hidden="1" customHeight="1">
      <c r="B2806" s="283">
        <v>45982</v>
      </c>
      <c r="C2806" s="284">
        <v>46007</v>
      </c>
      <c r="D2806" s="185">
        <f t="shared" si="1182"/>
        <v>2025</v>
      </c>
      <c r="E2806" s="284" t="e">
        <f>VLOOKUP($B2806,Week!$A$1:$C$1462,2,0)</f>
        <v>#N/A</v>
      </c>
      <c r="F2806" s="285" t="str">
        <f t="shared" si="1183"/>
        <v>Nov</v>
      </c>
      <c r="G2806" s="631" t="s">
        <v>2620</v>
      </c>
      <c r="H2806" s="624" t="s">
        <v>104</v>
      </c>
      <c r="I2806" s="624" t="s">
        <v>2772</v>
      </c>
      <c r="J2806" s="625" t="s">
        <v>105</v>
      </c>
      <c r="K2806" s="288" t="s">
        <v>51</v>
      </c>
      <c r="L2806" s="300" t="s">
        <v>2167</v>
      </c>
      <c r="M2806" s="287" t="s">
        <v>595</v>
      </c>
      <c r="N2806" s="286" t="s">
        <v>597</v>
      </c>
      <c r="O2806" s="286" t="s">
        <v>187</v>
      </c>
      <c r="P2806" s="289">
        <v>8</v>
      </c>
      <c r="Q2806" s="289">
        <v>5</v>
      </c>
      <c r="R2806" s="290">
        <v>6.0000000000000001E-3</v>
      </c>
      <c r="S2806" s="286" t="s">
        <v>55</v>
      </c>
      <c r="T2806" s="286" t="s">
        <v>112</v>
      </c>
      <c r="U2806" s="286" t="s">
        <v>57</v>
      </c>
      <c r="V2806" s="291">
        <f>400</f>
        <v>400</v>
      </c>
      <c r="W2806" s="291"/>
      <c r="X2806" s="292">
        <f>(27+3173)/8</f>
        <v>400</v>
      </c>
      <c r="Y2806" s="293">
        <f t="shared" si="1191"/>
        <v>0</v>
      </c>
      <c r="Z2806" s="294">
        <f t="shared" si="1189"/>
        <v>0</v>
      </c>
      <c r="AA2806" s="294">
        <f t="shared" si="1186"/>
        <v>0</v>
      </c>
      <c r="AB2806" s="813">
        <v>7.4999999999999997E-3</v>
      </c>
      <c r="AC2806" s="291">
        <f t="shared" si="1192"/>
        <v>0</v>
      </c>
      <c r="AD2806" s="486"/>
      <c r="AE2806" s="210">
        <f t="shared" si="1193"/>
        <v>0</v>
      </c>
      <c r="AF2806" s="210">
        <f t="shared" si="1190"/>
        <v>0</v>
      </c>
      <c r="AG2806" s="211">
        <v>0.14499999999999999</v>
      </c>
      <c r="AH2806" s="157">
        <f t="shared" si="1194"/>
        <v>0</v>
      </c>
      <c r="AI2806" s="152">
        <v>19800</v>
      </c>
      <c r="AK2806" s="156" t="s">
        <v>691</v>
      </c>
      <c r="AL2806" s="212" t="s">
        <v>690</v>
      </c>
      <c r="AM2806" s="198">
        <f t="shared" si="1196"/>
        <v>0</v>
      </c>
      <c r="AN2806" s="199">
        <f t="shared" si="1188"/>
        <v>45982</v>
      </c>
      <c r="AO2806" s="159" t="s">
        <v>692</v>
      </c>
      <c r="AP2806" s="781"/>
      <c r="AQ2806" s="782">
        <v>12071839</v>
      </c>
      <c r="AR2806" s="782">
        <v>12047514</v>
      </c>
      <c r="AS2806" s="782">
        <v>12047515</v>
      </c>
      <c r="AT2806" s="782">
        <v>12083107</v>
      </c>
      <c r="AU2806" s="781"/>
      <c r="AV2806" s="782">
        <v>12084002</v>
      </c>
      <c r="AW2806" s="782"/>
      <c r="AX2806" s="782"/>
      <c r="AY2806" s="782"/>
      <c r="AZ2806" s="782"/>
      <c r="BA2806" s="781"/>
      <c r="BB2806" s="209">
        <v>23053185</v>
      </c>
    </row>
    <row r="2807" spans="1:54" ht="24.65" hidden="1" customHeight="1">
      <c r="B2807" s="283">
        <v>45982</v>
      </c>
      <c r="C2807" s="284">
        <v>46029</v>
      </c>
      <c r="D2807" s="185">
        <f>IF(B2807="","",YEAR(B2807))</f>
        <v>2025</v>
      </c>
      <c r="E2807" s="284" t="e">
        <f>VLOOKUP($B2807,Week!$A$1:$C$1462,2,0)</f>
        <v>#N/A</v>
      </c>
      <c r="F2807" s="285" t="str">
        <f>IF(B2807="","",TEXT(B2807,"[$-409]mmm"))</f>
        <v>Nov</v>
      </c>
      <c r="G2807" s="631" t="s">
        <v>2621</v>
      </c>
      <c r="H2807" s="624" t="s">
        <v>104</v>
      </c>
      <c r="I2807" s="624" t="s">
        <v>2772</v>
      </c>
      <c r="J2807" s="625" t="s">
        <v>105</v>
      </c>
      <c r="K2807" s="288" t="s">
        <v>51</v>
      </c>
      <c r="L2807" s="300" t="s">
        <v>2167</v>
      </c>
      <c r="M2807" s="287" t="s">
        <v>595</v>
      </c>
      <c r="N2807" s="286" t="s">
        <v>597</v>
      </c>
      <c r="O2807" s="286" t="s">
        <v>187</v>
      </c>
      <c r="P2807" s="289">
        <v>8</v>
      </c>
      <c r="Q2807" s="289">
        <v>5</v>
      </c>
      <c r="R2807" s="290">
        <v>6.0000000000000001E-3</v>
      </c>
      <c r="S2807" s="286" t="s">
        <v>55</v>
      </c>
      <c r="T2807" s="286" t="s">
        <v>112</v>
      </c>
      <c r="U2807" s="286" t="s">
        <v>57</v>
      </c>
      <c r="V2807" s="291">
        <f>300</f>
        <v>300</v>
      </c>
      <c r="W2807" s="291"/>
      <c r="X2807" s="292">
        <f>(2358+55)/8</f>
        <v>301.625</v>
      </c>
      <c r="Y2807" s="293">
        <f>(W2807+X2807)-V2807</f>
        <v>1.625</v>
      </c>
      <c r="Z2807" s="294">
        <f t="shared" si="1189"/>
        <v>0</v>
      </c>
      <c r="AA2807" s="294">
        <f>Q2807*Z2807</f>
        <v>0</v>
      </c>
      <c r="AB2807" s="813">
        <v>7.4999999999999997E-3</v>
      </c>
      <c r="AC2807" s="291">
        <f>Z2807*AB2807</f>
        <v>0</v>
      </c>
      <c r="AD2807" s="486"/>
      <c r="AE2807" s="210">
        <f>SUM(Q2807*R2807*Z2807)/1000</f>
        <v>0</v>
      </c>
      <c r="AF2807" s="210">
        <f>AE2807/0.54</f>
        <v>0</v>
      </c>
      <c r="AG2807" s="211">
        <v>0.14499999999999999</v>
      </c>
      <c r="AH2807" s="157">
        <f>(Z2807*AG2807)/1000</f>
        <v>0</v>
      </c>
      <c r="AI2807" s="152">
        <v>19800</v>
      </c>
      <c r="AK2807" s="156" t="s">
        <v>691</v>
      </c>
      <c r="AL2807" s="212" t="s">
        <v>690</v>
      </c>
      <c r="AM2807" s="198">
        <f t="shared" si="1196"/>
        <v>0</v>
      </c>
      <c r="AN2807" s="199">
        <f>B2807</f>
        <v>45982</v>
      </c>
      <c r="AO2807" s="159" t="s">
        <v>692</v>
      </c>
      <c r="AP2807" s="781"/>
      <c r="AQ2807" s="782">
        <v>12071839</v>
      </c>
      <c r="AR2807" s="782">
        <v>12047514</v>
      </c>
      <c r="AS2807" s="782">
        <v>12047515</v>
      </c>
      <c r="AT2807" s="782">
        <v>12083107</v>
      </c>
      <c r="AU2807" s="781"/>
      <c r="AV2807" s="782">
        <v>12084002</v>
      </c>
      <c r="AW2807" s="782"/>
      <c r="AX2807" s="782"/>
      <c r="AY2807" s="782"/>
      <c r="AZ2807" s="782"/>
      <c r="BA2807" s="781"/>
      <c r="BB2807" s="209">
        <v>23053185</v>
      </c>
    </row>
    <row r="2808" spans="1:54" ht="24.65" hidden="1" customHeight="1">
      <c r="B2808" s="424">
        <v>45982</v>
      </c>
      <c r="C2808" s="647" t="s">
        <v>1677</v>
      </c>
      <c r="D2808" s="185">
        <f t="shared" si="1182"/>
        <v>2025</v>
      </c>
      <c r="E2808" s="425" t="e">
        <f>VLOOKUP($B2808,Week!$A$1:$C$1462,2,0)</f>
        <v>#N/A</v>
      </c>
      <c r="F2808" s="426" t="str">
        <f t="shared" si="1183"/>
        <v>Nov</v>
      </c>
      <c r="G2808" s="427" t="s">
        <v>47</v>
      </c>
      <c r="H2808" s="427" t="s">
        <v>260</v>
      </c>
      <c r="I2808" s="427" t="s">
        <v>2702</v>
      </c>
      <c r="J2808" s="428" t="s">
        <v>70</v>
      </c>
      <c r="K2808" s="429" t="s">
        <v>1646</v>
      </c>
      <c r="L2808" s="300" t="s">
        <v>2167</v>
      </c>
      <c r="M2808" s="428" t="s">
        <v>2569</v>
      </c>
      <c r="N2808" s="427" t="s">
        <v>2571</v>
      </c>
      <c r="O2808" s="427" t="s">
        <v>2568</v>
      </c>
      <c r="P2808" s="430">
        <v>24</v>
      </c>
      <c r="Q2808" s="430">
        <v>3</v>
      </c>
      <c r="R2808" s="431">
        <v>6.1999999999999998E-3</v>
      </c>
      <c r="S2808" s="427" t="s">
        <v>352</v>
      </c>
      <c r="T2808" s="427" t="s">
        <v>56</v>
      </c>
      <c r="U2808" s="755" t="s">
        <v>669</v>
      </c>
      <c r="V2808" s="628">
        <v>47</v>
      </c>
      <c r="W2808" s="432">
        <v>47</v>
      </c>
      <c r="X2808" s="433"/>
      <c r="Y2808" s="434">
        <f t="shared" si="1191"/>
        <v>0</v>
      </c>
      <c r="Z2808" s="435">
        <f t="shared" si="1189"/>
        <v>0</v>
      </c>
      <c r="AA2808" s="435">
        <f t="shared" si="1186"/>
        <v>0</v>
      </c>
      <c r="AB2808" s="826">
        <v>1.6E-2</v>
      </c>
      <c r="AC2808" s="432">
        <f t="shared" si="1192"/>
        <v>0</v>
      </c>
      <c r="AD2808" s="209" t="s">
        <v>2626</v>
      </c>
      <c r="AE2808" s="210">
        <f t="shared" si="1193"/>
        <v>0</v>
      </c>
      <c r="AF2808" s="210">
        <f t="shared" si="1190"/>
        <v>0</v>
      </c>
      <c r="AG2808" s="211">
        <f>MID(O2808,1,3)/1000</f>
        <v>0.21099999999999999</v>
      </c>
      <c r="AH2808" s="157">
        <f t="shared" si="1194"/>
        <v>0</v>
      </c>
      <c r="AI2808" s="152">
        <f>V2808*P2808</f>
        <v>1128</v>
      </c>
      <c r="AK2808" s="156" t="s">
        <v>691</v>
      </c>
      <c r="AL2808" s="212" t="s">
        <v>690</v>
      </c>
      <c r="AM2808" s="198">
        <f t="shared" si="1196"/>
        <v>0</v>
      </c>
      <c r="AN2808" s="199">
        <f t="shared" si="1188"/>
        <v>45982</v>
      </c>
      <c r="AO2808" s="159" t="s">
        <v>692</v>
      </c>
      <c r="AP2808" s="783" t="s">
        <v>623</v>
      </c>
      <c r="AQ2808" s="782">
        <v>12071839</v>
      </c>
      <c r="AR2808" s="782">
        <v>12042650</v>
      </c>
      <c r="AS2808" s="782">
        <v>12042649</v>
      </c>
      <c r="AT2808" s="782"/>
      <c r="AU2808" s="781"/>
      <c r="AV2808" s="782">
        <v>12097005</v>
      </c>
      <c r="AW2808" s="782"/>
      <c r="AX2808" s="782"/>
      <c r="AY2808" s="782">
        <v>12097003</v>
      </c>
      <c r="AZ2808" s="782">
        <v>12097004</v>
      </c>
      <c r="BA2808" s="781"/>
      <c r="BB2808" s="209">
        <v>23098853</v>
      </c>
    </row>
    <row r="2809" spans="1:54" ht="24.65" hidden="1" customHeight="1">
      <c r="B2809" s="424">
        <v>45982</v>
      </c>
      <c r="C2809" s="647" t="s">
        <v>1936</v>
      </c>
      <c r="D2809" s="185">
        <f t="shared" si="1182"/>
        <v>2025</v>
      </c>
      <c r="E2809" s="425" t="e">
        <f>VLOOKUP($B2809,Week!$A$1:$C$1462,2,0)</f>
        <v>#N/A</v>
      </c>
      <c r="F2809" s="426" t="str">
        <f t="shared" si="1183"/>
        <v>Nov</v>
      </c>
      <c r="G2809" s="427" t="s">
        <v>47</v>
      </c>
      <c r="H2809" s="427" t="s">
        <v>260</v>
      </c>
      <c r="I2809" s="427" t="s">
        <v>2702</v>
      </c>
      <c r="J2809" s="428" t="s">
        <v>70</v>
      </c>
      <c r="K2809" s="429" t="s">
        <v>1646</v>
      </c>
      <c r="L2809" s="300" t="s">
        <v>2167</v>
      </c>
      <c r="M2809" s="428" t="s">
        <v>2569</v>
      </c>
      <c r="N2809" s="427" t="s">
        <v>2571</v>
      </c>
      <c r="O2809" s="427" t="s">
        <v>2568</v>
      </c>
      <c r="P2809" s="430">
        <v>24</v>
      </c>
      <c r="Q2809" s="430">
        <v>3</v>
      </c>
      <c r="R2809" s="431">
        <v>6.1999999999999998E-3</v>
      </c>
      <c r="S2809" s="427" t="s">
        <v>352</v>
      </c>
      <c r="T2809" s="427" t="s">
        <v>56</v>
      </c>
      <c r="U2809" s="755" t="s">
        <v>669</v>
      </c>
      <c r="V2809" s="628">
        <f>2760</f>
        <v>2760</v>
      </c>
      <c r="W2809" s="432">
        <v>2760</v>
      </c>
      <c r="X2809" s="433">
        <f>(1588)/24</f>
        <v>66.166666666666671</v>
      </c>
      <c r="Y2809" s="434">
        <f t="shared" si="1191"/>
        <v>66.166666666666515</v>
      </c>
      <c r="Z2809" s="435">
        <f t="shared" si="1189"/>
        <v>0</v>
      </c>
      <c r="AA2809" s="435">
        <f t="shared" si="1186"/>
        <v>0</v>
      </c>
      <c r="AB2809" s="826">
        <v>1.6E-2</v>
      </c>
      <c r="AC2809" s="432">
        <f t="shared" si="1192"/>
        <v>0</v>
      </c>
      <c r="AD2809" s="209"/>
      <c r="AE2809" s="210">
        <f t="shared" si="1193"/>
        <v>0</v>
      </c>
      <c r="AF2809" s="210">
        <f t="shared" si="1190"/>
        <v>0</v>
      </c>
      <c r="AG2809" s="211">
        <f>MID(O2809,1,3)/1000</f>
        <v>0.21099999999999999</v>
      </c>
      <c r="AH2809" s="157">
        <f t="shared" si="1194"/>
        <v>0</v>
      </c>
      <c r="AI2809" s="152">
        <f>V2809*P2809</f>
        <v>66240</v>
      </c>
      <c r="AK2809" s="156" t="s">
        <v>691</v>
      </c>
      <c r="AL2809" s="212" t="s">
        <v>690</v>
      </c>
      <c r="AM2809" s="198">
        <f t="shared" si="1196"/>
        <v>0</v>
      </c>
      <c r="AN2809" s="199">
        <f t="shared" si="1188"/>
        <v>45982</v>
      </c>
      <c r="AO2809" s="159" t="s">
        <v>692</v>
      </c>
      <c r="AP2809" s="783" t="s">
        <v>623</v>
      </c>
      <c r="AQ2809" s="782">
        <v>12071839</v>
      </c>
      <c r="AR2809" s="782">
        <v>12042650</v>
      </c>
      <c r="AS2809" s="782">
        <v>12042649</v>
      </c>
      <c r="AT2809" s="782"/>
      <c r="AU2809" s="781"/>
      <c r="AV2809" s="782">
        <v>12097005</v>
      </c>
      <c r="AW2809" s="782"/>
      <c r="AX2809" s="782"/>
      <c r="AY2809" s="782">
        <v>12097003</v>
      </c>
      <c r="AZ2809" s="782">
        <v>12097004</v>
      </c>
      <c r="BA2809" s="781"/>
      <c r="BB2809" s="209">
        <v>23098853</v>
      </c>
    </row>
    <row r="2810" spans="1:54" ht="25" hidden="1" customHeight="1">
      <c r="A2810" s="142" t="s">
        <v>120</v>
      </c>
      <c r="B2810" s="271">
        <v>45983</v>
      </c>
      <c r="C2810" s="272">
        <v>45992</v>
      </c>
      <c r="D2810" s="185">
        <f>IF(B2810="","",YEAR(B2810))</f>
        <v>2025</v>
      </c>
      <c r="E2810" s="272" t="e">
        <f>VLOOKUP($B2810,Week!$A$1:$C$1462,2,0)</f>
        <v>#N/A</v>
      </c>
      <c r="F2810" s="273" t="str">
        <f>IF(B2810="","",TEXT(B2810,"[$-409]mmm"))</f>
        <v>Nov</v>
      </c>
      <c r="G2810" s="274" t="s">
        <v>2628</v>
      </c>
      <c r="H2810" s="274" t="s">
        <v>500</v>
      </c>
      <c r="I2810" s="274" t="s">
        <v>2772</v>
      </c>
      <c r="J2810" s="275" t="s">
        <v>285</v>
      </c>
      <c r="K2810" s="276" t="s">
        <v>153</v>
      </c>
      <c r="L2810" s="390" t="s">
        <v>2166</v>
      </c>
      <c r="M2810" s="275" t="s">
        <v>86</v>
      </c>
      <c r="N2810" s="274" t="s">
        <v>547</v>
      </c>
      <c r="O2810" s="274" t="s">
        <v>548</v>
      </c>
      <c r="P2810" s="277">
        <v>10</v>
      </c>
      <c r="Q2810" s="277">
        <v>50</v>
      </c>
      <c r="R2810" s="278">
        <v>6.8100000000000001E-3</v>
      </c>
      <c r="S2810" s="274" t="s">
        <v>76</v>
      </c>
      <c r="T2810" s="274" t="s">
        <v>56</v>
      </c>
      <c r="U2810" s="274" t="s">
        <v>89</v>
      </c>
      <c r="V2810" s="279">
        <f>707</f>
        <v>707</v>
      </c>
      <c r="W2810" s="279">
        <v>707</v>
      </c>
      <c r="X2810" s="280"/>
      <c r="Y2810" s="281">
        <f>(W2810+X2810)-V2810</f>
        <v>0</v>
      </c>
      <c r="Z2810" s="282">
        <f t="shared" si="1189"/>
        <v>0</v>
      </c>
      <c r="AA2810" s="282">
        <f>Q2810*Z2810</f>
        <v>0</v>
      </c>
      <c r="AB2810" s="812">
        <v>6</v>
      </c>
      <c r="AC2810" s="279">
        <f>Z2810*AB2810</f>
        <v>0</v>
      </c>
      <c r="AD2810" s="209"/>
      <c r="AE2810" s="210">
        <f>SUM(Q2810*R2810*Z2810)/1000</f>
        <v>0</v>
      </c>
      <c r="AF2810" s="210">
        <f>AE2810/0.54</f>
        <v>0</v>
      </c>
      <c r="AG2810" s="211">
        <f>MID(O2810,1,3)/1000</f>
        <v>0.63</v>
      </c>
      <c r="AH2810" s="157">
        <f>(Z2810*AG2810)/1000</f>
        <v>0</v>
      </c>
      <c r="AI2810" s="152">
        <f>V2810*P2810</f>
        <v>7070</v>
      </c>
      <c r="AK2810" s="156" t="s">
        <v>691</v>
      </c>
      <c r="AL2810" s="156" t="s">
        <v>689</v>
      </c>
      <c r="AM2810" s="198">
        <f t="shared" si="1196"/>
        <v>0</v>
      </c>
      <c r="AN2810" s="199">
        <f>B2810</f>
        <v>45983</v>
      </c>
      <c r="AO2810" s="159" t="s">
        <v>692</v>
      </c>
      <c r="AP2810" s="783" t="s">
        <v>620</v>
      </c>
      <c r="AQ2810" s="796" t="s">
        <v>422</v>
      </c>
      <c r="AR2810" s="782">
        <v>12055234</v>
      </c>
      <c r="AS2810" s="781"/>
      <c r="AT2810" s="782"/>
      <c r="AU2810" s="782"/>
      <c r="AV2810" s="782">
        <v>12062809</v>
      </c>
      <c r="AW2810" s="782"/>
      <c r="AX2810" s="782" t="s">
        <v>619</v>
      </c>
      <c r="AY2810" s="781"/>
      <c r="AZ2810" s="781"/>
      <c r="BA2810" s="781"/>
      <c r="BB2810" s="209">
        <v>23053184</v>
      </c>
    </row>
    <row r="2811" spans="1:54" ht="24.75" hidden="1" customHeight="1">
      <c r="B2811" s="295">
        <v>45983</v>
      </c>
      <c r="C2811" s="771" t="s">
        <v>1936</v>
      </c>
      <c r="D2811" s="185">
        <f t="shared" si="1182"/>
        <v>2025</v>
      </c>
      <c r="E2811" s="296" t="e">
        <f>VLOOKUP($B2811,Week!$A$1:$C$1462,2,0)</f>
        <v>#N/A</v>
      </c>
      <c r="F2811" s="297" t="str">
        <f t="shared" si="1183"/>
        <v>Nov</v>
      </c>
      <c r="G2811" s="648" t="s">
        <v>47</v>
      </c>
      <c r="H2811" s="298" t="s">
        <v>260</v>
      </c>
      <c r="I2811" s="298" t="s">
        <v>2702</v>
      </c>
      <c r="J2811" s="307" t="s">
        <v>2240</v>
      </c>
      <c r="K2811" s="300" t="s">
        <v>176</v>
      </c>
      <c r="L2811" s="300" t="s">
        <v>2167</v>
      </c>
      <c r="M2811" s="299" t="s">
        <v>2338</v>
      </c>
      <c r="N2811" s="298" t="s">
        <v>350</v>
      </c>
      <c r="O2811" s="298" t="s">
        <v>351</v>
      </c>
      <c r="P2811" s="301">
        <v>24</v>
      </c>
      <c r="Q2811" s="301">
        <v>5</v>
      </c>
      <c r="R2811" s="302">
        <v>6.1999999999999998E-3</v>
      </c>
      <c r="S2811" s="298" t="s">
        <v>352</v>
      </c>
      <c r="T2811" s="298" t="s">
        <v>56</v>
      </c>
      <c r="U2811" s="298" t="s">
        <v>57</v>
      </c>
      <c r="V2811" s="303">
        <v>2594</v>
      </c>
      <c r="W2811" s="303">
        <v>2594</v>
      </c>
      <c r="X2811" s="304"/>
      <c r="Y2811" s="305">
        <f t="shared" si="1191"/>
        <v>0</v>
      </c>
      <c r="Z2811" s="306">
        <f t="shared" si="1189"/>
        <v>0</v>
      </c>
      <c r="AA2811" s="306">
        <f t="shared" si="1186"/>
        <v>0</v>
      </c>
      <c r="AB2811" s="814">
        <v>7.4999999999999997E-3</v>
      </c>
      <c r="AC2811" s="303">
        <f t="shared" si="1192"/>
        <v>0</v>
      </c>
      <c r="AD2811" s="443"/>
      <c r="AE2811" s="210">
        <f t="shared" si="1193"/>
        <v>0</v>
      </c>
      <c r="AF2811" s="210">
        <f t="shared" si="1190"/>
        <v>0</v>
      </c>
      <c r="AG2811" s="211">
        <f>MID(O2811,1,3)/1000</f>
        <v>0.13</v>
      </c>
      <c r="AH2811" s="157">
        <f t="shared" si="1194"/>
        <v>0</v>
      </c>
      <c r="AI2811" s="152">
        <f>V2811*P2811</f>
        <v>62256</v>
      </c>
      <c r="AK2811" s="156" t="s">
        <v>691</v>
      </c>
      <c r="AL2811" s="574" t="s">
        <v>690</v>
      </c>
      <c r="AM2811" s="198">
        <f t="shared" si="1196"/>
        <v>0</v>
      </c>
      <c r="AN2811" s="199">
        <f t="shared" si="1188"/>
        <v>45983</v>
      </c>
      <c r="AO2811" s="159" t="s">
        <v>692</v>
      </c>
      <c r="AP2811" s="783" t="s">
        <v>622</v>
      </c>
      <c r="AQ2811" s="782">
        <v>12071839</v>
      </c>
      <c r="AR2811" s="782">
        <v>12094356</v>
      </c>
      <c r="AS2811" s="782">
        <v>12068233</v>
      </c>
      <c r="AT2811" s="781"/>
      <c r="AU2811" s="781"/>
      <c r="AV2811" s="782">
        <v>12062075</v>
      </c>
      <c r="AW2811" s="781"/>
      <c r="AX2811" s="781"/>
      <c r="AY2811" s="782">
        <v>12094357</v>
      </c>
      <c r="AZ2811" s="782"/>
      <c r="BA2811" s="781"/>
      <c r="BB2811" s="209">
        <v>23053184</v>
      </c>
    </row>
    <row r="2812" spans="1:54" ht="25" hidden="1" customHeight="1">
      <c r="B2812" s="602">
        <v>45983</v>
      </c>
      <c r="C2812" s="861" t="s">
        <v>1936</v>
      </c>
      <c r="D2812" s="604">
        <f t="shared" si="1182"/>
        <v>2025</v>
      </c>
      <c r="E2812" s="603" t="e">
        <f>VLOOKUP($B2812,Week!$A$1:$C$1462,2,0)</f>
        <v>#N/A</v>
      </c>
      <c r="F2812" s="605" t="str">
        <f t="shared" si="1183"/>
        <v>Nov</v>
      </c>
      <c r="G2812" s="604" t="s">
        <v>47</v>
      </c>
      <c r="H2812" s="604" t="s">
        <v>518</v>
      </c>
      <c r="I2812" s="604" t="s">
        <v>2702</v>
      </c>
      <c r="J2812" s="606" t="s">
        <v>70</v>
      </c>
      <c r="K2812" s="607" t="s">
        <v>227</v>
      </c>
      <c r="L2812" s="607" t="s">
        <v>2167</v>
      </c>
      <c r="M2812" s="606" t="s">
        <v>2554</v>
      </c>
      <c r="N2812" s="604" t="s">
        <v>2334</v>
      </c>
      <c r="O2812" s="604" t="s">
        <v>2005</v>
      </c>
      <c r="P2812" s="608">
        <v>12</v>
      </c>
      <c r="Q2812" s="608">
        <v>3</v>
      </c>
      <c r="R2812" s="609">
        <v>8.0000000000000002E-3</v>
      </c>
      <c r="S2812" s="604" t="s">
        <v>352</v>
      </c>
      <c r="T2812" s="604" t="s">
        <v>56</v>
      </c>
      <c r="U2812" s="604" t="s">
        <v>2007</v>
      </c>
      <c r="V2812" s="862">
        <f>2000</f>
        <v>2000</v>
      </c>
      <c r="W2812" s="610">
        <f>1686-1671+101+1884</f>
        <v>2000</v>
      </c>
      <c r="X2812" s="611"/>
      <c r="Y2812" s="612">
        <f t="shared" si="1191"/>
        <v>0</v>
      </c>
      <c r="Z2812" s="613">
        <f t="shared" si="1189"/>
        <v>0</v>
      </c>
      <c r="AA2812" s="613">
        <f t="shared" si="1186"/>
        <v>0</v>
      </c>
      <c r="AB2812" s="836">
        <v>0.05</v>
      </c>
      <c r="AC2812" s="610">
        <f t="shared" si="1192"/>
        <v>0</v>
      </c>
      <c r="AD2812" s="307" t="s">
        <v>2344</v>
      </c>
      <c r="AE2812" s="210">
        <f t="shared" si="1193"/>
        <v>0</v>
      </c>
      <c r="AF2812" s="210">
        <f t="shared" si="1190"/>
        <v>0</v>
      </c>
      <c r="AG2812" s="211">
        <f>MID(O2812,1,3)/1000</f>
        <v>0.22700000000000001</v>
      </c>
      <c r="AH2812" s="157">
        <f t="shared" si="1194"/>
        <v>0</v>
      </c>
      <c r="AI2812" s="152">
        <f>V2812*P2812</f>
        <v>24000</v>
      </c>
      <c r="AK2812" s="156" t="s">
        <v>691</v>
      </c>
      <c r="AL2812" s="212" t="s">
        <v>690</v>
      </c>
      <c r="AM2812" s="198">
        <f t="shared" si="1196"/>
        <v>0</v>
      </c>
      <c r="AN2812" s="199">
        <f t="shared" si="1188"/>
        <v>45983</v>
      </c>
      <c r="AO2812" s="159" t="s">
        <v>692</v>
      </c>
      <c r="AP2812" s="783" t="s">
        <v>623</v>
      </c>
      <c r="AQ2812" s="782">
        <v>12071839</v>
      </c>
      <c r="AR2812" s="782">
        <v>12042650</v>
      </c>
      <c r="AS2812" s="782">
        <v>12042649</v>
      </c>
      <c r="AT2812" s="782"/>
      <c r="AU2812" s="781"/>
      <c r="AV2812" s="782">
        <v>12094036</v>
      </c>
      <c r="AW2812" s="782"/>
      <c r="AX2812" s="782"/>
      <c r="AY2812" s="782">
        <v>12094035</v>
      </c>
      <c r="AZ2812" s="782">
        <v>12094041</v>
      </c>
      <c r="BA2812" s="781"/>
      <c r="BB2812" s="209">
        <v>11044165</v>
      </c>
    </row>
    <row r="2813" spans="1:54" ht="25" hidden="1" customHeight="1">
      <c r="B2813" s="183">
        <v>45984</v>
      </c>
      <c r="C2813" s="184"/>
      <c r="D2813" s="185">
        <f t="shared" si="1182"/>
        <v>2025</v>
      </c>
      <c r="E2813" s="185" t="e">
        <f>VLOOKUP($B2813,Week!$A$1:$C$1462,2,0)</f>
        <v>#N/A</v>
      </c>
      <c r="F2813" s="186" t="str">
        <f t="shared" si="1183"/>
        <v>Nov</v>
      </c>
      <c r="G2813" s="481"/>
      <c r="H2813" s="185"/>
      <c r="I2813" s="185"/>
      <c r="J2813" s="187"/>
      <c r="K2813" s="188"/>
      <c r="L2813" s="188"/>
      <c r="M2813" s="187"/>
      <c r="N2813" s="185"/>
      <c r="O2813" s="185"/>
      <c r="P2813" s="189"/>
      <c r="Q2813" s="189"/>
      <c r="R2813" s="190"/>
      <c r="S2813" s="185"/>
      <c r="T2813" s="185"/>
      <c r="U2813" s="185"/>
      <c r="V2813" s="191"/>
      <c r="W2813" s="191"/>
      <c r="X2813" s="192"/>
      <c r="Y2813" s="193"/>
      <c r="Z2813" s="194"/>
      <c r="AA2813" s="194">
        <f t="shared" si="1186"/>
        <v>0</v>
      </c>
      <c r="AB2813" s="805"/>
      <c r="AC2813" s="191"/>
      <c r="AD2813" s="187"/>
      <c r="AE2813" s="195"/>
      <c r="AF2813" s="195"/>
      <c r="AG2813" s="196"/>
      <c r="AH2813" s="197"/>
      <c r="AK2813" s="156" t="s">
        <v>691</v>
      </c>
      <c r="AM2813" s="198">
        <f t="shared" si="1196"/>
        <v>0</v>
      </c>
      <c r="AN2813" s="199">
        <f t="shared" si="1188"/>
        <v>45984</v>
      </c>
      <c r="AO2813" s="159" t="s">
        <v>692</v>
      </c>
      <c r="AP2813" s="781"/>
      <c r="AQ2813" s="782"/>
      <c r="AR2813" s="782"/>
      <c r="AS2813" s="782"/>
      <c r="AT2813" s="782"/>
      <c r="AU2813" s="781"/>
      <c r="AV2813" s="782"/>
      <c r="AW2813" s="782"/>
      <c r="AX2813" s="782"/>
      <c r="AY2813" s="782"/>
      <c r="AZ2813" s="782"/>
      <c r="BA2813" s="781"/>
      <c r="BB2813" s="209"/>
    </row>
    <row r="2814" spans="1:54" ht="25" hidden="1" customHeight="1">
      <c r="A2814" s="142" t="s">
        <v>120</v>
      </c>
      <c r="B2814" s="271">
        <v>45985</v>
      </c>
      <c r="C2814" s="272">
        <v>45992</v>
      </c>
      <c r="D2814" s="185">
        <f t="shared" ref="D2814:D2822" si="1197">IF(B2814="","",YEAR(B2814))</f>
        <v>2025</v>
      </c>
      <c r="E2814" s="272" t="e">
        <f>VLOOKUP($B2814,Week!$A$1:$C$1462,2,0)</f>
        <v>#N/A</v>
      </c>
      <c r="F2814" s="273" t="str">
        <f t="shared" ref="F2814:F2822" si="1198">IF(B2814="","",TEXT(B2814,"[$-409]mmm"))</f>
        <v>Nov</v>
      </c>
      <c r="G2814" s="274" t="s">
        <v>2628</v>
      </c>
      <c r="H2814" s="274" t="s">
        <v>500</v>
      </c>
      <c r="I2814" s="274" t="s">
        <v>2772</v>
      </c>
      <c r="J2814" s="275" t="s">
        <v>285</v>
      </c>
      <c r="K2814" s="276" t="s">
        <v>153</v>
      </c>
      <c r="L2814" s="390" t="s">
        <v>2166</v>
      </c>
      <c r="M2814" s="275" t="s">
        <v>86</v>
      </c>
      <c r="N2814" s="274" t="s">
        <v>547</v>
      </c>
      <c r="O2814" s="274" t="s">
        <v>548</v>
      </c>
      <c r="P2814" s="277">
        <v>10</v>
      </c>
      <c r="Q2814" s="277">
        <v>50</v>
      </c>
      <c r="R2814" s="278">
        <v>6.8100000000000001E-3</v>
      </c>
      <c r="S2814" s="274" t="s">
        <v>76</v>
      </c>
      <c r="T2814" s="274" t="s">
        <v>56</v>
      </c>
      <c r="U2814" s="274" t="s">
        <v>89</v>
      </c>
      <c r="V2814" s="279">
        <v>689</v>
      </c>
      <c r="W2814" s="279">
        <v>689</v>
      </c>
      <c r="X2814" s="280"/>
      <c r="Y2814" s="281">
        <f t="shared" ref="Y2814:Y2822" si="1199">(W2814+X2814)-V2814</f>
        <v>0</v>
      </c>
      <c r="Z2814" s="282">
        <f t="shared" ref="Z2814:Z2822" si="1200">IF(Y2814&lt;0,((V2814*P2814)-((W2814+X2814)*P2814)),0)</f>
        <v>0</v>
      </c>
      <c r="AA2814" s="282">
        <f t="shared" ref="AA2814:AA2822" si="1201">Q2814*Z2814</f>
        <v>0</v>
      </c>
      <c r="AB2814" s="812">
        <v>6</v>
      </c>
      <c r="AC2814" s="279">
        <f t="shared" ref="AC2814:AC2822" si="1202">Z2814*AB2814</f>
        <v>0</v>
      </c>
      <c r="AD2814" s="209"/>
      <c r="AE2814" s="210">
        <f t="shared" ref="AE2814:AE2822" si="1203">SUM(Q2814*R2814*Z2814)/1000</f>
        <v>0</v>
      </c>
      <c r="AF2814" s="210">
        <f t="shared" ref="AF2814:AF2823" si="1204">AE2814/0.54</f>
        <v>0</v>
      </c>
      <c r="AG2814" s="211">
        <f t="shared" ref="AG2814:AG2823" si="1205">MID(O2814,1,3)/1000</f>
        <v>0.63</v>
      </c>
      <c r="AH2814" s="157">
        <f t="shared" ref="AH2814:AH2822" si="1206">(Z2814*AG2814)/1000</f>
        <v>0</v>
      </c>
      <c r="AI2814" s="152">
        <f t="shared" ref="AI2814:AI2822" si="1207">V2814*P2814</f>
        <v>6890</v>
      </c>
      <c r="AK2814" s="156" t="s">
        <v>691</v>
      </c>
      <c r="AL2814" s="156" t="s">
        <v>689</v>
      </c>
      <c r="AM2814" s="198">
        <f t="shared" ref="AM2814:AM2823" si="1208">AG2814*Z2814</f>
        <v>0</v>
      </c>
      <c r="AN2814" s="199">
        <f t="shared" ref="AN2814:AN2822" si="1209">B2814</f>
        <v>45985</v>
      </c>
      <c r="AO2814" s="159" t="s">
        <v>692</v>
      </c>
      <c r="AP2814" s="783" t="s">
        <v>620</v>
      </c>
      <c r="AQ2814" s="796" t="s">
        <v>422</v>
      </c>
      <c r="AR2814" s="782">
        <v>12055234</v>
      </c>
      <c r="AS2814" s="781"/>
      <c r="AT2814" s="782"/>
      <c r="AU2814" s="782"/>
      <c r="AV2814" s="782">
        <v>12062809</v>
      </c>
      <c r="AW2814" s="782"/>
      <c r="AX2814" s="782" t="s">
        <v>619</v>
      </c>
      <c r="AY2814" s="781"/>
      <c r="AZ2814" s="781"/>
      <c r="BA2814" s="781"/>
      <c r="BB2814" s="209">
        <v>23053184</v>
      </c>
    </row>
    <row r="2815" spans="1:54" ht="25.15" hidden="1" customHeight="1">
      <c r="B2815" s="345">
        <v>45985</v>
      </c>
      <c r="C2815" s="346">
        <v>46000</v>
      </c>
      <c r="D2815" s="185">
        <f t="shared" si="1197"/>
        <v>2025</v>
      </c>
      <c r="E2815" s="347" t="e">
        <f>VLOOKUP($B2815,Week!$A$1:$C$1462,2,0)</f>
        <v>#N/A</v>
      </c>
      <c r="F2815" s="348" t="str">
        <f t="shared" si="1198"/>
        <v>Nov</v>
      </c>
      <c r="G2815" s="347" t="s">
        <v>2450</v>
      </c>
      <c r="H2815" s="347" t="s">
        <v>424</v>
      </c>
      <c r="I2815" s="347" t="s">
        <v>2774</v>
      </c>
      <c r="J2815" s="438" t="s">
        <v>425</v>
      </c>
      <c r="K2815" s="350" t="s">
        <v>176</v>
      </c>
      <c r="L2815" s="350" t="s">
        <v>2167</v>
      </c>
      <c r="M2815" s="349" t="s">
        <v>426</v>
      </c>
      <c r="N2815" s="347" t="s">
        <v>427</v>
      </c>
      <c r="O2815" s="347" t="s">
        <v>599</v>
      </c>
      <c r="P2815" s="351">
        <v>36</v>
      </c>
      <c r="Q2815" s="351">
        <v>5</v>
      </c>
      <c r="R2815" s="352">
        <v>7.4999999999999997E-3</v>
      </c>
      <c r="S2815" s="347" t="s">
        <v>111</v>
      </c>
      <c r="T2815" s="347" t="s">
        <v>112</v>
      </c>
      <c r="U2815" s="347" t="s">
        <v>57</v>
      </c>
      <c r="V2815" s="353">
        <v>1288</v>
      </c>
      <c r="W2815" s="353">
        <f>6+1282</f>
        <v>1288</v>
      </c>
      <c r="X2815" s="354"/>
      <c r="Y2815" s="355">
        <f t="shared" si="1199"/>
        <v>0</v>
      </c>
      <c r="Z2815" s="356">
        <f t="shared" si="1200"/>
        <v>0</v>
      </c>
      <c r="AA2815" s="353">
        <f t="shared" si="1201"/>
        <v>0</v>
      </c>
      <c r="AB2815" s="818">
        <v>7.4999999999999997E-3</v>
      </c>
      <c r="AC2815" s="353">
        <f t="shared" si="1202"/>
        <v>0</v>
      </c>
      <c r="AD2815" s="307" t="s">
        <v>2448</v>
      </c>
      <c r="AE2815" s="210">
        <f t="shared" si="1203"/>
        <v>0</v>
      </c>
      <c r="AF2815" s="210">
        <f t="shared" si="1204"/>
        <v>0</v>
      </c>
      <c r="AG2815" s="211">
        <f t="shared" si="1205"/>
        <v>0.14799999999999999</v>
      </c>
      <c r="AH2815" s="157">
        <f t="shared" si="1206"/>
        <v>0</v>
      </c>
      <c r="AI2815" s="152">
        <f t="shared" si="1207"/>
        <v>46368</v>
      </c>
      <c r="AK2815" s="156" t="s">
        <v>691</v>
      </c>
      <c r="AL2815" s="574" t="s">
        <v>690</v>
      </c>
      <c r="AM2815" s="198">
        <f t="shared" si="1208"/>
        <v>0</v>
      </c>
      <c r="AN2815" s="199">
        <f t="shared" si="1209"/>
        <v>45985</v>
      </c>
      <c r="AO2815" s="159" t="s">
        <v>692</v>
      </c>
      <c r="AP2815" s="783" t="s">
        <v>609</v>
      </c>
      <c r="AQ2815" s="782">
        <v>12071839</v>
      </c>
      <c r="AR2815" s="782">
        <v>12080260</v>
      </c>
      <c r="AS2815" s="782">
        <v>12080259</v>
      </c>
      <c r="AT2815" s="782">
        <v>12096006</v>
      </c>
      <c r="AU2815" s="782"/>
      <c r="AV2815" s="782">
        <v>12096007</v>
      </c>
      <c r="AW2815" s="782">
        <v>12024404</v>
      </c>
      <c r="AX2815" s="781"/>
      <c r="AY2815" s="782">
        <v>12096022</v>
      </c>
      <c r="AZ2815" s="782"/>
      <c r="BA2815" s="781"/>
      <c r="BB2815" s="209">
        <v>23053185</v>
      </c>
    </row>
    <row r="2816" spans="1:54" ht="24.75" hidden="1" customHeight="1">
      <c r="B2816" s="333">
        <v>45985</v>
      </c>
      <c r="C2816" s="333">
        <v>45992</v>
      </c>
      <c r="D2816" s="185">
        <f t="shared" si="1197"/>
        <v>2025</v>
      </c>
      <c r="E2816" s="335" t="e">
        <f>VLOOKUP($B2816,Week!$A$1:$C$1462,2,0)</f>
        <v>#N/A</v>
      </c>
      <c r="F2816" s="334" t="str">
        <f t="shared" si="1198"/>
        <v>Nov</v>
      </c>
      <c r="G2816" s="335" t="s">
        <v>2393</v>
      </c>
      <c r="H2816" s="335" t="s">
        <v>363</v>
      </c>
      <c r="I2816" s="335" t="s">
        <v>2772</v>
      </c>
      <c r="J2816" s="336" t="s">
        <v>364</v>
      </c>
      <c r="K2816" s="337" t="s">
        <v>176</v>
      </c>
      <c r="L2816" s="337" t="s">
        <v>2167</v>
      </c>
      <c r="M2816" s="382" t="s">
        <v>646</v>
      </c>
      <c r="N2816" s="335" t="s">
        <v>647</v>
      </c>
      <c r="O2816" s="335" t="s">
        <v>599</v>
      </c>
      <c r="P2816" s="338">
        <v>36</v>
      </c>
      <c r="Q2816" s="338">
        <v>5</v>
      </c>
      <c r="R2816" s="339">
        <v>8.0000000000000002E-3</v>
      </c>
      <c r="S2816" s="335" t="s">
        <v>40</v>
      </c>
      <c r="T2816" s="335" t="s">
        <v>112</v>
      </c>
      <c r="U2816" s="335" t="s">
        <v>57</v>
      </c>
      <c r="V2816" s="341">
        <f>1288</f>
        <v>1288</v>
      </c>
      <c r="W2816" s="341">
        <f>17+1271</f>
        <v>1288</v>
      </c>
      <c r="X2816" s="342"/>
      <c r="Y2816" s="343">
        <f t="shared" si="1199"/>
        <v>0</v>
      </c>
      <c r="Z2816" s="344">
        <f t="shared" si="1200"/>
        <v>0</v>
      </c>
      <c r="AA2816" s="344">
        <f t="shared" si="1201"/>
        <v>0</v>
      </c>
      <c r="AB2816" s="821">
        <v>7.4999999999999997E-3</v>
      </c>
      <c r="AC2816" s="341">
        <f t="shared" si="1202"/>
        <v>0</v>
      </c>
      <c r="AD2816" s="209"/>
      <c r="AE2816" s="210">
        <f t="shared" si="1203"/>
        <v>0</v>
      </c>
      <c r="AF2816" s="210">
        <f t="shared" si="1204"/>
        <v>0</v>
      </c>
      <c r="AG2816" s="211">
        <f t="shared" si="1205"/>
        <v>0.14799999999999999</v>
      </c>
      <c r="AH2816" s="157">
        <f t="shared" si="1206"/>
        <v>0</v>
      </c>
      <c r="AI2816" s="152">
        <f t="shared" si="1207"/>
        <v>46368</v>
      </c>
      <c r="AK2816" s="156" t="s">
        <v>691</v>
      </c>
      <c r="AL2816" s="574" t="s">
        <v>690</v>
      </c>
      <c r="AM2816" s="198">
        <f t="shared" si="1208"/>
        <v>0</v>
      </c>
      <c r="AN2816" s="199">
        <f t="shared" si="1209"/>
        <v>45985</v>
      </c>
      <c r="AO2816" s="159" t="s">
        <v>692</v>
      </c>
      <c r="AP2816" s="781"/>
      <c r="AQ2816" s="782">
        <v>12071839</v>
      </c>
      <c r="AR2816" s="782">
        <v>12047514</v>
      </c>
      <c r="AS2816" s="782">
        <v>12047515</v>
      </c>
      <c r="AT2816" s="782">
        <v>12084374</v>
      </c>
      <c r="AU2816" s="781"/>
      <c r="AV2816" s="782">
        <v>12084372</v>
      </c>
      <c r="AW2816" s="782">
        <v>12024404</v>
      </c>
      <c r="AX2816" s="782"/>
      <c r="AY2816" s="782">
        <v>12094311</v>
      </c>
      <c r="AZ2816" s="782"/>
      <c r="BA2816" s="781"/>
      <c r="BB2816" s="209">
        <v>23053185</v>
      </c>
    </row>
    <row r="2817" spans="1:54" ht="25" hidden="1" customHeight="1">
      <c r="A2817" s="142" t="s">
        <v>120</v>
      </c>
      <c r="B2817" s="271">
        <v>45986</v>
      </c>
      <c r="C2817" s="272">
        <v>45992</v>
      </c>
      <c r="D2817" s="185">
        <f t="shared" si="1197"/>
        <v>2025</v>
      </c>
      <c r="E2817" s="272" t="e">
        <f>VLOOKUP($B2817,Week!$A$1:$C$1462,2,0)</f>
        <v>#N/A</v>
      </c>
      <c r="F2817" s="273" t="str">
        <f t="shared" si="1198"/>
        <v>Nov</v>
      </c>
      <c r="G2817" s="274" t="s">
        <v>2628</v>
      </c>
      <c r="H2817" s="274" t="s">
        <v>500</v>
      </c>
      <c r="I2817" s="274" t="s">
        <v>2772</v>
      </c>
      <c r="J2817" s="275" t="s">
        <v>285</v>
      </c>
      <c r="K2817" s="276" t="s">
        <v>153</v>
      </c>
      <c r="L2817" s="390" t="s">
        <v>2166</v>
      </c>
      <c r="M2817" s="275" t="s">
        <v>86</v>
      </c>
      <c r="N2817" s="274" t="s">
        <v>547</v>
      </c>
      <c r="O2817" s="274" t="s">
        <v>548</v>
      </c>
      <c r="P2817" s="277">
        <v>10</v>
      </c>
      <c r="Q2817" s="277">
        <v>50</v>
      </c>
      <c r="R2817" s="278">
        <v>6.8100000000000001E-3</v>
      </c>
      <c r="S2817" s="274" t="s">
        <v>76</v>
      </c>
      <c r="T2817" s="274" t="s">
        <v>56</v>
      </c>
      <c r="U2817" s="274" t="s">
        <v>89</v>
      </c>
      <c r="V2817" s="279">
        <f>2056-707-689</f>
        <v>660</v>
      </c>
      <c r="W2817" s="279">
        <v>660</v>
      </c>
      <c r="X2817" s="280"/>
      <c r="Y2817" s="281">
        <f t="shared" si="1199"/>
        <v>0</v>
      </c>
      <c r="Z2817" s="282">
        <f t="shared" si="1200"/>
        <v>0</v>
      </c>
      <c r="AA2817" s="282">
        <f t="shared" si="1201"/>
        <v>0</v>
      </c>
      <c r="AB2817" s="812">
        <v>6</v>
      </c>
      <c r="AC2817" s="279">
        <f t="shared" si="1202"/>
        <v>0</v>
      </c>
      <c r="AD2817" s="209"/>
      <c r="AE2817" s="210">
        <f t="shared" si="1203"/>
        <v>0</v>
      </c>
      <c r="AF2817" s="210">
        <f t="shared" si="1204"/>
        <v>0</v>
      </c>
      <c r="AG2817" s="211">
        <f t="shared" si="1205"/>
        <v>0.63</v>
      </c>
      <c r="AH2817" s="157">
        <f t="shared" si="1206"/>
        <v>0</v>
      </c>
      <c r="AI2817" s="152">
        <f t="shared" si="1207"/>
        <v>6600</v>
      </c>
      <c r="AK2817" s="156" t="s">
        <v>691</v>
      </c>
      <c r="AL2817" s="156" t="s">
        <v>689</v>
      </c>
      <c r="AM2817" s="198">
        <f t="shared" si="1208"/>
        <v>0</v>
      </c>
      <c r="AN2817" s="199">
        <f t="shared" si="1209"/>
        <v>45986</v>
      </c>
      <c r="AO2817" s="159" t="s">
        <v>692</v>
      </c>
      <c r="AP2817" s="783" t="s">
        <v>620</v>
      </c>
      <c r="AQ2817" s="796" t="s">
        <v>422</v>
      </c>
      <c r="AR2817" s="782">
        <v>12055234</v>
      </c>
      <c r="AS2817" s="781"/>
      <c r="AT2817" s="782"/>
      <c r="AU2817" s="782"/>
      <c r="AV2817" s="782">
        <v>12062809</v>
      </c>
      <c r="AW2817" s="782"/>
      <c r="AX2817" s="782" t="s">
        <v>619</v>
      </c>
      <c r="AY2817" s="781"/>
      <c r="AZ2817" s="781"/>
      <c r="BA2817" s="781"/>
      <c r="BB2817" s="209">
        <v>23053184</v>
      </c>
    </row>
    <row r="2818" spans="1:54" ht="24.75" hidden="1" customHeight="1">
      <c r="B2818" s="295">
        <v>45986</v>
      </c>
      <c r="C2818" s="771" t="s">
        <v>1936</v>
      </c>
      <c r="D2818" s="185">
        <f t="shared" si="1197"/>
        <v>2025</v>
      </c>
      <c r="E2818" s="296" t="e">
        <f>VLOOKUP($B2818,Week!$A$1:$C$1462,2,0)</f>
        <v>#N/A</v>
      </c>
      <c r="F2818" s="297" t="str">
        <f t="shared" si="1198"/>
        <v>Nov</v>
      </c>
      <c r="G2818" s="648" t="s">
        <v>47</v>
      </c>
      <c r="H2818" s="298" t="s">
        <v>260</v>
      </c>
      <c r="I2818" s="298" t="s">
        <v>2702</v>
      </c>
      <c r="J2818" s="307" t="s">
        <v>2240</v>
      </c>
      <c r="K2818" s="300" t="s">
        <v>176</v>
      </c>
      <c r="L2818" s="300" t="s">
        <v>2167</v>
      </c>
      <c r="M2818" s="299" t="s">
        <v>2338</v>
      </c>
      <c r="N2818" s="298" t="s">
        <v>350</v>
      </c>
      <c r="O2818" s="298" t="s">
        <v>351</v>
      </c>
      <c r="P2818" s="301">
        <v>24</v>
      </c>
      <c r="Q2818" s="301">
        <v>5</v>
      </c>
      <c r="R2818" s="302">
        <v>6.1999999999999998E-3</v>
      </c>
      <c r="S2818" s="298" t="s">
        <v>352</v>
      </c>
      <c r="T2818" s="298" t="s">
        <v>56</v>
      </c>
      <c r="U2818" s="298" t="s">
        <v>57</v>
      </c>
      <c r="V2818" s="303">
        <v>2613</v>
      </c>
      <c r="W2818" s="303">
        <f>2613</f>
        <v>2613</v>
      </c>
      <c r="X2818" s="304"/>
      <c r="Y2818" s="305">
        <f t="shared" si="1199"/>
        <v>0</v>
      </c>
      <c r="Z2818" s="306">
        <f t="shared" si="1200"/>
        <v>0</v>
      </c>
      <c r="AA2818" s="306">
        <f t="shared" si="1201"/>
        <v>0</v>
      </c>
      <c r="AB2818" s="814">
        <v>7.4999999999999997E-3</v>
      </c>
      <c r="AC2818" s="303">
        <f t="shared" si="1202"/>
        <v>0</v>
      </c>
      <c r="AD2818" s="443"/>
      <c r="AE2818" s="210">
        <f t="shared" si="1203"/>
        <v>0</v>
      </c>
      <c r="AF2818" s="210">
        <f t="shared" si="1204"/>
        <v>0</v>
      </c>
      <c r="AG2818" s="211">
        <f t="shared" si="1205"/>
        <v>0.13</v>
      </c>
      <c r="AH2818" s="157">
        <f t="shared" si="1206"/>
        <v>0</v>
      </c>
      <c r="AI2818" s="152">
        <f t="shared" si="1207"/>
        <v>62712</v>
      </c>
      <c r="AK2818" s="156" t="s">
        <v>691</v>
      </c>
      <c r="AL2818" s="574" t="s">
        <v>690</v>
      </c>
      <c r="AM2818" s="198">
        <f t="shared" si="1208"/>
        <v>0</v>
      </c>
      <c r="AN2818" s="199">
        <f t="shared" si="1209"/>
        <v>45986</v>
      </c>
      <c r="AO2818" s="159" t="s">
        <v>692</v>
      </c>
      <c r="AP2818" s="783" t="s">
        <v>622</v>
      </c>
      <c r="AQ2818" s="782">
        <v>12071839</v>
      </c>
      <c r="AR2818" s="782">
        <v>12094356</v>
      </c>
      <c r="AS2818" s="782">
        <v>12068233</v>
      </c>
      <c r="AT2818" s="781"/>
      <c r="AU2818" s="781"/>
      <c r="AV2818" s="782">
        <v>12062075</v>
      </c>
      <c r="AW2818" s="781"/>
      <c r="AX2818" s="781"/>
      <c r="AY2818" s="782">
        <v>12094357</v>
      </c>
      <c r="AZ2818" s="782"/>
      <c r="BA2818" s="781"/>
      <c r="BB2818" s="209">
        <v>23053184</v>
      </c>
    </row>
    <row r="2819" spans="1:54" ht="25" hidden="1" customHeight="1">
      <c r="B2819" s="424">
        <v>45986</v>
      </c>
      <c r="C2819" s="647" t="s">
        <v>1936</v>
      </c>
      <c r="D2819" s="185">
        <f t="shared" si="1197"/>
        <v>2025</v>
      </c>
      <c r="E2819" s="425" t="e">
        <f>VLOOKUP($B2819,Week!$A$1:$C$1462,2,0)</f>
        <v>#N/A</v>
      </c>
      <c r="F2819" s="426" t="str">
        <f t="shared" si="1198"/>
        <v>Nov</v>
      </c>
      <c r="G2819" s="427" t="s">
        <v>47</v>
      </c>
      <c r="H2819" s="427" t="s">
        <v>518</v>
      </c>
      <c r="I2819" s="427" t="s">
        <v>2702</v>
      </c>
      <c r="J2819" s="428" t="s">
        <v>70</v>
      </c>
      <c r="K2819" s="429" t="s">
        <v>94</v>
      </c>
      <c r="L2819" s="300" t="s">
        <v>2167</v>
      </c>
      <c r="M2819" s="428" t="s">
        <v>2342</v>
      </c>
      <c r="N2819" s="427" t="s">
        <v>587</v>
      </c>
      <c r="O2819" s="427" t="s">
        <v>3198</v>
      </c>
      <c r="P2819" s="430">
        <v>18</v>
      </c>
      <c r="Q2819" s="430">
        <v>5</v>
      </c>
      <c r="R2819" s="431">
        <v>8.0000000000000002E-3</v>
      </c>
      <c r="S2819" s="427" t="s">
        <v>40</v>
      </c>
      <c r="T2819" s="427" t="s">
        <v>56</v>
      </c>
      <c r="U2819" s="427" t="s">
        <v>89</v>
      </c>
      <c r="V2819" s="432">
        <f>2400-1131-1226</f>
        <v>43</v>
      </c>
      <c r="W2819" s="432">
        <f>1+42</f>
        <v>43</v>
      </c>
      <c r="X2819" s="433"/>
      <c r="Y2819" s="434">
        <f t="shared" si="1199"/>
        <v>0</v>
      </c>
      <c r="Z2819" s="435">
        <f>IF(Y2819&lt;0,((V2819*P2819)-((W2819+X2819)*P2819)),0)</f>
        <v>0</v>
      </c>
      <c r="AA2819" s="435">
        <f t="shared" si="1201"/>
        <v>0</v>
      </c>
      <c r="AB2819" s="826">
        <v>1</v>
      </c>
      <c r="AC2819" s="432">
        <f t="shared" si="1202"/>
        <v>0</v>
      </c>
      <c r="AD2819" s="209"/>
      <c r="AE2819" s="210">
        <f>SUM(Q2819*R2819*Z2819)/1000</f>
        <v>0</v>
      </c>
      <c r="AF2819" s="210">
        <f t="shared" si="1204"/>
        <v>0</v>
      </c>
      <c r="AG2819" s="211" t="e">
        <f>(MID(O2819,1,3)/1000)/3</f>
        <v>#VALUE!</v>
      </c>
      <c r="AH2819" s="157" t="e">
        <f t="shared" si="1206"/>
        <v>#VALUE!</v>
      </c>
      <c r="AI2819" s="152">
        <f t="shared" si="1207"/>
        <v>774</v>
      </c>
      <c r="AK2819" s="156" t="s">
        <v>691</v>
      </c>
      <c r="AL2819" s="212" t="s">
        <v>690</v>
      </c>
      <c r="AM2819" s="198" t="e">
        <f>AG2819*Z2819</f>
        <v>#VALUE!</v>
      </c>
      <c r="AN2819" s="199">
        <f t="shared" si="1209"/>
        <v>45986</v>
      </c>
      <c r="AO2819" s="159" t="s">
        <v>692</v>
      </c>
      <c r="AP2819" s="783" t="s">
        <v>628</v>
      </c>
      <c r="AQ2819" s="782"/>
      <c r="AR2819" s="782"/>
      <c r="AS2819" s="782"/>
      <c r="AT2819" s="782"/>
      <c r="AU2819" s="781"/>
      <c r="AV2819" s="782">
        <v>12080791</v>
      </c>
      <c r="AW2819" s="782" t="s">
        <v>641</v>
      </c>
      <c r="AX2819" s="782" t="s">
        <v>533</v>
      </c>
      <c r="AY2819" s="782"/>
      <c r="AZ2819" s="782"/>
      <c r="BA2819" s="781"/>
      <c r="BB2819" s="209">
        <v>23053184</v>
      </c>
    </row>
    <row r="2820" spans="1:54" ht="25" hidden="1" customHeight="1">
      <c r="B2820" s="357">
        <v>45986</v>
      </c>
      <c r="C2820" s="776" t="s">
        <v>1936</v>
      </c>
      <c r="D2820" s="185">
        <f t="shared" si="1197"/>
        <v>2025</v>
      </c>
      <c r="E2820" s="358" t="e">
        <f>VLOOKUP($B2820,Week!$A$1:$C$1462,2,0)</f>
        <v>#N/A</v>
      </c>
      <c r="F2820" s="360" t="str">
        <f t="shared" si="1198"/>
        <v>Nov</v>
      </c>
      <c r="G2820" s="359" t="s">
        <v>47</v>
      </c>
      <c r="H2820" s="359" t="s">
        <v>518</v>
      </c>
      <c r="I2820" s="359" t="s">
        <v>2702</v>
      </c>
      <c r="J2820" s="361" t="s">
        <v>70</v>
      </c>
      <c r="K2820" s="362" t="s">
        <v>94</v>
      </c>
      <c r="L2820" s="300" t="s">
        <v>2167</v>
      </c>
      <c r="M2820" s="361" t="s">
        <v>2341</v>
      </c>
      <c r="N2820" s="359" t="s">
        <v>589</v>
      </c>
      <c r="O2820" s="359" t="s">
        <v>97</v>
      </c>
      <c r="P2820" s="363">
        <v>12</v>
      </c>
      <c r="Q2820" s="363">
        <v>5</v>
      </c>
      <c r="R2820" s="364">
        <v>8.0000000000000002E-3</v>
      </c>
      <c r="S2820" s="359" t="s">
        <v>40</v>
      </c>
      <c r="T2820" s="359" t="s">
        <v>56</v>
      </c>
      <c r="U2820" s="359" t="s">
        <v>57</v>
      </c>
      <c r="V2820" s="365">
        <f>1250</f>
        <v>1250</v>
      </c>
      <c r="W2820" s="365">
        <f>56+1+1193</f>
        <v>1250</v>
      </c>
      <c r="X2820" s="366"/>
      <c r="Y2820" s="367">
        <f t="shared" si="1199"/>
        <v>0</v>
      </c>
      <c r="Z2820" s="368">
        <f t="shared" si="1200"/>
        <v>0</v>
      </c>
      <c r="AA2820" s="368">
        <f t="shared" si="1201"/>
        <v>0</v>
      </c>
      <c r="AB2820" s="819">
        <v>7.4999999999999997E-3</v>
      </c>
      <c r="AC2820" s="365">
        <f t="shared" si="1202"/>
        <v>0</v>
      </c>
      <c r="AD2820" s="209"/>
      <c r="AE2820" s="210">
        <f t="shared" si="1203"/>
        <v>0</v>
      </c>
      <c r="AF2820" s="210">
        <f t="shared" si="1204"/>
        <v>0</v>
      </c>
      <c r="AG2820" s="211">
        <f t="shared" si="1205"/>
        <v>0.14499999999999999</v>
      </c>
      <c r="AH2820" s="157">
        <f t="shared" si="1206"/>
        <v>0</v>
      </c>
      <c r="AI2820" s="152">
        <f t="shared" si="1207"/>
        <v>15000</v>
      </c>
      <c r="AK2820" s="156" t="s">
        <v>691</v>
      </c>
      <c r="AL2820" s="574" t="s">
        <v>690</v>
      </c>
      <c r="AM2820" s="198">
        <f t="shared" si="1208"/>
        <v>0</v>
      </c>
      <c r="AN2820" s="199">
        <f t="shared" si="1209"/>
        <v>45986</v>
      </c>
      <c r="AO2820" s="159" t="s">
        <v>692</v>
      </c>
      <c r="AP2820" s="783" t="s">
        <v>628</v>
      </c>
      <c r="AQ2820" s="782">
        <v>12071839</v>
      </c>
      <c r="AR2820" s="782">
        <v>12047514</v>
      </c>
      <c r="AS2820" s="782">
        <v>12047515</v>
      </c>
      <c r="AT2820" s="782"/>
      <c r="AU2820" s="781"/>
      <c r="AV2820" s="782">
        <v>12080617</v>
      </c>
      <c r="AW2820" s="782"/>
      <c r="AX2820" s="782"/>
      <c r="AY2820" s="782">
        <v>12094231</v>
      </c>
      <c r="AZ2820" s="782">
        <v>1209232</v>
      </c>
      <c r="BA2820" s="781"/>
      <c r="BB2820" s="209">
        <v>23053185</v>
      </c>
    </row>
    <row r="2821" spans="1:54" ht="25" hidden="1" customHeight="1">
      <c r="B2821" s="398">
        <v>45986</v>
      </c>
      <c r="C2821" s="879" t="s">
        <v>1936</v>
      </c>
      <c r="D2821" s="185">
        <f t="shared" si="1197"/>
        <v>2025</v>
      </c>
      <c r="E2821" s="399" t="e">
        <f>VLOOKUP($B2821,Week!$A$1:$C$1462,2,0)</f>
        <v>#N/A</v>
      </c>
      <c r="F2821" s="400" t="str">
        <f t="shared" si="1198"/>
        <v>Nov</v>
      </c>
      <c r="G2821" s="401" t="s">
        <v>47</v>
      </c>
      <c r="H2821" s="401" t="s">
        <v>518</v>
      </c>
      <c r="I2821" s="401" t="s">
        <v>2702</v>
      </c>
      <c r="J2821" s="402" t="s">
        <v>70</v>
      </c>
      <c r="K2821" s="403" t="s">
        <v>1645</v>
      </c>
      <c r="L2821" s="300" t="s">
        <v>2167</v>
      </c>
      <c r="M2821" s="402" t="s">
        <v>2567</v>
      </c>
      <c r="N2821" s="404" t="s">
        <v>2520</v>
      </c>
      <c r="O2821" s="401" t="s">
        <v>747</v>
      </c>
      <c r="P2821" s="405">
        <v>12</v>
      </c>
      <c r="Q2821" s="405">
        <v>5</v>
      </c>
      <c r="R2821" s="406">
        <v>8.0000000000000002E-3</v>
      </c>
      <c r="S2821" s="401" t="s">
        <v>352</v>
      </c>
      <c r="T2821" s="401" t="s">
        <v>56</v>
      </c>
      <c r="U2821" s="770" t="s">
        <v>669</v>
      </c>
      <c r="V2821" s="407">
        <f>800</f>
        <v>800</v>
      </c>
      <c r="W2821" s="407">
        <f>1+799</f>
        <v>800</v>
      </c>
      <c r="X2821" s="408"/>
      <c r="Y2821" s="409">
        <f t="shared" si="1199"/>
        <v>0</v>
      </c>
      <c r="Z2821" s="410">
        <f t="shared" si="1200"/>
        <v>0</v>
      </c>
      <c r="AA2821" s="410">
        <f t="shared" si="1201"/>
        <v>0</v>
      </c>
      <c r="AB2821" s="824">
        <v>8.9999999999999993E-3</v>
      </c>
      <c r="AC2821" s="407">
        <f t="shared" si="1202"/>
        <v>0</v>
      </c>
      <c r="AD2821" s="443"/>
      <c r="AE2821" s="210">
        <f t="shared" si="1203"/>
        <v>0</v>
      </c>
      <c r="AF2821" s="210">
        <f t="shared" si="1204"/>
        <v>0</v>
      </c>
      <c r="AG2821" s="211">
        <f t="shared" si="1205"/>
        <v>0.14299999999999999</v>
      </c>
      <c r="AH2821" s="157">
        <f t="shared" si="1206"/>
        <v>0</v>
      </c>
      <c r="AI2821" s="152">
        <f t="shared" si="1207"/>
        <v>9600</v>
      </c>
      <c r="AK2821" s="156" t="s">
        <v>691</v>
      </c>
      <c r="AL2821" s="212" t="s">
        <v>690</v>
      </c>
      <c r="AM2821" s="198">
        <f t="shared" si="1208"/>
        <v>0</v>
      </c>
      <c r="AN2821" s="199">
        <f t="shared" si="1209"/>
        <v>45986</v>
      </c>
      <c r="AO2821" s="159" t="s">
        <v>692</v>
      </c>
      <c r="AP2821" s="783" t="s">
        <v>623</v>
      </c>
      <c r="AQ2821" s="782">
        <v>12071839</v>
      </c>
      <c r="AR2821" s="782">
        <v>12047514</v>
      </c>
      <c r="AS2821" s="782">
        <v>12047515</v>
      </c>
      <c r="AT2821" s="782"/>
      <c r="AU2821" s="781"/>
      <c r="AV2821" s="782">
        <v>12096536</v>
      </c>
      <c r="AW2821" s="782"/>
      <c r="AX2821" s="782"/>
      <c r="AY2821" s="782">
        <v>12096534</v>
      </c>
      <c r="AZ2821" s="782">
        <v>12096535</v>
      </c>
      <c r="BA2821" s="781"/>
      <c r="BB2821" s="209">
        <v>23098853</v>
      </c>
    </row>
    <row r="2822" spans="1:54" ht="25" hidden="1" customHeight="1">
      <c r="B2822" s="398">
        <v>45986</v>
      </c>
      <c r="C2822" s="879" t="s">
        <v>1936</v>
      </c>
      <c r="D2822" s="185">
        <f t="shared" si="1197"/>
        <v>2025</v>
      </c>
      <c r="E2822" s="399" t="e">
        <f>VLOOKUP($B2822,Week!$A$1:$C$1462,2,0)</f>
        <v>#N/A</v>
      </c>
      <c r="F2822" s="400" t="str">
        <f t="shared" si="1198"/>
        <v>Nov</v>
      </c>
      <c r="G2822" s="401" t="s">
        <v>47</v>
      </c>
      <c r="H2822" s="401" t="s">
        <v>518</v>
      </c>
      <c r="I2822" s="401" t="s">
        <v>2702</v>
      </c>
      <c r="J2822" s="402" t="s">
        <v>70</v>
      </c>
      <c r="K2822" s="403" t="s">
        <v>1645</v>
      </c>
      <c r="L2822" s="300" t="s">
        <v>2167</v>
      </c>
      <c r="M2822" s="402" t="s">
        <v>2567</v>
      </c>
      <c r="N2822" s="404" t="s">
        <v>2520</v>
      </c>
      <c r="O2822" s="401" t="s">
        <v>747</v>
      </c>
      <c r="P2822" s="405">
        <v>12</v>
      </c>
      <c r="Q2822" s="405">
        <v>5</v>
      </c>
      <c r="R2822" s="406">
        <v>8.0000000000000002E-3</v>
      </c>
      <c r="S2822" s="401" t="s">
        <v>352</v>
      </c>
      <c r="T2822" s="401" t="s">
        <v>56</v>
      </c>
      <c r="U2822" s="770" t="s">
        <v>669</v>
      </c>
      <c r="V2822" s="407">
        <f>200</f>
        <v>200</v>
      </c>
      <c r="W2822" s="407">
        <v>200</v>
      </c>
      <c r="X2822" s="408"/>
      <c r="Y2822" s="409">
        <f t="shared" si="1199"/>
        <v>0</v>
      </c>
      <c r="Z2822" s="410">
        <f t="shared" si="1200"/>
        <v>0</v>
      </c>
      <c r="AA2822" s="410">
        <f t="shared" si="1201"/>
        <v>0</v>
      </c>
      <c r="AB2822" s="824">
        <v>8.9999999999999993E-3</v>
      </c>
      <c r="AC2822" s="407">
        <f t="shared" si="1202"/>
        <v>0</v>
      </c>
      <c r="AD2822" s="443"/>
      <c r="AE2822" s="210">
        <f t="shared" si="1203"/>
        <v>0</v>
      </c>
      <c r="AF2822" s="210">
        <f t="shared" si="1204"/>
        <v>0</v>
      </c>
      <c r="AG2822" s="211">
        <f t="shared" si="1205"/>
        <v>0.14299999999999999</v>
      </c>
      <c r="AH2822" s="157">
        <f t="shared" si="1206"/>
        <v>0</v>
      </c>
      <c r="AI2822" s="152">
        <f t="shared" si="1207"/>
        <v>2400</v>
      </c>
      <c r="AK2822" s="156" t="s">
        <v>691</v>
      </c>
      <c r="AL2822" s="212" t="s">
        <v>690</v>
      </c>
      <c r="AM2822" s="198">
        <f t="shared" si="1208"/>
        <v>0</v>
      </c>
      <c r="AN2822" s="199">
        <f t="shared" si="1209"/>
        <v>45986</v>
      </c>
      <c r="AO2822" s="159" t="s">
        <v>692</v>
      </c>
      <c r="AP2822" s="783" t="s">
        <v>623</v>
      </c>
      <c r="AQ2822" s="782">
        <v>12071839</v>
      </c>
      <c r="AR2822" s="782">
        <v>12047514</v>
      </c>
      <c r="AS2822" s="782">
        <v>12047515</v>
      </c>
      <c r="AT2822" s="782"/>
      <c r="AU2822" s="781"/>
      <c r="AV2822" s="782">
        <v>12096536</v>
      </c>
      <c r="AW2822" s="782"/>
      <c r="AX2822" s="782"/>
      <c r="AY2822" s="782">
        <v>12096534</v>
      </c>
      <c r="AZ2822" s="782">
        <v>12096535</v>
      </c>
      <c r="BA2822" s="781"/>
      <c r="BB2822" s="209">
        <v>23098853</v>
      </c>
    </row>
    <row r="2823" spans="1:54" ht="25" hidden="1" customHeight="1">
      <c r="A2823" s="142" t="s">
        <v>120</v>
      </c>
      <c r="B2823" s="320">
        <v>45987</v>
      </c>
      <c r="C2823" s="321">
        <v>45993</v>
      </c>
      <c r="D2823" s="323">
        <f t="shared" ref="D2823:D2856" si="1210">IF(B2823="","",YEAR(B2823))</f>
        <v>2025</v>
      </c>
      <c r="E2823" s="321" t="e">
        <f>VLOOKUP($B2823,Week!$A$1:$C$1462,2,0)</f>
        <v>#N/A</v>
      </c>
      <c r="F2823" s="322" t="str">
        <f t="shared" ref="F2823:F2856" si="1211">IF(B2823="","",TEXT(B2823,"[$-409]mmm"))</f>
        <v>Nov</v>
      </c>
      <c r="G2823" s="323" t="s">
        <v>2642</v>
      </c>
      <c r="H2823" s="323" t="s">
        <v>363</v>
      </c>
      <c r="I2823" s="323" t="s">
        <v>2772</v>
      </c>
      <c r="J2823" s="324" t="s">
        <v>364</v>
      </c>
      <c r="K2823" s="325" t="s">
        <v>2583</v>
      </c>
      <c r="L2823" s="325" t="s">
        <v>2166</v>
      </c>
      <c r="M2823" s="324" t="s">
        <v>2586</v>
      </c>
      <c r="N2823" s="323" t="s">
        <v>2584</v>
      </c>
      <c r="O2823" s="323" t="s">
        <v>2587</v>
      </c>
      <c r="P2823" s="326">
        <v>20</v>
      </c>
      <c r="Q2823" s="326">
        <v>50</v>
      </c>
      <c r="R2823" s="327">
        <v>4.0000000000000001E-3</v>
      </c>
      <c r="S2823" s="323" t="s">
        <v>55</v>
      </c>
      <c r="T2823" s="323" t="s">
        <v>112</v>
      </c>
      <c r="U2823" s="323" t="s">
        <v>77</v>
      </c>
      <c r="V2823" s="328">
        <v>176</v>
      </c>
      <c r="W2823" s="328">
        <v>176</v>
      </c>
      <c r="X2823" s="329"/>
      <c r="Y2823" s="330">
        <f>(W2823+X2823)-V2823</f>
        <v>0</v>
      </c>
      <c r="Z2823" s="331">
        <f>IF(Y2823&lt;0,((V2823*P2823)-((W2823+X2823)*P2823)),0)</f>
        <v>0</v>
      </c>
      <c r="AA2823" s="331">
        <f t="shared" ref="AA2823:AA2848" si="1212">Q2823*Z2823</f>
        <v>0</v>
      </c>
      <c r="AB2823" s="816">
        <v>6</v>
      </c>
      <c r="AC2823" s="328">
        <f>Z2823*AB2823</f>
        <v>0</v>
      </c>
      <c r="AD2823" s="209"/>
      <c r="AE2823" s="210">
        <f>SUM(Q2823*R2823*Z2823)/1000</f>
        <v>0</v>
      </c>
      <c r="AF2823" s="210">
        <f t="shared" si="1204"/>
        <v>0</v>
      </c>
      <c r="AG2823" s="211">
        <f t="shared" si="1205"/>
        <v>0.5</v>
      </c>
      <c r="AH2823" s="157">
        <f>(Z2823*AG2823)/1000</f>
        <v>0</v>
      </c>
      <c r="AI2823" s="152">
        <f>V2823*P2823</f>
        <v>3520</v>
      </c>
      <c r="AK2823" s="156" t="s">
        <v>691</v>
      </c>
      <c r="AL2823" s="156" t="s">
        <v>689</v>
      </c>
      <c r="AM2823" s="198">
        <f t="shared" si="1208"/>
        <v>0</v>
      </c>
      <c r="AN2823" s="199">
        <f t="shared" ref="AN2823:AN2848" si="1213">B2823</f>
        <v>45987</v>
      </c>
      <c r="AO2823" s="159" t="s">
        <v>692</v>
      </c>
      <c r="AP2823" s="783" t="s">
        <v>620</v>
      </c>
      <c r="AQ2823" s="796" t="s">
        <v>422</v>
      </c>
      <c r="AR2823" s="782">
        <v>12055234</v>
      </c>
      <c r="AS2823" s="781"/>
      <c r="AT2823" s="782"/>
      <c r="AU2823" s="782"/>
      <c r="AV2823" s="782">
        <v>12094353</v>
      </c>
      <c r="AW2823" s="782"/>
      <c r="AX2823" s="782">
        <v>12036656</v>
      </c>
      <c r="AY2823" s="799" t="s">
        <v>2616</v>
      </c>
      <c r="AZ2823" s="781"/>
      <c r="BA2823" s="781"/>
      <c r="BB2823" s="209">
        <v>23053184</v>
      </c>
    </row>
    <row r="2824" spans="1:54" ht="25" hidden="1" customHeight="1">
      <c r="B2824" s="320">
        <v>45987</v>
      </c>
      <c r="C2824" s="844" t="s">
        <v>1936</v>
      </c>
      <c r="D2824" s="185">
        <f t="shared" si="1210"/>
        <v>2025</v>
      </c>
      <c r="E2824" s="321" t="e">
        <f>VLOOKUP($B2824,Week!$A$1:$C$1462,2,0)</f>
        <v>#N/A</v>
      </c>
      <c r="F2824" s="322" t="str">
        <f t="shared" si="1211"/>
        <v>Nov</v>
      </c>
      <c r="G2824" s="323" t="s">
        <v>47</v>
      </c>
      <c r="H2824" s="323" t="s">
        <v>518</v>
      </c>
      <c r="I2824" s="323" t="s">
        <v>2702</v>
      </c>
      <c r="J2824" s="324" t="s">
        <v>70</v>
      </c>
      <c r="K2824" s="325" t="s">
        <v>564</v>
      </c>
      <c r="L2824" s="300" t="s">
        <v>2167</v>
      </c>
      <c r="M2824" s="324" t="s">
        <v>2343</v>
      </c>
      <c r="N2824" s="323" t="s">
        <v>559</v>
      </c>
      <c r="O2824" s="323" t="s">
        <v>560</v>
      </c>
      <c r="P2824" s="326">
        <v>12</v>
      </c>
      <c r="Q2824" s="326">
        <v>3</v>
      </c>
      <c r="R2824" s="327">
        <v>8.0000000000000002E-3</v>
      </c>
      <c r="S2824" s="323" t="s">
        <v>40</v>
      </c>
      <c r="T2824" s="323" t="s">
        <v>56</v>
      </c>
      <c r="U2824" s="323" t="s">
        <v>57</v>
      </c>
      <c r="V2824" s="397">
        <f>500</f>
        <v>500</v>
      </c>
      <c r="W2824" s="328">
        <f>21+36+443</f>
        <v>500</v>
      </c>
      <c r="X2824" s="329"/>
      <c r="Y2824" s="330">
        <f t="shared" ref="Y2824:Y2834" si="1214">(W2824+X2824)-V2824</f>
        <v>0</v>
      </c>
      <c r="Z2824" s="331">
        <f t="shared" ref="Z2824:Z2834" si="1215">IF(Y2824&lt;0,((V2824*P2824)-((W2824+X2824)*P2824)),0)</f>
        <v>0</v>
      </c>
      <c r="AA2824" s="331">
        <f t="shared" si="1212"/>
        <v>0</v>
      </c>
      <c r="AB2824" s="816">
        <v>7.4999999999999997E-3</v>
      </c>
      <c r="AC2824" s="328">
        <f t="shared" ref="AC2824:AC2834" si="1216">Z2824*AB2824</f>
        <v>0</v>
      </c>
      <c r="AD2824" s="209"/>
      <c r="AE2824" s="210">
        <f t="shared" ref="AE2824:AE2834" si="1217">SUM(Q2824*R2824*Z2824)/1000</f>
        <v>0</v>
      </c>
      <c r="AF2824" s="210">
        <f t="shared" ref="AF2824:AF2834" si="1218">AE2824/0.54</f>
        <v>0</v>
      </c>
      <c r="AG2824" s="211">
        <f t="shared" ref="AG2824:AG2829" si="1219">MID(O2824,1,3)/1000</f>
        <v>0.22600000000000001</v>
      </c>
      <c r="AH2824" s="157">
        <f t="shared" ref="AH2824:AH2834" si="1220">(Z2824*AG2824)/1000</f>
        <v>0</v>
      </c>
      <c r="AI2824" s="152">
        <f t="shared" ref="AI2824:AI2834" si="1221">V2824*P2824</f>
        <v>6000</v>
      </c>
      <c r="AK2824" s="156" t="s">
        <v>691</v>
      </c>
      <c r="AL2824" s="212" t="s">
        <v>690</v>
      </c>
      <c r="AM2824" s="198">
        <f t="shared" ref="AM2824:AM2848" si="1222">AG2824*Z2824</f>
        <v>0</v>
      </c>
      <c r="AN2824" s="199">
        <f t="shared" si="1213"/>
        <v>45987</v>
      </c>
      <c r="AO2824" s="159" t="s">
        <v>692</v>
      </c>
      <c r="AP2824" s="783" t="s">
        <v>623</v>
      </c>
      <c r="AQ2824" s="782">
        <v>12071839</v>
      </c>
      <c r="AR2824" s="782">
        <v>12042650</v>
      </c>
      <c r="AS2824" s="782">
        <v>12042649</v>
      </c>
      <c r="AT2824" s="782"/>
      <c r="AU2824" s="781"/>
      <c r="AV2824" s="782">
        <v>12083156</v>
      </c>
      <c r="AW2824" s="782"/>
      <c r="AX2824" s="782"/>
      <c r="AY2824" s="782">
        <v>12094235</v>
      </c>
      <c r="AZ2824" s="782">
        <v>12094236</v>
      </c>
      <c r="BA2824" s="781"/>
      <c r="BB2824" s="209">
        <v>23053185</v>
      </c>
    </row>
    <row r="2825" spans="1:54" ht="25" hidden="1" customHeight="1">
      <c r="B2825" s="332">
        <v>45987</v>
      </c>
      <c r="C2825" s="646" t="s">
        <v>1936</v>
      </c>
      <c r="D2825" s="185">
        <f t="shared" si="1210"/>
        <v>2025</v>
      </c>
      <c r="E2825" s="333" t="e">
        <f>VLOOKUP($B2825,Week!$A$1:$C$1462,2,0)</f>
        <v>#N/A</v>
      </c>
      <c r="F2825" s="334" t="str">
        <f t="shared" si="1211"/>
        <v>Nov</v>
      </c>
      <c r="G2825" s="335" t="s">
        <v>47</v>
      </c>
      <c r="H2825" s="335" t="s">
        <v>518</v>
      </c>
      <c r="I2825" s="335" t="s">
        <v>2702</v>
      </c>
      <c r="J2825" s="336" t="s">
        <v>70</v>
      </c>
      <c r="K2825" s="337" t="s">
        <v>582</v>
      </c>
      <c r="L2825" s="300" t="s">
        <v>2167</v>
      </c>
      <c r="M2825" s="336" t="s">
        <v>534</v>
      </c>
      <c r="N2825" s="530" t="s">
        <v>578</v>
      </c>
      <c r="O2825" s="335" t="s">
        <v>583</v>
      </c>
      <c r="P2825" s="338">
        <v>12</v>
      </c>
      <c r="Q2825" s="338">
        <v>3</v>
      </c>
      <c r="R2825" s="339">
        <v>6.0000000000000001E-3</v>
      </c>
      <c r="S2825" s="335" t="s">
        <v>55</v>
      </c>
      <c r="T2825" s="335" t="s">
        <v>56</v>
      </c>
      <c r="U2825" s="335" t="s">
        <v>57</v>
      </c>
      <c r="V2825" s="341">
        <v>200</v>
      </c>
      <c r="W2825" s="341">
        <f>6+30+189-25</f>
        <v>200</v>
      </c>
      <c r="X2825" s="342"/>
      <c r="Y2825" s="343">
        <f t="shared" si="1214"/>
        <v>0</v>
      </c>
      <c r="Z2825" s="344">
        <f t="shared" si="1215"/>
        <v>0</v>
      </c>
      <c r="AA2825" s="344">
        <f t="shared" si="1212"/>
        <v>0</v>
      </c>
      <c r="AB2825" s="817">
        <v>7.4999999999999997E-3</v>
      </c>
      <c r="AC2825" s="341">
        <f t="shared" si="1216"/>
        <v>0</v>
      </c>
      <c r="AD2825" s="209"/>
      <c r="AE2825" s="210">
        <f t="shared" si="1217"/>
        <v>0</v>
      </c>
      <c r="AF2825" s="210">
        <f t="shared" si="1218"/>
        <v>0</v>
      </c>
      <c r="AG2825" s="211">
        <f t="shared" si="1219"/>
        <v>0.191</v>
      </c>
      <c r="AH2825" s="157">
        <f t="shared" si="1220"/>
        <v>0</v>
      </c>
      <c r="AI2825" s="152">
        <f t="shared" si="1221"/>
        <v>2400</v>
      </c>
      <c r="AK2825" s="156" t="s">
        <v>691</v>
      </c>
      <c r="AL2825" s="212" t="s">
        <v>690</v>
      </c>
      <c r="AM2825" s="198">
        <f t="shared" si="1222"/>
        <v>0</v>
      </c>
      <c r="AN2825" s="199">
        <f t="shared" si="1213"/>
        <v>45987</v>
      </c>
      <c r="AO2825" s="159" t="s">
        <v>692</v>
      </c>
      <c r="AP2825" s="781"/>
      <c r="AQ2825" s="782">
        <v>12071839</v>
      </c>
      <c r="AR2825" s="782">
        <v>12042650</v>
      </c>
      <c r="AS2825" s="782">
        <v>12042649</v>
      </c>
      <c r="AT2825" s="782"/>
      <c r="AU2825" s="781"/>
      <c r="AV2825" s="782">
        <v>12083313</v>
      </c>
      <c r="AW2825" s="782"/>
      <c r="AX2825" s="782"/>
      <c r="AY2825" s="782">
        <v>12094233</v>
      </c>
      <c r="AZ2825" s="782">
        <v>12094234</v>
      </c>
      <c r="BA2825" s="781"/>
      <c r="BB2825" s="209">
        <v>23053185</v>
      </c>
    </row>
    <row r="2826" spans="1:54" ht="25" hidden="1" customHeight="1">
      <c r="B2826" s="271">
        <v>45987</v>
      </c>
      <c r="C2826" s="870" t="s">
        <v>1936</v>
      </c>
      <c r="D2826" s="185">
        <f t="shared" si="1210"/>
        <v>2025</v>
      </c>
      <c r="E2826" s="272" t="e">
        <f>VLOOKUP($B2826,Week!$A$1:$C$1462,2,0)</f>
        <v>#N/A</v>
      </c>
      <c r="F2826" s="273" t="str">
        <f t="shared" si="1211"/>
        <v>Nov</v>
      </c>
      <c r="G2826" s="274" t="s">
        <v>47</v>
      </c>
      <c r="H2826" s="274" t="s">
        <v>518</v>
      </c>
      <c r="I2826" s="274" t="s">
        <v>2702</v>
      </c>
      <c r="J2826" s="275" t="s">
        <v>70</v>
      </c>
      <c r="K2826" s="276" t="s">
        <v>556</v>
      </c>
      <c r="L2826" s="300" t="s">
        <v>2167</v>
      </c>
      <c r="M2826" s="275" t="s">
        <v>520</v>
      </c>
      <c r="N2826" s="423" t="s">
        <v>586</v>
      </c>
      <c r="O2826" s="274" t="s">
        <v>585</v>
      </c>
      <c r="P2826" s="277">
        <v>12</v>
      </c>
      <c r="Q2826" s="277">
        <v>5</v>
      </c>
      <c r="R2826" s="278">
        <v>6.0000000000000001E-3</v>
      </c>
      <c r="S2826" s="274" t="s">
        <v>55</v>
      </c>
      <c r="T2826" s="274" t="s">
        <v>56</v>
      </c>
      <c r="U2826" s="274" t="s">
        <v>57</v>
      </c>
      <c r="V2826" s="279">
        <v>300</v>
      </c>
      <c r="W2826" s="279">
        <f>71+229</f>
        <v>300</v>
      </c>
      <c r="X2826" s="280"/>
      <c r="Y2826" s="281">
        <f t="shared" si="1214"/>
        <v>0</v>
      </c>
      <c r="Z2826" s="282">
        <f t="shared" si="1215"/>
        <v>0</v>
      </c>
      <c r="AA2826" s="282">
        <f t="shared" si="1212"/>
        <v>0</v>
      </c>
      <c r="AB2826" s="812">
        <v>7.4999999999999997E-3</v>
      </c>
      <c r="AC2826" s="279">
        <f t="shared" si="1216"/>
        <v>0</v>
      </c>
      <c r="AD2826" s="209"/>
      <c r="AE2826" s="210">
        <f t="shared" si="1217"/>
        <v>0</v>
      </c>
      <c r="AF2826" s="210">
        <f t="shared" si="1218"/>
        <v>0</v>
      </c>
      <c r="AG2826" s="211">
        <f t="shared" si="1219"/>
        <v>0.13500000000000001</v>
      </c>
      <c r="AH2826" s="157">
        <f t="shared" si="1220"/>
        <v>0</v>
      </c>
      <c r="AI2826" s="152">
        <f t="shared" si="1221"/>
        <v>3600</v>
      </c>
      <c r="AK2826" s="156" t="s">
        <v>691</v>
      </c>
      <c r="AL2826" s="212" t="s">
        <v>690</v>
      </c>
      <c r="AM2826" s="198">
        <f t="shared" si="1222"/>
        <v>0</v>
      </c>
      <c r="AN2826" s="199">
        <f t="shared" si="1213"/>
        <v>45987</v>
      </c>
      <c r="AO2826" s="159" t="s">
        <v>692</v>
      </c>
      <c r="AP2826" s="781"/>
      <c r="AQ2826" s="782">
        <v>12071839</v>
      </c>
      <c r="AR2826" s="782">
        <v>12047514</v>
      </c>
      <c r="AS2826" s="782">
        <v>12047515</v>
      </c>
      <c r="AT2826" s="782"/>
      <c r="AU2826" s="781"/>
      <c r="AV2826" s="782">
        <v>12083307</v>
      </c>
      <c r="AW2826" s="782"/>
      <c r="AX2826" s="782"/>
      <c r="AY2826" s="782">
        <v>12094380</v>
      </c>
      <c r="AZ2826" s="782">
        <v>12094381</v>
      </c>
      <c r="BA2826" s="781"/>
      <c r="BB2826" s="209">
        <v>23053185</v>
      </c>
    </row>
    <row r="2827" spans="1:54" ht="24.65" hidden="1" customHeight="1">
      <c r="B2827" s="411">
        <v>45987</v>
      </c>
      <c r="C2827" s="645" t="s">
        <v>1936</v>
      </c>
      <c r="D2827" s="185">
        <f t="shared" si="1210"/>
        <v>2025</v>
      </c>
      <c r="E2827" s="412" t="e">
        <f>VLOOKUP($B2827,Week!$A$1:$C$1462,2,0)</f>
        <v>#N/A</v>
      </c>
      <c r="F2827" s="413" t="str">
        <f t="shared" si="1211"/>
        <v>Nov</v>
      </c>
      <c r="G2827" s="414" t="s">
        <v>47</v>
      </c>
      <c r="H2827" s="414" t="s">
        <v>260</v>
      </c>
      <c r="I2827" s="414" t="s">
        <v>2702</v>
      </c>
      <c r="J2827" s="415" t="s">
        <v>261</v>
      </c>
      <c r="K2827" s="416" t="s">
        <v>94</v>
      </c>
      <c r="L2827" s="300" t="s">
        <v>2167</v>
      </c>
      <c r="M2827" s="415" t="s">
        <v>2339</v>
      </c>
      <c r="N2827" s="414" t="s">
        <v>263</v>
      </c>
      <c r="O2827" s="414" t="s">
        <v>195</v>
      </c>
      <c r="P2827" s="417">
        <v>24</v>
      </c>
      <c r="Q2827" s="417">
        <v>5</v>
      </c>
      <c r="R2827" s="418">
        <v>8.0000000000000002E-3</v>
      </c>
      <c r="S2827" s="414" t="s">
        <v>40</v>
      </c>
      <c r="T2827" s="414" t="s">
        <v>56</v>
      </c>
      <c r="U2827" s="414" t="s">
        <v>57</v>
      </c>
      <c r="V2827" s="419">
        <v>3413</v>
      </c>
      <c r="W2827" s="419">
        <f>3413</f>
        <v>3413</v>
      </c>
      <c r="X2827" s="420"/>
      <c r="Y2827" s="421">
        <f t="shared" si="1214"/>
        <v>0</v>
      </c>
      <c r="Z2827" s="422">
        <f t="shared" si="1215"/>
        <v>0</v>
      </c>
      <c r="AA2827" s="422">
        <f t="shared" si="1212"/>
        <v>0</v>
      </c>
      <c r="AB2827" s="825">
        <v>7.4999999999999997E-3</v>
      </c>
      <c r="AC2827" s="419">
        <f t="shared" si="1216"/>
        <v>0</v>
      </c>
      <c r="AD2827" s="209"/>
      <c r="AE2827" s="210">
        <f t="shared" si="1217"/>
        <v>0</v>
      </c>
      <c r="AF2827" s="210">
        <f t="shared" si="1218"/>
        <v>0</v>
      </c>
      <c r="AG2827" s="211">
        <f t="shared" si="1219"/>
        <v>0.14499999999999999</v>
      </c>
      <c r="AH2827" s="157">
        <f t="shared" si="1220"/>
        <v>0</v>
      </c>
      <c r="AI2827" s="152">
        <f t="shared" si="1221"/>
        <v>81912</v>
      </c>
      <c r="AK2827" s="156" t="s">
        <v>691</v>
      </c>
      <c r="AL2827" s="212" t="s">
        <v>690</v>
      </c>
      <c r="AM2827" s="198">
        <f t="shared" si="1222"/>
        <v>0</v>
      </c>
      <c r="AN2827" s="199">
        <f t="shared" si="1213"/>
        <v>45987</v>
      </c>
      <c r="AO2827" s="159" t="s">
        <v>692</v>
      </c>
      <c r="AP2827" s="783" t="s">
        <v>609</v>
      </c>
      <c r="AQ2827" s="782">
        <v>12071839</v>
      </c>
      <c r="AR2827" s="782">
        <v>12047514</v>
      </c>
      <c r="AS2827" s="782">
        <v>12047515</v>
      </c>
      <c r="AT2827" s="781"/>
      <c r="AU2827" s="781"/>
      <c r="AV2827" s="782">
        <v>12080613</v>
      </c>
      <c r="AW2827" s="781"/>
      <c r="AX2827" s="781"/>
      <c r="AY2827" s="782">
        <v>12094241</v>
      </c>
      <c r="AZ2827" s="782">
        <v>12094242</v>
      </c>
      <c r="BA2827" s="781"/>
      <c r="BB2827" s="209">
        <v>23053185</v>
      </c>
    </row>
    <row r="2828" spans="1:54" ht="25" hidden="1" customHeight="1">
      <c r="A2828" s="142" t="s">
        <v>120</v>
      </c>
      <c r="B2828" s="320">
        <v>45988</v>
      </c>
      <c r="C2828" s="321">
        <v>45993</v>
      </c>
      <c r="D2828" s="323">
        <f t="shared" si="1210"/>
        <v>2025</v>
      </c>
      <c r="E2828" s="321" t="e">
        <f>VLOOKUP($B2828,Week!$A$1:$C$1462,2,0)</f>
        <v>#N/A</v>
      </c>
      <c r="F2828" s="322" t="str">
        <f t="shared" si="1211"/>
        <v>Nov</v>
      </c>
      <c r="G2828" s="323" t="s">
        <v>2642</v>
      </c>
      <c r="H2828" s="323" t="s">
        <v>363</v>
      </c>
      <c r="I2828" s="323" t="s">
        <v>2772</v>
      </c>
      <c r="J2828" s="324" t="s">
        <v>364</v>
      </c>
      <c r="K2828" s="325" t="s">
        <v>2583</v>
      </c>
      <c r="L2828" s="325" t="s">
        <v>2166</v>
      </c>
      <c r="M2828" s="324" t="s">
        <v>2586</v>
      </c>
      <c r="N2828" s="323" t="s">
        <v>2584</v>
      </c>
      <c r="O2828" s="323" t="s">
        <v>2587</v>
      </c>
      <c r="P2828" s="326">
        <v>20</v>
      </c>
      <c r="Q2828" s="326">
        <v>50</v>
      </c>
      <c r="R2828" s="327">
        <v>4.0000000000000001E-3</v>
      </c>
      <c r="S2828" s="323" t="s">
        <v>55</v>
      </c>
      <c r="T2828" s="323" t="s">
        <v>112</v>
      </c>
      <c r="U2828" s="323" t="s">
        <v>77</v>
      </c>
      <c r="V2828" s="328">
        <v>175</v>
      </c>
      <c r="W2828" s="328">
        <v>175</v>
      </c>
      <c r="X2828" s="329"/>
      <c r="Y2828" s="330">
        <f>(W2828+X2828)-V2828</f>
        <v>0</v>
      </c>
      <c r="Z2828" s="331">
        <f>IF(Y2828&lt;0,((V2828*P2828)-((W2828+X2828)*P2828)),0)</f>
        <v>0</v>
      </c>
      <c r="AA2828" s="331">
        <f t="shared" si="1212"/>
        <v>0</v>
      </c>
      <c r="AB2828" s="816">
        <v>6</v>
      </c>
      <c r="AC2828" s="328">
        <f>Z2828*AB2828</f>
        <v>0</v>
      </c>
      <c r="AD2828" s="209"/>
      <c r="AE2828" s="210">
        <f>SUM(Q2828*R2828*Z2828)/1000</f>
        <v>0</v>
      </c>
      <c r="AF2828" s="210">
        <f>AE2828/0.54</f>
        <v>0</v>
      </c>
      <c r="AG2828" s="211">
        <f>MID(O2828,1,3)/1000</f>
        <v>0.5</v>
      </c>
      <c r="AH2828" s="157">
        <f>(Z2828*AG2828)/1000</f>
        <v>0</v>
      </c>
      <c r="AI2828" s="152">
        <f>V2828*P2828</f>
        <v>3500</v>
      </c>
      <c r="AK2828" s="156" t="s">
        <v>691</v>
      </c>
      <c r="AL2828" s="156" t="s">
        <v>689</v>
      </c>
      <c r="AM2828" s="198">
        <f t="shared" si="1222"/>
        <v>0</v>
      </c>
      <c r="AN2828" s="199">
        <f t="shared" si="1213"/>
        <v>45988</v>
      </c>
      <c r="AO2828" s="159" t="s">
        <v>692</v>
      </c>
      <c r="AP2828" s="783" t="s">
        <v>620</v>
      </c>
      <c r="AQ2828" s="796" t="s">
        <v>422</v>
      </c>
      <c r="AR2828" s="782">
        <v>12055234</v>
      </c>
      <c r="AS2828" s="781"/>
      <c r="AT2828" s="782"/>
      <c r="AU2828" s="782"/>
      <c r="AV2828" s="782">
        <v>12094353</v>
      </c>
      <c r="AW2828" s="782"/>
      <c r="AX2828" s="782">
        <v>12036656</v>
      </c>
      <c r="AY2828" s="799" t="s">
        <v>2616</v>
      </c>
      <c r="AZ2828" s="781"/>
      <c r="BA2828" s="781"/>
      <c r="BB2828" s="209">
        <v>23053184</v>
      </c>
    </row>
    <row r="2829" spans="1:54" ht="24.65" hidden="1" customHeight="1">
      <c r="B2829" s="411">
        <v>45988</v>
      </c>
      <c r="C2829" s="645" t="s">
        <v>1936</v>
      </c>
      <c r="D2829" s="185">
        <f t="shared" si="1210"/>
        <v>2025</v>
      </c>
      <c r="E2829" s="412" t="e">
        <f>VLOOKUP($B2829,Week!$A$1:$C$1462,2,0)</f>
        <v>#N/A</v>
      </c>
      <c r="F2829" s="413" t="str">
        <f t="shared" si="1211"/>
        <v>Nov</v>
      </c>
      <c r="G2829" s="414" t="s">
        <v>47</v>
      </c>
      <c r="H2829" s="414" t="s">
        <v>260</v>
      </c>
      <c r="I2829" s="414" t="s">
        <v>2702</v>
      </c>
      <c r="J2829" s="415" t="s">
        <v>261</v>
      </c>
      <c r="K2829" s="416" t="s">
        <v>94</v>
      </c>
      <c r="L2829" s="300" t="s">
        <v>2167</v>
      </c>
      <c r="M2829" s="415" t="s">
        <v>2339</v>
      </c>
      <c r="N2829" s="414" t="s">
        <v>263</v>
      </c>
      <c r="O2829" s="414" t="s">
        <v>195</v>
      </c>
      <c r="P2829" s="417">
        <v>24</v>
      </c>
      <c r="Q2829" s="417">
        <v>5</v>
      </c>
      <c r="R2829" s="418">
        <v>8.0000000000000002E-3</v>
      </c>
      <c r="S2829" s="414" t="s">
        <v>40</v>
      </c>
      <c r="T2829" s="414" t="s">
        <v>56</v>
      </c>
      <c r="U2829" s="414" t="s">
        <v>57</v>
      </c>
      <c r="V2829" s="419">
        <v>3037</v>
      </c>
      <c r="W2829" s="419">
        <f>3037</f>
        <v>3037</v>
      </c>
      <c r="X2829" s="420"/>
      <c r="Y2829" s="421">
        <f t="shared" si="1214"/>
        <v>0</v>
      </c>
      <c r="Z2829" s="422">
        <f t="shared" si="1215"/>
        <v>0</v>
      </c>
      <c r="AA2829" s="422">
        <f t="shared" si="1212"/>
        <v>0</v>
      </c>
      <c r="AB2829" s="825">
        <v>7.4999999999999997E-3</v>
      </c>
      <c r="AC2829" s="419">
        <f t="shared" si="1216"/>
        <v>0</v>
      </c>
      <c r="AD2829" s="209"/>
      <c r="AE2829" s="210">
        <f t="shared" si="1217"/>
        <v>0</v>
      </c>
      <c r="AF2829" s="210">
        <f t="shared" si="1218"/>
        <v>0</v>
      </c>
      <c r="AG2829" s="211">
        <f t="shared" si="1219"/>
        <v>0.14499999999999999</v>
      </c>
      <c r="AH2829" s="157">
        <f t="shared" si="1220"/>
        <v>0</v>
      </c>
      <c r="AI2829" s="152">
        <f t="shared" si="1221"/>
        <v>72888</v>
      </c>
      <c r="AK2829" s="156" t="s">
        <v>691</v>
      </c>
      <c r="AL2829" s="212" t="s">
        <v>690</v>
      </c>
      <c r="AM2829" s="198">
        <f t="shared" si="1222"/>
        <v>0</v>
      </c>
      <c r="AN2829" s="199">
        <f t="shared" si="1213"/>
        <v>45988</v>
      </c>
      <c r="AO2829" s="159" t="s">
        <v>692</v>
      </c>
      <c r="AP2829" s="783" t="s">
        <v>609</v>
      </c>
      <c r="AQ2829" s="782">
        <v>12071839</v>
      </c>
      <c r="AR2829" s="782">
        <v>12047514</v>
      </c>
      <c r="AS2829" s="782">
        <v>12047515</v>
      </c>
      <c r="AT2829" s="781"/>
      <c r="AU2829" s="781"/>
      <c r="AV2829" s="782">
        <v>12080613</v>
      </c>
      <c r="AW2829" s="781"/>
      <c r="AX2829" s="781"/>
      <c r="AY2829" s="782">
        <v>12094241</v>
      </c>
      <c r="AZ2829" s="782">
        <v>12094242</v>
      </c>
      <c r="BA2829" s="781"/>
      <c r="BB2829" s="209">
        <v>23053185</v>
      </c>
    </row>
    <row r="2830" spans="1:54" ht="25" hidden="1" customHeight="1">
      <c r="B2830" s="880">
        <v>45988</v>
      </c>
      <c r="C2830" s="882">
        <v>45999</v>
      </c>
      <c r="D2830" s="881">
        <f t="shared" si="1210"/>
        <v>2025</v>
      </c>
      <c r="E2830" s="882" t="e">
        <f>VLOOKUP($B2830,Week!$A$1:$C$1462,2,0)</f>
        <v>#N/A</v>
      </c>
      <c r="F2830" s="883" t="str">
        <f t="shared" si="1211"/>
        <v>Nov</v>
      </c>
      <c r="G2830" s="881" t="s">
        <v>47</v>
      </c>
      <c r="H2830" s="881" t="s">
        <v>518</v>
      </c>
      <c r="I2830" s="881" t="s">
        <v>2702</v>
      </c>
      <c r="J2830" s="884" t="s">
        <v>70</v>
      </c>
      <c r="K2830" s="885" t="s">
        <v>94</v>
      </c>
      <c r="L2830" s="885" t="s">
        <v>2167</v>
      </c>
      <c r="M2830" s="884" t="s">
        <v>2690</v>
      </c>
      <c r="N2830" s="881" t="s">
        <v>2636</v>
      </c>
      <c r="O2830" s="881" t="s">
        <v>522</v>
      </c>
      <c r="P2830" s="886">
        <v>18</v>
      </c>
      <c r="Q2830" s="886">
        <v>5</v>
      </c>
      <c r="R2830" s="887">
        <v>8.0000000000000002E-3</v>
      </c>
      <c r="S2830" s="881" t="s">
        <v>40</v>
      </c>
      <c r="T2830" s="881" t="s">
        <v>56</v>
      </c>
      <c r="U2830" s="881" t="s">
        <v>89</v>
      </c>
      <c r="V2830" s="888">
        <f>1000</f>
        <v>1000</v>
      </c>
      <c r="W2830" s="888"/>
      <c r="X2830" s="889">
        <f>1000</f>
        <v>1000</v>
      </c>
      <c r="Y2830" s="890">
        <f t="shared" si="1214"/>
        <v>0</v>
      </c>
      <c r="Z2830" s="891">
        <f t="shared" si="1215"/>
        <v>0</v>
      </c>
      <c r="AA2830" s="891">
        <f t="shared" si="1212"/>
        <v>0</v>
      </c>
      <c r="AB2830" s="892">
        <v>1</v>
      </c>
      <c r="AC2830" s="888">
        <f t="shared" si="1216"/>
        <v>0</v>
      </c>
      <c r="AD2830" s="307" t="s">
        <v>2627</v>
      </c>
      <c r="AE2830" s="210">
        <f t="shared" si="1217"/>
        <v>0</v>
      </c>
      <c r="AF2830" s="210">
        <f t="shared" si="1218"/>
        <v>0</v>
      </c>
      <c r="AG2830" s="211">
        <f>(MID(O2830,1,3)/1000)/3</f>
        <v>9.0000000000000011E-2</v>
      </c>
      <c r="AH2830" s="157">
        <f t="shared" si="1220"/>
        <v>0</v>
      </c>
      <c r="AI2830" s="152">
        <f t="shared" si="1221"/>
        <v>18000</v>
      </c>
      <c r="AK2830" s="156" t="s">
        <v>691</v>
      </c>
      <c r="AL2830" s="212" t="s">
        <v>690</v>
      </c>
      <c r="AM2830" s="198">
        <f t="shared" si="1222"/>
        <v>0</v>
      </c>
      <c r="AN2830" s="199">
        <f t="shared" si="1213"/>
        <v>45988</v>
      </c>
      <c r="AO2830" s="159" t="s">
        <v>692</v>
      </c>
      <c r="AP2830" s="783" t="s">
        <v>628</v>
      </c>
      <c r="AQ2830" s="782"/>
      <c r="AR2830" s="782"/>
      <c r="AS2830" s="782"/>
      <c r="AT2830" s="782"/>
      <c r="AU2830" s="783" t="s">
        <v>2660</v>
      </c>
      <c r="AV2830" s="782">
        <v>12097329</v>
      </c>
      <c r="AW2830" s="782" t="s">
        <v>641</v>
      </c>
      <c r="AX2830" s="782" t="s">
        <v>533</v>
      </c>
      <c r="AY2830" s="782"/>
      <c r="AZ2830" s="782"/>
      <c r="BA2830" s="781"/>
      <c r="BB2830" s="209">
        <v>23053184</v>
      </c>
    </row>
    <row r="2831" spans="1:54" ht="25" hidden="1" customHeight="1">
      <c r="A2831" s="142" t="s">
        <v>120</v>
      </c>
      <c r="B2831" s="308">
        <v>45989</v>
      </c>
      <c r="C2831" s="309">
        <v>46007</v>
      </c>
      <c r="D2831" s="185">
        <f t="shared" si="1210"/>
        <v>2025</v>
      </c>
      <c r="E2831" s="309" t="e">
        <f>VLOOKUP($B2831,Week!$A$1:$C$1462,2,0)</f>
        <v>#N/A</v>
      </c>
      <c r="F2831" s="310" t="str">
        <f t="shared" si="1211"/>
        <v>Nov</v>
      </c>
      <c r="G2831" s="579" t="s">
        <v>2620</v>
      </c>
      <c r="H2831" s="311" t="s">
        <v>104</v>
      </c>
      <c r="I2831" s="311" t="s">
        <v>2772</v>
      </c>
      <c r="J2831" s="312" t="s">
        <v>105</v>
      </c>
      <c r="K2831" s="313" t="s">
        <v>85</v>
      </c>
      <c r="L2831" s="390" t="s">
        <v>2166</v>
      </c>
      <c r="M2831" s="312" t="s">
        <v>86</v>
      </c>
      <c r="N2831" s="311" t="s">
        <v>421</v>
      </c>
      <c r="O2831" s="311" t="s">
        <v>506</v>
      </c>
      <c r="P2831" s="314">
        <v>10</v>
      </c>
      <c r="Q2831" s="314">
        <v>50</v>
      </c>
      <c r="R2831" s="315">
        <v>6.8100000000000001E-3</v>
      </c>
      <c r="S2831" s="311" t="s">
        <v>76</v>
      </c>
      <c r="T2831" s="311" t="s">
        <v>112</v>
      </c>
      <c r="U2831" s="311" t="s">
        <v>89</v>
      </c>
      <c r="V2831" s="316">
        <f>100</f>
        <v>100</v>
      </c>
      <c r="W2831" s="316">
        <f>2+98</f>
        <v>100</v>
      </c>
      <c r="X2831" s="317"/>
      <c r="Y2831" s="318">
        <f>(W2831+X2831)-V2831</f>
        <v>0</v>
      </c>
      <c r="Z2831" s="319">
        <f>IF(Y2831&lt;0,((V2831*P2831)-((W2831+X2831)*P2831)),0)</f>
        <v>0</v>
      </c>
      <c r="AA2831" s="319">
        <f t="shared" si="1212"/>
        <v>0</v>
      </c>
      <c r="AB2831" s="815">
        <v>6</v>
      </c>
      <c r="AC2831" s="316">
        <f>Z2831*AB2831</f>
        <v>0</v>
      </c>
      <c r="AD2831" s="381"/>
      <c r="AE2831" s="210">
        <f>SUM(Q2831*R2831*Z2831)/1000</f>
        <v>0</v>
      </c>
      <c r="AF2831" s="210">
        <f>AE2831/0.54</f>
        <v>0</v>
      </c>
      <c r="AG2831" s="211">
        <f t="shared" ref="AG2831:AG2837" si="1223">MID(O2831,1,3)/1000</f>
        <v>0.57999999999999996</v>
      </c>
      <c r="AH2831" s="157">
        <f>(Z2831*AG2831)/1000</f>
        <v>0</v>
      </c>
      <c r="AI2831" s="152">
        <f>V2831*P2831</f>
        <v>1000</v>
      </c>
      <c r="AJ2831" s="156">
        <f>AI2831*Q2831</f>
        <v>50000</v>
      </c>
      <c r="AK2831" s="156" t="s">
        <v>691</v>
      </c>
      <c r="AL2831" s="156" t="s">
        <v>689</v>
      </c>
      <c r="AM2831" s="198">
        <f t="shared" si="1222"/>
        <v>0</v>
      </c>
      <c r="AN2831" s="199">
        <f t="shared" si="1213"/>
        <v>45989</v>
      </c>
      <c r="AO2831" s="159" t="s">
        <v>692</v>
      </c>
      <c r="AP2831" s="781" t="s">
        <v>423</v>
      </c>
      <c r="AQ2831" s="781" t="s">
        <v>422</v>
      </c>
      <c r="AR2831" s="782">
        <v>12055234</v>
      </c>
      <c r="AS2831" s="781"/>
      <c r="AT2831" s="782">
        <v>12069432</v>
      </c>
      <c r="AU2831" s="781"/>
      <c r="AV2831" s="782">
        <v>12069433</v>
      </c>
      <c r="AW2831" s="781"/>
      <c r="AX2831" s="781" t="s">
        <v>93</v>
      </c>
      <c r="AY2831" s="781"/>
      <c r="AZ2831" s="782"/>
      <c r="BA2831" s="781"/>
      <c r="BB2831" s="209">
        <v>23053184</v>
      </c>
    </row>
    <row r="2832" spans="1:54" ht="25" hidden="1" customHeight="1">
      <c r="A2832" s="142" t="s">
        <v>120</v>
      </c>
      <c r="B2832" s="320">
        <v>45989</v>
      </c>
      <c r="C2832" s="321">
        <v>45993</v>
      </c>
      <c r="D2832" s="323">
        <f t="shared" si="1210"/>
        <v>2025</v>
      </c>
      <c r="E2832" s="321" t="e">
        <f>VLOOKUP($B2832,Week!$A$1:$C$1462,2,0)</f>
        <v>#N/A</v>
      </c>
      <c r="F2832" s="322" t="str">
        <f t="shared" si="1211"/>
        <v>Nov</v>
      </c>
      <c r="G2832" s="323" t="s">
        <v>2642</v>
      </c>
      <c r="H2832" s="323" t="s">
        <v>363</v>
      </c>
      <c r="I2832" s="323" t="s">
        <v>2772</v>
      </c>
      <c r="J2832" s="324" t="s">
        <v>364</v>
      </c>
      <c r="K2832" s="325" t="s">
        <v>2583</v>
      </c>
      <c r="L2832" s="325" t="s">
        <v>2166</v>
      </c>
      <c r="M2832" s="324" t="s">
        <v>2586</v>
      </c>
      <c r="N2832" s="323" t="s">
        <v>2584</v>
      </c>
      <c r="O2832" s="323" t="s">
        <v>2587</v>
      </c>
      <c r="P2832" s="326">
        <v>20</v>
      </c>
      <c r="Q2832" s="326">
        <v>50</v>
      </c>
      <c r="R2832" s="327">
        <v>4.0000000000000001E-3</v>
      </c>
      <c r="S2832" s="323" t="s">
        <v>55</v>
      </c>
      <c r="T2832" s="323" t="s">
        <v>112</v>
      </c>
      <c r="U2832" s="323" t="s">
        <v>77</v>
      </c>
      <c r="V2832" s="328">
        <f>1040-178-179-203-176-175</f>
        <v>129</v>
      </c>
      <c r="W2832" s="328">
        <v>129</v>
      </c>
      <c r="X2832" s="329"/>
      <c r="Y2832" s="330">
        <f>(W2832+X2832)-V2832</f>
        <v>0</v>
      </c>
      <c r="Z2832" s="331">
        <f>IF(Y2832&lt;0,((V2832*P2832)-((W2832+X2832)*P2832)),0)</f>
        <v>0</v>
      </c>
      <c r="AA2832" s="331">
        <f t="shared" si="1212"/>
        <v>0</v>
      </c>
      <c r="AB2832" s="816">
        <v>6</v>
      </c>
      <c r="AC2832" s="328">
        <f>Z2832*AB2832</f>
        <v>0</v>
      </c>
      <c r="AD2832" s="209"/>
      <c r="AE2832" s="210">
        <f>SUM(Q2832*R2832*Z2832)/1000</f>
        <v>0</v>
      </c>
      <c r="AF2832" s="210">
        <f>AE2832/0.54</f>
        <v>0</v>
      </c>
      <c r="AG2832" s="211">
        <f t="shared" si="1223"/>
        <v>0.5</v>
      </c>
      <c r="AH2832" s="157">
        <f>(Z2832*AG2832)/1000</f>
        <v>0</v>
      </c>
      <c r="AI2832" s="152">
        <f>V2832*P2832</f>
        <v>2580</v>
      </c>
      <c r="AK2832" s="156" t="s">
        <v>691</v>
      </c>
      <c r="AL2832" s="156" t="s">
        <v>689</v>
      </c>
      <c r="AM2832" s="198">
        <f t="shared" si="1222"/>
        <v>0</v>
      </c>
      <c r="AN2832" s="199">
        <f t="shared" si="1213"/>
        <v>45989</v>
      </c>
      <c r="AO2832" s="159" t="s">
        <v>692</v>
      </c>
      <c r="AP2832" s="783" t="s">
        <v>620</v>
      </c>
      <c r="AQ2832" s="796" t="s">
        <v>422</v>
      </c>
      <c r="AR2832" s="782">
        <v>12055234</v>
      </c>
      <c r="AS2832" s="781"/>
      <c r="AT2832" s="782"/>
      <c r="AU2832" s="782"/>
      <c r="AV2832" s="782">
        <v>12094353</v>
      </c>
      <c r="AW2832" s="782"/>
      <c r="AX2832" s="782">
        <v>12036656</v>
      </c>
      <c r="AY2832" s="799" t="s">
        <v>2616</v>
      </c>
      <c r="AZ2832" s="781"/>
      <c r="BA2832" s="781"/>
      <c r="BB2832" s="209">
        <v>23053184</v>
      </c>
    </row>
    <row r="2833" spans="1:54" ht="24.65" hidden="1" customHeight="1">
      <c r="A2833" s="630" t="s">
        <v>120</v>
      </c>
      <c r="B2833" s="466">
        <v>45990</v>
      </c>
      <c r="C2833" s="517">
        <v>46004</v>
      </c>
      <c r="D2833" s="185">
        <f t="shared" si="1210"/>
        <v>2025</v>
      </c>
      <c r="E2833" s="468" t="e">
        <f>VLOOKUP($B2833,Week!$A$1:$C$1462,2,0)</f>
        <v>#N/A</v>
      </c>
      <c r="F2833" s="469" t="str">
        <f t="shared" si="1211"/>
        <v>Nov</v>
      </c>
      <c r="G2833" s="470" t="s">
        <v>2572</v>
      </c>
      <c r="H2833" s="468" t="s">
        <v>82</v>
      </c>
      <c r="I2833" s="468" t="s">
        <v>82</v>
      </c>
      <c r="J2833" s="471" t="s">
        <v>720</v>
      </c>
      <c r="K2833" s="472" t="s">
        <v>85</v>
      </c>
      <c r="L2833" s="390" t="s">
        <v>2166</v>
      </c>
      <c r="M2833" s="471" t="s">
        <v>579</v>
      </c>
      <c r="N2833" s="468" t="s">
        <v>580</v>
      </c>
      <c r="O2833" s="468" t="s">
        <v>581</v>
      </c>
      <c r="P2833" s="473">
        <v>8</v>
      </c>
      <c r="Q2833" s="473">
        <v>60</v>
      </c>
      <c r="R2833" s="474">
        <v>6.8100000000000001E-3</v>
      </c>
      <c r="S2833" s="468" t="s">
        <v>76</v>
      </c>
      <c r="T2833" s="468" t="s">
        <v>56</v>
      </c>
      <c r="U2833" s="468" t="s">
        <v>89</v>
      </c>
      <c r="V2833" s="475">
        <f>7+76</f>
        <v>83</v>
      </c>
      <c r="W2833" s="475">
        <f>7+76</f>
        <v>83</v>
      </c>
      <c r="X2833" s="476"/>
      <c r="Y2833" s="477">
        <f>(W2833+X2833)-V2833</f>
        <v>0</v>
      </c>
      <c r="Z2833" s="478">
        <f>IF(Y2833&lt;0,((V2833*P2833)-((W2833+X2833)*P2833)),0)</f>
        <v>0</v>
      </c>
      <c r="AA2833" s="478">
        <f t="shared" si="1212"/>
        <v>0</v>
      </c>
      <c r="AB2833" s="828">
        <v>6</v>
      </c>
      <c r="AC2833" s="475">
        <f>Z2833*AB2833</f>
        <v>0</v>
      </c>
      <c r="AD2833" s="209"/>
      <c r="AE2833" s="210">
        <f>SUM(Q2833*R2833*Z2833)/1000</f>
        <v>0</v>
      </c>
      <c r="AF2833" s="210">
        <f>AE2833/0.54</f>
        <v>0</v>
      </c>
      <c r="AG2833" s="211">
        <f t="shared" si="1223"/>
        <v>0.75</v>
      </c>
      <c r="AH2833" s="157">
        <f>(Z2833*AG2833)/1000</f>
        <v>0</v>
      </c>
      <c r="AI2833" s="152">
        <f>V2833*P2833</f>
        <v>664</v>
      </c>
      <c r="AK2833" s="156" t="s">
        <v>691</v>
      </c>
      <c r="AL2833" s="156" t="s">
        <v>689</v>
      </c>
      <c r="AM2833" s="198">
        <f t="shared" si="1222"/>
        <v>0</v>
      </c>
      <c r="AN2833" s="199">
        <f t="shared" si="1213"/>
        <v>45990</v>
      </c>
      <c r="AO2833" s="159" t="s">
        <v>692</v>
      </c>
      <c r="AP2833" s="783" t="s">
        <v>622</v>
      </c>
      <c r="AQ2833" s="782">
        <v>12088677</v>
      </c>
      <c r="AR2833" s="782" t="s">
        <v>2142</v>
      </c>
      <c r="AS2833" s="782"/>
      <c r="AT2833" s="782">
        <v>12082897</v>
      </c>
      <c r="AU2833" s="781"/>
      <c r="AV2833" s="782">
        <v>12082898</v>
      </c>
      <c r="AW2833" s="782">
        <v>12082899</v>
      </c>
      <c r="AX2833" s="796" t="s">
        <v>621</v>
      </c>
      <c r="AY2833" s="782"/>
      <c r="AZ2833" s="782"/>
      <c r="BA2833" s="781"/>
      <c r="BB2833" s="209">
        <v>23053184</v>
      </c>
    </row>
    <row r="2834" spans="1:54" ht="24.75" hidden="1" customHeight="1">
      <c r="A2834" s="529" t="s">
        <v>2484</v>
      </c>
      <c r="B2834" s="295">
        <v>45989</v>
      </c>
      <c r="C2834" s="771" t="s">
        <v>1936</v>
      </c>
      <c r="D2834" s="185">
        <f t="shared" si="1210"/>
        <v>2025</v>
      </c>
      <c r="E2834" s="296" t="e">
        <f>VLOOKUP($B2834,Week!$A$1:$C$1462,2,0)</f>
        <v>#N/A</v>
      </c>
      <c r="F2834" s="297" t="str">
        <f t="shared" si="1211"/>
        <v>Nov</v>
      </c>
      <c r="G2834" s="648" t="s">
        <v>47</v>
      </c>
      <c r="H2834" s="298" t="s">
        <v>260</v>
      </c>
      <c r="I2834" s="298" t="s">
        <v>2702</v>
      </c>
      <c r="J2834" s="307" t="s">
        <v>2240</v>
      </c>
      <c r="K2834" s="300" t="s">
        <v>176</v>
      </c>
      <c r="L2834" s="300" t="s">
        <v>2167</v>
      </c>
      <c r="M2834" s="299" t="s">
        <v>2338</v>
      </c>
      <c r="N2834" s="298" t="s">
        <v>350</v>
      </c>
      <c r="O2834" s="298" t="s">
        <v>351</v>
      </c>
      <c r="P2834" s="301">
        <v>24</v>
      </c>
      <c r="Q2834" s="301">
        <v>5</v>
      </c>
      <c r="R2834" s="302">
        <v>6.1999999999999998E-3</v>
      </c>
      <c r="S2834" s="298" t="s">
        <v>352</v>
      </c>
      <c r="T2834" s="298" t="s">
        <v>56</v>
      </c>
      <c r="U2834" s="298" t="s">
        <v>57</v>
      </c>
      <c r="V2834" s="303">
        <v>3313</v>
      </c>
      <c r="W2834" s="303">
        <f>3313</f>
        <v>3313</v>
      </c>
      <c r="X2834" s="304"/>
      <c r="Y2834" s="305">
        <f t="shared" si="1214"/>
        <v>0</v>
      </c>
      <c r="Z2834" s="306">
        <f t="shared" si="1215"/>
        <v>0</v>
      </c>
      <c r="AA2834" s="306">
        <f t="shared" si="1212"/>
        <v>0</v>
      </c>
      <c r="AB2834" s="814">
        <v>7.4999999999999997E-3</v>
      </c>
      <c r="AC2834" s="303">
        <f t="shared" si="1216"/>
        <v>0</v>
      </c>
      <c r="AD2834" s="443"/>
      <c r="AE2834" s="210">
        <f t="shared" si="1217"/>
        <v>0</v>
      </c>
      <c r="AF2834" s="210">
        <f t="shared" si="1218"/>
        <v>0</v>
      </c>
      <c r="AG2834" s="211">
        <f t="shared" si="1223"/>
        <v>0.13</v>
      </c>
      <c r="AH2834" s="157">
        <f t="shared" si="1220"/>
        <v>0</v>
      </c>
      <c r="AI2834" s="152">
        <f t="shared" si="1221"/>
        <v>79512</v>
      </c>
      <c r="AK2834" s="156" t="s">
        <v>691</v>
      </c>
      <c r="AL2834" s="574" t="s">
        <v>690</v>
      </c>
      <c r="AM2834" s="198">
        <f t="shared" si="1222"/>
        <v>0</v>
      </c>
      <c r="AN2834" s="199">
        <f t="shared" si="1213"/>
        <v>45989</v>
      </c>
      <c r="AO2834" s="159" t="s">
        <v>692</v>
      </c>
      <c r="AP2834" s="783" t="s">
        <v>622</v>
      </c>
      <c r="AQ2834" s="782">
        <v>12071839</v>
      </c>
      <c r="AR2834" s="782">
        <v>12094356</v>
      </c>
      <c r="AS2834" s="782">
        <v>12068233</v>
      </c>
      <c r="AT2834" s="781"/>
      <c r="AU2834" s="781"/>
      <c r="AV2834" s="782">
        <v>12062075</v>
      </c>
      <c r="AW2834" s="781"/>
      <c r="AX2834" s="781"/>
      <c r="AY2834" s="782">
        <v>12094357</v>
      </c>
      <c r="AZ2834" s="782"/>
      <c r="BA2834" s="781"/>
      <c r="BB2834" s="209">
        <v>23053184</v>
      </c>
    </row>
    <row r="2835" spans="1:54" ht="25" hidden="1" customHeight="1">
      <c r="B2835" s="213">
        <v>45989</v>
      </c>
      <c r="C2835" s="214">
        <v>46002</v>
      </c>
      <c r="D2835" s="215">
        <f t="shared" si="1210"/>
        <v>2025</v>
      </c>
      <c r="E2835" s="214" t="e">
        <f>VLOOKUP($B2835,Week!$A$1:$C$1462,2,0)</f>
        <v>#N/A</v>
      </c>
      <c r="F2835" s="216" t="str">
        <f t="shared" si="1211"/>
        <v>Nov</v>
      </c>
      <c r="G2835" s="215" t="s">
        <v>2645</v>
      </c>
      <c r="H2835" s="215" t="s">
        <v>134</v>
      </c>
      <c r="I2835" s="215" t="s">
        <v>2772</v>
      </c>
      <c r="J2835" s="209" t="s">
        <v>164</v>
      </c>
      <c r="K2835" s="217" t="s">
        <v>2534</v>
      </c>
      <c r="L2835" s="217" t="s">
        <v>2167</v>
      </c>
      <c r="M2835" s="209" t="s">
        <v>2235</v>
      </c>
      <c r="N2835" s="480" t="s">
        <v>2236</v>
      </c>
      <c r="O2835" s="215" t="s">
        <v>2233</v>
      </c>
      <c r="P2835" s="218">
        <v>24</v>
      </c>
      <c r="Q2835" s="218">
        <v>3</v>
      </c>
      <c r="R2835" s="219">
        <v>6.0000000000000001E-3</v>
      </c>
      <c r="S2835" s="215" t="s">
        <v>55</v>
      </c>
      <c r="T2835" s="215" t="s">
        <v>112</v>
      </c>
      <c r="U2835" s="852" t="s">
        <v>739</v>
      </c>
      <c r="V2835" s="220">
        <v>210</v>
      </c>
      <c r="W2835" s="220">
        <f>7+184+17+9</f>
        <v>217</v>
      </c>
      <c r="X2835" s="221">
        <f>(45)/24</f>
        <v>1.875</v>
      </c>
      <c r="Y2835" s="222">
        <f>(W2835+X2835)-V2835</f>
        <v>8.875</v>
      </c>
      <c r="Z2835" s="223">
        <f>IF(Y2835&lt;0,((V2835*P2835)-((W2835+X2835)*P2835)),0)</f>
        <v>0</v>
      </c>
      <c r="AA2835" s="223">
        <f t="shared" si="1212"/>
        <v>0</v>
      </c>
      <c r="AB2835" s="807">
        <v>2.4E-2</v>
      </c>
      <c r="AC2835" s="220">
        <f>Z2835*AB2835</f>
        <v>0</v>
      </c>
      <c r="AD2835" s="443" t="s">
        <v>2612</v>
      </c>
      <c r="AE2835" s="210">
        <f>SUM(Q2835*R2835*Z2835)/1000</f>
        <v>0</v>
      </c>
      <c r="AF2835" s="210">
        <f>AE2835/0.54</f>
        <v>0</v>
      </c>
      <c r="AG2835" s="211">
        <f t="shared" si="1223"/>
        <v>0.3</v>
      </c>
      <c r="AH2835" s="157">
        <v>0.26621999999999996</v>
      </c>
      <c r="AI2835" s="152">
        <f>V2835*P2835</f>
        <v>5040</v>
      </c>
      <c r="AK2835" s="156" t="s">
        <v>691</v>
      </c>
      <c r="AL2835" s="574" t="s">
        <v>690</v>
      </c>
      <c r="AM2835" s="198">
        <f t="shared" si="1222"/>
        <v>0</v>
      </c>
      <c r="AN2835" s="199">
        <f t="shared" si="1213"/>
        <v>45989</v>
      </c>
      <c r="AO2835" s="159" t="s">
        <v>692</v>
      </c>
      <c r="AP2835" s="781" t="s">
        <v>642</v>
      </c>
      <c r="AQ2835" s="782">
        <v>12063755</v>
      </c>
      <c r="AR2835" s="782">
        <v>12061353</v>
      </c>
      <c r="AS2835" s="782">
        <v>12061354</v>
      </c>
      <c r="AT2835" s="782"/>
      <c r="AU2835" s="783" t="s">
        <v>568</v>
      </c>
      <c r="AV2835" s="782">
        <v>12095301</v>
      </c>
      <c r="AW2835" s="783" t="s">
        <v>568</v>
      </c>
      <c r="AX2835" s="781"/>
      <c r="AY2835" s="796" t="s">
        <v>2460</v>
      </c>
      <c r="AZ2835" s="796" t="s">
        <v>2461</v>
      </c>
      <c r="BA2835" s="796" t="s">
        <v>2462</v>
      </c>
      <c r="BB2835" s="209">
        <v>23099860</v>
      </c>
    </row>
    <row r="2836" spans="1:54" ht="24.75" hidden="1" customHeight="1">
      <c r="A2836" s="142" t="s">
        <v>120</v>
      </c>
      <c r="B2836" s="880">
        <v>45990</v>
      </c>
      <c r="C2836" s="882">
        <v>45999</v>
      </c>
      <c r="D2836" s="881">
        <f t="shared" si="1210"/>
        <v>2025</v>
      </c>
      <c r="E2836" s="881" t="e">
        <f>VLOOKUP($B2836,Week!$A$1:$C$1462,2,0)</f>
        <v>#N/A</v>
      </c>
      <c r="F2836" s="883" t="str">
        <f t="shared" si="1211"/>
        <v>Nov</v>
      </c>
      <c r="G2836" s="893" t="s">
        <v>47</v>
      </c>
      <c r="H2836" s="881" t="s">
        <v>518</v>
      </c>
      <c r="I2836" s="881" t="s">
        <v>2702</v>
      </c>
      <c r="J2836" s="884" t="s">
        <v>70</v>
      </c>
      <c r="K2836" s="885" t="s">
        <v>85</v>
      </c>
      <c r="L2836" s="885" t="s">
        <v>2166</v>
      </c>
      <c r="M2836" s="884" t="s">
        <v>2691</v>
      </c>
      <c r="N2836" s="881" t="s">
        <v>2637</v>
      </c>
      <c r="O2836" s="881" t="s">
        <v>546</v>
      </c>
      <c r="P2836" s="886">
        <v>12</v>
      </c>
      <c r="Q2836" s="886">
        <v>20</v>
      </c>
      <c r="R2836" s="887">
        <v>6.1999999999999998E-3</v>
      </c>
      <c r="S2836" s="881" t="s">
        <v>352</v>
      </c>
      <c r="T2836" s="881" t="s">
        <v>56</v>
      </c>
      <c r="U2836" s="881"/>
      <c r="V2836" s="888">
        <f>1000</f>
        <v>1000</v>
      </c>
      <c r="W2836" s="888"/>
      <c r="X2836" s="889">
        <f>1000</f>
        <v>1000</v>
      </c>
      <c r="Y2836" s="890">
        <f>(W2836+X2836)-V2836</f>
        <v>0</v>
      </c>
      <c r="Z2836" s="891">
        <f>IF(Y2836&lt;0,((V2836*P2836)-((W2836+X2836)*P2836)),0)</f>
        <v>0</v>
      </c>
      <c r="AA2836" s="891">
        <f t="shared" si="1212"/>
        <v>0</v>
      </c>
      <c r="AB2836" s="892"/>
      <c r="AC2836" s="888">
        <f>Z2836*AB2836</f>
        <v>0</v>
      </c>
      <c r="AD2836" s="307" t="s">
        <v>2627</v>
      </c>
      <c r="AE2836" s="210">
        <f>SUM(Q2836*R2836*Z2836)/1000</f>
        <v>0</v>
      </c>
      <c r="AF2836" s="210">
        <f>AE2836/0.54</f>
        <v>0</v>
      </c>
      <c r="AG2836" s="211">
        <f t="shared" si="1223"/>
        <v>0.22</v>
      </c>
      <c r="AH2836" s="157">
        <f>(Z2836*AG2836)/1000</f>
        <v>0</v>
      </c>
      <c r="AI2836" s="152">
        <f>V2836*P2836</f>
        <v>12000</v>
      </c>
      <c r="AK2836" s="156" t="s">
        <v>691</v>
      </c>
      <c r="AL2836" s="156" t="s">
        <v>689</v>
      </c>
      <c r="AM2836" s="198">
        <f t="shared" si="1222"/>
        <v>0</v>
      </c>
      <c r="AN2836" s="199">
        <f t="shared" si="1213"/>
        <v>45990</v>
      </c>
      <c r="AO2836" s="159" t="s">
        <v>692</v>
      </c>
      <c r="AP2836" s="783" t="s">
        <v>613</v>
      </c>
      <c r="AQ2836" s="782"/>
      <c r="AR2836" s="782" t="s">
        <v>614</v>
      </c>
      <c r="AS2836" s="782"/>
      <c r="AT2836" s="782"/>
      <c r="AU2836" s="783" t="s">
        <v>2661</v>
      </c>
      <c r="AV2836" s="782">
        <v>12097326</v>
      </c>
      <c r="AW2836" s="782"/>
      <c r="AX2836" s="782" t="s">
        <v>2187</v>
      </c>
      <c r="AY2836" s="782"/>
      <c r="AZ2836" s="782"/>
      <c r="BA2836" s="781"/>
      <c r="BB2836" s="209"/>
    </row>
    <row r="2837" spans="1:54" ht="24.65" hidden="1" customHeight="1">
      <c r="A2837" s="630" t="s">
        <v>120</v>
      </c>
      <c r="B2837" s="466">
        <v>45990</v>
      </c>
      <c r="C2837" s="517">
        <v>46004</v>
      </c>
      <c r="D2837" s="185">
        <f t="shared" si="1210"/>
        <v>2025</v>
      </c>
      <c r="E2837" s="468" t="e">
        <f>VLOOKUP($B2837,Week!$A$1:$C$1462,2,0)</f>
        <v>#N/A</v>
      </c>
      <c r="F2837" s="469" t="str">
        <f t="shared" si="1211"/>
        <v>Nov</v>
      </c>
      <c r="G2837" s="470" t="s">
        <v>2572</v>
      </c>
      <c r="H2837" s="468" t="s">
        <v>82</v>
      </c>
      <c r="I2837" s="468" t="s">
        <v>82</v>
      </c>
      <c r="J2837" s="471" t="s">
        <v>720</v>
      </c>
      <c r="K2837" s="472" t="s">
        <v>85</v>
      </c>
      <c r="L2837" s="390" t="s">
        <v>2166</v>
      </c>
      <c r="M2837" s="471" t="s">
        <v>579</v>
      </c>
      <c r="N2837" s="468" t="s">
        <v>580</v>
      </c>
      <c r="O2837" s="468" t="s">
        <v>581</v>
      </c>
      <c r="P2837" s="473">
        <v>8</v>
      </c>
      <c r="Q2837" s="473">
        <v>60</v>
      </c>
      <c r="R2837" s="474">
        <v>6.8100000000000001E-3</v>
      </c>
      <c r="S2837" s="468" t="s">
        <v>76</v>
      </c>
      <c r="T2837" s="468" t="s">
        <v>56</v>
      </c>
      <c r="U2837" s="468" t="s">
        <v>89</v>
      </c>
      <c r="V2837" s="475">
        <v>819</v>
      </c>
      <c r="W2837" s="475">
        <f>819</f>
        <v>819</v>
      </c>
      <c r="X2837" s="476"/>
      <c r="Y2837" s="477">
        <f>(W2837+X2837)-V2837</f>
        <v>0</v>
      </c>
      <c r="Z2837" s="478">
        <f>IF(Y2837&lt;0,((V2837*P2837)-((W2837+X2837)*P2837)),0)</f>
        <v>0</v>
      </c>
      <c r="AA2837" s="478">
        <f t="shared" si="1212"/>
        <v>0</v>
      </c>
      <c r="AB2837" s="828">
        <v>6</v>
      </c>
      <c r="AC2837" s="475">
        <f>Z2837*AB2837</f>
        <v>0</v>
      </c>
      <c r="AD2837" s="209"/>
      <c r="AE2837" s="210">
        <f>SUM(Q2837*R2837*Z2837)/1000</f>
        <v>0</v>
      </c>
      <c r="AF2837" s="210">
        <f>AE2837/0.54</f>
        <v>0</v>
      </c>
      <c r="AG2837" s="211">
        <f t="shared" si="1223"/>
        <v>0.75</v>
      </c>
      <c r="AH2837" s="157">
        <f>(Z2837*AG2837)/1000</f>
        <v>0</v>
      </c>
      <c r="AI2837" s="152">
        <f>V2837*P2837</f>
        <v>6552</v>
      </c>
      <c r="AK2837" s="156" t="s">
        <v>691</v>
      </c>
      <c r="AL2837" s="156" t="s">
        <v>689</v>
      </c>
      <c r="AM2837" s="198">
        <f t="shared" si="1222"/>
        <v>0</v>
      </c>
      <c r="AN2837" s="199">
        <f t="shared" si="1213"/>
        <v>45990</v>
      </c>
      <c r="AO2837" s="159" t="s">
        <v>692</v>
      </c>
      <c r="AP2837" s="783" t="s">
        <v>622</v>
      </c>
      <c r="AQ2837" s="782">
        <v>12088677</v>
      </c>
      <c r="AR2837" s="782" t="s">
        <v>2142</v>
      </c>
      <c r="AS2837" s="782"/>
      <c r="AT2837" s="782">
        <v>12082897</v>
      </c>
      <c r="AU2837" s="781"/>
      <c r="AV2837" s="782">
        <v>12082898</v>
      </c>
      <c r="AW2837" s="782">
        <v>12082899</v>
      </c>
      <c r="AX2837" s="796" t="s">
        <v>621</v>
      </c>
      <c r="AY2837" s="782"/>
      <c r="AZ2837" s="782"/>
      <c r="BA2837" s="781"/>
      <c r="BB2837" s="209">
        <v>23053184</v>
      </c>
    </row>
    <row r="2838" spans="1:54" ht="25" hidden="1" customHeight="1">
      <c r="B2838" s="183">
        <v>45991</v>
      </c>
      <c r="C2838" s="184"/>
      <c r="D2838" s="185">
        <f t="shared" si="1210"/>
        <v>2025</v>
      </c>
      <c r="E2838" s="185" t="e">
        <f>VLOOKUP($B2838,Week!$A$1:$C$1462,2,0)</f>
        <v>#N/A</v>
      </c>
      <c r="F2838" s="186" t="str">
        <f t="shared" si="1211"/>
        <v>Nov</v>
      </c>
      <c r="G2838" s="481"/>
      <c r="H2838" s="185"/>
      <c r="I2838" s="185"/>
      <c r="J2838" s="187"/>
      <c r="K2838" s="188"/>
      <c r="L2838" s="188"/>
      <c r="M2838" s="187"/>
      <c r="N2838" s="185"/>
      <c r="O2838" s="185"/>
      <c r="P2838" s="189"/>
      <c r="Q2838" s="189"/>
      <c r="R2838" s="190"/>
      <c r="S2838" s="185"/>
      <c r="T2838" s="185"/>
      <c r="U2838" s="185"/>
      <c r="V2838" s="191"/>
      <c r="W2838" s="191"/>
      <c r="X2838" s="192"/>
      <c r="Y2838" s="193"/>
      <c r="Z2838" s="194"/>
      <c r="AA2838" s="194">
        <f t="shared" si="1212"/>
        <v>0</v>
      </c>
      <c r="AB2838" s="805"/>
      <c r="AC2838" s="191"/>
      <c r="AD2838" s="187"/>
      <c r="AE2838" s="195"/>
      <c r="AF2838" s="195"/>
      <c r="AG2838" s="196"/>
      <c r="AH2838" s="197"/>
      <c r="AK2838" s="156" t="s">
        <v>691</v>
      </c>
      <c r="AM2838" s="198">
        <f t="shared" si="1222"/>
        <v>0</v>
      </c>
      <c r="AN2838" s="199">
        <f t="shared" si="1213"/>
        <v>45991</v>
      </c>
      <c r="AO2838" s="159" t="s">
        <v>692</v>
      </c>
      <c r="AP2838" s="781"/>
      <c r="AQ2838" s="782"/>
      <c r="AR2838" s="782"/>
      <c r="AS2838" s="782"/>
      <c r="AT2838" s="782"/>
      <c r="AU2838" s="781"/>
      <c r="AV2838" s="782"/>
      <c r="AW2838" s="782"/>
      <c r="AX2838" s="782"/>
      <c r="AY2838" s="782"/>
      <c r="AZ2838" s="782"/>
      <c r="BA2838" s="781"/>
      <c r="BB2838" s="209"/>
    </row>
    <row r="2839" spans="1:54" ht="24.65" hidden="1" customHeight="1">
      <c r="A2839" s="630" t="s">
        <v>120</v>
      </c>
      <c r="B2839" s="466">
        <v>45992</v>
      </c>
      <c r="C2839" s="517">
        <v>46004</v>
      </c>
      <c r="D2839" s="185">
        <f t="shared" si="1210"/>
        <v>2025</v>
      </c>
      <c r="E2839" s="468" t="e">
        <f>VLOOKUP($B2839,Week!$A$1:$C$1462,2,0)</f>
        <v>#N/A</v>
      </c>
      <c r="F2839" s="469" t="str">
        <f t="shared" si="1211"/>
        <v>Dec</v>
      </c>
      <c r="G2839" s="470" t="s">
        <v>2572</v>
      </c>
      <c r="H2839" s="468" t="s">
        <v>82</v>
      </c>
      <c r="I2839" s="468" t="s">
        <v>82</v>
      </c>
      <c r="J2839" s="471" t="s">
        <v>720</v>
      </c>
      <c r="K2839" s="472" t="s">
        <v>85</v>
      </c>
      <c r="L2839" s="390" t="s">
        <v>2166</v>
      </c>
      <c r="M2839" s="471" t="s">
        <v>579</v>
      </c>
      <c r="N2839" s="468" t="s">
        <v>580</v>
      </c>
      <c r="O2839" s="468" t="s">
        <v>581</v>
      </c>
      <c r="P2839" s="473">
        <v>8</v>
      </c>
      <c r="Q2839" s="473">
        <v>60</v>
      </c>
      <c r="R2839" s="474">
        <v>6.8100000000000001E-3</v>
      </c>
      <c r="S2839" s="468" t="s">
        <v>76</v>
      </c>
      <c r="T2839" s="468" t="s">
        <v>56</v>
      </c>
      <c r="U2839" s="468" t="s">
        <v>89</v>
      </c>
      <c r="V2839" s="475">
        <f>1408-83-819</f>
        <v>506</v>
      </c>
      <c r="W2839" s="475">
        <v>506</v>
      </c>
      <c r="X2839" s="476"/>
      <c r="Y2839" s="477">
        <f t="shared" ref="Y2839:Y2856" si="1224">(W2839+X2839)-V2839</f>
        <v>0</v>
      </c>
      <c r="Z2839" s="478">
        <f t="shared" ref="Z2839:Z2848" si="1225">IF(Y2839&lt;0,((V2839*P2839)-((W2839+X2839)*P2839)),0)</f>
        <v>0</v>
      </c>
      <c r="AA2839" s="478">
        <f t="shared" si="1212"/>
        <v>0</v>
      </c>
      <c r="AB2839" s="828">
        <v>6</v>
      </c>
      <c r="AC2839" s="475">
        <f t="shared" ref="AC2839:AC2856" si="1226">Z2839*AB2839</f>
        <v>0</v>
      </c>
      <c r="AD2839" s="209"/>
      <c r="AE2839" s="210">
        <f t="shared" ref="AE2839:AE2846" si="1227">SUM(Q2839*R2839*Z2839)/1000</f>
        <v>0</v>
      </c>
      <c r="AF2839" s="210">
        <f t="shared" ref="AF2839:AF2846" si="1228">AE2839/0.54</f>
        <v>0</v>
      </c>
      <c r="AG2839" s="211">
        <f>MID(O2839,1,3)/1000</f>
        <v>0.75</v>
      </c>
      <c r="AH2839" s="157">
        <f t="shared" ref="AH2839:AH2853" si="1229">(Z2839*AG2839)/1000</f>
        <v>0</v>
      </c>
      <c r="AI2839" s="152">
        <f t="shared" ref="AI2839:AI2848" si="1230">V2839*P2839</f>
        <v>4048</v>
      </c>
      <c r="AK2839" s="156" t="s">
        <v>691</v>
      </c>
      <c r="AL2839" s="156" t="s">
        <v>689</v>
      </c>
      <c r="AM2839" s="198">
        <f t="shared" si="1222"/>
        <v>0</v>
      </c>
      <c r="AN2839" s="199">
        <f t="shared" si="1213"/>
        <v>45992</v>
      </c>
      <c r="AO2839" s="159" t="s">
        <v>692</v>
      </c>
      <c r="AP2839" s="783" t="s">
        <v>622</v>
      </c>
      <c r="AQ2839" s="782">
        <v>12088677</v>
      </c>
      <c r="AR2839" s="782" t="s">
        <v>2142</v>
      </c>
      <c r="AS2839" s="782"/>
      <c r="AT2839" s="782">
        <v>12082897</v>
      </c>
      <c r="AU2839" s="781"/>
      <c r="AV2839" s="782">
        <v>12082898</v>
      </c>
      <c r="AW2839" s="782">
        <v>12082899</v>
      </c>
      <c r="AX2839" s="796" t="s">
        <v>621</v>
      </c>
      <c r="AY2839" s="782"/>
      <c r="AZ2839" s="782"/>
      <c r="BA2839" s="781"/>
      <c r="BB2839" s="209">
        <v>23053184</v>
      </c>
    </row>
    <row r="2840" spans="1:54" ht="24.65" hidden="1" customHeight="1">
      <c r="A2840" s="630" t="s">
        <v>120</v>
      </c>
      <c r="B2840" s="466">
        <v>45992</v>
      </c>
      <c r="C2840" s="517">
        <v>46006</v>
      </c>
      <c r="D2840" s="185">
        <f t="shared" si="1210"/>
        <v>2025</v>
      </c>
      <c r="E2840" s="468" t="e">
        <f>VLOOKUP($B2840,Week!$A$1:$C$1462,2,0)</f>
        <v>#N/A</v>
      </c>
      <c r="F2840" s="469" t="str">
        <f t="shared" si="1211"/>
        <v>Dec</v>
      </c>
      <c r="G2840" s="470" t="s">
        <v>2573</v>
      </c>
      <c r="H2840" s="468" t="s">
        <v>82</v>
      </c>
      <c r="I2840" s="468" t="s">
        <v>82</v>
      </c>
      <c r="J2840" s="471" t="s">
        <v>720</v>
      </c>
      <c r="K2840" s="472" t="s">
        <v>85</v>
      </c>
      <c r="L2840" s="390" t="s">
        <v>2166</v>
      </c>
      <c r="M2840" s="471" t="s">
        <v>579</v>
      </c>
      <c r="N2840" s="468" t="s">
        <v>580</v>
      </c>
      <c r="O2840" s="468" t="s">
        <v>581</v>
      </c>
      <c r="P2840" s="473">
        <v>8</v>
      </c>
      <c r="Q2840" s="473">
        <v>60</v>
      </c>
      <c r="R2840" s="474">
        <v>6.8100000000000001E-3</v>
      </c>
      <c r="S2840" s="468" t="s">
        <v>76</v>
      </c>
      <c r="T2840" s="468" t="s">
        <v>56</v>
      </c>
      <c r="U2840" s="468" t="s">
        <v>89</v>
      </c>
      <c r="V2840" s="475">
        <v>1146</v>
      </c>
      <c r="W2840" s="475">
        <f>1146</f>
        <v>1146</v>
      </c>
      <c r="X2840" s="476"/>
      <c r="Y2840" s="477">
        <f t="shared" si="1224"/>
        <v>0</v>
      </c>
      <c r="Z2840" s="478">
        <f t="shared" si="1225"/>
        <v>0</v>
      </c>
      <c r="AA2840" s="478">
        <f t="shared" si="1212"/>
        <v>0</v>
      </c>
      <c r="AB2840" s="828">
        <v>6</v>
      </c>
      <c r="AC2840" s="475">
        <f t="shared" si="1226"/>
        <v>0</v>
      </c>
      <c r="AD2840" s="209"/>
      <c r="AE2840" s="210">
        <f t="shared" si="1227"/>
        <v>0</v>
      </c>
      <c r="AF2840" s="210">
        <f t="shared" si="1228"/>
        <v>0</v>
      </c>
      <c r="AG2840" s="211">
        <f>MID(O2840,1,3)/1000</f>
        <v>0.75</v>
      </c>
      <c r="AH2840" s="157">
        <f t="shared" si="1229"/>
        <v>0</v>
      </c>
      <c r="AI2840" s="152">
        <f t="shared" si="1230"/>
        <v>9168</v>
      </c>
      <c r="AK2840" s="156" t="s">
        <v>691</v>
      </c>
      <c r="AL2840" s="156" t="s">
        <v>689</v>
      </c>
      <c r="AM2840" s="198">
        <f t="shared" si="1222"/>
        <v>0</v>
      </c>
      <c r="AN2840" s="199">
        <f t="shared" si="1213"/>
        <v>45992</v>
      </c>
      <c r="AO2840" s="159" t="s">
        <v>692</v>
      </c>
      <c r="AP2840" s="783" t="s">
        <v>622</v>
      </c>
      <c r="AQ2840" s="782">
        <v>12088677</v>
      </c>
      <c r="AR2840" s="782" t="s">
        <v>2142</v>
      </c>
      <c r="AS2840" s="782"/>
      <c r="AT2840" s="782">
        <v>12082897</v>
      </c>
      <c r="AU2840" s="781"/>
      <c r="AV2840" s="782">
        <v>12082898</v>
      </c>
      <c r="AW2840" s="782">
        <v>12082899</v>
      </c>
      <c r="AX2840" s="796" t="s">
        <v>621</v>
      </c>
      <c r="AY2840" s="782"/>
      <c r="AZ2840" s="782"/>
      <c r="BA2840" s="781"/>
      <c r="BB2840" s="209">
        <v>23053184</v>
      </c>
    </row>
    <row r="2841" spans="1:54" ht="24.65" hidden="1" customHeight="1">
      <c r="A2841" s="630" t="s">
        <v>120</v>
      </c>
      <c r="B2841" s="466">
        <v>45993</v>
      </c>
      <c r="C2841" s="517">
        <v>46006</v>
      </c>
      <c r="D2841" s="185">
        <f t="shared" si="1210"/>
        <v>2025</v>
      </c>
      <c r="E2841" s="468" t="e">
        <f>VLOOKUP($B2841,Week!$A$1:$C$1462,2,0)</f>
        <v>#N/A</v>
      </c>
      <c r="F2841" s="469" t="str">
        <f t="shared" si="1211"/>
        <v>Dec</v>
      </c>
      <c r="G2841" s="470" t="s">
        <v>2573</v>
      </c>
      <c r="H2841" s="468" t="s">
        <v>82</v>
      </c>
      <c r="I2841" s="468" t="s">
        <v>82</v>
      </c>
      <c r="J2841" s="471" t="s">
        <v>720</v>
      </c>
      <c r="K2841" s="472" t="s">
        <v>85</v>
      </c>
      <c r="L2841" s="390" t="s">
        <v>2166</v>
      </c>
      <c r="M2841" s="471" t="s">
        <v>579</v>
      </c>
      <c r="N2841" s="468" t="s">
        <v>580</v>
      </c>
      <c r="O2841" s="468" t="s">
        <v>581</v>
      </c>
      <c r="P2841" s="473">
        <v>8</v>
      </c>
      <c r="Q2841" s="473">
        <v>60</v>
      </c>
      <c r="R2841" s="474">
        <v>6.8100000000000001E-3</v>
      </c>
      <c r="S2841" s="468" t="s">
        <v>76</v>
      </c>
      <c r="T2841" s="468" t="s">
        <v>56</v>
      </c>
      <c r="U2841" s="468" t="s">
        <v>89</v>
      </c>
      <c r="V2841" s="475">
        <f>1408-1146</f>
        <v>262</v>
      </c>
      <c r="W2841" s="475">
        <v>262</v>
      </c>
      <c r="X2841" s="476"/>
      <c r="Y2841" s="477">
        <f t="shared" si="1224"/>
        <v>0</v>
      </c>
      <c r="Z2841" s="478">
        <f t="shared" si="1225"/>
        <v>0</v>
      </c>
      <c r="AA2841" s="478">
        <f t="shared" si="1212"/>
        <v>0</v>
      </c>
      <c r="AB2841" s="828">
        <v>6</v>
      </c>
      <c r="AC2841" s="475">
        <f t="shared" si="1226"/>
        <v>0</v>
      </c>
      <c r="AD2841" s="209"/>
      <c r="AE2841" s="210">
        <f t="shared" si="1227"/>
        <v>0</v>
      </c>
      <c r="AF2841" s="210">
        <f t="shared" si="1228"/>
        <v>0</v>
      </c>
      <c r="AG2841" s="211">
        <f>MID(O2841,1,3)/1000</f>
        <v>0.75</v>
      </c>
      <c r="AH2841" s="157">
        <f t="shared" si="1229"/>
        <v>0</v>
      </c>
      <c r="AI2841" s="152">
        <f t="shared" si="1230"/>
        <v>2096</v>
      </c>
      <c r="AK2841" s="156" t="s">
        <v>691</v>
      </c>
      <c r="AL2841" s="156" t="s">
        <v>689</v>
      </c>
      <c r="AM2841" s="198">
        <f t="shared" si="1222"/>
        <v>0</v>
      </c>
      <c r="AN2841" s="199">
        <f t="shared" si="1213"/>
        <v>45993</v>
      </c>
      <c r="AO2841" s="159" t="s">
        <v>692</v>
      </c>
      <c r="AP2841" s="783" t="s">
        <v>622</v>
      </c>
      <c r="AQ2841" s="782">
        <v>12088677</v>
      </c>
      <c r="AR2841" s="782" t="s">
        <v>2142</v>
      </c>
      <c r="AS2841" s="782"/>
      <c r="AT2841" s="782">
        <v>12082897</v>
      </c>
      <c r="AU2841" s="781"/>
      <c r="AV2841" s="782">
        <v>12082898</v>
      </c>
      <c r="AW2841" s="782">
        <v>12082899</v>
      </c>
      <c r="AX2841" s="796" t="s">
        <v>621</v>
      </c>
      <c r="AY2841" s="782"/>
      <c r="AZ2841" s="782"/>
      <c r="BA2841" s="781"/>
      <c r="BB2841" s="209">
        <v>23053184</v>
      </c>
    </row>
    <row r="2842" spans="1:54" ht="24.75" hidden="1" customHeight="1">
      <c r="A2842" s="142" t="s">
        <v>120</v>
      </c>
      <c r="B2842" s="308">
        <v>45993</v>
      </c>
      <c r="C2842" s="644" t="s">
        <v>1936</v>
      </c>
      <c r="D2842" s="185">
        <f t="shared" si="1210"/>
        <v>2025</v>
      </c>
      <c r="E2842" s="519" t="e">
        <f>VLOOKUP($B2842,Week!$A$1:$C$1462,2,0)</f>
        <v>#N/A</v>
      </c>
      <c r="F2842" s="520" t="str">
        <f t="shared" si="1211"/>
        <v>Dec</v>
      </c>
      <c r="G2842" s="644" t="s">
        <v>47</v>
      </c>
      <c r="H2842" s="311" t="s">
        <v>518</v>
      </c>
      <c r="I2842" s="311" t="s">
        <v>2702</v>
      </c>
      <c r="J2842" s="312" t="s">
        <v>70</v>
      </c>
      <c r="K2842" s="313" t="s">
        <v>85</v>
      </c>
      <c r="L2842" s="390" t="s">
        <v>2166</v>
      </c>
      <c r="M2842" s="312" t="s">
        <v>515</v>
      </c>
      <c r="N2842" s="311" t="s">
        <v>588</v>
      </c>
      <c r="O2842" s="311" t="s">
        <v>546</v>
      </c>
      <c r="P2842" s="314">
        <v>12</v>
      </c>
      <c r="Q2842" s="314">
        <v>20</v>
      </c>
      <c r="R2842" s="315">
        <v>6.1999999999999998E-3</v>
      </c>
      <c r="S2842" s="311" t="s">
        <v>352</v>
      </c>
      <c r="T2842" s="311" t="s">
        <v>56</v>
      </c>
      <c r="U2842" s="311" t="s">
        <v>77</v>
      </c>
      <c r="V2842" s="316">
        <f>800</f>
        <v>800</v>
      </c>
      <c r="W2842" s="316">
        <f>682</f>
        <v>682</v>
      </c>
      <c r="X2842" s="317">
        <f>(84+13296-12000+600)/12</f>
        <v>165</v>
      </c>
      <c r="Y2842" s="318">
        <f t="shared" si="1224"/>
        <v>47</v>
      </c>
      <c r="Z2842" s="319">
        <f t="shared" si="1225"/>
        <v>0</v>
      </c>
      <c r="AA2842" s="319">
        <f t="shared" si="1212"/>
        <v>0</v>
      </c>
      <c r="AB2842" s="815"/>
      <c r="AC2842" s="316">
        <f t="shared" si="1226"/>
        <v>0</v>
      </c>
      <c r="AD2842" s="209"/>
      <c r="AE2842" s="210">
        <f t="shared" si="1227"/>
        <v>0</v>
      </c>
      <c r="AF2842" s="210">
        <f t="shared" si="1228"/>
        <v>0</v>
      </c>
      <c r="AG2842" s="211">
        <f>MID(O2842,1,3)/1000</f>
        <v>0.22</v>
      </c>
      <c r="AH2842" s="157">
        <f t="shared" si="1229"/>
        <v>0</v>
      </c>
      <c r="AI2842" s="152">
        <f t="shared" si="1230"/>
        <v>9600</v>
      </c>
      <c r="AK2842" s="156" t="s">
        <v>691</v>
      </c>
      <c r="AL2842" s="156" t="s">
        <v>689</v>
      </c>
      <c r="AM2842" s="198">
        <f t="shared" si="1222"/>
        <v>0</v>
      </c>
      <c r="AN2842" s="199">
        <f t="shared" si="1213"/>
        <v>45993</v>
      </c>
      <c r="AO2842" s="159" t="s">
        <v>692</v>
      </c>
      <c r="AP2842" s="783" t="s">
        <v>613</v>
      </c>
      <c r="AQ2842" s="782"/>
      <c r="AR2842" s="782" t="s">
        <v>614</v>
      </c>
      <c r="AS2842" s="782"/>
      <c r="AT2842" s="782"/>
      <c r="AU2842" s="781"/>
      <c r="AV2842" s="782">
        <v>12083143</v>
      </c>
      <c r="AW2842" s="782"/>
      <c r="AX2842" s="782" t="s">
        <v>2187</v>
      </c>
      <c r="AY2842" s="782"/>
      <c r="AZ2842" s="782"/>
      <c r="BA2842" s="781"/>
      <c r="BB2842" s="209"/>
    </row>
    <row r="2843" spans="1:54" ht="25" hidden="1" customHeight="1">
      <c r="A2843" s="142" t="s">
        <v>120</v>
      </c>
      <c r="B2843" s="283">
        <v>45993</v>
      </c>
      <c r="C2843" s="284">
        <v>46002</v>
      </c>
      <c r="D2843" s="185">
        <f t="shared" si="1210"/>
        <v>2025</v>
      </c>
      <c r="E2843" s="286" t="e">
        <f>VLOOKUP($B2843,Week!$A$1:$C$1462,2,0)</f>
        <v>#N/A</v>
      </c>
      <c r="F2843" s="285" t="str">
        <f t="shared" si="1211"/>
        <v>Dec</v>
      </c>
      <c r="G2843" s="286" t="s">
        <v>2494</v>
      </c>
      <c r="H2843" s="286" t="s">
        <v>134</v>
      </c>
      <c r="I2843" s="286" t="s">
        <v>2772</v>
      </c>
      <c r="J2843" s="287" t="s">
        <v>164</v>
      </c>
      <c r="K2843" s="288" t="s">
        <v>153</v>
      </c>
      <c r="L2843" s="390" t="s">
        <v>2166</v>
      </c>
      <c r="M2843" s="287" t="s">
        <v>214</v>
      </c>
      <c r="N2843" s="286" t="s">
        <v>215</v>
      </c>
      <c r="O2843" s="286" t="s">
        <v>504</v>
      </c>
      <c r="P2843" s="289">
        <v>20</v>
      </c>
      <c r="Q2843" s="289">
        <v>8</v>
      </c>
      <c r="R2843" s="290">
        <v>1.4999999999999999E-2</v>
      </c>
      <c r="S2843" s="286" t="s">
        <v>217</v>
      </c>
      <c r="T2843" s="286" t="s">
        <v>56</v>
      </c>
      <c r="U2843" s="286" t="s">
        <v>89</v>
      </c>
      <c r="V2843" s="291">
        <f>1000</f>
        <v>1000</v>
      </c>
      <c r="W2843" s="291">
        <f>18+755</f>
        <v>773</v>
      </c>
      <c r="X2843" s="292">
        <f>(4540)/20</f>
        <v>227</v>
      </c>
      <c r="Y2843" s="293">
        <f t="shared" si="1224"/>
        <v>0</v>
      </c>
      <c r="Z2843" s="294">
        <f t="shared" si="1225"/>
        <v>0</v>
      </c>
      <c r="AA2843" s="291">
        <f t="shared" si="1212"/>
        <v>0</v>
      </c>
      <c r="AB2843" s="813">
        <v>2</v>
      </c>
      <c r="AC2843" s="291">
        <f t="shared" si="1226"/>
        <v>0</v>
      </c>
      <c r="AD2843" s="209" t="s">
        <v>218</v>
      </c>
      <c r="AE2843" s="210">
        <f t="shared" si="1227"/>
        <v>0</v>
      </c>
      <c r="AF2843" s="210">
        <f t="shared" si="1228"/>
        <v>0</v>
      </c>
      <c r="AG2843" s="211">
        <f>MID(O2843,1,3)/1000</f>
        <v>0.19400000000000001</v>
      </c>
      <c r="AH2843" s="157">
        <f t="shared" si="1229"/>
        <v>0</v>
      </c>
      <c r="AI2843" s="152">
        <f t="shared" si="1230"/>
        <v>20000</v>
      </c>
      <c r="AK2843" s="156" t="s">
        <v>691</v>
      </c>
      <c r="AL2843" s="156" t="s">
        <v>689</v>
      </c>
      <c r="AM2843" s="198">
        <f t="shared" si="1222"/>
        <v>0</v>
      </c>
      <c r="AN2843" s="199">
        <f t="shared" si="1213"/>
        <v>45993</v>
      </c>
      <c r="AO2843" s="159" t="s">
        <v>692</v>
      </c>
      <c r="AP2843" s="783" t="s">
        <v>610</v>
      </c>
      <c r="AQ2843" s="782">
        <v>12071839</v>
      </c>
      <c r="AR2843" s="782">
        <v>12064528</v>
      </c>
      <c r="AS2843" s="782"/>
      <c r="AT2843" s="782">
        <v>12096526</v>
      </c>
      <c r="AU2843" s="781"/>
      <c r="AV2843" s="782">
        <v>12096527</v>
      </c>
      <c r="AW2843" s="782"/>
      <c r="AX2843" s="782" t="s">
        <v>545</v>
      </c>
      <c r="AY2843" s="782"/>
      <c r="AZ2843" s="782"/>
      <c r="BA2843" s="781"/>
      <c r="BB2843" s="209">
        <v>23053184</v>
      </c>
    </row>
    <row r="2844" spans="1:54" ht="25" hidden="1" customHeight="1">
      <c r="A2844" s="142" t="s">
        <v>120</v>
      </c>
      <c r="B2844" s="559">
        <v>45994</v>
      </c>
      <c r="C2844" s="560">
        <v>46002</v>
      </c>
      <c r="D2844" s="185">
        <f t="shared" si="1210"/>
        <v>2025</v>
      </c>
      <c r="E2844" s="561" t="e">
        <f>VLOOKUP($B2844,Week!$A$1:$C$1462,2,0)</f>
        <v>#N/A</v>
      </c>
      <c r="F2844" s="562" t="str">
        <f t="shared" si="1211"/>
        <v>Dec</v>
      </c>
      <c r="G2844" s="561" t="s">
        <v>2478</v>
      </c>
      <c r="H2844" s="561" t="s">
        <v>134</v>
      </c>
      <c r="I2844" s="561" t="s">
        <v>2772</v>
      </c>
      <c r="J2844" s="563" t="s">
        <v>164</v>
      </c>
      <c r="K2844" s="564" t="s">
        <v>355</v>
      </c>
      <c r="L2844" s="390" t="s">
        <v>2166</v>
      </c>
      <c r="M2844" s="563" t="s">
        <v>356</v>
      </c>
      <c r="N2844" s="561" t="s">
        <v>652</v>
      </c>
      <c r="O2844" s="561" t="s">
        <v>508</v>
      </c>
      <c r="P2844" s="565">
        <v>18</v>
      </c>
      <c r="Q2844" s="565">
        <v>8</v>
      </c>
      <c r="R2844" s="566">
        <v>6.0000000000000001E-3</v>
      </c>
      <c r="S2844" s="561" t="s">
        <v>55</v>
      </c>
      <c r="T2844" s="561" t="s">
        <v>56</v>
      </c>
      <c r="U2844" s="561" t="s">
        <v>89</v>
      </c>
      <c r="V2844" s="567">
        <f>600</f>
        <v>600</v>
      </c>
      <c r="W2844" s="567">
        <f>12+588</f>
        <v>600</v>
      </c>
      <c r="X2844" s="568"/>
      <c r="Y2844" s="569">
        <f t="shared" si="1224"/>
        <v>0</v>
      </c>
      <c r="Z2844" s="570">
        <f t="shared" si="1225"/>
        <v>0</v>
      </c>
      <c r="AA2844" s="570">
        <f t="shared" si="1212"/>
        <v>0</v>
      </c>
      <c r="AB2844" s="834">
        <v>2</v>
      </c>
      <c r="AC2844" s="567">
        <f t="shared" si="1226"/>
        <v>0</v>
      </c>
      <c r="AD2844" s="307" t="s">
        <v>2614</v>
      </c>
      <c r="AE2844" s="210">
        <f t="shared" si="1227"/>
        <v>0</v>
      </c>
      <c r="AF2844" s="210">
        <f t="shared" si="1228"/>
        <v>0</v>
      </c>
      <c r="AG2844" s="211">
        <f>MID(O2844,1,2)/1000</f>
        <v>0.09</v>
      </c>
      <c r="AH2844" s="157">
        <f t="shared" si="1229"/>
        <v>0</v>
      </c>
      <c r="AI2844" s="152">
        <f t="shared" si="1230"/>
        <v>10800</v>
      </c>
      <c r="AK2844" s="156" t="s">
        <v>691</v>
      </c>
      <c r="AL2844" s="156" t="s">
        <v>689</v>
      </c>
      <c r="AM2844" s="198">
        <f t="shared" si="1222"/>
        <v>0</v>
      </c>
      <c r="AN2844" s="199">
        <f t="shared" si="1213"/>
        <v>45994</v>
      </c>
      <c r="AO2844" s="159" t="s">
        <v>692</v>
      </c>
      <c r="AP2844" s="783"/>
      <c r="AQ2844" s="782"/>
      <c r="AR2844" s="782" t="s">
        <v>531</v>
      </c>
      <c r="AS2844" s="782"/>
      <c r="AT2844" s="782"/>
      <c r="AU2844" s="782">
        <v>12054219</v>
      </c>
      <c r="AV2844" s="782">
        <v>12097195</v>
      </c>
      <c r="AW2844" s="782"/>
      <c r="AX2844" s="782" t="s">
        <v>2519</v>
      </c>
      <c r="AY2844" s="782"/>
      <c r="AZ2844" s="782"/>
      <c r="BA2844" s="781"/>
      <c r="BB2844" s="209">
        <v>23053184</v>
      </c>
    </row>
    <row r="2845" spans="1:54" ht="25.9" hidden="1" customHeight="1">
      <c r="A2845" s="142" t="s">
        <v>120</v>
      </c>
      <c r="B2845" s="235">
        <v>45994</v>
      </c>
      <c r="C2845" s="235">
        <v>46014</v>
      </c>
      <c r="D2845" s="185">
        <f t="shared" si="1210"/>
        <v>2025</v>
      </c>
      <c r="E2845" s="236" t="e">
        <f>VLOOKUP($B2845,Week!$A$1:$C$1462,2,0)</f>
        <v>#N/A</v>
      </c>
      <c r="F2845" s="237" t="str">
        <f t="shared" si="1211"/>
        <v>Dec</v>
      </c>
      <c r="G2845" s="236" t="s">
        <v>2510</v>
      </c>
      <c r="H2845" s="236" t="s">
        <v>392</v>
      </c>
      <c r="I2845" s="236" t="s">
        <v>2772</v>
      </c>
      <c r="J2845" s="238" t="s">
        <v>393</v>
      </c>
      <c r="K2845" s="239" t="s">
        <v>153</v>
      </c>
      <c r="L2845" s="390" t="s">
        <v>2166</v>
      </c>
      <c r="M2845" s="238" t="s">
        <v>165</v>
      </c>
      <c r="N2845" s="236" t="s">
        <v>685</v>
      </c>
      <c r="O2845" s="236" t="s">
        <v>167</v>
      </c>
      <c r="P2845" s="240">
        <v>20</v>
      </c>
      <c r="Q2845" s="240">
        <v>12</v>
      </c>
      <c r="R2845" s="241">
        <v>6.8100000000000001E-3</v>
      </c>
      <c r="S2845" s="236" t="s">
        <v>76</v>
      </c>
      <c r="T2845" s="236" t="s">
        <v>56</v>
      </c>
      <c r="U2845" s="236" t="s">
        <v>89</v>
      </c>
      <c r="V2845" s="242">
        <f>350+50</f>
        <v>400</v>
      </c>
      <c r="W2845" s="242">
        <f>84+311+5</f>
        <v>400</v>
      </c>
      <c r="X2845" s="243"/>
      <c r="Y2845" s="244">
        <f t="shared" si="1224"/>
        <v>0</v>
      </c>
      <c r="Z2845" s="245">
        <f t="shared" si="1225"/>
        <v>0</v>
      </c>
      <c r="AA2845" s="245">
        <f t="shared" si="1212"/>
        <v>0</v>
      </c>
      <c r="AB2845" s="809">
        <v>2</v>
      </c>
      <c r="AC2845" s="242">
        <f t="shared" si="1226"/>
        <v>0</v>
      </c>
      <c r="AD2845" s="209"/>
      <c r="AE2845" s="210">
        <f t="shared" si="1227"/>
        <v>0</v>
      </c>
      <c r="AF2845" s="210">
        <f t="shared" si="1228"/>
        <v>0</v>
      </c>
      <c r="AG2845" s="211">
        <f>MID(O2845,1,3)/1000</f>
        <v>0.154</v>
      </c>
      <c r="AH2845" s="157">
        <f t="shared" si="1229"/>
        <v>0</v>
      </c>
      <c r="AI2845" s="152">
        <f t="shared" si="1230"/>
        <v>8000</v>
      </c>
      <c r="AK2845" s="156" t="s">
        <v>691</v>
      </c>
      <c r="AL2845" s="156" t="s">
        <v>689</v>
      </c>
      <c r="AM2845" s="198">
        <f t="shared" si="1222"/>
        <v>0</v>
      </c>
      <c r="AN2845" s="199">
        <f t="shared" si="1213"/>
        <v>45994</v>
      </c>
      <c r="AO2845" s="159" t="s">
        <v>692</v>
      </c>
      <c r="AP2845" s="783" t="s">
        <v>622</v>
      </c>
      <c r="AQ2845" s="783" t="s">
        <v>631</v>
      </c>
      <c r="AR2845" s="783" t="s">
        <v>523</v>
      </c>
      <c r="AS2845" s="781"/>
      <c r="AT2845" s="783" t="s">
        <v>607</v>
      </c>
      <c r="AU2845" s="781"/>
      <c r="AV2845" s="783" t="s">
        <v>606</v>
      </c>
      <c r="AW2845" s="781"/>
      <c r="AX2845" s="781" t="s">
        <v>398</v>
      </c>
      <c r="AY2845" s="781"/>
      <c r="AZ2845" s="782"/>
      <c r="BA2845" s="781"/>
      <c r="BB2845" s="209">
        <v>23053184</v>
      </c>
    </row>
    <row r="2846" spans="1:54" ht="24.75" hidden="1" customHeight="1">
      <c r="B2846" s="295">
        <v>45994</v>
      </c>
      <c r="C2846" s="771" t="s">
        <v>1936</v>
      </c>
      <c r="D2846" s="185">
        <f t="shared" si="1210"/>
        <v>2025</v>
      </c>
      <c r="E2846" s="296" t="e">
        <f>VLOOKUP($B2846,Week!$A$1:$C$1462,2,0)</f>
        <v>#N/A</v>
      </c>
      <c r="F2846" s="297" t="str">
        <f t="shared" si="1211"/>
        <v>Dec</v>
      </c>
      <c r="G2846" s="648" t="s">
        <v>47</v>
      </c>
      <c r="H2846" s="298" t="s">
        <v>260</v>
      </c>
      <c r="I2846" s="298" t="s">
        <v>2702</v>
      </c>
      <c r="J2846" s="307" t="s">
        <v>2240</v>
      </c>
      <c r="K2846" s="300" t="s">
        <v>176</v>
      </c>
      <c r="L2846" s="300" t="s">
        <v>2167</v>
      </c>
      <c r="M2846" s="299" t="s">
        <v>2338</v>
      </c>
      <c r="N2846" s="298" t="s">
        <v>350</v>
      </c>
      <c r="O2846" s="298" t="s">
        <v>351</v>
      </c>
      <c r="P2846" s="301">
        <v>24</v>
      </c>
      <c r="Q2846" s="301">
        <v>5</v>
      </c>
      <c r="R2846" s="302">
        <v>6.1999999999999998E-3</v>
      </c>
      <c r="S2846" s="298" t="s">
        <v>352</v>
      </c>
      <c r="T2846" s="298" t="s">
        <v>56</v>
      </c>
      <c r="U2846" s="298" t="s">
        <v>57</v>
      </c>
      <c r="V2846" s="303">
        <v>3635</v>
      </c>
      <c r="W2846" s="303">
        <f>3635</f>
        <v>3635</v>
      </c>
      <c r="X2846" s="304"/>
      <c r="Y2846" s="305">
        <f t="shared" si="1224"/>
        <v>0</v>
      </c>
      <c r="Z2846" s="306">
        <f t="shared" si="1225"/>
        <v>0</v>
      </c>
      <c r="AA2846" s="306">
        <f t="shared" si="1212"/>
        <v>0</v>
      </c>
      <c r="AB2846" s="814">
        <v>7.4999999999999997E-3</v>
      </c>
      <c r="AC2846" s="303">
        <f t="shared" si="1226"/>
        <v>0</v>
      </c>
      <c r="AD2846" s="443"/>
      <c r="AE2846" s="210">
        <f t="shared" si="1227"/>
        <v>0</v>
      </c>
      <c r="AF2846" s="210">
        <f t="shared" si="1228"/>
        <v>0</v>
      </c>
      <c r="AG2846" s="211">
        <f>MID(O2846,1,3)/1000</f>
        <v>0.13</v>
      </c>
      <c r="AH2846" s="157">
        <f t="shared" si="1229"/>
        <v>0</v>
      </c>
      <c r="AI2846" s="152">
        <f t="shared" si="1230"/>
        <v>87240</v>
      </c>
      <c r="AK2846" s="156" t="s">
        <v>691</v>
      </c>
      <c r="AL2846" s="574" t="s">
        <v>690</v>
      </c>
      <c r="AM2846" s="198">
        <f t="shared" si="1222"/>
        <v>0</v>
      </c>
      <c r="AN2846" s="199">
        <f t="shared" si="1213"/>
        <v>45994</v>
      </c>
      <c r="AO2846" s="159" t="s">
        <v>692</v>
      </c>
      <c r="AP2846" s="783" t="s">
        <v>622</v>
      </c>
      <c r="AQ2846" s="782">
        <v>12071839</v>
      </c>
      <c r="AR2846" s="782">
        <v>12094356</v>
      </c>
      <c r="AS2846" s="782">
        <v>12068233</v>
      </c>
      <c r="AT2846" s="781"/>
      <c r="AU2846" s="781"/>
      <c r="AV2846" s="782">
        <v>12062075</v>
      </c>
      <c r="AW2846" s="781"/>
      <c r="AX2846" s="781"/>
      <c r="AY2846" s="782">
        <v>12094357</v>
      </c>
      <c r="AZ2846" s="782"/>
      <c r="BA2846" s="781"/>
      <c r="BB2846" s="209">
        <v>23053184</v>
      </c>
    </row>
    <row r="2847" spans="1:54" ht="25" hidden="1" customHeight="1">
      <c r="A2847" s="142" t="s">
        <v>120</v>
      </c>
      <c r="B2847" s="448">
        <v>45995</v>
      </c>
      <c r="C2847" s="449">
        <v>46013</v>
      </c>
      <c r="D2847" s="185">
        <f t="shared" si="1210"/>
        <v>2025</v>
      </c>
      <c r="E2847" s="450" t="e">
        <f>VLOOKUP($B2847,Week!$A$1:$C$1462,2,0)</f>
        <v>#N/A</v>
      </c>
      <c r="F2847" s="451" t="str">
        <f t="shared" si="1211"/>
        <v>Dec</v>
      </c>
      <c r="G2847" s="450" t="s">
        <v>2496</v>
      </c>
      <c r="H2847" s="450" t="s">
        <v>134</v>
      </c>
      <c r="I2847" s="450" t="s">
        <v>2772</v>
      </c>
      <c r="J2847" s="452" t="s">
        <v>164</v>
      </c>
      <c r="K2847" s="453" t="s">
        <v>153</v>
      </c>
      <c r="L2847" s="390" t="s">
        <v>2166</v>
      </c>
      <c r="M2847" s="452" t="s">
        <v>1642</v>
      </c>
      <c r="N2847" s="450" t="s">
        <v>429</v>
      </c>
      <c r="O2847" s="450" t="s">
        <v>505</v>
      </c>
      <c r="P2847" s="454">
        <v>20</v>
      </c>
      <c r="Q2847" s="454">
        <v>12</v>
      </c>
      <c r="R2847" s="455">
        <v>6.8100000000000001E-3</v>
      </c>
      <c r="S2847" s="450" t="s">
        <v>76</v>
      </c>
      <c r="T2847" s="450" t="s">
        <v>56</v>
      </c>
      <c r="U2847" s="773" t="s">
        <v>430</v>
      </c>
      <c r="V2847" s="456">
        <v>255</v>
      </c>
      <c r="W2847" s="456">
        <f>255</f>
        <v>255</v>
      </c>
      <c r="X2847" s="457"/>
      <c r="Y2847" s="458">
        <f t="shared" si="1224"/>
        <v>0</v>
      </c>
      <c r="Z2847" s="459">
        <f t="shared" si="1225"/>
        <v>0</v>
      </c>
      <c r="AA2847" s="459">
        <f t="shared" si="1212"/>
        <v>0</v>
      </c>
      <c r="AB2847" s="827">
        <v>2</v>
      </c>
      <c r="AC2847" s="456">
        <f t="shared" si="1226"/>
        <v>0</v>
      </c>
      <c r="AD2847" s="209" t="s">
        <v>218</v>
      </c>
      <c r="AE2847" s="210"/>
      <c r="AF2847" s="210"/>
      <c r="AG2847" s="211">
        <f>MID(O2847,1,3)/1000</f>
        <v>0.20399999999999999</v>
      </c>
      <c r="AH2847" s="157">
        <f t="shared" si="1229"/>
        <v>0</v>
      </c>
      <c r="AI2847" s="152">
        <f t="shared" si="1230"/>
        <v>5100</v>
      </c>
      <c r="AK2847" s="156" t="s">
        <v>691</v>
      </c>
      <c r="AL2847" s="156" t="s">
        <v>689</v>
      </c>
      <c r="AM2847" s="198">
        <f t="shared" si="1222"/>
        <v>0</v>
      </c>
      <c r="AN2847" s="199">
        <f t="shared" si="1213"/>
        <v>45995</v>
      </c>
      <c r="AO2847" s="159" t="s">
        <v>692</v>
      </c>
      <c r="AP2847" s="781"/>
      <c r="AQ2847" s="782">
        <v>12071839</v>
      </c>
      <c r="AR2847" s="782">
        <v>12019692</v>
      </c>
      <c r="AS2847" s="782"/>
      <c r="AT2847" s="867">
        <v>12095767</v>
      </c>
      <c r="AU2847" s="868"/>
      <c r="AV2847" s="867">
        <v>12095768</v>
      </c>
      <c r="AW2847" s="782"/>
      <c r="AX2847" s="782" t="s">
        <v>398</v>
      </c>
      <c r="AY2847" s="782"/>
      <c r="AZ2847" s="782"/>
      <c r="BA2847" s="781"/>
      <c r="BB2847" s="209">
        <v>23057444</v>
      </c>
    </row>
    <row r="2848" spans="1:54" ht="24.65" hidden="1" customHeight="1">
      <c r="A2848" s="142" t="s">
        <v>120</v>
      </c>
      <c r="B2848" s="258">
        <v>45995</v>
      </c>
      <c r="C2848" s="259">
        <v>46027</v>
      </c>
      <c r="D2848" s="185">
        <f t="shared" si="1210"/>
        <v>2025</v>
      </c>
      <c r="E2848" s="260" t="e">
        <f>VLOOKUP($B2848,Week!$A$1:$C$1462,2,0)</f>
        <v>#N/A</v>
      </c>
      <c r="F2848" s="261" t="str">
        <f t="shared" si="1211"/>
        <v>Dec</v>
      </c>
      <c r="G2848" s="262" t="s">
        <v>2495</v>
      </c>
      <c r="H2848" s="260" t="s">
        <v>134</v>
      </c>
      <c r="I2848" s="260" t="s">
        <v>2772</v>
      </c>
      <c r="J2848" s="263" t="s">
        <v>164</v>
      </c>
      <c r="K2848" s="264" t="s">
        <v>153</v>
      </c>
      <c r="L2848" s="390" t="s">
        <v>2166</v>
      </c>
      <c r="M2848" s="263" t="s">
        <v>165</v>
      </c>
      <c r="N2848" s="260" t="s">
        <v>166</v>
      </c>
      <c r="O2848" s="260" t="s">
        <v>502</v>
      </c>
      <c r="P2848" s="265">
        <v>20</v>
      </c>
      <c r="Q2848" s="265">
        <v>12</v>
      </c>
      <c r="R2848" s="266">
        <v>6.8100000000000001E-3</v>
      </c>
      <c r="S2848" s="260" t="s">
        <v>76</v>
      </c>
      <c r="T2848" s="260" t="s">
        <v>56</v>
      </c>
      <c r="U2848" s="260" t="s">
        <v>89</v>
      </c>
      <c r="V2848" s="267">
        <v>1022</v>
      </c>
      <c r="W2848" s="267">
        <f>619</f>
        <v>619</v>
      </c>
      <c r="X2848" s="268">
        <f>(440+7200+420)/20</f>
        <v>403</v>
      </c>
      <c r="Y2848" s="269">
        <f t="shared" si="1224"/>
        <v>0</v>
      </c>
      <c r="Z2848" s="270">
        <f t="shared" si="1225"/>
        <v>0</v>
      </c>
      <c r="AA2848" s="270">
        <f t="shared" si="1212"/>
        <v>0</v>
      </c>
      <c r="AB2848" s="811">
        <v>2</v>
      </c>
      <c r="AC2848" s="267">
        <f t="shared" si="1226"/>
        <v>0</v>
      </c>
      <c r="AD2848" s="209" t="s">
        <v>168</v>
      </c>
      <c r="AE2848" s="210">
        <f>SUM(Q2848*R2848*Z2848)/1000</f>
        <v>0</v>
      </c>
      <c r="AF2848" s="210">
        <f t="shared" ref="AF2848:AF2856" si="1231">AE2848/0.54</f>
        <v>0</v>
      </c>
      <c r="AG2848" s="211">
        <f>MID(O2848,1,3)/1000</f>
        <v>0.154</v>
      </c>
      <c r="AH2848" s="157">
        <f t="shared" si="1229"/>
        <v>0</v>
      </c>
      <c r="AI2848" s="152">
        <f t="shared" si="1230"/>
        <v>20440</v>
      </c>
      <c r="AK2848" s="156" t="s">
        <v>691</v>
      </c>
      <c r="AL2848" s="156" t="s">
        <v>689</v>
      </c>
      <c r="AM2848" s="198">
        <f t="shared" si="1222"/>
        <v>0</v>
      </c>
      <c r="AN2848" s="199">
        <f t="shared" si="1213"/>
        <v>45995</v>
      </c>
      <c r="AO2848" s="159" t="s">
        <v>692</v>
      </c>
      <c r="AP2848" s="783" t="s">
        <v>610</v>
      </c>
      <c r="AQ2848" s="783" t="s">
        <v>631</v>
      </c>
      <c r="AR2848" s="783" t="s">
        <v>523</v>
      </c>
      <c r="AS2848" s="781"/>
      <c r="AT2848" s="782">
        <v>12096524</v>
      </c>
      <c r="AU2848" s="781"/>
      <c r="AV2848" s="783" t="s">
        <v>2507</v>
      </c>
      <c r="AW2848" s="781"/>
      <c r="AX2848" s="782" t="s">
        <v>398</v>
      </c>
      <c r="AY2848" s="781"/>
      <c r="AZ2848" s="781"/>
      <c r="BA2848" s="781"/>
      <c r="BB2848" s="209">
        <v>23053184</v>
      </c>
    </row>
    <row r="2849" spans="1:54" ht="24.65" hidden="1" customHeight="1">
      <c r="B2849" s="308">
        <v>45995</v>
      </c>
      <c r="C2849" s="309">
        <v>46009</v>
      </c>
      <c r="D2849" s="185">
        <f t="shared" si="1210"/>
        <v>2025</v>
      </c>
      <c r="E2849" s="309" t="e">
        <f>VLOOKUP($B2849,Week!$A$1:$C$1462,2,0)</f>
        <v>#N/A</v>
      </c>
      <c r="F2849" s="310" t="str">
        <f t="shared" si="1211"/>
        <v>Dec</v>
      </c>
      <c r="G2849" s="311" t="s">
        <v>2589</v>
      </c>
      <c r="H2849" s="311" t="s">
        <v>311</v>
      </c>
      <c r="I2849" s="311" t="s">
        <v>2772</v>
      </c>
      <c r="J2849" s="312" t="s">
        <v>738</v>
      </c>
      <c r="K2849" s="313" t="s">
        <v>107</v>
      </c>
      <c r="L2849" s="300" t="s">
        <v>2167</v>
      </c>
      <c r="M2849" s="312" t="s">
        <v>313</v>
      </c>
      <c r="N2849" s="311" t="s">
        <v>314</v>
      </c>
      <c r="O2849" s="311" t="s">
        <v>110</v>
      </c>
      <c r="P2849" s="314">
        <v>36</v>
      </c>
      <c r="Q2849" s="314">
        <v>5</v>
      </c>
      <c r="R2849" s="315">
        <v>7.4999999999999997E-3</v>
      </c>
      <c r="S2849" s="311" t="s">
        <v>111</v>
      </c>
      <c r="T2849" s="311" t="s">
        <v>112</v>
      </c>
      <c r="U2849" s="311" t="s">
        <v>57</v>
      </c>
      <c r="V2849" s="316">
        <v>792</v>
      </c>
      <c r="W2849" s="316">
        <f>65+727</f>
        <v>792</v>
      </c>
      <c r="X2849" s="317"/>
      <c r="Y2849" s="318">
        <f t="shared" si="1224"/>
        <v>0</v>
      </c>
      <c r="Z2849" s="319">
        <f t="shared" ref="Z2849:Z2855" si="1232">IF(Y2849&lt;0,((V2849*P2849)-((W2849+X2849)*P2849)),0)</f>
        <v>0</v>
      </c>
      <c r="AA2849" s="319">
        <f t="shared" ref="AA2849:AA2855" si="1233">Q2849*Z2849</f>
        <v>0</v>
      </c>
      <c r="AB2849" s="815">
        <v>7.4999999999999997E-3</v>
      </c>
      <c r="AC2849" s="316">
        <f t="shared" si="1226"/>
        <v>0</v>
      </c>
      <c r="AD2849" s="515"/>
      <c r="AE2849" s="210">
        <f t="shared" ref="AE2849:AE2855" si="1234">SUM(Q2849*R2849*Z2849)/1000</f>
        <v>0</v>
      </c>
      <c r="AF2849" s="210">
        <f t="shared" si="1231"/>
        <v>0</v>
      </c>
      <c r="AG2849" s="211">
        <f t="shared" ref="AG2849:AG2855" si="1235">MID(O2849,1,3)/1000</f>
        <v>0.308</v>
      </c>
      <c r="AH2849" s="157">
        <f t="shared" si="1229"/>
        <v>0</v>
      </c>
      <c r="AI2849" s="152">
        <f t="shared" ref="AI2849:AI2855" si="1236">V2849*P2849</f>
        <v>28512</v>
      </c>
      <c r="AK2849" s="156" t="s">
        <v>691</v>
      </c>
      <c r="AL2849" s="212" t="s">
        <v>690</v>
      </c>
      <c r="AM2849" s="198">
        <f t="shared" ref="AM2849:AM2855" si="1237">AG2849*Z2849</f>
        <v>0</v>
      </c>
      <c r="AN2849" s="199">
        <f t="shared" ref="AN2849:AN2855" si="1238">B2849</f>
        <v>45995</v>
      </c>
      <c r="AO2849" s="159" t="s">
        <v>692</v>
      </c>
      <c r="AP2849" s="783" t="s">
        <v>644</v>
      </c>
      <c r="AQ2849" s="782">
        <v>12063755</v>
      </c>
      <c r="AR2849" s="782">
        <v>12061353</v>
      </c>
      <c r="AS2849" s="782">
        <v>12061354</v>
      </c>
      <c r="AT2849" s="782">
        <v>12062266</v>
      </c>
      <c r="AU2849" s="781"/>
      <c r="AV2849" s="782">
        <v>12088159</v>
      </c>
      <c r="AW2849" s="782">
        <v>12088207</v>
      </c>
      <c r="AX2849" s="782"/>
      <c r="AY2849" s="782">
        <v>12094237</v>
      </c>
      <c r="AZ2849" s="782"/>
      <c r="BA2849" s="781"/>
      <c r="BB2849" s="209">
        <v>23053185</v>
      </c>
    </row>
    <row r="2850" spans="1:54" ht="24.65" hidden="1" customHeight="1">
      <c r="B2850" s="308">
        <v>45995</v>
      </c>
      <c r="C2850" s="309">
        <v>46009</v>
      </c>
      <c r="D2850" s="185">
        <f t="shared" si="1210"/>
        <v>2025</v>
      </c>
      <c r="E2850" s="309" t="e">
        <f>VLOOKUP($B2850,Week!$A$1:$C$1462,2,0)</f>
        <v>#N/A</v>
      </c>
      <c r="F2850" s="310" t="str">
        <f t="shared" si="1211"/>
        <v>Dec</v>
      </c>
      <c r="G2850" s="311" t="s">
        <v>2622</v>
      </c>
      <c r="H2850" s="311" t="s">
        <v>311</v>
      </c>
      <c r="I2850" s="311" t="s">
        <v>2772</v>
      </c>
      <c r="J2850" s="312" t="s">
        <v>738</v>
      </c>
      <c r="K2850" s="313" t="s">
        <v>107</v>
      </c>
      <c r="L2850" s="300" t="s">
        <v>2167</v>
      </c>
      <c r="M2850" s="312" t="s">
        <v>313</v>
      </c>
      <c r="N2850" s="311" t="s">
        <v>314</v>
      </c>
      <c r="O2850" s="311" t="s">
        <v>110</v>
      </c>
      <c r="P2850" s="314">
        <v>36</v>
      </c>
      <c r="Q2850" s="314">
        <v>5</v>
      </c>
      <c r="R2850" s="315">
        <v>7.4999999999999997E-3</v>
      </c>
      <c r="S2850" s="311" t="s">
        <v>111</v>
      </c>
      <c r="T2850" s="311" t="s">
        <v>112</v>
      </c>
      <c r="U2850" s="311" t="s">
        <v>57</v>
      </c>
      <c r="V2850" s="316">
        <v>792</v>
      </c>
      <c r="W2850" s="316">
        <f>1519-727</f>
        <v>792</v>
      </c>
      <c r="X2850" s="317"/>
      <c r="Y2850" s="318">
        <f t="shared" si="1224"/>
        <v>0</v>
      </c>
      <c r="Z2850" s="319">
        <f t="shared" si="1232"/>
        <v>0</v>
      </c>
      <c r="AA2850" s="319">
        <f t="shared" si="1233"/>
        <v>0</v>
      </c>
      <c r="AB2850" s="815">
        <v>7.4999999999999997E-3</v>
      </c>
      <c r="AC2850" s="316">
        <f t="shared" si="1226"/>
        <v>0</v>
      </c>
      <c r="AD2850" s="515"/>
      <c r="AE2850" s="210">
        <f t="shared" si="1234"/>
        <v>0</v>
      </c>
      <c r="AF2850" s="210">
        <f t="shared" si="1231"/>
        <v>0</v>
      </c>
      <c r="AG2850" s="211">
        <f t="shared" si="1235"/>
        <v>0.308</v>
      </c>
      <c r="AH2850" s="157">
        <f t="shared" si="1229"/>
        <v>0</v>
      </c>
      <c r="AI2850" s="152">
        <f t="shared" si="1236"/>
        <v>28512</v>
      </c>
      <c r="AK2850" s="156" t="s">
        <v>691</v>
      </c>
      <c r="AL2850" s="212" t="s">
        <v>690</v>
      </c>
      <c r="AM2850" s="198">
        <f t="shared" si="1237"/>
        <v>0</v>
      </c>
      <c r="AN2850" s="199">
        <f t="shared" si="1238"/>
        <v>45995</v>
      </c>
      <c r="AO2850" s="159" t="s">
        <v>692</v>
      </c>
      <c r="AP2850" s="783" t="s">
        <v>644</v>
      </c>
      <c r="AQ2850" s="782">
        <v>12063755</v>
      </c>
      <c r="AR2850" s="782">
        <v>12061353</v>
      </c>
      <c r="AS2850" s="782">
        <v>12061354</v>
      </c>
      <c r="AT2850" s="782">
        <v>12062266</v>
      </c>
      <c r="AU2850" s="781"/>
      <c r="AV2850" s="782">
        <v>12088159</v>
      </c>
      <c r="AW2850" s="782">
        <v>12088207</v>
      </c>
      <c r="AX2850" s="782"/>
      <c r="AY2850" s="782">
        <v>12094237</v>
      </c>
      <c r="AZ2850" s="782"/>
      <c r="BA2850" s="781"/>
      <c r="BB2850" s="209">
        <v>23053185</v>
      </c>
    </row>
    <row r="2851" spans="1:54" ht="24.75" hidden="1" customHeight="1">
      <c r="B2851" s="320">
        <v>45995</v>
      </c>
      <c r="C2851" s="321">
        <v>46009</v>
      </c>
      <c r="D2851" s="185">
        <f t="shared" si="1210"/>
        <v>2025</v>
      </c>
      <c r="E2851" s="321" t="e">
        <f>VLOOKUP($B2851,Week!$A$1:$C$1462,2,0)</f>
        <v>#N/A</v>
      </c>
      <c r="F2851" s="322" t="str">
        <f t="shared" si="1211"/>
        <v>Dec</v>
      </c>
      <c r="G2851" s="323" t="s">
        <v>2656</v>
      </c>
      <c r="H2851" s="323" t="s">
        <v>311</v>
      </c>
      <c r="I2851" s="323" t="s">
        <v>2772</v>
      </c>
      <c r="J2851" s="324" t="s">
        <v>738</v>
      </c>
      <c r="K2851" s="325" t="s">
        <v>107</v>
      </c>
      <c r="L2851" s="300" t="s">
        <v>2167</v>
      </c>
      <c r="M2851" s="324" t="s">
        <v>313</v>
      </c>
      <c r="N2851" s="323" t="s">
        <v>591</v>
      </c>
      <c r="O2851" s="323" t="s">
        <v>592</v>
      </c>
      <c r="P2851" s="326">
        <v>8</v>
      </c>
      <c r="Q2851" s="326">
        <v>4</v>
      </c>
      <c r="R2851" s="327">
        <v>7.4999999999999997E-3</v>
      </c>
      <c r="S2851" s="323" t="s">
        <v>111</v>
      </c>
      <c r="T2851" s="323" t="s">
        <v>112</v>
      </c>
      <c r="U2851" s="323" t="s">
        <v>57</v>
      </c>
      <c r="V2851" s="328">
        <f>950</f>
        <v>950</v>
      </c>
      <c r="W2851" s="328"/>
      <c r="X2851" s="329">
        <f>(1282+6417)/8</f>
        <v>962.375</v>
      </c>
      <c r="Y2851" s="330">
        <f t="shared" si="1224"/>
        <v>12.375</v>
      </c>
      <c r="Z2851" s="331">
        <f t="shared" si="1232"/>
        <v>0</v>
      </c>
      <c r="AA2851" s="331">
        <f t="shared" si="1233"/>
        <v>0</v>
      </c>
      <c r="AB2851" s="816">
        <v>7.4999999999999997E-3</v>
      </c>
      <c r="AC2851" s="328">
        <f t="shared" si="1226"/>
        <v>0</v>
      </c>
      <c r="AD2851" s="443"/>
      <c r="AE2851" s="210">
        <f t="shared" si="1234"/>
        <v>0</v>
      </c>
      <c r="AF2851" s="210">
        <f t="shared" si="1231"/>
        <v>0</v>
      </c>
      <c r="AG2851" s="211">
        <f t="shared" si="1235"/>
        <v>0.30499999999999999</v>
      </c>
      <c r="AH2851" s="157">
        <f t="shared" si="1229"/>
        <v>0</v>
      </c>
      <c r="AI2851" s="152">
        <f t="shared" si="1236"/>
        <v>7600</v>
      </c>
      <c r="AK2851" s="156" t="s">
        <v>691</v>
      </c>
      <c r="AL2851" s="212" t="s">
        <v>690</v>
      </c>
      <c r="AM2851" s="198">
        <f t="shared" si="1237"/>
        <v>0</v>
      </c>
      <c r="AN2851" s="199">
        <f t="shared" si="1238"/>
        <v>45995</v>
      </c>
      <c r="AO2851" s="159" t="s">
        <v>692</v>
      </c>
      <c r="AP2851" s="783" t="s">
        <v>643</v>
      </c>
      <c r="AQ2851" s="782">
        <v>12063755</v>
      </c>
      <c r="AR2851" s="782">
        <v>12061353</v>
      </c>
      <c r="AS2851" s="782">
        <v>12061354</v>
      </c>
      <c r="AT2851" s="782">
        <v>12088679</v>
      </c>
      <c r="AU2851" s="781"/>
      <c r="AV2851" s="782">
        <v>12061557</v>
      </c>
      <c r="AW2851" s="782"/>
      <c r="AX2851" s="782"/>
      <c r="AY2851" s="782"/>
      <c r="AZ2851" s="782"/>
      <c r="BA2851" s="781"/>
      <c r="BB2851" s="209">
        <v>23053185</v>
      </c>
    </row>
    <row r="2852" spans="1:54" ht="24.75" hidden="1" customHeight="1">
      <c r="B2852" s="320">
        <v>45995</v>
      </c>
      <c r="C2852" s="321">
        <v>46009</v>
      </c>
      <c r="D2852" s="185">
        <f t="shared" si="1210"/>
        <v>2025</v>
      </c>
      <c r="E2852" s="321" t="e">
        <f>VLOOKUP($B2852,Week!$A$1:$C$1462,2,0)</f>
        <v>#N/A</v>
      </c>
      <c r="F2852" s="322" t="str">
        <f t="shared" si="1211"/>
        <v>Dec</v>
      </c>
      <c r="G2852" s="323" t="s">
        <v>2609</v>
      </c>
      <c r="H2852" s="323" t="s">
        <v>675</v>
      </c>
      <c r="I2852" s="323" t="s">
        <v>2772</v>
      </c>
      <c r="J2852" s="324" t="s">
        <v>709</v>
      </c>
      <c r="K2852" s="325" t="s">
        <v>107</v>
      </c>
      <c r="L2852" s="300" t="s">
        <v>2167</v>
      </c>
      <c r="M2852" s="324" t="s">
        <v>313</v>
      </c>
      <c r="N2852" s="596" t="s">
        <v>710</v>
      </c>
      <c r="O2852" s="323" t="s">
        <v>592</v>
      </c>
      <c r="P2852" s="326">
        <v>8</v>
      </c>
      <c r="Q2852" s="326">
        <v>4</v>
      </c>
      <c r="R2852" s="327">
        <v>7.4999999999999997E-3</v>
      </c>
      <c r="S2852" s="323" t="s">
        <v>111</v>
      </c>
      <c r="T2852" s="323" t="s">
        <v>112</v>
      </c>
      <c r="U2852" s="323" t="s">
        <v>57</v>
      </c>
      <c r="V2852" s="328">
        <v>432</v>
      </c>
      <c r="W2852" s="328">
        <f>45</f>
        <v>45</v>
      </c>
      <c r="X2852" s="329">
        <f>(52+3044)/8</f>
        <v>387</v>
      </c>
      <c r="Y2852" s="330">
        <f t="shared" si="1224"/>
        <v>0</v>
      </c>
      <c r="Z2852" s="331">
        <f t="shared" si="1232"/>
        <v>0</v>
      </c>
      <c r="AA2852" s="331">
        <f t="shared" si="1233"/>
        <v>0</v>
      </c>
      <c r="AB2852" s="816">
        <v>7.4999999999999997E-3</v>
      </c>
      <c r="AC2852" s="328">
        <f t="shared" si="1226"/>
        <v>0</v>
      </c>
      <c r="AD2852" s="443"/>
      <c r="AE2852" s="210">
        <f t="shared" si="1234"/>
        <v>0</v>
      </c>
      <c r="AF2852" s="210">
        <f t="shared" si="1231"/>
        <v>0</v>
      </c>
      <c r="AG2852" s="211">
        <f t="shared" si="1235"/>
        <v>0.30499999999999999</v>
      </c>
      <c r="AH2852" s="157">
        <f t="shared" si="1229"/>
        <v>0</v>
      </c>
      <c r="AI2852" s="152">
        <f t="shared" si="1236"/>
        <v>3456</v>
      </c>
      <c r="AK2852" s="156" t="s">
        <v>691</v>
      </c>
      <c r="AL2852" s="212" t="s">
        <v>690</v>
      </c>
      <c r="AM2852" s="198">
        <f t="shared" si="1237"/>
        <v>0</v>
      </c>
      <c r="AN2852" s="199">
        <f t="shared" si="1238"/>
        <v>45995</v>
      </c>
      <c r="AO2852" s="159" t="s">
        <v>692</v>
      </c>
      <c r="AP2852" s="783" t="s">
        <v>643</v>
      </c>
      <c r="AQ2852" s="782">
        <v>12063755</v>
      </c>
      <c r="AR2852" s="782">
        <v>12061353</v>
      </c>
      <c r="AS2852" s="782">
        <v>12061354</v>
      </c>
      <c r="AT2852" s="782">
        <v>12089987</v>
      </c>
      <c r="AU2852" s="781"/>
      <c r="AV2852" s="782">
        <v>12089986</v>
      </c>
      <c r="AW2852" s="782"/>
      <c r="AX2852" s="782"/>
      <c r="AY2852" s="782"/>
      <c r="AZ2852" s="782"/>
      <c r="BA2852" s="781"/>
      <c r="BB2852" s="209">
        <v>23053185</v>
      </c>
    </row>
    <row r="2853" spans="1:54" ht="24.75" hidden="1" customHeight="1">
      <c r="B2853" s="320">
        <v>45995</v>
      </c>
      <c r="C2853" s="321">
        <v>46016</v>
      </c>
      <c r="D2853" s="185">
        <f t="shared" si="1210"/>
        <v>2025</v>
      </c>
      <c r="E2853" s="321" t="e">
        <f>VLOOKUP($B2853,Week!$A$1:$C$1462,2,0)</f>
        <v>#N/A</v>
      </c>
      <c r="F2853" s="322" t="str">
        <f t="shared" si="1211"/>
        <v>Dec</v>
      </c>
      <c r="G2853" s="323" t="s">
        <v>2679</v>
      </c>
      <c r="H2853" s="323" t="s">
        <v>675</v>
      </c>
      <c r="I2853" s="323" t="s">
        <v>2772</v>
      </c>
      <c r="J2853" s="324" t="s">
        <v>2683</v>
      </c>
      <c r="K2853" s="325" t="s">
        <v>107</v>
      </c>
      <c r="L2853" s="300" t="s">
        <v>2167</v>
      </c>
      <c r="M2853" s="324" t="s">
        <v>313</v>
      </c>
      <c r="N2853" s="596" t="s">
        <v>2675</v>
      </c>
      <c r="O2853" s="323" t="s">
        <v>592</v>
      </c>
      <c r="P2853" s="326">
        <v>8</v>
      </c>
      <c r="Q2853" s="326">
        <v>4</v>
      </c>
      <c r="R2853" s="327">
        <v>7.4999999999999997E-3</v>
      </c>
      <c r="S2853" s="323" t="s">
        <v>111</v>
      </c>
      <c r="T2853" s="323" t="s">
        <v>112</v>
      </c>
      <c r="U2853" s="323" t="s">
        <v>57</v>
      </c>
      <c r="V2853" s="328">
        <f>260</f>
        <v>260</v>
      </c>
      <c r="W2853" s="328"/>
      <c r="X2853" s="329">
        <f>(2331)/8</f>
        <v>291.375</v>
      </c>
      <c r="Y2853" s="330">
        <f t="shared" si="1224"/>
        <v>31.375</v>
      </c>
      <c r="Z2853" s="331">
        <f t="shared" si="1232"/>
        <v>0</v>
      </c>
      <c r="AA2853" s="331">
        <f t="shared" si="1233"/>
        <v>0</v>
      </c>
      <c r="AB2853" s="816">
        <v>7.4999999999999997E-3</v>
      </c>
      <c r="AC2853" s="328">
        <f t="shared" si="1226"/>
        <v>0</v>
      </c>
      <c r="AD2853" s="443"/>
      <c r="AE2853" s="210">
        <f t="shared" si="1234"/>
        <v>0</v>
      </c>
      <c r="AF2853" s="210">
        <f t="shared" si="1231"/>
        <v>0</v>
      </c>
      <c r="AG2853" s="211">
        <f t="shared" si="1235"/>
        <v>0.30499999999999999</v>
      </c>
      <c r="AH2853" s="157">
        <f t="shared" si="1229"/>
        <v>0</v>
      </c>
      <c r="AI2853" s="152">
        <f t="shared" si="1236"/>
        <v>2080</v>
      </c>
      <c r="AK2853" s="156" t="s">
        <v>691</v>
      </c>
      <c r="AL2853" s="212" t="s">
        <v>690</v>
      </c>
      <c r="AM2853" s="198">
        <f t="shared" si="1237"/>
        <v>0</v>
      </c>
      <c r="AN2853" s="199">
        <f t="shared" si="1238"/>
        <v>45995</v>
      </c>
      <c r="AO2853" s="159" t="s">
        <v>692</v>
      </c>
      <c r="AP2853" s="783" t="s">
        <v>643</v>
      </c>
      <c r="AQ2853" s="782">
        <v>12063755</v>
      </c>
      <c r="AR2853" s="782">
        <v>12061353</v>
      </c>
      <c r="AS2853" s="782">
        <v>12061354</v>
      </c>
      <c r="AT2853" s="782">
        <v>12097462</v>
      </c>
      <c r="AU2853" s="781"/>
      <c r="AV2853" s="782">
        <v>12097463</v>
      </c>
      <c r="AW2853" s="782"/>
      <c r="AX2853" s="782"/>
      <c r="AY2853" s="781" t="s">
        <v>2713</v>
      </c>
      <c r="AZ2853" s="781" t="s">
        <v>2714</v>
      </c>
      <c r="BA2853" s="781"/>
      <c r="BB2853" s="209">
        <v>23053185</v>
      </c>
    </row>
    <row r="2854" spans="1:54" ht="25" hidden="1" customHeight="1">
      <c r="B2854" s="332">
        <v>45995</v>
      </c>
      <c r="C2854" s="333">
        <v>46009</v>
      </c>
      <c r="D2854" s="185">
        <f t="shared" si="1210"/>
        <v>2025</v>
      </c>
      <c r="E2854" s="333" t="e">
        <f>VLOOKUP($B2854,Week!$A$1:$C$1462,2,0)</f>
        <v>#N/A</v>
      </c>
      <c r="F2854" s="334" t="str">
        <f t="shared" si="1211"/>
        <v>Dec</v>
      </c>
      <c r="G2854" s="335" t="s">
        <v>2656</v>
      </c>
      <c r="H2854" s="335" t="s">
        <v>311</v>
      </c>
      <c r="I2854" s="335" t="s">
        <v>2772</v>
      </c>
      <c r="J2854" s="336" t="s">
        <v>738</v>
      </c>
      <c r="K2854" s="337" t="s">
        <v>1649</v>
      </c>
      <c r="L2854" s="300" t="s">
        <v>2167</v>
      </c>
      <c r="M2854" s="336" t="s">
        <v>603</v>
      </c>
      <c r="N2854" s="335" t="s">
        <v>605</v>
      </c>
      <c r="O2854" s="335" t="s">
        <v>602</v>
      </c>
      <c r="P2854" s="338">
        <v>8</v>
      </c>
      <c r="Q2854" s="338">
        <v>3</v>
      </c>
      <c r="R2854" s="339">
        <v>6.0000000000000001E-3</v>
      </c>
      <c r="S2854" s="335" t="s">
        <v>55</v>
      </c>
      <c r="T2854" s="335" t="s">
        <v>112</v>
      </c>
      <c r="U2854" s="340" t="s">
        <v>1894</v>
      </c>
      <c r="V2854" s="341">
        <f>500</f>
        <v>500</v>
      </c>
      <c r="W2854" s="341"/>
      <c r="X2854" s="342">
        <f>(4104)/8</f>
        <v>513</v>
      </c>
      <c r="Y2854" s="343">
        <f t="shared" si="1224"/>
        <v>13</v>
      </c>
      <c r="Z2854" s="344">
        <f t="shared" si="1232"/>
        <v>0</v>
      </c>
      <c r="AA2854" s="344">
        <f t="shared" si="1233"/>
        <v>0</v>
      </c>
      <c r="AB2854" s="817">
        <v>3.8699999999999998E-2</v>
      </c>
      <c r="AC2854" s="341">
        <f t="shared" si="1226"/>
        <v>0</v>
      </c>
      <c r="AD2854" s="443"/>
      <c r="AE2854" s="210">
        <f t="shared" si="1234"/>
        <v>0</v>
      </c>
      <c r="AF2854" s="210">
        <f t="shared" si="1231"/>
        <v>0</v>
      </c>
      <c r="AG2854" s="211">
        <f t="shared" si="1235"/>
        <v>0.30199999999999999</v>
      </c>
      <c r="AH2854" s="157">
        <v>0.26621999999999996</v>
      </c>
      <c r="AI2854" s="152">
        <f t="shared" si="1236"/>
        <v>4000</v>
      </c>
      <c r="AK2854" s="156" t="s">
        <v>691</v>
      </c>
      <c r="AL2854" s="156" t="s">
        <v>690</v>
      </c>
      <c r="AM2854" s="198">
        <f t="shared" si="1237"/>
        <v>0</v>
      </c>
      <c r="AN2854" s="199">
        <f t="shared" si="1238"/>
        <v>45995</v>
      </c>
      <c r="AO2854" s="159" t="s">
        <v>692</v>
      </c>
      <c r="AP2854" s="781" t="s">
        <v>642</v>
      </c>
      <c r="AQ2854" s="782">
        <v>12063755</v>
      </c>
      <c r="AR2854" s="782">
        <v>12061353</v>
      </c>
      <c r="AS2854" s="782">
        <v>12061354</v>
      </c>
      <c r="AT2854" s="782">
        <v>12084733</v>
      </c>
      <c r="AU2854" s="781"/>
      <c r="AV2854" s="782">
        <v>12084732</v>
      </c>
      <c r="AW2854" s="781"/>
      <c r="AX2854" s="781"/>
      <c r="AY2854" s="781"/>
      <c r="AZ2854" s="782"/>
      <c r="BA2854" s="781"/>
      <c r="BB2854" s="209">
        <v>23105470</v>
      </c>
    </row>
    <row r="2855" spans="1:54" ht="25" hidden="1" customHeight="1">
      <c r="B2855" s="332">
        <v>45995</v>
      </c>
      <c r="C2855" s="333">
        <v>46009</v>
      </c>
      <c r="D2855" s="185">
        <f t="shared" si="1210"/>
        <v>2025</v>
      </c>
      <c r="E2855" s="333" t="e">
        <f>VLOOKUP($B2855,Week!$A$1:$C$1462,2,0)</f>
        <v>#N/A</v>
      </c>
      <c r="F2855" s="334" t="str">
        <f t="shared" si="1211"/>
        <v>Dec</v>
      </c>
      <c r="G2855" s="335" t="s">
        <v>2609</v>
      </c>
      <c r="H2855" s="335" t="s">
        <v>675</v>
      </c>
      <c r="I2855" s="335" t="s">
        <v>2772</v>
      </c>
      <c r="J2855" s="336" t="s">
        <v>709</v>
      </c>
      <c r="K2855" s="337" t="s">
        <v>1649</v>
      </c>
      <c r="L2855" s="300" t="s">
        <v>2167</v>
      </c>
      <c r="M2855" s="336" t="s">
        <v>603</v>
      </c>
      <c r="N2855" s="530" t="s">
        <v>711</v>
      </c>
      <c r="O2855" s="335" t="s">
        <v>602</v>
      </c>
      <c r="P2855" s="338">
        <v>8</v>
      </c>
      <c r="Q2855" s="338">
        <v>3</v>
      </c>
      <c r="R2855" s="339">
        <v>6.0000000000000001E-3</v>
      </c>
      <c r="S2855" s="335" t="s">
        <v>55</v>
      </c>
      <c r="T2855" s="335" t="s">
        <v>112</v>
      </c>
      <c r="U2855" s="340" t="s">
        <v>1894</v>
      </c>
      <c r="V2855" s="341">
        <v>216</v>
      </c>
      <c r="W2855" s="341"/>
      <c r="X2855" s="342">
        <f>(347+1381)/8</f>
        <v>216</v>
      </c>
      <c r="Y2855" s="343">
        <f t="shared" si="1224"/>
        <v>0</v>
      </c>
      <c r="Z2855" s="344">
        <f t="shared" si="1232"/>
        <v>0</v>
      </c>
      <c r="AA2855" s="344">
        <f t="shared" si="1233"/>
        <v>0</v>
      </c>
      <c r="AB2855" s="817">
        <v>3.8699999999999998E-2</v>
      </c>
      <c r="AC2855" s="341">
        <f t="shared" si="1226"/>
        <v>0</v>
      </c>
      <c r="AD2855" s="443"/>
      <c r="AE2855" s="210">
        <f t="shared" si="1234"/>
        <v>0</v>
      </c>
      <c r="AF2855" s="210">
        <f t="shared" si="1231"/>
        <v>0</v>
      </c>
      <c r="AG2855" s="211">
        <f t="shared" si="1235"/>
        <v>0.30199999999999999</v>
      </c>
      <c r="AH2855" s="157">
        <v>0.26621999999999996</v>
      </c>
      <c r="AI2855" s="152">
        <f t="shared" si="1236"/>
        <v>1728</v>
      </c>
      <c r="AK2855" s="156" t="s">
        <v>691</v>
      </c>
      <c r="AL2855" s="212" t="s">
        <v>690</v>
      </c>
      <c r="AM2855" s="198">
        <f t="shared" si="1237"/>
        <v>0</v>
      </c>
      <c r="AN2855" s="199">
        <f t="shared" si="1238"/>
        <v>45995</v>
      </c>
      <c r="AO2855" s="159" t="s">
        <v>692</v>
      </c>
      <c r="AP2855" s="781" t="s">
        <v>642</v>
      </c>
      <c r="AQ2855" s="782">
        <v>12063755</v>
      </c>
      <c r="AR2855" s="782">
        <v>12061353</v>
      </c>
      <c r="AS2855" s="782">
        <v>12061354</v>
      </c>
      <c r="AT2855" s="782">
        <v>12089985</v>
      </c>
      <c r="AU2855" s="781"/>
      <c r="AV2855" s="782">
        <v>12089988</v>
      </c>
      <c r="AW2855" s="781"/>
      <c r="AX2855" s="781"/>
      <c r="AY2855" s="781"/>
      <c r="AZ2855" s="782"/>
      <c r="BA2855" s="781"/>
      <c r="BB2855" s="209">
        <v>23105470</v>
      </c>
    </row>
    <row r="2856" spans="1:54" ht="25" hidden="1" customHeight="1">
      <c r="B2856" s="332">
        <v>45995</v>
      </c>
      <c r="C2856" s="333">
        <v>46016</v>
      </c>
      <c r="D2856" s="185">
        <f t="shared" si="1210"/>
        <v>2025</v>
      </c>
      <c r="E2856" s="333" t="e">
        <f>VLOOKUP($B2856,Week!$A$1:$C$1462,2,0)</f>
        <v>#N/A</v>
      </c>
      <c r="F2856" s="334" t="str">
        <f t="shared" si="1211"/>
        <v>Dec</v>
      </c>
      <c r="G2856" s="335" t="s">
        <v>2679</v>
      </c>
      <c r="H2856" s="335" t="s">
        <v>675</v>
      </c>
      <c r="I2856" s="335" t="s">
        <v>2772</v>
      </c>
      <c r="J2856" s="336" t="s">
        <v>2683</v>
      </c>
      <c r="K2856" s="337" t="s">
        <v>1649</v>
      </c>
      <c r="L2856" s="300" t="s">
        <v>2167</v>
      </c>
      <c r="M2856" s="336" t="s">
        <v>603</v>
      </c>
      <c r="N2856" s="530" t="s">
        <v>2676</v>
      </c>
      <c r="O2856" s="335" t="s">
        <v>602</v>
      </c>
      <c r="P2856" s="338">
        <v>8</v>
      </c>
      <c r="Q2856" s="338">
        <v>3</v>
      </c>
      <c r="R2856" s="339">
        <v>6.0000000000000001E-3</v>
      </c>
      <c r="S2856" s="335" t="s">
        <v>55</v>
      </c>
      <c r="T2856" s="335" t="s">
        <v>112</v>
      </c>
      <c r="U2856" s="340" t="s">
        <v>1894</v>
      </c>
      <c r="V2856" s="341">
        <f>260</f>
        <v>260</v>
      </c>
      <c r="W2856" s="341"/>
      <c r="X2856" s="342">
        <f>(2041+39)/8</f>
        <v>260</v>
      </c>
      <c r="Y2856" s="343">
        <f t="shared" si="1224"/>
        <v>0</v>
      </c>
      <c r="Z2856" s="344">
        <f>IF(Y2856&lt;0,((V2856*P2856)-((W2856+X2856)*P2856)),0)</f>
        <v>0</v>
      </c>
      <c r="AA2856" s="344">
        <f t="shared" ref="AA2856:AA2877" si="1239">Q2856*Z2856</f>
        <v>0</v>
      </c>
      <c r="AB2856" s="817">
        <v>3.8699999999999998E-2</v>
      </c>
      <c r="AC2856" s="341">
        <f t="shared" si="1226"/>
        <v>0</v>
      </c>
      <c r="AD2856" s="443"/>
      <c r="AE2856" s="210">
        <f>SUM(Q2856*R2856*Z2856)/1000</f>
        <v>0</v>
      </c>
      <c r="AF2856" s="210">
        <f t="shared" si="1231"/>
        <v>0</v>
      </c>
      <c r="AG2856" s="211">
        <f>MID(O2856,1,3)/1000</f>
        <v>0.30199999999999999</v>
      </c>
      <c r="AH2856" s="157">
        <v>0.26621999999999996</v>
      </c>
      <c r="AI2856" s="152">
        <f>V2856*P2856</f>
        <v>2080</v>
      </c>
      <c r="AK2856" s="156" t="s">
        <v>691</v>
      </c>
      <c r="AL2856" s="212" t="s">
        <v>690</v>
      </c>
      <c r="AM2856" s="198">
        <f>AG2856*Z2856</f>
        <v>0</v>
      </c>
      <c r="AN2856" s="199">
        <f>B2856</f>
        <v>45995</v>
      </c>
      <c r="AO2856" s="159" t="s">
        <v>692</v>
      </c>
      <c r="AP2856" s="781" t="s">
        <v>642</v>
      </c>
      <c r="AQ2856" s="782">
        <v>12063755</v>
      </c>
      <c r="AR2856" s="782">
        <v>12061353</v>
      </c>
      <c r="AS2856" s="782">
        <v>12061354</v>
      </c>
      <c r="AT2856" s="782">
        <v>12097662</v>
      </c>
      <c r="AU2856" s="781"/>
      <c r="AV2856" s="782" t="s">
        <v>2715</v>
      </c>
      <c r="AW2856" s="781"/>
      <c r="AX2856" s="781"/>
      <c r="AY2856" s="781" t="s">
        <v>2713</v>
      </c>
      <c r="AZ2856" s="781" t="s">
        <v>2714</v>
      </c>
      <c r="BA2856" s="781"/>
      <c r="BB2856" s="209">
        <v>23105470</v>
      </c>
    </row>
    <row r="2857" spans="1:54" ht="25" hidden="1" customHeight="1">
      <c r="B2857" s="183">
        <v>45996</v>
      </c>
      <c r="C2857" s="184"/>
      <c r="D2857" s="185">
        <f t="shared" ref="D2857:D2877" si="1240">IF(B2857="","",YEAR(B2857))</f>
        <v>2025</v>
      </c>
      <c r="E2857" s="185" t="e">
        <f>VLOOKUP($B2857,Week!$A$1:$C$1462,2,0)</f>
        <v>#N/A</v>
      </c>
      <c r="F2857" s="186" t="str">
        <f t="shared" ref="F2857:F2877" si="1241">IF(B2857="","",TEXT(B2857,"[$-409]mmm"))</f>
        <v>Dec</v>
      </c>
      <c r="G2857" s="481"/>
      <c r="H2857" s="185"/>
      <c r="I2857" s="185"/>
      <c r="J2857" s="187"/>
      <c r="K2857" s="188"/>
      <c r="L2857" s="188"/>
      <c r="M2857" s="187"/>
      <c r="N2857" s="185"/>
      <c r="O2857" s="185"/>
      <c r="P2857" s="189"/>
      <c r="Q2857" s="189"/>
      <c r="R2857" s="190"/>
      <c r="S2857" s="185"/>
      <c r="T2857" s="185"/>
      <c r="U2857" s="185"/>
      <c r="V2857" s="191"/>
      <c r="W2857" s="191"/>
      <c r="X2857" s="192"/>
      <c r="Y2857" s="193"/>
      <c r="Z2857" s="194"/>
      <c r="AA2857" s="194">
        <f t="shared" si="1239"/>
        <v>0</v>
      </c>
      <c r="AB2857" s="805"/>
      <c r="AC2857" s="191"/>
      <c r="AD2857" s="187"/>
      <c r="AE2857" s="195"/>
      <c r="AF2857" s="195"/>
      <c r="AG2857" s="196"/>
      <c r="AH2857" s="197"/>
      <c r="AK2857" s="156" t="s">
        <v>691</v>
      </c>
      <c r="AM2857" s="198">
        <f t="shared" ref="AM2857:AM2877" si="1242">AG2857*Z2857</f>
        <v>0</v>
      </c>
      <c r="AN2857" s="199">
        <f t="shared" ref="AN2857:AN2877" si="1243">B2857</f>
        <v>45996</v>
      </c>
      <c r="AO2857" s="159" t="s">
        <v>692</v>
      </c>
      <c r="AP2857" s="781"/>
      <c r="AQ2857" s="782"/>
      <c r="AR2857" s="782"/>
      <c r="AS2857" s="782"/>
      <c r="AT2857" s="782"/>
      <c r="AU2857" s="781"/>
      <c r="AV2857" s="782"/>
      <c r="AW2857" s="782"/>
      <c r="AX2857" s="782"/>
      <c r="AY2857" s="782"/>
      <c r="AZ2857" s="782"/>
      <c r="BA2857" s="781"/>
      <c r="BB2857" s="209"/>
    </row>
    <row r="2858" spans="1:54" ht="25" hidden="1" customHeight="1">
      <c r="A2858" s="142" t="s">
        <v>120</v>
      </c>
      <c r="B2858" s="448">
        <v>45997</v>
      </c>
      <c r="C2858" s="449">
        <v>46013</v>
      </c>
      <c r="D2858" s="185">
        <f>IF(B2858="","",YEAR(B2858))</f>
        <v>2025</v>
      </c>
      <c r="E2858" s="450" t="e">
        <f>VLOOKUP($B2858,Week!$A$1:$C$1462,2,0)</f>
        <v>#N/A</v>
      </c>
      <c r="F2858" s="451" t="str">
        <f>IF(B2858="","",TEXT(B2858,"[$-409]mmm"))</f>
        <v>Dec</v>
      </c>
      <c r="G2858" s="450" t="s">
        <v>2496</v>
      </c>
      <c r="H2858" s="450" t="s">
        <v>134</v>
      </c>
      <c r="I2858" s="450" t="s">
        <v>2772</v>
      </c>
      <c r="J2858" s="452" t="s">
        <v>164</v>
      </c>
      <c r="K2858" s="453" t="s">
        <v>153</v>
      </c>
      <c r="L2858" s="390" t="s">
        <v>2166</v>
      </c>
      <c r="M2858" s="452" t="s">
        <v>1642</v>
      </c>
      <c r="N2858" s="450" t="s">
        <v>429</v>
      </c>
      <c r="O2858" s="450" t="s">
        <v>505</v>
      </c>
      <c r="P2858" s="454">
        <v>20</v>
      </c>
      <c r="Q2858" s="454">
        <v>12</v>
      </c>
      <c r="R2858" s="455">
        <v>6.8100000000000001E-3</v>
      </c>
      <c r="S2858" s="450" t="s">
        <v>76</v>
      </c>
      <c r="T2858" s="450" t="s">
        <v>56</v>
      </c>
      <c r="U2858" s="773" t="s">
        <v>430</v>
      </c>
      <c r="V2858" s="456">
        <f>1200-255</f>
        <v>945</v>
      </c>
      <c r="W2858" s="456">
        <f>935</f>
        <v>935</v>
      </c>
      <c r="X2858" s="457">
        <f>(260)/20</f>
        <v>13</v>
      </c>
      <c r="Y2858" s="458">
        <f>(W2858+X2858)-V2858</f>
        <v>3</v>
      </c>
      <c r="Z2858" s="459">
        <f>IF(Y2858&lt;0,((V2858*P2858)-((W2858+X2858)*P2858)),0)</f>
        <v>0</v>
      </c>
      <c r="AA2858" s="459">
        <f t="shared" si="1239"/>
        <v>0</v>
      </c>
      <c r="AB2858" s="827">
        <v>2</v>
      </c>
      <c r="AC2858" s="456">
        <f>Z2858*AB2858</f>
        <v>0</v>
      </c>
      <c r="AD2858" s="209" t="s">
        <v>218</v>
      </c>
      <c r="AE2858" s="210"/>
      <c r="AF2858" s="210"/>
      <c r="AG2858" s="211">
        <f>MID(O2858,1,3)/1000</f>
        <v>0.20399999999999999</v>
      </c>
      <c r="AH2858" s="157">
        <f>(Z2858*AG2858)/1000</f>
        <v>0</v>
      </c>
      <c r="AI2858" s="152">
        <f>V2858*P2858</f>
        <v>18900</v>
      </c>
      <c r="AK2858" s="156" t="s">
        <v>691</v>
      </c>
      <c r="AL2858" s="156" t="s">
        <v>689</v>
      </c>
      <c r="AM2858" s="198">
        <f>AG2858*Z2858</f>
        <v>0</v>
      </c>
      <c r="AN2858" s="199">
        <f>B2858</f>
        <v>45997</v>
      </c>
      <c r="AO2858" s="159" t="s">
        <v>692</v>
      </c>
      <c r="AP2858" s="781"/>
      <c r="AQ2858" s="782">
        <v>12071839</v>
      </c>
      <c r="AR2858" s="782">
        <v>12019692</v>
      </c>
      <c r="AS2858" s="782"/>
      <c r="AT2858" s="867">
        <v>12095767</v>
      </c>
      <c r="AU2858" s="868"/>
      <c r="AV2858" s="867">
        <v>12095768</v>
      </c>
      <c r="AW2858" s="782"/>
      <c r="AX2858" s="782" t="s">
        <v>398</v>
      </c>
      <c r="AY2858" s="782"/>
      <c r="AZ2858" s="782"/>
      <c r="BA2858" s="781"/>
      <c r="BB2858" s="209">
        <v>23057444</v>
      </c>
    </row>
    <row r="2859" spans="1:54" ht="25" hidden="1" customHeight="1">
      <c r="A2859" s="142" t="s">
        <v>120</v>
      </c>
      <c r="B2859" s="369">
        <v>45997</v>
      </c>
      <c r="C2859" s="370">
        <v>46028</v>
      </c>
      <c r="D2859" s="185">
        <f>IF(B2859="","",YEAR(B2859))</f>
        <v>2025</v>
      </c>
      <c r="E2859" s="371" t="e">
        <f>VLOOKUP($B2859,Week!$A$1:$C$1462,2,0)</f>
        <v>#N/A</v>
      </c>
      <c r="F2859" s="372" t="str">
        <f>IF(B2859="","",TEXT(B2859,"[$-409]mmm"))</f>
        <v>Dec</v>
      </c>
      <c r="G2859" s="371" t="s">
        <v>2613</v>
      </c>
      <c r="H2859" s="371" t="s">
        <v>344</v>
      </c>
      <c r="I2859" s="371" t="s">
        <v>2772</v>
      </c>
      <c r="J2859" s="373" t="s">
        <v>345</v>
      </c>
      <c r="K2859" s="374" t="s">
        <v>153</v>
      </c>
      <c r="L2859" s="390" t="s">
        <v>2166</v>
      </c>
      <c r="M2859" s="373" t="s">
        <v>214</v>
      </c>
      <c r="N2859" s="371" t="s">
        <v>346</v>
      </c>
      <c r="O2859" s="371" t="s">
        <v>509</v>
      </c>
      <c r="P2859" s="375">
        <v>18</v>
      </c>
      <c r="Q2859" s="375">
        <v>8</v>
      </c>
      <c r="R2859" s="376">
        <v>6.8100000000000001E-3</v>
      </c>
      <c r="S2859" s="371" t="s">
        <v>76</v>
      </c>
      <c r="T2859" s="371" t="s">
        <v>56</v>
      </c>
      <c r="U2859" s="371" t="s">
        <v>89</v>
      </c>
      <c r="V2859" s="377">
        <v>1650</v>
      </c>
      <c r="W2859" s="377"/>
      <c r="X2859" s="378">
        <f>(29700)/18</f>
        <v>1650</v>
      </c>
      <c r="Y2859" s="379">
        <f>(W2859+X2859)-V2859</f>
        <v>0</v>
      </c>
      <c r="Z2859" s="380">
        <f>IF(Y2859&lt;0,((V2859*P2859)-((W2859+X2859)*P2859)),0)</f>
        <v>0</v>
      </c>
      <c r="AA2859" s="380">
        <f t="shared" si="1239"/>
        <v>0</v>
      </c>
      <c r="AB2859" s="820">
        <v>1</v>
      </c>
      <c r="AC2859" s="377">
        <f>Z2859*AB2859</f>
        <v>0</v>
      </c>
      <c r="AD2859" s="209"/>
      <c r="AE2859" s="210">
        <f>SUM(Q2859*R2859*Z2859)/1000</f>
        <v>0</v>
      </c>
      <c r="AF2859" s="210">
        <f>AE2859/0.54</f>
        <v>0</v>
      </c>
      <c r="AG2859" s="211">
        <f>MID(O2859,1,3)/1000</f>
        <v>0.10100000000000001</v>
      </c>
      <c r="AH2859" s="157">
        <f>(Z2859*AG2859)/1000</f>
        <v>0</v>
      </c>
      <c r="AI2859" s="152">
        <f>V2859*P2859</f>
        <v>29700</v>
      </c>
      <c r="AK2859" s="156" t="s">
        <v>691</v>
      </c>
      <c r="AL2859" s="156" t="s">
        <v>689</v>
      </c>
      <c r="AM2859" s="198">
        <f>AG2859*Z2859</f>
        <v>0</v>
      </c>
      <c r="AN2859" s="199">
        <f>B2859</f>
        <v>45997</v>
      </c>
      <c r="AO2859" s="159" t="s">
        <v>692</v>
      </c>
      <c r="AP2859" s="781"/>
      <c r="AQ2859" s="783" t="s">
        <v>631</v>
      </c>
      <c r="AR2859" s="782">
        <v>12038019</v>
      </c>
      <c r="AS2859" s="781"/>
      <c r="AT2859" s="800">
        <v>12096586</v>
      </c>
      <c r="AU2859" s="781"/>
      <c r="AV2859" s="800">
        <v>12096585</v>
      </c>
      <c r="AW2859" s="781"/>
      <c r="AX2859" s="781" t="s">
        <v>162</v>
      </c>
      <c r="AY2859" s="781"/>
      <c r="AZ2859" s="781"/>
      <c r="BA2859" s="781"/>
      <c r="BB2859" s="209">
        <v>23053184</v>
      </c>
    </row>
    <row r="2860" spans="1:54" ht="24.65" hidden="1" customHeight="1">
      <c r="A2860" s="142" t="s">
        <v>120</v>
      </c>
      <c r="B2860" s="357">
        <v>45997</v>
      </c>
      <c r="C2860" s="358">
        <v>46028</v>
      </c>
      <c r="D2860" s="185">
        <f>IF(B2860="","",YEAR(B2860))</f>
        <v>2025</v>
      </c>
      <c r="E2860" s="359" t="e">
        <f>VLOOKUP($B2860,Week!$A$1:$C$1462,2,0)</f>
        <v>#N/A</v>
      </c>
      <c r="F2860" s="360" t="str">
        <f>IF(B2860="","",TEXT(B2860,"[$-409]mmm"))</f>
        <v>Dec</v>
      </c>
      <c r="G2860" s="359" t="s">
        <v>2613</v>
      </c>
      <c r="H2860" s="359" t="s">
        <v>344</v>
      </c>
      <c r="I2860" s="359" t="s">
        <v>2772</v>
      </c>
      <c r="J2860" s="361" t="s">
        <v>345</v>
      </c>
      <c r="K2860" s="362" t="s">
        <v>355</v>
      </c>
      <c r="L2860" s="390" t="s">
        <v>2166</v>
      </c>
      <c r="M2860" s="361" t="s">
        <v>356</v>
      </c>
      <c r="N2860" s="359" t="s">
        <v>357</v>
      </c>
      <c r="O2860" s="359" t="s">
        <v>508</v>
      </c>
      <c r="P2860" s="363">
        <v>18</v>
      </c>
      <c r="Q2860" s="363">
        <v>8</v>
      </c>
      <c r="R2860" s="364">
        <v>6.0000000000000001E-3</v>
      </c>
      <c r="S2860" s="359" t="s">
        <v>55</v>
      </c>
      <c r="T2860" s="359" t="s">
        <v>56</v>
      </c>
      <c r="U2860" s="359" t="s">
        <v>89</v>
      </c>
      <c r="V2860" s="365">
        <v>250</v>
      </c>
      <c r="W2860" s="365">
        <v>250</v>
      </c>
      <c r="X2860" s="366"/>
      <c r="Y2860" s="367">
        <f>(W2860+X2860)-V2860</f>
        <v>0</v>
      </c>
      <c r="Z2860" s="368">
        <f>IF(Y2860&lt;0,((V2860*P2860)-((W2860+X2860)*P2860)),0)</f>
        <v>0</v>
      </c>
      <c r="AA2860" s="368">
        <f t="shared" si="1239"/>
        <v>0</v>
      </c>
      <c r="AB2860" s="819">
        <v>2</v>
      </c>
      <c r="AC2860" s="365">
        <f>Z2860*AB2860</f>
        <v>0</v>
      </c>
      <c r="AD2860" s="307" t="s">
        <v>2614</v>
      </c>
      <c r="AE2860" s="210">
        <f>SUM(Q2860*R2860*Z2860)/1000</f>
        <v>0</v>
      </c>
      <c r="AF2860" s="210">
        <f>AE2860/0.54</f>
        <v>0</v>
      </c>
      <c r="AG2860" s="211">
        <f>MID(O2860,1,2)/1000</f>
        <v>0.09</v>
      </c>
      <c r="AH2860" s="157">
        <f>(Z2860*AG2860)/1000</f>
        <v>0</v>
      </c>
      <c r="AI2860" s="152">
        <f>V2860*P2860</f>
        <v>4500</v>
      </c>
      <c r="AK2860" s="156" t="s">
        <v>691</v>
      </c>
      <c r="AL2860" s="156" t="s">
        <v>689</v>
      </c>
      <c r="AM2860" s="198">
        <f>AG2860*Z2860</f>
        <v>0</v>
      </c>
      <c r="AN2860" s="199">
        <f>B2860</f>
        <v>45997</v>
      </c>
      <c r="AO2860" s="159" t="s">
        <v>692</v>
      </c>
      <c r="AP2860" s="781"/>
      <c r="AQ2860" s="782"/>
      <c r="AR2860" s="782" t="s">
        <v>531</v>
      </c>
      <c r="AS2860" s="782"/>
      <c r="AT2860" s="782"/>
      <c r="AU2860" s="782">
        <v>12054219</v>
      </c>
      <c r="AV2860" s="782">
        <v>12097306</v>
      </c>
      <c r="AW2860" s="782"/>
      <c r="AX2860" s="782" t="s">
        <v>2662</v>
      </c>
      <c r="AY2860" s="782"/>
      <c r="AZ2860" s="782"/>
      <c r="BA2860" s="781"/>
      <c r="BB2860" s="209">
        <v>23053184</v>
      </c>
    </row>
    <row r="2861" spans="1:54" ht="25" hidden="1" customHeight="1">
      <c r="B2861" s="183">
        <v>45998</v>
      </c>
      <c r="C2861" s="184"/>
      <c r="D2861" s="185">
        <f t="shared" si="1240"/>
        <v>2025</v>
      </c>
      <c r="E2861" s="185" t="e">
        <f>VLOOKUP($B2861,Week!$A$1:$C$1462,2,0)</f>
        <v>#N/A</v>
      </c>
      <c r="F2861" s="186" t="str">
        <f t="shared" si="1241"/>
        <v>Dec</v>
      </c>
      <c r="G2861" s="481"/>
      <c r="H2861" s="185"/>
      <c r="I2861" s="185"/>
      <c r="J2861" s="187"/>
      <c r="K2861" s="188"/>
      <c r="L2861" s="188"/>
      <c r="M2861" s="187"/>
      <c r="N2861" s="185"/>
      <c r="O2861" s="185"/>
      <c r="P2861" s="189"/>
      <c r="Q2861" s="189"/>
      <c r="R2861" s="190"/>
      <c r="S2861" s="185"/>
      <c r="T2861" s="185"/>
      <c r="U2861" s="185"/>
      <c r="V2861" s="191"/>
      <c r="W2861" s="191"/>
      <c r="X2861" s="192"/>
      <c r="Y2861" s="193"/>
      <c r="Z2861" s="194"/>
      <c r="AA2861" s="194">
        <f t="shared" si="1239"/>
        <v>0</v>
      </c>
      <c r="AB2861" s="805"/>
      <c r="AC2861" s="191"/>
      <c r="AD2861" s="187"/>
      <c r="AE2861" s="195"/>
      <c r="AF2861" s="195"/>
      <c r="AG2861" s="196"/>
      <c r="AH2861" s="197"/>
      <c r="AK2861" s="156" t="s">
        <v>691</v>
      </c>
      <c r="AM2861" s="198">
        <f t="shared" si="1242"/>
        <v>0</v>
      </c>
      <c r="AN2861" s="199">
        <f t="shared" si="1243"/>
        <v>45998</v>
      </c>
      <c r="AO2861" s="159" t="s">
        <v>692</v>
      </c>
      <c r="AP2861" s="781"/>
      <c r="AQ2861" s="782"/>
      <c r="AR2861" s="782"/>
      <c r="AS2861" s="782"/>
      <c r="AT2861" s="782"/>
      <c r="AU2861" s="781"/>
      <c r="AV2861" s="782"/>
      <c r="AW2861" s="782"/>
      <c r="AX2861" s="782"/>
      <c r="AY2861" s="782"/>
      <c r="AZ2861" s="782"/>
      <c r="BA2861" s="781"/>
      <c r="BB2861" s="209"/>
    </row>
    <row r="2862" spans="1:54" ht="25" hidden="1" customHeight="1">
      <c r="A2862" s="142" t="s">
        <v>120</v>
      </c>
      <c r="B2862" s="320">
        <v>45999</v>
      </c>
      <c r="C2862" s="321">
        <v>46013</v>
      </c>
      <c r="D2862" s="323">
        <f t="shared" si="1240"/>
        <v>2025</v>
      </c>
      <c r="E2862" s="321" t="e">
        <f>VLOOKUP($B2862,Week!$A$1:$C$1462,2,0)</f>
        <v>#N/A</v>
      </c>
      <c r="F2862" s="322" t="str">
        <f t="shared" si="1241"/>
        <v>Dec</v>
      </c>
      <c r="G2862" s="323" t="s">
        <v>2643</v>
      </c>
      <c r="H2862" s="323" t="s">
        <v>363</v>
      </c>
      <c r="I2862" s="323" t="s">
        <v>2772</v>
      </c>
      <c r="J2862" s="324" t="s">
        <v>364</v>
      </c>
      <c r="K2862" s="325" t="s">
        <v>2583</v>
      </c>
      <c r="L2862" s="325" t="s">
        <v>2166</v>
      </c>
      <c r="M2862" s="324" t="s">
        <v>2586</v>
      </c>
      <c r="N2862" s="323" t="s">
        <v>2584</v>
      </c>
      <c r="O2862" s="323" t="s">
        <v>2587</v>
      </c>
      <c r="P2862" s="326">
        <v>20</v>
      </c>
      <c r="Q2862" s="326">
        <v>50</v>
      </c>
      <c r="R2862" s="327">
        <v>4.0000000000000001E-3</v>
      </c>
      <c r="S2862" s="323" t="s">
        <v>55</v>
      </c>
      <c r="T2862" s="323" t="s">
        <v>112</v>
      </c>
      <c r="U2862" s="323" t="s">
        <v>77</v>
      </c>
      <c r="V2862" s="328">
        <v>171</v>
      </c>
      <c r="W2862" s="328">
        <f>167</f>
        <v>167</v>
      </c>
      <c r="X2862" s="329">
        <f>(80)/20</f>
        <v>4</v>
      </c>
      <c r="Y2862" s="330">
        <f t="shared" ref="Y2862:Y2877" si="1244">(W2862+X2862)-V2862</f>
        <v>0</v>
      </c>
      <c r="Z2862" s="331">
        <f t="shared" ref="Z2862:Z2877" si="1245">IF(Y2862&lt;0,((V2862*P2862)-((W2862+X2862)*P2862)),0)</f>
        <v>0</v>
      </c>
      <c r="AA2862" s="331">
        <f t="shared" si="1239"/>
        <v>0</v>
      </c>
      <c r="AB2862" s="816">
        <v>6</v>
      </c>
      <c r="AC2862" s="328">
        <f t="shared" ref="AC2862:AC2877" si="1246">Z2862*AB2862</f>
        <v>0</v>
      </c>
      <c r="AD2862" s="209"/>
      <c r="AE2862" s="210">
        <f t="shared" ref="AE2862:AE2877" si="1247">SUM(Q2862*R2862*Z2862)/1000</f>
        <v>0</v>
      </c>
      <c r="AF2862" s="210">
        <f t="shared" ref="AF2862:AF2877" si="1248">AE2862/0.54</f>
        <v>0</v>
      </c>
      <c r="AG2862" s="211">
        <f>MID(O2862,1,3)/1000</f>
        <v>0.5</v>
      </c>
      <c r="AH2862" s="157">
        <f t="shared" ref="AH2862:AH2875" si="1249">(Z2862*AG2862)/1000</f>
        <v>0</v>
      </c>
      <c r="AI2862" s="152">
        <f>V2862*P2862</f>
        <v>3420</v>
      </c>
      <c r="AK2862" s="156" t="s">
        <v>691</v>
      </c>
      <c r="AL2862" s="156" t="s">
        <v>689</v>
      </c>
      <c r="AM2862" s="198">
        <f t="shared" si="1242"/>
        <v>0</v>
      </c>
      <c r="AN2862" s="199">
        <f t="shared" si="1243"/>
        <v>45999</v>
      </c>
      <c r="AO2862" s="159" t="s">
        <v>692</v>
      </c>
      <c r="AP2862" s="783" t="s">
        <v>620</v>
      </c>
      <c r="AQ2862" s="796" t="s">
        <v>422</v>
      </c>
      <c r="AR2862" s="782">
        <v>12055234</v>
      </c>
      <c r="AS2862" s="781"/>
      <c r="AT2862" s="782"/>
      <c r="AU2862" s="782"/>
      <c r="AV2862" s="782">
        <v>12094353</v>
      </c>
      <c r="AW2862" s="782"/>
      <c r="AX2862" s="782">
        <v>12036656</v>
      </c>
      <c r="AY2862" s="799" t="s">
        <v>2616</v>
      </c>
      <c r="AZ2862" s="781"/>
      <c r="BA2862" s="781"/>
      <c r="BB2862" s="209">
        <v>23053184</v>
      </c>
    </row>
    <row r="2863" spans="1:54" ht="25" hidden="1" customHeight="1">
      <c r="A2863" s="754" t="s">
        <v>438</v>
      </c>
      <c r="B2863" s="332">
        <v>45999</v>
      </c>
      <c r="C2863" s="333">
        <v>46009</v>
      </c>
      <c r="D2863" s="185">
        <f t="shared" si="1240"/>
        <v>2025</v>
      </c>
      <c r="E2863" s="335" t="e">
        <f>VLOOKUP($B2863,Week!$A$1:$C$1462,2,0)</f>
        <v>#N/A</v>
      </c>
      <c r="F2863" s="334" t="str">
        <f t="shared" si="1241"/>
        <v>Dec</v>
      </c>
      <c r="G2863" s="530" t="s">
        <v>2609</v>
      </c>
      <c r="H2863" s="335" t="s">
        <v>675</v>
      </c>
      <c r="I2863" s="335" t="s">
        <v>2772</v>
      </c>
      <c r="J2863" s="336" t="s">
        <v>709</v>
      </c>
      <c r="K2863" s="337" t="s">
        <v>671</v>
      </c>
      <c r="L2863" s="300" t="s">
        <v>2167</v>
      </c>
      <c r="M2863" s="336" t="s">
        <v>661</v>
      </c>
      <c r="N2863" s="335" t="s">
        <v>714</v>
      </c>
      <c r="O2863" s="335" t="s">
        <v>566</v>
      </c>
      <c r="P2863" s="338">
        <v>16</v>
      </c>
      <c r="Q2863" s="338">
        <v>6</v>
      </c>
      <c r="R2863" s="339">
        <v>6.0000000000000001E-3</v>
      </c>
      <c r="S2863" s="335" t="s">
        <v>55</v>
      </c>
      <c r="T2863" s="335" t="s">
        <v>112</v>
      </c>
      <c r="U2863" s="335" t="s">
        <v>662</v>
      </c>
      <c r="V2863" s="341">
        <v>216</v>
      </c>
      <c r="W2863" s="341"/>
      <c r="X2863" s="342">
        <f>(200+1592)/8</f>
        <v>224</v>
      </c>
      <c r="Y2863" s="343">
        <f t="shared" si="1244"/>
        <v>8</v>
      </c>
      <c r="Z2863" s="344">
        <f t="shared" si="1245"/>
        <v>0</v>
      </c>
      <c r="AA2863" s="344">
        <f t="shared" si="1239"/>
        <v>0</v>
      </c>
      <c r="AB2863" s="817">
        <v>1</v>
      </c>
      <c r="AC2863" s="341">
        <f t="shared" si="1246"/>
        <v>0</v>
      </c>
      <c r="AD2863" s="336" t="s">
        <v>2570</v>
      </c>
      <c r="AE2863" s="533">
        <f t="shared" si="1247"/>
        <v>0</v>
      </c>
      <c r="AF2863" s="533">
        <f t="shared" si="1248"/>
        <v>0</v>
      </c>
      <c r="AG2863" s="211">
        <f>MID(O2863,1,3)/1000</f>
        <v>0.11700000000000001</v>
      </c>
      <c r="AH2863" s="157">
        <f t="shared" si="1249"/>
        <v>0</v>
      </c>
      <c r="AI2863" s="152">
        <f>V2863*P2863</f>
        <v>3456</v>
      </c>
      <c r="AK2863" s="156" t="s">
        <v>691</v>
      </c>
      <c r="AL2863" s="212" t="s">
        <v>690</v>
      </c>
      <c r="AM2863" s="198">
        <f t="shared" si="1242"/>
        <v>0</v>
      </c>
      <c r="AN2863" s="199">
        <f t="shared" si="1243"/>
        <v>45999</v>
      </c>
      <c r="AO2863" s="159" t="s">
        <v>692</v>
      </c>
      <c r="AP2863" s="797"/>
      <c r="AQ2863" s="798"/>
      <c r="AR2863" s="798" t="s">
        <v>2144</v>
      </c>
      <c r="AS2863" s="798"/>
      <c r="AT2863" s="782">
        <v>12090031</v>
      </c>
      <c r="AU2863" s="799"/>
      <c r="AV2863" s="782">
        <v>12090032</v>
      </c>
      <c r="AW2863" s="798"/>
      <c r="AX2863" s="798" t="s">
        <v>2145</v>
      </c>
      <c r="AY2863" s="798"/>
      <c r="AZ2863" s="798"/>
      <c r="BA2863" s="799"/>
      <c r="BB2863" s="209">
        <v>23094763</v>
      </c>
    </row>
    <row r="2864" spans="1:54" ht="24.65" hidden="1" customHeight="1">
      <c r="B2864" s="466">
        <v>45999</v>
      </c>
      <c r="C2864" s="467">
        <v>46029</v>
      </c>
      <c r="D2864" s="185">
        <f t="shared" si="1240"/>
        <v>2025</v>
      </c>
      <c r="E2864" s="467" t="e">
        <f>VLOOKUP($B2864,Week!$A$1:$C$1462,2,0)</f>
        <v>#N/A</v>
      </c>
      <c r="F2864" s="469" t="str">
        <f t="shared" si="1241"/>
        <v>Dec</v>
      </c>
      <c r="G2864" s="641" t="s">
        <v>2638</v>
      </c>
      <c r="H2864" s="482" t="s">
        <v>104</v>
      </c>
      <c r="I2864" s="482" t="s">
        <v>2772</v>
      </c>
      <c r="J2864" s="483" t="s">
        <v>105</v>
      </c>
      <c r="K2864" s="484" t="s">
        <v>51</v>
      </c>
      <c r="L2864" s="300" t="s">
        <v>2167</v>
      </c>
      <c r="M2864" s="483" t="s">
        <v>674</v>
      </c>
      <c r="N2864" s="482" t="s">
        <v>677</v>
      </c>
      <c r="O2864" s="482" t="s">
        <v>501</v>
      </c>
      <c r="P2864" s="473">
        <v>36</v>
      </c>
      <c r="Q2864" s="473">
        <v>5</v>
      </c>
      <c r="R2864" s="474">
        <v>6.0000000000000001E-3</v>
      </c>
      <c r="S2864" s="482" t="s">
        <v>55</v>
      </c>
      <c r="T2864" s="482" t="s">
        <v>112</v>
      </c>
      <c r="U2864" s="482" t="s">
        <v>57</v>
      </c>
      <c r="V2864" s="475">
        <f>300</f>
        <v>300</v>
      </c>
      <c r="W2864" s="475">
        <f>48+252</f>
        <v>300</v>
      </c>
      <c r="X2864" s="476"/>
      <c r="Y2864" s="477">
        <f t="shared" si="1244"/>
        <v>0</v>
      </c>
      <c r="Z2864" s="478">
        <f t="shared" si="1245"/>
        <v>0</v>
      </c>
      <c r="AA2864" s="478">
        <f t="shared" si="1239"/>
        <v>0</v>
      </c>
      <c r="AB2864" s="828">
        <v>7.4999999999999997E-3</v>
      </c>
      <c r="AC2864" s="475">
        <f t="shared" si="1246"/>
        <v>0</v>
      </c>
      <c r="AD2864" s="486"/>
      <c r="AE2864" s="210">
        <f t="shared" si="1247"/>
        <v>0</v>
      </c>
      <c r="AF2864" s="210">
        <f t="shared" si="1248"/>
        <v>0</v>
      </c>
      <c r="AG2864" s="211">
        <v>0.14499999999999999</v>
      </c>
      <c r="AH2864" s="157">
        <f t="shared" si="1249"/>
        <v>0</v>
      </c>
      <c r="AI2864" s="152">
        <v>19800</v>
      </c>
      <c r="AK2864" s="156" t="s">
        <v>691</v>
      </c>
      <c r="AL2864" s="212" t="s">
        <v>690</v>
      </c>
      <c r="AM2864" s="198">
        <f t="shared" si="1242"/>
        <v>0</v>
      </c>
      <c r="AN2864" s="199">
        <f t="shared" si="1243"/>
        <v>45999</v>
      </c>
      <c r="AO2864" s="159" t="s">
        <v>692</v>
      </c>
      <c r="AP2864" s="781"/>
      <c r="AQ2864" s="782">
        <v>12071839</v>
      </c>
      <c r="AR2864" s="782">
        <v>12047514</v>
      </c>
      <c r="AS2864" s="782">
        <v>12047515</v>
      </c>
      <c r="AT2864" s="782">
        <v>12085743</v>
      </c>
      <c r="AU2864" s="781"/>
      <c r="AV2864" s="782">
        <v>12085745</v>
      </c>
      <c r="AW2864" s="782">
        <v>12024404</v>
      </c>
      <c r="AX2864" s="782"/>
      <c r="AY2864" s="782">
        <v>12094238</v>
      </c>
      <c r="AZ2864" s="782"/>
      <c r="BA2864" s="781"/>
      <c r="BB2864" s="209">
        <v>23053185</v>
      </c>
    </row>
    <row r="2865" spans="1:54" ht="24.65" hidden="1" customHeight="1">
      <c r="B2865" s="466">
        <v>45999</v>
      </c>
      <c r="C2865" s="467">
        <v>46029</v>
      </c>
      <c r="D2865" s="185">
        <f t="shared" si="1240"/>
        <v>2025</v>
      </c>
      <c r="E2865" s="467" t="e">
        <f>VLOOKUP($B2865,Week!$A$1:$C$1462,2,0)</f>
        <v>#N/A</v>
      </c>
      <c r="F2865" s="469" t="str">
        <f t="shared" si="1241"/>
        <v>Dec</v>
      </c>
      <c r="G2865" s="641" t="s">
        <v>2639</v>
      </c>
      <c r="H2865" s="482" t="s">
        <v>104</v>
      </c>
      <c r="I2865" s="482" t="s">
        <v>2772</v>
      </c>
      <c r="J2865" s="483" t="s">
        <v>105</v>
      </c>
      <c r="K2865" s="484" t="s">
        <v>51</v>
      </c>
      <c r="L2865" s="300" t="s">
        <v>2167</v>
      </c>
      <c r="M2865" s="483" t="s">
        <v>674</v>
      </c>
      <c r="N2865" s="482" t="s">
        <v>677</v>
      </c>
      <c r="O2865" s="482" t="s">
        <v>501</v>
      </c>
      <c r="P2865" s="473">
        <v>36</v>
      </c>
      <c r="Q2865" s="473">
        <v>5</v>
      </c>
      <c r="R2865" s="474">
        <v>6.0000000000000001E-3</v>
      </c>
      <c r="S2865" s="482" t="s">
        <v>55</v>
      </c>
      <c r="T2865" s="482" t="s">
        <v>112</v>
      </c>
      <c r="U2865" s="482" t="s">
        <v>57</v>
      </c>
      <c r="V2865" s="475">
        <f>450</f>
        <v>450</v>
      </c>
      <c r="W2865" s="475">
        <f>702-252</f>
        <v>450</v>
      </c>
      <c r="X2865" s="476">
        <f>(824)/36</f>
        <v>22.888888888888889</v>
      </c>
      <c r="Y2865" s="477">
        <f t="shared" si="1244"/>
        <v>22.888888888888914</v>
      </c>
      <c r="Z2865" s="478">
        <f t="shared" si="1245"/>
        <v>0</v>
      </c>
      <c r="AA2865" s="478">
        <f t="shared" si="1239"/>
        <v>0</v>
      </c>
      <c r="AB2865" s="828">
        <v>7.4999999999999997E-3</v>
      </c>
      <c r="AC2865" s="475">
        <f t="shared" si="1246"/>
        <v>0</v>
      </c>
      <c r="AD2865" s="486"/>
      <c r="AE2865" s="210">
        <f t="shared" si="1247"/>
        <v>0</v>
      </c>
      <c r="AF2865" s="210">
        <f t="shared" si="1248"/>
        <v>0</v>
      </c>
      <c r="AG2865" s="211">
        <v>0.14499999999999999</v>
      </c>
      <c r="AH2865" s="157">
        <f t="shared" si="1249"/>
        <v>0</v>
      </c>
      <c r="AI2865" s="152">
        <v>19800</v>
      </c>
      <c r="AK2865" s="156" t="s">
        <v>691</v>
      </c>
      <c r="AL2865" s="212" t="s">
        <v>690</v>
      </c>
      <c r="AM2865" s="198">
        <f t="shared" si="1242"/>
        <v>0</v>
      </c>
      <c r="AN2865" s="199">
        <f t="shared" si="1243"/>
        <v>45999</v>
      </c>
      <c r="AO2865" s="159" t="s">
        <v>692</v>
      </c>
      <c r="AP2865" s="781"/>
      <c r="AQ2865" s="782">
        <v>12071839</v>
      </c>
      <c r="AR2865" s="782">
        <v>12047514</v>
      </c>
      <c r="AS2865" s="782">
        <v>12047515</v>
      </c>
      <c r="AT2865" s="782">
        <v>12085743</v>
      </c>
      <c r="AU2865" s="781"/>
      <c r="AV2865" s="782">
        <v>12085745</v>
      </c>
      <c r="AW2865" s="782">
        <v>12024404</v>
      </c>
      <c r="AX2865" s="782"/>
      <c r="AY2865" s="782">
        <v>12094238</v>
      </c>
      <c r="AZ2865" s="782"/>
      <c r="BA2865" s="781"/>
      <c r="BB2865" s="209">
        <v>23053185</v>
      </c>
    </row>
    <row r="2866" spans="1:54" ht="24.65" hidden="1" customHeight="1">
      <c r="B2866" s="224">
        <v>45999</v>
      </c>
      <c r="C2866" s="224">
        <v>46014</v>
      </c>
      <c r="D2866" s="185">
        <f t="shared" si="1240"/>
        <v>2025</v>
      </c>
      <c r="E2866" s="225" t="e">
        <f>VLOOKUP($B2866,Week!$A$1:$C$1462,2,0)</f>
        <v>#N/A</v>
      </c>
      <c r="F2866" s="226" t="str">
        <f t="shared" si="1241"/>
        <v>Dec</v>
      </c>
      <c r="G2866" s="225" t="s">
        <v>2510</v>
      </c>
      <c r="H2866" s="225" t="s">
        <v>392</v>
      </c>
      <c r="I2866" s="225" t="s">
        <v>2772</v>
      </c>
      <c r="J2866" s="227" t="s">
        <v>393</v>
      </c>
      <c r="K2866" s="228" t="s">
        <v>176</v>
      </c>
      <c r="L2866" s="300" t="s">
        <v>2167</v>
      </c>
      <c r="M2866" s="228" t="s">
        <v>399</v>
      </c>
      <c r="N2866" s="225" t="s">
        <v>400</v>
      </c>
      <c r="O2866" s="225" t="s">
        <v>195</v>
      </c>
      <c r="P2866" s="229">
        <v>24</v>
      </c>
      <c r="Q2866" s="229">
        <v>5</v>
      </c>
      <c r="R2866" s="230">
        <v>8.0000000000000002E-3</v>
      </c>
      <c r="S2866" s="225" t="s">
        <v>40</v>
      </c>
      <c r="T2866" s="225" t="s">
        <v>56</v>
      </c>
      <c r="U2866" s="225" t="s">
        <v>57</v>
      </c>
      <c r="V2866" s="231">
        <f>900</f>
        <v>900</v>
      </c>
      <c r="W2866" s="231">
        <f>13+887</f>
        <v>900</v>
      </c>
      <c r="X2866" s="232"/>
      <c r="Y2866" s="233">
        <f t="shared" si="1244"/>
        <v>0</v>
      </c>
      <c r="Z2866" s="234">
        <f t="shared" si="1245"/>
        <v>0</v>
      </c>
      <c r="AA2866" s="234">
        <f t="shared" si="1239"/>
        <v>0</v>
      </c>
      <c r="AB2866" s="808">
        <v>7.4999999999999997E-3</v>
      </c>
      <c r="AC2866" s="231">
        <f t="shared" si="1246"/>
        <v>0</v>
      </c>
      <c r="AD2866" s="220"/>
      <c r="AE2866" s="210">
        <f t="shared" si="1247"/>
        <v>0</v>
      </c>
      <c r="AF2866" s="210">
        <f t="shared" si="1248"/>
        <v>0</v>
      </c>
      <c r="AG2866" s="211">
        <f t="shared" ref="AG2866:AG2877" si="1250">MID(O2866,1,3)/1000</f>
        <v>0.14499999999999999</v>
      </c>
      <c r="AH2866" s="157">
        <f t="shared" si="1249"/>
        <v>0</v>
      </c>
      <c r="AI2866" s="152">
        <f t="shared" ref="AI2866:AI2877" si="1251">V2866*P2866</f>
        <v>21600</v>
      </c>
      <c r="AK2866" s="156" t="s">
        <v>691</v>
      </c>
      <c r="AL2866" s="574" t="s">
        <v>690</v>
      </c>
      <c r="AM2866" s="198">
        <f t="shared" si="1242"/>
        <v>0</v>
      </c>
      <c r="AN2866" s="199">
        <f t="shared" si="1243"/>
        <v>45999</v>
      </c>
      <c r="AO2866" s="159" t="s">
        <v>692</v>
      </c>
      <c r="AP2866" s="783" t="s">
        <v>638</v>
      </c>
      <c r="AQ2866" s="783" t="s">
        <v>631</v>
      </c>
      <c r="AR2866" s="783" t="s">
        <v>632</v>
      </c>
      <c r="AS2866" s="783" t="s">
        <v>633</v>
      </c>
      <c r="AT2866" s="781"/>
      <c r="AU2866" s="783" t="s">
        <v>2606</v>
      </c>
      <c r="AV2866" s="783" t="s">
        <v>2380</v>
      </c>
      <c r="AW2866" s="783" t="s">
        <v>2607</v>
      </c>
      <c r="AX2866" s="781"/>
      <c r="AY2866" s="783" t="s">
        <v>2463</v>
      </c>
      <c r="AZ2866" s="783" t="s">
        <v>2464</v>
      </c>
      <c r="BA2866" s="783" t="s">
        <v>2465</v>
      </c>
      <c r="BB2866" s="209">
        <v>23053185</v>
      </c>
    </row>
    <row r="2867" spans="1:54" ht="26.25" hidden="1" customHeight="1">
      <c r="B2867" s="235">
        <v>45999</v>
      </c>
      <c r="C2867" s="235">
        <v>46014</v>
      </c>
      <c r="D2867" s="185">
        <f t="shared" si="1240"/>
        <v>2025</v>
      </c>
      <c r="E2867" s="236" t="e">
        <f>VLOOKUP($B2867,Week!$A$1:$C$1462,2,0)</f>
        <v>#N/A</v>
      </c>
      <c r="F2867" s="237" t="str">
        <f t="shared" si="1241"/>
        <v>Dec</v>
      </c>
      <c r="G2867" s="236" t="s">
        <v>2510</v>
      </c>
      <c r="H2867" s="236" t="s">
        <v>392</v>
      </c>
      <c r="I2867" s="236" t="s">
        <v>2772</v>
      </c>
      <c r="J2867" s="238" t="s">
        <v>393</v>
      </c>
      <c r="K2867" s="239" t="s">
        <v>1643</v>
      </c>
      <c r="L2867" s="300" t="s">
        <v>2167</v>
      </c>
      <c r="M2867" s="238" t="s">
        <v>2385</v>
      </c>
      <c r="N2867" s="236" t="s">
        <v>407</v>
      </c>
      <c r="O2867" s="236" t="s">
        <v>206</v>
      </c>
      <c r="P2867" s="240">
        <v>24</v>
      </c>
      <c r="Q2867" s="240">
        <v>5</v>
      </c>
      <c r="R2867" s="241">
        <v>8.0000000000000002E-3</v>
      </c>
      <c r="S2867" s="236" t="s">
        <v>40</v>
      </c>
      <c r="T2867" s="236" t="s">
        <v>56</v>
      </c>
      <c r="U2867" s="640" t="s">
        <v>499</v>
      </c>
      <c r="V2867" s="242">
        <f>900-50</f>
        <v>850</v>
      </c>
      <c r="W2867" s="242">
        <f>7+843</f>
        <v>850</v>
      </c>
      <c r="X2867" s="243"/>
      <c r="Y2867" s="244">
        <f t="shared" si="1244"/>
        <v>0</v>
      </c>
      <c r="Z2867" s="245">
        <f t="shared" si="1245"/>
        <v>0</v>
      </c>
      <c r="AA2867" s="245">
        <f t="shared" si="1239"/>
        <v>0</v>
      </c>
      <c r="AB2867" s="809">
        <v>1</v>
      </c>
      <c r="AC2867" s="242">
        <f t="shared" si="1246"/>
        <v>0</v>
      </c>
      <c r="AD2867" s="209"/>
      <c r="AE2867" s="210">
        <f t="shared" si="1247"/>
        <v>0</v>
      </c>
      <c r="AF2867" s="210">
        <f t="shared" si="1248"/>
        <v>0</v>
      </c>
      <c r="AG2867" s="211">
        <f t="shared" si="1250"/>
        <v>0.115</v>
      </c>
      <c r="AH2867" s="157">
        <f t="shared" si="1249"/>
        <v>0</v>
      </c>
      <c r="AI2867" s="152">
        <f t="shared" si="1251"/>
        <v>20400</v>
      </c>
      <c r="AK2867" s="156" t="s">
        <v>691</v>
      </c>
      <c r="AL2867" s="574" t="s">
        <v>690</v>
      </c>
      <c r="AM2867" s="198">
        <f t="shared" si="1242"/>
        <v>0</v>
      </c>
      <c r="AN2867" s="199">
        <f t="shared" si="1243"/>
        <v>45999</v>
      </c>
      <c r="AO2867" s="159" t="s">
        <v>692</v>
      </c>
      <c r="AP2867" s="783" t="s">
        <v>608</v>
      </c>
      <c r="AQ2867" s="782">
        <v>12071839</v>
      </c>
      <c r="AR2867" s="782">
        <v>12047514</v>
      </c>
      <c r="AS2867" s="782">
        <v>12047515</v>
      </c>
      <c r="AT2867" s="781"/>
      <c r="AU2867" s="782">
        <v>12026902</v>
      </c>
      <c r="AV2867" s="782">
        <v>12081781</v>
      </c>
      <c r="AW2867" s="782">
        <v>12026904</v>
      </c>
      <c r="AX2867" s="781"/>
      <c r="AY2867" s="783" t="s">
        <v>2403</v>
      </c>
      <c r="AZ2867" s="783" t="s">
        <v>2404</v>
      </c>
      <c r="BA2867" s="783" t="s">
        <v>2405</v>
      </c>
      <c r="BB2867" s="209">
        <v>23052995</v>
      </c>
    </row>
    <row r="2868" spans="1:54" ht="25" hidden="1" customHeight="1">
      <c r="A2868" s="142" t="s">
        <v>120</v>
      </c>
      <c r="B2868" s="320">
        <v>46000</v>
      </c>
      <c r="C2868" s="321">
        <v>46013</v>
      </c>
      <c r="D2868" s="323">
        <f t="shared" si="1240"/>
        <v>2025</v>
      </c>
      <c r="E2868" s="321" t="e">
        <f>VLOOKUP($B2868,Week!$A$1:$C$1462,2,0)</f>
        <v>#N/A</v>
      </c>
      <c r="F2868" s="322" t="str">
        <f t="shared" si="1241"/>
        <v>Dec</v>
      </c>
      <c r="G2868" s="323" t="s">
        <v>2643</v>
      </c>
      <c r="H2868" s="323" t="s">
        <v>363</v>
      </c>
      <c r="I2868" s="323" t="s">
        <v>2772</v>
      </c>
      <c r="J2868" s="324" t="s">
        <v>364</v>
      </c>
      <c r="K2868" s="325" t="s">
        <v>2583</v>
      </c>
      <c r="L2868" s="325" t="s">
        <v>2166</v>
      </c>
      <c r="M2868" s="324" t="s">
        <v>2586</v>
      </c>
      <c r="N2868" s="323" t="s">
        <v>2584</v>
      </c>
      <c r="O2868" s="323" t="s">
        <v>2587</v>
      </c>
      <c r="P2868" s="326">
        <v>20</v>
      </c>
      <c r="Q2868" s="326">
        <v>50</v>
      </c>
      <c r="R2868" s="327">
        <v>4.0000000000000001E-3</v>
      </c>
      <c r="S2868" s="323" t="s">
        <v>55</v>
      </c>
      <c r="T2868" s="323" t="s">
        <v>112</v>
      </c>
      <c r="U2868" s="323" t="s">
        <v>77</v>
      </c>
      <c r="V2868" s="328">
        <v>177</v>
      </c>
      <c r="W2868" s="328">
        <v>177</v>
      </c>
      <c r="X2868" s="329"/>
      <c r="Y2868" s="330">
        <f t="shared" si="1244"/>
        <v>0</v>
      </c>
      <c r="Z2868" s="331">
        <f t="shared" si="1245"/>
        <v>0</v>
      </c>
      <c r="AA2868" s="331">
        <f t="shared" si="1239"/>
        <v>0</v>
      </c>
      <c r="AB2868" s="816">
        <v>6</v>
      </c>
      <c r="AC2868" s="328">
        <f t="shared" si="1246"/>
        <v>0</v>
      </c>
      <c r="AD2868" s="209"/>
      <c r="AE2868" s="210">
        <f t="shared" si="1247"/>
        <v>0</v>
      </c>
      <c r="AF2868" s="210">
        <f t="shared" si="1248"/>
        <v>0</v>
      </c>
      <c r="AG2868" s="211">
        <f t="shared" si="1250"/>
        <v>0.5</v>
      </c>
      <c r="AH2868" s="157">
        <f t="shared" si="1249"/>
        <v>0</v>
      </c>
      <c r="AI2868" s="152">
        <f t="shared" si="1251"/>
        <v>3540</v>
      </c>
      <c r="AK2868" s="156" t="s">
        <v>691</v>
      </c>
      <c r="AL2868" s="156" t="s">
        <v>689</v>
      </c>
      <c r="AM2868" s="198">
        <f t="shared" si="1242"/>
        <v>0</v>
      </c>
      <c r="AN2868" s="199">
        <f t="shared" si="1243"/>
        <v>46000</v>
      </c>
      <c r="AO2868" s="159" t="s">
        <v>692</v>
      </c>
      <c r="AP2868" s="783" t="s">
        <v>620</v>
      </c>
      <c r="AQ2868" s="796" t="s">
        <v>422</v>
      </c>
      <c r="AR2868" s="782">
        <v>12055234</v>
      </c>
      <c r="AS2868" s="781"/>
      <c r="AT2868" s="782"/>
      <c r="AU2868" s="782"/>
      <c r="AV2868" s="782">
        <v>12094353</v>
      </c>
      <c r="AW2868" s="782"/>
      <c r="AX2868" s="782">
        <v>12036656</v>
      </c>
      <c r="AY2868" s="799" t="s">
        <v>2616</v>
      </c>
      <c r="AZ2868" s="781"/>
      <c r="BA2868" s="781"/>
      <c r="BB2868" s="209">
        <v>23053184</v>
      </c>
    </row>
    <row r="2869" spans="1:54" ht="24.65" hidden="1" customHeight="1">
      <c r="B2869" s="369">
        <v>46000</v>
      </c>
      <c r="C2869" s="370">
        <v>46007</v>
      </c>
      <c r="D2869" s="185">
        <f>IF(B2869="","",YEAR(B2869))</f>
        <v>2025</v>
      </c>
      <c r="E2869" s="370" t="e">
        <f>VLOOKUP($B2869,Week!$A$1:$C$1462,2,0)</f>
        <v>#N/A</v>
      </c>
      <c r="F2869" s="372" t="str">
        <f>IF(B2869="","",TEXT(B2869,"[$-409]mmm"))</f>
        <v>Dec</v>
      </c>
      <c r="G2869" s="439" t="s">
        <v>2620</v>
      </c>
      <c r="H2869" s="371" t="s">
        <v>104</v>
      </c>
      <c r="I2869" s="371" t="s">
        <v>2772</v>
      </c>
      <c r="J2869" s="373" t="s">
        <v>105</v>
      </c>
      <c r="K2869" s="374" t="s">
        <v>593</v>
      </c>
      <c r="L2869" s="300" t="s">
        <v>2167</v>
      </c>
      <c r="M2869" s="373" t="s">
        <v>594</v>
      </c>
      <c r="N2869" s="371" t="s">
        <v>687</v>
      </c>
      <c r="O2869" s="371" t="s">
        <v>415</v>
      </c>
      <c r="P2869" s="375">
        <v>24</v>
      </c>
      <c r="Q2869" s="375">
        <v>5</v>
      </c>
      <c r="R2869" s="376">
        <v>6.0000000000000001E-3</v>
      </c>
      <c r="S2869" s="371" t="s">
        <v>55</v>
      </c>
      <c r="T2869" s="371" t="s">
        <v>112</v>
      </c>
      <c r="U2869" s="371" t="s">
        <v>57</v>
      </c>
      <c r="V2869" s="377">
        <f>800</f>
        <v>800</v>
      </c>
      <c r="W2869" s="377">
        <f>8+792</f>
        <v>800</v>
      </c>
      <c r="X2869" s="378"/>
      <c r="Y2869" s="379">
        <f t="shared" si="1244"/>
        <v>0</v>
      </c>
      <c r="Z2869" s="380">
        <f t="shared" si="1245"/>
        <v>0</v>
      </c>
      <c r="AA2869" s="380">
        <f t="shared" si="1239"/>
        <v>0</v>
      </c>
      <c r="AB2869" s="820">
        <v>7.4999999999999997E-3</v>
      </c>
      <c r="AC2869" s="377">
        <f t="shared" si="1246"/>
        <v>0</v>
      </c>
      <c r="AD2869" s="486"/>
      <c r="AE2869" s="210">
        <f t="shared" si="1247"/>
        <v>0</v>
      </c>
      <c r="AF2869" s="210">
        <f t="shared" si="1248"/>
        <v>0</v>
      </c>
      <c r="AG2869" s="211">
        <f t="shared" si="1250"/>
        <v>0.25800000000000001</v>
      </c>
      <c r="AH2869" s="157">
        <f t="shared" si="1249"/>
        <v>0</v>
      </c>
      <c r="AI2869" s="152">
        <f t="shared" si="1251"/>
        <v>19200</v>
      </c>
      <c r="AK2869" s="156" t="s">
        <v>691</v>
      </c>
      <c r="AL2869" s="212" t="s">
        <v>690</v>
      </c>
      <c r="AM2869" s="198">
        <f>AG2869*Z2869</f>
        <v>0</v>
      </c>
      <c r="AN2869" s="199">
        <f>B2869</f>
        <v>46000</v>
      </c>
      <c r="AO2869" s="159" t="s">
        <v>692</v>
      </c>
      <c r="AP2869" s="783"/>
      <c r="AQ2869" s="782">
        <v>12071839</v>
      </c>
      <c r="AR2869" s="782">
        <v>12042650</v>
      </c>
      <c r="AS2869" s="782">
        <v>12042649</v>
      </c>
      <c r="AT2869" s="782">
        <v>12085742</v>
      </c>
      <c r="AU2869" s="781"/>
      <c r="AV2869" s="782">
        <v>12085744</v>
      </c>
      <c r="AW2869" s="782">
        <v>12049607</v>
      </c>
      <c r="AX2869" s="782"/>
      <c r="AY2869" s="782">
        <v>12094129</v>
      </c>
      <c r="AZ2869" s="782"/>
      <c r="BA2869" s="781"/>
      <c r="BB2869" s="209">
        <v>23053185</v>
      </c>
    </row>
    <row r="2870" spans="1:54" ht="24.65" hidden="1" customHeight="1">
      <c r="B2870" s="369">
        <v>46000</v>
      </c>
      <c r="C2870" s="370">
        <v>46029</v>
      </c>
      <c r="D2870" s="185">
        <f>IF(B2870="","",YEAR(B2870))</f>
        <v>2025</v>
      </c>
      <c r="E2870" s="370" t="e">
        <f>VLOOKUP($B2870,Week!$A$1:$C$1462,2,0)</f>
        <v>#N/A</v>
      </c>
      <c r="F2870" s="372" t="str">
        <f>IF(B2870="","",TEXT(B2870,"[$-409]mmm"))</f>
        <v>Dec</v>
      </c>
      <c r="G2870" s="439" t="s">
        <v>2621</v>
      </c>
      <c r="H2870" s="371" t="s">
        <v>104</v>
      </c>
      <c r="I2870" s="371" t="s">
        <v>2772</v>
      </c>
      <c r="J2870" s="373" t="s">
        <v>105</v>
      </c>
      <c r="K2870" s="374" t="s">
        <v>593</v>
      </c>
      <c r="L2870" s="300" t="s">
        <v>2167</v>
      </c>
      <c r="M2870" s="373" t="s">
        <v>594</v>
      </c>
      <c r="N2870" s="371" t="s">
        <v>687</v>
      </c>
      <c r="O2870" s="371" t="s">
        <v>415</v>
      </c>
      <c r="P2870" s="375">
        <v>24</v>
      </c>
      <c r="Q2870" s="375">
        <v>5</v>
      </c>
      <c r="R2870" s="376">
        <v>6.0000000000000001E-3</v>
      </c>
      <c r="S2870" s="371" t="s">
        <v>55</v>
      </c>
      <c r="T2870" s="371" t="s">
        <v>112</v>
      </c>
      <c r="U2870" s="371" t="s">
        <v>57</v>
      </c>
      <c r="V2870" s="377">
        <v>800</v>
      </c>
      <c r="W2870" s="377">
        <f>1592-792</f>
        <v>800</v>
      </c>
      <c r="X2870" s="378"/>
      <c r="Y2870" s="379">
        <f t="shared" si="1244"/>
        <v>0</v>
      </c>
      <c r="Z2870" s="380">
        <f t="shared" si="1245"/>
        <v>0</v>
      </c>
      <c r="AA2870" s="380">
        <f t="shared" si="1239"/>
        <v>0</v>
      </c>
      <c r="AB2870" s="820">
        <v>7.4999999999999997E-3</v>
      </c>
      <c r="AC2870" s="377">
        <f t="shared" si="1246"/>
        <v>0</v>
      </c>
      <c r="AD2870" s="486"/>
      <c r="AE2870" s="210">
        <f t="shared" si="1247"/>
        <v>0</v>
      </c>
      <c r="AF2870" s="210">
        <f t="shared" si="1248"/>
        <v>0</v>
      </c>
      <c r="AG2870" s="211">
        <f t="shared" si="1250"/>
        <v>0.25800000000000001</v>
      </c>
      <c r="AH2870" s="157">
        <f t="shared" si="1249"/>
        <v>0</v>
      </c>
      <c r="AI2870" s="152">
        <f t="shared" si="1251"/>
        <v>19200</v>
      </c>
      <c r="AK2870" s="156" t="s">
        <v>691</v>
      </c>
      <c r="AL2870" s="212" t="s">
        <v>690</v>
      </c>
      <c r="AM2870" s="198">
        <f>AG2870*Z2870</f>
        <v>0</v>
      </c>
      <c r="AN2870" s="199">
        <f>B2870</f>
        <v>46000</v>
      </c>
      <c r="AO2870" s="159" t="s">
        <v>692</v>
      </c>
      <c r="AP2870" s="783"/>
      <c r="AQ2870" s="782">
        <v>12071839</v>
      </c>
      <c r="AR2870" s="782">
        <v>12042650</v>
      </c>
      <c r="AS2870" s="782">
        <v>12042649</v>
      </c>
      <c r="AT2870" s="782">
        <v>12085742</v>
      </c>
      <c r="AU2870" s="781"/>
      <c r="AV2870" s="782">
        <v>12085744</v>
      </c>
      <c r="AW2870" s="782">
        <v>12049607</v>
      </c>
      <c r="AX2870" s="782"/>
      <c r="AY2870" s="782">
        <v>12094129</v>
      </c>
      <c r="AZ2870" s="782"/>
      <c r="BA2870" s="781"/>
      <c r="BB2870" s="209">
        <v>23053185</v>
      </c>
    </row>
    <row r="2871" spans="1:54" ht="25" hidden="1" customHeight="1">
      <c r="B2871" s="602">
        <v>46000</v>
      </c>
      <c r="C2871" s="861" t="s">
        <v>1936</v>
      </c>
      <c r="D2871" s="604">
        <f>IF(B2871="","",YEAR(B2871))</f>
        <v>2025</v>
      </c>
      <c r="E2871" s="603" t="e">
        <f>VLOOKUP($B2871,Week!$A$1:$C$1462,2,0)</f>
        <v>#N/A</v>
      </c>
      <c r="F2871" s="605" t="str">
        <f>IF(B2871="","",TEXT(B2871,"[$-409]mmm"))</f>
        <v>Dec</v>
      </c>
      <c r="G2871" s="604" t="s">
        <v>47</v>
      </c>
      <c r="H2871" s="604" t="s">
        <v>518</v>
      </c>
      <c r="I2871" s="604" t="s">
        <v>2702</v>
      </c>
      <c r="J2871" s="606" t="s">
        <v>70</v>
      </c>
      <c r="K2871" s="607" t="s">
        <v>227</v>
      </c>
      <c r="L2871" s="607" t="s">
        <v>2167</v>
      </c>
      <c r="M2871" s="606" t="s">
        <v>2554</v>
      </c>
      <c r="N2871" s="604" t="s">
        <v>2334</v>
      </c>
      <c r="O2871" s="604" t="s">
        <v>2005</v>
      </c>
      <c r="P2871" s="608">
        <v>12</v>
      </c>
      <c r="Q2871" s="608">
        <v>3</v>
      </c>
      <c r="R2871" s="609">
        <v>8.0000000000000002E-3</v>
      </c>
      <c r="S2871" s="604" t="s">
        <v>352</v>
      </c>
      <c r="T2871" s="604" t="s">
        <v>56</v>
      </c>
      <c r="U2871" s="604" t="s">
        <v>2007</v>
      </c>
      <c r="V2871" s="862">
        <f>3200</f>
        <v>3200</v>
      </c>
      <c r="W2871" s="610">
        <f>114+3086</f>
        <v>3200</v>
      </c>
      <c r="X2871" s="611"/>
      <c r="Y2871" s="612">
        <f t="shared" si="1244"/>
        <v>0</v>
      </c>
      <c r="Z2871" s="613">
        <f t="shared" si="1245"/>
        <v>0</v>
      </c>
      <c r="AA2871" s="613">
        <f t="shared" si="1239"/>
        <v>0</v>
      </c>
      <c r="AB2871" s="836">
        <v>0.05</v>
      </c>
      <c r="AC2871" s="610">
        <f t="shared" si="1246"/>
        <v>0</v>
      </c>
      <c r="AD2871" s="307" t="s">
        <v>2344</v>
      </c>
      <c r="AE2871" s="210">
        <f t="shared" si="1247"/>
        <v>0</v>
      </c>
      <c r="AF2871" s="210">
        <f t="shared" si="1248"/>
        <v>0</v>
      </c>
      <c r="AG2871" s="211">
        <f t="shared" si="1250"/>
        <v>0.22700000000000001</v>
      </c>
      <c r="AH2871" s="157">
        <f t="shared" si="1249"/>
        <v>0</v>
      </c>
      <c r="AI2871" s="152">
        <f t="shared" si="1251"/>
        <v>38400</v>
      </c>
      <c r="AK2871" s="156" t="s">
        <v>691</v>
      </c>
      <c r="AL2871" s="212" t="s">
        <v>690</v>
      </c>
      <c r="AM2871" s="198">
        <f>AG2871*Z2871</f>
        <v>0</v>
      </c>
      <c r="AN2871" s="199">
        <f>B2871</f>
        <v>46000</v>
      </c>
      <c r="AO2871" s="159" t="s">
        <v>692</v>
      </c>
      <c r="AP2871" s="783" t="s">
        <v>623</v>
      </c>
      <c r="AQ2871" s="782">
        <v>12071839</v>
      </c>
      <c r="AR2871" s="782">
        <v>12042650</v>
      </c>
      <c r="AS2871" s="782">
        <v>12042649</v>
      </c>
      <c r="AT2871" s="782"/>
      <c r="AU2871" s="781"/>
      <c r="AV2871" s="782">
        <v>12094036</v>
      </c>
      <c r="AW2871" s="782"/>
      <c r="AX2871" s="782"/>
      <c r="AY2871" s="782">
        <v>12094035</v>
      </c>
      <c r="AZ2871" s="782">
        <v>12094041</v>
      </c>
      <c r="BA2871" s="781"/>
      <c r="BB2871" s="209">
        <v>11044165</v>
      </c>
    </row>
    <row r="2872" spans="1:54" ht="25" hidden="1" customHeight="1">
      <c r="B2872" s="602">
        <v>46000</v>
      </c>
      <c r="C2872" s="861" t="s">
        <v>2629</v>
      </c>
      <c r="D2872" s="604">
        <f>IF(B2872="","",YEAR(B2872))</f>
        <v>2025</v>
      </c>
      <c r="E2872" s="603" t="e">
        <f>VLOOKUP($B2872,Week!$A$1:$C$1462,2,0)</f>
        <v>#N/A</v>
      </c>
      <c r="F2872" s="605" t="str">
        <f>IF(B2872="","",TEXT(B2872,"[$-409]mmm"))</f>
        <v>Dec</v>
      </c>
      <c r="G2872" s="604" t="s">
        <v>47</v>
      </c>
      <c r="H2872" s="604" t="s">
        <v>518</v>
      </c>
      <c r="I2872" s="604" t="s">
        <v>2702</v>
      </c>
      <c r="J2872" s="606" t="s">
        <v>70</v>
      </c>
      <c r="K2872" s="607" t="s">
        <v>227</v>
      </c>
      <c r="L2872" s="607" t="s">
        <v>2167</v>
      </c>
      <c r="M2872" s="606" t="s">
        <v>2554</v>
      </c>
      <c r="N2872" s="604" t="s">
        <v>2334</v>
      </c>
      <c r="O2872" s="604" t="s">
        <v>2005</v>
      </c>
      <c r="P2872" s="608">
        <v>12</v>
      </c>
      <c r="Q2872" s="608">
        <v>3</v>
      </c>
      <c r="R2872" s="609">
        <v>8.0000000000000002E-3</v>
      </c>
      <c r="S2872" s="604" t="s">
        <v>352</v>
      </c>
      <c r="T2872" s="604" t="s">
        <v>56</v>
      </c>
      <c r="U2872" s="604" t="s">
        <v>2007</v>
      </c>
      <c r="V2872" s="862">
        <f>884</f>
        <v>884</v>
      </c>
      <c r="W2872" s="610">
        <f>3859-3086</f>
        <v>773</v>
      </c>
      <c r="X2872" s="611">
        <f>(1863)/12</f>
        <v>155.25</v>
      </c>
      <c r="Y2872" s="612">
        <f t="shared" si="1244"/>
        <v>44.25</v>
      </c>
      <c r="Z2872" s="613">
        <f t="shared" si="1245"/>
        <v>0</v>
      </c>
      <c r="AA2872" s="613">
        <f t="shared" si="1239"/>
        <v>0</v>
      </c>
      <c r="AB2872" s="836">
        <v>0.05</v>
      </c>
      <c r="AC2872" s="610">
        <f t="shared" si="1246"/>
        <v>0</v>
      </c>
      <c r="AD2872" s="307" t="s">
        <v>2344</v>
      </c>
      <c r="AE2872" s="210">
        <f t="shared" si="1247"/>
        <v>0</v>
      </c>
      <c r="AF2872" s="210">
        <f t="shared" si="1248"/>
        <v>0</v>
      </c>
      <c r="AG2872" s="211">
        <f t="shared" si="1250"/>
        <v>0.22700000000000001</v>
      </c>
      <c r="AH2872" s="157">
        <f t="shared" si="1249"/>
        <v>0</v>
      </c>
      <c r="AI2872" s="152">
        <f t="shared" si="1251"/>
        <v>10608</v>
      </c>
      <c r="AK2872" s="156" t="s">
        <v>691</v>
      </c>
      <c r="AL2872" s="212" t="s">
        <v>690</v>
      </c>
      <c r="AM2872" s="198">
        <f>AG2872*Z2872</f>
        <v>0</v>
      </c>
      <c r="AN2872" s="199">
        <f>B2872</f>
        <v>46000</v>
      </c>
      <c r="AO2872" s="159" t="s">
        <v>692</v>
      </c>
      <c r="AP2872" s="783" t="s">
        <v>623</v>
      </c>
      <c r="AQ2872" s="782">
        <v>12071839</v>
      </c>
      <c r="AR2872" s="782">
        <v>12042650</v>
      </c>
      <c r="AS2872" s="782">
        <v>12042649</v>
      </c>
      <c r="AT2872" s="782"/>
      <c r="AU2872" s="781"/>
      <c r="AV2872" s="782">
        <v>12094036</v>
      </c>
      <c r="AW2872" s="782"/>
      <c r="AX2872" s="782"/>
      <c r="AY2872" s="782">
        <v>12094035</v>
      </c>
      <c r="AZ2872" s="782">
        <v>12094041</v>
      </c>
      <c r="BA2872" s="781"/>
      <c r="BB2872" s="209">
        <v>11044165</v>
      </c>
    </row>
    <row r="2873" spans="1:54" ht="25" hidden="1" customHeight="1">
      <c r="A2873" s="142" t="s">
        <v>120</v>
      </c>
      <c r="B2873" s="320">
        <v>46001</v>
      </c>
      <c r="C2873" s="321">
        <v>46013</v>
      </c>
      <c r="D2873" s="323">
        <f t="shared" si="1240"/>
        <v>2025</v>
      </c>
      <c r="E2873" s="321" t="e">
        <f>VLOOKUP($B2873,Week!$A$1:$C$1462,2,0)</f>
        <v>#N/A</v>
      </c>
      <c r="F2873" s="322" t="str">
        <f t="shared" si="1241"/>
        <v>Dec</v>
      </c>
      <c r="G2873" s="323" t="s">
        <v>2643</v>
      </c>
      <c r="H2873" s="323" t="s">
        <v>363</v>
      </c>
      <c r="I2873" s="323" t="s">
        <v>2772</v>
      </c>
      <c r="J2873" s="324" t="s">
        <v>364</v>
      </c>
      <c r="K2873" s="325" t="s">
        <v>2583</v>
      </c>
      <c r="L2873" s="325" t="s">
        <v>2166</v>
      </c>
      <c r="M2873" s="324" t="s">
        <v>2586</v>
      </c>
      <c r="N2873" s="323" t="s">
        <v>2584</v>
      </c>
      <c r="O2873" s="323" t="s">
        <v>2587</v>
      </c>
      <c r="P2873" s="326">
        <v>20</v>
      </c>
      <c r="Q2873" s="326">
        <v>50</v>
      </c>
      <c r="R2873" s="327">
        <v>4.0000000000000001E-3</v>
      </c>
      <c r="S2873" s="323" t="s">
        <v>55</v>
      </c>
      <c r="T2873" s="323" t="s">
        <v>112</v>
      </c>
      <c r="U2873" s="323" t="s">
        <v>77</v>
      </c>
      <c r="V2873" s="328">
        <v>173</v>
      </c>
      <c r="W2873" s="328">
        <v>173</v>
      </c>
      <c r="X2873" s="329"/>
      <c r="Y2873" s="330">
        <f t="shared" si="1244"/>
        <v>0</v>
      </c>
      <c r="Z2873" s="331">
        <f t="shared" si="1245"/>
        <v>0</v>
      </c>
      <c r="AA2873" s="331">
        <f t="shared" si="1239"/>
        <v>0</v>
      </c>
      <c r="AB2873" s="816">
        <v>6</v>
      </c>
      <c r="AC2873" s="328">
        <f t="shared" si="1246"/>
        <v>0</v>
      </c>
      <c r="AD2873" s="209"/>
      <c r="AE2873" s="210">
        <f t="shared" si="1247"/>
        <v>0</v>
      </c>
      <c r="AF2873" s="210">
        <f t="shared" si="1248"/>
        <v>0</v>
      </c>
      <c r="AG2873" s="211">
        <f t="shared" si="1250"/>
        <v>0.5</v>
      </c>
      <c r="AH2873" s="157">
        <f t="shared" si="1249"/>
        <v>0</v>
      </c>
      <c r="AI2873" s="152">
        <f t="shared" si="1251"/>
        <v>3460</v>
      </c>
      <c r="AK2873" s="156" t="s">
        <v>691</v>
      </c>
      <c r="AL2873" s="156" t="s">
        <v>689</v>
      </c>
      <c r="AM2873" s="198">
        <f t="shared" si="1242"/>
        <v>0</v>
      </c>
      <c r="AN2873" s="199">
        <f t="shared" si="1243"/>
        <v>46001</v>
      </c>
      <c r="AO2873" s="159" t="s">
        <v>692</v>
      </c>
      <c r="AP2873" s="783" t="s">
        <v>620</v>
      </c>
      <c r="AQ2873" s="796" t="s">
        <v>422</v>
      </c>
      <c r="AR2873" s="782">
        <v>12055234</v>
      </c>
      <c r="AS2873" s="781"/>
      <c r="AT2873" s="782"/>
      <c r="AU2873" s="782"/>
      <c r="AV2873" s="782">
        <v>12094353</v>
      </c>
      <c r="AW2873" s="782"/>
      <c r="AX2873" s="782">
        <v>12036656</v>
      </c>
      <c r="AY2873" s="799" t="s">
        <v>2616</v>
      </c>
      <c r="AZ2873" s="781"/>
      <c r="BA2873" s="781"/>
      <c r="BB2873" s="209">
        <v>23053184</v>
      </c>
    </row>
    <row r="2874" spans="1:54" ht="24.75" hidden="1" customHeight="1">
      <c r="B2874" s="295">
        <v>46001</v>
      </c>
      <c r="C2874" s="771" t="s">
        <v>1936</v>
      </c>
      <c r="D2874" s="185">
        <f>IF(B2874="","",YEAR(B2874))</f>
        <v>2025</v>
      </c>
      <c r="E2874" s="296" t="e">
        <f>VLOOKUP($B2874,Week!$A$1:$C$1462,2,0)</f>
        <v>#N/A</v>
      </c>
      <c r="F2874" s="297" t="str">
        <f>IF(B2874="","",TEXT(B2874,"[$-409]mmm"))</f>
        <v>Dec</v>
      </c>
      <c r="G2874" s="648" t="s">
        <v>47</v>
      </c>
      <c r="H2874" s="298" t="s">
        <v>260</v>
      </c>
      <c r="I2874" s="298" t="s">
        <v>2702</v>
      </c>
      <c r="J2874" s="307" t="s">
        <v>2240</v>
      </c>
      <c r="K2874" s="300" t="s">
        <v>176</v>
      </c>
      <c r="L2874" s="300" t="s">
        <v>2167</v>
      </c>
      <c r="M2874" s="299" t="s">
        <v>2338</v>
      </c>
      <c r="N2874" s="298" t="s">
        <v>350</v>
      </c>
      <c r="O2874" s="298" t="s">
        <v>351</v>
      </c>
      <c r="P2874" s="301">
        <v>24</v>
      </c>
      <c r="Q2874" s="301">
        <v>5</v>
      </c>
      <c r="R2874" s="302">
        <v>6.1999999999999998E-3</v>
      </c>
      <c r="S2874" s="298" t="s">
        <v>352</v>
      </c>
      <c r="T2874" s="298" t="s">
        <v>56</v>
      </c>
      <c r="U2874" s="298" t="s">
        <v>57</v>
      </c>
      <c r="V2874" s="303">
        <v>1996</v>
      </c>
      <c r="W2874" s="303">
        <f>1+1995</f>
        <v>1996</v>
      </c>
      <c r="X2874" s="304"/>
      <c r="Y2874" s="305">
        <f t="shared" si="1244"/>
        <v>0</v>
      </c>
      <c r="Z2874" s="306">
        <f t="shared" si="1245"/>
        <v>0</v>
      </c>
      <c r="AA2874" s="306">
        <f t="shared" si="1239"/>
        <v>0</v>
      </c>
      <c r="AB2874" s="814">
        <v>7.4999999999999997E-3</v>
      </c>
      <c r="AC2874" s="303">
        <f t="shared" si="1246"/>
        <v>0</v>
      </c>
      <c r="AD2874" s="443"/>
      <c r="AE2874" s="210">
        <f t="shared" si="1247"/>
        <v>0</v>
      </c>
      <c r="AF2874" s="210">
        <f t="shared" si="1248"/>
        <v>0</v>
      </c>
      <c r="AG2874" s="211">
        <f t="shared" si="1250"/>
        <v>0.13</v>
      </c>
      <c r="AH2874" s="157">
        <f t="shared" si="1249"/>
        <v>0</v>
      </c>
      <c r="AI2874" s="152">
        <f t="shared" si="1251"/>
        <v>47904</v>
      </c>
      <c r="AK2874" s="156" t="s">
        <v>691</v>
      </c>
      <c r="AL2874" s="574" t="s">
        <v>690</v>
      </c>
      <c r="AM2874" s="198">
        <f>AG2874*Z2874</f>
        <v>0</v>
      </c>
      <c r="AN2874" s="199">
        <f>B2874</f>
        <v>46001</v>
      </c>
      <c r="AO2874" s="159" t="s">
        <v>692</v>
      </c>
      <c r="AP2874" s="783" t="s">
        <v>622</v>
      </c>
      <c r="AQ2874" s="782">
        <v>12071839</v>
      </c>
      <c r="AR2874" s="782">
        <v>12094356</v>
      </c>
      <c r="AS2874" s="782">
        <v>12068233</v>
      </c>
      <c r="AT2874" s="781"/>
      <c r="AU2874" s="781"/>
      <c r="AV2874" s="782">
        <v>12062075</v>
      </c>
      <c r="AW2874" s="781"/>
      <c r="AX2874" s="781"/>
      <c r="AY2874" s="782">
        <v>12094357</v>
      </c>
      <c r="AZ2874" s="782"/>
      <c r="BA2874" s="781"/>
      <c r="BB2874" s="209">
        <v>23053184</v>
      </c>
    </row>
    <row r="2875" spans="1:54" ht="25" hidden="1" customHeight="1">
      <c r="A2875" s="906" t="s">
        <v>2752</v>
      </c>
      <c r="B2875" s="357">
        <v>46001</v>
      </c>
      <c r="C2875" s="358">
        <v>46017</v>
      </c>
      <c r="D2875" s="185">
        <f>IF(B2875="","",YEAR(B2875))</f>
        <v>2025</v>
      </c>
      <c r="E2875" s="358" t="e">
        <f>VLOOKUP($B2875,Week!$A$1:$C$1462,2,0)</f>
        <v>#N/A</v>
      </c>
      <c r="F2875" s="360" t="str">
        <f>IF(B2875="","",TEXT(B2875,"[$-409]mmm"))</f>
        <v>Dec</v>
      </c>
      <c r="G2875" s="436" t="s">
        <v>2515</v>
      </c>
      <c r="H2875" s="359" t="s">
        <v>225</v>
      </c>
      <c r="I2875" s="359" t="s">
        <v>2773</v>
      </c>
      <c r="J2875" s="361" t="s">
        <v>650</v>
      </c>
      <c r="K2875" s="362" t="s">
        <v>593</v>
      </c>
      <c r="L2875" s="300" t="s">
        <v>2167</v>
      </c>
      <c r="M2875" s="361" t="s">
        <v>717</v>
      </c>
      <c r="N2875" s="359" t="s">
        <v>719</v>
      </c>
      <c r="O2875" s="359" t="s">
        <v>230</v>
      </c>
      <c r="P2875" s="363">
        <v>12</v>
      </c>
      <c r="Q2875" s="363">
        <v>5</v>
      </c>
      <c r="R2875" s="364">
        <v>6.0000000000000001E-3</v>
      </c>
      <c r="S2875" s="359" t="s">
        <v>55</v>
      </c>
      <c r="T2875" s="359" t="s">
        <v>112</v>
      </c>
      <c r="U2875" s="359" t="s">
        <v>57</v>
      </c>
      <c r="V2875" s="365">
        <v>2600</v>
      </c>
      <c r="W2875" s="365"/>
      <c r="X2875" s="366">
        <f>(579+30740)/12</f>
        <v>2609.9166666666665</v>
      </c>
      <c r="Y2875" s="367">
        <f t="shared" si="1244"/>
        <v>9.9166666666665151</v>
      </c>
      <c r="Z2875" s="368">
        <f t="shared" si="1245"/>
        <v>0</v>
      </c>
      <c r="AA2875" s="368">
        <f t="shared" si="1239"/>
        <v>0</v>
      </c>
      <c r="AB2875" s="819">
        <v>7.4999999999999997E-3</v>
      </c>
      <c r="AC2875" s="365">
        <f t="shared" si="1246"/>
        <v>0</v>
      </c>
      <c r="AD2875" s="307" t="s">
        <v>2421</v>
      </c>
      <c r="AE2875" s="210">
        <f t="shared" si="1247"/>
        <v>0</v>
      </c>
      <c r="AF2875" s="210">
        <f t="shared" si="1248"/>
        <v>0</v>
      </c>
      <c r="AG2875" s="211">
        <f t="shared" si="1250"/>
        <v>0.25800000000000001</v>
      </c>
      <c r="AH2875" s="157">
        <f t="shared" si="1249"/>
        <v>0</v>
      </c>
      <c r="AI2875" s="152">
        <f t="shared" si="1251"/>
        <v>31200</v>
      </c>
      <c r="AK2875" s="156" t="s">
        <v>691</v>
      </c>
      <c r="AL2875" s="574" t="s">
        <v>690</v>
      </c>
      <c r="AM2875" s="198">
        <f>AG2875*Z2875</f>
        <v>0</v>
      </c>
      <c r="AN2875" s="199">
        <f>B2875</f>
        <v>46001</v>
      </c>
      <c r="AO2875" s="159" t="s">
        <v>692</v>
      </c>
      <c r="AP2875" s="783" t="s">
        <v>612</v>
      </c>
      <c r="AQ2875" s="782">
        <v>12071839</v>
      </c>
      <c r="AR2875" s="782">
        <v>12042650</v>
      </c>
      <c r="AS2875" s="782">
        <v>12042649</v>
      </c>
      <c r="AT2875" s="782">
        <v>12096387</v>
      </c>
      <c r="AU2875" s="781"/>
      <c r="AV2875" s="782">
        <v>12088422</v>
      </c>
      <c r="AW2875" s="782"/>
      <c r="AX2875" s="782"/>
      <c r="AY2875" s="782"/>
      <c r="AZ2875" s="782"/>
      <c r="BA2875" s="781"/>
      <c r="BB2875" s="209">
        <v>23053185</v>
      </c>
    </row>
    <row r="2876" spans="1:54" ht="25" hidden="1" customHeight="1">
      <c r="B2876" s="213">
        <v>46001</v>
      </c>
      <c r="C2876" s="214">
        <v>46034</v>
      </c>
      <c r="D2876" s="215">
        <f>IF(B2876="","",YEAR(B2876))</f>
        <v>2025</v>
      </c>
      <c r="E2876" s="214" t="e">
        <f>VLOOKUP($B2876,Week!$A$1:$C$1462,2,0)</f>
        <v>#N/A</v>
      </c>
      <c r="F2876" s="216" t="str">
        <f>IF(B2876="","",TEXT(B2876,"[$-409]mmm"))</f>
        <v>Dec</v>
      </c>
      <c r="G2876" s="215" t="s">
        <v>2649</v>
      </c>
      <c r="H2876" s="215" t="s">
        <v>134</v>
      </c>
      <c r="I2876" s="215" t="s">
        <v>2772</v>
      </c>
      <c r="J2876" s="209" t="s">
        <v>164</v>
      </c>
      <c r="K2876" s="217" t="s">
        <v>2534</v>
      </c>
      <c r="L2876" s="217" t="s">
        <v>2167</v>
      </c>
      <c r="M2876" s="209" t="s">
        <v>2235</v>
      </c>
      <c r="N2876" s="480" t="s">
        <v>2236</v>
      </c>
      <c r="O2876" s="215" t="s">
        <v>2233</v>
      </c>
      <c r="P2876" s="218">
        <v>24</v>
      </c>
      <c r="Q2876" s="218">
        <v>3</v>
      </c>
      <c r="R2876" s="219">
        <v>6.0000000000000001E-3</v>
      </c>
      <c r="S2876" s="215" t="s">
        <v>55</v>
      </c>
      <c r="T2876" s="215" t="s">
        <v>112</v>
      </c>
      <c r="U2876" s="852" t="s">
        <v>739</v>
      </c>
      <c r="V2876" s="220">
        <f>210</f>
        <v>210</v>
      </c>
      <c r="W2876" s="220">
        <f>8+202</f>
        <v>210</v>
      </c>
      <c r="X2876" s="221">
        <f>42/24</f>
        <v>1.75</v>
      </c>
      <c r="Y2876" s="222">
        <f t="shared" si="1244"/>
        <v>1.75</v>
      </c>
      <c r="Z2876" s="223">
        <f t="shared" si="1245"/>
        <v>0</v>
      </c>
      <c r="AA2876" s="223">
        <f t="shared" si="1239"/>
        <v>0</v>
      </c>
      <c r="AB2876" s="807">
        <v>2.4E-2</v>
      </c>
      <c r="AC2876" s="220">
        <f t="shared" si="1246"/>
        <v>0</v>
      </c>
      <c r="AD2876" s="443"/>
      <c r="AE2876" s="210">
        <f t="shared" si="1247"/>
        <v>0</v>
      </c>
      <c r="AF2876" s="210">
        <f t="shared" si="1248"/>
        <v>0</v>
      </c>
      <c r="AG2876" s="211">
        <f t="shared" si="1250"/>
        <v>0.3</v>
      </c>
      <c r="AH2876" s="157">
        <v>0.26621999999999996</v>
      </c>
      <c r="AI2876" s="152">
        <f t="shared" si="1251"/>
        <v>5040</v>
      </c>
      <c r="AK2876" s="156" t="s">
        <v>691</v>
      </c>
      <c r="AL2876" s="574" t="s">
        <v>690</v>
      </c>
      <c r="AM2876" s="198">
        <f>AG2876*Z2876</f>
        <v>0</v>
      </c>
      <c r="AN2876" s="199">
        <f>B2876</f>
        <v>46001</v>
      </c>
      <c r="AO2876" s="159" t="s">
        <v>692</v>
      </c>
      <c r="AP2876" s="781" t="s">
        <v>642</v>
      </c>
      <c r="AQ2876" s="782">
        <v>12063755</v>
      </c>
      <c r="AR2876" s="782">
        <v>12061353</v>
      </c>
      <c r="AS2876" s="782">
        <v>12061354</v>
      </c>
      <c r="AT2876" s="782"/>
      <c r="AU2876" s="783" t="s">
        <v>568</v>
      </c>
      <c r="AV2876" s="782">
        <v>12095301</v>
      </c>
      <c r="AW2876" s="783" t="s">
        <v>568</v>
      </c>
      <c r="AX2876" s="781"/>
      <c r="AY2876" s="796" t="s">
        <v>2460</v>
      </c>
      <c r="AZ2876" s="796" t="s">
        <v>2461</v>
      </c>
      <c r="BA2876" s="796" t="s">
        <v>2462</v>
      </c>
      <c r="BB2876" s="209">
        <v>23099860</v>
      </c>
    </row>
    <row r="2877" spans="1:54" ht="25" hidden="1" customHeight="1">
      <c r="A2877" s="142" t="s">
        <v>120</v>
      </c>
      <c r="B2877" s="320">
        <v>46002</v>
      </c>
      <c r="C2877" s="321">
        <v>46013</v>
      </c>
      <c r="D2877" s="323">
        <f t="shared" si="1240"/>
        <v>2025</v>
      </c>
      <c r="E2877" s="321" t="e">
        <f>VLOOKUP($B2877,Week!$A$1:$C$1462,2,0)</f>
        <v>#N/A</v>
      </c>
      <c r="F2877" s="322" t="str">
        <f t="shared" si="1241"/>
        <v>Dec</v>
      </c>
      <c r="G2877" s="323" t="s">
        <v>2643</v>
      </c>
      <c r="H2877" s="323" t="s">
        <v>363</v>
      </c>
      <c r="I2877" s="323" t="s">
        <v>2772</v>
      </c>
      <c r="J2877" s="324" t="s">
        <v>364</v>
      </c>
      <c r="K2877" s="325" t="s">
        <v>2583</v>
      </c>
      <c r="L2877" s="325" t="s">
        <v>2166</v>
      </c>
      <c r="M2877" s="324" t="s">
        <v>2586</v>
      </c>
      <c r="N2877" s="323" t="s">
        <v>2584</v>
      </c>
      <c r="O2877" s="323" t="s">
        <v>2587</v>
      </c>
      <c r="P2877" s="326">
        <v>20</v>
      </c>
      <c r="Q2877" s="326">
        <v>50</v>
      </c>
      <c r="R2877" s="327">
        <v>4.0000000000000001E-3</v>
      </c>
      <c r="S2877" s="323" t="s">
        <v>55</v>
      </c>
      <c r="T2877" s="323" t="s">
        <v>112</v>
      </c>
      <c r="U2877" s="323" t="s">
        <v>77</v>
      </c>
      <c r="V2877" s="328">
        <v>181</v>
      </c>
      <c r="W2877" s="328">
        <v>181</v>
      </c>
      <c r="X2877" s="329"/>
      <c r="Y2877" s="330">
        <f t="shared" si="1244"/>
        <v>0</v>
      </c>
      <c r="Z2877" s="331">
        <f t="shared" si="1245"/>
        <v>0</v>
      </c>
      <c r="AA2877" s="331">
        <f t="shared" si="1239"/>
        <v>0</v>
      </c>
      <c r="AB2877" s="816">
        <v>6</v>
      </c>
      <c r="AC2877" s="328">
        <f t="shared" si="1246"/>
        <v>0</v>
      </c>
      <c r="AD2877" s="209"/>
      <c r="AE2877" s="210">
        <f t="shared" si="1247"/>
        <v>0</v>
      </c>
      <c r="AF2877" s="210">
        <f t="shared" si="1248"/>
        <v>0</v>
      </c>
      <c r="AG2877" s="211">
        <f t="shared" si="1250"/>
        <v>0.5</v>
      </c>
      <c r="AH2877" s="157">
        <f>(Z2877*AG2877)/1000</f>
        <v>0</v>
      </c>
      <c r="AI2877" s="152">
        <f t="shared" si="1251"/>
        <v>3620</v>
      </c>
      <c r="AK2877" s="156" t="s">
        <v>691</v>
      </c>
      <c r="AL2877" s="156" t="s">
        <v>689</v>
      </c>
      <c r="AM2877" s="198">
        <f t="shared" si="1242"/>
        <v>0</v>
      </c>
      <c r="AN2877" s="199">
        <f t="shared" si="1243"/>
        <v>46002</v>
      </c>
      <c r="AO2877" s="159" t="s">
        <v>692</v>
      </c>
      <c r="AP2877" s="783" t="s">
        <v>620</v>
      </c>
      <c r="AQ2877" s="796" t="s">
        <v>422</v>
      </c>
      <c r="AR2877" s="782">
        <v>12055234</v>
      </c>
      <c r="AS2877" s="781"/>
      <c r="AT2877" s="782"/>
      <c r="AU2877" s="782"/>
      <c r="AV2877" s="782">
        <v>12094353</v>
      </c>
      <c r="AW2877" s="782"/>
      <c r="AX2877" s="782">
        <v>12036656</v>
      </c>
      <c r="AY2877" s="799" t="s">
        <v>2616</v>
      </c>
      <c r="AZ2877" s="781"/>
      <c r="BA2877" s="781"/>
      <c r="BB2877" s="209">
        <v>23053184</v>
      </c>
    </row>
    <row r="2878" spans="1:54" ht="24.75" hidden="1" customHeight="1">
      <c r="B2878" s="295">
        <v>46002</v>
      </c>
      <c r="C2878" s="771" t="s">
        <v>1936</v>
      </c>
      <c r="D2878" s="185">
        <f t="shared" ref="D2878:D2883" si="1252">IF(B2878="","",YEAR(B2878))</f>
        <v>2025</v>
      </c>
      <c r="E2878" s="296" t="e">
        <f>VLOOKUP($B2878,Week!$A$1:$C$1462,2,0)</f>
        <v>#N/A</v>
      </c>
      <c r="F2878" s="297" t="str">
        <f t="shared" ref="F2878:F2883" si="1253">IF(B2878="","",TEXT(B2878,"[$-409]mmm"))</f>
        <v>Dec</v>
      </c>
      <c r="G2878" s="648" t="s">
        <v>47</v>
      </c>
      <c r="H2878" s="298" t="s">
        <v>260</v>
      </c>
      <c r="I2878" s="298" t="s">
        <v>2702</v>
      </c>
      <c r="J2878" s="307" t="s">
        <v>2240</v>
      </c>
      <c r="K2878" s="300" t="s">
        <v>176</v>
      </c>
      <c r="L2878" s="300" t="s">
        <v>2167</v>
      </c>
      <c r="M2878" s="299" t="s">
        <v>2338</v>
      </c>
      <c r="N2878" s="298" t="s">
        <v>350</v>
      </c>
      <c r="O2878" s="298" t="s">
        <v>351</v>
      </c>
      <c r="P2878" s="301">
        <v>24</v>
      </c>
      <c r="Q2878" s="301">
        <v>5</v>
      </c>
      <c r="R2878" s="302">
        <v>6.1999999999999998E-3</v>
      </c>
      <c r="S2878" s="298" t="s">
        <v>352</v>
      </c>
      <c r="T2878" s="298" t="s">
        <v>56</v>
      </c>
      <c r="U2878" s="298" t="s">
        <v>57</v>
      </c>
      <c r="V2878" s="303">
        <f>16250-629-764-2594-2613-3313-3635-1996</f>
        <v>706</v>
      </c>
      <c r="W2878" s="303">
        <v>706</v>
      </c>
      <c r="X2878" s="304"/>
      <c r="Y2878" s="305">
        <f t="shared" ref="Y2878:Y2883" si="1254">(W2878+X2878)-V2878</f>
        <v>0</v>
      </c>
      <c r="Z2878" s="306">
        <f t="shared" ref="Z2878:Z2883" si="1255">IF(Y2878&lt;0,((V2878*P2878)-((W2878+X2878)*P2878)),0)</f>
        <v>0</v>
      </c>
      <c r="AA2878" s="306">
        <f t="shared" ref="AA2878:AA2883" si="1256">Q2878*Z2878</f>
        <v>0</v>
      </c>
      <c r="AB2878" s="814">
        <v>7.4999999999999997E-3</v>
      </c>
      <c r="AC2878" s="303">
        <f t="shared" ref="AC2878:AC2883" si="1257">Z2878*AB2878</f>
        <v>0</v>
      </c>
      <c r="AD2878" s="443"/>
      <c r="AE2878" s="210">
        <f t="shared" ref="AE2878:AE2883" si="1258">SUM(Q2878*R2878*Z2878)/1000</f>
        <v>0</v>
      </c>
      <c r="AF2878" s="210">
        <f t="shared" ref="AF2878:AF2883" si="1259">AE2878/0.54</f>
        <v>0</v>
      </c>
      <c r="AG2878" s="211">
        <f t="shared" ref="AG2878:AG2883" si="1260">MID(O2878,1,3)/1000</f>
        <v>0.13</v>
      </c>
      <c r="AH2878" s="157">
        <f t="shared" ref="AH2878:AH2883" si="1261">(Z2878*AG2878)/1000</f>
        <v>0</v>
      </c>
      <c r="AI2878" s="152">
        <f t="shared" ref="AI2878:AI2883" si="1262">V2878*P2878</f>
        <v>16944</v>
      </c>
      <c r="AK2878" s="156" t="s">
        <v>691</v>
      </c>
      <c r="AL2878" s="574" t="s">
        <v>690</v>
      </c>
      <c r="AM2878" s="198">
        <f t="shared" ref="AM2878:AM2883" si="1263">AG2878*Z2878</f>
        <v>0</v>
      </c>
      <c r="AN2878" s="199">
        <f t="shared" ref="AN2878:AN2883" si="1264">B2878</f>
        <v>46002</v>
      </c>
      <c r="AO2878" s="159" t="s">
        <v>692</v>
      </c>
      <c r="AP2878" s="783" t="s">
        <v>622</v>
      </c>
      <c r="AQ2878" s="782">
        <v>12071839</v>
      </c>
      <c r="AR2878" s="782">
        <v>12094356</v>
      </c>
      <c r="AS2878" s="782">
        <v>12068233</v>
      </c>
      <c r="AT2878" s="781"/>
      <c r="AU2878" s="781"/>
      <c r="AV2878" s="782">
        <v>12062075</v>
      </c>
      <c r="AW2878" s="781"/>
      <c r="AX2878" s="781"/>
      <c r="AY2878" s="782">
        <v>12094357</v>
      </c>
      <c r="AZ2878" s="782"/>
      <c r="BA2878" s="781"/>
      <c r="BB2878" s="209">
        <v>23053184</v>
      </c>
    </row>
    <row r="2879" spans="1:54" ht="24.65" hidden="1" customHeight="1">
      <c r="B2879" s="369">
        <v>46002</v>
      </c>
      <c r="C2879" s="370">
        <v>46029</v>
      </c>
      <c r="D2879" s="185">
        <f t="shared" si="1252"/>
        <v>2025</v>
      </c>
      <c r="E2879" s="370" t="e">
        <f>VLOOKUP($B2879,Week!$A$1:$C$1462,2,0)</f>
        <v>#N/A</v>
      </c>
      <c r="F2879" s="372" t="str">
        <f t="shared" si="1253"/>
        <v>Dec</v>
      </c>
      <c r="G2879" s="439" t="s">
        <v>2638</v>
      </c>
      <c r="H2879" s="371" t="s">
        <v>104</v>
      </c>
      <c r="I2879" s="371" t="s">
        <v>2772</v>
      </c>
      <c r="J2879" s="373" t="s">
        <v>105</v>
      </c>
      <c r="K2879" s="374" t="s">
        <v>593</v>
      </c>
      <c r="L2879" s="300" t="s">
        <v>2167</v>
      </c>
      <c r="M2879" s="373" t="s">
        <v>594</v>
      </c>
      <c r="N2879" s="371" t="s">
        <v>687</v>
      </c>
      <c r="O2879" s="371" t="s">
        <v>415</v>
      </c>
      <c r="P2879" s="375">
        <v>24</v>
      </c>
      <c r="Q2879" s="375">
        <v>5</v>
      </c>
      <c r="R2879" s="376">
        <v>6.0000000000000001E-3</v>
      </c>
      <c r="S2879" s="371" t="s">
        <v>55</v>
      </c>
      <c r="T2879" s="371" t="s">
        <v>112</v>
      </c>
      <c r="U2879" s="371" t="s">
        <v>57</v>
      </c>
      <c r="V2879" s="377">
        <f>800</f>
        <v>800</v>
      </c>
      <c r="W2879" s="377">
        <f>25+775</f>
        <v>800</v>
      </c>
      <c r="X2879" s="378"/>
      <c r="Y2879" s="379">
        <f t="shared" si="1254"/>
        <v>0</v>
      </c>
      <c r="Z2879" s="380">
        <f t="shared" si="1255"/>
        <v>0</v>
      </c>
      <c r="AA2879" s="380">
        <f t="shared" si="1256"/>
        <v>0</v>
      </c>
      <c r="AB2879" s="820">
        <v>7.4999999999999997E-3</v>
      </c>
      <c r="AC2879" s="377">
        <f t="shared" si="1257"/>
        <v>0</v>
      </c>
      <c r="AD2879" s="486"/>
      <c r="AE2879" s="210">
        <f t="shared" si="1258"/>
        <v>0</v>
      </c>
      <c r="AF2879" s="210">
        <f t="shared" si="1259"/>
        <v>0</v>
      </c>
      <c r="AG2879" s="211">
        <f t="shared" si="1260"/>
        <v>0.25800000000000001</v>
      </c>
      <c r="AH2879" s="157">
        <f t="shared" si="1261"/>
        <v>0</v>
      </c>
      <c r="AI2879" s="152">
        <f t="shared" si="1262"/>
        <v>19200</v>
      </c>
      <c r="AK2879" s="156" t="s">
        <v>691</v>
      </c>
      <c r="AL2879" s="212" t="s">
        <v>690</v>
      </c>
      <c r="AM2879" s="198">
        <f t="shared" si="1263"/>
        <v>0</v>
      </c>
      <c r="AN2879" s="199">
        <f t="shared" si="1264"/>
        <v>46002</v>
      </c>
      <c r="AO2879" s="159" t="s">
        <v>692</v>
      </c>
      <c r="AP2879" s="783"/>
      <c r="AQ2879" s="782">
        <v>12071839</v>
      </c>
      <c r="AR2879" s="782">
        <v>12042650</v>
      </c>
      <c r="AS2879" s="782">
        <v>12042649</v>
      </c>
      <c r="AT2879" s="782">
        <v>12085742</v>
      </c>
      <c r="AU2879" s="781"/>
      <c r="AV2879" s="782">
        <v>12085744</v>
      </c>
      <c r="AW2879" s="782">
        <v>12049607</v>
      </c>
      <c r="AX2879" s="782"/>
      <c r="AY2879" s="782">
        <v>12094129</v>
      </c>
      <c r="AZ2879" s="782"/>
      <c r="BA2879" s="781"/>
      <c r="BB2879" s="209">
        <v>23053185</v>
      </c>
    </row>
    <row r="2880" spans="1:54" ht="24.65" hidden="1" customHeight="1">
      <c r="B2880" s="369">
        <v>46002</v>
      </c>
      <c r="C2880" s="370">
        <v>46029</v>
      </c>
      <c r="D2880" s="185">
        <f t="shared" si="1252"/>
        <v>2025</v>
      </c>
      <c r="E2880" s="370" t="e">
        <f>VLOOKUP($B2880,Week!$A$1:$C$1462,2,0)</f>
        <v>#N/A</v>
      </c>
      <c r="F2880" s="372" t="str">
        <f t="shared" si="1253"/>
        <v>Dec</v>
      </c>
      <c r="G2880" s="439" t="s">
        <v>2639</v>
      </c>
      <c r="H2880" s="371" t="s">
        <v>104</v>
      </c>
      <c r="I2880" s="371" t="s">
        <v>2772</v>
      </c>
      <c r="J2880" s="373" t="s">
        <v>105</v>
      </c>
      <c r="K2880" s="374" t="s">
        <v>593</v>
      </c>
      <c r="L2880" s="300" t="s">
        <v>2167</v>
      </c>
      <c r="M2880" s="373" t="s">
        <v>594</v>
      </c>
      <c r="N2880" s="371" t="s">
        <v>687</v>
      </c>
      <c r="O2880" s="371" t="s">
        <v>415</v>
      </c>
      <c r="P2880" s="375">
        <v>24</v>
      </c>
      <c r="Q2880" s="375">
        <v>5</v>
      </c>
      <c r="R2880" s="376">
        <v>6.0000000000000001E-3</v>
      </c>
      <c r="S2880" s="371" t="s">
        <v>55</v>
      </c>
      <c r="T2880" s="371" t="s">
        <v>112</v>
      </c>
      <c r="U2880" s="371" t="s">
        <v>57</v>
      </c>
      <c r="V2880" s="377">
        <f>700</f>
        <v>700</v>
      </c>
      <c r="W2880" s="377">
        <f>1475-775</f>
        <v>700</v>
      </c>
      <c r="X2880" s="378"/>
      <c r="Y2880" s="379">
        <f t="shared" si="1254"/>
        <v>0</v>
      </c>
      <c r="Z2880" s="380">
        <f t="shared" si="1255"/>
        <v>0</v>
      </c>
      <c r="AA2880" s="380">
        <f t="shared" si="1256"/>
        <v>0</v>
      </c>
      <c r="AB2880" s="820">
        <v>7.4999999999999997E-3</v>
      </c>
      <c r="AC2880" s="377">
        <f t="shared" si="1257"/>
        <v>0</v>
      </c>
      <c r="AD2880" s="486"/>
      <c r="AE2880" s="210">
        <f t="shared" si="1258"/>
        <v>0</v>
      </c>
      <c r="AF2880" s="210">
        <f t="shared" si="1259"/>
        <v>0</v>
      </c>
      <c r="AG2880" s="211">
        <f t="shared" si="1260"/>
        <v>0.25800000000000001</v>
      </c>
      <c r="AH2880" s="157">
        <f t="shared" si="1261"/>
        <v>0</v>
      </c>
      <c r="AI2880" s="152">
        <f t="shared" si="1262"/>
        <v>16800</v>
      </c>
      <c r="AK2880" s="156" t="s">
        <v>691</v>
      </c>
      <c r="AL2880" s="212" t="s">
        <v>690</v>
      </c>
      <c r="AM2880" s="198">
        <f t="shared" si="1263"/>
        <v>0</v>
      </c>
      <c r="AN2880" s="199">
        <f t="shared" si="1264"/>
        <v>46002</v>
      </c>
      <c r="AO2880" s="159" t="s">
        <v>692</v>
      </c>
      <c r="AP2880" s="783"/>
      <c r="AQ2880" s="782">
        <v>12071839</v>
      </c>
      <c r="AR2880" s="782">
        <v>12042650</v>
      </c>
      <c r="AS2880" s="782">
        <v>12042649</v>
      </c>
      <c r="AT2880" s="782">
        <v>12085742</v>
      </c>
      <c r="AU2880" s="781"/>
      <c r="AV2880" s="782">
        <v>12085744</v>
      </c>
      <c r="AW2880" s="782">
        <v>12049607</v>
      </c>
      <c r="AX2880" s="782"/>
      <c r="AY2880" s="782">
        <v>12094129</v>
      </c>
      <c r="AZ2880" s="782"/>
      <c r="BA2880" s="781"/>
      <c r="BB2880" s="209">
        <v>23053185</v>
      </c>
    </row>
    <row r="2881" spans="1:54" ht="24.65" hidden="1" customHeight="1">
      <c r="B2881" s="224">
        <v>46002</v>
      </c>
      <c r="C2881" s="224">
        <v>46007</v>
      </c>
      <c r="D2881" s="185">
        <f t="shared" si="1252"/>
        <v>2025</v>
      </c>
      <c r="E2881" s="224" t="e">
        <f>VLOOKUP($B2881,Week!$A$1:$C$1462,2,0)</f>
        <v>#N/A</v>
      </c>
      <c r="F2881" s="226" t="str">
        <f t="shared" si="1253"/>
        <v>Dec</v>
      </c>
      <c r="G2881" s="642" t="s">
        <v>2620</v>
      </c>
      <c r="H2881" s="225" t="s">
        <v>104</v>
      </c>
      <c r="I2881" s="225" t="s">
        <v>2772</v>
      </c>
      <c r="J2881" s="227" t="s">
        <v>105</v>
      </c>
      <c r="K2881" s="228" t="s">
        <v>676</v>
      </c>
      <c r="L2881" s="300" t="s">
        <v>2167</v>
      </c>
      <c r="M2881" s="227" t="s">
        <v>108</v>
      </c>
      <c r="N2881" s="225" t="s">
        <v>688</v>
      </c>
      <c r="O2881" s="225" t="s">
        <v>428</v>
      </c>
      <c r="P2881" s="229">
        <v>24</v>
      </c>
      <c r="Q2881" s="229">
        <v>5</v>
      </c>
      <c r="R2881" s="230">
        <v>6.0000000000000001E-3</v>
      </c>
      <c r="S2881" s="225" t="s">
        <v>55</v>
      </c>
      <c r="T2881" s="225" t="s">
        <v>112</v>
      </c>
      <c r="U2881" s="225" t="s">
        <v>113</v>
      </c>
      <c r="V2881" s="231">
        <f>150</f>
        <v>150</v>
      </c>
      <c r="W2881" s="231">
        <f>9+141</f>
        <v>150</v>
      </c>
      <c r="X2881" s="232"/>
      <c r="Y2881" s="233">
        <f t="shared" si="1254"/>
        <v>0</v>
      </c>
      <c r="Z2881" s="234">
        <f t="shared" si="1255"/>
        <v>0</v>
      </c>
      <c r="AA2881" s="234">
        <f t="shared" si="1256"/>
        <v>0</v>
      </c>
      <c r="AB2881" s="822">
        <v>9.7000000000000003E-3</v>
      </c>
      <c r="AC2881" s="231">
        <f t="shared" si="1257"/>
        <v>0</v>
      </c>
      <c r="AD2881" s="209"/>
      <c r="AE2881" s="210">
        <f t="shared" si="1258"/>
        <v>0</v>
      </c>
      <c r="AF2881" s="210">
        <f t="shared" si="1259"/>
        <v>0</v>
      </c>
      <c r="AG2881" s="211">
        <f t="shared" si="1260"/>
        <v>0.308</v>
      </c>
      <c r="AH2881" s="157">
        <f t="shared" si="1261"/>
        <v>0</v>
      </c>
      <c r="AI2881" s="152">
        <f t="shared" si="1262"/>
        <v>3600</v>
      </c>
      <c r="AK2881" s="156" t="s">
        <v>691</v>
      </c>
      <c r="AL2881" s="212" t="s">
        <v>690</v>
      </c>
      <c r="AM2881" s="198">
        <f t="shared" si="1263"/>
        <v>0</v>
      </c>
      <c r="AN2881" s="199">
        <f t="shared" si="1264"/>
        <v>46002</v>
      </c>
      <c r="AO2881" s="159" t="s">
        <v>692</v>
      </c>
      <c r="AP2881" s="783" t="s">
        <v>629</v>
      </c>
      <c r="AQ2881" s="782">
        <v>12063755</v>
      </c>
      <c r="AR2881" s="782">
        <v>12061353</v>
      </c>
      <c r="AS2881" s="782">
        <v>12061354</v>
      </c>
      <c r="AT2881" s="782">
        <v>12085752</v>
      </c>
      <c r="AU2881" s="781"/>
      <c r="AV2881" s="782">
        <v>12069473</v>
      </c>
      <c r="AW2881" s="782">
        <v>12068154</v>
      </c>
      <c r="AX2881" s="782"/>
      <c r="AY2881" s="782">
        <v>12085753</v>
      </c>
      <c r="AZ2881" s="782"/>
      <c r="BA2881" s="781"/>
      <c r="BB2881" s="209">
        <v>23054743</v>
      </c>
    </row>
    <row r="2882" spans="1:54" ht="24.65" hidden="1" customHeight="1">
      <c r="B2882" s="224">
        <v>46002</v>
      </c>
      <c r="C2882" s="224">
        <v>46029</v>
      </c>
      <c r="D2882" s="185">
        <f t="shared" si="1252"/>
        <v>2025</v>
      </c>
      <c r="E2882" s="224" t="e">
        <f>VLOOKUP($B2882,Week!$A$1:$C$1462,2,0)</f>
        <v>#N/A</v>
      </c>
      <c r="F2882" s="226" t="str">
        <f t="shared" si="1253"/>
        <v>Dec</v>
      </c>
      <c r="G2882" s="642" t="s">
        <v>2621</v>
      </c>
      <c r="H2882" s="225" t="s">
        <v>104</v>
      </c>
      <c r="I2882" s="225" t="s">
        <v>2772</v>
      </c>
      <c r="J2882" s="227" t="s">
        <v>105</v>
      </c>
      <c r="K2882" s="228" t="s">
        <v>676</v>
      </c>
      <c r="L2882" s="300" t="s">
        <v>2167</v>
      </c>
      <c r="M2882" s="227" t="s">
        <v>108</v>
      </c>
      <c r="N2882" s="225" t="s">
        <v>688</v>
      </c>
      <c r="O2882" s="225" t="s">
        <v>428</v>
      </c>
      <c r="P2882" s="229">
        <v>24</v>
      </c>
      <c r="Q2882" s="229">
        <v>5</v>
      </c>
      <c r="R2882" s="230">
        <v>6.0000000000000001E-3</v>
      </c>
      <c r="S2882" s="225" t="s">
        <v>55</v>
      </c>
      <c r="T2882" s="225" t="s">
        <v>112</v>
      </c>
      <c r="U2882" s="225" t="s">
        <v>113</v>
      </c>
      <c r="V2882" s="231">
        <f>170</f>
        <v>170</v>
      </c>
      <c r="W2882" s="231">
        <f>311-141</f>
        <v>170</v>
      </c>
      <c r="X2882" s="232">
        <f>(430)/36</f>
        <v>11.944444444444445</v>
      </c>
      <c r="Y2882" s="233">
        <f t="shared" si="1254"/>
        <v>11.944444444444457</v>
      </c>
      <c r="Z2882" s="234">
        <f t="shared" si="1255"/>
        <v>0</v>
      </c>
      <c r="AA2882" s="234">
        <f t="shared" si="1256"/>
        <v>0</v>
      </c>
      <c r="AB2882" s="822">
        <v>9.7000000000000003E-3</v>
      </c>
      <c r="AC2882" s="231">
        <f t="shared" si="1257"/>
        <v>0</v>
      </c>
      <c r="AD2882" s="209"/>
      <c r="AE2882" s="210">
        <f t="shared" si="1258"/>
        <v>0</v>
      </c>
      <c r="AF2882" s="210">
        <f t="shared" si="1259"/>
        <v>0</v>
      </c>
      <c r="AG2882" s="211">
        <f t="shared" si="1260"/>
        <v>0.308</v>
      </c>
      <c r="AH2882" s="157">
        <f t="shared" si="1261"/>
        <v>0</v>
      </c>
      <c r="AI2882" s="152">
        <f t="shared" si="1262"/>
        <v>4080</v>
      </c>
      <c r="AK2882" s="156" t="s">
        <v>691</v>
      </c>
      <c r="AL2882" s="212" t="s">
        <v>690</v>
      </c>
      <c r="AM2882" s="198">
        <f t="shared" si="1263"/>
        <v>0</v>
      </c>
      <c r="AN2882" s="199">
        <f t="shared" si="1264"/>
        <v>46002</v>
      </c>
      <c r="AO2882" s="159" t="s">
        <v>692</v>
      </c>
      <c r="AP2882" s="783" t="s">
        <v>629</v>
      </c>
      <c r="AQ2882" s="782">
        <v>12063755</v>
      </c>
      <c r="AR2882" s="782">
        <v>12061353</v>
      </c>
      <c r="AS2882" s="782">
        <v>12061354</v>
      </c>
      <c r="AT2882" s="782">
        <v>12085752</v>
      </c>
      <c r="AU2882" s="781"/>
      <c r="AV2882" s="782">
        <v>12069473</v>
      </c>
      <c r="AW2882" s="782">
        <v>12068154</v>
      </c>
      <c r="AX2882" s="782"/>
      <c r="AY2882" s="782">
        <v>12085753</v>
      </c>
      <c r="AZ2882" s="782"/>
      <c r="BA2882" s="781"/>
      <c r="BB2882" s="209">
        <v>23054743</v>
      </c>
    </row>
    <row r="2883" spans="1:54" ht="25" hidden="1" customHeight="1">
      <c r="B2883" s="271">
        <v>46002</v>
      </c>
      <c r="C2883" s="441">
        <v>46010</v>
      </c>
      <c r="D2883" s="274">
        <f t="shared" si="1252"/>
        <v>2025</v>
      </c>
      <c r="E2883" s="274" t="e">
        <f>VLOOKUP($B2883,Week!$A$1:$C$1462,2,0)</f>
        <v>#N/A</v>
      </c>
      <c r="F2883" s="273" t="str">
        <f t="shared" si="1253"/>
        <v>Dec</v>
      </c>
      <c r="G2883" s="274" t="s">
        <v>2281</v>
      </c>
      <c r="H2883" s="274" t="s">
        <v>225</v>
      </c>
      <c r="I2883" s="274" t="s">
        <v>2773</v>
      </c>
      <c r="J2883" s="275" t="s">
        <v>650</v>
      </c>
      <c r="K2883" s="276" t="s">
        <v>2256</v>
      </c>
      <c r="L2883" s="276" t="s">
        <v>2167</v>
      </c>
      <c r="M2883" s="275" t="s">
        <v>2258</v>
      </c>
      <c r="N2883" s="274" t="s">
        <v>2259</v>
      </c>
      <c r="O2883" s="274" t="s">
        <v>110</v>
      </c>
      <c r="P2883" s="277">
        <v>36</v>
      </c>
      <c r="Q2883" s="277">
        <v>5</v>
      </c>
      <c r="R2883" s="278">
        <v>7.4999999999999997E-3</v>
      </c>
      <c r="S2883" s="274" t="s">
        <v>111</v>
      </c>
      <c r="T2883" s="274" t="s">
        <v>112</v>
      </c>
      <c r="U2883" s="274" t="s">
        <v>113</v>
      </c>
      <c r="V2883" s="279">
        <f>611</f>
        <v>611</v>
      </c>
      <c r="W2883" s="279">
        <f>1+610</f>
        <v>611</v>
      </c>
      <c r="X2883" s="280"/>
      <c r="Y2883" s="281">
        <f t="shared" si="1254"/>
        <v>0</v>
      </c>
      <c r="Z2883" s="282">
        <f t="shared" si="1255"/>
        <v>0</v>
      </c>
      <c r="AA2883" s="282">
        <f t="shared" si="1256"/>
        <v>0</v>
      </c>
      <c r="AB2883" s="812">
        <v>9.7000000000000003E-3</v>
      </c>
      <c r="AC2883" s="279">
        <f t="shared" si="1257"/>
        <v>0</v>
      </c>
      <c r="AD2883" s="209"/>
      <c r="AE2883" s="210">
        <f t="shared" si="1258"/>
        <v>0</v>
      </c>
      <c r="AF2883" s="210">
        <f t="shared" si="1259"/>
        <v>0</v>
      </c>
      <c r="AG2883" s="211">
        <f t="shared" si="1260"/>
        <v>0.308</v>
      </c>
      <c r="AH2883" s="157">
        <f t="shared" si="1261"/>
        <v>0</v>
      </c>
      <c r="AI2883" s="152">
        <f t="shared" si="1262"/>
        <v>21996</v>
      </c>
      <c r="AK2883" s="156" t="s">
        <v>691</v>
      </c>
      <c r="AL2883" s="574" t="s">
        <v>690</v>
      </c>
      <c r="AM2883" s="198">
        <f t="shared" si="1263"/>
        <v>0</v>
      </c>
      <c r="AN2883" s="199">
        <f t="shared" si="1264"/>
        <v>46002</v>
      </c>
      <c r="AO2883" s="159" t="s">
        <v>692</v>
      </c>
      <c r="AP2883" s="781"/>
      <c r="AQ2883" s="782">
        <v>12063755</v>
      </c>
      <c r="AR2883" s="782">
        <v>12061353</v>
      </c>
      <c r="AS2883" s="782">
        <v>12061354</v>
      </c>
      <c r="AT2883" s="782">
        <v>12095367</v>
      </c>
      <c r="AU2883" s="781"/>
      <c r="AV2883" s="782">
        <v>12095366</v>
      </c>
      <c r="AW2883" s="782">
        <v>12088207</v>
      </c>
      <c r="AX2883" s="782"/>
      <c r="AY2883" s="782">
        <v>12095368</v>
      </c>
      <c r="AZ2883" s="782"/>
      <c r="BA2883" s="781"/>
      <c r="BB2883" s="209">
        <v>23054743</v>
      </c>
    </row>
    <row r="2884" spans="1:54" ht="25" hidden="1" customHeight="1">
      <c r="A2884" s="142" t="s">
        <v>120</v>
      </c>
      <c r="B2884" s="320">
        <v>46003</v>
      </c>
      <c r="C2884" s="321">
        <v>46013</v>
      </c>
      <c r="D2884" s="323">
        <f t="shared" ref="D2884:D2894" si="1265">IF(B2884="","",YEAR(B2884))</f>
        <v>2025</v>
      </c>
      <c r="E2884" s="321" t="e">
        <f>VLOOKUP($B2884,Week!$A$1:$C$1462,2,0)</f>
        <v>#N/A</v>
      </c>
      <c r="F2884" s="322" t="str">
        <f t="shared" ref="F2884:F2894" si="1266">IF(B2884="","",TEXT(B2884,"[$-409]mmm"))</f>
        <v>Dec</v>
      </c>
      <c r="G2884" s="323" t="s">
        <v>2643</v>
      </c>
      <c r="H2884" s="323" t="s">
        <v>363</v>
      </c>
      <c r="I2884" s="323" t="s">
        <v>2772</v>
      </c>
      <c r="J2884" s="324" t="s">
        <v>364</v>
      </c>
      <c r="K2884" s="325" t="s">
        <v>2583</v>
      </c>
      <c r="L2884" s="325" t="s">
        <v>2166</v>
      </c>
      <c r="M2884" s="324" t="s">
        <v>2586</v>
      </c>
      <c r="N2884" s="323" t="s">
        <v>2584</v>
      </c>
      <c r="O2884" s="323" t="s">
        <v>2587</v>
      </c>
      <c r="P2884" s="326">
        <v>20</v>
      </c>
      <c r="Q2884" s="326">
        <v>50</v>
      </c>
      <c r="R2884" s="327">
        <v>4.0000000000000001E-3</v>
      </c>
      <c r="S2884" s="323" t="s">
        <v>55</v>
      </c>
      <c r="T2884" s="323" t="s">
        <v>112</v>
      </c>
      <c r="U2884" s="323" t="s">
        <v>77</v>
      </c>
      <c r="V2884" s="328">
        <v>183</v>
      </c>
      <c r="W2884" s="328">
        <v>183</v>
      </c>
      <c r="X2884" s="329"/>
      <c r="Y2884" s="330">
        <f t="shared" ref="Y2884:Y2893" si="1267">(W2884+X2884)-V2884</f>
        <v>0</v>
      </c>
      <c r="Z2884" s="331">
        <f t="shared" ref="Z2884:Z2893" si="1268">IF(Y2884&lt;0,((V2884*P2884)-((W2884+X2884)*P2884)),0)</f>
        <v>0</v>
      </c>
      <c r="AA2884" s="331">
        <f>Q2884*Z2884</f>
        <v>0</v>
      </c>
      <c r="AB2884" s="816">
        <v>6</v>
      </c>
      <c r="AC2884" s="328">
        <f t="shared" ref="AC2884:AC2893" si="1269">Z2884*AB2884</f>
        <v>0</v>
      </c>
      <c r="AD2884" s="209"/>
      <c r="AE2884" s="210">
        <f t="shared" ref="AE2884:AE2893" si="1270">SUM(Q2884*R2884*Z2884)/1000</f>
        <v>0</v>
      </c>
      <c r="AF2884" s="210">
        <f t="shared" ref="AF2884:AF2893" si="1271">AE2884/0.54</f>
        <v>0</v>
      </c>
      <c r="AG2884" s="211">
        <f>MID(O2884,1,3)/1000</f>
        <v>0.5</v>
      </c>
      <c r="AH2884" s="157">
        <f t="shared" ref="AH2884:AH2890" si="1272">(Z2884*AG2884)/1000</f>
        <v>0</v>
      </c>
      <c r="AI2884" s="152">
        <f t="shared" ref="AI2884:AI2893" si="1273">V2884*P2884</f>
        <v>3660</v>
      </c>
      <c r="AK2884" s="156" t="s">
        <v>691</v>
      </c>
      <c r="AL2884" s="156" t="s">
        <v>689</v>
      </c>
      <c r="AM2884" s="198">
        <f t="shared" ref="AM2884:AM2894" si="1274">AG2884*Z2884</f>
        <v>0</v>
      </c>
      <c r="AN2884" s="199">
        <f t="shared" ref="AN2884:AN2894" si="1275">B2884</f>
        <v>46003</v>
      </c>
      <c r="AO2884" s="159" t="s">
        <v>692</v>
      </c>
      <c r="AP2884" s="783" t="s">
        <v>620</v>
      </c>
      <c r="AQ2884" s="796" t="s">
        <v>422</v>
      </c>
      <c r="AR2884" s="782">
        <v>12055234</v>
      </c>
      <c r="AS2884" s="781"/>
      <c r="AT2884" s="782"/>
      <c r="AU2884" s="782"/>
      <c r="AV2884" s="782">
        <v>12094353</v>
      </c>
      <c r="AW2884" s="782"/>
      <c r="AX2884" s="782">
        <v>12036656</v>
      </c>
      <c r="AY2884" s="799" t="s">
        <v>2616</v>
      </c>
      <c r="AZ2884" s="781"/>
      <c r="BA2884" s="781"/>
      <c r="BB2884" s="209">
        <v>23053184</v>
      </c>
    </row>
    <row r="2885" spans="1:54" ht="25.15" hidden="1" customHeight="1">
      <c r="A2885" s="906" t="s">
        <v>2752</v>
      </c>
      <c r="B2885" s="345">
        <v>46003</v>
      </c>
      <c r="C2885" s="346">
        <v>46028</v>
      </c>
      <c r="D2885" s="185">
        <f>IF(B2885="","",YEAR(B2885))</f>
        <v>2025</v>
      </c>
      <c r="E2885" s="347" t="e">
        <f>VLOOKUP($B2885,Week!$A$1:$C$1462,2,0)</f>
        <v>#N/A</v>
      </c>
      <c r="F2885" s="348" t="str">
        <f>IF(B2885="","",TEXT(B2885,"[$-409]mmm"))</f>
        <v>Dec</v>
      </c>
      <c r="G2885" s="347" t="s">
        <v>2483</v>
      </c>
      <c r="H2885" s="347" t="s">
        <v>424</v>
      </c>
      <c r="I2885" s="347" t="s">
        <v>2772</v>
      </c>
      <c r="J2885" s="438" t="s">
        <v>425</v>
      </c>
      <c r="K2885" s="350" t="s">
        <v>176</v>
      </c>
      <c r="L2885" s="350" t="s">
        <v>2167</v>
      </c>
      <c r="M2885" s="349" t="s">
        <v>426</v>
      </c>
      <c r="N2885" s="347" t="s">
        <v>427</v>
      </c>
      <c r="O2885" s="347" t="s">
        <v>599</v>
      </c>
      <c r="P2885" s="351">
        <v>36</v>
      </c>
      <c r="Q2885" s="351">
        <v>5</v>
      </c>
      <c r="R2885" s="352">
        <v>7.4999999999999997E-3</v>
      </c>
      <c r="S2885" s="347" t="s">
        <v>111</v>
      </c>
      <c r="T2885" s="347" t="s">
        <v>112</v>
      </c>
      <c r="U2885" s="347" t="s">
        <v>57</v>
      </c>
      <c r="V2885" s="353">
        <f>20+1268</f>
        <v>1288</v>
      </c>
      <c r="W2885" s="353">
        <f>20+1268</f>
        <v>1288</v>
      </c>
      <c r="X2885" s="354"/>
      <c r="Y2885" s="355">
        <f t="shared" si="1267"/>
        <v>0</v>
      </c>
      <c r="Z2885" s="356">
        <f t="shared" si="1268"/>
        <v>0</v>
      </c>
      <c r="AA2885" s="353">
        <f>Q2885*Z2885</f>
        <v>0</v>
      </c>
      <c r="AB2885" s="818">
        <v>7.4999999999999997E-3</v>
      </c>
      <c r="AC2885" s="353">
        <f t="shared" si="1269"/>
        <v>0</v>
      </c>
      <c r="AD2885" s="307" t="s">
        <v>2448</v>
      </c>
      <c r="AE2885" s="210">
        <f t="shared" si="1270"/>
        <v>0</v>
      </c>
      <c r="AF2885" s="210">
        <f t="shared" si="1271"/>
        <v>0</v>
      </c>
      <c r="AG2885" s="211">
        <f>MID(O2885,1,3)/1000</f>
        <v>0.14799999999999999</v>
      </c>
      <c r="AH2885" s="157">
        <f t="shared" si="1272"/>
        <v>0</v>
      </c>
      <c r="AI2885" s="152">
        <f t="shared" si="1273"/>
        <v>46368</v>
      </c>
      <c r="AK2885" s="156" t="s">
        <v>691</v>
      </c>
      <c r="AL2885" s="574" t="s">
        <v>690</v>
      </c>
      <c r="AM2885" s="198">
        <f>AG2885*Z2885</f>
        <v>0</v>
      </c>
      <c r="AN2885" s="199">
        <f>B2885</f>
        <v>46003</v>
      </c>
      <c r="AO2885" s="159" t="s">
        <v>692</v>
      </c>
      <c r="AP2885" s="783" t="s">
        <v>609</v>
      </c>
      <c r="AQ2885" s="782">
        <v>12071839</v>
      </c>
      <c r="AR2885" s="782">
        <v>12080260</v>
      </c>
      <c r="AS2885" s="782">
        <v>12080259</v>
      </c>
      <c r="AT2885" s="782">
        <v>12096006</v>
      </c>
      <c r="AU2885" s="782"/>
      <c r="AV2885" s="782">
        <v>12096007</v>
      </c>
      <c r="AW2885" s="782">
        <v>12024404</v>
      </c>
      <c r="AX2885" s="781"/>
      <c r="AY2885" s="782">
        <v>12096022</v>
      </c>
      <c r="AZ2885" s="782"/>
      <c r="BA2885" s="781"/>
      <c r="BB2885" s="209">
        <v>23053185</v>
      </c>
    </row>
    <row r="2886" spans="1:54" ht="25.15" hidden="1" customHeight="1">
      <c r="A2886" s="906" t="s">
        <v>2752</v>
      </c>
      <c r="B2886" s="345">
        <v>46003</v>
      </c>
      <c r="C2886" s="346">
        <v>46028</v>
      </c>
      <c r="D2886" s="185">
        <f>IF(B2886="","",YEAR(B2886))</f>
        <v>2025</v>
      </c>
      <c r="E2886" s="347" t="e">
        <f>VLOOKUP($B2886,Week!$A$1:$C$1462,2,0)</f>
        <v>#N/A</v>
      </c>
      <c r="F2886" s="348" t="str">
        <f>IF(B2886="","",TEXT(B2886,"[$-409]mmm"))</f>
        <v>Dec</v>
      </c>
      <c r="G2886" s="347" t="s">
        <v>2561</v>
      </c>
      <c r="H2886" s="347" t="s">
        <v>424</v>
      </c>
      <c r="I2886" s="347" t="s">
        <v>2772</v>
      </c>
      <c r="J2886" s="438" t="s">
        <v>425</v>
      </c>
      <c r="K2886" s="350" t="s">
        <v>176</v>
      </c>
      <c r="L2886" s="350" t="s">
        <v>2167</v>
      </c>
      <c r="M2886" s="349" t="s">
        <v>426</v>
      </c>
      <c r="N2886" s="347" t="s">
        <v>427</v>
      </c>
      <c r="O2886" s="347" t="s">
        <v>599</v>
      </c>
      <c r="P2886" s="351">
        <v>36</v>
      </c>
      <c r="Q2886" s="351">
        <v>5</v>
      </c>
      <c r="R2886" s="352">
        <v>7.4999999999999997E-3</v>
      </c>
      <c r="S2886" s="347" t="s">
        <v>111</v>
      </c>
      <c r="T2886" s="347" t="s">
        <v>112</v>
      </c>
      <c r="U2886" s="347" t="s">
        <v>57</v>
      </c>
      <c r="V2886" s="353">
        <f>2518-1268</f>
        <v>1250</v>
      </c>
      <c r="W2886" s="353">
        <f>2518-1268</f>
        <v>1250</v>
      </c>
      <c r="X2886" s="354"/>
      <c r="Y2886" s="355">
        <f t="shared" si="1267"/>
        <v>0</v>
      </c>
      <c r="Z2886" s="356">
        <f t="shared" si="1268"/>
        <v>0</v>
      </c>
      <c r="AA2886" s="353">
        <f>Q2886*Z2886</f>
        <v>0</v>
      </c>
      <c r="AB2886" s="818">
        <v>7.4999999999999997E-3</v>
      </c>
      <c r="AC2886" s="353">
        <f t="shared" si="1269"/>
        <v>0</v>
      </c>
      <c r="AD2886" s="307" t="s">
        <v>2448</v>
      </c>
      <c r="AE2886" s="210">
        <f t="shared" si="1270"/>
        <v>0</v>
      </c>
      <c r="AF2886" s="210">
        <f t="shared" si="1271"/>
        <v>0</v>
      </c>
      <c r="AG2886" s="211">
        <f>MID(O2886,1,3)/1000</f>
        <v>0.14799999999999999</v>
      </c>
      <c r="AH2886" s="157">
        <f t="shared" si="1272"/>
        <v>0</v>
      </c>
      <c r="AI2886" s="152">
        <f t="shared" si="1273"/>
        <v>45000</v>
      </c>
      <c r="AK2886" s="156" t="s">
        <v>691</v>
      </c>
      <c r="AL2886" s="574" t="s">
        <v>690</v>
      </c>
      <c r="AM2886" s="198">
        <f>AG2886*Z2886</f>
        <v>0</v>
      </c>
      <c r="AN2886" s="199">
        <f>B2886</f>
        <v>46003</v>
      </c>
      <c r="AO2886" s="159" t="s">
        <v>692</v>
      </c>
      <c r="AP2886" s="783" t="s">
        <v>609</v>
      </c>
      <c r="AQ2886" s="782">
        <v>12071839</v>
      </c>
      <c r="AR2886" s="782">
        <v>12080260</v>
      </c>
      <c r="AS2886" s="782">
        <v>12080259</v>
      </c>
      <c r="AT2886" s="782">
        <v>12096006</v>
      </c>
      <c r="AU2886" s="782"/>
      <c r="AV2886" s="782">
        <v>12096007</v>
      </c>
      <c r="AW2886" s="782">
        <v>12024404</v>
      </c>
      <c r="AX2886" s="781"/>
      <c r="AY2886" s="782">
        <v>12096022</v>
      </c>
      <c r="AZ2886" s="782"/>
      <c r="BA2886" s="781"/>
      <c r="BB2886" s="209">
        <v>23053185</v>
      </c>
    </row>
    <row r="2887" spans="1:54" ht="25" hidden="1" customHeight="1">
      <c r="A2887" s="142" t="s">
        <v>120</v>
      </c>
      <c r="B2887" s="320">
        <v>46004</v>
      </c>
      <c r="C2887" s="321">
        <v>46013</v>
      </c>
      <c r="D2887" s="323">
        <f>IF(B2887="","",YEAR(B2887))</f>
        <v>2025</v>
      </c>
      <c r="E2887" s="321" t="e">
        <f>VLOOKUP($B2887,Week!$A$1:$C$1462,2,0)</f>
        <v>#N/A</v>
      </c>
      <c r="F2887" s="322" t="str">
        <f>IF(B2887="","",TEXT(B2887,"[$-409]mmm"))</f>
        <v>Dec</v>
      </c>
      <c r="G2887" s="323" t="s">
        <v>2643</v>
      </c>
      <c r="H2887" s="323" t="s">
        <v>363</v>
      </c>
      <c r="I2887" s="323" t="s">
        <v>2772</v>
      </c>
      <c r="J2887" s="324" t="s">
        <v>364</v>
      </c>
      <c r="K2887" s="325" t="s">
        <v>2583</v>
      </c>
      <c r="L2887" s="325" t="s">
        <v>2166</v>
      </c>
      <c r="M2887" s="324" t="s">
        <v>2586</v>
      </c>
      <c r="N2887" s="323" t="s">
        <v>2584</v>
      </c>
      <c r="O2887" s="323" t="s">
        <v>2587</v>
      </c>
      <c r="P2887" s="326">
        <v>20</v>
      </c>
      <c r="Q2887" s="326">
        <v>50</v>
      </c>
      <c r="R2887" s="327">
        <v>4.0000000000000001E-3</v>
      </c>
      <c r="S2887" s="323" t="s">
        <v>55</v>
      </c>
      <c r="T2887" s="323" t="s">
        <v>112</v>
      </c>
      <c r="U2887" s="323" t="s">
        <v>77</v>
      </c>
      <c r="V2887" s="328">
        <f>1040-171-177-173-181-183</f>
        <v>155</v>
      </c>
      <c r="W2887" s="328">
        <v>155</v>
      </c>
      <c r="X2887" s="329"/>
      <c r="Y2887" s="330">
        <f t="shared" si="1267"/>
        <v>0</v>
      </c>
      <c r="Z2887" s="331">
        <f t="shared" si="1268"/>
        <v>0</v>
      </c>
      <c r="AA2887" s="331">
        <f t="shared" ref="AA2887:AA2904" si="1276">Q2887*Z2887</f>
        <v>0</v>
      </c>
      <c r="AB2887" s="816">
        <v>6</v>
      </c>
      <c r="AC2887" s="328">
        <f t="shared" si="1269"/>
        <v>0</v>
      </c>
      <c r="AD2887" s="209"/>
      <c r="AE2887" s="210">
        <f t="shared" si="1270"/>
        <v>0</v>
      </c>
      <c r="AF2887" s="210">
        <f t="shared" si="1271"/>
        <v>0</v>
      </c>
      <c r="AG2887" s="211">
        <f>MID(O2887,1,3)/1000</f>
        <v>0.5</v>
      </c>
      <c r="AH2887" s="157">
        <f t="shared" si="1272"/>
        <v>0</v>
      </c>
      <c r="AI2887" s="152">
        <f t="shared" si="1273"/>
        <v>3100</v>
      </c>
      <c r="AK2887" s="156" t="s">
        <v>691</v>
      </c>
      <c r="AL2887" s="156" t="s">
        <v>689</v>
      </c>
      <c r="AM2887" s="198">
        <f>AG2887*Z2887</f>
        <v>0</v>
      </c>
      <c r="AN2887" s="199">
        <f>B2887</f>
        <v>46004</v>
      </c>
      <c r="AO2887" s="159" t="s">
        <v>692</v>
      </c>
      <c r="AP2887" s="783" t="s">
        <v>620</v>
      </c>
      <c r="AQ2887" s="796" t="s">
        <v>422</v>
      </c>
      <c r="AR2887" s="782">
        <v>12055234</v>
      </c>
      <c r="AS2887" s="781"/>
      <c r="AT2887" s="782"/>
      <c r="AU2887" s="782"/>
      <c r="AV2887" s="782">
        <v>12094353</v>
      </c>
      <c r="AW2887" s="782"/>
      <c r="AX2887" s="782">
        <v>12036656</v>
      </c>
      <c r="AY2887" s="799" t="s">
        <v>2616</v>
      </c>
      <c r="AZ2887" s="781"/>
      <c r="BA2887" s="781"/>
      <c r="BB2887" s="209">
        <v>23053184</v>
      </c>
    </row>
    <row r="2888" spans="1:54" ht="25" hidden="1" customHeight="1">
      <c r="B2888" s="345">
        <v>46004</v>
      </c>
      <c r="C2888" s="464">
        <v>46034</v>
      </c>
      <c r="D2888" s="185">
        <f t="shared" si="1265"/>
        <v>2025</v>
      </c>
      <c r="E2888" s="464" t="e">
        <f>VLOOKUP($B2888,Week!$A$1:$C$1462,2,0)</f>
        <v>#N/A</v>
      </c>
      <c r="F2888" s="465" t="str">
        <f t="shared" si="1266"/>
        <v>Dec</v>
      </c>
      <c r="G2888" s="347" t="s">
        <v>2649</v>
      </c>
      <c r="H2888" s="347" t="s">
        <v>134</v>
      </c>
      <c r="I2888" s="347" t="s">
        <v>2772</v>
      </c>
      <c r="J2888" s="349" t="s">
        <v>135</v>
      </c>
      <c r="K2888" s="350" t="s">
        <v>107</v>
      </c>
      <c r="L2888" s="300" t="s">
        <v>2167</v>
      </c>
      <c r="M2888" s="349" t="s">
        <v>136</v>
      </c>
      <c r="N2888" s="347" t="s">
        <v>137</v>
      </c>
      <c r="O2888" s="347" t="s">
        <v>138</v>
      </c>
      <c r="P2888" s="351">
        <v>24</v>
      </c>
      <c r="Q2888" s="351">
        <v>3</v>
      </c>
      <c r="R2888" s="352">
        <v>7.4999999999999997E-3</v>
      </c>
      <c r="S2888" s="347" t="s">
        <v>111</v>
      </c>
      <c r="T2888" s="347" t="s">
        <v>56</v>
      </c>
      <c r="U2888" s="347" t="s">
        <v>572</v>
      </c>
      <c r="V2888" s="353">
        <f>500</f>
        <v>500</v>
      </c>
      <c r="W2888" s="353">
        <f>500</f>
        <v>500</v>
      </c>
      <c r="X2888" s="354"/>
      <c r="Y2888" s="355">
        <f t="shared" si="1267"/>
        <v>0</v>
      </c>
      <c r="Z2888" s="356">
        <f t="shared" si="1268"/>
        <v>0</v>
      </c>
      <c r="AA2888" s="356">
        <f t="shared" si="1276"/>
        <v>0</v>
      </c>
      <c r="AB2888" s="818">
        <v>1</v>
      </c>
      <c r="AC2888" s="353">
        <f t="shared" si="1269"/>
        <v>0</v>
      </c>
      <c r="AD2888" s="443"/>
      <c r="AE2888" s="210">
        <f t="shared" si="1270"/>
        <v>0</v>
      </c>
      <c r="AF2888" s="210">
        <f t="shared" si="1271"/>
        <v>0</v>
      </c>
      <c r="AG2888" s="211">
        <f t="shared" ref="AG2888:AG2893" si="1277">MID(O2888,1,3)/1000</f>
        <v>0.219</v>
      </c>
      <c r="AH2888" s="157">
        <f t="shared" si="1272"/>
        <v>0</v>
      </c>
      <c r="AI2888" s="152">
        <f t="shared" si="1273"/>
        <v>12000</v>
      </c>
      <c r="AK2888" s="156" t="s">
        <v>691</v>
      </c>
      <c r="AL2888" s="212" t="s">
        <v>690</v>
      </c>
      <c r="AM2888" s="198">
        <f t="shared" si="1274"/>
        <v>0</v>
      </c>
      <c r="AN2888" s="199">
        <f t="shared" si="1275"/>
        <v>46004</v>
      </c>
      <c r="AO2888" s="159" t="s">
        <v>692</v>
      </c>
      <c r="AP2888" s="783" t="s">
        <v>610</v>
      </c>
      <c r="AQ2888" s="796" t="s">
        <v>1500</v>
      </c>
      <c r="AR2888" s="782" t="s">
        <v>140</v>
      </c>
      <c r="AS2888" s="782" t="s">
        <v>141</v>
      </c>
      <c r="AT2888" s="782"/>
      <c r="AU2888" s="783" t="s">
        <v>568</v>
      </c>
      <c r="AV2888" s="796" t="s">
        <v>569</v>
      </c>
      <c r="AW2888" s="796" t="s">
        <v>570</v>
      </c>
      <c r="AX2888" s="782"/>
      <c r="AY2888" s="782">
        <v>12095878</v>
      </c>
      <c r="AZ2888" s="782">
        <v>12095879</v>
      </c>
      <c r="BA2888" s="782">
        <v>12095880</v>
      </c>
    </row>
    <row r="2889" spans="1:54" ht="24.65" hidden="1" customHeight="1">
      <c r="B2889" s="466">
        <v>46004</v>
      </c>
      <c r="C2889" s="467">
        <v>46017</v>
      </c>
      <c r="D2889" s="185">
        <f>IF(B2889="","",YEAR(B2889))</f>
        <v>2025</v>
      </c>
      <c r="E2889" s="467" t="e">
        <f>VLOOKUP($B2889,Week!$A$1:$C$1462,2,0)</f>
        <v>#N/A</v>
      </c>
      <c r="F2889" s="469" t="str">
        <f>IF(B2889="","",TEXT(B2889,"[$-409]mmm"))</f>
        <v>Dec</v>
      </c>
      <c r="G2889" s="468" t="s">
        <v>2657</v>
      </c>
      <c r="H2889" s="468" t="s">
        <v>675</v>
      </c>
      <c r="I2889" s="468" t="s">
        <v>2772</v>
      </c>
      <c r="J2889" s="471" t="s">
        <v>709</v>
      </c>
      <c r="K2889" s="472" t="s">
        <v>107</v>
      </c>
      <c r="L2889" s="300" t="s">
        <v>2167</v>
      </c>
      <c r="M2889" s="471" t="s">
        <v>313</v>
      </c>
      <c r="N2889" s="617" t="s">
        <v>696</v>
      </c>
      <c r="O2889" s="468" t="s">
        <v>110</v>
      </c>
      <c r="P2889" s="473">
        <v>36</v>
      </c>
      <c r="Q2889" s="473">
        <v>5</v>
      </c>
      <c r="R2889" s="474">
        <v>7.4999999999999997E-3</v>
      </c>
      <c r="S2889" s="468" t="s">
        <v>111</v>
      </c>
      <c r="T2889" s="468" t="s">
        <v>112</v>
      </c>
      <c r="U2889" s="468" t="s">
        <v>57</v>
      </c>
      <c r="V2889" s="475">
        <v>320</v>
      </c>
      <c r="W2889" s="475">
        <f>320</f>
        <v>320</v>
      </c>
      <c r="X2889" s="476">
        <f>(662)/36</f>
        <v>18.388888888888889</v>
      </c>
      <c r="Y2889" s="477">
        <f t="shared" si="1267"/>
        <v>18.388888888888914</v>
      </c>
      <c r="Z2889" s="478">
        <f t="shared" si="1268"/>
        <v>0</v>
      </c>
      <c r="AA2889" s="478">
        <f>Q2889*Z2889</f>
        <v>0</v>
      </c>
      <c r="AB2889" s="828">
        <v>7.4999999999999997E-3</v>
      </c>
      <c r="AC2889" s="475">
        <f t="shared" si="1269"/>
        <v>0</v>
      </c>
      <c r="AD2889" s="515"/>
      <c r="AE2889" s="210">
        <f t="shared" si="1270"/>
        <v>0</v>
      </c>
      <c r="AF2889" s="210">
        <f t="shared" si="1271"/>
        <v>0</v>
      </c>
      <c r="AG2889" s="211">
        <f t="shared" si="1277"/>
        <v>0.308</v>
      </c>
      <c r="AH2889" s="157">
        <f t="shared" si="1272"/>
        <v>0</v>
      </c>
      <c r="AI2889" s="152">
        <f t="shared" si="1273"/>
        <v>11520</v>
      </c>
      <c r="AK2889" s="156" t="s">
        <v>691</v>
      </c>
      <c r="AL2889" s="212" t="s">
        <v>690</v>
      </c>
      <c r="AM2889" s="198">
        <f>AG2889*Z2889</f>
        <v>0</v>
      </c>
      <c r="AN2889" s="199">
        <f>B2889</f>
        <v>46004</v>
      </c>
      <c r="AO2889" s="159" t="s">
        <v>692</v>
      </c>
      <c r="AP2889" s="783" t="s">
        <v>644</v>
      </c>
      <c r="AQ2889" s="782">
        <v>12063755</v>
      </c>
      <c r="AR2889" s="782">
        <v>12061353</v>
      </c>
      <c r="AS2889" s="782">
        <v>12061354</v>
      </c>
      <c r="AT2889" s="782">
        <v>12089990</v>
      </c>
      <c r="AU2889" s="781"/>
      <c r="AV2889" s="782">
        <v>12089997</v>
      </c>
      <c r="AW2889" s="782">
        <v>12088207</v>
      </c>
      <c r="AX2889" s="782"/>
      <c r="AY2889" s="782">
        <v>12089998</v>
      </c>
      <c r="AZ2889" s="782"/>
      <c r="BA2889" s="781"/>
      <c r="BB2889" s="209">
        <v>23053185</v>
      </c>
    </row>
    <row r="2890" spans="1:54" ht="24.65" hidden="1" customHeight="1">
      <c r="B2890" s="308">
        <v>46004</v>
      </c>
      <c r="C2890" s="309">
        <v>45665</v>
      </c>
      <c r="D2890" s="185">
        <f t="shared" si="1265"/>
        <v>2025</v>
      </c>
      <c r="E2890" s="309" t="e">
        <f>VLOOKUP($B2890,Week!$A$1:$C$1462,2,0)</f>
        <v>#N/A</v>
      </c>
      <c r="F2890" s="310" t="str">
        <f t="shared" si="1266"/>
        <v>Dec</v>
      </c>
      <c r="G2890" s="311" t="s">
        <v>2631</v>
      </c>
      <c r="H2890" s="311" t="s">
        <v>311</v>
      </c>
      <c r="I2890" s="311" t="s">
        <v>2772</v>
      </c>
      <c r="J2890" s="312" t="s">
        <v>738</v>
      </c>
      <c r="K2890" s="313" t="s">
        <v>107</v>
      </c>
      <c r="L2890" s="300" t="s">
        <v>2167</v>
      </c>
      <c r="M2890" s="312" t="s">
        <v>313</v>
      </c>
      <c r="N2890" s="311" t="s">
        <v>314</v>
      </c>
      <c r="O2890" s="311" t="s">
        <v>110</v>
      </c>
      <c r="P2890" s="314">
        <v>36</v>
      </c>
      <c r="Q2890" s="314">
        <v>5</v>
      </c>
      <c r="R2890" s="315">
        <v>7.4999999999999997E-3</v>
      </c>
      <c r="S2890" s="311" t="s">
        <v>111</v>
      </c>
      <c r="T2890" s="311" t="s">
        <v>112</v>
      </c>
      <c r="U2890" s="311" t="s">
        <v>57</v>
      </c>
      <c r="V2890" s="316">
        <v>792</v>
      </c>
      <c r="W2890" s="316">
        <f>3+789</f>
        <v>792</v>
      </c>
      <c r="X2890" s="317"/>
      <c r="Y2890" s="318">
        <f t="shared" si="1267"/>
        <v>0</v>
      </c>
      <c r="Z2890" s="319">
        <f t="shared" si="1268"/>
        <v>0</v>
      </c>
      <c r="AA2890" s="319">
        <f t="shared" si="1276"/>
        <v>0</v>
      </c>
      <c r="AB2890" s="815">
        <v>7.4999999999999997E-3</v>
      </c>
      <c r="AC2890" s="316">
        <f t="shared" si="1269"/>
        <v>0</v>
      </c>
      <c r="AD2890" s="515"/>
      <c r="AE2890" s="210">
        <f t="shared" si="1270"/>
        <v>0</v>
      </c>
      <c r="AF2890" s="210">
        <f t="shared" si="1271"/>
        <v>0</v>
      </c>
      <c r="AG2890" s="211">
        <f t="shared" si="1277"/>
        <v>0.308</v>
      </c>
      <c r="AH2890" s="157">
        <f t="shared" si="1272"/>
        <v>0</v>
      </c>
      <c r="AI2890" s="152">
        <f t="shared" si="1273"/>
        <v>28512</v>
      </c>
      <c r="AK2890" s="156" t="s">
        <v>691</v>
      </c>
      <c r="AL2890" s="212" t="s">
        <v>690</v>
      </c>
      <c r="AM2890" s="198">
        <f t="shared" si="1274"/>
        <v>0</v>
      </c>
      <c r="AN2890" s="199">
        <f t="shared" si="1275"/>
        <v>46004</v>
      </c>
      <c r="AO2890" s="159" t="s">
        <v>692</v>
      </c>
      <c r="AP2890" s="783" t="s">
        <v>644</v>
      </c>
      <c r="AQ2890" s="782">
        <v>12063755</v>
      </c>
      <c r="AR2890" s="782">
        <v>12061353</v>
      </c>
      <c r="AS2890" s="782">
        <v>12061354</v>
      </c>
      <c r="AT2890" s="782">
        <v>12062266</v>
      </c>
      <c r="AU2890" s="781"/>
      <c r="AV2890" s="782">
        <v>12088159</v>
      </c>
      <c r="AW2890" s="782">
        <v>12088207</v>
      </c>
      <c r="AX2890" s="782"/>
      <c r="AY2890" s="782">
        <v>12094237</v>
      </c>
      <c r="AZ2890" s="782"/>
      <c r="BA2890" s="781"/>
      <c r="BB2890" s="209">
        <v>23053185</v>
      </c>
    </row>
    <row r="2891" spans="1:54" ht="25" hidden="1" customHeight="1">
      <c r="B2891" s="332">
        <v>46004</v>
      </c>
      <c r="C2891" s="333">
        <v>46009</v>
      </c>
      <c r="D2891" s="185">
        <f t="shared" si="1265"/>
        <v>2025</v>
      </c>
      <c r="E2891" s="333" t="e">
        <f>VLOOKUP($B2891,Week!$A$1:$C$1462,2,0)</f>
        <v>#N/A</v>
      </c>
      <c r="F2891" s="334" t="str">
        <f t="shared" si="1266"/>
        <v>Dec</v>
      </c>
      <c r="G2891" s="335" t="s">
        <v>2609</v>
      </c>
      <c r="H2891" s="335" t="s">
        <v>675</v>
      </c>
      <c r="I2891" s="335" t="s">
        <v>2772</v>
      </c>
      <c r="J2891" s="336" t="s">
        <v>709</v>
      </c>
      <c r="K2891" s="337" t="s">
        <v>1652</v>
      </c>
      <c r="L2891" s="300" t="s">
        <v>2167</v>
      </c>
      <c r="M2891" s="336" t="s">
        <v>682</v>
      </c>
      <c r="N2891" s="530" t="s">
        <v>712</v>
      </c>
      <c r="O2891" s="335" t="s">
        <v>602</v>
      </c>
      <c r="P2891" s="338">
        <v>8</v>
      </c>
      <c r="Q2891" s="338">
        <v>3</v>
      </c>
      <c r="R2891" s="339">
        <v>6.0000000000000001E-3</v>
      </c>
      <c r="S2891" s="335" t="s">
        <v>55</v>
      </c>
      <c r="T2891" s="335" t="s">
        <v>112</v>
      </c>
      <c r="U2891" s="340" t="s">
        <v>724</v>
      </c>
      <c r="V2891" s="341">
        <v>540</v>
      </c>
      <c r="W2891" s="341"/>
      <c r="X2891" s="342">
        <f>(4320)/8</f>
        <v>540</v>
      </c>
      <c r="Y2891" s="343">
        <f t="shared" si="1267"/>
        <v>0</v>
      </c>
      <c r="Z2891" s="344">
        <f t="shared" si="1268"/>
        <v>0</v>
      </c>
      <c r="AA2891" s="344">
        <f t="shared" si="1276"/>
        <v>0</v>
      </c>
      <c r="AB2891" s="817">
        <v>5.8823E-2</v>
      </c>
      <c r="AC2891" s="341">
        <f t="shared" si="1269"/>
        <v>0</v>
      </c>
      <c r="AD2891" s="515"/>
      <c r="AE2891" s="210">
        <f t="shared" si="1270"/>
        <v>0</v>
      </c>
      <c r="AF2891" s="210">
        <f t="shared" si="1271"/>
        <v>0</v>
      </c>
      <c r="AG2891" s="211">
        <f t="shared" si="1277"/>
        <v>0.30199999999999999</v>
      </c>
      <c r="AH2891" s="157">
        <v>0.26621999999999996</v>
      </c>
      <c r="AI2891" s="152">
        <f t="shared" si="1273"/>
        <v>4320</v>
      </c>
      <c r="AK2891" s="156" t="s">
        <v>691</v>
      </c>
      <c r="AL2891" s="574" t="s">
        <v>690</v>
      </c>
      <c r="AM2891" s="198">
        <f t="shared" si="1274"/>
        <v>0</v>
      </c>
      <c r="AN2891" s="199">
        <f t="shared" si="1275"/>
        <v>46004</v>
      </c>
      <c r="AO2891" s="159" t="s">
        <v>692</v>
      </c>
      <c r="AP2891" s="781" t="s">
        <v>642</v>
      </c>
      <c r="AQ2891" s="782">
        <v>12063755</v>
      </c>
      <c r="AR2891" s="782">
        <v>12061353</v>
      </c>
      <c r="AS2891" s="782">
        <v>12061354</v>
      </c>
      <c r="AT2891" s="782">
        <v>12097660</v>
      </c>
      <c r="AU2891" s="781"/>
      <c r="AV2891" s="782">
        <v>12097661</v>
      </c>
      <c r="AW2891" s="781"/>
      <c r="AX2891" s="781"/>
      <c r="AY2891" s="781" t="s">
        <v>2713</v>
      </c>
      <c r="AZ2891" s="781" t="s">
        <v>2714</v>
      </c>
      <c r="BA2891" s="781"/>
      <c r="BB2891" s="209">
        <v>23099860</v>
      </c>
    </row>
    <row r="2892" spans="1:54" ht="25" hidden="1" customHeight="1">
      <c r="B2892" s="332">
        <v>46004</v>
      </c>
      <c r="C2892" s="333">
        <v>46016</v>
      </c>
      <c r="D2892" s="185">
        <f t="shared" si="1265"/>
        <v>2025</v>
      </c>
      <c r="E2892" s="333" t="e">
        <f>VLOOKUP($B2892,Week!$A$1:$C$1462,2,0)</f>
        <v>#N/A</v>
      </c>
      <c r="F2892" s="334" t="str">
        <f t="shared" si="1266"/>
        <v>Dec</v>
      </c>
      <c r="G2892" s="335" t="s">
        <v>2679</v>
      </c>
      <c r="H2892" s="335" t="s">
        <v>675</v>
      </c>
      <c r="I2892" s="335" t="s">
        <v>2772</v>
      </c>
      <c r="J2892" s="336" t="s">
        <v>2683</v>
      </c>
      <c r="K2892" s="337" t="s">
        <v>1652</v>
      </c>
      <c r="L2892" s="300" t="s">
        <v>2167</v>
      </c>
      <c r="M2892" s="336" t="s">
        <v>682</v>
      </c>
      <c r="N2892" s="530" t="s">
        <v>2678</v>
      </c>
      <c r="O2892" s="335" t="s">
        <v>602</v>
      </c>
      <c r="P2892" s="338">
        <v>8</v>
      </c>
      <c r="Q2892" s="338">
        <v>3</v>
      </c>
      <c r="R2892" s="339">
        <v>6.0000000000000001E-3</v>
      </c>
      <c r="S2892" s="335" t="s">
        <v>55</v>
      </c>
      <c r="T2892" s="335" t="s">
        <v>112</v>
      </c>
      <c r="U2892" s="340" t="s">
        <v>724</v>
      </c>
      <c r="V2892" s="341">
        <f>260</f>
        <v>260</v>
      </c>
      <c r="W2892" s="341"/>
      <c r="X2892" s="342">
        <f>(2427)/8</f>
        <v>303.375</v>
      </c>
      <c r="Y2892" s="343">
        <f t="shared" si="1267"/>
        <v>43.375</v>
      </c>
      <c r="Z2892" s="344">
        <f t="shared" si="1268"/>
        <v>0</v>
      </c>
      <c r="AA2892" s="344">
        <f t="shared" si="1276"/>
        <v>0</v>
      </c>
      <c r="AB2892" s="817">
        <v>5.8823E-2</v>
      </c>
      <c r="AC2892" s="341">
        <f t="shared" si="1269"/>
        <v>0</v>
      </c>
      <c r="AD2892" s="515"/>
      <c r="AE2892" s="210">
        <f t="shared" si="1270"/>
        <v>0</v>
      </c>
      <c r="AF2892" s="210">
        <f t="shared" si="1271"/>
        <v>0</v>
      </c>
      <c r="AG2892" s="211">
        <f t="shared" si="1277"/>
        <v>0.30199999999999999</v>
      </c>
      <c r="AH2892" s="157">
        <v>0.26621999999999996</v>
      </c>
      <c r="AI2892" s="152">
        <f t="shared" si="1273"/>
        <v>2080</v>
      </c>
      <c r="AK2892" s="156" t="s">
        <v>691</v>
      </c>
      <c r="AL2892" s="574" t="s">
        <v>690</v>
      </c>
      <c r="AM2892" s="198">
        <f t="shared" si="1274"/>
        <v>0</v>
      </c>
      <c r="AN2892" s="199">
        <f t="shared" si="1275"/>
        <v>46004</v>
      </c>
      <c r="AO2892" s="159" t="s">
        <v>692</v>
      </c>
      <c r="AP2892" s="781" t="s">
        <v>642</v>
      </c>
      <c r="AQ2892" s="782">
        <v>12063755</v>
      </c>
      <c r="AR2892" s="782">
        <v>12061353</v>
      </c>
      <c r="AS2892" s="782">
        <v>12061354</v>
      </c>
      <c r="AT2892" s="782">
        <v>12090030</v>
      </c>
      <c r="AU2892" s="781"/>
      <c r="AV2892" s="782">
        <v>12089992</v>
      </c>
      <c r="AW2892" s="781"/>
      <c r="AX2892" s="781"/>
      <c r="AY2892" s="781"/>
      <c r="AZ2892" s="782"/>
      <c r="BA2892" s="781"/>
      <c r="BB2892" s="209">
        <v>23099860</v>
      </c>
    </row>
    <row r="2893" spans="1:54" ht="25" hidden="1" customHeight="1">
      <c r="B2893" s="385">
        <v>46004</v>
      </c>
      <c r="C2893" s="386">
        <v>46035</v>
      </c>
      <c r="D2893" s="185">
        <f t="shared" si="1265"/>
        <v>2025</v>
      </c>
      <c r="E2893" s="386" t="e">
        <f>VLOOKUP($B2893,Week!$A$1:$C$1462,2,0)</f>
        <v>#N/A</v>
      </c>
      <c r="F2893" s="387" t="str">
        <f t="shared" si="1266"/>
        <v>Dec</v>
      </c>
      <c r="G2893" s="388" t="s">
        <v>2611</v>
      </c>
      <c r="H2893" s="388" t="s">
        <v>600</v>
      </c>
      <c r="I2893" s="388" t="s">
        <v>2772</v>
      </c>
      <c r="J2893" s="389" t="s">
        <v>708</v>
      </c>
      <c r="K2893" s="390" t="s">
        <v>1652</v>
      </c>
      <c r="L2893" s="300" t="s">
        <v>2167</v>
      </c>
      <c r="M2893" s="389" t="s">
        <v>603</v>
      </c>
      <c r="N2893" s="637" t="s">
        <v>1404</v>
      </c>
      <c r="O2893" s="388" t="s">
        <v>602</v>
      </c>
      <c r="P2893" s="391">
        <v>8</v>
      </c>
      <c r="Q2893" s="391">
        <v>3</v>
      </c>
      <c r="R2893" s="392">
        <v>6.0000000000000001E-3</v>
      </c>
      <c r="S2893" s="388" t="s">
        <v>55</v>
      </c>
      <c r="T2893" s="388" t="s">
        <v>112</v>
      </c>
      <c r="U2893" s="601" t="s">
        <v>724</v>
      </c>
      <c r="V2893" s="393">
        <v>3500</v>
      </c>
      <c r="W2893" s="393"/>
      <c r="X2893" s="394">
        <f>28000/8</f>
        <v>3500</v>
      </c>
      <c r="Y2893" s="395">
        <f t="shared" si="1267"/>
        <v>0</v>
      </c>
      <c r="Z2893" s="396">
        <f t="shared" si="1268"/>
        <v>0</v>
      </c>
      <c r="AA2893" s="396">
        <f t="shared" si="1276"/>
        <v>0</v>
      </c>
      <c r="AB2893" s="823">
        <v>5.8823E-2</v>
      </c>
      <c r="AC2893" s="393">
        <f t="shared" si="1269"/>
        <v>0</v>
      </c>
      <c r="AD2893" s="636"/>
      <c r="AE2893" s="210">
        <f t="shared" si="1270"/>
        <v>0</v>
      </c>
      <c r="AF2893" s="210">
        <f t="shared" si="1271"/>
        <v>0</v>
      </c>
      <c r="AG2893" s="211">
        <f t="shared" si="1277"/>
        <v>0.30199999999999999</v>
      </c>
      <c r="AH2893" s="157">
        <v>0.26621999999999996</v>
      </c>
      <c r="AI2893" s="152">
        <f t="shared" si="1273"/>
        <v>28000</v>
      </c>
      <c r="AK2893" s="156" t="s">
        <v>691</v>
      </c>
      <c r="AL2893" s="212" t="s">
        <v>690</v>
      </c>
      <c r="AM2893" s="198">
        <f t="shared" si="1274"/>
        <v>0</v>
      </c>
      <c r="AN2893" s="199">
        <f t="shared" si="1275"/>
        <v>46004</v>
      </c>
      <c r="AO2893" s="159" t="s">
        <v>692</v>
      </c>
      <c r="AP2893" s="781" t="s">
        <v>642</v>
      </c>
      <c r="AQ2893" s="782">
        <v>12063755</v>
      </c>
      <c r="AR2893" s="782">
        <v>12061353</v>
      </c>
      <c r="AS2893" s="782">
        <v>12061354</v>
      </c>
      <c r="AT2893" s="782">
        <v>12091199</v>
      </c>
      <c r="AU2893" s="781"/>
      <c r="AV2893" s="782">
        <v>12091198</v>
      </c>
      <c r="AW2893" s="781"/>
      <c r="AX2893" s="781"/>
      <c r="AY2893" s="781"/>
      <c r="AZ2893" s="782"/>
      <c r="BA2893" s="781"/>
    </row>
    <row r="2894" spans="1:54" ht="25" hidden="1" customHeight="1">
      <c r="B2894" s="183">
        <v>46005</v>
      </c>
      <c r="C2894" s="184"/>
      <c r="D2894" s="185">
        <f t="shared" si="1265"/>
        <v>2025</v>
      </c>
      <c r="E2894" s="185" t="e">
        <f>VLOOKUP($B2894,Week!$A$1:$C$1462,2,0)</f>
        <v>#N/A</v>
      </c>
      <c r="F2894" s="186" t="str">
        <f t="shared" si="1266"/>
        <v>Dec</v>
      </c>
      <c r="G2894" s="481"/>
      <c r="H2894" s="185"/>
      <c r="I2894" s="185"/>
      <c r="J2894" s="187"/>
      <c r="K2894" s="188"/>
      <c r="L2894" s="188"/>
      <c r="M2894" s="187"/>
      <c r="N2894" s="185"/>
      <c r="O2894" s="185"/>
      <c r="P2894" s="189"/>
      <c r="Q2894" s="189"/>
      <c r="R2894" s="190"/>
      <c r="S2894" s="185"/>
      <c r="T2894" s="185"/>
      <c r="U2894" s="185"/>
      <c r="V2894" s="191"/>
      <c r="W2894" s="191"/>
      <c r="X2894" s="192"/>
      <c r="Y2894" s="193"/>
      <c r="Z2894" s="194"/>
      <c r="AA2894" s="194">
        <f t="shared" si="1276"/>
        <v>0</v>
      </c>
      <c r="AB2894" s="805"/>
      <c r="AC2894" s="191"/>
      <c r="AD2894" s="187"/>
      <c r="AE2894" s="195"/>
      <c r="AF2894" s="195"/>
      <c r="AG2894" s="196"/>
      <c r="AH2894" s="197"/>
      <c r="AK2894" s="156" t="s">
        <v>691</v>
      </c>
      <c r="AM2894" s="198">
        <f t="shared" si="1274"/>
        <v>0</v>
      </c>
      <c r="AN2894" s="199">
        <f t="shared" si="1275"/>
        <v>46005</v>
      </c>
      <c r="AO2894" s="159" t="s">
        <v>692</v>
      </c>
      <c r="AP2894" s="781"/>
      <c r="AQ2894" s="782"/>
      <c r="AR2894" s="782"/>
      <c r="AS2894" s="782"/>
      <c r="AT2894" s="782"/>
      <c r="AU2894" s="781"/>
      <c r="AV2894" s="782"/>
      <c r="AW2894" s="782"/>
      <c r="AX2894" s="782"/>
      <c r="AY2894" s="782"/>
      <c r="AZ2894" s="782"/>
      <c r="BA2894" s="781"/>
      <c r="BB2894" s="209"/>
    </row>
    <row r="2895" spans="1:54" ht="24.65" hidden="1" customHeight="1">
      <c r="A2895" s="142" t="s">
        <v>120</v>
      </c>
      <c r="B2895" s="383">
        <v>46006</v>
      </c>
      <c r="C2895" s="224">
        <v>46015</v>
      </c>
      <c r="D2895" s="185">
        <f t="shared" ref="D2895:D2917" si="1278">IF(B2895="","",YEAR(B2895))</f>
        <v>2025</v>
      </c>
      <c r="E2895" s="224" t="e">
        <f>VLOOKUP($B2895,Week!$A$1:$C$1462,2,0)</f>
        <v>#N/A</v>
      </c>
      <c r="F2895" s="226" t="str">
        <f t="shared" ref="F2895:F2917" si="1279">IF(B2895="","",TEXT(B2895,"[$-409]mmm"))</f>
        <v>Dec</v>
      </c>
      <c r="G2895" s="225" t="s">
        <v>2453</v>
      </c>
      <c r="H2895" s="225" t="s">
        <v>1259</v>
      </c>
      <c r="I2895" s="225" t="s">
        <v>2772</v>
      </c>
      <c r="J2895" s="227" t="s">
        <v>512</v>
      </c>
      <c r="K2895" s="228" t="s">
        <v>85</v>
      </c>
      <c r="L2895" s="390" t="s">
        <v>2166</v>
      </c>
      <c r="M2895" s="227" t="s">
        <v>165</v>
      </c>
      <c r="N2895" s="225" t="s">
        <v>700</v>
      </c>
      <c r="O2895" s="225" t="s">
        <v>287</v>
      </c>
      <c r="P2895" s="229">
        <v>40</v>
      </c>
      <c r="Q2895" s="229">
        <v>12</v>
      </c>
      <c r="R2895" s="230">
        <v>8.1300000000000001E-3</v>
      </c>
      <c r="S2895" s="225" t="s">
        <v>40</v>
      </c>
      <c r="T2895" s="225" t="s">
        <v>112</v>
      </c>
      <c r="U2895" s="225" t="s">
        <v>89</v>
      </c>
      <c r="V2895" s="231">
        <v>606</v>
      </c>
      <c r="W2895" s="231">
        <f>594</f>
        <v>594</v>
      </c>
      <c r="X2895" s="232">
        <f>(480)/40</f>
        <v>12</v>
      </c>
      <c r="Y2895" s="233">
        <f t="shared" ref="Y2895:Y2917" si="1280">(W2895+X2895)-V2895</f>
        <v>0</v>
      </c>
      <c r="Z2895" s="234">
        <f t="shared" ref="Z2895:Z2917" si="1281">IF(Y2895&lt;0,((V2895*P2895)-((W2895+X2895)*P2895)),0)</f>
        <v>0</v>
      </c>
      <c r="AA2895" s="234">
        <f t="shared" ref="AA2895:AA2901" si="1282">Q2895*Z2895</f>
        <v>0</v>
      </c>
      <c r="AB2895" s="822">
        <v>2</v>
      </c>
      <c r="AC2895" s="231">
        <f t="shared" ref="AC2895:AC2917" si="1283">Z2895*AB2895</f>
        <v>0</v>
      </c>
      <c r="AD2895" s="209"/>
      <c r="AE2895" s="210">
        <f t="shared" ref="AE2895:AE2917" si="1284">SUM(Q2895*R2895*Z2895)/1000</f>
        <v>0</v>
      </c>
      <c r="AF2895" s="210">
        <f t="shared" ref="AF2895:AF2917" si="1285">AE2895/0.54</f>
        <v>0</v>
      </c>
      <c r="AG2895" s="211">
        <f t="shared" ref="AG2895:AG2917" si="1286">MID(O2895,1,3)/1000</f>
        <v>0.154</v>
      </c>
      <c r="AH2895" s="157">
        <f t="shared" ref="AH2895:AH2903" si="1287">(Z2895*AG2895)/1000</f>
        <v>0</v>
      </c>
      <c r="AI2895" s="152">
        <f t="shared" ref="AI2895:AI2917" si="1288">V2895*P2895</f>
        <v>24240</v>
      </c>
      <c r="AK2895" s="156" t="s">
        <v>691</v>
      </c>
      <c r="AL2895" s="156" t="s">
        <v>689</v>
      </c>
      <c r="AM2895" s="198">
        <f t="shared" ref="AM2895:AM2917" si="1289">AG2895*Z2895</f>
        <v>0</v>
      </c>
      <c r="AN2895" s="199">
        <f t="shared" ref="AN2895:AN2917" si="1290">B2895</f>
        <v>46006</v>
      </c>
      <c r="AO2895" s="159" t="s">
        <v>692</v>
      </c>
      <c r="AP2895" s="781"/>
      <c r="AQ2895" s="782">
        <v>12071839</v>
      </c>
      <c r="AR2895" s="782">
        <v>12019692</v>
      </c>
      <c r="AS2895" s="782"/>
      <c r="AT2895" s="782">
        <v>12056457</v>
      </c>
      <c r="AU2895" s="782"/>
      <c r="AV2895" s="782">
        <v>12056565</v>
      </c>
      <c r="AW2895" s="782">
        <v>12034747</v>
      </c>
      <c r="AX2895" s="782" t="s">
        <v>398</v>
      </c>
      <c r="AY2895" s="782" t="s">
        <v>513</v>
      </c>
      <c r="AZ2895" s="782"/>
      <c r="BA2895" s="781"/>
      <c r="BB2895" s="209">
        <v>23053184</v>
      </c>
    </row>
    <row r="2896" spans="1:54" ht="25" hidden="1" customHeight="1">
      <c r="B2896" s="271">
        <v>46006</v>
      </c>
      <c r="C2896" s="441">
        <v>46010</v>
      </c>
      <c r="D2896" s="274">
        <f t="shared" si="1278"/>
        <v>2025</v>
      </c>
      <c r="E2896" s="274" t="e">
        <f>VLOOKUP($B2896,Week!$A$1:$C$1462,2,0)</f>
        <v>#N/A</v>
      </c>
      <c r="F2896" s="273" t="str">
        <f t="shared" si="1279"/>
        <v>Dec</v>
      </c>
      <c r="G2896" s="274" t="s">
        <v>2281</v>
      </c>
      <c r="H2896" s="274" t="s">
        <v>225</v>
      </c>
      <c r="I2896" s="274" t="s">
        <v>2773</v>
      </c>
      <c r="J2896" s="275" t="s">
        <v>650</v>
      </c>
      <c r="K2896" s="276" t="s">
        <v>2256</v>
      </c>
      <c r="L2896" s="276" t="s">
        <v>2167</v>
      </c>
      <c r="M2896" s="275" t="s">
        <v>2258</v>
      </c>
      <c r="N2896" s="274" t="s">
        <v>2259</v>
      </c>
      <c r="O2896" s="274" t="s">
        <v>110</v>
      </c>
      <c r="P2896" s="277">
        <v>36</v>
      </c>
      <c r="Q2896" s="277">
        <v>5</v>
      </c>
      <c r="R2896" s="278">
        <v>7.4999999999999997E-3</v>
      </c>
      <c r="S2896" s="274" t="s">
        <v>111</v>
      </c>
      <c r="T2896" s="274" t="s">
        <v>112</v>
      </c>
      <c r="U2896" s="274" t="s">
        <v>113</v>
      </c>
      <c r="V2896" s="279">
        <f>792-34-611</f>
        <v>147</v>
      </c>
      <c r="W2896" s="279">
        <v>147</v>
      </c>
      <c r="X2896" s="280"/>
      <c r="Y2896" s="281">
        <f t="shared" si="1280"/>
        <v>0</v>
      </c>
      <c r="Z2896" s="282">
        <f t="shared" si="1281"/>
        <v>0</v>
      </c>
      <c r="AA2896" s="282">
        <f t="shared" si="1282"/>
        <v>0</v>
      </c>
      <c r="AB2896" s="812">
        <v>9.7000000000000003E-3</v>
      </c>
      <c r="AC2896" s="279">
        <f t="shared" si="1283"/>
        <v>0</v>
      </c>
      <c r="AD2896" s="307" t="s">
        <v>2608</v>
      </c>
      <c r="AE2896" s="210">
        <f t="shared" si="1284"/>
        <v>0</v>
      </c>
      <c r="AF2896" s="210">
        <f t="shared" si="1285"/>
        <v>0</v>
      </c>
      <c r="AG2896" s="211">
        <f t="shared" si="1286"/>
        <v>0.308</v>
      </c>
      <c r="AH2896" s="157">
        <f t="shared" si="1287"/>
        <v>0</v>
      </c>
      <c r="AI2896" s="152">
        <f t="shared" si="1288"/>
        <v>5292</v>
      </c>
      <c r="AK2896" s="156" t="s">
        <v>691</v>
      </c>
      <c r="AL2896" s="574" t="s">
        <v>690</v>
      </c>
      <c r="AM2896" s="198">
        <f t="shared" si="1289"/>
        <v>0</v>
      </c>
      <c r="AN2896" s="199">
        <f t="shared" si="1290"/>
        <v>46006</v>
      </c>
      <c r="AO2896" s="159" t="s">
        <v>692</v>
      </c>
      <c r="AP2896" s="781"/>
      <c r="AQ2896" s="782">
        <v>12063755</v>
      </c>
      <c r="AR2896" s="782">
        <v>12061353</v>
      </c>
      <c r="AS2896" s="782">
        <v>12061354</v>
      </c>
      <c r="AT2896" s="782">
        <v>12095367</v>
      </c>
      <c r="AU2896" s="781"/>
      <c r="AV2896" s="782">
        <v>12095366</v>
      </c>
      <c r="AW2896" s="782">
        <v>12088207</v>
      </c>
      <c r="AX2896" s="782"/>
      <c r="AY2896" s="782">
        <v>12095368</v>
      </c>
      <c r="AZ2896" s="782"/>
      <c r="BA2896" s="781"/>
      <c r="BB2896" s="209">
        <v>23054743</v>
      </c>
    </row>
    <row r="2897" spans="1:54" ht="25" hidden="1" customHeight="1">
      <c r="B2897" s="271">
        <v>46006</v>
      </c>
      <c r="C2897" s="441">
        <v>46010</v>
      </c>
      <c r="D2897" s="274">
        <f t="shared" si="1278"/>
        <v>2025</v>
      </c>
      <c r="E2897" s="274" t="e">
        <f>VLOOKUP($B2897,Week!$A$1:$C$1462,2,0)</f>
        <v>#N/A</v>
      </c>
      <c r="F2897" s="273" t="str">
        <f t="shared" si="1279"/>
        <v>Dec</v>
      </c>
      <c r="G2897" s="274" t="s">
        <v>2283</v>
      </c>
      <c r="H2897" s="274" t="s">
        <v>225</v>
      </c>
      <c r="I2897" s="274" t="s">
        <v>2773</v>
      </c>
      <c r="J2897" s="275" t="s">
        <v>650</v>
      </c>
      <c r="K2897" s="276" t="s">
        <v>2256</v>
      </c>
      <c r="L2897" s="276" t="s">
        <v>2167</v>
      </c>
      <c r="M2897" s="275" t="s">
        <v>2258</v>
      </c>
      <c r="N2897" s="274" t="s">
        <v>2259</v>
      </c>
      <c r="O2897" s="274" t="s">
        <v>110</v>
      </c>
      <c r="P2897" s="277">
        <v>36</v>
      </c>
      <c r="Q2897" s="277">
        <v>5</v>
      </c>
      <c r="R2897" s="278">
        <v>7.4999999999999997E-3</v>
      </c>
      <c r="S2897" s="274" t="s">
        <v>111</v>
      </c>
      <c r="T2897" s="274" t="s">
        <v>112</v>
      </c>
      <c r="U2897" s="274" t="s">
        <v>113</v>
      </c>
      <c r="V2897" s="279">
        <v>792</v>
      </c>
      <c r="W2897" s="279">
        <v>792</v>
      </c>
      <c r="X2897" s="280"/>
      <c r="Y2897" s="281">
        <f t="shared" si="1280"/>
        <v>0</v>
      </c>
      <c r="Z2897" s="282">
        <f t="shared" si="1281"/>
        <v>0</v>
      </c>
      <c r="AA2897" s="282">
        <f t="shared" si="1282"/>
        <v>0</v>
      </c>
      <c r="AB2897" s="812">
        <v>9.7000000000000003E-3</v>
      </c>
      <c r="AC2897" s="279">
        <f t="shared" si="1283"/>
        <v>0</v>
      </c>
      <c r="AD2897" s="307" t="s">
        <v>2608</v>
      </c>
      <c r="AE2897" s="210">
        <f t="shared" si="1284"/>
        <v>0</v>
      </c>
      <c r="AF2897" s="210">
        <f t="shared" si="1285"/>
        <v>0</v>
      </c>
      <c r="AG2897" s="211">
        <f t="shared" si="1286"/>
        <v>0.308</v>
      </c>
      <c r="AH2897" s="157">
        <f t="shared" si="1287"/>
        <v>0</v>
      </c>
      <c r="AI2897" s="152">
        <f t="shared" si="1288"/>
        <v>28512</v>
      </c>
      <c r="AK2897" s="156" t="s">
        <v>691</v>
      </c>
      <c r="AL2897" s="574" t="s">
        <v>690</v>
      </c>
      <c r="AM2897" s="198">
        <f t="shared" si="1289"/>
        <v>0</v>
      </c>
      <c r="AN2897" s="199">
        <f t="shared" si="1290"/>
        <v>46006</v>
      </c>
      <c r="AO2897" s="159" t="s">
        <v>692</v>
      </c>
      <c r="AP2897" s="781"/>
      <c r="AQ2897" s="782">
        <v>12063755</v>
      </c>
      <c r="AR2897" s="782">
        <v>12061353</v>
      </c>
      <c r="AS2897" s="782">
        <v>12061354</v>
      </c>
      <c r="AT2897" s="782">
        <v>12095367</v>
      </c>
      <c r="AU2897" s="781"/>
      <c r="AV2897" s="782">
        <v>12095366</v>
      </c>
      <c r="AW2897" s="782">
        <v>12088207</v>
      </c>
      <c r="AX2897" s="782"/>
      <c r="AY2897" s="782">
        <v>12095368</v>
      </c>
      <c r="AZ2897" s="782"/>
      <c r="BA2897" s="781"/>
      <c r="BB2897" s="209">
        <v>23054743</v>
      </c>
    </row>
    <row r="2898" spans="1:54" ht="25" hidden="1" customHeight="1">
      <c r="B2898" s="271">
        <v>46006</v>
      </c>
      <c r="C2898" s="441">
        <v>46010</v>
      </c>
      <c r="D2898" s="274">
        <f t="shared" si="1278"/>
        <v>2025</v>
      </c>
      <c r="E2898" s="274" t="e">
        <f>VLOOKUP($B2898,Week!$A$1:$C$1462,2,0)</f>
        <v>#N/A</v>
      </c>
      <c r="F2898" s="273" t="str">
        <f t="shared" si="1279"/>
        <v>Dec</v>
      </c>
      <c r="G2898" s="274" t="s">
        <v>2284</v>
      </c>
      <c r="H2898" s="274" t="s">
        <v>225</v>
      </c>
      <c r="I2898" s="274" t="s">
        <v>2773</v>
      </c>
      <c r="J2898" s="275" t="s">
        <v>650</v>
      </c>
      <c r="K2898" s="276" t="s">
        <v>2256</v>
      </c>
      <c r="L2898" s="276" t="s">
        <v>2167</v>
      </c>
      <c r="M2898" s="275" t="s">
        <v>2258</v>
      </c>
      <c r="N2898" s="274" t="s">
        <v>2259</v>
      </c>
      <c r="O2898" s="274" t="s">
        <v>110</v>
      </c>
      <c r="P2898" s="277">
        <v>36</v>
      </c>
      <c r="Q2898" s="277">
        <v>5</v>
      </c>
      <c r="R2898" s="278">
        <v>7.4999999999999997E-3</v>
      </c>
      <c r="S2898" s="274" t="s">
        <v>111</v>
      </c>
      <c r="T2898" s="274" t="s">
        <v>112</v>
      </c>
      <c r="U2898" s="274" t="s">
        <v>113</v>
      </c>
      <c r="V2898" s="279">
        <v>792</v>
      </c>
      <c r="W2898" s="279">
        <v>792</v>
      </c>
      <c r="X2898" s="280"/>
      <c r="Y2898" s="281">
        <f t="shared" si="1280"/>
        <v>0</v>
      </c>
      <c r="Z2898" s="282">
        <f t="shared" si="1281"/>
        <v>0</v>
      </c>
      <c r="AA2898" s="282">
        <f t="shared" si="1282"/>
        <v>0</v>
      </c>
      <c r="AB2898" s="812">
        <v>9.7000000000000003E-3</v>
      </c>
      <c r="AC2898" s="279">
        <f t="shared" si="1283"/>
        <v>0</v>
      </c>
      <c r="AD2898" s="307" t="s">
        <v>2608</v>
      </c>
      <c r="AE2898" s="210">
        <f t="shared" si="1284"/>
        <v>0</v>
      </c>
      <c r="AF2898" s="210">
        <f t="shared" si="1285"/>
        <v>0</v>
      </c>
      <c r="AG2898" s="211">
        <f t="shared" si="1286"/>
        <v>0.308</v>
      </c>
      <c r="AH2898" s="157">
        <f t="shared" si="1287"/>
        <v>0</v>
      </c>
      <c r="AI2898" s="152">
        <f t="shared" si="1288"/>
        <v>28512</v>
      </c>
      <c r="AK2898" s="156" t="s">
        <v>691</v>
      </c>
      <c r="AL2898" s="574" t="s">
        <v>690</v>
      </c>
      <c r="AM2898" s="198">
        <f t="shared" si="1289"/>
        <v>0</v>
      </c>
      <c r="AN2898" s="199">
        <f t="shared" si="1290"/>
        <v>46006</v>
      </c>
      <c r="AO2898" s="159" t="s">
        <v>692</v>
      </c>
      <c r="AP2898" s="781"/>
      <c r="AQ2898" s="782">
        <v>12063755</v>
      </c>
      <c r="AR2898" s="782">
        <v>12061353</v>
      </c>
      <c r="AS2898" s="782">
        <v>12061354</v>
      </c>
      <c r="AT2898" s="782">
        <v>12095367</v>
      </c>
      <c r="AU2898" s="781"/>
      <c r="AV2898" s="782">
        <v>12095366</v>
      </c>
      <c r="AW2898" s="782">
        <v>12088207</v>
      </c>
      <c r="AX2898" s="782"/>
      <c r="AY2898" s="782">
        <v>12095368</v>
      </c>
      <c r="AZ2898" s="782"/>
      <c r="BA2898" s="781"/>
      <c r="BB2898" s="209">
        <v>23054743</v>
      </c>
    </row>
    <row r="2899" spans="1:54" ht="25" hidden="1" customHeight="1">
      <c r="B2899" s="271">
        <v>46006</v>
      </c>
      <c r="C2899" s="441">
        <v>46010</v>
      </c>
      <c r="D2899" s="274">
        <f t="shared" si="1278"/>
        <v>2025</v>
      </c>
      <c r="E2899" s="274" t="e">
        <f>VLOOKUP($B2899,Week!$A$1:$C$1462,2,0)</f>
        <v>#N/A</v>
      </c>
      <c r="F2899" s="273" t="str">
        <f t="shared" si="1279"/>
        <v>Dec</v>
      </c>
      <c r="G2899" s="274" t="s">
        <v>2285</v>
      </c>
      <c r="H2899" s="274" t="s">
        <v>225</v>
      </c>
      <c r="I2899" s="274" t="s">
        <v>2773</v>
      </c>
      <c r="J2899" s="275" t="s">
        <v>650</v>
      </c>
      <c r="K2899" s="276" t="s">
        <v>2256</v>
      </c>
      <c r="L2899" s="276" t="s">
        <v>2167</v>
      </c>
      <c r="M2899" s="275" t="s">
        <v>2258</v>
      </c>
      <c r="N2899" s="274" t="s">
        <v>2259</v>
      </c>
      <c r="O2899" s="274" t="s">
        <v>110</v>
      </c>
      <c r="P2899" s="277">
        <v>36</v>
      </c>
      <c r="Q2899" s="277">
        <v>5</v>
      </c>
      <c r="R2899" s="278">
        <v>7.4999999999999997E-3</v>
      </c>
      <c r="S2899" s="274" t="s">
        <v>111</v>
      </c>
      <c r="T2899" s="274" t="s">
        <v>112</v>
      </c>
      <c r="U2899" s="274" t="s">
        <v>113</v>
      </c>
      <c r="V2899" s="279">
        <v>792</v>
      </c>
      <c r="W2899" s="279">
        <v>792</v>
      </c>
      <c r="X2899" s="280"/>
      <c r="Y2899" s="281">
        <f t="shared" si="1280"/>
        <v>0</v>
      </c>
      <c r="Z2899" s="282">
        <f t="shared" si="1281"/>
        <v>0</v>
      </c>
      <c r="AA2899" s="282">
        <f t="shared" si="1282"/>
        <v>0</v>
      </c>
      <c r="AB2899" s="812">
        <v>1</v>
      </c>
      <c r="AC2899" s="279">
        <f t="shared" si="1283"/>
        <v>0</v>
      </c>
      <c r="AD2899" s="209"/>
      <c r="AE2899" s="210">
        <f t="shared" si="1284"/>
        <v>0</v>
      </c>
      <c r="AF2899" s="210">
        <f t="shared" si="1285"/>
        <v>0</v>
      </c>
      <c r="AG2899" s="211">
        <f t="shared" si="1286"/>
        <v>0.308</v>
      </c>
      <c r="AH2899" s="157">
        <f t="shared" si="1287"/>
        <v>0</v>
      </c>
      <c r="AI2899" s="152">
        <f t="shared" si="1288"/>
        <v>28512</v>
      </c>
      <c r="AK2899" s="156" t="s">
        <v>691</v>
      </c>
      <c r="AL2899" s="574" t="s">
        <v>690</v>
      </c>
      <c r="AM2899" s="198">
        <f t="shared" si="1289"/>
        <v>0</v>
      </c>
      <c r="AN2899" s="199">
        <f t="shared" si="1290"/>
        <v>46006</v>
      </c>
      <c r="AO2899" s="159" t="s">
        <v>692</v>
      </c>
      <c r="AP2899" s="781"/>
      <c r="AQ2899" s="782">
        <v>12063755</v>
      </c>
      <c r="AR2899" s="782">
        <v>12061353</v>
      </c>
      <c r="AS2899" s="782">
        <v>12061354</v>
      </c>
      <c r="AT2899" s="782">
        <v>12095367</v>
      </c>
      <c r="AU2899" s="781"/>
      <c r="AV2899" s="782">
        <v>12095366</v>
      </c>
      <c r="AW2899" s="782">
        <v>12088207</v>
      </c>
      <c r="AX2899" s="782"/>
      <c r="AY2899" s="782">
        <v>12095368</v>
      </c>
      <c r="AZ2899" s="782"/>
      <c r="BA2899" s="781"/>
      <c r="BB2899" s="209">
        <v>23054743</v>
      </c>
    </row>
    <row r="2900" spans="1:54" ht="25" hidden="1" customHeight="1">
      <c r="B2900" s="271">
        <v>46006</v>
      </c>
      <c r="C2900" s="441">
        <v>46028</v>
      </c>
      <c r="D2900" s="274">
        <f t="shared" si="1278"/>
        <v>2025</v>
      </c>
      <c r="E2900" s="274" t="e">
        <f>VLOOKUP($B2900,Week!$A$1:$C$1462,2,0)</f>
        <v>#N/A</v>
      </c>
      <c r="F2900" s="273" t="str">
        <f t="shared" si="1279"/>
        <v>Dec</v>
      </c>
      <c r="G2900" s="274" t="s">
        <v>2286</v>
      </c>
      <c r="H2900" s="274" t="s">
        <v>225</v>
      </c>
      <c r="I2900" s="274" t="s">
        <v>2773</v>
      </c>
      <c r="J2900" s="275" t="s">
        <v>650</v>
      </c>
      <c r="K2900" s="276" t="s">
        <v>2256</v>
      </c>
      <c r="L2900" s="276" t="s">
        <v>2167</v>
      </c>
      <c r="M2900" s="275" t="s">
        <v>2258</v>
      </c>
      <c r="N2900" s="274" t="s">
        <v>2259</v>
      </c>
      <c r="O2900" s="274" t="s">
        <v>110</v>
      </c>
      <c r="P2900" s="277">
        <v>36</v>
      </c>
      <c r="Q2900" s="277">
        <v>5</v>
      </c>
      <c r="R2900" s="278">
        <v>7.4999999999999997E-3</v>
      </c>
      <c r="S2900" s="274" t="s">
        <v>111</v>
      </c>
      <c r="T2900" s="274" t="s">
        <v>112</v>
      </c>
      <c r="U2900" s="274" t="s">
        <v>113</v>
      </c>
      <c r="V2900" s="279">
        <v>30</v>
      </c>
      <c r="W2900" s="279">
        <v>30</v>
      </c>
      <c r="X2900" s="280"/>
      <c r="Y2900" s="281">
        <f t="shared" si="1280"/>
        <v>0</v>
      </c>
      <c r="Z2900" s="282">
        <f t="shared" si="1281"/>
        <v>0</v>
      </c>
      <c r="AA2900" s="282">
        <f t="shared" si="1282"/>
        <v>0</v>
      </c>
      <c r="AB2900" s="812">
        <v>9.7000000000000003E-3</v>
      </c>
      <c r="AC2900" s="279">
        <f t="shared" si="1283"/>
        <v>0</v>
      </c>
      <c r="AD2900" s="209"/>
      <c r="AE2900" s="210">
        <f t="shared" si="1284"/>
        <v>0</v>
      </c>
      <c r="AF2900" s="210">
        <f t="shared" si="1285"/>
        <v>0</v>
      </c>
      <c r="AG2900" s="211">
        <f t="shared" si="1286"/>
        <v>0.308</v>
      </c>
      <c r="AH2900" s="157">
        <f t="shared" si="1287"/>
        <v>0</v>
      </c>
      <c r="AI2900" s="152">
        <f t="shared" si="1288"/>
        <v>1080</v>
      </c>
      <c r="AK2900" s="156" t="s">
        <v>691</v>
      </c>
      <c r="AL2900" s="574" t="s">
        <v>690</v>
      </c>
      <c r="AM2900" s="198">
        <f t="shared" si="1289"/>
        <v>0</v>
      </c>
      <c r="AN2900" s="199">
        <f t="shared" si="1290"/>
        <v>46006</v>
      </c>
      <c r="AO2900" s="159" t="s">
        <v>692</v>
      </c>
      <c r="AP2900" s="781"/>
      <c r="AQ2900" s="782">
        <v>12063755</v>
      </c>
      <c r="AR2900" s="782">
        <v>12061353</v>
      </c>
      <c r="AS2900" s="782">
        <v>12061354</v>
      </c>
      <c r="AT2900" s="782">
        <v>12095367</v>
      </c>
      <c r="AU2900" s="781"/>
      <c r="AV2900" s="782">
        <v>12095366</v>
      </c>
      <c r="AW2900" s="782">
        <v>12088207</v>
      </c>
      <c r="AX2900" s="782"/>
      <c r="AY2900" s="782">
        <v>12095368</v>
      </c>
      <c r="AZ2900" s="782"/>
      <c r="BA2900" s="781"/>
      <c r="BB2900" s="209">
        <v>23054743</v>
      </c>
    </row>
    <row r="2901" spans="1:54" ht="24.65" hidden="1" customHeight="1">
      <c r="A2901" s="142" t="s">
        <v>120</v>
      </c>
      <c r="B2901" s="383">
        <v>46007</v>
      </c>
      <c r="C2901" s="224">
        <v>46015</v>
      </c>
      <c r="D2901" s="185">
        <f t="shared" si="1278"/>
        <v>2025</v>
      </c>
      <c r="E2901" s="224" t="e">
        <f>VLOOKUP($B2901,Week!$A$1:$C$1462,2,0)</f>
        <v>#N/A</v>
      </c>
      <c r="F2901" s="226" t="str">
        <f t="shared" si="1279"/>
        <v>Dec</v>
      </c>
      <c r="G2901" s="225" t="s">
        <v>2453</v>
      </c>
      <c r="H2901" s="225" t="s">
        <v>1259</v>
      </c>
      <c r="I2901" s="225" t="s">
        <v>2772</v>
      </c>
      <c r="J2901" s="227" t="s">
        <v>512</v>
      </c>
      <c r="K2901" s="228" t="s">
        <v>85</v>
      </c>
      <c r="L2901" s="390" t="s">
        <v>2166</v>
      </c>
      <c r="M2901" s="227" t="s">
        <v>165</v>
      </c>
      <c r="N2901" s="225" t="s">
        <v>700</v>
      </c>
      <c r="O2901" s="225" t="s">
        <v>287</v>
      </c>
      <c r="P2901" s="229">
        <v>40</v>
      </c>
      <c r="Q2901" s="229">
        <v>12</v>
      </c>
      <c r="R2901" s="230">
        <v>8.1300000000000001E-3</v>
      </c>
      <c r="S2901" s="225" t="s">
        <v>40</v>
      </c>
      <c r="T2901" s="225" t="s">
        <v>112</v>
      </c>
      <c r="U2901" s="225" t="s">
        <v>89</v>
      </c>
      <c r="V2901" s="231">
        <v>622</v>
      </c>
      <c r="W2901" s="231">
        <f>517</f>
        <v>517</v>
      </c>
      <c r="X2901" s="232">
        <f>4200/40</f>
        <v>105</v>
      </c>
      <c r="Y2901" s="233">
        <f t="shared" si="1280"/>
        <v>0</v>
      </c>
      <c r="Z2901" s="234">
        <f t="shared" si="1281"/>
        <v>0</v>
      </c>
      <c r="AA2901" s="234">
        <f t="shared" si="1282"/>
        <v>0</v>
      </c>
      <c r="AB2901" s="822">
        <v>2</v>
      </c>
      <c r="AC2901" s="231">
        <f t="shared" si="1283"/>
        <v>0</v>
      </c>
      <c r="AD2901" s="209"/>
      <c r="AE2901" s="210">
        <f t="shared" si="1284"/>
        <v>0</v>
      </c>
      <c r="AF2901" s="210">
        <f t="shared" si="1285"/>
        <v>0</v>
      </c>
      <c r="AG2901" s="211">
        <f t="shared" si="1286"/>
        <v>0.154</v>
      </c>
      <c r="AH2901" s="157">
        <f t="shared" si="1287"/>
        <v>0</v>
      </c>
      <c r="AI2901" s="152">
        <f t="shared" si="1288"/>
        <v>24880</v>
      </c>
      <c r="AK2901" s="156" t="s">
        <v>691</v>
      </c>
      <c r="AL2901" s="156" t="s">
        <v>689</v>
      </c>
      <c r="AM2901" s="198">
        <f t="shared" si="1289"/>
        <v>0</v>
      </c>
      <c r="AN2901" s="199">
        <f t="shared" si="1290"/>
        <v>46007</v>
      </c>
      <c r="AO2901" s="159" t="s">
        <v>692</v>
      </c>
      <c r="AP2901" s="781"/>
      <c r="AQ2901" s="782">
        <v>12071839</v>
      </c>
      <c r="AR2901" s="782">
        <v>12019692</v>
      </c>
      <c r="AS2901" s="782"/>
      <c r="AT2901" s="782">
        <v>12056457</v>
      </c>
      <c r="AU2901" s="782"/>
      <c r="AV2901" s="782">
        <v>12056565</v>
      </c>
      <c r="AW2901" s="782">
        <v>12034747</v>
      </c>
      <c r="AX2901" s="782" t="s">
        <v>398</v>
      </c>
      <c r="AY2901" s="782" t="s">
        <v>513</v>
      </c>
      <c r="AZ2901" s="782"/>
      <c r="BA2901" s="781"/>
      <c r="BB2901" s="209">
        <v>23053184</v>
      </c>
    </row>
    <row r="2902" spans="1:54" ht="25" hidden="1" customHeight="1">
      <c r="B2902" s="213">
        <v>46007</v>
      </c>
      <c r="C2902" s="214">
        <v>46028</v>
      </c>
      <c r="D2902" s="185">
        <f t="shared" si="1278"/>
        <v>2025</v>
      </c>
      <c r="E2902" s="215" t="e">
        <f>VLOOKUP($B2902,[1]Week!$A$1:$C$1462,2,0)</f>
        <v>#N/A</v>
      </c>
      <c r="F2902" s="216" t="str">
        <f t="shared" si="1279"/>
        <v>Dec</v>
      </c>
      <c r="G2902" s="215" t="s">
        <v>2648</v>
      </c>
      <c r="H2902" s="215" t="s">
        <v>134</v>
      </c>
      <c r="I2902" s="215" t="s">
        <v>2772</v>
      </c>
      <c r="J2902" s="209" t="s">
        <v>164</v>
      </c>
      <c r="K2902" s="217" t="s">
        <v>176</v>
      </c>
      <c r="L2902" s="300" t="s">
        <v>2167</v>
      </c>
      <c r="M2902" s="209" t="s">
        <v>193</v>
      </c>
      <c r="N2902" s="215" t="s">
        <v>194</v>
      </c>
      <c r="O2902" s="215" t="s">
        <v>195</v>
      </c>
      <c r="P2902" s="218">
        <v>24</v>
      </c>
      <c r="Q2902" s="218">
        <v>5</v>
      </c>
      <c r="R2902" s="219">
        <v>8.0000000000000002E-3</v>
      </c>
      <c r="S2902" s="215" t="s">
        <v>40</v>
      </c>
      <c r="T2902" s="215" t="s">
        <v>56</v>
      </c>
      <c r="U2902" s="215" t="s">
        <v>57</v>
      </c>
      <c r="V2902" s="220">
        <f>500</f>
        <v>500</v>
      </c>
      <c r="W2902" s="220">
        <f>4+485+11</f>
        <v>500</v>
      </c>
      <c r="X2902" s="221"/>
      <c r="Y2902" s="222">
        <f t="shared" si="1280"/>
        <v>0</v>
      </c>
      <c r="Z2902" s="223">
        <f t="shared" si="1281"/>
        <v>0</v>
      </c>
      <c r="AA2902" s="220">
        <f t="shared" si="1276"/>
        <v>0</v>
      </c>
      <c r="AB2902" s="807">
        <v>1</v>
      </c>
      <c r="AC2902" s="220">
        <f t="shared" si="1283"/>
        <v>0</v>
      </c>
      <c r="AD2902" s="381"/>
      <c r="AE2902" s="210">
        <f t="shared" si="1284"/>
        <v>0</v>
      </c>
      <c r="AF2902" s="210">
        <f t="shared" si="1285"/>
        <v>0</v>
      </c>
      <c r="AG2902" s="211">
        <f t="shared" si="1286"/>
        <v>0.14499999999999999</v>
      </c>
      <c r="AH2902" s="157">
        <f t="shared" si="1287"/>
        <v>0</v>
      </c>
      <c r="AI2902" s="152">
        <f t="shared" si="1288"/>
        <v>12000</v>
      </c>
      <c r="AK2902" s="156" t="s">
        <v>691</v>
      </c>
      <c r="AL2902" s="212" t="s">
        <v>690</v>
      </c>
      <c r="AM2902" s="198">
        <f t="shared" si="1289"/>
        <v>0</v>
      </c>
      <c r="AN2902" s="199">
        <f t="shared" si="1290"/>
        <v>46007</v>
      </c>
      <c r="AO2902" s="159" t="s">
        <v>692</v>
      </c>
      <c r="AP2902" s="783" t="s">
        <v>610</v>
      </c>
      <c r="AQ2902" s="782">
        <v>12071839</v>
      </c>
      <c r="AR2902" s="782">
        <v>12047514</v>
      </c>
      <c r="AS2902" s="782">
        <v>12047515</v>
      </c>
      <c r="AT2902" s="782"/>
      <c r="AU2902" s="782">
        <v>12026902</v>
      </c>
      <c r="AV2902" s="782">
        <v>12054724</v>
      </c>
      <c r="AW2902" s="782">
        <v>12026904</v>
      </c>
      <c r="AX2902" s="782"/>
      <c r="AY2902" s="782">
        <v>12094406</v>
      </c>
      <c r="AZ2902" s="782">
        <v>12094407</v>
      </c>
      <c r="BA2902" s="782">
        <v>12094408</v>
      </c>
    </row>
    <row r="2903" spans="1:54" ht="25" hidden="1" customHeight="1">
      <c r="A2903" s="906" t="s">
        <v>2752</v>
      </c>
      <c r="B2903" s="213">
        <v>46007</v>
      </c>
      <c r="C2903" s="214">
        <v>46028</v>
      </c>
      <c r="D2903" s="185">
        <f t="shared" si="1278"/>
        <v>2025</v>
      </c>
      <c r="E2903" s="215" t="e">
        <f>VLOOKUP($B2903,[1]Week!$A$1:$C$1462,2,0)</f>
        <v>#N/A</v>
      </c>
      <c r="F2903" s="216" t="str">
        <f t="shared" si="1279"/>
        <v>Dec</v>
      </c>
      <c r="G2903" s="215" t="s">
        <v>2648</v>
      </c>
      <c r="H2903" s="215" t="s">
        <v>134</v>
      </c>
      <c r="I2903" s="215" t="s">
        <v>2772</v>
      </c>
      <c r="J2903" s="209" t="s">
        <v>164</v>
      </c>
      <c r="K2903" s="217" t="s">
        <v>1648</v>
      </c>
      <c r="L2903" s="300" t="s">
        <v>2167</v>
      </c>
      <c r="M2903" s="209" t="s">
        <v>193</v>
      </c>
      <c r="N2903" s="215" t="s">
        <v>205</v>
      </c>
      <c r="O2903" s="215" t="s">
        <v>206</v>
      </c>
      <c r="P2903" s="218">
        <v>24</v>
      </c>
      <c r="Q2903" s="218">
        <v>5</v>
      </c>
      <c r="R2903" s="219">
        <v>8.0000000000000002E-3</v>
      </c>
      <c r="S2903" s="215" t="s">
        <v>40</v>
      </c>
      <c r="T2903" s="215" t="s">
        <v>56</v>
      </c>
      <c r="U2903" s="480" t="s">
        <v>499</v>
      </c>
      <c r="V2903" s="220">
        <f>500</f>
        <v>500</v>
      </c>
      <c r="W2903" s="220">
        <f>4+496</f>
        <v>500</v>
      </c>
      <c r="X2903" s="221"/>
      <c r="Y2903" s="222">
        <f t="shared" si="1280"/>
        <v>0</v>
      </c>
      <c r="Z2903" s="223">
        <f t="shared" si="1281"/>
        <v>0</v>
      </c>
      <c r="AA2903" s="220">
        <f t="shared" si="1276"/>
        <v>0</v>
      </c>
      <c r="AB2903" s="807">
        <v>1</v>
      </c>
      <c r="AC2903" s="220">
        <f t="shared" si="1283"/>
        <v>0</v>
      </c>
      <c r="AD2903" s="381"/>
      <c r="AE2903" s="210">
        <f t="shared" si="1284"/>
        <v>0</v>
      </c>
      <c r="AF2903" s="210">
        <f t="shared" si="1285"/>
        <v>0</v>
      </c>
      <c r="AG2903" s="211">
        <f t="shared" si="1286"/>
        <v>0.115</v>
      </c>
      <c r="AH2903" s="157">
        <f t="shared" si="1287"/>
        <v>0</v>
      </c>
      <c r="AI2903" s="152">
        <f t="shared" si="1288"/>
        <v>12000</v>
      </c>
      <c r="AK2903" s="156" t="s">
        <v>691</v>
      </c>
      <c r="AL2903" s="212" t="s">
        <v>690</v>
      </c>
      <c r="AM2903" s="198">
        <f t="shared" si="1289"/>
        <v>0</v>
      </c>
      <c r="AN2903" s="199">
        <f t="shared" si="1290"/>
        <v>46007</v>
      </c>
      <c r="AO2903" s="159" t="s">
        <v>692</v>
      </c>
      <c r="AP2903" s="783" t="s">
        <v>610</v>
      </c>
      <c r="AQ2903" s="782">
        <v>12071839</v>
      </c>
      <c r="AR2903" s="782">
        <v>12047514</v>
      </c>
      <c r="AS2903" s="782">
        <v>12047515</v>
      </c>
      <c r="AT2903" s="782"/>
      <c r="AU2903" s="782">
        <v>12026902</v>
      </c>
      <c r="AV2903" s="782">
        <v>12054722</v>
      </c>
      <c r="AW2903" s="782">
        <v>12026904</v>
      </c>
      <c r="AX2903" s="782"/>
      <c r="AY2903" s="782">
        <v>12094111</v>
      </c>
      <c r="AZ2903" s="782">
        <v>12094113</v>
      </c>
      <c r="BA2903" s="782">
        <v>12094114</v>
      </c>
    </row>
    <row r="2904" spans="1:54" ht="25" hidden="1" customHeight="1">
      <c r="A2904" s="440"/>
      <c r="B2904" s="332">
        <v>46007</v>
      </c>
      <c r="C2904" s="333">
        <v>46016</v>
      </c>
      <c r="D2904" s="185">
        <f t="shared" si="1278"/>
        <v>2025</v>
      </c>
      <c r="E2904" s="333" t="e">
        <f>VLOOKUP($B2904,[1]Week!$A$1:$C$1462,2,0)</f>
        <v>#N/A</v>
      </c>
      <c r="F2904" s="334" t="str">
        <f t="shared" si="1279"/>
        <v>Dec</v>
      </c>
      <c r="G2904" s="335" t="s">
        <v>2679</v>
      </c>
      <c r="H2904" s="335" t="s">
        <v>675</v>
      </c>
      <c r="I2904" s="335" t="s">
        <v>2772</v>
      </c>
      <c r="J2904" s="336" t="s">
        <v>2683</v>
      </c>
      <c r="K2904" s="337" t="s">
        <v>1651</v>
      </c>
      <c r="L2904" s="300" t="s">
        <v>2167</v>
      </c>
      <c r="M2904" s="336" t="s">
        <v>683</v>
      </c>
      <c r="N2904" s="530" t="s">
        <v>2677</v>
      </c>
      <c r="O2904" s="335" t="s">
        <v>2367</v>
      </c>
      <c r="P2904" s="338">
        <v>8</v>
      </c>
      <c r="Q2904" s="338">
        <v>3</v>
      </c>
      <c r="R2904" s="339">
        <v>6.0000000000000001E-3</v>
      </c>
      <c r="S2904" s="335" t="s">
        <v>55</v>
      </c>
      <c r="T2904" s="335" t="s">
        <v>112</v>
      </c>
      <c r="U2904" s="340" t="s">
        <v>1633</v>
      </c>
      <c r="V2904" s="341">
        <v>260</v>
      </c>
      <c r="W2904" s="341"/>
      <c r="X2904" s="342">
        <f>2429/8</f>
        <v>303.625</v>
      </c>
      <c r="Y2904" s="343">
        <f t="shared" si="1280"/>
        <v>43.625</v>
      </c>
      <c r="Z2904" s="344">
        <f t="shared" si="1281"/>
        <v>0</v>
      </c>
      <c r="AA2904" s="344">
        <f t="shared" si="1276"/>
        <v>0</v>
      </c>
      <c r="AB2904" s="817">
        <v>1</v>
      </c>
      <c r="AC2904" s="341">
        <f t="shared" si="1283"/>
        <v>0</v>
      </c>
      <c r="AD2904" s="307" t="s">
        <v>672</v>
      </c>
      <c r="AE2904" s="210">
        <f t="shared" si="1284"/>
        <v>0</v>
      </c>
      <c r="AF2904" s="210">
        <f t="shared" si="1285"/>
        <v>0</v>
      </c>
      <c r="AG2904" s="211">
        <f t="shared" si="1286"/>
        <v>0.24199999999999999</v>
      </c>
      <c r="AH2904" s="157">
        <v>0.26621999999999996</v>
      </c>
      <c r="AI2904" s="152">
        <f t="shared" si="1288"/>
        <v>2080</v>
      </c>
      <c r="AK2904" s="156" t="s">
        <v>691</v>
      </c>
      <c r="AL2904" s="574" t="s">
        <v>690</v>
      </c>
      <c r="AM2904" s="198">
        <f t="shared" si="1289"/>
        <v>0</v>
      </c>
      <c r="AN2904" s="199">
        <f t="shared" si="1290"/>
        <v>46007</v>
      </c>
      <c r="AO2904" s="159" t="s">
        <v>692</v>
      </c>
      <c r="AP2904" s="781" t="s">
        <v>642</v>
      </c>
      <c r="AQ2904" s="782">
        <v>12071839</v>
      </c>
      <c r="AR2904" s="782">
        <v>12042650</v>
      </c>
      <c r="AS2904" s="782">
        <v>12042649</v>
      </c>
      <c r="AT2904" s="782">
        <v>12095800</v>
      </c>
      <c r="AU2904" s="781"/>
      <c r="AV2904" s="782">
        <v>12095801</v>
      </c>
      <c r="AW2904" s="781"/>
      <c r="AX2904" s="781"/>
      <c r="AY2904" s="781" t="s">
        <v>2713</v>
      </c>
      <c r="AZ2904" s="781" t="s">
        <v>2714</v>
      </c>
      <c r="BA2904" s="781"/>
      <c r="BB2904" s="209">
        <v>23099087</v>
      </c>
    </row>
    <row r="2905" spans="1:54" ht="25" hidden="1" customHeight="1">
      <c r="A2905" s="440"/>
      <c r="B2905" s="583">
        <v>46007</v>
      </c>
      <c r="C2905" s="583">
        <v>46034</v>
      </c>
      <c r="D2905" s="185">
        <f t="shared" si="1278"/>
        <v>2025</v>
      </c>
      <c r="E2905" s="584" t="e">
        <f>VLOOKUP($B2905,[1]Week!$A$1:$C$1462,2,0)</f>
        <v>#N/A</v>
      </c>
      <c r="F2905" s="585" t="str">
        <f t="shared" si="1279"/>
        <v>Dec</v>
      </c>
      <c r="G2905" s="586" t="s">
        <v>2649</v>
      </c>
      <c r="H2905" s="586" t="s">
        <v>134</v>
      </c>
      <c r="I2905" s="586" t="s">
        <v>2772</v>
      </c>
      <c r="J2905" s="587" t="s">
        <v>164</v>
      </c>
      <c r="K2905" s="588" t="s">
        <v>707</v>
      </c>
      <c r="L2905" s="300" t="s">
        <v>2167</v>
      </c>
      <c r="M2905" s="587" t="s">
        <v>1636</v>
      </c>
      <c r="N2905" s="586" t="s">
        <v>1634</v>
      </c>
      <c r="O2905" s="586" t="s">
        <v>1635</v>
      </c>
      <c r="P2905" s="589">
        <v>24</v>
      </c>
      <c r="Q2905" s="589">
        <v>3</v>
      </c>
      <c r="R2905" s="590">
        <v>8.0000000000000002E-3</v>
      </c>
      <c r="S2905" s="586" t="s">
        <v>40</v>
      </c>
      <c r="T2905" s="586" t="s">
        <v>112</v>
      </c>
      <c r="U2905" s="591" t="s">
        <v>1633</v>
      </c>
      <c r="V2905" s="592">
        <f>420</f>
        <v>420</v>
      </c>
      <c r="W2905" s="592">
        <f>4+416</f>
        <v>420</v>
      </c>
      <c r="X2905" s="593">
        <f>(158)/24</f>
        <v>6.583333333333333</v>
      </c>
      <c r="Y2905" s="594">
        <f t="shared" si="1280"/>
        <v>6.5833333333333144</v>
      </c>
      <c r="Z2905" s="595">
        <f t="shared" si="1281"/>
        <v>0</v>
      </c>
      <c r="AA2905" s="595">
        <f t="shared" ref="AA2905:AA2917" si="1291">Q2905*Z2905</f>
        <v>0</v>
      </c>
      <c r="AB2905" s="835">
        <v>6.5000000000000002E-2</v>
      </c>
      <c r="AC2905" s="592">
        <f t="shared" si="1283"/>
        <v>0</v>
      </c>
      <c r="AD2905" s="443"/>
      <c r="AE2905" s="210">
        <f t="shared" si="1284"/>
        <v>0</v>
      </c>
      <c r="AF2905" s="210">
        <f t="shared" si="1285"/>
        <v>0</v>
      </c>
      <c r="AG2905" s="211">
        <f t="shared" si="1286"/>
        <v>0.25</v>
      </c>
      <c r="AH2905" s="157">
        <f>(Z2905*AG2905)/1000</f>
        <v>0</v>
      </c>
      <c r="AI2905" s="152">
        <f t="shared" si="1288"/>
        <v>10080</v>
      </c>
      <c r="AK2905" s="156" t="s">
        <v>691</v>
      </c>
      <c r="AL2905" s="212" t="s">
        <v>690</v>
      </c>
      <c r="AM2905" s="198">
        <f t="shared" si="1289"/>
        <v>0</v>
      </c>
      <c r="AN2905" s="199">
        <f t="shared" si="1290"/>
        <v>46007</v>
      </c>
      <c r="AO2905" s="159" t="s">
        <v>692</v>
      </c>
      <c r="AP2905" s="781"/>
      <c r="AQ2905" s="782">
        <v>12071839</v>
      </c>
      <c r="AR2905" s="782">
        <v>12042650</v>
      </c>
      <c r="AS2905" s="782">
        <v>12042649</v>
      </c>
      <c r="AT2905" s="782"/>
      <c r="AU2905" s="783" t="s">
        <v>2156</v>
      </c>
      <c r="AV2905" s="782">
        <v>12091944</v>
      </c>
      <c r="AW2905" s="782" t="s">
        <v>2157</v>
      </c>
      <c r="AX2905" s="782"/>
      <c r="AY2905" s="782">
        <v>12094273</v>
      </c>
      <c r="AZ2905" s="782">
        <v>12094274</v>
      </c>
      <c r="BA2905" s="782">
        <v>12094275</v>
      </c>
      <c r="BB2905" s="209">
        <v>23105543</v>
      </c>
    </row>
    <row r="2906" spans="1:54" ht="25" hidden="1" customHeight="1">
      <c r="A2906" s="440"/>
      <c r="B2906" s="332">
        <v>46007</v>
      </c>
      <c r="C2906" s="646" t="s">
        <v>1936</v>
      </c>
      <c r="D2906" s="185">
        <f t="shared" si="1278"/>
        <v>2025</v>
      </c>
      <c r="E2906" s="333" t="e">
        <f>VLOOKUP($B2906,[1]Week!$A$1:$C$1462,2,0)</f>
        <v>#N/A</v>
      </c>
      <c r="F2906" s="334" t="str">
        <f t="shared" si="1279"/>
        <v>Dec</v>
      </c>
      <c r="G2906" s="335" t="s">
        <v>47</v>
      </c>
      <c r="H2906" s="335" t="s">
        <v>518</v>
      </c>
      <c r="I2906" s="335" t="s">
        <v>2702</v>
      </c>
      <c r="J2906" s="336" t="s">
        <v>70</v>
      </c>
      <c r="K2906" s="337" t="s">
        <v>2581</v>
      </c>
      <c r="L2906" s="300" t="s">
        <v>2167</v>
      </c>
      <c r="M2906" s="336" t="s">
        <v>2575</v>
      </c>
      <c r="N2906" s="530" t="s">
        <v>2578</v>
      </c>
      <c r="O2906" s="335" t="s">
        <v>2574</v>
      </c>
      <c r="P2906" s="338">
        <v>12</v>
      </c>
      <c r="Q2906" s="338">
        <v>3</v>
      </c>
      <c r="R2906" s="339">
        <v>6.1999999999999998E-3</v>
      </c>
      <c r="S2906" s="335" t="s">
        <v>55</v>
      </c>
      <c r="T2906" s="335" t="s">
        <v>56</v>
      </c>
      <c r="U2906" s="340" t="s">
        <v>1633</v>
      </c>
      <c r="V2906" s="341">
        <f>1000</f>
        <v>1000</v>
      </c>
      <c r="W2906" s="341">
        <f>17+983</f>
        <v>1000</v>
      </c>
      <c r="X2906" s="342"/>
      <c r="Y2906" s="343">
        <f t="shared" si="1280"/>
        <v>0</v>
      </c>
      <c r="Z2906" s="344">
        <f t="shared" si="1281"/>
        <v>0</v>
      </c>
      <c r="AA2906" s="344">
        <f t="shared" si="1291"/>
        <v>0</v>
      </c>
      <c r="AB2906" s="817"/>
      <c r="AC2906" s="341">
        <f t="shared" si="1283"/>
        <v>0</v>
      </c>
      <c r="AD2906" s="443"/>
      <c r="AE2906" s="210">
        <f t="shared" si="1284"/>
        <v>0</v>
      </c>
      <c r="AF2906" s="210">
        <f t="shared" si="1285"/>
        <v>0</v>
      </c>
      <c r="AG2906" s="211">
        <f t="shared" si="1286"/>
        <v>0.23499999999999999</v>
      </c>
      <c r="AH2906" s="157">
        <v>0.26621999999999996</v>
      </c>
      <c r="AI2906" s="152">
        <f t="shared" si="1288"/>
        <v>12000</v>
      </c>
      <c r="AK2906" s="156" t="s">
        <v>691</v>
      </c>
      <c r="AL2906" s="574" t="s">
        <v>690</v>
      </c>
      <c r="AM2906" s="198">
        <f t="shared" si="1289"/>
        <v>0</v>
      </c>
      <c r="AN2906" s="199">
        <f t="shared" si="1290"/>
        <v>46007</v>
      </c>
      <c r="AO2906" s="159" t="s">
        <v>692</v>
      </c>
      <c r="AP2906" s="781" t="s">
        <v>642</v>
      </c>
      <c r="AQ2906" s="782">
        <v>12071839</v>
      </c>
      <c r="AR2906" s="782">
        <v>12042650</v>
      </c>
      <c r="AS2906" s="782">
        <v>12042649</v>
      </c>
      <c r="AT2906" s="782"/>
      <c r="AU2906" s="781"/>
      <c r="AV2906" s="782">
        <v>12094444</v>
      </c>
      <c r="AW2906" s="781"/>
      <c r="AX2906" s="781"/>
      <c r="AY2906" s="783" t="s">
        <v>2602</v>
      </c>
      <c r="AZ2906" s="796" t="s">
        <v>2603</v>
      </c>
      <c r="BA2906" s="781"/>
      <c r="BB2906" s="209">
        <v>23099087</v>
      </c>
    </row>
    <row r="2907" spans="1:54" ht="25" hidden="1" customHeight="1">
      <c r="A2907" s="440"/>
      <c r="B2907" s="332">
        <v>46007</v>
      </c>
      <c r="C2907" s="646" t="s">
        <v>2629</v>
      </c>
      <c r="D2907" s="185">
        <f t="shared" si="1278"/>
        <v>2025</v>
      </c>
      <c r="E2907" s="333" t="e">
        <f>VLOOKUP($B2907,[1]Week!$A$1:$C$1462,2,0)</f>
        <v>#N/A</v>
      </c>
      <c r="F2907" s="334" t="str">
        <f t="shared" si="1279"/>
        <v>Dec</v>
      </c>
      <c r="G2907" s="335" t="s">
        <v>47</v>
      </c>
      <c r="H2907" s="335" t="s">
        <v>518</v>
      </c>
      <c r="I2907" s="335" t="s">
        <v>2702</v>
      </c>
      <c r="J2907" s="336" t="s">
        <v>70</v>
      </c>
      <c r="K2907" s="337" t="s">
        <v>2581</v>
      </c>
      <c r="L2907" s="300" t="s">
        <v>2167</v>
      </c>
      <c r="M2907" s="336" t="s">
        <v>2575</v>
      </c>
      <c r="N2907" s="530" t="s">
        <v>2578</v>
      </c>
      <c r="O2907" s="335" t="s">
        <v>2574</v>
      </c>
      <c r="P2907" s="338">
        <v>12</v>
      </c>
      <c r="Q2907" s="338">
        <v>3</v>
      </c>
      <c r="R2907" s="339">
        <v>6.1999999999999998E-3</v>
      </c>
      <c r="S2907" s="335" t="s">
        <v>55</v>
      </c>
      <c r="T2907" s="335" t="s">
        <v>56</v>
      </c>
      <c r="U2907" s="340" t="s">
        <v>1633</v>
      </c>
      <c r="V2907" s="341">
        <f>500</f>
        <v>500</v>
      </c>
      <c r="W2907" s="341">
        <f>1487-983</f>
        <v>504</v>
      </c>
      <c r="X2907" s="342"/>
      <c r="Y2907" s="343">
        <f t="shared" si="1280"/>
        <v>4</v>
      </c>
      <c r="Z2907" s="344">
        <f t="shared" si="1281"/>
        <v>0</v>
      </c>
      <c r="AA2907" s="344">
        <f t="shared" si="1291"/>
        <v>0</v>
      </c>
      <c r="AB2907" s="817"/>
      <c r="AC2907" s="341">
        <f t="shared" si="1283"/>
        <v>0</v>
      </c>
      <c r="AD2907" s="443"/>
      <c r="AE2907" s="210">
        <f t="shared" si="1284"/>
        <v>0</v>
      </c>
      <c r="AF2907" s="210">
        <f t="shared" si="1285"/>
        <v>0</v>
      </c>
      <c r="AG2907" s="211">
        <f t="shared" si="1286"/>
        <v>0.23499999999999999</v>
      </c>
      <c r="AH2907" s="157">
        <v>0.26621999999999996</v>
      </c>
      <c r="AI2907" s="152">
        <f t="shared" si="1288"/>
        <v>6000</v>
      </c>
      <c r="AK2907" s="156" t="s">
        <v>691</v>
      </c>
      <c r="AL2907" s="574" t="s">
        <v>690</v>
      </c>
      <c r="AM2907" s="198">
        <f t="shared" si="1289"/>
        <v>0</v>
      </c>
      <c r="AN2907" s="199">
        <f t="shared" si="1290"/>
        <v>46007</v>
      </c>
      <c r="AO2907" s="159" t="s">
        <v>692</v>
      </c>
      <c r="AP2907" s="781" t="s">
        <v>642</v>
      </c>
      <c r="AQ2907" s="782">
        <v>12071839</v>
      </c>
      <c r="AR2907" s="782">
        <v>12042650</v>
      </c>
      <c r="AS2907" s="782">
        <v>12042649</v>
      </c>
      <c r="AT2907" s="782"/>
      <c r="AU2907" s="781"/>
      <c r="AV2907" s="782">
        <v>12094444</v>
      </c>
      <c r="AW2907" s="781"/>
      <c r="AX2907" s="781"/>
      <c r="AY2907" s="783" t="s">
        <v>2602</v>
      </c>
      <c r="AZ2907" s="796" t="s">
        <v>2603</v>
      </c>
      <c r="BA2907" s="781"/>
      <c r="BB2907" s="209">
        <v>23099087</v>
      </c>
    </row>
    <row r="2908" spans="1:54" ht="25" hidden="1" customHeight="1">
      <c r="A2908" s="440"/>
      <c r="B2908" s="332">
        <v>46007</v>
      </c>
      <c r="C2908" s="646" t="s">
        <v>1936</v>
      </c>
      <c r="D2908" s="185">
        <f t="shared" si="1278"/>
        <v>2025</v>
      </c>
      <c r="E2908" s="333" t="e">
        <f>VLOOKUP($B2908,[1]Week!$A$1:$C$1462,2,0)</f>
        <v>#N/A</v>
      </c>
      <c r="F2908" s="334" t="str">
        <f t="shared" si="1279"/>
        <v>Dec</v>
      </c>
      <c r="G2908" s="335" t="s">
        <v>47</v>
      </c>
      <c r="H2908" s="335" t="s">
        <v>518</v>
      </c>
      <c r="I2908" s="335" t="s">
        <v>2702</v>
      </c>
      <c r="J2908" s="336" t="s">
        <v>70</v>
      </c>
      <c r="K2908" s="337" t="s">
        <v>2580</v>
      </c>
      <c r="L2908" s="300" t="s">
        <v>2167</v>
      </c>
      <c r="M2908" s="336" t="s">
        <v>2576</v>
      </c>
      <c r="N2908" s="530" t="s">
        <v>2579</v>
      </c>
      <c r="O2908" s="335" t="s">
        <v>2574</v>
      </c>
      <c r="P2908" s="338">
        <v>12</v>
      </c>
      <c r="Q2908" s="338">
        <v>3</v>
      </c>
      <c r="R2908" s="339">
        <v>6.1999999999999998E-3</v>
      </c>
      <c r="S2908" s="335" t="s">
        <v>55</v>
      </c>
      <c r="T2908" s="335" t="s">
        <v>56</v>
      </c>
      <c r="U2908" s="340" t="s">
        <v>2577</v>
      </c>
      <c r="V2908" s="341">
        <f>1000</f>
        <v>1000</v>
      </c>
      <c r="W2908" s="341">
        <f>1+999</f>
        <v>1000</v>
      </c>
      <c r="X2908" s="342"/>
      <c r="Y2908" s="343">
        <f t="shared" si="1280"/>
        <v>0</v>
      </c>
      <c r="Z2908" s="344">
        <f t="shared" si="1281"/>
        <v>0</v>
      </c>
      <c r="AA2908" s="344">
        <f t="shared" si="1291"/>
        <v>0</v>
      </c>
      <c r="AB2908" s="817"/>
      <c r="AC2908" s="341">
        <f t="shared" si="1283"/>
        <v>0</v>
      </c>
      <c r="AD2908" s="443"/>
      <c r="AE2908" s="210">
        <f t="shared" si="1284"/>
        <v>0</v>
      </c>
      <c r="AF2908" s="210">
        <f t="shared" si="1285"/>
        <v>0</v>
      </c>
      <c r="AG2908" s="211">
        <f t="shared" si="1286"/>
        <v>0.23499999999999999</v>
      </c>
      <c r="AH2908" s="157">
        <v>0.26621999999999996</v>
      </c>
      <c r="AI2908" s="152">
        <f t="shared" si="1288"/>
        <v>12000</v>
      </c>
      <c r="AK2908" s="156" t="s">
        <v>691</v>
      </c>
      <c r="AL2908" s="574" t="s">
        <v>690</v>
      </c>
      <c r="AM2908" s="198">
        <f t="shared" si="1289"/>
        <v>0</v>
      </c>
      <c r="AN2908" s="199">
        <f t="shared" si="1290"/>
        <v>46007</v>
      </c>
      <c r="AO2908" s="159" t="s">
        <v>692</v>
      </c>
      <c r="AP2908" s="781" t="s">
        <v>642</v>
      </c>
      <c r="AQ2908" s="782">
        <v>12071839</v>
      </c>
      <c r="AR2908" s="782">
        <v>12042650</v>
      </c>
      <c r="AS2908" s="782">
        <v>12042649</v>
      </c>
      <c r="AT2908" s="782"/>
      <c r="AU2908" s="781"/>
      <c r="AV2908" s="782">
        <v>12096531</v>
      </c>
      <c r="AW2908" s="781"/>
      <c r="AX2908" s="781"/>
      <c r="AY2908" s="783" t="s">
        <v>2604</v>
      </c>
      <c r="AZ2908" s="796" t="s">
        <v>2605</v>
      </c>
      <c r="BA2908" s="781"/>
      <c r="BB2908" s="209">
        <v>23099087</v>
      </c>
    </row>
    <row r="2909" spans="1:54" ht="25" hidden="1" customHeight="1">
      <c r="A2909" s="440"/>
      <c r="B2909" s="332">
        <v>46007</v>
      </c>
      <c r="C2909" s="646" t="s">
        <v>2629</v>
      </c>
      <c r="D2909" s="185">
        <f t="shared" si="1278"/>
        <v>2025</v>
      </c>
      <c r="E2909" s="333" t="e">
        <f>VLOOKUP($B2909,[1]Week!$A$1:$C$1462,2,0)</f>
        <v>#N/A</v>
      </c>
      <c r="F2909" s="334" t="str">
        <f t="shared" si="1279"/>
        <v>Dec</v>
      </c>
      <c r="G2909" s="335" t="s">
        <v>47</v>
      </c>
      <c r="H2909" s="335" t="s">
        <v>518</v>
      </c>
      <c r="I2909" s="335" t="s">
        <v>2702</v>
      </c>
      <c r="J2909" s="336" t="s">
        <v>70</v>
      </c>
      <c r="K2909" s="337" t="s">
        <v>2580</v>
      </c>
      <c r="L2909" s="300" t="s">
        <v>2167</v>
      </c>
      <c r="M2909" s="336" t="s">
        <v>2576</v>
      </c>
      <c r="N2909" s="530" t="s">
        <v>2579</v>
      </c>
      <c r="O2909" s="335" t="s">
        <v>2574</v>
      </c>
      <c r="P2909" s="338">
        <v>12</v>
      </c>
      <c r="Q2909" s="338">
        <v>3</v>
      </c>
      <c r="R2909" s="339">
        <v>6.1999999999999998E-3</v>
      </c>
      <c r="S2909" s="335" t="s">
        <v>55</v>
      </c>
      <c r="T2909" s="335" t="s">
        <v>56</v>
      </c>
      <c r="U2909" s="340" t="s">
        <v>2577</v>
      </c>
      <c r="V2909" s="341">
        <f>500</f>
        <v>500</v>
      </c>
      <c r="W2909" s="341">
        <f>1504-999</f>
        <v>505</v>
      </c>
      <c r="X2909" s="342"/>
      <c r="Y2909" s="343">
        <f t="shared" si="1280"/>
        <v>5</v>
      </c>
      <c r="Z2909" s="344">
        <f t="shared" si="1281"/>
        <v>0</v>
      </c>
      <c r="AA2909" s="344">
        <f t="shared" si="1291"/>
        <v>0</v>
      </c>
      <c r="AB2909" s="817"/>
      <c r="AC2909" s="341">
        <f t="shared" si="1283"/>
        <v>0</v>
      </c>
      <c r="AD2909" s="443"/>
      <c r="AE2909" s="210">
        <f t="shared" si="1284"/>
        <v>0</v>
      </c>
      <c r="AF2909" s="210">
        <f t="shared" si="1285"/>
        <v>0</v>
      </c>
      <c r="AG2909" s="211">
        <f t="shared" si="1286"/>
        <v>0.23499999999999999</v>
      </c>
      <c r="AH2909" s="157">
        <v>0.26621999999999996</v>
      </c>
      <c r="AI2909" s="152">
        <f t="shared" si="1288"/>
        <v>6000</v>
      </c>
      <c r="AK2909" s="156" t="s">
        <v>691</v>
      </c>
      <c r="AL2909" s="574" t="s">
        <v>690</v>
      </c>
      <c r="AM2909" s="198">
        <f t="shared" si="1289"/>
        <v>0</v>
      </c>
      <c r="AN2909" s="199">
        <f t="shared" si="1290"/>
        <v>46007</v>
      </c>
      <c r="AO2909" s="159" t="s">
        <v>692</v>
      </c>
      <c r="AP2909" s="781" t="s">
        <v>642</v>
      </c>
      <c r="AQ2909" s="782">
        <v>12071839</v>
      </c>
      <c r="AR2909" s="782">
        <v>12042650</v>
      </c>
      <c r="AS2909" s="782">
        <v>12042649</v>
      </c>
      <c r="AT2909" s="782"/>
      <c r="AU2909" s="781"/>
      <c r="AV2909" s="782">
        <v>12096531</v>
      </c>
      <c r="AW2909" s="781"/>
      <c r="AX2909" s="781"/>
      <c r="AY2909" s="783" t="s">
        <v>2604</v>
      </c>
      <c r="AZ2909" s="796" t="s">
        <v>2605</v>
      </c>
      <c r="BA2909" s="781"/>
      <c r="BB2909" s="209">
        <v>23099087</v>
      </c>
    </row>
    <row r="2910" spans="1:54" ht="24.65" hidden="1" customHeight="1">
      <c r="A2910" s="142" t="s">
        <v>120</v>
      </c>
      <c r="B2910" s="258">
        <v>46008</v>
      </c>
      <c r="C2910" s="259">
        <v>46027</v>
      </c>
      <c r="D2910" s="185">
        <f t="shared" si="1278"/>
        <v>2025</v>
      </c>
      <c r="E2910" s="260" t="e">
        <f>VLOOKUP($B2910,Week!$A$1:$C$1462,2,0)</f>
        <v>#N/A</v>
      </c>
      <c r="F2910" s="261" t="str">
        <f t="shared" si="1279"/>
        <v>Dec</v>
      </c>
      <c r="G2910" s="262" t="s">
        <v>2495</v>
      </c>
      <c r="H2910" s="260" t="s">
        <v>134</v>
      </c>
      <c r="I2910" s="260" t="s">
        <v>2772</v>
      </c>
      <c r="J2910" s="263" t="s">
        <v>164</v>
      </c>
      <c r="K2910" s="264" t="s">
        <v>153</v>
      </c>
      <c r="L2910" s="390" t="s">
        <v>2166</v>
      </c>
      <c r="M2910" s="263" t="s">
        <v>165</v>
      </c>
      <c r="N2910" s="260" t="s">
        <v>166</v>
      </c>
      <c r="O2910" s="260" t="s">
        <v>502</v>
      </c>
      <c r="P2910" s="265">
        <v>20</v>
      </c>
      <c r="Q2910" s="265">
        <v>12</v>
      </c>
      <c r="R2910" s="266">
        <v>6.8100000000000001E-3</v>
      </c>
      <c r="S2910" s="260" t="s">
        <v>76</v>
      </c>
      <c r="T2910" s="260" t="s">
        <v>56</v>
      </c>
      <c r="U2910" s="260" t="s">
        <v>89</v>
      </c>
      <c r="V2910" s="267">
        <v>1023</v>
      </c>
      <c r="W2910" s="267">
        <f>1023</f>
        <v>1023</v>
      </c>
      <c r="X2910" s="268"/>
      <c r="Y2910" s="269">
        <f t="shared" si="1280"/>
        <v>0</v>
      </c>
      <c r="Z2910" s="270">
        <f t="shared" si="1281"/>
        <v>0</v>
      </c>
      <c r="AA2910" s="270">
        <f t="shared" si="1291"/>
        <v>0</v>
      </c>
      <c r="AB2910" s="811">
        <v>2</v>
      </c>
      <c r="AC2910" s="267">
        <f t="shared" si="1283"/>
        <v>0</v>
      </c>
      <c r="AD2910" s="209" t="s">
        <v>168</v>
      </c>
      <c r="AE2910" s="210">
        <f t="shared" si="1284"/>
        <v>0</v>
      </c>
      <c r="AF2910" s="210">
        <f t="shared" si="1285"/>
        <v>0</v>
      </c>
      <c r="AG2910" s="211">
        <f t="shared" si="1286"/>
        <v>0.154</v>
      </c>
      <c r="AH2910" s="157">
        <f t="shared" ref="AH2910:AH2932" si="1292">(Z2910*AG2910)/1000</f>
        <v>0</v>
      </c>
      <c r="AI2910" s="152">
        <f t="shared" si="1288"/>
        <v>20460</v>
      </c>
      <c r="AK2910" s="156" t="s">
        <v>691</v>
      </c>
      <c r="AL2910" s="156" t="s">
        <v>689</v>
      </c>
      <c r="AM2910" s="198">
        <f t="shared" si="1289"/>
        <v>0</v>
      </c>
      <c r="AN2910" s="199">
        <f t="shared" si="1290"/>
        <v>46008</v>
      </c>
      <c r="AO2910" s="159" t="s">
        <v>692</v>
      </c>
      <c r="AP2910" s="783" t="s">
        <v>610</v>
      </c>
      <c r="AQ2910" s="783" t="s">
        <v>631</v>
      </c>
      <c r="AR2910" s="783" t="s">
        <v>523</v>
      </c>
      <c r="AS2910" s="781"/>
      <c r="AT2910" s="782">
        <v>12096524</v>
      </c>
      <c r="AU2910" s="781"/>
      <c r="AV2910" s="783" t="s">
        <v>2507</v>
      </c>
      <c r="AW2910" s="781"/>
      <c r="AX2910" s="782" t="s">
        <v>398</v>
      </c>
      <c r="AY2910" s="781"/>
      <c r="AZ2910" s="781"/>
      <c r="BA2910" s="781"/>
      <c r="BB2910" s="209">
        <v>23053184</v>
      </c>
    </row>
    <row r="2911" spans="1:54" ht="24.65" hidden="1" customHeight="1">
      <c r="A2911" s="906" t="s">
        <v>2763</v>
      </c>
      <c r="B2911" s="411">
        <v>46008</v>
      </c>
      <c r="C2911" s="645" t="s">
        <v>1936</v>
      </c>
      <c r="D2911" s="185">
        <f t="shared" si="1278"/>
        <v>2025</v>
      </c>
      <c r="E2911" s="412" t="e">
        <f>VLOOKUP($B2911,Week!$A$1:$C$1462,2,0)</f>
        <v>#N/A</v>
      </c>
      <c r="F2911" s="413" t="str">
        <f t="shared" si="1279"/>
        <v>Dec</v>
      </c>
      <c r="G2911" s="414" t="s">
        <v>47</v>
      </c>
      <c r="H2911" s="414" t="s">
        <v>260</v>
      </c>
      <c r="I2911" s="414" t="s">
        <v>2702</v>
      </c>
      <c r="J2911" s="415" t="s">
        <v>261</v>
      </c>
      <c r="K2911" s="416" t="s">
        <v>94</v>
      </c>
      <c r="L2911" s="300" t="s">
        <v>2167</v>
      </c>
      <c r="M2911" s="415" t="s">
        <v>2339</v>
      </c>
      <c r="N2911" s="414" t="s">
        <v>263</v>
      </c>
      <c r="O2911" s="414" t="s">
        <v>195</v>
      </c>
      <c r="P2911" s="417">
        <v>24</v>
      </c>
      <c r="Q2911" s="417">
        <v>5</v>
      </c>
      <c r="R2911" s="418">
        <v>8.0000000000000002E-3</v>
      </c>
      <c r="S2911" s="414" t="s">
        <v>40</v>
      </c>
      <c r="T2911" s="414" t="s">
        <v>56</v>
      </c>
      <c r="U2911" s="414" t="s">
        <v>57</v>
      </c>
      <c r="V2911" s="419">
        <f>10000-942-2558-3413-3037</f>
        <v>50</v>
      </c>
      <c r="W2911" s="419">
        <f>50</f>
        <v>50</v>
      </c>
      <c r="X2911" s="420"/>
      <c r="Y2911" s="421">
        <f t="shared" si="1280"/>
        <v>0</v>
      </c>
      <c r="Z2911" s="422">
        <f t="shared" si="1281"/>
        <v>0</v>
      </c>
      <c r="AA2911" s="422">
        <f t="shared" si="1291"/>
        <v>0</v>
      </c>
      <c r="AB2911" s="825">
        <v>7.4999999999999997E-3</v>
      </c>
      <c r="AC2911" s="419">
        <f t="shared" si="1283"/>
        <v>0</v>
      </c>
      <c r="AD2911" s="209"/>
      <c r="AE2911" s="210">
        <f t="shared" si="1284"/>
        <v>0</v>
      </c>
      <c r="AF2911" s="210">
        <f t="shared" si="1285"/>
        <v>0</v>
      </c>
      <c r="AG2911" s="211">
        <f t="shared" si="1286"/>
        <v>0.14499999999999999</v>
      </c>
      <c r="AH2911" s="157">
        <f t="shared" si="1292"/>
        <v>0</v>
      </c>
      <c r="AI2911" s="152">
        <f t="shared" si="1288"/>
        <v>1200</v>
      </c>
      <c r="AK2911" s="156" t="s">
        <v>691</v>
      </c>
      <c r="AL2911" s="212" t="s">
        <v>690</v>
      </c>
      <c r="AM2911" s="198">
        <f t="shared" si="1289"/>
        <v>0</v>
      </c>
      <c r="AN2911" s="199">
        <f t="shared" si="1290"/>
        <v>46008</v>
      </c>
      <c r="AO2911" s="159" t="s">
        <v>692</v>
      </c>
      <c r="AP2911" s="783" t="s">
        <v>609</v>
      </c>
      <c r="AQ2911" s="782">
        <v>12071839</v>
      </c>
      <c r="AR2911" s="782">
        <v>12047514</v>
      </c>
      <c r="AS2911" s="782">
        <v>12047515</v>
      </c>
      <c r="AT2911" s="781"/>
      <c r="AU2911" s="781"/>
      <c r="AV2911" s="782">
        <v>12080613</v>
      </c>
      <c r="AW2911" s="781"/>
      <c r="AX2911" s="781"/>
      <c r="AY2911" s="782">
        <v>12094241</v>
      </c>
      <c r="AZ2911" s="782">
        <v>12094242</v>
      </c>
      <c r="BA2911" s="781"/>
      <c r="BB2911" s="209">
        <v>23053185</v>
      </c>
    </row>
    <row r="2912" spans="1:54" ht="24.65" hidden="1" customHeight="1">
      <c r="A2912" s="906" t="s">
        <v>2763</v>
      </c>
      <c r="B2912" s="411">
        <v>46008</v>
      </c>
      <c r="C2912" s="645" t="s">
        <v>2629</v>
      </c>
      <c r="D2912" s="185">
        <f t="shared" si="1278"/>
        <v>2025</v>
      </c>
      <c r="E2912" s="412" t="e">
        <f>VLOOKUP($B2912,Week!$A$1:$C$1462,2,0)</f>
        <v>#N/A</v>
      </c>
      <c r="F2912" s="413" t="str">
        <f t="shared" si="1279"/>
        <v>Dec</v>
      </c>
      <c r="G2912" s="414" t="s">
        <v>47</v>
      </c>
      <c r="H2912" s="414" t="s">
        <v>260</v>
      </c>
      <c r="I2912" s="414" t="s">
        <v>2702</v>
      </c>
      <c r="J2912" s="415" t="s">
        <v>261</v>
      </c>
      <c r="K2912" s="416" t="s">
        <v>94</v>
      </c>
      <c r="L2912" s="300" t="s">
        <v>2167</v>
      </c>
      <c r="M2912" s="415" t="s">
        <v>2339</v>
      </c>
      <c r="N2912" s="414" t="s">
        <v>263</v>
      </c>
      <c r="O2912" s="414" t="s">
        <v>195</v>
      </c>
      <c r="P2912" s="417">
        <v>24</v>
      </c>
      <c r="Q2912" s="417">
        <v>5</v>
      </c>
      <c r="R2912" s="418">
        <v>8.0000000000000002E-3</v>
      </c>
      <c r="S2912" s="414" t="s">
        <v>40</v>
      </c>
      <c r="T2912" s="414" t="s">
        <v>56</v>
      </c>
      <c r="U2912" s="414" t="s">
        <v>57</v>
      </c>
      <c r="V2912" s="419">
        <v>3723</v>
      </c>
      <c r="W2912" s="419">
        <f>3723</f>
        <v>3723</v>
      </c>
      <c r="X2912" s="420"/>
      <c r="Y2912" s="421">
        <f t="shared" si="1280"/>
        <v>0</v>
      </c>
      <c r="Z2912" s="422">
        <f t="shared" si="1281"/>
        <v>0</v>
      </c>
      <c r="AA2912" s="422">
        <f t="shared" si="1291"/>
        <v>0</v>
      </c>
      <c r="AB2912" s="825">
        <v>7.4999999999999997E-3</v>
      </c>
      <c r="AC2912" s="419">
        <f t="shared" si="1283"/>
        <v>0</v>
      </c>
      <c r="AD2912" s="209"/>
      <c r="AE2912" s="210">
        <f t="shared" si="1284"/>
        <v>0</v>
      </c>
      <c r="AF2912" s="210">
        <f t="shared" si="1285"/>
        <v>0</v>
      </c>
      <c r="AG2912" s="211">
        <f t="shared" si="1286"/>
        <v>0.14499999999999999</v>
      </c>
      <c r="AH2912" s="157">
        <f t="shared" si="1292"/>
        <v>0</v>
      </c>
      <c r="AI2912" s="152">
        <f t="shared" si="1288"/>
        <v>89352</v>
      </c>
      <c r="AK2912" s="156" t="s">
        <v>691</v>
      </c>
      <c r="AL2912" s="212" t="s">
        <v>690</v>
      </c>
      <c r="AM2912" s="198">
        <f t="shared" si="1289"/>
        <v>0</v>
      </c>
      <c r="AN2912" s="199">
        <f t="shared" si="1290"/>
        <v>46008</v>
      </c>
      <c r="AO2912" s="159" t="s">
        <v>692</v>
      </c>
      <c r="AP2912" s="783" t="s">
        <v>609</v>
      </c>
      <c r="AQ2912" s="782">
        <v>12071839</v>
      </c>
      <c r="AR2912" s="782">
        <v>12047514</v>
      </c>
      <c r="AS2912" s="782">
        <v>12047515</v>
      </c>
      <c r="AT2912" s="781"/>
      <c r="AU2912" s="781"/>
      <c r="AV2912" s="782">
        <v>12080613</v>
      </c>
      <c r="AW2912" s="781"/>
      <c r="AX2912" s="781"/>
      <c r="AY2912" s="782">
        <v>12094241</v>
      </c>
      <c r="AZ2912" s="782">
        <v>12094242</v>
      </c>
      <c r="BA2912" s="781"/>
      <c r="BB2912" s="209">
        <v>23053185</v>
      </c>
    </row>
    <row r="2913" spans="1:54" ht="24.65" hidden="1" customHeight="1">
      <c r="A2913" s="142" t="s">
        <v>120</v>
      </c>
      <c r="B2913" s="383">
        <v>46009</v>
      </c>
      <c r="C2913" s="224">
        <v>46015</v>
      </c>
      <c r="D2913" s="185">
        <f t="shared" si="1278"/>
        <v>2025</v>
      </c>
      <c r="E2913" s="224" t="e">
        <f>VLOOKUP($B2913,Week!$A$1:$C$1462,2,0)</f>
        <v>#N/A</v>
      </c>
      <c r="F2913" s="226" t="str">
        <f t="shared" si="1279"/>
        <v>Dec</v>
      </c>
      <c r="G2913" s="225" t="s">
        <v>2453</v>
      </c>
      <c r="H2913" s="225" t="s">
        <v>1259</v>
      </c>
      <c r="I2913" s="225" t="s">
        <v>2772</v>
      </c>
      <c r="J2913" s="227" t="s">
        <v>512</v>
      </c>
      <c r="K2913" s="228" t="s">
        <v>85</v>
      </c>
      <c r="L2913" s="390" t="s">
        <v>2166</v>
      </c>
      <c r="M2913" s="227" t="s">
        <v>165</v>
      </c>
      <c r="N2913" s="225" t="s">
        <v>700</v>
      </c>
      <c r="O2913" s="225" t="s">
        <v>287</v>
      </c>
      <c r="P2913" s="229">
        <v>40</v>
      </c>
      <c r="Q2913" s="229">
        <v>12</v>
      </c>
      <c r="R2913" s="230">
        <v>8.1300000000000001E-3</v>
      </c>
      <c r="S2913" s="225" t="s">
        <v>40</v>
      </c>
      <c r="T2913" s="225" t="s">
        <v>112</v>
      </c>
      <c r="U2913" s="225" t="s">
        <v>89</v>
      </c>
      <c r="V2913" s="231">
        <f>1624-606-622</f>
        <v>396</v>
      </c>
      <c r="W2913" s="231">
        <f>396</f>
        <v>396</v>
      </c>
      <c r="X2913" s="232">
        <f>(240)/40</f>
        <v>6</v>
      </c>
      <c r="Y2913" s="233">
        <f t="shared" si="1280"/>
        <v>6</v>
      </c>
      <c r="Z2913" s="234">
        <f t="shared" si="1281"/>
        <v>0</v>
      </c>
      <c r="AA2913" s="234">
        <f t="shared" si="1291"/>
        <v>0</v>
      </c>
      <c r="AB2913" s="822">
        <v>2</v>
      </c>
      <c r="AC2913" s="231">
        <f t="shared" si="1283"/>
        <v>0</v>
      </c>
      <c r="AD2913" s="209"/>
      <c r="AE2913" s="210">
        <f t="shared" si="1284"/>
        <v>0</v>
      </c>
      <c r="AF2913" s="210">
        <f t="shared" si="1285"/>
        <v>0</v>
      </c>
      <c r="AG2913" s="211">
        <f t="shared" si="1286"/>
        <v>0.154</v>
      </c>
      <c r="AH2913" s="157">
        <f t="shared" si="1292"/>
        <v>0</v>
      </c>
      <c r="AI2913" s="152">
        <f t="shared" si="1288"/>
        <v>15840</v>
      </c>
      <c r="AK2913" s="156" t="s">
        <v>691</v>
      </c>
      <c r="AL2913" s="156" t="s">
        <v>689</v>
      </c>
      <c r="AM2913" s="198">
        <f t="shared" si="1289"/>
        <v>0</v>
      </c>
      <c r="AN2913" s="199">
        <f t="shared" si="1290"/>
        <v>46009</v>
      </c>
      <c r="AO2913" s="159" t="s">
        <v>692</v>
      </c>
      <c r="AP2913" s="781"/>
      <c r="AQ2913" s="782">
        <v>12071839</v>
      </c>
      <c r="AR2913" s="782">
        <v>12019692</v>
      </c>
      <c r="AS2913" s="782"/>
      <c r="AT2913" s="782">
        <v>12056457</v>
      </c>
      <c r="AU2913" s="782"/>
      <c r="AV2913" s="782">
        <v>12056565</v>
      </c>
      <c r="AW2913" s="782">
        <v>12034747</v>
      </c>
      <c r="AX2913" s="782" t="s">
        <v>398</v>
      </c>
      <c r="AY2913" s="782" t="s">
        <v>513</v>
      </c>
      <c r="AZ2913" s="782"/>
      <c r="BA2913" s="781"/>
      <c r="BB2913" s="209">
        <v>23053184</v>
      </c>
    </row>
    <row r="2914" spans="1:54" ht="25" hidden="1" customHeight="1">
      <c r="A2914" s="142" t="s">
        <v>120</v>
      </c>
      <c r="B2914" s="308">
        <v>46009</v>
      </c>
      <c r="C2914" s="309">
        <v>46029</v>
      </c>
      <c r="D2914" s="185">
        <f t="shared" si="1278"/>
        <v>2025</v>
      </c>
      <c r="E2914" s="309" t="e">
        <f>VLOOKUP($B2914,Week!$A$1:$C$1462,2,0)</f>
        <v>#N/A</v>
      </c>
      <c r="F2914" s="310" t="str">
        <f t="shared" si="1279"/>
        <v>Dec</v>
      </c>
      <c r="G2914" s="579" t="s">
        <v>2621</v>
      </c>
      <c r="H2914" s="311" t="s">
        <v>104</v>
      </c>
      <c r="I2914" s="311" t="s">
        <v>2772</v>
      </c>
      <c r="J2914" s="312" t="s">
        <v>105</v>
      </c>
      <c r="K2914" s="313" t="s">
        <v>85</v>
      </c>
      <c r="L2914" s="390" t="s">
        <v>2166</v>
      </c>
      <c r="M2914" s="312" t="s">
        <v>86</v>
      </c>
      <c r="N2914" s="311" t="s">
        <v>421</v>
      </c>
      <c r="O2914" s="311" t="s">
        <v>506</v>
      </c>
      <c r="P2914" s="314">
        <v>10</v>
      </c>
      <c r="Q2914" s="314">
        <v>50</v>
      </c>
      <c r="R2914" s="315">
        <v>6.8100000000000001E-3</v>
      </c>
      <c r="S2914" s="311" t="s">
        <v>76</v>
      </c>
      <c r="T2914" s="311" t="s">
        <v>112</v>
      </c>
      <c r="U2914" s="311" t="s">
        <v>89</v>
      </c>
      <c r="V2914" s="316">
        <f>100</f>
        <v>100</v>
      </c>
      <c r="W2914" s="316">
        <f>15+85</f>
        <v>100</v>
      </c>
      <c r="X2914" s="317"/>
      <c r="Y2914" s="318">
        <f t="shared" si="1280"/>
        <v>0</v>
      </c>
      <c r="Z2914" s="319">
        <f t="shared" si="1281"/>
        <v>0</v>
      </c>
      <c r="AA2914" s="319">
        <f t="shared" si="1291"/>
        <v>0</v>
      </c>
      <c r="AB2914" s="815">
        <v>6</v>
      </c>
      <c r="AC2914" s="316">
        <f t="shared" si="1283"/>
        <v>0</v>
      </c>
      <c r="AD2914" s="381"/>
      <c r="AE2914" s="210">
        <f t="shared" si="1284"/>
        <v>0</v>
      </c>
      <c r="AF2914" s="210">
        <f t="shared" si="1285"/>
        <v>0</v>
      </c>
      <c r="AG2914" s="211">
        <f t="shared" si="1286"/>
        <v>0.57999999999999996</v>
      </c>
      <c r="AH2914" s="157">
        <f t="shared" si="1292"/>
        <v>0</v>
      </c>
      <c r="AI2914" s="152">
        <f t="shared" si="1288"/>
        <v>1000</v>
      </c>
      <c r="AJ2914" s="156">
        <f>AI2914*Q2914</f>
        <v>50000</v>
      </c>
      <c r="AK2914" s="156" t="s">
        <v>691</v>
      </c>
      <c r="AL2914" s="156" t="s">
        <v>689</v>
      </c>
      <c r="AM2914" s="198">
        <f t="shared" si="1289"/>
        <v>0</v>
      </c>
      <c r="AN2914" s="199">
        <f t="shared" si="1290"/>
        <v>46009</v>
      </c>
      <c r="AO2914" s="159" t="s">
        <v>692</v>
      </c>
      <c r="AP2914" s="781" t="s">
        <v>423</v>
      </c>
      <c r="AQ2914" s="781" t="s">
        <v>422</v>
      </c>
      <c r="AR2914" s="782">
        <v>12055234</v>
      </c>
      <c r="AS2914" s="781"/>
      <c r="AT2914" s="782">
        <v>12069432</v>
      </c>
      <c r="AU2914" s="781"/>
      <c r="AV2914" s="782">
        <v>12069433</v>
      </c>
      <c r="AW2914" s="781"/>
      <c r="AX2914" s="781" t="s">
        <v>93</v>
      </c>
      <c r="AY2914" s="781"/>
      <c r="AZ2914" s="782"/>
      <c r="BA2914" s="781"/>
      <c r="BB2914" s="209">
        <v>23053184</v>
      </c>
    </row>
    <row r="2915" spans="1:54" ht="25" hidden="1" customHeight="1">
      <c r="A2915" s="142" t="s">
        <v>120</v>
      </c>
      <c r="B2915" s="308">
        <v>46009</v>
      </c>
      <c r="C2915" s="309">
        <v>46029</v>
      </c>
      <c r="D2915" s="185">
        <f t="shared" si="1278"/>
        <v>2025</v>
      </c>
      <c r="E2915" s="309" t="e">
        <f>VLOOKUP($B2915,Week!$A$1:$C$1462,2,0)</f>
        <v>#N/A</v>
      </c>
      <c r="F2915" s="310" t="str">
        <f t="shared" si="1279"/>
        <v>Dec</v>
      </c>
      <c r="G2915" s="579" t="s">
        <v>2638</v>
      </c>
      <c r="H2915" s="311" t="s">
        <v>104</v>
      </c>
      <c r="I2915" s="311" t="s">
        <v>2772</v>
      </c>
      <c r="J2915" s="312" t="s">
        <v>105</v>
      </c>
      <c r="K2915" s="313" t="s">
        <v>85</v>
      </c>
      <c r="L2915" s="390" t="s">
        <v>2166</v>
      </c>
      <c r="M2915" s="312" t="s">
        <v>86</v>
      </c>
      <c r="N2915" s="311" t="s">
        <v>421</v>
      </c>
      <c r="O2915" s="311" t="s">
        <v>506</v>
      </c>
      <c r="P2915" s="314">
        <v>10</v>
      </c>
      <c r="Q2915" s="314">
        <v>50</v>
      </c>
      <c r="R2915" s="315">
        <v>6.8100000000000001E-3</v>
      </c>
      <c r="S2915" s="311" t="s">
        <v>76</v>
      </c>
      <c r="T2915" s="311" t="s">
        <v>112</v>
      </c>
      <c r="U2915" s="311" t="s">
        <v>89</v>
      </c>
      <c r="V2915" s="316">
        <f>100</f>
        <v>100</v>
      </c>
      <c r="W2915" s="316">
        <f>100</f>
        <v>100</v>
      </c>
      <c r="X2915" s="317"/>
      <c r="Y2915" s="318">
        <f t="shared" si="1280"/>
        <v>0</v>
      </c>
      <c r="Z2915" s="319">
        <f t="shared" si="1281"/>
        <v>0</v>
      </c>
      <c r="AA2915" s="319">
        <f t="shared" si="1291"/>
        <v>0</v>
      </c>
      <c r="AB2915" s="815">
        <v>6</v>
      </c>
      <c r="AC2915" s="316">
        <f t="shared" si="1283"/>
        <v>0</v>
      </c>
      <c r="AD2915" s="381"/>
      <c r="AE2915" s="210">
        <f t="shared" si="1284"/>
        <v>0</v>
      </c>
      <c r="AF2915" s="210">
        <f t="shared" si="1285"/>
        <v>0</v>
      </c>
      <c r="AG2915" s="211">
        <f t="shared" si="1286"/>
        <v>0.57999999999999996</v>
      </c>
      <c r="AH2915" s="157">
        <f t="shared" si="1292"/>
        <v>0</v>
      </c>
      <c r="AI2915" s="152">
        <f t="shared" si="1288"/>
        <v>1000</v>
      </c>
      <c r="AJ2915" s="156">
        <f>AI2915*Q2915</f>
        <v>50000</v>
      </c>
      <c r="AK2915" s="156" t="s">
        <v>691</v>
      </c>
      <c r="AL2915" s="156" t="s">
        <v>689</v>
      </c>
      <c r="AM2915" s="198">
        <f t="shared" si="1289"/>
        <v>0</v>
      </c>
      <c r="AN2915" s="199">
        <f t="shared" si="1290"/>
        <v>46009</v>
      </c>
      <c r="AO2915" s="159" t="s">
        <v>692</v>
      </c>
      <c r="AP2915" s="781" t="s">
        <v>423</v>
      </c>
      <c r="AQ2915" s="781" t="s">
        <v>422</v>
      </c>
      <c r="AR2915" s="782">
        <v>12055234</v>
      </c>
      <c r="AS2915" s="781"/>
      <c r="AT2915" s="782">
        <v>12069432</v>
      </c>
      <c r="AU2915" s="781"/>
      <c r="AV2915" s="782">
        <v>12069433</v>
      </c>
      <c r="AW2915" s="781"/>
      <c r="AX2915" s="781" t="s">
        <v>93</v>
      </c>
      <c r="AY2915" s="781"/>
      <c r="AZ2915" s="782"/>
      <c r="BA2915" s="781"/>
      <c r="BB2915" s="209">
        <v>23053184</v>
      </c>
    </row>
    <row r="2916" spans="1:54" ht="25" hidden="1" customHeight="1">
      <c r="A2916" s="142" t="s">
        <v>120</v>
      </c>
      <c r="B2916" s="308">
        <v>46009</v>
      </c>
      <c r="C2916" s="309">
        <v>46029</v>
      </c>
      <c r="D2916" s="185">
        <f t="shared" si="1278"/>
        <v>2025</v>
      </c>
      <c r="E2916" s="309" t="e">
        <f>VLOOKUP($B2916,Week!$A$1:$C$1462,2,0)</f>
        <v>#N/A</v>
      </c>
      <c r="F2916" s="310" t="str">
        <f t="shared" si="1279"/>
        <v>Dec</v>
      </c>
      <c r="G2916" s="579" t="s">
        <v>2639</v>
      </c>
      <c r="H2916" s="311" t="s">
        <v>104</v>
      </c>
      <c r="I2916" s="311" t="s">
        <v>2772</v>
      </c>
      <c r="J2916" s="312" t="s">
        <v>105</v>
      </c>
      <c r="K2916" s="313" t="s">
        <v>85</v>
      </c>
      <c r="L2916" s="390" t="s">
        <v>2166</v>
      </c>
      <c r="M2916" s="312" t="s">
        <v>86</v>
      </c>
      <c r="N2916" s="311" t="s">
        <v>421</v>
      </c>
      <c r="O2916" s="311" t="s">
        <v>506</v>
      </c>
      <c r="P2916" s="314">
        <v>10</v>
      </c>
      <c r="Q2916" s="314">
        <v>50</v>
      </c>
      <c r="R2916" s="315">
        <v>6.8100000000000001E-3</v>
      </c>
      <c r="S2916" s="311" t="s">
        <v>76</v>
      </c>
      <c r="T2916" s="311" t="s">
        <v>112</v>
      </c>
      <c r="U2916" s="311" t="s">
        <v>89</v>
      </c>
      <c r="V2916" s="316">
        <f>100</f>
        <v>100</v>
      </c>
      <c r="W2916" s="316">
        <f>285-85-100</f>
        <v>100</v>
      </c>
      <c r="X2916" s="317">
        <f>(20)/10</f>
        <v>2</v>
      </c>
      <c r="Y2916" s="318">
        <f t="shared" si="1280"/>
        <v>2</v>
      </c>
      <c r="Z2916" s="319">
        <f t="shared" si="1281"/>
        <v>0</v>
      </c>
      <c r="AA2916" s="319">
        <f t="shared" si="1291"/>
        <v>0</v>
      </c>
      <c r="AB2916" s="815">
        <v>6</v>
      </c>
      <c r="AC2916" s="316">
        <f t="shared" si="1283"/>
        <v>0</v>
      </c>
      <c r="AD2916" s="381"/>
      <c r="AE2916" s="210">
        <f t="shared" si="1284"/>
        <v>0</v>
      </c>
      <c r="AF2916" s="210">
        <f t="shared" si="1285"/>
        <v>0</v>
      </c>
      <c r="AG2916" s="211">
        <f t="shared" si="1286"/>
        <v>0.57999999999999996</v>
      </c>
      <c r="AH2916" s="157">
        <f t="shared" si="1292"/>
        <v>0</v>
      </c>
      <c r="AI2916" s="152">
        <f t="shared" si="1288"/>
        <v>1000</v>
      </c>
      <c r="AJ2916" s="156">
        <f>AI2916*Q2916</f>
        <v>50000</v>
      </c>
      <c r="AK2916" s="156" t="s">
        <v>691</v>
      </c>
      <c r="AL2916" s="156" t="s">
        <v>689</v>
      </c>
      <c r="AM2916" s="198">
        <f t="shared" si="1289"/>
        <v>0</v>
      </c>
      <c r="AN2916" s="199">
        <f t="shared" si="1290"/>
        <v>46009</v>
      </c>
      <c r="AO2916" s="159" t="s">
        <v>692</v>
      </c>
      <c r="AP2916" s="781" t="s">
        <v>423</v>
      </c>
      <c r="AQ2916" s="781" t="s">
        <v>422</v>
      </c>
      <c r="AR2916" s="782">
        <v>12055234</v>
      </c>
      <c r="AS2916" s="781"/>
      <c r="AT2916" s="782">
        <v>12069432</v>
      </c>
      <c r="AU2916" s="781"/>
      <c r="AV2916" s="782">
        <v>12069433</v>
      </c>
      <c r="AW2916" s="781"/>
      <c r="AX2916" s="781" t="s">
        <v>93</v>
      </c>
      <c r="AY2916" s="781"/>
      <c r="AZ2916" s="782"/>
      <c r="BA2916" s="781"/>
      <c r="BB2916" s="209">
        <v>23053184</v>
      </c>
    </row>
    <row r="2917" spans="1:54" ht="25" hidden="1" customHeight="1">
      <c r="B2917" s="357">
        <v>46009</v>
      </c>
      <c r="C2917" s="776" t="s">
        <v>1936</v>
      </c>
      <c r="D2917" s="185">
        <f t="shared" si="1278"/>
        <v>2025</v>
      </c>
      <c r="E2917" s="358" t="e">
        <f>VLOOKUP($B2917,Week!$A$1:$C$1462,2,0)</f>
        <v>#N/A</v>
      </c>
      <c r="F2917" s="360" t="str">
        <f t="shared" si="1279"/>
        <v>Dec</v>
      </c>
      <c r="G2917" s="359" t="s">
        <v>47</v>
      </c>
      <c r="H2917" s="359" t="s">
        <v>518</v>
      </c>
      <c r="I2917" s="359" t="s">
        <v>2702</v>
      </c>
      <c r="J2917" s="361" t="s">
        <v>70</v>
      </c>
      <c r="K2917" s="362" t="s">
        <v>94</v>
      </c>
      <c r="L2917" s="300" t="s">
        <v>2167</v>
      </c>
      <c r="M2917" s="361" t="s">
        <v>2341</v>
      </c>
      <c r="N2917" s="359" t="s">
        <v>589</v>
      </c>
      <c r="O2917" s="359" t="s">
        <v>97</v>
      </c>
      <c r="P2917" s="363">
        <v>12</v>
      </c>
      <c r="Q2917" s="363">
        <v>5</v>
      </c>
      <c r="R2917" s="364">
        <v>8.0000000000000002E-3</v>
      </c>
      <c r="S2917" s="359" t="s">
        <v>40</v>
      </c>
      <c r="T2917" s="359" t="s">
        <v>56</v>
      </c>
      <c r="U2917" s="359" t="s">
        <v>57</v>
      </c>
      <c r="V2917" s="365">
        <f>1250</f>
        <v>1250</v>
      </c>
      <c r="W2917" s="365">
        <f>82+38+1130</f>
        <v>1250</v>
      </c>
      <c r="X2917" s="366"/>
      <c r="Y2917" s="367">
        <f t="shared" si="1280"/>
        <v>0</v>
      </c>
      <c r="Z2917" s="368">
        <f t="shared" si="1281"/>
        <v>0</v>
      </c>
      <c r="AA2917" s="368">
        <f t="shared" si="1291"/>
        <v>0</v>
      </c>
      <c r="AB2917" s="819">
        <v>7.4999999999999997E-3</v>
      </c>
      <c r="AC2917" s="365">
        <f t="shared" si="1283"/>
        <v>0</v>
      </c>
      <c r="AD2917" s="209"/>
      <c r="AE2917" s="210">
        <f t="shared" si="1284"/>
        <v>0</v>
      </c>
      <c r="AF2917" s="210">
        <f t="shared" si="1285"/>
        <v>0</v>
      </c>
      <c r="AG2917" s="211">
        <f t="shared" si="1286"/>
        <v>0.14499999999999999</v>
      </c>
      <c r="AH2917" s="157">
        <f t="shared" si="1292"/>
        <v>0</v>
      </c>
      <c r="AI2917" s="152">
        <f t="shared" si="1288"/>
        <v>15000</v>
      </c>
      <c r="AK2917" s="156" t="s">
        <v>691</v>
      </c>
      <c r="AL2917" s="574" t="s">
        <v>690</v>
      </c>
      <c r="AM2917" s="198">
        <f t="shared" si="1289"/>
        <v>0</v>
      </c>
      <c r="AN2917" s="199">
        <f t="shared" si="1290"/>
        <v>46009</v>
      </c>
      <c r="AO2917" s="159" t="s">
        <v>692</v>
      </c>
      <c r="AP2917" s="783" t="s">
        <v>628</v>
      </c>
      <c r="AQ2917" s="782">
        <v>12071839</v>
      </c>
      <c r="AR2917" s="782">
        <v>12047514</v>
      </c>
      <c r="AS2917" s="782">
        <v>12047515</v>
      </c>
      <c r="AT2917" s="782"/>
      <c r="AU2917" s="781"/>
      <c r="AV2917" s="782">
        <v>12080617</v>
      </c>
      <c r="AW2917" s="782"/>
      <c r="AX2917" s="782"/>
      <c r="AY2917" s="782">
        <v>12094231</v>
      </c>
      <c r="AZ2917" s="782">
        <v>1209232</v>
      </c>
      <c r="BA2917" s="781"/>
      <c r="BB2917" s="209">
        <v>23053185</v>
      </c>
    </row>
    <row r="2918" spans="1:54" ht="25" hidden="1" customHeight="1">
      <c r="B2918" s="357">
        <v>46009</v>
      </c>
      <c r="C2918" s="776" t="s">
        <v>2629</v>
      </c>
      <c r="D2918" s="185">
        <f t="shared" ref="D2918:D2925" si="1293">IF(B2918="","",YEAR(B2918))</f>
        <v>2025</v>
      </c>
      <c r="E2918" s="358" t="e">
        <f>VLOOKUP($B2918,Week!$A$1:$C$1462,2,0)</f>
        <v>#N/A</v>
      </c>
      <c r="F2918" s="360" t="str">
        <f t="shared" ref="F2918:F2925" si="1294">IF(B2918="","",TEXT(B2918,"[$-409]mmm"))</f>
        <v>Dec</v>
      </c>
      <c r="G2918" s="359" t="s">
        <v>47</v>
      </c>
      <c r="H2918" s="359" t="s">
        <v>518</v>
      </c>
      <c r="I2918" s="359" t="s">
        <v>2702</v>
      </c>
      <c r="J2918" s="361" t="s">
        <v>70</v>
      </c>
      <c r="K2918" s="362" t="s">
        <v>94</v>
      </c>
      <c r="L2918" s="300" t="s">
        <v>2167</v>
      </c>
      <c r="M2918" s="361" t="s">
        <v>2341</v>
      </c>
      <c r="N2918" s="359" t="s">
        <v>589</v>
      </c>
      <c r="O2918" s="359" t="s">
        <v>97</v>
      </c>
      <c r="P2918" s="363">
        <v>12</v>
      </c>
      <c r="Q2918" s="363">
        <v>5</v>
      </c>
      <c r="R2918" s="364">
        <v>8.0000000000000002E-3</v>
      </c>
      <c r="S2918" s="359" t="s">
        <v>40</v>
      </c>
      <c r="T2918" s="359" t="s">
        <v>56</v>
      </c>
      <c r="U2918" s="359" t="s">
        <v>57</v>
      </c>
      <c r="V2918" s="365">
        <v>1498</v>
      </c>
      <c r="W2918" s="365">
        <f>2628-1130</f>
        <v>1498</v>
      </c>
      <c r="X2918" s="366"/>
      <c r="Y2918" s="367">
        <f t="shared" ref="Y2918:Y2925" si="1295">(W2918+X2918)-V2918</f>
        <v>0</v>
      </c>
      <c r="Z2918" s="368">
        <f t="shared" ref="Z2918:Z2925" si="1296">IF(Y2918&lt;0,((V2918*P2918)-((W2918+X2918)*P2918)),0)</f>
        <v>0</v>
      </c>
      <c r="AA2918" s="368">
        <f t="shared" ref="AA2918:AA2925" si="1297">Q2918*Z2918</f>
        <v>0</v>
      </c>
      <c r="AB2918" s="819">
        <v>7.4999999999999997E-3</v>
      </c>
      <c r="AC2918" s="365">
        <f t="shared" ref="AC2918:AC2925" si="1298">Z2918*AB2918</f>
        <v>0</v>
      </c>
      <c r="AD2918" s="209"/>
      <c r="AE2918" s="210">
        <f t="shared" ref="AE2918:AE2925" si="1299">SUM(Q2918*R2918*Z2918)/1000</f>
        <v>0</v>
      </c>
      <c r="AF2918" s="210">
        <f t="shared" ref="AF2918:AF2925" si="1300">AE2918/0.54</f>
        <v>0</v>
      </c>
      <c r="AG2918" s="211">
        <f t="shared" ref="AG2918:AG2925" si="1301">MID(O2918,1,3)/1000</f>
        <v>0.14499999999999999</v>
      </c>
      <c r="AH2918" s="157">
        <f t="shared" si="1292"/>
        <v>0</v>
      </c>
      <c r="AI2918" s="152">
        <f t="shared" ref="AI2918:AI2925" si="1302">V2918*P2918</f>
        <v>17976</v>
      </c>
      <c r="AK2918" s="156" t="s">
        <v>691</v>
      </c>
      <c r="AL2918" s="574" t="s">
        <v>690</v>
      </c>
      <c r="AM2918" s="198">
        <f t="shared" ref="AM2918:AM2925" si="1303">AG2918*Z2918</f>
        <v>0</v>
      </c>
      <c r="AN2918" s="199">
        <f t="shared" ref="AN2918:AN2925" si="1304">B2918</f>
        <v>46009</v>
      </c>
      <c r="AO2918" s="159" t="s">
        <v>692</v>
      </c>
      <c r="AP2918" s="783" t="s">
        <v>628</v>
      </c>
      <c r="AQ2918" s="782">
        <v>12071839</v>
      </c>
      <c r="AR2918" s="782">
        <v>12047514</v>
      </c>
      <c r="AS2918" s="782">
        <v>12047515</v>
      </c>
      <c r="AT2918" s="782"/>
      <c r="AU2918" s="781"/>
      <c r="AV2918" s="782">
        <v>12080617</v>
      </c>
      <c r="AW2918" s="782"/>
      <c r="AX2918" s="782"/>
      <c r="AY2918" s="782">
        <v>12094231</v>
      </c>
      <c r="AZ2918" s="782">
        <v>1209232</v>
      </c>
      <c r="BA2918" s="781"/>
      <c r="BB2918" s="209">
        <v>23053185</v>
      </c>
    </row>
    <row r="2919" spans="1:54" ht="25" hidden="1" customHeight="1">
      <c r="B2919" s="398">
        <v>46009</v>
      </c>
      <c r="C2919" s="879" t="s">
        <v>2629</v>
      </c>
      <c r="D2919" s="185">
        <f t="shared" si="1293"/>
        <v>2025</v>
      </c>
      <c r="E2919" s="399" t="e">
        <f>VLOOKUP($B2919,Week!$A$1:$C$1462,2,0)</f>
        <v>#N/A</v>
      </c>
      <c r="F2919" s="400" t="str">
        <f t="shared" si="1294"/>
        <v>Dec</v>
      </c>
      <c r="G2919" s="401" t="s">
        <v>47</v>
      </c>
      <c r="H2919" s="401" t="s">
        <v>518</v>
      </c>
      <c r="I2919" s="401" t="s">
        <v>2702</v>
      </c>
      <c r="J2919" s="402" t="s">
        <v>70</v>
      </c>
      <c r="K2919" s="403" t="s">
        <v>1645</v>
      </c>
      <c r="L2919" s="300" t="s">
        <v>2167</v>
      </c>
      <c r="M2919" s="402" t="s">
        <v>2567</v>
      </c>
      <c r="N2919" s="404" t="s">
        <v>2520</v>
      </c>
      <c r="O2919" s="401" t="s">
        <v>747</v>
      </c>
      <c r="P2919" s="405">
        <v>12</v>
      </c>
      <c r="Q2919" s="405">
        <v>5</v>
      </c>
      <c r="R2919" s="406">
        <v>8.0000000000000002E-3</v>
      </c>
      <c r="S2919" s="401" t="s">
        <v>352</v>
      </c>
      <c r="T2919" s="401" t="s">
        <v>56</v>
      </c>
      <c r="U2919" s="770" t="s">
        <v>669</v>
      </c>
      <c r="V2919" s="407">
        <f>600</f>
        <v>600</v>
      </c>
      <c r="W2919" s="407">
        <f>1039-799-200+62+498</f>
        <v>600</v>
      </c>
      <c r="X2919" s="408"/>
      <c r="Y2919" s="409">
        <f t="shared" si="1295"/>
        <v>0</v>
      </c>
      <c r="Z2919" s="410">
        <f t="shared" si="1296"/>
        <v>0</v>
      </c>
      <c r="AA2919" s="410">
        <f t="shared" si="1297"/>
        <v>0</v>
      </c>
      <c r="AB2919" s="824">
        <v>8.9999999999999993E-3</v>
      </c>
      <c r="AC2919" s="407">
        <f t="shared" si="1298"/>
        <v>0</v>
      </c>
      <c r="AD2919" s="443" t="s">
        <v>2695</v>
      </c>
      <c r="AE2919" s="210">
        <f t="shared" si="1299"/>
        <v>0</v>
      </c>
      <c r="AF2919" s="210">
        <f t="shared" si="1300"/>
        <v>0</v>
      </c>
      <c r="AG2919" s="211">
        <f t="shared" si="1301"/>
        <v>0.14299999999999999</v>
      </c>
      <c r="AH2919" s="157">
        <f t="shared" si="1292"/>
        <v>0</v>
      </c>
      <c r="AI2919" s="152">
        <f t="shared" si="1302"/>
        <v>7200</v>
      </c>
      <c r="AK2919" s="156" t="s">
        <v>691</v>
      </c>
      <c r="AL2919" s="212" t="s">
        <v>690</v>
      </c>
      <c r="AM2919" s="198">
        <f t="shared" si="1303"/>
        <v>0</v>
      </c>
      <c r="AN2919" s="199">
        <f t="shared" si="1304"/>
        <v>46009</v>
      </c>
      <c r="AO2919" s="159" t="s">
        <v>692</v>
      </c>
      <c r="AP2919" s="783" t="s">
        <v>623</v>
      </c>
      <c r="AQ2919" s="782">
        <v>12071839</v>
      </c>
      <c r="AR2919" s="782">
        <v>12047514</v>
      </c>
      <c r="AS2919" s="782">
        <v>12047515</v>
      </c>
      <c r="AT2919" s="782"/>
      <c r="AU2919" s="781"/>
      <c r="AV2919" s="782">
        <v>12096536</v>
      </c>
      <c r="AW2919" s="782"/>
      <c r="AX2919" s="782"/>
      <c r="AY2919" s="782">
        <v>12096534</v>
      </c>
      <c r="AZ2919" s="782">
        <v>12096535</v>
      </c>
      <c r="BA2919" s="781"/>
      <c r="BB2919" s="209">
        <v>23098853</v>
      </c>
    </row>
    <row r="2920" spans="1:54" ht="25" hidden="1" customHeight="1">
      <c r="A2920" s="906" t="s">
        <v>2752</v>
      </c>
      <c r="B2920" s="398">
        <v>46009</v>
      </c>
      <c r="C2920" s="879" t="s">
        <v>1936</v>
      </c>
      <c r="D2920" s="185">
        <f t="shared" si="1293"/>
        <v>2025</v>
      </c>
      <c r="E2920" s="399" t="e">
        <f>VLOOKUP($B2920,Week!$A$1:$C$1462,2,0)</f>
        <v>#N/A</v>
      </c>
      <c r="F2920" s="400" t="str">
        <f t="shared" si="1294"/>
        <v>Dec</v>
      </c>
      <c r="G2920" s="401" t="s">
        <v>47</v>
      </c>
      <c r="H2920" s="401" t="s">
        <v>518</v>
      </c>
      <c r="I2920" s="401" t="s">
        <v>2702</v>
      </c>
      <c r="J2920" s="402" t="s">
        <v>70</v>
      </c>
      <c r="K2920" s="403" t="s">
        <v>1645</v>
      </c>
      <c r="L2920" s="300" t="s">
        <v>2167</v>
      </c>
      <c r="M2920" s="402" t="s">
        <v>2692</v>
      </c>
      <c r="N2920" s="404" t="s">
        <v>2682</v>
      </c>
      <c r="O2920" s="401" t="s">
        <v>2663</v>
      </c>
      <c r="P2920" s="405">
        <v>18</v>
      </c>
      <c r="Q2920" s="405">
        <v>5</v>
      </c>
      <c r="R2920" s="406">
        <v>8.0000000000000002E-3</v>
      </c>
      <c r="S2920" s="401" t="s">
        <v>352</v>
      </c>
      <c r="T2920" s="401" t="s">
        <v>56</v>
      </c>
      <c r="U2920" s="770" t="s">
        <v>669</v>
      </c>
      <c r="V2920" s="407">
        <f>2500</f>
        <v>2500</v>
      </c>
      <c r="W2920" s="407"/>
      <c r="X2920" s="408">
        <f>(44711+289)/18</f>
        <v>2500</v>
      </c>
      <c r="Y2920" s="409">
        <f t="shared" si="1295"/>
        <v>0</v>
      </c>
      <c r="Z2920" s="410">
        <f t="shared" si="1296"/>
        <v>0</v>
      </c>
      <c r="AA2920" s="410">
        <f t="shared" si="1297"/>
        <v>0</v>
      </c>
      <c r="AB2920" s="824">
        <v>8.9999999999999993E-3</v>
      </c>
      <c r="AC2920" s="407">
        <f t="shared" si="1298"/>
        <v>0</v>
      </c>
      <c r="AD2920" s="443" t="s">
        <v>2764</v>
      </c>
      <c r="AE2920" s="210">
        <f t="shared" si="1299"/>
        <v>0</v>
      </c>
      <c r="AF2920" s="210">
        <f t="shared" si="1300"/>
        <v>0</v>
      </c>
      <c r="AG2920" s="211">
        <f t="shared" si="1301"/>
        <v>0.14299999999999999</v>
      </c>
      <c r="AH2920" s="157">
        <f t="shared" si="1292"/>
        <v>0</v>
      </c>
      <c r="AI2920" s="152">
        <f t="shared" si="1302"/>
        <v>45000</v>
      </c>
      <c r="AK2920" s="156" t="s">
        <v>691</v>
      </c>
      <c r="AL2920" s="212" t="s">
        <v>690</v>
      </c>
      <c r="AM2920" s="198">
        <f t="shared" si="1303"/>
        <v>0</v>
      </c>
      <c r="AN2920" s="199">
        <f t="shared" si="1304"/>
        <v>46009</v>
      </c>
      <c r="AO2920" s="159" t="s">
        <v>692</v>
      </c>
      <c r="AP2920" s="783" t="s">
        <v>623</v>
      </c>
      <c r="AQ2920" s="782">
        <v>12071839</v>
      </c>
      <c r="AR2920" s="782">
        <v>12047514</v>
      </c>
      <c r="AS2920" s="782">
        <v>12047515</v>
      </c>
      <c r="AT2920" s="782"/>
      <c r="AU2920" s="781"/>
      <c r="AV2920" s="782">
        <v>12097424</v>
      </c>
      <c r="AW2920" s="782"/>
      <c r="AX2920" s="782">
        <v>12091078</v>
      </c>
      <c r="AY2920" s="782">
        <v>12096534</v>
      </c>
      <c r="AZ2920" s="782">
        <v>12096535</v>
      </c>
      <c r="BA2920" s="781" t="s">
        <v>2716</v>
      </c>
      <c r="BB2920" s="209">
        <v>23098853</v>
      </c>
    </row>
    <row r="2921" spans="1:54" ht="25" hidden="1" customHeight="1">
      <c r="A2921" s="142" t="s">
        <v>120</v>
      </c>
      <c r="B2921" s="582">
        <v>46010</v>
      </c>
      <c r="C2921" s="535">
        <v>46016</v>
      </c>
      <c r="D2921" s="185">
        <f>IF(B2921="","",YEAR(B2921))</f>
        <v>2025</v>
      </c>
      <c r="E2921" s="535" t="e">
        <f>VLOOKUP($B2921,Week!$A$1:$C$1462,2,0)</f>
        <v>#N/A</v>
      </c>
      <c r="F2921" s="536" t="str">
        <f>IF(B2921="","",TEXT(B2921,"[$-409]mmm"))</f>
        <v>Dec</v>
      </c>
      <c r="G2921" s="843" t="s">
        <v>2680</v>
      </c>
      <c r="H2921" s="537" t="s">
        <v>82</v>
      </c>
      <c r="I2921" s="537" t="s">
        <v>82</v>
      </c>
      <c r="J2921" s="538" t="s">
        <v>235</v>
      </c>
      <c r="K2921" s="539" t="s">
        <v>85</v>
      </c>
      <c r="L2921" s="390" t="s">
        <v>2166</v>
      </c>
      <c r="M2921" s="538" t="s">
        <v>165</v>
      </c>
      <c r="N2921" s="537" t="s">
        <v>2671</v>
      </c>
      <c r="O2921" s="537" t="s">
        <v>502</v>
      </c>
      <c r="P2921" s="540">
        <v>20</v>
      </c>
      <c r="Q2921" s="540">
        <v>12</v>
      </c>
      <c r="R2921" s="541">
        <v>6.8100000000000001E-3</v>
      </c>
      <c r="S2921" s="537" t="s">
        <v>76</v>
      </c>
      <c r="T2921" s="537" t="s">
        <v>112</v>
      </c>
      <c r="U2921" s="537" t="s">
        <v>89</v>
      </c>
      <c r="V2921" s="542">
        <v>1386</v>
      </c>
      <c r="W2921" s="542">
        <f>1386</f>
        <v>1386</v>
      </c>
      <c r="X2921" s="543">
        <f>320/20</f>
        <v>16</v>
      </c>
      <c r="Y2921" s="544">
        <f>(W2921+X2921)-V2921</f>
        <v>16</v>
      </c>
      <c r="Z2921" s="545">
        <f>IF(Y2921&lt;0,((V2921*P2921)-((W2921+X2921)*P2921)),0)</f>
        <v>0</v>
      </c>
      <c r="AA2921" s="545">
        <f>Q2921*Z2921</f>
        <v>0</v>
      </c>
      <c r="AB2921" s="832">
        <v>2</v>
      </c>
      <c r="AC2921" s="542">
        <f>Z2921*AB2921</f>
        <v>0</v>
      </c>
      <c r="AD2921" s="209"/>
      <c r="AE2921" s="210">
        <f>SUM(Q2921*R2921*Z2921)/1000</f>
        <v>0</v>
      </c>
      <c r="AF2921" s="210">
        <f>AE2921/0.54</f>
        <v>0</v>
      </c>
      <c r="AG2921" s="211">
        <f>MID(O2921,1,3)/1000</f>
        <v>0.154</v>
      </c>
      <c r="AH2921" s="157">
        <f t="shared" si="1292"/>
        <v>0</v>
      </c>
      <c r="AI2921" s="152">
        <f>V2921*P2921</f>
        <v>27720</v>
      </c>
      <c r="AK2921" s="156" t="s">
        <v>691</v>
      </c>
      <c r="AL2921" s="156" t="s">
        <v>689</v>
      </c>
      <c r="AM2921" s="198">
        <f>AG2921*Z2921</f>
        <v>0</v>
      </c>
      <c r="AN2921" s="199">
        <f>B2921</f>
        <v>46010</v>
      </c>
      <c r="AO2921" s="159" t="s">
        <v>692</v>
      </c>
      <c r="AP2921" s="781"/>
      <c r="AQ2921" s="782">
        <v>12071839</v>
      </c>
      <c r="AR2921" s="783" t="s">
        <v>523</v>
      </c>
      <c r="AS2921" s="781"/>
      <c r="AT2921" s="783" t="s">
        <v>2693</v>
      </c>
      <c r="AU2921" s="781"/>
      <c r="AV2921" s="796" t="s">
        <v>2694</v>
      </c>
      <c r="AW2921" s="782"/>
      <c r="AX2921" s="782" t="s">
        <v>398</v>
      </c>
      <c r="AY2921" s="782"/>
      <c r="AZ2921" s="782"/>
      <c r="BA2921" s="781"/>
    </row>
    <row r="2922" spans="1:54" ht="25" hidden="1" customHeight="1">
      <c r="B2922" s="320">
        <v>46010</v>
      </c>
      <c r="C2922" s="844" t="s">
        <v>2629</v>
      </c>
      <c r="D2922" s="185">
        <f t="shared" si="1293"/>
        <v>2025</v>
      </c>
      <c r="E2922" s="321" t="e">
        <f>VLOOKUP($B2922,Week!$A$1:$C$1462,2,0)</f>
        <v>#N/A</v>
      </c>
      <c r="F2922" s="322" t="str">
        <f t="shared" si="1294"/>
        <v>Dec</v>
      </c>
      <c r="G2922" s="323" t="s">
        <v>47</v>
      </c>
      <c r="H2922" s="323" t="s">
        <v>518</v>
      </c>
      <c r="I2922" s="323" t="s">
        <v>2702</v>
      </c>
      <c r="J2922" s="324" t="s">
        <v>70</v>
      </c>
      <c r="K2922" s="325" t="s">
        <v>564</v>
      </c>
      <c r="L2922" s="300" t="s">
        <v>2167</v>
      </c>
      <c r="M2922" s="324" t="s">
        <v>2343</v>
      </c>
      <c r="N2922" s="323" t="s">
        <v>559</v>
      </c>
      <c r="O2922" s="323" t="s">
        <v>560</v>
      </c>
      <c r="P2922" s="326">
        <v>12</v>
      </c>
      <c r="Q2922" s="326">
        <v>3</v>
      </c>
      <c r="R2922" s="327">
        <v>8.0000000000000002E-3</v>
      </c>
      <c r="S2922" s="323" t="s">
        <v>40</v>
      </c>
      <c r="T2922" s="323" t="s">
        <v>56</v>
      </c>
      <c r="U2922" s="323" t="s">
        <v>57</v>
      </c>
      <c r="V2922" s="397">
        <f>500</f>
        <v>500</v>
      </c>
      <c r="W2922" s="328">
        <f>489-443+8+446</f>
        <v>500</v>
      </c>
      <c r="X2922" s="329"/>
      <c r="Y2922" s="330">
        <f t="shared" si="1295"/>
        <v>0</v>
      </c>
      <c r="Z2922" s="331">
        <f t="shared" si="1296"/>
        <v>0</v>
      </c>
      <c r="AA2922" s="331">
        <f t="shared" si="1297"/>
        <v>0</v>
      </c>
      <c r="AB2922" s="816">
        <v>7.4999999999999997E-3</v>
      </c>
      <c r="AC2922" s="328">
        <f t="shared" si="1298"/>
        <v>0</v>
      </c>
      <c r="AD2922" s="209"/>
      <c r="AE2922" s="210">
        <f t="shared" si="1299"/>
        <v>0</v>
      </c>
      <c r="AF2922" s="210">
        <f t="shared" si="1300"/>
        <v>0</v>
      </c>
      <c r="AG2922" s="211">
        <f t="shared" si="1301"/>
        <v>0.22600000000000001</v>
      </c>
      <c r="AH2922" s="157">
        <f t="shared" si="1292"/>
        <v>0</v>
      </c>
      <c r="AI2922" s="152">
        <f t="shared" si="1302"/>
        <v>6000</v>
      </c>
      <c r="AK2922" s="156" t="s">
        <v>691</v>
      </c>
      <c r="AL2922" s="212" t="s">
        <v>690</v>
      </c>
      <c r="AM2922" s="198">
        <f t="shared" si="1303"/>
        <v>0</v>
      </c>
      <c r="AN2922" s="199">
        <f t="shared" si="1304"/>
        <v>46010</v>
      </c>
      <c r="AO2922" s="159" t="s">
        <v>692</v>
      </c>
      <c r="AP2922" s="783" t="s">
        <v>623</v>
      </c>
      <c r="AQ2922" s="782">
        <v>12071839</v>
      </c>
      <c r="AR2922" s="782">
        <v>12042650</v>
      </c>
      <c r="AS2922" s="782">
        <v>12042649</v>
      </c>
      <c r="AT2922" s="782"/>
      <c r="AU2922" s="781"/>
      <c r="AV2922" s="782">
        <v>12083156</v>
      </c>
      <c r="AW2922" s="782"/>
      <c r="AX2922" s="782"/>
      <c r="AY2922" s="782">
        <v>12094235</v>
      </c>
      <c r="AZ2922" s="782">
        <v>12094236</v>
      </c>
      <c r="BA2922" s="781"/>
      <c r="BB2922" s="209">
        <v>23053185</v>
      </c>
    </row>
    <row r="2923" spans="1:54" ht="25" hidden="1" customHeight="1">
      <c r="A2923" s="906" t="s">
        <v>2752</v>
      </c>
      <c r="B2923" s="332">
        <v>46010</v>
      </c>
      <c r="C2923" s="646" t="s">
        <v>2629</v>
      </c>
      <c r="D2923" s="185">
        <f t="shared" si="1293"/>
        <v>2025</v>
      </c>
      <c r="E2923" s="333" t="e">
        <f>VLOOKUP($B2923,Week!$A$1:$C$1462,2,0)</f>
        <v>#N/A</v>
      </c>
      <c r="F2923" s="334" t="str">
        <f t="shared" si="1294"/>
        <v>Dec</v>
      </c>
      <c r="G2923" s="335" t="s">
        <v>47</v>
      </c>
      <c r="H2923" s="335" t="s">
        <v>518</v>
      </c>
      <c r="I2923" s="335" t="s">
        <v>2702</v>
      </c>
      <c r="J2923" s="336" t="s">
        <v>70</v>
      </c>
      <c r="K2923" s="337" t="s">
        <v>582</v>
      </c>
      <c r="L2923" s="300" t="s">
        <v>2167</v>
      </c>
      <c r="M2923" s="336" t="s">
        <v>534</v>
      </c>
      <c r="N2923" s="530" t="s">
        <v>578</v>
      </c>
      <c r="O2923" s="335" t="s">
        <v>583</v>
      </c>
      <c r="P2923" s="338">
        <v>12</v>
      </c>
      <c r="Q2923" s="338">
        <v>3</v>
      </c>
      <c r="R2923" s="339">
        <v>6.0000000000000001E-3</v>
      </c>
      <c r="S2923" s="335" t="s">
        <v>55</v>
      </c>
      <c r="T2923" s="335" t="s">
        <v>56</v>
      </c>
      <c r="U2923" s="335" t="s">
        <v>57</v>
      </c>
      <c r="V2923" s="341">
        <f>200</f>
        <v>200</v>
      </c>
      <c r="W2923" s="341">
        <f>25+61+114</f>
        <v>200</v>
      </c>
      <c r="X2923" s="342"/>
      <c r="Y2923" s="343">
        <f t="shared" si="1295"/>
        <v>0</v>
      </c>
      <c r="Z2923" s="344">
        <f t="shared" si="1296"/>
        <v>0</v>
      </c>
      <c r="AA2923" s="344">
        <f t="shared" si="1297"/>
        <v>0</v>
      </c>
      <c r="AB2923" s="817">
        <v>7.4999999999999997E-3</v>
      </c>
      <c r="AC2923" s="341">
        <f t="shared" si="1298"/>
        <v>0</v>
      </c>
      <c r="AD2923" s="209" t="s">
        <v>2696</v>
      </c>
      <c r="AE2923" s="210">
        <f t="shared" si="1299"/>
        <v>0</v>
      </c>
      <c r="AF2923" s="210">
        <f t="shared" si="1300"/>
        <v>0</v>
      </c>
      <c r="AG2923" s="211">
        <f t="shared" si="1301"/>
        <v>0.191</v>
      </c>
      <c r="AH2923" s="157">
        <f t="shared" si="1292"/>
        <v>0</v>
      </c>
      <c r="AI2923" s="152">
        <f t="shared" si="1302"/>
        <v>2400</v>
      </c>
      <c r="AK2923" s="156" t="s">
        <v>691</v>
      </c>
      <c r="AL2923" s="212" t="s">
        <v>690</v>
      </c>
      <c r="AM2923" s="198">
        <f t="shared" si="1303"/>
        <v>0</v>
      </c>
      <c r="AN2923" s="199">
        <f t="shared" si="1304"/>
        <v>46010</v>
      </c>
      <c r="AO2923" s="159" t="s">
        <v>692</v>
      </c>
      <c r="AP2923" s="781"/>
      <c r="AQ2923" s="782">
        <v>12071839</v>
      </c>
      <c r="AR2923" s="782">
        <v>12042650</v>
      </c>
      <c r="AS2923" s="782">
        <v>12042649</v>
      </c>
      <c r="AT2923" s="782"/>
      <c r="AU2923" s="781"/>
      <c r="AV2923" s="782">
        <v>12083313</v>
      </c>
      <c r="AW2923" s="782"/>
      <c r="AX2923" s="782"/>
      <c r="AY2923" s="782">
        <v>12094233</v>
      </c>
      <c r="AZ2923" s="782">
        <v>12094234</v>
      </c>
      <c r="BA2923" s="781"/>
      <c r="BB2923" s="209">
        <v>23053185</v>
      </c>
    </row>
    <row r="2924" spans="1:54" ht="25" hidden="1" customHeight="1">
      <c r="A2924" s="906" t="s">
        <v>2752</v>
      </c>
      <c r="B2924" s="271">
        <v>46010</v>
      </c>
      <c r="C2924" s="870" t="s">
        <v>2629</v>
      </c>
      <c r="D2924" s="185">
        <f t="shared" si="1293"/>
        <v>2025</v>
      </c>
      <c r="E2924" s="272" t="e">
        <f>VLOOKUP($B2924,Week!$A$1:$C$1462,2,0)</f>
        <v>#N/A</v>
      </c>
      <c r="F2924" s="273" t="str">
        <f t="shared" si="1294"/>
        <v>Dec</v>
      </c>
      <c r="G2924" s="274" t="s">
        <v>47</v>
      </c>
      <c r="H2924" s="274" t="s">
        <v>518</v>
      </c>
      <c r="I2924" s="274" t="s">
        <v>2702</v>
      </c>
      <c r="J2924" s="275" t="s">
        <v>70</v>
      </c>
      <c r="K2924" s="276" t="s">
        <v>556</v>
      </c>
      <c r="L2924" s="300" t="s">
        <v>2167</v>
      </c>
      <c r="M2924" s="275" t="s">
        <v>520</v>
      </c>
      <c r="N2924" s="423" t="s">
        <v>586</v>
      </c>
      <c r="O2924" s="274" t="s">
        <v>585</v>
      </c>
      <c r="P2924" s="277">
        <v>12</v>
      </c>
      <c r="Q2924" s="277">
        <v>5</v>
      </c>
      <c r="R2924" s="278">
        <v>6.0000000000000001E-3</v>
      </c>
      <c r="S2924" s="274" t="s">
        <v>55</v>
      </c>
      <c r="T2924" s="274" t="s">
        <v>56</v>
      </c>
      <c r="U2924" s="274" t="s">
        <v>57</v>
      </c>
      <c r="V2924" s="279">
        <f>200</f>
        <v>200</v>
      </c>
      <c r="W2924" s="279">
        <f>306-229+1+122</f>
        <v>200</v>
      </c>
      <c r="X2924" s="280"/>
      <c r="Y2924" s="281">
        <f t="shared" si="1295"/>
        <v>0</v>
      </c>
      <c r="Z2924" s="282">
        <f t="shared" si="1296"/>
        <v>0</v>
      </c>
      <c r="AA2924" s="282">
        <f t="shared" si="1297"/>
        <v>0</v>
      </c>
      <c r="AB2924" s="812">
        <v>7.4999999999999997E-3</v>
      </c>
      <c r="AC2924" s="279">
        <f t="shared" si="1298"/>
        <v>0</v>
      </c>
      <c r="AD2924" s="209" t="s">
        <v>2697</v>
      </c>
      <c r="AE2924" s="210">
        <f t="shared" si="1299"/>
        <v>0</v>
      </c>
      <c r="AF2924" s="210">
        <f t="shared" si="1300"/>
        <v>0</v>
      </c>
      <c r="AG2924" s="211">
        <f t="shared" si="1301"/>
        <v>0.13500000000000001</v>
      </c>
      <c r="AH2924" s="157">
        <f t="shared" si="1292"/>
        <v>0</v>
      </c>
      <c r="AI2924" s="152">
        <f t="shared" si="1302"/>
        <v>2400</v>
      </c>
      <c r="AK2924" s="156" t="s">
        <v>691</v>
      </c>
      <c r="AL2924" s="212" t="s">
        <v>690</v>
      </c>
      <c r="AM2924" s="198">
        <f t="shared" si="1303"/>
        <v>0</v>
      </c>
      <c r="AN2924" s="199">
        <f t="shared" si="1304"/>
        <v>46010</v>
      </c>
      <c r="AO2924" s="159" t="s">
        <v>692</v>
      </c>
      <c r="AP2924" s="781"/>
      <c r="AQ2924" s="782">
        <v>12071839</v>
      </c>
      <c r="AR2924" s="782">
        <v>12047514</v>
      </c>
      <c r="AS2924" s="782">
        <v>12047515</v>
      </c>
      <c r="AT2924" s="782"/>
      <c r="AU2924" s="781"/>
      <c r="AV2924" s="782">
        <v>12083307</v>
      </c>
      <c r="AW2924" s="782"/>
      <c r="AX2924" s="782"/>
      <c r="AY2924" s="782">
        <v>12094380</v>
      </c>
      <c r="AZ2924" s="782">
        <v>12094381</v>
      </c>
      <c r="BA2924" s="781"/>
      <c r="BB2924" s="209">
        <v>23053185</v>
      </c>
    </row>
    <row r="2925" spans="1:54" ht="25" hidden="1" customHeight="1">
      <c r="A2925" s="529" t="s">
        <v>1937</v>
      </c>
      <c r="B2925" s="357">
        <v>46010</v>
      </c>
      <c r="C2925" s="776" t="s">
        <v>2629</v>
      </c>
      <c r="D2925" s="185">
        <f t="shared" si="1293"/>
        <v>2025</v>
      </c>
      <c r="E2925" s="358" t="e">
        <f>VLOOKUP($B2925,Week!$A$1:$C$1462,2,0)</f>
        <v>#N/A</v>
      </c>
      <c r="F2925" s="360" t="str">
        <f t="shared" si="1294"/>
        <v>Dec</v>
      </c>
      <c r="G2925" s="359" t="s">
        <v>47</v>
      </c>
      <c r="H2925" s="359" t="s">
        <v>518</v>
      </c>
      <c r="I2925" s="359" t="s">
        <v>2702</v>
      </c>
      <c r="J2925" s="361" t="s">
        <v>70</v>
      </c>
      <c r="K2925" s="362" t="s">
        <v>94</v>
      </c>
      <c r="L2925" s="362" t="s">
        <v>2167</v>
      </c>
      <c r="M2925" s="361" t="s">
        <v>519</v>
      </c>
      <c r="N2925" s="436" t="s">
        <v>648</v>
      </c>
      <c r="O2925" s="359" t="s">
        <v>97</v>
      </c>
      <c r="P2925" s="363">
        <v>12</v>
      </c>
      <c r="Q2925" s="363">
        <v>5</v>
      </c>
      <c r="R2925" s="364">
        <v>8.0000000000000002E-3</v>
      </c>
      <c r="S2925" s="359" t="s">
        <v>40</v>
      </c>
      <c r="T2925" s="359" t="s">
        <v>56</v>
      </c>
      <c r="U2925" s="359" t="s">
        <v>57</v>
      </c>
      <c r="V2925" s="365">
        <v>12</v>
      </c>
      <c r="W2925" s="365">
        <v>12</v>
      </c>
      <c r="X2925" s="366"/>
      <c r="Y2925" s="367">
        <f t="shared" si="1295"/>
        <v>0</v>
      </c>
      <c r="Z2925" s="368">
        <f t="shared" si="1296"/>
        <v>0</v>
      </c>
      <c r="AA2925" s="368">
        <f t="shared" si="1297"/>
        <v>0</v>
      </c>
      <c r="AB2925" s="819">
        <v>7.4999999999999997E-3</v>
      </c>
      <c r="AC2925" s="365">
        <f t="shared" si="1298"/>
        <v>0</v>
      </c>
      <c r="AD2925" s="209"/>
      <c r="AE2925" s="210">
        <f t="shared" si="1299"/>
        <v>0</v>
      </c>
      <c r="AF2925" s="210">
        <f t="shared" si="1300"/>
        <v>0</v>
      </c>
      <c r="AG2925" s="211">
        <f t="shared" si="1301"/>
        <v>0.14499999999999999</v>
      </c>
      <c r="AH2925" s="157">
        <f t="shared" si="1292"/>
        <v>0</v>
      </c>
      <c r="AI2925" s="152">
        <f t="shared" si="1302"/>
        <v>144</v>
      </c>
      <c r="AK2925" s="156" t="s">
        <v>691</v>
      </c>
      <c r="AL2925" s="574" t="s">
        <v>690</v>
      </c>
      <c r="AM2925" s="198">
        <f t="shared" si="1303"/>
        <v>0</v>
      </c>
      <c r="AN2925" s="199">
        <f t="shared" si="1304"/>
        <v>46010</v>
      </c>
      <c r="AO2925" s="159" t="s">
        <v>692</v>
      </c>
      <c r="AP2925" s="783" t="s">
        <v>628</v>
      </c>
      <c r="AQ2925" s="782">
        <v>12071839</v>
      </c>
      <c r="AR2925" s="782">
        <v>12047514</v>
      </c>
      <c r="AS2925" s="782">
        <v>12047515</v>
      </c>
      <c r="AT2925" s="782"/>
      <c r="AU2925" s="781"/>
      <c r="AV2925" s="782">
        <v>12080617</v>
      </c>
      <c r="AW2925" s="782"/>
      <c r="AX2925" s="782"/>
      <c r="AY2925" s="782">
        <v>12094231</v>
      </c>
      <c r="AZ2925" s="782">
        <v>1209232</v>
      </c>
      <c r="BA2925" s="781"/>
      <c r="BB2925" s="209"/>
    </row>
    <row r="2926" spans="1:54" ht="25" hidden="1" customHeight="1">
      <c r="A2926" s="906" t="s">
        <v>2752</v>
      </c>
      <c r="B2926" s="357">
        <v>46010</v>
      </c>
      <c r="C2926" s="776" t="s">
        <v>2629</v>
      </c>
      <c r="D2926" s="185">
        <f t="shared" ref="D2926:D2943" si="1305">IF(B2926="","",YEAR(B2926))</f>
        <v>2025</v>
      </c>
      <c r="E2926" s="358" t="e">
        <f>VLOOKUP($B2926,Week!$A$1:$C$1462,2,0)</f>
        <v>#N/A</v>
      </c>
      <c r="F2926" s="360" t="str">
        <f t="shared" ref="F2926:F2943" si="1306">IF(B2926="","",TEXT(B2926,"[$-409]mmm"))</f>
        <v>Dec</v>
      </c>
      <c r="G2926" s="359" t="s">
        <v>47</v>
      </c>
      <c r="H2926" s="359" t="s">
        <v>518</v>
      </c>
      <c r="I2926" s="359" t="s">
        <v>2702</v>
      </c>
      <c r="J2926" s="361" t="s">
        <v>70</v>
      </c>
      <c r="K2926" s="362" t="s">
        <v>94</v>
      </c>
      <c r="L2926" s="300" t="s">
        <v>2167</v>
      </c>
      <c r="M2926" s="361" t="s">
        <v>2341</v>
      </c>
      <c r="N2926" s="359" t="s">
        <v>589</v>
      </c>
      <c r="O2926" s="359" t="s">
        <v>97</v>
      </c>
      <c r="P2926" s="363">
        <v>12</v>
      </c>
      <c r="Q2926" s="363">
        <v>5</v>
      </c>
      <c r="R2926" s="364">
        <v>8.0000000000000002E-3</v>
      </c>
      <c r="S2926" s="359" t="s">
        <v>40</v>
      </c>
      <c r="T2926" s="359" t="s">
        <v>56</v>
      </c>
      <c r="U2926" s="359" t="s">
        <v>57</v>
      </c>
      <c r="V2926" s="365">
        <v>2220</v>
      </c>
      <c r="W2926" s="365">
        <f>2220</f>
        <v>2220</v>
      </c>
      <c r="X2926" s="366"/>
      <c r="Y2926" s="367">
        <f t="shared" ref="Y2926:Y2932" si="1307">(W2926+X2926)-V2926</f>
        <v>0</v>
      </c>
      <c r="Z2926" s="368">
        <f t="shared" ref="Z2926:Z2932" si="1308">IF(Y2926&lt;0,((V2926*P2926)-((W2926+X2926)*P2926)),0)</f>
        <v>0</v>
      </c>
      <c r="AA2926" s="368">
        <f t="shared" ref="AA2926:AA2943" si="1309">Q2926*Z2926</f>
        <v>0</v>
      </c>
      <c r="AB2926" s="819">
        <v>7.4999999999999997E-3</v>
      </c>
      <c r="AC2926" s="365">
        <f t="shared" ref="AC2926:AC2932" si="1310">Z2926*AB2926</f>
        <v>0</v>
      </c>
      <c r="AD2926" s="209"/>
      <c r="AE2926" s="210">
        <f t="shared" ref="AE2926:AE2932" si="1311">SUM(Q2926*R2926*Z2926)/1000</f>
        <v>0</v>
      </c>
      <c r="AF2926" s="210">
        <f t="shared" ref="AF2926:AF2932" si="1312">AE2926/0.54</f>
        <v>0</v>
      </c>
      <c r="AG2926" s="211">
        <f>MID(O2926,1,3)/1000</f>
        <v>0.14499999999999999</v>
      </c>
      <c r="AH2926" s="157">
        <f t="shared" si="1292"/>
        <v>0</v>
      </c>
      <c r="AI2926" s="152">
        <f t="shared" ref="AI2926:AI2932" si="1313">V2926*P2926</f>
        <v>26640</v>
      </c>
      <c r="AK2926" s="156" t="s">
        <v>691</v>
      </c>
      <c r="AL2926" s="574" t="s">
        <v>690</v>
      </c>
      <c r="AM2926" s="198">
        <f t="shared" ref="AM2926:AM2943" si="1314">AG2926*Z2926</f>
        <v>0</v>
      </c>
      <c r="AN2926" s="199">
        <f t="shared" ref="AN2926:AN2943" si="1315">B2926</f>
        <v>46010</v>
      </c>
      <c r="AO2926" s="159" t="s">
        <v>692</v>
      </c>
      <c r="AP2926" s="783" t="s">
        <v>628</v>
      </c>
      <c r="AQ2926" s="782">
        <v>12071839</v>
      </c>
      <c r="AR2926" s="782">
        <v>12047514</v>
      </c>
      <c r="AS2926" s="782">
        <v>12047515</v>
      </c>
      <c r="AT2926" s="782"/>
      <c r="AU2926" s="781"/>
      <c r="AV2926" s="782">
        <v>12080617</v>
      </c>
      <c r="AW2926" s="782"/>
      <c r="AX2926" s="782"/>
      <c r="AY2926" s="782">
        <v>12094231</v>
      </c>
      <c r="AZ2926" s="782">
        <v>1209232</v>
      </c>
      <c r="BA2926" s="781"/>
      <c r="BB2926" s="209">
        <v>23053185</v>
      </c>
    </row>
    <row r="2927" spans="1:54" ht="24.65" hidden="1" customHeight="1">
      <c r="A2927" s="906" t="s">
        <v>2752</v>
      </c>
      <c r="B2927" s="411">
        <v>46010</v>
      </c>
      <c r="C2927" s="645" t="s">
        <v>2629</v>
      </c>
      <c r="D2927" s="185">
        <f t="shared" si="1305"/>
        <v>2025</v>
      </c>
      <c r="E2927" s="412" t="e">
        <f>VLOOKUP($B2927,Week!$A$1:$C$1462,2,0)</f>
        <v>#N/A</v>
      </c>
      <c r="F2927" s="413" t="str">
        <f t="shared" si="1306"/>
        <v>Dec</v>
      </c>
      <c r="G2927" s="414" t="s">
        <v>47</v>
      </c>
      <c r="H2927" s="414" t="s">
        <v>260</v>
      </c>
      <c r="I2927" s="414" t="s">
        <v>2702</v>
      </c>
      <c r="J2927" s="415" t="s">
        <v>261</v>
      </c>
      <c r="K2927" s="416" t="s">
        <v>94</v>
      </c>
      <c r="L2927" s="300" t="s">
        <v>2167</v>
      </c>
      <c r="M2927" s="415" t="s">
        <v>2339</v>
      </c>
      <c r="N2927" s="414" t="s">
        <v>263</v>
      </c>
      <c r="O2927" s="414" t="s">
        <v>195</v>
      </c>
      <c r="P2927" s="417">
        <v>24</v>
      </c>
      <c r="Q2927" s="417">
        <v>5</v>
      </c>
      <c r="R2927" s="418">
        <v>8.0000000000000002E-3</v>
      </c>
      <c r="S2927" s="414" t="s">
        <v>40</v>
      </c>
      <c r="T2927" s="414" t="s">
        <v>56</v>
      </c>
      <c r="U2927" s="414" t="s">
        <v>57</v>
      </c>
      <c r="V2927" s="419">
        <v>1136</v>
      </c>
      <c r="W2927" s="419">
        <f>1+1135</f>
        <v>1136</v>
      </c>
      <c r="X2927" s="420"/>
      <c r="Y2927" s="421">
        <f t="shared" si="1307"/>
        <v>0</v>
      </c>
      <c r="Z2927" s="422">
        <f t="shared" si="1308"/>
        <v>0</v>
      </c>
      <c r="AA2927" s="422">
        <f t="shared" si="1309"/>
        <v>0</v>
      </c>
      <c r="AB2927" s="825">
        <v>7.4999999999999997E-3</v>
      </c>
      <c r="AC2927" s="419">
        <f t="shared" si="1310"/>
        <v>0</v>
      </c>
      <c r="AD2927" s="209"/>
      <c r="AE2927" s="210">
        <f t="shared" si="1311"/>
        <v>0</v>
      </c>
      <c r="AF2927" s="210">
        <f t="shared" si="1312"/>
        <v>0</v>
      </c>
      <c r="AG2927" s="211">
        <f>MID(O2927,1,3)/1000</f>
        <v>0.14499999999999999</v>
      </c>
      <c r="AH2927" s="157">
        <f t="shared" si="1292"/>
        <v>0</v>
      </c>
      <c r="AI2927" s="152">
        <f t="shared" si="1313"/>
        <v>27264</v>
      </c>
      <c r="AK2927" s="156" t="s">
        <v>691</v>
      </c>
      <c r="AL2927" s="212" t="s">
        <v>690</v>
      </c>
      <c r="AM2927" s="198">
        <f t="shared" si="1314"/>
        <v>0</v>
      </c>
      <c r="AN2927" s="199">
        <f t="shared" si="1315"/>
        <v>46010</v>
      </c>
      <c r="AO2927" s="159" t="s">
        <v>692</v>
      </c>
      <c r="AP2927" s="783" t="s">
        <v>609</v>
      </c>
      <c r="AQ2927" s="782">
        <v>12071839</v>
      </c>
      <c r="AR2927" s="782">
        <v>12047514</v>
      </c>
      <c r="AS2927" s="782">
        <v>12047515</v>
      </c>
      <c r="AT2927" s="781"/>
      <c r="AU2927" s="781"/>
      <c r="AV2927" s="782">
        <v>12080613</v>
      </c>
      <c r="AW2927" s="781"/>
      <c r="AX2927" s="781"/>
      <c r="AY2927" s="782">
        <v>12094241</v>
      </c>
      <c r="AZ2927" s="782">
        <v>12094242</v>
      </c>
      <c r="BA2927" s="781"/>
      <c r="BB2927" s="209">
        <v>23053185</v>
      </c>
    </row>
    <row r="2928" spans="1:54" ht="25" hidden="1" customHeight="1">
      <c r="A2928" s="906" t="s">
        <v>2752</v>
      </c>
      <c r="B2928" s="424">
        <v>46010</v>
      </c>
      <c r="C2928" s="647" t="s">
        <v>2629</v>
      </c>
      <c r="D2928" s="185">
        <f t="shared" si="1305"/>
        <v>2025</v>
      </c>
      <c r="E2928" s="425" t="e">
        <f>VLOOKUP($B2928,Week!$A$1:$C$1462,2,0)</f>
        <v>#N/A</v>
      </c>
      <c r="F2928" s="426" t="str">
        <f t="shared" si="1306"/>
        <v>Dec</v>
      </c>
      <c r="G2928" s="427" t="s">
        <v>47</v>
      </c>
      <c r="H2928" s="427" t="s">
        <v>518</v>
      </c>
      <c r="I2928" s="427" t="s">
        <v>2702</v>
      </c>
      <c r="J2928" s="428" t="s">
        <v>70</v>
      </c>
      <c r="K2928" s="429" t="s">
        <v>94</v>
      </c>
      <c r="L2928" s="300" t="s">
        <v>2167</v>
      </c>
      <c r="M2928" s="428" t="s">
        <v>2342</v>
      </c>
      <c r="N2928" s="427" t="s">
        <v>587</v>
      </c>
      <c r="O2928" s="427" t="s">
        <v>3198</v>
      </c>
      <c r="P2928" s="430">
        <v>18</v>
      </c>
      <c r="Q2928" s="430">
        <v>5</v>
      </c>
      <c r="R2928" s="431">
        <v>8.0000000000000002E-3</v>
      </c>
      <c r="S2928" s="427" t="s">
        <v>40</v>
      </c>
      <c r="T2928" s="427" t="s">
        <v>56</v>
      </c>
      <c r="U2928" s="427" t="s">
        <v>89</v>
      </c>
      <c r="V2928" s="432">
        <f>1200</f>
        <v>1200</v>
      </c>
      <c r="W2928" s="432"/>
      <c r="X2928" s="433">
        <f>23004/18</f>
        <v>1278</v>
      </c>
      <c r="Y2928" s="434">
        <f t="shared" si="1307"/>
        <v>78</v>
      </c>
      <c r="Z2928" s="435">
        <f t="shared" si="1308"/>
        <v>0</v>
      </c>
      <c r="AA2928" s="435">
        <f t="shared" si="1309"/>
        <v>0</v>
      </c>
      <c r="AB2928" s="826">
        <v>1</v>
      </c>
      <c r="AC2928" s="432">
        <f t="shared" si="1310"/>
        <v>0</v>
      </c>
      <c r="AD2928" s="209"/>
      <c r="AE2928" s="210">
        <f t="shared" si="1311"/>
        <v>0</v>
      </c>
      <c r="AF2928" s="210">
        <f t="shared" si="1312"/>
        <v>0</v>
      </c>
      <c r="AG2928" s="211" t="e">
        <f>(MID(O2928,1,3)/1000)/3</f>
        <v>#VALUE!</v>
      </c>
      <c r="AH2928" s="157" t="e">
        <f t="shared" si="1292"/>
        <v>#VALUE!</v>
      </c>
      <c r="AI2928" s="152">
        <f t="shared" si="1313"/>
        <v>21600</v>
      </c>
      <c r="AK2928" s="156" t="s">
        <v>691</v>
      </c>
      <c r="AL2928" s="212" t="s">
        <v>690</v>
      </c>
      <c r="AM2928" s="198" t="e">
        <f t="shared" si="1314"/>
        <v>#VALUE!</v>
      </c>
      <c r="AN2928" s="199">
        <f t="shared" si="1315"/>
        <v>46010</v>
      </c>
      <c r="AO2928" s="159" t="s">
        <v>692</v>
      </c>
      <c r="AP2928" s="783" t="s">
        <v>628</v>
      </c>
      <c r="AQ2928" s="782"/>
      <c r="AR2928" s="782"/>
      <c r="AS2928" s="782"/>
      <c r="AT2928" s="782"/>
      <c r="AU2928" s="781"/>
      <c r="AV2928" s="782">
        <v>12080791</v>
      </c>
      <c r="AW2928" s="782" t="s">
        <v>641</v>
      </c>
      <c r="AX2928" s="782" t="s">
        <v>533</v>
      </c>
      <c r="AY2928" s="782"/>
      <c r="AZ2928" s="782"/>
      <c r="BA2928" s="781"/>
      <c r="BB2928" s="209">
        <v>23053184</v>
      </c>
    </row>
    <row r="2929" spans="1:54" ht="24.65" hidden="1" customHeight="1">
      <c r="A2929" s="142" t="s">
        <v>120</v>
      </c>
      <c r="B2929" s="258">
        <v>46011</v>
      </c>
      <c r="C2929" s="259">
        <v>46027</v>
      </c>
      <c r="D2929" s="185">
        <f t="shared" si="1305"/>
        <v>2025</v>
      </c>
      <c r="E2929" s="260" t="e">
        <f>VLOOKUP($B2929,Week!$A$1:$C$1462,2,0)</f>
        <v>#N/A</v>
      </c>
      <c r="F2929" s="261" t="str">
        <f t="shared" si="1306"/>
        <v>Dec</v>
      </c>
      <c r="G2929" s="262" t="s">
        <v>2495</v>
      </c>
      <c r="H2929" s="260" t="s">
        <v>134</v>
      </c>
      <c r="I2929" s="260" t="s">
        <v>2772</v>
      </c>
      <c r="J2929" s="263" t="s">
        <v>164</v>
      </c>
      <c r="K2929" s="264" t="s">
        <v>153</v>
      </c>
      <c r="L2929" s="390" t="s">
        <v>2166</v>
      </c>
      <c r="M2929" s="263" t="s">
        <v>165</v>
      </c>
      <c r="N2929" s="260" t="s">
        <v>166</v>
      </c>
      <c r="O2929" s="260" t="s">
        <v>502</v>
      </c>
      <c r="P2929" s="265">
        <v>20</v>
      </c>
      <c r="Q2929" s="265">
        <v>12</v>
      </c>
      <c r="R2929" s="266">
        <v>6.8100000000000001E-3</v>
      </c>
      <c r="S2929" s="260" t="s">
        <v>76</v>
      </c>
      <c r="T2929" s="260" t="s">
        <v>56</v>
      </c>
      <c r="U2929" s="260" t="s">
        <v>89</v>
      </c>
      <c r="V2929" s="267">
        <f>3000-1022-1023</f>
        <v>955</v>
      </c>
      <c r="W2929" s="267">
        <v>955</v>
      </c>
      <c r="X2929" s="268"/>
      <c r="Y2929" s="269">
        <f t="shared" si="1307"/>
        <v>0</v>
      </c>
      <c r="Z2929" s="270">
        <f t="shared" si="1308"/>
        <v>0</v>
      </c>
      <c r="AA2929" s="270">
        <f t="shared" si="1309"/>
        <v>0</v>
      </c>
      <c r="AB2929" s="811">
        <v>2</v>
      </c>
      <c r="AC2929" s="267">
        <f t="shared" si="1310"/>
        <v>0</v>
      </c>
      <c r="AD2929" s="209" t="s">
        <v>168</v>
      </c>
      <c r="AE2929" s="210">
        <f t="shared" si="1311"/>
        <v>0</v>
      </c>
      <c r="AF2929" s="210">
        <f t="shared" si="1312"/>
        <v>0</v>
      </c>
      <c r="AG2929" s="211">
        <f>MID(O2929,1,3)/1000</f>
        <v>0.154</v>
      </c>
      <c r="AH2929" s="157">
        <f t="shared" si="1292"/>
        <v>0</v>
      </c>
      <c r="AI2929" s="152">
        <f t="shared" si="1313"/>
        <v>19100</v>
      </c>
      <c r="AK2929" s="156" t="s">
        <v>691</v>
      </c>
      <c r="AL2929" s="156" t="s">
        <v>689</v>
      </c>
      <c r="AM2929" s="198">
        <f t="shared" si="1314"/>
        <v>0</v>
      </c>
      <c r="AN2929" s="199">
        <f t="shared" si="1315"/>
        <v>46011</v>
      </c>
      <c r="AO2929" s="159" t="s">
        <v>692</v>
      </c>
      <c r="AP2929" s="783" t="s">
        <v>610</v>
      </c>
      <c r="AQ2929" s="783" t="s">
        <v>631</v>
      </c>
      <c r="AR2929" s="783" t="s">
        <v>523</v>
      </c>
      <c r="AS2929" s="781"/>
      <c r="AT2929" s="782">
        <v>12096524</v>
      </c>
      <c r="AU2929" s="781"/>
      <c r="AV2929" s="783" t="s">
        <v>2507</v>
      </c>
      <c r="AW2929" s="781"/>
      <c r="AX2929" s="782" t="s">
        <v>398</v>
      </c>
      <c r="AY2929" s="781"/>
      <c r="AZ2929" s="781"/>
      <c r="BA2929" s="781"/>
      <c r="BB2929" s="209">
        <v>23053184</v>
      </c>
    </row>
    <row r="2930" spans="1:54" ht="24.65" hidden="1" customHeight="1">
      <c r="A2930" s="142" t="s">
        <v>120</v>
      </c>
      <c r="B2930" s="258">
        <v>46011</v>
      </c>
      <c r="C2930" s="259">
        <v>46029</v>
      </c>
      <c r="D2930" s="185">
        <f t="shared" si="1305"/>
        <v>2025</v>
      </c>
      <c r="E2930" s="260" t="e">
        <f>VLOOKUP($B2930,Week!$A$1:$C$1462,2,0)</f>
        <v>#N/A</v>
      </c>
      <c r="F2930" s="261" t="str">
        <f t="shared" si="1306"/>
        <v>Dec</v>
      </c>
      <c r="G2930" s="262" t="s">
        <v>2497</v>
      </c>
      <c r="H2930" s="260" t="s">
        <v>134</v>
      </c>
      <c r="I2930" s="260" t="s">
        <v>2772</v>
      </c>
      <c r="J2930" s="263" t="s">
        <v>164</v>
      </c>
      <c r="K2930" s="264" t="s">
        <v>153</v>
      </c>
      <c r="L2930" s="390" t="s">
        <v>2166</v>
      </c>
      <c r="M2930" s="263" t="s">
        <v>165</v>
      </c>
      <c r="N2930" s="260" t="s">
        <v>166</v>
      </c>
      <c r="O2930" s="260" t="s">
        <v>502</v>
      </c>
      <c r="P2930" s="265">
        <v>20</v>
      </c>
      <c r="Q2930" s="265">
        <v>12</v>
      </c>
      <c r="R2930" s="266">
        <v>6.8100000000000001E-3</v>
      </c>
      <c r="S2930" s="260" t="s">
        <v>76</v>
      </c>
      <c r="T2930" s="260" t="s">
        <v>56</v>
      </c>
      <c r="U2930" s="260" t="s">
        <v>89</v>
      </c>
      <c r="V2930" s="267">
        <f>1053-955</f>
        <v>98</v>
      </c>
      <c r="W2930" s="267">
        <f>1053-955</f>
        <v>98</v>
      </c>
      <c r="X2930" s="268"/>
      <c r="Y2930" s="269">
        <f t="shared" si="1307"/>
        <v>0</v>
      </c>
      <c r="Z2930" s="270">
        <f t="shared" si="1308"/>
        <v>0</v>
      </c>
      <c r="AA2930" s="270">
        <f t="shared" si="1309"/>
        <v>0</v>
      </c>
      <c r="AB2930" s="811">
        <v>2</v>
      </c>
      <c r="AC2930" s="267">
        <f t="shared" si="1310"/>
        <v>0</v>
      </c>
      <c r="AD2930" s="209" t="s">
        <v>168</v>
      </c>
      <c r="AE2930" s="210">
        <f t="shared" si="1311"/>
        <v>0</v>
      </c>
      <c r="AF2930" s="210">
        <f t="shared" si="1312"/>
        <v>0</v>
      </c>
      <c r="AG2930" s="211">
        <f>MID(O2930,1,3)/1000</f>
        <v>0.154</v>
      </c>
      <c r="AH2930" s="157">
        <f t="shared" si="1292"/>
        <v>0</v>
      </c>
      <c r="AI2930" s="152">
        <f t="shared" si="1313"/>
        <v>1960</v>
      </c>
      <c r="AK2930" s="156" t="s">
        <v>691</v>
      </c>
      <c r="AL2930" s="156" t="s">
        <v>689</v>
      </c>
      <c r="AM2930" s="198">
        <f t="shared" si="1314"/>
        <v>0</v>
      </c>
      <c r="AN2930" s="199">
        <f t="shared" si="1315"/>
        <v>46011</v>
      </c>
      <c r="AO2930" s="159" t="s">
        <v>692</v>
      </c>
      <c r="AP2930" s="783" t="s">
        <v>610</v>
      </c>
      <c r="AQ2930" s="783" t="s">
        <v>631</v>
      </c>
      <c r="AR2930" s="783" t="s">
        <v>523</v>
      </c>
      <c r="AS2930" s="781"/>
      <c r="AT2930" s="782">
        <v>12096524</v>
      </c>
      <c r="AU2930" s="781"/>
      <c r="AV2930" s="783" t="s">
        <v>2507</v>
      </c>
      <c r="AW2930" s="781"/>
      <c r="AX2930" s="782" t="s">
        <v>398</v>
      </c>
      <c r="AY2930" s="781"/>
      <c r="AZ2930" s="781"/>
      <c r="BA2930" s="781"/>
      <c r="BB2930" s="209">
        <v>23053184</v>
      </c>
    </row>
    <row r="2931" spans="1:54" ht="25.15" hidden="1" customHeight="1">
      <c r="A2931" s="906" t="s">
        <v>2761</v>
      </c>
      <c r="B2931" s="345">
        <v>46011</v>
      </c>
      <c r="C2931" s="346">
        <v>46028</v>
      </c>
      <c r="D2931" s="185">
        <f t="shared" si="1305"/>
        <v>2025</v>
      </c>
      <c r="E2931" s="347" t="e">
        <f>VLOOKUP($B2931,Week!$A$1:$C$1462,2,0)</f>
        <v>#N/A</v>
      </c>
      <c r="F2931" s="348" t="str">
        <f t="shared" si="1306"/>
        <v>Dec</v>
      </c>
      <c r="G2931" s="347" t="s">
        <v>2483</v>
      </c>
      <c r="H2931" s="347" t="s">
        <v>424</v>
      </c>
      <c r="I2931" s="347" t="s">
        <v>2772</v>
      </c>
      <c r="J2931" s="438" t="s">
        <v>425</v>
      </c>
      <c r="K2931" s="350" t="s">
        <v>176</v>
      </c>
      <c r="L2931" s="350" t="s">
        <v>2167</v>
      </c>
      <c r="M2931" s="349" t="s">
        <v>426</v>
      </c>
      <c r="N2931" s="347" t="s">
        <v>427</v>
      </c>
      <c r="O2931" s="347" t="s">
        <v>599</v>
      </c>
      <c r="P2931" s="351">
        <v>36</v>
      </c>
      <c r="Q2931" s="351">
        <v>5</v>
      </c>
      <c r="R2931" s="352">
        <v>7.4999999999999997E-3</v>
      </c>
      <c r="S2931" s="347" t="s">
        <v>111</v>
      </c>
      <c r="T2931" s="347" t="s">
        <v>112</v>
      </c>
      <c r="U2931" s="347" t="s">
        <v>57</v>
      </c>
      <c r="V2931" s="353">
        <v>1288</v>
      </c>
      <c r="W2931" s="353">
        <v>1288</v>
      </c>
      <c r="X2931" s="354"/>
      <c r="Y2931" s="355">
        <f t="shared" si="1307"/>
        <v>0</v>
      </c>
      <c r="Z2931" s="356">
        <f t="shared" si="1308"/>
        <v>0</v>
      </c>
      <c r="AA2931" s="353">
        <f t="shared" si="1309"/>
        <v>0</v>
      </c>
      <c r="AB2931" s="818">
        <v>7.4999999999999997E-3</v>
      </c>
      <c r="AC2931" s="353">
        <f t="shared" si="1310"/>
        <v>0</v>
      </c>
      <c r="AD2931" s="307" t="s">
        <v>2448</v>
      </c>
      <c r="AE2931" s="210">
        <f t="shared" si="1311"/>
        <v>0</v>
      </c>
      <c r="AF2931" s="210">
        <f t="shared" si="1312"/>
        <v>0</v>
      </c>
      <c r="AG2931" s="211">
        <f>MID(O2931,1,3)/1000</f>
        <v>0.14799999999999999</v>
      </c>
      <c r="AH2931" s="157">
        <f t="shared" si="1292"/>
        <v>0</v>
      </c>
      <c r="AI2931" s="152">
        <f t="shared" si="1313"/>
        <v>46368</v>
      </c>
      <c r="AK2931" s="156" t="s">
        <v>691</v>
      </c>
      <c r="AL2931" s="574" t="s">
        <v>690</v>
      </c>
      <c r="AM2931" s="198">
        <f t="shared" si="1314"/>
        <v>0</v>
      </c>
      <c r="AN2931" s="199">
        <f t="shared" si="1315"/>
        <v>46011</v>
      </c>
      <c r="AO2931" s="159" t="s">
        <v>692</v>
      </c>
      <c r="AP2931" s="783" t="s">
        <v>609</v>
      </c>
      <c r="AQ2931" s="782">
        <v>12071839</v>
      </c>
      <c r="AR2931" s="782">
        <v>12080260</v>
      </c>
      <c r="AS2931" s="782">
        <v>12080259</v>
      </c>
      <c r="AT2931" s="782">
        <v>12096006</v>
      </c>
      <c r="AU2931" s="782"/>
      <c r="AV2931" s="782">
        <v>12096007</v>
      </c>
      <c r="AW2931" s="782">
        <v>12024404</v>
      </c>
      <c r="AX2931" s="781"/>
      <c r="AY2931" s="782">
        <v>12096022</v>
      </c>
      <c r="AZ2931" s="782"/>
      <c r="BA2931" s="781"/>
      <c r="BB2931" s="209">
        <v>23053185</v>
      </c>
    </row>
    <row r="2932" spans="1:54" ht="25.15" hidden="1" customHeight="1">
      <c r="A2932" s="906" t="s">
        <v>2761</v>
      </c>
      <c r="B2932" s="345">
        <v>46011</v>
      </c>
      <c r="C2932" s="346">
        <v>46028</v>
      </c>
      <c r="D2932" s="185">
        <f t="shared" si="1305"/>
        <v>2025</v>
      </c>
      <c r="E2932" s="347" t="e">
        <f>VLOOKUP($B2932,Week!$A$1:$C$1462,2,0)</f>
        <v>#N/A</v>
      </c>
      <c r="F2932" s="348" t="str">
        <f t="shared" si="1306"/>
        <v>Dec</v>
      </c>
      <c r="G2932" s="347" t="s">
        <v>2561</v>
      </c>
      <c r="H2932" s="347" t="s">
        <v>424</v>
      </c>
      <c r="I2932" s="347" t="s">
        <v>2772</v>
      </c>
      <c r="J2932" s="438" t="s">
        <v>425</v>
      </c>
      <c r="K2932" s="350" t="s">
        <v>176</v>
      </c>
      <c r="L2932" s="350" t="s">
        <v>2167</v>
      </c>
      <c r="M2932" s="349" t="s">
        <v>426</v>
      </c>
      <c r="N2932" s="347" t="s">
        <v>427</v>
      </c>
      <c r="O2932" s="347" t="s">
        <v>599</v>
      </c>
      <c r="P2932" s="351">
        <v>36</v>
      </c>
      <c r="Q2932" s="351">
        <v>5</v>
      </c>
      <c r="R2932" s="352">
        <v>7.4999999999999997E-3</v>
      </c>
      <c r="S2932" s="347" t="s">
        <v>111</v>
      </c>
      <c r="T2932" s="347" t="s">
        <v>112</v>
      </c>
      <c r="U2932" s="347" t="s">
        <v>57</v>
      </c>
      <c r="V2932" s="353">
        <v>1288</v>
      </c>
      <c r="W2932" s="353">
        <v>1288</v>
      </c>
      <c r="X2932" s="354"/>
      <c r="Y2932" s="355">
        <f t="shared" si="1307"/>
        <v>0</v>
      </c>
      <c r="Z2932" s="356">
        <f t="shared" si="1308"/>
        <v>0</v>
      </c>
      <c r="AA2932" s="353">
        <f t="shared" si="1309"/>
        <v>0</v>
      </c>
      <c r="AB2932" s="818">
        <v>7.4999999999999997E-3</v>
      </c>
      <c r="AC2932" s="353">
        <f t="shared" si="1310"/>
        <v>0</v>
      </c>
      <c r="AD2932" s="307" t="s">
        <v>2448</v>
      </c>
      <c r="AE2932" s="210">
        <f t="shared" si="1311"/>
        <v>0</v>
      </c>
      <c r="AF2932" s="210">
        <f t="shared" si="1312"/>
        <v>0</v>
      </c>
      <c r="AG2932" s="211">
        <f>MID(O2932,1,3)/1000</f>
        <v>0.14799999999999999</v>
      </c>
      <c r="AH2932" s="157">
        <f t="shared" si="1292"/>
        <v>0</v>
      </c>
      <c r="AI2932" s="152">
        <f t="shared" si="1313"/>
        <v>46368</v>
      </c>
      <c r="AK2932" s="156" t="s">
        <v>691</v>
      </c>
      <c r="AL2932" s="574" t="s">
        <v>690</v>
      </c>
      <c r="AM2932" s="198">
        <f t="shared" si="1314"/>
        <v>0</v>
      </c>
      <c r="AN2932" s="199">
        <f t="shared" si="1315"/>
        <v>46011</v>
      </c>
      <c r="AO2932" s="159" t="s">
        <v>692</v>
      </c>
      <c r="AP2932" s="783" t="s">
        <v>609</v>
      </c>
      <c r="AQ2932" s="782">
        <v>12071839</v>
      </c>
      <c r="AR2932" s="782">
        <v>12080260</v>
      </c>
      <c r="AS2932" s="782">
        <v>12080259</v>
      </c>
      <c r="AT2932" s="782">
        <v>12096006</v>
      </c>
      <c r="AU2932" s="782"/>
      <c r="AV2932" s="782">
        <v>12096007</v>
      </c>
      <c r="AW2932" s="782">
        <v>12024404</v>
      </c>
      <c r="AX2932" s="781"/>
      <c r="AY2932" s="782">
        <v>12096022</v>
      </c>
      <c r="AZ2932" s="782"/>
      <c r="BA2932" s="781"/>
      <c r="BB2932" s="209">
        <v>23053185</v>
      </c>
    </row>
    <row r="2933" spans="1:54" ht="25" hidden="1" customHeight="1">
      <c r="B2933" s="183">
        <v>46012</v>
      </c>
      <c r="C2933" s="184"/>
      <c r="D2933" s="185">
        <f t="shared" si="1305"/>
        <v>2025</v>
      </c>
      <c r="E2933" s="185" t="e">
        <f>VLOOKUP($B2933,Week!$A$1:$C$1462,2,0)</f>
        <v>#N/A</v>
      </c>
      <c r="F2933" s="186" t="str">
        <f t="shared" si="1306"/>
        <v>Dec</v>
      </c>
      <c r="G2933" s="481"/>
      <c r="H2933" s="185"/>
      <c r="I2933" s="185"/>
      <c r="J2933" s="187"/>
      <c r="K2933" s="188"/>
      <c r="L2933" s="188"/>
      <c r="M2933" s="187"/>
      <c r="N2933" s="185"/>
      <c r="O2933" s="185"/>
      <c r="P2933" s="189"/>
      <c r="Q2933" s="189"/>
      <c r="R2933" s="190"/>
      <c r="S2933" s="185"/>
      <c r="T2933" s="185"/>
      <c r="U2933" s="185"/>
      <c r="V2933" s="191"/>
      <c r="W2933" s="191"/>
      <c r="X2933" s="192"/>
      <c r="Y2933" s="193"/>
      <c r="Z2933" s="194"/>
      <c r="AA2933" s="194">
        <f t="shared" si="1309"/>
        <v>0</v>
      </c>
      <c r="AB2933" s="805"/>
      <c r="AC2933" s="191"/>
      <c r="AD2933" s="187"/>
      <c r="AE2933" s="195"/>
      <c r="AF2933" s="195"/>
      <c r="AG2933" s="196"/>
      <c r="AH2933" s="197"/>
      <c r="AK2933" s="156" t="s">
        <v>691</v>
      </c>
      <c r="AM2933" s="198">
        <f t="shared" si="1314"/>
        <v>0</v>
      </c>
      <c r="AN2933" s="199">
        <f t="shared" si="1315"/>
        <v>46012</v>
      </c>
      <c r="AO2933" s="159" t="s">
        <v>692</v>
      </c>
      <c r="AP2933" s="781"/>
      <c r="AQ2933" s="782"/>
      <c r="AR2933" s="782"/>
      <c r="AS2933" s="782"/>
      <c r="AT2933" s="782"/>
      <c r="AU2933" s="781"/>
      <c r="AV2933" s="782"/>
      <c r="AW2933" s="782"/>
      <c r="AX2933" s="782"/>
      <c r="AY2933" s="782"/>
      <c r="AZ2933" s="782"/>
      <c r="BA2933" s="781"/>
      <c r="BB2933" s="209"/>
    </row>
    <row r="2934" spans="1:54" ht="24.65" hidden="1" customHeight="1">
      <c r="A2934" s="142" t="s">
        <v>120</v>
      </c>
      <c r="B2934" s="258">
        <v>46013</v>
      </c>
      <c r="C2934" s="259">
        <v>46029</v>
      </c>
      <c r="D2934" s="185">
        <f t="shared" si="1305"/>
        <v>2025</v>
      </c>
      <c r="E2934" s="260" t="e">
        <f>VLOOKUP($B2934,Week!$A$1:$C$1462,2,0)</f>
        <v>#N/A</v>
      </c>
      <c r="F2934" s="261" t="str">
        <f t="shared" si="1306"/>
        <v>Dec</v>
      </c>
      <c r="G2934" s="262" t="s">
        <v>2497</v>
      </c>
      <c r="H2934" s="260" t="s">
        <v>134</v>
      </c>
      <c r="I2934" s="260" t="s">
        <v>2772</v>
      </c>
      <c r="J2934" s="263" t="s">
        <v>164</v>
      </c>
      <c r="K2934" s="264" t="s">
        <v>153</v>
      </c>
      <c r="L2934" s="390" t="s">
        <v>2166</v>
      </c>
      <c r="M2934" s="263" t="s">
        <v>165</v>
      </c>
      <c r="N2934" s="260" t="s">
        <v>166</v>
      </c>
      <c r="O2934" s="260" t="s">
        <v>502</v>
      </c>
      <c r="P2934" s="265">
        <v>20</v>
      </c>
      <c r="Q2934" s="265">
        <v>12</v>
      </c>
      <c r="R2934" s="266">
        <v>6.8100000000000001E-3</v>
      </c>
      <c r="S2934" s="260" t="s">
        <v>76</v>
      </c>
      <c r="T2934" s="260" t="s">
        <v>56</v>
      </c>
      <c r="U2934" s="260" t="s">
        <v>89</v>
      </c>
      <c r="V2934" s="267">
        <v>2425</v>
      </c>
      <c r="W2934" s="267">
        <f>2031</f>
        <v>2031</v>
      </c>
      <c r="X2934" s="268">
        <f>7880/20</f>
        <v>394</v>
      </c>
      <c r="Y2934" s="269">
        <f t="shared" ref="Y2934:Y2943" si="1316">(W2934+X2934)-V2934</f>
        <v>0</v>
      </c>
      <c r="Z2934" s="270">
        <f t="shared" ref="Z2934:Z2943" si="1317">IF(Y2934&lt;0,((V2934*P2934)-((W2934+X2934)*P2934)),0)</f>
        <v>0</v>
      </c>
      <c r="AA2934" s="270">
        <f t="shared" si="1309"/>
        <v>0</v>
      </c>
      <c r="AB2934" s="811">
        <v>2</v>
      </c>
      <c r="AC2934" s="267">
        <f t="shared" ref="AC2934:AC2943" si="1318">Z2934*AB2934</f>
        <v>0</v>
      </c>
      <c r="AD2934" s="209" t="s">
        <v>168</v>
      </c>
      <c r="AE2934" s="210">
        <f t="shared" ref="AE2934:AE2942" si="1319">SUM(Q2934*R2934*Z2934)/1000</f>
        <v>0</v>
      </c>
      <c r="AF2934" s="210">
        <f t="shared" ref="AF2934:AF2942" si="1320">AE2934/0.54</f>
        <v>0</v>
      </c>
      <c r="AG2934" s="211">
        <f>MID(O2934,1,3)/1000</f>
        <v>0.154</v>
      </c>
      <c r="AH2934" s="157">
        <f t="shared" ref="AH2934:AH2943" si="1321">(Z2934*AG2934)/1000</f>
        <v>0</v>
      </c>
      <c r="AI2934" s="152">
        <f t="shared" ref="AI2934:AI2943" si="1322">V2934*P2934</f>
        <v>48500</v>
      </c>
      <c r="AK2934" s="156" t="s">
        <v>691</v>
      </c>
      <c r="AL2934" s="156" t="s">
        <v>689</v>
      </c>
      <c r="AM2934" s="198">
        <f t="shared" si="1314"/>
        <v>0</v>
      </c>
      <c r="AN2934" s="199">
        <f t="shared" si="1315"/>
        <v>46013</v>
      </c>
      <c r="AO2934" s="159" t="s">
        <v>692</v>
      </c>
      <c r="AP2934" s="783" t="s">
        <v>610</v>
      </c>
      <c r="AQ2934" s="783" t="s">
        <v>631</v>
      </c>
      <c r="AR2934" s="783" t="s">
        <v>523</v>
      </c>
      <c r="AS2934" s="781"/>
      <c r="AT2934" s="782">
        <v>12096524</v>
      </c>
      <c r="AU2934" s="781"/>
      <c r="AV2934" s="783" t="s">
        <v>2507</v>
      </c>
      <c r="AW2934" s="781"/>
      <c r="AX2934" s="782" t="s">
        <v>398</v>
      </c>
      <c r="AY2934" s="781"/>
      <c r="AZ2934" s="781"/>
      <c r="BA2934" s="781"/>
      <c r="BB2934" s="209">
        <v>23053184</v>
      </c>
    </row>
    <row r="2935" spans="1:54" ht="24.65" hidden="1" customHeight="1">
      <c r="A2935" s="142" t="s">
        <v>120</v>
      </c>
      <c r="B2935" s="258">
        <v>46014</v>
      </c>
      <c r="C2935" s="259">
        <v>46029</v>
      </c>
      <c r="D2935" s="185">
        <f t="shared" si="1305"/>
        <v>2025</v>
      </c>
      <c r="E2935" s="260" t="e">
        <f>VLOOKUP($B2935,Week!$A$1:$C$1462,2,0)</f>
        <v>#N/A</v>
      </c>
      <c r="F2935" s="261" t="str">
        <f t="shared" si="1306"/>
        <v>Dec</v>
      </c>
      <c r="G2935" s="262" t="s">
        <v>2497</v>
      </c>
      <c r="H2935" s="260" t="s">
        <v>134</v>
      </c>
      <c r="I2935" s="260" t="s">
        <v>2772</v>
      </c>
      <c r="J2935" s="263" t="s">
        <v>164</v>
      </c>
      <c r="K2935" s="264" t="s">
        <v>153</v>
      </c>
      <c r="L2935" s="390" t="s">
        <v>2166</v>
      </c>
      <c r="M2935" s="263" t="s">
        <v>165</v>
      </c>
      <c r="N2935" s="260" t="s">
        <v>166</v>
      </c>
      <c r="O2935" s="260" t="s">
        <v>502</v>
      </c>
      <c r="P2935" s="265">
        <v>20</v>
      </c>
      <c r="Q2935" s="265">
        <v>12</v>
      </c>
      <c r="R2935" s="266">
        <v>6.8100000000000001E-3</v>
      </c>
      <c r="S2935" s="260" t="s">
        <v>76</v>
      </c>
      <c r="T2935" s="260" t="s">
        <v>56</v>
      </c>
      <c r="U2935" s="260" t="s">
        <v>89</v>
      </c>
      <c r="V2935" s="267">
        <f>3000-98-2425</f>
        <v>477</v>
      </c>
      <c r="W2935" s="267">
        <f>371</f>
        <v>371</v>
      </c>
      <c r="X2935" s="268">
        <f>(2120)/20</f>
        <v>106</v>
      </c>
      <c r="Y2935" s="269">
        <f t="shared" si="1316"/>
        <v>0</v>
      </c>
      <c r="Z2935" s="270">
        <f t="shared" si="1317"/>
        <v>0</v>
      </c>
      <c r="AA2935" s="270">
        <f t="shared" si="1309"/>
        <v>0</v>
      </c>
      <c r="AB2935" s="811">
        <v>2</v>
      </c>
      <c r="AC2935" s="267">
        <f t="shared" si="1318"/>
        <v>0</v>
      </c>
      <c r="AD2935" s="209" t="s">
        <v>168</v>
      </c>
      <c r="AE2935" s="210">
        <f t="shared" si="1319"/>
        <v>0</v>
      </c>
      <c r="AF2935" s="210">
        <f t="shared" si="1320"/>
        <v>0</v>
      </c>
      <c r="AG2935" s="211">
        <f>MID(O2935,1,3)/1000</f>
        <v>0.154</v>
      </c>
      <c r="AH2935" s="157">
        <f t="shared" si="1321"/>
        <v>0</v>
      </c>
      <c r="AI2935" s="152">
        <f t="shared" si="1322"/>
        <v>9540</v>
      </c>
      <c r="AK2935" s="156" t="s">
        <v>691</v>
      </c>
      <c r="AL2935" s="156" t="s">
        <v>689</v>
      </c>
      <c r="AM2935" s="198">
        <f t="shared" si="1314"/>
        <v>0</v>
      </c>
      <c r="AN2935" s="199">
        <f t="shared" si="1315"/>
        <v>46014</v>
      </c>
      <c r="AO2935" s="159" t="s">
        <v>692</v>
      </c>
      <c r="AP2935" s="783" t="s">
        <v>610</v>
      </c>
      <c r="AQ2935" s="783" t="s">
        <v>631</v>
      </c>
      <c r="AR2935" s="783" t="s">
        <v>523</v>
      </c>
      <c r="AS2935" s="781"/>
      <c r="AT2935" s="782">
        <v>12096524</v>
      </c>
      <c r="AU2935" s="781"/>
      <c r="AV2935" s="783" t="s">
        <v>2507</v>
      </c>
      <c r="AW2935" s="781"/>
      <c r="AX2935" s="782" t="s">
        <v>398</v>
      </c>
      <c r="AY2935" s="781"/>
      <c r="AZ2935" s="781"/>
      <c r="BA2935" s="781"/>
      <c r="BB2935" s="209">
        <v>23053184</v>
      </c>
    </row>
    <row r="2936" spans="1:54" ht="25" hidden="1" customHeight="1">
      <c r="A2936" s="142" t="s">
        <v>120</v>
      </c>
      <c r="B2936" s="559">
        <v>46014</v>
      </c>
      <c r="C2936" s="560">
        <v>46028</v>
      </c>
      <c r="D2936" s="185">
        <f t="shared" si="1305"/>
        <v>2025</v>
      </c>
      <c r="E2936" s="561" t="e">
        <f>VLOOKUP($B2936,Week!$A$1:$C$1462,2,0)</f>
        <v>#N/A</v>
      </c>
      <c r="F2936" s="562" t="str">
        <f t="shared" si="1306"/>
        <v>Dec</v>
      </c>
      <c r="G2936" s="561" t="s">
        <v>2647</v>
      </c>
      <c r="H2936" s="561" t="s">
        <v>134</v>
      </c>
      <c r="I2936" s="561" t="s">
        <v>2772</v>
      </c>
      <c r="J2936" s="563" t="s">
        <v>164</v>
      </c>
      <c r="K2936" s="564" t="s">
        <v>355</v>
      </c>
      <c r="L2936" s="390" t="s">
        <v>2166</v>
      </c>
      <c r="M2936" s="563" t="s">
        <v>356</v>
      </c>
      <c r="N2936" s="561" t="s">
        <v>652</v>
      </c>
      <c r="O2936" s="561" t="s">
        <v>508</v>
      </c>
      <c r="P2936" s="565">
        <v>18</v>
      </c>
      <c r="Q2936" s="565">
        <v>8</v>
      </c>
      <c r="R2936" s="566">
        <v>6.0000000000000001E-3</v>
      </c>
      <c r="S2936" s="561" t="s">
        <v>55</v>
      </c>
      <c r="T2936" s="561" t="s">
        <v>56</v>
      </c>
      <c r="U2936" s="561" t="s">
        <v>89</v>
      </c>
      <c r="V2936" s="567">
        <f>400</f>
        <v>400</v>
      </c>
      <c r="W2936" s="567">
        <f>48+352</f>
        <v>400</v>
      </c>
      <c r="X2936" s="568"/>
      <c r="Y2936" s="569">
        <f t="shared" si="1316"/>
        <v>0</v>
      </c>
      <c r="Z2936" s="570">
        <f t="shared" si="1317"/>
        <v>0</v>
      </c>
      <c r="AA2936" s="570">
        <f t="shared" si="1309"/>
        <v>0</v>
      </c>
      <c r="AB2936" s="834">
        <v>2</v>
      </c>
      <c r="AC2936" s="567">
        <f t="shared" si="1318"/>
        <v>0</v>
      </c>
      <c r="AD2936" s="209"/>
      <c r="AE2936" s="210">
        <f t="shared" si="1319"/>
        <v>0</v>
      </c>
      <c r="AF2936" s="210">
        <f t="shared" si="1320"/>
        <v>0</v>
      </c>
      <c r="AG2936" s="211">
        <f>MID(O2936,1,2)/1000</f>
        <v>0.09</v>
      </c>
      <c r="AH2936" s="157">
        <f t="shared" si="1321"/>
        <v>0</v>
      </c>
      <c r="AI2936" s="152">
        <f t="shared" si="1322"/>
        <v>7200</v>
      </c>
      <c r="AK2936" s="156" t="s">
        <v>691</v>
      </c>
      <c r="AL2936" s="156" t="s">
        <v>689</v>
      </c>
      <c r="AM2936" s="198">
        <f t="shared" si="1314"/>
        <v>0</v>
      </c>
      <c r="AN2936" s="199">
        <f t="shared" si="1315"/>
        <v>46014</v>
      </c>
      <c r="AO2936" s="159" t="s">
        <v>692</v>
      </c>
      <c r="AP2936" s="783"/>
      <c r="AQ2936" s="782"/>
      <c r="AR2936" s="782" t="s">
        <v>531</v>
      </c>
      <c r="AS2936" s="782"/>
      <c r="AT2936" s="782"/>
      <c r="AU2936" s="782">
        <v>12054219</v>
      </c>
      <c r="AV2936" s="782">
        <v>12097195</v>
      </c>
      <c r="AW2936" s="782"/>
      <c r="AX2936" s="782" t="s">
        <v>2519</v>
      </c>
      <c r="AY2936" s="782"/>
      <c r="AZ2936" s="782"/>
      <c r="BA2936" s="781"/>
      <c r="BB2936" s="209">
        <v>23053184</v>
      </c>
    </row>
    <row r="2937" spans="1:54" ht="25" hidden="1" customHeight="1">
      <c r="A2937" s="142" t="s">
        <v>120</v>
      </c>
      <c r="B2937" s="559">
        <v>46014</v>
      </c>
      <c r="C2937" s="560">
        <v>46034</v>
      </c>
      <c r="D2937" s="185">
        <f t="shared" si="1305"/>
        <v>2025</v>
      </c>
      <c r="E2937" s="561" t="e">
        <f>VLOOKUP($B2937,Week!$A$1:$C$1462,2,0)</f>
        <v>#N/A</v>
      </c>
      <c r="F2937" s="562" t="str">
        <f t="shared" si="1306"/>
        <v>Dec</v>
      </c>
      <c r="G2937" s="561" t="s">
        <v>2499</v>
      </c>
      <c r="H2937" s="561" t="s">
        <v>134</v>
      </c>
      <c r="I2937" s="561" t="s">
        <v>2772</v>
      </c>
      <c r="J2937" s="563" t="s">
        <v>164</v>
      </c>
      <c r="K2937" s="564" t="s">
        <v>355</v>
      </c>
      <c r="L2937" s="390" t="s">
        <v>2166</v>
      </c>
      <c r="M2937" s="563" t="s">
        <v>356</v>
      </c>
      <c r="N2937" s="561" t="s">
        <v>652</v>
      </c>
      <c r="O2937" s="561" t="s">
        <v>508</v>
      </c>
      <c r="P2937" s="565">
        <v>18</v>
      </c>
      <c r="Q2937" s="565">
        <v>8</v>
      </c>
      <c r="R2937" s="566">
        <v>6.0000000000000001E-3</v>
      </c>
      <c r="S2937" s="561" t="s">
        <v>55</v>
      </c>
      <c r="T2937" s="561" t="s">
        <v>56</v>
      </c>
      <c r="U2937" s="561" t="s">
        <v>89</v>
      </c>
      <c r="V2937" s="567">
        <f>750-352</f>
        <v>398</v>
      </c>
      <c r="W2937" s="567">
        <v>398</v>
      </c>
      <c r="X2937" s="568"/>
      <c r="Y2937" s="569">
        <f t="shared" si="1316"/>
        <v>0</v>
      </c>
      <c r="Z2937" s="570">
        <f t="shared" si="1317"/>
        <v>0</v>
      </c>
      <c r="AA2937" s="570">
        <f t="shared" si="1309"/>
        <v>0</v>
      </c>
      <c r="AB2937" s="834">
        <v>2</v>
      </c>
      <c r="AC2937" s="567">
        <f t="shared" si="1318"/>
        <v>0</v>
      </c>
      <c r="AD2937" s="209"/>
      <c r="AE2937" s="210">
        <f t="shared" si="1319"/>
        <v>0</v>
      </c>
      <c r="AF2937" s="210">
        <f t="shared" si="1320"/>
        <v>0</v>
      </c>
      <c r="AG2937" s="211">
        <f>MID(O2937,1,2)/1000</f>
        <v>0.09</v>
      </c>
      <c r="AH2937" s="157">
        <f t="shared" si="1321"/>
        <v>0</v>
      </c>
      <c r="AI2937" s="152">
        <f t="shared" si="1322"/>
        <v>7164</v>
      </c>
      <c r="AK2937" s="156" t="s">
        <v>691</v>
      </c>
      <c r="AL2937" s="156" t="s">
        <v>689</v>
      </c>
      <c r="AM2937" s="198">
        <f t="shared" si="1314"/>
        <v>0</v>
      </c>
      <c r="AN2937" s="199">
        <f t="shared" si="1315"/>
        <v>46014</v>
      </c>
      <c r="AO2937" s="159" t="s">
        <v>692</v>
      </c>
      <c r="AP2937" s="783"/>
      <c r="AQ2937" s="782"/>
      <c r="AR2937" s="782" t="s">
        <v>531</v>
      </c>
      <c r="AS2937" s="782"/>
      <c r="AT2937" s="782"/>
      <c r="AU2937" s="782">
        <v>12054219</v>
      </c>
      <c r="AV2937" s="782">
        <v>12097195</v>
      </c>
      <c r="AW2937" s="782"/>
      <c r="AX2937" s="782" t="s">
        <v>2519</v>
      </c>
      <c r="AY2937" s="782"/>
      <c r="AZ2937" s="782"/>
      <c r="BA2937" s="781"/>
      <c r="BB2937" s="209">
        <v>23053184</v>
      </c>
    </row>
    <row r="2938" spans="1:54" ht="25.15" hidden="1" customHeight="1">
      <c r="A2938" s="906" t="s">
        <v>2752</v>
      </c>
      <c r="B2938" s="345">
        <v>46014</v>
      </c>
      <c r="C2938" s="346">
        <v>46028</v>
      </c>
      <c r="D2938" s="185">
        <f t="shared" si="1305"/>
        <v>2025</v>
      </c>
      <c r="E2938" s="347" t="e">
        <f>VLOOKUP($B2938,Week!$A$1:$C$1462,2,0)</f>
        <v>#N/A</v>
      </c>
      <c r="F2938" s="348" t="str">
        <f t="shared" si="1306"/>
        <v>Dec</v>
      </c>
      <c r="G2938" s="347" t="s">
        <v>2483</v>
      </c>
      <c r="H2938" s="347" t="s">
        <v>424</v>
      </c>
      <c r="I2938" s="347" t="s">
        <v>2772</v>
      </c>
      <c r="J2938" s="438" t="s">
        <v>425</v>
      </c>
      <c r="K2938" s="350" t="s">
        <v>176</v>
      </c>
      <c r="L2938" s="350" t="s">
        <v>2167</v>
      </c>
      <c r="M2938" s="349" t="s">
        <v>426</v>
      </c>
      <c r="N2938" s="347" t="s">
        <v>427</v>
      </c>
      <c r="O2938" s="347" t="s">
        <v>599</v>
      </c>
      <c r="P2938" s="351">
        <v>36</v>
      </c>
      <c r="Q2938" s="351">
        <v>5</v>
      </c>
      <c r="R2938" s="352">
        <v>7.4999999999999997E-3</v>
      </c>
      <c r="S2938" s="347" t="s">
        <v>111</v>
      </c>
      <c r="T2938" s="347" t="s">
        <v>112</v>
      </c>
      <c r="U2938" s="347" t="s">
        <v>57</v>
      </c>
      <c r="V2938" s="353">
        <v>1288</v>
      </c>
      <c r="W2938" s="353">
        <v>1288</v>
      </c>
      <c r="X2938" s="354"/>
      <c r="Y2938" s="355">
        <f t="shared" si="1316"/>
        <v>0</v>
      </c>
      <c r="Z2938" s="356">
        <f t="shared" si="1317"/>
        <v>0</v>
      </c>
      <c r="AA2938" s="353">
        <f t="shared" si="1309"/>
        <v>0</v>
      </c>
      <c r="AB2938" s="818">
        <v>7.4999999999999997E-3</v>
      </c>
      <c r="AC2938" s="353">
        <f t="shared" si="1318"/>
        <v>0</v>
      </c>
      <c r="AD2938" s="307" t="s">
        <v>2448</v>
      </c>
      <c r="AE2938" s="210">
        <f t="shared" si="1319"/>
        <v>0</v>
      </c>
      <c r="AF2938" s="210">
        <f t="shared" si="1320"/>
        <v>0</v>
      </c>
      <c r="AG2938" s="211">
        <f>MID(O2938,1,3)/1000</f>
        <v>0.14799999999999999</v>
      </c>
      <c r="AH2938" s="157">
        <f t="shared" si="1321"/>
        <v>0</v>
      </c>
      <c r="AI2938" s="152">
        <f t="shared" si="1322"/>
        <v>46368</v>
      </c>
      <c r="AK2938" s="156" t="s">
        <v>691</v>
      </c>
      <c r="AL2938" s="574" t="s">
        <v>690</v>
      </c>
      <c r="AM2938" s="198">
        <f t="shared" si="1314"/>
        <v>0</v>
      </c>
      <c r="AN2938" s="199">
        <f t="shared" si="1315"/>
        <v>46014</v>
      </c>
      <c r="AO2938" s="159" t="s">
        <v>692</v>
      </c>
      <c r="AP2938" s="783" t="s">
        <v>609</v>
      </c>
      <c r="AQ2938" s="782">
        <v>12071839</v>
      </c>
      <c r="AR2938" s="782">
        <v>12080260</v>
      </c>
      <c r="AS2938" s="782">
        <v>12080259</v>
      </c>
      <c r="AT2938" s="782">
        <v>12096006</v>
      </c>
      <c r="AU2938" s="782"/>
      <c r="AV2938" s="782">
        <v>12096007</v>
      </c>
      <c r="AW2938" s="782">
        <v>12024404</v>
      </c>
      <c r="AX2938" s="781"/>
      <c r="AY2938" s="782">
        <v>12096022</v>
      </c>
      <c r="AZ2938" s="782"/>
      <c r="BA2938" s="781"/>
      <c r="BB2938" s="209">
        <v>23053185</v>
      </c>
    </row>
    <row r="2939" spans="1:54" ht="25.15" hidden="1" customHeight="1">
      <c r="A2939" s="906" t="s">
        <v>2752</v>
      </c>
      <c r="B2939" s="345">
        <v>46014</v>
      </c>
      <c r="C2939" s="346">
        <v>46028</v>
      </c>
      <c r="D2939" s="185">
        <f t="shared" si="1305"/>
        <v>2025</v>
      </c>
      <c r="E2939" s="347" t="e">
        <f>VLOOKUP($B2939,Week!$A$1:$C$1462,2,0)</f>
        <v>#N/A</v>
      </c>
      <c r="F2939" s="348" t="str">
        <f t="shared" si="1306"/>
        <v>Dec</v>
      </c>
      <c r="G2939" s="347" t="s">
        <v>2561</v>
      </c>
      <c r="H2939" s="347" t="s">
        <v>424</v>
      </c>
      <c r="I2939" s="347" t="s">
        <v>2772</v>
      </c>
      <c r="J2939" s="438" t="s">
        <v>425</v>
      </c>
      <c r="K2939" s="350" t="s">
        <v>176</v>
      </c>
      <c r="L2939" s="350" t="s">
        <v>2167</v>
      </c>
      <c r="M2939" s="349" t="s">
        <v>426</v>
      </c>
      <c r="N2939" s="347" t="s">
        <v>427</v>
      </c>
      <c r="O2939" s="347" t="s">
        <v>599</v>
      </c>
      <c r="P2939" s="351">
        <v>36</v>
      </c>
      <c r="Q2939" s="351">
        <v>5</v>
      </c>
      <c r="R2939" s="352">
        <v>7.4999999999999997E-3</v>
      </c>
      <c r="S2939" s="347" t="s">
        <v>111</v>
      </c>
      <c r="T2939" s="347" t="s">
        <v>112</v>
      </c>
      <c r="U2939" s="347" t="s">
        <v>57</v>
      </c>
      <c r="V2939" s="353">
        <v>1288</v>
      </c>
      <c r="W2939" s="353">
        <v>1288</v>
      </c>
      <c r="X2939" s="354"/>
      <c r="Y2939" s="355">
        <f t="shared" si="1316"/>
        <v>0</v>
      </c>
      <c r="Z2939" s="356">
        <f t="shared" si="1317"/>
        <v>0</v>
      </c>
      <c r="AA2939" s="353">
        <f t="shared" si="1309"/>
        <v>0</v>
      </c>
      <c r="AB2939" s="818">
        <v>7.4999999999999997E-3</v>
      </c>
      <c r="AC2939" s="353">
        <f t="shared" si="1318"/>
        <v>0</v>
      </c>
      <c r="AD2939" s="307" t="s">
        <v>2448</v>
      </c>
      <c r="AE2939" s="210">
        <f t="shared" si="1319"/>
        <v>0</v>
      </c>
      <c r="AF2939" s="210">
        <f t="shared" si="1320"/>
        <v>0</v>
      </c>
      <c r="AG2939" s="211">
        <f>MID(O2939,1,3)/1000</f>
        <v>0.14799999999999999</v>
      </c>
      <c r="AH2939" s="157">
        <f t="shared" si="1321"/>
        <v>0</v>
      </c>
      <c r="AI2939" s="152">
        <f t="shared" si="1322"/>
        <v>46368</v>
      </c>
      <c r="AK2939" s="156" t="s">
        <v>691</v>
      </c>
      <c r="AL2939" s="574" t="s">
        <v>690</v>
      </c>
      <c r="AM2939" s="198">
        <f t="shared" si="1314"/>
        <v>0</v>
      </c>
      <c r="AN2939" s="199">
        <f t="shared" si="1315"/>
        <v>46014</v>
      </c>
      <c r="AO2939" s="159" t="s">
        <v>692</v>
      </c>
      <c r="AP2939" s="783" t="s">
        <v>609</v>
      </c>
      <c r="AQ2939" s="782">
        <v>12071839</v>
      </c>
      <c r="AR2939" s="782">
        <v>12080260</v>
      </c>
      <c r="AS2939" s="782">
        <v>12080259</v>
      </c>
      <c r="AT2939" s="782">
        <v>12096006</v>
      </c>
      <c r="AU2939" s="782"/>
      <c r="AV2939" s="782">
        <v>12096007</v>
      </c>
      <c r="AW2939" s="782">
        <v>12024404</v>
      </c>
      <c r="AX2939" s="781"/>
      <c r="AY2939" s="782">
        <v>12096022</v>
      </c>
      <c r="AZ2939" s="782"/>
      <c r="BA2939" s="781"/>
      <c r="BB2939" s="209">
        <v>23053185</v>
      </c>
    </row>
    <row r="2940" spans="1:54" ht="25" hidden="1" customHeight="1">
      <c r="A2940" s="142" t="s">
        <v>120</v>
      </c>
      <c r="B2940" s="559">
        <v>46015</v>
      </c>
      <c r="C2940" s="560">
        <v>46034</v>
      </c>
      <c r="D2940" s="185">
        <f t="shared" si="1305"/>
        <v>2025</v>
      </c>
      <c r="E2940" s="561" t="e">
        <f>VLOOKUP($B2940,Week!$A$1:$C$1462,2,0)</f>
        <v>#N/A</v>
      </c>
      <c r="F2940" s="562" t="str">
        <f t="shared" si="1306"/>
        <v>Dec</v>
      </c>
      <c r="G2940" s="561" t="s">
        <v>2499</v>
      </c>
      <c r="H2940" s="561" t="s">
        <v>134</v>
      </c>
      <c r="I2940" s="561" t="s">
        <v>2772</v>
      </c>
      <c r="J2940" s="563" t="s">
        <v>164</v>
      </c>
      <c r="K2940" s="564" t="s">
        <v>355</v>
      </c>
      <c r="L2940" s="390" t="s">
        <v>2166</v>
      </c>
      <c r="M2940" s="563" t="s">
        <v>356</v>
      </c>
      <c r="N2940" s="561" t="s">
        <v>652</v>
      </c>
      <c r="O2940" s="561" t="s">
        <v>508</v>
      </c>
      <c r="P2940" s="565">
        <v>18</v>
      </c>
      <c r="Q2940" s="565">
        <v>8</v>
      </c>
      <c r="R2940" s="566">
        <v>6.0000000000000001E-3</v>
      </c>
      <c r="S2940" s="561" t="s">
        <v>55</v>
      </c>
      <c r="T2940" s="561" t="s">
        <v>56</v>
      </c>
      <c r="U2940" s="561" t="s">
        <v>89</v>
      </c>
      <c r="V2940" s="567">
        <f>600-398</f>
        <v>202</v>
      </c>
      <c r="W2940" s="567">
        <v>202</v>
      </c>
      <c r="X2940" s="568">
        <f>(792)/18</f>
        <v>44</v>
      </c>
      <c r="Y2940" s="569">
        <f t="shared" si="1316"/>
        <v>44</v>
      </c>
      <c r="Z2940" s="570">
        <f t="shared" si="1317"/>
        <v>0</v>
      </c>
      <c r="AA2940" s="570">
        <f t="shared" si="1309"/>
        <v>0</v>
      </c>
      <c r="AB2940" s="834">
        <v>2</v>
      </c>
      <c r="AC2940" s="567">
        <f t="shared" si="1318"/>
        <v>0</v>
      </c>
      <c r="AD2940" s="209"/>
      <c r="AE2940" s="210">
        <f t="shared" si="1319"/>
        <v>0</v>
      </c>
      <c r="AF2940" s="210">
        <f t="shared" si="1320"/>
        <v>0</v>
      </c>
      <c r="AG2940" s="211">
        <f>MID(O2940,1,2)/1000</f>
        <v>0.09</v>
      </c>
      <c r="AH2940" s="157">
        <f t="shared" si="1321"/>
        <v>0</v>
      </c>
      <c r="AI2940" s="152">
        <f t="shared" si="1322"/>
        <v>3636</v>
      </c>
      <c r="AK2940" s="156" t="s">
        <v>691</v>
      </c>
      <c r="AL2940" s="156" t="s">
        <v>689</v>
      </c>
      <c r="AM2940" s="198">
        <f t="shared" si="1314"/>
        <v>0</v>
      </c>
      <c r="AN2940" s="199">
        <f t="shared" si="1315"/>
        <v>46015</v>
      </c>
      <c r="AO2940" s="159" t="s">
        <v>692</v>
      </c>
      <c r="AP2940" s="783"/>
      <c r="AQ2940" s="782"/>
      <c r="AR2940" s="782" t="s">
        <v>531</v>
      </c>
      <c r="AS2940" s="782"/>
      <c r="AT2940" s="782"/>
      <c r="AU2940" s="782">
        <v>12054219</v>
      </c>
      <c r="AV2940" s="782">
        <v>12097195</v>
      </c>
      <c r="AW2940" s="782"/>
      <c r="AX2940" s="782" t="s">
        <v>2519</v>
      </c>
      <c r="AY2940" s="782"/>
      <c r="AZ2940" s="782"/>
      <c r="BA2940" s="781"/>
      <c r="BB2940" s="209">
        <v>23053184</v>
      </c>
    </row>
    <row r="2941" spans="1:54" ht="25" hidden="1" customHeight="1">
      <c r="A2941" s="142" t="s">
        <v>120</v>
      </c>
      <c r="B2941" s="283">
        <v>46015</v>
      </c>
      <c r="C2941" s="284">
        <v>46034</v>
      </c>
      <c r="D2941" s="185">
        <f t="shared" si="1305"/>
        <v>2025</v>
      </c>
      <c r="E2941" s="286" t="e">
        <f>VLOOKUP($B2941,Week!$A$1:$C$1462,2,0)</f>
        <v>#N/A</v>
      </c>
      <c r="F2941" s="285" t="str">
        <f t="shared" si="1306"/>
        <v>Dec</v>
      </c>
      <c r="G2941" s="286" t="s">
        <v>2498</v>
      </c>
      <c r="H2941" s="286" t="s">
        <v>134</v>
      </c>
      <c r="I2941" s="286" t="s">
        <v>2772</v>
      </c>
      <c r="J2941" s="287" t="s">
        <v>164</v>
      </c>
      <c r="K2941" s="288" t="s">
        <v>153</v>
      </c>
      <c r="L2941" s="390" t="s">
        <v>2166</v>
      </c>
      <c r="M2941" s="287" t="s">
        <v>214</v>
      </c>
      <c r="N2941" s="286" t="s">
        <v>215</v>
      </c>
      <c r="O2941" s="286" t="s">
        <v>504</v>
      </c>
      <c r="P2941" s="289">
        <v>20</v>
      </c>
      <c r="Q2941" s="289">
        <v>8</v>
      </c>
      <c r="R2941" s="290">
        <v>1.4999999999999999E-2</v>
      </c>
      <c r="S2941" s="286" t="s">
        <v>217</v>
      </c>
      <c r="T2941" s="286" t="s">
        <v>56</v>
      </c>
      <c r="U2941" s="286" t="s">
        <v>89</v>
      </c>
      <c r="V2941" s="291">
        <f>1000</f>
        <v>1000</v>
      </c>
      <c r="W2941" s="291">
        <f>23+939+38</f>
        <v>1000</v>
      </c>
      <c r="X2941" s="292"/>
      <c r="Y2941" s="293">
        <f t="shared" si="1316"/>
        <v>0</v>
      </c>
      <c r="Z2941" s="294">
        <f t="shared" si="1317"/>
        <v>0</v>
      </c>
      <c r="AA2941" s="291">
        <f t="shared" si="1309"/>
        <v>0</v>
      </c>
      <c r="AB2941" s="813">
        <v>2</v>
      </c>
      <c r="AC2941" s="291">
        <f t="shared" si="1318"/>
        <v>0</v>
      </c>
      <c r="AD2941" s="209" t="s">
        <v>218</v>
      </c>
      <c r="AE2941" s="210">
        <f t="shared" si="1319"/>
        <v>0</v>
      </c>
      <c r="AF2941" s="210">
        <f t="shared" si="1320"/>
        <v>0</v>
      </c>
      <c r="AG2941" s="211">
        <f>MID(O2941,1,3)/1000</f>
        <v>0.19400000000000001</v>
      </c>
      <c r="AH2941" s="157">
        <f t="shared" si="1321"/>
        <v>0</v>
      </c>
      <c r="AI2941" s="152">
        <f t="shared" si="1322"/>
        <v>20000</v>
      </c>
      <c r="AK2941" s="156" t="s">
        <v>691</v>
      </c>
      <c r="AL2941" s="156" t="s">
        <v>689</v>
      </c>
      <c r="AM2941" s="198">
        <f t="shared" si="1314"/>
        <v>0</v>
      </c>
      <c r="AN2941" s="199">
        <f t="shared" si="1315"/>
        <v>46015</v>
      </c>
      <c r="AO2941" s="159" t="s">
        <v>692</v>
      </c>
      <c r="AP2941" s="783" t="s">
        <v>610</v>
      </c>
      <c r="AQ2941" s="782">
        <v>12071839</v>
      </c>
      <c r="AR2941" s="782">
        <v>12064528</v>
      </c>
      <c r="AS2941" s="782"/>
      <c r="AT2941" s="782">
        <v>12096526</v>
      </c>
      <c r="AU2941" s="781"/>
      <c r="AV2941" s="782">
        <v>12096527</v>
      </c>
      <c r="AW2941" s="782"/>
      <c r="AX2941" s="782" t="s">
        <v>545</v>
      </c>
      <c r="AY2941" s="782"/>
      <c r="AZ2941" s="782"/>
      <c r="BA2941" s="781"/>
      <c r="BB2941" s="209">
        <v>23053184</v>
      </c>
    </row>
    <row r="2942" spans="1:54" ht="25" hidden="1" customHeight="1">
      <c r="A2942" s="906" t="s">
        <v>2784</v>
      </c>
      <c r="B2942" s="357">
        <v>46015</v>
      </c>
      <c r="C2942" s="358">
        <v>46017</v>
      </c>
      <c r="D2942" s="185">
        <f t="shared" si="1305"/>
        <v>2025</v>
      </c>
      <c r="E2942" s="358" t="e">
        <f>VLOOKUP($B2942,Week!$A$1:$C$1462,2,0)</f>
        <v>#N/A</v>
      </c>
      <c r="F2942" s="360" t="str">
        <f t="shared" si="1306"/>
        <v>Dec</v>
      </c>
      <c r="G2942" s="436" t="s">
        <v>2515</v>
      </c>
      <c r="H2942" s="359" t="s">
        <v>225</v>
      </c>
      <c r="I2942" s="359" t="s">
        <v>2773</v>
      </c>
      <c r="J2942" s="361" t="s">
        <v>650</v>
      </c>
      <c r="K2942" s="362" t="s">
        <v>593</v>
      </c>
      <c r="L2942" s="300" t="s">
        <v>2167</v>
      </c>
      <c r="M2942" s="361" t="s">
        <v>717</v>
      </c>
      <c r="N2942" s="359" t="s">
        <v>719</v>
      </c>
      <c r="O2942" s="359" t="s">
        <v>230</v>
      </c>
      <c r="P2942" s="363">
        <v>12</v>
      </c>
      <c r="Q2942" s="363">
        <v>5</v>
      </c>
      <c r="R2942" s="364">
        <v>6.0000000000000001E-3</v>
      </c>
      <c r="S2942" s="359" t="s">
        <v>55</v>
      </c>
      <c r="T2942" s="359" t="s">
        <v>112</v>
      </c>
      <c r="U2942" s="359" t="s">
        <v>57</v>
      </c>
      <c r="V2942" s="365">
        <f>765</f>
        <v>765</v>
      </c>
      <c r="W2942" s="365"/>
      <c r="X2942" s="366">
        <f>9876/12</f>
        <v>823</v>
      </c>
      <c r="Y2942" s="367">
        <f t="shared" si="1316"/>
        <v>58</v>
      </c>
      <c r="Z2942" s="368">
        <f t="shared" si="1317"/>
        <v>0</v>
      </c>
      <c r="AA2942" s="368">
        <f t="shared" si="1309"/>
        <v>0</v>
      </c>
      <c r="AB2942" s="819">
        <v>7.4999999999999997E-3</v>
      </c>
      <c r="AC2942" s="365">
        <f t="shared" si="1318"/>
        <v>0</v>
      </c>
      <c r="AD2942" s="307" t="s">
        <v>2421</v>
      </c>
      <c r="AE2942" s="210">
        <f t="shared" si="1319"/>
        <v>0</v>
      </c>
      <c r="AF2942" s="210">
        <f t="shared" si="1320"/>
        <v>0</v>
      </c>
      <c r="AG2942" s="211">
        <f>MID(O2942,1,3)/1000</f>
        <v>0.25800000000000001</v>
      </c>
      <c r="AH2942" s="157">
        <f t="shared" si="1321"/>
        <v>0</v>
      </c>
      <c r="AI2942" s="152">
        <f t="shared" si="1322"/>
        <v>9180</v>
      </c>
      <c r="AK2942" s="156" t="s">
        <v>691</v>
      </c>
      <c r="AL2942" s="574" t="s">
        <v>690</v>
      </c>
      <c r="AM2942" s="198">
        <f t="shared" si="1314"/>
        <v>0</v>
      </c>
      <c r="AN2942" s="199">
        <f t="shared" si="1315"/>
        <v>46015</v>
      </c>
      <c r="AO2942" s="159" t="s">
        <v>692</v>
      </c>
      <c r="AP2942" s="783" t="s">
        <v>612</v>
      </c>
      <c r="AQ2942" s="782">
        <v>12071839</v>
      </c>
      <c r="AR2942" s="782">
        <v>12042650</v>
      </c>
      <c r="AS2942" s="782">
        <v>12042649</v>
      </c>
      <c r="AT2942" s="782">
        <v>12096387</v>
      </c>
      <c r="AU2942" s="781"/>
      <c r="AV2942" s="782">
        <v>12088422</v>
      </c>
      <c r="AW2942" s="782"/>
      <c r="AX2942" s="782"/>
      <c r="AY2942" s="782"/>
      <c r="AZ2942" s="782"/>
      <c r="BA2942" s="781"/>
      <c r="BB2942" s="209">
        <v>23053185</v>
      </c>
    </row>
    <row r="2943" spans="1:54" ht="25" hidden="1" customHeight="1">
      <c r="B2943" s="581">
        <v>46015</v>
      </c>
      <c r="C2943" s="332">
        <v>46017</v>
      </c>
      <c r="D2943" s="185">
        <f t="shared" si="1305"/>
        <v>2025</v>
      </c>
      <c r="E2943" s="333" t="e">
        <f>VLOOKUP($B2943,Week!$A$1:$C$1462,2,0)</f>
        <v>#N/A</v>
      </c>
      <c r="F2943" s="334" t="str">
        <f t="shared" si="1306"/>
        <v>Dec</v>
      </c>
      <c r="G2943" s="530" t="s">
        <v>2712</v>
      </c>
      <c r="H2943" s="335" t="s">
        <v>82</v>
      </c>
      <c r="I2943" s="335" t="s">
        <v>82</v>
      </c>
      <c r="J2943" s="336" t="s">
        <v>235</v>
      </c>
      <c r="K2943" s="337" t="s">
        <v>1643</v>
      </c>
      <c r="L2943" s="300" t="s">
        <v>2167</v>
      </c>
      <c r="M2943" s="336" t="s">
        <v>336</v>
      </c>
      <c r="N2943" s="530" t="s">
        <v>1018</v>
      </c>
      <c r="O2943" s="335" t="s">
        <v>743</v>
      </c>
      <c r="P2943" s="338">
        <v>36</v>
      </c>
      <c r="Q2943" s="338">
        <v>5</v>
      </c>
      <c r="R2943" s="339">
        <v>7.4999999999999997E-3</v>
      </c>
      <c r="S2943" s="335" t="s">
        <v>40</v>
      </c>
      <c r="T2943" s="335" t="s">
        <v>112</v>
      </c>
      <c r="U2943" s="340" t="s">
        <v>1894</v>
      </c>
      <c r="V2943" s="341">
        <v>550</v>
      </c>
      <c r="W2943" s="341">
        <f>7+543</f>
        <v>550</v>
      </c>
      <c r="X2943" s="342">
        <f>(636)/36</f>
        <v>17.666666666666668</v>
      </c>
      <c r="Y2943" s="343">
        <f t="shared" si="1316"/>
        <v>17.666666666666629</v>
      </c>
      <c r="Z2943" s="344">
        <f t="shared" si="1317"/>
        <v>0</v>
      </c>
      <c r="AA2943" s="344">
        <f t="shared" si="1309"/>
        <v>0</v>
      </c>
      <c r="AB2943" s="817">
        <v>2.2419999999999999E-2</v>
      </c>
      <c r="AC2943" s="341">
        <f t="shared" si="1318"/>
        <v>0</v>
      </c>
      <c r="AD2943" s="209"/>
      <c r="AE2943" s="210"/>
      <c r="AF2943" s="210"/>
      <c r="AG2943" s="211">
        <f>MID(O2943,1,3)/1000</f>
        <v>0.14699999999999999</v>
      </c>
      <c r="AH2943" s="157">
        <f t="shared" si="1321"/>
        <v>0</v>
      </c>
      <c r="AI2943" s="152">
        <f t="shared" si="1322"/>
        <v>19800</v>
      </c>
      <c r="AK2943" s="156" t="s">
        <v>691</v>
      </c>
      <c r="AL2943" s="574" t="s">
        <v>690</v>
      </c>
      <c r="AM2943" s="198">
        <f t="shared" si="1314"/>
        <v>0</v>
      </c>
      <c r="AN2943" s="199">
        <f t="shared" si="1315"/>
        <v>46015</v>
      </c>
      <c r="AO2943" s="159" t="s">
        <v>692</v>
      </c>
      <c r="AP2943" s="783" t="s">
        <v>639</v>
      </c>
      <c r="AQ2943" s="782">
        <v>12071839</v>
      </c>
      <c r="AR2943" s="782">
        <v>12047514</v>
      </c>
      <c r="AS2943" s="782">
        <v>12047515</v>
      </c>
      <c r="AT2943" s="782">
        <v>12090591</v>
      </c>
      <c r="AU2943" s="781"/>
      <c r="AV2943" s="782">
        <v>12090590</v>
      </c>
      <c r="AW2943" s="782">
        <v>12024404</v>
      </c>
      <c r="AX2943" s="781"/>
      <c r="AY2943" s="782">
        <v>12090589</v>
      </c>
      <c r="AZ2943" s="781"/>
      <c r="BA2943" s="781"/>
      <c r="BB2943" s="209">
        <v>23105470</v>
      </c>
    </row>
    <row r="2944" spans="1:54" ht="25" hidden="1" customHeight="1">
      <c r="A2944" s="906" t="s">
        <v>2752</v>
      </c>
      <c r="B2944" s="425">
        <v>46015</v>
      </c>
      <c r="C2944" s="425">
        <v>46035</v>
      </c>
      <c r="D2944" s="185">
        <f t="shared" ref="D2944:D2950" si="1323">IF(B2944="","",YEAR(B2944))</f>
        <v>2025</v>
      </c>
      <c r="E2944" s="425" t="e">
        <f>VLOOKUP($B2944,Week!$A$1:$C$1462,2,0)</f>
        <v>#N/A</v>
      </c>
      <c r="F2944" s="426" t="str">
        <f t="shared" ref="F2944:F2950" si="1324">IF(B2944="","",TEXT(B2944,"[$-409]mmm"))</f>
        <v>Dec</v>
      </c>
      <c r="G2944" s="427" t="s">
        <v>2610</v>
      </c>
      <c r="H2944" s="427" t="s">
        <v>600</v>
      </c>
      <c r="I2944" s="427" t="s">
        <v>2772</v>
      </c>
      <c r="J2944" s="428" t="s">
        <v>708</v>
      </c>
      <c r="K2944" s="429" t="s">
        <v>1650</v>
      </c>
      <c r="L2944" s="300" t="s">
        <v>2167</v>
      </c>
      <c r="M2944" s="428" t="s">
        <v>603</v>
      </c>
      <c r="N2944" s="427" t="s">
        <v>1256</v>
      </c>
      <c r="O2944" s="427" t="s">
        <v>659</v>
      </c>
      <c r="P2944" s="430">
        <v>12</v>
      </c>
      <c r="Q2944" s="430">
        <v>3</v>
      </c>
      <c r="R2944" s="431">
        <v>6.0000000000000001E-3</v>
      </c>
      <c r="S2944" s="427" t="s">
        <v>55</v>
      </c>
      <c r="T2944" s="427" t="s">
        <v>112</v>
      </c>
      <c r="U2944" s="632" t="s">
        <v>1894</v>
      </c>
      <c r="V2944" s="432">
        <f>2520</f>
        <v>2520</v>
      </c>
      <c r="W2944" s="432">
        <f>32+2488</f>
        <v>2520</v>
      </c>
      <c r="X2944" s="433">
        <f>(307)/12</f>
        <v>25.583333333333332</v>
      </c>
      <c r="Y2944" s="434">
        <f t="shared" ref="Y2944:Y2950" si="1325">(W2944+X2944)-V2944</f>
        <v>25.583333333333485</v>
      </c>
      <c r="Z2944" s="435">
        <f t="shared" ref="Z2944:Z2950" si="1326">IF(Y2944&lt;0,((V2944*P2944)-((W2944+X2944)*P2944)),0)</f>
        <v>0</v>
      </c>
      <c r="AA2944" s="435">
        <f t="shared" ref="AA2944:AA2950" si="1327">Q2944*Z2944</f>
        <v>0</v>
      </c>
      <c r="AB2944" s="826">
        <v>3.8699999999999998E-2</v>
      </c>
      <c r="AC2944" s="432">
        <f t="shared" ref="AC2944:AC2950" si="1328">Z2944*AB2944</f>
        <v>0</v>
      </c>
      <c r="AD2944" s="307" t="s">
        <v>1509</v>
      </c>
      <c r="AE2944" s="210">
        <f t="shared" ref="AE2944:AE2950" si="1329">SUM(Q2944*R2944*Z2944)/1000</f>
        <v>0</v>
      </c>
      <c r="AF2944" s="210">
        <f t="shared" ref="AF2944:AF2950" si="1330">AE2944/0.54</f>
        <v>0</v>
      </c>
      <c r="AG2944" s="211">
        <f t="shared" ref="AG2944:AG2950" si="1331">MID(O2944,1,3)/1000</f>
        <v>0.30199999999999999</v>
      </c>
      <c r="AH2944" s="157">
        <v>0.26621999999999996</v>
      </c>
      <c r="AI2944" s="152">
        <f t="shared" ref="AI2944:AI2950" si="1332">V2944*P2944</f>
        <v>30240</v>
      </c>
      <c r="AK2944" s="156" t="s">
        <v>691</v>
      </c>
      <c r="AL2944" s="212" t="s">
        <v>690</v>
      </c>
      <c r="AM2944" s="198">
        <f t="shared" ref="AM2944:AM2950" si="1333">AG2944*Z2944</f>
        <v>0</v>
      </c>
      <c r="AN2944" s="199">
        <f t="shared" ref="AN2944:AN2950" si="1334">B2944</f>
        <v>46015</v>
      </c>
      <c r="AO2944" s="159" t="s">
        <v>692</v>
      </c>
      <c r="AP2944" s="783" t="s">
        <v>629</v>
      </c>
      <c r="AQ2944" s="782">
        <v>12063755</v>
      </c>
      <c r="AR2944" s="782">
        <v>12061353</v>
      </c>
      <c r="AS2944" s="782">
        <v>12061354</v>
      </c>
      <c r="AT2944" s="782"/>
      <c r="AU2944" s="781"/>
      <c r="AV2944" s="867">
        <v>12095907</v>
      </c>
      <c r="AW2944" s="781"/>
      <c r="AX2944" s="782"/>
      <c r="AY2944" s="782">
        <v>12094276</v>
      </c>
      <c r="AZ2944" s="782">
        <v>12094277</v>
      </c>
      <c r="BA2944" s="783" t="s">
        <v>2229</v>
      </c>
      <c r="BB2944" s="209">
        <v>23053185</v>
      </c>
    </row>
    <row r="2945" spans="1:54" ht="24.65" hidden="1" customHeight="1">
      <c r="A2945" s="142" t="s">
        <v>120</v>
      </c>
      <c r="B2945" s="258">
        <v>46016</v>
      </c>
      <c r="C2945" s="259">
        <v>46038</v>
      </c>
      <c r="D2945" s="185">
        <f t="shared" si="1323"/>
        <v>2025</v>
      </c>
      <c r="E2945" s="260" t="e">
        <f>VLOOKUP($B2945,Week!$A$1:$C$1462,2,0)</f>
        <v>#N/A</v>
      </c>
      <c r="F2945" s="261" t="str">
        <f t="shared" si="1324"/>
        <v>Dec</v>
      </c>
      <c r="G2945" s="262" t="s">
        <v>2684</v>
      </c>
      <c r="H2945" s="260" t="s">
        <v>134</v>
      </c>
      <c r="I2945" s="260" t="s">
        <v>2772</v>
      </c>
      <c r="J2945" s="263" t="s">
        <v>164</v>
      </c>
      <c r="K2945" s="264" t="s">
        <v>153</v>
      </c>
      <c r="L2945" s="390" t="s">
        <v>2166</v>
      </c>
      <c r="M2945" s="263" t="s">
        <v>165</v>
      </c>
      <c r="N2945" s="260" t="s">
        <v>166</v>
      </c>
      <c r="O2945" s="260" t="s">
        <v>502</v>
      </c>
      <c r="P2945" s="265">
        <v>20</v>
      </c>
      <c r="Q2945" s="265">
        <v>12</v>
      </c>
      <c r="R2945" s="266">
        <v>6.8100000000000001E-3</v>
      </c>
      <c r="S2945" s="260" t="s">
        <v>76</v>
      </c>
      <c r="T2945" s="260" t="s">
        <v>56</v>
      </c>
      <c r="U2945" s="260" t="s">
        <v>89</v>
      </c>
      <c r="V2945" s="267">
        <v>1196</v>
      </c>
      <c r="W2945" s="267">
        <f>751</f>
        <v>751</v>
      </c>
      <c r="X2945" s="268">
        <f>(1480+7420)/20</f>
        <v>445</v>
      </c>
      <c r="Y2945" s="269">
        <f t="shared" si="1325"/>
        <v>0</v>
      </c>
      <c r="Z2945" s="270">
        <f t="shared" si="1326"/>
        <v>0</v>
      </c>
      <c r="AA2945" s="270">
        <f t="shared" si="1327"/>
        <v>0</v>
      </c>
      <c r="AB2945" s="811">
        <v>2</v>
      </c>
      <c r="AC2945" s="267">
        <f t="shared" si="1328"/>
        <v>0</v>
      </c>
      <c r="AD2945" s="209" t="s">
        <v>168</v>
      </c>
      <c r="AE2945" s="210">
        <f t="shared" si="1329"/>
        <v>0</v>
      </c>
      <c r="AF2945" s="210">
        <f t="shared" si="1330"/>
        <v>0</v>
      </c>
      <c r="AG2945" s="211">
        <f t="shared" si="1331"/>
        <v>0.154</v>
      </c>
      <c r="AH2945" s="157">
        <f t="shared" ref="AH2945:AH2951" si="1335">(Z2945*AG2945)/1000</f>
        <v>0</v>
      </c>
      <c r="AI2945" s="152">
        <f t="shared" si="1332"/>
        <v>23920</v>
      </c>
      <c r="AK2945" s="156" t="s">
        <v>691</v>
      </c>
      <c r="AL2945" s="156" t="s">
        <v>689</v>
      </c>
      <c r="AM2945" s="198">
        <f t="shared" si="1333"/>
        <v>0</v>
      </c>
      <c r="AN2945" s="199">
        <f t="shared" si="1334"/>
        <v>46016</v>
      </c>
      <c r="AO2945" s="159" t="s">
        <v>692</v>
      </c>
      <c r="AP2945" s="783" t="s">
        <v>610</v>
      </c>
      <c r="AQ2945" s="783" t="s">
        <v>631</v>
      </c>
      <c r="AR2945" s="783" t="s">
        <v>523</v>
      </c>
      <c r="AS2945" s="781"/>
      <c r="AT2945" s="782">
        <v>12096524</v>
      </c>
      <c r="AU2945" s="781"/>
      <c r="AV2945" s="783" t="s">
        <v>2507</v>
      </c>
      <c r="AW2945" s="781"/>
      <c r="AX2945" s="782" t="s">
        <v>398</v>
      </c>
      <c r="AY2945" s="781"/>
      <c r="AZ2945" s="781"/>
      <c r="BA2945" s="781"/>
      <c r="BB2945" s="209">
        <v>23053184</v>
      </c>
    </row>
    <row r="2946" spans="1:54" ht="24.65" hidden="1" customHeight="1">
      <c r="A2946" s="906" t="s">
        <v>2752</v>
      </c>
      <c r="B2946" s="602">
        <v>46016</v>
      </c>
      <c r="C2946" s="603">
        <v>46017</v>
      </c>
      <c r="D2946" s="185">
        <f>IF(B2946="","",YEAR(B2946))</f>
        <v>2025</v>
      </c>
      <c r="E2946" s="603" t="e">
        <f>VLOOKUP($B2946,Week!$A$1:$C$1462,2,0)</f>
        <v>#N/A</v>
      </c>
      <c r="F2946" s="605" t="str">
        <f>IF(B2946="","",TEXT(B2946,"[$-409]mmm"))</f>
        <v>Dec</v>
      </c>
      <c r="G2946" s="604" t="s">
        <v>2711</v>
      </c>
      <c r="H2946" s="604" t="s">
        <v>82</v>
      </c>
      <c r="I2946" s="604" t="s">
        <v>82</v>
      </c>
      <c r="J2946" s="606" t="s">
        <v>235</v>
      </c>
      <c r="K2946" s="607" t="s">
        <v>107</v>
      </c>
      <c r="L2946" s="300" t="s">
        <v>2167</v>
      </c>
      <c r="M2946" s="606" t="s">
        <v>654</v>
      </c>
      <c r="N2946" s="604" t="s">
        <v>753</v>
      </c>
      <c r="O2946" s="604" t="s">
        <v>110</v>
      </c>
      <c r="P2946" s="608">
        <v>36</v>
      </c>
      <c r="Q2946" s="608">
        <v>5</v>
      </c>
      <c r="R2946" s="609">
        <v>7.4999999999999997E-3</v>
      </c>
      <c r="S2946" s="604" t="s">
        <v>111</v>
      </c>
      <c r="T2946" s="604" t="s">
        <v>112</v>
      </c>
      <c r="U2946" s="604" t="s">
        <v>113</v>
      </c>
      <c r="V2946" s="610">
        <v>450</v>
      </c>
      <c r="W2946" s="610">
        <v>450</v>
      </c>
      <c r="X2946" s="611"/>
      <c r="Y2946" s="612">
        <f>(W2946+X2946)-V2946</f>
        <v>0</v>
      </c>
      <c r="Z2946" s="613">
        <f>IF(Y2946&lt;0,((V2946*P2946)-((W2946+X2946)*P2946)),0)</f>
        <v>0</v>
      </c>
      <c r="AA2946" s="613">
        <f>Q2946*Z2946</f>
        <v>0</v>
      </c>
      <c r="AB2946" s="836">
        <v>9.7000000000000003E-3</v>
      </c>
      <c r="AC2946" s="610">
        <f>Z2946*AB2946</f>
        <v>0</v>
      </c>
      <c r="AD2946" s="307" t="s">
        <v>1048</v>
      </c>
      <c r="AE2946" s="210"/>
      <c r="AF2946" s="210"/>
      <c r="AG2946" s="211">
        <f>MID(O2946,1,3)/1000</f>
        <v>0.308</v>
      </c>
      <c r="AH2946" s="157">
        <f t="shared" si="1335"/>
        <v>0</v>
      </c>
      <c r="AI2946" s="152">
        <f>V2946*P2946</f>
        <v>16200</v>
      </c>
      <c r="AK2946" s="156" t="s">
        <v>691</v>
      </c>
      <c r="AL2946" s="212" t="s">
        <v>690</v>
      </c>
      <c r="AM2946" s="198">
        <f>AG2946*Z2946</f>
        <v>0</v>
      </c>
      <c r="AN2946" s="199">
        <f>B2946</f>
        <v>46016</v>
      </c>
      <c r="AO2946" s="159" t="s">
        <v>692</v>
      </c>
      <c r="AP2946" s="783" t="s">
        <v>644</v>
      </c>
      <c r="AQ2946" s="782">
        <v>12063755</v>
      </c>
      <c r="AR2946" s="782">
        <v>12061353</v>
      </c>
      <c r="AS2946" s="782">
        <v>12061354</v>
      </c>
      <c r="AT2946" s="782">
        <v>12096611</v>
      </c>
      <c r="AU2946" s="781"/>
      <c r="AV2946" s="782">
        <v>12096612</v>
      </c>
      <c r="AW2946" s="782">
        <v>12088207</v>
      </c>
      <c r="AX2946" s="782"/>
      <c r="AY2946" s="782">
        <v>12096583</v>
      </c>
      <c r="AZ2946" s="782"/>
      <c r="BA2946" s="781"/>
      <c r="BB2946" s="209">
        <v>23054743</v>
      </c>
    </row>
    <row r="2947" spans="1:54" ht="24.65" hidden="1" customHeight="1">
      <c r="A2947" s="906" t="s">
        <v>2784</v>
      </c>
      <c r="B2947" s="308">
        <v>46016</v>
      </c>
      <c r="C2947" s="309">
        <v>46044</v>
      </c>
      <c r="D2947" s="185">
        <f>IF(B2947="","",YEAR(B2947))</f>
        <v>2025</v>
      </c>
      <c r="E2947" s="309" t="e">
        <f>VLOOKUP($B2947,Week!$A$1:$C$1462,2,0)</f>
        <v>#N/A</v>
      </c>
      <c r="F2947" s="310" t="str">
        <f>IF(B2947="","",TEXT(B2947,"[$-409]mmm"))</f>
        <v>Dec</v>
      </c>
      <c r="G2947" s="311" t="s">
        <v>2652</v>
      </c>
      <c r="H2947" s="311" t="s">
        <v>311</v>
      </c>
      <c r="I2947" s="311" t="s">
        <v>2772</v>
      </c>
      <c r="J2947" s="312" t="s">
        <v>738</v>
      </c>
      <c r="K2947" s="313" t="s">
        <v>107</v>
      </c>
      <c r="L2947" s="300" t="s">
        <v>2167</v>
      </c>
      <c r="M2947" s="312" t="s">
        <v>313</v>
      </c>
      <c r="N2947" s="311" t="s">
        <v>314</v>
      </c>
      <c r="O2947" s="311" t="s">
        <v>110</v>
      </c>
      <c r="P2947" s="314">
        <v>36</v>
      </c>
      <c r="Q2947" s="314">
        <v>5</v>
      </c>
      <c r="R2947" s="315">
        <v>7.4999999999999997E-3</v>
      </c>
      <c r="S2947" s="311" t="s">
        <v>111</v>
      </c>
      <c r="T2947" s="311" t="s">
        <v>112</v>
      </c>
      <c r="U2947" s="311" t="s">
        <v>57</v>
      </c>
      <c r="V2947" s="316">
        <v>792</v>
      </c>
      <c r="W2947" s="316">
        <f>38+754</f>
        <v>792</v>
      </c>
      <c r="X2947" s="317"/>
      <c r="Y2947" s="318">
        <f>(W2947+X2947)-V2947</f>
        <v>0</v>
      </c>
      <c r="Z2947" s="319">
        <f>IF(Y2947&lt;0,((V2947*P2947)-((W2947+X2947)*P2947)),0)</f>
        <v>0</v>
      </c>
      <c r="AA2947" s="319">
        <f>Q2947*Z2947</f>
        <v>0</v>
      </c>
      <c r="AB2947" s="815">
        <v>7.4999999999999997E-3</v>
      </c>
      <c r="AC2947" s="316">
        <f>Z2947*AB2947</f>
        <v>0</v>
      </c>
      <c r="AD2947" s="515"/>
      <c r="AE2947" s="210">
        <f>SUM(Q2947*R2947*Z2947)/1000</f>
        <v>0</v>
      </c>
      <c r="AF2947" s="210">
        <f>AE2947/0.54</f>
        <v>0</v>
      </c>
      <c r="AG2947" s="211">
        <f>MID(O2947,1,3)/1000</f>
        <v>0.308</v>
      </c>
      <c r="AH2947" s="157">
        <f t="shared" si="1335"/>
        <v>0</v>
      </c>
      <c r="AI2947" s="152">
        <f>V2947*P2947</f>
        <v>28512</v>
      </c>
      <c r="AK2947" s="156" t="s">
        <v>691</v>
      </c>
      <c r="AL2947" s="212" t="s">
        <v>690</v>
      </c>
      <c r="AM2947" s="198">
        <f>AG2947*Z2947</f>
        <v>0</v>
      </c>
      <c r="AN2947" s="199">
        <f>B2947</f>
        <v>46016</v>
      </c>
      <c r="AO2947" s="159" t="s">
        <v>692</v>
      </c>
      <c r="AP2947" s="783" t="s">
        <v>644</v>
      </c>
      <c r="AQ2947" s="782">
        <v>12063755</v>
      </c>
      <c r="AR2947" s="782">
        <v>12061353</v>
      </c>
      <c r="AS2947" s="782">
        <v>12061354</v>
      </c>
      <c r="AT2947" s="782">
        <v>12062266</v>
      </c>
      <c r="AU2947" s="781"/>
      <c r="AV2947" s="782">
        <v>12088159</v>
      </c>
      <c r="AW2947" s="782">
        <v>12088207</v>
      </c>
      <c r="AX2947" s="782"/>
      <c r="AY2947" s="782">
        <v>12094237</v>
      </c>
      <c r="AZ2947" s="782"/>
      <c r="BA2947" s="781"/>
      <c r="BB2947" s="209">
        <v>23053185</v>
      </c>
    </row>
    <row r="2948" spans="1:54" ht="24.65" hidden="1" customHeight="1">
      <c r="A2948" s="906" t="s">
        <v>2788</v>
      </c>
      <c r="B2948" s="308">
        <v>46016</v>
      </c>
      <c r="C2948" s="309">
        <v>46051</v>
      </c>
      <c r="D2948" s="185">
        <f>IF(B2948="","",YEAR(B2948))</f>
        <v>2025</v>
      </c>
      <c r="E2948" s="309" t="e">
        <f>VLOOKUP($B2948,Week!$A$1:$C$1462,2,0)</f>
        <v>#N/A</v>
      </c>
      <c r="F2948" s="310" t="str">
        <f>IF(B2948="","",TEXT(B2948,"[$-409]mmm"))</f>
        <v>Dec</v>
      </c>
      <c r="G2948" s="311" t="s">
        <v>2653</v>
      </c>
      <c r="H2948" s="311" t="s">
        <v>311</v>
      </c>
      <c r="I2948" s="311" t="s">
        <v>2772</v>
      </c>
      <c r="J2948" s="312" t="s">
        <v>738</v>
      </c>
      <c r="K2948" s="313" t="s">
        <v>107</v>
      </c>
      <c r="L2948" s="300" t="s">
        <v>2167</v>
      </c>
      <c r="M2948" s="312" t="s">
        <v>313</v>
      </c>
      <c r="N2948" s="311" t="s">
        <v>314</v>
      </c>
      <c r="O2948" s="311" t="s">
        <v>110</v>
      </c>
      <c r="P2948" s="314">
        <v>36</v>
      </c>
      <c r="Q2948" s="314">
        <v>5</v>
      </c>
      <c r="R2948" s="315">
        <v>7.4999999999999997E-3</v>
      </c>
      <c r="S2948" s="311" t="s">
        <v>111</v>
      </c>
      <c r="T2948" s="311" t="s">
        <v>112</v>
      </c>
      <c r="U2948" s="311" t="s">
        <v>57</v>
      </c>
      <c r="V2948" s="316">
        <v>792</v>
      </c>
      <c r="W2948" s="316">
        <f>1435-754+81</f>
        <v>762</v>
      </c>
      <c r="X2948" s="317">
        <v>30</v>
      </c>
      <c r="Y2948" s="318">
        <f>(W2948+X2948)-V2948</f>
        <v>0</v>
      </c>
      <c r="Z2948" s="319">
        <f>IF(Y2948&lt;0,((V2948*P2948)-((W2948+X2948)*P2948)),0)</f>
        <v>0</v>
      </c>
      <c r="AA2948" s="319">
        <f>Q2948*Z2948</f>
        <v>0</v>
      </c>
      <c r="AB2948" s="815">
        <v>7.4999999999999997E-3</v>
      </c>
      <c r="AC2948" s="316">
        <f>Z2948*AB2948</f>
        <v>0</v>
      </c>
      <c r="AD2948" s="515"/>
      <c r="AE2948" s="210">
        <f>SUM(Q2948*R2948*Z2948)/1000</f>
        <v>0</v>
      </c>
      <c r="AF2948" s="210">
        <f>AE2948/0.54</f>
        <v>0</v>
      </c>
      <c r="AG2948" s="211">
        <f>MID(O2948,1,3)/1000</f>
        <v>0.308</v>
      </c>
      <c r="AH2948" s="157">
        <f t="shared" si="1335"/>
        <v>0</v>
      </c>
      <c r="AI2948" s="152">
        <f>V2948*P2948</f>
        <v>28512</v>
      </c>
      <c r="AK2948" s="156" t="s">
        <v>691</v>
      </c>
      <c r="AL2948" s="212" t="s">
        <v>690</v>
      </c>
      <c r="AM2948" s="198">
        <f>AG2948*Z2948</f>
        <v>0</v>
      </c>
      <c r="AN2948" s="199">
        <f>B2948</f>
        <v>46016</v>
      </c>
      <c r="AO2948" s="159" t="s">
        <v>692</v>
      </c>
      <c r="AP2948" s="783" t="s">
        <v>644</v>
      </c>
      <c r="AQ2948" s="782">
        <v>12063755</v>
      </c>
      <c r="AR2948" s="782">
        <v>12061353</v>
      </c>
      <c r="AS2948" s="782">
        <v>12061354</v>
      </c>
      <c r="AT2948" s="782">
        <v>12062266</v>
      </c>
      <c r="AU2948" s="781"/>
      <c r="AV2948" s="782">
        <v>12088159</v>
      </c>
      <c r="AW2948" s="782">
        <v>12088207</v>
      </c>
      <c r="AX2948" s="782"/>
      <c r="AY2948" s="782">
        <v>12094237</v>
      </c>
      <c r="AZ2948" s="782"/>
      <c r="BA2948" s="781"/>
      <c r="BB2948" s="209">
        <v>23053185</v>
      </c>
    </row>
    <row r="2949" spans="1:54" ht="25" hidden="1" customHeight="1">
      <c r="A2949" s="906" t="s">
        <v>2752</v>
      </c>
      <c r="B2949" s="498">
        <v>46016</v>
      </c>
      <c r="C2949" s="499">
        <v>46037</v>
      </c>
      <c r="D2949" s="185">
        <f>IF(B2949="","",YEAR(B2949))</f>
        <v>2025</v>
      </c>
      <c r="E2949" s="499" t="e">
        <f>VLOOKUP($B2949,Week!$A$1:$C$1462,2,0)</f>
        <v>#N/A</v>
      </c>
      <c r="F2949" s="500" t="str">
        <f>IF(B2949="","",TEXT(B2949,"[$-409]mmm"))</f>
        <v>Dec</v>
      </c>
      <c r="G2949" s="501" t="s">
        <v>2654</v>
      </c>
      <c r="H2949" s="501" t="s">
        <v>311</v>
      </c>
      <c r="I2949" s="501" t="s">
        <v>2772</v>
      </c>
      <c r="J2949" s="502" t="s">
        <v>738</v>
      </c>
      <c r="K2949" s="503" t="s">
        <v>1646</v>
      </c>
      <c r="L2949" s="300" t="s">
        <v>2167</v>
      </c>
      <c r="M2949" s="502" t="s">
        <v>654</v>
      </c>
      <c r="N2949" s="501" t="s">
        <v>726</v>
      </c>
      <c r="O2949" s="501" t="s">
        <v>655</v>
      </c>
      <c r="P2949" s="504">
        <v>24</v>
      </c>
      <c r="Q2949" s="504">
        <v>5</v>
      </c>
      <c r="R2949" s="505">
        <v>7.4999999999999997E-3</v>
      </c>
      <c r="S2949" s="501" t="s">
        <v>40</v>
      </c>
      <c r="T2949" s="501" t="s">
        <v>112</v>
      </c>
      <c r="U2949" s="506" t="s">
        <v>1894</v>
      </c>
      <c r="V2949" s="507">
        <v>924</v>
      </c>
      <c r="W2949" s="507">
        <f>48+876</f>
        <v>924</v>
      </c>
      <c r="X2949" s="508">
        <f>(754)/24</f>
        <v>31.416666666666668</v>
      </c>
      <c r="Y2949" s="509">
        <f>(W2949+X2949)-V2949</f>
        <v>31.416666666666629</v>
      </c>
      <c r="Z2949" s="510">
        <f>IF(Y2949&lt;0,((V2949*P2949)-((W2949+X2949)*P2949)),0)</f>
        <v>0</v>
      </c>
      <c r="AA2949" s="510">
        <f>Q2949*Z2949</f>
        <v>0</v>
      </c>
      <c r="AB2949" s="830">
        <v>3.8699999999999998E-2</v>
      </c>
      <c r="AC2949" s="507">
        <f>Z2949*AB2949</f>
        <v>0</v>
      </c>
      <c r="AD2949" s="209" t="s">
        <v>2588</v>
      </c>
      <c r="AE2949" s="210">
        <f>SUM(Q2949*R2949*Z2949)/1000</f>
        <v>0</v>
      </c>
      <c r="AF2949" s="210">
        <f>AE2949/0.54</f>
        <v>0</v>
      </c>
      <c r="AG2949" s="211">
        <f>MID(O2949,1,3)/1000</f>
        <v>0.307</v>
      </c>
      <c r="AH2949" s="157">
        <f t="shared" si="1335"/>
        <v>0</v>
      </c>
      <c r="AI2949" s="152">
        <f>V2949*P2949</f>
        <v>22176</v>
      </c>
      <c r="AK2949" s="156" t="s">
        <v>691</v>
      </c>
      <c r="AL2949" s="212" t="s">
        <v>690</v>
      </c>
      <c r="AM2949" s="198">
        <f>AG2949*Z2949</f>
        <v>0</v>
      </c>
      <c r="AN2949" s="199">
        <f>B2949</f>
        <v>46016</v>
      </c>
      <c r="AO2949" s="159" t="s">
        <v>692</v>
      </c>
      <c r="AP2949" s="781" t="s">
        <v>642</v>
      </c>
      <c r="AQ2949" s="782">
        <v>12063755</v>
      </c>
      <c r="AR2949" s="782">
        <v>12061353</v>
      </c>
      <c r="AS2949" s="782">
        <v>12061354</v>
      </c>
      <c r="AT2949" s="782">
        <v>12089274</v>
      </c>
      <c r="AU2949" s="781"/>
      <c r="AV2949" s="782">
        <v>12089275</v>
      </c>
      <c r="AW2949" s="782">
        <v>12068154</v>
      </c>
      <c r="AX2949" s="782"/>
      <c r="AY2949" s="782">
        <v>12094140</v>
      </c>
      <c r="AZ2949" s="782"/>
      <c r="BA2949" s="781"/>
      <c r="BB2949" s="209">
        <v>23105470</v>
      </c>
    </row>
    <row r="2950" spans="1:54" ht="24.65" hidden="1" customHeight="1">
      <c r="A2950" s="142" t="s">
        <v>120</v>
      </c>
      <c r="B2950" s="258">
        <v>46017</v>
      </c>
      <c r="C2950" s="259">
        <v>46038</v>
      </c>
      <c r="D2950" s="185">
        <f t="shared" si="1323"/>
        <v>2025</v>
      </c>
      <c r="E2950" s="260" t="e">
        <f>VLOOKUP($B2950,Week!$A$1:$C$1462,2,0)</f>
        <v>#N/A</v>
      </c>
      <c r="F2950" s="261" t="str">
        <f t="shared" si="1324"/>
        <v>Dec</v>
      </c>
      <c r="G2950" s="262" t="s">
        <v>2684</v>
      </c>
      <c r="H2950" s="260" t="s">
        <v>134</v>
      </c>
      <c r="I2950" s="260" t="s">
        <v>2772</v>
      </c>
      <c r="J2950" s="263" t="s">
        <v>164</v>
      </c>
      <c r="K2950" s="264" t="s">
        <v>153</v>
      </c>
      <c r="L2950" s="390" t="s">
        <v>2166</v>
      </c>
      <c r="M2950" s="263" t="s">
        <v>165</v>
      </c>
      <c r="N2950" s="260" t="s">
        <v>166</v>
      </c>
      <c r="O2950" s="260" t="s">
        <v>502</v>
      </c>
      <c r="P2950" s="265">
        <v>20</v>
      </c>
      <c r="Q2950" s="265">
        <v>12</v>
      </c>
      <c r="R2950" s="266">
        <v>6.8100000000000001E-3</v>
      </c>
      <c r="S2950" s="260" t="s">
        <v>76</v>
      </c>
      <c r="T2950" s="260" t="s">
        <v>56</v>
      </c>
      <c r="U2950" s="260" t="s">
        <v>89</v>
      </c>
      <c r="V2950" s="267">
        <f>2000-1196</f>
        <v>804</v>
      </c>
      <c r="W2950" s="267">
        <f>717</f>
        <v>717</v>
      </c>
      <c r="X2950" s="268">
        <f>1740/20</f>
        <v>87</v>
      </c>
      <c r="Y2950" s="269">
        <f t="shared" si="1325"/>
        <v>0</v>
      </c>
      <c r="Z2950" s="270">
        <f t="shared" si="1326"/>
        <v>0</v>
      </c>
      <c r="AA2950" s="270">
        <f t="shared" si="1327"/>
        <v>0</v>
      </c>
      <c r="AB2950" s="811">
        <v>2</v>
      </c>
      <c r="AC2950" s="267">
        <f t="shared" si="1328"/>
        <v>0</v>
      </c>
      <c r="AD2950" s="209" t="s">
        <v>168</v>
      </c>
      <c r="AE2950" s="210">
        <f t="shared" si="1329"/>
        <v>0</v>
      </c>
      <c r="AF2950" s="210">
        <f t="shared" si="1330"/>
        <v>0</v>
      </c>
      <c r="AG2950" s="211">
        <f t="shared" si="1331"/>
        <v>0.154</v>
      </c>
      <c r="AH2950" s="157">
        <f t="shared" si="1335"/>
        <v>0</v>
      </c>
      <c r="AI2950" s="152">
        <f t="shared" si="1332"/>
        <v>16080</v>
      </c>
      <c r="AK2950" s="156" t="s">
        <v>691</v>
      </c>
      <c r="AL2950" s="156" t="s">
        <v>689</v>
      </c>
      <c r="AM2950" s="198">
        <f t="shared" si="1333"/>
        <v>0</v>
      </c>
      <c r="AN2950" s="199">
        <f t="shared" si="1334"/>
        <v>46017</v>
      </c>
      <c r="AO2950" s="159" t="s">
        <v>692</v>
      </c>
      <c r="AP2950" s="783" t="s">
        <v>610</v>
      </c>
      <c r="AQ2950" s="783" t="s">
        <v>631</v>
      </c>
      <c r="AR2950" s="783" t="s">
        <v>523</v>
      </c>
      <c r="AS2950" s="781"/>
      <c r="AT2950" s="782">
        <v>12096524</v>
      </c>
      <c r="AU2950" s="781"/>
      <c r="AV2950" s="783" t="s">
        <v>2507</v>
      </c>
      <c r="AW2950" s="781"/>
      <c r="AX2950" s="782" t="s">
        <v>398</v>
      </c>
      <c r="AY2950" s="781"/>
      <c r="AZ2950" s="781"/>
      <c r="BA2950" s="781"/>
      <c r="BB2950" s="209">
        <v>23053184</v>
      </c>
    </row>
    <row r="2951" spans="1:54" ht="24.75" hidden="1" customHeight="1">
      <c r="A2951" s="906" t="s">
        <v>2785</v>
      </c>
      <c r="B2951" s="295">
        <v>46017</v>
      </c>
      <c r="C2951" s="771" t="s">
        <v>2629</v>
      </c>
      <c r="D2951" s="185">
        <f>IF(B2951="","",YEAR(B2951))</f>
        <v>2025</v>
      </c>
      <c r="E2951" s="296" t="e">
        <f>VLOOKUP($B2951,Week!$A$1:$C$1462,2,0)</f>
        <v>#N/A</v>
      </c>
      <c r="F2951" s="297" t="str">
        <f>IF(B2951="","",TEXT(B2951,"[$-409]mmm"))</f>
        <v>Dec</v>
      </c>
      <c r="G2951" s="648" t="s">
        <v>47</v>
      </c>
      <c r="H2951" s="298" t="s">
        <v>260</v>
      </c>
      <c r="I2951" s="298" t="s">
        <v>2702</v>
      </c>
      <c r="J2951" s="307" t="s">
        <v>649</v>
      </c>
      <c r="K2951" s="300" t="s">
        <v>176</v>
      </c>
      <c r="L2951" s="300" t="s">
        <v>2167</v>
      </c>
      <c r="M2951" s="299" t="s">
        <v>2338</v>
      </c>
      <c r="N2951" s="298" t="s">
        <v>350</v>
      </c>
      <c r="O2951" s="298" t="s">
        <v>351</v>
      </c>
      <c r="P2951" s="301">
        <v>24</v>
      </c>
      <c r="Q2951" s="301">
        <v>5</v>
      </c>
      <c r="R2951" s="302">
        <v>6.1999999999999998E-3</v>
      </c>
      <c r="S2951" s="298" t="s">
        <v>352</v>
      </c>
      <c r="T2951" s="298" t="s">
        <v>56</v>
      </c>
      <c r="U2951" s="298" t="s">
        <v>57</v>
      </c>
      <c r="V2951" s="303">
        <v>3778</v>
      </c>
      <c r="W2951" s="303">
        <f>3778</f>
        <v>3778</v>
      </c>
      <c r="X2951" s="304"/>
      <c r="Y2951" s="305">
        <f>(W2951+X2951)-V2951</f>
        <v>0</v>
      </c>
      <c r="Z2951" s="306">
        <f>IF(Y2951&lt;0,((V2951*P2951)-((W2951+X2951)*P2951)),0)</f>
        <v>0</v>
      </c>
      <c r="AA2951" s="306">
        <f t="shared" ref="AA2951:AA2982" si="1336">Q2951*Z2951</f>
        <v>0</v>
      </c>
      <c r="AB2951" s="814">
        <v>7.4999999999999997E-3</v>
      </c>
      <c r="AC2951" s="303">
        <f>Z2951*AB2951</f>
        <v>0</v>
      </c>
      <c r="AD2951" s="443" t="s">
        <v>2762</v>
      </c>
      <c r="AE2951" s="210">
        <f>SUM(Q2951*R2951*Z2951)/1000</f>
        <v>0</v>
      </c>
      <c r="AF2951" s="210">
        <f>AE2951/0.54</f>
        <v>0</v>
      </c>
      <c r="AG2951" s="211">
        <f>MID(O2951,1,3)/1000</f>
        <v>0.13</v>
      </c>
      <c r="AH2951" s="157">
        <f t="shared" si="1335"/>
        <v>0</v>
      </c>
      <c r="AI2951" s="152">
        <f>V2951*P2951</f>
        <v>90672</v>
      </c>
      <c r="AK2951" s="156" t="s">
        <v>691</v>
      </c>
      <c r="AL2951" s="574" t="s">
        <v>690</v>
      </c>
      <c r="AM2951" s="198">
        <f>AG2951*Z2951</f>
        <v>0</v>
      </c>
      <c r="AN2951" s="199">
        <f>B2951</f>
        <v>46017</v>
      </c>
      <c r="AO2951" s="159" t="s">
        <v>692</v>
      </c>
      <c r="AP2951" s="783" t="s">
        <v>622</v>
      </c>
      <c r="AQ2951" s="782">
        <v>12071839</v>
      </c>
      <c r="AR2951" s="782">
        <v>12094356</v>
      </c>
      <c r="AS2951" s="782">
        <v>12068233</v>
      </c>
      <c r="AT2951" s="781"/>
      <c r="AU2951" s="781"/>
      <c r="AV2951" s="782">
        <v>12062075</v>
      </c>
      <c r="AW2951" s="781"/>
      <c r="AX2951" s="781"/>
      <c r="AY2951" s="782">
        <v>12094357</v>
      </c>
      <c r="AZ2951" s="782"/>
      <c r="BA2951" s="781"/>
      <c r="BB2951" s="209">
        <v>23053184</v>
      </c>
    </row>
    <row r="2952" spans="1:54" ht="25" hidden="1" customHeight="1">
      <c r="B2952" s="517">
        <v>46018</v>
      </c>
      <c r="C2952" s="517"/>
      <c r="D2952" s="447">
        <f>IF(B2952="","",YEAR(B2952))</f>
        <v>2025</v>
      </c>
      <c r="E2952" s="447" t="e">
        <f>VLOOKUP($B2952,Week!$A$1:$C$1462,2,0)</f>
        <v>#N/A</v>
      </c>
      <c r="F2952" s="894" t="str">
        <f>IF(B2952="","",TEXT(B2952,"[$-409]mmm"))</f>
        <v>Dec</v>
      </c>
      <c r="G2952" s="447"/>
      <c r="H2952" s="447"/>
      <c r="I2952" s="447"/>
      <c r="J2952" s="307"/>
      <c r="K2952" s="627"/>
      <c r="L2952" s="627"/>
      <c r="M2952" s="307" t="s">
        <v>2667</v>
      </c>
      <c r="N2952" s="447"/>
      <c r="O2952" s="447"/>
      <c r="P2952" s="895"/>
      <c r="Q2952" s="895"/>
      <c r="R2952" s="896"/>
      <c r="S2952" s="447"/>
      <c r="T2952" s="447"/>
      <c r="U2952" s="447"/>
      <c r="V2952" s="528"/>
      <c r="W2952" s="528"/>
      <c r="X2952" s="897"/>
      <c r="Y2952" s="527"/>
      <c r="Z2952" s="528"/>
      <c r="AA2952" s="528">
        <f t="shared" si="1336"/>
        <v>0</v>
      </c>
      <c r="AB2952" s="898"/>
      <c r="AC2952" s="528"/>
      <c r="AD2952" s="307"/>
      <c r="AE2952" s="899"/>
      <c r="AF2952" s="899"/>
      <c r="AG2952" s="900"/>
      <c r="AH2952" s="901"/>
      <c r="AK2952" s="156" t="s">
        <v>691</v>
      </c>
      <c r="AM2952" s="198">
        <f>AG2952*Z2952</f>
        <v>0</v>
      </c>
      <c r="AN2952" s="199">
        <f>B2952</f>
        <v>46018</v>
      </c>
      <c r="AO2952" s="159" t="s">
        <v>692</v>
      </c>
      <c r="AP2952" s="781"/>
      <c r="AQ2952" s="782"/>
      <c r="AR2952" s="782"/>
      <c r="AS2952" s="782"/>
      <c r="AT2952" s="782"/>
      <c r="AU2952" s="781"/>
      <c r="AV2952" s="782"/>
      <c r="AW2952" s="782"/>
      <c r="AX2952" s="782"/>
      <c r="AY2952" s="782"/>
      <c r="AZ2952" s="782"/>
      <c r="BA2952" s="781"/>
      <c r="BB2952" s="209"/>
    </row>
    <row r="2953" spans="1:54" ht="25" hidden="1" customHeight="1">
      <c r="B2953" s="183">
        <v>46019</v>
      </c>
      <c r="C2953" s="184"/>
      <c r="D2953" s="185">
        <f t="shared" ref="D2953:D2960" si="1337">IF(B2953="","",YEAR(B2953))</f>
        <v>2025</v>
      </c>
      <c r="E2953" s="185" t="e">
        <f>VLOOKUP($B2953,Week!$A$1:$C$1462,2,0)</f>
        <v>#N/A</v>
      </c>
      <c r="F2953" s="186" t="str">
        <f t="shared" ref="F2953:F2960" si="1338">IF(B2953="","",TEXT(B2953,"[$-409]mmm"))</f>
        <v>Dec</v>
      </c>
      <c r="G2953" s="481"/>
      <c r="H2953" s="185"/>
      <c r="I2953" s="185"/>
      <c r="J2953" s="187"/>
      <c r="K2953" s="188"/>
      <c r="L2953" s="188"/>
      <c r="M2953" s="187"/>
      <c r="N2953" s="185"/>
      <c r="O2953" s="185"/>
      <c r="P2953" s="189"/>
      <c r="Q2953" s="189"/>
      <c r="R2953" s="190"/>
      <c r="S2953" s="185"/>
      <c r="T2953" s="185"/>
      <c r="U2953" s="185"/>
      <c r="V2953" s="191"/>
      <c r="W2953" s="191"/>
      <c r="X2953" s="192"/>
      <c r="Y2953" s="193"/>
      <c r="Z2953" s="194"/>
      <c r="AA2953" s="194">
        <f t="shared" si="1336"/>
        <v>0</v>
      </c>
      <c r="AB2953" s="805"/>
      <c r="AC2953" s="191"/>
      <c r="AD2953" s="187"/>
      <c r="AE2953" s="195"/>
      <c r="AF2953" s="195"/>
      <c r="AG2953" s="196"/>
      <c r="AH2953" s="197"/>
      <c r="AK2953" s="156" t="s">
        <v>691</v>
      </c>
      <c r="AM2953" s="198">
        <f t="shared" ref="AM2953:AM2960" si="1339">AG2953*Z2953</f>
        <v>0</v>
      </c>
      <c r="AN2953" s="199">
        <f t="shared" ref="AN2953:AN2960" si="1340">B2953</f>
        <v>46019</v>
      </c>
      <c r="AO2953" s="159" t="s">
        <v>692</v>
      </c>
      <c r="AP2953" s="781"/>
      <c r="AQ2953" s="782"/>
      <c r="AR2953" s="782"/>
      <c r="AS2953" s="782"/>
      <c r="AT2953" s="782"/>
      <c r="AU2953" s="781"/>
      <c r="AV2953" s="782"/>
      <c r="AW2953" s="782"/>
      <c r="AX2953" s="782"/>
      <c r="AY2953" s="782"/>
      <c r="AZ2953" s="782"/>
      <c r="BA2953" s="781"/>
      <c r="BB2953" s="209"/>
    </row>
    <row r="2954" spans="1:54" ht="25" hidden="1" customHeight="1">
      <c r="B2954" s="183">
        <v>46020</v>
      </c>
      <c r="C2954" s="184"/>
      <c r="D2954" s="185">
        <f t="shared" si="1337"/>
        <v>2025</v>
      </c>
      <c r="E2954" s="185" t="e">
        <f>VLOOKUP($B2954,Week!$A$1:$C$1462,2,0)</f>
        <v>#N/A</v>
      </c>
      <c r="F2954" s="186" t="str">
        <f t="shared" si="1338"/>
        <v>Dec</v>
      </c>
      <c r="G2954" s="481"/>
      <c r="H2954" s="185"/>
      <c r="I2954" s="185"/>
      <c r="J2954" s="187"/>
      <c r="K2954" s="188"/>
      <c r="L2954" s="188"/>
      <c r="M2954" s="187"/>
      <c r="N2954" s="185"/>
      <c r="O2954" s="185"/>
      <c r="P2954" s="189"/>
      <c r="Q2954" s="189"/>
      <c r="R2954" s="190"/>
      <c r="S2954" s="185"/>
      <c r="T2954" s="185"/>
      <c r="U2954" s="185"/>
      <c r="V2954" s="191"/>
      <c r="W2954" s="191"/>
      <c r="X2954" s="192"/>
      <c r="Y2954" s="193"/>
      <c r="Z2954" s="194"/>
      <c r="AA2954" s="194">
        <f t="shared" si="1336"/>
        <v>0</v>
      </c>
      <c r="AB2954" s="805"/>
      <c r="AC2954" s="191"/>
      <c r="AD2954" s="187"/>
      <c r="AE2954" s="195"/>
      <c r="AF2954" s="195"/>
      <c r="AG2954" s="196"/>
      <c r="AH2954" s="197"/>
      <c r="AK2954" s="156" t="s">
        <v>691</v>
      </c>
      <c r="AM2954" s="198">
        <f t="shared" si="1339"/>
        <v>0</v>
      </c>
      <c r="AN2954" s="199">
        <f t="shared" si="1340"/>
        <v>46020</v>
      </c>
      <c r="AO2954" s="159" t="s">
        <v>692</v>
      </c>
      <c r="AP2954" s="781"/>
      <c r="AQ2954" s="782"/>
      <c r="AR2954" s="782"/>
      <c r="AS2954" s="782"/>
      <c r="AT2954" s="782"/>
      <c r="AU2954" s="781"/>
      <c r="AV2954" s="782"/>
      <c r="AW2954" s="782"/>
      <c r="AX2954" s="782"/>
      <c r="AY2954" s="782"/>
      <c r="AZ2954" s="782"/>
      <c r="BA2954" s="781"/>
      <c r="BB2954" s="209"/>
    </row>
    <row r="2955" spans="1:54" ht="25" hidden="1" customHeight="1">
      <c r="B2955" s="183">
        <v>46021</v>
      </c>
      <c r="C2955" s="184"/>
      <c r="D2955" s="185">
        <f t="shared" si="1337"/>
        <v>2025</v>
      </c>
      <c r="E2955" s="185" t="e">
        <f>VLOOKUP($B2955,Week!$A$1:$C$1462,2,0)</f>
        <v>#N/A</v>
      </c>
      <c r="F2955" s="186" t="str">
        <f t="shared" si="1338"/>
        <v>Dec</v>
      </c>
      <c r="G2955" s="481"/>
      <c r="H2955" s="185"/>
      <c r="I2955" s="185"/>
      <c r="J2955" s="187"/>
      <c r="K2955" s="188"/>
      <c r="L2955" s="188"/>
      <c r="M2955" s="187"/>
      <c r="N2955" s="185"/>
      <c r="O2955" s="185"/>
      <c r="P2955" s="189"/>
      <c r="Q2955" s="189"/>
      <c r="R2955" s="190"/>
      <c r="S2955" s="185"/>
      <c r="T2955" s="185"/>
      <c r="U2955" s="185"/>
      <c r="V2955" s="191"/>
      <c r="W2955" s="191"/>
      <c r="X2955" s="192"/>
      <c r="Y2955" s="193"/>
      <c r="Z2955" s="194"/>
      <c r="AA2955" s="194">
        <f t="shared" si="1336"/>
        <v>0</v>
      </c>
      <c r="AB2955" s="805"/>
      <c r="AC2955" s="191"/>
      <c r="AD2955" s="187"/>
      <c r="AE2955" s="195"/>
      <c r="AF2955" s="195"/>
      <c r="AG2955" s="196"/>
      <c r="AH2955" s="197"/>
      <c r="AK2955" s="156" t="s">
        <v>691</v>
      </c>
      <c r="AM2955" s="198">
        <f t="shared" si="1339"/>
        <v>0</v>
      </c>
      <c r="AN2955" s="199">
        <f t="shared" si="1340"/>
        <v>46021</v>
      </c>
      <c r="AO2955" s="159" t="s">
        <v>692</v>
      </c>
      <c r="AP2955" s="781"/>
      <c r="AQ2955" s="782"/>
      <c r="AR2955" s="782"/>
      <c r="AS2955" s="782"/>
      <c r="AT2955" s="782"/>
      <c r="AU2955" s="781"/>
      <c r="AV2955" s="782"/>
      <c r="AW2955" s="782"/>
      <c r="AX2955" s="782"/>
      <c r="AY2955" s="782"/>
      <c r="AZ2955" s="782"/>
      <c r="BA2955" s="781"/>
      <c r="BB2955" s="209"/>
    </row>
    <row r="2956" spans="1:54" ht="25" hidden="1" customHeight="1">
      <c r="B2956" s="183">
        <v>46022</v>
      </c>
      <c r="C2956" s="184"/>
      <c r="D2956" s="185">
        <f t="shared" si="1337"/>
        <v>2025</v>
      </c>
      <c r="E2956" s="185" t="e">
        <f>VLOOKUP($B2956,Week!$A$1:$C$1462,2,0)</f>
        <v>#N/A</v>
      </c>
      <c r="F2956" s="186" t="str">
        <f t="shared" si="1338"/>
        <v>Dec</v>
      </c>
      <c r="G2956" s="481"/>
      <c r="H2956" s="185"/>
      <c r="I2956" s="185"/>
      <c r="J2956" s="187"/>
      <c r="K2956" s="188"/>
      <c r="L2956" s="188"/>
      <c r="M2956" s="187"/>
      <c r="N2956" s="185"/>
      <c r="O2956" s="185"/>
      <c r="P2956" s="189"/>
      <c r="Q2956" s="189"/>
      <c r="R2956" s="190"/>
      <c r="S2956" s="185"/>
      <c r="T2956" s="185"/>
      <c r="U2956" s="185"/>
      <c r="V2956" s="191"/>
      <c r="W2956" s="191"/>
      <c r="X2956" s="192"/>
      <c r="Y2956" s="193"/>
      <c r="Z2956" s="194"/>
      <c r="AA2956" s="194">
        <f t="shared" si="1336"/>
        <v>0</v>
      </c>
      <c r="AB2956" s="805"/>
      <c r="AC2956" s="191"/>
      <c r="AD2956" s="187"/>
      <c r="AE2956" s="195"/>
      <c r="AF2956" s="195"/>
      <c r="AG2956" s="196"/>
      <c r="AH2956" s="197"/>
      <c r="AK2956" s="156" t="s">
        <v>691</v>
      </c>
      <c r="AM2956" s="198">
        <f t="shared" si="1339"/>
        <v>0</v>
      </c>
      <c r="AN2956" s="199">
        <f t="shared" si="1340"/>
        <v>46022</v>
      </c>
      <c r="AO2956" s="159" t="s">
        <v>692</v>
      </c>
      <c r="AP2956" s="781"/>
      <c r="AQ2956" s="782"/>
      <c r="AR2956" s="782"/>
      <c r="AS2956" s="782"/>
      <c r="AT2956" s="782"/>
      <c r="AU2956" s="781"/>
      <c r="AV2956" s="782"/>
      <c r="AW2956" s="782"/>
      <c r="AX2956" s="782"/>
      <c r="AY2956" s="782"/>
      <c r="AZ2956" s="782"/>
      <c r="BA2956" s="781"/>
      <c r="BB2956" s="209"/>
    </row>
    <row r="2957" spans="1:54" ht="25" customHeight="1">
      <c r="B2957" s="183">
        <v>46023</v>
      </c>
      <c r="C2957" s="184"/>
      <c r="D2957" s="185">
        <f t="shared" si="1337"/>
        <v>2026</v>
      </c>
      <c r="E2957" s="185" t="e">
        <f>VLOOKUP($B2957,Week!$A$1:$C$1462,2,0)</f>
        <v>#N/A</v>
      </c>
      <c r="F2957" s="186" t="str">
        <f t="shared" si="1338"/>
        <v>Jan</v>
      </c>
      <c r="G2957" s="481"/>
      <c r="H2957" s="185"/>
      <c r="I2957" s="185"/>
      <c r="J2957" s="187"/>
      <c r="K2957" s="188"/>
      <c r="L2957" s="188"/>
      <c r="M2957" s="187"/>
      <c r="N2957" s="185"/>
      <c r="O2957" s="185"/>
      <c r="P2957" s="189"/>
      <c r="Q2957" s="189"/>
      <c r="R2957" s="190"/>
      <c r="S2957" s="185"/>
      <c r="T2957" s="185"/>
      <c r="U2957" s="185"/>
      <c r="V2957" s="191"/>
      <c r="W2957" s="191"/>
      <c r="X2957" s="192"/>
      <c r="Y2957" s="193"/>
      <c r="Z2957" s="194"/>
      <c r="AA2957" s="194">
        <f t="shared" si="1336"/>
        <v>0</v>
      </c>
      <c r="AB2957" s="805"/>
      <c r="AC2957" s="191"/>
      <c r="AD2957" s="187"/>
      <c r="AE2957" s="195"/>
      <c r="AF2957" s="195"/>
      <c r="AG2957" s="196"/>
      <c r="AH2957" s="197"/>
      <c r="AK2957" s="156" t="s">
        <v>691</v>
      </c>
      <c r="AM2957" s="198">
        <f t="shared" si="1339"/>
        <v>0</v>
      </c>
      <c r="AN2957" s="199">
        <f t="shared" si="1340"/>
        <v>46023</v>
      </c>
      <c r="AO2957" s="159" t="s">
        <v>692</v>
      </c>
      <c r="AP2957" s="781"/>
      <c r="AQ2957" s="782"/>
      <c r="AR2957" s="782"/>
      <c r="AS2957" s="782"/>
      <c r="AT2957" s="782"/>
      <c r="AU2957" s="781"/>
      <c r="AV2957" s="782"/>
      <c r="AW2957" s="782"/>
      <c r="AX2957" s="782"/>
      <c r="AY2957" s="782"/>
      <c r="AZ2957" s="782"/>
      <c r="BA2957" s="781"/>
      <c r="BB2957" s="209"/>
    </row>
    <row r="2958" spans="1:54" ht="25" customHeight="1">
      <c r="B2958" s="183">
        <v>46024</v>
      </c>
      <c r="C2958" s="184"/>
      <c r="D2958" s="185">
        <f t="shared" si="1337"/>
        <v>2026</v>
      </c>
      <c r="E2958" s="185" t="e">
        <f>VLOOKUP($B2958,Week!$A$1:$C$1462,2,0)</f>
        <v>#N/A</v>
      </c>
      <c r="F2958" s="186" t="str">
        <f t="shared" si="1338"/>
        <v>Jan</v>
      </c>
      <c r="G2958" s="481"/>
      <c r="H2958" s="185"/>
      <c r="I2958" s="185"/>
      <c r="J2958" s="187"/>
      <c r="K2958" s="188"/>
      <c r="L2958" s="188"/>
      <c r="M2958" s="187"/>
      <c r="N2958" s="185"/>
      <c r="O2958" s="185"/>
      <c r="P2958" s="189"/>
      <c r="Q2958" s="189"/>
      <c r="R2958" s="190"/>
      <c r="S2958" s="185"/>
      <c r="T2958" s="185"/>
      <c r="U2958" s="185"/>
      <c r="V2958" s="191"/>
      <c r="W2958" s="191"/>
      <c r="X2958" s="192"/>
      <c r="Y2958" s="193"/>
      <c r="Z2958" s="194"/>
      <c r="AA2958" s="194">
        <f t="shared" si="1336"/>
        <v>0</v>
      </c>
      <c r="AB2958" s="805"/>
      <c r="AC2958" s="191"/>
      <c r="AD2958" s="187"/>
      <c r="AE2958" s="195"/>
      <c r="AF2958" s="195"/>
      <c r="AG2958" s="196"/>
      <c r="AH2958" s="197"/>
      <c r="AK2958" s="156" t="s">
        <v>691</v>
      </c>
      <c r="AM2958" s="198">
        <f t="shared" si="1339"/>
        <v>0</v>
      </c>
      <c r="AN2958" s="199">
        <f t="shared" si="1340"/>
        <v>46024</v>
      </c>
      <c r="AO2958" s="159" t="s">
        <v>692</v>
      </c>
      <c r="AP2958" s="781"/>
      <c r="AQ2958" s="782"/>
      <c r="AR2958" s="782"/>
      <c r="AS2958" s="782"/>
      <c r="AT2958" s="782"/>
      <c r="AU2958" s="781"/>
      <c r="AV2958" s="782"/>
      <c r="AW2958" s="782"/>
      <c r="AX2958" s="782"/>
      <c r="AY2958" s="782"/>
      <c r="AZ2958" s="782"/>
      <c r="BA2958" s="781"/>
      <c r="BB2958" s="209"/>
    </row>
    <row r="2959" spans="1:54" ht="25" customHeight="1">
      <c r="B2959" s="183">
        <v>46025</v>
      </c>
      <c r="C2959" s="184"/>
      <c r="D2959" s="185">
        <f t="shared" si="1337"/>
        <v>2026</v>
      </c>
      <c r="E2959" s="185" t="e">
        <f>VLOOKUP($B2959,Week!$A$1:$C$1462,2,0)</f>
        <v>#N/A</v>
      </c>
      <c r="F2959" s="186" t="str">
        <f t="shared" si="1338"/>
        <v>Jan</v>
      </c>
      <c r="G2959" s="481"/>
      <c r="H2959" s="185"/>
      <c r="I2959" s="185"/>
      <c r="J2959" s="187"/>
      <c r="K2959" s="188"/>
      <c r="L2959" s="188"/>
      <c r="M2959" s="187"/>
      <c r="N2959" s="185"/>
      <c r="O2959" s="185"/>
      <c r="P2959" s="189"/>
      <c r="Q2959" s="189"/>
      <c r="R2959" s="190"/>
      <c r="S2959" s="185"/>
      <c r="T2959" s="185"/>
      <c r="U2959" s="185"/>
      <c r="V2959" s="191"/>
      <c r="W2959" s="191"/>
      <c r="X2959" s="192"/>
      <c r="Y2959" s="193"/>
      <c r="Z2959" s="194"/>
      <c r="AA2959" s="194">
        <f t="shared" si="1336"/>
        <v>0</v>
      </c>
      <c r="AB2959" s="805"/>
      <c r="AC2959" s="191"/>
      <c r="AD2959" s="187"/>
      <c r="AE2959" s="195"/>
      <c r="AF2959" s="195"/>
      <c r="AG2959" s="196"/>
      <c r="AH2959" s="197"/>
      <c r="AK2959" s="156" t="s">
        <v>691</v>
      </c>
      <c r="AM2959" s="198">
        <f t="shared" si="1339"/>
        <v>0</v>
      </c>
      <c r="AN2959" s="199">
        <f t="shared" si="1340"/>
        <v>46025</v>
      </c>
      <c r="AO2959" s="159" t="s">
        <v>692</v>
      </c>
      <c r="AP2959" s="781"/>
      <c r="AQ2959" s="782"/>
      <c r="AR2959" s="782"/>
      <c r="AS2959" s="782"/>
      <c r="AT2959" s="782"/>
      <c r="AU2959" s="781"/>
      <c r="AV2959" s="782"/>
      <c r="AW2959" s="782"/>
      <c r="AX2959" s="782"/>
      <c r="AY2959" s="782"/>
      <c r="AZ2959" s="782"/>
      <c r="BA2959" s="781"/>
      <c r="BB2959" s="209"/>
    </row>
    <row r="2960" spans="1:54" ht="25" customHeight="1">
      <c r="B2960" s="183">
        <v>46026</v>
      </c>
      <c r="C2960" s="184"/>
      <c r="D2960" s="185">
        <f t="shared" si="1337"/>
        <v>2026</v>
      </c>
      <c r="E2960" s="185" t="e">
        <f>VLOOKUP($B2960,Week!$A$1:$C$1462,2,0)</f>
        <v>#N/A</v>
      </c>
      <c r="F2960" s="186" t="str">
        <f t="shared" si="1338"/>
        <v>Jan</v>
      </c>
      <c r="G2960" s="481"/>
      <c r="H2960" s="185"/>
      <c r="I2960" s="185"/>
      <c r="J2960" s="187"/>
      <c r="K2960" s="188"/>
      <c r="L2960" s="188"/>
      <c r="M2960" s="187"/>
      <c r="N2960" s="185"/>
      <c r="O2960" s="185"/>
      <c r="P2960" s="189"/>
      <c r="Q2960" s="189"/>
      <c r="R2960" s="190"/>
      <c r="S2960" s="185"/>
      <c r="T2960" s="185"/>
      <c r="U2960" s="185"/>
      <c r="V2960" s="191"/>
      <c r="W2960" s="191"/>
      <c r="X2960" s="192"/>
      <c r="Y2960" s="193"/>
      <c r="Z2960" s="194"/>
      <c r="AA2960" s="194">
        <f t="shared" si="1336"/>
        <v>0</v>
      </c>
      <c r="AB2960" s="805"/>
      <c r="AC2960" s="191"/>
      <c r="AD2960" s="187"/>
      <c r="AE2960" s="195"/>
      <c r="AF2960" s="195"/>
      <c r="AG2960" s="196"/>
      <c r="AH2960" s="197"/>
      <c r="AK2960" s="156" t="s">
        <v>691</v>
      </c>
      <c r="AM2960" s="198">
        <f t="shared" si="1339"/>
        <v>0</v>
      </c>
      <c r="AN2960" s="199">
        <f t="shared" si="1340"/>
        <v>46026</v>
      </c>
      <c r="AO2960" s="159" t="s">
        <v>692</v>
      </c>
      <c r="AP2960" s="781"/>
      <c r="AQ2960" s="782"/>
      <c r="AR2960" s="782"/>
      <c r="AS2960" s="782"/>
      <c r="AT2960" s="782"/>
      <c r="AU2960" s="781"/>
      <c r="AV2960" s="782"/>
      <c r="AW2960" s="782"/>
      <c r="AX2960" s="782"/>
      <c r="AY2960" s="782"/>
      <c r="AZ2960" s="782"/>
      <c r="BA2960" s="781"/>
      <c r="BB2960" s="209"/>
    </row>
    <row r="2961" spans="1:54" ht="25" customHeight="1">
      <c r="A2961" s="142" t="s">
        <v>120</v>
      </c>
      <c r="B2961" s="320">
        <v>46027</v>
      </c>
      <c r="C2961" s="321">
        <v>46037</v>
      </c>
      <c r="D2961" s="323">
        <f t="shared" ref="D2961:D2994" si="1341">IF(B2961="","",YEAR(B2961))</f>
        <v>2026</v>
      </c>
      <c r="E2961" s="321" t="e">
        <f>VLOOKUP($B2961,Week!$A$1:$C$1462,2,0)</f>
        <v>#N/A</v>
      </c>
      <c r="F2961" s="322" t="str">
        <f t="shared" ref="F2961:F2994" si="1342">IF(B2961="","",TEXT(B2961,"[$-409]mmm"))</f>
        <v>Jan</v>
      </c>
      <c r="G2961" s="323" t="s">
        <v>2644</v>
      </c>
      <c r="H2961" s="323" t="s">
        <v>363</v>
      </c>
      <c r="I2961" s="323" t="s">
        <v>2772</v>
      </c>
      <c r="J2961" s="324" t="s">
        <v>364</v>
      </c>
      <c r="K2961" s="325" t="s">
        <v>2583</v>
      </c>
      <c r="L2961" s="325" t="s">
        <v>2166</v>
      </c>
      <c r="M2961" s="324" t="s">
        <v>2586</v>
      </c>
      <c r="N2961" s="323" t="s">
        <v>2584</v>
      </c>
      <c r="O2961" s="323" t="s">
        <v>2587</v>
      </c>
      <c r="P2961" s="326">
        <v>20</v>
      </c>
      <c r="Q2961" s="326">
        <v>50</v>
      </c>
      <c r="R2961" s="327">
        <v>4.0000000000000001E-3</v>
      </c>
      <c r="S2961" s="323" t="s">
        <v>55</v>
      </c>
      <c r="T2961" s="323" t="s">
        <v>112</v>
      </c>
      <c r="U2961" s="323" t="s">
        <v>77</v>
      </c>
      <c r="V2961" s="328">
        <v>349</v>
      </c>
      <c r="W2961" s="328">
        <f>339</f>
        <v>339</v>
      </c>
      <c r="X2961" s="329">
        <f>(200)/20</f>
        <v>10</v>
      </c>
      <c r="Y2961" s="330">
        <f t="shared" ref="Y2961:Y3001" si="1343">(W2961+X2961)-V2961</f>
        <v>0</v>
      </c>
      <c r="Z2961" s="331">
        <f t="shared" ref="Z2961:Z3001" si="1344">IF(Y2961&lt;0,((V2961*P2961)-((W2961+X2961)*P2961)),0)</f>
        <v>0</v>
      </c>
      <c r="AA2961" s="331">
        <f t="shared" si="1336"/>
        <v>0</v>
      </c>
      <c r="AB2961" s="816">
        <v>6</v>
      </c>
      <c r="AC2961" s="328">
        <f t="shared" ref="AC2961:AC3001" si="1345">Z2961*AB2961</f>
        <v>0</v>
      </c>
      <c r="AD2961" s="209"/>
      <c r="AE2961" s="210">
        <f>SUM(Q2961*R2961*Z2961)/1000</f>
        <v>0</v>
      </c>
      <c r="AF2961" s="210">
        <f>AE2961/0.54</f>
        <v>0</v>
      </c>
      <c r="AG2961" s="211">
        <f t="shared" ref="AG2961:AG2981" si="1346">MID(O2961,1,3)/1000</f>
        <v>0.5</v>
      </c>
      <c r="AH2961" s="157">
        <f t="shared" ref="AH2961:AH3001" si="1347">(Z2961*AG2961)/1000</f>
        <v>0</v>
      </c>
      <c r="AI2961" s="152">
        <f t="shared" ref="AI2961:AI2981" si="1348">V2961*P2961</f>
        <v>6980</v>
      </c>
      <c r="AK2961" s="156" t="s">
        <v>691</v>
      </c>
      <c r="AL2961" s="156" t="s">
        <v>689</v>
      </c>
      <c r="AM2961" s="198">
        <f t="shared" ref="AM2961:AM2992" si="1349">AG2961*Z2961</f>
        <v>0</v>
      </c>
      <c r="AN2961" s="199">
        <f t="shared" ref="AN2961:AN2992" si="1350">B2961</f>
        <v>46027</v>
      </c>
      <c r="AO2961" s="159" t="s">
        <v>692</v>
      </c>
      <c r="AP2961" s="783" t="s">
        <v>620</v>
      </c>
      <c r="AQ2961" s="796" t="s">
        <v>422</v>
      </c>
      <c r="AR2961" s="782">
        <v>12055234</v>
      </c>
      <c r="AS2961" s="781"/>
      <c r="AT2961" s="782"/>
      <c r="AU2961" s="782"/>
      <c r="AV2961" s="782">
        <v>12097165</v>
      </c>
      <c r="AW2961" s="782"/>
      <c r="AX2961" s="782">
        <v>12036656</v>
      </c>
      <c r="AY2961" s="799"/>
      <c r="AZ2961" s="781"/>
      <c r="BA2961" s="781"/>
      <c r="BB2961" s="209">
        <v>23053184</v>
      </c>
    </row>
    <row r="2962" spans="1:54" ht="25" customHeight="1">
      <c r="A2962" s="142" t="s">
        <v>120</v>
      </c>
      <c r="B2962" s="320">
        <v>46028</v>
      </c>
      <c r="C2962" s="321">
        <v>46037</v>
      </c>
      <c r="D2962" s="323">
        <f t="shared" si="1341"/>
        <v>2026</v>
      </c>
      <c r="E2962" s="321" t="e">
        <f>VLOOKUP($B2962,Week!$A$1:$C$1462,2,0)</f>
        <v>#N/A</v>
      </c>
      <c r="F2962" s="322" t="str">
        <f t="shared" si="1342"/>
        <v>Jan</v>
      </c>
      <c r="G2962" s="323" t="s">
        <v>2644</v>
      </c>
      <c r="H2962" s="323" t="s">
        <v>363</v>
      </c>
      <c r="I2962" s="323" t="s">
        <v>2772</v>
      </c>
      <c r="J2962" s="324" t="s">
        <v>364</v>
      </c>
      <c r="K2962" s="325" t="s">
        <v>2583</v>
      </c>
      <c r="L2962" s="325" t="s">
        <v>2166</v>
      </c>
      <c r="M2962" s="324" t="s">
        <v>2586</v>
      </c>
      <c r="N2962" s="323" t="s">
        <v>2584</v>
      </c>
      <c r="O2962" s="323" t="s">
        <v>2587</v>
      </c>
      <c r="P2962" s="326">
        <v>20</v>
      </c>
      <c r="Q2962" s="326">
        <v>50</v>
      </c>
      <c r="R2962" s="327">
        <v>4.0000000000000001E-3</v>
      </c>
      <c r="S2962" s="323" t="s">
        <v>55</v>
      </c>
      <c r="T2962" s="323" t="s">
        <v>112</v>
      </c>
      <c r="U2962" s="323" t="s">
        <v>77</v>
      </c>
      <c r="V2962" s="328">
        <v>354</v>
      </c>
      <c r="W2962" s="328">
        <f>354</f>
        <v>354</v>
      </c>
      <c r="X2962" s="329"/>
      <c r="Y2962" s="330">
        <f t="shared" si="1343"/>
        <v>0</v>
      </c>
      <c r="Z2962" s="331">
        <f t="shared" si="1344"/>
        <v>0</v>
      </c>
      <c r="AA2962" s="331">
        <f t="shared" si="1336"/>
        <v>0</v>
      </c>
      <c r="AB2962" s="816">
        <v>6</v>
      </c>
      <c r="AC2962" s="328">
        <f t="shared" si="1345"/>
        <v>0</v>
      </c>
      <c r="AD2962" s="209"/>
      <c r="AE2962" s="210">
        <f>SUM(Q2962*R2962*Z2962)/1000</f>
        <v>0</v>
      </c>
      <c r="AF2962" s="210">
        <f>AE2962/0.54</f>
        <v>0</v>
      </c>
      <c r="AG2962" s="211">
        <f t="shared" si="1346"/>
        <v>0.5</v>
      </c>
      <c r="AH2962" s="157">
        <f t="shared" si="1347"/>
        <v>0</v>
      </c>
      <c r="AI2962" s="152">
        <f t="shared" si="1348"/>
        <v>7080</v>
      </c>
      <c r="AK2962" s="156" t="s">
        <v>691</v>
      </c>
      <c r="AL2962" s="156" t="s">
        <v>689</v>
      </c>
      <c r="AM2962" s="198">
        <f t="shared" si="1349"/>
        <v>0</v>
      </c>
      <c r="AN2962" s="199">
        <f t="shared" si="1350"/>
        <v>46028</v>
      </c>
      <c r="AO2962" s="159" t="s">
        <v>692</v>
      </c>
      <c r="AP2962" s="783" t="s">
        <v>620</v>
      </c>
      <c r="AQ2962" s="796" t="s">
        <v>422</v>
      </c>
      <c r="AR2962" s="782">
        <v>12055234</v>
      </c>
      <c r="AS2962" s="781"/>
      <c r="AT2962" s="782"/>
      <c r="AU2962" s="782"/>
      <c r="AV2962" s="782">
        <v>12097165</v>
      </c>
      <c r="AW2962" s="782"/>
      <c r="AX2962" s="782">
        <v>12036656</v>
      </c>
      <c r="AY2962" s="799"/>
      <c r="AZ2962" s="781"/>
      <c r="BA2962" s="781"/>
      <c r="BB2962" s="209">
        <v>23053184</v>
      </c>
    </row>
    <row r="2963" spans="1:54" ht="25" customHeight="1">
      <c r="A2963" s="142" t="s">
        <v>120</v>
      </c>
      <c r="B2963" s="320">
        <v>46029</v>
      </c>
      <c r="C2963" s="321">
        <v>46037</v>
      </c>
      <c r="D2963" s="323">
        <f t="shared" si="1341"/>
        <v>2026</v>
      </c>
      <c r="E2963" s="321" t="e">
        <f>VLOOKUP($B2963,Week!$A$1:$C$1462,2,0)</f>
        <v>#N/A</v>
      </c>
      <c r="F2963" s="322" t="str">
        <f t="shared" si="1342"/>
        <v>Jan</v>
      </c>
      <c r="G2963" s="323" t="s">
        <v>2644</v>
      </c>
      <c r="H2963" s="323" t="s">
        <v>363</v>
      </c>
      <c r="I2963" s="323" t="s">
        <v>2772</v>
      </c>
      <c r="J2963" s="324" t="s">
        <v>364</v>
      </c>
      <c r="K2963" s="325" t="s">
        <v>2583</v>
      </c>
      <c r="L2963" s="325" t="s">
        <v>2166</v>
      </c>
      <c r="M2963" s="324" t="s">
        <v>2586</v>
      </c>
      <c r="N2963" s="323" t="s">
        <v>2584</v>
      </c>
      <c r="O2963" s="323" t="s">
        <v>2587</v>
      </c>
      <c r="P2963" s="326">
        <v>20</v>
      </c>
      <c r="Q2963" s="326">
        <v>50</v>
      </c>
      <c r="R2963" s="327">
        <v>4.0000000000000001E-3</v>
      </c>
      <c r="S2963" s="323" t="s">
        <v>55</v>
      </c>
      <c r="T2963" s="323" t="s">
        <v>112</v>
      </c>
      <c r="U2963" s="323" t="s">
        <v>77</v>
      </c>
      <c r="V2963" s="328">
        <f>1040-349-354</f>
        <v>337</v>
      </c>
      <c r="W2963" s="328">
        <v>337</v>
      </c>
      <c r="X2963" s="329"/>
      <c r="Y2963" s="330">
        <f t="shared" si="1343"/>
        <v>0</v>
      </c>
      <c r="Z2963" s="331">
        <f t="shared" si="1344"/>
        <v>0</v>
      </c>
      <c r="AA2963" s="331">
        <f t="shared" si="1336"/>
        <v>0</v>
      </c>
      <c r="AB2963" s="816">
        <v>6</v>
      </c>
      <c r="AC2963" s="328">
        <f t="shared" si="1345"/>
        <v>0</v>
      </c>
      <c r="AD2963" s="209"/>
      <c r="AE2963" s="210">
        <f>SUM(Q2963*R2963*Z2963)/1000</f>
        <v>0</v>
      </c>
      <c r="AF2963" s="210">
        <f>AE2963/0.54</f>
        <v>0</v>
      </c>
      <c r="AG2963" s="211">
        <f t="shared" si="1346"/>
        <v>0.5</v>
      </c>
      <c r="AH2963" s="157">
        <f t="shared" si="1347"/>
        <v>0</v>
      </c>
      <c r="AI2963" s="152">
        <f t="shared" si="1348"/>
        <v>6740</v>
      </c>
      <c r="AK2963" s="156" t="s">
        <v>691</v>
      </c>
      <c r="AL2963" s="156" t="s">
        <v>689</v>
      </c>
      <c r="AM2963" s="198">
        <f t="shared" si="1349"/>
        <v>0</v>
      </c>
      <c r="AN2963" s="199">
        <f t="shared" si="1350"/>
        <v>46029</v>
      </c>
      <c r="AO2963" s="159" t="s">
        <v>692</v>
      </c>
      <c r="AP2963" s="783" t="s">
        <v>620</v>
      </c>
      <c r="AQ2963" s="796" t="s">
        <v>422</v>
      </c>
      <c r="AR2963" s="782">
        <v>12055234</v>
      </c>
      <c r="AS2963" s="781"/>
      <c r="AT2963" s="782"/>
      <c r="AU2963" s="782"/>
      <c r="AV2963" s="782">
        <v>12097165</v>
      </c>
      <c r="AW2963" s="782"/>
      <c r="AX2963" s="782">
        <v>12036656</v>
      </c>
      <c r="AY2963" s="799"/>
      <c r="AZ2963" s="781"/>
      <c r="BA2963" s="781"/>
      <c r="BB2963" s="209">
        <v>23053184</v>
      </c>
    </row>
    <row r="2964" spans="1:54" ht="24.65" customHeight="1">
      <c r="A2964" s="142" t="s">
        <v>120</v>
      </c>
      <c r="B2964" s="258">
        <v>46029</v>
      </c>
      <c r="C2964" s="259">
        <v>46038</v>
      </c>
      <c r="D2964" s="185">
        <f t="shared" si="1341"/>
        <v>2026</v>
      </c>
      <c r="E2964" s="260" t="e">
        <f>VLOOKUP($B2964,Week!$A$1:$C$1462,2,0)</f>
        <v>#N/A</v>
      </c>
      <c r="F2964" s="261" t="str">
        <f t="shared" si="1342"/>
        <v>Jan</v>
      </c>
      <c r="G2964" s="262" t="s">
        <v>2501</v>
      </c>
      <c r="H2964" s="260" t="s">
        <v>134</v>
      </c>
      <c r="I2964" s="260" t="s">
        <v>2772</v>
      </c>
      <c r="J2964" s="263" t="s">
        <v>2932</v>
      </c>
      <c r="K2964" s="264" t="s">
        <v>153</v>
      </c>
      <c r="L2964" s="390" t="s">
        <v>2166</v>
      </c>
      <c r="M2964" s="263" t="s">
        <v>165</v>
      </c>
      <c r="N2964" s="260" t="s">
        <v>166</v>
      </c>
      <c r="O2964" s="260" t="s">
        <v>502</v>
      </c>
      <c r="P2964" s="265">
        <v>20</v>
      </c>
      <c r="Q2964" s="265">
        <v>12</v>
      </c>
      <c r="R2964" s="266">
        <v>6.8100000000000001E-3</v>
      </c>
      <c r="S2964" s="260" t="s">
        <v>76</v>
      </c>
      <c r="T2964" s="260" t="s">
        <v>56</v>
      </c>
      <c r="U2964" s="260" t="s">
        <v>89</v>
      </c>
      <c r="V2964" s="267">
        <v>275</v>
      </c>
      <c r="W2964" s="267">
        <v>238</v>
      </c>
      <c r="X2964" s="268">
        <f>(740)/20</f>
        <v>37</v>
      </c>
      <c r="Y2964" s="269">
        <f t="shared" si="1343"/>
        <v>0</v>
      </c>
      <c r="Z2964" s="270">
        <f t="shared" si="1344"/>
        <v>0</v>
      </c>
      <c r="AA2964" s="270">
        <f t="shared" si="1336"/>
        <v>0</v>
      </c>
      <c r="AB2964" s="811">
        <v>2</v>
      </c>
      <c r="AC2964" s="267">
        <f t="shared" si="1345"/>
        <v>0</v>
      </c>
      <c r="AD2964" s="209" t="s">
        <v>168</v>
      </c>
      <c r="AE2964" s="210">
        <f>SUM(Q2964*R2964*Z2964)/1000</f>
        <v>0</v>
      </c>
      <c r="AF2964" s="210">
        <f>AE2964/0.54</f>
        <v>0</v>
      </c>
      <c r="AG2964" s="211">
        <f t="shared" si="1346"/>
        <v>0.154</v>
      </c>
      <c r="AH2964" s="157">
        <f t="shared" si="1347"/>
        <v>0</v>
      </c>
      <c r="AI2964" s="152">
        <f t="shared" si="1348"/>
        <v>5500</v>
      </c>
      <c r="AK2964" s="156" t="s">
        <v>691</v>
      </c>
      <c r="AL2964" s="156" t="s">
        <v>689</v>
      </c>
      <c r="AM2964" s="198">
        <f t="shared" si="1349"/>
        <v>0</v>
      </c>
      <c r="AN2964" s="199">
        <f t="shared" si="1350"/>
        <v>46029</v>
      </c>
      <c r="AO2964" s="159" t="s">
        <v>692</v>
      </c>
      <c r="AP2964" s="783" t="s">
        <v>610</v>
      </c>
      <c r="AQ2964" s="783" t="s">
        <v>631</v>
      </c>
      <c r="AR2964" s="783" t="s">
        <v>523</v>
      </c>
      <c r="AS2964" s="781"/>
      <c r="AT2964" s="782">
        <v>12096524</v>
      </c>
      <c r="AU2964" s="781"/>
      <c r="AV2964" s="783" t="s">
        <v>2507</v>
      </c>
      <c r="AW2964" s="781"/>
      <c r="AX2964" s="782" t="s">
        <v>398</v>
      </c>
      <c r="AY2964" s="781"/>
      <c r="AZ2964" s="781"/>
      <c r="BA2964" s="781"/>
      <c r="BB2964" s="209">
        <v>23053184</v>
      </c>
    </row>
    <row r="2965" spans="1:54" ht="24.65" customHeight="1">
      <c r="A2965" s="142" t="s">
        <v>120</v>
      </c>
      <c r="B2965" s="258">
        <v>46030</v>
      </c>
      <c r="C2965" s="259">
        <v>46038</v>
      </c>
      <c r="D2965" s="185">
        <f t="shared" si="1341"/>
        <v>2026</v>
      </c>
      <c r="E2965" s="260" t="e">
        <f>VLOOKUP($B2965,Week!$A$1:$C$1462,2,0)</f>
        <v>#N/A</v>
      </c>
      <c r="F2965" s="261" t="str">
        <f t="shared" si="1342"/>
        <v>Jan</v>
      </c>
      <c r="G2965" s="262" t="s">
        <v>2501</v>
      </c>
      <c r="H2965" s="260" t="s">
        <v>134</v>
      </c>
      <c r="I2965" s="260" t="s">
        <v>2772</v>
      </c>
      <c r="J2965" s="263" t="s">
        <v>2932</v>
      </c>
      <c r="K2965" s="264" t="s">
        <v>153</v>
      </c>
      <c r="L2965" s="390" t="s">
        <v>2166</v>
      </c>
      <c r="M2965" s="263" t="s">
        <v>165</v>
      </c>
      <c r="N2965" s="260" t="s">
        <v>166</v>
      </c>
      <c r="O2965" s="260" t="s">
        <v>502</v>
      </c>
      <c r="P2965" s="265">
        <v>20</v>
      </c>
      <c r="Q2965" s="265">
        <v>12</v>
      </c>
      <c r="R2965" s="266">
        <v>6.8100000000000001E-3</v>
      </c>
      <c r="S2965" s="260" t="s">
        <v>76</v>
      </c>
      <c r="T2965" s="260" t="s">
        <v>56</v>
      </c>
      <c r="U2965" s="260" t="s">
        <v>89</v>
      </c>
      <c r="V2965" s="267">
        <f>1000-275</f>
        <v>725</v>
      </c>
      <c r="W2965" s="267">
        <f>504</f>
        <v>504</v>
      </c>
      <c r="X2965" s="268">
        <f>(4420)/20</f>
        <v>221</v>
      </c>
      <c r="Y2965" s="269">
        <f t="shared" si="1343"/>
        <v>0</v>
      </c>
      <c r="Z2965" s="270">
        <f t="shared" si="1344"/>
        <v>0</v>
      </c>
      <c r="AA2965" s="270">
        <f t="shared" si="1336"/>
        <v>0</v>
      </c>
      <c r="AB2965" s="811">
        <v>2</v>
      </c>
      <c r="AC2965" s="267">
        <f t="shared" si="1345"/>
        <v>0</v>
      </c>
      <c r="AD2965" s="209" t="s">
        <v>168</v>
      </c>
      <c r="AE2965" s="210">
        <f>SUM(Q2965*R2965*Z2965)/1000</f>
        <v>0</v>
      </c>
      <c r="AF2965" s="210">
        <f>AE2965/0.54</f>
        <v>0</v>
      </c>
      <c r="AG2965" s="211">
        <f t="shared" si="1346"/>
        <v>0.154</v>
      </c>
      <c r="AH2965" s="157">
        <f t="shared" si="1347"/>
        <v>0</v>
      </c>
      <c r="AI2965" s="152">
        <f t="shared" si="1348"/>
        <v>14500</v>
      </c>
      <c r="AK2965" s="156" t="s">
        <v>691</v>
      </c>
      <c r="AL2965" s="156" t="s">
        <v>689</v>
      </c>
      <c r="AM2965" s="198">
        <f t="shared" si="1349"/>
        <v>0</v>
      </c>
      <c r="AN2965" s="199">
        <f t="shared" si="1350"/>
        <v>46030</v>
      </c>
      <c r="AO2965" s="159" t="s">
        <v>692</v>
      </c>
      <c r="AP2965" s="783" t="s">
        <v>610</v>
      </c>
      <c r="AQ2965" s="783" t="s">
        <v>631</v>
      </c>
      <c r="AR2965" s="783" t="s">
        <v>523</v>
      </c>
      <c r="AS2965" s="781"/>
      <c r="AT2965" s="782">
        <v>12096524</v>
      </c>
      <c r="AU2965" s="781"/>
      <c r="AV2965" s="783" t="s">
        <v>2507</v>
      </c>
      <c r="AW2965" s="781"/>
      <c r="AX2965" s="782" t="s">
        <v>398</v>
      </c>
      <c r="AY2965" s="781"/>
      <c r="AZ2965" s="781"/>
      <c r="BA2965" s="781"/>
      <c r="BB2965" s="209">
        <v>23053184</v>
      </c>
    </row>
    <row r="2966" spans="1:54" ht="25" customHeight="1">
      <c r="A2966" s="142" t="s">
        <v>120</v>
      </c>
      <c r="B2966" s="448">
        <v>46030</v>
      </c>
      <c r="C2966" s="449">
        <v>46036</v>
      </c>
      <c r="D2966" s="185">
        <f t="shared" si="1341"/>
        <v>2026</v>
      </c>
      <c r="E2966" s="450" t="e">
        <f>VLOOKUP($B2966,Week!$A$1:$C$1462,2,0)</f>
        <v>#N/A</v>
      </c>
      <c r="F2966" s="451" t="str">
        <f t="shared" si="1342"/>
        <v>Jan</v>
      </c>
      <c r="G2966" s="450" t="s">
        <v>2500</v>
      </c>
      <c r="H2966" s="450" t="s">
        <v>134</v>
      </c>
      <c r="I2966" s="450" t="s">
        <v>2772</v>
      </c>
      <c r="J2966" s="452" t="s">
        <v>2932</v>
      </c>
      <c r="K2966" s="453" t="s">
        <v>153</v>
      </c>
      <c r="L2966" s="390" t="s">
        <v>2166</v>
      </c>
      <c r="M2966" s="452" t="s">
        <v>1642</v>
      </c>
      <c r="N2966" s="450" t="s">
        <v>429</v>
      </c>
      <c r="O2966" s="450" t="s">
        <v>505</v>
      </c>
      <c r="P2966" s="454">
        <v>20</v>
      </c>
      <c r="Q2966" s="454">
        <v>12</v>
      </c>
      <c r="R2966" s="455">
        <v>6.8100000000000001E-3</v>
      </c>
      <c r="S2966" s="450" t="s">
        <v>76</v>
      </c>
      <c r="T2966" s="450" t="s">
        <v>56</v>
      </c>
      <c r="U2966" s="773" t="s">
        <v>430</v>
      </c>
      <c r="V2966" s="456">
        <v>1200</v>
      </c>
      <c r="W2966" s="456">
        <f>425</f>
        <v>425</v>
      </c>
      <c r="X2966" s="457">
        <f>(15560)/20</f>
        <v>778</v>
      </c>
      <c r="Y2966" s="458">
        <f t="shared" si="1343"/>
        <v>3</v>
      </c>
      <c r="Z2966" s="459">
        <f t="shared" si="1344"/>
        <v>0</v>
      </c>
      <c r="AA2966" s="459">
        <f t="shared" si="1336"/>
        <v>0</v>
      </c>
      <c r="AB2966" s="827">
        <v>2</v>
      </c>
      <c r="AC2966" s="456">
        <f t="shared" si="1345"/>
        <v>0</v>
      </c>
      <c r="AD2966" s="209" t="s">
        <v>218</v>
      </c>
      <c r="AE2966" s="210"/>
      <c r="AF2966" s="210"/>
      <c r="AG2966" s="211">
        <f t="shared" si="1346"/>
        <v>0.20399999999999999</v>
      </c>
      <c r="AH2966" s="157">
        <f t="shared" si="1347"/>
        <v>0</v>
      </c>
      <c r="AI2966" s="152">
        <f t="shared" si="1348"/>
        <v>24000</v>
      </c>
      <c r="AK2966" s="156" t="s">
        <v>691</v>
      </c>
      <c r="AL2966" s="156" t="s">
        <v>689</v>
      </c>
      <c r="AM2966" s="198">
        <f t="shared" si="1349"/>
        <v>0</v>
      </c>
      <c r="AN2966" s="199">
        <f t="shared" si="1350"/>
        <v>46030</v>
      </c>
      <c r="AO2966" s="159" t="s">
        <v>692</v>
      </c>
      <c r="AP2966" s="781"/>
      <c r="AQ2966" s="782">
        <v>12071839</v>
      </c>
      <c r="AR2966" s="782">
        <v>12019692</v>
      </c>
      <c r="AS2966" s="782"/>
      <c r="AT2966" s="867">
        <v>12095767</v>
      </c>
      <c r="AU2966" s="868"/>
      <c r="AV2966" s="867">
        <v>12095768</v>
      </c>
      <c r="AW2966" s="782"/>
      <c r="AX2966" s="782" t="s">
        <v>398</v>
      </c>
      <c r="AY2966" s="782"/>
      <c r="AZ2966" s="782"/>
      <c r="BA2966" s="781"/>
      <c r="BB2966" s="209">
        <v>23057444</v>
      </c>
    </row>
    <row r="2967" spans="1:54" ht="24.65" customHeight="1">
      <c r="A2967" s="142" t="s">
        <v>120</v>
      </c>
      <c r="B2967" s="546">
        <v>46030</v>
      </c>
      <c r="C2967" s="547">
        <v>46071</v>
      </c>
      <c r="D2967" s="549">
        <f t="shared" si="1341"/>
        <v>2026</v>
      </c>
      <c r="E2967" s="549" t="e">
        <f>VLOOKUP($B2967,Week!$A$1:$C$1462,2,0)</f>
        <v>#N/A</v>
      </c>
      <c r="F2967" s="548" t="str">
        <f t="shared" si="1342"/>
        <v>Jan</v>
      </c>
      <c r="G2967" s="864" t="s">
        <v>2646</v>
      </c>
      <c r="H2967" s="549" t="s">
        <v>134</v>
      </c>
      <c r="I2967" s="549" t="s">
        <v>2772</v>
      </c>
      <c r="J2967" s="550" t="s">
        <v>2932</v>
      </c>
      <c r="K2967" s="551" t="s">
        <v>153</v>
      </c>
      <c r="L2967" s="551" t="s">
        <v>2166</v>
      </c>
      <c r="M2967" s="550" t="s">
        <v>2363</v>
      </c>
      <c r="N2967" s="549" t="s">
        <v>2364</v>
      </c>
      <c r="O2967" s="549" t="s">
        <v>2365</v>
      </c>
      <c r="P2967" s="552">
        <v>18</v>
      </c>
      <c r="Q2967" s="552">
        <v>8</v>
      </c>
      <c r="R2967" s="553">
        <v>6.8100000000000001E-3</v>
      </c>
      <c r="S2967" s="549" t="s">
        <v>76</v>
      </c>
      <c r="T2967" s="549" t="s">
        <v>56</v>
      </c>
      <c r="U2967" s="865" t="s">
        <v>499</v>
      </c>
      <c r="V2967" s="554">
        <f>500</f>
        <v>500</v>
      </c>
      <c r="W2967" s="554">
        <f>56+444</f>
        <v>500</v>
      </c>
      <c r="X2967" s="555"/>
      <c r="Y2967" s="556">
        <f t="shared" si="1343"/>
        <v>0</v>
      </c>
      <c r="Z2967" s="557">
        <f t="shared" si="1344"/>
        <v>0</v>
      </c>
      <c r="AA2967" s="557">
        <f t="shared" si="1336"/>
        <v>0</v>
      </c>
      <c r="AB2967" s="833">
        <v>1</v>
      </c>
      <c r="AC2967" s="554">
        <f t="shared" si="1345"/>
        <v>0</v>
      </c>
      <c r="AD2967" s="209"/>
      <c r="AE2967" s="210">
        <f t="shared" ref="AE2967:AE2986" si="1351">SUM(Q2967*R2967*Z2967)/1000</f>
        <v>0</v>
      </c>
      <c r="AF2967" s="210">
        <f t="shared" ref="AF2967:AF2975" si="1352">AE2967/0.54</f>
        <v>0</v>
      </c>
      <c r="AG2967" s="211">
        <f t="shared" si="1346"/>
        <v>0.126</v>
      </c>
      <c r="AH2967" s="157">
        <f t="shared" si="1347"/>
        <v>0</v>
      </c>
      <c r="AI2967" s="152">
        <f t="shared" si="1348"/>
        <v>9000</v>
      </c>
      <c r="AK2967" s="156" t="s">
        <v>691</v>
      </c>
      <c r="AL2967" s="156" t="s">
        <v>689</v>
      </c>
      <c r="AM2967" s="198">
        <f t="shared" si="1349"/>
        <v>0</v>
      </c>
      <c r="AN2967" s="199">
        <f t="shared" si="1350"/>
        <v>46030</v>
      </c>
      <c r="AO2967" s="159" t="s">
        <v>692</v>
      </c>
      <c r="AP2967" s="783"/>
      <c r="AQ2967" s="783" t="s">
        <v>631</v>
      </c>
      <c r="AR2967" s="796">
        <v>12038019</v>
      </c>
      <c r="AS2967" s="781"/>
      <c r="AT2967" s="782">
        <v>12083322</v>
      </c>
      <c r="AU2967" s="781"/>
      <c r="AV2967" s="796">
        <v>12083496</v>
      </c>
      <c r="AW2967" s="781"/>
      <c r="AX2967" s="781" t="s">
        <v>162</v>
      </c>
      <c r="AY2967" s="781"/>
      <c r="AZ2967" s="781"/>
      <c r="BA2967" s="781"/>
      <c r="BB2967" s="209"/>
    </row>
    <row r="2968" spans="1:54" ht="24.75" customHeight="1">
      <c r="A2968" s="142" t="s">
        <v>120</v>
      </c>
      <c r="B2968" s="308">
        <v>46031</v>
      </c>
      <c r="C2968" s="644" t="s">
        <v>2629</v>
      </c>
      <c r="D2968" s="185">
        <f t="shared" si="1341"/>
        <v>2026</v>
      </c>
      <c r="E2968" s="519" t="e">
        <f>VLOOKUP($B2968,Week!$A$1:$C$1462,2,0)</f>
        <v>#N/A</v>
      </c>
      <c r="F2968" s="520" t="str">
        <f t="shared" si="1342"/>
        <v>Jan</v>
      </c>
      <c r="G2968" s="644" t="s">
        <v>47</v>
      </c>
      <c r="H2968" s="311" t="s">
        <v>518</v>
      </c>
      <c r="I2968" s="311" t="s">
        <v>2702</v>
      </c>
      <c r="J2968" s="312" t="s">
        <v>70</v>
      </c>
      <c r="K2968" s="313" t="s">
        <v>85</v>
      </c>
      <c r="L2968" s="390" t="s">
        <v>2166</v>
      </c>
      <c r="M2968" s="312" t="s">
        <v>515</v>
      </c>
      <c r="N2968" s="311" t="s">
        <v>588</v>
      </c>
      <c r="O2968" s="311" t="s">
        <v>546</v>
      </c>
      <c r="P2968" s="314">
        <v>12</v>
      </c>
      <c r="Q2968" s="314">
        <v>20</v>
      </c>
      <c r="R2968" s="315">
        <v>6.1999999999999998E-3</v>
      </c>
      <c r="S2968" s="311" t="s">
        <v>352</v>
      </c>
      <c r="T2968" s="311" t="s">
        <v>56</v>
      </c>
      <c r="U2968" s="311" t="s">
        <v>77</v>
      </c>
      <c r="V2968" s="316">
        <f>700</f>
        <v>700</v>
      </c>
      <c r="W2968" s="316">
        <f>700</f>
        <v>700</v>
      </c>
      <c r="X2968" s="317"/>
      <c r="Y2968" s="318">
        <f t="shared" si="1343"/>
        <v>0</v>
      </c>
      <c r="Z2968" s="319">
        <f t="shared" si="1344"/>
        <v>0</v>
      </c>
      <c r="AA2968" s="319">
        <f t="shared" si="1336"/>
        <v>0</v>
      </c>
      <c r="AB2968" s="815"/>
      <c r="AC2968" s="316">
        <f t="shared" si="1345"/>
        <v>0</v>
      </c>
      <c r="AD2968" s="209"/>
      <c r="AE2968" s="210">
        <f t="shared" si="1351"/>
        <v>0</v>
      </c>
      <c r="AF2968" s="210">
        <f t="shared" si="1352"/>
        <v>0</v>
      </c>
      <c r="AG2968" s="211">
        <f t="shared" si="1346"/>
        <v>0.22</v>
      </c>
      <c r="AH2968" s="157">
        <f t="shared" si="1347"/>
        <v>0</v>
      </c>
      <c r="AI2968" s="152">
        <f t="shared" si="1348"/>
        <v>8400</v>
      </c>
      <c r="AK2968" s="156" t="s">
        <v>691</v>
      </c>
      <c r="AL2968" s="156" t="s">
        <v>689</v>
      </c>
      <c r="AM2968" s="198">
        <f t="shared" si="1349"/>
        <v>0</v>
      </c>
      <c r="AN2968" s="199">
        <f t="shared" si="1350"/>
        <v>46031</v>
      </c>
      <c r="AO2968" s="159" t="s">
        <v>692</v>
      </c>
      <c r="AP2968" s="783" t="s">
        <v>613</v>
      </c>
      <c r="AQ2968" s="782"/>
      <c r="AR2968" s="782" t="s">
        <v>614</v>
      </c>
      <c r="AS2968" s="782"/>
      <c r="AT2968" s="782"/>
      <c r="AU2968" s="781"/>
      <c r="AV2968" s="782">
        <v>12083143</v>
      </c>
      <c r="AW2968" s="782"/>
      <c r="AX2968" s="782" t="s">
        <v>2187</v>
      </c>
      <c r="AY2968" s="782"/>
      <c r="AZ2968" s="782"/>
      <c r="BA2968" s="781"/>
      <c r="BB2968" s="209"/>
    </row>
    <row r="2969" spans="1:54" ht="25" customHeight="1">
      <c r="A2969" s="529" t="s">
        <v>255</v>
      </c>
      <c r="B2969" s="213">
        <v>46032</v>
      </c>
      <c r="C2969" s="214">
        <v>46036</v>
      </c>
      <c r="D2969" s="185">
        <f t="shared" si="1341"/>
        <v>2026</v>
      </c>
      <c r="E2969" s="215" t="e">
        <f>VLOOKUP($B2969,[1]Week!$A$1:$C$1462,2,0)</f>
        <v>#N/A</v>
      </c>
      <c r="F2969" s="216" t="str">
        <f t="shared" si="1342"/>
        <v>Jan</v>
      </c>
      <c r="G2969" s="215" t="s">
        <v>2648</v>
      </c>
      <c r="H2969" s="215" t="s">
        <v>134</v>
      </c>
      <c r="I2969" s="215" t="s">
        <v>2772</v>
      </c>
      <c r="J2969" s="209" t="s">
        <v>2932</v>
      </c>
      <c r="K2969" s="217" t="s">
        <v>1648</v>
      </c>
      <c r="L2969" s="300" t="s">
        <v>2167</v>
      </c>
      <c r="M2969" s="209" t="s">
        <v>193</v>
      </c>
      <c r="N2969" s="215" t="s">
        <v>205</v>
      </c>
      <c r="O2969" s="215" t="s">
        <v>206</v>
      </c>
      <c r="P2969" s="218">
        <v>24</v>
      </c>
      <c r="Q2969" s="218">
        <v>5</v>
      </c>
      <c r="R2969" s="219">
        <v>8.0000000000000002E-3</v>
      </c>
      <c r="S2969" s="215" t="s">
        <v>40</v>
      </c>
      <c r="T2969" s="215" t="s">
        <v>56</v>
      </c>
      <c r="U2969" s="480" t="s">
        <v>499</v>
      </c>
      <c r="V2969" s="220">
        <f>500</f>
        <v>500</v>
      </c>
      <c r="W2969" s="220"/>
      <c r="X2969" s="221">
        <f>500</f>
        <v>500</v>
      </c>
      <c r="Y2969" s="222">
        <f t="shared" si="1343"/>
        <v>0</v>
      </c>
      <c r="Z2969" s="223">
        <f t="shared" si="1344"/>
        <v>0</v>
      </c>
      <c r="AA2969" s="220">
        <f t="shared" si="1336"/>
        <v>0</v>
      </c>
      <c r="AB2969" s="807">
        <v>1</v>
      </c>
      <c r="AC2969" s="220">
        <f t="shared" si="1345"/>
        <v>0</v>
      </c>
      <c r="AD2969" s="381"/>
      <c r="AE2969" s="210">
        <f t="shared" si="1351"/>
        <v>0</v>
      </c>
      <c r="AF2969" s="210">
        <f t="shared" si="1352"/>
        <v>0</v>
      </c>
      <c r="AG2969" s="211">
        <f t="shared" si="1346"/>
        <v>0.115</v>
      </c>
      <c r="AH2969" s="157">
        <f t="shared" si="1347"/>
        <v>0</v>
      </c>
      <c r="AI2969" s="152">
        <f t="shared" si="1348"/>
        <v>12000</v>
      </c>
      <c r="AK2969" s="156" t="s">
        <v>691</v>
      </c>
      <c r="AL2969" s="212" t="s">
        <v>690</v>
      </c>
      <c r="AM2969" s="198">
        <f t="shared" si="1349"/>
        <v>0</v>
      </c>
      <c r="AN2969" s="199">
        <f t="shared" si="1350"/>
        <v>46032</v>
      </c>
      <c r="AO2969" s="159" t="s">
        <v>692</v>
      </c>
      <c r="AP2969" s="783" t="s">
        <v>610</v>
      </c>
      <c r="AQ2969" s="782">
        <v>12071839</v>
      </c>
      <c r="AR2969" s="782">
        <v>12047514</v>
      </c>
      <c r="AS2969" s="782">
        <v>12047515</v>
      </c>
      <c r="AT2969" s="782"/>
      <c r="AU2969" s="782">
        <v>12026902</v>
      </c>
      <c r="AV2969" s="782">
        <v>12054722</v>
      </c>
      <c r="AW2969" s="782">
        <v>12026904</v>
      </c>
      <c r="AX2969" s="782"/>
      <c r="AY2969" s="782">
        <v>12094111</v>
      </c>
      <c r="AZ2969" s="782">
        <v>12094113</v>
      </c>
      <c r="BA2969" s="782">
        <v>12094114</v>
      </c>
    </row>
    <row r="2970" spans="1:54" ht="25.15" customHeight="1">
      <c r="A2970" s="907" t="s">
        <v>255</v>
      </c>
      <c r="B2970" s="345">
        <v>46032</v>
      </c>
      <c r="C2970" s="346">
        <v>46035</v>
      </c>
      <c r="D2970" s="185">
        <f t="shared" si="1341"/>
        <v>2026</v>
      </c>
      <c r="E2970" s="347" t="e">
        <f>VLOOKUP($B2970,Week!$A$1:$C$1462,2,0)</f>
        <v>#N/A</v>
      </c>
      <c r="F2970" s="348" t="str">
        <f t="shared" si="1342"/>
        <v>Jan</v>
      </c>
      <c r="G2970" s="347" t="s">
        <v>2483</v>
      </c>
      <c r="H2970" s="347" t="s">
        <v>424</v>
      </c>
      <c r="I2970" s="347" t="s">
        <v>2772</v>
      </c>
      <c r="J2970" s="438" t="s">
        <v>425</v>
      </c>
      <c r="K2970" s="350" t="s">
        <v>176</v>
      </c>
      <c r="L2970" s="350" t="s">
        <v>2167</v>
      </c>
      <c r="M2970" s="349" t="s">
        <v>426</v>
      </c>
      <c r="N2970" s="347" t="s">
        <v>427</v>
      </c>
      <c r="O2970" s="347" t="s">
        <v>599</v>
      </c>
      <c r="P2970" s="351">
        <v>36</v>
      </c>
      <c r="Q2970" s="351">
        <v>5</v>
      </c>
      <c r="R2970" s="352">
        <v>7.4999999999999997E-3</v>
      </c>
      <c r="S2970" s="347" t="s">
        <v>111</v>
      </c>
      <c r="T2970" s="347" t="s">
        <v>112</v>
      </c>
      <c r="U2970" s="347" t="s">
        <v>57</v>
      </c>
      <c r="V2970" s="353">
        <v>1288</v>
      </c>
      <c r="W2970" s="353">
        <f>830</f>
        <v>830</v>
      </c>
      <c r="X2970" s="354">
        <v>458</v>
      </c>
      <c r="Y2970" s="355">
        <f t="shared" si="1343"/>
        <v>0</v>
      </c>
      <c r="Z2970" s="356">
        <f t="shared" si="1344"/>
        <v>0</v>
      </c>
      <c r="AA2970" s="353">
        <f t="shared" si="1336"/>
        <v>0</v>
      </c>
      <c r="AB2970" s="818">
        <v>7.4999999999999997E-3</v>
      </c>
      <c r="AC2970" s="353">
        <f t="shared" si="1345"/>
        <v>0</v>
      </c>
      <c r="AD2970" s="908" t="s">
        <v>2766</v>
      </c>
      <c r="AE2970" s="210">
        <f t="shared" si="1351"/>
        <v>0</v>
      </c>
      <c r="AF2970" s="210">
        <f t="shared" si="1352"/>
        <v>0</v>
      </c>
      <c r="AG2970" s="211">
        <f t="shared" si="1346"/>
        <v>0.14799999999999999</v>
      </c>
      <c r="AH2970" s="157">
        <f t="shared" si="1347"/>
        <v>0</v>
      </c>
      <c r="AI2970" s="152">
        <f t="shared" si="1348"/>
        <v>46368</v>
      </c>
      <c r="AK2970" s="156" t="s">
        <v>691</v>
      </c>
      <c r="AL2970" s="574" t="s">
        <v>690</v>
      </c>
      <c r="AM2970" s="198">
        <f t="shared" si="1349"/>
        <v>0</v>
      </c>
      <c r="AN2970" s="199">
        <f t="shared" si="1350"/>
        <v>46032</v>
      </c>
      <c r="AO2970" s="159" t="s">
        <v>692</v>
      </c>
      <c r="AP2970" s="783" t="s">
        <v>609</v>
      </c>
      <c r="AQ2970" s="782">
        <v>12071839</v>
      </c>
      <c r="AR2970" s="782">
        <v>12080260</v>
      </c>
      <c r="AS2970" s="782">
        <v>12080259</v>
      </c>
      <c r="AT2970" s="782">
        <v>12096006</v>
      </c>
      <c r="AU2970" s="782"/>
      <c r="AV2970" s="782">
        <v>12096007</v>
      </c>
      <c r="AW2970" s="782">
        <v>12024404</v>
      </c>
      <c r="AX2970" s="781"/>
      <c r="AY2970" s="782">
        <v>12096022</v>
      </c>
      <c r="AZ2970" s="782"/>
      <c r="BA2970" s="781"/>
      <c r="BB2970" s="209">
        <v>23053185</v>
      </c>
    </row>
    <row r="2971" spans="1:54" ht="25.15" customHeight="1">
      <c r="A2971" s="907" t="s">
        <v>255</v>
      </c>
      <c r="B2971" s="345">
        <v>46032</v>
      </c>
      <c r="C2971" s="346">
        <v>46035</v>
      </c>
      <c r="D2971" s="185">
        <f t="shared" si="1341"/>
        <v>2026</v>
      </c>
      <c r="E2971" s="347" t="e">
        <f>VLOOKUP($B2971,Week!$A$1:$C$1462,2,0)</f>
        <v>#N/A</v>
      </c>
      <c r="F2971" s="348" t="str">
        <f t="shared" si="1342"/>
        <v>Jan</v>
      </c>
      <c r="G2971" s="347" t="s">
        <v>2561</v>
      </c>
      <c r="H2971" s="347" t="s">
        <v>424</v>
      </c>
      <c r="I2971" s="347" t="s">
        <v>2772</v>
      </c>
      <c r="J2971" s="438" t="s">
        <v>425</v>
      </c>
      <c r="K2971" s="350" t="s">
        <v>176</v>
      </c>
      <c r="L2971" s="350" t="s">
        <v>2167</v>
      </c>
      <c r="M2971" s="349" t="s">
        <v>426</v>
      </c>
      <c r="N2971" s="347" t="s">
        <v>427</v>
      </c>
      <c r="O2971" s="347" t="s">
        <v>599</v>
      </c>
      <c r="P2971" s="351">
        <v>36</v>
      </c>
      <c r="Q2971" s="351">
        <v>5</v>
      </c>
      <c r="R2971" s="352">
        <v>7.4999999999999997E-3</v>
      </c>
      <c r="S2971" s="347" t="s">
        <v>111</v>
      </c>
      <c r="T2971" s="347" t="s">
        <v>112</v>
      </c>
      <c r="U2971" s="347" t="s">
        <v>57</v>
      </c>
      <c r="V2971" s="353">
        <v>749</v>
      </c>
      <c r="W2971" s="353"/>
      <c r="X2971" s="354">
        <v>749</v>
      </c>
      <c r="Y2971" s="355">
        <f t="shared" si="1343"/>
        <v>0</v>
      </c>
      <c r="Z2971" s="356">
        <f t="shared" si="1344"/>
        <v>0</v>
      </c>
      <c r="AA2971" s="353">
        <f t="shared" si="1336"/>
        <v>0</v>
      </c>
      <c r="AB2971" s="818">
        <v>7.4999999999999997E-3</v>
      </c>
      <c r="AC2971" s="353">
        <f t="shared" si="1345"/>
        <v>0</v>
      </c>
      <c r="AD2971" s="908" t="s">
        <v>2766</v>
      </c>
      <c r="AE2971" s="210">
        <f t="shared" si="1351"/>
        <v>0</v>
      </c>
      <c r="AF2971" s="210">
        <f t="shared" si="1352"/>
        <v>0</v>
      </c>
      <c r="AG2971" s="211">
        <f t="shared" si="1346"/>
        <v>0.14799999999999999</v>
      </c>
      <c r="AH2971" s="157">
        <f t="shared" si="1347"/>
        <v>0</v>
      </c>
      <c r="AI2971" s="152">
        <f t="shared" si="1348"/>
        <v>26964</v>
      </c>
      <c r="AK2971" s="156" t="s">
        <v>691</v>
      </c>
      <c r="AL2971" s="574" t="s">
        <v>690</v>
      </c>
      <c r="AM2971" s="198">
        <f t="shared" si="1349"/>
        <v>0</v>
      </c>
      <c r="AN2971" s="199">
        <f t="shared" si="1350"/>
        <v>46032</v>
      </c>
      <c r="AO2971" s="159" t="s">
        <v>692</v>
      </c>
      <c r="AP2971" s="783" t="s">
        <v>609</v>
      </c>
      <c r="AQ2971" s="782">
        <v>12071839</v>
      </c>
      <c r="AR2971" s="782">
        <v>12080260</v>
      </c>
      <c r="AS2971" s="782">
        <v>12080259</v>
      </c>
      <c r="AT2971" s="782">
        <v>12096006</v>
      </c>
      <c r="AU2971" s="782"/>
      <c r="AV2971" s="782">
        <v>12096007</v>
      </c>
      <c r="AW2971" s="782">
        <v>12024404</v>
      </c>
      <c r="AX2971" s="781"/>
      <c r="AY2971" s="782">
        <v>12096022</v>
      </c>
      <c r="AZ2971" s="782"/>
      <c r="BA2971" s="781"/>
      <c r="BB2971" s="209">
        <v>23053185</v>
      </c>
    </row>
    <row r="2972" spans="1:54" ht="25.15" customHeight="1">
      <c r="A2972" s="907" t="s">
        <v>255</v>
      </c>
      <c r="B2972" s="345">
        <v>46033</v>
      </c>
      <c r="C2972" s="346">
        <v>46035</v>
      </c>
      <c r="D2972" s="185">
        <f t="shared" si="1341"/>
        <v>2026</v>
      </c>
      <c r="E2972" s="347" t="e">
        <f>VLOOKUP($B2972,Week!$A$1:$C$1462,2,0)</f>
        <v>#N/A</v>
      </c>
      <c r="F2972" s="348" t="str">
        <f t="shared" si="1342"/>
        <v>Jan</v>
      </c>
      <c r="G2972" s="347" t="s">
        <v>2561</v>
      </c>
      <c r="H2972" s="347" t="s">
        <v>424</v>
      </c>
      <c r="I2972" s="347" t="s">
        <v>2772</v>
      </c>
      <c r="J2972" s="438" t="s">
        <v>425</v>
      </c>
      <c r="K2972" s="350" t="s">
        <v>176</v>
      </c>
      <c r="L2972" s="350" t="s">
        <v>2167</v>
      </c>
      <c r="M2972" s="349" t="s">
        <v>426</v>
      </c>
      <c r="N2972" s="347" t="s">
        <v>427</v>
      </c>
      <c r="O2972" s="347" t="s">
        <v>599</v>
      </c>
      <c r="P2972" s="351">
        <v>36</v>
      </c>
      <c r="Q2972" s="351">
        <v>5</v>
      </c>
      <c r="R2972" s="352">
        <v>7.4999999999999997E-3</v>
      </c>
      <c r="S2972" s="347" t="s">
        <v>111</v>
      </c>
      <c r="T2972" s="347" t="s">
        <v>112</v>
      </c>
      <c r="U2972" s="347" t="s">
        <v>57</v>
      </c>
      <c r="V2972" s="353">
        <f>1288-749</f>
        <v>539</v>
      </c>
      <c r="W2972" s="353">
        <f>500</f>
        <v>500</v>
      </c>
      <c r="X2972" s="354">
        <v>39</v>
      </c>
      <c r="Y2972" s="355">
        <f t="shared" si="1343"/>
        <v>0</v>
      </c>
      <c r="Z2972" s="356">
        <f t="shared" si="1344"/>
        <v>0</v>
      </c>
      <c r="AA2972" s="353">
        <f t="shared" si="1336"/>
        <v>0</v>
      </c>
      <c r="AB2972" s="818">
        <v>7.4999999999999997E-3</v>
      </c>
      <c r="AC2972" s="353">
        <f t="shared" si="1345"/>
        <v>0</v>
      </c>
      <c r="AD2972" s="908" t="s">
        <v>2766</v>
      </c>
      <c r="AE2972" s="210">
        <f t="shared" si="1351"/>
        <v>0</v>
      </c>
      <c r="AF2972" s="210">
        <f t="shared" si="1352"/>
        <v>0</v>
      </c>
      <c r="AG2972" s="211">
        <f t="shared" si="1346"/>
        <v>0.14799999999999999</v>
      </c>
      <c r="AH2972" s="157">
        <f t="shared" si="1347"/>
        <v>0</v>
      </c>
      <c r="AI2972" s="152">
        <f t="shared" si="1348"/>
        <v>19404</v>
      </c>
      <c r="AK2972" s="156" t="s">
        <v>691</v>
      </c>
      <c r="AL2972" s="574" t="s">
        <v>690</v>
      </c>
      <c r="AM2972" s="198">
        <f t="shared" si="1349"/>
        <v>0</v>
      </c>
      <c r="AN2972" s="199">
        <f t="shared" si="1350"/>
        <v>46033</v>
      </c>
      <c r="AO2972" s="159" t="s">
        <v>692</v>
      </c>
      <c r="AP2972" s="783" t="s">
        <v>609</v>
      </c>
      <c r="AQ2972" s="782">
        <v>12071839</v>
      </c>
      <c r="AR2972" s="782">
        <v>12080260</v>
      </c>
      <c r="AS2972" s="782">
        <v>12080259</v>
      </c>
      <c r="AT2972" s="782">
        <v>12096006</v>
      </c>
      <c r="AU2972" s="782"/>
      <c r="AV2972" s="782">
        <v>12096007</v>
      </c>
      <c r="AW2972" s="782">
        <v>12024404</v>
      </c>
      <c r="AX2972" s="781"/>
      <c r="AY2972" s="782">
        <v>12096022</v>
      </c>
      <c r="AZ2972" s="782"/>
      <c r="BA2972" s="781"/>
      <c r="BB2972" s="209">
        <v>23053185</v>
      </c>
    </row>
    <row r="2973" spans="1:54" ht="25.15" customHeight="1">
      <c r="A2973" s="907" t="s">
        <v>255</v>
      </c>
      <c r="B2973" s="345">
        <v>46033</v>
      </c>
      <c r="C2973" s="346">
        <v>46035</v>
      </c>
      <c r="D2973" s="185">
        <f t="shared" si="1341"/>
        <v>2026</v>
      </c>
      <c r="E2973" s="347" t="e">
        <f>VLOOKUP($B2973,Week!$A$1:$C$1462,2,0)</f>
        <v>#N/A</v>
      </c>
      <c r="F2973" s="348" t="str">
        <f t="shared" si="1342"/>
        <v>Jan</v>
      </c>
      <c r="G2973" s="347" t="s">
        <v>2562</v>
      </c>
      <c r="H2973" s="347" t="s">
        <v>424</v>
      </c>
      <c r="I2973" s="347" t="s">
        <v>2772</v>
      </c>
      <c r="J2973" s="438" t="s">
        <v>425</v>
      </c>
      <c r="K2973" s="350" t="s">
        <v>176</v>
      </c>
      <c r="L2973" s="350" t="s">
        <v>2167</v>
      </c>
      <c r="M2973" s="349" t="s">
        <v>426</v>
      </c>
      <c r="N2973" s="347" t="s">
        <v>427</v>
      </c>
      <c r="O2973" s="347" t="s">
        <v>599</v>
      </c>
      <c r="P2973" s="351">
        <v>36</v>
      </c>
      <c r="Q2973" s="351">
        <v>5</v>
      </c>
      <c r="R2973" s="352">
        <v>7.4999999999999997E-3</v>
      </c>
      <c r="S2973" s="347" t="s">
        <v>111</v>
      </c>
      <c r="T2973" s="347" t="s">
        <v>112</v>
      </c>
      <c r="U2973" s="347" t="s">
        <v>57</v>
      </c>
      <c r="V2973" s="353">
        <v>1288</v>
      </c>
      <c r="W2973" s="353">
        <f>1288</f>
        <v>1288</v>
      </c>
      <c r="X2973" s="354"/>
      <c r="Y2973" s="355">
        <f t="shared" si="1343"/>
        <v>0</v>
      </c>
      <c r="Z2973" s="356">
        <f t="shared" si="1344"/>
        <v>0</v>
      </c>
      <c r="AA2973" s="353">
        <f t="shared" si="1336"/>
        <v>0</v>
      </c>
      <c r="AB2973" s="818">
        <v>7.4999999999999997E-3</v>
      </c>
      <c r="AC2973" s="353">
        <f t="shared" si="1345"/>
        <v>0</v>
      </c>
      <c r="AD2973" s="908" t="s">
        <v>2786</v>
      </c>
      <c r="AE2973" s="210">
        <f t="shared" si="1351"/>
        <v>0</v>
      </c>
      <c r="AF2973" s="210">
        <f t="shared" si="1352"/>
        <v>0</v>
      </c>
      <c r="AG2973" s="211">
        <f t="shared" si="1346"/>
        <v>0.14799999999999999</v>
      </c>
      <c r="AH2973" s="157">
        <f t="shared" si="1347"/>
        <v>0</v>
      </c>
      <c r="AI2973" s="152">
        <f t="shared" si="1348"/>
        <v>46368</v>
      </c>
      <c r="AK2973" s="156" t="s">
        <v>691</v>
      </c>
      <c r="AL2973" s="574" t="s">
        <v>690</v>
      </c>
      <c r="AM2973" s="198">
        <f t="shared" si="1349"/>
        <v>0</v>
      </c>
      <c r="AN2973" s="199">
        <f t="shared" si="1350"/>
        <v>46033</v>
      </c>
      <c r="AO2973" s="159" t="s">
        <v>692</v>
      </c>
      <c r="AP2973" s="783" t="s">
        <v>609</v>
      </c>
      <c r="AQ2973" s="782">
        <v>12071839</v>
      </c>
      <c r="AR2973" s="782">
        <v>12080260</v>
      </c>
      <c r="AS2973" s="782">
        <v>12080259</v>
      </c>
      <c r="AT2973" s="782">
        <v>12096006</v>
      </c>
      <c r="AU2973" s="782"/>
      <c r="AV2973" s="782">
        <v>12096007</v>
      </c>
      <c r="AW2973" s="782">
        <v>12024404</v>
      </c>
      <c r="AX2973" s="781"/>
      <c r="AY2973" s="782">
        <v>12096022</v>
      </c>
      <c r="AZ2973" s="782"/>
      <c r="BA2973" s="781"/>
      <c r="BB2973" s="209">
        <v>23053185</v>
      </c>
    </row>
    <row r="2974" spans="1:54" ht="25.15" customHeight="1">
      <c r="A2974" s="907" t="s">
        <v>255</v>
      </c>
      <c r="B2974" s="345">
        <v>46033</v>
      </c>
      <c r="C2974" s="346">
        <v>46035</v>
      </c>
      <c r="D2974" s="185">
        <f t="shared" si="1341"/>
        <v>2026</v>
      </c>
      <c r="E2974" s="347" t="e">
        <f>VLOOKUP($B2974,Week!$A$1:$C$1462,2,0)</f>
        <v>#N/A</v>
      </c>
      <c r="F2974" s="348" t="str">
        <f t="shared" si="1342"/>
        <v>Jan</v>
      </c>
      <c r="G2974" s="347" t="s">
        <v>2563</v>
      </c>
      <c r="H2974" s="347" t="s">
        <v>424</v>
      </c>
      <c r="I2974" s="347" t="s">
        <v>2772</v>
      </c>
      <c r="J2974" s="438" t="s">
        <v>425</v>
      </c>
      <c r="K2974" s="350" t="s">
        <v>176</v>
      </c>
      <c r="L2974" s="350" t="s">
        <v>2167</v>
      </c>
      <c r="M2974" s="349" t="s">
        <v>426</v>
      </c>
      <c r="N2974" s="347" t="s">
        <v>427</v>
      </c>
      <c r="O2974" s="347" t="s">
        <v>599</v>
      </c>
      <c r="P2974" s="351">
        <v>36</v>
      </c>
      <c r="Q2974" s="351">
        <v>5</v>
      </c>
      <c r="R2974" s="352">
        <v>7.4999999999999997E-3</v>
      </c>
      <c r="S2974" s="347" t="s">
        <v>111</v>
      </c>
      <c r="T2974" s="347" t="s">
        <v>112</v>
      </c>
      <c r="U2974" s="347" t="s">
        <v>57</v>
      </c>
      <c r="V2974" s="353">
        <v>297</v>
      </c>
      <c r="W2974" s="353">
        <f>1585-1288</f>
        <v>297</v>
      </c>
      <c r="X2974" s="354"/>
      <c r="Y2974" s="355">
        <f t="shared" si="1343"/>
        <v>0</v>
      </c>
      <c r="Z2974" s="356">
        <f t="shared" si="1344"/>
        <v>0</v>
      </c>
      <c r="AA2974" s="353">
        <f t="shared" si="1336"/>
        <v>0</v>
      </c>
      <c r="AB2974" s="818">
        <v>7.4999999999999997E-3</v>
      </c>
      <c r="AC2974" s="353">
        <f t="shared" si="1345"/>
        <v>0</v>
      </c>
      <c r="AD2974" s="908" t="s">
        <v>2786</v>
      </c>
      <c r="AE2974" s="210">
        <f t="shared" si="1351"/>
        <v>0</v>
      </c>
      <c r="AF2974" s="210">
        <f t="shared" si="1352"/>
        <v>0</v>
      </c>
      <c r="AG2974" s="211">
        <f t="shared" si="1346"/>
        <v>0.14799999999999999</v>
      </c>
      <c r="AH2974" s="157">
        <f t="shared" si="1347"/>
        <v>0</v>
      </c>
      <c r="AI2974" s="152">
        <f t="shared" si="1348"/>
        <v>10692</v>
      </c>
      <c r="AK2974" s="156" t="s">
        <v>691</v>
      </c>
      <c r="AL2974" s="574" t="s">
        <v>690</v>
      </c>
      <c r="AM2974" s="198">
        <f t="shared" si="1349"/>
        <v>0</v>
      </c>
      <c r="AN2974" s="199">
        <f t="shared" si="1350"/>
        <v>46033</v>
      </c>
      <c r="AO2974" s="159" t="s">
        <v>692</v>
      </c>
      <c r="AP2974" s="783" t="s">
        <v>609</v>
      </c>
      <c r="AQ2974" s="782">
        <v>12071839</v>
      </c>
      <c r="AR2974" s="782">
        <v>12080260</v>
      </c>
      <c r="AS2974" s="782">
        <v>12080259</v>
      </c>
      <c r="AT2974" s="782">
        <v>12096006</v>
      </c>
      <c r="AU2974" s="782"/>
      <c r="AV2974" s="782">
        <v>12096007</v>
      </c>
      <c r="AW2974" s="782">
        <v>12024404</v>
      </c>
      <c r="AX2974" s="781"/>
      <c r="AY2974" s="782">
        <v>12096022</v>
      </c>
      <c r="AZ2974" s="782"/>
      <c r="BA2974" s="781"/>
      <c r="BB2974" s="209">
        <v>23053185</v>
      </c>
    </row>
    <row r="2975" spans="1:54" ht="24.65" customHeight="1">
      <c r="A2975" s="630" t="s">
        <v>120</v>
      </c>
      <c r="B2975" s="466">
        <v>46034</v>
      </c>
      <c r="C2975" s="466">
        <v>46042</v>
      </c>
      <c r="D2975" s="185">
        <f t="shared" si="1341"/>
        <v>2026</v>
      </c>
      <c r="E2975" s="468" t="e">
        <f>VLOOKUP($B2975,Week!$A$1:$C$1462,2,0)</f>
        <v>#N/A</v>
      </c>
      <c r="F2975" s="469" t="str">
        <f t="shared" si="1342"/>
        <v>Jan</v>
      </c>
      <c r="G2975" s="470" t="s">
        <v>2699</v>
      </c>
      <c r="H2975" s="468" t="s">
        <v>82</v>
      </c>
      <c r="I2975" s="468" t="s">
        <v>82</v>
      </c>
      <c r="J2975" s="471" t="s">
        <v>720</v>
      </c>
      <c r="K2975" s="472" t="s">
        <v>85</v>
      </c>
      <c r="L2975" s="390" t="s">
        <v>2166</v>
      </c>
      <c r="M2975" s="471" t="s">
        <v>579</v>
      </c>
      <c r="N2975" s="468" t="s">
        <v>580</v>
      </c>
      <c r="O2975" s="468" t="s">
        <v>581</v>
      </c>
      <c r="P2975" s="473">
        <v>8</v>
      </c>
      <c r="Q2975" s="473">
        <v>60</v>
      </c>
      <c r="R2975" s="474">
        <v>6.8100000000000001E-3</v>
      </c>
      <c r="S2975" s="468" t="s">
        <v>76</v>
      </c>
      <c r="T2975" s="468" t="s">
        <v>56</v>
      </c>
      <c r="U2975" s="468" t="s">
        <v>89</v>
      </c>
      <c r="V2975" s="475">
        <v>791</v>
      </c>
      <c r="W2975" s="475">
        <f>54+737</f>
        <v>791</v>
      </c>
      <c r="X2975" s="476"/>
      <c r="Y2975" s="477">
        <f t="shared" si="1343"/>
        <v>0</v>
      </c>
      <c r="Z2975" s="478">
        <f t="shared" si="1344"/>
        <v>0</v>
      </c>
      <c r="AA2975" s="478">
        <f t="shared" si="1336"/>
        <v>0</v>
      </c>
      <c r="AB2975" s="828">
        <v>6</v>
      </c>
      <c r="AC2975" s="475">
        <f t="shared" si="1345"/>
        <v>0</v>
      </c>
      <c r="AD2975" s="209"/>
      <c r="AE2975" s="210">
        <f t="shared" si="1351"/>
        <v>0</v>
      </c>
      <c r="AF2975" s="210">
        <f t="shared" si="1352"/>
        <v>0</v>
      </c>
      <c r="AG2975" s="211">
        <f t="shared" si="1346"/>
        <v>0.75</v>
      </c>
      <c r="AH2975" s="157">
        <f t="shared" si="1347"/>
        <v>0</v>
      </c>
      <c r="AI2975" s="152">
        <f t="shared" si="1348"/>
        <v>6328</v>
      </c>
      <c r="AK2975" s="156" t="s">
        <v>691</v>
      </c>
      <c r="AL2975" s="156" t="s">
        <v>689</v>
      </c>
      <c r="AM2975" s="198">
        <f t="shared" si="1349"/>
        <v>0</v>
      </c>
      <c r="AN2975" s="199">
        <f t="shared" si="1350"/>
        <v>46034</v>
      </c>
      <c r="AO2975" s="159" t="s">
        <v>692</v>
      </c>
      <c r="AP2975" s="783" t="s">
        <v>622</v>
      </c>
      <c r="AQ2975" s="782">
        <v>12088677</v>
      </c>
      <c r="AR2975" s="782" t="s">
        <v>2142</v>
      </c>
      <c r="AS2975" s="782"/>
      <c r="AT2975" s="782">
        <v>12082897</v>
      </c>
      <c r="AU2975" s="781"/>
      <c r="AV2975" s="782">
        <v>12082898</v>
      </c>
      <c r="AW2975" s="782">
        <v>12082899</v>
      </c>
      <c r="AX2975" s="796" t="s">
        <v>621</v>
      </c>
      <c r="AY2975" s="782"/>
      <c r="AZ2975" s="782"/>
      <c r="BA2975" s="781"/>
      <c r="BB2975" s="209">
        <v>23053184</v>
      </c>
    </row>
    <row r="2976" spans="1:54" ht="25.15" customHeight="1">
      <c r="A2976" s="907" t="s">
        <v>255</v>
      </c>
      <c r="B2976" s="345">
        <v>46034</v>
      </c>
      <c r="C2976" s="346">
        <v>46035</v>
      </c>
      <c r="D2976" s="185">
        <f t="shared" si="1341"/>
        <v>2026</v>
      </c>
      <c r="E2976" s="347" t="e">
        <f>VLOOKUP($B2976,Week!$A$1:$C$1462,2,0)</f>
        <v>#N/A</v>
      </c>
      <c r="F2976" s="348" t="str">
        <f t="shared" si="1342"/>
        <v>Jan</v>
      </c>
      <c r="G2976" s="347" t="s">
        <v>2563</v>
      </c>
      <c r="H2976" s="347" t="s">
        <v>424</v>
      </c>
      <c r="I2976" s="347" t="s">
        <v>2772</v>
      </c>
      <c r="J2976" s="438" t="s">
        <v>425</v>
      </c>
      <c r="K2976" s="350" t="s">
        <v>176</v>
      </c>
      <c r="L2976" s="350" t="s">
        <v>2167</v>
      </c>
      <c r="M2976" s="349" t="s">
        <v>426</v>
      </c>
      <c r="N2976" s="347" t="s">
        <v>427</v>
      </c>
      <c r="O2976" s="347" t="s">
        <v>599</v>
      </c>
      <c r="P2976" s="351">
        <v>36</v>
      </c>
      <c r="Q2976" s="351">
        <v>5</v>
      </c>
      <c r="R2976" s="352">
        <v>7.4999999999999997E-3</v>
      </c>
      <c r="S2976" s="347" t="s">
        <v>111</v>
      </c>
      <c r="T2976" s="347" t="s">
        <v>112</v>
      </c>
      <c r="U2976" s="347" t="s">
        <v>57</v>
      </c>
      <c r="V2976" s="353">
        <f>1288-297</f>
        <v>991</v>
      </c>
      <c r="W2976" s="353">
        <v>991</v>
      </c>
      <c r="X2976" s="354"/>
      <c r="Y2976" s="355">
        <f t="shared" si="1343"/>
        <v>0</v>
      </c>
      <c r="Z2976" s="356">
        <f t="shared" si="1344"/>
        <v>0</v>
      </c>
      <c r="AA2976" s="353">
        <f t="shared" si="1336"/>
        <v>0</v>
      </c>
      <c r="AB2976" s="818">
        <v>7.4999999999999997E-3</v>
      </c>
      <c r="AC2976" s="353">
        <f t="shared" si="1345"/>
        <v>0</v>
      </c>
      <c r="AD2976" s="908" t="s">
        <v>2786</v>
      </c>
      <c r="AE2976" s="210">
        <f t="shared" si="1351"/>
        <v>0</v>
      </c>
      <c r="AF2976" s="210">
        <f t="shared" ref="AF2976:AF2982" si="1353">AE2976/0.54</f>
        <v>0</v>
      </c>
      <c r="AG2976" s="211">
        <f t="shared" si="1346"/>
        <v>0.14799999999999999</v>
      </c>
      <c r="AH2976" s="157">
        <f t="shared" si="1347"/>
        <v>0</v>
      </c>
      <c r="AI2976" s="152">
        <f t="shared" si="1348"/>
        <v>35676</v>
      </c>
      <c r="AK2976" s="156" t="s">
        <v>691</v>
      </c>
      <c r="AL2976" s="574" t="s">
        <v>690</v>
      </c>
      <c r="AM2976" s="198">
        <f t="shared" si="1349"/>
        <v>0</v>
      </c>
      <c r="AN2976" s="199">
        <f t="shared" si="1350"/>
        <v>46034</v>
      </c>
      <c r="AO2976" s="159" t="s">
        <v>692</v>
      </c>
      <c r="AP2976" s="783" t="s">
        <v>609</v>
      </c>
      <c r="AQ2976" s="782">
        <v>12071839</v>
      </c>
      <c r="AR2976" s="782">
        <v>12080260</v>
      </c>
      <c r="AS2976" s="782">
        <v>12080259</v>
      </c>
      <c r="AT2976" s="782">
        <v>12096006</v>
      </c>
      <c r="AU2976" s="782"/>
      <c r="AV2976" s="782">
        <v>12096007</v>
      </c>
      <c r="AW2976" s="782">
        <v>12024404</v>
      </c>
      <c r="AX2976" s="781"/>
      <c r="AY2976" s="782">
        <v>12096022</v>
      </c>
      <c r="AZ2976" s="782"/>
      <c r="BA2976" s="781"/>
      <c r="BB2976" s="209">
        <v>23053185</v>
      </c>
    </row>
    <row r="2977" spans="1:54" ht="25.15" customHeight="1">
      <c r="A2977" s="906" t="s">
        <v>255</v>
      </c>
      <c r="B2977" s="345">
        <v>46034</v>
      </c>
      <c r="C2977" s="346">
        <v>46035</v>
      </c>
      <c r="D2977" s="185">
        <f t="shared" si="1341"/>
        <v>2026</v>
      </c>
      <c r="E2977" s="347" t="e">
        <f>VLOOKUP($B2977,Week!$A$1:$C$1462,2,0)</f>
        <v>#N/A</v>
      </c>
      <c r="F2977" s="348" t="str">
        <f t="shared" si="1342"/>
        <v>Jan</v>
      </c>
      <c r="G2977" s="347" t="s">
        <v>2483</v>
      </c>
      <c r="H2977" s="347" t="s">
        <v>424</v>
      </c>
      <c r="I2977" s="347" t="s">
        <v>2772</v>
      </c>
      <c r="J2977" s="438" t="s">
        <v>425</v>
      </c>
      <c r="K2977" s="350" t="s">
        <v>176</v>
      </c>
      <c r="L2977" s="350" t="s">
        <v>2167</v>
      </c>
      <c r="M2977" s="349" t="s">
        <v>426</v>
      </c>
      <c r="N2977" s="347" t="s">
        <v>427</v>
      </c>
      <c r="O2977" s="347" t="s">
        <v>599</v>
      </c>
      <c r="P2977" s="351">
        <v>36</v>
      </c>
      <c r="Q2977" s="351">
        <v>5</v>
      </c>
      <c r="R2977" s="352">
        <v>7.4999999999999997E-3</v>
      </c>
      <c r="S2977" s="347" t="s">
        <v>111</v>
      </c>
      <c r="T2977" s="347" t="s">
        <v>112</v>
      </c>
      <c r="U2977" s="347" t="s">
        <v>57</v>
      </c>
      <c r="V2977" s="353">
        <f>87</f>
        <v>87</v>
      </c>
      <c r="W2977" s="353">
        <v>87</v>
      </c>
      <c r="X2977" s="354"/>
      <c r="Y2977" s="355">
        <f t="shared" si="1343"/>
        <v>0</v>
      </c>
      <c r="Z2977" s="356">
        <f t="shared" si="1344"/>
        <v>0</v>
      </c>
      <c r="AA2977" s="353">
        <f t="shared" si="1336"/>
        <v>0</v>
      </c>
      <c r="AB2977" s="818">
        <v>7.4999999999999997E-3</v>
      </c>
      <c r="AC2977" s="353">
        <f t="shared" si="1345"/>
        <v>0</v>
      </c>
      <c r="AD2977" s="908" t="s">
        <v>2766</v>
      </c>
      <c r="AE2977" s="210">
        <f t="shared" si="1351"/>
        <v>0</v>
      </c>
      <c r="AF2977" s="210">
        <f t="shared" si="1353"/>
        <v>0</v>
      </c>
      <c r="AG2977" s="211">
        <f t="shared" si="1346"/>
        <v>0.14799999999999999</v>
      </c>
      <c r="AH2977" s="157">
        <f t="shared" si="1347"/>
        <v>0</v>
      </c>
      <c r="AI2977" s="152">
        <f t="shared" si="1348"/>
        <v>3132</v>
      </c>
      <c r="AK2977" s="156" t="s">
        <v>691</v>
      </c>
      <c r="AL2977" s="574" t="s">
        <v>690</v>
      </c>
      <c r="AM2977" s="198">
        <f t="shared" si="1349"/>
        <v>0</v>
      </c>
      <c r="AN2977" s="199">
        <f t="shared" si="1350"/>
        <v>46034</v>
      </c>
      <c r="AO2977" s="159" t="s">
        <v>692</v>
      </c>
      <c r="AP2977" s="783" t="s">
        <v>609</v>
      </c>
      <c r="AQ2977" s="782">
        <v>12071839</v>
      </c>
      <c r="AR2977" s="782">
        <v>12080260</v>
      </c>
      <c r="AS2977" s="782">
        <v>12080259</v>
      </c>
      <c r="AT2977" s="782">
        <v>12096006</v>
      </c>
      <c r="AU2977" s="782"/>
      <c r="AV2977" s="782">
        <v>12096007</v>
      </c>
      <c r="AW2977" s="782">
        <v>12024404</v>
      </c>
      <c r="AX2977" s="781"/>
      <c r="AY2977" s="782">
        <v>12096022</v>
      </c>
      <c r="AZ2977" s="782"/>
      <c r="BA2977" s="781"/>
      <c r="BB2977" s="209">
        <v>23053185</v>
      </c>
    </row>
    <row r="2978" spans="1:54" ht="24.75" customHeight="1">
      <c r="A2978" s="529" t="s">
        <v>255</v>
      </c>
      <c r="B2978" s="295">
        <v>46034</v>
      </c>
      <c r="C2978" s="771" t="s">
        <v>2629</v>
      </c>
      <c r="D2978" s="185">
        <f t="shared" si="1341"/>
        <v>2026</v>
      </c>
      <c r="E2978" s="296" t="e">
        <f>VLOOKUP($B2978,Week!$A$1:$C$1462,2,0)</f>
        <v>#N/A</v>
      </c>
      <c r="F2978" s="297" t="str">
        <f t="shared" si="1342"/>
        <v>Jan</v>
      </c>
      <c r="G2978" s="648" t="s">
        <v>47</v>
      </c>
      <c r="H2978" s="298" t="s">
        <v>260</v>
      </c>
      <c r="I2978" s="298" t="s">
        <v>2702</v>
      </c>
      <c r="J2978" s="307" t="s">
        <v>649</v>
      </c>
      <c r="K2978" s="300" t="s">
        <v>176</v>
      </c>
      <c r="L2978" s="300" t="s">
        <v>2167</v>
      </c>
      <c r="M2978" s="299" t="s">
        <v>2338</v>
      </c>
      <c r="N2978" s="298" t="s">
        <v>350</v>
      </c>
      <c r="O2978" s="298" t="s">
        <v>351</v>
      </c>
      <c r="P2978" s="301">
        <v>24</v>
      </c>
      <c r="Q2978" s="301">
        <v>5</v>
      </c>
      <c r="R2978" s="302">
        <v>6.1999999999999998E-3</v>
      </c>
      <c r="S2978" s="298" t="s">
        <v>352</v>
      </c>
      <c r="T2978" s="298" t="s">
        <v>56</v>
      </c>
      <c r="U2978" s="298" t="s">
        <v>57</v>
      </c>
      <c r="V2978" s="303">
        <v>988</v>
      </c>
      <c r="W2978" s="303">
        <v>877</v>
      </c>
      <c r="X2978" s="304">
        <f>111</f>
        <v>111</v>
      </c>
      <c r="Y2978" s="305">
        <f t="shared" si="1343"/>
        <v>0</v>
      </c>
      <c r="Z2978" s="306">
        <f t="shared" si="1344"/>
        <v>0</v>
      </c>
      <c r="AA2978" s="306">
        <f t="shared" si="1336"/>
        <v>0</v>
      </c>
      <c r="AB2978" s="814">
        <v>7.4999999999999997E-3</v>
      </c>
      <c r="AC2978" s="303">
        <f t="shared" si="1345"/>
        <v>0</v>
      </c>
      <c r="AD2978" s="443" t="s">
        <v>2762</v>
      </c>
      <c r="AE2978" s="210">
        <f t="shared" si="1351"/>
        <v>0</v>
      </c>
      <c r="AF2978" s="210">
        <f t="shared" si="1353"/>
        <v>0</v>
      </c>
      <c r="AG2978" s="211">
        <f t="shared" si="1346"/>
        <v>0.13</v>
      </c>
      <c r="AH2978" s="157">
        <f t="shared" si="1347"/>
        <v>0</v>
      </c>
      <c r="AI2978" s="152">
        <f t="shared" si="1348"/>
        <v>23712</v>
      </c>
      <c r="AK2978" s="156" t="s">
        <v>691</v>
      </c>
      <c r="AL2978" s="574" t="s">
        <v>690</v>
      </c>
      <c r="AM2978" s="198">
        <f t="shared" si="1349"/>
        <v>0</v>
      </c>
      <c r="AN2978" s="199">
        <f t="shared" si="1350"/>
        <v>46034</v>
      </c>
      <c r="AO2978" s="159" t="s">
        <v>692</v>
      </c>
      <c r="AP2978" s="783" t="s">
        <v>622</v>
      </c>
      <c r="AQ2978" s="782">
        <v>12071839</v>
      </c>
      <c r="AR2978" s="782">
        <v>12094356</v>
      </c>
      <c r="AS2978" s="782">
        <v>12068233</v>
      </c>
      <c r="AT2978" s="781"/>
      <c r="AU2978" s="781"/>
      <c r="AV2978" s="782">
        <v>12062075</v>
      </c>
      <c r="AW2978" s="781"/>
      <c r="AX2978" s="781"/>
      <c r="AY2978" s="782">
        <v>12094357</v>
      </c>
      <c r="AZ2978" s="782"/>
      <c r="BA2978" s="781"/>
      <c r="BB2978" s="209">
        <v>23053184</v>
      </c>
    </row>
    <row r="2979" spans="1:54" ht="24.65" customHeight="1">
      <c r="A2979" s="630" t="s">
        <v>120</v>
      </c>
      <c r="B2979" s="466">
        <v>46035</v>
      </c>
      <c r="C2979" s="466">
        <v>46042</v>
      </c>
      <c r="D2979" s="185">
        <f t="shared" si="1341"/>
        <v>2026</v>
      </c>
      <c r="E2979" s="468" t="e">
        <f>VLOOKUP($B2979,Week!$A$1:$C$1462,2,0)</f>
        <v>#N/A</v>
      </c>
      <c r="F2979" s="469" t="str">
        <f t="shared" si="1342"/>
        <v>Jan</v>
      </c>
      <c r="G2979" s="470" t="s">
        <v>2699</v>
      </c>
      <c r="H2979" s="468" t="s">
        <v>82</v>
      </c>
      <c r="I2979" s="468" t="s">
        <v>82</v>
      </c>
      <c r="J2979" s="471" t="s">
        <v>720</v>
      </c>
      <c r="K2979" s="472" t="s">
        <v>85</v>
      </c>
      <c r="L2979" s="390" t="s">
        <v>2166</v>
      </c>
      <c r="M2979" s="471" t="s">
        <v>579</v>
      </c>
      <c r="N2979" s="468" t="s">
        <v>580</v>
      </c>
      <c r="O2979" s="468" t="s">
        <v>581</v>
      </c>
      <c r="P2979" s="473">
        <v>8</v>
      </c>
      <c r="Q2979" s="473">
        <v>60</v>
      </c>
      <c r="R2979" s="474">
        <v>6.8100000000000001E-3</v>
      </c>
      <c r="S2979" s="468" t="s">
        <v>76</v>
      </c>
      <c r="T2979" s="468" t="s">
        <v>56</v>
      </c>
      <c r="U2979" s="468" t="s">
        <v>89</v>
      </c>
      <c r="V2979" s="475">
        <f>1408-791</f>
        <v>617</v>
      </c>
      <c r="W2979" s="475">
        <v>617</v>
      </c>
      <c r="X2979" s="476"/>
      <c r="Y2979" s="477">
        <f t="shared" si="1343"/>
        <v>0</v>
      </c>
      <c r="Z2979" s="478">
        <f t="shared" si="1344"/>
        <v>0</v>
      </c>
      <c r="AA2979" s="478">
        <f t="shared" si="1336"/>
        <v>0</v>
      </c>
      <c r="AB2979" s="828">
        <v>6</v>
      </c>
      <c r="AC2979" s="475">
        <f t="shared" si="1345"/>
        <v>0</v>
      </c>
      <c r="AD2979" s="209"/>
      <c r="AE2979" s="210">
        <f t="shared" si="1351"/>
        <v>0</v>
      </c>
      <c r="AF2979" s="210">
        <f t="shared" si="1353"/>
        <v>0</v>
      </c>
      <c r="AG2979" s="211">
        <f t="shared" si="1346"/>
        <v>0.75</v>
      </c>
      <c r="AH2979" s="157">
        <f t="shared" si="1347"/>
        <v>0</v>
      </c>
      <c r="AI2979" s="152">
        <f t="shared" si="1348"/>
        <v>4936</v>
      </c>
      <c r="AK2979" s="156" t="s">
        <v>691</v>
      </c>
      <c r="AL2979" s="156" t="s">
        <v>689</v>
      </c>
      <c r="AM2979" s="198">
        <f t="shared" si="1349"/>
        <v>0</v>
      </c>
      <c r="AN2979" s="199">
        <f t="shared" si="1350"/>
        <v>46035</v>
      </c>
      <c r="AO2979" s="159" t="s">
        <v>692</v>
      </c>
      <c r="AP2979" s="783" t="s">
        <v>622</v>
      </c>
      <c r="AQ2979" s="782">
        <v>12088677</v>
      </c>
      <c r="AR2979" s="782" t="s">
        <v>2142</v>
      </c>
      <c r="AS2979" s="782"/>
      <c r="AT2979" s="782">
        <v>12082897</v>
      </c>
      <c r="AU2979" s="781"/>
      <c r="AV2979" s="782">
        <v>12082898</v>
      </c>
      <c r="AW2979" s="782">
        <v>12082899</v>
      </c>
      <c r="AX2979" s="796" t="s">
        <v>621</v>
      </c>
      <c r="AY2979" s="782"/>
      <c r="AZ2979" s="782"/>
      <c r="BA2979" s="781"/>
      <c r="BB2979" s="209">
        <v>23053184</v>
      </c>
    </row>
    <row r="2980" spans="1:54" ht="25.15" customHeight="1">
      <c r="A2980" s="906" t="s">
        <v>255</v>
      </c>
      <c r="B2980" s="345">
        <v>46034</v>
      </c>
      <c r="C2980" s="346">
        <v>46035</v>
      </c>
      <c r="D2980" s="185">
        <f t="shared" si="1341"/>
        <v>2026</v>
      </c>
      <c r="E2980" s="347" t="e">
        <f>VLOOKUP($B2980,Week!$A$1:$C$1462,2,0)</f>
        <v>#N/A</v>
      </c>
      <c r="F2980" s="348" t="str">
        <f t="shared" si="1342"/>
        <v>Jan</v>
      </c>
      <c r="G2980" s="347" t="s">
        <v>2483</v>
      </c>
      <c r="H2980" s="347" t="s">
        <v>424</v>
      </c>
      <c r="I2980" s="347" t="s">
        <v>2772</v>
      </c>
      <c r="J2980" s="438" t="s">
        <v>425</v>
      </c>
      <c r="K2980" s="350" t="s">
        <v>176</v>
      </c>
      <c r="L2980" s="350" t="s">
        <v>2167</v>
      </c>
      <c r="M2980" s="349" t="s">
        <v>426</v>
      </c>
      <c r="N2980" s="347" t="s">
        <v>427</v>
      </c>
      <c r="O2980" s="347" t="s">
        <v>599</v>
      </c>
      <c r="P2980" s="351">
        <v>36</v>
      </c>
      <c r="Q2980" s="351">
        <v>5</v>
      </c>
      <c r="R2980" s="352">
        <v>7.4999999999999997E-3</v>
      </c>
      <c r="S2980" s="347" t="s">
        <v>111</v>
      </c>
      <c r="T2980" s="347" t="s">
        <v>112</v>
      </c>
      <c r="U2980" s="347" t="s">
        <v>57</v>
      </c>
      <c r="V2980" s="353">
        <v>163</v>
      </c>
      <c r="W2980" s="353">
        <v>163</v>
      </c>
      <c r="X2980" s="354"/>
      <c r="Y2980" s="355">
        <f t="shared" si="1343"/>
        <v>0</v>
      </c>
      <c r="Z2980" s="356">
        <f t="shared" si="1344"/>
        <v>0</v>
      </c>
      <c r="AA2980" s="353">
        <f t="shared" si="1336"/>
        <v>0</v>
      </c>
      <c r="AB2980" s="818">
        <v>7.4999999999999997E-3</v>
      </c>
      <c r="AC2980" s="353">
        <f t="shared" si="1345"/>
        <v>0</v>
      </c>
      <c r="AD2980" s="908" t="s">
        <v>2786</v>
      </c>
      <c r="AE2980" s="210">
        <f t="shared" si="1351"/>
        <v>0</v>
      </c>
      <c r="AF2980" s="210">
        <f t="shared" si="1353"/>
        <v>0</v>
      </c>
      <c r="AG2980" s="211">
        <f t="shared" si="1346"/>
        <v>0.14799999999999999</v>
      </c>
      <c r="AH2980" s="157">
        <f t="shared" si="1347"/>
        <v>0</v>
      </c>
      <c r="AI2980" s="152">
        <f t="shared" si="1348"/>
        <v>5868</v>
      </c>
      <c r="AK2980" s="156" t="s">
        <v>691</v>
      </c>
      <c r="AL2980" s="574" t="s">
        <v>690</v>
      </c>
      <c r="AM2980" s="198">
        <f t="shared" si="1349"/>
        <v>0</v>
      </c>
      <c r="AN2980" s="199">
        <f t="shared" si="1350"/>
        <v>46034</v>
      </c>
      <c r="AO2980" s="159" t="s">
        <v>692</v>
      </c>
      <c r="AP2980" s="783" t="s">
        <v>609</v>
      </c>
      <c r="AQ2980" s="782">
        <v>12071839</v>
      </c>
      <c r="AR2980" s="782">
        <v>12080260</v>
      </c>
      <c r="AS2980" s="782">
        <v>12080259</v>
      </c>
      <c r="AT2980" s="782">
        <v>12096006</v>
      </c>
      <c r="AU2980" s="782"/>
      <c r="AV2980" s="782">
        <v>12096007</v>
      </c>
      <c r="AW2980" s="782">
        <v>12024404</v>
      </c>
      <c r="AX2980" s="781"/>
      <c r="AY2980" s="782">
        <v>12096022</v>
      </c>
      <c r="AZ2980" s="782"/>
      <c r="BA2980" s="781"/>
      <c r="BB2980" s="209">
        <v>23053185</v>
      </c>
    </row>
    <row r="2981" spans="1:54" ht="24.75" customHeight="1">
      <c r="B2981" s="333">
        <v>46035</v>
      </c>
      <c r="C2981" s="333">
        <v>46044</v>
      </c>
      <c r="D2981" s="185">
        <f t="shared" si="1341"/>
        <v>2026</v>
      </c>
      <c r="E2981" s="335" t="e">
        <f>VLOOKUP($B2981,Week!$A$1:$C$1462,2,0)</f>
        <v>#N/A</v>
      </c>
      <c r="F2981" s="334" t="str">
        <f t="shared" si="1342"/>
        <v>Jan</v>
      </c>
      <c r="G2981" s="335" t="s">
        <v>2685</v>
      </c>
      <c r="H2981" s="335" t="s">
        <v>363</v>
      </c>
      <c r="I2981" s="335" t="s">
        <v>2772</v>
      </c>
      <c r="J2981" s="336" t="s">
        <v>364</v>
      </c>
      <c r="K2981" s="337" t="s">
        <v>176</v>
      </c>
      <c r="L2981" s="337" t="s">
        <v>2167</v>
      </c>
      <c r="M2981" s="382" t="s">
        <v>646</v>
      </c>
      <c r="N2981" s="335" t="s">
        <v>647</v>
      </c>
      <c r="O2981" s="335" t="s">
        <v>599</v>
      </c>
      <c r="P2981" s="338">
        <v>36</v>
      </c>
      <c r="Q2981" s="338">
        <v>5</v>
      </c>
      <c r="R2981" s="339">
        <v>8.0000000000000002E-3</v>
      </c>
      <c r="S2981" s="335" t="s">
        <v>40</v>
      </c>
      <c r="T2981" s="335" t="s">
        <v>112</v>
      </c>
      <c r="U2981" s="335" t="s">
        <v>57</v>
      </c>
      <c r="V2981" s="341">
        <f>1288</f>
        <v>1288</v>
      </c>
      <c r="W2981" s="341">
        <f>1285</f>
        <v>1285</v>
      </c>
      <c r="X2981" s="342">
        <f>(1507)/36</f>
        <v>41.861111111111114</v>
      </c>
      <c r="Y2981" s="343">
        <f t="shared" si="1343"/>
        <v>38.861111111111086</v>
      </c>
      <c r="Z2981" s="344">
        <f t="shared" si="1344"/>
        <v>0</v>
      </c>
      <c r="AA2981" s="344">
        <f t="shared" si="1336"/>
        <v>0</v>
      </c>
      <c r="AB2981" s="821">
        <v>7.4999999999999997E-3</v>
      </c>
      <c r="AC2981" s="341">
        <f t="shared" si="1345"/>
        <v>0</v>
      </c>
      <c r="AD2981" s="209"/>
      <c r="AE2981" s="210">
        <f t="shared" si="1351"/>
        <v>0</v>
      </c>
      <c r="AF2981" s="210">
        <f t="shared" si="1353"/>
        <v>0</v>
      </c>
      <c r="AG2981" s="211">
        <f t="shared" si="1346"/>
        <v>0.14799999999999999</v>
      </c>
      <c r="AH2981" s="157">
        <f t="shared" si="1347"/>
        <v>0</v>
      </c>
      <c r="AI2981" s="152">
        <f t="shared" si="1348"/>
        <v>46368</v>
      </c>
      <c r="AK2981" s="156" t="s">
        <v>691</v>
      </c>
      <c r="AL2981" s="574" t="s">
        <v>690</v>
      </c>
      <c r="AM2981" s="198">
        <f t="shared" si="1349"/>
        <v>0</v>
      </c>
      <c r="AN2981" s="199">
        <f t="shared" si="1350"/>
        <v>46035</v>
      </c>
      <c r="AO2981" s="159" t="s">
        <v>692</v>
      </c>
      <c r="AP2981" s="781"/>
      <c r="AQ2981" s="782">
        <v>12071839</v>
      </c>
      <c r="AR2981" s="782">
        <v>12047514</v>
      </c>
      <c r="AS2981" s="782">
        <v>12047515</v>
      </c>
      <c r="AT2981" s="782">
        <v>12084374</v>
      </c>
      <c r="AU2981" s="781"/>
      <c r="AV2981" s="782">
        <v>12084372</v>
      </c>
      <c r="AW2981" s="782">
        <v>12024404</v>
      </c>
      <c r="AX2981" s="782"/>
      <c r="AY2981" s="782">
        <v>12094311</v>
      </c>
      <c r="AZ2981" s="782"/>
      <c r="BA2981" s="781"/>
      <c r="BB2981" s="209">
        <v>23053185</v>
      </c>
    </row>
    <row r="2982" spans="1:54" ht="24.65" customHeight="1">
      <c r="B2982" s="283">
        <v>46035</v>
      </c>
      <c r="C2982" s="284">
        <v>46044</v>
      </c>
      <c r="D2982" s="185">
        <f t="shared" si="1341"/>
        <v>2026</v>
      </c>
      <c r="E2982" s="284" t="e">
        <f>VLOOKUP($B2982,Week!$A$1:$C$1462,2,0)</f>
        <v>#N/A</v>
      </c>
      <c r="F2982" s="285" t="str">
        <f t="shared" si="1342"/>
        <v>Jan</v>
      </c>
      <c r="G2982" s="631" t="s">
        <v>2719</v>
      </c>
      <c r="H2982" s="624" t="s">
        <v>104</v>
      </c>
      <c r="I2982" s="624" t="s">
        <v>2772</v>
      </c>
      <c r="J2982" s="625" t="s">
        <v>105</v>
      </c>
      <c r="K2982" s="288" t="s">
        <v>51</v>
      </c>
      <c r="L2982" s="300" t="s">
        <v>2167</v>
      </c>
      <c r="M2982" s="287" t="s">
        <v>595</v>
      </c>
      <c r="N2982" s="286" t="s">
        <v>597</v>
      </c>
      <c r="O2982" s="286" t="s">
        <v>187</v>
      </c>
      <c r="P2982" s="289">
        <v>8</v>
      </c>
      <c r="Q2982" s="289">
        <v>5</v>
      </c>
      <c r="R2982" s="290">
        <v>6.0000000000000001E-3</v>
      </c>
      <c r="S2982" s="286" t="s">
        <v>55</v>
      </c>
      <c r="T2982" s="286" t="s">
        <v>112</v>
      </c>
      <c r="U2982" s="286" t="s">
        <v>57</v>
      </c>
      <c r="V2982" s="291">
        <f>5000</f>
        <v>5000</v>
      </c>
      <c r="W2982" s="291"/>
      <c r="X2982" s="292">
        <f>(13+41211+816)/8</f>
        <v>5255</v>
      </c>
      <c r="Y2982" s="293">
        <f t="shared" si="1343"/>
        <v>255</v>
      </c>
      <c r="Z2982" s="294">
        <f t="shared" si="1344"/>
        <v>0</v>
      </c>
      <c r="AA2982" s="294">
        <f t="shared" si="1336"/>
        <v>0</v>
      </c>
      <c r="AB2982" s="813">
        <v>7.4999999999999997E-3</v>
      </c>
      <c r="AC2982" s="291">
        <f t="shared" si="1345"/>
        <v>0</v>
      </c>
      <c r="AD2982" s="486" t="s">
        <v>2850</v>
      </c>
      <c r="AE2982" s="210">
        <f t="shared" si="1351"/>
        <v>0</v>
      </c>
      <c r="AF2982" s="210">
        <f t="shared" si="1353"/>
        <v>0</v>
      </c>
      <c r="AG2982" s="211">
        <v>0.14499999999999999</v>
      </c>
      <c r="AH2982" s="157">
        <f t="shared" si="1347"/>
        <v>0</v>
      </c>
      <c r="AI2982" s="152">
        <v>19800</v>
      </c>
      <c r="AK2982" s="156" t="s">
        <v>691</v>
      </c>
      <c r="AL2982" s="212" t="s">
        <v>690</v>
      </c>
      <c r="AM2982" s="198">
        <f t="shared" si="1349"/>
        <v>0</v>
      </c>
      <c r="AN2982" s="199">
        <f t="shared" si="1350"/>
        <v>46035</v>
      </c>
      <c r="AO2982" s="159" t="s">
        <v>692</v>
      </c>
      <c r="AP2982" s="781"/>
      <c r="AQ2982" s="782">
        <v>12071839</v>
      </c>
      <c r="AR2982" s="782">
        <v>12047514</v>
      </c>
      <c r="AS2982" s="782">
        <v>12047515</v>
      </c>
      <c r="AT2982" s="782">
        <v>12083107</v>
      </c>
      <c r="AU2982" s="781"/>
      <c r="AV2982" s="782">
        <v>12084002</v>
      </c>
      <c r="AW2982" s="782"/>
      <c r="AX2982" s="782"/>
      <c r="AY2982" s="782"/>
      <c r="AZ2982" s="782"/>
      <c r="BA2982" s="781"/>
      <c r="BB2982" s="209">
        <v>23053185</v>
      </c>
    </row>
    <row r="2983" spans="1:54" ht="24.65" customHeight="1">
      <c r="A2983" s="630" t="s">
        <v>120</v>
      </c>
      <c r="B2983" s="466">
        <v>46036</v>
      </c>
      <c r="C2983" s="466">
        <v>46045</v>
      </c>
      <c r="D2983" s="185">
        <f t="shared" si="1341"/>
        <v>2026</v>
      </c>
      <c r="E2983" s="468" t="e">
        <f>VLOOKUP($B2983,Week!$A$1:$C$1462,2,0)</f>
        <v>#N/A</v>
      </c>
      <c r="F2983" s="469" t="str">
        <f t="shared" si="1342"/>
        <v>Jan</v>
      </c>
      <c r="G2983" s="470" t="s">
        <v>2700</v>
      </c>
      <c r="H2983" s="468" t="s">
        <v>82</v>
      </c>
      <c r="I2983" s="468" t="s">
        <v>82</v>
      </c>
      <c r="J2983" s="471" t="s">
        <v>720</v>
      </c>
      <c r="K2983" s="472" t="s">
        <v>85</v>
      </c>
      <c r="L2983" s="390" t="s">
        <v>2166</v>
      </c>
      <c r="M2983" s="471" t="s">
        <v>579</v>
      </c>
      <c r="N2983" s="468" t="s">
        <v>580</v>
      </c>
      <c r="O2983" s="468" t="s">
        <v>581</v>
      </c>
      <c r="P2983" s="473">
        <v>8</v>
      </c>
      <c r="Q2983" s="473">
        <v>60</v>
      </c>
      <c r="R2983" s="474">
        <v>6.8100000000000001E-3</v>
      </c>
      <c r="S2983" s="468" t="s">
        <v>76</v>
      </c>
      <c r="T2983" s="468" t="s">
        <v>56</v>
      </c>
      <c r="U2983" s="468" t="s">
        <v>89</v>
      </c>
      <c r="V2983" s="475">
        <v>824</v>
      </c>
      <c r="W2983" s="475">
        <f>808</f>
        <v>808</v>
      </c>
      <c r="X2983" s="476">
        <f>(128)/8</f>
        <v>16</v>
      </c>
      <c r="Y2983" s="477">
        <f t="shared" si="1343"/>
        <v>0</v>
      </c>
      <c r="Z2983" s="478">
        <f t="shared" si="1344"/>
        <v>0</v>
      </c>
      <c r="AA2983" s="478">
        <f t="shared" ref="AA2983:AA3014" si="1354">Q2983*Z2983</f>
        <v>0</v>
      </c>
      <c r="AB2983" s="828">
        <v>6</v>
      </c>
      <c r="AC2983" s="475">
        <f t="shared" si="1345"/>
        <v>0</v>
      </c>
      <c r="AD2983" s="209"/>
      <c r="AE2983" s="210">
        <f t="shared" si="1351"/>
        <v>0</v>
      </c>
      <c r="AF2983" s="210">
        <f>AE2983/0.54</f>
        <v>0</v>
      </c>
      <c r="AG2983" s="211">
        <f t="shared" ref="AG2983:AG2990" si="1355">MID(O2983,1,3)/1000</f>
        <v>0.75</v>
      </c>
      <c r="AH2983" s="157">
        <f t="shared" si="1347"/>
        <v>0</v>
      </c>
      <c r="AI2983" s="152">
        <f t="shared" ref="AI2983:AI3001" si="1356">V2983*P2983</f>
        <v>6592</v>
      </c>
      <c r="AK2983" s="156" t="s">
        <v>691</v>
      </c>
      <c r="AL2983" s="156" t="s">
        <v>689</v>
      </c>
      <c r="AM2983" s="198">
        <f t="shared" si="1349"/>
        <v>0</v>
      </c>
      <c r="AN2983" s="199">
        <f t="shared" si="1350"/>
        <v>46036</v>
      </c>
      <c r="AO2983" s="159" t="s">
        <v>692</v>
      </c>
      <c r="AP2983" s="783" t="s">
        <v>622</v>
      </c>
      <c r="AQ2983" s="782">
        <v>12088677</v>
      </c>
      <c r="AR2983" s="782" t="s">
        <v>2142</v>
      </c>
      <c r="AS2983" s="782"/>
      <c r="AT2983" s="782">
        <v>12082897</v>
      </c>
      <c r="AU2983" s="781"/>
      <c r="AV2983" s="782">
        <v>12082898</v>
      </c>
      <c r="AW2983" s="782">
        <v>12082899</v>
      </c>
      <c r="AX2983" s="796" t="s">
        <v>621</v>
      </c>
      <c r="AY2983" s="782"/>
      <c r="AZ2983" s="782"/>
      <c r="BA2983" s="781"/>
      <c r="BB2983" s="209">
        <v>23053184</v>
      </c>
    </row>
    <row r="2984" spans="1:54" ht="25" customHeight="1">
      <c r="A2984" s="529" t="s">
        <v>255</v>
      </c>
      <c r="B2984" s="357">
        <v>46036</v>
      </c>
      <c r="C2984" s="358">
        <v>46041</v>
      </c>
      <c r="D2984" s="185">
        <f t="shared" si="1341"/>
        <v>2026</v>
      </c>
      <c r="E2984" s="358" t="e">
        <f>VLOOKUP($B2984,Week!$A$1:$C$1462,2,0)</f>
        <v>#N/A</v>
      </c>
      <c r="F2984" s="360" t="str">
        <f t="shared" si="1342"/>
        <v>Jan</v>
      </c>
      <c r="G2984" s="436" t="s">
        <v>2515</v>
      </c>
      <c r="H2984" s="359" t="s">
        <v>225</v>
      </c>
      <c r="I2984" s="359" t="s">
        <v>2773</v>
      </c>
      <c r="J2984" s="361" t="s">
        <v>650</v>
      </c>
      <c r="K2984" s="362" t="s">
        <v>593</v>
      </c>
      <c r="L2984" s="300" t="s">
        <v>2167</v>
      </c>
      <c r="M2984" s="361" t="s">
        <v>717</v>
      </c>
      <c r="N2984" s="359" t="s">
        <v>719</v>
      </c>
      <c r="O2984" s="359" t="s">
        <v>230</v>
      </c>
      <c r="P2984" s="363">
        <v>12</v>
      </c>
      <c r="Q2984" s="363">
        <v>5</v>
      </c>
      <c r="R2984" s="364">
        <v>6.0000000000000001E-3</v>
      </c>
      <c r="S2984" s="359" t="s">
        <v>55</v>
      </c>
      <c r="T2984" s="359" t="s">
        <v>112</v>
      </c>
      <c r="U2984" s="359" t="s">
        <v>57</v>
      </c>
      <c r="V2984" s="365">
        <f>765</f>
        <v>765</v>
      </c>
      <c r="W2984" s="365"/>
      <c r="X2984" s="366">
        <f>(8965+795)/12</f>
        <v>813.33333333333337</v>
      </c>
      <c r="Y2984" s="367">
        <f t="shared" si="1343"/>
        <v>48.333333333333371</v>
      </c>
      <c r="Z2984" s="368">
        <f t="shared" si="1344"/>
        <v>0</v>
      </c>
      <c r="AA2984" s="368">
        <f t="shared" si="1354"/>
        <v>0</v>
      </c>
      <c r="AB2984" s="819">
        <v>7.4999999999999997E-3</v>
      </c>
      <c r="AC2984" s="365">
        <f t="shared" si="1345"/>
        <v>0</v>
      </c>
      <c r="AD2984" s="307" t="s">
        <v>2421</v>
      </c>
      <c r="AE2984" s="210">
        <f t="shared" si="1351"/>
        <v>0</v>
      </c>
      <c r="AF2984" s="210">
        <f>AE2984/0.54</f>
        <v>0</v>
      </c>
      <c r="AG2984" s="211">
        <f t="shared" si="1355"/>
        <v>0.25800000000000001</v>
      </c>
      <c r="AH2984" s="157">
        <f t="shared" si="1347"/>
        <v>0</v>
      </c>
      <c r="AI2984" s="152">
        <f t="shared" si="1356"/>
        <v>9180</v>
      </c>
      <c r="AK2984" s="156" t="s">
        <v>691</v>
      </c>
      <c r="AL2984" s="574" t="s">
        <v>690</v>
      </c>
      <c r="AM2984" s="198">
        <f t="shared" si="1349"/>
        <v>0</v>
      </c>
      <c r="AN2984" s="199">
        <f t="shared" si="1350"/>
        <v>46036</v>
      </c>
      <c r="AO2984" s="159" t="s">
        <v>692</v>
      </c>
      <c r="AP2984" s="783" t="s">
        <v>612</v>
      </c>
      <c r="AQ2984" s="782">
        <v>12071839</v>
      </c>
      <c r="AR2984" s="782">
        <v>12042650</v>
      </c>
      <c r="AS2984" s="782">
        <v>12042649</v>
      </c>
      <c r="AT2984" s="782">
        <v>12096387</v>
      </c>
      <c r="AU2984" s="781"/>
      <c r="AV2984" s="782">
        <v>12088422</v>
      </c>
      <c r="AW2984" s="782"/>
      <c r="AX2984" s="782"/>
      <c r="AY2984" s="782"/>
      <c r="AZ2984" s="782"/>
      <c r="BA2984" s="781"/>
      <c r="BB2984" s="209">
        <v>23053185</v>
      </c>
    </row>
    <row r="2985" spans="1:54" ht="25" customHeight="1">
      <c r="B2985" s="271">
        <v>46036</v>
      </c>
      <c r="C2985" s="441">
        <v>46045</v>
      </c>
      <c r="D2985" s="274">
        <f t="shared" si="1341"/>
        <v>2026</v>
      </c>
      <c r="E2985" s="274" t="e">
        <f>VLOOKUP($B2985,Week!$A$1:$C$1462,2,0)</f>
        <v>#N/A</v>
      </c>
      <c r="F2985" s="273" t="str">
        <f t="shared" si="1342"/>
        <v>Jan</v>
      </c>
      <c r="G2985" s="274" t="s">
        <v>2286</v>
      </c>
      <c r="H2985" s="274" t="s">
        <v>225</v>
      </c>
      <c r="I2985" s="274" t="s">
        <v>2773</v>
      </c>
      <c r="J2985" s="275" t="s">
        <v>650</v>
      </c>
      <c r="K2985" s="276" t="s">
        <v>2256</v>
      </c>
      <c r="L2985" s="276" t="s">
        <v>2167</v>
      </c>
      <c r="M2985" s="275" t="s">
        <v>2258</v>
      </c>
      <c r="N2985" s="274" t="s">
        <v>2259</v>
      </c>
      <c r="O2985" s="274" t="s">
        <v>110</v>
      </c>
      <c r="P2985" s="277">
        <v>36</v>
      </c>
      <c r="Q2985" s="277">
        <v>5</v>
      </c>
      <c r="R2985" s="278">
        <v>7.4999999999999997E-3</v>
      </c>
      <c r="S2985" s="274" t="s">
        <v>111</v>
      </c>
      <c r="T2985" s="274" t="s">
        <v>112</v>
      </c>
      <c r="U2985" s="274" t="s">
        <v>113</v>
      </c>
      <c r="V2985" s="279">
        <f>792-30</f>
        <v>762</v>
      </c>
      <c r="W2985" s="279">
        <v>762</v>
      </c>
      <c r="X2985" s="280"/>
      <c r="Y2985" s="281">
        <f t="shared" si="1343"/>
        <v>0</v>
      </c>
      <c r="Z2985" s="282">
        <f t="shared" si="1344"/>
        <v>0</v>
      </c>
      <c r="AA2985" s="282">
        <f t="shared" si="1354"/>
        <v>0</v>
      </c>
      <c r="AB2985" s="812">
        <v>9.7000000000000003E-3</v>
      </c>
      <c r="AC2985" s="279">
        <f t="shared" si="1345"/>
        <v>0</v>
      </c>
      <c r="AD2985" s="443" t="s">
        <v>2769</v>
      </c>
      <c r="AE2985" s="210">
        <f t="shared" si="1351"/>
        <v>0</v>
      </c>
      <c r="AF2985" s="210">
        <f>AE2985/0.54</f>
        <v>0</v>
      </c>
      <c r="AG2985" s="211">
        <f t="shared" si="1355"/>
        <v>0.308</v>
      </c>
      <c r="AH2985" s="157">
        <f t="shared" si="1347"/>
        <v>0</v>
      </c>
      <c r="AI2985" s="152">
        <f t="shared" si="1356"/>
        <v>27432</v>
      </c>
      <c r="AK2985" s="156" t="s">
        <v>691</v>
      </c>
      <c r="AL2985" s="574" t="s">
        <v>690</v>
      </c>
      <c r="AM2985" s="198">
        <f t="shared" si="1349"/>
        <v>0</v>
      </c>
      <c r="AN2985" s="199">
        <f t="shared" si="1350"/>
        <v>46036</v>
      </c>
      <c r="AO2985" s="159" t="s">
        <v>692</v>
      </c>
      <c r="AP2985" s="781"/>
      <c r="AQ2985" s="782">
        <v>12063755</v>
      </c>
      <c r="AR2985" s="782">
        <v>12061353</v>
      </c>
      <c r="AS2985" s="782">
        <v>12061354</v>
      </c>
      <c r="AT2985" s="782">
        <v>12095367</v>
      </c>
      <c r="AU2985" s="781"/>
      <c r="AV2985" s="782">
        <v>12095366</v>
      </c>
      <c r="AW2985" s="782">
        <v>12088207</v>
      </c>
      <c r="AX2985" s="782"/>
      <c r="AY2985" s="782">
        <v>12095368</v>
      </c>
      <c r="AZ2985" s="782"/>
      <c r="BA2985" s="781"/>
      <c r="BB2985" s="209">
        <v>23054743</v>
      </c>
    </row>
    <row r="2986" spans="1:54" ht="25" customHeight="1">
      <c r="B2986" s="271">
        <v>46036</v>
      </c>
      <c r="C2986" s="441">
        <v>46045</v>
      </c>
      <c r="D2986" s="274">
        <f t="shared" si="1341"/>
        <v>2026</v>
      </c>
      <c r="E2986" s="274" t="e">
        <f>VLOOKUP($B2986,Week!$A$1:$C$1462,2,0)</f>
        <v>#N/A</v>
      </c>
      <c r="F2986" s="273" t="str">
        <f t="shared" si="1342"/>
        <v>Jan</v>
      </c>
      <c r="G2986" s="274" t="s">
        <v>2287</v>
      </c>
      <c r="H2986" s="274" t="s">
        <v>225</v>
      </c>
      <c r="I2986" s="274" t="s">
        <v>2773</v>
      </c>
      <c r="J2986" s="275" t="s">
        <v>650</v>
      </c>
      <c r="K2986" s="276" t="s">
        <v>2256</v>
      </c>
      <c r="L2986" s="276" t="s">
        <v>2167</v>
      </c>
      <c r="M2986" s="275" t="s">
        <v>2258</v>
      </c>
      <c r="N2986" s="274" t="s">
        <v>2259</v>
      </c>
      <c r="O2986" s="274" t="s">
        <v>110</v>
      </c>
      <c r="P2986" s="277">
        <v>36</v>
      </c>
      <c r="Q2986" s="277">
        <v>5</v>
      </c>
      <c r="R2986" s="278">
        <v>7.4999999999999997E-3</v>
      </c>
      <c r="S2986" s="274" t="s">
        <v>111</v>
      </c>
      <c r="T2986" s="274" t="s">
        <v>112</v>
      </c>
      <c r="U2986" s="274" t="s">
        <v>113</v>
      </c>
      <c r="V2986" s="279">
        <v>792</v>
      </c>
      <c r="W2986" s="279">
        <f>1554-762</f>
        <v>792</v>
      </c>
      <c r="X2986" s="280"/>
      <c r="Y2986" s="281">
        <f t="shared" si="1343"/>
        <v>0</v>
      </c>
      <c r="Z2986" s="282">
        <f t="shared" si="1344"/>
        <v>0</v>
      </c>
      <c r="AA2986" s="282">
        <f t="shared" si="1354"/>
        <v>0</v>
      </c>
      <c r="AB2986" s="812">
        <v>9.7000000000000003E-3</v>
      </c>
      <c r="AC2986" s="279">
        <f t="shared" si="1345"/>
        <v>0</v>
      </c>
      <c r="AD2986" s="209"/>
      <c r="AE2986" s="210">
        <f t="shared" si="1351"/>
        <v>0</v>
      </c>
      <c r="AF2986" s="210">
        <f>AE2986/0.54</f>
        <v>0</v>
      </c>
      <c r="AG2986" s="211">
        <f t="shared" si="1355"/>
        <v>0.308</v>
      </c>
      <c r="AH2986" s="157">
        <f t="shared" si="1347"/>
        <v>0</v>
      </c>
      <c r="AI2986" s="152">
        <f t="shared" si="1356"/>
        <v>28512</v>
      </c>
      <c r="AK2986" s="156" t="s">
        <v>691</v>
      </c>
      <c r="AL2986" s="574" t="s">
        <v>690</v>
      </c>
      <c r="AM2986" s="198">
        <f t="shared" si="1349"/>
        <v>0</v>
      </c>
      <c r="AN2986" s="199">
        <f t="shared" si="1350"/>
        <v>46036</v>
      </c>
      <c r="AO2986" s="159" t="s">
        <v>692</v>
      </c>
      <c r="AP2986" s="781"/>
      <c r="AQ2986" s="782">
        <v>12063755</v>
      </c>
      <c r="AR2986" s="782">
        <v>12061353</v>
      </c>
      <c r="AS2986" s="782">
        <v>12061354</v>
      </c>
      <c r="AT2986" s="782">
        <v>12095367</v>
      </c>
      <c r="AU2986" s="781"/>
      <c r="AV2986" s="782">
        <v>12095366</v>
      </c>
      <c r="AW2986" s="782">
        <v>12088207</v>
      </c>
      <c r="AX2986" s="782"/>
      <c r="AY2986" s="782">
        <v>12095368</v>
      </c>
      <c r="AZ2986" s="782"/>
      <c r="BA2986" s="781"/>
      <c r="BB2986" s="209">
        <v>23054743</v>
      </c>
    </row>
    <row r="2987" spans="1:54" ht="24.65" customHeight="1">
      <c r="A2987" s="529" t="s">
        <v>255</v>
      </c>
      <c r="B2987" s="602">
        <v>46036</v>
      </c>
      <c r="C2987" s="603">
        <v>46043</v>
      </c>
      <c r="D2987" s="185">
        <f t="shared" si="1341"/>
        <v>2026</v>
      </c>
      <c r="E2987" s="603" t="e">
        <f>VLOOKUP($B2987,Week!$A$1:$C$1462,2,0)</f>
        <v>#N/A</v>
      </c>
      <c r="F2987" s="605" t="str">
        <f t="shared" si="1342"/>
        <v>Jan</v>
      </c>
      <c r="G2987" s="604" t="s">
        <v>2783</v>
      </c>
      <c r="H2987" s="604" t="s">
        <v>82</v>
      </c>
      <c r="I2987" s="604" t="s">
        <v>82</v>
      </c>
      <c r="J2987" s="606" t="s">
        <v>235</v>
      </c>
      <c r="K2987" s="607" t="s">
        <v>107</v>
      </c>
      <c r="L2987" s="300" t="s">
        <v>2167</v>
      </c>
      <c r="M2987" s="606" t="s">
        <v>654</v>
      </c>
      <c r="N2987" s="604" t="s">
        <v>753</v>
      </c>
      <c r="O2987" s="604" t="s">
        <v>110</v>
      </c>
      <c r="P2987" s="608">
        <v>36</v>
      </c>
      <c r="Q2987" s="608">
        <v>5</v>
      </c>
      <c r="R2987" s="609">
        <v>7.4999999999999997E-3</v>
      </c>
      <c r="S2987" s="604" t="s">
        <v>111</v>
      </c>
      <c r="T2987" s="604" t="s">
        <v>112</v>
      </c>
      <c r="U2987" s="604" t="s">
        <v>113</v>
      </c>
      <c r="V2987" s="610">
        <v>320</v>
      </c>
      <c r="W2987" s="610"/>
      <c r="X2987" s="611">
        <f>(12555)/36</f>
        <v>348.75</v>
      </c>
      <c r="Y2987" s="612">
        <f t="shared" si="1343"/>
        <v>28.75</v>
      </c>
      <c r="Z2987" s="613">
        <f t="shared" si="1344"/>
        <v>0</v>
      </c>
      <c r="AA2987" s="613">
        <f t="shared" si="1354"/>
        <v>0</v>
      </c>
      <c r="AB2987" s="836">
        <v>9.7000000000000003E-3</v>
      </c>
      <c r="AC2987" s="610">
        <f t="shared" si="1345"/>
        <v>0</v>
      </c>
      <c r="AD2987" s="307" t="s">
        <v>1048</v>
      </c>
      <c r="AE2987" s="210"/>
      <c r="AF2987" s="210"/>
      <c r="AG2987" s="211">
        <f t="shared" si="1355"/>
        <v>0.308</v>
      </c>
      <c r="AH2987" s="157">
        <f t="shared" si="1347"/>
        <v>0</v>
      </c>
      <c r="AI2987" s="152">
        <f t="shared" si="1356"/>
        <v>11520</v>
      </c>
      <c r="AK2987" s="156" t="s">
        <v>691</v>
      </c>
      <c r="AL2987" s="212" t="s">
        <v>690</v>
      </c>
      <c r="AM2987" s="198">
        <f t="shared" si="1349"/>
        <v>0</v>
      </c>
      <c r="AN2987" s="199">
        <f t="shared" si="1350"/>
        <v>46036</v>
      </c>
      <c r="AO2987" s="159" t="s">
        <v>692</v>
      </c>
      <c r="AP2987" s="783" t="s">
        <v>644</v>
      </c>
      <c r="AQ2987" s="782">
        <v>12063755</v>
      </c>
      <c r="AR2987" s="782">
        <v>12061353</v>
      </c>
      <c r="AS2987" s="782">
        <v>12061354</v>
      </c>
      <c r="AT2987" s="782">
        <v>12096611</v>
      </c>
      <c r="AU2987" s="781"/>
      <c r="AV2987" s="782">
        <v>12096612</v>
      </c>
      <c r="AW2987" s="782">
        <v>12088207</v>
      </c>
      <c r="AX2987" s="782"/>
      <c r="AY2987" s="782">
        <v>12096583</v>
      </c>
      <c r="AZ2987" s="782"/>
      <c r="BA2987" s="781"/>
      <c r="BB2987" s="209">
        <v>23054743</v>
      </c>
    </row>
    <row r="2988" spans="1:54" ht="24.65" customHeight="1">
      <c r="A2988" s="630" t="s">
        <v>120</v>
      </c>
      <c r="B2988" s="466">
        <v>46037</v>
      </c>
      <c r="C2988" s="466">
        <v>46045</v>
      </c>
      <c r="D2988" s="185">
        <f t="shared" si="1341"/>
        <v>2026</v>
      </c>
      <c r="E2988" s="468" t="e">
        <f>VLOOKUP($B2988,Week!$A$1:$C$1462,2,0)</f>
        <v>#N/A</v>
      </c>
      <c r="F2988" s="469" t="str">
        <f t="shared" si="1342"/>
        <v>Jan</v>
      </c>
      <c r="G2988" s="470" t="s">
        <v>2700</v>
      </c>
      <c r="H2988" s="468" t="s">
        <v>82</v>
      </c>
      <c r="I2988" s="468" t="s">
        <v>82</v>
      </c>
      <c r="J2988" s="471" t="s">
        <v>720</v>
      </c>
      <c r="K2988" s="472" t="s">
        <v>85</v>
      </c>
      <c r="L2988" s="390" t="s">
        <v>2166</v>
      </c>
      <c r="M2988" s="471" t="s">
        <v>579</v>
      </c>
      <c r="N2988" s="468" t="s">
        <v>580</v>
      </c>
      <c r="O2988" s="468" t="s">
        <v>581</v>
      </c>
      <c r="P2988" s="473">
        <v>8</v>
      </c>
      <c r="Q2988" s="473">
        <v>60</v>
      </c>
      <c r="R2988" s="474">
        <v>6.8100000000000001E-3</v>
      </c>
      <c r="S2988" s="468" t="s">
        <v>76</v>
      </c>
      <c r="T2988" s="468" t="s">
        <v>56</v>
      </c>
      <c r="U2988" s="468" t="s">
        <v>89</v>
      </c>
      <c r="V2988" s="475">
        <f>1408-824</f>
        <v>584</v>
      </c>
      <c r="W2988" s="475">
        <v>584</v>
      </c>
      <c r="X2988" s="476"/>
      <c r="Y2988" s="477">
        <f t="shared" si="1343"/>
        <v>0</v>
      </c>
      <c r="Z2988" s="478">
        <f t="shared" si="1344"/>
        <v>0</v>
      </c>
      <c r="AA2988" s="478">
        <f t="shared" si="1354"/>
        <v>0</v>
      </c>
      <c r="AB2988" s="828">
        <v>6</v>
      </c>
      <c r="AC2988" s="475">
        <f t="shared" si="1345"/>
        <v>0</v>
      </c>
      <c r="AD2988" s="209"/>
      <c r="AE2988" s="210">
        <f t="shared" ref="AE2988:AE3001" si="1357">SUM(Q2988*R2988*Z2988)/1000</f>
        <v>0</v>
      </c>
      <c r="AF2988" s="210">
        <f t="shared" ref="AF2988:AF3001" si="1358">AE2988/0.54</f>
        <v>0</v>
      </c>
      <c r="AG2988" s="211">
        <f t="shared" si="1355"/>
        <v>0.75</v>
      </c>
      <c r="AH2988" s="157">
        <f t="shared" si="1347"/>
        <v>0</v>
      </c>
      <c r="AI2988" s="152">
        <f t="shared" si="1356"/>
        <v>4672</v>
      </c>
      <c r="AK2988" s="156" t="s">
        <v>691</v>
      </c>
      <c r="AL2988" s="156" t="s">
        <v>689</v>
      </c>
      <c r="AM2988" s="198">
        <f t="shared" si="1349"/>
        <v>0</v>
      </c>
      <c r="AN2988" s="199">
        <f t="shared" si="1350"/>
        <v>46037</v>
      </c>
      <c r="AO2988" s="159" t="s">
        <v>692</v>
      </c>
      <c r="AP2988" s="783" t="s">
        <v>622</v>
      </c>
      <c r="AQ2988" s="782">
        <v>12088677</v>
      </c>
      <c r="AR2988" s="782" t="s">
        <v>2142</v>
      </c>
      <c r="AS2988" s="782"/>
      <c r="AT2988" s="782">
        <v>12082897</v>
      </c>
      <c r="AU2988" s="781"/>
      <c r="AV2988" s="782">
        <v>12082898</v>
      </c>
      <c r="AW2988" s="782">
        <v>12082899</v>
      </c>
      <c r="AX2988" s="796" t="s">
        <v>621</v>
      </c>
      <c r="AY2988" s="782"/>
      <c r="AZ2988" s="782"/>
      <c r="BA2988" s="781"/>
      <c r="BB2988" s="209">
        <v>23053184</v>
      </c>
    </row>
    <row r="2989" spans="1:54" ht="24.75" customHeight="1">
      <c r="A2989" s="529" t="s">
        <v>255</v>
      </c>
      <c r="B2989" s="295">
        <v>46037</v>
      </c>
      <c r="C2989" s="771" t="s">
        <v>2629</v>
      </c>
      <c r="D2989" s="185">
        <f t="shared" si="1341"/>
        <v>2026</v>
      </c>
      <c r="E2989" s="296" t="e">
        <f>VLOOKUP($B2989,Week!$A$1:$C$1462,2,0)</f>
        <v>#N/A</v>
      </c>
      <c r="F2989" s="297" t="str">
        <f t="shared" si="1342"/>
        <v>Jan</v>
      </c>
      <c r="G2989" s="648" t="s">
        <v>47</v>
      </c>
      <c r="H2989" s="298" t="s">
        <v>260</v>
      </c>
      <c r="I2989" s="298" t="s">
        <v>2702</v>
      </c>
      <c r="J2989" s="307" t="s">
        <v>649</v>
      </c>
      <c r="K2989" s="300" t="s">
        <v>176</v>
      </c>
      <c r="L2989" s="300" t="s">
        <v>2167</v>
      </c>
      <c r="M2989" s="299" t="s">
        <v>2338</v>
      </c>
      <c r="N2989" s="298" t="s">
        <v>350</v>
      </c>
      <c r="O2989" s="298" t="s">
        <v>351</v>
      </c>
      <c r="P2989" s="301">
        <v>24</v>
      </c>
      <c r="Q2989" s="301">
        <v>5</v>
      </c>
      <c r="R2989" s="302">
        <v>6.1999999999999998E-3</v>
      </c>
      <c r="S2989" s="298" t="s">
        <v>352</v>
      </c>
      <c r="T2989" s="298" t="s">
        <v>56</v>
      </c>
      <c r="U2989" s="298" t="s">
        <v>57</v>
      </c>
      <c r="V2989" s="303">
        <f>3778-1450-988</f>
        <v>1340</v>
      </c>
      <c r="W2989" s="303">
        <v>1340</v>
      </c>
      <c r="X2989" s="304"/>
      <c r="Y2989" s="305">
        <f t="shared" si="1343"/>
        <v>0</v>
      </c>
      <c r="Z2989" s="306">
        <f t="shared" si="1344"/>
        <v>0</v>
      </c>
      <c r="AA2989" s="306">
        <f t="shared" si="1354"/>
        <v>0</v>
      </c>
      <c r="AB2989" s="814">
        <v>7.4999999999999997E-3</v>
      </c>
      <c r="AC2989" s="303">
        <f t="shared" si="1345"/>
        <v>0</v>
      </c>
      <c r="AD2989" s="443" t="s">
        <v>2762</v>
      </c>
      <c r="AE2989" s="210">
        <f t="shared" si="1357"/>
        <v>0</v>
      </c>
      <c r="AF2989" s="210">
        <f t="shared" si="1358"/>
        <v>0</v>
      </c>
      <c r="AG2989" s="211">
        <f t="shared" si="1355"/>
        <v>0.13</v>
      </c>
      <c r="AH2989" s="157">
        <f t="shared" si="1347"/>
        <v>0</v>
      </c>
      <c r="AI2989" s="152">
        <f t="shared" si="1356"/>
        <v>32160</v>
      </c>
      <c r="AK2989" s="156" t="s">
        <v>691</v>
      </c>
      <c r="AL2989" s="574" t="s">
        <v>690</v>
      </c>
      <c r="AM2989" s="198">
        <f t="shared" si="1349"/>
        <v>0</v>
      </c>
      <c r="AN2989" s="199">
        <f t="shared" si="1350"/>
        <v>46037</v>
      </c>
      <c r="AO2989" s="159" t="s">
        <v>692</v>
      </c>
      <c r="AP2989" s="783" t="s">
        <v>622</v>
      </c>
      <c r="AQ2989" s="782">
        <v>12071839</v>
      </c>
      <c r="AR2989" s="782">
        <v>12094356</v>
      </c>
      <c r="AS2989" s="782">
        <v>12068233</v>
      </c>
      <c r="AT2989" s="781"/>
      <c r="AU2989" s="781"/>
      <c r="AV2989" s="782">
        <v>12062075</v>
      </c>
      <c r="AW2989" s="781"/>
      <c r="AX2989" s="781"/>
      <c r="AY2989" s="782">
        <v>12094357</v>
      </c>
      <c r="AZ2989" s="782"/>
      <c r="BA2989" s="781"/>
      <c r="BB2989" s="209">
        <v>23053184</v>
      </c>
    </row>
    <row r="2990" spans="1:54" ht="24.75" customHeight="1">
      <c r="B2990" s="295">
        <v>46037</v>
      </c>
      <c r="C2990" s="771" t="s">
        <v>2629</v>
      </c>
      <c r="D2990" s="185">
        <f t="shared" si="1341"/>
        <v>2026</v>
      </c>
      <c r="E2990" s="296" t="e">
        <f>VLOOKUP($B2990,Week!$A$1:$C$1462,2,0)</f>
        <v>#N/A</v>
      </c>
      <c r="F2990" s="297" t="str">
        <f t="shared" si="1342"/>
        <v>Jan</v>
      </c>
      <c r="G2990" s="648" t="s">
        <v>47</v>
      </c>
      <c r="H2990" s="298" t="s">
        <v>260</v>
      </c>
      <c r="I2990" s="298" t="s">
        <v>2702</v>
      </c>
      <c r="J2990" s="307" t="s">
        <v>649</v>
      </c>
      <c r="K2990" s="300" t="s">
        <v>176</v>
      </c>
      <c r="L2990" s="300" t="s">
        <v>2167</v>
      </c>
      <c r="M2990" s="299" t="s">
        <v>2338</v>
      </c>
      <c r="N2990" s="298" t="s">
        <v>350</v>
      </c>
      <c r="O2990" s="298" t="s">
        <v>351</v>
      </c>
      <c r="P2990" s="301">
        <v>24</v>
      </c>
      <c r="Q2990" s="301">
        <v>5</v>
      </c>
      <c r="R2990" s="302">
        <v>6.1999999999999998E-3</v>
      </c>
      <c r="S2990" s="298" t="s">
        <v>352</v>
      </c>
      <c r="T2990" s="298" t="s">
        <v>56</v>
      </c>
      <c r="U2990" s="298" t="s">
        <v>57</v>
      </c>
      <c r="V2990" s="303">
        <v>1035</v>
      </c>
      <c r="W2990" s="303">
        <f>2375-1340</f>
        <v>1035</v>
      </c>
      <c r="X2990" s="304"/>
      <c r="Y2990" s="305">
        <f t="shared" si="1343"/>
        <v>0</v>
      </c>
      <c r="Z2990" s="306">
        <f t="shared" si="1344"/>
        <v>0</v>
      </c>
      <c r="AA2990" s="306">
        <f t="shared" si="1354"/>
        <v>0</v>
      </c>
      <c r="AB2990" s="814">
        <v>7.4999999999999997E-3</v>
      </c>
      <c r="AC2990" s="303">
        <f t="shared" si="1345"/>
        <v>0</v>
      </c>
      <c r="AD2990" s="443"/>
      <c r="AE2990" s="210">
        <f t="shared" si="1357"/>
        <v>0</v>
      </c>
      <c r="AF2990" s="210">
        <f t="shared" si="1358"/>
        <v>0</v>
      </c>
      <c r="AG2990" s="211">
        <f t="shared" si="1355"/>
        <v>0.13</v>
      </c>
      <c r="AH2990" s="157">
        <f t="shared" si="1347"/>
        <v>0</v>
      </c>
      <c r="AI2990" s="152">
        <f t="shared" si="1356"/>
        <v>24840</v>
      </c>
      <c r="AK2990" s="156" t="s">
        <v>691</v>
      </c>
      <c r="AL2990" s="574" t="s">
        <v>690</v>
      </c>
      <c r="AM2990" s="198">
        <f t="shared" si="1349"/>
        <v>0</v>
      </c>
      <c r="AN2990" s="199">
        <f t="shared" si="1350"/>
        <v>46037</v>
      </c>
      <c r="AO2990" s="159" t="s">
        <v>692</v>
      </c>
      <c r="AP2990" s="783" t="s">
        <v>622</v>
      </c>
      <c r="AQ2990" s="782">
        <v>12071839</v>
      </c>
      <c r="AR2990" s="782">
        <v>12094356</v>
      </c>
      <c r="AS2990" s="782">
        <v>12068233</v>
      </c>
      <c r="AT2990" s="781"/>
      <c r="AU2990" s="781"/>
      <c r="AV2990" s="782">
        <v>12062075</v>
      </c>
      <c r="AW2990" s="781"/>
      <c r="AX2990" s="781"/>
      <c r="AY2990" s="782">
        <v>12094357</v>
      </c>
      <c r="AZ2990" s="782"/>
      <c r="BA2990" s="781"/>
      <c r="BB2990" s="209">
        <v>23053184</v>
      </c>
    </row>
    <row r="2991" spans="1:54" ht="25" customHeight="1">
      <c r="A2991" s="529" t="s">
        <v>255</v>
      </c>
      <c r="B2991" s="424">
        <v>46038</v>
      </c>
      <c r="C2991" s="647" t="s">
        <v>2629</v>
      </c>
      <c r="D2991" s="185">
        <f t="shared" si="1341"/>
        <v>2026</v>
      </c>
      <c r="E2991" s="425" t="e">
        <f>VLOOKUP($B2991,Week!$A$1:$C$1462,2,0)</f>
        <v>#N/A</v>
      </c>
      <c r="F2991" s="426" t="str">
        <f t="shared" si="1342"/>
        <v>Jan</v>
      </c>
      <c r="G2991" s="427" t="s">
        <v>47</v>
      </c>
      <c r="H2991" s="427" t="s">
        <v>518</v>
      </c>
      <c r="I2991" s="427" t="s">
        <v>2702</v>
      </c>
      <c r="J2991" s="428" t="s">
        <v>70</v>
      </c>
      <c r="K2991" s="429" t="s">
        <v>94</v>
      </c>
      <c r="L2991" s="300" t="s">
        <v>2167</v>
      </c>
      <c r="M2991" s="428" t="s">
        <v>2342</v>
      </c>
      <c r="N2991" s="427" t="s">
        <v>587</v>
      </c>
      <c r="O2991" s="427" t="s">
        <v>3198</v>
      </c>
      <c r="P2991" s="430">
        <v>18</v>
      </c>
      <c r="Q2991" s="430">
        <v>5</v>
      </c>
      <c r="R2991" s="431">
        <v>8.0000000000000002E-3</v>
      </c>
      <c r="S2991" s="427" t="s">
        <v>40</v>
      </c>
      <c r="T2991" s="427" t="s">
        <v>56</v>
      </c>
      <c r="U2991" s="427" t="s">
        <v>89</v>
      </c>
      <c r="V2991" s="432">
        <f>1200</f>
        <v>1200</v>
      </c>
      <c r="W2991" s="432"/>
      <c r="X2991" s="433">
        <f>22890/18</f>
        <v>1271.6666666666667</v>
      </c>
      <c r="Y2991" s="434">
        <f t="shared" si="1343"/>
        <v>71.666666666666742</v>
      </c>
      <c r="Z2991" s="435">
        <f t="shared" si="1344"/>
        <v>0</v>
      </c>
      <c r="AA2991" s="435">
        <f t="shared" si="1354"/>
        <v>0</v>
      </c>
      <c r="AB2991" s="826">
        <v>1</v>
      </c>
      <c r="AC2991" s="432">
        <f t="shared" si="1345"/>
        <v>0</v>
      </c>
      <c r="AD2991" s="209"/>
      <c r="AE2991" s="210">
        <f t="shared" si="1357"/>
        <v>0</v>
      </c>
      <c r="AF2991" s="210">
        <f t="shared" si="1358"/>
        <v>0</v>
      </c>
      <c r="AG2991" s="211" t="e">
        <f>(MID(O2991,1,3)/1000)/3</f>
        <v>#VALUE!</v>
      </c>
      <c r="AH2991" s="157" t="e">
        <f t="shared" si="1347"/>
        <v>#VALUE!</v>
      </c>
      <c r="AI2991" s="152">
        <f t="shared" si="1356"/>
        <v>21600</v>
      </c>
      <c r="AK2991" s="156" t="s">
        <v>691</v>
      </c>
      <c r="AL2991" s="212" t="s">
        <v>690</v>
      </c>
      <c r="AM2991" s="198" t="e">
        <f t="shared" si="1349"/>
        <v>#VALUE!</v>
      </c>
      <c r="AN2991" s="199">
        <f t="shared" si="1350"/>
        <v>46038</v>
      </c>
      <c r="AO2991" s="159" t="s">
        <v>692</v>
      </c>
      <c r="AP2991" s="783" t="s">
        <v>628</v>
      </c>
      <c r="AQ2991" s="782"/>
      <c r="AR2991" s="782"/>
      <c r="AS2991" s="782"/>
      <c r="AT2991" s="782"/>
      <c r="AU2991" s="781"/>
      <c r="AV2991" s="782">
        <v>12080791</v>
      </c>
      <c r="AW2991" s="782" t="s">
        <v>641</v>
      </c>
      <c r="AX2991" s="782" t="s">
        <v>533</v>
      </c>
      <c r="AY2991" s="782"/>
      <c r="AZ2991" s="782"/>
      <c r="BA2991" s="781"/>
      <c r="BB2991" s="209">
        <v>23053184</v>
      </c>
    </row>
    <row r="2992" spans="1:54" ht="24.65" customHeight="1">
      <c r="A2992" s="529" t="s">
        <v>255</v>
      </c>
      <c r="B2992" s="411">
        <v>46038</v>
      </c>
      <c r="C2992" s="645" t="s">
        <v>2629</v>
      </c>
      <c r="D2992" s="185">
        <f t="shared" si="1341"/>
        <v>2026</v>
      </c>
      <c r="E2992" s="412" t="e">
        <f>VLOOKUP($B2992,Week!$A$1:$C$1462,2,0)</f>
        <v>#N/A</v>
      </c>
      <c r="F2992" s="413" t="str">
        <f t="shared" si="1342"/>
        <v>Jan</v>
      </c>
      <c r="G2992" s="414" t="s">
        <v>47</v>
      </c>
      <c r="H2992" s="414" t="s">
        <v>260</v>
      </c>
      <c r="I2992" s="414" t="s">
        <v>2702</v>
      </c>
      <c r="J2992" s="415" t="s">
        <v>261</v>
      </c>
      <c r="K2992" s="416" t="s">
        <v>94</v>
      </c>
      <c r="L2992" s="300" t="s">
        <v>2167</v>
      </c>
      <c r="M2992" s="415" t="s">
        <v>2339</v>
      </c>
      <c r="N2992" s="414" t="s">
        <v>263</v>
      </c>
      <c r="O2992" s="414" t="s">
        <v>195</v>
      </c>
      <c r="P2992" s="417">
        <v>24</v>
      </c>
      <c r="Q2992" s="417">
        <v>5</v>
      </c>
      <c r="R2992" s="418">
        <v>8.0000000000000002E-3</v>
      </c>
      <c r="S2992" s="414" t="s">
        <v>40</v>
      </c>
      <c r="T2992" s="414" t="s">
        <v>56</v>
      </c>
      <c r="U2992" s="414" t="s">
        <v>57</v>
      </c>
      <c r="V2992" s="419">
        <f>1136</f>
        <v>1136</v>
      </c>
      <c r="W2992" s="419">
        <v>1136</v>
      </c>
      <c r="X2992" s="420"/>
      <c r="Y2992" s="421">
        <f t="shared" si="1343"/>
        <v>0</v>
      </c>
      <c r="Z2992" s="422">
        <f t="shared" si="1344"/>
        <v>0</v>
      </c>
      <c r="AA2992" s="422">
        <f t="shared" si="1354"/>
        <v>0</v>
      </c>
      <c r="AB2992" s="825">
        <v>7.4999999999999997E-3</v>
      </c>
      <c r="AC2992" s="419">
        <f t="shared" si="1345"/>
        <v>0</v>
      </c>
      <c r="AD2992" s="209"/>
      <c r="AE2992" s="210">
        <f t="shared" si="1357"/>
        <v>0</v>
      </c>
      <c r="AF2992" s="210">
        <f t="shared" si="1358"/>
        <v>0</v>
      </c>
      <c r="AG2992" s="211">
        <f t="shared" ref="AG2992:AG3001" si="1359">MID(O2992,1,3)/1000</f>
        <v>0.14499999999999999</v>
      </c>
      <c r="AH2992" s="157">
        <f t="shared" si="1347"/>
        <v>0</v>
      </c>
      <c r="AI2992" s="152">
        <f t="shared" si="1356"/>
        <v>27264</v>
      </c>
      <c r="AK2992" s="156" t="s">
        <v>691</v>
      </c>
      <c r="AL2992" s="212" t="s">
        <v>690</v>
      </c>
      <c r="AM2992" s="198">
        <f t="shared" si="1349"/>
        <v>0</v>
      </c>
      <c r="AN2992" s="199">
        <f t="shared" si="1350"/>
        <v>46038</v>
      </c>
      <c r="AO2992" s="159" t="s">
        <v>692</v>
      </c>
      <c r="AP2992" s="783" t="s">
        <v>609</v>
      </c>
      <c r="AQ2992" s="782">
        <v>12071839</v>
      </c>
      <c r="AR2992" s="782">
        <v>12047514</v>
      </c>
      <c r="AS2992" s="782">
        <v>12047515</v>
      </c>
      <c r="AT2992" s="781"/>
      <c r="AU2992" s="781"/>
      <c r="AV2992" s="782">
        <v>12080613</v>
      </c>
      <c r="AW2992" s="781"/>
      <c r="AX2992" s="781"/>
      <c r="AY2992" s="782">
        <v>12094241</v>
      </c>
      <c r="AZ2992" s="782">
        <v>12094242</v>
      </c>
      <c r="BA2992" s="781"/>
      <c r="BB2992" s="209">
        <v>23053185</v>
      </c>
    </row>
    <row r="2993" spans="1:54" ht="24.65" customHeight="1">
      <c r="A2993" s="529" t="s">
        <v>255</v>
      </c>
      <c r="B2993" s="411">
        <v>46038</v>
      </c>
      <c r="C2993" s="645" t="s">
        <v>2629</v>
      </c>
      <c r="D2993" s="185">
        <f t="shared" si="1341"/>
        <v>2026</v>
      </c>
      <c r="E2993" s="412" t="e">
        <f>VLOOKUP($B2993,Week!$A$1:$C$1462,2,0)</f>
        <v>#N/A</v>
      </c>
      <c r="F2993" s="413" t="str">
        <f t="shared" si="1342"/>
        <v>Jan</v>
      </c>
      <c r="G2993" s="414" t="s">
        <v>47</v>
      </c>
      <c r="H2993" s="414" t="s">
        <v>260</v>
      </c>
      <c r="I2993" s="414" t="s">
        <v>2702</v>
      </c>
      <c r="J2993" s="415" t="s">
        <v>261</v>
      </c>
      <c r="K2993" s="416" t="s">
        <v>94</v>
      </c>
      <c r="L2993" s="300" t="s">
        <v>2167</v>
      </c>
      <c r="M2993" s="415" t="s">
        <v>2339</v>
      </c>
      <c r="N2993" s="414" t="s">
        <v>263</v>
      </c>
      <c r="O2993" s="414" t="s">
        <v>195</v>
      </c>
      <c r="P2993" s="417">
        <v>24</v>
      </c>
      <c r="Q2993" s="417">
        <v>5</v>
      </c>
      <c r="R2993" s="418">
        <v>8.0000000000000002E-3</v>
      </c>
      <c r="S2993" s="414" t="s">
        <v>40</v>
      </c>
      <c r="T2993" s="414" t="s">
        <v>56</v>
      </c>
      <c r="U2993" s="414" t="s">
        <v>57</v>
      </c>
      <c r="V2993" s="419">
        <f>704</f>
        <v>704</v>
      </c>
      <c r="W2993" s="419">
        <f>1840-1136</f>
        <v>704</v>
      </c>
      <c r="X2993" s="420"/>
      <c r="Y2993" s="421">
        <f t="shared" si="1343"/>
        <v>0</v>
      </c>
      <c r="Z2993" s="422">
        <f t="shared" si="1344"/>
        <v>0</v>
      </c>
      <c r="AA2993" s="422">
        <f t="shared" si="1354"/>
        <v>0</v>
      </c>
      <c r="AB2993" s="825">
        <v>7.4999999999999997E-3</v>
      </c>
      <c r="AC2993" s="419">
        <f t="shared" si="1345"/>
        <v>0</v>
      </c>
      <c r="AD2993" s="209"/>
      <c r="AE2993" s="210">
        <f t="shared" si="1357"/>
        <v>0</v>
      </c>
      <c r="AF2993" s="210">
        <f t="shared" si="1358"/>
        <v>0</v>
      </c>
      <c r="AG2993" s="211">
        <f t="shared" si="1359"/>
        <v>0.14499999999999999</v>
      </c>
      <c r="AH2993" s="157">
        <f t="shared" si="1347"/>
        <v>0</v>
      </c>
      <c r="AI2993" s="152">
        <f t="shared" si="1356"/>
        <v>16896</v>
      </c>
      <c r="AK2993" s="156" t="s">
        <v>691</v>
      </c>
      <c r="AL2993" s="212" t="s">
        <v>690</v>
      </c>
      <c r="AM2993" s="198">
        <f t="shared" ref="AM2993:AM3028" si="1360">AG2993*Z2993</f>
        <v>0</v>
      </c>
      <c r="AN2993" s="199">
        <f t="shared" ref="AN2993:AN3028" si="1361">B2993</f>
        <v>46038</v>
      </c>
      <c r="AO2993" s="159" t="s">
        <v>692</v>
      </c>
      <c r="AP2993" s="783" t="s">
        <v>609</v>
      </c>
      <c r="AQ2993" s="782">
        <v>12071839</v>
      </c>
      <c r="AR2993" s="782">
        <v>12047514</v>
      </c>
      <c r="AS2993" s="782">
        <v>12047515</v>
      </c>
      <c r="AT2993" s="781"/>
      <c r="AU2993" s="781"/>
      <c r="AV2993" s="782">
        <v>12080613</v>
      </c>
      <c r="AW2993" s="781"/>
      <c r="AX2993" s="781"/>
      <c r="AY2993" s="782">
        <v>12094241</v>
      </c>
      <c r="AZ2993" s="782">
        <v>12094242</v>
      </c>
      <c r="BA2993" s="781"/>
      <c r="BB2993" s="209">
        <v>23053185</v>
      </c>
    </row>
    <row r="2994" spans="1:54" ht="25" customHeight="1">
      <c r="A2994" s="529" t="s">
        <v>255</v>
      </c>
      <c r="B2994" s="398">
        <v>46038</v>
      </c>
      <c r="C2994" s="879" t="s">
        <v>1936</v>
      </c>
      <c r="D2994" s="185">
        <f t="shared" si="1341"/>
        <v>2026</v>
      </c>
      <c r="E2994" s="399" t="e">
        <f>VLOOKUP($B2994,Week!$A$1:$C$1462,2,0)</f>
        <v>#N/A</v>
      </c>
      <c r="F2994" s="400" t="str">
        <f t="shared" si="1342"/>
        <v>Jan</v>
      </c>
      <c r="G2994" s="401" t="s">
        <v>47</v>
      </c>
      <c r="H2994" s="401" t="s">
        <v>518</v>
      </c>
      <c r="I2994" s="401" t="s">
        <v>2702</v>
      </c>
      <c r="J2994" s="402" t="s">
        <v>70</v>
      </c>
      <c r="K2994" s="403" t="s">
        <v>1645</v>
      </c>
      <c r="L2994" s="300" t="s">
        <v>2167</v>
      </c>
      <c r="M2994" s="402" t="s">
        <v>2692</v>
      </c>
      <c r="N2994" s="404" t="s">
        <v>2682</v>
      </c>
      <c r="O2994" s="401" t="s">
        <v>2663</v>
      </c>
      <c r="P2994" s="405">
        <v>18</v>
      </c>
      <c r="Q2994" s="405">
        <v>5</v>
      </c>
      <c r="R2994" s="406">
        <v>8.0000000000000002E-3</v>
      </c>
      <c r="S2994" s="401" t="s">
        <v>352</v>
      </c>
      <c r="T2994" s="401" t="s">
        <v>56</v>
      </c>
      <c r="U2994" s="770" t="s">
        <v>669</v>
      </c>
      <c r="V2994" s="407">
        <f>1750</f>
        <v>1750</v>
      </c>
      <c r="W2994" s="407"/>
      <c r="X2994" s="408">
        <f>(10500)/6</f>
        <v>1750</v>
      </c>
      <c r="Y2994" s="409">
        <f t="shared" si="1343"/>
        <v>0</v>
      </c>
      <c r="Z2994" s="410">
        <f t="shared" si="1344"/>
        <v>0</v>
      </c>
      <c r="AA2994" s="410">
        <f t="shared" si="1354"/>
        <v>0</v>
      </c>
      <c r="AB2994" s="824">
        <v>8.9999999999999993E-3</v>
      </c>
      <c r="AC2994" s="407">
        <f t="shared" si="1345"/>
        <v>0</v>
      </c>
      <c r="AD2994" s="443" t="s">
        <v>2764</v>
      </c>
      <c r="AE2994" s="210">
        <f t="shared" si="1357"/>
        <v>0</v>
      </c>
      <c r="AF2994" s="210">
        <f t="shared" si="1358"/>
        <v>0</v>
      </c>
      <c r="AG2994" s="211">
        <f t="shared" si="1359"/>
        <v>0.14299999999999999</v>
      </c>
      <c r="AH2994" s="157">
        <f t="shared" si="1347"/>
        <v>0</v>
      </c>
      <c r="AI2994" s="152">
        <f t="shared" si="1356"/>
        <v>31500</v>
      </c>
      <c r="AK2994" s="156" t="s">
        <v>691</v>
      </c>
      <c r="AL2994" s="212" t="s">
        <v>690</v>
      </c>
      <c r="AM2994" s="198">
        <f t="shared" si="1360"/>
        <v>0</v>
      </c>
      <c r="AN2994" s="199">
        <f t="shared" si="1361"/>
        <v>46038</v>
      </c>
      <c r="AO2994" s="159" t="s">
        <v>692</v>
      </c>
      <c r="AP2994" s="783" t="s">
        <v>623</v>
      </c>
      <c r="AQ2994" s="782">
        <v>12071839</v>
      </c>
      <c r="AR2994" s="782">
        <v>12047514</v>
      </c>
      <c r="AS2994" s="782">
        <v>12047515</v>
      </c>
      <c r="AT2994" s="782"/>
      <c r="AU2994" s="781"/>
      <c r="AV2994" s="782">
        <v>12097424</v>
      </c>
      <c r="AW2994" s="782"/>
      <c r="AX2994" s="782">
        <v>12091078</v>
      </c>
      <c r="AY2994" s="782">
        <v>12096534</v>
      </c>
      <c r="AZ2994" s="782">
        <v>12096535</v>
      </c>
      <c r="BA2994" s="781" t="s">
        <v>2716</v>
      </c>
      <c r="BB2994" s="209">
        <v>23098853</v>
      </c>
    </row>
    <row r="2995" spans="1:54" ht="25.15" customHeight="1">
      <c r="A2995" s="907" t="s">
        <v>255</v>
      </c>
      <c r="B2995" s="345">
        <v>46039</v>
      </c>
      <c r="C2995" s="346">
        <v>46042</v>
      </c>
      <c r="D2995" s="185">
        <f t="shared" ref="D2995:D3000" si="1362">IF(B2995="","",YEAR(B2995))</f>
        <v>2026</v>
      </c>
      <c r="E2995" s="347" t="e">
        <f>VLOOKUP($B2995,Week!$A$1:$C$1462,2,0)</f>
        <v>#N/A</v>
      </c>
      <c r="F2995" s="348" t="str">
        <f t="shared" ref="F2995:F3000" si="1363">IF(B2995="","",TEXT(B2995,"[$-409]mmm"))</f>
        <v>Jan</v>
      </c>
      <c r="G2995" s="347" t="s">
        <v>2564</v>
      </c>
      <c r="H2995" s="347" t="s">
        <v>424</v>
      </c>
      <c r="I2995" s="347" t="s">
        <v>2772</v>
      </c>
      <c r="J2995" s="438" t="s">
        <v>425</v>
      </c>
      <c r="K2995" s="350" t="s">
        <v>176</v>
      </c>
      <c r="L2995" s="350" t="s">
        <v>2167</v>
      </c>
      <c r="M2995" s="349" t="s">
        <v>426</v>
      </c>
      <c r="N2995" s="347" t="s">
        <v>427</v>
      </c>
      <c r="O2995" s="347" t="s">
        <v>599</v>
      </c>
      <c r="P2995" s="351">
        <v>36</v>
      </c>
      <c r="Q2995" s="351">
        <v>5</v>
      </c>
      <c r="R2995" s="352">
        <v>7.4999999999999997E-3</v>
      </c>
      <c r="S2995" s="347" t="s">
        <v>111</v>
      </c>
      <c r="T2995" s="347" t="s">
        <v>112</v>
      </c>
      <c r="U2995" s="347" t="s">
        <v>57</v>
      </c>
      <c r="V2995" s="353">
        <v>1288</v>
      </c>
      <c r="W2995" s="353">
        <f>81+1207</f>
        <v>1288</v>
      </c>
      <c r="X2995" s="354"/>
      <c r="Y2995" s="355">
        <f t="shared" si="1343"/>
        <v>0</v>
      </c>
      <c r="Z2995" s="356">
        <f t="shared" si="1344"/>
        <v>0</v>
      </c>
      <c r="AA2995" s="353">
        <f t="shared" si="1354"/>
        <v>0</v>
      </c>
      <c r="AB2995" s="818">
        <v>7.4999999999999997E-3</v>
      </c>
      <c r="AC2995" s="353">
        <f t="shared" si="1345"/>
        <v>0</v>
      </c>
      <c r="AD2995" s="908" t="s">
        <v>2787</v>
      </c>
      <c r="AE2995" s="210">
        <f t="shared" si="1357"/>
        <v>0</v>
      </c>
      <c r="AF2995" s="210">
        <f t="shared" si="1358"/>
        <v>0</v>
      </c>
      <c r="AG2995" s="211">
        <f t="shared" si="1359"/>
        <v>0.14799999999999999</v>
      </c>
      <c r="AH2995" s="157">
        <f t="shared" si="1347"/>
        <v>0</v>
      </c>
      <c r="AI2995" s="152">
        <f t="shared" si="1356"/>
        <v>46368</v>
      </c>
      <c r="AK2995" s="156" t="s">
        <v>691</v>
      </c>
      <c r="AL2995" s="574" t="s">
        <v>690</v>
      </c>
      <c r="AM2995" s="198">
        <f t="shared" si="1360"/>
        <v>0</v>
      </c>
      <c r="AN2995" s="199">
        <f t="shared" si="1361"/>
        <v>46039</v>
      </c>
      <c r="AO2995" s="159" t="s">
        <v>692</v>
      </c>
      <c r="AP2995" s="783" t="s">
        <v>609</v>
      </c>
      <c r="AQ2995" s="782">
        <v>12071839</v>
      </c>
      <c r="AR2995" s="782">
        <v>12080260</v>
      </c>
      <c r="AS2995" s="782">
        <v>12080259</v>
      </c>
      <c r="AT2995" s="782">
        <v>12096006</v>
      </c>
      <c r="AU2995" s="782"/>
      <c r="AV2995" s="782">
        <v>12096007</v>
      </c>
      <c r="AW2995" s="782">
        <v>12024404</v>
      </c>
      <c r="AX2995" s="781"/>
      <c r="AY2995" s="782">
        <v>12096022</v>
      </c>
      <c r="AZ2995" s="782"/>
      <c r="BA2995" s="781"/>
      <c r="BB2995" s="209">
        <v>23053185</v>
      </c>
    </row>
    <row r="2996" spans="1:54" ht="25.15" customHeight="1">
      <c r="A2996" s="907" t="s">
        <v>255</v>
      </c>
      <c r="B2996" s="345">
        <v>46039</v>
      </c>
      <c r="C2996" s="346">
        <v>46042</v>
      </c>
      <c r="D2996" s="185">
        <f t="shared" si="1362"/>
        <v>2026</v>
      </c>
      <c r="E2996" s="347" t="e">
        <f>VLOOKUP($B2996,Week!$A$1:$C$1462,2,0)</f>
        <v>#N/A</v>
      </c>
      <c r="F2996" s="348" t="str">
        <f t="shared" si="1363"/>
        <v>Jan</v>
      </c>
      <c r="G2996" s="347" t="s">
        <v>2565</v>
      </c>
      <c r="H2996" s="347" t="s">
        <v>424</v>
      </c>
      <c r="I2996" s="347" t="s">
        <v>2772</v>
      </c>
      <c r="J2996" s="438" t="s">
        <v>425</v>
      </c>
      <c r="K2996" s="350" t="s">
        <v>176</v>
      </c>
      <c r="L2996" s="350" t="s">
        <v>2167</v>
      </c>
      <c r="M2996" s="349" t="s">
        <v>426</v>
      </c>
      <c r="N2996" s="347" t="s">
        <v>427</v>
      </c>
      <c r="O2996" s="347" t="s">
        <v>599</v>
      </c>
      <c r="P2996" s="351">
        <v>36</v>
      </c>
      <c r="Q2996" s="351">
        <v>5</v>
      </c>
      <c r="R2996" s="352">
        <v>7.4999999999999997E-3</v>
      </c>
      <c r="S2996" s="347" t="s">
        <v>111</v>
      </c>
      <c r="T2996" s="347" t="s">
        <v>112</v>
      </c>
      <c r="U2996" s="347" t="s">
        <v>57</v>
      </c>
      <c r="V2996" s="353">
        <v>1288</v>
      </c>
      <c r="W2996" s="353">
        <f>1984-1207</f>
        <v>777</v>
      </c>
      <c r="X2996" s="354">
        <f>(22973-2916+4177)/36</f>
        <v>673.16666666666663</v>
      </c>
      <c r="Y2996" s="355">
        <f t="shared" si="1343"/>
        <v>162.16666666666652</v>
      </c>
      <c r="Z2996" s="356">
        <f t="shared" si="1344"/>
        <v>0</v>
      </c>
      <c r="AA2996" s="353">
        <f t="shared" si="1354"/>
        <v>0</v>
      </c>
      <c r="AB2996" s="818">
        <v>7.4999999999999997E-3</v>
      </c>
      <c r="AC2996" s="353">
        <f t="shared" si="1345"/>
        <v>0</v>
      </c>
      <c r="AD2996" s="908" t="s">
        <v>2787</v>
      </c>
      <c r="AE2996" s="210">
        <f t="shared" si="1357"/>
        <v>0</v>
      </c>
      <c r="AF2996" s="210">
        <f t="shared" si="1358"/>
        <v>0</v>
      </c>
      <c r="AG2996" s="211">
        <f t="shared" si="1359"/>
        <v>0.14799999999999999</v>
      </c>
      <c r="AH2996" s="157">
        <f t="shared" si="1347"/>
        <v>0</v>
      </c>
      <c r="AI2996" s="152">
        <f t="shared" si="1356"/>
        <v>46368</v>
      </c>
      <c r="AK2996" s="156" t="s">
        <v>691</v>
      </c>
      <c r="AL2996" s="574" t="s">
        <v>690</v>
      </c>
      <c r="AM2996" s="198">
        <f t="shared" si="1360"/>
        <v>0</v>
      </c>
      <c r="AN2996" s="199">
        <f t="shared" si="1361"/>
        <v>46039</v>
      </c>
      <c r="AO2996" s="159" t="s">
        <v>692</v>
      </c>
      <c r="AP2996" s="783" t="s">
        <v>609</v>
      </c>
      <c r="AQ2996" s="782">
        <v>12071839</v>
      </c>
      <c r="AR2996" s="782">
        <v>12080260</v>
      </c>
      <c r="AS2996" s="782">
        <v>12080259</v>
      </c>
      <c r="AT2996" s="782">
        <v>12096006</v>
      </c>
      <c r="AU2996" s="782"/>
      <c r="AV2996" s="782">
        <v>12096007</v>
      </c>
      <c r="AW2996" s="782">
        <v>12024404</v>
      </c>
      <c r="AX2996" s="781"/>
      <c r="AY2996" s="782">
        <v>12096022</v>
      </c>
      <c r="AZ2996" s="782"/>
      <c r="BA2996" s="781"/>
      <c r="BB2996" s="209">
        <v>23053185</v>
      </c>
    </row>
    <row r="2997" spans="1:54" ht="25" customHeight="1">
      <c r="A2997" s="529" t="s">
        <v>255</v>
      </c>
      <c r="B2997" s="357">
        <v>46039</v>
      </c>
      <c r="C2997" s="776" t="s">
        <v>2629</v>
      </c>
      <c r="D2997" s="185">
        <f t="shared" si="1362"/>
        <v>2026</v>
      </c>
      <c r="E2997" s="358" t="e">
        <f>VLOOKUP($B2997,Week!$A$1:$C$1462,2,0)</f>
        <v>#N/A</v>
      </c>
      <c r="F2997" s="360" t="str">
        <f t="shared" si="1363"/>
        <v>Jan</v>
      </c>
      <c r="G2997" s="359" t="s">
        <v>47</v>
      </c>
      <c r="H2997" s="359" t="s">
        <v>518</v>
      </c>
      <c r="I2997" s="359" t="s">
        <v>2702</v>
      </c>
      <c r="J2997" s="361" t="s">
        <v>70</v>
      </c>
      <c r="K2997" s="362" t="s">
        <v>94</v>
      </c>
      <c r="L2997" s="300" t="s">
        <v>2167</v>
      </c>
      <c r="M2997" s="361" t="s">
        <v>2341</v>
      </c>
      <c r="N2997" s="359" t="s">
        <v>589</v>
      </c>
      <c r="O2997" s="359" t="s">
        <v>97</v>
      </c>
      <c r="P2997" s="363">
        <v>12</v>
      </c>
      <c r="Q2997" s="363">
        <v>5</v>
      </c>
      <c r="R2997" s="364">
        <v>8.0000000000000002E-3</v>
      </c>
      <c r="S2997" s="359" t="s">
        <v>40</v>
      </c>
      <c r="T2997" s="359" t="s">
        <v>56</v>
      </c>
      <c r="U2997" s="359" t="s">
        <v>57</v>
      </c>
      <c r="V2997" s="365">
        <v>2220</v>
      </c>
      <c r="W2997" s="365">
        <v>2220</v>
      </c>
      <c r="X2997" s="366"/>
      <c r="Y2997" s="367">
        <f t="shared" si="1343"/>
        <v>0</v>
      </c>
      <c r="Z2997" s="368">
        <f t="shared" si="1344"/>
        <v>0</v>
      </c>
      <c r="AA2997" s="368">
        <f t="shared" si="1354"/>
        <v>0</v>
      </c>
      <c r="AB2997" s="819">
        <v>7.4999999999999997E-3</v>
      </c>
      <c r="AC2997" s="365">
        <f t="shared" si="1345"/>
        <v>0</v>
      </c>
      <c r="AD2997" s="209"/>
      <c r="AE2997" s="210">
        <f t="shared" si="1357"/>
        <v>0</v>
      </c>
      <c r="AF2997" s="210">
        <f t="shared" si="1358"/>
        <v>0</v>
      </c>
      <c r="AG2997" s="211">
        <f t="shared" si="1359"/>
        <v>0.14499999999999999</v>
      </c>
      <c r="AH2997" s="157">
        <f t="shared" si="1347"/>
        <v>0</v>
      </c>
      <c r="AI2997" s="152">
        <f t="shared" si="1356"/>
        <v>26640</v>
      </c>
      <c r="AK2997" s="156" t="s">
        <v>691</v>
      </c>
      <c r="AL2997" s="574" t="s">
        <v>690</v>
      </c>
      <c r="AM2997" s="198">
        <f t="shared" si="1360"/>
        <v>0</v>
      </c>
      <c r="AN2997" s="199">
        <f t="shared" si="1361"/>
        <v>46039</v>
      </c>
      <c r="AO2997" s="159" t="s">
        <v>692</v>
      </c>
      <c r="AP2997" s="783" t="s">
        <v>628</v>
      </c>
      <c r="AQ2997" s="782">
        <v>12071839</v>
      </c>
      <c r="AR2997" s="782">
        <v>12047514</v>
      </c>
      <c r="AS2997" s="782">
        <v>12047515</v>
      </c>
      <c r="AT2997" s="782"/>
      <c r="AU2997" s="781"/>
      <c r="AV2997" s="782">
        <v>12080617</v>
      </c>
      <c r="AW2997" s="782"/>
      <c r="AX2997" s="782"/>
      <c r="AY2997" s="782">
        <v>12094231</v>
      </c>
      <c r="AZ2997" s="782">
        <v>1209232</v>
      </c>
      <c r="BA2997" s="781"/>
      <c r="BB2997" s="209">
        <v>23053185</v>
      </c>
    </row>
    <row r="2998" spans="1:54" ht="25" customHeight="1">
      <c r="B2998" s="357">
        <v>46039</v>
      </c>
      <c r="C2998" s="776" t="s">
        <v>2629</v>
      </c>
      <c r="D2998" s="185">
        <f t="shared" si="1362"/>
        <v>2026</v>
      </c>
      <c r="E2998" s="358" t="e">
        <f>VLOOKUP($B2998,Week!$A$1:$C$1462,2,0)</f>
        <v>#N/A</v>
      </c>
      <c r="F2998" s="360" t="str">
        <f t="shared" si="1363"/>
        <v>Jan</v>
      </c>
      <c r="G2998" s="359" t="s">
        <v>47</v>
      </c>
      <c r="H2998" s="359" t="s">
        <v>518</v>
      </c>
      <c r="I2998" s="359" t="s">
        <v>2702</v>
      </c>
      <c r="J2998" s="361" t="s">
        <v>70</v>
      </c>
      <c r="K2998" s="362" t="s">
        <v>94</v>
      </c>
      <c r="L2998" s="300" t="s">
        <v>2167</v>
      </c>
      <c r="M2998" s="361" t="s">
        <v>2341</v>
      </c>
      <c r="N2998" s="359" t="s">
        <v>589</v>
      </c>
      <c r="O2998" s="359" t="s">
        <v>97</v>
      </c>
      <c r="P2998" s="363">
        <v>12</v>
      </c>
      <c r="Q2998" s="363">
        <v>5</v>
      </c>
      <c r="R2998" s="364">
        <v>8.0000000000000002E-3</v>
      </c>
      <c r="S2998" s="359" t="s">
        <v>40</v>
      </c>
      <c r="T2998" s="359" t="s">
        <v>56</v>
      </c>
      <c r="U2998" s="359" t="s">
        <v>57</v>
      </c>
      <c r="V2998" s="365">
        <f>3750-1498-2220</f>
        <v>32</v>
      </c>
      <c r="W2998" s="365">
        <v>32</v>
      </c>
      <c r="X2998" s="366"/>
      <c r="Y2998" s="367">
        <f t="shared" si="1343"/>
        <v>0</v>
      </c>
      <c r="Z2998" s="368">
        <f t="shared" si="1344"/>
        <v>0</v>
      </c>
      <c r="AA2998" s="368">
        <f t="shared" si="1354"/>
        <v>0</v>
      </c>
      <c r="AB2998" s="819">
        <v>7.4999999999999997E-3</v>
      </c>
      <c r="AC2998" s="365">
        <f t="shared" si="1345"/>
        <v>0</v>
      </c>
      <c r="AD2998" s="209"/>
      <c r="AE2998" s="210">
        <f t="shared" si="1357"/>
        <v>0</v>
      </c>
      <c r="AF2998" s="210">
        <f t="shared" si="1358"/>
        <v>0</v>
      </c>
      <c r="AG2998" s="211">
        <f t="shared" si="1359"/>
        <v>0.14499999999999999</v>
      </c>
      <c r="AH2998" s="157">
        <f t="shared" si="1347"/>
        <v>0</v>
      </c>
      <c r="AI2998" s="152">
        <f t="shared" si="1356"/>
        <v>384</v>
      </c>
      <c r="AK2998" s="156" t="s">
        <v>691</v>
      </c>
      <c r="AL2998" s="574" t="s">
        <v>690</v>
      </c>
      <c r="AM2998" s="198">
        <f t="shared" si="1360"/>
        <v>0</v>
      </c>
      <c r="AN2998" s="199">
        <f t="shared" si="1361"/>
        <v>46039</v>
      </c>
      <c r="AO2998" s="159" t="s">
        <v>692</v>
      </c>
      <c r="AP2998" s="783" t="s">
        <v>628</v>
      </c>
      <c r="AQ2998" s="782">
        <v>12071839</v>
      </c>
      <c r="AR2998" s="782">
        <v>12047514</v>
      </c>
      <c r="AS2998" s="782">
        <v>12047515</v>
      </c>
      <c r="AT2998" s="782"/>
      <c r="AU2998" s="781"/>
      <c r="AV2998" s="782">
        <v>12080617</v>
      </c>
      <c r="AW2998" s="782"/>
      <c r="AX2998" s="782"/>
      <c r="AY2998" s="782">
        <v>12094231</v>
      </c>
      <c r="AZ2998" s="782">
        <v>1209232</v>
      </c>
      <c r="BA2998" s="781"/>
      <c r="BB2998" s="209">
        <v>23053185</v>
      </c>
    </row>
    <row r="2999" spans="1:54" ht="24.65" customHeight="1">
      <c r="A2999" s="529" t="s">
        <v>255</v>
      </c>
      <c r="B2999" s="411">
        <v>46039</v>
      </c>
      <c r="C2999" s="645" t="s">
        <v>2629</v>
      </c>
      <c r="D2999" s="185">
        <f t="shared" si="1362"/>
        <v>2026</v>
      </c>
      <c r="E2999" s="412" t="e">
        <f>VLOOKUP($B2999,Week!$A$1:$C$1462,2,0)</f>
        <v>#N/A</v>
      </c>
      <c r="F2999" s="413" t="str">
        <f t="shared" si="1363"/>
        <v>Jan</v>
      </c>
      <c r="G2999" s="414" t="s">
        <v>47</v>
      </c>
      <c r="H2999" s="414" t="s">
        <v>260</v>
      </c>
      <c r="I2999" s="414" t="s">
        <v>2702</v>
      </c>
      <c r="J2999" s="415" t="s">
        <v>261</v>
      </c>
      <c r="K2999" s="416" t="s">
        <v>94</v>
      </c>
      <c r="L2999" s="300" t="s">
        <v>2167</v>
      </c>
      <c r="M2999" s="415" t="s">
        <v>2339</v>
      </c>
      <c r="N2999" s="414" t="s">
        <v>263</v>
      </c>
      <c r="O2999" s="414" t="s">
        <v>195</v>
      </c>
      <c r="P2999" s="417">
        <v>24</v>
      </c>
      <c r="Q2999" s="417">
        <v>5</v>
      </c>
      <c r="R2999" s="418">
        <v>8.0000000000000002E-3</v>
      </c>
      <c r="S2999" s="414" t="s">
        <v>40</v>
      </c>
      <c r="T2999" s="414" t="s">
        <v>56</v>
      </c>
      <c r="U2999" s="414" t="s">
        <v>57</v>
      </c>
      <c r="V2999" s="419">
        <f>1559-704</f>
        <v>855</v>
      </c>
      <c r="W2999" s="419">
        <v>855</v>
      </c>
      <c r="X2999" s="420"/>
      <c r="Y2999" s="421">
        <f t="shared" si="1343"/>
        <v>0</v>
      </c>
      <c r="Z2999" s="422">
        <f t="shared" si="1344"/>
        <v>0</v>
      </c>
      <c r="AA2999" s="422">
        <f t="shared" si="1354"/>
        <v>0</v>
      </c>
      <c r="AB2999" s="825">
        <v>7.4999999999999997E-3</v>
      </c>
      <c r="AC2999" s="419">
        <f t="shared" si="1345"/>
        <v>0</v>
      </c>
      <c r="AD2999" s="209"/>
      <c r="AE2999" s="210">
        <f t="shared" si="1357"/>
        <v>0</v>
      </c>
      <c r="AF2999" s="210">
        <f t="shared" si="1358"/>
        <v>0</v>
      </c>
      <c r="AG2999" s="211">
        <f t="shared" si="1359"/>
        <v>0.14499999999999999</v>
      </c>
      <c r="AH2999" s="157">
        <f t="shared" si="1347"/>
        <v>0</v>
      </c>
      <c r="AI2999" s="152">
        <f t="shared" si="1356"/>
        <v>20520</v>
      </c>
      <c r="AK2999" s="156" t="s">
        <v>691</v>
      </c>
      <c r="AL2999" s="212" t="s">
        <v>690</v>
      </c>
      <c r="AM2999" s="198">
        <f t="shared" si="1360"/>
        <v>0</v>
      </c>
      <c r="AN2999" s="199">
        <f t="shared" si="1361"/>
        <v>46039</v>
      </c>
      <c r="AO2999" s="159" t="s">
        <v>692</v>
      </c>
      <c r="AP2999" s="783" t="s">
        <v>609</v>
      </c>
      <c r="AQ2999" s="782">
        <v>12071839</v>
      </c>
      <c r="AR2999" s="782">
        <v>12047514</v>
      </c>
      <c r="AS2999" s="782">
        <v>12047515</v>
      </c>
      <c r="AT2999" s="781"/>
      <c r="AU2999" s="781"/>
      <c r="AV2999" s="782">
        <v>12080613</v>
      </c>
      <c r="AW2999" s="781"/>
      <c r="AX2999" s="781"/>
      <c r="AY2999" s="782">
        <v>12094241</v>
      </c>
      <c r="AZ2999" s="782">
        <v>12094242</v>
      </c>
      <c r="BA2999" s="781"/>
      <c r="BB2999" s="209">
        <v>23053185</v>
      </c>
    </row>
    <row r="3000" spans="1:54" ht="24.65" customHeight="1">
      <c r="B3000" s="411">
        <v>46039</v>
      </c>
      <c r="C3000" s="645" t="s">
        <v>2629</v>
      </c>
      <c r="D3000" s="185">
        <f t="shared" si="1362"/>
        <v>2026</v>
      </c>
      <c r="E3000" s="412" t="e">
        <f>VLOOKUP($B3000,Week!$A$1:$C$1462,2,0)</f>
        <v>#N/A</v>
      </c>
      <c r="F3000" s="413" t="str">
        <f t="shared" si="1363"/>
        <v>Jan</v>
      </c>
      <c r="G3000" s="414" t="s">
        <v>47</v>
      </c>
      <c r="H3000" s="414" t="s">
        <v>260</v>
      </c>
      <c r="I3000" s="414" t="s">
        <v>2702</v>
      </c>
      <c r="J3000" s="415" t="s">
        <v>261</v>
      </c>
      <c r="K3000" s="416" t="s">
        <v>94</v>
      </c>
      <c r="L3000" s="300" t="s">
        <v>2167</v>
      </c>
      <c r="M3000" s="415" t="s">
        <v>2339</v>
      </c>
      <c r="N3000" s="414" t="s">
        <v>263</v>
      </c>
      <c r="O3000" s="414" t="s">
        <v>195</v>
      </c>
      <c r="P3000" s="417">
        <v>24</v>
      </c>
      <c r="Q3000" s="417">
        <v>5</v>
      </c>
      <c r="R3000" s="418">
        <v>8.0000000000000002E-3</v>
      </c>
      <c r="S3000" s="414" t="s">
        <v>40</v>
      </c>
      <c r="T3000" s="414" t="s">
        <v>56</v>
      </c>
      <c r="U3000" s="414" t="s">
        <v>57</v>
      </c>
      <c r="V3000" s="419">
        <v>654</v>
      </c>
      <c r="W3000" s="419">
        <f>1508-855+1</f>
        <v>654</v>
      </c>
      <c r="X3000" s="420"/>
      <c r="Y3000" s="421">
        <f t="shared" si="1343"/>
        <v>0</v>
      </c>
      <c r="Z3000" s="422">
        <f t="shared" si="1344"/>
        <v>0</v>
      </c>
      <c r="AA3000" s="422">
        <f t="shared" si="1354"/>
        <v>0</v>
      </c>
      <c r="AB3000" s="825">
        <v>7.4999999999999997E-3</v>
      </c>
      <c r="AC3000" s="419">
        <f t="shared" si="1345"/>
        <v>0</v>
      </c>
      <c r="AD3000" s="209" t="s">
        <v>2698</v>
      </c>
      <c r="AE3000" s="210">
        <f t="shared" si="1357"/>
        <v>0</v>
      </c>
      <c r="AF3000" s="210">
        <f t="shared" si="1358"/>
        <v>0</v>
      </c>
      <c r="AG3000" s="211">
        <f t="shared" si="1359"/>
        <v>0.14499999999999999</v>
      </c>
      <c r="AH3000" s="157">
        <f t="shared" si="1347"/>
        <v>0</v>
      </c>
      <c r="AI3000" s="152">
        <f t="shared" si="1356"/>
        <v>15696</v>
      </c>
      <c r="AK3000" s="156" t="s">
        <v>691</v>
      </c>
      <c r="AL3000" s="212" t="s">
        <v>690</v>
      </c>
      <c r="AM3000" s="198">
        <f t="shared" si="1360"/>
        <v>0</v>
      </c>
      <c r="AN3000" s="199">
        <f t="shared" si="1361"/>
        <v>46039</v>
      </c>
      <c r="AO3000" s="159" t="s">
        <v>692</v>
      </c>
      <c r="AP3000" s="783" t="s">
        <v>609</v>
      </c>
      <c r="AQ3000" s="782">
        <v>12071839</v>
      </c>
      <c r="AR3000" s="782">
        <v>12047514</v>
      </c>
      <c r="AS3000" s="782">
        <v>12047515</v>
      </c>
      <c r="AT3000" s="781"/>
      <c r="AU3000" s="781"/>
      <c r="AV3000" s="782">
        <v>12080613</v>
      </c>
      <c r="AW3000" s="781"/>
      <c r="AX3000" s="781"/>
      <c r="AY3000" s="782">
        <v>12094241</v>
      </c>
      <c r="AZ3000" s="782">
        <v>12094242</v>
      </c>
      <c r="BA3000" s="781"/>
      <c r="BB3000" s="209">
        <v>23053185</v>
      </c>
    </row>
    <row r="3001" spans="1:54" ht="25" customHeight="1">
      <c r="B3001" s="320">
        <v>46039</v>
      </c>
      <c r="C3001" s="844" t="s">
        <v>2629</v>
      </c>
      <c r="D3001" s="185">
        <f t="shared" ref="D3001:D3032" si="1364">IF(B3001="","",YEAR(B3001))</f>
        <v>2026</v>
      </c>
      <c r="E3001" s="321" t="e">
        <f>VLOOKUP($B3001,Week!$A$1:$C$1462,2,0)</f>
        <v>#N/A</v>
      </c>
      <c r="F3001" s="322" t="str">
        <f t="shared" ref="F3001:F3032" si="1365">IF(B3001="","",TEXT(B3001,"[$-409]mmm"))</f>
        <v>Jan</v>
      </c>
      <c r="G3001" s="323" t="s">
        <v>47</v>
      </c>
      <c r="H3001" s="323" t="s">
        <v>518</v>
      </c>
      <c r="I3001" s="323" t="s">
        <v>2702</v>
      </c>
      <c r="J3001" s="324" t="s">
        <v>70</v>
      </c>
      <c r="K3001" s="325" t="s">
        <v>564</v>
      </c>
      <c r="L3001" s="300" t="s">
        <v>2167</v>
      </c>
      <c r="M3001" s="324" t="s">
        <v>2343</v>
      </c>
      <c r="N3001" s="323" t="s">
        <v>559</v>
      </c>
      <c r="O3001" s="323" t="s">
        <v>560</v>
      </c>
      <c r="P3001" s="326">
        <v>12</v>
      </c>
      <c r="Q3001" s="326">
        <v>3</v>
      </c>
      <c r="R3001" s="327">
        <v>8.0000000000000002E-3</v>
      </c>
      <c r="S3001" s="323" t="s">
        <v>40</v>
      </c>
      <c r="T3001" s="323" t="s">
        <v>56</v>
      </c>
      <c r="U3001" s="323" t="s">
        <v>57</v>
      </c>
      <c r="V3001" s="397">
        <f>500</f>
        <v>500</v>
      </c>
      <c r="W3001" s="328">
        <f>6+5+489</f>
        <v>500</v>
      </c>
      <c r="X3001" s="329"/>
      <c r="Y3001" s="330">
        <f t="shared" si="1343"/>
        <v>0</v>
      </c>
      <c r="Z3001" s="331">
        <f t="shared" si="1344"/>
        <v>0</v>
      </c>
      <c r="AA3001" s="331">
        <f t="shared" si="1354"/>
        <v>0</v>
      </c>
      <c r="AB3001" s="816">
        <v>7.4999999999999997E-3</v>
      </c>
      <c r="AC3001" s="328">
        <f t="shared" si="1345"/>
        <v>0</v>
      </c>
      <c r="AD3001" s="209"/>
      <c r="AE3001" s="210">
        <f t="shared" si="1357"/>
        <v>0</v>
      </c>
      <c r="AF3001" s="210">
        <f t="shared" si="1358"/>
        <v>0</v>
      </c>
      <c r="AG3001" s="211">
        <f t="shared" si="1359"/>
        <v>0.22600000000000001</v>
      </c>
      <c r="AH3001" s="157">
        <f t="shared" si="1347"/>
        <v>0</v>
      </c>
      <c r="AI3001" s="152">
        <f t="shared" si="1356"/>
        <v>6000</v>
      </c>
      <c r="AK3001" s="156" t="s">
        <v>691</v>
      </c>
      <c r="AL3001" s="212" t="s">
        <v>690</v>
      </c>
      <c r="AM3001" s="198">
        <f t="shared" si="1360"/>
        <v>0</v>
      </c>
      <c r="AN3001" s="199">
        <f t="shared" si="1361"/>
        <v>46039</v>
      </c>
      <c r="AO3001" s="159" t="s">
        <v>692</v>
      </c>
      <c r="AP3001" s="783" t="s">
        <v>623</v>
      </c>
      <c r="AQ3001" s="782">
        <v>12071839</v>
      </c>
      <c r="AR3001" s="782">
        <v>12042650</v>
      </c>
      <c r="AS3001" s="782">
        <v>12042649</v>
      </c>
      <c r="AT3001" s="782"/>
      <c r="AU3001" s="781"/>
      <c r="AV3001" s="782">
        <v>12083156</v>
      </c>
      <c r="AW3001" s="782"/>
      <c r="AX3001" s="782"/>
      <c r="AY3001" s="782">
        <v>12094235</v>
      </c>
      <c r="AZ3001" s="782">
        <v>12094236</v>
      </c>
      <c r="BA3001" s="781"/>
      <c r="BB3001" s="209">
        <v>23053185</v>
      </c>
    </row>
    <row r="3002" spans="1:54" ht="25" customHeight="1">
      <c r="B3002" s="183">
        <v>46040</v>
      </c>
      <c r="C3002" s="184"/>
      <c r="D3002" s="185">
        <f t="shared" si="1364"/>
        <v>2026</v>
      </c>
      <c r="E3002" s="185" t="e">
        <f>VLOOKUP($B3002,Week!$A$1:$C$1462,2,0)</f>
        <v>#N/A</v>
      </c>
      <c r="F3002" s="186" t="str">
        <f t="shared" si="1365"/>
        <v>Jan</v>
      </c>
      <c r="G3002" s="481"/>
      <c r="H3002" s="185"/>
      <c r="I3002" s="185"/>
      <c r="J3002" s="187"/>
      <c r="K3002" s="188"/>
      <c r="L3002" s="188"/>
      <c r="M3002" s="187"/>
      <c r="N3002" s="185"/>
      <c r="O3002" s="185"/>
      <c r="P3002" s="189"/>
      <c r="Q3002" s="189"/>
      <c r="R3002" s="190"/>
      <c r="S3002" s="185"/>
      <c r="T3002" s="185"/>
      <c r="U3002" s="185"/>
      <c r="V3002" s="191"/>
      <c r="W3002" s="191"/>
      <c r="X3002" s="192"/>
      <c r="Y3002" s="193"/>
      <c r="Z3002" s="194"/>
      <c r="AA3002" s="194">
        <f t="shared" si="1354"/>
        <v>0</v>
      </c>
      <c r="AB3002" s="805"/>
      <c r="AC3002" s="191"/>
      <c r="AD3002" s="187"/>
      <c r="AE3002" s="195"/>
      <c r="AF3002" s="195"/>
      <c r="AG3002" s="196"/>
      <c r="AH3002" s="197"/>
      <c r="AK3002" s="156" t="s">
        <v>691</v>
      </c>
      <c r="AM3002" s="198">
        <f t="shared" si="1360"/>
        <v>0</v>
      </c>
      <c r="AN3002" s="199">
        <f t="shared" si="1361"/>
        <v>46040</v>
      </c>
      <c r="AO3002" s="159" t="s">
        <v>692</v>
      </c>
      <c r="AP3002" s="781"/>
      <c r="AQ3002" s="782"/>
      <c r="AR3002" s="782"/>
      <c r="AS3002" s="782"/>
      <c r="AT3002" s="782"/>
      <c r="AU3002" s="781"/>
      <c r="AV3002" s="782"/>
      <c r="AW3002" s="782"/>
      <c r="AX3002" s="782"/>
      <c r="AY3002" s="782"/>
      <c r="AZ3002" s="782"/>
      <c r="BA3002" s="781"/>
      <c r="BB3002" s="209"/>
    </row>
    <row r="3003" spans="1:54" ht="24.75" customHeight="1">
      <c r="B3003" s="295">
        <v>46041</v>
      </c>
      <c r="C3003" s="771" t="s">
        <v>2629</v>
      </c>
      <c r="D3003" s="185">
        <f t="shared" si="1364"/>
        <v>2026</v>
      </c>
      <c r="E3003" s="296" t="e">
        <f>VLOOKUP($B3003,Week!$A$1:$C$1462,2,0)</f>
        <v>#N/A</v>
      </c>
      <c r="F3003" s="297" t="str">
        <f t="shared" si="1365"/>
        <v>Jan</v>
      </c>
      <c r="G3003" s="648" t="s">
        <v>47</v>
      </c>
      <c r="H3003" s="298" t="s">
        <v>260</v>
      </c>
      <c r="I3003" s="298" t="s">
        <v>2702</v>
      </c>
      <c r="J3003" s="307" t="s">
        <v>649</v>
      </c>
      <c r="K3003" s="300" t="s">
        <v>176</v>
      </c>
      <c r="L3003" s="300" t="s">
        <v>2167</v>
      </c>
      <c r="M3003" s="299" t="s">
        <v>2338</v>
      </c>
      <c r="N3003" s="298" t="s">
        <v>350</v>
      </c>
      <c r="O3003" s="298" t="s">
        <v>351</v>
      </c>
      <c r="P3003" s="301">
        <v>24</v>
      </c>
      <c r="Q3003" s="301">
        <v>5</v>
      </c>
      <c r="R3003" s="302">
        <v>6.1999999999999998E-3</v>
      </c>
      <c r="S3003" s="298" t="s">
        <v>352</v>
      </c>
      <c r="T3003" s="298" t="s">
        <v>56</v>
      </c>
      <c r="U3003" s="298" t="s">
        <v>57</v>
      </c>
      <c r="V3003" s="303">
        <v>868</v>
      </c>
      <c r="W3003" s="303">
        <f>868</f>
        <v>868</v>
      </c>
      <c r="X3003" s="304"/>
      <c r="Y3003" s="305">
        <f t="shared" ref="Y3003:Y3027" si="1366">(W3003+X3003)-V3003</f>
        <v>0</v>
      </c>
      <c r="Z3003" s="306">
        <f t="shared" ref="Z3003:Z3027" si="1367">IF(Y3003&lt;0,((V3003*P3003)-((W3003+X3003)*P3003)),0)</f>
        <v>0</v>
      </c>
      <c r="AA3003" s="306">
        <f t="shared" si="1354"/>
        <v>0</v>
      </c>
      <c r="AB3003" s="814">
        <v>7.4999999999999997E-3</v>
      </c>
      <c r="AC3003" s="303">
        <f t="shared" ref="AC3003:AC3027" si="1368">Z3003*AB3003</f>
        <v>0</v>
      </c>
      <c r="AD3003" s="443"/>
      <c r="AE3003" s="210">
        <f t="shared" ref="AE3003:AE3027" si="1369">SUM(Q3003*R3003*Z3003)/1000</f>
        <v>0</v>
      </c>
      <c r="AF3003" s="210">
        <f t="shared" ref="AF3003:AF3027" si="1370">AE3003/0.54</f>
        <v>0</v>
      </c>
      <c r="AG3003" s="211">
        <f t="shared" ref="AG3003:AG3027" si="1371">MID(O3003,1,3)/1000</f>
        <v>0.13</v>
      </c>
      <c r="AH3003" s="157">
        <f>(Z3003*AG3003)/1000</f>
        <v>0</v>
      </c>
      <c r="AI3003" s="152">
        <f t="shared" ref="AI3003:AI3027" si="1372">V3003*P3003</f>
        <v>20832</v>
      </c>
      <c r="AK3003" s="156" t="s">
        <v>691</v>
      </c>
      <c r="AL3003" s="574" t="s">
        <v>690</v>
      </c>
      <c r="AM3003" s="198">
        <f t="shared" si="1360"/>
        <v>0</v>
      </c>
      <c r="AN3003" s="199">
        <f t="shared" si="1361"/>
        <v>46041</v>
      </c>
      <c r="AO3003" s="159" t="s">
        <v>692</v>
      </c>
      <c r="AP3003" s="783" t="s">
        <v>622</v>
      </c>
      <c r="AQ3003" s="782">
        <v>12071839</v>
      </c>
      <c r="AR3003" s="782">
        <v>12094356</v>
      </c>
      <c r="AS3003" s="782">
        <v>12068233</v>
      </c>
      <c r="AT3003" s="781"/>
      <c r="AU3003" s="781"/>
      <c r="AV3003" s="782">
        <v>12062075</v>
      </c>
      <c r="AW3003" s="781"/>
      <c r="AX3003" s="781"/>
      <c r="AY3003" s="782">
        <v>12094357</v>
      </c>
      <c r="AZ3003" s="782"/>
      <c r="BA3003" s="781"/>
      <c r="BB3003" s="209">
        <v>23053184</v>
      </c>
    </row>
    <row r="3004" spans="1:54" ht="24.65" customHeight="1">
      <c r="A3004" s="529" t="s">
        <v>255</v>
      </c>
      <c r="B3004" s="308">
        <v>46041</v>
      </c>
      <c r="C3004" s="309">
        <v>46051</v>
      </c>
      <c r="D3004" s="185">
        <f t="shared" si="1364"/>
        <v>2026</v>
      </c>
      <c r="E3004" s="309" t="e">
        <f>VLOOKUP($B3004,Week!$A$1:$C$1462,2,0)</f>
        <v>#N/A</v>
      </c>
      <c r="F3004" s="310" t="str">
        <f t="shared" si="1365"/>
        <v>Jan</v>
      </c>
      <c r="G3004" s="311" t="s">
        <v>2652</v>
      </c>
      <c r="H3004" s="311" t="s">
        <v>311</v>
      </c>
      <c r="I3004" s="311" t="s">
        <v>2772</v>
      </c>
      <c r="J3004" s="312" t="s">
        <v>738</v>
      </c>
      <c r="K3004" s="313" t="s">
        <v>107</v>
      </c>
      <c r="L3004" s="300" t="s">
        <v>2167</v>
      </c>
      <c r="M3004" s="312" t="s">
        <v>313</v>
      </c>
      <c r="N3004" s="311" t="s">
        <v>314</v>
      </c>
      <c r="O3004" s="311" t="s">
        <v>110</v>
      </c>
      <c r="P3004" s="314">
        <v>36</v>
      </c>
      <c r="Q3004" s="314">
        <v>5</v>
      </c>
      <c r="R3004" s="315">
        <v>7.4999999999999997E-3</v>
      </c>
      <c r="S3004" s="311" t="s">
        <v>111</v>
      </c>
      <c r="T3004" s="311" t="s">
        <v>112</v>
      </c>
      <c r="U3004" s="311" t="s">
        <v>57</v>
      </c>
      <c r="V3004" s="316">
        <f>792</f>
        <v>792</v>
      </c>
      <c r="W3004" s="316"/>
      <c r="X3004" s="317">
        <f>80+((25593+50)/36)</f>
        <v>792.30555555555554</v>
      </c>
      <c r="Y3004" s="318">
        <f t="shared" si="1366"/>
        <v>0.30555555555554292</v>
      </c>
      <c r="Z3004" s="319">
        <f t="shared" si="1367"/>
        <v>0</v>
      </c>
      <c r="AA3004" s="319">
        <f t="shared" si="1354"/>
        <v>0</v>
      </c>
      <c r="AB3004" s="815">
        <v>7.4999999999999997E-3</v>
      </c>
      <c r="AC3004" s="316">
        <f t="shared" si="1368"/>
        <v>0</v>
      </c>
      <c r="AD3004" s="443"/>
      <c r="AE3004" s="210">
        <f t="shared" si="1369"/>
        <v>0</v>
      </c>
      <c r="AF3004" s="210">
        <f t="shared" si="1370"/>
        <v>0</v>
      </c>
      <c r="AG3004" s="211">
        <f t="shared" si="1371"/>
        <v>0.308</v>
      </c>
      <c r="AH3004" s="157">
        <f>(Z3004*AG3004)/1000</f>
        <v>0</v>
      </c>
      <c r="AI3004" s="152">
        <f t="shared" si="1372"/>
        <v>28512</v>
      </c>
      <c r="AK3004" s="156" t="s">
        <v>691</v>
      </c>
      <c r="AL3004" s="212" t="s">
        <v>690</v>
      </c>
      <c r="AM3004" s="198">
        <f t="shared" si="1360"/>
        <v>0</v>
      </c>
      <c r="AN3004" s="199">
        <f t="shared" si="1361"/>
        <v>46041</v>
      </c>
      <c r="AO3004" s="159" t="s">
        <v>692</v>
      </c>
      <c r="AP3004" s="783" t="s">
        <v>644</v>
      </c>
      <c r="AQ3004" s="782">
        <v>12063755</v>
      </c>
      <c r="AR3004" s="782">
        <v>12061353</v>
      </c>
      <c r="AS3004" s="782">
        <v>12061354</v>
      </c>
      <c r="AT3004" s="782">
        <v>12062266</v>
      </c>
      <c r="AU3004" s="781"/>
      <c r="AV3004" s="782">
        <v>12088159</v>
      </c>
      <c r="AW3004" s="782">
        <v>12088207</v>
      </c>
      <c r="AX3004" s="782"/>
      <c r="AY3004" s="782">
        <v>12094237</v>
      </c>
      <c r="AZ3004" s="782"/>
      <c r="BA3004" s="781"/>
      <c r="BB3004" s="209">
        <v>23053185</v>
      </c>
    </row>
    <row r="3005" spans="1:54" ht="25" customHeight="1">
      <c r="B3005" s="487">
        <v>46041</v>
      </c>
      <c r="C3005" s="487">
        <v>46063</v>
      </c>
      <c r="D3005" s="185">
        <f t="shared" si="1364"/>
        <v>2026</v>
      </c>
      <c r="E3005" s="488" t="e">
        <f>VLOOKUP($B3005,Week!$A$1:$C$1462,2,0)</f>
        <v>#N/A</v>
      </c>
      <c r="F3005" s="489" t="str">
        <f t="shared" si="1365"/>
        <v>Jan</v>
      </c>
      <c r="G3005" s="444" t="s">
        <v>2750</v>
      </c>
      <c r="H3005" s="444" t="s">
        <v>571</v>
      </c>
      <c r="I3005" s="444" t="s">
        <v>2772</v>
      </c>
      <c r="J3005" s="490" t="s">
        <v>663</v>
      </c>
      <c r="K3005" s="491" t="s">
        <v>107</v>
      </c>
      <c r="L3005" s="300" t="s">
        <v>2167</v>
      </c>
      <c r="M3005" s="490" t="s">
        <v>136</v>
      </c>
      <c r="N3005" s="444" t="s">
        <v>2204</v>
      </c>
      <c r="O3005" s="444" t="s">
        <v>270</v>
      </c>
      <c r="P3005" s="492">
        <v>12</v>
      </c>
      <c r="Q3005" s="492">
        <v>3</v>
      </c>
      <c r="R3005" s="493">
        <v>6.8100000000000001E-3</v>
      </c>
      <c r="S3005" s="444" t="s">
        <v>76</v>
      </c>
      <c r="T3005" s="444" t="s">
        <v>112</v>
      </c>
      <c r="U3005" s="444" t="s">
        <v>57</v>
      </c>
      <c r="V3005" s="494">
        <v>2278</v>
      </c>
      <c r="W3005" s="494"/>
      <c r="X3005" s="495">
        <f>(28492)/12</f>
        <v>2374.3333333333335</v>
      </c>
      <c r="Y3005" s="496">
        <f t="shared" si="1366"/>
        <v>96.333333333333485</v>
      </c>
      <c r="Z3005" s="497">
        <f t="shared" si="1367"/>
        <v>0</v>
      </c>
      <c r="AA3005" s="497">
        <f t="shared" si="1354"/>
        <v>0</v>
      </c>
      <c r="AB3005" s="829">
        <v>9.7000000000000003E-3</v>
      </c>
      <c r="AC3005" s="494">
        <f t="shared" si="1368"/>
        <v>0</v>
      </c>
      <c r="AD3005" s="627" t="s">
        <v>672</v>
      </c>
      <c r="AE3005" s="210">
        <f t="shared" si="1369"/>
        <v>0</v>
      </c>
      <c r="AF3005" s="210">
        <f t="shared" si="1370"/>
        <v>0</v>
      </c>
      <c r="AG3005" s="211">
        <f t="shared" si="1371"/>
        <v>0.309</v>
      </c>
      <c r="AH3005" s="157">
        <f>(Z3005*AG3005)/1000</f>
        <v>0</v>
      </c>
      <c r="AI3005" s="152">
        <f t="shared" si="1372"/>
        <v>27336</v>
      </c>
      <c r="AK3005" s="156" t="s">
        <v>691</v>
      </c>
      <c r="AL3005" s="212" t="s">
        <v>690</v>
      </c>
      <c r="AM3005" s="198">
        <f t="shared" si="1360"/>
        <v>0</v>
      </c>
      <c r="AN3005" s="199">
        <f t="shared" si="1361"/>
        <v>46041</v>
      </c>
      <c r="AO3005" s="159" t="s">
        <v>692</v>
      </c>
      <c r="AP3005" s="781"/>
      <c r="AQ3005" s="782">
        <v>12063755</v>
      </c>
      <c r="AR3005" s="782">
        <v>12061353</v>
      </c>
      <c r="AS3005" s="782">
        <v>12061354</v>
      </c>
      <c r="AT3005" s="782">
        <v>12090252</v>
      </c>
      <c r="AU3005" s="781"/>
      <c r="AV3005" s="782">
        <v>12090250</v>
      </c>
      <c r="AW3005" s="782"/>
      <c r="AX3005" s="782"/>
      <c r="AY3005" s="782" t="s">
        <v>2319</v>
      </c>
      <c r="AZ3005" s="782"/>
      <c r="BA3005" s="782"/>
    </row>
    <row r="3006" spans="1:54" ht="25" customHeight="1">
      <c r="B3006" s="385">
        <v>46041</v>
      </c>
      <c r="C3006" s="386">
        <v>46056</v>
      </c>
      <c r="D3006" s="185">
        <f t="shared" si="1364"/>
        <v>2026</v>
      </c>
      <c r="E3006" s="386" t="e">
        <f>VLOOKUP($B3006,Week!$A$1:$C$1462,2,0)</f>
        <v>#N/A</v>
      </c>
      <c r="F3006" s="387" t="str">
        <f t="shared" si="1365"/>
        <v>Jan</v>
      </c>
      <c r="G3006" s="388" t="s">
        <v>2655</v>
      </c>
      <c r="H3006" s="388" t="s">
        <v>600</v>
      </c>
      <c r="I3006" s="388" t="s">
        <v>2772</v>
      </c>
      <c r="J3006" s="389" t="s">
        <v>708</v>
      </c>
      <c r="K3006" s="390" t="s">
        <v>1652</v>
      </c>
      <c r="L3006" s="300" t="s">
        <v>2167</v>
      </c>
      <c r="M3006" s="389" t="s">
        <v>603</v>
      </c>
      <c r="N3006" s="637" t="s">
        <v>1404</v>
      </c>
      <c r="O3006" s="388" t="s">
        <v>602</v>
      </c>
      <c r="P3006" s="391">
        <v>8</v>
      </c>
      <c r="Q3006" s="391">
        <v>3</v>
      </c>
      <c r="R3006" s="392">
        <v>6.0000000000000001E-3</v>
      </c>
      <c r="S3006" s="388" t="s">
        <v>55</v>
      </c>
      <c r="T3006" s="388" t="s">
        <v>112</v>
      </c>
      <c r="U3006" s="601" t="s">
        <v>724</v>
      </c>
      <c r="V3006" s="393">
        <v>3500</v>
      </c>
      <c r="W3006" s="393"/>
      <c r="X3006" s="394">
        <f>(916+28038-878)/8</f>
        <v>3509.5</v>
      </c>
      <c r="Y3006" s="395">
        <f t="shared" si="1366"/>
        <v>9.5</v>
      </c>
      <c r="Z3006" s="396">
        <f t="shared" si="1367"/>
        <v>0</v>
      </c>
      <c r="AA3006" s="396">
        <f t="shared" si="1354"/>
        <v>0</v>
      </c>
      <c r="AB3006" s="823">
        <v>5.8823E-2</v>
      </c>
      <c r="AC3006" s="393">
        <f t="shared" si="1368"/>
        <v>0</v>
      </c>
      <c r="AD3006" s="636"/>
      <c r="AE3006" s="210">
        <f t="shared" si="1369"/>
        <v>0</v>
      </c>
      <c r="AF3006" s="210">
        <f t="shared" si="1370"/>
        <v>0</v>
      </c>
      <c r="AG3006" s="211">
        <f t="shared" si="1371"/>
        <v>0.30199999999999999</v>
      </c>
      <c r="AH3006" s="157">
        <v>0.26621999999999996</v>
      </c>
      <c r="AI3006" s="152">
        <f t="shared" si="1372"/>
        <v>28000</v>
      </c>
      <c r="AK3006" s="156" t="s">
        <v>691</v>
      </c>
      <c r="AL3006" s="212" t="s">
        <v>690</v>
      </c>
      <c r="AM3006" s="198">
        <f t="shared" si="1360"/>
        <v>0</v>
      </c>
      <c r="AN3006" s="199">
        <f t="shared" si="1361"/>
        <v>46041</v>
      </c>
      <c r="AO3006" s="159" t="s">
        <v>692</v>
      </c>
      <c r="AP3006" s="781" t="s">
        <v>642</v>
      </c>
      <c r="AQ3006" s="782">
        <v>12063755</v>
      </c>
      <c r="AR3006" s="782">
        <v>12061353</v>
      </c>
      <c r="AS3006" s="782">
        <v>12061354</v>
      </c>
      <c r="AT3006" s="782">
        <v>12091199</v>
      </c>
      <c r="AU3006" s="781"/>
      <c r="AV3006" s="782">
        <v>12091198</v>
      </c>
      <c r="AW3006" s="781"/>
      <c r="AX3006" s="781"/>
      <c r="AY3006" s="781"/>
      <c r="AZ3006" s="782"/>
      <c r="BA3006" s="781"/>
    </row>
    <row r="3007" spans="1:54" ht="25" customHeight="1">
      <c r="B3007" s="385">
        <v>46041</v>
      </c>
      <c r="C3007" s="386">
        <v>46064</v>
      </c>
      <c r="D3007" s="185">
        <f t="shared" si="1364"/>
        <v>2026</v>
      </c>
      <c r="E3007" s="386" t="e">
        <f>VLOOKUP($B3007,Week!$A$1:$C$1462,2,0)</f>
        <v>#N/A</v>
      </c>
      <c r="F3007" s="387" t="str">
        <f t="shared" si="1365"/>
        <v>Jan</v>
      </c>
      <c r="G3007" s="388" t="s">
        <v>2751</v>
      </c>
      <c r="H3007" s="388" t="s">
        <v>571</v>
      </c>
      <c r="I3007" s="388" t="s">
        <v>2772</v>
      </c>
      <c r="J3007" s="389" t="s">
        <v>663</v>
      </c>
      <c r="K3007" s="390" t="s">
        <v>1652</v>
      </c>
      <c r="L3007" s="300" t="s">
        <v>2167</v>
      </c>
      <c r="M3007" s="389" t="s">
        <v>682</v>
      </c>
      <c r="N3007" s="388" t="s">
        <v>718</v>
      </c>
      <c r="O3007" s="388" t="s">
        <v>659</v>
      </c>
      <c r="P3007" s="391">
        <v>12</v>
      </c>
      <c r="Q3007" s="391">
        <v>3</v>
      </c>
      <c r="R3007" s="392">
        <v>6.0000000000000001E-3</v>
      </c>
      <c r="S3007" s="388" t="s">
        <v>55</v>
      </c>
      <c r="T3007" s="388" t="s">
        <v>112</v>
      </c>
      <c r="U3007" s="601" t="s">
        <v>724</v>
      </c>
      <c r="V3007" s="393">
        <f>1139</f>
        <v>1139</v>
      </c>
      <c r="W3007" s="393"/>
      <c r="X3007" s="394">
        <f>(12790+878)/12</f>
        <v>1139</v>
      </c>
      <c r="Y3007" s="395">
        <f t="shared" si="1366"/>
        <v>0</v>
      </c>
      <c r="Z3007" s="396">
        <f t="shared" si="1367"/>
        <v>0</v>
      </c>
      <c r="AA3007" s="396">
        <f t="shared" si="1354"/>
        <v>0</v>
      </c>
      <c r="AB3007" s="823">
        <v>5.8823E-2</v>
      </c>
      <c r="AC3007" s="393">
        <f t="shared" si="1368"/>
        <v>0</v>
      </c>
      <c r="AD3007" s="627" t="s">
        <v>672</v>
      </c>
      <c r="AE3007" s="210">
        <f t="shared" si="1369"/>
        <v>0</v>
      </c>
      <c r="AF3007" s="210">
        <f t="shared" si="1370"/>
        <v>0</v>
      </c>
      <c r="AG3007" s="211">
        <f t="shared" si="1371"/>
        <v>0.30199999999999999</v>
      </c>
      <c r="AH3007" s="157">
        <v>0.26621999999999996</v>
      </c>
      <c r="AI3007" s="152">
        <f t="shared" si="1372"/>
        <v>13668</v>
      </c>
      <c r="AK3007" s="156" t="s">
        <v>691</v>
      </c>
      <c r="AL3007" s="212" t="s">
        <v>690</v>
      </c>
      <c r="AM3007" s="198">
        <f t="shared" si="1360"/>
        <v>0</v>
      </c>
      <c r="AN3007" s="199">
        <f t="shared" si="1361"/>
        <v>46041</v>
      </c>
      <c r="AO3007" s="159" t="s">
        <v>692</v>
      </c>
      <c r="AP3007" s="781" t="s">
        <v>642</v>
      </c>
      <c r="AQ3007" s="782">
        <v>12063755</v>
      </c>
      <c r="AR3007" s="782">
        <v>12061353</v>
      </c>
      <c r="AS3007" s="782">
        <v>12061354</v>
      </c>
      <c r="AT3007" s="782">
        <v>12090253</v>
      </c>
      <c r="AU3007" s="781"/>
      <c r="AV3007" s="782">
        <v>12090245</v>
      </c>
      <c r="AW3007" s="781"/>
      <c r="AX3007" s="781"/>
      <c r="AY3007" s="781"/>
      <c r="AZ3007" s="782"/>
      <c r="BA3007" s="781"/>
      <c r="BB3007" s="209">
        <v>23099860</v>
      </c>
    </row>
    <row r="3008" spans="1:54" ht="24.75" customHeight="1">
      <c r="B3008" s="333">
        <v>46042</v>
      </c>
      <c r="C3008" s="333">
        <v>46051</v>
      </c>
      <c r="D3008" s="185">
        <f t="shared" si="1364"/>
        <v>2026</v>
      </c>
      <c r="E3008" s="335" t="e">
        <f>VLOOKUP($B3008,Week!$A$1:$C$1462,2,0)</f>
        <v>#N/A</v>
      </c>
      <c r="F3008" s="334" t="str">
        <f t="shared" si="1365"/>
        <v>Jan</v>
      </c>
      <c r="G3008" s="335" t="s">
        <v>2686</v>
      </c>
      <c r="H3008" s="335" t="s">
        <v>363</v>
      </c>
      <c r="I3008" s="335" t="s">
        <v>2772</v>
      </c>
      <c r="J3008" s="336" t="s">
        <v>364</v>
      </c>
      <c r="K3008" s="337" t="s">
        <v>176</v>
      </c>
      <c r="L3008" s="337" t="s">
        <v>2167</v>
      </c>
      <c r="M3008" s="382" t="s">
        <v>646</v>
      </c>
      <c r="N3008" s="335" t="s">
        <v>647</v>
      </c>
      <c r="O3008" s="335" t="s">
        <v>599</v>
      </c>
      <c r="P3008" s="338">
        <v>36</v>
      </c>
      <c r="Q3008" s="338">
        <v>5</v>
      </c>
      <c r="R3008" s="339">
        <v>8.0000000000000002E-3</v>
      </c>
      <c r="S3008" s="335" t="s">
        <v>40</v>
      </c>
      <c r="T3008" s="335" t="s">
        <v>112</v>
      </c>
      <c r="U3008" s="335" t="s">
        <v>57</v>
      </c>
      <c r="V3008" s="341">
        <f>1288</f>
        <v>1288</v>
      </c>
      <c r="W3008" s="341">
        <f>39+1249</f>
        <v>1288</v>
      </c>
      <c r="X3008" s="342"/>
      <c r="Y3008" s="343">
        <f t="shared" si="1366"/>
        <v>0</v>
      </c>
      <c r="Z3008" s="344">
        <f t="shared" si="1367"/>
        <v>0</v>
      </c>
      <c r="AA3008" s="344">
        <f t="shared" si="1354"/>
        <v>0</v>
      </c>
      <c r="AB3008" s="821">
        <v>7.4999999999999997E-3</v>
      </c>
      <c r="AC3008" s="341">
        <f t="shared" si="1368"/>
        <v>0</v>
      </c>
      <c r="AD3008" s="209"/>
      <c r="AE3008" s="210">
        <f t="shared" si="1369"/>
        <v>0</v>
      </c>
      <c r="AF3008" s="210">
        <f t="shared" si="1370"/>
        <v>0</v>
      </c>
      <c r="AG3008" s="211">
        <f t="shared" si="1371"/>
        <v>0.14799999999999999</v>
      </c>
      <c r="AH3008" s="157">
        <f>(Z3008*AG3008)/1000</f>
        <v>0</v>
      </c>
      <c r="AI3008" s="152">
        <f t="shared" si="1372"/>
        <v>46368</v>
      </c>
      <c r="AK3008" s="156" t="s">
        <v>691</v>
      </c>
      <c r="AL3008" s="574" t="s">
        <v>690</v>
      </c>
      <c r="AM3008" s="198">
        <f t="shared" si="1360"/>
        <v>0</v>
      </c>
      <c r="AN3008" s="199">
        <f t="shared" si="1361"/>
        <v>46042</v>
      </c>
      <c r="AO3008" s="159" t="s">
        <v>692</v>
      </c>
      <c r="AP3008" s="781"/>
      <c r="AQ3008" s="782">
        <v>12071839</v>
      </c>
      <c r="AR3008" s="782">
        <v>12047514</v>
      </c>
      <c r="AS3008" s="782">
        <v>12047515</v>
      </c>
      <c r="AT3008" s="782">
        <v>12084374</v>
      </c>
      <c r="AU3008" s="781"/>
      <c r="AV3008" s="782">
        <v>12084372</v>
      </c>
      <c r="AW3008" s="782">
        <v>12024404</v>
      </c>
      <c r="AX3008" s="782"/>
      <c r="AY3008" s="782">
        <v>12094311</v>
      </c>
      <c r="AZ3008" s="782"/>
      <c r="BA3008" s="781"/>
      <c r="BB3008" s="209">
        <v>23053185</v>
      </c>
    </row>
    <row r="3009" spans="1:54" ht="24.75" customHeight="1">
      <c r="B3009" s="295">
        <v>46042</v>
      </c>
      <c r="C3009" s="771" t="s">
        <v>2629</v>
      </c>
      <c r="D3009" s="185">
        <f t="shared" si="1364"/>
        <v>2026</v>
      </c>
      <c r="E3009" s="296" t="e">
        <f>VLOOKUP($B3009,Week!$A$1:$C$1462,2,0)</f>
        <v>#N/A</v>
      </c>
      <c r="F3009" s="297" t="str">
        <f t="shared" si="1365"/>
        <v>Jan</v>
      </c>
      <c r="G3009" s="648" t="s">
        <v>47</v>
      </c>
      <c r="H3009" s="298" t="s">
        <v>260</v>
      </c>
      <c r="I3009" s="298" t="s">
        <v>2702</v>
      </c>
      <c r="J3009" s="307" t="s">
        <v>649</v>
      </c>
      <c r="K3009" s="300" t="s">
        <v>176</v>
      </c>
      <c r="L3009" s="300" t="s">
        <v>2167</v>
      </c>
      <c r="M3009" s="299" t="s">
        <v>2338</v>
      </c>
      <c r="N3009" s="298" t="s">
        <v>350</v>
      </c>
      <c r="O3009" s="298" t="s">
        <v>351</v>
      </c>
      <c r="P3009" s="301">
        <v>24</v>
      </c>
      <c r="Q3009" s="301">
        <v>5</v>
      </c>
      <c r="R3009" s="302">
        <v>6.1999999999999998E-3</v>
      </c>
      <c r="S3009" s="298" t="s">
        <v>352</v>
      </c>
      <c r="T3009" s="298" t="s">
        <v>56</v>
      </c>
      <c r="U3009" s="298" t="s">
        <v>57</v>
      </c>
      <c r="V3009" s="303">
        <f>1442+2</f>
        <v>1444</v>
      </c>
      <c r="W3009" s="303">
        <f>1442+2</f>
        <v>1444</v>
      </c>
      <c r="X3009" s="304"/>
      <c r="Y3009" s="305">
        <f t="shared" si="1366"/>
        <v>0</v>
      </c>
      <c r="Z3009" s="306">
        <f t="shared" si="1367"/>
        <v>0</v>
      </c>
      <c r="AA3009" s="306">
        <f t="shared" si="1354"/>
        <v>0</v>
      </c>
      <c r="AB3009" s="814">
        <v>7.4999999999999997E-3</v>
      </c>
      <c r="AC3009" s="303">
        <f t="shared" si="1368"/>
        <v>0</v>
      </c>
      <c r="AD3009" s="443"/>
      <c r="AE3009" s="210">
        <f t="shared" si="1369"/>
        <v>0</v>
      </c>
      <c r="AF3009" s="210">
        <f t="shared" si="1370"/>
        <v>0</v>
      </c>
      <c r="AG3009" s="211">
        <f t="shared" si="1371"/>
        <v>0.13</v>
      </c>
      <c r="AH3009" s="157">
        <f>(Z3009*AG3009)/1000</f>
        <v>0</v>
      </c>
      <c r="AI3009" s="152">
        <f t="shared" si="1372"/>
        <v>34656</v>
      </c>
      <c r="AK3009" s="156" t="s">
        <v>691</v>
      </c>
      <c r="AL3009" s="574" t="s">
        <v>690</v>
      </c>
      <c r="AM3009" s="198">
        <f t="shared" si="1360"/>
        <v>0</v>
      </c>
      <c r="AN3009" s="199">
        <f t="shared" si="1361"/>
        <v>46042</v>
      </c>
      <c r="AO3009" s="159" t="s">
        <v>692</v>
      </c>
      <c r="AP3009" s="783" t="s">
        <v>622</v>
      </c>
      <c r="AQ3009" s="782">
        <v>12071839</v>
      </c>
      <c r="AR3009" s="782">
        <v>12094356</v>
      </c>
      <c r="AS3009" s="782">
        <v>12068233</v>
      </c>
      <c r="AT3009" s="781"/>
      <c r="AU3009" s="781"/>
      <c r="AV3009" s="782">
        <v>12062075</v>
      </c>
      <c r="AW3009" s="781"/>
      <c r="AX3009" s="781"/>
      <c r="AY3009" s="782">
        <v>12094357</v>
      </c>
      <c r="AZ3009" s="782"/>
      <c r="BA3009" s="781"/>
      <c r="BB3009" s="209">
        <v>23053184</v>
      </c>
    </row>
    <row r="3010" spans="1:54" ht="25" customHeight="1">
      <c r="A3010" s="529" t="s">
        <v>255</v>
      </c>
      <c r="B3010" s="425">
        <v>46042</v>
      </c>
      <c r="C3010" s="425">
        <v>46049</v>
      </c>
      <c r="D3010" s="185">
        <f t="shared" si="1364"/>
        <v>2026</v>
      </c>
      <c r="E3010" s="425" t="e">
        <f>VLOOKUP($B3010,Week!$A$1:$C$1462,2,0)</f>
        <v>#N/A</v>
      </c>
      <c r="F3010" s="426" t="str">
        <f t="shared" si="1365"/>
        <v>Jan</v>
      </c>
      <c r="G3010" s="427" t="s">
        <v>2610</v>
      </c>
      <c r="H3010" s="427" t="s">
        <v>600</v>
      </c>
      <c r="I3010" s="427" t="s">
        <v>2772</v>
      </c>
      <c r="J3010" s="428" t="s">
        <v>708</v>
      </c>
      <c r="K3010" s="429" t="s">
        <v>1650</v>
      </c>
      <c r="L3010" s="300" t="s">
        <v>2167</v>
      </c>
      <c r="M3010" s="428" t="s">
        <v>603</v>
      </c>
      <c r="N3010" s="427" t="s">
        <v>1256</v>
      </c>
      <c r="O3010" s="427" t="s">
        <v>659</v>
      </c>
      <c r="P3010" s="430">
        <v>12</v>
      </c>
      <c r="Q3010" s="430">
        <v>3</v>
      </c>
      <c r="R3010" s="431">
        <v>6.0000000000000001E-3</v>
      </c>
      <c r="S3010" s="427" t="s">
        <v>55</v>
      </c>
      <c r="T3010" s="427" t="s">
        <v>112</v>
      </c>
      <c r="U3010" s="632" t="s">
        <v>1894</v>
      </c>
      <c r="V3010" s="432">
        <f>2520</f>
        <v>2520</v>
      </c>
      <c r="W3010" s="432">
        <f>1973+6</f>
        <v>1979</v>
      </c>
      <c r="X3010" s="433">
        <f>((32*12)+6131+159)/12</f>
        <v>556.16666666666663</v>
      </c>
      <c r="Y3010" s="434">
        <f t="shared" si="1366"/>
        <v>15.166666666666515</v>
      </c>
      <c r="Z3010" s="435">
        <f t="shared" si="1367"/>
        <v>0</v>
      </c>
      <c r="AA3010" s="435">
        <f t="shared" si="1354"/>
        <v>0</v>
      </c>
      <c r="AB3010" s="826">
        <v>3.8699999999999998E-2</v>
      </c>
      <c r="AC3010" s="432">
        <f t="shared" si="1368"/>
        <v>0</v>
      </c>
      <c r="AD3010" s="307" t="s">
        <v>2770</v>
      </c>
      <c r="AE3010" s="210">
        <f t="shared" si="1369"/>
        <v>0</v>
      </c>
      <c r="AF3010" s="210">
        <f t="shared" si="1370"/>
        <v>0</v>
      </c>
      <c r="AG3010" s="211">
        <f t="shared" si="1371"/>
        <v>0.30199999999999999</v>
      </c>
      <c r="AH3010" s="157">
        <v>0.26621999999999996</v>
      </c>
      <c r="AI3010" s="152">
        <f t="shared" si="1372"/>
        <v>30240</v>
      </c>
      <c r="AK3010" s="156" t="s">
        <v>691</v>
      </c>
      <c r="AL3010" s="212" t="s">
        <v>690</v>
      </c>
      <c r="AM3010" s="198">
        <f t="shared" si="1360"/>
        <v>0</v>
      </c>
      <c r="AN3010" s="199">
        <f t="shared" si="1361"/>
        <v>46042</v>
      </c>
      <c r="AO3010" s="159" t="s">
        <v>692</v>
      </c>
      <c r="AP3010" s="783" t="s">
        <v>629</v>
      </c>
      <c r="AQ3010" s="782">
        <v>12063755</v>
      </c>
      <c r="AR3010" s="782">
        <v>12061353</v>
      </c>
      <c r="AS3010" s="782">
        <v>12061354</v>
      </c>
      <c r="AT3010" s="782"/>
      <c r="AU3010" s="781"/>
      <c r="AV3010" s="867">
        <v>12095907</v>
      </c>
      <c r="AW3010" s="781"/>
      <c r="AX3010" s="782"/>
      <c r="AY3010" s="782">
        <v>12094276</v>
      </c>
      <c r="AZ3010" s="782">
        <v>12094277</v>
      </c>
      <c r="BA3010" s="783" t="s">
        <v>2229</v>
      </c>
      <c r="BB3010" s="209">
        <v>23053185</v>
      </c>
    </row>
    <row r="3011" spans="1:54" ht="25" customHeight="1">
      <c r="A3011" s="529" t="s">
        <v>255</v>
      </c>
      <c r="B3011" s="498">
        <v>46042</v>
      </c>
      <c r="C3011" s="499">
        <v>46051</v>
      </c>
      <c r="D3011" s="185">
        <f t="shared" si="1364"/>
        <v>2026</v>
      </c>
      <c r="E3011" s="499" t="e">
        <f>VLOOKUP($B3011,Week!$A$1:$C$1462,2,0)</f>
        <v>#N/A</v>
      </c>
      <c r="F3011" s="500" t="str">
        <f t="shared" si="1365"/>
        <v>Jan</v>
      </c>
      <c r="G3011" s="501" t="s">
        <v>2654</v>
      </c>
      <c r="H3011" s="501" t="s">
        <v>311</v>
      </c>
      <c r="I3011" s="501" t="s">
        <v>2772</v>
      </c>
      <c r="J3011" s="502" t="s">
        <v>738</v>
      </c>
      <c r="K3011" s="503" t="s">
        <v>1646</v>
      </c>
      <c r="L3011" s="300" t="s">
        <v>2167</v>
      </c>
      <c r="M3011" s="502" t="s">
        <v>654</v>
      </c>
      <c r="N3011" s="501" t="s">
        <v>726</v>
      </c>
      <c r="O3011" s="501" t="s">
        <v>655</v>
      </c>
      <c r="P3011" s="504">
        <v>24</v>
      </c>
      <c r="Q3011" s="504">
        <v>5</v>
      </c>
      <c r="R3011" s="505">
        <v>7.4999999999999997E-3</v>
      </c>
      <c r="S3011" s="501" t="s">
        <v>40</v>
      </c>
      <c r="T3011" s="501" t="s">
        <v>112</v>
      </c>
      <c r="U3011" s="506" t="s">
        <v>1894</v>
      </c>
      <c r="V3011" s="507">
        <v>133</v>
      </c>
      <c r="W3011" s="507"/>
      <c r="X3011" s="508">
        <f>(3205)/24</f>
        <v>133.54166666666666</v>
      </c>
      <c r="Y3011" s="509">
        <f t="shared" si="1366"/>
        <v>0.54166666666665719</v>
      </c>
      <c r="Z3011" s="510">
        <f t="shared" si="1367"/>
        <v>0</v>
      </c>
      <c r="AA3011" s="510">
        <f t="shared" si="1354"/>
        <v>0</v>
      </c>
      <c r="AB3011" s="830">
        <v>3.8699999999999998E-2</v>
      </c>
      <c r="AC3011" s="507">
        <f t="shared" si="1368"/>
        <v>0</v>
      </c>
      <c r="AD3011" s="209" t="s">
        <v>2588</v>
      </c>
      <c r="AE3011" s="210">
        <f t="shared" si="1369"/>
        <v>0</v>
      </c>
      <c r="AF3011" s="210">
        <f t="shared" si="1370"/>
        <v>0</v>
      </c>
      <c r="AG3011" s="211">
        <f t="shared" si="1371"/>
        <v>0.307</v>
      </c>
      <c r="AH3011" s="157">
        <f>(Z3011*AG3011)/1000</f>
        <v>0</v>
      </c>
      <c r="AI3011" s="152">
        <f t="shared" si="1372"/>
        <v>3192</v>
      </c>
      <c r="AK3011" s="156" t="s">
        <v>691</v>
      </c>
      <c r="AL3011" s="212" t="s">
        <v>690</v>
      </c>
      <c r="AM3011" s="198">
        <f t="shared" si="1360"/>
        <v>0</v>
      </c>
      <c r="AN3011" s="199">
        <f t="shared" si="1361"/>
        <v>46042</v>
      </c>
      <c r="AO3011" s="159" t="s">
        <v>692</v>
      </c>
      <c r="AP3011" s="781" t="s">
        <v>642</v>
      </c>
      <c r="AQ3011" s="782">
        <v>12063755</v>
      </c>
      <c r="AR3011" s="782">
        <v>12061353</v>
      </c>
      <c r="AS3011" s="782">
        <v>12061354</v>
      </c>
      <c r="AT3011" s="782">
        <v>12089274</v>
      </c>
      <c r="AU3011" s="781"/>
      <c r="AV3011" s="782">
        <v>12089275</v>
      </c>
      <c r="AW3011" s="782">
        <v>12068154</v>
      </c>
      <c r="AX3011" s="782"/>
      <c r="AY3011" s="782">
        <v>12094140</v>
      </c>
      <c r="AZ3011" s="782"/>
      <c r="BA3011" s="781"/>
      <c r="BB3011" s="209">
        <v>23105470</v>
      </c>
    </row>
    <row r="3012" spans="1:54" ht="24.65" customHeight="1">
      <c r="B3012" s="411">
        <v>46043</v>
      </c>
      <c r="C3012" s="645" t="s">
        <v>2629</v>
      </c>
      <c r="D3012" s="185">
        <f t="shared" si="1364"/>
        <v>2026</v>
      </c>
      <c r="E3012" s="412" t="e">
        <f>VLOOKUP($B3012,Week!$A$1:$C$1462,2,0)</f>
        <v>#N/A</v>
      </c>
      <c r="F3012" s="413" t="str">
        <f t="shared" si="1365"/>
        <v>Jan</v>
      </c>
      <c r="G3012" s="414" t="s">
        <v>47</v>
      </c>
      <c r="H3012" s="414" t="s">
        <v>260</v>
      </c>
      <c r="I3012" s="414" t="s">
        <v>2702</v>
      </c>
      <c r="J3012" s="415" t="s">
        <v>261</v>
      </c>
      <c r="K3012" s="416" t="s">
        <v>94</v>
      </c>
      <c r="L3012" s="300" t="s">
        <v>2167</v>
      </c>
      <c r="M3012" s="415" t="s">
        <v>2339</v>
      </c>
      <c r="N3012" s="414" t="s">
        <v>263</v>
      </c>
      <c r="O3012" s="414" t="s">
        <v>195</v>
      </c>
      <c r="P3012" s="417">
        <v>24</v>
      </c>
      <c r="Q3012" s="417">
        <v>5</v>
      </c>
      <c r="R3012" s="418">
        <v>8.0000000000000002E-3</v>
      </c>
      <c r="S3012" s="414" t="s">
        <v>40</v>
      </c>
      <c r="T3012" s="414" t="s">
        <v>56</v>
      </c>
      <c r="U3012" s="414" t="s">
        <v>57</v>
      </c>
      <c r="V3012" s="419">
        <f>6250-3723-1136+6-1-654</f>
        <v>742</v>
      </c>
      <c r="W3012" s="419">
        <v>742</v>
      </c>
      <c r="X3012" s="420"/>
      <c r="Y3012" s="421">
        <f t="shared" si="1366"/>
        <v>0</v>
      </c>
      <c r="Z3012" s="422">
        <f t="shared" si="1367"/>
        <v>0</v>
      </c>
      <c r="AA3012" s="422">
        <f t="shared" si="1354"/>
        <v>0</v>
      </c>
      <c r="AB3012" s="825">
        <v>7.4999999999999997E-3</v>
      </c>
      <c r="AC3012" s="419">
        <f t="shared" si="1368"/>
        <v>0</v>
      </c>
      <c r="AD3012" s="209" t="s">
        <v>2698</v>
      </c>
      <c r="AE3012" s="210">
        <f t="shared" si="1369"/>
        <v>0</v>
      </c>
      <c r="AF3012" s="210">
        <f t="shared" si="1370"/>
        <v>0</v>
      </c>
      <c r="AG3012" s="211">
        <f t="shared" si="1371"/>
        <v>0.14499999999999999</v>
      </c>
      <c r="AH3012" s="157">
        <f>(Z3012*AG3012)/1000</f>
        <v>0</v>
      </c>
      <c r="AI3012" s="152">
        <f t="shared" si="1372"/>
        <v>17808</v>
      </c>
      <c r="AK3012" s="156" t="s">
        <v>691</v>
      </c>
      <c r="AL3012" s="212" t="s">
        <v>690</v>
      </c>
      <c r="AM3012" s="198">
        <f t="shared" si="1360"/>
        <v>0</v>
      </c>
      <c r="AN3012" s="199">
        <f t="shared" si="1361"/>
        <v>46043</v>
      </c>
      <c r="AO3012" s="159" t="s">
        <v>692</v>
      </c>
      <c r="AP3012" s="783" t="s">
        <v>609</v>
      </c>
      <c r="AQ3012" s="782">
        <v>12071839</v>
      </c>
      <c r="AR3012" s="782">
        <v>12047514</v>
      </c>
      <c r="AS3012" s="782">
        <v>12047515</v>
      </c>
      <c r="AT3012" s="781"/>
      <c r="AU3012" s="781"/>
      <c r="AV3012" s="782">
        <v>12080613</v>
      </c>
      <c r="AW3012" s="781"/>
      <c r="AX3012" s="781"/>
      <c r="AY3012" s="782">
        <v>12094241</v>
      </c>
      <c r="AZ3012" s="782">
        <v>12094242</v>
      </c>
      <c r="BA3012" s="781"/>
      <c r="BB3012" s="209">
        <v>23053185</v>
      </c>
    </row>
    <row r="3013" spans="1:54" ht="24.65" customHeight="1">
      <c r="B3013" s="411">
        <v>46043</v>
      </c>
      <c r="C3013" s="645" t="s">
        <v>2717</v>
      </c>
      <c r="D3013" s="185">
        <f t="shared" si="1364"/>
        <v>2026</v>
      </c>
      <c r="E3013" s="412" t="e">
        <f>VLOOKUP($B3013,Week!$A$1:$C$1462,2,0)</f>
        <v>#N/A</v>
      </c>
      <c r="F3013" s="413" t="str">
        <f t="shared" si="1365"/>
        <v>Jan</v>
      </c>
      <c r="G3013" s="414" t="s">
        <v>47</v>
      </c>
      <c r="H3013" s="414" t="s">
        <v>260</v>
      </c>
      <c r="I3013" s="414" t="s">
        <v>2702</v>
      </c>
      <c r="J3013" s="415" t="s">
        <v>261</v>
      </c>
      <c r="K3013" s="416" t="s">
        <v>94</v>
      </c>
      <c r="L3013" s="300" t="s">
        <v>2167</v>
      </c>
      <c r="M3013" s="415" t="s">
        <v>2339</v>
      </c>
      <c r="N3013" s="414" t="s">
        <v>263</v>
      </c>
      <c r="O3013" s="414" t="s">
        <v>195</v>
      </c>
      <c r="P3013" s="417">
        <v>24</v>
      </c>
      <c r="Q3013" s="417">
        <v>5</v>
      </c>
      <c r="R3013" s="418">
        <v>8.0000000000000002E-3</v>
      </c>
      <c r="S3013" s="414" t="s">
        <v>40</v>
      </c>
      <c r="T3013" s="414" t="s">
        <v>56</v>
      </c>
      <c r="U3013" s="414" t="s">
        <v>57</v>
      </c>
      <c r="V3013" s="419">
        <v>861</v>
      </c>
      <c r="W3013" s="419">
        <f>1603-742</f>
        <v>861</v>
      </c>
      <c r="X3013" s="420"/>
      <c r="Y3013" s="421">
        <f t="shared" si="1366"/>
        <v>0</v>
      </c>
      <c r="Z3013" s="422">
        <f t="shared" si="1367"/>
        <v>0</v>
      </c>
      <c r="AA3013" s="422">
        <f t="shared" si="1354"/>
        <v>0</v>
      </c>
      <c r="AB3013" s="825">
        <v>7.4999999999999997E-3</v>
      </c>
      <c r="AC3013" s="419">
        <f t="shared" si="1368"/>
        <v>0</v>
      </c>
      <c r="AD3013" s="209" t="s">
        <v>2698</v>
      </c>
      <c r="AE3013" s="210">
        <f t="shared" si="1369"/>
        <v>0</v>
      </c>
      <c r="AF3013" s="210">
        <f t="shared" si="1370"/>
        <v>0</v>
      </c>
      <c r="AG3013" s="211">
        <f t="shared" si="1371"/>
        <v>0.14499999999999999</v>
      </c>
      <c r="AH3013" s="157">
        <f>(Z3013*AG3013)/1000</f>
        <v>0</v>
      </c>
      <c r="AI3013" s="152">
        <f t="shared" si="1372"/>
        <v>20664</v>
      </c>
      <c r="AK3013" s="156" t="s">
        <v>691</v>
      </c>
      <c r="AL3013" s="212" t="s">
        <v>690</v>
      </c>
      <c r="AM3013" s="198">
        <f t="shared" si="1360"/>
        <v>0</v>
      </c>
      <c r="AN3013" s="199">
        <f t="shared" si="1361"/>
        <v>46043</v>
      </c>
      <c r="AO3013" s="159" t="s">
        <v>692</v>
      </c>
      <c r="AP3013" s="783" t="s">
        <v>609</v>
      </c>
      <c r="AQ3013" s="782">
        <v>12071839</v>
      </c>
      <c r="AR3013" s="782">
        <v>12047514</v>
      </c>
      <c r="AS3013" s="782">
        <v>12047515</v>
      </c>
      <c r="AT3013" s="781"/>
      <c r="AU3013" s="781"/>
      <c r="AV3013" s="782">
        <v>12080613</v>
      </c>
      <c r="AW3013" s="781"/>
      <c r="AX3013" s="781"/>
      <c r="AY3013" s="782">
        <v>12094241</v>
      </c>
      <c r="AZ3013" s="782">
        <v>12094242</v>
      </c>
      <c r="BA3013" s="781"/>
      <c r="BB3013" s="209">
        <v>23053185</v>
      </c>
    </row>
    <row r="3014" spans="1:54" ht="25" customHeight="1">
      <c r="B3014" s="743">
        <v>46043</v>
      </c>
      <c r="C3014" s="744" t="s">
        <v>2629</v>
      </c>
      <c r="D3014" s="215">
        <f t="shared" si="1364"/>
        <v>2026</v>
      </c>
      <c r="E3014" s="214" t="e">
        <f>VLOOKUP($B3014,Week!$A$1:$C$1462,2,0)</f>
        <v>#N/A</v>
      </c>
      <c r="F3014" s="216" t="str">
        <f t="shared" si="1365"/>
        <v>Jan</v>
      </c>
      <c r="G3014" s="746" t="s">
        <v>47</v>
      </c>
      <c r="H3014" s="746" t="s">
        <v>260</v>
      </c>
      <c r="I3014" s="215" t="s">
        <v>2702</v>
      </c>
      <c r="J3014" s="747" t="s">
        <v>2702</v>
      </c>
      <c r="K3014" s="748" t="s">
        <v>2703</v>
      </c>
      <c r="L3014" s="217" t="s">
        <v>2167</v>
      </c>
      <c r="M3014" s="747" t="s">
        <v>2705</v>
      </c>
      <c r="N3014" s="915" t="s">
        <v>2704</v>
      </c>
      <c r="O3014" s="746" t="s">
        <v>1635</v>
      </c>
      <c r="P3014" s="749">
        <v>24</v>
      </c>
      <c r="Q3014" s="749">
        <v>3</v>
      </c>
      <c r="R3014" s="849">
        <v>6.1999999999999998E-3</v>
      </c>
      <c r="S3014" s="746" t="s">
        <v>352</v>
      </c>
      <c r="T3014" s="746" t="s">
        <v>56</v>
      </c>
      <c r="U3014" s="860" t="s">
        <v>739</v>
      </c>
      <c r="V3014" s="750">
        <v>1861</v>
      </c>
      <c r="W3014" s="750">
        <f>1861</f>
        <v>1861</v>
      </c>
      <c r="X3014" s="751"/>
      <c r="Y3014" s="752">
        <f t="shared" si="1366"/>
        <v>0</v>
      </c>
      <c r="Z3014" s="753">
        <f t="shared" si="1367"/>
        <v>0</v>
      </c>
      <c r="AA3014" s="753">
        <f t="shared" si="1354"/>
        <v>0</v>
      </c>
      <c r="AB3014" s="838">
        <v>1.83E-2</v>
      </c>
      <c r="AC3014" s="750">
        <f t="shared" si="1368"/>
        <v>0</v>
      </c>
      <c r="AD3014" s="443"/>
      <c r="AE3014" s="210">
        <f t="shared" si="1369"/>
        <v>0</v>
      </c>
      <c r="AF3014" s="210">
        <f t="shared" si="1370"/>
        <v>0</v>
      </c>
      <c r="AG3014" s="211">
        <f t="shared" si="1371"/>
        <v>0.25</v>
      </c>
      <c r="AH3014" s="157">
        <v>0.26621999999999996</v>
      </c>
      <c r="AI3014" s="152">
        <f t="shared" si="1372"/>
        <v>44664</v>
      </c>
      <c r="AK3014" s="156" t="s">
        <v>691</v>
      </c>
      <c r="AL3014" s="574" t="s">
        <v>690</v>
      </c>
      <c r="AM3014" s="198">
        <f t="shared" si="1360"/>
        <v>0</v>
      </c>
      <c r="AN3014" s="199">
        <f t="shared" si="1361"/>
        <v>46043</v>
      </c>
      <c r="AO3014" s="159" t="s">
        <v>692</v>
      </c>
      <c r="AP3014" s="781" t="s">
        <v>642</v>
      </c>
      <c r="AQ3014" s="782">
        <v>12071839</v>
      </c>
      <c r="AR3014" s="782">
        <v>12042650</v>
      </c>
      <c r="AS3014" s="782">
        <v>12042649</v>
      </c>
      <c r="AT3014" s="782"/>
      <c r="AU3014" s="783"/>
      <c r="AV3014" s="782">
        <v>12097895</v>
      </c>
      <c r="AW3014" s="783"/>
      <c r="AX3014" s="781"/>
      <c r="AY3014" s="796">
        <v>12097893</v>
      </c>
      <c r="AZ3014" s="796">
        <v>12097894</v>
      </c>
      <c r="BA3014" s="796" t="s">
        <v>2462</v>
      </c>
      <c r="BB3014" s="209">
        <v>23099860</v>
      </c>
    </row>
    <row r="3015" spans="1:54" ht="24.65" customHeight="1">
      <c r="B3015" s="411">
        <v>46044</v>
      </c>
      <c r="C3015" s="645" t="s">
        <v>2717</v>
      </c>
      <c r="D3015" s="185">
        <f t="shared" si="1364"/>
        <v>2026</v>
      </c>
      <c r="E3015" s="412" t="e">
        <f>VLOOKUP($B3015,Week!$A$1:$C$1462,2,0)</f>
        <v>#N/A</v>
      </c>
      <c r="F3015" s="413" t="str">
        <f t="shared" si="1365"/>
        <v>Jan</v>
      </c>
      <c r="G3015" s="414" t="s">
        <v>47</v>
      </c>
      <c r="H3015" s="414" t="s">
        <v>260</v>
      </c>
      <c r="I3015" s="414" t="s">
        <v>2702</v>
      </c>
      <c r="J3015" s="415" t="s">
        <v>261</v>
      </c>
      <c r="K3015" s="416" t="s">
        <v>94</v>
      </c>
      <c r="L3015" s="300" t="s">
        <v>2167</v>
      </c>
      <c r="M3015" s="415" t="s">
        <v>2339</v>
      </c>
      <c r="N3015" s="414" t="s">
        <v>263</v>
      </c>
      <c r="O3015" s="414" t="s">
        <v>195</v>
      </c>
      <c r="P3015" s="417">
        <v>24</v>
      </c>
      <c r="Q3015" s="417">
        <v>5</v>
      </c>
      <c r="R3015" s="418">
        <v>8.0000000000000002E-3</v>
      </c>
      <c r="S3015" s="414" t="s">
        <v>40</v>
      </c>
      <c r="T3015" s="414" t="s">
        <v>56</v>
      </c>
      <c r="U3015" s="414" t="s">
        <v>57</v>
      </c>
      <c r="V3015" s="419">
        <v>1706</v>
      </c>
      <c r="W3015" s="419">
        <f>1706</f>
        <v>1706</v>
      </c>
      <c r="X3015" s="420"/>
      <c r="Y3015" s="421">
        <f t="shared" si="1366"/>
        <v>0</v>
      </c>
      <c r="Z3015" s="422">
        <f t="shared" si="1367"/>
        <v>0</v>
      </c>
      <c r="AA3015" s="422">
        <f t="shared" ref="AA3015:AA3028" si="1373">Q3015*Z3015</f>
        <v>0</v>
      </c>
      <c r="AB3015" s="825">
        <v>7.4999999999999997E-3</v>
      </c>
      <c r="AC3015" s="419">
        <f t="shared" si="1368"/>
        <v>0</v>
      </c>
      <c r="AD3015" s="209" t="s">
        <v>2698</v>
      </c>
      <c r="AE3015" s="210">
        <f t="shared" si="1369"/>
        <v>0</v>
      </c>
      <c r="AF3015" s="210">
        <f t="shared" si="1370"/>
        <v>0</v>
      </c>
      <c r="AG3015" s="211">
        <f t="shared" si="1371"/>
        <v>0.14499999999999999</v>
      </c>
      <c r="AH3015" s="157">
        <f>(Z3015*AG3015)/1000</f>
        <v>0</v>
      </c>
      <c r="AI3015" s="152">
        <f t="shared" si="1372"/>
        <v>40944</v>
      </c>
      <c r="AK3015" s="156" t="s">
        <v>691</v>
      </c>
      <c r="AL3015" s="212" t="s">
        <v>690</v>
      </c>
      <c r="AM3015" s="198">
        <f t="shared" si="1360"/>
        <v>0</v>
      </c>
      <c r="AN3015" s="199">
        <f t="shared" si="1361"/>
        <v>46044</v>
      </c>
      <c r="AO3015" s="159" t="s">
        <v>692</v>
      </c>
      <c r="AP3015" s="783" t="s">
        <v>609</v>
      </c>
      <c r="AQ3015" s="782">
        <v>12071839</v>
      </c>
      <c r="AR3015" s="782">
        <v>12047514</v>
      </c>
      <c r="AS3015" s="782">
        <v>12047515</v>
      </c>
      <c r="AT3015" s="781"/>
      <c r="AU3015" s="781"/>
      <c r="AV3015" s="782">
        <v>12080613</v>
      </c>
      <c r="AW3015" s="781"/>
      <c r="AX3015" s="781"/>
      <c r="AY3015" s="782">
        <v>12094241</v>
      </c>
      <c r="AZ3015" s="782">
        <v>12094242</v>
      </c>
      <c r="BA3015" s="781"/>
      <c r="BB3015" s="209">
        <v>23053185</v>
      </c>
    </row>
    <row r="3016" spans="1:54" ht="25" customHeight="1">
      <c r="B3016" s="743">
        <v>46044</v>
      </c>
      <c r="C3016" s="744" t="s">
        <v>2629</v>
      </c>
      <c r="D3016" s="215">
        <f t="shared" si="1364"/>
        <v>2026</v>
      </c>
      <c r="E3016" s="214" t="e">
        <f>VLOOKUP($B3016,Week!$A$1:$C$1462,2,0)</f>
        <v>#N/A</v>
      </c>
      <c r="F3016" s="216" t="str">
        <f t="shared" si="1365"/>
        <v>Jan</v>
      </c>
      <c r="G3016" s="746" t="s">
        <v>47</v>
      </c>
      <c r="H3016" s="746" t="s">
        <v>260</v>
      </c>
      <c r="I3016" s="215" t="s">
        <v>2702</v>
      </c>
      <c r="J3016" s="747" t="s">
        <v>2702</v>
      </c>
      <c r="K3016" s="748" t="s">
        <v>2703</v>
      </c>
      <c r="L3016" s="217" t="s">
        <v>2167</v>
      </c>
      <c r="M3016" s="747" t="s">
        <v>2705</v>
      </c>
      <c r="N3016" s="915" t="s">
        <v>2704</v>
      </c>
      <c r="O3016" s="746" t="s">
        <v>1635</v>
      </c>
      <c r="P3016" s="749">
        <v>24</v>
      </c>
      <c r="Q3016" s="749">
        <v>3</v>
      </c>
      <c r="R3016" s="849">
        <v>6.1999999999999998E-3</v>
      </c>
      <c r="S3016" s="746" t="s">
        <v>352</v>
      </c>
      <c r="T3016" s="746" t="s">
        <v>56</v>
      </c>
      <c r="U3016" s="860" t="s">
        <v>739</v>
      </c>
      <c r="V3016" s="750">
        <v>2034</v>
      </c>
      <c r="W3016" s="750">
        <f>2034</f>
        <v>2034</v>
      </c>
      <c r="X3016" s="751"/>
      <c r="Y3016" s="752">
        <f t="shared" si="1366"/>
        <v>0</v>
      </c>
      <c r="Z3016" s="753">
        <f t="shared" si="1367"/>
        <v>0</v>
      </c>
      <c r="AA3016" s="753">
        <f t="shared" si="1373"/>
        <v>0</v>
      </c>
      <c r="AB3016" s="838">
        <v>1.83E-2</v>
      </c>
      <c r="AC3016" s="750">
        <f t="shared" si="1368"/>
        <v>0</v>
      </c>
      <c r="AD3016" s="443"/>
      <c r="AE3016" s="210">
        <f t="shared" si="1369"/>
        <v>0</v>
      </c>
      <c r="AF3016" s="210">
        <f t="shared" si="1370"/>
        <v>0</v>
      </c>
      <c r="AG3016" s="211">
        <f t="shared" si="1371"/>
        <v>0.25</v>
      </c>
      <c r="AH3016" s="157">
        <v>0.26621999999999996</v>
      </c>
      <c r="AI3016" s="152">
        <f t="shared" si="1372"/>
        <v>48816</v>
      </c>
      <c r="AK3016" s="156" t="s">
        <v>691</v>
      </c>
      <c r="AL3016" s="574" t="s">
        <v>690</v>
      </c>
      <c r="AM3016" s="198">
        <f t="shared" si="1360"/>
        <v>0</v>
      </c>
      <c r="AN3016" s="199">
        <f t="shared" si="1361"/>
        <v>46044</v>
      </c>
      <c r="AO3016" s="159" t="s">
        <v>692</v>
      </c>
      <c r="AP3016" s="781" t="s">
        <v>642</v>
      </c>
      <c r="AQ3016" s="782">
        <v>12071839</v>
      </c>
      <c r="AR3016" s="782">
        <v>12042650</v>
      </c>
      <c r="AS3016" s="782">
        <v>12042649</v>
      </c>
      <c r="AT3016" s="782"/>
      <c r="AU3016" s="783"/>
      <c r="AV3016" s="782">
        <v>12097895</v>
      </c>
      <c r="AW3016" s="783"/>
      <c r="AX3016" s="781"/>
      <c r="AY3016" s="796">
        <v>12097893</v>
      </c>
      <c r="AZ3016" s="796">
        <v>12097894</v>
      </c>
      <c r="BA3016" s="796" t="s">
        <v>2462</v>
      </c>
      <c r="BB3016" s="209">
        <v>23099860</v>
      </c>
    </row>
    <row r="3017" spans="1:54" ht="25" customHeight="1">
      <c r="B3017" s="320">
        <v>46045</v>
      </c>
      <c r="C3017" s="844" t="s">
        <v>2717</v>
      </c>
      <c r="D3017" s="185">
        <f t="shared" si="1364"/>
        <v>2026</v>
      </c>
      <c r="E3017" s="321" t="e">
        <f>VLOOKUP($B3017,Week!$A$1:$C$1462,2,0)</f>
        <v>#N/A</v>
      </c>
      <c r="F3017" s="322" t="str">
        <f t="shared" si="1365"/>
        <v>Jan</v>
      </c>
      <c r="G3017" s="323" t="s">
        <v>47</v>
      </c>
      <c r="H3017" s="323" t="s">
        <v>518</v>
      </c>
      <c r="I3017" s="323" t="s">
        <v>2702</v>
      </c>
      <c r="J3017" s="324" t="s">
        <v>70</v>
      </c>
      <c r="K3017" s="325" t="s">
        <v>564</v>
      </c>
      <c r="L3017" s="300" t="s">
        <v>2167</v>
      </c>
      <c r="M3017" s="324" t="s">
        <v>2343</v>
      </c>
      <c r="N3017" s="323" t="s">
        <v>559</v>
      </c>
      <c r="O3017" s="323" t="s">
        <v>560</v>
      </c>
      <c r="P3017" s="326">
        <v>12</v>
      </c>
      <c r="Q3017" s="326">
        <v>3</v>
      </c>
      <c r="R3017" s="327">
        <v>8.0000000000000002E-3</v>
      </c>
      <c r="S3017" s="323" t="s">
        <v>40</v>
      </c>
      <c r="T3017" s="323" t="s">
        <v>56</v>
      </c>
      <c r="U3017" s="323" t="s">
        <v>57</v>
      </c>
      <c r="V3017" s="397">
        <f>500</f>
        <v>500</v>
      </c>
      <c r="W3017" s="328">
        <f>11+1+488</f>
        <v>500</v>
      </c>
      <c r="X3017" s="329"/>
      <c r="Y3017" s="330">
        <f t="shared" si="1366"/>
        <v>0</v>
      </c>
      <c r="Z3017" s="331">
        <f t="shared" si="1367"/>
        <v>0</v>
      </c>
      <c r="AA3017" s="331">
        <f t="shared" si="1373"/>
        <v>0</v>
      </c>
      <c r="AB3017" s="816">
        <v>7.4999999999999997E-3</v>
      </c>
      <c r="AC3017" s="328">
        <f t="shared" si="1368"/>
        <v>0</v>
      </c>
      <c r="AD3017" s="209"/>
      <c r="AE3017" s="210">
        <f t="shared" si="1369"/>
        <v>0</v>
      </c>
      <c r="AF3017" s="210">
        <f t="shared" si="1370"/>
        <v>0</v>
      </c>
      <c r="AG3017" s="211">
        <f t="shared" si="1371"/>
        <v>0.22600000000000001</v>
      </c>
      <c r="AH3017" s="157">
        <f t="shared" ref="AH3017:AH3023" si="1374">(Z3017*AG3017)/1000</f>
        <v>0</v>
      </c>
      <c r="AI3017" s="152">
        <f t="shared" si="1372"/>
        <v>6000</v>
      </c>
      <c r="AK3017" s="156" t="s">
        <v>691</v>
      </c>
      <c r="AL3017" s="212" t="s">
        <v>690</v>
      </c>
      <c r="AM3017" s="198">
        <f t="shared" si="1360"/>
        <v>0</v>
      </c>
      <c r="AN3017" s="199">
        <f t="shared" si="1361"/>
        <v>46045</v>
      </c>
      <c r="AO3017" s="159" t="s">
        <v>692</v>
      </c>
      <c r="AP3017" s="783" t="s">
        <v>623</v>
      </c>
      <c r="AQ3017" s="782">
        <v>12071839</v>
      </c>
      <c r="AR3017" s="782">
        <v>12042650</v>
      </c>
      <c r="AS3017" s="782">
        <v>12042649</v>
      </c>
      <c r="AT3017" s="782"/>
      <c r="AU3017" s="781"/>
      <c r="AV3017" s="782">
        <v>12083156</v>
      </c>
      <c r="AW3017" s="782"/>
      <c r="AX3017" s="782"/>
      <c r="AY3017" s="782">
        <v>12094235</v>
      </c>
      <c r="AZ3017" s="782">
        <v>12094236</v>
      </c>
      <c r="BA3017" s="781"/>
      <c r="BB3017" s="209">
        <v>23053185</v>
      </c>
    </row>
    <row r="3018" spans="1:54" ht="25" customHeight="1">
      <c r="A3018" s="529" t="s">
        <v>255</v>
      </c>
      <c r="B3018" s="332">
        <v>46045</v>
      </c>
      <c r="C3018" s="646" t="s">
        <v>2629</v>
      </c>
      <c r="D3018" s="185">
        <f t="shared" si="1364"/>
        <v>2026</v>
      </c>
      <c r="E3018" s="333" t="e">
        <f>VLOOKUP($B3018,Week!$A$1:$C$1462,2,0)</f>
        <v>#N/A</v>
      </c>
      <c r="F3018" s="334" t="str">
        <f t="shared" si="1365"/>
        <v>Jan</v>
      </c>
      <c r="G3018" s="335" t="s">
        <v>47</v>
      </c>
      <c r="H3018" s="335" t="s">
        <v>518</v>
      </c>
      <c r="I3018" s="335" t="s">
        <v>2702</v>
      </c>
      <c r="J3018" s="336" t="s">
        <v>70</v>
      </c>
      <c r="K3018" s="337" t="s">
        <v>582</v>
      </c>
      <c r="L3018" s="300" t="s">
        <v>2167</v>
      </c>
      <c r="M3018" s="336" t="s">
        <v>534</v>
      </c>
      <c r="N3018" s="530" t="s">
        <v>578</v>
      </c>
      <c r="O3018" s="335" t="s">
        <v>583</v>
      </c>
      <c r="P3018" s="338">
        <v>12</v>
      </c>
      <c r="Q3018" s="338">
        <v>3</v>
      </c>
      <c r="R3018" s="339">
        <v>6.0000000000000001E-3</v>
      </c>
      <c r="S3018" s="335" t="s">
        <v>55</v>
      </c>
      <c r="T3018" s="335" t="s">
        <v>56</v>
      </c>
      <c r="U3018" s="335" t="s">
        <v>57</v>
      </c>
      <c r="V3018" s="341">
        <f>200-86</f>
        <v>114</v>
      </c>
      <c r="W3018" s="341">
        <v>114</v>
      </c>
      <c r="X3018" s="342"/>
      <c r="Y3018" s="343">
        <f t="shared" si="1366"/>
        <v>0</v>
      </c>
      <c r="Z3018" s="344">
        <f t="shared" si="1367"/>
        <v>0</v>
      </c>
      <c r="AA3018" s="344">
        <f t="shared" si="1373"/>
        <v>0</v>
      </c>
      <c r="AB3018" s="817">
        <v>7.4999999999999997E-3</v>
      </c>
      <c r="AC3018" s="341">
        <f t="shared" si="1368"/>
        <v>0</v>
      </c>
      <c r="AD3018" s="209" t="s">
        <v>2696</v>
      </c>
      <c r="AE3018" s="210">
        <f t="shared" si="1369"/>
        <v>0</v>
      </c>
      <c r="AF3018" s="210">
        <f t="shared" si="1370"/>
        <v>0</v>
      </c>
      <c r="AG3018" s="211">
        <f t="shared" si="1371"/>
        <v>0.191</v>
      </c>
      <c r="AH3018" s="157">
        <f t="shared" si="1374"/>
        <v>0</v>
      </c>
      <c r="AI3018" s="152">
        <f t="shared" si="1372"/>
        <v>1368</v>
      </c>
      <c r="AK3018" s="156" t="s">
        <v>691</v>
      </c>
      <c r="AL3018" s="212" t="s">
        <v>690</v>
      </c>
      <c r="AM3018" s="198">
        <f t="shared" si="1360"/>
        <v>0</v>
      </c>
      <c r="AN3018" s="199">
        <f t="shared" si="1361"/>
        <v>46045</v>
      </c>
      <c r="AO3018" s="159" t="s">
        <v>692</v>
      </c>
      <c r="AP3018" s="781"/>
      <c r="AQ3018" s="782">
        <v>12071839</v>
      </c>
      <c r="AR3018" s="782">
        <v>12042650</v>
      </c>
      <c r="AS3018" s="782">
        <v>12042649</v>
      </c>
      <c r="AT3018" s="782"/>
      <c r="AU3018" s="781"/>
      <c r="AV3018" s="782">
        <v>12083313</v>
      </c>
      <c r="AW3018" s="782"/>
      <c r="AX3018" s="782"/>
      <c r="AY3018" s="782">
        <v>12094233</v>
      </c>
      <c r="AZ3018" s="782">
        <v>12094234</v>
      </c>
      <c r="BA3018" s="781"/>
      <c r="BB3018" s="209">
        <v>23053185</v>
      </c>
    </row>
    <row r="3019" spans="1:54" ht="25" customHeight="1">
      <c r="B3019" s="332">
        <v>46045</v>
      </c>
      <c r="C3019" s="646" t="s">
        <v>2717</v>
      </c>
      <c r="D3019" s="185">
        <f t="shared" si="1364"/>
        <v>2026</v>
      </c>
      <c r="E3019" s="333" t="e">
        <f>VLOOKUP($B3019,Week!$A$1:$C$1462,2,0)</f>
        <v>#N/A</v>
      </c>
      <c r="F3019" s="334" t="str">
        <f t="shared" si="1365"/>
        <v>Jan</v>
      </c>
      <c r="G3019" s="335" t="s">
        <v>47</v>
      </c>
      <c r="H3019" s="335" t="s">
        <v>518</v>
      </c>
      <c r="I3019" s="335" t="s">
        <v>2702</v>
      </c>
      <c r="J3019" s="336" t="s">
        <v>70</v>
      </c>
      <c r="K3019" s="337" t="s">
        <v>582</v>
      </c>
      <c r="L3019" s="300" t="s">
        <v>2167</v>
      </c>
      <c r="M3019" s="336" t="s">
        <v>534</v>
      </c>
      <c r="N3019" s="530" t="s">
        <v>578</v>
      </c>
      <c r="O3019" s="335" t="s">
        <v>583</v>
      </c>
      <c r="P3019" s="338">
        <v>12</v>
      </c>
      <c r="Q3019" s="338">
        <v>3</v>
      </c>
      <c r="R3019" s="339">
        <v>6.0000000000000001E-3</v>
      </c>
      <c r="S3019" s="335" t="s">
        <v>55</v>
      </c>
      <c r="T3019" s="335" t="s">
        <v>56</v>
      </c>
      <c r="U3019" s="335" t="s">
        <v>57</v>
      </c>
      <c r="V3019" s="341">
        <f>200</f>
        <v>200</v>
      </c>
      <c r="W3019" s="341">
        <f>200</f>
        <v>200</v>
      </c>
      <c r="X3019" s="342"/>
      <c r="Y3019" s="343">
        <f t="shared" si="1366"/>
        <v>0</v>
      </c>
      <c r="Z3019" s="344">
        <f t="shared" si="1367"/>
        <v>0</v>
      </c>
      <c r="AA3019" s="344">
        <f t="shared" si="1373"/>
        <v>0</v>
      </c>
      <c r="AB3019" s="817">
        <v>7.4999999999999997E-3</v>
      </c>
      <c r="AC3019" s="341">
        <f t="shared" si="1368"/>
        <v>0</v>
      </c>
      <c r="AD3019" s="209" t="s">
        <v>2696</v>
      </c>
      <c r="AE3019" s="210">
        <f t="shared" si="1369"/>
        <v>0</v>
      </c>
      <c r="AF3019" s="210">
        <f t="shared" si="1370"/>
        <v>0</v>
      </c>
      <c r="AG3019" s="211">
        <f t="shared" si="1371"/>
        <v>0.191</v>
      </c>
      <c r="AH3019" s="157">
        <f t="shared" si="1374"/>
        <v>0</v>
      </c>
      <c r="AI3019" s="152">
        <f t="shared" si="1372"/>
        <v>2400</v>
      </c>
      <c r="AK3019" s="156" t="s">
        <v>691</v>
      </c>
      <c r="AL3019" s="212" t="s">
        <v>690</v>
      </c>
      <c r="AM3019" s="198">
        <f t="shared" si="1360"/>
        <v>0</v>
      </c>
      <c r="AN3019" s="199">
        <f t="shared" si="1361"/>
        <v>46045</v>
      </c>
      <c r="AO3019" s="159" t="s">
        <v>692</v>
      </c>
      <c r="AP3019" s="781"/>
      <c r="AQ3019" s="782">
        <v>12071839</v>
      </c>
      <c r="AR3019" s="782">
        <v>12042650</v>
      </c>
      <c r="AS3019" s="782">
        <v>12042649</v>
      </c>
      <c r="AT3019" s="782"/>
      <c r="AU3019" s="781"/>
      <c r="AV3019" s="782">
        <v>12083313</v>
      </c>
      <c r="AW3019" s="782"/>
      <c r="AX3019" s="782"/>
      <c r="AY3019" s="782">
        <v>12094233</v>
      </c>
      <c r="AZ3019" s="782">
        <v>12094234</v>
      </c>
      <c r="BA3019" s="781"/>
      <c r="BB3019" s="209">
        <v>23053185</v>
      </c>
    </row>
    <row r="3020" spans="1:54" ht="25" customHeight="1">
      <c r="A3020" s="529" t="s">
        <v>255</v>
      </c>
      <c r="B3020" s="271">
        <v>46045</v>
      </c>
      <c r="C3020" s="870" t="s">
        <v>2629</v>
      </c>
      <c r="D3020" s="185">
        <f t="shared" si="1364"/>
        <v>2026</v>
      </c>
      <c r="E3020" s="272" t="e">
        <f>VLOOKUP($B3020,Week!$A$1:$C$1462,2,0)</f>
        <v>#N/A</v>
      </c>
      <c r="F3020" s="273" t="str">
        <f t="shared" si="1365"/>
        <v>Jan</v>
      </c>
      <c r="G3020" s="274" t="s">
        <v>47</v>
      </c>
      <c r="H3020" s="274" t="s">
        <v>518</v>
      </c>
      <c r="I3020" s="274" t="s">
        <v>2702</v>
      </c>
      <c r="J3020" s="275" t="s">
        <v>70</v>
      </c>
      <c r="K3020" s="276" t="s">
        <v>556</v>
      </c>
      <c r="L3020" s="300" t="s">
        <v>2167</v>
      </c>
      <c r="M3020" s="275" t="s">
        <v>520</v>
      </c>
      <c r="N3020" s="423" t="s">
        <v>586</v>
      </c>
      <c r="O3020" s="274" t="s">
        <v>585</v>
      </c>
      <c r="P3020" s="277">
        <v>12</v>
      </c>
      <c r="Q3020" s="277">
        <v>5</v>
      </c>
      <c r="R3020" s="278">
        <v>6.0000000000000001E-3</v>
      </c>
      <c r="S3020" s="274" t="s">
        <v>55</v>
      </c>
      <c r="T3020" s="274" t="s">
        <v>56</v>
      </c>
      <c r="U3020" s="274" t="s">
        <v>57</v>
      </c>
      <c r="V3020" s="279">
        <f>200-77</f>
        <v>123</v>
      </c>
      <c r="W3020" s="279">
        <v>123</v>
      </c>
      <c r="X3020" s="280"/>
      <c r="Y3020" s="281">
        <f t="shared" si="1366"/>
        <v>0</v>
      </c>
      <c r="Z3020" s="282">
        <f t="shared" si="1367"/>
        <v>0</v>
      </c>
      <c r="AA3020" s="282">
        <f t="shared" si="1373"/>
        <v>0</v>
      </c>
      <c r="AB3020" s="812">
        <v>7.4999999999999997E-3</v>
      </c>
      <c r="AC3020" s="279">
        <f t="shared" si="1368"/>
        <v>0</v>
      </c>
      <c r="AD3020" s="209" t="s">
        <v>2697</v>
      </c>
      <c r="AE3020" s="210">
        <f t="shared" si="1369"/>
        <v>0</v>
      </c>
      <c r="AF3020" s="210">
        <f t="shared" si="1370"/>
        <v>0</v>
      </c>
      <c r="AG3020" s="211">
        <f t="shared" si="1371"/>
        <v>0.13500000000000001</v>
      </c>
      <c r="AH3020" s="157">
        <f t="shared" si="1374"/>
        <v>0</v>
      </c>
      <c r="AI3020" s="152">
        <f t="shared" si="1372"/>
        <v>1476</v>
      </c>
      <c r="AK3020" s="156" t="s">
        <v>691</v>
      </c>
      <c r="AL3020" s="212" t="s">
        <v>690</v>
      </c>
      <c r="AM3020" s="198">
        <f t="shared" si="1360"/>
        <v>0</v>
      </c>
      <c r="AN3020" s="199">
        <f t="shared" si="1361"/>
        <v>46045</v>
      </c>
      <c r="AO3020" s="159" t="s">
        <v>692</v>
      </c>
      <c r="AP3020" s="781"/>
      <c r="AQ3020" s="782">
        <v>12071839</v>
      </c>
      <c r="AR3020" s="782">
        <v>12047514</v>
      </c>
      <c r="AS3020" s="782">
        <v>12047515</v>
      </c>
      <c r="AT3020" s="782"/>
      <c r="AU3020" s="781"/>
      <c r="AV3020" s="782">
        <v>12083307</v>
      </c>
      <c r="AW3020" s="782"/>
      <c r="AX3020" s="782"/>
      <c r="AY3020" s="782">
        <v>12094380</v>
      </c>
      <c r="AZ3020" s="782">
        <v>12094381</v>
      </c>
      <c r="BA3020" s="781"/>
      <c r="BB3020" s="209">
        <v>23053185</v>
      </c>
    </row>
    <row r="3021" spans="1:54" ht="25" customHeight="1">
      <c r="B3021" s="271">
        <v>46045</v>
      </c>
      <c r="C3021" s="870" t="s">
        <v>2717</v>
      </c>
      <c r="D3021" s="185">
        <f t="shared" si="1364"/>
        <v>2026</v>
      </c>
      <c r="E3021" s="272" t="e">
        <f>VLOOKUP($B3021,Week!$A$1:$C$1462,2,0)</f>
        <v>#N/A</v>
      </c>
      <c r="F3021" s="273" t="str">
        <f t="shared" si="1365"/>
        <v>Jan</v>
      </c>
      <c r="G3021" s="274" t="s">
        <v>47</v>
      </c>
      <c r="H3021" s="274" t="s">
        <v>518</v>
      </c>
      <c r="I3021" s="274" t="s">
        <v>2702</v>
      </c>
      <c r="J3021" s="275" t="s">
        <v>70</v>
      </c>
      <c r="K3021" s="276" t="s">
        <v>556</v>
      </c>
      <c r="L3021" s="300" t="s">
        <v>2167</v>
      </c>
      <c r="M3021" s="275" t="s">
        <v>520</v>
      </c>
      <c r="N3021" s="423" t="s">
        <v>586</v>
      </c>
      <c r="O3021" s="274" t="s">
        <v>585</v>
      </c>
      <c r="P3021" s="277">
        <v>12</v>
      </c>
      <c r="Q3021" s="277">
        <v>5</v>
      </c>
      <c r="R3021" s="278">
        <v>6.0000000000000001E-3</v>
      </c>
      <c r="S3021" s="274" t="s">
        <v>55</v>
      </c>
      <c r="T3021" s="274" t="s">
        <v>56</v>
      </c>
      <c r="U3021" s="274" t="s">
        <v>57</v>
      </c>
      <c r="V3021" s="279">
        <f>200</f>
        <v>200</v>
      </c>
      <c r="W3021" s="279">
        <v>200</v>
      </c>
      <c r="X3021" s="280"/>
      <c r="Y3021" s="281">
        <f t="shared" si="1366"/>
        <v>0</v>
      </c>
      <c r="Z3021" s="282">
        <f t="shared" si="1367"/>
        <v>0</v>
      </c>
      <c r="AA3021" s="282">
        <f t="shared" si="1373"/>
        <v>0</v>
      </c>
      <c r="AB3021" s="812">
        <v>7.4999999999999997E-3</v>
      </c>
      <c r="AC3021" s="279">
        <f t="shared" si="1368"/>
        <v>0</v>
      </c>
      <c r="AD3021" s="209" t="s">
        <v>2697</v>
      </c>
      <c r="AE3021" s="210">
        <f t="shared" si="1369"/>
        <v>0</v>
      </c>
      <c r="AF3021" s="210">
        <f t="shared" si="1370"/>
        <v>0</v>
      </c>
      <c r="AG3021" s="211">
        <f t="shared" si="1371"/>
        <v>0.13500000000000001</v>
      </c>
      <c r="AH3021" s="157">
        <f t="shared" si="1374"/>
        <v>0</v>
      </c>
      <c r="AI3021" s="152">
        <f t="shared" si="1372"/>
        <v>2400</v>
      </c>
      <c r="AK3021" s="156" t="s">
        <v>691</v>
      </c>
      <c r="AL3021" s="212" t="s">
        <v>690</v>
      </c>
      <c r="AM3021" s="198">
        <f t="shared" si="1360"/>
        <v>0</v>
      </c>
      <c r="AN3021" s="199">
        <f t="shared" si="1361"/>
        <v>46045</v>
      </c>
      <c r="AO3021" s="159" t="s">
        <v>692</v>
      </c>
      <c r="AP3021" s="781"/>
      <c r="AQ3021" s="782">
        <v>12071839</v>
      </c>
      <c r="AR3021" s="782">
        <v>12047514</v>
      </c>
      <c r="AS3021" s="782">
        <v>12047515</v>
      </c>
      <c r="AT3021" s="782"/>
      <c r="AU3021" s="781"/>
      <c r="AV3021" s="782">
        <v>12083307</v>
      </c>
      <c r="AW3021" s="782"/>
      <c r="AX3021" s="782"/>
      <c r="AY3021" s="782">
        <v>12094380</v>
      </c>
      <c r="AZ3021" s="782">
        <v>12094381</v>
      </c>
      <c r="BA3021" s="781"/>
      <c r="BB3021" s="209">
        <v>23053185</v>
      </c>
    </row>
    <row r="3022" spans="1:54" ht="25" customHeight="1">
      <c r="A3022" s="529" t="s">
        <v>1937</v>
      </c>
      <c r="B3022" s="357">
        <v>46045</v>
      </c>
      <c r="C3022" s="776" t="s">
        <v>2717</v>
      </c>
      <c r="D3022" s="185">
        <f t="shared" si="1364"/>
        <v>2026</v>
      </c>
      <c r="E3022" s="358" t="e">
        <f>VLOOKUP($B3022,Week!$A$1:$C$1462,2,0)</f>
        <v>#N/A</v>
      </c>
      <c r="F3022" s="360" t="str">
        <f t="shared" si="1365"/>
        <v>Jan</v>
      </c>
      <c r="G3022" s="359" t="s">
        <v>47</v>
      </c>
      <c r="H3022" s="359" t="s">
        <v>518</v>
      </c>
      <c r="I3022" s="359" t="s">
        <v>2702</v>
      </c>
      <c r="J3022" s="361" t="s">
        <v>70</v>
      </c>
      <c r="K3022" s="362" t="s">
        <v>94</v>
      </c>
      <c r="L3022" s="362" t="s">
        <v>2167</v>
      </c>
      <c r="M3022" s="361" t="s">
        <v>2341</v>
      </c>
      <c r="N3022" s="436" t="s">
        <v>648</v>
      </c>
      <c r="O3022" s="359" t="s">
        <v>97</v>
      </c>
      <c r="P3022" s="363">
        <v>12</v>
      </c>
      <c r="Q3022" s="363">
        <v>5</v>
      </c>
      <c r="R3022" s="364">
        <v>8.0000000000000002E-3</v>
      </c>
      <c r="S3022" s="359" t="s">
        <v>40</v>
      </c>
      <c r="T3022" s="359" t="s">
        <v>56</v>
      </c>
      <c r="U3022" s="359" t="s">
        <v>57</v>
      </c>
      <c r="V3022" s="365">
        <v>12</v>
      </c>
      <c r="W3022" s="365">
        <v>12</v>
      </c>
      <c r="X3022" s="366"/>
      <c r="Y3022" s="367">
        <f t="shared" si="1366"/>
        <v>0</v>
      </c>
      <c r="Z3022" s="368">
        <f t="shared" si="1367"/>
        <v>0</v>
      </c>
      <c r="AA3022" s="368">
        <f t="shared" si="1373"/>
        <v>0</v>
      </c>
      <c r="AB3022" s="819">
        <v>7.4999999999999997E-3</v>
      </c>
      <c r="AC3022" s="365">
        <f t="shared" si="1368"/>
        <v>0</v>
      </c>
      <c r="AD3022" s="209"/>
      <c r="AE3022" s="210">
        <f t="shared" si="1369"/>
        <v>0</v>
      </c>
      <c r="AF3022" s="210">
        <f t="shared" si="1370"/>
        <v>0</v>
      </c>
      <c r="AG3022" s="211">
        <f t="shared" si="1371"/>
        <v>0.14499999999999999</v>
      </c>
      <c r="AH3022" s="157">
        <f t="shared" si="1374"/>
        <v>0</v>
      </c>
      <c r="AI3022" s="152">
        <f t="shared" si="1372"/>
        <v>144</v>
      </c>
      <c r="AK3022" s="156" t="s">
        <v>691</v>
      </c>
      <c r="AL3022" s="574" t="s">
        <v>690</v>
      </c>
      <c r="AM3022" s="198">
        <f t="shared" si="1360"/>
        <v>0</v>
      </c>
      <c r="AN3022" s="199">
        <f t="shared" si="1361"/>
        <v>46045</v>
      </c>
      <c r="AO3022" s="159" t="s">
        <v>692</v>
      </c>
      <c r="AP3022" s="783" t="s">
        <v>628</v>
      </c>
      <c r="AQ3022" s="782">
        <v>12071839</v>
      </c>
      <c r="AR3022" s="782">
        <v>12047514</v>
      </c>
      <c r="AS3022" s="782">
        <v>12047515</v>
      </c>
      <c r="AT3022" s="782"/>
      <c r="AU3022" s="781"/>
      <c r="AV3022" s="782">
        <v>12080617</v>
      </c>
      <c r="AW3022" s="782"/>
      <c r="AX3022" s="782"/>
      <c r="AY3022" s="782">
        <v>12094231</v>
      </c>
      <c r="AZ3022" s="782">
        <v>1209232</v>
      </c>
      <c r="BA3022" s="781"/>
      <c r="BB3022" s="209"/>
    </row>
    <row r="3023" spans="1:54" ht="25" customHeight="1">
      <c r="B3023" s="357">
        <v>46045</v>
      </c>
      <c r="C3023" s="776" t="s">
        <v>2717</v>
      </c>
      <c r="D3023" s="185">
        <f t="shared" si="1364"/>
        <v>2026</v>
      </c>
      <c r="E3023" s="358" t="e">
        <f>VLOOKUP($B3023,Week!$A$1:$C$1462,2,0)</f>
        <v>#N/A</v>
      </c>
      <c r="F3023" s="360" t="str">
        <f t="shared" si="1365"/>
        <v>Jan</v>
      </c>
      <c r="G3023" s="359" t="s">
        <v>47</v>
      </c>
      <c r="H3023" s="359" t="s">
        <v>518</v>
      </c>
      <c r="I3023" s="359" t="s">
        <v>2702</v>
      </c>
      <c r="J3023" s="361" t="s">
        <v>70</v>
      </c>
      <c r="K3023" s="362" t="s">
        <v>94</v>
      </c>
      <c r="L3023" s="300" t="s">
        <v>2167</v>
      </c>
      <c r="M3023" s="361" t="s">
        <v>2341</v>
      </c>
      <c r="N3023" s="359" t="s">
        <v>589</v>
      </c>
      <c r="O3023" s="359" t="s">
        <v>97</v>
      </c>
      <c r="P3023" s="363">
        <v>12</v>
      </c>
      <c r="Q3023" s="363">
        <v>5</v>
      </c>
      <c r="R3023" s="364">
        <v>8.0000000000000002E-3</v>
      </c>
      <c r="S3023" s="359" t="s">
        <v>40</v>
      </c>
      <c r="T3023" s="359" t="s">
        <v>56</v>
      </c>
      <c r="U3023" s="359" t="s">
        <v>57</v>
      </c>
      <c r="V3023" s="365">
        <f>1250</f>
        <v>1250</v>
      </c>
      <c r="W3023" s="365">
        <f>58+1192</f>
        <v>1250</v>
      </c>
      <c r="X3023" s="366"/>
      <c r="Y3023" s="367">
        <f t="shared" si="1366"/>
        <v>0</v>
      </c>
      <c r="Z3023" s="368">
        <f t="shared" si="1367"/>
        <v>0</v>
      </c>
      <c r="AA3023" s="368">
        <f t="shared" si="1373"/>
        <v>0</v>
      </c>
      <c r="AB3023" s="819">
        <v>7.4999999999999997E-3</v>
      </c>
      <c r="AC3023" s="365">
        <f t="shared" si="1368"/>
        <v>0</v>
      </c>
      <c r="AD3023" s="209"/>
      <c r="AE3023" s="210">
        <f t="shared" si="1369"/>
        <v>0</v>
      </c>
      <c r="AF3023" s="210">
        <f t="shared" si="1370"/>
        <v>0</v>
      </c>
      <c r="AG3023" s="211">
        <f t="shared" si="1371"/>
        <v>0.14499999999999999</v>
      </c>
      <c r="AH3023" s="157">
        <f t="shared" si="1374"/>
        <v>0</v>
      </c>
      <c r="AI3023" s="152">
        <f t="shared" si="1372"/>
        <v>15000</v>
      </c>
      <c r="AK3023" s="156" t="s">
        <v>691</v>
      </c>
      <c r="AL3023" s="574" t="s">
        <v>690</v>
      </c>
      <c r="AM3023" s="198">
        <f t="shared" si="1360"/>
        <v>0</v>
      </c>
      <c r="AN3023" s="199">
        <f t="shared" si="1361"/>
        <v>46045</v>
      </c>
      <c r="AO3023" s="159" t="s">
        <v>692</v>
      </c>
      <c r="AP3023" s="783" t="s">
        <v>628</v>
      </c>
      <c r="AQ3023" s="782">
        <v>12071839</v>
      </c>
      <c r="AR3023" s="782">
        <v>12047514</v>
      </c>
      <c r="AS3023" s="782">
        <v>12047515</v>
      </c>
      <c r="AT3023" s="782"/>
      <c r="AU3023" s="781"/>
      <c r="AV3023" s="782">
        <v>12080617</v>
      </c>
      <c r="AW3023" s="782"/>
      <c r="AX3023" s="782"/>
      <c r="AY3023" s="782">
        <v>12094231</v>
      </c>
      <c r="AZ3023" s="782">
        <v>1209232</v>
      </c>
      <c r="BA3023" s="781"/>
      <c r="BB3023" s="209">
        <v>23053185</v>
      </c>
    </row>
    <row r="3024" spans="1:54" ht="24.65" customHeight="1">
      <c r="A3024" s="529" t="s">
        <v>1812</v>
      </c>
      <c r="B3024" s="357">
        <v>46045</v>
      </c>
      <c r="C3024" s="776">
        <v>46068</v>
      </c>
      <c r="D3024" s="185">
        <f t="shared" si="1364"/>
        <v>2026</v>
      </c>
      <c r="E3024" s="358" t="e">
        <f>VLOOKUP($B3024,Week!$A$1:$C$1462,2,0)</f>
        <v>#N/A</v>
      </c>
      <c r="F3024" s="360" t="str">
        <f t="shared" si="1365"/>
        <v>Jan</v>
      </c>
      <c r="G3024" s="359" t="s">
        <v>2789</v>
      </c>
      <c r="H3024" s="436" t="s">
        <v>1820</v>
      </c>
      <c r="I3024" s="436" t="s">
        <v>1820</v>
      </c>
      <c r="J3024" s="437" t="s">
        <v>1821</v>
      </c>
      <c r="K3024" s="362" t="s">
        <v>94</v>
      </c>
      <c r="L3024" s="300" t="s">
        <v>2167</v>
      </c>
      <c r="M3024" s="361" t="s">
        <v>1823</v>
      </c>
      <c r="N3024" s="436" t="s">
        <v>1818</v>
      </c>
      <c r="O3024" s="359" t="s">
        <v>97</v>
      </c>
      <c r="P3024" s="363">
        <v>12</v>
      </c>
      <c r="Q3024" s="363">
        <v>5</v>
      </c>
      <c r="R3024" s="364">
        <v>8.0000000000000002E-3</v>
      </c>
      <c r="S3024" s="359" t="s">
        <v>40</v>
      </c>
      <c r="T3024" s="359" t="s">
        <v>56</v>
      </c>
      <c r="U3024" s="359" t="s">
        <v>57</v>
      </c>
      <c r="V3024" s="365">
        <f>100</f>
        <v>100</v>
      </c>
      <c r="W3024" s="365">
        <v>100</v>
      </c>
      <c r="X3024" s="366"/>
      <c r="Y3024" s="367">
        <f t="shared" si="1366"/>
        <v>0</v>
      </c>
      <c r="Z3024" s="368">
        <f t="shared" si="1367"/>
        <v>0</v>
      </c>
      <c r="AA3024" s="368">
        <f t="shared" si="1373"/>
        <v>0</v>
      </c>
      <c r="AB3024" s="819">
        <v>7.4999999999999997E-3</v>
      </c>
      <c r="AC3024" s="365">
        <f t="shared" si="1368"/>
        <v>0</v>
      </c>
      <c r="AD3024" s="443"/>
      <c r="AE3024" s="210">
        <f t="shared" si="1369"/>
        <v>0</v>
      </c>
      <c r="AF3024" s="210">
        <f t="shared" si="1370"/>
        <v>0</v>
      </c>
      <c r="AG3024" s="211">
        <f t="shared" si="1371"/>
        <v>0.14499999999999999</v>
      </c>
      <c r="AH3024" s="157">
        <f>(Z3024*AG3024)/1000</f>
        <v>0</v>
      </c>
      <c r="AI3024" s="152">
        <f t="shared" si="1372"/>
        <v>1200</v>
      </c>
      <c r="AK3024" s="156" t="s">
        <v>691</v>
      </c>
      <c r="AL3024" s="574" t="s">
        <v>690</v>
      </c>
      <c r="AM3024" s="198">
        <f t="shared" si="1360"/>
        <v>0</v>
      </c>
      <c r="AN3024" s="199">
        <f t="shared" si="1361"/>
        <v>46045</v>
      </c>
      <c r="AO3024" s="159" t="s">
        <v>692</v>
      </c>
      <c r="AP3024" s="783" t="s">
        <v>628</v>
      </c>
      <c r="AQ3024" s="782">
        <v>12071839</v>
      </c>
      <c r="AR3024" s="782">
        <v>12047514</v>
      </c>
      <c r="AS3024" s="782">
        <v>12047515</v>
      </c>
      <c r="AT3024" s="782"/>
      <c r="AU3024" s="781"/>
      <c r="AV3024" s="782">
        <v>12080617</v>
      </c>
      <c r="AW3024" s="782"/>
      <c r="AX3024" s="782"/>
      <c r="AY3024" s="782">
        <v>12094231</v>
      </c>
      <c r="AZ3024" s="782">
        <v>1209232</v>
      </c>
      <c r="BA3024" s="781"/>
      <c r="BB3024" s="209">
        <v>23053185</v>
      </c>
    </row>
    <row r="3025" spans="1:54" ht="25" customHeight="1">
      <c r="B3025" s="743">
        <v>46045</v>
      </c>
      <c r="C3025" s="744" t="s">
        <v>2629</v>
      </c>
      <c r="D3025" s="215">
        <f t="shared" si="1364"/>
        <v>2026</v>
      </c>
      <c r="E3025" s="214" t="e">
        <f>VLOOKUP($B3025,Week!$A$1:$C$1462,2,0)</f>
        <v>#N/A</v>
      </c>
      <c r="F3025" s="216" t="str">
        <f t="shared" si="1365"/>
        <v>Jan</v>
      </c>
      <c r="G3025" s="746" t="s">
        <v>47</v>
      </c>
      <c r="H3025" s="746" t="s">
        <v>260</v>
      </c>
      <c r="I3025" s="215" t="s">
        <v>2702</v>
      </c>
      <c r="J3025" s="747" t="s">
        <v>2702</v>
      </c>
      <c r="K3025" s="748" t="s">
        <v>2703</v>
      </c>
      <c r="L3025" s="217" t="s">
        <v>2167</v>
      </c>
      <c r="M3025" s="747" t="s">
        <v>2705</v>
      </c>
      <c r="N3025" s="915" t="s">
        <v>2704</v>
      </c>
      <c r="O3025" s="746" t="s">
        <v>1635</v>
      </c>
      <c r="P3025" s="749">
        <v>24</v>
      </c>
      <c r="Q3025" s="749">
        <v>3</v>
      </c>
      <c r="R3025" s="849">
        <v>6.1999999999999998E-3</v>
      </c>
      <c r="S3025" s="746" t="s">
        <v>352</v>
      </c>
      <c r="T3025" s="746" t="s">
        <v>56</v>
      </c>
      <c r="U3025" s="860" t="s">
        <v>739</v>
      </c>
      <c r="V3025" s="750">
        <f>5600-1861-2034</f>
        <v>1705</v>
      </c>
      <c r="W3025" s="750">
        <f>1695-5+15</f>
        <v>1705</v>
      </c>
      <c r="X3025" s="751"/>
      <c r="Y3025" s="752">
        <f t="shared" si="1366"/>
        <v>0</v>
      </c>
      <c r="Z3025" s="753">
        <f t="shared" si="1367"/>
        <v>0</v>
      </c>
      <c r="AA3025" s="753">
        <f t="shared" si="1373"/>
        <v>0</v>
      </c>
      <c r="AB3025" s="838">
        <v>1.83E-2</v>
      </c>
      <c r="AC3025" s="750">
        <f t="shared" si="1368"/>
        <v>0</v>
      </c>
      <c r="AD3025" s="443"/>
      <c r="AE3025" s="210">
        <f t="shared" si="1369"/>
        <v>0</v>
      </c>
      <c r="AF3025" s="210">
        <f t="shared" si="1370"/>
        <v>0</v>
      </c>
      <c r="AG3025" s="211">
        <f t="shared" si="1371"/>
        <v>0.25</v>
      </c>
      <c r="AH3025" s="157">
        <v>0.26621999999999996</v>
      </c>
      <c r="AI3025" s="152">
        <f t="shared" si="1372"/>
        <v>40920</v>
      </c>
      <c r="AK3025" s="156" t="s">
        <v>691</v>
      </c>
      <c r="AL3025" s="574" t="s">
        <v>690</v>
      </c>
      <c r="AM3025" s="198">
        <f t="shared" si="1360"/>
        <v>0</v>
      </c>
      <c r="AN3025" s="199">
        <f t="shared" si="1361"/>
        <v>46045</v>
      </c>
      <c r="AO3025" s="159" t="s">
        <v>692</v>
      </c>
      <c r="AP3025" s="781" t="s">
        <v>642</v>
      </c>
      <c r="AQ3025" s="782">
        <v>12071839</v>
      </c>
      <c r="AR3025" s="782">
        <v>12042650</v>
      </c>
      <c r="AS3025" s="782">
        <v>12042649</v>
      </c>
      <c r="AT3025" s="782"/>
      <c r="AU3025" s="783"/>
      <c r="AV3025" s="782">
        <v>12097895</v>
      </c>
      <c r="AW3025" s="783"/>
      <c r="AX3025" s="781"/>
      <c r="AY3025" s="796">
        <v>12097893</v>
      </c>
      <c r="AZ3025" s="796">
        <v>12097894</v>
      </c>
      <c r="BA3025" s="796" t="s">
        <v>2462</v>
      </c>
      <c r="BB3025" s="209">
        <v>23099860</v>
      </c>
    </row>
    <row r="3026" spans="1:54" ht="24.65" customHeight="1">
      <c r="A3026" s="142" t="s">
        <v>120</v>
      </c>
      <c r="B3026" s="383">
        <v>46046</v>
      </c>
      <c r="C3026" s="224">
        <v>46064</v>
      </c>
      <c r="D3026" s="185">
        <f t="shared" si="1364"/>
        <v>2026</v>
      </c>
      <c r="E3026" s="224" t="e">
        <f>VLOOKUP($B3026,Week!$A$1:$C$1462,2,0)</f>
        <v>#N/A</v>
      </c>
      <c r="F3026" s="226" t="str">
        <f t="shared" si="1365"/>
        <v>Jan</v>
      </c>
      <c r="G3026" s="225" t="s">
        <v>2778</v>
      </c>
      <c r="H3026" s="225" t="s">
        <v>1259</v>
      </c>
      <c r="I3026" s="225" t="s">
        <v>2772</v>
      </c>
      <c r="J3026" s="227" t="s">
        <v>512</v>
      </c>
      <c r="K3026" s="228" t="s">
        <v>85</v>
      </c>
      <c r="L3026" s="390" t="s">
        <v>2166</v>
      </c>
      <c r="M3026" s="227" t="s">
        <v>165</v>
      </c>
      <c r="N3026" s="225" t="s">
        <v>700</v>
      </c>
      <c r="O3026" s="225" t="s">
        <v>287</v>
      </c>
      <c r="P3026" s="229">
        <v>40</v>
      </c>
      <c r="Q3026" s="229">
        <v>12</v>
      </c>
      <c r="R3026" s="230">
        <v>8.1300000000000001E-3</v>
      </c>
      <c r="S3026" s="225" t="s">
        <v>40</v>
      </c>
      <c r="T3026" s="225" t="s">
        <v>112</v>
      </c>
      <c r="U3026" s="225" t="s">
        <v>89</v>
      </c>
      <c r="V3026" s="231">
        <v>430</v>
      </c>
      <c r="W3026" s="231"/>
      <c r="X3026" s="232">
        <f>(240+16960)/40</f>
        <v>430</v>
      </c>
      <c r="Y3026" s="233">
        <f t="shared" si="1366"/>
        <v>0</v>
      </c>
      <c r="Z3026" s="234">
        <f t="shared" si="1367"/>
        <v>0</v>
      </c>
      <c r="AA3026" s="234">
        <f t="shared" si="1373"/>
        <v>0</v>
      </c>
      <c r="AB3026" s="822">
        <v>2</v>
      </c>
      <c r="AC3026" s="231">
        <f t="shared" si="1368"/>
        <v>0</v>
      </c>
      <c r="AD3026" s="209"/>
      <c r="AE3026" s="210">
        <f t="shared" si="1369"/>
        <v>0</v>
      </c>
      <c r="AF3026" s="210">
        <f t="shared" si="1370"/>
        <v>0</v>
      </c>
      <c r="AG3026" s="211">
        <f t="shared" si="1371"/>
        <v>0.154</v>
      </c>
      <c r="AH3026" s="157">
        <f>(Z3026*AG3026)/1000</f>
        <v>0</v>
      </c>
      <c r="AI3026" s="152">
        <f t="shared" si="1372"/>
        <v>17200</v>
      </c>
      <c r="AK3026" s="156" t="s">
        <v>691</v>
      </c>
      <c r="AL3026" s="156" t="s">
        <v>689</v>
      </c>
      <c r="AM3026" s="198">
        <f t="shared" si="1360"/>
        <v>0</v>
      </c>
      <c r="AN3026" s="199">
        <f t="shared" si="1361"/>
        <v>46046</v>
      </c>
      <c r="AO3026" s="159" t="s">
        <v>692</v>
      </c>
      <c r="AP3026" s="781"/>
      <c r="AQ3026" s="782">
        <v>12071839</v>
      </c>
      <c r="AR3026" s="782">
        <v>12019692</v>
      </c>
      <c r="AS3026" s="782"/>
      <c r="AT3026" s="782">
        <v>12056457</v>
      </c>
      <c r="AU3026" s="782"/>
      <c r="AV3026" s="782">
        <v>12056565</v>
      </c>
      <c r="AW3026" s="782">
        <v>12034747</v>
      </c>
      <c r="AX3026" s="782" t="s">
        <v>398</v>
      </c>
      <c r="AY3026" s="782" t="s">
        <v>513</v>
      </c>
      <c r="AZ3026" s="782"/>
      <c r="BA3026" s="781"/>
      <c r="BB3026" s="209">
        <v>23053184</v>
      </c>
    </row>
    <row r="3027" spans="1:54" ht="25" customHeight="1">
      <c r="A3027" s="142" t="s">
        <v>120</v>
      </c>
      <c r="B3027" s="320">
        <v>46046</v>
      </c>
      <c r="C3027" s="321">
        <v>46072</v>
      </c>
      <c r="D3027" s="323">
        <f t="shared" si="1364"/>
        <v>2026</v>
      </c>
      <c r="E3027" s="321" t="e">
        <f>VLOOKUP($B3027,Week!$A$1:$C$1462,2,0)</f>
        <v>#N/A</v>
      </c>
      <c r="F3027" s="322" t="str">
        <f t="shared" si="1365"/>
        <v>Jan</v>
      </c>
      <c r="G3027" s="323" t="s">
        <v>2754</v>
      </c>
      <c r="H3027" s="323" t="s">
        <v>363</v>
      </c>
      <c r="I3027" s="323" t="s">
        <v>2772</v>
      </c>
      <c r="J3027" s="324" t="s">
        <v>364</v>
      </c>
      <c r="K3027" s="325" t="s">
        <v>2583</v>
      </c>
      <c r="L3027" s="325" t="s">
        <v>2166</v>
      </c>
      <c r="M3027" s="324" t="s">
        <v>2586</v>
      </c>
      <c r="N3027" s="323" t="s">
        <v>2584</v>
      </c>
      <c r="O3027" s="323" t="s">
        <v>2587</v>
      </c>
      <c r="P3027" s="326">
        <v>20</v>
      </c>
      <c r="Q3027" s="326">
        <v>50</v>
      </c>
      <c r="R3027" s="327">
        <v>4.0000000000000001E-3</v>
      </c>
      <c r="S3027" s="323" t="s">
        <v>55</v>
      </c>
      <c r="T3027" s="323" t="s">
        <v>112</v>
      </c>
      <c r="U3027" s="323" t="s">
        <v>77</v>
      </c>
      <c r="V3027" s="328">
        <v>200</v>
      </c>
      <c r="W3027" s="328"/>
      <c r="X3027" s="329">
        <f>(600+3400)/20</f>
        <v>200</v>
      </c>
      <c r="Y3027" s="330">
        <f t="shared" si="1366"/>
        <v>0</v>
      </c>
      <c r="Z3027" s="331">
        <f t="shared" si="1367"/>
        <v>0</v>
      </c>
      <c r="AA3027" s="331">
        <f t="shared" si="1373"/>
        <v>0</v>
      </c>
      <c r="AB3027" s="816">
        <v>6</v>
      </c>
      <c r="AC3027" s="328">
        <f t="shared" si="1368"/>
        <v>0</v>
      </c>
      <c r="AD3027" s="209"/>
      <c r="AE3027" s="210">
        <f t="shared" si="1369"/>
        <v>0</v>
      </c>
      <c r="AF3027" s="210">
        <f t="shared" si="1370"/>
        <v>0</v>
      </c>
      <c r="AG3027" s="211">
        <f t="shared" si="1371"/>
        <v>0.5</v>
      </c>
      <c r="AH3027" s="157">
        <f>(Z3027*AG3027)/1000</f>
        <v>0</v>
      </c>
      <c r="AI3027" s="152">
        <f t="shared" si="1372"/>
        <v>4000</v>
      </c>
      <c r="AK3027" s="156" t="s">
        <v>691</v>
      </c>
      <c r="AL3027" s="156" t="s">
        <v>689</v>
      </c>
      <c r="AM3027" s="198">
        <f t="shared" si="1360"/>
        <v>0</v>
      </c>
      <c r="AN3027" s="199">
        <f t="shared" si="1361"/>
        <v>46046</v>
      </c>
      <c r="AO3027" s="159" t="s">
        <v>692</v>
      </c>
      <c r="AP3027" s="783" t="s">
        <v>620</v>
      </c>
      <c r="AQ3027" s="796" t="s">
        <v>422</v>
      </c>
      <c r="AR3027" s="782">
        <v>12055234</v>
      </c>
      <c r="AS3027" s="781"/>
      <c r="AT3027" s="782"/>
      <c r="AU3027" s="782"/>
      <c r="AV3027" s="782">
        <v>12097165</v>
      </c>
      <c r="AW3027" s="782"/>
      <c r="AX3027" s="782">
        <v>12036656</v>
      </c>
      <c r="AY3027" s="799"/>
      <c r="AZ3027" s="781"/>
      <c r="BA3027" s="781"/>
      <c r="BB3027" s="209">
        <v>23053184</v>
      </c>
    </row>
    <row r="3028" spans="1:54" ht="25" customHeight="1">
      <c r="B3028" s="183">
        <v>46047</v>
      </c>
      <c r="C3028" s="184"/>
      <c r="D3028" s="185">
        <f t="shared" si="1364"/>
        <v>2026</v>
      </c>
      <c r="E3028" s="185" t="e">
        <f>VLOOKUP($B3028,Week!$A$1:$C$1462,2,0)</f>
        <v>#N/A</v>
      </c>
      <c r="F3028" s="186" t="str">
        <f t="shared" si="1365"/>
        <v>Jan</v>
      </c>
      <c r="G3028" s="481"/>
      <c r="H3028" s="185"/>
      <c r="I3028" s="185"/>
      <c r="J3028" s="187"/>
      <c r="K3028" s="188"/>
      <c r="L3028" s="188"/>
      <c r="M3028" s="187"/>
      <c r="N3028" s="185"/>
      <c r="O3028" s="185"/>
      <c r="P3028" s="189"/>
      <c r="Q3028" s="189"/>
      <c r="R3028" s="190"/>
      <c r="S3028" s="185"/>
      <c r="T3028" s="185"/>
      <c r="U3028" s="185"/>
      <c r="V3028" s="191"/>
      <c r="W3028" s="191"/>
      <c r="X3028" s="192"/>
      <c r="Y3028" s="193"/>
      <c r="Z3028" s="194"/>
      <c r="AA3028" s="194">
        <f t="shared" si="1373"/>
        <v>0</v>
      </c>
      <c r="AB3028" s="805"/>
      <c r="AC3028" s="191"/>
      <c r="AD3028" s="187"/>
      <c r="AE3028" s="195"/>
      <c r="AF3028" s="195"/>
      <c r="AG3028" s="196"/>
      <c r="AH3028" s="197"/>
      <c r="AK3028" s="156" t="s">
        <v>691</v>
      </c>
      <c r="AM3028" s="198">
        <f t="shared" si="1360"/>
        <v>0</v>
      </c>
      <c r="AN3028" s="199">
        <f t="shared" si="1361"/>
        <v>46047</v>
      </c>
      <c r="AO3028" s="159" t="s">
        <v>692</v>
      </c>
      <c r="AP3028" s="781"/>
      <c r="AQ3028" s="782"/>
      <c r="AR3028" s="782"/>
      <c r="AS3028" s="782"/>
      <c r="AT3028" s="782"/>
      <c r="AU3028" s="781"/>
      <c r="AV3028" s="782"/>
      <c r="AW3028" s="782"/>
      <c r="AX3028" s="782"/>
      <c r="AY3028" s="782"/>
      <c r="AZ3028" s="782"/>
      <c r="BA3028" s="781"/>
      <c r="BB3028" s="209"/>
    </row>
    <row r="3029" spans="1:54" ht="24.75" customHeight="1">
      <c r="B3029" s="295">
        <v>46048</v>
      </c>
      <c r="C3029" s="771" t="s">
        <v>2629</v>
      </c>
      <c r="D3029" s="185">
        <f t="shared" si="1364"/>
        <v>2026</v>
      </c>
      <c r="E3029" s="296" t="e">
        <f>VLOOKUP($B3029,Week!$A$1:$C$1462,2,0)</f>
        <v>#N/A</v>
      </c>
      <c r="F3029" s="297" t="str">
        <f t="shared" si="1365"/>
        <v>Jan</v>
      </c>
      <c r="G3029" s="648" t="s">
        <v>47</v>
      </c>
      <c r="H3029" s="298" t="s">
        <v>260</v>
      </c>
      <c r="I3029" s="298" t="s">
        <v>2702</v>
      </c>
      <c r="J3029" s="307" t="s">
        <v>649</v>
      </c>
      <c r="K3029" s="300" t="s">
        <v>176</v>
      </c>
      <c r="L3029" s="300" t="s">
        <v>2167</v>
      </c>
      <c r="M3029" s="299" t="s">
        <v>2338</v>
      </c>
      <c r="N3029" s="298" t="s">
        <v>350</v>
      </c>
      <c r="O3029" s="298" t="s">
        <v>351</v>
      </c>
      <c r="P3029" s="301">
        <v>24</v>
      </c>
      <c r="Q3029" s="301">
        <v>5</v>
      </c>
      <c r="R3029" s="302">
        <v>6.1999999999999998E-3</v>
      </c>
      <c r="S3029" s="298" t="s">
        <v>352</v>
      </c>
      <c r="T3029" s="298" t="s">
        <v>56</v>
      </c>
      <c r="U3029" s="298" t="s">
        <v>57</v>
      </c>
      <c r="V3029" s="303">
        <f>8334-1445-2328-1035-934-1378+4+2-2-7</f>
        <v>1211</v>
      </c>
      <c r="W3029" s="303">
        <f>1+1210</f>
        <v>1211</v>
      </c>
      <c r="X3029" s="304"/>
      <c r="Y3029" s="305">
        <f t="shared" ref="Y3029:Y3034" si="1375">(W3029+X3029)-V3029</f>
        <v>0</v>
      </c>
      <c r="Z3029" s="306">
        <f t="shared" ref="Z3029:Z3034" si="1376">IF(Y3029&lt;0,((V3029*P3029)-((W3029+X3029)*P3029)),0)</f>
        <v>0</v>
      </c>
      <c r="AA3029" s="306">
        <f t="shared" ref="AA3029:AA3034" si="1377">Q3029*Z3029</f>
        <v>0</v>
      </c>
      <c r="AB3029" s="814">
        <v>7.4999999999999997E-3</v>
      </c>
      <c r="AC3029" s="303">
        <f t="shared" ref="AC3029:AC3034" si="1378">Z3029*AB3029</f>
        <v>0</v>
      </c>
      <c r="AD3029" s="443"/>
      <c r="AE3029" s="210">
        <f>SUM(Q3029*R3029*Z3029)/1000</f>
        <v>0</v>
      </c>
      <c r="AF3029" s="210">
        <f>AE3029/0.54</f>
        <v>0</v>
      </c>
      <c r="AG3029" s="211">
        <f t="shared" ref="AG3029:AG3034" si="1379">MID(O3029,1,3)/1000</f>
        <v>0.13</v>
      </c>
      <c r="AH3029" s="157">
        <f>(Z3029*AG3029)/1000</f>
        <v>0</v>
      </c>
      <c r="AI3029" s="152">
        <f t="shared" ref="AI3029:AI3034" si="1380">V3029*P3029</f>
        <v>29064</v>
      </c>
      <c r="AK3029" s="156" t="s">
        <v>691</v>
      </c>
      <c r="AL3029" s="574" t="s">
        <v>690</v>
      </c>
      <c r="AM3029" s="198">
        <f t="shared" ref="AM3029:AM3034" si="1381">AG3029*Z3029</f>
        <v>0</v>
      </c>
      <c r="AN3029" s="199">
        <f t="shared" ref="AN3029:AN3034" si="1382">B3029</f>
        <v>46048</v>
      </c>
      <c r="AO3029" s="159" t="s">
        <v>692</v>
      </c>
      <c r="AP3029" s="783" t="s">
        <v>622</v>
      </c>
      <c r="AQ3029" s="782">
        <v>12071839</v>
      </c>
      <c r="AR3029" s="782">
        <v>12094356</v>
      </c>
      <c r="AS3029" s="782">
        <v>12068233</v>
      </c>
      <c r="AT3029" s="781"/>
      <c r="AU3029" s="781"/>
      <c r="AV3029" s="782">
        <v>12062075</v>
      </c>
      <c r="AW3029" s="781"/>
      <c r="AX3029" s="781"/>
      <c r="AY3029" s="782">
        <v>12094357</v>
      </c>
      <c r="AZ3029" s="782"/>
      <c r="BA3029" s="781"/>
      <c r="BB3029" s="209">
        <v>23053184</v>
      </c>
    </row>
    <row r="3030" spans="1:54" ht="24.65" customHeight="1">
      <c r="A3030" s="529" t="s">
        <v>255</v>
      </c>
      <c r="B3030" s="308">
        <v>46048</v>
      </c>
      <c r="C3030" s="309">
        <v>46058</v>
      </c>
      <c r="D3030" s="185">
        <f t="shared" si="1364"/>
        <v>2026</v>
      </c>
      <c r="E3030" s="309" t="e">
        <f>VLOOKUP($B3030,Week!$A$1:$C$1462,2,0)</f>
        <v>#N/A</v>
      </c>
      <c r="F3030" s="310" t="str">
        <f t="shared" si="1365"/>
        <v>Jan</v>
      </c>
      <c r="G3030" s="311" t="s">
        <v>2653</v>
      </c>
      <c r="H3030" s="311" t="s">
        <v>311</v>
      </c>
      <c r="I3030" s="311" t="s">
        <v>2772</v>
      </c>
      <c r="J3030" s="312" t="s">
        <v>738</v>
      </c>
      <c r="K3030" s="313" t="s">
        <v>107</v>
      </c>
      <c r="L3030" s="300" t="s">
        <v>2167</v>
      </c>
      <c r="M3030" s="312" t="s">
        <v>313</v>
      </c>
      <c r="N3030" s="311" t="s">
        <v>314</v>
      </c>
      <c r="O3030" s="311" t="s">
        <v>110</v>
      </c>
      <c r="P3030" s="314">
        <v>36</v>
      </c>
      <c r="Q3030" s="314">
        <v>5</v>
      </c>
      <c r="R3030" s="315">
        <v>7.4999999999999997E-3</v>
      </c>
      <c r="S3030" s="311" t="s">
        <v>111</v>
      </c>
      <c r="T3030" s="311" t="s">
        <v>112</v>
      </c>
      <c r="U3030" s="311" t="s">
        <v>57</v>
      </c>
      <c r="V3030" s="316">
        <f>792</f>
        <v>792</v>
      </c>
      <c r="W3030" s="316">
        <f>712</f>
        <v>712</v>
      </c>
      <c r="X3030" s="317">
        <v>80</v>
      </c>
      <c r="Y3030" s="318">
        <f t="shared" si="1375"/>
        <v>0</v>
      </c>
      <c r="Z3030" s="319">
        <f t="shared" si="1376"/>
        <v>0</v>
      </c>
      <c r="AA3030" s="319">
        <f t="shared" si="1377"/>
        <v>0</v>
      </c>
      <c r="AB3030" s="815">
        <v>7.4999999999999997E-3</v>
      </c>
      <c r="AC3030" s="316">
        <f t="shared" si="1378"/>
        <v>0</v>
      </c>
      <c r="AD3030" s="515"/>
      <c r="AE3030" s="210">
        <f>SUM(Q3030*R3030*Z3030)/1000</f>
        <v>0</v>
      </c>
      <c r="AF3030" s="210">
        <f>AE3030/0.54</f>
        <v>0</v>
      </c>
      <c r="AG3030" s="211">
        <f t="shared" si="1379"/>
        <v>0.308</v>
      </c>
      <c r="AH3030" s="157">
        <f>(Z3030*AG3030)/1000</f>
        <v>0</v>
      </c>
      <c r="AI3030" s="152">
        <f t="shared" si="1380"/>
        <v>28512</v>
      </c>
      <c r="AK3030" s="156" t="s">
        <v>691</v>
      </c>
      <c r="AL3030" s="212" t="s">
        <v>690</v>
      </c>
      <c r="AM3030" s="198">
        <f t="shared" si="1381"/>
        <v>0</v>
      </c>
      <c r="AN3030" s="199">
        <f t="shared" si="1382"/>
        <v>46048</v>
      </c>
      <c r="AO3030" s="159" t="s">
        <v>692</v>
      </c>
      <c r="AP3030" s="783" t="s">
        <v>644</v>
      </c>
      <c r="AQ3030" s="782">
        <v>12063755</v>
      </c>
      <c r="AR3030" s="782">
        <v>12061353</v>
      </c>
      <c r="AS3030" s="782">
        <v>12061354</v>
      </c>
      <c r="AT3030" s="782">
        <v>12062266</v>
      </c>
      <c r="AU3030" s="781"/>
      <c r="AV3030" s="782">
        <v>12088159</v>
      </c>
      <c r="AW3030" s="782">
        <v>12088207</v>
      </c>
      <c r="AX3030" s="782"/>
      <c r="AY3030" s="782">
        <v>12094237</v>
      </c>
      <c r="AZ3030" s="782"/>
      <c r="BA3030" s="781"/>
      <c r="BB3030" s="209">
        <v>23053185</v>
      </c>
    </row>
    <row r="3031" spans="1:54" ht="24.65" customHeight="1">
      <c r="B3031" s="308">
        <v>46048</v>
      </c>
      <c r="C3031" s="309">
        <v>46058</v>
      </c>
      <c r="D3031" s="185">
        <f t="shared" si="1364"/>
        <v>2026</v>
      </c>
      <c r="E3031" s="309" t="e">
        <f>VLOOKUP($B3031,Week!$A$1:$C$1462,2,0)</f>
        <v>#N/A</v>
      </c>
      <c r="F3031" s="310" t="str">
        <f t="shared" si="1365"/>
        <v>Jan</v>
      </c>
      <c r="G3031" s="311" t="s">
        <v>2701</v>
      </c>
      <c r="H3031" s="311" t="s">
        <v>311</v>
      </c>
      <c r="I3031" s="311" t="s">
        <v>2772</v>
      </c>
      <c r="J3031" s="312" t="s">
        <v>738</v>
      </c>
      <c r="K3031" s="313" t="s">
        <v>107</v>
      </c>
      <c r="L3031" s="300" t="s">
        <v>2167</v>
      </c>
      <c r="M3031" s="312" t="s">
        <v>313</v>
      </c>
      <c r="N3031" s="311" t="s">
        <v>314</v>
      </c>
      <c r="O3031" s="311" t="s">
        <v>110</v>
      </c>
      <c r="P3031" s="314">
        <v>36</v>
      </c>
      <c r="Q3031" s="314">
        <v>5</v>
      </c>
      <c r="R3031" s="315">
        <v>7.4999999999999997E-3</v>
      </c>
      <c r="S3031" s="311" t="s">
        <v>111</v>
      </c>
      <c r="T3031" s="311" t="s">
        <v>112</v>
      </c>
      <c r="U3031" s="311" t="s">
        <v>57</v>
      </c>
      <c r="V3031" s="316">
        <v>792</v>
      </c>
      <c r="W3031" s="316">
        <f>1311-712</f>
        <v>599</v>
      </c>
      <c r="X3031" s="317">
        <f>80+((4068)/36)</f>
        <v>193</v>
      </c>
      <c r="Y3031" s="318">
        <f t="shared" si="1375"/>
        <v>0</v>
      </c>
      <c r="Z3031" s="319">
        <f t="shared" si="1376"/>
        <v>0</v>
      </c>
      <c r="AA3031" s="319">
        <f t="shared" si="1377"/>
        <v>0</v>
      </c>
      <c r="AB3031" s="815">
        <v>7.4999999999999997E-3</v>
      </c>
      <c r="AC3031" s="316">
        <f t="shared" si="1378"/>
        <v>0</v>
      </c>
      <c r="AD3031" s="515"/>
      <c r="AE3031" s="210">
        <f>SUM(Q3031*R3031*Z3031)/1000</f>
        <v>0</v>
      </c>
      <c r="AF3031" s="210">
        <f>AE3031/0.54</f>
        <v>0</v>
      </c>
      <c r="AG3031" s="211">
        <f t="shared" si="1379"/>
        <v>0.308</v>
      </c>
      <c r="AH3031" s="157">
        <f>(Z3031*AG3031)/1000</f>
        <v>0</v>
      </c>
      <c r="AI3031" s="152">
        <f t="shared" si="1380"/>
        <v>28512</v>
      </c>
      <c r="AK3031" s="156" t="s">
        <v>691</v>
      </c>
      <c r="AL3031" s="212" t="s">
        <v>690</v>
      </c>
      <c r="AM3031" s="198">
        <f t="shared" si="1381"/>
        <v>0</v>
      </c>
      <c r="AN3031" s="199">
        <f t="shared" si="1382"/>
        <v>46048</v>
      </c>
      <c r="AO3031" s="159" t="s">
        <v>692</v>
      </c>
      <c r="AP3031" s="783" t="s">
        <v>644</v>
      </c>
      <c r="AQ3031" s="782">
        <v>12063755</v>
      </c>
      <c r="AR3031" s="782">
        <v>12061353</v>
      </c>
      <c r="AS3031" s="782">
        <v>12061354</v>
      </c>
      <c r="AT3031" s="782">
        <v>12062266</v>
      </c>
      <c r="AU3031" s="781"/>
      <c r="AV3031" s="782">
        <v>12088159</v>
      </c>
      <c r="AW3031" s="782">
        <v>12088207</v>
      </c>
      <c r="AX3031" s="782"/>
      <c r="AY3031" s="782">
        <v>12094237</v>
      </c>
      <c r="AZ3031" s="782"/>
      <c r="BA3031" s="781"/>
      <c r="BB3031" s="209">
        <v>23053185</v>
      </c>
    </row>
    <row r="3032" spans="1:54" ht="25" customHeight="1">
      <c r="A3032" s="907" t="s">
        <v>255</v>
      </c>
      <c r="B3032" s="498">
        <v>46048</v>
      </c>
      <c r="C3032" s="499">
        <v>46052</v>
      </c>
      <c r="D3032" s="185">
        <f t="shared" si="1364"/>
        <v>2026</v>
      </c>
      <c r="E3032" s="499" t="e">
        <f>VLOOKUP($B3032,Week!$A$1:$C$1462,2,0)</f>
        <v>#N/A</v>
      </c>
      <c r="F3032" s="500" t="str">
        <f t="shared" si="1365"/>
        <v>Jan</v>
      </c>
      <c r="G3032" s="501" t="s">
        <v>2654</v>
      </c>
      <c r="H3032" s="501" t="s">
        <v>311</v>
      </c>
      <c r="I3032" s="501" t="s">
        <v>2772</v>
      </c>
      <c r="J3032" s="502" t="s">
        <v>738</v>
      </c>
      <c r="K3032" s="503" t="s">
        <v>1646</v>
      </c>
      <c r="L3032" s="300" t="s">
        <v>2167</v>
      </c>
      <c r="M3032" s="502" t="s">
        <v>654</v>
      </c>
      <c r="N3032" s="501" t="s">
        <v>726</v>
      </c>
      <c r="O3032" s="501" t="s">
        <v>655</v>
      </c>
      <c r="P3032" s="504">
        <v>24</v>
      </c>
      <c r="Q3032" s="504">
        <v>5</v>
      </c>
      <c r="R3032" s="505">
        <v>7.4999999999999997E-3</v>
      </c>
      <c r="S3032" s="501" t="s">
        <v>40</v>
      </c>
      <c r="T3032" s="501" t="s">
        <v>112</v>
      </c>
      <c r="U3032" s="506" t="s">
        <v>1894</v>
      </c>
      <c r="V3032" s="507">
        <f>924-133</f>
        <v>791</v>
      </c>
      <c r="W3032" s="507">
        <f>789+2</f>
        <v>791</v>
      </c>
      <c r="X3032" s="508"/>
      <c r="Y3032" s="509">
        <f t="shared" si="1375"/>
        <v>0</v>
      </c>
      <c r="Z3032" s="510">
        <f t="shared" si="1376"/>
        <v>0</v>
      </c>
      <c r="AA3032" s="510">
        <f t="shared" si="1377"/>
        <v>0</v>
      </c>
      <c r="AB3032" s="830">
        <v>3.8699999999999998E-2</v>
      </c>
      <c r="AC3032" s="507">
        <f t="shared" si="1378"/>
        <v>0</v>
      </c>
      <c r="AD3032" s="908" t="s">
        <v>2851</v>
      </c>
      <c r="AE3032" s="210">
        <f>SUM(Q3032*R3032*Z3032)/1000</f>
        <v>0</v>
      </c>
      <c r="AF3032" s="210">
        <f>AE3032/0.54</f>
        <v>0</v>
      </c>
      <c r="AG3032" s="211">
        <f t="shared" si="1379"/>
        <v>0.307</v>
      </c>
      <c r="AH3032" s="157">
        <f>(Z3032*AG3032)/1000</f>
        <v>0</v>
      </c>
      <c r="AI3032" s="152">
        <f t="shared" si="1380"/>
        <v>18984</v>
      </c>
      <c r="AK3032" s="156" t="s">
        <v>691</v>
      </c>
      <c r="AL3032" s="212" t="s">
        <v>690</v>
      </c>
      <c r="AM3032" s="198">
        <f t="shared" si="1381"/>
        <v>0</v>
      </c>
      <c r="AN3032" s="199">
        <f t="shared" si="1382"/>
        <v>46048</v>
      </c>
      <c r="AO3032" s="159" t="s">
        <v>692</v>
      </c>
      <c r="AP3032" s="781" t="s">
        <v>642</v>
      </c>
      <c r="AQ3032" s="782">
        <v>12063755</v>
      </c>
      <c r="AR3032" s="782">
        <v>12061353</v>
      </c>
      <c r="AS3032" s="782">
        <v>12061354</v>
      </c>
      <c r="AT3032" s="782">
        <v>12089274</v>
      </c>
      <c r="AU3032" s="781"/>
      <c r="AV3032" s="782">
        <v>12089275</v>
      </c>
      <c r="AW3032" s="782">
        <v>12068154</v>
      </c>
      <c r="AX3032" s="782"/>
      <c r="AY3032" s="782">
        <v>12094140</v>
      </c>
      <c r="AZ3032" s="782"/>
      <c r="BA3032" s="781"/>
      <c r="BB3032" s="209">
        <v>23105470</v>
      </c>
    </row>
    <row r="3033" spans="1:54" ht="25" customHeight="1">
      <c r="B3033" s="399">
        <v>46048</v>
      </c>
      <c r="C3033" s="399">
        <v>46058</v>
      </c>
      <c r="D3033" s="185">
        <f t="shared" ref="D3033:D3064" si="1383">IF(B3033="","",YEAR(B3033))</f>
        <v>2026</v>
      </c>
      <c r="E3033" s="399" t="e">
        <f>VLOOKUP($B3033,Week!$A$1:$C$1462,2,0)</f>
        <v>#N/A</v>
      </c>
      <c r="F3033" s="400" t="str">
        <f t="shared" ref="F3033:F3064" si="1384">IF(B3033="","",TEXT(B3033,"[$-409]mmm"))</f>
        <v>Jan</v>
      </c>
      <c r="G3033" s="401" t="s">
        <v>2658</v>
      </c>
      <c r="H3033" s="401" t="s">
        <v>675</v>
      </c>
      <c r="I3033" s="401" t="s">
        <v>2772</v>
      </c>
      <c r="J3033" s="402" t="s">
        <v>2906</v>
      </c>
      <c r="K3033" s="403" t="s">
        <v>1646</v>
      </c>
      <c r="L3033" s="300" t="s">
        <v>2167</v>
      </c>
      <c r="M3033" s="402" t="s">
        <v>654</v>
      </c>
      <c r="N3033" s="401" t="s">
        <v>750</v>
      </c>
      <c r="O3033" s="401" t="s">
        <v>655</v>
      </c>
      <c r="P3033" s="405">
        <v>24</v>
      </c>
      <c r="Q3033" s="405">
        <v>5</v>
      </c>
      <c r="R3033" s="406">
        <v>7.4999999999999997E-3</v>
      </c>
      <c r="S3033" s="401" t="s">
        <v>40</v>
      </c>
      <c r="T3033" s="401" t="s">
        <v>112</v>
      </c>
      <c r="U3033" s="622" t="s">
        <v>1894</v>
      </c>
      <c r="V3033" s="407">
        <v>390</v>
      </c>
      <c r="W3033" s="407">
        <f>389+1</f>
        <v>390</v>
      </c>
      <c r="X3033" s="408"/>
      <c r="Y3033" s="409">
        <f t="shared" si="1375"/>
        <v>0</v>
      </c>
      <c r="Z3033" s="410">
        <f t="shared" si="1376"/>
        <v>0</v>
      </c>
      <c r="AA3033" s="410">
        <f t="shared" si="1377"/>
        <v>0</v>
      </c>
      <c r="AB3033" s="824">
        <v>3.8699999999999998E-2</v>
      </c>
      <c r="AC3033" s="407">
        <f t="shared" si="1378"/>
        <v>0</v>
      </c>
      <c r="AD3033" s="209" t="s">
        <v>2549</v>
      </c>
      <c r="AE3033" s="210"/>
      <c r="AF3033" s="210"/>
      <c r="AG3033" s="211">
        <f t="shared" si="1379"/>
        <v>0.307</v>
      </c>
      <c r="AH3033" s="157">
        <f>(Z3033*AG3033)/1000</f>
        <v>0</v>
      </c>
      <c r="AI3033" s="152">
        <f t="shared" si="1380"/>
        <v>9360</v>
      </c>
      <c r="AK3033" s="156" t="s">
        <v>691</v>
      </c>
      <c r="AL3033" s="212" t="s">
        <v>690</v>
      </c>
      <c r="AM3033" s="198">
        <f t="shared" si="1381"/>
        <v>0</v>
      </c>
      <c r="AN3033" s="199">
        <f t="shared" si="1382"/>
        <v>46048</v>
      </c>
      <c r="AO3033" s="159" t="s">
        <v>692</v>
      </c>
      <c r="AP3033" s="781" t="s">
        <v>642</v>
      </c>
      <c r="AQ3033" s="782">
        <v>12063755</v>
      </c>
      <c r="AR3033" s="782">
        <v>12061353</v>
      </c>
      <c r="AS3033" s="782">
        <v>12061354</v>
      </c>
      <c r="AT3033" s="782">
        <v>12090189</v>
      </c>
      <c r="AU3033" s="781"/>
      <c r="AV3033" s="782">
        <v>12090188</v>
      </c>
      <c r="AW3033" s="782">
        <v>12068154</v>
      </c>
      <c r="AX3033" s="782"/>
      <c r="AY3033" s="782">
        <v>12090190</v>
      </c>
      <c r="AZ3033" s="782"/>
      <c r="BA3033" s="781"/>
    </row>
    <row r="3034" spans="1:54" ht="25" customHeight="1">
      <c r="B3034" s="332">
        <v>46048</v>
      </c>
      <c r="C3034" s="333">
        <v>46064</v>
      </c>
      <c r="D3034" s="185">
        <f t="shared" si="1383"/>
        <v>2026</v>
      </c>
      <c r="E3034" s="333" t="e">
        <f>VLOOKUP($B3034,Week!$A$1:$C$1462,2,0)</f>
        <v>#N/A</v>
      </c>
      <c r="F3034" s="334" t="str">
        <f t="shared" si="1384"/>
        <v>Jan</v>
      </c>
      <c r="G3034" s="335" t="s">
        <v>2751</v>
      </c>
      <c r="H3034" s="335" t="s">
        <v>571</v>
      </c>
      <c r="I3034" s="335" t="s">
        <v>2772</v>
      </c>
      <c r="J3034" s="336" t="s">
        <v>663</v>
      </c>
      <c r="K3034" s="337" t="s">
        <v>1649</v>
      </c>
      <c r="L3034" s="300" t="s">
        <v>2167</v>
      </c>
      <c r="M3034" s="336" t="s">
        <v>603</v>
      </c>
      <c r="N3034" s="335" t="s">
        <v>658</v>
      </c>
      <c r="O3034" s="335" t="s">
        <v>659</v>
      </c>
      <c r="P3034" s="338">
        <v>12</v>
      </c>
      <c r="Q3034" s="338">
        <v>3</v>
      </c>
      <c r="R3034" s="339">
        <v>6.0000000000000001E-3</v>
      </c>
      <c r="S3034" s="335" t="s">
        <v>55</v>
      </c>
      <c r="T3034" s="335" t="s">
        <v>112</v>
      </c>
      <c r="U3034" s="340" t="s">
        <v>1894</v>
      </c>
      <c r="V3034" s="341">
        <f>1139</f>
        <v>1139</v>
      </c>
      <c r="W3034" s="341"/>
      <c r="X3034" s="342">
        <f>(14346)/12</f>
        <v>1195.5</v>
      </c>
      <c r="Y3034" s="343">
        <f t="shared" si="1375"/>
        <v>56.5</v>
      </c>
      <c r="Z3034" s="344">
        <f t="shared" si="1376"/>
        <v>0</v>
      </c>
      <c r="AA3034" s="344">
        <f t="shared" si="1377"/>
        <v>0</v>
      </c>
      <c r="AB3034" s="817">
        <v>3.8699999999999998E-2</v>
      </c>
      <c r="AC3034" s="341">
        <f t="shared" si="1378"/>
        <v>0</v>
      </c>
      <c r="AD3034" s="627" t="s">
        <v>672</v>
      </c>
      <c r="AE3034" s="210">
        <f t="shared" ref="AE3034:AE3051" si="1385">SUM(Q3034*R3034*Z3034)/1000</f>
        <v>0</v>
      </c>
      <c r="AF3034" s="210">
        <f t="shared" ref="AF3034:AF3051" si="1386">AE3034/0.54</f>
        <v>0</v>
      </c>
      <c r="AG3034" s="211">
        <f t="shared" si="1379"/>
        <v>0.30199999999999999</v>
      </c>
      <c r="AH3034" s="157">
        <v>0.26621999999999996</v>
      </c>
      <c r="AI3034" s="152">
        <f t="shared" si="1380"/>
        <v>13668</v>
      </c>
      <c r="AK3034" s="156" t="s">
        <v>691</v>
      </c>
      <c r="AL3034" s="212" t="s">
        <v>690</v>
      </c>
      <c r="AM3034" s="198">
        <f t="shared" si="1381"/>
        <v>0</v>
      </c>
      <c r="AN3034" s="199">
        <f t="shared" si="1382"/>
        <v>46048</v>
      </c>
      <c r="AO3034" s="159" t="s">
        <v>692</v>
      </c>
      <c r="AP3034" s="781" t="s">
        <v>642</v>
      </c>
      <c r="AQ3034" s="782">
        <v>12063755</v>
      </c>
      <c r="AR3034" s="782">
        <v>12061353</v>
      </c>
      <c r="AS3034" s="782">
        <v>12061354</v>
      </c>
      <c r="AT3034" s="782">
        <v>12090251</v>
      </c>
      <c r="AU3034" s="781"/>
      <c r="AV3034" s="782">
        <v>12090248</v>
      </c>
      <c r="AW3034" s="781"/>
      <c r="AX3034" s="781"/>
      <c r="AY3034" s="782"/>
      <c r="AZ3034" s="782"/>
      <c r="BA3034" s="782"/>
      <c r="BB3034" s="209">
        <v>23105470</v>
      </c>
    </row>
    <row r="3035" spans="1:54" ht="25" customHeight="1">
      <c r="A3035" s="142" t="s">
        <v>120</v>
      </c>
      <c r="B3035" s="320">
        <v>46049</v>
      </c>
      <c r="C3035" s="321">
        <v>46072</v>
      </c>
      <c r="D3035" s="323">
        <f t="shared" si="1383"/>
        <v>2026</v>
      </c>
      <c r="E3035" s="321" t="e">
        <f>VLOOKUP($B3035,Week!$A$1:$C$1462,2,0)</f>
        <v>#N/A</v>
      </c>
      <c r="F3035" s="322" t="str">
        <f t="shared" si="1384"/>
        <v>Jan</v>
      </c>
      <c r="G3035" s="323" t="s">
        <v>2754</v>
      </c>
      <c r="H3035" s="323" t="s">
        <v>363</v>
      </c>
      <c r="I3035" s="323" t="s">
        <v>2772</v>
      </c>
      <c r="J3035" s="324" t="s">
        <v>364</v>
      </c>
      <c r="K3035" s="325" t="s">
        <v>2583</v>
      </c>
      <c r="L3035" s="325" t="s">
        <v>2166</v>
      </c>
      <c r="M3035" s="324" t="s">
        <v>2586</v>
      </c>
      <c r="N3035" s="323" t="s">
        <v>2584</v>
      </c>
      <c r="O3035" s="323" t="s">
        <v>2587</v>
      </c>
      <c r="P3035" s="326">
        <v>20</v>
      </c>
      <c r="Q3035" s="326">
        <v>50</v>
      </c>
      <c r="R3035" s="327">
        <v>4.0000000000000001E-3</v>
      </c>
      <c r="S3035" s="323" t="s">
        <v>55</v>
      </c>
      <c r="T3035" s="323" t="s">
        <v>112</v>
      </c>
      <c r="U3035" s="323" t="s">
        <v>77</v>
      </c>
      <c r="V3035" s="328">
        <v>166</v>
      </c>
      <c r="W3035" s="328"/>
      <c r="X3035" s="329">
        <f>3320/20</f>
        <v>166</v>
      </c>
      <c r="Y3035" s="330">
        <f t="shared" ref="Y3035:Y3051" si="1387">(W3035+X3035)-V3035</f>
        <v>0</v>
      </c>
      <c r="Z3035" s="331">
        <f t="shared" ref="Z3035:Z3051" si="1388">IF(Y3035&lt;0,((V3035*P3035)-((W3035+X3035)*P3035)),0)</f>
        <v>0</v>
      </c>
      <c r="AA3035" s="331">
        <f t="shared" ref="AA3035:AA3063" si="1389">Q3035*Z3035</f>
        <v>0</v>
      </c>
      <c r="AB3035" s="816">
        <v>6</v>
      </c>
      <c r="AC3035" s="328">
        <f t="shared" ref="AC3035:AC3051" si="1390">Z3035*AB3035</f>
        <v>0</v>
      </c>
      <c r="AD3035" s="209"/>
      <c r="AE3035" s="210">
        <f t="shared" si="1385"/>
        <v>0</v>
      </c>
      <c r="AF3035" s="210">
        <f t="shared" si="1386"/>
        <v>0</v>
      </c>
      <c r="AG3035" s="211">
        <f t="shared" ref="AG3035:AG3045" si="1391">MID(O3035,1,3)/1000</f>
        <v>0.5</v>
      </c>
      <c r="AH3035" s="157">
        <f>(Z3035*AG3035)/1000</f>
        <v>0</v>
      </c>
      <c r="AI3035" s="152">
        <f t="shared" ref="AI3035:AI3045" si="1392">V3035*P3035</f>
        <v>3320</v>
      </c>
      <c r="AK3035" s="156" t="s">
        <v>691</v>
      </c>
      <c r="AL3035" s="156" t="s">
        <v>689</v>
      </c>
      <c r="AM3035" s="198">
        <f t="shared" ref="AM3035:AM3063" si="1393">AG3035*Z3035</f>
        <v>0</v>
      </c>
      <c r="AN3035" s="199">
        <f t="shared" ref="AN3035:AN3063" si="1394">B3035</f>
        <v>46049</v>
      </c>
      <c r="AO3035" s="159" t="s">
        <v>692</v>
      </c>
      <c r="AP3035" s="783" t="s">
        <v>620</v>
      </c>
      <c r="AQ3035" s="796" t="s">
        <v>422</v>
      </c>
      <c r="AR3035" s="782">
        <v>12055234</v>
      </c>
      <c r="AS3035" s="781"/>
      <c r="AT3035" s="782"/>
      <c r="AU3035" s="782"/>
      <c r="AV3035" s="782">
        <v>12097165</v>
      </c>
      <c r="AW3035" s="782"/>
      <c r="AX3035" s="782">
        <v>12036656</v>
      </c>
      <c r="AY3035" s="799"/>
      <c r="AZ3035" s="781"/>
      <c r="BA3035" s="781"/>
      <c r="BB3035" s="209">
        <v>23053184</v>
      </c>
    </row>
    <row r="3036" spans="1:54" ht="24.75" customHeight="1">
      <c r="B3036" s="333">
        <v>46049</v>
      </c>
      <c r="C3036" s="333">
        <v>46058</v>
      </c>
      <c r="D3036" s="185">
        <f t="shared" si="1383"/>
        <v>2026</v>
      </c>
      <c r="E3036" s="335" t="e">
        <f>VLOOKUP($B3036,Week!$A$1:$C$1462,2,0)</f>
        <v>#N/A</v>
      </c>
      <c r="F3036" s="334" t="str">
        <f t="shared" si="1384"/>
        <v>Jan</v>
      </c>
      <c r="G3036" s="335" t="s">
        <v>2687</v>
      </c>
      <c r="H3036" s="335" t="s">
        <v>363</v>
      </c>
      <c r="I3036" s="335" t="s">
        <v>2772</v>
      </c>
      <c r="J3036" s="336" t="s">
        <v>364</v>
      </c>
      <c r="K3036" s="337" t="s">
        <v>176</v>
      </c>
      <c r="L3036" s="337" t="s">
        <v>2167</v>
      </c>
      <c r="M3036" s="382" t="s">
        <v>646</v>
      </c>
      <c r="N3036" s="335" t="s">
        <v>647</v>
      </c>
      <c r="O3036" s="335" t="s">
        <v>599</v>
      </c>
      <c r="P3036" s="338">
        <v>36</v>
      </c>
      <c r="Q3036" s="338">
        <v>5</v>
      </c>
      <c r="R3036" s="339">
        <v>8.0000000000000002E-3</v>
      </c>
      <c r="S3036" s="335" t="s">
        <v>40</v>
      </c>
      <c r="T3036" s="335" t="s">
        <v>112</v>
      </c>
      <c r="U3036" s="335" t="s">
        <v>57</v>
      </c>
      <c r="V3036" s="341">
        <f>1288</f>
        <v>1288</v>
      </c>
      <c r="W3036" s="341">
        <f>57+1231</f>
        <v>1288</v>
      </c>
      <c r="X3036" s="342"/>
      <c r="Y3036" s="343">
        <f t="shared" si="1387"/>
        <v>0</v>
      </c>
      <c r="Z3036" s="344">
        <f t="shared" si="1388"/>
        <v>0</v>
      </c>
      <c r="AA3036" s="344">
        <f t="shared" si="1389"/>
        <v>0</v>
      </c>
      <c r="AB3036" s="821">
        <v>7.4999999999999997E-3</v>
      </c>
      <c r="AC3036" s="341">
        <f t="shared" si="1390"/>
        <v>0</v>
      </c>
      <c r="AD3036" s="209"/>
      <c r="AE3036" s="210">
        <f t="shared" si="1385"/>
        <v>0</v>
      </c>
      <c r="AF3036" s="210">
        <f t="shared" si="1386"/>
        <v>0</v>
      </c>
      <c r="AG3036" s="211">
        <f t="shared" si="1391"/>
        <v>0.14799999999999999</v>
      </c>
      <c r="AH3036" s="157">
        <f>(Z3036*AG3036)/1000</f>
        <v>0</v>
      </c>
      <c r="AI3036" s="152">
        <f t="shared" si="1392"/>
        <v>46368</v>
      </c>
      <c r="AK3036" s="156" t="s">
        <v>691</v>
      </c>
      <c r="AL3036" s="574" t="s">
        <v>690</v>
      </c>
      <c r="AM3036" s="198">
        <f t="shared" si="1393"/>
        <v>0</v>
      </c>
      <c r="AN3036" s="199">
        <f t="shared" si="1394"/>
        <v>46049</v>
      </c>
      <c r="AO3036" s="159" t="s">
        <v>692</v>
      </c>
      <c r="AP3036" s="781"/>
      <c r="AQ3036" s="782">
        <v>12071839</v>
      </c>
      <c r="AR3036" s="782">
        <v>12047514</v>
      </c>
      <c r="AS3036" s="782">
        <v>12047515</v>
      </c>
      <c r="AT3036" s="782">
        <v>12084374</v>
      </c>
      <c r="AU3036" s="781"/>
      <c r="AV3036" s="782">
        <v>12084372</v>
      </c>
      <c r="AW3036" s="782">
        <v>12024404</v>
      </c>
      <c r="AX3036" s="782"/>
      <c r="AY3036" s="782">
        <v>12094311</v>
      </c>
      <c r="AZ3036" s="782"/>
      <c r="BA3036" s="781"/>
      <c r="BB3036" s="209">
        <v>23053185</v>
      </c>
    </row>
    <row r="3037" spans="1:54" ht="24.75" customHeight="1">
      <c r="B3037" s="295">
        <v>46049</v>
      </c>
      <c r="C3037" s="771" t="s">
        <v>2629</v>
      </c>
      <c r="D3037" s="185">
        <f t="shared" si="1383"/>
        <v>2026</v>
      </c>
      <c r="E3037" s="296" t="e">
        <f>VLOOKUP($B3037,Week!$A$1:$C$1462,2,0)</f>
        <v>#N/A</v>
      </c>
      <c r="F3037" s="297" t="str">
        <f t="shared" si="1384"/>
        <v>Jan</v>
      </c>
      <c r="G3037" s="648" t="s">
        <v>47</v>
      </c>
      <c r="H3037" s="298" t="s">
        <v>260</v>
      </c>
      <c r="I3037" s="298" t="s">
        <v>2702</v>
      </c>
      <c r="J3037" s="307" t="s">
        <v>649</v>
      </c>
      <c r="K3037" s="300" t="s">
        <v>176</v>
      </c>
      <c r="L3037" s="300" t="s">
        <v>2167</v>
      </c>
      <c r="M3037" s="299" t="s">
        <v>2338</v>
      </c>
      <c r="N3037" s="298" t="s">
        <v>350</v>
      </c>
      <c r="O3037" s="298" t="s">
        <v>351</v>
      </c>
      <c r="P3037" s="301">
        <v>24</v>
      </c>
      <c r="Q3037" s="301">
        <v>5</v>
      </c>
      <c r="R3037" s="302">
        <v>6.1999999999999998E-3</v>
      </c>
      <c r="S3037" s="298" t="s">
        <v>352</v>
      </c>
      <c r="T3037" s="298" t="s">
        <v>56</v>
      </c>
      <c r="U3037" s="298" t="s">
        <v>57</v>
      </c>
      <c r="V3037" s="303">
        <v>1420</v>
      </c>
      <c r="W3037" s="303">
        <f>1420</f>
        <v>1420</v>
      </c>
      <c r="X3037" s="304"/>
      <c r="Y3037" s="305">
        <f t="shared" si="1387"/>
        <v>0</v>
      </c>
      <c r="Z3037" s="306">
        <f t="shared" si="1388"/>
        <v>0</v>
      </c>
      <c r="AA3037" s="306">
        <f t="shared" si="1389"/>
        <v>0</v>
      </c>
      <c r="AB3037" s="814">
        <v>7.4999999999999997E-3</v>
      </c>
      <c r="AC3037" s="303">
        <f t="shared" si="1390"/>
        <v>0</v>
      </c>
      <c r="AD3037" s="443" t="s">
        <v>2854</v>
      </c>
      <c r="AE3037" s="210">
        <f t="shared" si="1385"/>
        <v>0</v>
      </c>
      <c r="AF3037" s="210">
        <f t="shared" si="1386"/>
        <v>0</v>
      </c>
      <c r="AG3037" s="211">
        <f t="shared" si="1391"/>
        <v>0.13</v>
      </c>
      <c r="AH3037" s="157">
        <f>(Z3037*AG3037)/1000</f>
        <v>0</v>
      </c>
      <c r="AI3037" s="152">
        <f t="shared" si="1392"/>
        <v>34080</v>
      </c>
      <c r="AK3037" s="156" t="s">
        <v>691</v>
      </c>
      <c r="AL3037" s="574" t="s">
        <v>690</v>
      </c>
      <c r="AM3037" s="198">
        <f t="shared" si="1393"/>
        <v>0</v>
      </c>
      <c r="AN3037" s="199">
        <f t="shared" si="1394"/>
        <v>46049</v>
      </c>
      <c r="AO3037" s="159" t="s">
        <v>692</v>
      </c>
      <c r="AP3037" s="783" t="s">
        <v>622</v>
      </c>
      <c r="AQ3037" s="782">
        <v>12071839</v>
      </c>
      <c r="AR3037" s="782">
        <v>12094356</v>
      </c>
      <c r="AS3037" s="782">
        <v>12068233</v>
      </c>
      <c r="AT3037" s="781"/>
      <c r="AU3037" s="781"/>
      <c r="AV3037" s="782">
        <v>12062075</v>
      </c>
      <c r="AW3037" s="781"/>
      <c r="AX3037" s="781"/>
      <c r="AY3037" s="782">
        <v>12094357</v>
      </c>
      <c r="AZ3037" s="782"/>
      <c r="BA3037" s="781"/>
      <c r="BB3037" s="209">
        <v>23053184</v>
      </c>
    </row>
    <row r="3038" spans="1:54" ht="25" customHeight="1">
      <c r="A3038" s="142" t="s">
        <v>120</v>
      </c>
      <c r="B3038" s="320">
        <v>46050</v>
      </c>
      <c r="C3038" s="321">
        <v>46072</v>
      </c>
      <c r="D3038" s="323">
        <f t="shared" si="1383"/>
        <v>2026</v>
      </c>
      <c r="E3038" s="321" t="e">
        <f>VLOOKUP($B3038,Week!$A$1:$C$1462,2,0)</f>
        <v>#N/A</v>
      </c>
      <c r="F3038" s="322" t="str">
        <f t="shared" si="1384"/>
        <v>Jan</v>
      </c>
      <c r="G3038" s="323" t="s">
        <v>2754</v>
      </c>
      <c r="H3038" s="323" t="s">
        <v>363</v>
      </c>
      <c r="I3038" s="323" t="s">
        <v>2772</v>
      </c>
      <c r="J3038" s="324" t="s">
        <v>364</v>
      </c>
      <c r="K3038" s="325" t="s">
        <v>2583</v>
      </c>
      <c r="L3038" s="325" t="s">
        <v>2166</v>
      </c>
      <c r="M3038" s="324" t="s">
        <v>2586</v>
      </c>
      <c r="N3038" s="323" t="s">
        <v>2584</v>
      </c>
      <c r="O3038" s="323" t="s">
        <v>2587</v>
      </c>
      <c r="P3038" s="326">
        <v>20</v>
      </c>
      <c r="Q3038" s="326">
        <v>50</v>
      </c>
      <c r="R3038" s="327">
        <v>4.0000000000000001E-3</v>
      </c>
      <c r="S3038" s="323" t="s">
        <v>55</v>
      </c>
      <c r="T3038" s="323" t="s">
        <v>112</v>
      </c>
      <c r="U3038" s="323" t="s">
        <v>77</v>
      </c>
      <c r="V3038" s="328">
        <v>177</v>
      </c>
      <c r="W3038" s="328">
        <f>177</f>
        <v>177</v>
      </c>
      <c r="X3038" s="329"/>
      <c r="Y3038" s="330">
        <f t="shared" si="1387"/>
        <v>0</v>
      </c>
      <c r="Z3038" s="331">
        <f t="shared" si="1388"/>
        <v>0</v>
      </c>
      <c r="AA3038" s="331">
        <f t="shared" si="1389"/>
        <v>0</v>
      </c>
      <c r="AB3038" s="816">
        <v>6</v>
      </c>
      <c r="AC3038" s="328">
        <f t="shared" si="1390"/>
        <v>0</v>
      </c>
      <c r="AD3038" s="209"/>
      <c r="AE3038" s="210">
        <f t="shared" si="1385"/>
        <v>0</v>
      </c>
      <c r="AF3038" s="210">
        <f t="shared" si="1386"/>
        <v>0</v>
      </c>
      <c r="AG3038" s="211">
        <f t="shared" si="1391"/>
        <v>0.5</v>
      </c>
      <c r="AH3038" s="157">
        <f>(Z3038*AG3038)/1000</f>
        <v>0</v>
      </c>
      <c r="AI3038" s="152">
        <f t="shared" si="1392"/>
        <v>3540</v>
      </c>
      <c r="AK3038" s="156" t="s">
        <v>691</v>
      </c>
      <c r="AL3038" s="156" t="s">
        <v>689</v>
      </c>
      <c r="AM3038" s="198">
        <f t="shared" si="1393"/>
        <v>0</v>
      </c>
      <c r="AN3038" s="199">
        <f t="shared" si="1394"/>
        <v>46050</v>
      </c>
      <c r="AO3038" s="159" t="s">
        <v>692</v>
      </c>
      <c r="AP3038" s="783" t="s">
        <v>620</v>
      </c>
      <c r="AQ3038" s="796" t="s">
        <v>422</v>
      </c>
      <c r="AR3038" s="782">
        <v>12055234</v>
      </c>
      <c r="AS3038" s="781"/>
      <c r="AT3038" s="782"/>
      <c r="AU3038" s="782"/>
      <c r="AV3038" s="782">
        <v>12097165</v>
      </c>
      <c r="AW3038" s="782"/>
      <c r="AX3038" s="782">
        <v>12036656</v>
      </c>
      <c r="AY3038" s="799"/>
      <c r="AZ3038" s="781"/>
      <c r="BA3038" s="781"/>
      <c r="BB3038" s="209">
        <v>23053184</v>
      </c>
    </row>
    <row r="3039" spans="1:54" ht="24.65" customHeight="1">
      <c r="B3039" s="411">
        <v>46050</v>
      </c>
      <c r="C3039" s="645" t="s">
        <v>2717</v>
      </c>
      <c r="D3039" s="185">
        <f t="shared" si="1383"/>
        <v>2026</v>
      </c>
      <c r="E3039" s="412" t="e">
        <f>VLOOKUP($B3039,Week!$A$1:$C$1462,2,0)</f>
        <v>#N/A</v>
      </c>
      <c r="F3039" s="413" t="str">
        <f t="shared" si="1384"/>
        <v>Jan</v>
      </c>
      <c r="G3039" s="414" t="s">
        <v>47</v>
      </c>
      <c r="H3039" s="414" t="s">
        <v>260</v>
      </c>
      <c r="I3039" s="414" t="s">
        <v>2702</v>
      </c>
      <c r="J3039" s="415" t="s">
        <v>261</v>
      </c>
      <c r="K3039" s="416" t="s">
        <v>94</v>
      </c>
      <c r="L3039" s="300" t="s">
        <v>2167</v>
      </c>
      <c r="M3039" s="415" t="s">
        <v>2339</v>
      </c>
      <c r="N3039" s="414" t="s">
        <v>263</v>
      </c>
      <c r="O3039" s="414" t="s">
        <v>195</v>
      </c>
      <c r="P3039" s="417">
        <v>24</v>
      </c>
      <c r="Q3039" s="417">
        <v>5</v>
      </c>
      <c r="R3039" s="418">
        <v>8.0000000000000002E-3</v>
      </c>
      <c r="S3039" s="414" t="s">
        <v>40</v>
      </c>
      <c r="T3039" s="414" t="s">
        <v>56</v>
      </c>
      <c r="U3039" s="414" t="s">
        <v>57</v>
      </c>
      <c r="V3039" s="419">
        <v>2477</v>
      </c>
      <c r="W3039" s="419">
        <f>1+2476</f>
        <v>2477</v>
      </c>
      <c r="X3039" s="420"/>
      <c r="Y3039" s="421">
        <f t="shared" si="1387"/>
        <v>0</v>
      </c>
      <c r="Z3039" s="422">
        <f t="shared" si="1388"/>
        <v>0</v>
      </c>
      <c r="AA3039" s="422">
        <f t="shared" si="1389"/>
        <v>0</v>
      </c>
      <c r="AB3039" s="825">
        <v>7.4999999999999997E-3</v>
      </c>
      <c r="AC3039" s="419">
        <f t="shared" si="1390"/>
        <v>0</v>
      </c>
      <c r="AD3039" s="209" t="s">
        <v>2698</v>
      </c>
      <c r="AE3039" s="210">
        <f t="shared" si="1385"/>
        <v>0</v>
      </c>
      <c r="AF3039" s="210">
        <f t="shared" si="1386"/>
        <v>0</v>
      </c>
      <c r="AG3039" s="211">
        <f t="shared" si="1391"/>
        <v>0.14499999999999999</v>
      </c>
      <c r="AH3039" s="157">
        <f>(Z3039*AG3039)/1000</f>
        <v>0</v>
      </c>
      <c r="AI3039" s="152">
        <f t="shared" si="1392"/>
        <v>59448</v>
      </c>
      <c r="AK3039" s="156" t="s">
        <v>691</v>
      </c>
      <c r="AL3039" s="212" t="s">
        <v>690</v>
      </c>
      <c r="AM3039" s="198">
        <f t="shared" si="1393"/>
        <v>0</v>
      </c>
      <c r="AN3039" s="199">
        <f t="shared" si="1394"/>
        <v>46050</v>
      </c>
      <c r="AO3039" s="159" t="s">
        <v>692</v>
      </c>
      <c r="AP3039" s="783" t="s">
        <v>609</v>
      </c>
      <c r="AQ3039" s="782">
        <v>12071839</v>
      </c>
      <c r="AR3039" s="782">
        <v>12047514</v>
      </c>
      <c r="AS3039" s="782">
        <v>12047515</v>
      </c>
      <c r="AT3039" s="781"/>
      <c r="AU3039" s="781"/>
      <c r="AV3039" s="782">
        <v>12080613</v>
      </c>
      <c r="AW3039" s="781"/>
      <c r="AX3039" s="781"/>
      <c r="AY3039" s="782">
        <v>12094241</v>
      </c>
      <c r="AZ3039" s="782">
        <v>12094242</v>
      </c>
      <c r="BA3039" s="781"/>
      <c r="BB3039" s="209">
        <v>23053185</v>
      </c>
    </row>
    <row r="3040" spans="1:54" ht="25" customHeight="1">
      <c r="B3040" s="743">
        <v>46050</v>
      </c>
      <c r="C3040" s="744" t="s">
        <v>2717</v>
      </c>
      <c r="D3040" s="215">
        <f t="shared" si="1383"/>
        <v>2026</v>
      </c>
      <c r="E3040" s="214" t="e">
        <f>VLOOKUP($B3040,Week!$A$1:$C$1462,2,0)</f>
        <v>#N/A</v>
      </c>
      <c r="F3040" s="216" t="str">
        <f t="shared" si="1384"/>
        <v>Jan</v>
      </c>
      <c r="G3040" s="746" t="s">
        <v>47</v>
      </c>
      <c r="H3040" s="746" t="s">
        <v>260</v>
      </c>
      <c r="I3040" s="215" t="s">
        <v>2702</v>
      </c>
      <c r="J3040" s="747" t="s">
        <v>2702</v>
      </c>
      <c r="K3040" s="748" t="s">
        <v>2703</v>
      </c>
      <c r="L3040" s="217" t="s">
        <v>2167</v>
      </c>
      <c r="M3040" s="747" t="s">
        <v>2705</v>
      </c>
      <c r="N3040" s="915" t="s">
        <v>2704</v>
      </c>
      <c r="O3040" s="746" t="s">
        <v>1635</v>
      </c>
      <c r="P3040" s="749">
        <v>24</v>
      </c>
      <c r="Q3040" s="749">
        <v>3</v>
      </c>
      <c r="R3040" s="849">
        <v>6.1999999999999998E-3</v>
      </c>
      <c r="S3040" s="746" t="s">
        <v>352</v>
      </c>
      <c r="T3040" s="746" t="s">
        <v>56</v>
      </c>
      <c r="U3040" s="860" t="s">
        <v>739</v>
      </c>
      <c r="V3040" s="750">
        <v>1315</v>
      </c>
      <c r="W3040" s="750">
        <f>34+1281</f>
        <v>1315</v>
      </c>
      <c r="X3040" s="751"/>
      <c r="Y3040" s="752">
        <f t="shared" si="1387"/>
        <v>0</v>
      </c>
      <c r="Z3040" s="753">
        <f t="shared" si="1388"/>
        <v>0</v>
      </c>
      <c r="AA3040" s="753">
        <f t="shared" si="1389"/>
        <v>0</v>
      </c>
      <c r="AB3040" s="838">
        <v>1.83E-2</v>
      </c>
      <c r="AC3040" s="750">
        <f t="shared" si="1390"/>
        <v>0</v>
      </c>
      <c r="AD3040" s="443"/>
      <c r="AE3040" s="210">
        <f t="shared" si="1385"/>
        <v>0</v>
      </c>
      <c r="AF3040" s="210">
        <f t="shared" si="1386"/>
        <v>0</v>
      </c>
      <c r="AG3040" s="211">
        <f t="shared" si="1391"/>
        <v>0.25</v>
      </c>
      <c r="AH3040" s="157">
        <v>0.26621999999999996</v>
      </c>
      <c r="AI3040" s="152">
        <f t="shared" si="1392"/>
        <v>31560</v>
      </c>
      <c r="AK3040" s="156" t="s">
        <v>691</v>
      </c>
      <c r="AL3040" s="574" t="s">
        <v>690</v>
      </c>
      <c r="AM3040" s="198">
        <f t="shared" si="1393"/>
        <v>0</v>
      </c>
      <c r="AN3040" s="199">
        <f t="shared" si="1394"/>
        <v>46050</v>
      </c>
      <c r="AO3040" s="159" t="s">
        <v>692</v>
      </c>
      <c r="AP3040" s="781" t="s">
        <v>642</v>
      </c>
      <c r="AQ3040" s="782">
        <v>12071839</v>
      </c>
      <c r="AR3040" s="782">
        <v>12042650</v>
      </c>
      <c r="AS3040" s="782">
        <v>12042649</v>
      </c>
      <c r="AT3040" s="782"/>
      <c r="AU3040" s="783"/>
      <c r="AV3040" s="782">
        <v>12097895</v>
      </c>
      <c r="AW3040" s="783"/>
      <c r="AX3040" s="781"/>
      <c r="AY3040" s="796">
        <v>12097893</v>
      </c>
      <c r="AZ3040" s="796">
        <v>12097894</v>
      </c>
      <c r="BA3040" s="796" t="s">
        <v>2462</v>
      </c>
      <c r="BB3040" s="209">
        <v>23099860</v>
      </c>
    </row>
    <row r="3041" spans="1:54" ht="25" customHeight="1">
      <c r="A3041" s="142" t="s">
        <v>120</v>
      </c>
      <c r="B3041" s="320">
        <v>46051</v>
      </c>
      <c r="C3041" s="321">
        <v>46072</v>
      </c>
      <c r="D3041" s="323">
        <f t="shared" si="1383"/>
        <v>2026</v>
      </c>
      <c r="E3041" s="321" t="e">
        <f>VLOOKUP($B3041,Week!$A$1:$C$1462,2,0)</f>
        <v>#N/A</v>
      </c>
      <c r="F3041" s="322" t="str">
        <f t="shared" si="1384"/>
        <v>Jan</v>
      </c>
      <c r="G3041" s="323" t="s">
        <v>2754</v>
      </c>
      <c r="H3041" s="323" t="s">
        <v>363</v>
      </c>
      <c r="I3041" s="323" t="s">
        <v>2772</v>
      </c>
      <c r="J3041" s="324" t="s">
        <v>364</v>
      </c>
      <c r="K3041" s="325" t="s">
        <v>2583</v>
      </c>
      <c r="L3041" s="325" t="s">
        <v>2166</v>
      </c>
      <c r="M3041" s="324" t="s">
        <v>2586</v>
      </c>
      <c r="N3041" s="323" t="s">
        <v>2584</v>
      </c>
      <c r="O3041" s="323" t="s">
        <v>2587</v>
      </c>
      <c r="P3041" s="326">
        <v>20</v>
      </c>
      <c r="Q3041" s="326">
        <v>50</v>
      </c>
      <c r="R3041" s="327">
        <v>4.0000000000000001E-3</v>
      </c>
      <c r="S3041" s="323" t="s">
        <v>55</v>
      </c>
      <c r="T3041" s="323" t="s">
        <v>112</v>
      </c>
      <c r="U3041" s="323" t="s">
        <v>77</v>
      </c>
      <c r="V3041" s="328">
        <v>181</v>
      </c>
      <c r="W3041" s="328">
        <v>181</v>
      </c>
      <c r="X3041" s="329"/>
      <c r="Y3041" s="330">
        <f t="shared" si="1387"/>
        <v>0</v>
      </c>
      <c r="Z3041" s="331">
        <f t="shared" si="1388"/>
        <v>0</v>
      </c>
      <c r="AA3041" s="331">
        <f t="shared" si="1389"/>
        <v>0</v>
      </c>
      <c r="AB3041" s="816">
        <v>6</v>
      </c>
      <c r="AC3041" s="328">
        <f t="shared" si="1390"/>
        <v>0</v>
      </c>
      <c r="AD3041" s="209"/>
      <c r="AE3041" s="210">
        <f t="shared" si="1385"/>
        <v>0</v>
      </c>
      <c r="AF3041" s="210">
        <f t="shared" si="1386"/>
        <v>0</v>
      </c>
      <c r="AG3041" s="211">
        <f t="shared" si="1391"/>
        <v>0.5</v>
      </c>
      <c r="AH3041" s="157">
        <f>(Z3041*AG3041)/1000</f>
        <v>0</v>
      </c>
      <c r="AI3041" s="152">
        <f t="shared" si="1392"/>
        <v>3620</v>
      </c>
      <c r="AK3041" s="156" t="s">
        <v>691</v>
      </c>
      <c r="AL3041" s="156" t="s">
        <v>689</v>
      </c>
      <c r="AM3041" s="198">
        <f t="shared" si="1393"/>
        <v>0</v>
      </c>
      <c r="AN3041" s="199">
        <f t="shared" si="1394"/>
        <v>46051</v>
      </c>
      <c r="AO3041" s="159" t="s">
        <v>692</v>
      </c>
      <c r="AP3041" s="783" t="s">
        <v>620</v>
      </c>
      <c r="AQ3041" s="796" t="s">
        <v>422</v>
      </c>
      <c r="AR3041" s="782">
        <v>12055234</v>
      </c>
      <c r="AS3041" s="781"/>
      <c r="AT3041" s="782"/>
      <c r="AU3041" s="782"/>
      <c r="AV3041" s="782">
        <v>12097165</v>
      </c>
      <c r="AW3041" s="782"/>
      <c r="AX3041" s="782">
        <v>12036656</v>
      </c>
      <c r="AY3041" s="799"/>
      <c r="AZ3041" s="781"/>
      <c r="BA3041" s="781"/>
      <c r="BB3041" s="209">
        <v>23053184</v>
      </c>
    </row>
    <row r="3042" spans="1:54" ht="24.65" customHeight="1">
      <c r="B3042" s="411">
        <v>46051</v>
      </c>
      <c r="C3042" s="645" t="s">
        <v>2717</v>
      </c>
      <c r="D3042" s="185">
        <f t="shared" si="1383"/>
        <v>2026</v>
      </c>
      <c r="E3042" s="412" t="e">
        <f>VLOOKUP($B3042,Week!$A$1:$C$1462,2,0)</f>
        <v>#N/A</v>
      </c>
      <c r="F3042" s="413" t="str">
        <f t="shared" si="1384"/>
        <v>Jan</v>
      </c>
      <c r="G3042" s="414" t="s">
        <v>47</v>
      </c>
      <c r="H3042" s="414" t="s">
        <v>260</v>
      </c>
      <c r="I3042" s="414" t="s">
        <v>2702</v>
      </c>
      <c r="J3042" s="415" t="s">
        <v>261</v>
      </c>
      <c r="K3042" s="416" t="s">
        <v>94</v>
      </c>
      <c r="L3042" s="300" t="s">
        <v>2167</v>
      </c>
      <c r="M3042" s="415" t="s">
        <v>2339</v>
      </c>
      <c r="N3042" s="414" t="s">
        <v>263</v>
      </c>
      <c r="O3042" s="414" t="s">
        <v>195</v>
      </c>
      <c r="P3042" s="417">
        <v>24</v>
      </c>
      <c r="Q3042" s="417">
        <v>5</v>
      </c>
      <c r="R3042" s="418">
        <v>8.0000000000000002E-3</v>
      </c>
      <c r="S3042" s="414" t="s">
        <v>40</v>
      </c>
      <c r="T3042" s="414" t="s">
        <v>56</v>
      </c>
      <c r="U3042" s="414" t="s">
        <v>57</v>
      </c>
      <c r="V3042" s="419">
        <v>2488</v>
      </c>
      <c r="W3042" s="419">
        <v>2488</v>
      </c>
      <c r="X3042" s="420"/>
      <c r="Y3042" s="421">
        <f t="shared" si="1387"/>
        <v>0</v>
      </c>
      <c r="Z3042" s="422">
        <f t="shared" si="1388"/>
        <v>0</v>
      </c>
      <c r="AA3042" s="422">
        <f t="shared" si="1389"/>
        <v>0</v>
      </c>
      <c r="AB3042" s="825">
        <v>7.4999999999999997E-3</v>
      </c>
      <c r="AC3042" s="419">
        <f t="shared" si="1390"/>
        <v>0</v>
      </c>
      <c r="AD3042" s="209" t="s">
        <v>2698</v>
      </c>
      <c r="AE3042" s="210">
        <f t="shared" si="1385"/>
        <v>0</v>
      </c>
      <c r="AF3042" s="210">
        <f t="shared" si="1386"/>
        <v>0</v>
      </c>
      <c r="AG3042" s="211">
        <f t="shared" si="1391"/>
        <v>0.14499999999999999</v>
      </c>
      <c r="AH3042" s="157">
        <f>(Z3042*AG3042)/1000</f>
        <v>0</v>
      </c>
      <c r="AI3042" s="152">
        <f t="shared" si="1392"/>
        <v>59712</v>
      </c>
      <c r="AK3042" s="156" t="s">
        <v>691</v>
      </c>
      <c r="AL3042" s="212" t="s">
        <v>690</v>
      </c>
      <c r="AM3042" s="198">
        <f t="shared" si="1393"/>
        <v>0</v>
      </c>
      <c r="AN3042" s="199">
        <f t="shared" si="1394"/>
        <v>46051</v>
      </c>
      <c r="AO3042" s="159" t="s">
        <v>692</v>
      </c>
      <c r="AP3042" s="783" t="s">
        <v>609</v>
      </c>
      <c r="AQ3042" s="782">
        <v>12071839</v>
      </c>
      <c r="AR3042" s="782">
        <v>12047514</v>
      </c>
      <c r="AS3042" s="782">
        <v>12047515</v>
      </c>
      <c r="AT3042" s="781"/>
      <c r="AU3042" s="781"/>
      <c r="AV3042" s="782">
        <v>12080613</v>
      </c>
      <c r="AW3042" s="781"/>
      <c r="AX3042" s="781"/>
      <c r="AY3042" s="782">
        <v>12094241</v>
      </c>
      <c r="AZ3042" s="782">
        <v>12094242</v>
      </c>
      <c r="BA3042" s="781"/>
      <c r="BB3042" s="209">
        <v>23053185</v>
      </c>
    </row>
    <row r="3043" spans="1:54" ht="25" customHeight="1">
      <c r="B3043" s="743">
        <v>46051</v>
      </c>
      <c r="C3043" s="744" t="s">
        <v>2717</v>
      </c>
      <c r="D3043" s="215">
        <f t="shared" si="1383"/>
        <v>2026</v>
      </c>
      <c r="E3043" s="214" t="e">
        <f>VLOOKUP($B3043,Week!$A$1:$C$1462,2,0)</f>
        <v>#N/A</v>
      </c>
      <c r="F3043" s="216" t="str">
        <f t="shared" si="1384"/>
        <v>Jan</v>
      </c>
      <c r="G3043" s="746" t="s">
        <v>47</v>
      </c>
      <c r="H3043" s="746" t="s">
        <v>260</v>
      </c>
      <c r="I3043" s="215" t="s">
        <v>2702</v>
      </c>
      <c r="J3043" s="747" t="s">
        <v>2702</v>
      </c>
      <c r="K3043" s="748" t="s">
        <v>2703</v>
      </c>
      <c r="L3043" s="217" t="s">
        <v>2167</v>
      </c>
      <c r="M3043" s="747" t="s">
        <v>2705</v>
      </c>
      <c r="N3043" s="915" t="s">
        <v>2704</v>
      </c>
      <c r="O3043" s="746" t="s">
        <v>1635</v>
      </c>
      <c r="P3043" s="749">
        <v>24</v>
      </c>
      <c r="Q3043" s="749">
        <v>3</v>
      </c>
      <c r="R3043" s="849">
        <v>6.1999999999999998E-3</v>
      </c>
      <c r="S3043" s="746" t="s">
        <v>352</v>
      </c>
      <c r="T3043" s="746" t="s">
        <v>56</v>
      </c>
      <c r="U3043" s="860" t="s">
        <v>739</v>
      </c>
      <c r="V3043" s="750">
        <f>2734-1315</f>
        <v>1419</v>
      </c>
      <c r="W3043" s="750">
        <f>1+1382</f>
        <v>1383</v>
      </c>
      <c r="X3043" s="751">
        <f>(864)/24</f>
        <v>36</v>
      </c>
      <c r="Y3043" s="752">
        <f t="shared" si="1387"/>
        <v>0</v>
      </c>
      <c r="Z3043" s="753">
        <f t="shared" si="1388"/>
        <v>0</v>
      </c>
      <c r="AA3043" s="753">
        <f t="shared" si="1389"/>
        <v>0</v>
      </c>
      <c r="AB3043" s="838">
        <v>1.83E-2</v>
      </c>
      <c r="AC3043" s="750">
        <f t="shared" si="1390"/>
        <v>0</v>
      </c>
      <c r="AD3043" s="443"/>
      <c r="AE3043" s="210">
        <f t="shared" si="1385"/>
        <v>0</v>
      </c>
      <c r="AF3043" s="210">
        <f t="shared" si="1386"/>
        <v>0</v>
      </c>
      <c r="AG3043" s="211">
        <f t="shared" si="1391"/>
        <v>0.25</v>
      </c>
      <c r="AH3043" s="157">
        <v>0.26621999999999996</v>
      </c>
      <c r="AI3043" s="152">
        <f t="shared" si="1392"/>
        <v>34056</v>
      </c>
      <c r="AK3043" s="156" t="s">
        <v>691</v>
      </c>
      <c r="AL3043" s="574" t="s">
        <v>690</v>
      </c>
      <c r="AM3043" s="198">
        <f t="shared" si="1393"/>
        <v>0</v>
      </c>
      <c r="AN3043" s="199">
        <f t="shared" si="1394"/>
        <v>46051</v>
      </c>
      <c r="AO3043" s="159" t="s">
        <v>692</v>
      </c>
      <c r="AP3043" s="781" t="s">
        <v>642</v>
      </c>
      <c r="AQ3043" s="782">
        <v>12071839</v>
      </c>
      <c r="AR3043" s="782">
        <v>12042650</v>
      </c>
      <c r="AS3043" s="782">
        <v>12042649</v>
      </c>
      <c r="AT3043" s="782"/>
      <c r="AU3043" s="783"/>
      <c r="AV3043" s="782">
        <v>12097895</v>
      </c>
      <c r="AW3043" s="783"/>
      <c r="AX3043" s="781"/>
      <c r="AY3043" s="796">
        <v>12097893</v>
      </c>
      <c r="AZ3043" s="796">
        <v>12097894</v>
      </c>
      <c r="BA3043" s="796" t="s">
        <v>2462</v>
      </c>
      <c r="BB3043" s="209">
        <v>23099860</v>
      </c>
    </row>
    <row r="3044" spans="1:54" ht="25" customHeight="1">
      <c r="A3044" s="142" t="s">
        <v>120</v>
      </c>
      <c r="B3044" s="320">
        <v>46052</v>
      </c>
      <c r="C3044" s="321">
        <v>46072</v>
      </c>
      <c r="D3044" s="323">
        <f t="shared" si="1383"/>
        <v>2026</v>
      </c>
      <c r="E3044" s="321" t="e">
        <f>VLOOKUP($B3044,Week!$A$1:$C$1462,2,0)</f>
        <v>#N/A</v>
      </c>
      <c r="F3044" s="322" t="str">
        <f t="shared" si="1384"/>
        <v>Jan</v>
      </c>
      <c r="G3044" s="323" t="s">
        <v>2754</v>
      </c>
      <c r="H3044" s="323" t="s">
        <v>363</v>
      </c>
      <c r="I3044" s="323" t="s">
        <v>2772</v>
      </c>
      <c r="J3044" s="324" t="s">
        <v>364</v>
      </c>
      <c r="K3044" s="325" t="s">
        <v>2583</v>
      </c>
      <c r="L3044" s="325" t="s">
        <v>2166</v>
      </c>
      <c r="M3044" s="324" t="s">
        <v>2586</v>
      </c>
      <c r="N3044" s="323" t="s">
        <v>2584</v>
      </c>
      <c r="O3044" s="323" t="s">
        <v>2587</v>
      </c>
      <c r="P3044" s="326">
        <v>20</v>
      </c>
      <c r="Q3044" s="326">
        <v>50</v>
      </c>
      <c r="R3044" s="327">
        <v>4.0000000000000001E-3</v>
      </c>
      <c r="S3044" s="323" t="s">
        <v>55</v>
      </c>
      <c r="T3044" s="323" t="s">
        <v>112</v>
      </c>
      <c r="U3044" s="323" t="s">
        <v>77</v>
      </c>
      <c r="V3044" s="328">
        <v>172</v>
      </c>
      <c r="W3044" s="328">
        <v>172</v>
      </c>
      <c r="X3044" s="329"/>
      <c r="Y3044" s="330">
        <f t="shared" si="1387"/>
        <v>0</v>
      </c>
      <c r="Z3044" s="331">
        <f t="shared" si="1388"/>
        <v>0</v>
      </c>
      <c r="AA3044" s="331">
        <f t="shared" si="1389"/>
        <v>0</v>
      </c>
      <c r="AB3044" s="816">
        <v>6</v>
      </c>
      <c r="AC3044" s="328">
        <f t="shared" si="1390"/>
        <v>0</v>
      </c>
      <c r="AD3044" s="209"/>
      <c r="AE3044" s="210">
        <f t="shared" si="1385"/>
        <v>0</v>
      </c>
      <c r="AF3044" s="210">
        <f t="shared" si="1386"/>
        <v>0</v>
      </c>
      <c r="AG3044" s="211">
        <f t="shared" si="1391"/>
        <v>0.5</v>
      </c>
      <c r="AH3044" s="157">
        <f t="shared" ref="AH3044:AH3051" si="1395">(Z3044*AG3044)/1000</f>
        <v>0</v>
      </c>
      <c r="AI3044" s="152">
        <f t="shared" si="1392"/>
        <v>3440</v>
      </c>
      <c r="AK3044" s="156" t="s">
        <v>691</v>
      </c>
      <c r="AL3044" s="156" t="s">
        <v>689</v>
      </c>
      <c r="AM3044" s="198">
        <f t="shared" si="1393"/>
        <v>0</v>
      </c>
      <c r="AN3044" s="199">
        <f t="shared" si="1394"/>
        <v>46052</v>
      </c>
      <c r="AO3044" s="159" t="s">
        <v>692</v>
      </c>
      <c r="AP3044" s="783" t="s">
        <v>620</v>
      </c>
      <c r="AQ3044" s="796" t="s">
        <v>422</v>
      </c>
      <c r="AR3044" s="782">
        <v>12055234</v>
      </c>
      <c r="AS3044" s="781"/>
      <c r="AT3044" s="782"/>
      <c r="AU3044" s="782"/>
      <c r="AV3044" s="782">
        <v>12097165</v>
      </c>
      <c r="AW3044" s="782"/>
      <c r="AX3044" s="782">
        <v>12036656</v>
      </c>
      <c r="AY3044" s="799"/>
      <c r="AZ3044" s="781"/>
      <c r="BA3044" s="781"/>
      <c r="BB3044" s="209">
        <v>23053184</v>
      </c>
    </row>
    <row r="3045" spans="1:54" ht="24.65" customHeight="1">
      <c r="B3045" s="369">
        <v>46052</v>
      </c>
      <c r="C3045" s="370">
        <v>46057</v>
      </c>
      <c r="D3045" s="185">
        <f t="shared" si="1383"/>
        <v>2026</v>
      </c>
      <c r="E3045" s="370" t="e">
        <f>VLOOKUP($B3045,Week!$A$1:$C$1462,2,0)</f>
        <v>#N/A</v>
      </c>
      <c r="F3045" s="372" t="str">
        <f t="shared" si="1384"/>
        <v>Jan</v>
      </c>
      <c r="G3045" s="439" t="s">
        <v>2777</v>
      </c>
      <c r="H3045" s="371" t="s">
        <v>104</v>
      </c>
      <c r="I3045" s="371" t="s">
        <v>2772</v>
      </c>
      <c r="J3045" s="373" t="s">
        <v>105</v>
      </c>
      <c r="K3045" s="374" t="s">
        <v>593</v>
      </c>
      <c r="L3045" s="300" t="s">
        <v>2167</v>
      </c>
      <c r="M3045" s="373" t="s">
        <v>594</v>
      </c>
      <c r="N3045" s="371" t="s">
        <v>687</v>
      </c>
      <c r="O3045" s="371" t="s">
        <v>415</v>
      </c>
      <c r="P3045" s="375">
        <v>24</v>
      </c>
      <c r="Q3045" s="375">
        <v>5</v>
      </c>
      <c r="R3045" s="376">
        <v>6.0000000000000001E-3</v>
      </c>
      <c r="S3045" s="371" t="s">
        <v>55</v>
      </c>
      <c r="T3045" s="371" t="s">
        <v>112</v>
      </c>
      <c r="U3045" s="371" t="s">
        <v>57</v>
      </c>
      <c r="V3045" s="377">
        <f>1100</f>
        <v>1100</v>
      </c>
      <c r="W3045" s="377">
        <f>34+995</f>
        <v>1029</v>
      </c>
      <c r="X3045" s="378">
        <f>(2880)/24</f>
        <v>120</v>
      </c>
      <c r="Y3045" s="379">
        <f t="shared" si="1387"/>
        <v>49</v>
      </c>
      <c r="Z3045" s="380">
        <f t="shared" si="1388"/>
        <v>0</v>
      </c>
      <c r="AA3045" s="380">
        <f t="shared" si="1389"/>
        <v>0</v>
      </c>
      <c r="AB3045" s="820">
        <v>7.4999999999999997E-3</v>
      </c>
      <c r="AC3045" s="377">
        <f t="shared" si="1390"/>
        <v>0</v>
      </c>
      <c r="AD3045" s="486"/>
      <c r="AE3045" s="210">
        <f t="shared" si="1385"/>
        <v>0</v>
      </c>
      <c r="AF3045" s="210">
        <f t="shared" si="1386"/>
        <v>0</v>
      </c>
      <c r="AG3045" s="211">
        <f t="shared" si="1391"/>
        <v>0.25800000000000001</v>
      </c>
      <c r="AH3045" s="157">
        <f t="shared" si="1395"/>
        <v>0</v>
      </c>
      <c r="AI3045" s="152">
        <f t="shared" si="1392"/>
        <v>26400</v>
      </c>
      <c r="AK3045" s="156" t="s">
        <v>691</v>
      </c>
      <c r="AL3045" s="212" t="s">
        <v>690</v>
      </c>
      <c r="AM3045" s="198">
        <f t="shared" si="1393"/>
        <v>0</v>
      </c>
      <c r="AN3045" s="199">
        <f t="shared" si="1394"/>
        <v>46052</v>
      </c>
      <c r="AO3045" s="159" t="s">
        <v>692</v>
      </c>
      <c r="AP3045" s="783"/>
      <c r="AQ3045" s="782">
        <v>12071839</v>
      </c>
      <c r="AR3045" s="782">
        <v>12042650</v>
      </c>
      <c r="AS3045" s="782">
        <v>12042649</v>
      </c>
      <c r="AT3045" s="782">
        <v>12085742</v>
      </c>
      <c r="AU3045" s="781"/>
      <c r="AV3045" s="782">
        <v>12085744</v>
      </c>
      <c r="AW3045" s="782">
        <v>12049607</v>
      </c>
      <c r="AX3045" s="782"/>
      <c r="AY3045" s="782">
        <v>12094129</v>
      </c>
      <c r="AZ3045" s="782"/>
      <c r="BA3045" s="781"/>
      <c r="BB3045" s="209">
        <v>23053185</v>
      </c>
    </row>
    <row r="3046" spans="1:54" ht="24.65" customHeight="1">
      <c r="B3046" s="283">
        <v>46052</v>
      </c>
      <c r="C3046" s="284">
        <v>46057</v>
      </c>
      <c r="D3046" s="185">
        <f t="shared" si="1383"/>
        <v>2026</v>
      </c>
      <c r="E3046" s="284" t="e">
        <f>VLOOKUP($B3046,Week!$A$1:$C$1462,2,0)</f>
        <v>#N/A</v>
      </c>
      <c r="F3046" s="285" t="str">
        <f t="shared" si="1384"/>
        <v>Jan</v>
      </c>
      <c r="G3046" s="631" t="s">
        <v>2777</v>
      </c>
      <c r="H3046" s="624" t="s">
        <v>104</v>
      </c>
      <c r="I3046" s="624" t="s">
        <v>2772</v>
      </c>
      <c r="J3046" s="625" t="s">
        <v>105</v>
      </c>
      <c r="K3046" s="288" t="s">
        <v>51</v>
      </c>
      <c r="L3046" s="300" t="s">
        <v>2167</v>
      </c>
      <c r="M3046" s="287" t="s">
        <v>595</v>
      </c>
      <c r="N3046" s="286" t="s">
        <v>597</v>
      </c>
      <c r="O3046" s="286" t="s">
        <v>187</v>
      </c>
      <c r="P3046" s="289">
        <v>8</v>
      </c>
      <c r="Q3046" s="289">
        <v>5</v>
      </c>
      <c r="R3046" s="290">
        <v>6.0000000000000001E-3</v>
      </c>
      <c r="S3046" s="286" t="s">
        <v>55</v>
      </c>
      <c r="T3046" s="286" t="s">
        <v>112</v>
      </c>
      <c r="U3046" s="286" t="s">
        <v>57</v>
      </c>
      <c r="V3046" s="291">
        <f>300</f>
        <v>300</v>
      </c>
      <c r="W3046" s="291"/>
      <c r="X3046" s="292">
        <f>(2039+361)/8</f>
        <v>300</v>
      </c>
      <c r="Y3046" s="293">
        <f t="shared" si="1387"/>
        <v>0</v>
      </c>
      <c r="Z3046" s="294">
        <f t="shared" si="1388"/>
        <v>0</v>
      </c>
      <c r="AA3046" s="294">
        <f t="shared" si="1389"/>
        <v>0</v>
      </c>
      <c r="AB3046" s="813">
        <v>7.4999999999999997E-3</v>
      </c>
      <c r="AC3046" s="291">
        <f t="shared" si="1390"/>
        <v>0</v>
      </c>
      <c r="AD3046" s="486"/>
      <c r="AE3046" s="210">
        <f t="shared" si="1385"/>
        <v>0</v>
      </c>
      <c r="AF3046" s="210">
        <f t="shared" si="1386"/>
        <v>0</v>
      </c>
      <c r="AG3046" s="211">
        <v>0.14499999999999999</v>
      </c>
      <c r="AH3046" s="157">
        <f t="shared" si="1395"/>
        <v>0</v>
      </c>
      <c r="AI3046" s="152">
        <v>19800</v>
      </c>
      <c r="AK3046" s="156" t="s">
        <v>691</v>
      </c>
      <c r="AL3046" s="212" t="s">
        <v>690</v>
      </c>
      <c r="AM3046" s="198">
        <f t="shared" si="1393"/>
        <v>0</v>
      </c>
      <c r="AN3046" s="199">
        <f t="shared" si="1394"/>
        <v>46052</v>
      </c>
      <c r="AO3046" s="159" t="s">
        <v>692</v>
      </c>
      <c r="AP3046" s="781"/>
      <c r="AQ3046" s="782">
        <v>12071839</v>
      </c>
      <c r="AR3046" s="782">
        <v>12047514</v>
      </c>
      <c r="AS3046" s="782">
        <v>12047515</v>
      </c>
      <c r="AT3046" s="782">
        <v>12083107</v>
      </c>
      <c r="AU3046" s="781"/>
      <c r="AV3046" s="782">
        <v>12084002</v>
      </c>
      <c r="AW3046" s="782"/>
      <c r="AX3046" s="782"/>
      <c r="AY3046" s="782"/>
      <c r="AZ3046" s="782"/>
      <c r="BA3046" s="781"/>
      <c r="BB3046" s="209">
        <v>23053185</v>
      </c>
    </row>
    <row r="3047" spans="1:54" ht="24.75" customHeight="1">
      <c r="B3047" s="295">
        <v>46052</v>
      </c>
      <c r="C3047" s="771" t="s">
        <v>2717</v>
      </c>
      <c r="D3047" s="185">
        <f t="shared" si="1383"/>
        <v>2026</v>
      </c>
      <c r="E3047" s="296" t="e">
        <f>VLOOKUP($B3047,Week!$A$1:$C$1462,2,0)</f>
        <v>#N/A</v>
      </c>
      <c r="F3047" s="297" t="str">
        <f t="shared" si="1384"/>
        <v>Jan</v>
      </c>
      <c r="G3047" s="648" t="s">
        <v>47</v>
      </c>
      <c r="H3047" s="298" t="s">
        <v>260</v>
      </c>
      <c r="I3047" s="298" t="s">
        <v>2702</v>
      </c>
      <c r="J3047" s="307" t="s">
        <v>2240</v>
      </c>
      <c r="K3047" s="300" t="s">
        <v>176</v>
      </c>
      <c r="L3047" s="300" t="s">
        <v>2167</v>
      </c>
      <c r="M3047" s="299" t="s">
        <v>2338</v>
      </c>
      <c r="N3047" s="298" t="s">
        <v>350</v>
      </c>
      <c r="O3047" s="298" t="s">
        <v>351</v>
      </c>
      <c r="P3047" s="301">
        <v>24</v>
      </c>
      <c r="Q3047" s="301">
        <v>5</v>
      </c>
      <c r="R3047" s="302">
        <v>6.1999999999999998E-3</v>
      </c>
      <c r="S3047" s="298" t="s">
        <v>352</v>
      </c>
      <c r="T3047" s="298" t="s">
        <v>56</v>
      </c>
      <c r="U3047" s="298" t="s">
        <v>57</v>
      </c>
      <c r="V3047" s="303">
        <v>2280</v>
      </c>
      <c r="W3047" s="303">
        <f>2280</f>
        <v>2280</v>
      </c>
      <c r="X3047" s="304"/>
      <c r="Y3047" s="305">
        <f t="shared" si="1387"/>
        <v>0</v>
      </c>
      <c r="Z3047" s="306">
        <f t="shared" si="1388"/>
        <v>0</v>
      </c>
      <c r="AA3047" s="306">
        <f t="shared" si="1389"/>
        <v>0</v>
      </c>
      <c r="AB3047" s="814">
        <v>7.4999999999999997E-3</v>
      </c>
      <c r="AC3047" s="303">
        <f t="shared" si="1390"/>
        <v>0</v>
      </c>
      <c r="AD3047" s="443"/>
      <c r="AE3047" s="210">
        <f t="shared" si="1385"/>
        <v>0</v>
      </c>
      <c r="AF3047" s="210">
        <f t="shared" si="1386"/>
        <v>0</v>
      </c>
      <c r="AG3047" s="211">
        <f>MID(O3047,1,3)/1000</f>
        <v>0.13</v>
      </c>
      <c r="AH3047" s="157">
        <f t="shared" si="1395"/>
        <v>0</v>
      </c>
      <c r="AI3047" s="152">
        <f>V3047*P3047</f>
        <v>54720</v>
      </c>
      <c r="AK3047" s="156" t="s">
        <v>691</v>
      </c>
      <c r="AL3047" s="574" t="s">
        <v>690</v>
      </c>
      <c r="AM3047" s="198">
        <f t="shared" si="1393"/>
        <v>0</v>
      </c>
      <c r="AN3047" s="199">
        <f t="shared" si="1394"/>
        <v>46052</v>
      </c>
      <c r="AO3047" s="159" t="s">
        <v>692</v>
      </c>
      <c r="AP3047" s="783" t="s">
        <v>622</v>
      </c>
      <c r="AQ3047" s="782">
        <v>12071839</v>
      </c>
      <c r="AR3047" s="782">
        <v>12094356</v>
      </c>
      <c r="AS3047" s="782">
        <v>12068233</v>
      </c>
      <c r="AT3047" s="781"/>
      <c r="AU3047" s="781"/>
      <c r="AV3047" s="782">
        <v>12062075</v>
      </c>
      <c r="AW3047" s="781"/>
      <c r="AX3047" s="781"/>
      <c r="AY3047" s="782">
        <v>12094357</v>
      </c>
      <c r="AZ3047" s="782"/>
      <c r="BA3047" s="781"/>
      <c r="BB3047" s="209">
        <v>23053184</v>
      </c>
    </row>
    <row r="3048" spans="1:54" ht="24.75" customHeight="1">
      <c r="B3048" s="295">
        <v>46053</v>
      </c>
      <c r="C3048" s="771" t="s">
        <v>2717</v>
      </c>
      <c r="D3048" s="185">
        <f t="shared" si="1383"/>
        <v>2026</v>
      </c>
      <c r="E3048" s="296" t="e">
        <f>VLOOKUP($B3048,Week!$A$1:$C$1462,2,0)</f>
        <v>#N/A</v>
      </c>
      <c r="F3048" s="297" t="str">
        <f t="shared" si="1384"/>
        <v>Jan</v>
      </c>
      <c r="G3048" s="648" t="s">
        <v>47</v>
      </c>
      <c r="H3048" s="298" t="s">
        <v>260</v>
      </c>
      <c r="I3048" s="298" t="s">
        <v>2702</v>
      </c>
      <c r="J3048" s="307" t="s">
        <v>2240</v>
      </c>
      <c r="K3048" s="300" t="s">
        <v>176</v>
      </c>
      <c r="L3048" s="300" t="s">
        <v>2167</v>
      </c>
      <c r="M3048" s="299" t="s">
        <v>2338</v>
      </c>
      <c r="N3048" s="298" t="s">
        <v>350</v>
      </c>
      <c r="O3048" s="298" t="s">
        <v>351</v>
      </c>
      <c r="P3048" s="301">
        <v>24</v>
      </c>
      <c r="Q3048" s="301">
        <v>5</v>
      </c>
      <c r="R3048" s="302">
        <v>6.1999999999999998E-3</v>
      </c>
      <c r="S3048" s="298" t="s">
        <v>352</v>
      </c>
      <c r="T3048" s="298" t="s">
        <v>56</v>
      </c>
      <c r="U3048" s="298" t="s">
        <v>57</v>
      </c>
      <c r="V3048" s="303">
        <v>2119</v>
      </c>
      <c r="W3048" s="303">
        <f>2119</f>
        <v>2119</v>
      </c>
      <c r="X3048" s="304"/>
      <c r="Y3048" s="305">
        <f t="shared" si="1387"/>
        <v>0</v>
      </c>
      <c r="Z3048" s="306">
        <f t="shared" si="1388"/>
        <v>0</v>
      </c>
      <c r="AA3048" s="306">
        <f t="shared" si="1389"/>
        <v>0</v>
      </c>
      <c r="AB3048" s="814">
        <v>7.4999999999999997E-3</v>
      </c>
      <c r="AC3048" s="303">
        <f t="shared" si="1390"/>
        <v>0</v>
      </c>
      <c r="AD3048" s="443"/>
      <c r="AE3048" s="210">
        <f t="shared" si="1385"/>
        <v>0</v>
      </c>
      <c r="AF3048" s="210">
        <f t="shared" si="1386"/>
        <v>0</v>
      </c>
      <c r="AG3048" s="211">
        <f>MID(O3048,1,3)/1000</f>
        <v>0.13</v>
      </c>
      <c r="AH3048" s="157">
        <f t="shared" si="1395"/>
        <v>0</v>
      </c>
      <c r="AI3048" s="152">
        <f>V3048*P3048</f>
        <v>50856</v>
      </c>
      <c r="AK3048" s="156" t="s">
        <v>691</v>
      </c>
      <c r="AL3048" s="574" t="s">
        <v>690</v>
      </c>
      <c r="AM3048" s="198">
        <f t="shared" si="1393"/>
        <v>0</v>
      </c>
      <c r="AN3048" s="199">
        <f t="shared" si="1394"/>
        <v>46053</v>
      </c>
      <c r="AO3048" s="159" t="s">
        <v>692</v>
      </c>
      <c r="AP3048" s="783" t="s">
        <v>622</v>
      </c>
      <c r="AQ3048" s="782">
        <v>12071839</v>
      </c>
      <c r="AR3048" s="782">
        <v>12094356</v>
      </c>
      <c r="AS3048" s="782">
        <v>12068233</v>
      </c>
      <c r="AT3048" s="781"/>
      <c r="AU3048" s="781"/>
      <c r="AV3048" s="782">
        <v>12062075</v>
      </c>
      <c r="AW3048" s="781"/>
      <c r="AX3048" s="781"/>
      <c r="AY3048" s="782">
        <v>12094357</v>
      </c>
      <c r="AZ3048" s="782"/>
      <c r="BA3048" s="781"/>
      <c r="BB3048" s="209">
        <v>23053184</v>
      </c>
    </row>
    <row r="3049" spans="1:54" ht="24.65" customHeight="1">
      <c r="B3049" s="308">
        <v>46053</v>
      </c>
      <c r="C3049" s="309">
        <v>46065</v>
      </c>
      <c r="D3049" s="185">
        <f t="shared" si="1383"/>
        <v>2026</v>
      </c>
      <c r="E3049" s="309" t="e">
        <f>VLOOKUP($B3049,Week!$A$1:$C$1462,2,0)</f>
        <v>#N/A</v>
      </c>
      <c r="F3049" s="310" t="str">
        <f t="shared" si="1384"/>
        <v>Jan</v>
      </c>
      <c r="G3049" s="311" t="s">
        <v>2709</v>
      </c>
      <c r="H3049" s="311" t="s">
        <v>311</v>
      </c>
      <c r="I3049" s="311" t="s">
        <v>2772</v>
      </c>
      <c r="J3049" s="312" t="s">
        <v>738</v>
      </c>
      <c r="K3049" s="313" t="s">
        <v>107</v>
      </c>
      <c r="L3049" s="300" t="s">
        <v>2167</v>
      </c>
      <c r="M3049" s="312" t="s">
        <v>313</v>
      </c>
      <c r="N3049" s="311" t="s">
        <v>314</v>
      </c>
      <c r="O3049" s="311" t="s">
        <v>110</v>
      </c>
      <c r="P3049" s="314">
        <v>36</v>
      </c>
      <c r="Q3049" s="314">
        <v>5</v>
      </c>
      <c r="R3049" s="315">
        <v>7.4999999999999997E-3</v>
      </c>
      <c r="S3049" s="311" t="s">
        <v>111</v>
      </c>
      <c r="T3049" s="311" t="s">
        <v>112</v>
      </c>
      <c r="U3049" s="311" t="s">
        <v>57</v>
      </c>
      <c r="V3049" s="316">
        <v>792</v>
      </c>
      <c r="W3049" s="316">
        <f>30+682</f>
        <v>712</v>
      </c>
      <c r="X3049" s="317">
        <v>80</v>
      </c>
      <c r="Y3049" s="318">
        <f t="shared" si="1387"/>
        <v>0</v>
      </c>
      <c r="Z3049" s="319">
        <f t="shared" si="1388"/>
        <v>0</v>
      </c>
      <c r="AA3049" s="319">
        <f t="shared" si="1389"/>
        <v>0</v>
      </c>
      <c r="AB3049" s="815">
        <v>7.4999999999999997E-3</v>
      </c>
      <c r="AC3049" s="316">
        <f t="shared" si="1390"/>
        <v>0</v>
      </c>
      <c r="AD3049" s="515"/>
      <c r="AE3049" s="210">
        <f t="shared" si="1385"/>
        <v>0</v>
      </c>
      <c r="AF3049" s="210">
        <f t="shared" si="1386"/>
        <v>0</v>
      </c>
      <c r="AG3049" s="211">
        <f>MID(O3049,1,3)/1000</f>
        <v>0.308</v>
      </c>
      <c r="AH3049" s="157">
        <f t="shared" si="1395"/>
        <v>0</v>
      </c>
      <c r="AI3049" s="152">
        <f>V3049*P3049</f>
        <v>28512</v>
      </c>
      <c r="AK3049" s="156" t="s">
        <v>691</v>
      </c>
      <c r="AL3049" s="212" t="s">
        <v>690</v>
      </c>
      <c r="AM3049" s="198">
        <f t="shared" si="1393"/>
        <v>0</v>
      </c>
      <c r="AN3049" s="199">
        <f t="shared" si="1394"/>
        <v>46053</v>
      </c>
      <c r="AO3049" s="159" t="s">
        <v>692</v>
      </c>
      <c r="AP3049" s="783" t="s">
        <v>644</v>
      </c>
      <c r="AQ3049" s="782">
        <v>12063755</v>
      </c>
      <c r="AR3049" s="782">
        <v>12061353</v>
      </c>
      <c r="AS3049" s="782">
        <v>12061354</v>
      </c>
      <c r="AT3049" s="782">
        <v>12062266</v>
      </c>
      <c r="AU3049" s="781"/>
      <c r="AV3049" s="782">
        <v>12088159</v>
      </c>
      <c r="AW3049" s="782">
        <v>12088207</v>
      </c>
      <c r="AX3049" s="782"/>
      <c r="AY3049" s="782">
        <v>12094237</v>
      </c>
      <c r="AZ3049" s="782"/>
      <c r="BA3049" s="781"/>
      <c r="BB3049" s="209">
        <v>23053185</v>
      </c>
    </row>
    <row r="3050" spans="1:54" ht="24.65" customHeight="1">
      <c r="B3050" s="308">
        <v>46053</v>
      </c>
      <c r="C3050" s="309">
        <v>46067</v>
      </c>
      <c r="D3050" s="185">
        <f t="shared" si="1383"/>
        <v>2026</v>
      </c>
      <c r="E3050" s="309" t="e">
        <f>VLOOKUP($B3050,Week!$A$1:$C$1462,2,0)</f>
        <v>#N/A</v>
      </c>
      <c r="F3050" s="310" t="str">
        <f t="shared" si="1384"/>
        <v>Jan</v>
      </c>
      <c r="G3050" s="311" t="s">
        <v>2718</v>
      </c>
      <c r="H3050" s="311" t="s">
        <v>311</v>
      </c>
      <c r="I3050" s="311" t="s">
        <v>2772</v>
      </c>
      <c r="J3050" s="312" t="s">
        <v>738</v>
      </c>
      <c r="K3050" s="313" t="s">
        <v>107</v>
      </c>
      <c r="L3050" s="300" t="s">
        <v>2167</v>
      </c>
      <c r="M3050" s="312" t="s">
        <v>313</v>
      </c>
      <c r="N3050" s="311" t="s">
        <v>314</v>
      </c>
      <c r="O3050" s="311" t="s">
        <v>110</v>
      </c>
      <c r="P3050" s="314">
        <v>36</v>
      </c>
      <c r="Q3050" s="314">
        <v>5</v>
      </c>
      <c r="R3050" s="315">
        <v>7.4999999999999997E-3</v>
      </c>
      <c r="S3050" s="311" t="s">
        <v>111</v>
      </c>
      <c r="T3050" s="311" t="s">
        <v>112</v>
      </c>
      <c r="U3050" s="311" t="s">
        <v>57</v>
      </c>
      <c r="V3050" s="316">
        <v>792</v>
      </c>
      <c r="W3050" s="316">
        <f>1394-682</f>
        <v>712</v>
      </c>
      <c r="X3050" s="317">
        <v>80</v>
      </c>
      <c r="Y3050" s="318">
        <f t="shared" si="1387"/>
        <v>0</v>
      </c>
      <c r="Z3050" s="319">
        <f t="shared" si="1388"/>
        <v>0</v>
      </c>
      <c r="AA3050" s="319">
        <f t="shared" si="1389"/>
        <v>0</v>
      </c>
      <c r="AB3050" s="815">
        <v>7.4999999999999997E-3</v>
      </c>
      <c r="AC3050" s="316">
        <f t="shared" si="1390"/>
        <v>0</v>
      </c>
      <c r="AD3050" s="515"/>
      <c r="AE3050" s="210">
        <f t="shared" si="1385"/>
        <v>0</v>
      </c>
      <c r="AF3050" s="210">
        <f t="shared" si="1386"/>
        <v>0</v>
      </c>
      <c r="AG3050" s="211">
        <f>MID(O3050,1,3)/1000</f>
        <v>0.308</v>
      </c>
      <c r="AH3050" s="157">
        <f t="shared" si="1395"/>
        <v>0</v>
      </c>
      <c r="AI3050" s="152">
        <f>V3050*P3050</f>
        <v>28512</v>
      </c>
      <c r="AK3050" s="156" t="s">
        <v>691</v>
      </c>
      <c r="AL3050" s="212" t="s">
        <v>690</v>
      </c>
      <c r="AM3050" s="198">
        <f t="shared" si="1393"/>
        <v>0</v>
      </c>
      <c r="AN3050" s="199">
        <f t="shared" si="1394"/>
        <v>46053</v>
      </c>
      <c r="AO3050" s="159" t="s">
        <v>692</v>
      </c>
      <c r="AP3050" s="783" t="s">
        <v>644</v>
      </c>
      <c r="AQ3050" s="782">
        <v>12063755</v>
      </c>
      <c r="AR3050" s="782">
        <v>12061353</v>
      </c>
      <c r="AS3050" s="782">
        <v>12061354</v>
      </c>
      <c r="AT3050" s="782">
        <v>12062266</v>
      </c>
      <c r="AU3050" s="781"/>
      <c r="AV3050" s="782">
        <v>12088159</v>
      </c>
      <c r="AW3050" s="782">
        <v>12088207</v>
      </c>
      <c r="AX3050" s="782"/>
      <c r="AY3050" s="782">
        <v>12094237</v>
      </c>
      <c r="AZ3050" s="782"/>
      <c r="BA3050" s="781"/>
      <c r="BB3050" s="209">
        <v>23053185</v>
      </c>
    </row>
    <row r="3051" spans="1:54" ht="25" customHeight="1">
      <c r="B3051" s="332">
        <v>46053</v>
      </c>
      <c r="C3051" s="333">
        <v>46069</v>
      </c>
      <c r="D3051" s="185">
        <f t="shared" si="1383"/>
        <v>2026</v>
      </c>
      <c r="E3051" s="333" t="e">
        <f>VLOOKUP($B3051,Week!$A$1:$C$1462,2,0)</f>
        <v>#N/A</v>
      </c>
      <c r="F3051" s="334" t="str">
        <f t="shared" si="1384"/>
        <v>Jan</v>
      </c>
      <c r="G3051" s="335" t="s">
        <v>2710</v>
      </c>
      <c r="H3051" s="335" t="s">
        <v>600</v>
      </c>
      <c r="I3051" s="335" t="s">
        <v>2772</v>
      </c>
      <c r="J3051" s="336" t="s">
        <v>708</v>
      </c>
      <c r="K3051" s="337" t="s">
        <v>1646</v>
      </c>
      <c r="L3051" s="300" t="s">
        <v>2167</v>
      </c>
      <c r="M3051" s="336" t="s">
        <v>601</v>
      </c>
      <c r="N3051" s="335" t="s">
        <v>604</v>
      </c>
      <c r="O3051" s="335" t="s">
        <v>543</v>
      </c>
      <c r="P3051" s="338">
        <v>8</v>
      </c>
      <c r="Q3051" s="338">
        <v>3</v>
      </c>
      <c r="R3051" s="339">
        <v>7.4999999999999997E-3</v>
      </c>
      <c r="S3051" s="335" t="s">
        <v>40</v>
      </c>
      <c r="T3051" s="335" t="s">
        <v>112</v>
      </c>
      <c r="U3051" s="340" t="s">
        <v>1893</v>
      </c>
      <c r="V3051" s="341">
        <v>3500</v>
      </c>
      <c r="W3051" s="341"/>
      <c r="X3051" s="342">
        <f>(28548)/8</f>
        <v>3568.5</v>
      </c>
      <c r="Y3051" s="343">
        <f t="shared" si="1387"/>
        <v>68.5</v>
      </c>
      <c r="Z3051" s="344">
        <f t="shared" si="1388"/>
        <v>0</v>
      </c>
      <c r="AA3051" s="344">
        <f t="shared" si="1389"/>
        <v>0</v>
      </c>
      <c r="AB3051" s="817">
        <v>3.85E-2</v>
      </c>
      <c r="AC3051" s="341">
        <f t="shared" si="1390"/>
        <v>0</v>
      </c>
      <c r="AD3051" s="307" t="s">
        <v>673</v>
      </c>
      <c r="AE3051" s="210">
        <f t="shared" si="1385"/>
        <v>0</v>
      </c>
      <c r="AF3051" s="210">
        <f t="shared" si="1386"/>
        <v>0</v>
      </c>
      <c r="AG3051" s="211">
        <f>MID(O3051,1,3)/1000</f>
        <v>0.309</v>
      </c>
      <c r="AH3051" s="157">
        <f t="shared" si="1395"/>
        <v>0</v>
      </c>
      <c r="AI3051" s="152">
        <f>V3051*P3051</f>
        <v>28000</v>
      </c>
      <c r="AK3051" s="156" t="s">
        <v>691</v>
      </c>
      <c r="AL3051" s="574" t="s">
        <v>690</v>
      </c>
      <c r="AM3051" s="198">
        <f t="shared" si="1393"/>
        <v>0</v>
      </c>
      <c r="AN3051" s="199">
        <f t="shared" si="1394"/>
        <v>46053</v>
      </c>
      <c r="AO3051" s="159" t="s">
        <v>692</v>
      </c>
      <c r="AP3051" s="783" t="s">
        <v>629</v>
      </c>
      <c r="AQ3051" s="782">
        <v>12071839</v>
      </c>
      <c r="AR3051" s="782">
        <v>12061353</v>
      </c>
      <c r="AS3051" s="782">
        <v>12061354</v>
      </c>
      <c r="AT3051" s="782">
        <v>12084228</v>
      </c>
      <c r="AU3051" s="781"/>
      <c r="AV3051" s="782">
        <v>12084023</v>
      </c>
      <c r="AW3051" s="781"/>
      <c r="AX3051" s="781"/>
      <c r="AY3051" s="782">
        <v>12094357</v>
      </c>
      <c r="AZ3051" s="781"/>
      <c r="BA3051" s="781"/>
      <c r="BB3051" s="209">
        <v>23053185</v>
      </c>
    </row>
    <row r="3052" spans="1:54" ht="25" customHeight="1">
      <c r="B3052" s="183">
        <v>46054</v>
      </c>
      <c r="C3052" s="184"/>
      <c r="D3052" s="185">
        <f t="shared" si="1383"/>
        <v>2026</v>
      </c>
      <c r="E3052" s="185" t="e">
        <f>VLOOKUP($B3052,Week!$A$1:$C$1462,2,0)</f>
        <v>#N/A</v>
      </c>
      <c r="F3052" s="186" t="str">
        <f t="shared" si="1384"/>
        <v>Feb</v>
      </c>
      <c r="G3052" s="481"/>
      <c r="H3052" s="185"/>
      <c r="I3052" s="185"/>
      <c r="J3052" s="187"/>
      <c r="K3052" s="188"/>
      <c r="L3052" s="188"/>
      <c r="M3052" s="187"/>
      <c r="N3052" s="185"/>
      <c r="O3052" s="185"/>
      <c r="P3052" s="189"/>
      <c r="Q3052" s="189"/>
      <c r="R3052" s="190"/>
      <c r="S3052" s="185"/>
      <c r="T3052" s="185"/>
      <c r="U3052" s="185"/>
      <c r="V3052" s="191"/>
      <c r="W3052" s="191"/>
      <c r="X3052" s="192"/>
      <c r="Y3052" s="193"/>
      <c r="Z3052" s="194"/>
      <c r="AA3052" s="194">
        <f t="shared" si="1389"/>
        <v>0</v>
      </c>
      <c r="AB3052" s="805"/>
      <c r="AC3052" s="191"/>
      <c r="AD3052" s="187"/>
      <c r="AE3052" s="195"/>
      <c r="AF3052" s="195"/>
      <c r="AG3052" s="196"/>
      <c r="AH3052" s="197"/>
      <c r="AK3052" s="156" t="s">
        <v>691</v>
      </c>
      <c r="AM3052" s="198">
        <f t="shared" si="1393"/>
        <v>0</v>
      </c>
      <c r="AN3052" s="199">
        <f t="shared" si="1394"/>
        <v>46054</v>
      </c>
      <c r="AO3052" s="159" t="s">
        <v>692</v>
      </c>
      <c r="AP3052" s="781"/>
      <c r="AQ3052" s="782"/>
      <c r="AR3052" s="782"/>
      <c r="AS3052" s="782"/>
      <c r="AT3052" s="782"/>
      <c r="AU3052" s="781"/>
      <c r="AV3052" s="782"/>
      <c r="AW3052" s="782"/>
      <c r="AX3052" s="782"/>
      <c r="AY3052" s="782"/>
      <c r="AZ3052" s="782"/>
      <c r="BA3052" s="781"/>
      <c r="BB3052" s="209"/>
    </row>
    <row r="3053" spans="1:54" ht="25" customHeight="1">
      <c r="A3053" s="142" t="s">
        <v>120</v>
      </c>
      <c r="B3053" s="320">
        <v>46055</v>
      </c>
      <c r="C3053" s="321">
        <v>46072</v>
      </c>
      <c r="D3053" s="323">
        <f t="shared" si="1383"/>
        <v>2026</v>
      </c>
      <c r="E3053" s="321" t="e">
        <f>VLOOKUP($B3053,Week!$A$1:$C$1462,2,0)</f>
        <v>#N/A</v>
      </c>
      <c r="F3053" s="322" t="str">
        <f t="shared" si="1384"/>
        <v>Feb</v>
      </c>
      <c r="G3053" s="323" t="s">
        <v>2754</v>
      </c>
      <c r="H3053" s="323" t="s">
        <v>363</v>
      </c>
      <c r="I3053" s="323" t="s">
        <v>2772</v>
      </c>
      <c r="J3053" s="324" t="s">
        <v>364</v>
      </c>
      <c r="K3053" s="325" t="s">
        <v>2583</v>
      </c>
      <c r="L3053" s="325" t="s">
        <v>2166</v>
      </c>
      <c r="M3053" s="324" t="s">
        <v>2586</v>
      </c>
      <c r="N3053" s="323" t="s">
        <v>2584</v>
      </c>
      <c r="O3053" s="323" t="s">
        <v>2587</v>
      </c>
      <c r="P3053" s="326">
        <v>20</v>
      </c>
      <c r="Q3053" s="326">
        <v>50</v>
      </c>
      <c r="R3053" s="327">
        <v>4.0000000000000001E-3</v>
      </c>
      <c r="S3053" s="323" t="s">
        <v>55</v>
      </c>
      <c r="T3053" s="323" t="s">
        <v>112</v>
      </c>
      <c r="U3053" s="323" t="s">
        <v>77</v>
      </c>
      <c r="V3053" s="328">
        <f>1040-200-166-177-181-172</f>
        <v>144</v>
      </c>
      <c r="W3053" s="328">
        <v>144</v>
      </c>
      <c r="X3053" s="329"/>
      <c r="Y3053" s="330">
        <f t="shared" ref="Y3053:Y3063" si="1396">(W3053+X3053)-V3053</f>
        <v>0</v>
      </c>
      <c r="Z3053" s="331">
        <f t="shared" ref="Z3053:Z3063" si="1397">IF(Y3053&lt;0,((V3053*P3053)-((W3053+X3053)*P3053)),0)</f>
        <v>0</v>
      </c>
      <c r="AA3053" s="331">
        <f t="shared" si="1389"/>
        <v>0</v>
      </c>
      <c r="AB3053" s="816">
        <v>6</v>
      </c>
      <c r="AC3053" s="328">
        <f t="shared" ref="AC3053:AC3063" si="1398">Z3053*AB3053</f>
        <v>0</v>
      </c>
      <c r="AD3053" s="209"/>
      <c r="AE3053" s="210">
        <f t="shared" ref="AE3053:AE3074" si="1399">SUM(Q3053*R3053*Z3053)/1000</f>
        <v>0</v>
      </c>
      <c r="AF3053" s="210">
        <f t="shared" ref="AF3053:AF3074" si="1400">AE3053/0.54</f>
        <v>0</v>
      </c>
      <c r="AG3053" s="211">
        <f t="shared" ref="AG3053:AG3063" si="1401">MID(O3053,1,3)/1000</f>
        <v>0.5</v>
      </c>
      <c r="AH3053" s="157">
        <f t="shared" ref="AH3053:AH3063" si="1402">(Z3053*AG3053)/1000</f>
        <v>0</v>
      </c>
      <c r="AI3053" s="152">
        <f t="shared" ref="AI3053:AI3063" si="1403">V3053*P3053</f>
        <v>2880</v>
      </c>
      <c r="AK3053" s="156" t="s">
        <v>691</v>
      </c>
      <c r="AL3053" s="156" t="s">
        <v>689</v>
      </c>
      <c r="AM3053" s="198">
        <f t="shared" si="1393"/>
        <v>0</v>
      </c>
      <c r="AN3053" s="199">
        <f t="shared" si="1394"/>
        <v>46055</v>
      </c>
      <c r="AO3053" s="159" t="s">
        <v>692</v>
      </c>
      <c r="AP3053" s="783" t="s">
        <v>620</v>
      </c>
      <c r="AQ3053" s="796" t="s">
        <v>422</v>
      </c>
      <c r="AR3053" s="782">
        <v>12055234</v>
      </c>
      <c r="AS3053" s="781"/>
      <c r="AT3053" s="782"/>
      <c r="AU3053" s="782"/>
      <c r="AV3053" s="782">
        <v>12097165</v>
      </c>
      <c r="AW3053" s="782"/>
      <c r="AX3053" s="782">
        <v>12036656</v>
      </c>
      <c r="AY3053" s="799"/>
      <c r="AZ3053" s="781"/>
      <c r="BA3053" s="781"/>
      <c r="BB3053" s="209">
        <v>23053184</v>
      </c>
    </row>
    <row r="3054" spans="1:54" ht="25" customHeight="1">
      <c r="A3054" s="142" t="s">
        <v>120</v>
      </c>
      <c r="B3054" s="571">
        <v>46055</v>
      </c>
      <c r="C3054" s="845" t="s">
        <v>2717</v>
      </c>
      <c r="D3054" s="185">
        <f t="shared" si="1383"/>
        <v>2026</v>
      </c>
      <c r="E3054" s="236" t="e">
        <f>VLOOKUP($B3054,Week!$A$1:$C$1462,2,0)</f>
        <v>#N/A</v>
      </c>
      <c r="F3054" s="237" t="str">
        <f t="shared" si="1384"/>
        <v>Feb</v>
      </c>
      <c r="G3054" s="236" t="s">
        <v>47</v>
      </c>
      <c r="H3054" s="236" t="s">
        <v>47</v>
      </c>
      <c r="I3054" s="236" t="s">
        <v>2702</v>
      </c>
      <c r="J3054" s="238" t="s">
        <v>70</v>
      </c>
      <c r="K3054" s="239" t="s">
        <v>153</v>
      </c>
      <c r="L3054" s="390" t="s">
        <v>2166</v>
      </c>
      <c r="M3054" s="238" t="s">
        <v>154</v>
      </c>
      <c r="N3054" s="236" t="s">
        <v>155</v>
      </c>
      <c r="O3054" s="236" t="s">
        <v>156</v>
      </c>
      <c r="P3054" s="240">
        <v>8</v>
      </c>
      <c r="Q3054" s="240">
        <v>50</v>
      </c>
      <c r="R3054" s="241">
        <v>8.1300000000000001E-3</v>
      </c>
      <c r="S3054" s="236" t="s">
        <v>40</v>
      </c>
      <c r="T3054" s="236" t="s">
        <v>56</v>
      </c>
      <c r="U3054" s="236"/>
      <c r="V3054" s="242">
        <f>200</f>
        <v>200</v>
      </c>
      <c r="W3054" s="242">
        <f>200</f>
        <v>200</v>
      </c>
      <c r="X3054" s="243"/>
      <c r="Y3054" s="244">
        <f t="shared" si="1396"/>
        <v>0</v>
      </c>
      <c r="Z3054" s="245">
        <f t="shared" si="1397"/>
        <v>0</v>
      </c>
      <c r="AA3054" s="242">
        <f t="shared" si="1389"/>
        <v>0</v>
      </c>
      <c r="AB3054" s="809"/>
      <c r="AC3054" s="242">
        <f t="shared" si="1398"/>
        <v>0</v>
      </c>
      <c r="AD3054" s="443"/>
      <c r="AE3054" s="210">
        <f t="shared" si="1399"/>
        <v>0</v>
      </c>
      <c r="AF3054" s="220">
        <f t="shared" si="1400"/>
        <v>0</v>
      </c>
      <c r="AG3054" s="211">
        <f t="shared" si="1401"/>
        <v>0.6</v>
      </c>
      <c r="AH3054" s="157">
        <f t="shared" si="1402"/>
        <v>0</v>
      </c>
      <c r="AI3054" s="152">
        <f t="shared" si="1403"/>
        <v>1600</v>
      </c>
      <c r="AK3054" s="156" t="s">
        <v>691</v>
      </c>
      <c r="AL3054" s="156" t="s">
        <v>689</v>
      </c>
      <c r="AM3054" s="198">
        <f t="shared" si="1393"/>
        <v>0</v>
      </c>
      <c r="AN3054" s="199">
        <f t="shared" si="1394"/>
        <v>46055</v>
      </c>
      <c r="AO3054" s="159" t="s">
        <v>692</v>
      </c>
      <c r="AP3054" s="781"/>
      <c r="AQ3054" s="781"/>
      <c r="AR3054" s="783" t="s">
        <v>529</v>
      </c>
      <c r="AS3054" s="781"/>
      <c r="AT3054" s="783"/>
      <c r="AU3054" s="783"/>
      <c r="AV3054" s="783" t="s">
        <v>530</v>
      </c>
      <c r="AW3054" s="781"/>
      <c r="AX3054" s="781" t="s">
        <v>93</v>
      </c>
      <c r="AY3054" s="781"/>
      <c r="AZ3054" s="782"/>
      <c r="BA3054" s="781"/>
    </row>
    <row r="3055" spans="1:54" ht="25.9" customHeight="1">
      <c r="A3055" s="142" t="s">
        <v>120</v>
      </c>
      <c r="B3055" s="235">
        <v>46055</v>
      </c>
      <c r="C3055" s="235">
        <v>46065</v>
      </c>
      <c r="D3055" s="185">
        <f t="shared" si="1383"/>
        <v>2026</v>
      </c>
      <c r="E3055" s="236" t="e">
        <f>VLOOKUP($B3055,Week!$A$1:$C$1462,2,0)</f>
        <v>#N/A</v>
      </c>
      <c r="F3055" s="237" t="str">
        <f t="shared" si="1384"/>
        <v>Feb</v>
      </c>
      <c r="G3055" s="236" t="s">
        <v>2672</v>
      </c>
      <c r="H3055" s="236" t="s">
        <v>392</v>
      </c>
      <c r="I3055" s="236" t="s">
        <v>2772</v>
      </c>
      <c r="J3055" s="238" t="s">
        <v>393</v>
      </c>
      <c r="K3055" s="239" t="s">
        <v>153</v>
      </c>
      <c r="L3055" s="390" t="s">
        <v>2166</v>
      </c>
      <c r="M3055" s="238" t="s">
        <v>165</v>
      </c>
      <c r="N3055" s="236" t="s">
        <v>685</v>
      </c>
      <c r="O3055" s="236" t="s">
        <v>167</v>
      </c>
      <c r="P3055" s="240">
        <v>20</v>
      </c>
      <c r="Q3055" s="240">
        <v>12</v>
      </c>
      <c r="R3055" s="241">
        <v>6.8100000000000001E-3</v>
      </c>
      <c r="S3055" s="236" t="s">
        <v>76</v>
      </c>
      <c r="T3055" s="236" t="s">
        <v>56</v>
      </c>
      <c r="U3055" s="236" t="s">
        <v>89</v>
      </c>
      <c r="V3055" s="242">
        <v>300</v>
      </c>
      <c r="W3055" s="242">
        <f>300</f>
        <v>300</v>
      </c>
      <c r="X3055" s="243"/>
      <c r="Y3055" s="244">
        <f t="shared" si="1396"/>
        <v>0</v>
      </c>
      <c r="Z3055" s="245">
        <f t="shared" si="1397"/>
        <v>0</v>
      </c>
      <c r="AA3055" s="245">
        <f t="shared" si="1389"/>
        <v>0</v>
      </c>
      <c r="AB3055" s="809">
        <v>2</v>
      </c>
      <c r="AC3055" s="242">
        <f t="shared" si="1398"/>
        <v>0</v>
      </c>
      <c r="AD3055" s="209"/>
      <c r="AE3055" s="210">
        <f t="shared" si="1399"/>
        <v>0</v>
      </c>
      <c r="AF3055" s="210">
        <f t="shared" si="1400"/>
        <v>0</v>
      </c>
      <c r="AG3055" s="211">
        <f t="shared" si="1401"/>
        <v>0.154</v>
      </c>
      <c r="AH3055" s="157">
        <f t="shared" si="1402"/>
        <v>0</v>
      </c>
      <c r="AI3055" s="152">
        <f t="shared" si="1403"/>
        <v>6000</v>
      </c>
      <c r="AK3055" s="156" t="s">
        <v>691</v>
      </c>
      <c r="AL3055" s="156" t="s">
        <v>689</v>
      </c>
      <c r="AM3055" s="198">
        <f t="shared" si="1393"/>
        <v>0</v>
      </c>
      <c r="AN3055" s="199">
        <f t="shared" si="1394"/>
        <v>46055</v>
      </c>
      <c r="AO3055" s="159" t="s">
        <v>692</v>
      </c>
      <c r="AP3055" s="783" t="s">
        <v>622</v>
      </c>
      <c r="AQ3055" s="783" t="s">
        <v>631</v>
      </c>
      <c r="AR3055" s="783" t="s">
        <v>523</v>
      </c>
      <c r="AS3055" s="781"/>
      <c r="AT3055" s="783" t="s">
        <v>607</v>
      </c>
      <c r="AU3055" s="781"/>
      <c r="AV3055" s="783" t="s">
        <v>606</v>
      </c>
      <c r="AW3055" s="781"/>
      <c r="AX3055" s="781" t="s">
        <v>398</v>
      </c>
      <c r="AY3055" s="781"/>
      <c r="AZ3055" s="782"/>
      <c r="BA3055" s="781"/>
      <c r="BB3055" s="209">
        <v>23053184</v>
      </c>
    </row>
    <row r="3056" spans="1:54" ht="24.65" customHeight="1">
      <c r="A3056" s="142" t="s">
        <v>120</v>
      </c>
      <c r="B3056" s="258">
        <v>46055</v>
      </c>
      <c r="C3056" s="259">
        <v>46064</v>
      </c>
      <c r="D3056" s="185">
        <f t="shared" si="1383"/>
        <v>2026</v>
      </c>
      <c r="E3056" s="260" t="e">
        <f>VLOOKUP($B3056,Week!$A$1:$C$1462,2,0)</f>
        <v>#N/A</v>
      </c>
      <c r="F3056" s="261" t="str">
        <f t="shared" si="1384"/>
        <v>Feb</v>
      </c>
      <c r="G3056" s="262" t="s">
        <v>2674</v>
      </c>
      <c r="H3056" s="260" t="s">
        <v>134</v>
      </c>
      <c r="I3056" s="260" t="s">
        <v>2772</v>
      </c>
      <c r="J3056" s="263" t="s">
        <v>2932</v>
      </c>
      <c r="K3056" s="264" t="s">
        <v>153</v>
      </c>
      <c r="L3056" s="390" t="s">
        <v>2166</v>
      </c>
      <c r="M3056" s="263" t="s">
        <v>165</v>
      </c>
      <c r="N3056" s="260" t="s">
        <v>166</v>
      </c>
      <c r="O3056" s="260" t="s">
        <v>502</v>
      </c>
      <c r="P3056" s="265">
        <v>20</v>
      </c>
      <c r="Q3056" s="265">
        <v>12</v>
      </c>
      <c r="R3056" s="266">
        <v>6.8100000000000001E-3</v>
      </c>
      <c r="S3056" s="260" t="s">
        <v>76</v>
      </c>
      <c r="T3056" s="260" t="s">
        <v>56</v>
      </c>
      <c r="U3056" s="260" t="s">
        <v>89</v>
      </c>
      <c r="V3056" s="267">
        <f>800</f>
        <v>800</v>
      </c>
      <c r="W3056" s="267">
        <f>747+53</f>
        <v>800</v>
      </c>
      <c r="X3056" s="268"/>
      <c r="Y3056" s="269">
        <f t="shared" si="1396"/>
        <v>0</v>
      </c>
      <c r="Z3056" s="270">
        <f t="shared" si="1397"/>
        <v>0</v>
      </c>
      <c r="AA3056" s="270">
        <f t="shared" si="1389"/>
        <v>0</v>
      </c>
      <c r="AB3056" s="811">
        <v>2</v>
      </c>
      <c r="AC3056" s="267">
        <f t="shared" si="1398"/>
        <v>0</v>
      </c>
      <c r="AD3056" s="209" t="s">
        <v>168</v>
      </c>
      <c r="AE3056" s="210">
        <f t="shared" si="1399"/>
        <v>0</v>
      </c>
      <c r="AF3056" s="210">
        <f t="shared" si="1400"/>
        <v>0</v>
      </c>
      <c r="AG3056" s="211">
        <f t="shared" si="1401"/>
        <v>0.154</v>
      </c>
      <c r="AH3056" s="157">
        <f t="shared" si="1402"/>
        <v>0</v>
      </c>
      <c r="AI3056" s="152">
        <f t="shared" si="1403"/>
        <v>16000</v>
      </c>
      <c r="AK3056" s="156" t="s">
        <v>691</v>
      </c>
      <c r="AL3056" s="156" t="s">
        <v>689</v>
      </c>
      <c r="AM3056" s="198">
        <f t="shared" si="1393"/>
        <v>0</v>
      </c>
      <c r="AN3056" s="199">
        <f t="shared" si="1394"/>
        <v>46055</v>
      </c>
      <c r="AO3056" s="159" t="s">
        <v>692</v>
      </c>
      <c r="AP3056" s="783" t="s">
        <v>610</v>
      </c>
      <c r="AQ3056" s="783" t="s">
        <v>631</v>
      </c>
      <c r="AR3056" s="783" t="s">
        <v>523</v>
      </c>
      <c r="AS3056" s="781"/>
      <c r="AT3056" s="782">
        <v>12096524</v>
      </c>
      <c r="AU3056" s="781"/>
      <c r="AV3056" s="783" t="s">
        <v>2507</v>
      </c>
      <c r="AW3056" s="781"/>
      <c r="AX3056" s="782" t="s">
        <v>398</v>
      </c>
      <c r="AY3056" s="781"/>
      <c r="AZ3056" s="781"/>
      <c r="BA3056" s="781"/>
      <c r="BB3056" s="209">
        <v>23053184</v>
      </c>
    </row>
    <row r="3057" spans="1:54" ht="24.65" customHeight="1">
      <c r="A3057" s="142" t="s">
        <v>120</v>
      </c>
      <c r="B3057" s="258">
        <v>46056</v>
      </c>
      <c r="C3057" s="259">
        <v>46064</v>
      </c>
      <c r="D3057" s="185">
        <f t="shared" si="1383"/>
        <v>2026</v>
      </c>
      <c r="E3057" s="260" t="e">
        <f>VLOOKUP($B3057,Week!$A$1:$C$1462,2,0)</f>
        <v>#N/A</v>
      </c>
      <c r="F3057" s="261" t="str">
        <f t="shared" si="1384"/>
        <v>Feb</v>
      </c>
      <c r="G3057" s="262" t="s">
        <v>2673</v>
      </c>
      <c r="H3057" s="260" t="s">
        <v>134</v>
      </c>
      <c r="I3057" s="260" t="s">
        <v>2772</v>
      </c>
      <c r="J3057" s="263" t="s">
        <v>2932</v>
      </c>
      <c r="K3057" s="264" t="s">
        <v>153</v>
      </c>
      <c r="L3057" s="390" t="s">
        <v>2166</v>
      </c>
      <c r="M3057" s="263" t="s">
        <v>165</v>
      </c>
      <c r="N3057" s="260" t="s">
        <v>166</v>
      </c>
      <c r="O3057" s="260" t="s">
        <v>502</v>
      </c>
      <c r="P3057" s="265">
        <v>20</v>
      </c>
      <c r="Q3057" s="265">
        <v>12</v>
      </c>
      <c r="R3057" s="266">
        <v>6.8100000000000001E-3</v>
      </c>
      <c r="S3057" s="260" t="s">
        <v>76</v>
      </c>
      <c r="T3057" s="260" t="s">
        <v>56</v>
      </c>
      <c r="U3057" s="260" t="s">
        <v>89</v>
      </c>
      <c r="V3057" s="267">
        <v>1100</v>
      </c>
      <c r="W3057" s="267">
        <f>35+1065</f>
        <v>1100</v>
      </c>
      <c r="X3057" s="268"/>
      <c r="Y3057" s="269">
        <f t="shared" si="1396"/>
        <v>0</v>
      </c>
      <c r="Z3057" s="270">
        <f t="shared" si="1397"/>
        <v>0</v>
      </c>
      <c r="AA3057" s="270">
        <f t="shared" si="1389"/>
        <v>0</v>
      </c>
      <c r="AB3057" s="811">
        <v>2</v>
      </c>
      <c r="AC3057" s="267">
        <f t="shared" si="1398"/>
        <v>0</v>
      </c>
      <c r="AD3057" s="209" t="s">
        <v>168</v>
      </c>
      <c r="AE3057" s="210">
        <f t="shared" si="1399"/>
        <v>0</v>
      </c>
      <c r="AF3057" s="210">
        <f t="shared" si="1400"/>
        <v>0</v>
      </c>
      <c r="AG3057" s="211">
        <f t="shared" si="1401"/>
        <v>0.154</v>
      </c>
      <c r="AH3057" s="157">
        <f t="shared" si="1402"/>
        <v>0</v>
      </c>
      <c r="AI3057" s="152">
        <f t="shared" si="1403"/>
        <v>22000</v>
      </c>
      <c r="AK3057" s="156" t="s">
        <v>691</v>
      </c>
      <c r="AL3057" s="156" t="s">
        <v>689</v>
      </c>
      <c r="AM3057" s="198">
        <f t="shared" si="1393"/>
        <v>0</v>
      </c>
      <c r="AN3057" s="199">
        <f t="shared" si="1394"/>
        <v>46056</v>
      </c>
      <c r="AO3057" s="159" t="s">
        <v>692</v>
      </c>
      <c r="AP3057" s="783" t="s">
        <v>610</v>
      </c>
      <c r="AQ3057" s="783" t="s">
        <v>631</v>
      </c>
      <c r="AR3057" s="783" t="s">
        <v>523</v>
      </c>
      <c r="AS3057" s="781"/>
      <c r="AT3057" s="782">
        <v>12096524</v>
      </c>
      <c r="AU3057" s="781"/>
      <c r="AV3057" s="783" t="s">
        <v>2507</v>
      </c>
      <c r="AW3057" s="781"/>
      <c r="AX3057" s="782" t="s">
        <v>398</v>
      </c>
      <c r="AY3057" s="781"/>
      <c r="AZ3057" s="781"/>
      <c r="BA3057" s="781"/>
      <c r="BB3057" s="209">
        <v>23053184</v>
      </c>
    </row>
    <row r="3058" spans="1:54" ht="25.15" customHeight="1">
      <c r="B3058" s="345">
        <v>46056</v>
      </c>
      <c r="C3058" s="346">
        <v>46064</v>
      </c>
      <c r="D3058" s="185">
        <f t="shared" si="1383"/>
        <v>2026</v>
      </c>
      <c r="E3058" s="347" t="e">
        <f>VLOOKUP($B3058,Week!$A$1:$C$1462,2,0)</f>
        <v>#N/A</v>
      </c>
      <c r="F3058" s="348" t="str">
        <f t="shared" si="1384"/>
        <v>Feb</v>
      </c>
      <c r="G3058" s="347" t="s">
        <v>2566</v>
      </c>
      <c r="H3058" s="347" t="s">
        <v>424</v>
      </c>
      <c r="I3058" s="347" t="s">
        <v>2772</v>
      </c>
      <c r="J3058" s="438" t="s">
        <v>425</v>
      </c>
      <c r="K3058" s="350" t="s">
        <v>176</v>
      </c>
      <c r="L3058" s="350" t="s">
        <v>2167</v>
      </c>
      <c r="M3058" s="349" t="s">
        <v>426</v>
      </c>
      <c r="N3058" s="347" t="s">
        <v>427</v>
      </c>
      <c r="O3058" s="347" t="s">
        <v>599</v>
      </c>
      <c r="P3058" s="351">
        <v>36</v>
      </c>
      <c r="Q3058" s="351">
        <v>5</v>
      </c>
      <c r="R3058" s="352">
        <v>7.4999999999999997E-3</v>
      </c>
      <c r="S3058" s="347" t="s">
        <v>111</v>
      </c>
      <c r="T3058" s="347" t="s">
        <v>112</v>
      </c>
      <c r="U3058" s="347" t="s">
        <v>57</v>
      </c>
      <c r="V3058" s="353">
        <v>1288</v>
      </c>
      <c r="W3058" s="353">
        <f>5+1254+1+28</f>
        <v>1288</v>
      </c>
      <c r="X3058" s="354"/>
      <c r="Y3058" s="355">
        <f t="shared" si="1396"/>
        <v>0</v>
      </c>
      <c r="Z3058" s="356">
        <f t="shared" si="1397"/>
        <v>0</v>
      </c>
      <c r="AA3058" s="353">
        <f t="shared" si="1389"/>
        <v>0</v>
      </c>
      <c r="AB3058" s="818">
        <v>7.4999999999999997E-3</v>
      </c>
      <c r="AC3058" s="353">
        <f t="shared" si="1398"/>
        <v>0</v>
      </c>
      <c r="AD3058" s="307" t="s">
        <v>2448</v>
      </c>
      <c r="AE3058" s="210">
        <f t="shared" si="1399"/>
        <v>0</v>
      </c>
      <c r="AF3058" s="210">
        <f t="shared" si="1400"/>
        <v>0</v>
      </c>
      <c r="AG3058" s="211">
        <f t="shared" si="1401"/>
        <v>0.14799999999999999</v>
      </c>
      <c r="AH3058" s="157">
        <f t="shared" si="1402"/>
        <v>0</v>
      </c>
      <c r="AI3058" s="152">
        <f t="shared" si="1403"/>
        <v>46368</v>
      </c>
      <c r="AK3058" s="156" t="s">
        <v>691</v>
      </c>
      <c r="AL3058" s="574" t="s">
        <v>690</v>
      </c>
      <c r="AM3058" s="198">
        <f t="shared" si="1393"/>
        <v>0</v>
      </c>
      <c r="AN3058" s="199">
        <f t="shared" si="1394"/>
        <v>46056</v>
      </c>
      <c r="AO3058" s="159" t="s">
        <v>692</v>
      </c>
      <c r="AP3058" s="783" t="s">
        <v>609</v>
      </c>
      <c r="AQ3058" s="782">
        <v>12071839</v>
      </c>
      <c r="AR3058" s="782">
        <v>12080260</v>
      </c>
      <c r="AS3058" s="782">
        <v>12080259</v>
      </c>
      <c r="AT3058" s="782">
        <v>12096006</v>
      </c>
      <c r="AU3058" s="782"/>
      <c r="AV3058" s="782">
        <v>12096007</v>
      </c>
      <c r="AW3058" s="782">
        <v>12024404</v>
      </c>
      <c r="AX3058" s="781"/>
      <c r="AY3058" s="782">
        <v>12096022</v>
      </c>
      <c r="AZ3058" s="782"/>
      <c r="BA3058" s="781"/>
      <c r="BB3058" s="209">
        <v>23053185</v>
      </c>
    </row>
    <row r="3059" spans="1:54" ht="24.65" customHeight="1">
      <c r="B3059" s="224">
        <v>46056</v>
      </c>
      <c r="C3059" s="224">
        <v>46065</v>
      </c>
      <c r="D3059" s="185">
        <f t="shared" si="1383"/>
        <v>2026</v>
      </c>
      <c r="E3059" s="225" t="e">
        <f>VLOOKUP($B3059,Week!$A$1:$C$1462,2,0)</f>
        <v>#N/A</v>
      </c>
      <c r="F3059" s="226" t="str">
        <f t="shared" si="1384"/>
        <v>Feb</v>
      </c>
      <c r="G3059" s="225" t="s">
        <v>2672</v>
      </c>
      <c r="H3059" s="225" t="s">
        <v>392</v>
      </c>
      <c r="I3059" s="225" t="s">
        <v>2772</v>
      </c>
      <c r="J3059" s="227" t="s">
        <v>393</v>
      </c>
      <c r="K3059" s="228" t="s">
        <v>176</v>
      </c>
      <c r="L3059" s="300" t="s">
        <v>2167</v>
      </c>
      <c r="M3059" s="228" t="s">
        <v>399</v>
      </c>
      <c r="N3059" s="225" t="s">
        <v>400</v>
      </c>
      <c r="O3059" s="225" t="s">
        <v>195</v>
      </c>
      <c r="P3059" s="229">
        <v>24</v>
      </c>
      <c r="Q3059" s="229">
        <v>5</v>
      </c>
      <c r="R3059" s="230">
        <v>8.0000000000000002E-3</v>
      </c>
      <c r="S3059" s="225" t="s">
        <v>40</v>
      </c>
      <c r="T3059" s="225" t="s">
        <v>56</v>
      </c>
      <c r="U3059" s="225" t="s">
        <v>57</v>
      </c>
      <c r="V3059" s="231">
        <f>1250</f>
        <v>1250</v>
      </c>
      <c r="W3059" s="231">
        <f>14+1236</f>
        <v>1250</v>
      </c>
      <c r="X3059" s="232"/>
      <c r="Y3059" s="233">
        <f t="shared" si="1396"/>
        <v>0</v>
      </c>
      <c r="Z3059" s="234">
        <f t="shared" si="1397"/>
        <v>0</v>
      </c>
      <c r="AA3059" s="234">
        <f t="shared" si="1389"/>
        <v>0</v>
      </c>
      <c r="AB3059" s="808">
        <v>7.4999999999999997E-3</v>
      </c>
      <c r="AC3059" s="231">
        <f t="shared" si="1398"/>
        <v>0</v>
      </c>
      <c r="AD3059" s="220"/>
      <c r="AE3059" s="210">
        <f t="shared" si="1399"/>
        <v>0</v>
      </c>
      <c r="AF3059" s="210">
        <f t="shared" si="1400"/>
        <v>0</v>
      </c>
      <c r="AG3059" s="211">
        <f t="shared" si="1401"/>
        <v>0.14499999999999999</v>
      </c>
      <c r="AH3059" s="157">
        <f t="shared" si="1402"/>
        <v>0</v>
      </c>
      <c r="AI3059" s="152">
        <f t="shared" si="1403"/>
        <v>30000</v>
      </c>
      <c r="AK3059" s="156" t="s">
        <v>691</v>
      </c>
      <c r="AL3059" s="574" t="s">
        <v>690</v>
      </c>
      <c r="AM3059" s="198">
        <f t="shared" si="1393"/>
        <v>0</v>
      </c>
      <c r="AN3059" s="199">
        <f t="shared" si="1394"/>
        <v>46056</v>
      </c>
      <c r="AO3059" s="159" t="s">
        <v>692</v>
      </c>
      <c r="AP3059" s="783" t="s">
        <v>638</v>
      </c>
      <c r="AQ3059" s="783" t="s">
        <v>631</v>
      </c>
      <c r="AR3059" s="783" t="s">
        <v>632</v>
      </c>
      <c r="AS3059" s="783" t="s">
        <v>633</v>
      </c>
      <c r="AT3059" s="781"/>
      <c r="AU3059" s="783" t="s">
        <v>2606</v>
      </c>
      <c r="AV3059" s="783" t="s">
        <v>2380</v>
      </c>
      <c r="AW3059" s="783" t="s">
        <v>2607</v>
      </c>
      <c r="AX3059" s="781"/>
      <c r="AY3059" s="783" t="s">
        <v>2463</v>
      </c>
      <c r="AZ3059" s="783" t="s">
        <v>2464</v>
      </c>
      <c r="BA3059" s="783" t="s">
        <v>2465</v>
      </c>
      <c r="BB3059" s="209">
        <v>23053185</v>
      </c>
    </row>
    <row r="3060" spans="1:54" ht="26.25" customHeight="1">
      <c r="B3060" s="235">
        <v>46056</v>
      </c>
      <c r="C3060" s="235">
        <v>46065</v>
      </c>
      <c r="D3060" s="185">
        <f t="shared" si="1383"/>
        <v>2026</v>
      </c>
      <c r="E3060" s="236" t="e">
        <f>VLOOKUP($B3060,Week!$A$1:$C$1462,2,0)</f>
        <v>#N/A</v>
      </c>
      <c r="F3060" s="237" t="str">
        <f t="shared" si="1384"/>
        <v>Feb</v>
      </c>
      <c r="G3060" s="236" t="s">
        <v>2672</v>
      </c>
      <c r="H3060" s="236" t="s">
        <v>392</v>
      </c>
      <c r="I3060" s="236" t="s">
        <v>2772</v>
      </c>
      <c r="J3060" s="238" t="s">
        <v>393</v>
      </c>
      <c r="K3060" s="239" t="s">
        <v>1643</v>
      </c>
      <c r="L3060" s="300" t="s">
        <v>2167</v>
      </c>
      <c r="M3060" s="238" t="s">
        <v>2385</v>
      </c>
      <c r="N3060" s="236" t="s">
        <v>407</v>
      </c>
      <c r="O3060" s="236" t="s">
        <v>206</v>
      </c>
      <c r="P3060" s="240">
        <v>24</v>
      </c>
      <c r="Q3060" s="240">
        <v>5</v>
      </c>
      <c r="R3060" s="241">
        <v>8.0000000000000002E-3</v>
      </c>
      <c r="S3060" s="236" t="s">
        <v>40</v>
      </c>
      <c r="T3060" s="236" t="s">
        <v>56</v>
      </c>
      <c r="U3060" s="640" t="s">
        <v>499</v>
      </c>
      <c r="V3060" s="242">
        <f>600</f>
        <v>600</v>
      </c>
      <c r="W3060" s="242">
        <f>16+584</f>
        <v>600</v>
      </c>
      <c r="X3060" s="243"/>
      <c r="Y3060" s="244">
        <f t="shared" si="1396"/>
        <v>0</v>
      </c>
      <c r="Z3060" s="245">
        <f t="shared" si="1397"/>
        <v>0</v>
      </c>
      <c r="AA3060" s="245">
        <f t="shared" si="1389"/>
        <v>0</v>
      </c>
      <c r="AB3060" s="809">
        <v>1</v>
      </c>
      <c r="AC3060" s="242">
        <f t="shared" si="1398"/>
        <v>0</v>
      </c>
      <c r="AD3060" s="209"/>
      <c r="AE3060" s="210">
        <f t="shared" si="1399"/>
        <v>0</v>
      </c>
      <c r="AF3060" s="210">
        <f t="shared" si="1400"/>
        <v>0</v>
      </c>
      <c r="AG3060" s="211">
        <f t="shared" si="1401"/>
        <v>0.115</v>
      </c>
      <c r="AH3060" s="157">
        <f t="shared" si="1402"/>
        <v>0</v>
      </c>
      <c r="AI3060" s="152">
        <f t="shared" si="1403"/>
        <v>14400</v>
      </c>
      <c r="AK3060" s="156" t="s">
        <v>691</v>
      </c>
      <c r="AL3060" s="574" t="s">
        <v>690</v>
      </c>
      <c r="AM3060" s="198">
        <f t="shared" si="1393"/>
        <v>0</v>
      </c>
      <c r="AN3060" s="199">
        <f t="shared" si="1394"/>
        <v>46056</v>
      </c>
      <c r="AO3060" s="159" t="s">
        <v>692</v>
      </c>
      <c r="AP3060" s="783" t="s">
        <v>608</v>
      </c>
      <c r="AQ3060" s="782">
        <v>12071839</v>
      </c>
      <c r="AR3060" s="782">
        <v>12047514</v>
      </c>
      <c r="AS3060" s="782">
        <v>12047515</v>
      </c>
      <c r="AT3060" s="781"/>
      <c r="AU3060" s="782">
        <v>12026902</v>
      </c>
      <c r="AV3060" s="782">
        <v>12081781</v>
      </c>
      <c r="AW3060" s="782">
        <v>12026904</v>
      </c>
      <c r="AX3060" s="781"/>
      <c r="AY3060" s="783" t="s">
        <v>2403</v>
      </c>
      <c r="AZ3060" s="783" t="s">
        <v>2404</v>
      </c>
      <c r="BA3060" s="783" t="s">
        <v>2405</v>
      </c>
      <c r="BB3060" s="209">
        <v>23052995</v>
      </c>
    </row>
    <row r="3061" spans="1:54" ht="25" customHeight="1">
      <c r="A3061" s="142" t="s">
        <v>120</v>
      </c>
      <c r="B3061" s="369">
        <v>46057</v>
      </c>
      <c r="C3061" s="370">
        <v>46078</v>
      </c>
      <c r="D3061" s="185">
        <f t="shared" si="1383"/>
        <v>2026</v>
      </c>
      <c r="E3061" s="371" t="e">
        <f>VLOOKUP($B3061,Week!$A$1:$C$1462,2,0)</f>
        <v>#N/A</v>
      </c>
      <c r="F3061" s="372" t="str">
        <f t="shared" si="1384"/>
        <v>Feb</v>
      </c>
      <c r="G3061" s="371" t="s">
        <v>2659</v>
      </c>
      <c r="H3061" s="371" t="s">
        <v>344</v>
      </c>
      <c r="I3061" s="371" t="s">
        <v>2772</v>
      </c>
      <c r="J3061" s="373" t="s">
        <v>345</v>
      </c>
      <c r="K3061" s="374" t="s">
        <v>153</v>
      </c>
      <c r="L3061" s="390" t="s">
        <v>2166</v>
      </c>
      <c r="M3061" s="373" t="s">
        <v>214</v>
      </c>
      <c r="N3061" s="371" t="s">
        <v>346</v>
      </c>
      <c r="O3061" s="371" t="s">
        <v>509</v>
      </c>
      <c r="P3061" s="375">
        <v>18</v>
      </c>
      <c r="Q3061" s="375">
        <v>8</v>
      </c>
      <c r="R3061" s="376">
        <v>6.8100000000000001E-3</v>
      </c>
      <c r="S3061" s="371" t="s">
        <v>76</v>
      </c>
      <c r="T3061" s="371" t="s">
        <v>56</v>
      </c>
      <c r="U3061" s="371" t="s">
        <v>89</v>
      </c>
      <c r="V3061" s="377">
        <f>1900</f>
        <v>1900</v>
      </c>
      <c r="W3061" s="377">
        <f>1269</f>
        <v>1269</v>
      </c>
      <c r="X3061" s="378">
        <f>(2052+9306)/18</f>
        <v>631</v>
      </c>
      <c r="Y3061" s="379">
        <f t="shared" si="1396"/>
        <v>0</v>
      </c>
      <c r="Z3061" s="380">
        <f t="shared" si="1397"/>
        <v>0</v>
      </c>
      <c r="AA3061" s="380">
        <f t="shared" si="1389"/>
        <v>0</v>
      </c>
      <c r="AB3061" s="820">
        <v>1</v>
      </c>
      <c r="AC3061" s="377">
        <f t="shared" si="1398"/>
        <v>0</v>
      </c>
      <c r="AD3061" s="443"/>
      <c r="AE3061" s="210">
        <f t="shared" si="1399"/>
        <v>0</v>
      </c>
      <c r="AF3061" s="210">
        <f t="shared" si="1400"/>
        <v>0</v>
      </c>
      <c r="AG3061" s="211">
        <f t="shared" si="1401"/>
        <v>0.10100000000000001</v>
      </c>
      <c r="AH3061" s="157">
        <f t="shared" si="1402"/>
        <v>0</v>
      </c>
      <c r="AI3061" s="152">
        <f t="shared" si="1403"/>
        <v>34200</v>
      </c>
      <c r="AK3061" s="156" t="s">
        <v>691</v>
      </c>
      <c r="AL3061" s="156" t="s">
        <v>689</v>
      </c>
      <c r="AM3061" s="198">
        <f t="shared" si="1393"/>
        <v>0</v>
      </c>
      <c r="AN3061" s="199">
        <f t="shared" si="1394"/>
        <v>46057</v>
      </c>
      <c r="AO3061" s="159" t="s">
        <v>692</v>
      </c>
      <c r="AP3061" s="781"/>
      <c r="AQ3061" s="783" t="s">
        <v>631</v>
      </c>
      <c r="AR3061" s="782">
        <v>12038019</v>
      </c>
      <c r="AS3061" s="781"/>
      <c r="AT3061" s="800">
        <v>12096586</v>
      </c>
      <c r="AU3061" s="781"/>
      <c r="AV3061" s="800">
        <v>12096585</v>
      </c>
      <c r="AW3061" s="781"/>
      <c r="AX3061" s="781" t="s">
        <v>162</v>
      </c>
      <c r="AY3061" s="781"/>
      <c r="AZ3061" s="781"/>
      <c r="BA3061" s="781"/>
      <c r="BB3061" s="209">
        <v>23053184</v>
      </c>
    </row>
    <row r="3062" spans="1:54" ht="24.75" customHeight="1">
      <c r="B3062" s="295">
        <v>46057</v>
      </c>
      <c r="C3062" s="771" t="s">
        <v>2717</v>
      </c>
      <c r="D3062" s="185">
        <f t="shared" si="1383"/>
        <v>2026</v>
      </c>
      <c r="E3062" s="296" t="e">
        <f>VLOOKUP($B3062,Week!$A$1:$C$1462,2,0)</f>
        <v>#N/A</v>
      </c>
      <c r="F3062" s="297" t="str">
        <f t="shared" si="1384"/>
        <v>Feb</v>
      </c>
      <c r="G3062" s="648" t="s">
        <v>47</v>
      </c>
      <c r="H3062" s="298" t="s">
        <v>260</v>
      </c>
      <c r="I3062" s="298" t="s">
        <v>2702</v>
      </c>
      <c r="J3062" s="307" t="s">
        <v>2240</v>
      </c>
      <c r="K3062" s="300" t="s">
        <v>176</v>
      </c>
      <c r="L3062" s="300" t="s">
        <v>2167</v>
      </c>
      <c r="M3062" s="299" t="s">
        <v>2338</v>
      </c>
      <c r="N3062" s="298" t="s">
        <v>350</v>
      </c>
      <c r="O3062" s="298" t="s">
        <v>351</v>
      </c>
      <c r="P3062" s="301">
        <v>24</v>
      </c>
      <c r="Q3062" s="301">
        <v>5</v>
      </c>
      <c r="R3062" s="302">
        <v>6.1999999999999998E-3</v>
      </c>
      <c r="S3062" s="298" t="s">
        <v>352</v>
      </c>
      <c r="T3062" s="298" t="s">
        <v>56</v>
      </c>
      <c r="U3062" s="298" t="s">
        <v>57</v>
      </c>
      <c r="V3062" s="303">
        <v>2419</v>
      </c>
      <c r="W3062" s="303">
        <f>2419</f>
        <v>2419</v>
      </c>
      <c r="X3062" s="304"/>
      <c r="Y3062" s="305">
        <f t="shared" si="1396"/>
        <v>0</v>
      </c>
      <c r="Z3062" s="306">
        <f t="shared" si="1397"/>
        <v>0</v>
      </c>
      <c r="AA3062" s="306">
        <f t="shared" si="1389"/>
        <v>0</v>
      </c>
      <c r="AB3062" s="814">
        <v>7.4999999999999997E-3</v>
      </c>
      <c r="AC3062" s="303">
        <f t="shared" si="1398"/>
        <v>0</v>
      </c>
      <c r="AD3062" s="443"/>
      <c r="AE3062" s="210">
        <f t="shared" si="1399"/>
        <v>0</v>
      </c>
      <c r="AF3062" s="210">
        <f t="shared" si="1400"/>
        <v>0</v>
      </c>
      <c r="AG3062" s="211">
        <f t="shared" si="1401"/>
        <v>0.13</v>
      </c>
      <c r="AH3062" s="157">
        <f t="shared" si="1402"/>
        <v>0</v>
      </c>
      <c r="AI3062" s="152">
        <f t="shared" si="1403"/>
        <v>58056</v>
      </c>
      <c r="AK3062" s="156" t="s">
        <v>691</v>
      </c>
      <c r="AL3062" s="574" t="s">
        <v>690</v>
      </c>
      <c r="AM3062" s="198">
        <f t="shared" si="1393"/>
        <v>0</v>
      </c>
      <c r="AN3062" s="199">
        <f t="shared" si="1394"/>
        <v>46057</v>
      </c>
      <c r="AO3062" s="159" t="s">
        <v>692</v>
      </c>
      <c r="AP3062" s="783" t="s">
        <v>622</v>
      </c>
      <c r="AQ3062" s="782">
        <v>12071839</v>
      </c>
      <c r="AR3062" s="782">
        <v>12094356</v>
      </c>
      <c r="AS3062" s="782">
        <v>12068233</v>
      </c>
      <c r="AT3062" s="781"/>
      <c r="AU3062" s="781"/>
      <c r="AV3062" s="782">
        <v>12062075</v>
      </c>
      <c r="AW3062" s="781"/>
      <c r="AX3062" s="781"/>
      <c r="AY3062" s="782">
        <v>12094357</v>
      </c>
      <c r="AZ3062" s="782"/>
      <c r="BA3062" s="781"/>
      <c r="BB3062" s="209">
        <v>23053184</v>
      </c>
    </row>
    <row r="3063" spans="1:54" ht="25" customHeight="1">
      <c r="B3063" s="213">
        <v>46057</v>
      </c>
      <c r="C3063" s="214">
        <v>46064</v>
      </c>
      <c r="D3063" s="185">
        <f t="shared" si="1383"/>
        <v>2026</v>
      </c>
      <c r="E3063" s="215" t="e">
        <f>VLOOKUP($B3063,[1]Week!$A$1:$C$1462,2,0)</f>
        <v>#N/A</v>
      </c>
      <c r="F3063" s="216" t="str">
        <f t="shared" si="1384"/>
        <v>Feb</v>
      </c>
      <c r="G3063" s="215" t="s">
        <v>2742</v>
      </c>
      <c r="H3063" s="215" t="s">
        <v>134</v>
      </c>
      <c r="I3063" s="215" t="s">
        <v>2772</v>
      </c>
      <c r="J3063" s="209" t="s">
        <v>2932</v>
      </c>
      <c r="K3063" s="217" t="s">
        <v>176</v>
      </c>
      <c r="L3063" s="300" t="s">
        <v>2167</v>
      </c>
      <c r="M3063" s="209" t="s">
        <v>193</v>
      </c>
      <c r="N3063" s="215" t="s">
        <v>194</v>
      </c>
      <c r="O3063" s="215" t="s">
        <v>195</v>
      </c>
      <c r="P3063" s="218">
        <v>24</v>
      </c>
      <c r="Q3063" s="218">
        <v>5</v>
      </c>
      <c r="R3063" s="219">
        <v>8.0000000000000002E-3</v>
      </c>
      <c r="S3063" s="215" t="s">
        <v>40</v>
      </c>
      <c r="T3063" s="215" t="s">
        <v>56</v>
      </c>
      <c r="U3063" s="215" t="s">
        <v>57</v>
      </c>
      <c r="V3063" s="220">
        <f>200</f>
        <v>200</v>
      </c>
      <c r="W3063" s="220">
        <f>200</f>
        <v>200</v>
      </c>
      <c r="X3063" s="221"/>
      <c r="Y3063" s="222">
        <f t="shared" si="1396"/>
        <v>0</v>
      </c>
      <c r="Z3063" s="223">
        <f t="shared" si="1397"/>
        <v>0</v>
      </c>
      <c r="AA3063" s="220">
        <f t="shared" si="1389"/>
        <v>0</v>
      </c>
      <c r="AB3063" s="807">
        <v>1</v>
      </c>
      <c r="AC3063" s="220">
        <f t="shared" si="1398"/>
        <v>0</v>
      </c>
      <c r="AD3063" s="381"/>
      <c r="AE3063" s="210">
        <f t="shared" si="1399"/>
        <v>0</v>
      </c>
      <c r="AF3063" s="210">
        <f t="shared" si="1400"/>
        <v>0</v>
      </c>
      <c r="AG3063" s="211">
        <f t="shared" si="1401"/>
        <v>0.14499999999999999</v>
      </c>
      <c r="AH3063" s="157">
        <f t="shared" si="1402"/>
        <v>0</v>
      </c>
      <c r="AI3063" s="152">
        <f t="shared" si="1403"/>
        <v>4800</v>
      </c>
      <c r="AK3063" s="156" t="s">
        <v>691</v>
      </c>
      <c r="AL3063" s="212" t="s">
        <v>690</v>
      </c>
      <c r="AM3063" s="198">
        <f t="shared" si="1393"/>
        <v>0</v>
      </c>
      <c r="AN3063" s="199">
        <f t="shared" si="1394"/>
        <v>46057</v>
      </c>
      <c r="AO3063" s="159" t="s">
        <v>692</v>
      </c>
      <c r="AP3063" s="783" t="s">
        <v>610</v>
      </c>
      <c r="AQ3063" s="782">
        <v>12071839</v>
      </c>
      <c r="AR3063" s="782">
        <v>12047514</v>
      </c>
      <c r="AS3063" s="782">
        <v>12047515</v>
      </c>
      <c r="AT3063" s="782"/>
      <c r="AU3063" s="782">
        <v>12026902</v>
      </c>
      <c r="AV3063" s="782">
        <v>12054724</v>
      </c>
      <c r="AW3063" s="782">
        <v>12026904</v>
      </c>
      <c r="AX3063" s="782"/>
      <c r="AY3063" s="782">
        <v>12094406</v>
      </c>
      <c r="AZ3063" s="782">
        <v>12094407</v>
      </c>
      <c r="BA3063" s="782">
        <v>12094408</v>
      </c>
    </row>
    <row r="3064" spans="1:54" ht="25" customHeight="1">
      <c r="B3064" s="213">
        <v>46057</v>
      </c>
      <c r="C3064" s="214">
        <v>46064</v>
      </c>
      <c r="D3064" s="215">
        <f t="shared" si="1383"/>
        <v>2026</v>
      </c>
      <c r="E3064" s="214" t="e">
        <f>VLOOKUP($B3064,Week!$A$1:$C$1462,2,0)</f>
        <v>#N/A</v>
      </c>
      <c r="F3064" s="216" t="str">
        <f t="shared" si="1384"/>
        <v>Feb</v>
      </c>
      <c r="G3064" s="215" t="s">
        <v>2742</v>
      </c>
      <c r="H3064" s="215" t="s">
        <v>134</v>
      </c>
      <c r="I3064" s="215" t="s">
        <v>2772</v>
      </c>
      <c r="J3064" s="209" t="s">
        <v>2932</v>
      </c>
      <c r="K3064" s="217" t="s">
        <v>2534</v>
      </c>
      <c r="L3064" s="217" t="s">
        <v>2167</v>
      </c>
      <c r="M3064" s="209" t="s">
        <v>2235</v>
      </c>
      <c r="N3064" s="480" t="s">
        <v>2236</v>
      </c>
      <c r="O3064" s="215" t="s">
        <v>2233</v>
      </c>
      <c r="P3064" s="218">
        <v>24</v>
      </c>
      <c r="Q3064" s="218">
        <v>3</v>
      </c>
      <c r="R3064" s="219">
        <v>6.0000000000000001E-3</v>
      </c>
      <c r="S3064" s="215" t="s">
        <v>55</v>
      </c>
      <c r="T3064" s="215" t="s">
        <v>112</v>
      </c>
      <c r="U3064" s="852" t="s">
        <v>739</v>
      </c>
      <c r="V3064" s="220">
        <f>210</f>
        <v>210</v>
      </c>
      <c r="W3064" s="220">
        <v>210</v>
      </c>
      <c r="X3064" s="221"/>
      <c r="Y3064" s="222">
        <f t="shared" ref="Y3064:Y3069" si="1404">(W3064+X3064)-V3064</f>
        <v>0</v>
      </c>
      <c r="Z3064" s="223">
        <f t="shared" ref="Z3064:Z3069" si="1405">IF(Y3064&lt;0,((V3064*P3064)-((W3064+X3064)*P3064)),0)</f>
        <v>0</v>
      </c>
      <c r="AA3064" s="223">
        <f t="shared" ref="AA3064:AA3069" si="1406">Q3064*Z3064</f>
        <v>0</v>
      </c>
      <c r="AB3064" s="807">
        <v>2.4E-2</v>
      </c>
      <c r="AC3064" s="220">
        <f t="shared" ref="AC3064:AC3069" si="1407">Z3064*AB3064</f>
        <v>0</v>
      </c>
      <c r="AD3064" s="443"/>
      <c r="AE3064" s="210">
        <f t="shared" si="1399"/>
        <v>0</v>
      </c>
      <c r="AF3064" s="210">
        <f t="shared" si="1400"/>
        <v>0</v>
      </c>
      <c r="AG3064" s="211">
        <f t="shared" ref="AG3064:AG3069" si="1408">MID(O3064,1,3)/1000</f>
        <v>0.3</v>
      </c>
      <c r="AH3064" s="157">
        <v>0.26621999999999996</v>
      </c>
      <c r="AI3064" s="152">
        <f t="shared" ref="AI3064:AI3069" si="1409">V3064*P3064</f>
        <v>5040</v>
      </c>
      <c r="AK3064" s="156" t="s">
        <v>691</v>
      </c>
      <c r="AL3064" s="574" t="s">
        <v>690</v>
      </c>
      <c r="AM3064" s="198">
        <f t="shared" ref="AM3064:AM3069" si="1410">AG3064*Z3064</f>
        <v>0</v>
      </c>
      <c r="AN3064" s="199">
        <f t="shared" ref="AN3064:AN3069" si="1411">B3064</f>
        <v>46057</v>
      </c>
      <c r="AO3064" s="159" t="s">
        <v>692</v>
      </c>
      <c r="AP3064" s="781" t="s">
        <v>642</v>
      </c>
      <c r="AQ3064" s="782">
        <v>12063755</v>
      </c>
      <c r="AR3064" s="782">
        <v>12061353</v>
      </c>
      <c r="AS3064" s="782">
        <v>12061354</v>
      </c>
      <c r="AT3064" s="782"/>
      <c r="AU3064" s="783" t="s">
        <v>568</v>
      </c>
      <c r="AV3064" s="782">
        <v>12095301</v>
      </c>
      <c r="AW3064" s="783" t="s">
        <v>568</v>
      </c>
      <c r="AX3064" s="781"/>
      <c r="AY3064" s="796" t="s">
        <v>2460</v>
      </c>
      <c r="AZ3064" s="796" t="s">
        <v>2461</v>
      </c>
      <c r="BA3064" s="796" t="s">
        <v>2462</v>
      </c>
      <c r="BB3064" s="209">
        <v>23099860</v>
      </c>
    </row>
    <row r="3065" spans="1:54" ht="24.65" customHeight="1">
      <c r="A3065" s="142" t="s">
        <v>120</v>
      </c>
      <c r="B3065" s="383">
        <v>46058</v>
      </c>
      <c r="C3065" s="224">
        <v>46071</v>
      </c>
      <c r="D3065" s="185">
        <f t="shared" ref="D3065:D3100" si="1412">IF(B3065="","",YEAR(B3065))</f>
        <v>2026</v>
      </c>
      <c r="E3065" s="224" t="e">
        <f>VLOOKUP($B3065,Week!$A$1:$C$1462,2,0)</f>
        <v>#N/A</v>
      </c>
      <c r="F3065" s="226" t="str">
        <f t="shared" ref="F3065:F3100" si="1413">IF(B3065="","",TEXT(B3065,"[$-409]mmm"))</f>
        <v>Feb</v>
      </c>
      <c r="G3065" s="225" t="s">
        <v>2778</v>
      </c>
      <c r="H3065" s="225" t="s">
        <v>1259</v>
      </c>
      <c r="I3065" s="225" t="s">
        <v>2772</v>
      </c>
      <c r="J3065" s="227" t="s">
        <v>512</v>
      </c>
      <c r="K3065" s="228" t="s">
        <v>85</v>
      </c>
      <c r="L3065" s="390" t="s">
        <v>2166</v>
      </c>
      <c r="M3065" s="227" t="s">
        <v>165</v>
      </c>
      <c r="N3065" s="225" t="s">
        <v>700</v>
      </c>
      <c r="O3065" s="225" t="s">
        <v>287</v>
      </c>
      <c r="P3065" s="229">
        <v>40</v>
      </c>
      <c r="Q3065" s="229">
        <v>12</v>
      </c>
      <c r="R3065" s="230">
        <v>8.1300000000000001E-3</v>
      </c>
      <c r="S3065" s="225" t="s">
        <v>40</v>
      </c>
      <c r="T3065" s="225" t="s">
        <v>112</v>
      </c>
      <c r="U3065" s="225" t="s">
        <v>89</v>
      </c>
      <c r="V3065" s="231">
        <v>606</v>
      </c>
      <c r="W3065" s="231">
        <f>508</f>
        <v>508</v>
      </c>
      <c r="X3065" s="232">
        <f>(3920)/40</f>
        <v>98</v>
      </c>
      <c r="Y3065" s="233">
        <f t="shared" si="1404"/>
        <v>0</v>
      </c>
      <c r="Z3065" s="234">
        <f t="shared" si="1405"/>
        <v>0</v>
      </c>
      <c r="AA3065" s="234">
        <f t="shared" si="1406"/>
        <v>0</v>
      </c>
      <c r="AB3065" s="822">
        <v>2</v>
      </c>
      <c r="AC3065" s="231">
        <f t="shared" si="1407"/>
        <v>0</v>
      </c>
      <c r="AD3065" s="209"/>
      <c r="AE3065" s="210">
        <f t="shared" si="1399"/>
        <v>0</v>
      </c>
      <c r="AF3065" s="210">
        <f t="shared" si="1400"/>
        <v>0</v>
      </c>
      <c r="AG3065" s="211">
        <f t="shared" si="1408"/>
        <v>0.154</v>
      </c>
      <c r="AH3065" s="157">
        <f t="shared" ref="AH3065:AH3077" si="1414">(Z3065*AG3065)/1000</f>
        <v>0</v>
      </c>
      <c r="AI3065" s="152">
        <f t="shared" si="1409"/>
        <v>24240</v>
      </c>
      <c r="AK3065" s="156" t="s">
        <v>691</v>
      </c>
      <c r="AL3065" s="156" t="s">
        <v>689</v>
      </c>
      <c r="AM3065" s="198">
        <f t="shared" si="1410"/>
        <v>0</v>
      </c>
      <c r="AN3065" s="199">
        <f t="shared" si="1411"/>
        <v>46058</v>
      </c>
      <c r="AO3065" s="159" t="s">
        <v>692</v>
      </c>
      <c r="AP3065" s="781"/>
      <c r="AQ3065" s="782">
        <v>12071839</v>
      </c>
      <c r="AR3065" s="782">
        <v>12019692</v>
      </c>
      <c r="AS3065" s="782"/>
      <c r="AT3065" s="782">
        <v>12056457</v>
      </c>
      <c r="AU3065" s="782"/>
      <c r="AV3065" s="782">
        <v>12056565</v>
      </c>
      <c r="AW3065" s="782">
        <v>12034747</v>
      </c>
      <c r="AX3065" s="782" t="s">
        <v>398</v>
      </c>
      <c r="AY3065" s="782" t="s">
        <v>513</v>
      </c>
      <c r="AZ3065" s="782"/>
      <c r="BA3065" s="781"/>
      <c r="BB3065" s="209">
        <v>23053184</v>
      </c>
    </row>
    <row r="3066" spans="1:54" ht="24.75" customHeight="1">
      <c r="B3066" s="333">
        <v>46058</v>
      </c>
      <c r="C3066" s="333">
        <v>46065</v>
      </c>
      <c r="D3066" s="185">
        <f t="shared" si="1412"/>
        <v>2026</v>
      </c>
      <c r="E3066" s="335" t="e">
        <f>VLOOKUP($B3066,Week!$A$1:$C$1462,2,0)</f>
        <v>#N/A</v>
      </c>
      <c r="F3066" s="334" t="str">
        <f t="shared" si="1413"/>
        <v>Feb</v>
      </c>
      <c r="G3066" s="335" t="s">
        <v>2688</v>
      </c>
      <c r="H3066" s="335" t="s">
        <v>363</v>
      </c>
      <c r="I3066" s="335" t="s">
        <v>2772</v>
      </c>
      <c r="J3066" s="336" t="s">
        <v>364</v>
      </c>
      <c r="K3066" s="337" t="s">
        <v>176</v>
      </c>
      <c r="L3066" s="337" t="s">
        <v>2167</v>
      </c>
      <c r="M3066" s="382" t="s">
        <v>646</v>
      </c>
      <c r="N3066" s="335" t="s">
        <v>647</v>
      </c>
      <c r="O3066" s="335" t="s">
        <v>599</v>
      </c>
      <c r="P3066" s="338">
        <v>36</v>
      </c>
      <c r="Q3066" s="338">
        <v>5</v>
      </c>
      <c r="R3066" s="339">
        <v>8.0000000000000002E-3</v>
      </c>
      <c r="S3066" s="335" t="s">
        <v>40</v>
      </c>
      <c r="T3066" s="335" t="s">
        <v>112</v>
      </c>
      <c r="U3066" s="335" t="s">
        <v>57</v>
      </c>
      <c r="V3066" s="341">
        <f>1288</f>
        <v>1288</v>
      </c>
      <c r="W3066" s="341">
        <f>3+1285</f>
        <v>1288</v>
      </c>
      <c r="X3066" s="342"/>
      <c r="Y3066" s="343">
        <f t="shared" si="1404"/>
        <v>0</v>
      </c>
      <c r="Z3066" s="344">
        <f t="shared" si="1405"/>
        <v>0</v>
      </c>
      <c r="AA3066" s="344">
        <f t="shared" si="1406"/>
        <v>0</v>
      </c>
      <c r="AB3066" s="821">
        <v>7.4999999999999997E-3</v>
      </c>
      <c r="AC3066" s="341">
        <f t="shared" si="1407"/>
        <v>0</v>
      </c>
      <c r="AD3066" s="209"/>
      <c r="AE3066" s="210">
        <f t="shared" si="1399"/>
        <v>0</v>
      </c>
      <c r="AF3066" s="210">
        <f t="shared" si="1400"/>
        <v>0</v>
      </c>
      <c r="AG3066" s="211">
        <f t="shared" si="1408"/>
        <v>0.14799999999999999</v>
      </c>
      <c r="AH3066" s="157">
        <f t="shared" si="1414"/>
        <v>0</v>
      </c>
      <c r="AI3066" s="152">
        <f t="shared" si="1409"/>
        <v>46368</v>
      </c>
      <c r="AK3066" s="156" t="s">
        <v>691</v>
      </c>
      <c r="AL3066" s="574" t="s">
        <v>690</v>
      </c>
      <c r="AM3066" s="198">
        <f t="shared" si="1410"/>
        <v>0</v>
      </c>
      <c r="AN3066" s="199">
        <f t="shared" si="1411"/>
        <v>46058</v>
      </c>
      <c r="AO3066" s="159" t="s">
        <v>692</v>
      </c>
      <c r="AP3066" s="781"/>
      <c r="AQ3066" s="782">
        <v>12071839</v>
      </c>
      <c r="AR3066" s="782">
        <v>12047514</v>
      </c>
      <c r="AS3066" s="782">
        <v>12047515</v>
      </c>
      <c r="AT3066" s="782">
        <v>12084374</v>
      </c>
      <c r="AU3066" s="781"/>
      <c r="AV3066" s="782">
        <v>12084372</v>
      </c>
      <c r="AW3066" s="782">
        <v>12024404</v>
      </c>
      <c r="AX3066" s="782"/>
      <c r="AY3066" s="782">
        <v>12094311</v>
      </c>
      <c r="AZ3066" s="782"/>
      <c r="BA3066" s="781"/>
      <c r="BB3066" s="209">
        <v>23053185</v>
      </c>
    </row>
    <row r="3067" spans="1:54" ht="24.75" customHeight="1">
      <c r="B3067" s="333">
        <v>46058</v>
      </c>
      <c r="C3067" s="333">
        <v>46079</v>
      </c>
      <c r="D3067" s="185">
        <f t="shared" si="1412"/>
        <v>2026</v>
      </c>
      <c r="E3067" s="335" t="e">
        <f>VLOOKUP($B3067,Week!$A$1:$C$1462,2,0)</f>
        <v>#N/A</v>
      </c>
      <c r="F3067" s="334" t="str">
        <f t="shared" si="1413"/>
        <v>Feb</v>
      </c>
      <c r="G3067" s="335" t="s">
        <v>2689</v>
      </c>
      <c r="H3067" s="335" t="s">
        <v>363</v>
      </c>
      <c r="I3067" s="335" t="s">
        <v>2772</v>
      </c>
      <c r="J3067" s="336" t="s">
        <v>364</v>
      </c>
      <c r="K3067" s="337" t="s">
        <v>176</v>
      </c>
      <c r="L3067" s="337" t="s">
        <v>2167</v>
      </c>
      <c r="M3067" s="382" t="s">
        <v>646</v>
      </c>
      <c r="N3067" s="335" t="s">
        <v>647</v>
      </c>
      <c r="O3067" s="335" t="s">
        <v>599</v>
      </c>
      <c r="P3067" s="338">
        <v>36</v>
      </c>
      <c r="Q3067" s="338">
        <v>5</v>
      </c>
      <c r="R3067" s="339">
        <v>8.0000000000000002E-3</v>
      </c>
      <c r="S3067" s="335" t="s">
        <v>40</v>
      </c>
      <c r="T3067" s="335" t="s">
        <v>112</v>
      </c>
      <c r="U3067" s="335" t="s">
        <v>57</v>
      </c>
      <c r="V3067" s="341">
        <f>1288</f>
        <v>1288</v>
      </c>
      <c r="W3067" s="341">
        <f>2570-1285+1+2</f>
        <v>1288</v>
      </c>
      <c r="X3067" s="342"/>
      <c r="Y3067" s="343">
        <f t="shared" si="1404"/>
        <v>0</v>
      </c>
      <c r="Z3067" s="344">
        <f t="shared" si="1405"/>
        <v>0</v>
      </c>
      <c r="AA3067" s="344">
        <f t="shared" si="1406"/>
        <v>0</v>
      </c>
      <c r="AB3067" s="821">
        <v>7.4999999999999997E-3</v>
      </c>
      <c r="AC3067" s="341">
        <f t="shared" si="1407"/>
        <v>0</v>
      </c>
      <c r="AD3067" s="443"/>
      <c r="AE3067" s="210">
        <f t="shared" si="1399"/>
        <v>0</v>
      </c>
      <c r="AF3067" s="210">
        <f t="shared" si="1400"/>
        <v>0</v>
      </c>
      <c r="AG3067" s="211">
        <f t="shared" si="1408"/>
        <v>0.14799999999999999</v>
      </c>
      <c r="AH3067" s="157">
        <f t="shared" si="1414"/>
        <v>0</v>
      </c>
      <c r="AI3067" s="152">
        <f t="shared" si="1409"/>
        <v>46368</v>
      </c>
      <c r="AK3067" s="156" t="s">
        <v>691</v>
      </c>
      <c r="AL3067" s="574" t="s">
        <v>690</v>
      </c>
      <c r="AM3067" s="198">
        <f t="shared" si="1410"/>
        <v>0</v>
      </c>
      <c r="AN3067" s="199">
        <f t="shared" si="1411"/>
        <v>46058</v>
      </c>
      <c r="AO3067" s="159" t="s">
        <v>692</v>
      </c>
      <c r="AP3067" s="781"/>
      <c r="AQ3067" s="782">
        <v>12071839</v>
      </c>
      <c r="AR3067" s="782">
        <v>12047514</v>
      </c>
      <c r="AS3067" s="782">
        <v>12047515</v>
      </c>
      <c r="AT3067" s="782">
        <v>12084374</v>
      </c>
      <c r="AU3067" s="781"/>
      <c r="AV3067" s="782">
        <v>12084372</v>
      </c>
      <c r="AW3067" s="782">
        <v>12024404</v>
      </c>
      <c r="AX3067" s="782"/>
      <c r="AY3067" s="782">
        <v>12094311</v>
      </c>
      <c r="AZ3067" s="782"/>
      <c r="BA3067" s="781"/>
      <c r="BB3067" s="209">
        <v>23053185</v>
      </c>
    </row>
    <row r="3068" spans="1:54" ht="24.75" customHeight="1">
      <c r="B3068" s="295">
        <v>46058</v>
      </c>
      <c r="C3068" s="771" t="s">
        <v>2717</v>
      </c>
      <c r="D3068" s="185">
        <f t="shared" si="1412"/>
        <v>2026</v>
      </c>
      <c r="E3068" s="296" t="e">
        <f>VLOOKUP($B3068,Week!$A$1:$C$1462,2,0)</f>
        <v>#N/A</v>
      </c>
      <c r="F3068" s="297" t="str">
        <f t="shared" si="1413"/>
        <v>Feb</v>
      </c>
      <c r="G3068" s="648" t="s">
        <v>47</v>
      </c>
      <c r="H3068" s="298" t="s">
        <v>260</v>
      </c>
      <c r="I3068" s="298" t="s">
        <v>2702</v>
      </c>
      <c r="J3068" s="307" t="s">
        <v>2240</v>
      </c>
      <c r="K3068" s="300" t="s">
        <v>176</v>
      </c>
      <c r="L3068" s="300" t="s">
        <v>2167</v>
      </c>
      <c r="M3068" s="299" t="s">
        <v>2338</v>
      </c>
      <c r="N3068" s="298" t="s">
        <v>350</v>
      </c>
      <c r="O3068" s="298" t="s">
        <v>351</v>
      </c>
      <c r="P3068" s="301">
        <v>24</v>
      </c>
      <c r="Q3068" s="301">
        <v>5</v>
      </c>
      <c r="R3068" s="302">
        <v>6.1999999999999998E-3</v>
      </c>
      <c r="S3068" s="298" t="s">
        <v>352</v>
      </c>
      <c r="T3068" s="298" t="s">
        <v>56</v>
      </c>
      <c r="U3068" s="298" t="s">
        <v>57</v>
      </c>
      <c r="V3068" s="303">
        <f>3069-2419+17</f>
        <v>667</v>
      </c>
      <c r="W3068" s="303">
        <f>667</f>
        <v>667</v>
      </c>
      <c r="X3068" s="304"/>
      <c r="Y3068" s="305">
        <f t="shared" si="1404"/>
        <v>0</v>
      </c>
      <c r="Z3068" s="306">
        <f t="shared" si="1405"/>
        <v>0</v>
      </c>
      <c r="AA3068" s="306">
        <f t="shared" si="1406"/>
        <v>0</v>
      </c>
      <c r="AB3068" s="814">
        <v>7.4999999999999997E-3</v>
      </c>
      <c r="AC3068" s="303">
        <f t="shared" si="1407"/>
        <v>0</v>
      </c>
      <c r="AD3068" s="443"/>
      <c r="AE3068" s="210">
        <f t="shared" si="1399"/>
        <v>0</v>
      </c>
      <c r="AF3068" s="210">
        <f t="shared" si="1400"/>
        <v>0</v>
      </c>
      <c r="AG3068" s="211">
        <f t="shared" si="1408"/>
        <v>0.13</v>
      </c>
      <c r="AH3068" s="157">
        <f t="shared" si="1414"/>
        <v>0</v>
      </c>
      <c r="AI3068" s="152">
        <f t="shared" si="1409"/>
        <v>16008</v>
      </c>
      <c r="AK3068" s="156" t="s">
        <v>691</v>
      </c>
      <c r="AL3068" s="574" t="s">
        <v>690</v>
      </c>
      <c r="AM3068" s="198">
        <f t="shared" si="1410"/>
        <v>0</v>
      </c>
      <c r="AN3068" s="199">
        <f t="shared" si="1411"/>
        <v>46058</v>
      </c>
      <c r="AO3068" s="159" t="s">
        <v>692</v>
      </c>
      <c r="AP3068" s="783" t="s">
        <v>622</v>
      </c>
      <c r="AQ3068" s="782">
        <v>12071839</v>
      </c>
      <c r="AR3068" s="782">
        <v>12094356</v>
      </c>
      <c r="AS3068" s="782">
        <v>12068233</v>
      </c>
      <c r="AT3068" s="781"/>
      <c r="AU3068" s="781"/>
      <c r="AV3068" s="782">
        <v>12062075</v>
      </c>
      <c r="AW3068" s="781"/>
      <c r="AX3068" s="781"/>
      <c r="AY3068" s="782">
        <v>12094357</v>
      </c>
      <c r="AZ3068" s="782"/>
      <c r="BA3068" s="781"/>
      <c r="BB3068" s="209">
        <v>23053184</v>
      </c>
    </row>
    <row r="3069" spans="1:54" ht="24.65" customHeight="1">
      <c r="A3069" s="142" t="s">
        <v>120</v>
      </c>
      <c r="B3069" s="383">
        <v>46059</v>
      </c>
      <c r="C3069" s="224">
        <v>46072</v>
      </c>
      <c r="D3069" s="185">
        <f t="shared" si="1412"/>
        <v>2026</v>
      </c>
      <c r="E3069" s="224" t="e">
        <f>VLOOKUP($B3069,Week!$A$1:$C$1462,2,0)</f>
        <v>#N/A</v>
      </c>
      <c r="F3069" s="226" t="str">
        <f t="shared" si="1413"/>
        <v>Feb</v>
      </c>
      <c r="G3069" s="225" t="s">
        <v>2778</v>
      </c>
      <c r="H3069" s="225" t="s">
        <v>1259</v>
      </c>
      <c r="I3069" s="225" t="s">
        <v>2772</v>
      </c>
      <c r="J3069" s="227" t="s">
        <v>512</v>
      </c>
      <c r="K3069" s="228" t="s">
        <v>85</v>
      </c>
      <c r="L3069" s="390" t="s">
        <v>2166</v>
      </c>
      <c r="M3069" s="227" t="s">
        <v>165</v>
      </c>
      <c r="N3069" s="225" t="s">
        <v>700</v>
      </c>
      <c r="O3069" s="225" t="s">
        <v>287</v>
      </c>
      <c r="P3069" s="229">
        <v>40</v>
      </c>
      <c r="Q3069" s="229">
        <v>12</v>
      </c>
      <c r="R3069" s="230">
        <v>8.1300000000000001E-3</v>
      </c>
      <c r="S3069" s="225" t="s">
        <v>40</v>
      </c>
      <c r="T3069" s="225" t="s">
        <v>112</v>
      </c>
      <c r="U3069" s="225" t="s">
        <v>89</v>
      </c>
      <c r="V3069" s="231">
        <f>1624-430-606</f>
        <v>588</v>
      </c>
      <c r="W3069" s="231">
        <f>588</f>
        <v>588</v>
      </c>
      <c r="X3069" s="232">
        <f>(160+280)/40</f>
        <v>11</v>
      </c>
      <c r="Y3069" s="233">
        <f t="shared" si="1404"/>
        <v>11</v>
      </c>
      <c r="Z3069" s="234">
        <f t="shared" si="1405"/>
        <v>0</v>
      </c>
      <c r="AA3069" s="234">
        <f t="shared" si="1406"/>
        <v>0</v>
      </c>
      <c r="AB3069" s="822">
        <v>2</v>
      </c>
      <c r="AC3069" s="231">
        <f t="shared" si="1407"/>
        <v>0</v>
      </c>
      <c r="AD3069" s="209"/>
      <c r="AE3069" s="210">
        <f t="shared" si="1399"/>
        <v>0</v>
      </c>
      <c r="AF3069" s="210">
        <f t="shared" si="1400"/>
        <v>0</v>
      </c>
      <c r="AG3069" s="211">
        <f t="shared" si="1408"/>
        <v>0.154</v>
      </c>
      <c r="AH3069" s="157">
        <f t="shared" si="1414"/>
        <v>0</v>
      </c>
      <c r="AI3069" s="152">
        <f t="shared" si="1409"/>
        <v>23520</v>
      </c>
      <c r="AK3069" s="156" t="s">
        <v>691</v>
      </c>
      <c r="AL3069" s="156" t="s">
        <v>689</v>
      </c>
      <c r="AM3069" s="198">
        <f t="shared" si="1410"/>
        <v>0</v>
      </c>
      <c r="AN3069" s="199">
        <f t="shared" si="1411"/>
        <v>46059</v>
      </c>
      <c r="AO3069" s="159" t="s">
        <v>692</v>
      </c>
      <c r="AP3069" s="781"/>
      <c r="AQ3069" s="782">
        <v>12071839</v>
      </c>
      <c r="AR3069" s="782">
        <v>12019692</v>
      </c>
      <c r="AS3069" s="782"/>
      <c r="AT3069" s="782">
        <v>12056457</v>
      </c>
      <c r="AU3069" s="782"/>
      <c r="AV3069" s="782">
        <v>12056565</v>
      </c>
      <c r="AW3069" s="782">
        <v>12034747</v>
      </c>
      <c r="AX3069" s="782" t="s">
        <v>398</v>
      </c>
      <c r="AY3069" s="782" t="s">
        <v>513</v>
      </c>
      <c r="AZ3069" s="782"/>
      <c r="BA3069" s="781"/>
      <c r="BB3069" s="209">
        <v>23053184</v>
      </c>
    </row>
    <row r="3070" spans="1:54" ht="24.75" customHeight="1">
      <c r="B3070" s="295">
        <v>46059</v>
      </c>
      <c r="C3070" s="771" t="s">
        <v>2717</v>
      </c>
      <c r="D3070" s="185">
        <f t="shared" si="1412"/>
        <v>2026</v>
      </c>
      <c r="E3070" s="296" t="e">
        <f>VLOOKUP($B3070,Week!$A$1:$C$1462,2,0)</f>
        <v>#N/A</v>
      </c>
      <c r="F3070" s="297" t="str">
        <f t="shared" si="1413"/>
        <v>Feb</v>
      </c>
      <c r="G3070" s="648" t="s">
        <v>47</v>
      </c>
      <c r="H3070" s="298" t="s">
        <v>260</v>
      </c>
      <c r="I3070" s="298" t="s">
        <v>2702</v>
      </c>
      <c r="J3070" s="307" t="s">
        <v>2240</v>
      </c>
      <c r="K3070" s="300" t="s">
        <v>176</v>
      </c>
      <c r="L3070" s="300" t="s">
        <v>2167</v>
      </c>
      <c r="M3070" s="299" t="s">
        <v>2338</v>
      </c>
      <c r="N3070" s="298" t="s">
        <v>350</v>
      </c>
      <c r="O3070" s="298" t="s">
        <v>351</v>
      </c>
      <c r="P3070" s="301">
        <v>24</v>
      </c>
      <c r="Q3070" s="301">
        <v>5</v>
      </c>
      <c r="R3070" s="302">
        <v>6.1999999999999998E-3</v>
      </c>
      <c r="S3070" s="298" t="s">
        <v>352</v>
      </c>
      <c r="T3070" s="298" t="s">
        <v>56</v>
      </c>
      <c r="U3070" s="298" t="s">
        <v>57</v>
      </c>
      <c r="V3070" s="303">
        <v>2077</v>
      </c>
      <c r="W3070" s="303">
        <f>2077</f>
        <v>2077</v>
      </c>
      <c r="X3070" s="304"/>
      <c r="Y3070" s="305">
        <f t="shared" ref="Y3070:Y3077" si="1415">(W3070+X3070)-V3070</f>
        <v>0</v>
      </c>
      <c r="Z3070" s="306">
        <f t="shared" ref="Z3070:Z3077" si="1416">IF(Y3070&lt;0,((V3070*P3070)-((W3070+X3070)*P3070)),0)</f>
        <v>0</v>
      </c>
      <c r="AA3070" s="306">
        <f t="shared" ref="AA3070:AA3114" si="1417">Q3070*Z3070</f>
        <v>0</v>
      </c>
      <c r="AB3070" s="814">
        <v>7.4999999999999997E-3</v>
      </c>
      <c r="AC3070" s="303">
        <f t="shared" ref="AC3070:AC3077" si="1418">Z3070*AB3070</f>
        <v>0</v>
      </c>
      <c r="AD3070" s="443"/>
      <c r="AE3070" s="210">
        <f t="shared" si="1399"/>
        <v>0</v>
      </c>
      <c r="AF3070" s="210">
        <f t="shared" si="1400"/>
        <v>0</v>
      </c>
      <c r="AG3070" s="211">
        <f>MID(O3070,1,3)/1000</f>
        <v>0.13</v>
      </c>
      <c r="AH3070" s="157">
        <f t="shared" si="1414"/>
        <v>0</v>
      </c>
      <c r="AI3070" s="152">
        <f>V3070*P3070</f>
        <v>49848</v>
      </c>
      <c r="AK3070" s="156" t="s">
        <v>691</v>
      </c>
      <c r="AL3070" s="574" t="s">
        <v>690</v>
      </c>
      <c r="AM3070" s="198">
        <f t="shared" ref="AM3070:AM3114" si="1419">AG3070*Z3070</f>
        <v>0</v>
      </c>
      <c r="AN3070" s="199">
        <f t="shared" ref="AN3070:AN3114" si="1420">B3070</f>
        <v>46059</v>
      </c>
      <c r="AO3070" s="159" t="s">
        <v>692</v>
      </c>
      <c r="AP3070" s="783" t="s">
        <v>622</v>
      </c>
      <c r="AQ3070" s="782">
        <v>12071839</v>
      </c>
      <c r="AR3070" s="782">
        <v>12094356</v>
      </c>
      <c r="AS3070" s="782">
        <v>12068233</v>
      </c>
      <c r="AT3070" s="781"/>
      <c r="AU3070" s="781"/>
      <c r="AV3070" s="782">
        <v>12062075</v>
      </c>
      <c r="AW3070" s="781"/>
      <c r="AX3070" s="781"/>
      <c r="AY3070" s="782">
        <v>12094357</v>
      </c>
      <c r="AZ3070" s="782"/>
      <c r="BA3070" s="781"/>
      <c r="BB3070" s="209">
        <v>23053184</v>
      </c>
    </row>
    <row r="3071" spans="1:54" ht="24.75" customHeight="1">
      <c r="B3071" s="358">
        <v>46059</v>
      </c>
      <c r="C3071" s="358">
        <v>46077</v>
      </c>
      <c r="D3071" s="359">
        <f t="shared" si="1412"/>
        <v>2026</v>
      </c>
      <c r="E3071" s="359" t="e">
        <f>VLOOKUP($B3071,Week!$A$1:$C$1462,2,0)</f>
        <v>#N/A</v>
      </c>
      <c r="F3071" s="360" t="str">
        <f t="shared" si="1413"/>
        <v>Feb</v>
      </c>
      <c r="G3071" s="359" t="s">
        <v>2720</v>
      </c>
      <c r="H3071" s="359" t="s">
        <v>424</v>
      </c>
      <c r="I3071" s="359" t="s">
        <v>2772</v>
      </c>
      <c r="J3071" s="361" t="s">
        <v>535</v>
      </c>
      <c r="K3071" s="362" t="s">
        <v>1648</v>
      </c>
      <c r="L3071" s="362" t="s">
        <v>2167</v>
      </c>
      <c r="M3071" s="904" t="s">
        <v>2725</v>
      </c>
      <c r="N3071" s="359" t="s">
        <v>2726</v>
      </c>
      <c r="O3071" s="359" t="s">
        <v>2253</v>
      </c>
      <c r="P3071" s="363">
        <v>8</v>
      </c>
      <c r="Q3071" s="363">
        <v>5</v>
      </c>
      <c r="R3071" s="364">
        <v>6.8100000000000001E-3</v>
      </c>
      <c r="S3071" s="359" t="s">
        <v>40</v>
      </c>
      <c r="T3071" s="359" t="s">
        <v>112</v>
      </c>
      <c r="U3071" s="436" t="s">
        <v>1894</v>
      </c>
      <c r="V3071" s="365">
        <f>500</f>
        <v>500</v>
      </c>
      <c r="W3071" s="365"/>
      <c r="X3071" s="366">
        <f>(4587)/8</f>
        <v>573.375</v>
      </c>
      <c r="Y3071" s="367">
        <f t="shared" si="1415"/>
        <v>73.375</v>
      </c>
      <c r="Z3071" s="368">
        <f t="shared" si="1416"/>
        <v>0</v>
      </c>
      <c r="AA3071" s="368">
        <f t="shared" si="1417"/>
        <v>0</v>
      </c>
      <c r="AB3071" s="903">
        <v>7.4999999999999997E-3</v>
      </c>
      <c r="AC3071" s="365">
        <f t="shared" si="1418"/>
        <v>0</v>
      </c>
      <c r="AD3071" s="307" t="s">
        <v>2354</v>
      </c>
      <c r="AE3071" s="210">
        <f t="shared" si="1399"/>
        <v>0</v>
      </c>
      <c r="AF3071" s="210">
        <f t="shared" si="1400"/>
        <v>0</v>
      </c>
      <c r="AG3071" s="211">
        <f>MID(O3071,1,3)/1000</f>
        <v>0.14699999999999999</v>
      </c>
      <c r="AH3071" s="157">
        <f t="shared" si="1414"/>
        <v>0</v>
      </c>
      <c r="AI3071" s="152">
        <f>V3071*P3071</f>
        <v>4000</v>
      </c>
      <c r="AK3071" s="156" t="s">
        <v>691</v>
      </c>
      <c r="AL3071" s="574" t="s">
        <v>690</v>
      </c>
      <c r="AM3071" s="198">
        <f t="shared" si="1419"/>
        <v>0</v>
      </c>
      <c r="AN3071" s="199">
        <f t="shared" si="1420"/>
        <v>46059</v>
      </c>
      <c r="AO3071" s="159" t="s">
        <v>692</v>
      </c>
      <c r="AP3071" s="781"/>
      <c r="AQ3071" s="782">
        <v>12071839</v>
      </c>
      <c r="AR3071" s="782">
        <v>12080260</v>
      </c>
      <c r="AS3071" s="782">
        <v>12080259</v>
      </c>
      <c r="AT3071" s="782">
        <v>12097454</v>
      </c>
      <c r="AU3071" s="781"/>
      <c r="AV3071" s="782">
        <v>12097455</v>
      </c>
      <c r="AW3071" s="782"/>
      <c r="AX3071" s="782"/>
      <c r="AY3071" s="782"/>
      <c r="AZ3071" s="782"/>
      <c r="BA3071" s="781"/>
      <c r="BB3071" s="209">
        <v>23053185</v>
      </c>
    </row>
    <row r="3072" spans="1:54" ht="24.75" customHeight="1">
      <c r="B3072" s="358">
        <v>46059</v>
      </c>
      <c r="C3072" s="358">
        <v>46077</v>
      </c>
      <c r="D3072" s="359">
        <f t="shared" si="1412"/>
        <v>2026</v>
      </c>
      <c r="E3072" s="359" t="e">
        <f>VLOOKUP($B3072,Week!$A$1:$C$1462,2,0)</f>
        <v>#N/A</v>
      </c>
      <c r="F3072" s="360" t="str">
        <f t="shared" si="1413"/>
        <v>Feb</v>
      </c>
      <c r="G3072" s="359" t="s">
        <v>2720</v>
      </c>
      <c r="H3072" s="359" t="s">
        <v>424</v>
      </c>
      <c r="I3072" s="359" t="s">
        <v>2772</v>
      </c>
      <c r="J3072" s="361" t="s">
        <v>535</v>
      </c>
      <c r="K3072" s="362" t="s">
        <v>2721</v>
      </c>
      <c r="L3072" s="362" t="s">
        <v>2167</v>
      </c>
      <c r="M3072" s="361" t="s">
        <v>2722</v>
      </c>
      <c r="N3072" s="359" t="s">
        <v>2723</v>
      </c>
      <c r="O3072" s="359" t="s">
        <v>2724</v>
      </c>
      <c r="P3072" s="363">
        <v>8</v>
      </c>
      <c r="Q3072" s="363">
        <v>5</v>
      </c>
      <c r="R3072" s="364">
        <v>6.8100000000000001E-3</v>
      </c>
      <c r="S3072" s="359" t="s">
        <v>40</v>
      </c>
      <c r="T3072" s="359" t="s">
        <v>112</v>
      </c>
      <c r="U3072" s="436" t="s">
        <v>1894</v>
      </c>
      <c r="V3072" s="365">
        <f>500</f>
        <v>500</v>
      </c>
      <c r="W3072" s="365"/>
      <c r="X3072" s="366">
        <f>(4559)/8</f>
        <v>569.875</v>
      </c>
      <c r="Y3072" s="367">
        <f t="shared" si="1415"/>
        <v>69.875</v>
      </c>
      <c r="Z3072" s="368">
        <f t="shared" si="1416"/>
        <v>0</v>
      </c>
      <c r="AA3072" s="368">
        <f t="shared" si="1417"/>
        <v>0</v>
      </c>
      <c r="AB3072" s="903">
        <v>3.8699999999999998E-2</v>
      </c>
      <c r="AC3072" s="365">
        <f t="shared" si="1418"/>
        <v>0</v>
      </c>
      <c r="AD3072" s="307" t="s">
        <v>2354</v>
      </c>
      <c r="AE3072" s="210">
        <f t="shared" si="1399"/>
        <v>0</v>
      </c>
      <c r="AF3072" s="210">
        <f t="shared" si="1400"/>
        <v>0</v>
      </c>
      <c r="AG3072" s="211">
        <f>MID(O3072,1,3)/1000</f>
        <v>0.307</v>
      </c>
      <c r="AH3072" s="157">
        <f t="shared" si="1414"/>
        <v>0</v>
      </c>
      <c r="AI3072" s="152">
        <f>V3072*P3072</f>
        <v>4000</v>
      </c>
      <c r="AK3072" s="156" t="s">
        <v>691</v>
      </c>
      <c r="AL3072" s="574" t="s">
        <v>690</v>
      </c>
      <c r="AM3072" s="198">
        <f t="shared" si="1419"/>
        <v>0</v>
      </c>
      <c r="AN3072" s="199">
        <f t="shared" si="1420"/>
        <v>46059</v>
      </c>
      <c r="AO3072" s="159" t="s">
        <v>692</v>
      </c>
      <c r="AP3072" s="781"/>
      <c r="AQ3072" s="782">
        <v>12063755</v>
      </c>
      <c r="AR3072" s="782">
        <v>12081257</v>
      </c>
      <c r="AS3072" s="782">
        <v>12081260</v>
      </c>
      <c r="AT3072" s="782">
        <v>12097456</v>
      </c>
      <c r="AU3072" s="781"/>
      <c r="AV3072" s="782">
        <v>12097457</v>
      </c>
      <c r="AW3072" s="782"/>
      <c r="AX3072" s="782"/>
      <c r="AY3072" s="782"/>
      <c r="AZ3072" s="782"/>
      <c r="BA3072" s="781"/>
      <c r="BB3072" s="209">
        <v>23053185</v>
      </c>
    </row>
    <row r="3073" spans="1:54" ht="25" customHeight="1">
      <c r="B3073" s="258">
        <v>46059</v>
      </c>
      <c r="C3073" s="259">
        <v>46091</v>
      </c>
      <c r="D3073" s="185">
        <f t="shared" si="1412"/>
        <v>2026</v>
      </c>
      <c r="E3073" s="259" t="e">
        <f>VLOOKUP($B3073,Week!$A$1:$C$1462,2,0)</f>
        <v>#N/A</v>
      </c>
      <c r="F3073" s="261" t="str">
        <f t="shared" si="1413"/>
        <v>Feb</v>
      </c>
      <c r="G3073" s="260" t="s">
        <v>2618</v>
      </c>
      <c r="H3073" s="260" t="s">
        <v>697</v>
      </c>
      <c r="I3073" s="260" t="s">
        <v>2772</v>
      </c>
      <c r="J3073" s="263" t="s">
        <v>653</v>
      </c>
      <c r="K3073" s="264" t="s">
        <v>1646</v>
      </c>
      <c r="L3073" s="300" t="s">
        <v>2167</v>
      </c>
      <c r="M3073" s="263" t="s">
        <v>654</v>
      </c>
      <c r="N3073" s="260" t="s">
        <v>656</v>
      </c>
      <c r="O3073" s="260" t="s">
        <v>655</v>
      </c>
      <c r="P3073" s="265">
        <v>24</v>
      </c>
      <c r="Q3073" s="265">
        <v>5</v>
      </c>
      <c r="R3073" s="266">
        <v>7.4999999999999997E-3</v>
      </c>
      <c r="S3073" s="260" t="s">
        <v>40</v>
      </c>
      <c r="T3073" s="260" t="s">
        <v>112</v>
      </c>
      <c r="U3073" s="621" t="s">
        <v>1894</v>
      </c>
      <c r="V3073" s="267">
        <f>924</f>
        <v>924</v>
      </c>
      <c r="W3073" s="267">
        <f>924</f>
        <v>924</v>
      </c>
      <c r="X3073" s="268"/>
      <c r="Y3073" s="269">
        <f t="shared" si="1415"/>
        <v>0</v>
      </c>
      <c r="Z3073" s="270">
        <f t="shared" si="1416"/>
        <v>0</v>
      </c>
      <c r="AA3073" s="270">
        <f t="shared" si="1417"/>
        <v>0</v>
      </c>
      <c r="AB3073" s="811">
        <v>3.8699999999999998E-2</v>
      </c>
      <c r="AC3073" s="267">
        <f t="shared" si="1418"/>
        <v>0</v>
      </c>
      <c r="AD3073" s="307" t="s">
        <v>2619</v>
      </c>
      <c r="AE3073" s="210">
        <f t="shared" si="1399"/>
        <v>0</v>
      </c>
      <c r="AF3073" s="210">
        <f t="shared" si="1400"/>
        <v>0</v>
      </c>
      <c r="AG3073" s="211">
        <f>MID(O3073,1,3)/1000</f>
        <v>0.307</v>
      </c>
      <c r="AH3073" s="157">
        <f t="shared" si="1414"/>
        <v>0</v>
      </c>
      <c r="AI3073" s="152">
        <f>V3073*P3073</f>
        <v>22176</v>
      </c>
      <c r="AK3073" s="156" t="s">
        <v>691</v>
      </c>
      <c r="AL3073" s="212" t="s">
        <v>690</v>
      </c>
      <c r="AM3073" s="198">
        <f t="shared" si="1419"/>
        <v>0</v>
      </c>
      <c r="AN3073" s="199">
        <f t="shared" si="1420"/>
        <v>46059</v>
      </c>
      <c r="AO3073" s="159" t="s">
        <v>692</v>
      </c>
      <c r="AP3073" s="781" t="s">
        <v>642</v>
      </c>
      <c r="AQ3073" s="782">
        <v>12063755</v>
      </c>
      <c r="AR3073" s="782">
        <v>12081257</v>
      </c>
      <c r="AS3073" s="782">
        <v>12081260</v>
      </c>
      <c r="AT3073" s="782">
        <v>12094048</v>
      </c>
      <c r="AU3073" s="781"/>
      <c r="AV3073" s="782">
        <v>12084608</v>
      </c>
      <c r="AW3073" s="782">
        <v>12068154</v>
      </c>
      <c r="AX3073" s="782"/>
      <c r="AY3073" s="782">
        <v>12094049</v>
      </c>
      <c r="AZ3073" s="782"/>
      <c r="BA3073" s="781"/>
      <c r="BB3073" s="209">
        <v>23105470</v>
      </c>
    </row>
    <row r="3074" spans="1:54" ht="24.75" customHeight="1">
      <c r="B3074" s="295">
        <v>46060</v>
      </c>
      <c r="C3074" s="771" t="s">
        <v>2717</v>
      </c>
      <c r="D3074" s="185">
        <f t="shared" si="1412"/>
        <v>2026</v>
      </c>
      <c r="E3074" s="296" t="e">
        <f>VLOOKUP($B3074,Week!$A$1:$C$1462,2,0)</f>
        <v>#N/A</v>
      </c>
      <c r="F3074" s="297" t="str">
        <f t="shared" si="1413"/>
        <v>Feb</v>
      </c>
      <c r="G3074" s="648" t="s">
        <v>47</v>
      </c>
      <c r="H3074" s="298" t="s">
        <v>260</v>
      </c>
      <c r="I3074" s="298" t="s">
        <v>2702</v>
      </c>
      <c r="J3074" s="307" t="s">
        <v>2240</v>
      </c>
      <c r="K3074" s="300" t="s">
        <v>176</v>
      </c>
      <c r="L3074" s="300" t="s">
        <v>2167</v>
      </c>
      <c r="M3074" s="299" t="s">
        <v>2338</v>
      </c>
      <c r="N3074" s="298" t="s">
        <v>350</v>
      </c>
      <c r="O3074" s="298" t="s">
        <v>351</v>
      </c>
      <c r="P3074" s="301">
        <v>24</v>
      </c>
      <c r="Q3074" s="301">
        <v>5</v>
      </c>
      <c r="R3074" s="302">
        <v>6.1999999999999998E-3</v>
      </c>
      <c r="S3074" s="298" t="s">
        <v>352</v>
      </c>
      <c r="T3074" s="298" t="s">
        <v>56</v>
      </c>
      <c r="U3074" s="298" t="s">
        <v>57</v>
      </c>
      <c r="V3074" s="303">
        <v>5543</v>
      </c>
      <c r="W3074" s="303">
        <f>5543</f>
        <v>5543</v>
      </c>
      <c r="X3074" s="304"/>
      <c r="Y3074" s="305">
        <f t="shared" si="1415"/>
        <v>0</v>
      </c>
      <c r="Z3074" s="306">
        <f t="shared" si="1416"/>
        <v>0</v>
      </c>
      <c r="AA3074" s="306">
        <f t="shared" si="1417"/>
        <v>0</v>
      </c>
      <c r="AB3074" s="814">
        <v>7.4999999999999997E-3</v>
      </c>
      <c r="AC3074" s="303">
        <f t="shared" si="1418"/>
        <v>0</v>
      </c>
      <c r="AD3074" s="443"/>
      <c r="AE3074" s="210">
        <f t="shared" si="1399"/>
        <v>0</v>
      </c>
      <c r="AF3074" s="210">
        <f t="shared" si="1400"/>
        <v>0</v>
      </c>
      <c r="AG3074" s="211">
        <f>MID(O3074,1,3)/1000</f>
        <v>0.13</v>
      </c>
      <c r="AH3074" s="157">
        <f t="shared" si="1414"/>
        <v>0</v>
      </c>
      <c r="AI3074" s="152">
        <f>V3074*P3074</f>
        <v>133032</v>
      </c>
      <c r="AK3074" s="156" t="s">
        <v>691</v>
      </c>
      <c r="AL3074" s="574" t="s">
        <v>690</v>
      </c>
      <c r="AM3074" s="198">
        <f t="shared" si="1419"/>
        <v>0</v>
      </c>
      <c r="AN3074" s="199">
        <f t="shared" si="1420"/>
        <v>46060</v>
      </c>
      <c r="AO3074" s="159" t="s">
        <v>692</v>
      </c>
      <c r="AP3074" s="783" t="s">
        <v>622</v>
      </c>
      <c r="AQ3074" s="782">
        <v>12071839</v>
      </c>
      <c r="AR3074" s="782">
        <v>12094356</v>
      </c>
      <c r="AS3074" s="782">
        <v>12068233</v>
      </c>
      <c r="AT3074" s="781"/>
      <c r="AU3074" s="781"/>
      <c r="AV3074" s="782">
        <v>12062075</v>
      </c>
      <c r="AW3074" s="781"/>
      <c r="AX3074" s="781"/>
      <c r="AY3074" s="782">
        <v>12094357</v>
      </c>
      <c r="AZ3074" s="782"/>
      <c r="BA3074" s="781"/>
      <c r="BB3074" s="209">
        <v>23053184</v>
      </c>
    </row>
    <row r="3075" spans="1:54" ht="25" customHeight="1">
      <c r="B3075" s="546">
        <v>46060</v>
      </c>
      <c r="C3075" s="547">
        <v>46077</v>
      </c>
      <c r="D3075" s="185">
        <f t="shared" si="1412"/>
        <v>2026</v>
      </c>
      <c r="E3075" s="547" t="e">
        <f>VLOOKUP($B3075,Week!$A$1:$C$1462,2,0)</f>
        <v>#N/A</v>
      </c>
      <c r="F3075" s="548" t="str">
        <f t="shared" si="1413"/>
        <v>Feb</v>
      </c>
      <c r="G3075" s="575" t="s">
        <v>2720</v>
      </c>
      <c r="H3075" s="575" t="s">
        <v>424</v>
      </c>
      <c r="I3075" s="575" t="s">
        <v>2772</v>
      </c>
      <c r="J3075" s="576" t="s">
        <v>535</v>
      </c>
      <c r="K3075" s="577" t="s">
        <v>176</v>
      </c>
      <c r="L3075" s="300" t="s">
        <v>2167</v>
      </c>
      <c r="M3075" s="576" t="s">
        <v>536</v>
      </c>
      <c r="N3075" s="575" t="s">
        <v>537</v>
      </c>
      <c r="O3075" s="575" t="s">
        <v>187</v>
      </c>
      <c r="P3075" s="552">
        <v>8</v>
      </c>
      <c r="Q3075" s="552">
        <v>5</v>
      </c>
      <c r="R3075" s="553">
        <v>7.4999999999999997E-3</v>
      </c>
      <c r="S3075" s="575" t="s">
        <v>111</v>
      </c>
      <c r="T3075" s="575" t="s">
        <v>112</v>
      </c>
      <c r="U3075" s="575" t="s">
        <v>57</v>
      </c>
      <c r="V3075" s="554">
        <f>400</f>
        <v>400</v>
      </c>
      <c r="W3075" s="554"/>
      <c r="X3075" s="555">
        <f>(2811+389)/8</f>
        <v>400</v>
      </c>
      <c r="Y3075" s="556">
        <f t="shared" si="1415"/>
        <v>0</v>
      </c>
      <c r="Z3075" s="557">
        <f t="shared" si="1416"/>
        <v>0</v>
      </c>
      <c r="AA3075" s="557">
        <f t="shared" si="1417"/>
        <v>0</v>
      </c>
      <c r="AB3075" s="833">
        <v>7.4999999999999997E-3</v>
      </c>
      <c r="AC3075" s="554">
        <f t="shared" si="1418"/>
        <v>0</v>
      </c>
      <c r="AD3075" s="307" t="s">
        <v>2354</v>
      </c>
      <c r="AE3075" s="210"/>
      <c r="AF3075" s="210"/>
      <c r="AG3075" s="211">
        <v>0.14499999999999999</v>
      </c>
      <c r="AH3075" s="157">
        <f t="shared" si="1414"/>
        <v>0</v>
      </c>
      <c r="AI3075" s="152">
        <v>19800</v>
      </c>
      <c r="AK3075" s="156" t="s">
        <v>691</v>
      </c>
      <c r="AL3075" s="212" t="s">
        <v>690</v>
      </c>
      <c r="AM3075" s="198">
        <f t="shared" si="1419"/>
        <v>0</v>
      </c>
      <c r="AN3075" s="199">
        <f t="shared" si="1420"/>
        <v>46060</v>
      </c>
      <c r="AO3075" s="159" t="s">
        <v>692</v>
      </c>
      <c r="AP3075" s="781"/>
      <c r="AQ3075" s="782">
        <v>12071839</v>
      </c>
      <c r="AR3075" s="782">
        <v>12080260</v>
      </c>
      <c r="AS3075" s="782">
        <v>12080259</v>
      </c>
      <c r="AT3075" s="782">
        <v>12096465</v>
      </c>
      <c r="AU3075" s="782"/>
      <c r="AV3075" s="782">
        <v>12098093</v>
      </c>
      <c r="AW3075" s="781"/>
      <c r="AX3075" s="781"/>
      <c r="AY3075" s="782">
        <v>12054938</v>
      </c>
      <c r="AZ3075" s="781"/>
      <c r="BA3075" s="781"/>
    </row>
    <row r="3076" spans="1:54" ht="24.75" customHeight="1">
      <c r="B3076" s="358">
        <v>46060</v>
      </c>
      <c r="C3076" s="358">
        <v>46077</v>
      </c>
      <c r="D3076" s="359">
        <f t="shared" si="1412"/>
        <v>2026</v>
      </c>
      <c r="E3076" s="359" t="e">
        <f>VLOOKUP($B3076,Week!$A$1:$C$1462,2,0)</f>
        <v>#N/A</v>
      </c>
      <c r="F3076" s="360" t="str">
        <f t="shared" si="1413"/>
        <v>Feb</v>
      </c>
      <c r="G3076" s="359" t="s">
        <v>2720</v>
      </c>
      <c r="H3076" s="359" t="s">
        <v>424</v>
      </c>
      <c r="I3076" s="359" t="s">
        <v>2772</v>
      </c>
      <c r="J3076" s="361" t="s">
        <v>535</v>
      </c>
      <c r="K3076" s="362" t="s">
        <v>2727</v>
      </c>
      <c r="L3076" s="362" t="s">
        <v>2167</v>
      </c>
      <c r="M3076" s="904" t="s">
        <v>2728</v>
      </c>
      <c r="N3076" s="359" t="s">
        <v>2729</v>
      </c>
      <c r="O3076" s="359" t="s">
        <v>2253</v>
      </c>
      <c r="P3076" s="363">
        <v>8</v>
      </c>
      <c r="Q3076" s="363">
        <v>5</v>
      </c>
      <c r="R3076" s="364">
        <v>6.8100000000000001E-3</v>
      </c>
      <c r="S3076" s="359" t="s">
        <v>40</v>
      </c>
      <c r="T3076" s="359" t="s">
        <v>112</v>
      </c>
      <c r="U3076" s="905" t="s">
        <v>2730</v>
      </c>
      <c r="V3076" s="365">
        <f>500</f>
        <v>500</v>
      </c>
      <c r="W3076" s="365"/>
      <c r="X3076" s="366">
        <f>(4388)/8</f>
        <v>548.5</v>
      </c>
      <c r="Y3076" s="367">
        <f t="shared" si="1415"/>
        <v>48.5</v>
      </c>
      <c r="Z3076" s="368">
        <f t="shared" si="1416"/>
        <v>0</v>
      </c>
      <c r="AA3076" s="368">
        <f t="shared" si="1417"/>
        <v>0</v>
      </c>
      <c r="AB3076" s="903">
        <v>7.4999999999999997E-3</v>
      </c>
      <c r="AC3076" s="365">
        <f t="shared" si="1418"/>
        <v>0</v>
      </c>
      <c r="AD3076" s="307" t="s">
        <v>2354</v>
      </c>
      <c r="AE3076" s="210">
        <f>SUM(Q3076*R3076*Z3076)/1000</f>
        <v>0</v>
      </c>
      <c r="AF3076" s="210">
        <f>AE3076/0.54</f>
        <v>0</v>
      </c>
      <c r="AG3076" s="211">
        <f>MID(O3076,1,3)/1000</f>
        <v>0.14699999999999999</v>
      </c>
      <c r="AH3076" s="157">
        <f t="shared" si="1414"/>
        <v>0</v>
      </c>
      <c r="AI3076" s="152">
        <f>V3076*P3076</f>
        <v>4000</v>
      </c>
      <c r="AK3076" s="156" t="s">
        <v>691</v>
      </c>
      <c r="AL3076" s="574" t="s">
        <v>690</v>
      </c>
      <c r="AM3076" s="198">
        <f t="shared" si="1419"/>
        <v>0</v>
      </c>
      <c r="AN3076" s="199">
        <f t="shared" si="1420"/>
        <v>46060</v>
      </c>
      <c r="AO3076" s="159" t="s">
        <v>692</v>
      </c>
      <c r="AP3076" s="781"/>
      <c r="AQ3076" s="782">
        <v>12071839</v>
      </c>
      <c r="AR3076" s="782">
        <v>12080260</v>
      </c>
      <c r="AS3076" s="782">
        <v>12080259</v>
      </c>
      <c r="AT3076" s="782">
        <v>12097450</v>
      </c>
      <c r="AU3076" s="781"/>
      <c r="AV3076" s="782">
        <v>12097451</v>
      </c>
      <c r="AW3076" s="782"/>
      <c r="AX3076" s="782"/>
      <c r="AY3076" s="782"/>
      <c r="AZ3076" s="782"/>
      <c r="BA3076" s="781"/>
      <c r="BB3076" s="209">
        <v>23053185</v>
      </c>
    </row>
    <row r="3077" spans="1:54" ht="24.75" customHeight="1">
      <c r="B3077" s="358">
        <v>46060</v>
      </c>
      <c r="C3077" s="358">
        <v>46077</v>
      </c>
      <c r="D3077" s="359">
        <f t="shared" si="1412"/>
        <v>2026</v>
      </c>
      <c r="E3077" s="359" t="e">
        <f>VLOOKUP($B3077,Week!$A$1:$C$1462,2,0)</f>
        <v>#N/A</v>
      </c>
      <c r="F3077" s="360" t="str">
        <f t="shared" si="1413"/>
        <v>Feb</v>
      </c>
      <c r="G3077" s="359" t="s">
        <v>2720</v>
      </c>
      <c r="H3077" s="359" t="s">
        <v>424</v>
      </c>
      <c r="I3077" s="359" t="s">
        <v>2772</v>
      </c>
      <c r="J3077" s="361" t="s">
        <v>535</v>
      </c>
      <c r="K3077" s="362" t="s">
        <v>2759</v>
      </c>
      <c r="L3077" s="362" t="s">
        <v>2167</v>
      </c>
      <c r="M3077" s="361" t="s">
        <v>2758</v>
      </c>
      <c r="N3077" s="359" t="s">
        <v>2732</v>
      </c>
      <c r="O3077" s="359" t="s">
        <v>2731</v>
      </c>
      <c r="P3077" s="363">
        <v>8</v>
      </c>
      <c r="Q3077" s="363">
        <v>3</v>
      </c>
      <c r="R3077" s="364">
        <v>6.0000000000000001E-3</v>
      </c>
      <c r="S3077" s="359" t="s">
        <v>55</v>
      </c>
      <c r="T3077" s="359" t="s">
        <v>112</v>
      </c>
      <c r="U3077" s="905" t="s">
        <v>2730</v>
      </c>
      <c r="V3077" s="365">
        <f>500</f>
        <v>500</v>
      </c>
      <c r="W3077" s="365"/>
      <c r="X3077" s="366">
        <f>(4653)/8</f>
        <v>581.625</v>
      </c>
      <c r="Y3077" s="367">
        <f t="shared" si="1415"/>
        <v>81.625</v>
      </c>
      <c r="Z3077" s="368">
        <f t="shared" si="1416"/>
        <v>0</v>
      </c>
      <c r="AA3077" s="368">
        <f t="shared" si="1417"/>
        <v>0</v>
      </c>
      <c r="AB3077" s="903">
        <v>3.8699999999999998E-2</v>
      </c>
      <c r="AC3077" s="365">
        <f t="shared" si="1418"/>
        <v>0</v>
      </c>
      <c r="AD3077" s="307" t="s">
        <v>2354</v>
      </c>
      <c r="AE3077" s="210">
        <f>SUM(Q3077*R3077*Z3077)/1000</f>
        <v>0</v>
      </c>
      <c r="AF3077" s="210">
        <f>AE3077/0.54</f>
        <v>0</v>
      </c>
      <c r="AG3077" s="211">
        <f>MID(O3077,1,3)/1000</f>
        <v>0.315</v>
      </c>
      <c r="AH3077" s="157">
        <f t="shared" si="1414"/>
        <v>0</v>
      </c>
      <c r="AI3077" s="152">
        <f>V3077*P3077</f>
        <v>4000</v>
      </c>
      <c r="AK3077" s="156" t="s">
        <v>691</v>
      </c>
      <c r="AL3077" s="574" t="s">
        <v>690</v>
      </c>
      <c r="AM3077" s="198">
        <f t="shared" si="1419"/>
        <v>0</v>
      </c>
      <c r="AN3077" s="199">
        <f t="shared" si="1420"/>
        <v>46060</v>
      </c>
      <c r="AO3077" s="159" t="s">
        <v>692</v>
      </c>
      <c r="AP3077" s="781"/>
      <c r="AQ3077" s="782">
        <v>12063755</v>
      </c>
      <c r="AR3077" s="782">
        <v>12081257</v>
      </c>
      <c r="AS3077" s="782">
        <v>12081260</v>
      </c>
      <c r="AT3077" s="782">
        <v>12097452</v>
      </c>
      <c r="AU3077" s="781"/>
      <c r="AV3077" s="782">
        <v>12097453</v>
      </c>
      <c r="AW3077" s="782"/>
      <c r="AX3077" s="782"/>
      <c r="AY3077" s="782"/>
      <c r="AZ3077" s="782"/>
      <c r="BA3077" s="781"/>
      <c r="BB3077" s="209">
        <v>23053185</v>
      </c>
    </row>
    <row r="3078" spans="1:54" ht="25" customHeight="1">
      <c r="B3078" s="183">
        <v>46061</v>
      </c>
      <c r="C3078" s="184"/>
      <c r="D3078" s="185">
        <f t="shared" si="1412"/>
        <v>2026</v>
      </c>
      <c r="E3078" s="185" t="e">
        <f>VLOOKUP($B3078,Week!$A$1:$C$1462,2,0)</f>
        <v>#N/A</v>
      </c>
      <c r="F3078" s="186" t="str">
        <f t="shared" si="1413"/>
        <v>Feb</v>
      </c>
      <c r="G3078" s="481"/>
      <c r="H3078" s="185"/>
      <c r="I3078" s="185"/>
      <c r="J3078" s="187"/>
      <c r="K3078" s="188"/>
      <c r="L3078" s="188"/>
      <c r="M3078" s="187"/>
      <c r="N3078" s="185"/>
      <c r="O3078" s="185"/>
      <c r="P3078" s="189"/>
      <c r="Q3078" s="189"/>
      <c r="R3078" s="190"/>
      <c r="S3078" s="185"/>
      <c r="T3078" s="185"/>
      <c r="U3078" s="185"/>
      <c r="V3078" s="191"/>
      <c r="W3078" s="191"/>
      <c r="X3078" s="192"/>
      <c r="Y3078" s="193"/>
      <c r="Z3078" s="194"/>
      <c r="AA3078" s="194">
        <f t="shared" si="1417"/>
        <v>0</v>
      </c>
      <c r="AB3078" s="805"/>
      <c r="AC3078" s="191"/>
      <c r="AD3078" s="187"/>
      <c r="AE3078" s="195"/>
      <c r="AF3078" s="195"/>
      <c r="AG3078" s="196"/>
      <c r="AH3078" s="197"/>
      <c r="AK3078" s="156" t="s">
        <v>691</v>
      </c>
      <c r="AM3078" s="198">
        <f t="shared" si="1419"/>
        <v>0</v>
      </c>
      <c r="AN3078" s="199">
        <f t="shared" si="1420"/>
        <v>46061</v>
      </c>
      <c r="AO3078" s="159" t="s">
        <v>692</v>
      </c>
      <c r="AP3078" s="781"/>
      <c r="AQ3078" s="782"/>
      <c r="AR3078" s="782"/>
      <c r="AS3078" s="782"/>
      <c r="AT3078" s="782"/>
      <c r="AU3078" s="781"/>
      <c r="AV3078" s="782"/>
      <c r="AW3078" s="782"/>
      <c r="AX3078" s="782"/>
      <c r="AY3078" s="782"/>
      <c r="AZ3078" s="782"/>
      <c r="BA3078" s="781"/>
      <c r="BB3078" s="209"/>
    </row>
    <row r="3079" spans="1:54" ht="24.65" customHeight="1">
      <c r="A3079" s="630" t="s">
        <v>120</v>
      </c>
      <c r="B3079" s="466">
        <v>46062</v>
      </c>
      <c r="C3079" s="466">
        <v>46076</v>
      </c>
      <c r="D3079" s="185">
        <f t="shared" si="1412"/>
        <v>2026</v>
      </c>
      <c r="E3079" s="468" t="e">
        <f>VLOOKUP($B3079,Week!$A$1:$C$1462,2,0)</f>
        <v>#N/A</v>
      </c>
      <c r="F3079" s="469" t="str">
        <f t="shared" si="1413"/>
        <v>Feb</v>
      </c>
      <c r="G3079" s="470" t="s">
        <v>2792</v>
      </c>
      <c r="H3079" s="468" t="s">
        <v>82</v>
      </c>
      <c r="I3079" s="468" t="s">
        <v>82</v>
      </c>
      <c r="J3079" s="471" t="s">
        <v>720</v>
      </c>
      <c r="K3079" s="472" t="s">
        <v>85</v>
      </c>
      <c r="L3079" s="390" t="s">
        <v>2166</v>
      </c>
      <c r="M3079" s="471" t="s">
        <v>579</v>
      </c>
      <c r="N3079" s="468" t="s">
        <v>580</v>
      </c>
      <c r="O3079" s="468" t="s">
        <v>581</v>
      </c>
      <c r="P3079" s="473">
        <v>8</v>
      </c>
      <c r="Q3079" s="473">
        <v>60</v>
      </c>
      <c r="R3079" s="474">
        <v>6.8100000000000001E-3</v>
      </c>
      <c r="S3079" s="468" t="s">
        <v>76</v>
      </c>
      <c r="T3079" s="468" t="s">
        <v>56</v>
      </c>
      <c r="U3079" s="468" t="s">
        <v>89</v>
      </c>
      <c r="V3079" s="475">
        <v>753</v>
      </c>
      <c r="W3079" s="475">
        <f>729</f>
        <v>729</v>
      </c>
      <c r="X3079" s="476">
        <f>(192)/8</f>
        <v>24</v>
      </c>
      <c r="Y3079" s="477">
        <f t="shared" ref="Y3079:Y3110" si="1421">(W3079+X3079)-V3079</f>
        <v>0</v>
      </c>
      <c r="Z3079" s="478">
        <f t="shared" ref="Z3079:Z3110" si="1422">IF(Y3079&lt;0,((V3079*P3079)-((W3079+X3079)*P3079)),0)</f>
        <v>0</v>
      </c>
      <c r="AA3079" s="478">
        <f t="shared" si="1417"/>
        <v>0</v>
      </c>
      <c r="AB3079" s="828">
        <v>6</v>
      </c>
      <c r="AC3079" s="475">
        <f t="shared" ref="AC3079:AC3110" si="1423">Z3079*AB3079</f>
        <v>0</v>
      </c>
      <c r="AD3079" s="209"/>
      <c r="AE3079" s="210">
        <f>SUM(Q3079*R3079*Z3079)/1000</f>
        <v>0</v>
      </c>
      <c r="AF3079" s="210">
        <f>AE3079/0.54</f>
        <v>0</v>
      </c>
      <c r="AG3079" s="211">
        <f t="shared" ref="AG3079:AG3110" si="1424">MID(O3079,1,3)/1000</f>
        <v>0.75</v>
      </c>
      <c r="AH3079" s="157">
        <f t="shared" ref="AH3079:AH3084" si="1425">(Z3079*AG3079)/1000</f>
        <v>0</v>
      </c>
      <c r="AI3079" s="152">
        <f t="shared" ref="AI3079:AI3110" si="1426">V3079*P3079</f>
        <v>6024</v>
      </c>
      <c r="AK3079" s="156" t="s">
        <v>691</v>
      </c>
      <c r="AL3079" s="156" t="s">
        <v>689</v>
      </c>
      <c r="AM3079" s="198">
        <f t="shared" si="1419"/>
        <v>0</v>
      </c>
      <c r="AN3079" s="199">
        <f t="shared" si="1420"/>
        <v>46062</v>
      </c>
      <c r="AO3079" s="159" t="s">
        <v>692</v>
      </c>
      <c r="AP3079" s="783" t="s">
        <v>622</v>
      </c>
      <c r="AQ3079" s="782">
        <v>12088677</v>
      </c>
      <c r="AR3079" s="782" t="s">
        <v>2142</v>
      </c>
      <c r="AS3079" s="782"/>
      <c r="AT3079" s="782">
        <v>12082897</v>
      </c>
      <c r="AU3079" s="781"/>
      <c r="AV3079" s="782">
        <v>12082898</v>
      </c>
      <c r="AW3079" s="782">
        <v>12082899</v>
      </c>
      <c r="AX3079" s="796" t="s">
        <v>621</v>
      </c>
      <c r="AY3079" s="782"/>
      <c r="AZ3079" s="782"/>
      <c r="BA3079" s="781"/>
      <c r="BB3079" s="209">
        <v>23053184</v>
      </c>
    </row>
    <row r="3080" spans="1:54" ht="24.75" customHeight="1">
      <c r="B3080" s="295">
        <v>46062</v>
      </c>
      <c r="C3080" s="771" t="s">
        <v>2717</v>
      </c>
      <c r="D3080" s="185">
        <f t="shared" si="1412"/>
        <v>2026</v>
      </c>
      <c r="E3080" s="296" t="e">
        <f>VLOOKUP($B3080,Week!$A$1:$C$1462,2,0)</f>
        <v>#N/A</v>
      </c>
      <c r="F3080" s="297" t="str">
        <f t="shared" si="1413"/>
        <v>Feb</v>
      </c>
      <c r="G3080" s="648" t="s">
        <v>47</v>
      </c>
      <c r="H3080" s="298" t="s">
        <v>260</v>
      </c>
      <c r="I3080" s="298" t="s">
        <v>2702</v>
      </c>
      <c r="J3080" s="307" t="s">
        <v>2240</v>
      </c>
      <c r="K3080" s="300" t="s">
        <v>176</v>
      </c>
      <c r="L3080" s="300" t="s">
        <v>2167</v>
      </c>
      <c r="M3080" s="299" t="s">
        <v>2338</v>
      </c>
      <c r="N3080" s="298" t="s">
        <v>350</v>
      </c>
      <c r="O3080" s="298" t="s">
        <v>351</v>
      </c>
      <c r="P3080" s="301">
        <v>24</v>
      </c>
      <c r="Q3080" s="301">
        <v>5</v>
      </c>
      <c r="R3080" s="302">
        <v>6.1999999999999998E-3</v>
      </c>
      <c r="S3080" s="298" t="s">
        <v>352</v>
      </c>
      <c r="T3080" s="298" t="s">
        <v>56</v>
      </c>
      <c r="U3080" s="298" t="s">
        <v>57</v>
      </c>
      <c r="V3080" s="303">
        <v>850</v>
      </c>
      <c r="W3080" s="303">
        <f>1+849</f>
        <v>850</v>
      </c>
      <c r="X3080" s="304"/>
      <c r="Y3080" s="305">
        <f t="shared" si="1421"/>
        <v>0</v>
      </c>
      <c r="Z3080" s="306">
        <f t="shared" si="1422"/>
        <v>0</v>
      </c>
      <c r="AA3080" s="306">
        <f t="shared" si="1417"/>
        <v>0</v>
      </c>
      <c r="AB3080" s="814">
        <v>7.4999999999999997E-3</v>
      </c>
      <c r="AC3080" s="303">
        <f t="shared" si="1423"/>
        <v>0</v>
      </c>
      <c r="AD3080" s="443"/>
      <c r="AE3080" s="210">
        <f>SUM(Q3080*R3080*Z3080)/1000</f>
        <v>0</v>
      </c>
      <c r="AF3080" s="210">
        <f>AE3080/0.54</f>
        <v>0</v>
      </c>
      <c r="AG3080" s="211">
        <f t="shared" si="1424"/>
        <v>0.13</v>
      </c>
      <c r="AH3080" s="157">
        <f t="shared" si="1425"/>
        <v>0</v>
      </c>
      <c r="AI3080" s="152">
        <f t="shared" si="1426"/>
        <v>20400</v>
      </c>
      <c r="AK3080" s="156" t="s">
        <v>691</v>
      </c>
      <c r="AL3080" s="574" t="s">
        <v>690</v>
      </c>
      <c r="AM3080" s="198">
        <f t="shared" si="1419"/>
        <v>0</v>
      </c>
      <c r="AN3080" s="199">
        <f t="shared" si="1420"/>
        <v>46062</v>
      </c>
      <c r="AO3080" s="159" t="s">
        <v>692</v>
      </c>
      <c r="AP3080" s="783" t="s">
        <v>622</v>
      </c>
      <c r="AQ3080" s="782">
        <v>12071839</v>
      </c>
      <c r="AR3080" s="782">
        <v>12094356</v>
      </c>
      <c r="AS3080" s="782">
        <v>12068233</v>
      </c>
      <c r="AT3080" s="781"/>
      <c r="AU3080" s="781"/>
      <c r="AV3080" s="782">
        <v>12062075</v>
      </c>
      <c r="AW3080" s="781"/>
      <c r="AX3080" s="781"/>
      <c r="AY3080" s="782">
        <v>12094357</v>
      </c>
      <c r="AZ3080" s="782"/>
      <c r="BA3080" s="781"/>
      <c r="BB3080" s="209">
        <v>23053184</v>
      </c>
    </row>
    <row r="3081" spans="1:54" ht="25" customHeight="1">
      <c r="B3081" s="357">
        <v>46062</v>
      </c>
      <c r="C3081" s="358">
        <v>46076</v>
      </c>
      <c r="D3081" s="185">
        <f t="shared" si="1412"/>
        <v>2026</v>
      </c>
      <c r="E3081" s="358" t="e">
        <f>VLOOKUP($B3081,Week!$A$1:$C$1462,2,0)</f>
        <v>#N/A</v>
      </c>
      <c r="F3081" s="360" t="str">
        <f t="shared" si="1413"/>
        <v>Feb</v>
      </c>
      <c r="G3081" s="436" t="s">
        <v>2741</v>
      </c>
      <c r="H3081" s="359" t="s">
        <v>225</v>
      </c>
      <c r="I3081" s="359" t="s">
        <v>2773</v>
      </c>
      <c r="J3081" s="361" t="s">
        <v>650</v>
      </c>
      <c r="K3081" s="362" t="s">
        <v>593</v>
      </c>
      <c r="L3081" s="300" t="s">
        <v>2167</v>
      </c>
      <c r="M3081" s="361" t="s">
        <v>717</v>
      </c>
      <c r="N3081" s="359" t="s">
        <v>719</v>
      </c>
      <c r="O3081" s="359" t="s">
        <v>230</v>
      </c>
      <c r="P3081" s="363">
        <v>12</v>
      </c>
      <c r="Q3081" s="363">
        <v>5</v>
      </c>
      <c r="R3081" s="364">
        <v>6.0000000000000001E-3</v>
      </c>
      <c r="S3081" s="359" t="s">
        <v>55</v>
      </c>
      <c r="T3081" s="359" t="s">
        <v>112</v>
      </c>
      <c r="U3081" s="359" t="s">
        <v>57</v>
      </c>
      <c r="V3081" s="365">
        <v>2600</v>
      </c>
      <c r="W3081" s="365"/>
      <c r="X3081" s="366">
        <f>(556+29927+94+623)/12</f>
        <v>2600</v>
      </c>
      <c r="Y3081" s="367">
        <f t="shared" si="1421"/>
        <v>0</v>
      </c>
      <c r="Z3081" s="368">
        <f t="shared" si="1422"/>
        <v>0</v>
      </c>
      <c r="AA3081" s="368">
        <f t="shared" si="1417"/>
        <v>0</v>
      </c>
      <c r="AB3081" s="819">
        <v>7.4999999999999997E-3</v>
      </c>
      <c r="AC3081" s="365">
        <f t="shared" si="1423"/>
        <v>0</v>
      </c>
      <c r="AD3081" s="307" t="s">
        <v>2421</v>
      </c>
      <c r="AE3081" s="210">
        <f>SUM(Q3081*R3081*Z3081)/1000</f>
        <v>0</v>
      </c>
      <c r="AF3081" s="210">
        <f>AE3081/0.54</f>
        <v>0</v>
      </c>
      <c r="AG3081" s="211">
        <f t="shared" si="1424"/>
        <v>0.25800000000000001</v>
      </c>
      <c r="AH3081" s="157">
        <f t="shared" si="1425"/>
        <v>0</v>
      </c>
      <c r="AI3081" s="152">
        <f t="shared" si="1426"/>
        <v>31200</v>
      </c>
      <c r="AK3081" s="156" t="s">
        <v>691</v>
      </c>
      <c r="AL3081" s="574" t="s">
        <v>690</v>
      </c>
      <c r="AM3081" s="198">
        <f t="shared" si="1419"/>
        <v>0</v>
      </c>
      <c r="AN3081" s="199">
        <f t="shared" si="1420"/>
        <v>46062</v>
      </c>
      <c r="AO3081" s="159" t="s">
        <v>692</v>
      </c>
      <c r="AP3081" s="783" t="s">
        <v>612</v>
      </c>
      <c r="AQ3081" s="782">
        <v>12071839</v>
      </c>
      <c r="AR3081" s="782">
        <v>12042650</v>
      </c>
      <c r="AS3081" s="782">
        <v>12042649</v>
      </c>
      <c r="AT3081" s="782">
        <v>12096387</v>
      </c>
      <c r="AU3081" s="781"/>
      <c r="AV3081" s="782">
        <v>12088422</v>
      </c>
      <c r="AW3081" s="782"/>
      <c r="AX3081" s="782"/>
      <c r="AY3081" s="782"/>
      <c r="AZ3081" s="782"/>
      <c r="BA3081" s="781"/>
      <c r="BB3081" s="209">
        <v>23053185</v>
      </c>
    </row>
    <row r="3082" spans="1:54" ht="24.65" customHeight="1">
      <c r="B3082" s="602">
        <v>46062</v>
      </c>
      <c r="C3082" s="603">
        <v>46066</v>
      </c>
      <c r="D3082" s="185">
        <f t="shared" si="1412"/>
        <v>2026</v>
      </c>
      <c r="E3082" s="603" t="e">
        <f>VLOOKUP($B3082,Week!$A$1:$C$1462,2,0)</f>
        <v>#N/A</v>
      </c>
      <c r="F3082" s="605" t="str">
        <f t="shared" si="1413"/>
        <v>Feb</v>
      </c>
      <c r="G3082" s="604" t="s">
        <v>2874</v>
      </c>
      <c r="H3082" s="604" t="s">
        <v>82</v>
      </c>
      <c r="I3082" s="604" t="s">
        <v>82</v>
      </c>
      <c r="J3082" s="606" t="s">
        <v>235</v>
      </c>
      <c r="K3082" s="607" t="s">
        <v>107</v>
      </c>
      <c r="L3082" s="300" t="s">
        <v>2167</v>
      </c>
      <c r="M3082" s="606" t="s">
        <v>654</v>
      </c>
      <c r="N3082" s="604" t="s">
        <v>753</v>
      </c>
      <c r="O3082" s="604" t="s">
        <v>110</v>
      </c>
      <c r="P3082" s="608">
        <v>36</v>
      </c>
      <c r="Q3082" s="608">
        <v>5</v>
      </c>
      <c r="R3082" s="609">
        <v>7.4999999999999997E-3</v>
      </c>
      <c r="S3082" s="604" t="s">
        <v>111</v>
      </c>
      <c r="T3082" s="604" t="s">
        <v>112</v>
      </c>
      <c r="U3082" s="604" t="s">
        <v>113</v>
      </c>
      <c r="V3082" s="610">
        <f>200</f>
        <v>200</v>
      </c>
      <c r="W3082" s="610">
        <f>200</f>
        <v>200</v>
      </c>
      <c r="X3082" s="611"/>
      <c r="Y3082" s="612">
        <f t="shared" si="1421"/>
        <v>0</v>
      </c>
      <c r="Z3082" s="613">
        <f t="shared" si="1422"/>
        <v>0</v>
      </c>
      <c r="AA3082" s="613">
        <f t="shared" si="1417"/>
        <v>0</v>
      </c>
      <c r="AB3082" s="836">
        <v>9.7000000000000003E-3</v>
      </c>
      <c r="AC3082" s="610">
        <f t="shared" si="1423"/>
        <v>0</v>
      </c>
      <c r="AD3082" s="307" t="s">
        <v>1048</v>
      </c>
      <c r="AE3082" s="210"/>
      <c r="AF3082" s="210"/>
      <c r="AG3082" s="211">
        <f t="shared" si="1424"/>
        <v>0.308</v>
      </c>
      <c r="AH3082" s="157">
        <f t="shared" si="1425"/>
        <v>0</v>
      </c>
      <c r="AI3082" s="152">
        <f t="shared" si="1426"/>
        <v>7200</v>
      </c>
      <c r="AK3082" s="156" t="s">
        <v>691</v>
      </c>
      <c r="AL3082" s="212" t="s">
        <v>690</v>
      </c>
      <c r="AM3082" s="198">
        <f t="shared" si="1419"/>
        <v>0</v>
      </c>
      <c r="AN3082" s="199">
        <f t="shared" si="1420"/>
        <v>46062</v>
      </c>
      <c r="AO3082" s="159" t="s">
        <v>692</v>
      </c>
      <c r="AP3082" s="783" t="s">
        <v>644</v>
      </c>
      <c r="AQ3082" s="782">
        <v>12063755</v>
      </c>
      <c r="AR3082" s="782">
        <v>12061353</v>
      </c>
      <c r="AS3082" s="782">
        <v>12061354</v>
      </c>
      <c r="AT3082" s="782">
        <v>12096611</v>
      </c>
      <c r="AU3082" s="781"/>
      <c r="AV3082" s="782">
        <v>12096612</v>
      </c>
      <c r="AW3082" s="782">
        <v>12088207</v>
      </c>
      <c r="AX3082" s="782"/>
      <c r="AY3082" s="782">
        <v>12096583</v>
      </c>
      <c r="AZ3082" s="782"/>
      <c r="BA3082" s="781"/>
      <c r="BB3082" s="209">
        <v>23054743</v>
      </c>
    </row>
    <row r="3083" spans="1:54" ht="24.65" customHeight="1">
      <c r="B3083" s="602">
        <v>46062</v>
      </c>
      <c r="C3083" s="603">
        <v>46071</v>
      </c>
      <c r="D3083" s="185">
        <f t="shared" si="1412"/>
        <v>2026</v>
      </c>
      <c r="E3083" s="603" t="e">
        <f>VLOOKUP($B3083,Week!$A$1:$C$1462,2,0)</f>
        <v>#N/A</v>
      </c>
      <c r="F3083" s="605" t="str">
        <f t="shared" si="1413"/>
        <v>Feb</v>
      </c>
      <c r="G3083" s="604" t="s">
        <v>2875</v>
      </c>
      <c r="H3083" s="604" t="s">
        <v>82</v>
      </c>
      <c r="I3083" s="604" t="s">
        <v>82</v>
      </c>
      <c r="J3083" s="606" t="s">
        <v>235</v>
      </c>
      <c r="K3083" s="607" t="s">
        <v>107</v>
      </c>
      <c r="L3083" s="300" t="s">
        <v>2167</v>
      </c>
      <c r="M3083" s="606" t="s">
        <v>654</v>
      </c>
      <c r="N3083" s="604" t="s">
        <v>753</v>
      </c>
      <c r="O3083" s="604" t="s">
        <v>110</v>
      </c>
      <c r="P3083" s="608">
        <v>36</v>
      </c>
      <c r="Q3083" s="608">
        <v>5</v>
      </c>
      <c r="R3083" s="609">
        <v>7.4999999999999997E-3</v>
      </c>
      <c r="S3083" s="604" t="s">
        <v>111</v>
      </c>
      <c r="T3083" s="604" t="s">
        <v>112</v>
      </c>
      <c r="U3083" s="604" t="s">
        <v>113</v>
      </c>
      <c r="V3083" s="610">
        <f>792</f>
        <v>792</v>
      </c>
      <c r="W3083" s="610">
        <f>8</f>
        <v>8</v>
      </c>
      <c r="X3083" s="611">
        <f>(1027+27849)/36</f>
        <v>802.11111111111109</v>
      </c>
      <c r="Y3083" s="612">
        <f t="shared" si="1421"/>
        <v>18.111111111111086</v>
      </c>
      <c r="Z3083" s="613">
        <f t="shared" si="1422"/>
        <v>0</v>
      </c>
      <c r="AA3083" s="613">
        <f t="shared" si="1417"/>
        <v>0</v>
      </c>
      <c r="AB3083" s="836">
        <v>9.7000000000000003E-3</v>
      </c>
      <c r="AC3083" s="610">
        <f t="shared" si="1423"/>
        <v>0</v>
      </c>
      <c r="AD3083" s="307" t="s">
        <v>1048</v>
      </c>
      <c r="AE3083" s="210"/>
      <c r="AF3083" s="210"/>
      <c r="AG3083" s="211">
        <f t="shared" si="1424"/>
        <v>0.308</v>
      </c>
      <c r="AH3083" s="157">
        <f t="shared" si="1425"/>
        <v>0</v>
      </c>
      <c r="AI3083" s="152">
        <f t="shared" si="1426"/>
        <v>28512</v>
      </c>
      <c r="AK3083" s="156" t="s">
        <v>691</v>
      </c>
      <c r="AL3083" s="212" t="s">
        <v>690</v>
      </c>
      <c r="AM3083" s="198">
        <f t="shared" si="1419"/>
        <v>0</v>
      </c>
      <c r="AN3083" s="199">
        <f t="shared" si="1420"/>
        <v>46062</v>
      </c>
      <c r="AO3083" s="159" t="s">
        <v>692</v>
      </c>
      <c r="AP3083" s="783" t="s">
        <v>644</v>
      </c>
      <c r="AQ3083" s="782">
        <v>12063755</v>
      </c>
      <c r="AR3083" s="782">
        <v>12061353</v>
      </c>
      <c r="AS3083" s="782">
        <v>12061354</v>
      </c>
      <c r="AT3083" s="782">
        <v>12096611</v>
      </c>
      <c r="AU3083" s="781"/>
      <c r="AV3083" s="782">
        <v>12096612</v>
      </c>
      <c r="AW3083" s="782">
        <v>12088207</v>
      </c>
      <c r="AX3083" s="782"/>
      <c r="AY3083" s="782">
        <v>12096583</v>
      </c>
      <c r="AZ3083" s="782"/>
      <c r="BA3083" s="781"/>
      <c r="BB3083" s="209">
        <v>23054743</v>
      </c>
    </row>
    <row r="3084" spans="1:54" ht="24.65" customHeight="1">
      <c r="A3084" s="630" t="s">
        <v>120</v>
      </c>
      <c r="B3084" s="466">
        <v>46063</v>
      </c>
      <c r="C3084" s="466">
        <v>46076</v>
      </c>
      <c r="D3084" s="185">
        <f t="shared" si="1412"/>
        <v>2026</v>
      </c>
      <c r="E3084" s="468" t="e">
        <f>VLOOKUP($B3084,Week!$A$1:$C$1462,2,0)</f>
        <v>#N/A</v>
      </c>
      <c r="F3084" s="469" t="str">
        <f t="shared" si="1413"/>
        <v>Feb</v>
      </c>
      <c r="G3084" s="470" t="s">
        <v>2792</v>
      </c>
      <c r="H3084" s="468" t="s">
        <v>82</v>
      </c>
      <c r="I3084" s="468" t="s">
        <v>82</v>
      </c>
      <c r="J3084" s="471" t="s">
        <v>720</v>
      </c>
      <c r="K3084" s="472" t="s">
        <v>85</v>
      </c>
      <c r="L3084" s="390" t="s">
        <v>2166</v>
      </c>
      <c r="M3084" s="471" t="s">
        <v>579</v>
      </c>
      <c r="N3084" s="468" t="s">
        <v>580</v>
      </c>
      <c r="O3084" s="468" t="s">
        <v>581</v>
      </c>
      <c r="P3084" s="473">
        <v>8</v>
      </c>
      <c r="Q3084" s="473">
        <v>60</v>
      </c>
      <c r="R3084" s="474">
        <v>6.8100000000000001E-3</v>
      </c>
      <c r="S3084" s="468" t="s">
        <v>76</v>
      </c>
      <c r="T3084" s="468" t="s">
        <v>56</v>
      </c>
      <c r="U3084" s="468" t="s">
        <v>89</v>
      </c>
      <c r="V3084" s="475">
        <f>1408-753</f>
        <v>655</v>
      </c>
      <c r="W3084" s="475">
        <v>655</v>
      </c>
      <c r="X3084" s="476"/>
      <c r="Y3084" s="477">
        <f t="shared" si="1421"/>
        <v>0</v>
      </c>
      <c r="Z3084" s="478">
        <f t="shared" si="1422"/>
        <v>0</v>
      </c>
      <c r="AA3084" s="478">
        <f t="shared" si="1417"/>
        <v>0</v>
      </c>
      <c r="AB3084" s="828">
        <v>6</v>
      </c>
      <c r="AC3084" s="475">
        <f t="shared" si="1423"/>
        <v>0</v>
      </c>
      <c r="AD3084" s="443"/>
      <c r="AE3084" s="210">
        <f>SUM(Q3084*R3084*Z3084)/1000</f>
        <v>0</v>
      </c>
      <c r="AF3084" s="210">
        <f>AE3084/0.54</f>
        <v>0</v>
      </c>
      <c r="AG3084" s="211">
        <f t="shared" si="1424"/>
        <v>0.75</v>
      </c>
      <c r="AH3084" s="157">
        <f t="shared" si="1425"/>
        <v>0</v>
      </c>
      <c r="AI3084" s="152">
        <f t="shared" si="1426"/>
        <v>5240</v>
      </c>
      <c r="AK3084" s="156" t="s">
        <v>691</v>
      </c>
      <c r="AL3084" s="156" t="s">
        <v>689</v>
      </c>
      <c r="AM3084" s="198">
        <f t="shared" si="1419"/>
        <v>0</v>
      </c>
      <c r="AN3084" s="199">
        <f t="shared" si="1420"/>
        <v>46063</v>
      </c>
      <c r="AO3084" s="159" t="s">
        <v>692</v>
      </c>
      <c r="AP3084" s="783" t="s">
        <v>622</v>
      </c>
      <c r="AQ3084" s="782">
        <v>12088677</v>
      </c>
      <c r="AR3084" s="782" t="s">
        <v>2142</v>
      </c>
      <c r="AS3084" s="782"/>
      <c r="AT3084" s="782">
        <v>12082897</v>
      </c>
      <c r="AU3084" s="781"/>
      <c r="AV3084" s="782">
        <v>12082898</v>
      </c>
      <c r="AW3084" s="782">
        <v>12082899</v>
      </c>
      <c r="AX3084" s="796" t="s">
        <v>621</v>
      </c>
      <c r="AY3084" s="782"/>
      <c r="AZ3084" s="782"/>
      <c r="BA3084" s="781"/>
      <c r="BB3084" s="209">
        <v>23053184</v>
      </c>
    </row>
    <row r="3085" spans="1:54" ht="25" customHeight="1">
      <c r="A3085" s="440"/>
      <c r="B3085" s="332">
        <v>46063</v>
      </c>
      <c r="C3085" s="646" t="s">
        <v>2717</v>
      </c>
      <c r="D3085" s="185">
        <f t="shared" si="1412"/>
        <v>2026</v>
      </c>
      <c r="E3085" s="333" t="e">
        <f>VLOOKUP($B3085,Week!$A$1:$C$1462,2,0)</f>
        <v>#N/A</v>
      </c>
      <c r="F3085" s="334" t="str">
        <f t="shared" si="1413"/>
        <v>Feb</v>
      </c>
      <c r="G3085" s="335" t="s">
        <v>47</v>
      </c>
      <c r="H3085" s="335" t="s">
        <v>518</v>
      </c>
      <c r="I3085" s="335" t="s">
        <v>2702</v>
      </c>
      <c r="J3085" s="336" t="s">
        <v>70</v>
      </c>
      <c r="K3085" s="337" t="s">
        <v>2581</v>
      </c>
      <c r="L3085" s="300" t="s">
        <v>2167</v>
      </c>
      <c r="M3085" s="336" t="s">
        <v>2737</v>
      </c>
      <c r="N3085" s="530" t="s">
        <v>2768</v>
      </c>
      <c r="O3085" s="335" t="s">
        <v>2739</v>
      </c>
      <c r="P3085" s="338">
        <v>18</v>
      </c>
      <c r="Q3085" s="338">
        <v>3</v>
      </c>
      <c r="R3085" s="339">
        <v>6.1999999999999998E-3</v>
      </c>
      <c r="S3085" s="335" t="s">
        <v>55</v>
      </c>
      <c r="T3085" s="335" t="s">
        <v>56</v>
      </c>
      <c r="U3085" s="340" t="s">
        <v>1633</v>
      </c>
      <c r="V3085" s="341">
        <f>2334</f>
        <v>2334</v>
      </c>
      <c r="W3085" s="341"/>
      <c r="X3085" s="342">
        <f>(242+42069)/18</f>
        <v>2350.6111111111113</v>
      </c>
      <c r="Y3085" s="343">
        <f t="shared" si="1421"/>
        <v>16.611111111111313</v>
      </c>
      <c r="Z3085" s="344">
        <f t="shared" si="1422"/>
        <v>0</v>
      </c>
      <c r="AA3085" s="344">
        <f t="shared" si="1417"/>
        <v>0</v>
      </c>
      <c r="AB3085" s="817"/>
      <c r="AC3085" s="341">
        <f t="shared" si="1423"/>
        <v>0</v>
      </c>
      <c r="AD3085" s="443"/>
      <c r="AE3085" s="210">
        <f>SUM(Q3085*R3085*Z3085)/1000</f>
        <v>0</v>
      </c>
      <c r="AF3085" s="210">
        <f>AE3085/0.54</f>
        <v>0</v>
      </c>
      <c r="AG3085" s="211">
        <f t="shared" si="1424"/>
        <v>0.23499999999999999</v>
      </c>
      <c r="AH3085" s="157">
        <v>0.26621999999999996</v>
      </c>
      <c r="AI3085" s="152">
        <f t="shared" si="1426"/>
        <v>42012</v>
      </c>
      <c r="AK3085" s="156" t="s">
        <v>691</v>
      </c>
      <c r="AL3085" s="574" t="s">
        <v>690</v>
      </c>
      <c r="AM3085" s="198">
        <f t="shared" si="1419"/>
        <v>0</v>
      </c>
      <c r="AN3085" s="199">
        <f t="shared" si="1420"/>
        <v>46063</v>
      </c>
      <c r="AO3085" s="159" t="s">
        <v>692</v>
      </c>
      <c r="AP3085" s="781" t="s">
        <v>642</v>
      </c>
      <c r="AQ3085" s="782">
        <v>12071839</v>
      </c>
      <c r="AR3085" s="782">
        <v>12042650</v>
      </c>
      <c r="AS3085" s="782">
        <v>12042649</v>
      </c>
      <c r="AT3085" s="782"/>
      <c r="AU3085" s="781"/>
      <c r="AV3085" s="782">
        <v>12097968</v>
      </c>
      <c r="AW3085" s="781"/>
      <c r="AX3085" s="781" t="s">
        <v>2793</v>
      </c>
      <c r="AY3085" s="783" t="s">
        <v>2602</v>
      </c>
      <c r="AZ3085" s="796" t="s">
        <v>2603</v>
      </c>
      <c r="BA3085" s="781" t="s">
        <v>2794</v>
      </c>
      <c r="BB3085" s="209">
        <v>23099087</v>
      </c>
    </row>
    <row r="3086" spans="1:54" ht="25" customHeight="1">
      <c r="A3086" s="440"/>
      <c r="B3086" s="332">
        <v>46063</v>
      </c>
      <c r="C3086" s="646" t="s">
        <v>2717</v>
      </c>
      <c r="D3086" s="185">
        <f t="shared" si="1412"/>
        <v>2026</v>
      </c>
      <c r="E3086" s="333" t="e">
        <f>VLOOKUP($B3086,Week!$A$1:$C$1462,2,0)</f>
        <v>#N/A</v>
      </c>
      <c r="F3086" s="334" t="str">
        <f t="shared" si="1413"/>
        <v>Feb</v>
      </c>
      <c r="G3086" s="335" t="s">
        <v>47</v>
      </c>
      <c r="H3086" s="335" t="s">
        <v>518</v>
      </c>
      <c r="I3086" s="335" t="s">
        <v>2702</v>
      </c>
      <c r="J3086" s="336" t="s">
        <v>70</v>
      </c>
      <c r="K3086" s="337" t="s">
        <v>2580</v>
      </c>
      <c r="L3086" s="300" t="s">
        <v>2167</v>
      </c>
      <c r="M3086" s="336" t="s">
        <v>2738</v>
      </c>
      <c r="N3086" s="530" t="s">
        <v>2767</v>
      </c>
      <c r="O3086" s="335" t="s">
        <v>2739</v>
      </c>
      <c r="P3086" s="338">
        <v>18</v>
      </c>
      <c r="Q3086" s="338">
        <v>3</v>
      </c>
      <c r="R3086" s="339">
        <v>6.1999999999999998E-3</v>
      </c>
      <c r="S3086" s="335" t="s">
        <v>55</v>
      </c>
      <c r="T3086" s="335" t="s">
        <v>56</v>
      </c>
      <c r="U3086" s="340" t="s">
        <v>2577</v>
      </c>
      <c r="V3086" s="341">
        <f>2334</f>
        <v>2334</v>
      </c>
      <c r="W3086" s="341"/>
      <c r="X3086" s="342">
        <f>(180+41919)/18</f>
        <v>2338.8333333333335</v>
      </c>
      <c r="Y3086" s="343">
        <f t="shared" si="1421"/>
        <v>4.8333333333334849</v>
      </c>
      <c r="Z3086" s="344">
        <f t="shared" si="1422"/>
        <v>0</v>
      </c>
      <c r="AA3086" s="344">
        <f t="shared" si="1417"/>
        <v>0</v>
      </c>
      <c r="AB3086" s="817"/>
      <c r="AC3086" s="341">
        <f t="shared" si="1423"/>
        <v>0</v>
      </c>
      <c r="AD3086" s="443"/>
      <c r="AE3086" s="210">
        <f>SUM(Q3086*R3086*Z3086)/1000</f>
        <v>0</v>
      </c>
      <c r="AF3086" s="210">
        <f>AE3086/0.54</f>
        <v>0</v>
      </c>
      <c r="AG3086" s="211">
        <f t="shared" si="1424"/>
        <v>0.23499999999999999</v>
      </c>
      <c r="AH3086" s="157">
        <v>0.26621999999999996</v>
      </c>
      <c r="AI3086" s="152">
        <f t="shared" si="1426"/>
        <v>42012</v>
      </c>
      <c r="AK3086" s="156" t="s">
        <v>691</v>
      </c>
      <c r="AL3086" s="574" t="s">
        <v>690</v>
      </c>
      <c r="AM3086" s="198">
        <f t="shared" si="1419"/>
        <v>0</v>
      </c>
      <c r="AN3086" s="199">
        <f t="shared" si="1420"/>
        <v>46063</v>
      </c>
      <c r="AO3086" s="159" t="s">
        <v>692</v>
      </c>
      <c r="AP3086" s="781" t="s">
        <v>642</v>
      </c>
      <c r="AQ3086" s="782">
        <v>12071839</v>
      </c>
      <c r="AR3086" s="782">
        <v>12042650</v>
      </c>
      <c r="AS3086" s="782">
        <v>12042649</v>
      </c>
      <c r="AT3086" s="782"/>
      <c r="AU3086" s="781"/>
      <c r="AV3086" s="782">
        <v>12097966</v>
      </c>
      <c r="AW3086" s="781"/>
      <c r="AX3086" s="781" t="s">
        <v>2793</v>
      </c>
      <c r="AY3086" s="783" t="s">
        <v>2604</v>
      </c>
      <c r="AZ3086" s="796" t="s">
        <v>2605</v>
      </c>
      <c r="BA3086" s="781" t="s">
        <v>2795</v>
      </c>
      <c r="BB3086" s="209">
        <v>23099087</v>
      </c>
    </row>
    <row r="3087" spans="1:54" ht="25" customHeight="1">
      <c r="A3087" s="142" t="s">
        <v>120</v>
      </c>
      <c r="B3087" s="320">
        <v>46064</v>
      </c>
      <c r="C3087" s="321">
        <v>46076</v>
      </c>
      <c r="D3087" s="323">
        <f t="shared" si="1412"/>
        <v>2026</v>
      </c>
      <c r="E3087" s="321" t="e">
        <f>VLOOKUP($B3087,Week!$A$1:$C$1462,2,0)</f>
        <v>#N/A</v>
      </c>
      <c r="F3087" s="322" t="str">
        <f t="shared" si="1413"/>
        <v>Feb</v>
      </c>
      <c r="G3087" s="323" t="s">
        <v>2755</v>
      </c>
      <c r="H3087" s="323" t="s">
        <v>363</v>
      </c>
      <c r="I3087" s="323" t="s">
        <v>2772</v>
      </c>
      <c r="J3087" s="324" t="s">
        <v>364</v>
      </c>
      <c r="K3087" s="325" t="s">
        <v>2583</v>
      </c>
      <c r="L3087" s="325" t="s">
        <v>2166</v>
      </c>
      <c r="M3087" s="324" t="s">
        <v>2586</v>
      </c>
      <c r="N3087" s="323" t="s">
        <v>2584</v>
      </c>
      <c r="O3087" s="323" t="s">
        <v>2587</v>
      </c>
      <c r="P3087" s="326">
        <v>20</v>
      </c>
      <c r="Q3087" s="326">
        <v>50</v>
      </c>
      <c r="R3087" s="327">
        <v>4.0000000000000001E-3</v>
      </c>
      <c r="S3087" s="323" t="s">
        <v>55</v>
      </c>
      <c r="T3087" s="323" t="s">
        <v>112</v>
      </c>
      <c r="U3087" s="323" t="s">
        <v>77</v>
      </c>
      <c r="V3087" s="328">
        <v>184</v>
      </c>
      <c r="W3087" s="328">
        <f>8+176</f>
        <v>184</v>
      </c>
      <c r="X3087" s="329"/>
      <c r="Y3087" s="330">
        <f t="shared" si="1421"/>
        <v>0</v>
      </c>
      <c r="Z3087" s="331">
        <f t="shared" si="1422"/>
        <v>0</v>
      </c>
      <c r="AA3087" s="331">
        <f t="shared" si="1417"/>
        <v>0</v>
      </c>
      <c r="AB3087" s="816">
        <v>6</v>
      </c>
      <c r="AC3087" s="328">
        <f t="shared" si="1423"/>
        <v>0</v>
      </c>
      <c r="AD3087" s="209"/>
      <c r="AE3087" s="210">
        <f>SUM(Q3087*R3087*Z3087)/1000</f>
        <v>0</v>
      </c>
      <c r="AF3087" s="210">
        <f>AE3087/0.54</f>
        <v>0</v>
      </c>
      <c r="AG3087" s="211">
        <f t="shared" si="1424"/>
        <v>0.5</v>
      </c>
      <c r="AH3087" s="157">
        <f t="shared" ref="AH3087:AH3110" si="1427">(Z3087*AG3087)/1000</f>
        <v>0</v>
      </c>
      <c r="AI3087" s="152">
        <f t="shared" si="1426"/>
        <v>3680</v>
      </c>
      <c r="AK3087" s="156" t="s">
        <v>691</v>
      </c>
      <c r="AL3087" s="156" t="s">
        <v>689</v>
      </c>
      <c r="AM3087" s="198">
        <f t="shared" si="1419"/>
        <v>0</v>
      </c>
      <c r="AN3087" s="199">
        <f t="shared" si="1420"/>
        <v>46064</v>
      </c>
      <c r="AO3087" s="159" t="s">
        <v>692</v>
      </c>
      <c r="AP3087" s="783" t="s">
        <v>620</v>
      </c>
      <c r="AQ3087" s="796" t="s">
        <v>422</v>
      </c>
      <c r="AR3087" s="782">
        <v>12055234</v>
      </c>
      <c r="AS3087" s="781"/>
      <c r="AT3087" s="782"/>
      <c r="AU3087" s="782"/>
      <c r="AV3087" s="782">
        <v>12097165</v>
      </c>
      <c r="AW3087" s="782"/>
      <c r="AX3087" s="782">
        <v>12036656</v>
      </c>
      <c r="AY3087" s="799"/>
      <c r="AZ3087" s="781"/>
      <c r="BA3087" s="781"/>
      <c r="BB3087" s="209">
        <v>23053184</v>
      </c>
    </row>
    <row r="3088" spans="1:54" ht="25" customHeight="1">
      <c r="B3088" s="200">
        <v>46064</v>
      </c>
      <c r="C3088" s="201">
        <v>46077</v>
      </c>
      <c r="D3088" s="185">
        <f t="shared" si="1412"/>
        <v>2026</v>
      </c>
      <c r="E3088" s="201" t="e">
        <f>VLOOKUP($B3088,Week!$A$1:$C$1462,2,0)</f>
        <v>#N/A</v>
      </c>
      <c r="F3088" s="202" t="str">
        <f t="shared" si="1413"/>
        <v>Feb</v>
      </c>
      <c r="G3088" s="512" t="s">
        <v>2720</v>
      </c>
      <c r="H3088" s="512" t="s">
        <v>424</v>
      </c>
      <c r="I3088" s="512" t="s">
        <v>2772</v>
      </c>
      <c r="J3088" s="513" t="s">
        <v>535</v>
      </c>
      <c r="K3088" s="514" t="s">
        <v>227</v>
      </c>
      <c r="L3088" s="300" t="s">
        <v>2167</v>
      </c>
      <c r="M3088" s="513" t="s">
        <v>539</v>
      </c>
      <c r="N3088" s="512" t="s">
        <v>540</v>
      </c>
      <c r="O3088" s="512" t="s">
        <v>304</v>
      </c>
      <c r="P3088" s="203">
        <v>8</v>
      </c>
      <c r="Q3088" s="203">
        <v>5</v>
      </c>
      <c r="R3088" s="204">
        <v>7.4999999999999997E-3</v>
      </c>
      <c r="S3088" s="512" t="s">
        <v>111</v>
      </c>
      <c r="T3088" s="512" t="s">
        <v>112</v>
      </c>
      <c r="U3088" s="512" t="s">
        <v>57</v>
      </c>
      <c r="V3088" s="205">
        <f>1000</f>
        <v>1000</v>
      </c>
      <c r="W3088" s="205"/>
      <c r="X3088" s="206">
        <f>(603+6799+1295)/8</f>
        <v>1087.125</v>
      </c>
      <c r="Y3088" s="207">
        <f t="shared" si="1421"/>
        <v>87.125</v>
      </c>
      <c r="Z3088" s="208">
        <f t="shared" si="1422"/>
        <v>0</v>
      </c>
      <c r="AA3088" s="208">
        <f t="shared" si="1417"/>
        <v>0</v>
      </c>
      <c r="AB3088" s="806">
        <v>7.4999999999999997E-3</v>
      </c>
      <c r="AC3088" s="205">
        <f t="shared" si="1423"/>
        <v>0</v>
      </c>
      <c r="AD3088" s="307" t="s">
        <v>2354</v>
      </c>
      <c r="AE3088" s="210"/>
      <c r="AF3088" s="210"/>
      <c r="AG3088" s="211">
        <f t="shared" si="1424"/>
        <v>0.25800000000000001</v>
      </c>
      <c r="AH3088" s="157">
        <f t="shared" si="1427"/>
        <v>0</v>
      </c>
      <c r="AI3088" s="152">
        <f t="shared" si="1426"/>
        <v>8000</v>
      </c>
      <c r="AK3088" s="156" t="s">
        <v>691</v>
      </c>
      <c r="AL3088" s="212" t="s">
        <v>690</v>
      </c>
      <c r="AM3088" s="198">
        <f t="shared" si="1419"/>
        <v>0</v>
      </c>
      <c r="AN3088" s="199">
        <f t="shared" si="1420"/>
        <v>46064</v>
      </c>
      <c r="AO3088" s="159" t="s">
        <v>692</v>
      </c>
      <c r="AP3088" s="781"/>
      <c r="AQ3088" s="782">
        <v>12071839</v>
      </c>
      <c r="AR3088" s="782">
        <v>12095778</v>
      </c>
      <c r="AS3088" s="782">
        <v>12095777</v>
      </c>
      <c r="AT3088" s="782">
        <v>12096464</v>
      </c>
      <c r="AU3088" s="782"/>
      <c r="AV3088" s="782">
        <v>12098094</v>
      </c>
      <c r="AW3088" s="781"/>
      <c r="AX3088" s="781"/>
      <c r="AY3088" s="781" t="s">
        <v>541</v>
      </c>
      <c r="AZ3088" s="781"/>
      <c r="BA3088" s="781"/>
    </row>
    <row r="3089" spans="1:54" ht="25" customHeight="1">
      <c r="B3089" s="332">
        <v>46064</v>
      </c>
      <c r="C3089" s="646" t="s">
        <v>2708</v>
      </c>
      <c r="D3089" s="185">
        <f t="shared" si="1412"/>
        <v>2026</v>
      </c>
      <c r="E3089" s="333" t="e">
        <f>VLOOKUP($B3089,Week!$A$1:$C$1462,2,0)</f>
        <v>#N/A</v>
      </c>
      <c r="F3089" s="334" t="str">
        <f t="shared" si="1413"/>
        <v>Feb</v>
      </c>
      <c r="G3089" s="335" t="s">
        <v>47</v>
      </c>
      <c r="H3089" s="335" t="s">
        <v>518</v>
      </c>
      <c r="I3089" s="335" t="s">
        <v>2702</v>
      </c>
      <c r="J3089" s="336" t="s">
        <v>70</v>
      </c>
      <c r="K3089" s="337" t="s">
        <v>582</v>
      </c>
      <c r="L3089" s="300" t="s">
        <v>2167</v>
      </c>
      <c r="M3089" s="336" t="s">
        <v>534</v>
      </c>
      <c r="N3089" s="530" t="s">
        <v>578</v>
      </c>
      <c r="O3089" s="335" t="s">
        <v>583</v>
      </c>
      <c r="P3089" s="338">
        <v>12</v>
      </c>
      <c r="Q3089" s="338">
        <v>3</v>
      </c>
      <c r="R3089" s="339">
        <v>6.0000000000000001E-3</v>
      </c>
      <c r="S3089" s="335" t="s">
        <v>55</v>
      </c>
      <c r="T3089" s="335" t="s">
        <v>56</v>
      </c>
      <c r="U3089" s="335" t="s">
        <v>57</v>
      </c>
      <c r="V3089" s="341">
        <f>200</f>
        <v>200</v>
      </c>
      <c r="W3089" s="341">
        <f>1+199</f>
        <v>200</v>
      </c>
      <c r="X3089" s="342"/>
      <c r="Y3089" s="343">
        <f t="shared" si="1421"/>
        <v>0</v>
      </c>
      <c r="Z3089" s="344">
        <f t="shared" si="1422"/>
        <v>0</v>
      </c>
      <c r="AA3089" s="344">
        <f t="shared" si="1417"/>
        <v>0</v>
      </c>
      <c r="AB3089" s="817">
        <v>7.4999999999999997E-3</v>
      </c>
      <c r="AC3089" s="341">
        <f t="shared" si="1423"/>
        <v>0</v>
      </c>
      <c r="AD3089" s="209" t="s">
        <v>2696</v>
      </c>
      <c r="AE3089" s="210">
        <f t="shared" ref="AE3089:AE3110" si="1428">SUM(Q3089*R3089*Z3089)/1000</f>
        <v>0</v>
      </c>
      <c r="AF3089" s="210">
        <f t="shared" ref="AF3089:AF3100" si="1429">AE3089/0.54</f>
        <v>0</v>
      </c>
      <c r="AG3089" s="211">
        <f t="shared" si="1424"/>
        <v>0.191</v>
      </c>
      <c r="AH3089" s="157">
        <f t="shared" si="1427"/>
        <v>0</v>
      </c>
      <c r="AI3089" s="152">
        <f t="shared" si="1426"/>
        <v>2400</v>
      </c>
      <c r="AK3089" s="156" t="s">
        <v>691</v>
      </c>
      <c r="AL3089" s="212" t="s">
        <v>690</v>
      </c>
      <c r="AM3089" s="198">
        <f t="shared" si="1419"/>
        <v>0</v>
      </c>
      <c r="AN3089" s="199">
        <f t="shared" si="1420"/>
        <v>46064</v>
      </c>
      <c r="AO3089" s="159" t="s">
        <v>692</v>
      </c>
      <c r="AP3089" s="781"/>
      <c r="AQ3089" s="782">
        <v>12071839</v>
      </c>
      <c r="AR3089" s="782">
        <v>12042650</v>
      </c>
      <c r="AS3089" s="782">
        <v>12042649</v>
      </c>
      <c r="AT3089" s="782"/>
      <c r="AU3089" s="781"/>
      <c r="AV3089" s="782">
        <v>12083313</v>
      </c>
      <c r="AW3089" s="782"/>
      <c r="AX3089" s="782"/>
      <c r="AY3089" s="782">
        <v>12094233</v>
      </c>
      <c r="AZ3089" s="782">
        <v>12094234</v>
      </c>
      <c r="BA3089" s="781"/>
      <c r="BB3089" s="209">
        <v>23053185</v>
      </c>
    </row>
    <row r="3090" spans="1:54" ht="25" customHeight="1">
      <c r="A3090" s="440"/>
      <c r="B3090" s="332">
        <v>46064</v>
      </c>
      <c r="C3090" s="646" t="s">
        <v>2708</v>
      </c>
      <c r="D3090" s="185">
        <f t="shared" si="1412"/>
        <v>2026</v>
      </c>
      <c r="E3090" s="333" t="e">
        <f>VLOOKUP($B3090,Week!$A$1:$C$1462,2,0)</f>
        <v>#N/A</v>
      </c>
      <c r="F3090" s="334" t="str">
        <f t="shared" si="1413"/>
        <v>Feb</v>
      </c>
      <c r="G3090" s="335" t="s">
        <v>47</v>
      </c>
      <c r="H3090" s="335" t="s">
        <v>518</v>
      </c>
      <c r="I3090" s="335" t="s">
        <v>2702</v>
      </c>
      <c r="J3090" s="336" t="s">
        <v>70</v>
      </c>
      <c r="K3090" s="337" t="s">
        <v>582</v>
      </c>
      <c r="L3090" s="300" t="s">
        <v>2167</v>
      </c>
      <c r="M3090" s="336" t="s">
        <v>534</v>
      </c>
      <c r="N3090" s="530" t="s">
        <v>578</v>
      </c>
      <c r="O3090" s="335" t="s">
        <v>583</v>
      </c>
      <c r="P3090" s="338">
        <v>12</v>
      </c>
      <c r="Q3090" s="338">
        <v>3</v>
      </c>
      <c r="R3090" s="339">
        <v>6.0000000000000001E-3</v>
      </c>
      <c r="S3090" s="335" t="s">
        <v>55</v>
      </c>
      <c r="T3090" s="335" t="s">
        <v>56</v>
      </c>
      <c r="U3090" s="335" t="s">
        <v>57</v>
      </c>
      <c r="V3090" s="341">
        <f>50</f>
        <v>50</v>
      </c>
      <c r="W3090" s="341">
        <f>50</f>
        <v>50</v>
      </c>
      <c r="X3090" s="342"/>
      <c r="Y3090" s="343">
        <f t="shared" si="1421"/>
        <v>0</v>
      </c>
      <c r="Z3090" s="344">
        <f t="shared" si="1422"/>
        <v>0</v>
      </c>
      <c r="AA3090" s="344">
        <f t="shared" si="1417"/>
        <v>0</v>
      </c>
      <c r="AB3090" s="817">
        <v>7.4999999999999997E-3</v>
      </c>
      <c r="AC3090" s="341">
        <f t="shared" si="1423"/>
        <v>0</v>
      </c>
      <c r="AD3090" s="209" t="s">
        <v>2696</v>
      </c>
      <c r="AE3090" s="210">
        <f t="shared" si="1428"/>
        <v>0</v>
      </c>
      <c r="AF3090" s="210">
        <f t="shared" si="1429"/>
        <v>0</v>
      </c>
      <c r="AG3090" s="211">
        <f t="shared" si="1424"/>
        <v>0.191</v>
      </c>
      <c r="AH3090" s="157">
        <f t="shared" si="1427"/>
        <v>0</v>
      </c>
      <c r="AI3090" s="152">
        <f t="shared" si="1426"/>
        <v>600</v>
      </c>
      <c r="AK3090" s="156" t="s">
        <v>691</v>
      </c>
      <c r="AL3090" s="212" t="s">
        <v>690</v>
      </c>
      <c r="AM3090" s="198">
        <f t="shared" si="1419"/>
        <v>0</v>
      </c>
      <c r="AN3090" s="199">
        <f t="shared" si="1420"/>
        <v>46064</v>
      </c>
      <c r="AO3090" s="159" t="s">
        <v>692</v>
      </c>
      <c r="AP3090" s="781"/>
      <c r="AQ3090" s="782">
        <v>12071839</v>
      </c>
      <c r="AR3090" s="782">
        <v>12042650</v>
      </c>
      <c r="AS3090" s="782">
        <v>12042649</v>
      </c>
      <c r="AT3090" s="782"/>
      <c r="AU3090" s="781"/>
      <c r="AV3090" s="782">
        <v>12083313</v>
      </c>
      <c r="AW3090" s="782"/>
      <c r="AX3090" s="782"/>
      <c r="AY3090" s="782">
        <v>12094233</v>
      </c>
      <c r="AZ3090" s="782">
        <v>12094234</v>
      </c>
      <c r="BA3090" s="781"/>
      <c r="BB3090" s="209">
        <v>23053185</v>
      </c>
    </row>
    <row r="3091" spans="1:54" ht="25" customHeight="1">
      <c r="B3091" s="271">
        <v>46064</v>
      </c>
      <c r="C3091" s="870" t="s">
        <v>2708</v>
      </c>
      <c r="D3091" s="185">
        <f t="shared" si="1412"/>
        <v>2026</v>
      </c>
      <c r="E3091" s="272" t="e">
        <f>VLOOKUP($B3091,Week!$A$1:$C$1462,2,0)</f>
        <v>#N/A</v>
      </c>
      <c r="F3091" s="273" t="str">
        <f t="shared" si="1413"/>
        <v>Feb</v>
      </c>
      <c r="G3091" s="274" t="s">
        <v>47</v>
      </c>
      <c r="H3091" s="274" t="s">
        <v>518</v>
      </c>
      <c r="I3091" s="274" t="s">
        <v>2702</v>
      </c>
      <c r="J3091" s="275" t="s">
        <v>70</v>
      </c>
      <c r="K3091" s="276" t="s">
        <v>556</v>
      </c>
      <c r="L3091" s="300" t="s">
        <v>2167</v>
      </c>
      <c r="M3091" s="275" t="s">
        <v>520</v>
      </c>
      <c r="N3091" s="423" t="s">
        <v>586</v>
      </c>
      <c r="O3091" s="274" t="s">
        <v>585</v>
      </c>
      <c r="P3091" s="277">
        <v>12</v>
      </c>
      <c r="Q3091" s="277">
        <v>5</v>
      </c>
      <c r="R3091" s="278">
        <v>6.0000000000000001E-3</v>
      </c>
      <c r="S3091" s="274" t="s">
        <v>55</v>
      </c>
      <c r="T3091" s="274" t="s">
        <v>56</v>
      </c>
      <c r="U3091" s="274" t="s">
        <v>57</v>
      </c>
      <c r="V3091" s="279">
        <f>200</f>
        <v>200</v>
      </c>
      <c r="W3091" s="279">
        <f>9+1+190</f>
        <v>200</v>
      </c>
      <c r="X3091" s="280"/>
      <c r="Y3091" s="281">
        <f t="shared" si="1421"/>
        <v>0</v>
      </c>
      <c r="Z3091" s="282">
        <f t="shared" si="1422"/>
        <v>0</v>
      </c>
      <c r="AA3091" s="282">
        <f t="shared" si="1417"/>
        <v>0</v>
      </c>
      <c r="AB3091" s="812">
        <v>7.4999999999999997E-3</v>
      </c>
      <c r="AC3091" s="279">
        <f t="shared" si="1423"/>
        <v>0</v>
      </c>
      <c r="AD3091" s="209" t="s">
        <v>2697</v>
      </c>
      <c r="AE3091" s="210">
        <f t="shared" si="1428"/>
        <v>0</v>
      </c>
      <c r="AF3091" s="210">
        <f t="shared" si="1429"/>
        <v>0</v>
      </c>
      <c r="AG3091" s="211">
        <f t="shared" si="1424"/>
        <v>0.13500000000000001</v>
      </c>
      <c r="AH3091" s="157">
        <f t="shared" si="1427"/>
        <v>0</v>
      </c>
      <c r="AI3091" s="152">
        <f t="shared" si="1426"/>
        <v>2400</v>
      </c>
      <c r="AK3091" s="156" t="s">
        <v>691</v>
      </c>
      <c r="AL3091" s="212" t="s">
        <v>690</v>
      </c>
      <c r="AM3091" s="198">
        <f t="shared" si="1419"/>
        <v>0</v>
      </c>
      <c r="AN3091" s="199">
        <f t="shared" si="1420"/>
        <v>46064</v>
      </c>
      <c r="AO3091" s="159" t="s">
        <v>692</v>
      </c>
      <c r="AP3091" s="781"/>
      <c r="AQ3091" s="782">
        <v>12071839</v>
      </c>
      <c r="AR3091" s="782">
        <v>12047514</v>
      </c>
      <c r="AS3091" s="782">
        <v>12047515</v>
      </c>
      <c r="AT3091" s="782"/>
      <c r="AU3091" s="781"/>
      <c r="AV3091" s="782">
        <v>12083307</v>
      </c>
      <c r="AW3091" s="782"/>
      <c r="AX3091" s="782"/>
      <c r="AY3091" s="782">
        <v>12094380</v>
      </c>
      <c r="AZ3091" s="782">
        <v>12094381</v>
      </c>
      <c r="BA3091" s="781"/>
      <c r="BB3091" s="209">
        <v>23053185</v>
      </c>
    </row>
    <row r="3092" spans="1:54" ht="25" customHeight="1">
      <c r="A3092" s="440"/>
      <c r="B3092" s="271">
        <v>46064</v>
      </c>
      <c r="C3092" s="870" t="s">
        <v>2708</v>
      </c>
      <c r="D3092" s="185">
        <f t="shared" si="1412"/>
        <v>2026</v>
      </c>
      <c r="E3092" s="272" t="e">
        <f>VLOOKUP($B3092,Week!$A$1:$C$1462,2,0)</f>
        <v>#N/A</v>
      </c>
      <c r="F3092" s="273" t="str">
        <f t="shared" si="1413"/>
        <v>Feb</v>
      </c>
      <c r="G3092" s="274" t="s">
        <v>47</v>
      </c>
      <c r="H3092" s="274" t="s">
        <v>518</v>
      </c>
      <c r="I3092" s="274" t="s">
        <v>2702</v>
      </c>
      <c r="J3092" s="275" t="s">
        <v>70</v>
      </c>
      <c r="K3092" s="276" t="s">
        <v>556</v>
      </c>
      <c r="L3092" s="300" t="s">
        <v>2167</v>
      </c>
      <c r="M3092" s="275" t="s">
        <v>520</v>
      </c>
      <c r="N3092" s="423" t="s">
        <v>586</v>
      </c>
      <c r="O3092" s="274" t="s">
        <v>585</v>
      </c>
      <c r="P3092" s="277">
        <v>12</v>
      </c>
      <c r="Q3092" s="277">
        <v>5</v>
      </c>
      <c r="R3092" s="278">
        <v>6.0000000000000001E-3</v>
      </c>
      <c r="S3092" s="274" t="s">
        <v>55</v>
      </c>
      <c r="T3092" s="274" t="s">
        <v>56</v>
      </c>
      <c r="U3092" s="274" t="s">
        <v>57</v>
      </c>
      <c r="V3092" s="279">
        <f>200</f>
        <v>200</v>
      </c>
      <c r="W3092" s="279">
        <f>200</f>
        <v>200</v>
      </c>
      <c r="X3092" s="280"/>
      <c r="Y3092" s="281">
        <f t="shared" si="1421"/>
        <v>0</v>
      </c>
      <c r="Z3092" s="282">
        <f t="shared" si="1422"/>
        <v>0</v>
      </c>
      <c r="AA3092" s="282">
        <f t="shared" si="1417"/>
        <v>0</v>
      </c>
      <c r="AB3092" s="812">
        <v>7.4999999999999997E-3</v>
      </c>
      <c r="AC3092" s="279">
        <f t="shared" si="1423"/>
        <v>0</v>
      </c>
      <c r="AD3092" s="209" t="s">
        <v>2697</v>
      </c>
      <c r="AE3092" s="210">
        <f t="shared" si="1428"/>
        <v>0</v>
      </c>
      <c r="AF3092" s="210">
        <f t="shared" si="1429"/>
        <v>0</v>
      </c>
      <c r="AG3092" s="211">
        <f t="shared" si="1424"/>
        <v>0.13500000000000001</v>
      </c>
      <c r="AH3092" s="157">
        <f t="shared" si="1427"/>
        <v>0</v>
      </c>
      <c r="AI3092" s="152">
        <f t="shared" si="1426"/>
        <v>2400</v>
      </c>
      <c r="AK3092" s="156" t="s">
        <v>691</v>
      </c>
      <c r="AL3092" s="212" t="s">
        <v>690</v>
      </c>
      <c r="AM3092" s="198">
        <f t="shared" si="1419"/>
        <v>0</v>
      </c>
      <c r="AN3092" s="199">
        <f t="shared" si="1420"/>
        <v>46064</v>
      </c>
      <c r="AO3092" s="159" t="s">
        <v>692</v>
      </c>
      <c r="AP3092" s="781"/>
      <c r="AQ3092" s="782">
        <v>12071839</v>
      </c>
      <c r="AR3092" s="782">
        <v>12047514</v>
      </c>
      <c r="AS3092" s="782">
        <v>12047515</v>
      </c>
      <c r="AT3092" s="782"/>
      <c r="AU3092" s="781"/>
      <c r="AV3092" s="782">
        <v>12083307</v>
      </c>
      <c r="AW3092" s="782"/>
      <c r="AX3092" s="782"/>
      <c r="AY3092" s="782">
        <v>12094380</v>
      </c>
      <c r="AZ3092" s="782">
        <v>12094381</v>
      </c>
      <c r="BA3092" s="781"/>
      <c r="BB3092" s="209">
        <v>23053185</v>
      </c>
    </row>
    <row r="3093" spans="1:54" ht="25" customHeight="1">
      <c r="A3093" s="440" t="s">
        <v>2861</v>
      </c>
      <c r="B3093" s="271">
        <v>46064</v>
      </c>
      <c r="C3093" s="870" t="s">
        <v>2708</v>
      </c>
      <c r="D3093" s="185">
        <f t="shared" si="1412"/>
        <v>2026</v>
      </c>
      <c r="E3093" s="272" t="e">
        <f>VLOOKUP($B3093,Week!$A$1:$C$1462,2,0)</f>
        <v>#N/A</v>
      </c>
      <c r="F3093" s="273" t="str">
        <f t="shared" si="1413"/>
        <v>Feb</v>
      </c>
      <c r="G3093" s="274" t="s">
        <v>47</v>
      </c>
      <c r="H3093" s="274" t="s">
        <v>518</v>
      </c>
      <c r="I3093" s="274" t="s">
        <v>2702</v>
      </c>
      <c r="J3093" s="275" t="s">
        <v>70</v>
      </c>
      <c r="K3093" s="276" t="s">
        <v>556</v>
      </c>
      <c r="L3093" s="300" t="s">
        <v>2167</v>
      </c>
      <c r="M3093" s="275" t="s">
        <v>520</v>
      </c>
      <c r="N3093" s="423" t="s">
        <v>586</v>
      </c>
      <c r="O3093" s="274" t="s">
        <v>585</v>
      </c>
      <c r="P3093" s="277">
        <v>12</v>
      </c>
      <c r="Q3093" s="277">
        <v>5</v>
      </c>
      <c r="R3093" s="278">
        <v>6.0000000000000001E-3</v>
      </c>
      <c r="S3093" s="274" t="s">
        <v>55</v>
      </c>
      <c r="T3093" s="274" t="s">
        <v>56</v>
      </c>
      <c r="U3093" s="274" t="s">
        <v>57</v>
      </c>
      <c r="V3093" s="279">
        <f>200</f>
        <v>200</v>
      </c>
      <c r="W3093" s="279">
        <f>200</f>
        <v>200</v>
      </c>
      <c r="X3093" s="280"/>
      <c r="Y3093" s="281">
        <f t="shared" si="1421"/>
        <v>0</v>
      </c>
      <c r="Z3093" s="282">
        <f t="shared" si="1422"/>
        <v>0</v>
      </c>
      <c r="AA3093" s="282">
        <f t="shared" si="1417"/>
        <v>0</v>
      </c>
      <c r="AB3093" s="812">
        <v>7.4999999999999997E-3</v>
      </c>
      <c r="AC3093" s="279">
        <f t="shared" si="1423"/>
        <v>0</v>
      </c>
      <c r="AD3093" s="209" t="s">
        <v>2697</v>
      </c>
      <c r="AE3093" s="210">
        <f t="shared" si="1428"/>
        <v>0</v>
      </c>
      <c r="AF3093" s="210">
        <f t="shared" si="1429"/>
        <v>0</v>
      </c>
      <c r="AG3093" s="211">
        <f t="shared" si="1424"/>
        <v>0.13500000000000001</v>
      </c>
      <c r="AH3093" s="157">
        <f t="shared" si="1427"/>
        <v>0</v>
      </c>
      <c r="AI3093" s="152">
        <f t="shared" si="1426"/>
        <v>2400</v>
      </c>
      <c r="AK3093" s="156" t="s">
        <v>691</v>
      </c>
      <c r="AL3093" s="212" t="s">
        <v>690</v>
      </c>
      <c r="AM3093" s="198">
        <f t="shared" si="1419"/>
        <v>0</v>
      </c>
      <c r="AN3093" s="199">
        <f t="shared" si="1420"/>
        <v>46064</v>
      </c>
      <c r="AO3093" s="159" t="s">
        <v>692</v>
      </c>
      <c r="AP3093" s="781"/>
      <c r="AQ3093" s="782">
        <v>12071839</v>
      </c>
      <c r="AR3093" s="782">
        <v>12047514</v>
      </c>
      <c r="AS3093" s="782">
        <v>12047515</v>
      </c>
      <c r="AT3093" s="782"/>
      <c r="AU3093" s="781"/>
      <c r="AV3093" s="782">
        <v>12083307</v>
      </c>
      <c r="AW3093" s="782"/>
      <c r="AX3093" s="782"/>
      <c r="AY3093" s="782">
        <v>12094380</v>
      </c>
      <c r="AZ3093" s="782">
        <v>12094381</v>
      </c>
      <c r="BA3093" s="781"/>
      <c r="BB3093" s="209">
        <v>23053185</v>
      </c>
    </row>
    <row r="3094" spans="1:54" ht="24.65" customHeight="1">
      <c r="A3094" s="529" t="s">
        <v>1812</v>
      </c>
      <c r="B3094" s="357">
        <v>46064</v>
      </c>
      <c r="C3094" s="776">
        <v>46096</v>
      </c>
      <c r="D3094" s="185">
        <f t="shared" si="1412"/>
        <v>2026</v>
      </c>
      <c r="E3094" s="358" t="e">
        <f>VLOOKUP($B3094,Week!$A$1:$C$1462,2,0)</f>
        <v>#N/A</v>
      </c>
      <c r="F3094" s="360" t="str">
        <f t="shared" si="1413"/>
        <v>Feb</v>
      </c>
      <c r="G3094" s="359" t="s">
        <v>2789</v>
      </c>
      <c r="H3094" s="436" t="s">
        <v>1820</v>
      </c>
      <c r="I3094" s="436" t="s">
        <v>1820</v>
      </c>
      <c r="J3094" s="437" t="s">
        <v>1821</v>
      </c>
      <c r="K3094" s="362" t="s">
        <v>94</v>
      </c>
      <c r="L3094" s="300" t="s">
        <v>2167</v>
      </c>
      <c r="M3094" s="361" t="s">
        <v>1823</v>
      </c>
      <c r="N3094" s="436" t="s">
        <v>1818</v>
      </c>
      <c r="O3094" s="359" t="s">
        <v>97</v>
      </c>
      <c r="P3094" s="363">
        <v>12</v>
      </c>
      <c r="Q3094" s="363">
        <v>5</v>
      </c>
      <c r="R3094" s="364">
        <v>8.0000000000000002E-3</v>
      </c>
      <c r="S3094" s="359" t="s">
        <v>40</v>
      </c>
      <c r="T3094" s="359" t="s">
        <v>56</v>
      </c>
      <c r="U3094" s="359" t="s">
        <v>57</v>
      </c>
      <c r="V3094" s="365">
        <f>100</f>
        <v>100</v>
      </c>
      <c r="W3094" s="365">
        <v>100</v>
      </c>
      <c r="X3094" s="366"/>
      <c r="Y3094" s="367">
        <f t="shared" si="1421"/>
        <v>0</v>
      </c>
      <c r="Z3094" s="368">
        <f t="shared" si="1422"/>
        <v>0</v>
      </c>
      <c r="AA3094" s="368">
        <f t="shared" si="1417"/>
        <v>0</v>
      </c>
      <c r="AB3094" s="819">
        <v>7.4999999999999997E-3</v>
      </c>
      <c r="AC3094" s="365">
        <f t="shared" si="1423"/>
        <v>0</v>
      </c>
      <c r="AD3094" s="443"/>
      <c r="AE3094" s="210">
        <f t="shared" si="1428"/>
        <v>0</v>
      </c>
      <c r="AF3094" s="210">
        <f t="shared" si="1429"/>
        <v>0</v>
      </c>
      <c r="AG3094" s="211">
        <f t="shared" si="1424"/>
        <v>0.14499999999999999</v>
      </c>
      <c r="AH3094" s="157">
        <f t="shared" si="1427"/>
        <v>0</v>
      </c>
      <c r="AI3094" s="152">
        <f t="shared" si="1426"/>
        <v>1200</v>
      </c>
      <c r="AK3094" s="156" t="s">
        <v>691</v>
      </c>
      <c r="AL3094" s="574" t="s">
        <v>690</v>
      </c>
      <c r="AM3094" s="198">
        <f t="shared" si="1419"/>
        <v>0</v>
      </c>
      <c r="AN3094" s="199">
        <f t="shared" si="1420"/>
        <v>46064</v>
      </c>
      <c r="AO3094" s="159" t="s">
        <v>692</v>
      </c>
      <c r="AP3094" s="783" t="s">
        <v>628</v>
      </c>
      <c r="AQ3094" s="782">
        <v>12071839</v>
      </c>
      <c r="AR3094" s="782">
        <v>12047514</v>
      </c>
      <c r="AS3094" s="782">
        <v>12047515</v>
      </c>
      <c r="AT3094" s="782"/>
      <c r="AU3094" s="781"/>
      <c r="AV3094" s="782">
        <v>12080617</v>
      </c>
      <c r="AW3094" s="782"/>
      <c r="AX3094" s="782"/>
      <c r="AY3094" s="782">
        <v>12094231</v>
      </c>
      <c r="AZ3094" s="782">
        <v>1209232</v>
      </c>
      <c r="BA3094" s="781"/>
      <c r="BB3094" s="209">
        <v>23053185</v>
      </c>
    </row>
    <row r="3095" spans="1:54" ht="24.65" customHeight="1">
      <c r="A3095" s="529" t="s">
        <v>1812</v>
      </c>
      <c r="B3095" s="357">
        <v>46064</v>
      </c>
      <c r="C3095" s="776">
        <v>46096</v>
      </c>
      <c r="D3095" s="185">
        <f t="shared" si="1412"/>
        <v>2026</v>
      </c>
      <c r="E3095" s="358" t="e">
        <f>VLOOKUP($B3095,Week!$A$1:$C$1462,2,0)</f>
        <v>#N/A</v>
      </c>
      <c r="F3095" s="360" t="str">
        <f t="shared" si="1413"/>
        <v>Feb</v>
      </c>
      <c r="G3095" s="359" t="s">
        <v>2824</v>
      </c>
      <c r="H3095" s="436" t="s">
        <v>1820</v>
      </c>
      <c r="I3095" s="436" t="s">
        <v>1820</v>
      </c>
      <c r="J3095" s="437" t="s">
        <v>1821</v>
      </c>
      <c r="K3095" s="362" t="s">
        <v>94</v>
      </c>
      <c r="L3095" s="300" t="s">
        <v>2167</v>
      </c>
      <c r="M3095" s="361" t="s">
        <v>1823</v>
      </c>
      <c r="N3095" s="436" t="s">
        <v>1818</v>
      </c>
      <c r="O3095" s="359" t="s">
        <v>97</v>
      </c>
      <c r="P3095" s="363">
        <v>12</v>
      </c>
      <c r="Q3095" s="363">
        <v>5</v>
      </c>
      <c r="R3095" s="364">
        <v>8.0000000000000002E-3</v>
      </c>
      <c r="S3095" s="359" t="s">
        <v>40</v>
      </c>
      <c r="T3095" s="359" t="s">
        <v>56</v>
      </c>
      <c r="U3095" s="359" t="s">
        <v>57</v>
      </c>
      <c r="V3095" s="365">
        <f>100</f>
        <v>100</v>
      </c>
      <c r="W3095" s="365">
        <v>100</v>
      </c>
      <c r="X3095" s="366"/>
      <c r="Y3095" s="367">
        <f t="shared" si="1421"/>
        <v>0</v>
      </c>
      <c r="Z3095" s="368">
        <f t="shared" si="1422"/>
        <v>0</v>
      </c>
      <c r="AA3095" s="368">
        <f t="shared" si="1417"/>
        <v>0</v>
      </c>
      <c r="AB3095" s="819">
        <v>7.4999999999999997E-3</v>
      </c>
      <c r="AC3095" s="365">
        <f t="shared" si="1423"/>
        <v>0</v>
      </c>
      <c r="AD3095" s="443"/>
      <c r="AE3095" s="210">
        <f t="shared" si="1428"/>
        <v>0</v>
      </c>
      <c r="AF3095" s="210">
        <f t="shared" si="1429"/>
        <v>0</v>
      </c>
      <c r="AG3095" s="211">
        <f t="shared" si="1424"/>
        <v>0.14499999999999999</v>
      </c>
      <c r="AH3095" s="157">
        <f t="shared" si="1427"/>
        <v>0</v>
      </c>
      <c r="AI3095" s="152">
        <f t="shared" si="1426"/>
        <v>1200</v>
      </c>
      <c r="AK3095" s="156" t="s">
        <v>691</v>
      </c>
      <c r="AL3095" s="574" t="s">
        <v>690</v>
      </c>
      <c r="AM3095" s="198">
        <f t="shared" si="1419"/>
        <v>0</v>
      </c>
      <c r="AN3095" s="199">
        <f t="shared" si="1420"/>
        <v>46064</v>
      </c>
      <c r="AO3095" s="159" t="s">
        <v>692</v>
      </c>
      <c r="AP3095" s="783" t="s">
        <v>628</v>
      </c>
      <c r="AQ3095" s="782">
        <v>12071839</v>
      </c>
      <c r="AR3095" s="782">
        <v>12047514</v>
      </c>
      <c r="AS3095" s="782">
        <v>12047515</v>
      </c>
      <c r="AT3095" s="782"/>
      <c r="AU3095" s="781"/>
      <c r="AV3095" s="782">
        <v>12080617</v>
      </c>
      <c r="AW3095" s="782"/>
      <c r="AX3095" s="782"/>
      <c r="AY3095" s="782">
        <v>12094231</v>
      </c>
      <c r="AZ3095" s="782">
        <v>1209232</v>
      </c>
      <c r="BA3095" s="781"/>
      <c r="BB3095" s="209">
        <v>23053185</v>
      </c>
    </row>
    <row r="3096" spans="1:54" ht="25" customHeight="1">
      <c r="A3096" s="529" t="s">
        <v>1937</v>
      </c>
      <c r="B3096" s="357">
        <v>46064</v>
      </c>
      <c r="C3096" s="776" t="s">
        <v>2708</v>
      </c>
      <c r="D3096" s="185">
        <f t="shared" si="1412"/>
        <v>2026</v>
      </c>
      <c r="E3096" s="358" t="e">
        <f>VLOOKUP($B3096,Week!$A$1:$C$1462,2,0)</f>
        <v>#N/A</v>
      </c>
      <c r="F3096" s="360" t="str">
        <f t="shared" si="1413"/>
        <v>Feb</v>
      </c>
      <c r="G3096" s="359" t="s">
        <v>47</v>
      </c>
      <c r="H3096" s="359" t="s">
        <v>518</v>
      </c>
      <c r="I3096" s="359" t="s">
        <v>2702</v>
      </c>
      <c r="J3096" s="361" t="s">
        <v>70</v>
      </c>
      <c r="K3096" s="362" t="s">
        <v>94</v>
      </c>
      <c r="L3096" s="362" t="s">
        <v>2167</v>
      </c>
      <c r="M3096" s="361" t="s">
        <v>2341</v>
      </c>
      <c r="N3096" s="436" t="s">
        <v>648</v>
      </c>
      <c r="O3096" s="359" t="s">
        <v>97</v>
      </c>
      <c r="P3096" s="363">
        <v>12</v>
      </c>
      <c r="Q3096" s="363">
        <v>5</v>
      </c>
      <c r="R3096" s="364">
        <v>8.0000000000000002E-3</v>
      </c>
      <c r="S3096" s="359" t="s">
        <v>40</v>
      </c>
      <c r="T3096" s="359" t="s">
        <v>56</v>
      </c>
      <c r="U3096" s="359" t="s">
        <v>57</v>
      </c>
      <c r="V3096" s="365">
        <v>12</v>
      </c>
      <c r="W3096" s="365">
        <v>12</v>
      </c>
      <c r="X3096" s="366"/>
      <c r="Y3096" s="367">
        <f t="shared" si="1421"/>
        <v>0</v>
      </c>
      <c r="Z3096" s="368">
        <f t="shared" si="1422"/>
        <v>0</v>
      </c>
      <c r="AA3096" s="368">
        <f t="shared" si="1417"/>
        <v>0</v>
      </c>
      <c r="AB3096" s="819">
        <v>7.4999999999999997E-3</v>
      </c>
      <c r="AC3096" s="365">
        <f t="shared" si="1423"/>
        <v>0</v>
      </c>
      <c r="AD3096" s="209"/>
      <c r="AE3096" s="210">
        <f t="shared" si="1428"/>
        <v>0</v>
      </c>
      <c r="AF3096" s="210">
        <f t="shared" si="1429"/>
        <v>0</v>
      </c>
      <c r="AG3096" s="211">
        <f t="shared" si="1424"/>
        <v>0.14499999999999999</v>
      </c>
      <c r="AH3096" s="157">
        <f t="shared" si="1427"/>
        <v>0</v>
      </c>
      <c r="AI3096" s="152">
        <f t="shared" si="1426"/>
        <v>144</v>
      </c>
      <c r="AK3096" s="156" t="s">
        <v>691</v>
      </c>
      <c r="AL3096" s="574" t="s">
        <v>690</v>
      </c>
      <c r="AM3096" s="198">
        <f t="shared" si="1419"/>
        <v>0</v>
      </c>
      <c r="AN3096" s="199">
        <f t="shared" si="1420"/>
        <v>46064</v>
      </c>
      <c r="AO3096" s="159" t="s">
        <v>692</v>
      </c>
      <c r="AP3096" s="783" t="s">
        <v>628</v>
      </c>
      <c r="AQ3096" s="782">
        <v>12071839</v>
      </c>
      <c r="AR3096" s="782">
        <v>12047514</v>
      </c>
      <c r="AS3096" s="782">
        <v>12047515</v>
      </c>
      <c r="AT3096" s="782"/>
      <c r="AU3096" s="781"/>
      <c r="AV3096" s="782">
        <v>12080617</v>
      </c>
      <c r="AW3096" s="782"/>
      <c r="AX3096" s="782"/>
      <c r="AY3096" s="782">
        <v>12094231</v>
      </c>
      <c r="AZ3096" s="782">
        <v>1209232</v>
      </c>
      <c r="BA3096" s="781"/>
      <c r="BB3096" s="209"/>
    </row>
    <row r="3097" spans="1:54" ht="25" customHeight="1">
      <c r="B3097" s="357">
        <v>46064</v>
      </c>
      <c r="C3097" s="776" t="s">
        <v>2708</v>
      </c>
      <c r="D3097" s="185">
        <f t="shared" si="1412"/>
        <v>2026</v>
      </c>
      <c r="E3097" s="358" t="e">
        <f>VLOOKUP($B3097,Week!$A$1:$C$1462,2,0)</f>
        <v>#N/A</v>
      </c>
      <c r="F3097" s="360" t="str">
        <f t="shared" si="1413"/>
        <v>Feb</v>
      </c>
      <c r="G3097" s="359" t="s">
        <v>47</v>
      </c>
      <c r="H3097" s="359" t="s">
        <v>518</v>
      </c>
      <c r="I3097" s="359" t="s">
        <v>2702</v>
      </c>
      <c r="J3097" s="361" t="s">
        <v>70</v>
      </c>
      <c r="K3097" s="362" t="s">
        <v>94</v>
      </c>
      <c r="L3097" s="300" t="s">
        <v>2167</v>
      </c>
      <c r="M3097" s="361" t="s">
        <v>2341</v>
      </c>
      <c r="N3097" s="359" t="s">
        <v>589</v>
      </c>
      <c r="O3097" s="359" t="s">
        <v>97</v>
      </c>
      <c r="P3097" s="363">
        <v>12</v>
      </c>
      <c r="Q3097" s="363">
        <v>5</v>
      </c>
      <c r="R3097" s="364">
        <v>8.0000000000000002E-3</v>
      </c>
      <c r="S3097" s="359" t="s">
        <v>40</v>
      </c>
      <c r="T3097" s="359" t="s">
        <v>56</v>
      </c>
      <c r="U3097" s="359" t="s">
        <v>57</v>
      </c>
      <c r="V3097" s="365">
        <f>2500</f>
        <v>2500</v>
      </c>
      <c r="W3097" s="365">
        <f>1279-1250+1+2470</f>
        <v>2500</v>
      </c>
      <c r="X3097" s="366"/>
      <c r="Y3097" s="367">
        <f t="shared" si="1421"/>
        <v>0</v>
      </c>
      <c r="Z3097" s="368">
        <f t="shared" si="1422"/>
        <v>0</v>
      </c>
      <c r="AA3097" s="368">
        <f t="shared" si="1417"/>
        <v>0</v>
      </c>
      <c r="AB3097" s="819">
        <v>7.4999999999999997E-3</v>
      </c>
      <c r="AC3097" s="365">
        <f t="shared" si="1423"/>
        <v>0</v>
      </c>
      <c r="AD3097" s="209"/>
      <c r="AE3097" s="210">
        <f t="shared" si="1428"/>
        <v>0</v>
      </c>
      <c r="AF3097" s="210">
        <f t="shared" si="1429"/>
        <v>0</v>
      </c>
      <c r="AG3097" s="211">
        <f t="shared" si="1424"/>
        <v>0.14499999999999999</v>
      </c>
      <c r="AH3097" s="157">
        <f t="shared" si="1427"/>
        <v>0</v>
      </c>
      <c r="AI3097" s="152">
        <f t="shared" si="1426"/>
        <v>30000</v>
      </c>
      <c r="AK3097" s="156" t="s">
        <v>691</v>
      </c>
      <c r="AL3097" s="574" t="s">
        <v>690</v>
      </c>
      <c r="AM3097" s="198">
        <f t="shared" si="1419"/>
        <v>0</v>
      </c>
      <c r="AN3097" s="199">
        <f t="shared" si="1420"/>
        <v>46064</v>
      </c>
      <c r="AO3097" s="159" t="s">
        <v>692</v>
      </c>
      <c r="AP3097" s="783" t="s">
        <v>628</v>
      </c>
      <c r="AQ3097" s="782">
        <v>12071839</v>
      </c>
      <c r="AR3097" s="782">
        <v>12047514</v>
      </c>
      <c r="AS3097" s="782">
        <v>12047515</v>
      </c>
      <c r="AT3097" s="782"/>
      <c r="AU3097" s="781"/>
      <c r="AV3097" s="782">
        <v>12080617</v>
      </c>
      <c r="AW3097" s="782"/>
      <c r="AX3097" s="782"/>
      <c r="AY3097" s="782">
        <v>12094231</v>
      </c>
      <c r="AZ3097" s="782">
        <v>1209232</v>
      </c>
      <c r="BA3097" s="781"/>
      <c r="BB3097" s="209">
        <v>23053185</v>
      </c>
    </row>
    <row r="3098" spans="1:54" ht="24.65" customHeight="1">
      <c r="B3098" s="411">
        <v>46064</v>
      </c>
      <c r="C3098" s="645" t="s">
        <v>2717</v>
      </c>
      <c r="D3098" s="185">
        <f t="shared" si="1412"/>
        <v>2026</v>
      </c>
      <c r="E3098" s="412" t="e">
        <f>VLOOKUP($B3098,Week!$A$1:$C$1462,2,0)</f>
        <v>#N/A</v>
      </c>
      <c r="F3098" s="413" t="str">
        <f t="shared" si="1413"/>
        <v>Feb</v>
      </c>
      <c r="G3098" s="414" t="s">
        <v>47</v>
      </c>
      <c r="H3098" s="414" t="s">
        <v>260</v>
      </c>
      <c r="I3098" s="414" t="s">
        <v>2702</v>
      </c>
      <c r="J3098" s="415" t="s">
        <v>261</v>
      </c>
      <c r="K3098" s="416" t="s">
        <v>94</v>
      </c>
      <c r="L3098" s="300" t="s">
        <v>2167</v>
      </c>
      <c r="M3098" s="415" t="s">
        <v>2339</v>
      </c>
      <c r="N3098" s="414" t="s">
        <v>263</v>
      </c>
      <c r="O3098" s="414" t="s">
        <v>195</v>
      </c>
      <c r="P3098" s="417">
        <v>24</v>
      </c>
      <c r="Q3098" s="417">
        <v>5</v>
      </c>
      <c r="R3098" s="418">
        <v>8.0000000000000002E-3</v>
      </c>
      <c r="S3098" s="414" t="s">
        <v>40</v>
      </c>
      <c r="T3098" s="414" t="s">
        <v>56</v>
      </c>
      <c r="U3098" s="414" t="s">
        <v>57</v>
      </c>
      <c r="V3098" s="419">
        <v>967</v>
      </c>
      <c r="W3098" s="419">
        <f>1+966</f>
        <v>967</v>
      </c>
      <c r="X3098" s="420"/>
      <c r="Y3098" s="421">
        <f t="shared" si="1421"/>
        <v>0</v>
      </c>
      <c r="Z3098" s="422">
        <f t="shared" si="1422"/>
        <v>0</v>
      </c>
      <c r="AA3098" s="422">
        <f t="shared" si="1417"/>
        <v>0</v>
      </c>
      <c r="AB3098" s="825">
        <v>7.4999999999999997E-3</v>
      </c>
      <c r="AC3098" s="419">
        <f t="shared" si="1423"/>
        <v>0</v>
      </c>
      <c r="AD3098" s="209" t="s">
        <v>2698</v>
      </c>
      <c r="AE3098" s="210">
        <f t="shared" si="1428"/>
        <v>0</v>
      </c>
      <c r="AF3098" s="210">
        <f t="shared" si="1429"/>
        <v>0</v>
      </c>
      <c r="AG3098" s="211">
        <f t="shared" si="1424"/>
        <v>0.14499999999999999</v>
      </c>
      <c r="AH3098" s="157">
        <f t="shared" si="1427"/>
        <v>0</v>
      </c>
      <c r="AI3098" s="152">
        <f t="shared" si="1426"/>
        <v>23208</v>
      </c>
      <c r="AK3098" s="156" t="s">
        <v>691</v>
      </c>
      <c r="AL3098" s="212" t="s">
        <v>690</v>
      </c>
      <c r="AM3098" s="198">
        <f t="shared" si="1419"/>
        <v>0</v>
      </c>
      <c r="AN3098" s="199">
        <f t="shared" si="1420"/>
        <v>46064</v>
      </c>
      <c r="AO3098" s="159" t="s">
        <v>692</v>
      </c>
      <c r="AP3098" s="783" t="s">
        <v>609</v>
      </c>
      <c r="AQ3098" s="782">
        <v>12071839</v>
      </c>
      <c r="AR3098" s="782">
        <v>12047514</v>
      </c>
      <c r="AS3098" s="782">
        <v>12047515</v>
      </c>
      <c r="AT3098" s="781"/>
      <c r="AU3098" s="781"/>
      <c r="AV3098" s="782">
        <v>12080613</v>
      </c>
      <c r="AW3098" s="781"/>
      <c r="AX3098" s="781"/>
      <c r="AY3098" s="782">
        <v>12094241</v>
      </c>
      <c r="AZ3098" s="782">
        <v>12094242</v>
      </c>
      <c r="BA3098" s="781"/>
      <c r="BB3098" s="209">
        <v>23053185</v>
      </c>
    </row>
    <row r="3099" spans="1:54" ht="25" customHeight="1">
      <c r="B3099" s="398">
        <v>46064</v>
      </c>
      <c r="C3099" s="879" t="s">
        <v>2708</v>
      </c>
      <c r="D3099" s="185">
        <f t="shared" si="1412"/>
        <v>2026</v>
      </c>
      <c r="E3099" s="399" t="e">
        <f>VLOOKUP($B3099,Week!$A$1:$C$1462,2,0)</f>
        <v>#N/A</v>
      </c>
      <c r="F3099" s="400" t="str">
        <f t="shared" si="1413"/>
        <v>Feb</v>
      </c>
      <c r="G3099" s="401" t="s">
        <v>47</v>
      </c>
      <c r="H3099" s="401" t="s">
        <v>518</v>
      </c>
      <c r="I3099" s="401" t="s">
        <v>2702</v>
      </c>
      <c r="J3099" s="402" t="s">
        <v>70</v>
      </c>
      <c r="K3099" s="403" t="s">
        <v>1645</v>
      </c>
      <c r="L3099" s="300" t="s">
        <v>2167</v>
      </c>
      <c r="M3099" s="402" t="s">
        <v>2567</v>
      </c>
      <c r="N3099" s="404" t="s">
        <v>2520</v>
      </c>
      <c r="O3099" s="401" t="s">
        <v>747</v>
      </c>
      <c r="P3099" s="405">
        <v>12</v>
      </c>
      <c r="Q3099" s="405">
        <v>5</v>
      </c>
      <c r="R3099" s="406">
        <v>8.0000000000000002E-3</v>
      </c>
      <c r="S3099" s="401" t="s">
        <v>352</v>
      </c>
      <c r="T3099" s="401" t="s">
        <v>56</v>
      </c>
      <c r="U3099" s="770" t="s">
        <v>669</v>
      </c>
      <c r="V3099" s="407">
        <f>600</f>
        <v>600</v>
      </c>
      <c r="W3099" s="407">
        <f>1+498</f>
        <v>499</v>
      </c>
      <c r="X3099" s="408">
        <f>55+46</f>
        <v>101</v>
      </c>
      <c r="Y3099" s="409">
        <f t="shared" si="1421"/>
        <v>0</v>
      </c>
      <c r="Z3099" s="410">
        <f t="shared" si="1422"/>
        <v>0</v>
      </c>
      <c r="AA3099" s="410">
        <f t="shared" si="1417"/>
        <v>0</v>
      </c>
      <c r="AB3099" s="824">
        <v>8.9999999999999993E-3</v>
      </c>
      <c r="AC3099" s="407">
        <f t="shared" si="1423"/>
        <v>0</v>
      </c>
      <c r="AD3099" s="443" t="s">
        <v>2695</v>
      </c>
      <c r="AE3099" s="210">
        <f t="shared" si="1428"/>
        <v>0</v>
      </c>
      <c r="AF3099" s="210">
        <f t="shared" si="1429"/>
        <v>0</v>
      </c>
      <c r="AG3099" s="211">
        <f t="shared" si="1424"/>
        <v>0.14299999999999999</v>
      </c>
      <c r="AH3099" s="157">
        <f t="shared" si="1427"/>
        <v>0</v>
      </c>
      <c r="AI3099" s="152">
        <f t="shared" si="1426"/>
        <v>7200</v>
      </c>
      <c r="AK3099" s="156" t="s">
        <v>691</v>
      </c>
      <c r="AL3099" s="212" t="s">
        <v>690</v>
      </c>
      <c r="AM3099" s="198">
        <f t="shared" si="1419"/>
        <v>0</v>
      </c>
      <c r="AN3099" s="199">
        <f t="shared" si="1420"/>
        <v>46064</v>
      </c>
      <c r="AO3099" s="159" t="s">
        <v>692</v>
      </c>
      <c r="AP3099" s="783" t="s">
        <v>623</v>
      </c>
      <c r="AQ3099" s="782">
        <v>12071839</v>
      </c>
      <c r="AR3099" s="782">
        <v>12047514</v>
      </c>
      <c r="AS3099" s="782">
        <v>12047515</v>
      </c>
      <c r="AT3099" s="782"/>
      <c r="AU3099" s="781"/>
      <c r="AV3099" s="782">
        <v>12096536</v>
      </c>
      <c r="AW3099" s="782"/>
      <c r="AX3099" s="782"/>
      <c r="AY3099" s="782">
        <v>12096534</v>
      </c>
      <c r="AZ3099" s="782">
        <v>12096535</v>
      </c>
      <c r="BA3099" s="781"/>
      <c r="BB3099" s="209">
        <v>23098853</v>
      </c>
    </row>
    <row r="3100" spans="1:54" ht="25" customHeight="1">
      <c r="A3100" s="142" t="s">
        <v>120</v>
      </c>
      <c r="B3100" s="320">
        <v>46065</v>
      </c>
      <c r="C3100" s="321">
        <v>46076</v>
      </c>
      <c r="D3100" s="323">
        <f t="shared" si="1412"/>
        <v>2026</v>
      </c>
      <c r="E3100" s="321" t="e">
        <f>VLOOKUP($B3100,Week!$A$1:$C$1462,2,0)</f>
        <v>#N/A</v>
      </c>
      <c r="F3100" s="322" t="str">
        <f t="shared" si="1413"/>
        <v>Feb</v>
      </c>
      <c r="G3100" s="323" t="s">
        <v>2755</v>
      </c>
      <c r="H3100" s="323" t="s">
        <v>363</v>
      </c>
      <c r="I3100" s="323" t="s">
        <v>2772</v>
      </c>
      <c r="J3100" s="324" t="s">
        <v>364</v>
      </c>
      <c r="K3100" s="325" t="s">
        <v>2583</v>
      </c>
      <c r="L3100" s="325" t="s">
        <v>2166</v>
      </c>
      <c r="M3100" s="324" t="s">
        <v>2586</v>
      </c>
      <c r="N3100" s="323" t="s">
        <v>2584</v>
      </c>
      <c r="O3100" s="323" t="s">
        <v>2587</v>
      </c>
      <c r="P3100" s="326">
        <v>20</v>
      </c>
      <c r="Q3100" s="326">
        <v>50</v>
      </c>
      <c r="R3100" s="327">
        <v>4.0000000000000001E-3</v>
      </c>
      <c r="S3100" s="323" t="s">
        <v>55</v>
      </c>
      <c r="T3100" s="323" t="s">
        <v>112</v>
      </c>
      <c r="U3100" s="323" t="s">
        <v>77</v>
      </c>
      <c r="V3100" s="328">
        <v>172</v>
      </c>
      <c r="W3100" s="328">
        <v>172</v>
      </c>
      <c r="X3100" s="329"/>
      <c r="Y3100" s="330">
        <f t="shared" si="1421"/>
        <v>0</v>
      </c>
      <c r="Z3100" s="331">
        <f t="shared" si="1422"/>
        <v>0</v>
      </c>
      <c r="AA3100" s="331">
        <f t="shared" si="1417"/>
        <v>0</v>
      </c>
      <c r="AB3100" s="816">
        <v>6</v>
      </c>
      <c r="AC3100" s="328">
        <f t="shared" si="1423"/>
        <v>0</v>
      </c>
      <c r="AD3100" s="209"/>
      <c r="AE3100" s="210">
        <f t="shared" si="1428"/>
        <v>0</v>
      </c>
      <c r="AF3100" s="210">
        <f t="shared" si="1429"/>
        <v>0</v>
      </c>
      <c r="AG3100" s="211">
        <f t="shared" si="1424"/>
        <v>0.5</v>
      </c>
      <c r="AH3100" s="157">
        <f t="shared" si="1427"/>
        <v>0</v>
      </c>
      <c r="AI3100" s="152">
        <f t="shared" si="1426"/>
        <v>3440</v>
      </c>
      <c r="AK3100" s="156" t="s">
        <v>691</v>
      </c>
      <c r="AL3100" s="156" t="s">
        <v>689</v>
      </c>
      <c r="AM3100" s="198">
        <f t="shared" si="1419"/>
        <v>0</v>
      </c>
      <c r="AN3100" s="199">
        <f t="shared" si="1420"/>
        <v>46065</v>
      </c>
      <c r="AO3100" s="159" t="s">
        <v>692</v>
      </c>
      <c r="AP3100" s="783" t="s">
        <v>620</v>
      </c>
      <c r="AQ3100" s="796" t="s">
        <v>422</v>
      </c>
      <c r="AR3100" s="782">
        <v>12055234</v>
      </c>
      <c r="AS3100" s="781"/>
      <c r="AT3100" s="782"/>
      <c r="AU3100" s="782"/>
      <c r="AV3100" s="782">
        <v>12097165</v>
      </c>
      <c r="AW3100" s="782"/>
      <c r="AX3100" s="782">
        <v>12036656</v>
      </c>
      <c r="AY3100" s="799"/>
      <c r="AZ3100" s="781"/>
      <c r="BA3100" s="781"/>
      <c r="BB3100" s="209">
        <v>23053184</v>
      </c>
    </row>
    <row r="3101" spans="1:54" ht="24.65" customHeight="1">
      <c r="B3101" s="411">
        <v>46065</v>
      </c>
      <c r="C3101" s="645" t="s">
        <v>2717</v>
      </c>
      <c r="D3101" s="185">
        <f t="shared" ref="D3101:D3106" si="1430">IF(B3101="","",YEAR(B3101))</f>
        <v>2026</v>
      </c>
      <c r="E3101" s="412" t="e">
        <f>VLOOKUP($B3101,Week!$A$1:$C$1462,2,0)</f>
        <v>#N/A</v>
      </c>
      <c r="F3101" s="413" t="str">
        <f t="shared" ref="F3101:F3106" si="1431">IF(B3101="","",TEXT(B3101,"[$-409]mmm"))</f>
        <v>Feb</v>
      </c>
      <c r="G3101" s="414" t="s">
        <v>47</v>
      </c>
      <c r="H3101" s="414" t="s">
        <v>260</v>
      </c>
      <c r="I3101" s="414" t="s">
        <v>2702</v>
      </c>
      <c r="J3101" s="415" t="s">
        <v>261</v>
      </c>
      <c r="K3101" s="416" t="s">
        <v>94</v>
      </c>
      <c r="L3101" s="300" t="s">
        <v>2167</v>
      </c>
      <c r="M3101" s="415" t="s">
        <v>2339</v>
      </c>
      <c r="N3101" s="414" t="s">
        <v>263</v>
      </c>
      <c r="O3101" s="414" t="s">
        <v>195</v>
      </c>
      <c r="P3101" s="417">
        <v>24</v>
      </c>
      <c r="Q3101" s="417">
        <v>5</v>
      </c>
      <c r="R3101" s="418">
        <v>8.0000000000000002E-3</v>
      </c>
      <c r="S3101" s="414" t="s">
        <v>40</v>
      </c>
      <c r="T3101" s="414" t="s">
        <v>56</v>
      </c>
      <c r="U3101" s="414" t="s">
        <v>57</v>
      </c>
      <c r="V3101" s="419">
        <f>12500-861-1706-2477-2488-967+4</f>
        <v>4005</v>
      </c>
      <c r="W3101" s="419">
        <v>4005</v>
      </c>
      <c r="X3101" s="420"/>
      <c r="Y3101" s="421">
        <f t="shared" si="1421"/>
        <v>0</v>
      </c>
      <c r="Z3101" s="422">
        <f t="shared" si="1422"/>
        <v>0</v>
      </c>
      <c r="AA3101" s="422">
        <f t="shared" si="1417"/>
        <v>0</v>
      </c>
      <c r="AB3101" s="825">
        <v>7.4999999999999997E-3</v>
      </c>
      <c r="AC3101" s="419">
        <f t="shared" si="1423"/>
        <v>0</v>
      </c>
      <c r="AD3101" s="209" t="s">
        <v>2698</v>
      </c>
      <c r="AE3101" s="210">
        <f t="shared" si="1428"/>
        <v>0</v>
      </c>
      <c r="AF3101" s="210">
        <f t="shared" ref="AF3101:AF3106" si="1432">AE3101/0.54</f>
        <v>0</v>
      </c>
      <c r="AG3101" s="211">
        <f t="shared" si="1424"/>
        <v>0.14499999999999999</v>
      </c>
      <c r="AH3101" s="157">
        <f t="shared" si="1427"/>
        <v>0</v>
      </c>
      <c r="AI3101" s="152">
        <f t="shared" si="1426"/>
        <v>96120</v>
      </c>
      <c r="AK3101" s="156" t="s">
        <v>691</v>
      </c>
      <c r="AL3101" s="212" t="s">
        <v>690</v>
      </c>
      <c r="AM3101" s="198">
        <f t="shared" si="1419"/>
        <v>0</v>
      </c>
      <c r="AN3101" s="199">
        <f t="shared" si="1420"/>
        <v>46065</v>
      </c>
      <c r="AO3101" s="159" t="s">
        <v>692</v>
      </c>
      <c r="AP3101" s="783" t="s">
        <v>609</v>
      </c>
      <c r="AQ3101" s="782">
        <v>12071839</v>
      </c>
      <c r="AR3101" s="782">
        <v>12047514</v>
      </c>
      <c r="AS3101" s="782">
        <v>12047515</v>
      </c>
      <c r="AT3101" s="781"/>
      <c r="AU3101" s="781"/>
      <c r="AV3101" s="782">
        <v>12080613</v>
      </c>
      <c r="AW3101" s="781"/>
      <c r="AX3101" s="781"/>
      <c r="AY3101" s="782">
        <v>12094241</v>
      </c>
      <c r="AZ3101" s="782">
        <v>12094242</v>
      </c>
      <c r="BA3101" s="781"/>
      <c r="BB3101" s="209">
        <v>23053185</v>
      </c>
    </row>
    <row r="3102" spans="1:54" ht="24.65" customHeight="1">
      <c r="B3102" s="411">
        <v>46065</v>
      </c>
      <c r="C3102" s="645" t="s">
        <v>2708</v>
      </c>
      <c r="D3102" s="185">
        <f>IF(B3102="","",YEAR(B3102))</f>
        <v>2026</v>
      </c>
      <c r="E3102" s="412" t="e">
        <f>VLOOKUP($B3102,Week!$A$1:$C$1462,2,0)</f>
        <v>#N/A</v>
      </c>
      <c r="F3102" s="413" t="str">
        <f>IF(B3102="","",TEXT(B3102,"[$-409]mmm"))</f>
        <v>Feb</v>
      </c>
      <c r="G3102" s="414" t="s">
        <v>47</v>
      </c>
      <c r="H3102" s="414" t="s">
        <v>260</v>
      </c>
      <c r="I3102" s="414" t="s">
        <v>2702</v>
      </c>
      <c r="J3102" s="415" t="s">
        <v>261</v>
      </c>
      <c r="K3102" s="416" t="s">
        <v>94</v>
      </c>
      <c r="L3102" s="300" t="s">
        <v>2167</v>
      </c>
      <c r="M3102" s="415" t="s">
        <v>2339</v>
      </c>
      <c r="N3102" s="414" t="s">
        <v>263</v>
      </c>
      <c r="O3102" s="414" t="s">
        <v>195</v>
      </c>
      <c r="P3102" s="417">
        <v>24</v>
      </c>
      <c r="Q3102" s="417">
        <v>5</v>
      </c>
      <c r="R3102" s="418">
        <v>8.0000000000000002E-3</v>
      </c>
      <c r="S3102" s="414" t="s">
        <v>40</v>
      </c>
      <c r="T3102" s="414" t="s">
        <v>56</v>
      </c>
      <c r="U3102" s="414" t="s">
        <v>57</v>
      </c>
      <c r="V3102" s="419">
        <f>4057-4005</f>
        <v>52</v>
      </c>
      <c r="W3102" s="419">
        <f>4057-4005</f>
        <v>52</v>
      </c>
      <c r="X3102" s="420"/>
      <c r="Y3102" s="421">
        <f t="shared" si="1421"/>
        <v>0</v>
      </c>
      <c r="Z3102" s="422">
        <f t="shared" si="1422"/>
        <v>0</v>
      </c>
      <c r="AA3102" s="422">
        <f t="shared" si="1417"/>
        <v>0</v>
      </c>
      <c r="AB3102" s="825">
        <v>7.4999999999999997E-3</v>
      </c>
      <c r="AC3102" s="419">
        <f t="shared" si="1423"/>
        <v>0</v>
      </c>
      <c r="AD3102" s="209"/>
      <c r="AE3102" s="210">
        <f t="shared" si="1428"/>
        <v>0</v>
      </c>
      <c r="AF3102" s="210">
        <f>AE3102/0.54</f>
        <v>0</v>
      </c>
      <c r="AG3102" s="211">
        <f t="shared" si="1424"/>
        <v>0.14499999999999999</v>
      </c>
      <c r="AH3102" s="157">
        <f t="shared" si="1427"/>
        <v>0</v>
      </c>
      <c r="AI3102" s="152">
        <f t="shared" si="1426"/>
        <v>1248</v>
      </c>
      <c r="AK3102" s="156" t="s">
        <v>691</v>
      </c>
      <c r="AL3102" s="212" t="s">
        <v>690</v>
      </c>
      <c r="AM3102" s="198">
        <f t="shared" si="1419"/>
        <v>0</v>
      </c>
      <c r="AN3102" s="199">
        <f t="shared" si="1420"/>
        <v>46065</v>
      </c>
      <c r="AO3102" s="159" t="s">
        <v>692</v>
      </c>
      <c r="AP3102" s="783" t="s">
        <v>609</v>
      </c>
      <c r="AQ3102" s="782">
        <v>12071839</v>
      </c>
      <c r="AR3102" s="782">
        <v>12047514</v>
      </c>
      <c r="AS3102" s="782">
        <v>12047515</v>
      </c>
      <c r="AT3102" s="781"/>
      <c r="AU3102" s="781"/>
      <c r="AV3102" s="782">
        <v>12080613</v>
      </c>
      <c r="AW3102" s="781"/>
      <c r="AX3102" s="781"/>
      <c r="AY3102" s="782">
        <v>12094241</v>
      </c>
      <c r="AZ3102" s="782">
        <v>12094242</v>
      </c>
      <c r="BA3102" s="781"/>
      <c r="BB3102" s="209">
        <v>23053185</v>
      </c>
    </row>
    <row r="3103" spans="1:54" ht="25" customHeight="1">
      <c r="A3103" s="142" t="s">
        <v>120</v>
      </c>
      <c r="B3103" s="320">
        <v>46066</v>
      </c>
      <c r="C3103" s="321">
        <v>46076</v>
      </c>
      <c r="D3103" s="323">
        <f t="shared" si="1430"/>
        <v>2026</v>
      </c>
      <c r="E3103" s="321" t="e">
        <f>VLOOKUP($B3103,Week!$A$1:$C$1462,2,0)</f>
        <v>#N/A</v>
      </c>
      <c r="F3103" s="322" t="str">
        <f t="shared" si="1431"/>
        <v>Feb</v>
      </c>
      <c r="G3103" s="323" t="s">
        <v>2755</v>
      </c>
      <c r="H3103" s="323" t="s">
        <v>363</v>
      </c>
      <c r="I3103" s="323" t="s">
        <v>2772</v>
      </c>
      <c r="J3103" s="324" t="s">
        <v>364</v>
      </c>
      <c r="K3103" s="325" t="s">
        <v>2583</v>
      </c>
      <c r="L3103" s="325" t="s">
        <v>2166</v>
      </c>
      <c r="M3103" s="324" t="s">
        <v>2586</v>
      </c>
      <c r="N3103" s="323" t="s">
        <v>2584</v>
      </c>
      <c r="O3103" s="323" t="s">
        <v>2587</v>
      </c>
      <c r="P3103" s="326">
        <v>20</v>
      </c>
      <c r="Q3103" s="326">
        <v>50</v>
      </c>
      <c r="R3103" s="327">
        <v>4.0000000000000001E-3</v>
      </c>
      <c r="S3103" s="323" t="s">
        <v>55</v>
      </c>
      <c r="T3103" s="323" t="s">
        <v>112</v>
      </c>
      <c r="U3103" s="323" t="s">
        <v>77</v>
      </c>
      <c r="V3103" s="328">
        <v>174</v>
      </c>
      <c r="W3103" s="328">
        <v>174</v>
      </c>
      <c r="X3103" s="329"/>
      <c r="Y3103" s="330">
        <f t="shared" si="1421"/>
        <v>0</v>
      </c>
      <c r="Z3103" s="331">
        <f t="shared" si="1422"/>
        <v>0</v>
      </c>
      <c r="AA3103" s="331">
        <f t="shared" si="1417"/>
        <v>0</v>
      </c>
      <c r="AB3103" s="816">
        <v>6</v>
      </c>
      <c r="AC3103" s="328">
        <f t="shared" si="1423"/>
        <v>0</v>
      </c>
      <c r="AD3103" s="209"/>
      <c r="AE3103" s="210">
        <f t="shared" si="1428"/>
        <v>0</v>
      </c>
      <c r="AF3103" s="210">
        <f t="shared" si="1432"/>
        <v>0</v>
      </c>
      <c r="AG3103" s="211">
        <f t="shared" si="1424"/>
        <v>0.5</v>
      </c>
      <c r="AH3103" s="157">
        <f t="shared" si="1427"/>
        <v>0</v>
      </c>
      <c r="AI3103" s="152">
        <f t="shared" si="1426"/>
        <v>3480</v>
      </c>
      <c r="AK3103" s="156" t="s">
        <v>691</v>
      </c>
      <c r="AL3103" s="156" t="s">
        <v>689</v>
      </c>
      <c r="AM3103" s="198">
        <f t="shared" si="1419"/>
        <v>0</v>
      </c>
      <c r="AN3103" s="199">
        <f t="shared" si="1420"/>
        <v>46066</v>
      </c>
      <c r="AO3103" s="159" t="s">
        <v>692</v>
      </c>
      <c r="AP3103" s="783" t="s">
        <v>620</v>
      </c>
      <c r="AQ3103" s="796" t="s">
        <v>422</v>
      </c>
      <c r="AR3103" s="782">
        <v>12055234</v>
      </c>
      <c r="AS3103" s="781"/>
      <c r="AT3103" s="782"/>
      <c r="AU3103" s="782"/>
      <c r="AV3103" s="782">
        <v>12097165</v>
      </c>
      <c r="AW3103" s="782"/>
      <c r="AX3103" s="782">
        <v>12036656</v>
      </c>
      <c r="AY3103" s="799"/>
      <c r="AZ3103" s="781"/>
      <c r="BA3103" s="781"/>
      <c r="BB3103" s="209">
        <v>23053184</v>
      </c>
    </row>
    <row r="3104" spans="1:54" ht="24.75" customHeight="1">
      <c r="B3104" s="295">
        <v>46066</v>
      </c>
      <c r="C3104" s="771" t="s">
        <v>2717</v>
      </c>
      <c r="D3104" s="185">
        <f>IF(B3104="","",YEAR(B3104))</f>
        <v>2026</v>
      </c>
      <c r="E3104" s="296" t="e">
        <f>VLOOKUP($B3104,Week!$A$1:$C$1462,2,0)</f>
        <v>#N/A</v>
      </c>
      <c r="F3104" s="297" t="str">
        <f>IF(B3104="","",TEXT(B3104,"[$-409]mmm"))</f>
        <v>Feb</v>
      </c>
      <c r="G3104" s="648" t="s">
        <v>47</v>
      </c>
      <c r="H3104" s="298" t="s">
        <v>260</v>
      </c>
      <c r="I3104" s="298" t="s">
        <v>2702</v>
      </c>
      <c r="J3104" s="307" t="s">
        <v>2240</v>
      </c>
      <c r="K3104" s="300" t="s">
        <v>176</v>
      </c>
      <c r="L3104" s="300" t="s">
        <v>2167</v>
      </c>
      <c r="M3104" s="299" t="s">
        <v>2338</v>
      </c>
      <c r="N3104" s="298" t="s">
        <v>350</v>
      </c>
      <c r="O3104" s="298" t="s">
        <v>351</v>
      </c>
      <c r="P3104" s="301">
        <v>24</v>
      </c>
      <c r="Q3104" s="301">
        <v>5</v>
      </c>
      <c r="R3104" s="302">
        <v>6.1999999999999998E-3</v>
      </c>
      <c r="S3104" s="298" t="s">
        <v>352</v>
      </c>
      <c r="T3104" s="298" t="s">
        <v>56</v>
      </c>
      <c r="U3104" s="298" t="s">
        <v>57</v>
      </c>
      <c r="V3104" s="303">
        <f>17500-2280-2119-2419-667-2077-5543-850</f>
        <v>1545</v>
      </c>
      <c r="W3104" s="303">
        <v>1545</v>
      </c>
      <c r="X3104" s="304"/>
      <c r="Y3104" s="305">
        <f t="shared" si="1421"/>
        <v>0</v>
      </c>
      <c r="Z3104" s="306">
        <f t="shared" si="1422"/>
        <v>0</v>
      </c>
      <c r="AA3104" s="306">
        <f t="shared" si="1417"/>
        <v>0</v>
      </c>
      <c r="AB3104" s="814">
        <v>7.4999999999999997E-3</v>
      </c>
      <c r="AC3104" s="303">
        <f t="shared" si="1423"/>
        <v>0</v>
      </c>
      <c r="AD3104" s="443"/>
      <c r="AE3104" s="210">
        <f t="shared" si="1428"/>
        <v>0</v>
      </c>
      <c r="AF3104" s="210">
        <f>AE3104/0.54</f>
        <v>0</v>
      </c>
      <c r="AG3104" s="211">
        <f t="shared" si="1424"/>
        <v>0.13</v>
      </c>
      <c r="AH3104" s="157">
        <f t="shared" si="1427"/>
        <v>0</v>
      </c>
      <c r="AI3104" s="152">
        <f t="shared" si="1426"/>
        <v>37080</v>
      </c>
      <c r="AK3104" s="156" t="s">
        <v>691</v>
      </c>
      <c r="AL3104" s="574" t="s">
        <v>690</v>
      </c>
      <c r="AM3104" s="198">
        <f t="shared" si="1419"/>
        <v>0</v>
      </c>
      <c r="AN3104" s="199">
        <f t="shared" si="1420"/>
        <v>46066</v>
      </c>
      <c r="AO3104" s="159" t="s">
        <v>692</v>
      </c>
      <c r="AP3104" s="783" t="s">
        <v>622</v>
      </c>
      <c r="AQ3104" s="782">
        <v>12071839</v>
      </c>
      <c r="AR3104" s="782">
        <v>12094356</v>
      </c>
      <c r="AS3104" s="782">
        <v>12068233</v>
      </c>
      <c r="AT3104" s="781"/>
      <c r="AU3104" s="781"/>
      <c r="AV3104" s="782">
        <v>12062075</v>
      </c>
      <c r="AW3104" s="781"/>
      <c r="AX3104" s="781"/>
      <c r="AY3104" s="782">
        <v>12094357</v>
      </c>
      <c r="AZ3104" s="782"/>
      <c r="BA3104" s="781"/>
      <c r="BB3104" s="209">
        <v>23053184</v>
      </c>
    </row>
    <row r="3105" spans="1:54" ht="24.75" customHeight="1">
      <c r="B3105" s="295">
        <v>46066</v>
      </c>
      <c r="C3105" s="771" t="s">
        <v>2708</v>
      </c>
      <c r="D3105" s="185">
        <f>IF(B3105="","",YEAR(B3105))</f>
        <v>2026</v>
      </c>
      <c r="E3105" s="296" t="e">
        <f>VLOOKUP($B3105,Week!$A$1:$C$1462,2,0)</f>
        <v>#N/A</v>
      </c>
      <c r="F3105" s="297" t="str">
        <f>IF(B3105="","",TEXT(B3105,"[$-409]mmm"))</f>
        <v>Feb</v>
      </c>
      <c r="G3105" s="648" t="s">
        <v>47</v>
      </c>
      <c r="H3105" s="298" t="s">
        <v>260</v>
      </c>
      <c r="I3105" s="298" t="s">
        <v>2702</v>
      </c>
      <c r="J3105" s="307" t="s">
        <v>2240</v>
      </c>
      <c r="K3105" s="300" t="s">
        <v>176</v>
      </c>
      <c r="L3105" s="300" t="s">
        <v>2167</v>
      </c>
      <c r="M3105" s="299" t="s">
        <v>2338</v>
      </c>
      <c r="N3105" s="298" t="s">
        <v>350</v>
      </c>
      <c r="O3105" s="298" t="s">
        <v>351</v>
      </c>
      <c r="P3105" s="301">
        <v>24</v>
      </c>
      <c r="Q3105" s="301">
        <v>5</v>
      </c>
      <c r="R3105" s="302">
        <v>6.1999999999999998E-3</v>
      </c>
      <c r="S3105" s="298" t="s">
        <v>352</v>
      </c>
      <c r="T3105" s="298" t="s">
        <v>56</v>
      </c>
      <c r="U3105" s="298" t="s">
        <v>57</v>
      </c>
      <c r="V3105" s="303">
        <f>1601-1545</f>
        <v>56</v>
      </c>
      <c r="W3105" s="303">
        <v>56</v>
      </c>
      <c r="X3105" s="304"/>
      <c r="Y3105" s="305">
        <f t="shared" si="1421"/>
        <v>0</v>
      </c>
      <c r="Z3105" s="306">
        <f t="shared" si="1422"/>
        <v>0</v>
      </c>
      <c r="AA3105" s="306">
        <f t="shared" si="1417"/>
        <v>0</v>
      </c>
      <c r="AB3105" s="814">
        <v>7.4999999999999997E-3</v>
      </c>
      <c r="AC3105" s="303">
        <f t="shared" si="1423"/>
        <v>0</v>
      </c>
      <c r="AD3105" s="443"/>
      <c r="AE3105" s="210">
        <f t="shared" si="1428"/>
        <v>0</v>
      </c>
      <c r="AF3105" s="210">
        <f>AE3105/0.54</f>
        <v>0</v>
      </c>
      <c r="AG3105" s="211">
        <f t="shared" si="1424"/>
        <v>0.13</v>
      </c>
      <c r="AH3105" s="157">
        <f t="shared" si="1427"/>
        <v>0</v>
      </c>
      <c r="AI3105" s="152">
        <f t="shared" si="1426"/>
        <v>1344</v>
      </c>
      <c r="AK3105" s="156" t="s">
        <v>691</v>
      </c>
      <c r="AL3105" s="574" t="s">
        <v>690</v>
      </c>
      <c r="AM3105" s="198">
        <f t="shared" si="1419"/>
        <v>0</v>
      </c>
      <c r="AN3105" s="199">
        <f t="shared" si="1420"/>
        <v>46066</v>
      </c>
      <c r="AO3105" s="159" t="s">
        <v>692</v>
      </c>
      <c r="AP3105" s="783" t="s">
        <v>622</v>
      </c>
      <c r="AQ3105" s="782">
        <v>12071839</v>
      </c>
      <c r="AR3105" s="782">
        <v>12094356</v>
      </c>
      <c r="AS3105" s="782">
        <v>12068233</v>
      </c>
      <c r="AT3105" s="781"/>
      <c r="AU3105" s="781"/>
      <c r="AV3105" s="782">
        <v>12062075</v>
      </c>
      <c r="AW3105" s="781"/>
      <c r="AX3105" s="781"/>
      <c r="AY3105" s="782">
        <v>12094357</v>
      </c>
      <c r="AZ3105" s="782"/>
      <c r="BA3105" s="781"/>
      <c r="BB3105" s="209">
        <v>23053184</v>
      </c>
    </row>
    <row r="3106" spans="1:54" ht="24.65" customHeight="1">
      <c r="B3106" s="411">
        <v>46066</v>
      </c>
      <c r="C3106" s="645" t="s">
        <v>2708</v>
      </c>
      <c r="D3106" s="185">
        <f t="shared" si="1430"/>
        <v>2026</v>
      </c>
      <c r="E3106" s="412" t="e">
        <f>VLOOKUP($B3106,Week!$A$1:$C$1462,2,0)</f>
        <v>#N/A</v>
      </c>
      <c r="F3106" s="413" t="str">
        <f t="shared" si="1431"/>
        <v>Feb</v>
      </c>
      <c r="G3106" s="414" t="s">
        <v>47</v>
      </c>
      <c r="H3106" s="414" t="s">
        <v>260</v>
      </c>
      <c r="I3106" s="414" t="s">
        <v>2702</v>
      </c>
      <c r="J3106" s="415" t="s">
        <v>261</v>
      </c>
      <c r="K3106" s="416" t="s">
        <v>94</v>
      </c>
      <c r="L3106" s="300" t="s">
        <v>2167</v>
      </c>
      <c r="M3106" s="415" t="s">
        <v>2339</v>
      </c>
      <c r="N3106" s="414" t="s">
        <v>263</v>
      </c>
      <c r="O3106" s="414" t="s">
        <v>195</v>
      </c>
      <c r="P3106" s="417">
        <v>24</v>
      </c>
      <c r="Q3106" s="417">
        <v>5</v>
      </c>
      <c r="R3106" s="418">
        <v>8.0000000000000002E-3</v>
      </c>
      <c r="S3106" s="414" t="s">
        <v>40</v>
      </c>
      <c r="T3106" s="414" t="s">
        <v>56</v>
      </c>
      <c r="U3106" s="414" t="s">
        <v>57</v>
      </c>
      <c r="V3106" s="419">
        <v>2095</v>
      </c>
      <c r="W3106" s="419">
        <v>2095</v>
      </c>
      <c r="X3106" s="420"/>
      <c r="Y3106" s="421">
        <f t="shared" si="1421"/>
        <v>0</v>
      </c>
      <c r="Z3106" s="422">
        <f t="shared" si="1422"/>
        <v>0</v>
      </c>
      <c r="AA3106" s="422">
        <f t="shared" si="1417"/>
        <v>0</v>
      </c>
      <c r="AB3106" s="825">
        <v>7.4999999999999997E-3</v>
      </c>
      <c r="AC3106" s="419">
        <f t="shared" si="1423"/>
        <v>0</v>
      </c>
      <c r="AD3106" s="209"/>
      <c r="AE3106" s="210">
        <f t="shared" si="1428"/>
        <v>0</v>
      </c>
      <c r="AF3106" s="210">
        <f t="shared" si="1432"/>
        <v>0</v>
      </c>
      <c r="AG3106" s="211">
        <f t="shared" si="1424"/>
        <v>0.14499999999999999</v>
      </c>
      <c r="AH3106" s="157">
        <f t="shared" si="1427"/>
        <v>0</v>
      </c>
      <c r="AI3106" s="152">
        <f t="shared" si="1426"/>
        <v>50280</v>
      </c>
      <c r="AK3106" s="156" t="s">
        <v>691</v>
      </c>
      <c r="AL3106" s="212" t="s">
        <v>690</v>
      </c>
      <c r="AM3106" s="198">
        <f t="shared" si="1419"/>
        <v>0</v>
      </c>
      <c r="AN3106" s="199">
        <f t="shared" si="1420"/>
        <v>46066</v>
      </c>
      <c r="AO3106" s="159" t="s">
        <v>692</v>
      </c>
      <c r="AP3106" s="783" t="s">
        <v>609</v>
      </c>
      <c r="AQ3106" s="782">
        <v>12071839</v>
      </c>
      <c r="AR3106" s="782">
        <v>12047514</v>
      </c>
      <c r="AS3106" s="782">
        <v>12047515</v>
      </c>
      <c r="AT3106" s="781"/>
      <c r="AU3106" s="781"/>
      <c r="AV3106" s="782">
        <v>12080613</v>
      </c>
      <c r="AW3106" s="781"/>
      <c r="AX3106" s="781"/>
      <c r="AY3106" s="782">
        <v>12094241</v>
      </c>
      <c r="AZ3106" s="782">
        <v>12094242</v>
      </c>
      <c r="BA3106" s="781"/>
      <c r="BB3106" s="209">
        <v>23053185</v>
      </c>
    </row>
    <row r="3107" spans="1:54" ht="25" customHeight="1">
      <c r="A3107" s="142" t="s">
        <v>120</v>
      </c>
      <c r="B3107" s="320">
        <v>46067</v>
      </c>
      <c r="C3107" s="321">
        <v>46076</v>
      </c>
      <c r="D3107" s="323">
        <f t="shared" ref="D3107:D3128" si="1433">IF(B3107="","",YEAR(B3107))</f>
        <v>2026</v>
      </c>
      <c r="E3107" s="321" t="e">
        <f>VLOOKUP($B3107,Week!$A$1:$C$1462,2,0)</f>
        <v>#N/A</v>
      </c>
      <c r="F3107" s="322" t="str">
        <f t="shared" ref="F3107:F3128" si="1434">IF(B3107="","",TEXT(B3107,"[$-409]mmm"))</f>
        <v>Feb</v>
      </c>
      <c r="G3107" s="323" t="s">
        <v>2755</v>
      </c>
      <c r="H3107" s="323" t="s">
        <v>363</v>
      </c>
      <c r="I3107" s="323" t="s">
        <v>2772</v>
      </c>
      <c r="J3107" s="324" t="s">
        <v>364</v>
      </c>
      <c r="K3107" s="325" t="s">
        <v>2583</v>
      </c>
      <c r="L3107" s="325" t="s">
        <v>2166</v>
      </c>
      <c r="M3107" s="324" t="s">
        <v>2586</v>
      </c>
      <c r="N3107" s="323" t="s">
        <v>2584</v>
      </c>
      <c r="O3107" s="323" t="s">
        <v>2587</v>
      </c>
      <c r="P3107" s="326">
        <v>20</v>
      </c>
      <c r="Q3107" s="326">
        <v>50</v>
      </c>
      <c r="R3107" s="327">
        <v>4.0000000000000001E-3</v>
      </c>
      <c r="S3107" s="323" t="s">
        <v>55</v>
      </c>
      <c r="T3107" s="323" t="s">
        <v>112</v>
      </c>
      <c r="U3107" s="323" t="s">
        <v>77</v>
      </c>
      <c r="V3107" s="328">
        <v>177</v>
      </c>
      <c r="W3107" s="328">
        <v>177</v>
      </c>
      <c r="X3107" s="329"/>
      <c r="Y3107" s="330">
        <f t="shared" si="1421"/>
        <v>0</v>
      </c>
      <c r="Z3107" s="331">
        <f t="shared" si="1422"/>
        <v>0</v>
      </c>
      <c r="AA3107" s="331">
        <f t="shared" si="1417"/>
        <v>0</v>
      </c>
      <c r="AB3107" s="816">
        <v>6</v>
      </c>
      <c r="AC3107" s="328">
        <f t="shared" si="1423"/>
        <v>0</v>
      </c>
      <c r="AD3107" s="209"/>
      <c r="AE3107" s="210">
        <f t="shared" si="1428"/>
        <v>0</v>
      </c>
      <c r="AF3107" s="210">
        <f>AE3107/0.54</f>
        <v>0</v>
      </c>
      <c r="AG3107" s="211">
        <f t="shared" si="1424"/>
        <v>0.5</v>
      </c>
      <c r="AH3107" s="157">
        <f t="shared" si="1427"/>
        <v>0</v>
      </c>
      <c r="AI3107" s="152">
        <f t="shared" si="1426"/>
        <v>3540</v>
      </c>
      <c r="AK3107" s="156" t="s">
        <v>691</v>
      </c>
      <c r="AL3107" s="156" t="s">
        <v>689</v>
      </c>
      <c r="AM3107" s="198">
        <f t="shared" si="1419"/>
        <v>0</v>
      </c>
      <c r="AN3107" s="199">
        <f t="shared" si="1420"/>
        <v>46067</v>
      </c>
      <c r="AO3107" s="159" t="s">
        <v>692</v>
      </c>
      <c r="AP3107" s="783" t="s">
        <v>620</v>
      </c>
      <c r="AQ3107" s="796" t="s">
        <v>422</v>
      </c>
      <c r="AR3107" s="782">
        <v>12055234</v>
      </c>
      <c r="AS3107" s="781"/>
      <c r="AT3107" s="782"/>
      <c r="AU3107" s="782"/>
      <c r="AV3107" s="782">
        <v>12097165</v>
      </c>
      <c r="AW3107" s="782"/>
      <c r="AX3107" s="782">
        <v>12036656</v>
      </c>
      <c r="AY3107" s="799"/>
      <c r="AZ3107" s="781"/>
      <c r="BA3107" s="781"/>
      <c r="BB3107" s="209">
        <v>23053184</v>
      </c>
    </row>
    <row r="3108" spans="1:54" ht="24.75" customHeight="1">
      <c r="B3108" s="295">
        <v>46067</v>
      </c>
      <c r="C3108" s="771" t="s">
        <v>2708</v>
      </c>
      <c r="D3108" s="185">
        <f t="shared" si="1433"/>
        <v>2026</v>
      </c>
      <c r="E3108" s="296" t="e">
        <f>VLOOKUP($B3108,Week!$A$1:$C$1462,2,0)</f>
        <v>#N/A</v>
      </c>
      <c r="F3108" s="297" t="str">
        <f t="shared" si="1434"/>
        <v>Feb</v>
      </c>
      <c r="G3108" s="648" t="s">
        <v>47</v>
      </c>
      <c r="H3108" s="298" t="s">
        <v>260</v>
      </c>
      <c r="I3108" s="298" t="s">
        <v>2702</v>
      </c>
      <c r="J3108" s="307" t="s">
        <v>2240</v>
      </c>
      <c r="K3108" s="300" t="s">
        <v>176</v>
      </c>
      <c r="L3108" s="300" t="s">
        <v>2167</v>
      </c>
      <c r="M3108" s="299" t="s">
        <v>2338</v>
      </c>
      <c r="N3108" s="298" t="s">
        <v>350</v>
      </c>
      <c r="O3108" s="298" t="s">
        <v>351</v>
      </c>
      <c r="P3108" s="301">
        <v>24</v>
      </c>
      <c r="Q3108" s="301">
        <v>5</v>
      </c>
      <c r="R3108" s="302">
        <v>6.1999999999999998E-3</v>
      </c>
      <c r="S3108" s="298" t="s">
        <v>352</v>
      </c>
      <c r="T3108" s="298" t="s">
        <v>56</v>
      </c>
      <c r="U3108" s="298" t="s">
        <v>57</v>
      </c>
      <c r="V3108" s="303">
        <v>1724</v>
      </c>
      <c r="W3108" s="303">
        <v>1724</v>
      </c>
      <c r="X3108" s="304"/>
      <c r="Y3108" s="305">
        <f t="shared" si="1421"/>
        <v>0</v>
      </c>
      <c r="Z3108" s="306">
        <f t="shared" si="1422"/>
        <v>0</v>
      </c>
      <c r="AA3108" s="306">
        <f t="shared" si="1417"/>
        <v>0</v>
      </c>
      <c r="AB3108" s="814">
        <v>7.4999999999999997E-3</v>
      </c>
      <c r="AC3108" s="303">
        <f t="shared" si="1423"/>
        <v>0</v>
      </c>
      <c r="AD3108" s="443"/>
      <c r="AE3108" s="210">
        <f t="shared" si="1428"/>
        <v>0</v>
      </c>
      <c r="AF3108" s="210">
        <f>AE3108/0.54</f>
        <v>0</v>
      </c>
      <c r="AG3108" s="211">
        <f t="shared" si="1424"/>
        <v>0.13</v>
      </c>
      <c r="AH3108" s="157">
        <f t="shared" si="1427"/>
        <v>0</v>
      </c>
      <c r="AI3108" s="152">
        <f t="shared" si="1426"/>
        <v>41376</v>
      </c>
      <c r="AK3108" s="156" t="s">
        <v>691</v>
      </c>
      <c r="AL3108" s="574" t="s">
        <v>690</v>
      </c>
      <c r="AM3108" s="198">
        <f t="shared" si="1419"/>
        <v>0</v>
      </c>
      <c r="AN3108" s="199">
        <f t="shared" si="1420"/>
        <v>46067</v>
      </c>
      <c r="AO3108" s="159" t="s">
        <v>692</v>
      </c>
      <c r="AP3108" s="783" t="s">
        <v>622</v>
      </c>
      <c r="AQ3108" s="782">
        <v>12071839</v>
      </c>
      <c r="AR3108" s="782">
        <v>12094356</v>
      </c>
      <c r="AS3108" s="782">
        <v>12068233</v>
      </c>
      <c r="AT3108" s="781"/>
      <c r="AU3108" s="781"/>
      <c r="AV3108" s="782">
        <v>12062075</v>
      </c>
      <c r="AW3108" s="781"/>
      <c r="AX3108" s="781"/>
      <c r="AY3108" s="782">
        <v>12094357</v>
      </c>
      <c r="AZ3108" s="782"/>
      <c r="BA3108" s="781"/>
      <c r="BB3108" s="209">
        <v>23053184</v>
      </c>
    </row>
    <row r="3109" spans="1:54" ht="24.65" customHeight="1">
      <c r="B3109" s="308">
        <v>46067</v>
      </c>
      <c r="C3109" s="309">
        <v>46086</v>
      </c>
      <c r="D3109" s="185">
        <f t="shared" si="1433"/>
        <v>2026</v>
      </c>
      <c r="E3109" s="309" t="e">
        <f>VLOOKUP($B3109,Week!$A$1:$C$1462,2,0)</f>
        <v>#N/A</v>
      </c>
      <c r="F3109" s="310" t="str">
        <f t="shared" si="1434"/>
        <v>Feb</v>
      </c>
      <c r="G3109" s="311" t="s">
        <v>2753</v>
      </c>
      <c r="H3109" s="311" t="s">
        <v>311</v>
      </c>
      <c r="I3109" s="311" t="s">
        <v>2772</v>
      </c>
      <c r="J3109" s="312" t="s">
        <v>738</v>
      </c>
      <c r="K3109" s="313" t="s">
        <v>107</v>
      </c>
      <c r="L3109" s="300" t="s">
        <v>2167</v>
      </c>
      <c r="M3109" s="312" t="s">
        <v>313</v>
      </c>
      <c r="N3109" s="311" t="s">
        <v>314</v>
      </c>
      <c r="O3109" s="311" t="s">
        <v>110</v>
      </c>
      <c r="P3109" s="314">
        <v>36</v>
      </c>
      <c r="Q3109" s="314">
        <v>5</v>
      </c>
      <c r="R3109" s="315">
        <v>7.4999999999999997E-3</v>
      </c>
      <c r="S3109" s="311" t="s">
        <v>111</v>
      </c>
      <c r="T3109" s="311" t="s">
        <v>112</v>
      </c>
      <c r="U3109" s="311" t="s">
        <v>57</v>
      </c>
      <c r="V3109" s="316">
        <v>792</v>
      </c>
      <c r="W3109" s="316">
        <f>692</f>
        <v>692</v>
      </c>
      <c r="X3109" s="317">
        <f>80+((720)/36)</f>
        <v>100</v>
      </c>
      <c r="Y3109" s="318">
        <f t="shared" si="1421"/>
        <v>0</v>
      </c>
      <c r="Z3109" s="319">
        <f t="shared" si="1422"/>
        <v>0</v>
      </c>
      <c r="AA3109" s="319">
        <f t="shared" si="1417"/>
        <v>0</v>
      </c>
      <c r="AB3109" s="815">
        <v>7.4999999999999997E-3</v>
      </c>
      <c r="AC3109" s="316">
        <f t="shared" si="1423"/>
        <v>0</v>
      </c>
      <c r="AD3109" s="307" t="s">
        <v>2876</v>
      </c>
      <c r="AE3109" s="210">
        <f t="shared" si="1428"/>
        <v>0</v>
      </c>
      <c r="AF3109" s="210">
        <f>AE3109/0.54</f>
        <v>0</v>
      </c>
      <c r="AG3109" s="211">
        <f t="shared" si="1424"/>
        <v>0.308</v>
      </c>
      <c r="AH3109" s="157">
        <f t="shared" si="1427"/>
        <v>0</v>
      </c>
      <c r="AI3109" s="152">
        <f t="shared" si="1426"/>
        <v>28512</v>
      </c>
      <c r="AK3109" s="156" t="s">
        <v>691</v>
      </c>
      <c r="AL3109" s="212" t="s">
        <v>690</v>
      </c>
      <c r="AM3109" s="198">
        <f t="shared" si="1419"/>
        <v>0</v>
      </c>
      <c r="AN3109" s="199">
        <f t="shared" si="1420"/>
        <v>46067</v>
      </c>
      <c r="AO3109" s="159" t="s">
        <v>692</v>
      </c>
      <c r="AP3109" s="783" t="s">
        <v>644</v>
      </c>
      <c r="AQ3109" s="782">
        <v>12063755</v>
      </c>
      <c r="AR3109" s="782">
        <v>12061353</v>
      </c>
      <c r="AS3109" s="782">
        <v>12061354</v>
      </c>
      <c r="AT3109" s="782">
        <v>12062266</v>
      </c>
      <c r="AU3109" s="781"/>
      <c r="AV3109" s="782">
        <v>12088159</v>
      </c>
      <c r="AW3109" s="782">
        <v>12088207</v>
      </c>
      <c r="AX3109" s="782"/>
      <c r="AY3109" s="782">
        <v>12094237</v>
      </c>
      <c r="AZ3109" s="782"/>
      <c r="BA3109" s="781"/>
      <c r="BB3109" s="209">
        <v>23053185</v>
      </c>
    </row>
    <row r="3110" spans="1:54" ht="24.75" customHeight="1">
      <c r="B3110" s="320">
        <v>46067</v>
      </c>
      <c r="C3110" s="321">
        <v>46093</v>
      </c>
      <c r="D3110" s="185">
        <f t="shared" si="1433"/>
        <v>2026</v>
      </c>
      <c r="E3110" s="321" t="e">
        <f>VLOOKUP($B3110,Week!$A$1:$C$1462,2,0)</f>
        <v>#N/A</v>
      </c>
      <c r="F3110" s="322" t="str">
        <f t="shared" si="1434"/>
        <v>Feb</v>
      </c>
      <c r="G3110" s="323" t="s">
        <v>2825</v>
      </c>
      <c r="H3110" s="323" t="s">
        <v>311</v>
      </c>
      <c r="I3110" s="323" t="s">
        <v>2772</v>
      </c>
      <c r="J3110" s="324" t="s">
        <v>2913</v>
      </c>
      <c r="K3110" s="325" t="s">
        <v>107</v>
      </c>
      <c r="L3110" s="300" t="s">
        <v>2167</v>
      </c>
      <c r="M3110" s="324" t="s">
        <v>313</v>
      </c>
      <c r="N3110" s="596" t="s">
        <v>2853</v>
      </c>
      <c r="O3110" s="323" t="s">
        <v>2747</v>
      </c>
      <c r="P3110" s="326">
        <v>5</v>
      </c>
      <c r="Q3110" s="326">
        <v>4</v>
      </c>
      <c r="R3110" s="327">
        <v>7.4999999999999997E-3</v>
      </c>
      <c r="S3110" s="323" t="s">
        <v>111</v>
      </c>
      <c r="T3110" s="323" t="s">
        <v>112</v>
      </c>
      <c r="U3110" s="323" t="s">
        <v>57</v>
      </c>
      <c r="V3110" s="328">
        <f>5000</f>
        <v>5000</v>
      </c>
      <c r="W3110" s="328"/>
      <c r="X3110" s="329">
        <f>(25000)/5</f>
        <v>5000</v>
      </c>
      <c r="Y3110" s="330">
        <f t="shared" si="1421"/>
        <v>0</v>
      </c>
      <c r="Z3110" s="331">
        <f t="shared" si="1422"/>
        <v>0</v>
      </c>
      <c r="AA3110" s="331">
        <f t="shared" si="1417"/>
        <v>0</v>
      </c>
      <c r="AB3110" s="816">
        <v>7.4999999999999997E-3</v>
      </c>
      <c r="AC3110" s="328">
        <f t="shared" si="1423"/>
        <v>0</v>
      </c>
      <c r="AD3110" s="307" t="s">
        <v>2354</v>
      </c>
      <c r="AE3110" s="210">
        <f t="shared" si="1428"/>
        <v>0</v>
      </c>
      <c r="AF3110" s="210">
        <f>AE3110/0.54</f>
        <v>0</v>
      </c>
      <c r="AG3110" s="211">
        <f t="shared" si="1424"/>
        <v>0.30499999999999999</v>
      </c>
      <c r="AH3110" s="157">
        <f t="shared" si="1427"/>
        <v>0</v>
      </c>
      <c r="AI3110" s="152">
        <f t="shared" si="1426"/>
        <v>25000</v>
      </c>
      <c r="AK3110" s="156" t="s">
        <v>691</v>
      </c>
      <c r="AL3110" s="212" t="s">
        <v>690</v>
      </c>
      <c r="AM3110" s="198">
        <f t="shared" si="1419"/>
        <v>0</v>
      </c>
      <c r="AN3110" s="199">
        <f t="shared" si="1420"/>
        <v>46067</v>
      </c>
      <c r="AO3110" s="159" t="s">
        <v>692</v>
      </c>
      <c r="AP3110" s="783" t="s">
        <v>643</v>
      </c>
      <c r="AQ3110" s="782">
        <v>12063755</v>
      </c>
      <c r="AR3110" s="782">
        <v>12081257</v>
      </c>
      <c r="AS3110" s="782">
        <v>12081260</v>
      </c>
      <c r="AT3110" s="782">
        <v>12098252</v>
      </c>
      <c r="AU3110" s="781"/>
      <c r="AV3110" s="782">
        <v>12098251</v>
      </c>
      <c r="AW3110" s="782"/>
      <c r="AX3110" s="782"/>
      <c r="AY3110" s="781"/>
      <c r="AZ3110" s="781"/>
      <c r="BA3110" s="781"/>
      <c r="BB3110" s="209">
        <v>23053185</v>
      </c>
    </row>
    <row r="3111" spans="1:54" ht="25" customHeight="1">
      <c r="B3111" s="183">
        <v>46068</v>
      </c>
      <c r="C3111" s="184"/>
      <c r="D3111" s="185">
        <f t="shared" si="1433"/>
        <v>2026</v>
      </c>
      <c r="E3111" s="185" t="e">
        <f>VLOOKUP($B3111,Week!$A$1:$C$1462,2,0)</f>
        <v>#N/A</v>
      </c>
      <c r="F3111" s="186" t="str">
        <f t="shared" si="1434"/>
        <v>Feb</v>
      </c>
      <c r="G3111" s="481"/>
      <c r="H3111" s="185"/>
      <c r="I3111" s="185"/>
      <c r="J3111" s="187"/>
      <c r="K3111" s="188"/>
      <c r="L3111" s="188"/>
      <c r="M3111" s="187"/>
      <c r="N3111" s="185"/>
      <c r="O3111" s="185"/>
      <c r="P3111" s="189"/>
      <c r="Q3111" s="189"/>
      <c r="R3111" s="190"/>
      <c r="S3111" s="185"/>
      <c r="T3111" s="185"/>
      <c r="U3111" s="185"/>
      <c r="V3111" s="191"/>
      <c r="W3111" s="191"/>
      <c r="X3111" s="192"/>
      <c r="Y3111" s="193"/>
      <c r="Z3111" s="194"/>
      <c r="AA3111" s="194">
        <f t="shared" si="1417"/>
        <v>0</v>
      </c>
      <c r="AB3111" s="805"/>
      <c r="AC3111" s="191"/>
      <c r="AD3111" s="187"/>
      <c r="AE3111" s="195"/>
      <c r="AF3111" s="195"/>
      <c r="AG3111" s="196"/>
      <c r="AH3111" s="197"/>
      <c r="AK3111" s="156" t="s">
        <v>691</v>
      </c>
      <c r="AM3111" s="198">
        <f t="shared" si="1419"/>
        <v>0</v>
      </c>
      <c r="AN3111" s="199">
        <f t="shared" si="1420"/>
        <v>46068</v>
      </c>
      <c r="AO3111" s="159" t="s">
        <v>692</v>
      </c>
      <c r="AP3111" s="781"/>
      <c r="AQ3111" s="782"/>
      <c r="AR3111" s="782"/>
      <c r="AS3111" s="782"/>
      <c r="AT3111" s="782"/>
      <c r="AU3111" s="781"/>
      <c r="AV3111" s="782"/>
      <c r="AW3111" s="782"/>
      <c r="AX3111" s="782"/>
      <c r="AY3111" s="782"/>
      <c r="AZ3111" s="782"/>
      <c r="BA3111" s="781"/>
      <c r="BB3111" s="209"/>
    </row>
    <row r="3112" spans="1:54" ht="25" customHeight="1">
      <c r="A3112" s="142" t="s">
        <v>120</v>
      </c>
      <c r="B3112" s="320">
        <v>46069</v>
      </c>
      <c r="C3112" s="321">
        <v>46076</v>
      </c>
      <c r="D3112" s="323">
        <f t="shared" si="1433"/>
        <v>2026</v>
      </c>
      <c r="E3112" s="321" t="e">
        <f>VLOOKUP($B3112,Week!$A$1:$C$1462,2,0)</f>
        <v>#N/A</v>
      </c>
      <c r="F3112" s="322" t="str">
        <f t="shared" si="1434"/>
        <v>Feb</v>
      </c>
      <c r="G3112" s="323" t="s">
        <v>2755</v>
      </c>
      <c r="H3112" s="323" t="s">
        <v>363</v>
      </c>
      <c r="I3112" s="323" t="s">
        <v>2772</v>
      </c>
      <c r="J3112" s="324" t="s">
        <v>364</v>
      </c>
      <c r="K3112" s="325" t="s">
        <v>2583</v>
      </c>
      <c r="L3112" s="325" t="s">
        <v>2166</v>
      </c>
      <c r="M3112" s="324" t="s">
        <v>2586</v>
      </c>
      <c r="N3112" s="323" t="s">
        <v>2584</v>
      </c>
      <c r="O3112" s="323" t="s">
        <v>2587</v>
      </c>
      <c r="P3112" s="326">
        <v>20</v>
      </c>
      <c r="Q3112" s="326">
        <v>50</v>
      </c>
      <c r="R3112" s="327">
        <v>4.0000000000000001E-3</v>
      </c>
      <c r="S3112" s="323" t="s">
        <v>55</v>
      </c>
      <c r="T3112" s="323" t="s">
        <v>112</v>
      </c>
      <c r="U3112" s="323" t="s">
        <v>77</v>
      </c>
      <c r="V3112" s="328">
        <f>1040-184-172-174-177</f>
        <v>333</v>
      </c>
      <c r="W3112" s="328">
        <v>333</v>
      </c>
      <c r="X3112" s="329"/>
      <c r="Y3112" s="330">
        <f>(W3112+X3112)-V3112</f>
        <v>0</v>
      </c>
      <c r="Z3112" s="331">
        <f>IF(Y3112&lt;0,((V3112*P3112)-((W3112+X3112)*P3112)),0)</f>
        <v>0</v>
      </c>
      <c r="AA3112" s="331">
        <f t="shared" si="1417"/>
        <v>0</v>
      </c>
      <c r="AB3112" s="816">
        <v>6</v>
      </c>
      <c r="AC3112" s="328">
        <f>Z3112*AB3112</f>
        <v>0</v>
      </c>
      <c r="AD3112" s="209"/>
      <c r="AE3112" s="210">
        <f>SUM(Q3112*R3112*Z3112)/1000</f>
        <v>0</v>
      </c>
      <c r="AF3112" s="210">
        <f>AE3112/0.54</f>
        <v>0</v>
      </c>
      <c r="AG3112" s="211">
        <f>MID(O3112,1,3)/1000</f>
        <v>0.5</v>
      </c>
      <c r="AH3112" s="157">
        <f>(Z3112*AG3112)/1000</f>
        <v>0</v>
      </c>
      <c r="AI3112" s="152">
        <f>V3112*P3112</f>
        <v>6660</v>
      </c>
      <c r="AK3112" s="156" t="s">
        <v>691</v>
      </c>
      <c r="AL3112" s="156" t="s">
        <v>689</v>
      </c>
      <c r="AM3112" s="198">
        <f t="shared" si="1419"/>
        <v>0</v>
      </c>
      <c r="AN3112" s="199">
        <f t="shared" si="1420"/>
        <v>46069</v>
      </c>
      <c r="AO3112" s="159" t="s">
        <v>692</v>
      </c>
      <c r="AP3112" s="783" t="s">
        <v>620</v>
      </c>
      <c r="AQ3112" s="796" t="s">
        <v>422</v>
      </c>
      <c r="AR3112" s="782">
        <v>12055234</v>
      </c>
      <c r="AS3112" s="781"/>
      <c r="AT3112" s="782"/>
      <c r="AU3112" s="782"/>
      <c r="AV3112" s="782">
        <v>12097165</v>
      </c>
      <c r="AW3112" s="782"/>
      <c r="AX3112" s="782">
        <v>12036656</v>
      </c>
      <c r="AY3112" s="799"/>
      <c r="AZ3112" s="781"/>
      <c r="BA3112" s="781"/>
      <c r="BB3112" s="209">
        <v>23053184</v>
      </c>
    </row>
    <row r="3113" spans="1:54" ht="25" customHeight="1">
      <c r="A3113" s="142" t="s">
        <v>120</v>
      </c>
      <c r="B3113" s="320">
        <v>46069</v>
      </c>
      <c r="C3113" s="321">
        <v>46083</v>
      </c>
      <c r="D3113" s="323">
        <f t="shared" si="1433"/>
        <v>2026</v>
      </c>
      <c r="E3113" s="321" t="e">
        <f>VLOOKUP($B3113,Week!$A$1:$C$1462,2,0)</f>
        <v>#N/A</v>
      </c>
      <c r="F3113" s="322" t="str">
        <f t="shared" si="1434"/>
        <v>Feb</v>
      </c>
      <c r="G3113" s="323" t="s">
        <v>2756</v>
      </c>
      <c r="H3113" s="323" t="s">
        <v>363</v>
      </c>
      <c r="I3113" s="323" t="s">
        <v>2772</v>
      </c>
      <c r="J3113" s="324" t="s">
        <v>364</v>
      </c>
      <c r="K3113" s="325" t="s">
        <v>2583</v>
      </c>
      <c r="L3113" s="325" t="s">
        <v>2166</v>
      </c>
      <c r="M3113" s="324" t="s">
        <v>2586</v>
      </c>
      <c r="N3113" s="323" t="s">
        <v>2584</v>
      </c>
      <c r="O3113" s="323" t="s">
        <v>2587</v>
      </c>
      <c r="P3113" s="326">
        <v>20</v>
      </c>
      <c r="Q3113" s="326">
        <v>50</v>
      </c>
      <c r="R3113" s="327">
        <v>4.0000000000000001E-3</v>
      </c>
      <c r="S3113" s="323" t="s">
        <v>55</v>
      </c>
      <c r="T3113" s="323" t="s">
        <v>112</v>
      </c>
      <c r="U3113" s="323" t="s">
        <v>77</v>
      </c>
      <c r="V3113" s="328">
        <f>30</f>
        <v>30</v>
      </c>
      <c r="W3113" s="328">
        <v>30</v>
      </c>
      <c r="X3113" s="329"/>
      <c r="Y3113" s="330">
        <f>(W3113+X3113)-V3113</f>
        <v>0</v>
      </c>
      <c r="Z3113" s="331">
        <f>IF(Y3113&lt;0,((V3113*P3113)-((W3113+X3113)*P3113)),0)</f>
        <v>0</v>
      </c>
      <c r="AA3113" s="331">
        <f t="shared" si="1417"/>
        <v>0</v>
      </c>
      <c r="AB3113" s="816">
        <v>6</v>
      </c>
      <c r="AC3113" s="328">
        <f>Z3113*AB3113</f>
        <v>0</v>
      </c>
      <c r="AD3113" s="209"/>
      <c r="AE3113" s="210">
        <f>SUM(Q3113*R3113*Z3113)/1000</f>
        <v>0</v>
      </c>
      <c r="AF3113" s="210">
        <f>AE3113/0.54</f>
        <v>0</v>
      </c>
      <c r="AG3113" s="211">
        <f>MID(O3113,1,3)/1000</f>
        <v>0.5</v>
      </c>
      <c r="AH3113" s="157">
        <f>(Z3113*AG3113)/1000</f>
        <v>0</v>
      </c>
      <c r="AI3113" s="152">
        <f>V3113*P3113</f>
        <v>600</v>
      </c>
      <c r="AK3113" s="156" t="s">
        <v>691</v>
      </c>
      <c r="AL3113" s="156" t="s">
        <v>689</v>
      </c>
      <c r="AM3113" s="198">
        <f t="shared" si="1419"/>
        <v>0</v>
      </c>
      <c r="AN3113" s="199">
        <f t="shared" si="1420"/>
        <v>46069</v>
      </c>
      <c r="AO3113" s="159" t="s">
        <v>692</v>
      </c>
      <c r="AP3113" s="783" t="s">
        <v>620</v>
      </c>
      <c r="AQ3113" s="796" t="s">
        <v>422</v>
      </c>
      <c r="AR3113" s="782">
        <v>12055234</v>
      </c>
      <c r="AS3113" s="781"/>
      <c r="AT3113" s="782"/>
      <c r="AU3113" s="782"/>
      <c r="AV3113" s="782">
        <v>12097165</v>
      </c>
      <c r="AW3113" s="782"/>
      <c r="AX3113" s="782">
        <v>12036656</v>
      </c>
      <c r="AY3113" s="799"/>
      <c r="AZ3113" s="781"/>
      <c r="BA3113" s="781"/>
      <c r="BB3113" s="209">
        <v>23053184</v>
      </c>
    </row>
    <row r="3114" spans="1:54" ht="25" customHeight="1">
      <c r="B3114" s="183">
        <v>46070</v>
      </c>
      <c r="C3114" s="184"/>
      <c r="D3114" s="185">
        <f t="shared" si="1433"/>
        <v>2026</v>
      </c>
      <c r="E3114" s="185" t="e">
        <f>VLOOKUP($B3114,Week!$A$1:$C$1462,2,0)</f>
        <v>#N/A</v>
      </c>
      <c r="F3114" s="186" t="str">
        <f t="shared" si="1434"/>
        <v>Feb</v>
      </c>
      <c r="G3114" s="481"/>
      <c r="H3114" s="185"/>
      <c r="I3114" s="185"/>
      <c r="J3114" s="187"/>
      <c r="K3114" s="188"/>
      <c r="L3114" s="188"/>
      <c r="M3114" s="187"/>
      <c r="N3114" s="185"/>
      <c r="O3114" s="185"/>
      <c r="P3114" s="189"/>
      <c r="Q3114" s="189"/>
      <c r="R3114" s="190"/>
      <c r="S3114" s="185"/>
      <c r="T3114" s="185"/>
      <c r="U3114" s="185"/>
      <c r="V3114" s="191"/>
      <c r="W3114" s="191"/>
      <c r="X3114" s="192"/>
      <c r="Y3114" s="193"/>
      <c r="Z3114" s="194"/>
      <c r="AA3114" s="194">
        <f t="shared" si="1417"/>
        <v>0</v>
      </c>
      <c r="AB3114" s="805"/>
      <c r="AC3114" s="191"/>
      <c r="AD3114" s="187"/>
      <c r="AE3114" s="195"/>
      <c r="AF3114" s="195"/>
      <c r="AG3114" s="196"/>
      <c r="AH3114" s="197"/>
      <c r="AK3114" s="156" t="s">
        <v>691</v>
      </c>
      <c r="AM3114" s="198">
        <f t="shared" si="1419"/>
        <v>0</v>
      </c>
      <c r="AN3114" s="199">
        <f t="shared" si="1420"/>
        <v>46070</v>
      </c>
      <c r="AO3114" s="159" t="s">
        <v>692</v>
      </c>
      <c r="AP3114" s="781"/>
      <c r="AQ3114" s="782"/>
      <c r="AR3114" s="782"/>
      <c r="AS3114" s="782"/>
      <c r="AT3114" s="782"/>
      <c r="AU3114" s="781"/>
      <c r="AV3114" s="782"/>
      <c r="AW3114" s="782"/>
      <c r="AX3114" s="782"/>
      <c r="AY3114" s="782"/>
      <c r="AZ3114" s="782"/>
      <c r="BA3114" s="781"/>
      <c r="BB3114" s="209"/>
    </row>
    <row r="3115" spans="1:54" ht="25" customHeight="1">
      <c r="A3115" s="142" t="s">
        <v>120</v>
      </c>
      <c r="B3115" s="320">
        <v>46071</v>
      </c>
      <c r="C3115" s="321">
        <v>46083</v>
      </c>
      <c r="D3115" s="323">
        <f t="shared" si="1433"/>
        <v>2026</v>
      </c>
      <c r="E3115" s="321" t="e">
        <f>VLOOKUP($B3115,Week!$A$1:$C$1462,2,0)</f>
        <v>#N/A</v>
      </c>
      <c r="F3115" s="322" t="str">
        <f t="shared" si="1434"/>
        <v>Feb</v>
      </c>
      <c r="G3115" s="323" t="s">
        <v>2756</v>
      </c>
      <c r="H3115" s="323" t="s">
        <v>363</v>
      </c>
      <c r="I3115" s="323" t="s">
        <v>2772</v>
      </c>
      <c r="J3115" s="324" t="s">
        <v>364</v>
      </c>
      <c r="K3115" s="325" t="s">
        <v>2583</v>
      </c>
      <c r="L3115" s="325" t="s">
        <v>2166</v>
      </c>
      <c r="M3115" s="324" t="s">
        <v>2586</v>
      </c>
      <c r="N3115" s="323" t="s">
        <v>2584</v>
      </c>
      <c r="O3115" s="323" t="s">
        <v>2587</v>
      </c>
      <c r="P3115" s="326">
        <v>20</v>
      </c>
      <c r="Q3115" s="326">
        <v>50</v>
      </c>
      <c r="R3115" s="327">
        <v>4.0000000000000001E-3</v>
      </c>
      <c r="S3115" s="323" t="s">
        <v>55</v>
      </c>
      <c r="T3115" s="323" t="s">
        <v>112</v>
      </c>
      <c r="U3115" s="323" t="s">
        <v>77</v>
      </c>
      <c r="V3115" s="328">
        <v>210</v>
      </c>
      <c r="W3115" s="328">
        <v>210</v>
      </c>
      <c r="X3115" s="329"/>
      <c r="Y3115" s="330">
        <f t="shared" ref="Y3115:Y3124" si="1435">(W3115+X3115)-V3115</f>
        <v>0</v>
      </c>
      <c r="Z3115" s="331">
        <f t="shared" ref="Z3115:Z3127" si="1436">IF(Y3115&lt;0,((V3115*P3115)-((W3115+X3115)*P3115)),0)</f>
        <v>0</v>
      </c>
      <c r="AA3115" s="331">
        <f t="shared" ref="AA3115:AA3124" si="1437">Q3115*Z3115</f>
        <v>0</v>
      </c>
      <c r="AB3115" s="816">
        <v>6</v>
      </c>
      <c r="AC3115" s="328">
        <f t="shared" ref="AC3115:AC3124" si="1438">Z3115*AB3115</f>
        <v>0</v>
      </c>
      <c r="AD3115" s="209"/>
      <c r="AE3115" s="210">
        <f t="shared" ref="AE3115:AE3122" si="1439">SUM(Q3115*R3115*Z3115)/1000</f>
        <v>0</v>
      </c>
      <c r="AF3115" s="210">
        <f t="shared" ref="AF3115:AF3120" si="1440">AE3115/0.54</f>
        <v>0</v>
      </c>
      <c r="AG3115" s="211">
        <f t="shared" ref="AG3115:AG3122" si="1441">MID(O3115,1,3)/1000</f>
        <v>0.5</v>
      </c>
      <c r="AH3115" s="157">
        <f>(Z3115*AG3115)/1000</f>
        <v>0</v>
      </c>
      <c r="AI3115" s="152">
        <f t="shared" ref="AI3115:AI3127" si="1442">V3115*P3115</f>
        <v>4200</v>
      </c>
      <c r="AK3115" s="156" t="s">
        <v>691</v>
      </c>
      <c r="AL3115" s="156" t="s">
        <v>689</v>
      </c>
      <c r="AM3115" s="198">
        <f t="shared" ref="AM3115:AM3124" si="1443">AG3115*Z3115</f>
        <v>0</v>
      </c>
      <c r="AN3115" s="199">
        <f t="shared" ref="AN3115:AN3124" si="1444">B3115</f>
        <v>46071</v>
      </c>
      <c r="AO3115" s="159" t="s">
        <v>692</v>
      </c>
      <c r="AP3115" s="783" t="s">
        <v>620</v>
      </c>
      <c r="AQ3115" s="796" t="s">
        <v>422</v>
      </c>
      <c r="AR3115" s="782">
        <v>12055234</v>
      </c>
      <c r="AS3115" s="781"/>
      <c r="AT3115" s="782"/>
      <c r="AU3115" s="782"/>
      <c r="AV3115" s="782">
        <v>12097165</v>
      </c>
      <c r="AW3115" s="782"/>
      <c r="AX3115" s="782">
        <v>12036656</v>
      </c>
      <c r="AY3115" s="799"/>
      <c r="AZ3115" s="781"/>
      <c r="BA3115" s="781"/>
      <c r="BB3115" s="209">
        <v>23053184</v>
      </c>
    </row>
    <row r="3116" spans="1:54" ht="24.65" customHeight="1">
      <c r="B3116" s="411">
        <v>46071</v>
      </c>
      <c r="C3116" s="645" t="s">
        <v>2708</v>
      </c>
      <c r="D3116" s="185">
        <f t="shared" si="1433"/>
        <v>2026</v>
      </c>
      <c r="E3116" s="412" t="e">
        <f>VLOOKUP($B3116,Week!$A$1:$C$1462,2,0)</f>
        <v>#N/A</v>
      </c>
      <c r="F3116" s="413" t="str">
        <f t="shared" si="1434"/>
        <v>Feb</v>
      </c>
      <c r="G3116" s="414" t="s">
        <v>47</v>
      </c>
      <c r="H3116" s="414" t="s">
        <v>260</v>
      </c>
      <c r="I3116" s="414" t="s">
        <v>2702</v>
      </c>
      <c r="J3116" s="415" t="s">
        <v>261</v>
      </c>
      <c r="K3116" s="416" t="s">
        <v>94</v>
      </c>
      <c r="L3116" s="300" t="s">
        <v>2167</v>
      </c>
      <c r="M3116" s="415" t="s">
        <v>2339</v>
      </c>
      <c r="N3116" s="414" t="s">
        <v>263</v>
      </c>
      <c r="O3116" s="414" t="s">
        <v>195</v>
      </c>
      <c r="P3116" s="417">
        <v>24</v>
      </c>
      <c r="Q3116" s="417">
        <v>5</v>
      </c>
      <c r="R3116" s="418">
        <v>8.0000000000000002E-3</v>
      </c>
      <c r="S3116" s="414" t="s">
        <v>40</v>
      </c>
      <c r="T3116" s="414" t="s">
        <v>56</v>
      </c>
      <c r="U3116" s="414" t="s">
        <v>57</v>
      </c>
      <c r="V3116" s="419">
        <f>954</f>
        <v>954</v>
      </c>
      <c r="W3116" s="419">
        <f>1+953</f>
        <v>954</v>
      </c>
      <c r="X3116" s="420"/>
      <c r="Y3116" s="421">
        <f t="shared" si="1435"/>
        <v>0</v>
      </c>
      <c r="Z3116" s="422">
        <f t="shared" si="1436"/>
        <v>0</v>
      </c>
      <c r="AA3116" s="422">
        <f t="shared" si="1437"/>
        <v>0</v>
      </c>
      <c r="AB3116" s="825">
        <v>7.4999999999999997E-3</v>
      </c>
      <c r="AC3116" s="419">
        <f t="shared" si="1438"/>
        <v>0</v>
      </c>
      <c r="AD3116" s="209"/>
      <c r="AE3116" s="210">
        <f t="shared" si="1439"/>
        <v>0</v>
      </c>
      <c r="AF3116" s="210">
        <f t="shared" si="1440"/>
        <v>0</v>
      </c>
      <c r="AG3116" s="211">
        <f t="shared" si="1441"/>
        <v>0.14499999999999999</v>
      </c>
      <c r="AH3116" s="157">
        <f>(Z3116*AG3116)/1000</f>
        <v>0</v>
      </c>
      <c r="AI3116" s="152">
        <f t="shared" si="1442"/>
        <v>22896</v>
      </c>
      <c r="AK3116" s="156" t="s">
        <v>691</v>
      </c>
      <c r="AL3116" s="212" t="s">
        <v>690</v>
      </c>
      <c r="AM3116" s="198">
        <f t="shared" si="1443"/>
        <v>0</v>
      </c>
      <c r="AN3116" s="199">
        <f t="shared" si="1444"/>
        <v>46071</v>
      </c>
      <c r="AO3116" s="159" t="s">
        <v>692</v>
      </c>
      <c r="AP3116" s="783" t="s">
        <v>609</v>
      </c>
      <c r="AQ3116" s="782">
        <v>12071839</v>
      </c>
      <c r="AR3116" s="782">
        <v>12047514</v>
      </c>
      <c r="AS3116" s="782">
        <v>12047515</v>
      </c>
      <c r="AT3116" s="781"/>
      <c r="AU3116" s="781"/>
      <c r="AV3116" s="782">
        <v>12080613</v>
      </c>
      <c r="AW3116" s="781"/>
      <c r="AX3116" s="781"/>
      <c r="AY3116" s="782">
        <v>12094241</v>
      </c>
      <c r="AZ3116" s="782">
        <v>12094242</v>
      </c>
      <c r="BA3116" s="781"/>
      <c r="BB3116" s="209">
        <v>23053185</v>
      </c>
    </row>
    <row r="3117" spans="1:54" ht="25" customHeight="1">
      <c r="B3117" s="743">
        <v>46071</v>
      </c>
      <c r="C3117" s="744" t="s">
        <v>2708</v>
      </c>
      <c r="D3117" s="215">
        <f t="shared" si="1433"/>
        <v>2026</v>
      </c>
      <c r="E3117" s="214" t="e">
        <f>VLOOKUP($B3117,Week!$A$1:$C$1462,2,0)</f>
        <v>#N/A</v>
      </c>
      <c r="F3117" s="216" t="str">
        <f t="shared" si="1434"/>
        <v>Feb</v>
      </c>
      <c r="G3117" s="746" t="s">
        <v>47</v>
      </c>
      <c r="H3117" s="746" t="s">
        <v>260</v>
      </c>
      <c r="I3117" s="215" t="s">
        <v>2702</v>
      </c>
      <c r="J3117" s="747" t="s">
        <v>2702</v>
      </c>
      <c r="K3117" s="748" t="s">
        <v>2703</v>
      </c>
      <c r="L3117" s="217" t="s">
        <v>2167</v>
      </c>
      <c r="M3117" s="747" t="s">
        <v>2705</v>
      </c>
      <c r="N3117" s="915" t="s">
        <v>2704</v>
      </c>
      <c r="O3117" s="746" t="s">
        <v>1635</v>
      </c>
      <c r="P3117" s="749">
        <v>24</v>
      </c>
      <c r="Q3117" s="749">
        <v>3</v>
      </c>
      <c r="R3117" s="849">
        <v>6.1999999999999998E-3</v>
      </c>
      <c r="S3117" s="746" t="s">
        <v>352</v>
      </c>
      <c r="T3117" s="746" t="s">
        <v>56</v>
      </c>
      <c r="U3117" s="860" t="s">
        <v>739</v>
      </c>
      <c r="V3117" s="750">
        <v>2492</v>
      </c>
      <c r="W3117" s="750">
        <f>21+2471</f>
        <v>2492</v>
      </c>
      <c r="X3117" s="751"/>
      <c r="Y3117" s="752">
        <f t="shared" si="1435"/>
        <v>0</v>
      </c>
      <c r="Z3117" s="753">
        <f t="shared" si="1436"/>
        <v>0</v>
      </c>
      <c r="AA3117" s="753">
        <f t="shared" si="1437"/>
        <v>0</v>
      </c>
      <c r="AB3117" s="838">
        <v>1.83E-2</v>
      </c>
      <c r="AC3117" s="750">
        <f t="shared" si="1438"/>
        <v>0</v>
      </c>
      <c r="AD3117" s="443"/>
      <c r="AE3117" s="210">
        <f t="shared" si="1439"/>
        <v>0</v>
      </c>
      <c r="AF3117" s="210">
        <f t="shared" si="1440"/>
        <v>0</v>
      </c>
      <c r="AG3117" s="211">
        <f t="shared" si="1441"/>
        <v>0.25</v>
      </c>
      <c r="AH3117" s="157">
        <v>0.26621999999999996</v>
      </c>
      <c r="AI3117" s="152">
        <f t="shared" si="1442"/>
        <v>59808</v>
      </c>
      <c r="AK3117" s="156" t="s">
        <v>691</v>
      </c>
      <c r="AL3117" s="574" t="s">
        <v>690</v>
      </c>
      <c r="AM3117" s="198">
        <f t="shared" si="1443"/>
        <v>0</v>
      </c>
      <c r="AN3117" s="199">
        <f t="shared" si="1444"/>
        <v>46071</v>
      </c>
      <c r="AO3117" s="159" t="s">
        <v>692</v>
      </c>
      <c r="AP3117" s="781" t="s">
        <v>642</v>
      </c>
      <c r="AQ3117" s="782">
        <v>12071839</v>
      </c>
      <c r="AR3117" s="782">
        <v>12042650</v>
      </c>
      <c r="AS3117" s="782">
        <v>12042649</v>
      </c>
      <c r="AT3117" s="782"/>
      <c r="AU3117" s="783"/>
      <c r="AV3117" s="782">
        <v>12097895</v>
      </c>
      <c r="AW3117" s="783"/>
      <c r="AX3117" s="781"/>
      <c r="AY3117" s="796">
        <v>12097893</v>
      </c>
      <c r="AZ3117" s="796">
        <v>12097894</v>
      </c>
      <c r="BA3117" s="796" t="s">
        <v>2462</v>
      </c>
      <c r="BB3117" s="209">
        <v>23099860</v>
      </c>
    </row>
    <row r="3118" spans="1:54" ht="25" customHeight="1">
      <c r="A3118" s="142" t="s">
        <v>120</v>
      </c>
      <c r="B3118" s="320">
        <v>46072</v>
      </c>
      <c r="C3118" s="321">
        <v>46083</v>
      </c>
      <c r="D3118" s="323">
        <f t="shared" si="1433"/>
        <v>2026</v>
      </c>
      <c r="E3118" s="321" t="e">
        <f>VLOOKUP($B3118,Week!$A$1:$C$1462,2,0)</f>
        <v>#N/A</v>
      </c>
      <c r="F3118" s="322" t="str">
        <f t="shared" si="1434"/>
        <v>Feb</v>
      </c>
      <c r="G3118" s="323" t="s">
        <v>2756</v>
      </c>
      <c r="H3118" s="323" t="s">
        <v>363</v>
      </c>
      <c r="I3118" s="323" t="s">
        <v>2772</v>
      </c>
      <c r="J3118" s="324" t="s">
        <v>364</v>
      </c>
      <c r="K3118" s="325" t="s">
        <v>2583</v>
      </c>
      <c r="L3118" s="325" t="s">
        <v>2166</v>
      </c>
      <c r="M3118" s="324" t="s">
        <v>2586</v>
      </c>
      <c r="N3118" s="323" t="s">
        <v>2584</v>
      </c>
      <c r="O3118" s="323" t="s">
        <v>2587</v>
      </c>
      <c r="P3118" s="326">
        <v>20</v>
      </c>
      <c r="Q3118" s="326">
        <v>50</v>
      </c>
      <c r="R3118" s="327">
        <v>4.0000000000000001E-3</v>
      </c>
      <c r="S3118" s="323" t="s">
        <v>55</v>
      </c>
      <c r="T3118" s="323" t="s">
        <v>112</v>
      </c>
      <c r="U3118" s="323" t="s">
        <v>77</v>
      </c>
      <c r="V3118" s="328">
        <v>217</v>
      </c>
      <c r="W3118" s="328">
        <v>217</v>
      </c>
      <c r="X3118" s="329"/>
      <c r="Y3118" s="330">
        <f t="shared" si="1435"/>
        <v>0</v>
      </c>
      <c r="Z3118" s="331">
        <f t="shared" si="1436"/>
        <v>0</v>
      </c>
      <c r="AA3118" s="331">
        <f t="shared" si="1437"/>
        <v>0</v>
      </c>
      <c r="AB3118" s="816">
        <v>6</v>
      </c>
      <c r="AC3118" s="328">
        <f t="shared" si="1438"/>
        <v>0</v>
      </c>
      <c r="AD3118" s="209"/>
      <c r="AE3118" s="210">
        <f t="shared" si="1439"/>
        <v>0</v>
      </c>
      <c r="AF3118" s="210">
        <f t="shared" si="1440"/>
        <v>0</v>
      </c>
      <c r="AG3118" s="211">
        <f t="shared" si="1441"/>
        <v>0.5</v>
      </c>
      <c r="AH3118" s="157">
        <f>(Z3118*AG3118)/1000</f>
        <v>0</v>
      </c>
      <c r="AI3118" s="152">
        <f t="shared" si="1442"/>
        <v>4340</v>
      </c>
      <c r="AK3118" s="156" t="s">
        <v>691</v>
      </c>
      <c r="AL3118" s="156" t="s">
        <v>689</v>
      </c>
      <c r="AM3118" s="198">
        <f t="shared" si="1443"/>
        <v>0</v>
      </c>
      <c r="AN3118" s="199">
        <f t="shared" si="1444"/>
        <v>46072</v>
      </c>
      <c r="AO3118" s="159" t="s">
        <v>692</v>
      </c>
      <c r="AP3118" s="783" t="s">
        <v>620</v>
      </c>
      <c r="AQ3118" s="796" t="s">
        <v>422</v>
      </c>
      <c r="AR3118" s="782">
        <v>12055234</v>
      </c>
      <c r="AS3118" s="781"/>
      <c r="AT3118" s="782"/>
      <c r="AU3118" s="782"/>
      <c r="AV3118" s="782">
        <v>12097165</v>
      </c>
      <c r="AW3118" s="782"/>
      <c r="AX3118" s="782">
        <v>12036656</v>
      </c>
      <c r="AY3118" s="799"/>
      <c r="AZ3118" s="781"/>
      <c r="BA3118" s="781"/>
      <c r="BB3118" s="209">
        <v>23053184</v>
      </c>
    </row>
    <row r="3119" spans="1:54" ht="24.65" customHeight="1">
      <c r="B3119" s="411">
        <v>46072</v>
      </c>
      <c r="C3119" s="645" t="s">
        <v>2708</v>
      </c>
      <c r="D3119" s="185">
        <f t="shared" si="1433"/>
        <v>2026</v>
      </c>
      <c r="E3119" s="412" t="e">
        <f>VLOOKUP($B3119,Week!$A$1:$C$1462,2,0)</f>
        <v>#N/A</v>
      </c>
      <c r="F3119" s="413" t="str">
        <f t="shared" si="1434"/>
        <v>Feb</v>
      </c>
      <c r="G3119" s="414" t="s">
        <v>47</v>
      </c>
      <c r="H3119" s="414" t="s">
        <v>260</v>
      </c>
      <c r="I3119" s="414" t="s">
        <v>2702</v>
      </c>
      <c r="J3119" s="415" t="s">
        <v>261</v>
      </c>
      <c r="K3119" s="416" t="s">
        <v>94</v>
      </c>
      <c r="L3119" s="300" t="s">
        <v>2167</v>
      </c>
      <c r="M3119" s="415" t="s">
        <v>2339</v>
      </c>
      <c r="N3119" s="414" t="s">
        <v>263</v>
      </c>
      <c r="O3119" s="414" t="s">
        <v>195</v>
      </c>
      <c r="P3119" s="417">
        <v>24</v>
      </c>
      <c r="Q3119" s="417">
        <v>5</v>
      </c>
      <c r="R3119" s="418">
        <v>8.0000000000000002E-3</v>
      </c>
      <c r="S3119" s="414" t="s">
        <v>40</v>
      </c>
      <c r="T3119" s="414" t="s">
        <v>56</v>
      </c>
      <c r="U3119" s="414" t="s">
        <v>57</v>
      </c>
      <c r="V3119" s="419">
        <v>913</v>
      </c>
      <c r="W3119" s="419">
        <f>913</f>
        <v>913</v>
      </c>
      <c r="X3119" s="420"/>
      <c r="Y3119" s="421">
        <f t="shared" si="1435"/>
        <v>0</v>
      </c>
      <c r="Z3119" s="422">
        <f t="shared" si="1436"/>
        <v>0</v>
      </c>
      <c r="AA3119" s="422">
        <f t="shared" si="1437"/>
        <v>0</v>
      </c>
      <c r="AB3119" s="825">
        <v>7.4999999999999997E-3</v>
      </c>
      <c r="AC3119" s="419">
        <f t="shared" si="1438"/>
        <v>0</v>
      </c>
      <c r="AD3119" s="209"/>
      <c r="AE3119" s="210">
        <f t="shared" si="1439"/>
        <v>0</v>
      </c>
      <c r="AF3119" s="210">
        <f t="shared" si="1440"/>
        <v>0</v>
      </c>
      <c r="AG3119" s="211">
        <f t="shared" si="1441"/>
        <v>0.14499999999999999</v>
      </c>
      <c r="AH3119" s="157">
        <f>(Z3119*AG3119)/1000</f>
        <v>0</v>
      </c>
      <c r="AI3119" s="152">
        <f t="shared" si="1442"/>
        <v>21912</v>
      </c>
      <c r="AK3119" s="156" t="s">
        <v>691</v>
      </c>
      <c r="AL3119" s="212" t="s">
        <v>690</v>
      </c>
      <c r="AM3119" s="198">
        <f t="shared" si="1443"/>
        <v>0</v>
      </c>
      <c r="AN3119" s="199">
        <f t="shared" si="1444"/>
        <v>46072</v>
      </c>
      <c r="AO3119" s="159" t="s">
        <v>692</v>
      </c>
      <c r="AP3119" s="783" t="s">
        <v>609</v>
      </c>
      <c r="AQ3119" s="782">
        <v>12071839</v>
      </c>
      <c r="AR3119" s="782">
        <v>12047514</v>
      </c>
      <c r="AS3119" s="782">
        <v>12047515</v>
      </c>
      <c r="AT3119" s="781"/>
      <c r="AU3119" s="781"/>
      <c r="AV3119" s="782">
        <v>12080613</v>
      </c>
      <c r="AW3119" s="781"/>
      <c r="AX3119" s="781"/>
      <c r="AY3119" s="782">
        <v>12094241</v>
      </c>
      <c r="AZ3119" s="782">
        <v>12094242</v>
      </c>
      <c r="BA3119" s="781"/>
      <c r="BB3119" s="209">
        <v>23053185</v>
      </c>
    </row>
    <row r="3120" spans="1:54" ht="25" customHeight="1">
      <c r="B3120" s="743">
        <v>46072</v>
      </c>
      <c r="C3120" s="744" t="s">
        <v>2708</v>
      </c>
      <c r="D3120" s="215">
        <f t="shared" si="1433"/>
        <v>2026</v>
      </c>
      <c r="E3120" s="214" t="e">
        <f>VLOOKUP($B3120,Week!$A$1:$C$1462,2,0)</f>
        <v>#N/A</v>
      </c>
      <c r="F3120" s="216" t="str">
        <f t="shared" si="1434"/>
        <v>Feb</v>
      </c>
      <c r="G3120" s="746" t="s">
        <v>47</v>
      </c>
      <c r="H3120" s="746" t="s">
        <v>260</v>
      </c>
      <c r="I3120" s="215" t="s">
        <v>2702</v>
      </c>
      <c r="J3120" s="747" t="s">
        <v>2702</v>
      </c>
      <c r="K3120" s="748" t="s">
        <v>2703</v>
      </c>
      <c r="L3120" s="217" t="s">
        <v>2167</v>
      </c>
      <c r="M3120" s="747" t="s">
        <v>2705</v>
      </c>
      <c r="N3120" s="915" t="s">
        <v>2704</v>
      </c>
      <c r="O3120" s="746" t="s">
        <v>1635</v>
      </c>
      <c r="P3120" s="749">
        <v>24</v>
      </c>
      <c r="Q3120" s="749">
        <v>3</v>
      </c>
      <c r="R3120" s="849">
        <v>6.1999999999999998E-3</v>
      </c>
      <c r="S3120" s="746" t="s">
        <v>352</v>
      </c>
      <c r="T3120" s="746" t="s">
        <v>56</v>
      </c>
      <c r="U3120" s="860" t="s">
        <v>739</v>
      </c>
      <c r="V3120" s="750">
        <v>2505</v>
      </c>
      <c r="W3120" s="750">
        <v>2505</v>
      </c>
      <c r="X3120" s="751"/>
      <c r="Y3120" s="752">
        <f t="shared" si="1435"/>
        <v>0</v>
      </c>
      <c r="Z3120" s="753">
        <f t="shared" si="1436"/>
        <v>0</v>
      </c>
      <c r="AA3120" s="753">
        <f t="shared" si="1437"/>
        <v>0</v>
      </c>
      <c r="AB3120" s="838">
        <v>1.83E-2</v>
      </c>
      <c r="AC3120" s="750">
        <f t="shared" si="1438"/>
        <v>0</v>
      </c>
      <c r="AD3120" s="443"/>
      <c r="AE3120" s="210">
        <f t="shared" si="1439"/>
        <v>0</v>
      </c>
      <c r="AF3120" s="210">
        <f t="shared" si="1440"/>
        <v>0</v>
      </c>
      <c r="AG3120" s="211">
        <f t="shared" si="1441"/>
        <v>0.25</v>
      </c>
      <c r="AH3120" s="157">
        <v>0.26621999999999996</v>
      </c>
      <c r="AI3120" s="152">
        <f t="shared" si="1442"/>
        <v>60120</v>
      </c>
      <c r="AK3120" s="156" t="s">
        <v>691</v>
      </c>
      <c r="AL3120" s="574" t="s">
        <v>690</v>
      </c>
      <c r="AM3120" s="198">
        <f t="shared" si="1443"/>
        <v>0</v>
      </c>
      <c r="AN3120" s="199">
        <f t="shared" si="1444"/>
        <v>46072</v>
      </c>
      <c r="AO3120" s="159" t="s">
        <v>692</v>
      </c>
      <c r="AP3120" s="781" t="s">
        <v>642</v>
      </c>
      <c r="AQ3120" s="782">
        <v>12071839</v>
      </c>
      <c r="AR3120" s="782">
        <v>12042650</v>
      </c>
      <c r="AS3120" s="782">
        <v>12042649</v>
      </c>
      <c r="AT3120" s="782"/>
      <c r="AU3120" s="783"/>
      <c r="AV3120" s="782">
        <v>12097895</v>
      </c>
      <c r="AW3120" s="783"/>
      <c r="AX3120" s="781"/>
      <c r="AY3120" s="796">
        <v>12097893</v>
      </c>
      <c r="AZ3120" s="796">
        <v>12097894</v>
      </c>
      <c r="BA3120" s="796" t="s">
        <v>2462</v>
      </c>
      <c r="BB3120" s="209">
        <v>23099860</v>
      </c>
    </row>
    <row r="3121" spans="1:54" ht="25" customHeight="1">
      <c r="A3121" s="142" t="s">
        <v>120</v>
      </c>
      <c r="B3121" s="320">
        <v>46073</v>
      </c>
      <c r="C3121" s="321">
        <v>46083</v>
      </c>
      <c r="D3121" s="323">
        <f t="shared" si="1433"/>
        <v>2026</v>
      </c>
      <c r="E3121" s="321" t="e">
        <f>VLOOKUP($B3121,Week!$A$1:$C$1462,2,0)</f>
        <v>#N/A</v>
      </c>
      <c r="F3121" s="322" t="str">
        <f t="shared" si="1434"/>
        <v>Feb</v>
      </c>
      <c r="G3121" s="323" t="s">
        <v>2756</v>
      </c>
      <c r="H3121" s="323" t="s">
        <v>363</v>
      </c>
      <c r="I3121" s="323" t="s">
        <v>2772</v>
      </c>
      <c r="J3121" s="324" t="s">
        <v>364</v>
      </c>
      <c r="K3121" s="325" t="s">
        <v>2583</v>
      </c>
      <c r="L3121" s="325" t="s">
        <v>2166</v>
      </c>
      <c r="M3121" s="324" t="s">
        <v>2586</v>
      </c>
      <c r="N3121" s="323" t="s">
        <v>2584</v>
      </c>
      <c r="O3121" s="323" t="s">
        <v>2587</v>
      </c>
      <c r="P3121" s="326">
        <v>20</v>
      </c>
      <c r="Q3121" s="326">
        <v>50</v>
      </c>
      <c r="R3121" s="327">
        <v>4.0000000000000001E-3</v>
      </c>
      <c r="S3121" s="323" t="s">
        <v>55</v>
      </c>
      <c r="T3121" s="323" t="s">
        <v>112</v>
      </c>
      <c r="U3121" s="323" t="s">
        <v>77</v>
      </c>
      <c r="V3121" s="328">
        <v>212</v>
      </c>
      <c r="W3121" s="328">
        <f>212</f>
        <v>212</v>
      </c>
      <c r="X3121" s="329"/>
      <c r="Y3121" s="330">
        <f>(W3121+X3121)-V3121</f>
        <v>0</v>
      </c>
      <c r="Z3121" s="331">
        <f t="shared" si="1436"/>
        <v>0</v>
      </c>
      <c r="AA3121" s="331">
        <f>Q3121*Z3121</f>
        <v>0</v>
      </c>
      <c r="AB3121" s="816">
        <v>6</v>
      </c>
      <c r="AC3121" s="328">
        <f>Z3121*AB3121</f>
        <v>0</v>
      </c>
      <c r="AD3121" s="209"/>
      <c r="AE3121" s="210">
        <f>SUM(Q3121*R3121*Z3121)/1000</f>
        <v>0</v>
      </c>
      <c r="AF3121" s="210">
        <f>AE3121/0.54</f>
        <v>0</v>
      </c>
      <c r="AG3121" s="211">
        <f>MID(O3121,1,3)/1000</f>
        <v>0.5</v>
      </c>
      <c r="AH3121" s="157">
        <f>(Z3121*AG3121)/1000</f>
        <v>0</v>
      </c>
      <c r="AI3121" s="152">
        <f t="shared" si="1442"/>
        <v>4240</v>
      </c>
      <c r="AK3121" s="156" t="s">
        <v>691</v>
      </c>
      <c r="AL3121" s="156" t="s">
        <v>689</v>
      </c>
      <c r="AM3121" s="198">
        <f>AG3121*Z3121</f>
        <v>0</v>
      </c>
      <c r="AN3121" s="199">
        <f>B3121</f>
        <v>46073</v>
      </c>
      <c r="AO3121" s="159" t="s">
        <v>692</v>
      </c>
      <c r="AP3121" s="783" t="s">
        <v>620</v>
      </c>
      <c r="AQ3121" s="796" t="s">
        <v>422</v>
      </c>
      <c r="AR3121" s="782">
        <v>12055234</v>
      </c>
      <c r="AS3121" s="781"/>
      <c r="AT3121" s="782"/>
      <c r="AU3121" s="782"/>
      <c r="AV3121" s="782">
        <v>12097165</v>
      </c>
      <c r="AW3121" s="782"/>
      <c r="AX3121" s="782">
        <v>12036656</v>
      </c>
      <c r="AY3121" s="799"/>
      <c r="AZ3121" s="781"/>
      <c r="BA3121" s="781"/>
      <c r="BB3121" s="209">
        <v>23053184</v>
      </c>
    </row>
    <row r="3122" spans="1:54" ht="25" customHeight="1">
      <c r="B3122" s="213">
        <v>46073</v>
      </c>
      <c r="C3122" s="902" t="s">
        <v>2708</v>
      </c>
      <c r="D3122" s="215">
        <f t="shared" si="1433"/>
        <v>2026</v>
      </c>
      <c r="E3122" s="214" t="e">
        <f>VLOOKUP($B3122,Week!$A$1:$C$1462,2,0)</f>
        <v>#N/A</v>
      </c>
      <c r="F3122" s="216" t="str">
        <f t="shared" si="1434"/>
        <v>Feb</v>
      </c>
      <c r="G3122" s="215" t="s">
        <v>47</v>
      </c>
      <c r="H3122" s="215" t="s">
        <v>260</v>
      </c>
      <c r="I3122" s="215" t="s">
        <v>2702</v>
      </c>
      <c r="J3122" s="209" t="s">
        <v>2702</v>
      </c>
      <c r="K3122" s="217" t="s">
        <v>2706</v>
      </c>
      <c r="L3122" s="217" t="s">
        <v>2167</v>
      </c>
      <c r="M3122" s="209" t="s">
        <v>2733</v>
      </c>
      <c r="N3122" s="480" t="s">
        <v>2734</v>
      </c>
      <c r="O3122" s="215" t="s">
        <v>2735</v>
      </c>
      <c r="P3122" s="218">
        <v>12</v>
      </c>
      <c r="Q3122" s="218">
        <v>2</v>
      </c>
      <c r="R3122" s="219">
        <v>6.0000000000000001E-3</v>
      </c>
      <c r="S3122" s="215" t="s">
        <v>55</v>
      </c>
      <c r="T3122" s="215" t="s">
        <v>56</v>
      </c>
      <c r="U3122" s="852" t="s">
        <v>2707</v>
      </c>
      <c r="V3122" s="220">
        <v>1260</v>
      </c>
      <c r="W3122" s="220">
        <f>483+368+409</f>
        <v>1260</v>
      </c>
      <c r="X3122" s="221"/>
      <c r="Y3122" s="222">
        <f t="shared" si="1435"/>
        <v>0</v>
      </c>
      <c r="Z3122" s="223">
        <f t="shared" si="1436"/>
        <v>0</v>
      </c>
      <c r="AA3122" s="223">
        <f t="shared" si="1437"/>
        <v>0</v>
      </c>
      <c r="AB3122" s="807">
        <v>1.7000000000000001E-2</v>
      </c>
      <c r="AC3122" s="220">
        <f t="shared" si="1438"/>
        <v>0</v>
      </c>
      <c r="AD3122" s="443"/>
      <c r="AE3122" s="210">
        <f t="shared" si="1439"/>
        <v>0</v>
      </c>
      <c r="AF3122" s="210">
        <f t="shared" ref="AF3122:AF3127" si="1445">AE3122/0.54</f>
        <v>0</v>
      </c>
      <c r="AG3122" s="211">
        <f t="shared" si="1441"/>
        <v>0.22500000000000001</v>
      </c>
      <c r="AH3122" s="157">
        <v>0.26621999999999996</v>
      </c>
      <c r="AI3122" s="152">
        <f t="shared" si="1442"/>
        <v>15120</v>
      </c>
      <c r="AK3122" s="156" t="s">
        <v>691</v>
      </c>
      <c r="AL3122" s="574" t="s">
        <v>690</v>
      </c>
      <c r="AM3122" s="198">
        <f t="shared" si="1443"/>
        <v>0</v>
      </c>
      <c r="AN3122" s="199">
        <f t="shared" si="1444"/>
        <v>46073</v>
      </c>
      <c r="AO3122" s="159" t="s">
        <v>692</v>
      </c>
      <c r="AP3122" s="781" t="s">
        <v>642</v>
      </c>
      <c r="AQ3122" s="782">
        <v>12071839</v>
      </c>
      <c r="AR3122" s="782"/>
      <c r="AS3122" s="782"/>
      <c r="AT3122" s="782">
        <v>12098021</v>
      </c>
      <c r="AU3122" s="783" t="s">
        <v>2979</v>
      </c>
      <c r="AV3122" s="782">
        <v>12098022</v>
      </c>
      <c r="AW3122" s="783"/>
      <c r="AX3122" s="781"/>
      <c r="AY3122" s="796"/>
      <c r="AZ3122" s="796"/>
      <c r="BA3122" s="796"/>
      <c r="BB3122" s="209">
        <v>23099860</v>
      </c>
    </row>
    <row r="3123" spans="1:54" ht="24.65" customHeight="1">
      <c r="B3123" s="411">
        <v>46073</v>
      </c>
      <c r="C3123" s="645" t="s">
        <v>2708</v>
      </c>
      <c r="D3123" s="185">
        <f t="shared" si="1433"/>
        <v>2026</v>
      </c>
      <c r="E3123" s="412" t="e">
        <f>VLOOKUP($B3123,Week!$A$1:$C$1462,2,0)</f>
        <v>#N/A</v>
      </c>
      <c r="F3123" s="413" t="str">
        <f t="shared" si="1434"/>
        <v>Feb</v>
      </c>
      <c r="G3123" s="414" t="s">
        <v>47</v>
      </c>
      <c r="H3123" s="414" t="s">
        <v>260</v>
      </c>
      <c r="I3123" s="414" t="s">
        <v>2702</v>
      </c>
      <c r="J3123" s="415" t="s">
        <v>261</v>
      </c>
      <c r="K3123" s="416" t="s">
        <v>94</v>
      </c>
      <c r="L3123" s="300" t="s">
        <v>2167</v>
      </c>
      <c r="M3123" s="415" t="s">
        <v>2339</v>
      </c>
      <c r="N3123" s="414" t="s">
        <v>263</v>
      </c>
      <c r="O3123" s="414" t="s">
        <v>195</v>
      </c>
      <c r="P3123" s="417">
        <v>24</v>
      </c>
      <c r="Q3123" s="417">
        <v>5</v>
      </c>
      <c r="R3123" s="418">
        <v>8.0000000000000002E-3</v>
      </c>
      <c r="S3123" s="414" t="s">
        <v>40</v>
      </c>
      <c r="T3123" s="414" t="s">
        <v>56</v>
      </c>
      <c r="U3123" s="414" t="s">
        <v>57</v>
      </c>
      <c r="V3123" s="419">
        <v>2082</v>
      </c>
      <c r="W3123" s="419">
        <f>2082</f>
        <v>2082</v>
      </c>
      <c r="X3123" s="420"/>
      <c r="Y3123" s="421">
        <f t="shared" si="1435"/>
        <v>0</v>
      </c>
      <c r="Z3123" s="422">
        <f t="shared" si="1436"/>
        <v>0</v>
      </c>
      <c r="AA3123" s="422">
        <f t="shared" si="1437"/>
        <v>0</v>
      </c>
      <c r="AB3123" s="825">
        <v>7.4999999999999997E-3</v>
      </c>
      <c r="AC3123" s="419">
        <f t="shared" si="1438"/>
        <v>0</v>
      </c>
      <c r="AD3123" s="209"/>
      <c r="AE3123" s="210">
        <f>SUM(Q3123*R3123*Z3123)/1000</f>
        <v>0</v>
      </c>
      <c r="AF3123" s="210">
        <f t="shared" si="1445"/>
        <v>0</v>
      </c>
      <c r="AG3123" s="211">
        <f>MID(O3123,1,3)/1000</f>
        <v>0.14499999999999999</v>
      </c>
      <c r="AH3123" s="157">
        <f>(Z3123*AG3123)/1000</f>
        <v>0</v>
      </c>
      <c r="AI3123" s="152">
        <f t="shared" si="1442"/>
        <v>49968</v>
      </c>
      <c r="AK3123" s="156" t="s">
        <v>691</v>
      </c>
      <c r="AL3123" s="212" t="s">
        <v>690</v>
      </c>
      <c r="AM3123" s="198">
        <f t="shared" si="1443"/>
        <v>0</v>
      </c>
      <c r="AN3123" s="199">
        <f t="shared" si="1444"/>
        <v>46073</v>
      </c>
      <c r="AO3123" s="159" t="s">
        <v>692</v>
      </c>
      <c r="AP3123" s="783" t="s">
        <v>609</v>
      </c>
      <c r="AQ3123" s="782">
        <v>12071839</v>
      </c>
      <c r="AR3123" s="782">
        <v>12047514</v>
      </c>
      <c r="AS3123" s="782">
        <v>12047515</v>
      </c>
      <c r="AT3123" s="781"/>
      <c r="AU3123" s="781"/>
      <c r="AV3123" s="782">
        <v>12080613</v>
      </c>
      <c r="AW3123" s="781"/>
      <c r="AX3123" s="781"/>
      <c r="AY3123" s="782">
        <v>12094241</v>
      </c>
      <c r="AZ3123" s="782">
        <v>12094242</v>
      </c>
      <c r="BA3123" s="781"/>
      <c r="BB3123" s="209">
        <v>23053185</v>
      </c>
    </row>
    <row r="3124" spans="1:54" ht="25" customHeight="1">
      <c r="A3124" s="142" t="s">
        <v>120</v>
      </c>
      <c r="B3124" s="320">
        <v>46074</v>
      </c>
      <c r="C3124" s="321">
        <v>46083</v>
      </c>
      <c r="D3124" s="323">
        <f t="shared" si="1433"/>
        <v>2026</v>
      </c>
      <c r="E3124" s="321" t="e">
        <f>VLOOKUP($B3124,Week!$A$1:$C$1462,2,0)</f>
        <v>#N/A</v>
      </c>
      <c r="F3124" s="322" t="str">
        <f t="shared" si="1434"/>
        <v>Feb</v>
      </c>
      <c r="G3124" s="323" t="s">
        <v>2756</v>
      </c>
      <c r="H3124" s="323" t="s">
        <v>363</v>
      </c>
      <c r="I3124" s="323" t="s">
        <v>2772</v>
      </c>
      <c r="J3124" s="324" t="s">
        <v>364</v>
      </c>
      <c r="K3124" s="325" t="s">
        <v>2583</v>
      </c>
      <c r="L3124" s="325" t="s">
        <v>2166</v>
      </c>
      <c r="M3124" s="324" t="s">
        <v>2586</v>
      </c>
      <c r="N3124" s="323" t="s">
        <v>2584</v>
      </c>
      <c r="O3124" s="323" t="s">
        <v>2587</v>
      </c>
      <c r="P3124" s="326">
        <v>20</v>
      </c>
      <c r="Q3124" s="326">
        <v>50</v>
      </c>
      <c r="R3124" s="327">
        <v>4.0000000000000001E-3</v>
      </c>
      <c r="S3124" s="323" t="s">
        <v>55</v>
      </c>
      <c r="T3124" s="323" t="s">
        <v>112</v>
      </c>
      <c r="U3124" s="323" t="s">
        <v>77</v>
      </c>
      <c r="V3124" s="328">
        <v>211</v>
      </c>
      <c r="W3124" s="328">
        <v>211</v>
      </c>
      <c r="X3124" s="329"/>
      <c r="Y3124" s="330">
        <f t="shared" si="1435"/>
        <v>0</v>
      </c>
      <c r="Z3124" s="331">
        <f t="shared" si="1436"/>
        <v>0</v>
      </c>
      <c r="AA3124" s="331">
        <f t="shared" si="1437"/>
        <v>0</v>
      </c>
      <c r="AB3124" s="816">
        <v>6</v>
      </c>
      <c r="AC3124" s="328">
        <f t="shared" si="1438"/>
        <v>0</v>
      </c>
      <c r="AD3124" s="209"/>
      <c r="AE3124" s="210">
        <f>SUM(Q3124*R3124*Z3124)/1000</f>
        <v>0</v>
      </c>
      <c r="AF3124" s="210">
        <f t="shared" si="1445"/>
        <v>0</v>
      </c>
      <c r="AG3124" s="211">
        <f>MID(O3124,1,3)/1000</f>
        <v>0.5</v>
      </c>
      <c r="AH3124" s="157">
        <f>(Z3124*AG3124)/1000</f>
        <v>0</v>
      </c>
      <c r="AI3124" s="152">
        <f t="shared" si="1442"/>
        <v>4220</v>
      </c>
      <c r="AK3124" s="156" t="s">
        <v>691</v>
      </c>
      <c r="AL3124" s="156" t="s">
        <v>689</v>
      </c>
      <c r="AM3124" s="198">
        <f t="shared" si="1443"/>
        <v>0</v>
      </c>
      <c r="AN3124" s="199">
        <f t="shared" si="1444"/>
        <v>46074</v>
      </c>
      <c r="AO3124" s="159" t="s">
        <v>692</v>
      </c>
      <c r="AP3124" s="783" t="s">
        <v>620</v>
      </c>
      <c r="AQ3124" s="796" t="s">
        <v>422</v>
      </c>
      <c r="AR3124" s="782">
        <v>12055234</v>
      </c>
      <c r="AS3124" s="781"/>
      <c r="AT3124" s="782"/>
      <c r="AU3124" s="782"/>
      <c r="AV3124" s="782">
        <v>12097165</v>
      </c>
      <c r="AW3124" s="782"/>
      <c r="AX3124" s="782">
        <v>12036656</v>
      </c>
      <c r="AY3124" s="799"/>
      <c r="AZ3124" s="781"/>
      <c r="BA3124" s="781"/>
      <c r="BB3124" s="209">
        <v>23053184</v>
      </c>
    </row>
    <row r="3125" spans="1:54" ht="25" customHeight="1">
      <c r="B3125" s="213">
        <v>46074</v>
      </c>
      <c r="C3125" s="902" t="s">
        <v>2708</v>
      </c>
      <c r="D3125" s="215">
        <f t="shared" si="1433"/>
        <v>2026</v>
      </c>
      <c r="E3125" s="214" t="e">
        <f>VLOOKUP($B3125,Week!$A$1:$C$1462,2,0)</f>
        <v>#N/A</v>
      </c>
      <c r="F3125" s="216" t="str">
        <f t="shared" si="1434"/>
        <v>Feb</v>
      </c>
      <c r="G3125" s="215" t="s">
        <v>47</v>
      </c>
      <c r="H3125" s="215" t="s">
        <v>260</v>
      </c>
      <c r="I3125" s="215" t="s">
        <v>2702</v>
      </c>
      <c r="J3125" s="209" t="s">
        <v>2702</v>
      </c>
      <c r="K3125" s="217" t="s">
        <v>2706</v>
      </c>
      <c r="L3125" s="217" t="s">
        <v>2167</v>
      </c>
      <c r="M3125" s="209" t="s">
        <v>2733</v>
      </c>
      <c r="N3125" s="480" t="s">
        <v>2734</v>
      </c>
      <c r="O3125" s="215" t="s">
        <v>2735</v>
      </c>
      <c r="P3125" s="218">
        <v>12</v>
      </c>
      <c r="Q3125" s="218">
        <v>2</v>
      </c>
      <c r="R3125" s="219">
        <v>6.0000000000000001E-3</v>
      </c>
      <c r="S3125" s="215" t="s">
        <v>55</v>
      </c>
      <c r="T3125" s="215" t="s">
        <v>56</v>
      </c>
      <c r="U3125" s="852" t="s">
        <v>2707</v>
      </c>
      <c r="V3125" s="220">
        <v>1334</v>
      </c>
      <c r="W3125" s="220">
        <f>828+506</f>
        <v>1334</v>
      </c>
      <c r="X3125" s="221"/>
      <c r="Y3125" s="222">
        <f>(W3125+X3125)-V3125</f>
        <v>0</v>
      </c>
      <c r="Z3125" s="223">
        <f t="shared" si="1436"/>
        <v>0</v>
      </c>
      <c r="AA3125" s="223">
        <f>Q3125*Z3125</f>
        <v>0</v>
      </c>
      <c r="AB3125" s="807">
        <v>1.7000000000000001E-2</v>
      </c>
      <c r="AC3125" s="220">
        <f>Z3125*AB3125</f>
        <v>0</v>
      </c>
      <c r="AD3125" s="443"/>
      <c r="AE3125" s="210">
        <f>SUM(Q3125*R3125*Z3125)/1000</f>
        <v>0</v>
      </c>
      <c r="AF3125" s="210">
        <f t="shared" si="1445"/>
        <v>0</v>
      </c>
      <c r="AG3125" s="211">
        <f>MID(O3125,1,3)/1000</f>
        <v>0.22500000000000001</v>
      </c>
      <c r="AH3125" s="157">
        <v>0.26621999999999996</v>
      </c>
      <c r="AI3125" s="152">
        <f t="shared" si="1442"/>
        <v>16008</v>
      </c>
      <c r="AK3125" s="156" t="s">
        <v>691</v>
      </c>
      <c r="AL3125" s="574" t="s">
        <v>690</v>
      </c>
      <c r="AM3125" s="198">
        <f>AG3125*Z3125</f>
        <v>0</v>
      </c>
      <c r="AN3125" s="199">
        <f>B3125</f>
        <v>46074</v>
      </c>
      <c r="AO3125" s="159" t="s">
        <v>692</v>
      </c>
      <c r="AP3125" s="781" t="s">
        <v>642</v>
      </c>
      <c r="AQ3125" s="782">
        <v>12071839</v>
      </c>
      <c r="AR3125" s="782"/>
      <c r="AS3125" s="782"/>
      <c r="AT3125" s="782">
        <v>12098021</v>
      </c>
      <c r="AU3125" s="783" t="s">
        <v>2979</v>
      </c>
      <c r="AV3125" s="782">
        <v>12098022</v>
      </c>
      <c r="AW3125" s="783"/>
      <c r="AX3125" s="781"/>
      <c r="AY3125" s="796"/>
      <c r="AZ3125" s="796"/>
      <c r="BA3125" s="796"/>
      <c r="BB3125" s="209">
        <v>23099860</v>
      </c>
    </row>
    <row r="3126" spans="1:54" ht="24.65" customHeight="1">
      <c r="B3126" s="411">
        <v>46074</v>
      </c>
      <c r="C3126" s="645" t="s">
        <v>2708</v>
      </c>
      <c r="D3126" s="185">
        <f t="shared" si="1433"/>
        <v>2026</v>
      </c>
      <c r="E3126" s="412" t="e">
        <f>VLOOKUP($B3126,Week!$A$1:$C$1462,2,0)</f>
        <v>#N/A</v>
      </c>
      <c r="F3126" s="413" t="str">
        <f t="shared" si="1434"/>
        <v>Feb</v>
      </c>
      <c r="G3126" s="414" t="s">
        <v>47</v>
      </c>
      <c r="H3126" s="414" t="s">
        <v>260</v>
      </c>
      <c r="I3126" s="414" t="s">
        <v>2702</v>
      </c>
      <c r="J3126" s="415" t="s">
        <v>261</v>
      </c>
      <c r="K3126" s="416" t="s">
        <v>94</v>
      </c>
      <c r="L3126" s="300" t="s">
        <v>2167</v>
      </c>
      <c r="M3126" s="415" t="s">
        <v>2339</v>
      </c>
      <c r="N3126" s="414" t="s">
        <v>263</v>
      </c>
      <c r="O3126" s="414" t="s">
        <v>195</v>
      </c>
      <c r="P3126" s="417">
        <v>24</v>
      </c>
      <c r="Q3126" s="417">
        <v>5</v>
      </c>
      <c r="R3126" s="418">
        <v>8.0000000000000002E-3</v>
      </c>
      <c r="S3126" s="414" t="s">
        <v>40</v>
      </c>
      <c r="T3126" s="414" t="s">
        <v>56</v>
      </c>
      <c r="U3126" s="414" t="s">
        <v>57</v>
      </c>
      <c r="V3126" s="419">
        <v>1312</v>
      </c>
      <c r="W3126" s="419">
        <v>1312</v>
      </c>
      <c r="X3126" s="420"/>
      <c r="Y3126" s="421">
        <f>(W3126+X3126)-V3126</f>
        <v>0</v>
      </c>
      <c r="Z3126" s="422">
        <f t="shared" si="1436"/>
        <v>0</v>
      </c>
      <c r="AA3126" s="422">
        <f>Q3126*Z3126</f>
        <v>0</v>
      </c>
      <c r="AB3126" s="825">
        <v>7.4999999999999997E-3</v>
      </c>
      <c r="AC3126" s="419">
        <f>Z3126*AB3126</f>
        <v>0</v>
      </c>
      <c r="AD3126" s="209"/>
      <c r="AE3126" s="210">
        <f>SUM(Q3126*R3126*Z3126)/1000</f>
        <v>0</v>
      </c>
      <c r="AF3126" s="210">
        <f t="shared" si="1445"/>
        <v>0</v>
      </c>
      <c r="AG3126" s="211">
        <f>MID(O3126,1,3)/1000</f>
        <v>0.14499999999999999</v>
      </c>
      <c r="AH3126" s="157">
        <f>(Z3126*AG3126)/1000</f>
        <v>0</v>
      </c>
      <c r="AI3126" s="152">
        <f t="shared" si="1442"/>
        <v>31488</v>
      </c>
      <c r="AK3126" s="156" t="s">
        <v>691</v>
      </c>
      <c r="AL3126" s="212" t="s">
        <v>690</v>
      </c>
      <c r="AM3126" s="198">
        <f>AG3126*Z3126</f>
        <v>0</v>
      </c>
      <c r="AN3126" s="199">
        <f>B3126</f>
        <v>46074</v>
      </c>
      <c r="AO3126" s="159" t="s">
        <v>692</v>
      </c>
      <c r="AP3126" s="783" t="s">
        <v>609</v>
      </c>
      <c r="AQ3126" s="782">
        <v>12071839</v>
      </c>
      <c r="AR3126" s="782">
        <v>12047514</v>
      </c>
      <c r="AS3126" s="782">
        <v>12047515</v>
      </c>
      <c r="AT3126" s="781"/>
      <c r="AU3126" s="781"/>
      <c r="AV3126" s="782">
        <v>12080613</v>
      </c>
      <c r="AW3126" s="781"/>
      <c r="AX3126" s="781"/>
      <c r="AY3126" s="782">
        <v>12094241</v>
      </c>
      <c r="AZ3126" s="782">
        <v>12094242</v>
      </c>
      <c r="BA3126" s="781"/>
      <c r="BB3126" s="209">
        <v>23053185</v>
      </c>
    </row>
    <row r="3127" spans="1:54" ht="25" customHeight="1">
      <c r="B3127" s="424">
        <v>46074</v>
      </c>
      <c r="C3127" s="647" t="s">
        <v>2708</v>
      </c>
      <c r="D3127" s="185">
        <f t="shared" si="1433"/>
        <v>2026</v>
      </c>
      <c r="E3127" s="425" t="e">
        <f>VLOOKUP($B3127,Week!$A$1:$C$1462,2,0)</f>
        <v>#N/A</v>
      </c>
      <c r="F3127" s="426" t="str">
        <f t="shared" si="1434"/>
        <v>Feb</v>
      </c>
      <c r="G3127" s="427" t="s">
        <v>47</v>
      </c>
      <c r="H3127" s="427" t="s">
        <v>518</v>
      </c>
      <c r="I3127" s="427" t="s">
        <v>2702</v>
      </c>
      <c r="J3127" s="428" t="s">
        <v>70</v>
      </c>
      <c r="K3127" s="429" t="s">
        <v>94</v>
      </c>
      <c r="L3127" s="300" t="s">
        <v>2167</v>
      </c>
      <c r="M3127" s="428" t="s">
        <v>2342</v>
      </c>
      <c r="N3127" s="427" t="s">
        <v>587</v>
      </c>
      <c r="O3127" s="427" t="s">
        <v>3198</v>
      </c>
      <c r="P3127" s="430">
        <v>18</v>
      </c>
      <c r="Q3127" s="430">
        <v>5</v>
      </c>
      <c r="R3127" s="431">
        <v>8.0000000000000002E-3</v>
      </c>
      <c r="S3127" s="427" t="s">
        <v>40</v>
      </c>
      <c r="T3127" s="427" t="s">
        <v>56</v>
      </c>
      <c r="U3127" s="427" t="s">
        <v>89</v>
      </c>
      <c r="V3127" s="432">
        <f>875</f>
        <v>875</v>
      </c>
      <c r="W3127" s="432">
        <f>758</f>
        <v>758</v>
      </c>
      <c r="X3127" s="433">
        <v>117</v>
      </c>
      <c r="Y3127" s="434">
        <f>(W3127+X3127)-V3127</f>
        <v>0</v>
      </c>
      <c r="Z3127" s="435">
        <f t="shared" si="1436"/>
        <v>0</v>
      </c>
      <c r="AA3127" s="435">
        <f>Q3127*Z3127</f>
        <v>0</v>
      </c>
      <c r="AB3127" s="826">
        <v>1</v>
      </c>
      <c r="AC3127" s="432">
        <f>Z3127*AB3127</f>
        <v>0</v>
      </c>
      <c r="AD3127" s="209"/>
      <c r="AE3127" s="210">
        <f>SUM(Q3127*R3127*Z3127)/1000</f>
        <v>0</v>
      </c>
      <c r="AF3127" s="210">
        <f t="shared" si="1445"/>
        <v>0</v>
      </c>
      <c r="AG3127" s="211" t="e">
        <f>(MID(O3127,1,3)/1000)/3</f>
        <v>#VALUE!</v>
      </c>
      <c r="AH3127" s="157" t="e">
        <f>(Z3127*AG3127)/1000</f>
        <v>#VALUE!</v>
      </c>
      <c r="AI3127" s="152">
        <f t="shared" si="1442"/>
        <v>15750</v>
      </c>
      <c r="AK3127" s="156" t="s">
        <v>691</v>
      </c>
      <c r="AL3127" s="212" t="s">
        <v>690</v>
      </c>
      <c r="AM3127" s="198" t="e">
        <f>AG3127*Z3127</f>
        <v>#VALUE!</v>
      </c>
      <c r="AN3127" s="199">
        <f>B3127</f>
        <v>46074</v>
      </c>
      <c r="AO3127" s="159" t="s">
        <v>692</v>
      </c>
      <c r="AP3127" s="783" t="s">
        <v>628</v>
      </c>
      <c r="AQ3127" s="782"/>
      <c r="AR3127" s="782"/>
      <c r="AS3127" s="782"/>
      <c r="AT3127" s="782"/>
      <c r="AU3127" s="781"/>
      <c r="AV3127" s="782">
        <v>12080791</v>
      </c>
      <c r="AW3127" s="782" t="s">
        <v>641</v>
      </c>
      <c r="AX3127" s="782" t="s">
        <v>533</v>
      </c>
      <c r="AY3127" s="782"/>
      <c r="AZ3127" s="782"/>
      <c r="BA3127" s="781"/>
      <c r="BB3127" s="209">
        <v>23053184</v>
      </c>
    </row>
    <row r="3128" spans="1:54" ht="25" customHeight="1">
      <c r="B3128" s="183">
        <v>46075</v>
      </c>
      <c r="C3128" s="184"/>
      <c r="D3128" s="185">
        <f t="shared" si="1433"/>
        <v>2026</v>
      </c>
      <c r="E3128" s="185" t="e">
        <f>VLOOKUP($B3128,Week!$A$1:$C$1462,2,0)</f>
        <v>#N/A</v>
      </c>
      <c r="F3128" s="186" t="str">
        <f t="shared" si="1434"/>
        <v>Feb</v>
      </c>
      <c r="G3128" s="481"/>
      <c r="H3128" s="185"/>
      <c r="I3128" s="185"/>
      <c r="J3128" s="187"/>
      <c r="K3128" s="188"/>
      <c r="L3128" s="188"/>
      <c r="M3128" s="187"/>
      <c r="N3128" s="185"/>
      <c r="O3128" s="185"/>
      <c r="P3128" s="189"/>
      <c r="Q3128" s="189"/>
      <c r="R3128" s="190"/>
      <c r="S3128" s="185"/>
      <c r="T3128" s="185"/>
      <c r="U3128" s="185"/>
      <c r="V3128" s="191"/>
      <c r="W3128" s="191"/>
      <c r="X3128" s="192"/>
      <c r="Y3128" s="193"/>
      <c r="Z3128" s="194"/>
      <c r="AA3128" s="194">
        <f>Q3128*Z3128</f>
        <v>0</v>
      </c>
      <c r="AB3128" s="805"/>
      <c r="AC3128" s="191"/>
      <c r="AD3128" s="187"/>
      <c r="AE3128" s="195"/>
      <c r="AF3128" s="195"/>
      <c r="AG3128" s="196"/>
      <c r="AH3128" s="197"/>
      <c r="AK3128" s="156" t="s">
        <v>691</v>
      </c>
      <c r="AM3128" s="198">
        <f>AG3128*Z3128</f>
        <v>0</v>
      </c>
      <c r="AN3128" s="199">
        <f>B3128</f>
        <v>46075</v>
      </c>
      <c r="AO3128" s="159" t="s">
        <v>692</v>
      </c>
      <c r="AP3128" s="781"/>
      <c r="AQ3128" s="782"/>
      <c r="AR3128" s="782"/>
      <c r="AS3128" s="782"/>
      <c r="AT3128" s="782"/>
      <c r="AU3128" s="781"/>
      <c r="AV3128" s="782"/>
      <c r="AW3128" s="782"/>
      <c r="AX3128" s="782"/>
      <c r="AY3128" s="782"/>
      <c r="AZ3128" s="782"/>
      <c r="BA3128" s="781"/>
      <c r="BB3128" s="209"/>
    </row>
    <row r="3129" spans="1:54" ht="25" customHeight="1">
      <c r="A3129" s="142" t="s">
        <v>120</v>
      </c>
      <c r="B3129" s="320">
        <v>46076</v>
      </c>
      <c r="C3129" s="321">
        <v>46083</v>
      </c>
      <c r="D3129" s="323">
        <f t="shared" ref="D3129:D3134" si="1446">IF(B3129="","",YEAR(B3129))</f>
        <v>2026</v>
      </c>
      <c r="E3129" s="321" t="e">
        <f>VLOOKUP($B3129,Week!$A$1:$C$1462,2,0)</f>
        <v>#N/A</v>
      </c>
      <c r="F3129" s="322" t="str">
        <f t="shared" ref="F3129:F3134" si="1447">IF(B3129="","",TEXT(B3129,"[$-409]mmm"))</f>
        <v>Feb</v>
      </c>
      <c r="G3129" s="323" t="s">
        <v>2756</v>
      </c>
      <c r="H3129" s="323" t="s">
        <v>363</v>
      </c>
      <c r="I3129" s="323" t="s">
        <v>2772</v>
      </c>
      <c r="J3129" s="324" t="s">
        <v>364</v>
      </c>
      <c r="K3129" s="325" t="s">
        <v>2583</v>
      </c>
      <c r="L3129" s="325" t="s">
        <v>2166</v>
      </c>
      <c r="M3129" s="324" t="s">
        <v>2586</v>
      </c>
      <c r="N3129" s="323" t="s">
        <v>2584</v>
      </c>
      <c r="O3129" s="323" t="s">
        <v>2587</v>
      </c>
      <c r="P3129" s="326">
        <v>20</v>
      </c>
      <c r="Q3129" s="326">
        <v>50</v>
      </c>
      <c r="R3129" s="327">
        <v>4.0000000000000001E-3</v>
      </c>
      <c r="S3129" s="323" t="s">
        <v>55</v>
      </c>
      <c r="T3129" s="323" t="s">
        <v>112</v>
      </c>
      <c r="U3129" s="323" t="s">
        <v>77</v>
      </c>
      <c r="V3129" s="328">
        <f>1040-30-210-217-212-211</f>
        <v>160</v>
      </c>
      <c r="W3129" s="328">
        <v>160</v>
      </c>
      <c r="X3129" s="329"/>
      <c r="Y3129" s="330">
        <f t="shared" ref="Y3129:Y3143" si="1448">(W3129+X3129)-V3129</f>
        <v>0</v>
      </c>
      <c r="Z3129" s="331">
        <f t="shared" ref="Z3129:Z3152" si="1449">IF(Y3129&lt;0,((V3129*P3129)-((W3129+X3129)*P3129)),0)</f>
        <v>0</v>
      </c>
      <c r="AA3129" s="331">
        <f t="shared" ref="AA3129:AA3134" si="1450">Q3129*Z3129</f>
        <v>0</v>
      </c>
      <c r="AB3129" s="816">
        <v>6</v>
      </c>
      <c r="AC3129" s="328">
        <f t="shared" ref="AC3129:AC3143" si="1451">Z3129*AB3129</f>
        <v>0</v>
      </c>
      <c r="AD3129" s="209"/>
      <c r="AE3129" s="210">
        <f t="shared" ref="AE3129:AE3152" si="1452">SUM(Q3129*R3129*Z3129)/1000</f>
        <v>0</v>
      </c>
      <c r="AF3129" s="210">
        <f t="shared" ref="AF3129:AF3146" si="1453">AE3129/0.54</f>
        <v>0</v>
      </c>
      <c r="AG3129" s="211">
        <f>MID(O3129,1,3)/1000</f>
        <v>0.5</v>
      </c>
      <c r="AH3129" s="157">
        <f>(Z3129*AG3129)/1000</f>
        <v>0</v>
      </c>
      <c r="AI3129" s="152">
        <f>V3129*P3129</f>
        <v>3200</v>
      </c>
      <c r="AK3129" s="156" t="s">
        <v>691</v>
      </c>
      <c r="AL3129" s="156" t="s">
        <v>689</v>
      </c>
      <c r="AM3129" s="198">
        <f t="shared" ref="AM3129:AM3134" si="1454">AG3129*Z3129</f>
        <v>0</v>
      </c>
      <c r="AN3129" s="199">
        <f t="shared" ref="AN3129:AN3134" si="1455">B3129</f>
        <v>46076</v>
      </c>
      <c r="AO3129" s="159" t="s">
        <v>692</v>
      </c>
      <c r="AP3129" s="783" t="s">
        <v>620</v>
      </c>
      <c r="AQ3129" s="796" t="s">
        <v>422</v>
      </c>
      <c r="AR3129" s="782">
        <v>12055234</v>
      </c>
      <c r="AS3129" s="781"/>
      <c r="AT3129" s="782"/>
      <c r="AU3129" s="782"/>
      <c r="AV3129" s="782">
        <v>12097165</v>
      </c>
      <c r="AW3129" s="782"/>
      <c r="AX3129" s="782">
        <v>12036656</v>
      </c>
      <c r="AY3129" s="799"/>
      <c r="AZ3129" s="781"/>
      <c r="BA3129" s="781"/>
      <c r="BB3129" s="209">
        <v>23053184</v>
      </c>
    </row>
    <row r="3130" spans="1:54" ht="25" customHeight="1">
      <c r="B3130" s="213">
        <v>46076</v>
      </c>
      <c r="C3130" s="902" t="s">
        <v>2708</v>
      </c>
      <c r="D3130" s="215">
        <f t="shared" si="1446"/>
        <v>2026</v>
      </c>
      <c r="E3130" s="214" t="e">
        <f>VLOOKUP($B3130,Week!$A$1:$C$1462,2,0)</f>
        <v>#N/A</v>
      </c>
      <c r="F3130" s="216" t="str">
        <f t="shared" si="1447"/>
        <v>Feb</v>
      </c>
      <c r="G3130" s="215" t="s">
        <v>47</v>
      </c>
      <c r="H3130" s="215" t="s">
        <v>260</v>
      </c>
      <c r="I3130" s="215" t="s">
        <v>2702</v>
      </c>
      <c r="J3130" s="209" t="s">
        <v>2702</v>
      </c>
      <c r="K3130" s="217" t="s">
        <v>2706</v>
      </c>
      <c r="L3130" s="217" t="s">
        <v>2167</v>
      </c>
      <c r="M3130" s="209" t="s">
        <v>2733</v>
      </c>
      <c r="N3130" s="480" t="s">
        <v>2734</v>
      </c>
      <c r="O3130" s="215" t="s">
        <v>2735</v>
      </c>
      <c r="P3130" s="218">
        <v>12</v>
      </c>
      <c r="Q3130" s="218">
        <v>2</v>
      </c>
      <c r="R3130" s="219">
        <v>6.0000000000000001E-3</v>
      </c>
      <c r="S3130" s="215" t="s">
        <v>55</v>
      </c>
      <c r="T3130" s="215" t="s">
        <v>56</v>
      </c>
      <c r="U3130" s="852" t="s">
        <v>2707</v>
      </c>
      <c r="V3130" s="220">
        <f>1151+26</f>
        <v>1177</v>
      </c>
      <c r="W3130" s="220">
        <f>664+3+169+315+26</f>
        <v>1177</v>
      </c>
      <c r="X3130" s="221"/>
      <c r="Y3130" s="222">
        <f t="shared" si="1448"/>
        <v>0</v>
      </c>
      <c r="Z3130" s="223">
        <f t="shared" si="1449"/>
        <v>0</v>
      </c>
      <c r="AA3130" s="223">
        <f t="shared" si="1450"/>
        <v>0</v>
      </c>
      <c r="AB3130" s="807">
        <v>1.7000000000000001E-2</v>
      </c>
      <c r="AC3130" s="220">
        <f t="shared" si="1451"/>
        <v>0</v>
      </c>
      <c r="AD3130" s="443"/>
      <c r="AE3130" s="210">
        <f t="shared" si="1452"/>
        <v>0</v>
      </c>
      <c r="AF3130" s="210">
        <f t="shared" si="1453"/>
        <v>0</v>
      </c>
      <c r="AG3130" s="211">
        <f>MID(O3130,1,3)/1000</f>
        <v>0.22500000000000001</v>
      </c>
      <c r="AH3130" s="157">
        <v>0.26621999999999996</v>
      </c>
      <c r="AI3130" s="152">
        <f>V3130*P3130</f>
        <v>14124</v>
      </c>
      <c r="AK3130" s="156" t="s">
        <v>691</v>
      </c>
      <c r="AL3130" s="574" t="s">
        <v>690</v>
      </c>
      <c r="AM3130" s="198">
        <f t="shared" si="1454"/>
        <v>0</v>
      </c>
      <c r="AN3130" s="199">
        <f t="shared" si="1455"/>
        <v>46076</v>
      </c>
      <c r="AO3130" s="159" t="s">
        <v>692</v>
      </c>
      <c r="AP3130" s="781" t="s">
        <v>642</v>
      </c>
      <c r="AQ3130" s="782">
        <v>12071839</v>
      </c>
      <c r="AR3130" s="782"/>
      <c r="AS3130" s="782"/>
      <c r="AT3130" s="782">
        <v>12098021</v>
      </c>
      <c r="AU3130" s="783" t="s">
        <v>2979</v>
      </c>
      <c r="AV3130" s="782">
        <v>12098022</v>
      </c>
      <c r="AW3130" s="783"/>
      <c r="AX3130" s="781"/>
      <c r="AY3130" s="796"/>
      <c r="AZ3130" s="796"/>
      <c r="BA3130" s="796"/>
      <c r="BB3130" s="209">
        <v>23099860</v>
      </c>
    </row>
    <row r="3131" spans="1:54" ht="24.65" customHeight="1">
      <c r="B3131" s="283">
        <v>46076</v>
      </c>
      <c r="C3131" s="284">
        <v>46085</v>
      </c>
      <c r="D3131" s="185">
        <f>IF(B3131="","",YEAR(B3131))</f>
        <v>2026</v>
      </c>
      <c r="E3131" s="284" t="e">
        <f>VLOOKUP($B3131,Week!$A$1:$C$1462,2,0)</f>
        <v>#N/A</v>
      </c>
      <c r="F3131" s="285" t="str">
        <f>IF(B3131="","",TEXT(B3131,"[$-409]mmm"))</f>
        <v>Feb</v>
      </c>
      <c r="G3131" s="631" t="s">
        <v>2744</v>
      </c>
      <c r="H3131" s="624" t="s">
        <v>104</v>
      </c>
      <c r="I3131" s="624" t="s">
        <v>2772</v>
      </c>
      <c r="J3131" s="625" t="s">
        <v>105</v>
      </c>
      <c r="K3131" s="288" t="s">
        <v>51</v>
      </c>
      <c r="L3131" s="300" t="s">
        <v>2167</v>
      </c>
      <c r="M3131" s="287" t="s">
        <v>595</v>
      </c>
      <c r="N3131" s="286" t="s">
        <v>597</v>
      </c>
      <c r="O3131" s="286" t="s">
        <v>187</v>
      </c>
      <c r="P3131" s="289">
        <v>8</v>
      </c>
      <c r="Q3131" s="289">
        <v>5</v>
      </c>
      <c r="R3131" s="290">
        <v>6.0000000000000001E-3</v>
      </c>
      <c r="S3131" s="286" t="s">
        <v>55</v>
      </c>
      <c r="T3131" s="286" t="s">
        <v>112</v>
      </c>
      <c r="U3131" s="286" t="s">
        <v>57</v>
      </c>
      <c r="V3131" s="291">
        <f>5000</f>
        <v>5000</v>
      </c>
      <c r="W3131" s="291"/>
      <c r="X3131" s="292">
        <f>(899+39181)/8</f>
        <v>5010</v>
      </c>
      <c r="Y3131" s="293">
        <f t="shared" si="1448"/>
        <v>10</v>
      </c>
      <c r="Z3131" s="294">
        <f t="shared" si="1449"/>
        <v>0</v>
      </c>
      <c r="AA3131" s="294">
        <f>Q3131*Z3131</f>
        <v>0</v>
      </c>
      <c r="AB3131" s="813">
        <v>7.4999999999999997E-3</v>
      </c>
      <c r="AC3131" s="291">
        <f t="shared" si="1451"/>
        <v>0</v>
      </c>
      <c r="AD3131" s="486"/>
      <c r="AE3131" s="210">
        <f t="shared" si="1452"/>
        <v>0</v>
      </c>
      <c r="AF3131" s="210">
        <f t="shared" si="1453"/>
        <v>0</v>
      </c>
      <c r="AG3131" s="211">
        <v>0.14499999999999999</v>
      </c>
      <c r="AH3131" s="157">
        <f>(Z3131*AG3131)/1000</f>
        <v>0</v>
      </c>
      <c r="AI3131" s="152">
        <v>19800</v>
      </c>
      <c r="AK3131" s="156" t="s">
        <v>691</v>
      </c>
      <c r="AL3131" s="212" t="s">
        <v>690</v>
      </c>
      <c r="AM3131" s="198">
        <f>AG3131*Z3131</f>
        <v>0</v>
      </c>
      <c r="AN3131" s="199">
        <f>B3131</f>
        <v>46076</v>
      </c>
      <c r="AO3131" s="159" t="s">
        <v>692</v>
      </c>
      <c r="AP3131" s="781"/>
      <c r="AQ3131" s="782">
        <v>12071839</v>
      </c>
      <c r="AR3131" s="782">
        <v>12047514</v>
      </c>
      <c r="AS3131" s="782">
        <v>12047515</v>
      </c>
      <c r="AT3131" s="782">
        <v>12083107</v>
      </c>
      <c r="AU3131" s="781"/>
      <c r="AV3131" s="782">
        <v>12084002</v>
      </c>
      <c r="AW3131" s="782"/>
      <c r="AX3131" s="782"/>
      <c r="AY3131" s="782"/>
      <c r="AZ3131" s="782"/>
      <c r="BA3131" s="781"/>
      <c r="BB3131" s="209">
        <v>23053185</v>
      </c>
    </row>
    <row r="3132" spans="1:54" ht="25" customHeight="1">
      <c r="A3132" s="142" t="s">
        <v>120</v>
      </c>
      <c r="B3132" s="283">
        <v>46077</v>
      </c>
      <c r="C3132" s="284">
        <v>46091</v>
      </c>
      <c r="D3132" s="185">
        <f t="shared" si="1446"/>
        <v>2026</v>
      </c>
      <c r="E3132" s="286" t="e">
        <f>VLOOKUP($B3132,Week!$A$1:$C$1462,2,0)</f>
        <v>#N/A</v>
      </c>
      <c r="F3132" s="285" t="str">
        <f t="shared" si="1447"/>
        <v>Feb</v>
      </c>
      <c r="G3132" s="286" t="s">
        <v>2809</v>
      </c>
      <c r="H3132" s="286" t="s">
        <v>134</v>
      </c>
      <c r="I3132" s="286" t="s">
        <v>2772</v>
      </c>
      <c r="J3132" s="287" t="s">
        <v>2932</v>
      </c>
      <c r="K3132" s="288" t="s">
        <v>153</v>
      </c>
      <c r="L3132" s="390" t="s">
        <v>2166</v>
      </c>
      <c r="M3132" s="287" t="s">
        <v>214</v>
      </c>
      <c r="N3132" s="286" t="s">
        <v>215</v>
      </c>
      <c r="O3132" s="286" t="s">
        <v>504</v>
      </c>
      <c r="P3132" s="289">
        <v>20</v>
      </c>
      <c r="Q3132" s="289">
        <v>8</v>
      </c>
      <c r="R3132" s="290">
        <v>1.4999999999999999E-2</v>
      </c>
      <c r="S3132" s="286" t="s">
        <v>217</v>
      </c>
      <c r="T3132" s="286" t="s">
        <v>56</v>
      </c>
      <c r="U3132" s="286" t="s">
        <v>89</v>
      </c>
      <c r="V3132" s="291">
        <v>250</v>
      </c>
      <c r="W3132" s="291">
        <f>8+242</f>
        <v>250</v>
      </c>
      <c r="X3132" s="292"/>
      <c r="Y3132" s="293">
        <f t="shared" si="1448"/>
        <v>0</v>
      </c>
      <c r="Z3132" s="294">
        <f t="shared" si="1449"/>
        <v>0</v>
      </c>
      <c r="AA3132" s="291">
        <f t="shared" si="1450"/>
        <v>0</v>
      </c>
      <c r="AB3132" s="813">
        <v>2</v>
      </c>
      <c r="AC3132" s="291">
        <f t="shared" si="1451"/>
        <v>0</v>
      </c>
      <c r="AD3132" s="209" t="s">
        <v>218</v>
      </c>
      <c r="AE3132" s="210">
        <f t="shared" si="1452"/>
        <v>0</v>
      </c>
      <c r="AF3132" s="210">
        <f t="shared" si="1453"/>
        <v>0</v>
      </c>
      <c r="AG3132" s="211">
        <f t="shared" ref="AG3132:AG3152" si="1456">MID(O3132,1,3)/1000</f>
        <v>0.19400000000000001</v>
      </c>
      <c r="AH3132" s="157">
        <f>(Z3132*AG3132)/1000</f>
        <v>0</v>
      </c>
      <c r="AI3132" s="152">
        <f t="shared" ref="AI3132:AI3152" si="1457">V3132*P3132</f>
        <v>5000</v>
      </c>
      <c r="AK3132" s="156" t="s">
        <v>691</v>
      </c>
      <c r="AL3132" s="156" t="s">
        <v>689</v>
      </c>
      <c r="AM3132" s="198">
        <f t="shared" si="1454"/>
        <v>0</v>
      </c>
      <c r="AN3132" s="199">
        <f t="shared" si="1455"/>
        <v>46077</v>
      </c>
      <c r="AO3132" s="159" t="s">
        <v>692</v>
      </c>
      <c r="AP3132" s="783" t="s">
        <v>610</v>
      </c>
      <c r="AQ3132" s="782">
        <v>12071839</v>
      </c>
      <c r="AR3132" s="782">
        <v>12064528</v>
      </c>
      <c r="AS3132" s="782"/>
      <c r="AT3132" s="782">
        <v>12096526</v>
      </c>
      <c r="AU3132" s="781"/>
      <c r="AV3132" s="782">
        <v>12096527</v>
      </c>
      <c r="AW3132" s="782"/>
      <c r="AX3132" s="782" t="s">
        <v>545</v>
      </c>
      <c r="AY3132" s="782"/>
      <c r="AZ3132" s="782"/>
      <c r="BA3132" s="781"/>
      <c r="BB3132" s="209">
        <v>23053184</v>
      </c>
    </row>
    <row r="3133" spans="1:54" ht="24.65" customHeight="1">
      <c r="A3133" s="142" t="s">
        <v>120</v>
      </c>
      <c r="B3133" s="546">
        <v>46077</v>
      </c>
      <c r="C3133" s="547">
        <v>46091</v>
      </c>
      <c r="D3133" s="549">
        <f t="shared" si="1446"/>
        <v>2026</v>
      </c>
      <c r="E3133" s="549" t="e">
        <f>VLOOKUP($B3133,Week!$A$1:$C$1462,2,0)</f>
        <v>#N/A</v>
      </c>
      <c r="F3133" s="548" t="str">
        <f t="shared" si="1447"/>
        <v>Feb</v>
      </c>
      <c r="G3133" s="864" t="s">
        <v>2650</v>
      </c>
      <c r="H3133" s="549" t="s">
        <v>134</v>
      </c>
      <c r="I3133" s="549" t="s">
        <v>2772</v>
      </c>
      <c r="J3133" s="550" t="s">
        <v>2932</v>
      </c>
      <c r="K3133" s="551" t="s">
        <v>153</v>
      </c>
      <c r="L3133" s="551" t="s">
        <v>2166</v>
      </c>
      <c r="M3133" s="550" t="s">
        <v>2363</v>
      </c>
      <c r="N3133" s="549" t="s">
        <v>2364</v>
      </c>
      <c r="O3133" s="549" t="s">
        <v>2365</v>
      </c>
      <c r="P3133" s="552">
        <v>18</v>
      </c>
      <c r="Q3133" s="552">
        <v>8</v>
      </c>
      <c r="R3133" s="553">
        <v>6.8100000000000001E-3</v>
      </c>
      <c r="S3133" s="549" t="s">
        <v>76</v>
      </c>
      <c r="T3133" s="549" t="s">
        <v>56</v>
      </c>
      <c r="U3133" s="865" t="s">
        <v>499</v>
      </c>
      <c r="V3133" s="554">
        <f>500</f>
        <v>500</v>
      </c>
      <c r="W3133" s="554">
        <f>500</f>
        <v>500</v>
      </c>
      <c r="X3133" s="555"/>
      <c r="Y3133" s="556">
        <f t="shared" si="1448"/>
        <v>0</v>
      </c>
      <c r="Z3133" s="557">
        <f t="shared" si="1449"/>
        <v>0</v>
      </c>
      <c r="AA3133" s="557">
        <f t="shared" si="1450"/>
        <v>0</v>
      </c>
      <c r="AB3133" s="833">
        <v>1</v>
      </c>
      <c r="AC3133" s="554">
        <f t="shared" si="1451"/>
        <v>0</v>
      </c>
      <c r="AD3133" s="209"/>
      <c r="AE3133" s="210">
        <f t="shared" si="1452"/>
        <v>0</v>
      </c>
      <c r="AF3133" s="210">
        <f t="shared" si="1453"/>
        <v>0</v>
      </c>
      <c r="AG3133" s="211">
        <f t="shared" si="1456"/>
        <v>0.126</v>
      </c>
      <c r="AH3133" s="157">
        <f>(Z3133*AG3133)/1000</f>
        <v>0</v>
      </c>
      <c r="AI3133" s="152">
        <f t="shared" si="1457"/>
        <v>9000</v>
      </c>
      <c r="AK3133" s="156" t="s">
        <v>691</v>
      </c>
      <c r="AL3133" s="156" t="s">
        <v>689</v>
      </c>
      <c r="AM3133" s="198">
        <f t="shared" si="1454"/>
        <v>0</v>
      </c>
      <c r="AN3133" s="199">
        <f t="shared" si="1455"/>
        <v>46077</v>
      </c>
      <c r="AO3133" s="159" t="s">
        <v>692</v>
      </c>
      <c r="AP3133" s="783"/>
      <c r="AQ3133" s="783" t="s">
        <v>631</v>
      </c>
      <c r="AR3133" s="796">
        <v>12038019</v>
      </c>
      <c r="AS3133" s="781"/>
      <c r="AT3133" s="782">
        <v>12083322</v>
      </c>
      <c r="AU3133" s="781"/>
      <c r="AV3133" s="796">
        <v>12083496</v>
      </c>
      <c r="AW3133" s="781"/>
      <c r="AX3133" s="781" t="s">
        <v>162</v>
      </c>
      <c r="AY3133" s="781"/>
      <c r="AZ3133" s="781"/>
      <c r="BA3133" s="781"/>
      <c r="BB3133" s="209"/>
    </row>
    <row r="3134" spans="1:54" ht="24.65" customHeight="1">
      <c r="A3134" s="142" t="s">
        <v>120</v>
      </c>
      <c r="B3134" s="258">
        <v>46077</v>
      </c>
      <c r="C3134" s="259">
        <v>46091</v>
      </c>
      <c r="D3134" s="185">
        <f t="shared" si="1446"/>
        <v>2026</v>
      </c>
      <c r="E3134" s="260" t="e">
        <f>VLOOKUP($B3134,Week!$A$1:$C$1462,2,0)</f>
        <v>#N/A</v>
      </c>
      <c r="F3134" s="261" t="str">
        <f t="shared" si="1447"/>
        <v>Feb</v>
      </c>
      <c r="G3134" s="262" t="s">
        <v>2808</v>
      </c>
      <c r="H3134" s="260" t="s">
        <v>134</v>
      </c>
      <c r="I3134" s="260" t="s">
        <v>2772</v>
      </c>
      <c r="J3134" s="263" t="s">
        <v>2932</v>
      </c>
      <c r="K3134" s="264" t="s">
        <v>153</v>
      </c>
      <c r="L3134" s="390" t="s">
        <v>2166</v>
      </c>
      <c r="M3134" s="263" t="s">
        <v>165</v>
      </c>
      <c r="N3134" s="260" t="s">
        <v>166</v>
      </c>
      <c r="O3134" s="260" t="s">
        <v>502</v>
      </c>
      <c r="P3134" s="265">
        <v>20</v>
      </c>
      <c r="Q3134" s="265">
        <v>12</v>
      </c>
      <c r="R3134" s="266">
        <v>6.8100000000000001E-3</v>
      </c>
      <c r="S3134" s="260" t="s">
        <v>76</v>
      </c>
      <c r="T3134" s="260" t="s">
        <v>56</v>
      </c>
      <c r="U3134" s="260" t="s">
        <v>89</v>
      </c>
      <c r="V3134" s="267">
        <f>899</f>
        <v>899</v>
      </c>
      <c r="W3134" s="267">
        <f>255</f>
        <v>255</v>
      </c>
      <c r="X3134" s="268">
        <f>(280+12600)/20</f>
        <v>644</v>
      </c>
      <c r="Y3134" s="269">
        <f t="shared" si="1448"/>
        <v>0</v>
      </c>
      <c r="Z3134" s="270">
        <f t="shared" si="1449"/>
        <v>0</v>
      </c>
      <c r="AA3134" s="270">
        <f t="shared" si="1450"/>
        <v>0</v>
      </c>
      <c r="AB3134" s="811">
        <v>2</v>
      </c>
      <c r="AC3134" s="267">
        <f t="shared" si="1451"/>
        <v>0</v>
      </c>
      <c r="AD3134" s="209" t="s">
        <v>168</v>
      </c>
      <c r="AE3134" s="210">
        <f t="shared" si="1452"/>
        <v>0</v>
      </c>
      <c r="AF3134" s="210">
        <f t="shared" si="1453"/>
        <v>0</v>
      </c>
      <c r="AG3134" s="211">
        <f t="shared" si="1456"/>
        <v>0.154</v>
      </c>
      <c r="AH3134" s="157">
        <f>(Z3134*AG3134)/1000</f>
        <v>0</v>
      </c>
      <c r="AI3134" s="152">
        <f t="shared" si="1457"/>
        <v>17980</v>
      </c>
      <c r="AK3134" s="156" t="s">
        <v>691</v>
      </c>
      <c r="AL3134" s="156" t="s">
        <v>689</v>
      </c>
      <c r="AM3134" s="198">
        <f t="shared" si="1454"/>
        <v>0</v>
      </c>
      <c r="AN3134" s="199">
        <f t="shared" si="1455"/>
        <v>46077</v>
      </c>
      <c r="AO3134" s="159" t="s">
        <v>692</v>
      </c>
      <c r="AP3134" s="783" t="s">
        <v>610</v>
      </c>
      <c r="AQ3134" s="783" t="s">
        <v>631</v>
      </c>
      <c r="AR3134" s="783" t="s">
        <v>523</v>
      </c>
      <c r="AS3134" s="781"/>
      <c r="AT3134" s="782">
        <v>12096524</v>
      </c>
      <c r="AU3134" s="781"/>
      <c r="AV3134" s="783" t="s">
        <v>2507</v>
      </c>
      <c r="AW3134" s="781"/>
      <c r="AX3134" s="782" t="s">
        <v>398</v>
      </c>
      <c r="AY3134" s="781"/>
      <c r="AZ3134" s="781"/>
      <c r="BA3134" s="781"/>
      <c r="BB3134" s="209">
        <v>23053184</v>
      </c>
    </row>
    <row r="3135" spans="1:54" ht="25" customHeight="1">
      <c r="B3135" s="213">
        <v>46077</v>
      </c>
      <c r="C3135" s="902" t="s">
        <v>2708</v>
      </c>
      <c r="D3135" s="215">
        <f t="shared" ref="D3135:D3171" si="1458">IF(B3135="","",YEAR(B3135))</f>
        <v>2026</v>
      </c>
      <c r="E3135" s="214" t="e">
        <f>VLOOKUP($B3135,Week!$A$1:$C$1462,2,0)</f>
        <v>#N/A</v>
      </c>
      <c r="F3135" s="216" t="str">
        <f t="shared" ref="F3135:F3171" si="1459">IF(B3135="","",TEXT(B3135,"[$-409]mmm"))</f>
        <v>Feb</v>
      </c>
      <c r="G3135" s="215" t="s">
        <v>47</v>
      </c>
      <c r="H3135" s="215" t="s">
        <v>260</v>
      </c>
      <c r="I3135" s="215" t="s">
        <v>2702</v>
      </c>
      <c r="J3135" s="209" t="s">
        <v>2702</v>
      </c>
      <c r="K3135" s="217" t="s">
        <v>2706</v>
      </c>
      <c r="L3135" s="217" t="s">
        <v>2167</v>
      </c>
      <c r="M3135" s="209" t="s">
        <v>2733</v>
      </c>
      <c r="N3135" s="480" t="s">
        <v>2734</v>
      </c>
      <c r="O3135" s="215" t="s">
        <v>2735</v>
      </c>
      <c r="P3135" s="218">
        <v>12</v>
      </c>
      <c r="Q3135" s="218">
        <v>2</v>
      </c>
      <c r="R3135" s="219">
        <v>6.0000000000000001E-3</v>
      </c>
      <c r="S3135" s="215" t="s">
        <v>55</v>
      </c>
      <c r="T3135" s="215" t="s">
        <v>56</v>
      </c>
      <c r="U3135" s="852" t="s">
        <v>2707</v>
      </c>
      <c r="V3135" s="220">
        <v>1302</v>
      </c>
      <c r="W3135" s="220">
        <v>1302</v>
      </c>
      <c r="X3135" s="221"/>
      <c r="Y3135" s="222">
        <f t="shared" si="1448"/>
        <v>0</v>
      </c>
      <c r="Z3135" s="223">
        <f t="shared" si="1449"/>
        <v>0</v>
      </c>
      <c r="AA3135" s="223">
        <f t="shared" ref="AA3135:AA3166" si="1460">Q3135*Z3135</f>
        <v>0</v>
      </c>
      <c r="AB3135" s="807">
        <v>1.7000000000000001E-2</v>
      </c>
      <c r="AC3135" s="220">
        <f t="shared" si="1451"/>
        <v>0</v>
      </c>
      <c r="AD3135" s="443"/>
      <c r="AE3135" s="210">
        <f t="shared" si="1452"/>
        <v>0</v>
      </c>
      <c r="AF3135" s="210">
        <f t="shared" si="1453"/>
        <v>0</v>
      </c>
      <c r="AG3135" s="211">
        <f t="shared" si="1456"/>
        <v>0.22500000000000001</v>
      </c>
      <c r="AH3135" s="157">
        <v>0.26621999999999996</v>
      </c>
      <c r="AI3135" s="152">
        <f t="shared" si="1457"/>
        <v>15624</v>
      </c>
      <c r="AK3135" s="156" t="s">
        <v>691</v>
      </c>
      <c r="AL3135" s="574" t="s">
        <v>690</v>
      </c>
      <c r="AM3135" s="198">
        <f t="shared" ref="AM3135:AM3166" si="1461">AG3135*Z3135</f>
        <v>0</v>
      </c>
      <c r="AN3135" s="199">
        <f t="shared" ref="AN3135:AN3166" si="1462">B3135</f>
        <v>46077</v>
      </c>
      <c r="AO3135" s="159" t="s">
        <v>692</v>
      </c>
      <c r="AP3135" s="781" t="s">
        <v>642</v>
      </c>
      <c r="AQ3135" s="782">
        <v>12071839</v>
      </c>
      <c r="AR3135" s="782"/>
      <c r="AS3135" s="782"/>
      <c r="AT3135" s="782">
        <v>12098021</v>
      </c>
      <c r="AU3135" s="783" t="s">
        <v>2979</v>
      </c>
      <c r="AV3135" s="782">
        <v>12098022</v>
      </c>
      <c r="AW3135" s="783"/>
      <c r="AX3135" s="781"/>
      <c r="AY3135" s="796"/>
      <c r="AZ3135" s="796"/>
      <c r="BA3135" s="796"/>
      <c r="BB3135" s="209">
        <v>23099860</v>
      </c>
    </row>
    <row r="3136" spans="1:54" ht="24.75" customHeight="1">
      <c r="B3136" s="320">
        <v>46077</v>
      </c>
      <c r="C3136" s="321">
        <v>46093</v>
      </c>
      <c r="D3136" s="185">
        <f t="shared" si="1458"/>
        <v>2026</v>
      </c>
      <c r="E3136" s="321" t="e">
        <f>VLOOKUP($B3136,Week!$A$1:$C$1462,2,0)</f>
        <v>#N/A</v>
      </c>
      <c r="F3136" s="322" t="str">
        <f t="shared" si="1459"/>
        <v>Feb</v>
      </c>
      <c r="G3136" s="323" t="s">
        <v>2826</v>
      </c>
      <c r="H3136" s="323" t="s">
        <v>311</v>
      </c>
      <c r="I3136" s="323" t="s">
        <v>2772</v>
      </c>
      <c r="J3136" s="324" t="s">
        <v>2913</v>
      </c>
      <c r="K3136" s="325" t="s">
        <v>107</v>
      </c>
      <c r="L3136" s="300" t="s">
        <v>2167</v>
      </c>
      <c r="M3136" s="324" t="s">
        <v>313</v>
      </c>
      <c r="N3136" s="596" t="s">
        <v>2853</v>
      </c>
      <c r="O3136" s="323" t="s">
        <v>2747</v>
      </c>
      <c r="P3136" s="326">
        <v>5</v>
      </c>
      <c r="Q3136" s="326">
        <v>4</v>
      </c>
      <c r="R3136" s="327">
        <v>7.4999999999999997E-3</v>
      </c>
      <c r="S3136" s="323" t="s">
        <v>111</v>
      </c>
      <c r="T3136" s="323" t="s">
        <v>112</v>
      </c>
      <c r="U3136" s="323" t="s">
        <v>57</v>
      </c>
      <c r="V3136" s="328">
        <f>5000</f>
        <v>5000</v>
      </c>
      <c r="W3136" s="328"/>
      <c r="X3136" s="329">
        <f>(138+24862)/5</f>
        <v>5000</v>
      </c>
      <c r="Y3136" s="330">
        <f t="shared" si="1448"/>
        <v>0</v>
      </c>
      <c r="Z3136" s="331">
        <f t="shared" si="1449"/>
        <v>0</v>
      </c>
      <c r="AA3136" s="331">
        <f t="shared" si="1460"/>
        <v>0</v>
      </c>
      <c r="AB3136" s="816">
        <v>7.4999999999999997E-3</v>
      </c>
      <c r="AC3136" s="328">
        <f t="shared" si="1451"/>
        <v>0</v>
      </c>
      <c r="AD3136" s="307" t="s">
        <v>2354</v>
      </c>
      <c r="AE3136" s="210">
        <f t="shared" si="1452"/>
        <v>0</v>
      </c>
      <c r="AF3136" s="210">
        <f t="shared" si="1453"/>
        <v>0</v>
      </c>
      <c r="AG3136" s="211">
        <f t="shared" si="1456"/>
        <v>0.30499999999999999</v>
      </c>
      <c r="AH3136" s="157">
        <f>(Z3136*AG3136)/1000</f>
        <v>0</v>
      </c>
      <c r="AI3136" s="152">
        <f t="shared" si="1457"/>
        <v>25000</v>
      </c>
      <c r="AK3136" s="156" t="s">
        <v>691</v>
      </c>
      <c r="AL3136" s="212" t="s">
        <v>690</v>
      </c>
      <c r="AM3136" s="198">
        <f t="shared" si="1461"/>
        <v>0</v>
      </c>
      <c r="AN3136" s="199">
        <f t="shared" si="1462"/>
        <v>46077</v>
      </c>
      <c r="AO3136" s="159" t="s">
        <v>692</v>
      </c>
      <c r="AP3136" s="783" t="s">
        <v>643</v>
      </c>
      <c r="AQ3136" s="782">
        <v>12063755</v>
      </c>
      <c r="AR3136" s="782">
        <v>12081257</v>
      </c>
      <c r="AS3136" s="782">
        <v>12081260</v>
      </c>
      <c r="AT3136" s="782">
        <v>12098252</v>
      </c>
      <c r="AU3136" s="781"/>
      <c r="AV3136" s="782">
        <v>12098251</v>
      </c>
      <c r="AW3136" s="782"/>
      <c r="AX3136" s="782"/>
      <c r="AY3136" s="781"/>
      <c r="AZ3136" s="781"/>
      <c r="BA3136" s="781"/>
      <c r="BB3136" s="209">
        <v>23053185</v>
      </c>
    </row>
    <row r="3137" spans="1:54" ht="24.75" customHeight="1">
      <c r="B3137" s="320">
        <v>46077</v>
      </c>
      <c r="C3137" s="321">
        <v>46100</v>
      </c>
      <c r="D3137" s="185">
        <f t="shared" si="1458"/>
        <v>2026</v>
      </c>
      <c r="E3137" s="321" t="e">
        <f>VLOOKUP($B3137,Week!$A$1:$C$1462,2,0)</f>
        <v>#N/A</v>
      </c>
      <c r="F3137" s="322" t="str">
        <f t="shared" si="1459"/>
        <v>Feb</v>
      </c>
      <c r="G3137" s="323" t="s">
        <v>2827</v>
      </c>
      <c r="H3137" s="323" t="s">
        <v>311</v>
      </c>
      <c r="I3137" s="323" t="s">
        <v>2772</v>
      </c>
      <c r="J3137" s="324" t="s">
        <v>2913</v>
      </c>
      <c r="K3137" s="325" t="s">
        <v>107</v>
      </c>
      <c r="L3137" s="300" t="s">
        <v>2167</v>
      </c>
      <c r="M3137" s="324" t="s">
        <v>313</v>
      </c>
      <c r="N3137" s="596" t="s">
        <v>2853</v>
      </c>
      <c r="O3137" s="323" t="s">
        <v>2747</v>
      </c>
      <c r="P3137" s="326">
        <v>5</v>
      </c>
      <c r="Q3137" s="326">
        <v>4</v>
      </c>
      <c r="R3137" s="327">
        <v>7.4999999999999997E-3</v>
      </c>
      <c r="S3137" s="323" t="s">
        <v>111</v>
      </c>
      <c r="T3137" s="323" t="s">
        <v>112</v>
      </c>
      <c r="U3137" s="323" t="s">
        <v>57</v>
      </c>
      <c r="V3137" s="328">
        <f>5000</f>
        <v>5000</v>
      </c>
      <c r="W3137" s="328"/>
      <c r="X3137" s="329">
        <f>(25000)/5</f>
        <v>5000</v>
      </c>
      <c r="Y3137" s="330">
        <f t="shared" si="1448"/>
        <v>0</v>
      </c>
      <c r="Z3137" s="331">
        <f t="shared" si="1449"/>
        <v>0</v>
      </c>
      <c r="AA3137" s="331">
        <f t="shared" si="1460"/>
        <v>0</v>
      </c>
      <c r="AB3137" s="816">
        <v>7.4999999999999997E-3</v>
      </c>
      <c r="AC3137" s="328">
        <f t="shared" si="1451"/>
        <v>0</v>
      </c>
      <c r="AD3137" s="307" t="s">
        <v>2354</v>
      </c>
      <c r="AE3137" s="210">
        <f t="shared" si="1452"/>
        <v>0</v>
      </c>
      <c r="AF3137" s="210">
        <f t="shared" si="1453"/>
        <v>0</v>
      </c>
      <c r="AG3137" s="211">
        <f t="shared" si="1456"/>
        <v>0.30499999999999999</v>
      </c>
      <c r="AH3137" s="157">
        <f>(Z3137*AG3137)/1000</f>
        <v>0</v>
      </c>
      <c r="AI3137" s="152">
        <f t="shared" si="1457"/>
        <v>25000</v>
      </c>
      <c r="AK3137" s="156" t="s">
        <v>691</v>
      </c>
      <c r="AL3137" s="212" t="s">
        <v>690</v>
      </c>
      <c r="AM3137" s="198">
        <f t="shared" si="1461"/>
        <v>0</v>
      </c>
      <c r="AN3137" s="199">
        <f t="shared" si="1462"/>
        <v>46077</v>
      </c>
      <c r="AO3137" s="159" t="s">
        <v>692</v>
      </c>
      <c r="AP3137" s="783" t="s">
        <v>643</v>
      </c>
      <c r="AQ3137" s="782">
        <v>12063755</v>
      </c>
      <c r="AR3137" s="782">
        <v>12081257</v>
      </c>
      <c r="AS3137" s="782">
        <v>12081260</v>
      </c>
      <c r="AT3137" s="782">
        <v>12098252</v>
      </c>
      <c r="AU3137" s="781"/>
      <c r="AV3137" s="782">
        <v>12098251</v>
      </c>
      <c r="AW3137" s="782"/>
      <c r="AX3137" s="782"/>
      <c r="AY3137" s="781"/>
      <c r="AZ3137" s="781"/>
      <c r="BA3137" s="781"/>
      <c r="BB3137" s="209">
        <v>23053185</v>
      </c>
    </row>
    <row r="3138" spans="1:54" ht="24.65" customHeight="1">
      <c r="A3138" s="630" t="s">
        <v>120</v>
      </c>
      <c r="B3138" s="466">
        <v>46078</v>
      </c>
      <c r="C3138" s="466">
        <v>46087</v>
      </c>
      <c r="D3138" s="185">
        <f t="shared" si="1458"/>
        <v>2026</v>
      </c>
      <c r="E3138" s="468" t="e">
        <f>VLOOKUP($B3138,Week!$A$1:$C$1462,2,0)</f>
        <v>#N/A</v>
      </c>
      <c r="F3138" s="469" t="str">
        <f t="shared" si="1459"/>
        <v>Feb</v>
      </c>
      <c r="G3138" s="470" t="s">
        <v>2881</v>
      </c>
      <c r="H3138" s="468" t="s">
        <v>82</v>
      </c>
      <c r="I3138" s="468" t="s">
        <v>82</v>
      </c>
      <c r="J3138" s="471" t="s">
        <v>720</v>
      </c>
      <c r="K3138" s="472" t="s">
        <v>153</v>
      </c>
      <c r="L3138" s="390" t="s">
        <v>2166</v>
      </c>
      <c r="M3138" s="471" t="s">
        <v>579</v>
      </c>
      <c r="N3138" s="468" t="s">
        <v>2877</v>
      </c>
      <c r="O3138" s="468" t="s">
        <v>2651</v>
      </c>
      <c r="P3138" s="473">
        <v>8</v>
      </c>
      <c r="Q3138" s="473">
        <v>60</v>
      </c>
      <c r="R3138" s="474">
        <v>6.8100000000000001E-3</v>
      </c>
      <c r="S3138" s="468" t="s">
        <v>76</v>
      </c>
      <c r="T3138" s="468" t="s">
        <v>112</v>
      </c>
      <c r="U3138" s="468" t="s">
        <v>89</v>
      </c>
      <c r="V3138" s="475">
        <v>925</v>
      </c>
      <c r="W3138" s="475"/>
      <c r="X3138" s="476">
        <f>(7400)/8</f>
        <v>925</v>
      </c>
      <c r="Y3138" s="477">
        <f t="shared" si="1448"/>
        <v>0</v>
      </c>
      <c r="Z3138" s="478">
        <f t="shared" si="1449"/>
        <v>0</v>
      </c>
      <c r="AA3138" s="478">
        <f t="shared" si="1460"/>
        <v>0</v>
      </c>
      <c r="AB3138" s="828">
        <v>10</v>
      </c>
      <c r="AC3138" s="475">
        <f t="shared" si="1451"/>
        <v>0</v>
      </c>
      <c r="AD3138" s="209"/>
      <c r="AE3138" s="210">
        <f t="shared" si="1452"/>
        <v>0</v>
      </c>
      <c r="AF3138" s="210">
        <f t="shared" si="1453"/>
        <v>0</v>
      </c>
      <c r="AG3138" s="211">
        <f t="shared" si="1456"/>
        <v>0.77</v>
      </c>
      <c r="AH3138" s="157">
        <f>(Z3138*AG3138)/1000</f>
        <v>0</v>
      </c>
      <c r="AI3138" s="152">
        <f t="shared" si="1457"/>
        <v>7400</v>
      </c>
      <c r="AK3138" s="156" t="s">
        <v>691</v>
      </c>
      <c r="AL3138" s="156" t="s">
        <v>689</v>
      </c>
      <c r="AM3138" s="198">
        <f t="shared" si="1461"/>
        <v>0</v>
      </c>
      <c r="AN3138" s="199">
        <f t="shared" si="1462"/>
        <v>46078</v>
      </c>
      <c r="AO3138" s="159" t="s">
        <v>692</v>
      </c>
      <c r="AP3138" s="783" t="s">
        <v>622</v>
      </c>
      <c r="AQ3138" s="782">
        <v>12088677</v>
      </c>
      <c r="AR3138" s="782" t="s">
        <v>2142</v>
      </c>
      <c r="AS3138" s="782"/>
      <c r="AT3138" s="782">
        <v>12098116</v>
      </c>
      <c r="AU3138" s="781"/>
      <c r="AV3138" s="782">
        <v>12098164</v>
      </c>
      <c r="AW3138" s="782"/>
      <c r="AX3138" s="796" t="s">
        <v>621</v>
      </c>
      <c r="AY3138" s="782"/>
      <c r="AZ3138" s="782"/>
      <c r="BA3138" s="781"/>
      <c r="BB3138" s="209">
        <v>23053184</v>
      </c>
    </row>
    <row r="3139" spans="1:54" ht="25" customHeight="1">
      <c r="B3139" s="213">
        <v>46078</v>
      </c>
      <c r="C3139" s="902" t="s">
        <v>2708</v>
      </c>
      <c r="D3139" s="215">
        <f t="shared" si="1458"/>
        <v>2026</v>
      </c>
      <c r="E3139" s="214" t="e">
        <f>VLOOKUP($B3139,Week!$A$1:$C$1462,2,0)</f>
        <v>#N/A</v>
      </c>
      <c r="F3139" s="216" t="str">
        <f t="shared" si="1459"/>
        <v>Feb</v>
      </c>
      <c r="G3139" s="215" t="s">
        <v>47</v>
      </c>
      <c r="H3139" s="215" t="s">
        <v>260</v>
      </c>
      <c r="I3139" s="215" t="s">
        <v>2702</v>
      </c>
      <c r="J3139" s="209" t="s">
        <v>2702</v>
      </c>
      <c r="K3139" s="217" t="s">
        <v>2706</v>
      </c>
      <c r="L3139" s="217" t="s">
        <v>2167</v>
      </c>
      <c r="M3139" s="209" t="s">
        <v>2733</v>
      </c>
      <c r="N3139" s="480" t="s">
        <v>2734</v>
      </c>
      <c r="O3139" s="215" t="s">
        <v>2735</v>
      </c>
      <c r="P3139" s="218">
        <v>12</v>
      </c>
      <c r="Q3139" s="218">
        <v>2</v>
      </c>
      <c r="R3139" s="219">
        <v>6.0000000000000001E-3</v>
      </c>
      <c r="S3139" s="215" t="s">
        <v>55</v>
      </c>
      <c r="T3139" s="215" t="s">
        <v>56</v>
      </c>
      <c r="U3139" s="852" t="s">
        <v>2707</v>
      </c>
      <c r="V3139" s="220">
        <v>1141</v>
      </c>
      <c r="W3139" s="220">
        <f>628+159+354</f>
        <v>1141</v>
      </c>
      <c r="X3139" s="221"/>
      <c r="Y3139" s="222">
        <f t="shared" si="1448"/>
        <v>0</v>
      </c>
      <c r="Z3139" s="223">
        <f t="shared" si="1449"/>
        <v>0</v>
      </c>
      <c r="AA3139" s="223">
        <f t="shared" si="1460"/>
        <v>0</v>
      </c>
      <c r="AB3139" s="807">
        <v>1.7000000000000001E-2</v>
      </c>
      <c r="AC3139" s="220">
        <f t="shared" si="1451"/>
        <v>0</v>
      </c>
      <c r="AD3139" s="443"/>
      <c r="AE3139" s="210">
        <f t="shared" si="1452"/>
        <v>0</v>
      </c>
      <c r="AF3139" s="210">
        <f t="shared" si="1453"/>
        <v>0</v>
      </c>
      <c r="AG3139" s="211">
        <f t="shared" si="1456"/>
        <v>0.22500000000000001</v>
      </c>
      <c r="AH3139" s="157">
        <v>0.26621999999999996</v>
      </c>
      <c r="AI3139" s="152">
        <f t="shared" si="1457"/>
        <v>13692</v>
      </c>
      <c r="AK3139" s="156" t="s">
        <v>691</v>
      </c>
      <c r="AL3139" s="574" t="s">
        <v>690</v>
      </c>
      <c r="AM3139" s="198">
        <f t="shared" si="1461"/>
        <v>0</v>
      </c>
      <c r="AN3139" s="199">
        <f t="shared" si="1462"/>
        <v>46078</v>
      </c>
      <c r="AO3139" s="159" t="s">
        <v>692</v>
      </c>
      <c r="AP3139" s="781" t="s">
        <v>642</v>
      </c>
      <c r="AQ3139" s="782">
        <v>12071839</v>
      </c>
      <c r="AR3139" s="782"/>
      <c r="AS3139" s="782"/>
      <c r="AT3139" s="782">
        <v>12098021</v>
      </c>
      <c r="AU3139" s="783" t="s">
        <v>2979</v>
      </c>
      <c r="AV3139" s="782">
        <v>12098022</v>
      </c>
      <c r="AW3139" s="783"/>
      <c r="AX3139" s="781"/>
      <c r="AY3139" s="796"/>
      <c r="AZ3139" s="796"/>
      <c r="BA3139" s="796"/>
      <c r="BB3139" s="209">
        <v>23099860</v>
      </c>
    </row>
    <row r="3140" spans="1:54" ht="25" customHeight="1">
      <c r="B3140" s="743">
        <v>46078</v>
      </c>
      <c r="C3140" s="744">
        <v>46093</v>
      </c>
      <c r="D3140" s="185">
        <f t="shared" si="1458"/>
        <v>2026</v>
      </c>
      <c r="E3140" s="333" t="e">
        <f>VLOOKUP($B3140,Week!$A$1:$C$1462,2,0)</f>
        <v>#N/A</v>
      </c>
      <c r="F3140" s="334" t="str">
        <f t="shared" si="1459"/>
        <v>Feb</v>
      </c>
      <c r="G3140" s="746" t="s">
        <v>2828</v>
      </c>
      <c r="H3140" s="746" t="s">
        <v>311</v>
      </c>
      <c r="I3140" s="335" t="s">
        <v>2772</v>
      </c>
      <c r="J3140" s="747" t="s">
        <v>2913</v>
      </c>
      <c r="K3140" s="748" t="s">
        <v>1652</v>
      </c>
      <c r="L3140" s="300" t="s">
        <v>2167</v>
      </c>
      <c r="M3140" s="747" t="s">
        <v>682</v>
      </c>
      <c r="N3140" s="915" t="s">
        <v>2775</v>
      </c>
      <c r="O3140" s="746" t="s">
        <v>2748</v>
      </c>
      <c r="P3140" s="749">
        <v>5</v>
      </c>
      <c r="Q3140" s="749">
        <v>3</v>
      </c>
      <c r="R3140" s="849">
        <v>6.0000000000000001E-3</v>
      </c>
      <c r="S3140" s="746" t="s">
        <v>55</v>
      </c>
      <c r="T3140" s="746" t="s">
        <v>112</v>
      </c>
      <c r="U3140" s="860" t="s">
        <v>724</v>
      </c>
      <c r="V3140" s="750">
        <f>5000</f>
        <v>5000</v>
      </c>
      <c r="W3140" s="750"/>
      <c r="X3140" s="751">
        <f>(25000)/5</f>
        <v>5000</v>
      </c>
      <c r="Y3140" s="752">
        <f t="shared" si="1448"/>
        <v>0</v>
      </c>
      <c r="Z3140" s="753">
        <f t="shared" si="1449"/>
        <v>0</v>
      </c>
      <c r="AA3140" s="753">
        <f t="shared" si="1460"/>
        <v>0</v>
      </c>
      <c r="AB3140" s="838">
        <v>5.8823E-2</v>
      </c>
      <c r="AC3140" s="750">
        <f t="shared" si="1451"/>
        <v>0</v>
      </c>
      <c r="AD3140" s="307" t="s">
        <v>2354</v>
      </c>
      <c r="AE3140" s="210">
        <f t="shared" si="1452"/>
        <v>0</v>
      </c>
      <c r="AF3140" s="210">
        <f t="shared" si="1453"/>
        <v>0</v>
      </c>
      <c r="AG3140" s="211">
        <f t="shared" si="1456"/>
        <v>0.30199999999999999</v>
      </c>
      <c r="AH3140" s="157">
        <v>0.26621999999999996</v>
      </c>
      <c r="AI3140" s="152">
        <f t="shared" si="1457"/>
        <v>25000</v>
      </c>
      <c r="AK3140" s="156" t="s">
        <v>691</v>
      </c>
      <c r="AL3140" s="574" t="s">
        <v>690</v>
      </c>
      <c r="AM3140" s="198">
        <f t="shared" si="1461"/>
        <v>0</v>
      </c>
      <c r="AN3140" s="199">
        <f t="shared" si="1462"/>
        <v>46078</v>
      </c>
      <c r="AO3140" s="159" t="s">
        <v>692</v>
      </c>
      <c r="AP3140" s="781" t="s">
        <v>642</v>
      </c>
      <c r="AQ3140" s="782">
        <v>12063755</v>
      </c>
      <c r="AR3140" s="782">
        <v>12081257</v>
      </c>
      <c r="AS3140" s="782">
        <v>12081260</v>
      </c>
      <c r="AT3140" s="782">
        <v>12098253</v>
      </c>
      <c r="AU3140" s="781"/>
      <c r="AV3140" s="782">
        <v>12098254</v>
      </c>
      <c r="AW3140" s="781"/>
      <c r="AX3140" s="781"/>
      <c r="AY3140" s="781"/>
      <c r="AZ3140" s="782"/>
      <c r="BA3140" s="781"/>
      <c r="BB3140" s="209">
        <v>23099860</v>
      </c>
    </row>
    <row r="3141" spans="1:54" ht="25" customHeight="1">
      <c r="B3141" s="743">
        <v>46078</v>
      </c>
      <c r="C3141" s="744">
        <v>46100</v>
      </c>
      <c r="D3141" s="185">
        <f t="shared" si="1458"/>
        <v>2026</v>
      </c>
      <c r="E3141" s="333" t="e">
        <f>VLOOKUP($B3141,Week!$A$1:$C$1462,2,0)</f>
        <v>#N/A</v>
      </c>
      <c r="F3141" s="334" t="str">
        <f t="shared" si="1459"/>
        <v>Feb</v>
      </c>
      <c r="G3141" s="746" t="s">
        <v>2829</v>
      </c>
      <c r="H3141" s="746" t="s">
        <v>311</v>
      </c>
      <c r="I3141" s="335" t="s">
        <v>2772</v>
      </c>
      <c r="J3141" s="747" t="s">
        <v>2913</v>
      </c>
      <c r="K3141" s="748" t="s">
        <v>1652</v>
      </c>
      <c r="L3141" s="300" t="s">
        <v>2167</v>
      </c>
      <c r="M3141" s="747" t="s">
        <v>682</v>
      </c>
      <c r="N3141" s="915" t="s">
        <v>2775</v>
      </c>
      <c r="O3141" s="746" t="s">
        <v>2748</v>
      </c>
      <c r="P3141" s="749">
        <v>5</v>
      </c>
      <c r="Q3141" s="749">
        <v>3</v>
      </c>
      <c r="R3141" s="849">
        <v>6.0000000000000001E-3</v>
      </c>
      <c r="S3141" s="746" t="s">
        <v>55</v>
      </c>
      <c r="T3141" s="746" t="s">
        <v>112</v>
      </c>
      <c r="U3141" s="860" t="s">
        <v>724</v>
      </c>
      <c r="V3141" s="750">
        <f>5000</f>
        <v>5000</v>
      </c>
      <c r="W3141" s="750">
        <f>74</f>
        <v>74</v>
      </c>
      <c r="X3141" s="751">
        <f>(49672-25000)/5</f>
        <v>4934.3999999999996</v>
      </c>
      <c r="Y3141" s="752">
        <f t="shared" si="1448"/>
        <v>8.3999999999996362</v>
      </c>
      <c r="Z3141" s="753">
        <f t="shared" si="1449"/>
        <v>0</v>
      </c>
      <c r="AA3141" s="753">
        <f t="shared" si="1460"/>
        <v>0</v>
      </c>
      <c r="AB3141" s="838">
        <v>5.8823E-2</v>
      </c>
      <c r="AC3141" s="750">
        <f t="shared" si="1451"/>
        <v>0</v>
      </c>
      <c r="AD3141" s="307" t="s">
        <v>2354</v>
      </c>
      <c r="AE3141" s="210">
        <f t="shared" si="1452"/>
        <v>0</v>
      </c>
      <c r="AF3141" s="210">
        <f t="shared" si="1453"/>
        <v>0</v>
      </c>
      <c r="AG3141" s="211">
        <f t="shared" si="1456"/>
        <v>0.30199999999999999</v>
      </c>
      <c r="AH3141" s="157">
        <v>0.26621999999999996</v>
      </c>
      <c r="AI3141" s="152">
        <f t="shared" si="1457"/>
        <v>25000</v>
      </c>
      <c r="AK3141" s="156" t="s">
        <v>691</v>
      </c>
      <c r="AL3141" s="574" t="s">
        <v>690</v>
      </c>
      <c r="AM3141" s="198">
        <f t="shared" si="1461"/>
        <v>0</v>
      </c>
      <c r="AN3141" s="199">
        <f t="shared" si="1462"/>
        <v>46078</v>
      </c>
      <c r="AO3141" s="159" t="s">
        <v>692</v>
      </c>
      <c r="AP3141" s="781" t="s">
        <v>642</v>
      </c>
      <c r="AQ3141" s="782">
        <v>12063755</v>
      </c>
      <c r="AR3141" s="782">
        <v>12081257</v>
      </c>
      <c r="AS3141" s="782">
        <v>12081260</v>
      </c>
      <c r="AT3141" s="782">
        <v>12098253</v>
      </c>
      <c r="AU3141" s="781"/>
      <c r="AV3141" s="782">
        <v>12098254</v>
      </c>
      <c r="AW3141" s="781"/>
      <c r="AX3141" s="781"/>
      <c r="AY3141" s="781"/>
      <c r="AZ3141" s="782"/>
      <c r="BA3141" s="781"/>
      <c r="BB3141" s="209">
        <v>23099860</v>
      </c>
    </row>
    <row r="3142" spans="1:54" ht="24.65" customHeight="1">
      <c r="A3142" s="630" t="s">
        <v>120</v>
      </c>
      <c r="B3142" s="466">
        <v>46079</v>
      </c>
      <c r="C3142" s="466">
        <v>46087</v>
      </c>
      <c r="D3142" s="185">
        <f t="shared" si="1458"/>
        <v>2026</v>
      </c>
      <c r="E3142" s="468" t="e">
        <f>VLOOKUP($B3142,Week!$A$1:$C$1462,2,0)</f>
        <v>#N/A</v>
      </c>
      <c r="F3142" s="469" t="str">
        <f t="shared" si="1459"/>
        <v>Feb</v>
      </c>
      <c r="G3142" s="470" t="s">
        <v>2881</v>
      </c>
      <c r="H3142" s="468" t="s">
        <v>82</v>
      </c>
      <c r="I3142" s="468" t="s">
        <v>82</v>
      </c>
      <c r="J3142" s="471" t="s">
        <v>720</v>
      </c>
      <c r="K3142" s="472" t="s">
        <v>153</v>
      </c>
      <c r="L3142" s="390" t="s">
        <v>2166</v>
      </c>
      <c r="M3142" s="471" t="s">
        <v>579</v>
      </c>
      <c r="N3142" s="468" t="s">
        <v>2877</v>
      </c>
      <c r="O3142" s="468" t="s">
        <v>2651</v>
      </c>
      <c r="P3142" s="473">
        <v>8</v>
      </c>
      <c r="Q3142" s="473">
        <v>60</v>
      </c>
      <c r="R3142" s="474">
        <v>6.8100000000000001E-3</v>
      </c>
      <c r="S3142" s="468" t="s">
        <v>76</v>
      </c>
      <c r="T3142" s="468" t="s">
        <v>112</v>
      </c>
      <c r="U3142" s="468" t="s">
        <v>89</v>
      </c>
      <c r="V3142" s="475">
        <f>1408-925</f>
        <v>483</v>
      </c>
      <c r="W3142" s="475">
        <v>483</v>
      </c>
      <c r="X3142" s="476"/>
      <c r="Y3142" s="477">
        <f t="shared" si="1448"/>
        <v>0</v>
      </c>
      <c r="Z3142" s="478">
        <f t="shared" si="1449"/>
        <v>0</v>
      </c>
      <c r="AA3142" s="478">
        <f t="shared" si="1460"/>
        <v>0</v>
      </c>
      <c r="AB3142" s="828">
        <v>10</v>
      </c>
      <c r="AC3142" s="475">
        <f t="shared" si="1451"/>
        <v>0</v>
      </c>
      <c r="AD3142" s="209"/>
      <c r="AE3142" s="210">
        <f t="shared" si="1452"/>
        <v>0</v>
      </c>
      <c r="AF3142" s="210">
        <f t="shared" si="1453"/>
        <v>0</v>
      </c>
      <c r="AG3142" s="211">
        <f t="shared" si="1456"/>
        <v>0.77</v>
      </c>
      <c r="AH3142" s="157">
        <f>(Z3142*AG3142)/1000</f>
        <v>0</v>
      </c>
      <c r="AI3142" s="152">
        <f t="shared" si="1457"/>
        <v>3864</v>
      </c>
      <c r="AK3142" s="156" t="s">
        <v>691</v>
      </c>
      <c r="AL3142" s="156" t="s">
        <v>689</v>
      </c>
      <c r="AM3142" s="198">
        <f t="shared" si="1461"/>
        <v>0</v>
      </c>
      <c r="AN3142" s="199">
        <f t="shared" si="1462"/>
        <v>46079</v>
      </c>
      <c r="AO3142" s="159" t="s">
        <v>692</v>
      </c>
      <c r="AP3142" s="783" t="s">
        <v>622</v>
      </c>
      <c r="AQ3142" s="782">
        <v>12088677</v>
      </c>
      <c r="AR3142" s="782" t="s">
        <v>2142</v>
      </c>
      <c r="AS3142" s="782"/>
      <c r="AT3142" s="782">
        <v>12098116</v>
      </c>
      <c r="AU3142" s="781"/>
      <c r="AV3142" s="782">
        <v>12098164</v>
      </c>
      <c r="AW3142" s="782"/>
      <c r="AX3142" s="796" t="s">
        <v>621</v>
      </c>
      <c r="AY3142" s="782"/>
      <c r="AZ3142" s="782"/>
      <c r="BA3142" s="781"/>
      <c r="BB3142" s="209">
        <v>23053184</v>
      </c>
    </row>
    <row r="3143" spans="1:54" ht="24.65" customHeight="1">
      <c r="A3143" s="630" t="s">
        <v>120</v>
      </c>
      <c r="B3143" s="466">
        <v>46079</v>
      </c>
      <c r="C3143" s="466">
        <v>46090</v>
      </c>
      <c r="D3143" s="185">
        <f t="shared" si="1458"/>
        <v>2026</v>
      </c>
      <c r="E3143" s="468" t="e">
        <f>VLOOKUP($B3143,Week!$A$1:$C$1462,2,0)</f>
        <v>#N/A</v>
      </c>
      <c r="F3143" s="469" t="str">
        <f t="shared" si="1459"/>
        <v>Feb</v>
      </c>
      <c r="G3143" s="470" t="s">
        <v>2792</v>
      </c>
      <c r="H3143" s="468" t="s">
        <v>82</v>
      </c>
      <c r="I3143" s="468" t="s">
        <v>82</v>
      </c>
      <c r="J3143" s="471" t="s">
        <v>720</v>
      </c>
      <c r="K3143" s="472" t="s">
        <v>153</v>
      </c>
      <c r="L3143" s="390" t="s">
        <v>2166</v>
      </c>
      <c r="M3143" s="471" t="s">
        <v>579</v>
      </c>
      <c r="N3143" s="468" t="s">
        <v>2877</v>
      </c>
      <c r="O3143" s="468" t="s">
        <v>2651</v>
      </c>
      <c r="P3143" s="473">
        <v>8</v>
      </c>
      <c r="Q3143" s="473">
        <v>60</v>
      </c>
      <c r="R3143" s="474">
        <v>6.8100000000000001E-3</v>
      </c>
      <c r="S3143" s="468" t="s">
        <v>76</v>
      </c>
      <c r="T3143" s="468" t="s">
        <v>112</v>
      </c>
      <c r="U3143" s="468" t="s">
        <v>89</v>
      </c>
      <c r="V3143" s="475">
        <f>576</f>
        <v>576</v>
      </c>
      <c r="W3143" s="475">
        <v>576</v>
      </c>
      <c r="X3143" s="476"/>
      <c r="Y3143" s="477">
        <f t="shared" si="1448"/>
        <v>0</v>
      </c>
      <c r="Z3143" s="478">
        <f t="shared" si="1449"/>
        <v>0</v>
      </c>
      <c r="AA3143" s="478">
        <f t="shared" si="1460"/>
        <v>0</v>
      </c>
      <c r="AB3143" s="828">
        <v>10</v>
      </c>
      <c r="AC3143" s="475">
        <f t="shared" si="1451"/>
        <v>0</v>
      </c>
      <c r="AD3143" s="209"/>
      <c r="AE3143" s="210">
        <f t="shared" si="1452"/>
        <v>0</v>
      </c>
      <c r="AF3143" s="210">
        <f t="shared" si="1453"/>
        <v>0</v>
      </c>
      <c r="AG3143" s="211">
        <f t="shared" si="1456"/>
        <v>0.77</v>
      </c>
      <c r="AH3143" s="157">
        <f>(Z3143*AG3143)/1000</f>
        <v>0</v>
      </c>
      <c r="AI3143" s="152">
        <f t="shared" si="1457"/>
        <v>4608</v>
      </c>
      <c r="AK3143" s="156" t="s">
        <v>691</v>
      </c>
      <c r="AL3143" s="156" t="s">
        <v>689</v>
      </c>
      <c r="AM3143" s="198">
        <f t="shared" si="1461"/>
        <v>0</v>
      </c>
      <c r="AN3143" s="199">
        <f t="shared" si="1462"/>
        <v>46079</v>
      </c>
      <c r="AO3143" s="159" t="s">
        <v>692</v>
      </c>
      <c r="AP3143" s="783" t="s">
        <v>622</v>
      </c>
      <c r="AQ3143" s="782">
        <v>12088677</v>
      </c>
      <c r="AR3143" s="782" t="s">
        <v>2142</v>
      </c>
      <c r="AS3143" s="782"/>
      <c r="AT3143" s="782">
        <v>12098116</v>
      </c>
      <c r="AU3143" s="781"/>
      <c r="AV3143" s="782">
        <v>12098164</v>
      </c>
      <c r="AW3143" s="782"/>
      <c r="AX3143" s="796" t="s">
        <v>621</v>
      </c>
      <c r="AY3143" s="782"/>
      <c r="AZ3143" s="782"/>
      <c r="BA3143" s="781"/>
      <c r="BB3143" s="209">
        <v>23053184</v>
      </c>
    </row>
    <row r="3144" spans="1:54" ht="25" customHeight="1">
      <c r="B3144" s="213">
        <v>46079</v>
      </c>
      <c r="C3144" s="902" t="s">
        <v>2708</v>
      </c>
      <c r="D3144" s="215">
        <f t="shared" si="1458"/>
        <v>2026</v>
      </c>
      <c r="E3144" s="214" t="e">
        <f>VLOOKUP($B3144,Week!$A$1:$C$1462,2,0)</f>
        <v>#N/A</v>
      </c>
      <c r="F3144" s="216" t="str">
        <f t="shared" si="1459"/>
        <v>Feb</v>
      </c>
      <c r="G3144" s="215" t="s">
        <v>47</v>
      </c>
      <c r="H3144" s="215" t="s">
        <v>260</v>
      </c>
      <c r="I3144" s="215" t="s">
        <v>2702</v>
      </c>
      <c r="J3144" s="209" t="s">
        <v>2702</v>
      </c>
      <c r="K3144" s="217" t="s">
        <v>2706</v>
      </c>
      <c r="L3144" s="217" t="s">
        <v>2167</v>
      </c>
      <c r="M3144" s="209" t="s">
        <v>2733</v>
      </c>
      <c r="N3144" s="480" t="s">
        <v>2734</v>
      </c>
      <c r="O3144" s="215" t="s">
        <v>2735</v>
      </c>
      <c r="P3144" s="218">
        <v>12</v>
      </c>
      <c r="Q3144" s="218">
        <v>2</v>
      </c>
      <c r="R3144" s="219">
        <v>6.0000000000000001E-3</v>
      </c>
      <c r="S3144" s="215" t="s">
        <v>55</v>
      </c>
      <c r="T3144" s="215" t="s">
        <v>56</v>
      </c>
      <c r="U3144" s="852" t="s">
        <v>2707</v>
      </c>
      <c r="V3144" s="220">
        <v>1231</v>
      </c>
      <c r="W3144" s="220">
        <f>1096+135</f>
        <v>1231</v>
      </c>
      <c r="X3144" s="221"/>
      <c r="Y3144" s="222">
        <f t="shared" ref="Y3144:Y3149" si="1463">(W3144+X3144)-V3144</f>
        <v>0</v>
      </c>
      <c r="Z3144" s="223">
        <f t="shared" si="1449"/>
        <v>0</v>
      </c>
      <c r="AA3144" s="223">
        <f t="shared" si="1460"/>
        <v>0</v>
      </c>
      <c r="AB3144" s="807">
        <v>1.7000000000000001E-2</v>
      </c>
      <c r="AC3144" s="220">
        <f t="shared" ref="AC3144:AC3149" si="1464">Z3144*AB3144</f>
        <v>0</v>
      </c>
      <c r="AD3144" s="443"/>
      <c r="AE3144" s="210">
        <f t="shared" si="1452"/>
        <v>0</v>
      </c>
      <c r="AF3144" s="210">
        <f t="shared" si="1453"/>
        <v>0</v>
      </c>
      <c r="AG3144" s="211">
        <f t="shared" si="1456"/>
        <v>0.22500000000000001</v>
      </c>
      <c r="AH3144" s="157">
        <v>0.26621999999999996</v>
      </c>
      <c r="AI3144" s="152">
        <f t="shared" si="1457"/>
        <v>14772</v>
      </c>
      <c r="AK3144" s="156" t="s">
        <v>691</v>
      </c>
      <c r="AL3144" s="574" t="s">
        <v>690</v>
      </c>
      <c r="AM3144" s="198">
        <f t="shared" si="1461"/>
        <v>0</v>
      </c>
      <c r="AN3144" s="199">
        <f t="shared" si="1462"/>
        <v>46079</v>
      </c>
      <c r="AO3144" s="159" t="s">
        <v>692</v>
      </c>
      <c r="AP3144" s="781" t="s">
        <v>642</v>
      </c>
      <c r="AQ3144" s="782">
        <v>12071839</v>
      </c>
      <c r="AR3144" s="782"/>
      <c r="AS3144" s="782"/>
      <c r="AT3144" s="782">
        <v>12098021</v>
      </c>
      <c r="AU3144" s="783" t="s">
        <v>2979</v>
      </c>
      <c r="AV3144" s="782">
        <v>12098022</v>
      </c>
      <c r="AW3144" s="783"/>
      <c r="AX3144" s="781"/>
      <c r="AY3144" s="796"/>
      <c r="AZ3144" s="796"/>
      <c r="BA3144" s="796"/>
      <c r="BB3144" s="209">
        <v>23099860</v>
      </c>
    </row>
    <row r="3145" spans="1:54" ht="25" customHeight="1">
      <c r="A3145" s="529" t="s">
        <v>2892</v>
      </c>
      <c r="B3145" s="320">
        <v>46080</v>
      </c>
      <c r="C3145" s="321">
        <v>46083</v>
      </c>
      <c r="D3145" s="323">
        <f t="shared" si="1458"/>
        <v>2026</v>
      </c>
      <c r="E3145" s="321" t="e">
        <f>VLOOKUP($B3145,Week!$A$1:$C$1462,2,0)</f>
        <v>#N/A</v>
      </c>
      <c r="F3145" s="322" t="str">
        <f t="shared" si="1459"/>
        <v>Feb</v>
      </c>
      <c r="G3145" s="323" t="s">
        <v>2756</v>
      </c>
      <c r="H3145" s="323" t="s">
        <v>363</v>
      </c>
      <c r="I3145" s="323" t="s">
        <v>2772</v>
      </c>
      <c r="J3145" s="324" t="s">
        <v>364</v>
      </c>
      <c r="K3145" s="325" t="s">
        <v>2583</v>
      </c>
      <c r="L3145" s="325" t="s">
        <v>2166</v>
      </c>
      <c r="M3145" s="324" t="s">
        <v>2586</v>
      </c>
      <c r="N3145" s="323" t="s">
        <v>2584</v>
      </c>
      <c r="O3145" s="323" t="s">
        <v>2587</v>
      </c>
      <c r="P3145" s="326">
        <v>20</v>
      </c>
      <c r="Q3145" s="326">
        <v>50</v>
      </c>
      <c r="R3145" s="327">
        <v>4.0000000000000001E-3</v>
      </c>
      <c r="S3145" s="323" t="s">
        <v>55</v>
      </c>
      <c r="T3145" s="323" t="s">
        <v>112</v>
      </c>
      <c r="U3145" s="323" t="s">
        <v>77</v>
      </c>
      <c r="V3145" s="328">
        <f>215</f>
        <v>215</v>
      </c>
      <c r="W3145" s="328">
        <f>12+203</f>
        <v>215</v>
      </c>
      <c r="X3145" s="329"/>
      <c r="Y3145" s="330">
        <f t="shared" si="1463"/>
        <v>0</v>
      </c>
      <c r="Z3145" s="331">
        <f t="shared" si="1449"/>
        <v>0</v>
      </c>
      <c r="AA3145" s="331">
        <f t="shared" si="1460"/>
        <v>0</v>
      </c>
      <c r="AB3145" s="816">
        <v>6</v>
      </c>
      <c r="AC3145" s="328">
        <f t="shared" si="1464"/>
        <v>0</v>
      </c>
      <c r="AD3145" s="307" t="s">
        <v>651</v>
      </c>
      <c r="AE3145" s="210">
        <f t="shared" si="1452"/>
        <v>0</v>
      </c>
      <c r="AF3145" s="210">
        <f t="shared" si="1453"/>
        <v>0</v>
      </c>
      <c r="AG3145" s="211">
        <f t="shared" si="1456"/>
        <v>0.5</v>
      </c>
      <c r="AH3145" s="157">
        <f>(Z3145*AG3145)/1000</f>
        <v>0</v>
      </c>
      <c r="AI3145" s="152">
        <f t="shared" si="1457"/>
        <v>4300</v>
      </c>
      <c r="AK3145" s="156" t="s">
        <v>691</v>
      </c>
      <c r="AL3145" s="156" t="s">
        <v>689</v>
      </c>
      <c r="AM3145" s="198">
        <f t="shared" si="1461"/>
        <v>0</v>
      </c>
      <c r="AN3145" s="199">
        <f t="shared" si="1462"/>
        <v>46080</v>
      </c>
      <c r="AO3145" s="159" t="s">
        <v>692</v>
      </c>
      <c r="AP3145" s="783" t="s">
        <v>620</v>
      </c>
      <c r="AQ3145" s="796" t="s">
        <v>422</v>
      </c>
      <c r="AR3145" s="782">
        <v>12055234</v>
      </c>
      <c r="AS3145" s="781"/>
      <c r="AT3145" s="782"/>
      <c r="AU3145" s="782"/>
      <c r="AV3145" s="782">
        <v>12097165</v>
      </c>
      <c r="AW3145" s="782"/>
      <c r="AX3145" s="782">
        <v>12036656</v>
      </c>
      <c r="AY3145" s="799"/>
      <c r="AZ3145" s="781"/>
      <c r="BA3145" s="781"/>
      <c r="BB3145" s="209">
        <v>23053184</v>
      </c>
    </row>
    <row r="3146" spans="1:54" ht="25" customHeight="1">
      <c r="A3146" s="142" t="s">
        <v>120</v>
      </c>
      <c r="B3146" s="320">
        <v>46080</v>
      </c>
      <c r="C3146" s="321">
        <v>46093</v>
      </c>
      <c r="D3146" s="323">
        <f t="shared" si="1458"/>
        <v>2026</v>
      </c>
      <c r="E3146" s="321" t="e">
        <f>VLOOKUP($B3146,Week!$A$1:$C$1462,2,0)</f>
        <v>#N/A</v>
      </c>
      <c r="F3146" s="322" t="str">
        <f t="shared" si="1459"/>
        <v>Feb</v>
      </c>
      <c r="G3146" s="323" t="s">
        <v>2757</v>
      </c>
      <c r="H3146" s="323" t="s">
        <v>363</v>
      </c>
      <c r="I3146" s="323" t="s">
        <v>2772</v>
      </c>
      <c r="J3146" s="324" t="s">
        <v>364</v>
      </c>
      <c r="K3146" s="325" t="s">
        <v>2583</v>
      </c>
      <c r="L3146" s="325" t="s">
        <v>2166</v>
      </c>
      <c r="M3146" s="324" t="s">
        <v>2586</v>
      </c>
      <c r="N3146" s="323" t="s">
        <v>2584</v>
      </c>
      <c r="O3146" s="323" t="s">
        <v>2587</v>
      </c>
      <c r="P3146" s="326">
        <v>20</v>
      </c>
      <c r="Q3146" s="326">
        <v>50</v>
      </c>
      <c r="R3146" s="327">
        <v>4.0000000000000001E-3</v>
      </c>
      <c r="S3146" s="323" t="s">
        <v>55</v>
      </c>
      <c r="T3146" s="323" t="s">
        <v>112</v>
      </c>
      <c r="U3146" s="323" t="s">
        <v>77</v>
      </c>
      <c r="V3146" s="328">
        <f>8</f>
        <v>8</v>
      </c>
      <c r="W3146" s="328">
        <f>8</f>
        <v>8</v>
      </c>
      <c r="X3146" s="329"/>
      <c r="Y3146" s="330">
        <f t="shared" si="1463"/>
        <v>0</v>
      </c>
      <c r="Z3146" s="331">
        <f t="shared" si="1449"/>
        <v>0</v>
      </c>
      <c r="AA3146" s="331">
        <f t="shared" si="1460"/>
        <v>0</v>
      </c>
      <c r="AB3146" s="816">
        <v>6</v>
      </c>
      <c r="AC3146" s="328">
        <f t="shared" si="1464"/>
        <v>0</v>
      </c>
      <c r="AD3146" s="209"/>
      <c r="AE3146" s="210">
        <f t="shared" si="1452"/>
        <v>0</v>
      </c>
      <c r="AF3146" s="210">
        <f t="shared" si="1453"/>
        <v>0</v>
      </c>
      <c r="AG3146" s="211">
        <f t="shared" si="1456"/>
        <v>0.5</v>
      </c>
      <c r="AH3146" s="157">
        <f>(Z3146*AG3146)/1000</f>
        <v>0</v>
      </c>
      <c r="AI3146" s="152">
        <f t="shared" si="1457"/>
        <v>160</v>
      </c>
      <c r="AK3146" s="156" t="s">
        <v>691</v>
      </c>
      <c r="AL3146" s="156" t="s">
        <v>689</v>
      </c>
      <c r="AM3146" s="198">
        <f t="shared" si="1461"/>
        <v>0</v>
      </c>
      <c r="AN3146" s="199">
        <f t="shared" si="1462"/>
        <v>46080</v>
      </c>
      <c r="AO3146" s="159" t="s">
        <v>692</v>
      </c>
      <c r="AP3146" s="783" t="s">
        <v>620</v>
      </c>
      <c r="AQ3146" s="796" t="s">
        <v>422</v>
      </c>
      <c r="AR3146" s="782">
        <v>12055234</v>
      </c>
      <c r="AS3146" s="781"/>
      <c r="AT3146" s="782"/>
      <c r="AU3146" s="782"/>
      <c r="AV3146" s="782">
        <v>12097165</v>
      </c>
      <c r="AW3146" s="782"/>
      <c r="AX3146" s="782">
        <v>12036656</v>
      </c>
      <c r="AY3146" s="799"/>
      <c r="AZ3146" s="781"/>
      <c r="BA3146" s="781"/>
      <c r="BB3146" s="209">
        <v>23053184</v>
      </c>
    </row>
    <row r="3147" spans="1:54" ht="25" customHeight="1">
      <c r="B3147" s="213">
        <v>46080</v>
      </c>
      <c r="C3147" s="902" t="s">
        <v>2708</v>
      </c>
      <c r="D3147" s="215">
        <f t="shared" si="1458"/>
        <v>2026</v>
      </c>
      <c r="E3147" s="214" t="e">
        <f>VLOOKUP($B3147,Week!$A$1:$C$1462,2,0)</f>
        <v>#N/A</v>
      </c>
      <c r="F3147" s="216" t="str">
        <f t="shared" si="1459"/>
        <v>Feb</v>
      </c>
      <c r="G3147" s="215" t="s">
        <v>47</v>
      </c>
      <c r="H3147" s="215" t="s">
        <v>260</v>
      </c>
      <c r="I3147" s="215" t="s">
        <v>2702</v>
      </c>
      <c r="J3147" s="209" t="s">
        <v>2702</v>
      </c>
      <c r="K3147" s="217" t="s">
        <v>2706</v>
      </c>
      <c r="L3147" s="217" t="s">
        <v>2167</v>
      </c>
      <c r="M3147" s="209" t="s">
        <v>2733</v>
      </c>
      <c r="N3147" s="480" t="s">
        <v>2734</v>
      </c>
      <c r="O3147" s="215" t="s">
        <v>2735</v>
      </c>
      <c r="P3147" s="218">
        <v>12</v>
      </c>
      <c r="Q3147" s="218">
        <v>2</v>
      </c>
      <c r="R3147" s="219">
        <v>6.0000000000000001E-3</v>
      </c>
      <c r="S3147" s="215" t="s">
        <v>55</v>
      </c>
      <c r="T3147" s="215" t="s">
        <v>56</v>
      </c>
      <c r="U3147" s="852" t="s">
        <v>2707</v>
      </c>
      <c r="V3147" s="220">
        <f>1021</f>
        <v>1021</v>
      </c>
      <c r="W3147" s="220">
        <f>553+468</f>
        <v>1021</v>
      </c>
      <c r="X3147" s="221"/>
      <c r="Y3147" s="222">
        <f t="shared" si="1463"/>
        <v>0</v>
      </c>
      <c r="Z3147" s="223">
        <f t="shared" si="1449"/>
        <v>0</v>
      </c>
      <c r="AA3147" s="223">
        <f t="shared" si="1460"/>
        <v>0</v>
      </c>
      <c r="AB3147" s="807">
        <v>1.7000000000000001E-2</v>
      </c>
      <c r="AC3147" s="220">
        <f t="shared" si="1464"/>
        <v>0</v>
      </c>
      <c r="AD3147" s="443"/>
      <c r="AE3147" s="210">
        <f t="shared" si="1452"/>
        <v>0</v>
      </c>
      <c r="AF3147" s="210">
        <f t="shared" ref="AF3147:AF3152" si="1465">AE3147/0.54</f>
        <v>0</v>
      </c>
      <c r="AG3147" s="211">
        <f t="shared" si="1456"/>
        <v>0.22500000000000001</v>
      </c>
      <c r="AH3147" s="157">
        <v>0.26621999999999996</v>
      </c>
      <c r="AI3147" s="152">
        <f t="shared" si="1457"/>
        <v>12252</v>
      </c>
      <c r="AK3147" s="156" t="s">
        <v>691</v>
      </c>
      <c r="AL3147" s="574" t="s">
        <v>690</v>
      </c>
      <c r="AM3147" s="198">
        <f t="shared" si="1461"/>
        <v>0</v>
      </c>
      <c r="AN3147" s="199">
        <f t="shared" si="1462"/>
        <v>46080</v>
      </c>
      <c r="AO3147" s="159" t="s">
        <v>692</v>
      </c>
      <c r="AP3147" s="781" t="s">
        <v>642</v>
      </c>
      <c r="AQ3147" s="782">
        <v>12071839</v>
      </c>
      <c r="AR3147" s="782"/>
      <c r="AS3147" s="782"/>
      <c r="AT3147" s="782">
        <v>12098021</v>
      </c>
      <c r="AU3147" s="783" t="s">
        <v>2979</v>
      </c>
      <c r="AV3147" s="782">
        <v>12098022</v>
      </c>
      <c r="AW3147" s="783"/>
      <c r="AX3147" s="781"/>
      <c r="AY3147" s="796"/>
      <c r="AZ3147" s="796"/>
      <c r="BA3147" s="796"/>
      <c r="BB3147" s="209">
        <v>23099860</v>
      </c>
    </row>
    <row r="3148" spans="1:54" ht="25" customHeight="1">
      <c r="A3148" s="440"/>
      <c r="B3148" s="743">
        <v>46080</v>
      </c>
      <c r="C3148" s="744">
        <v>46093</v>
      </c>
      <c r="D3148" s="746">
        <f t="shared" si="1458"/>
        <v>2026</v>
      </c>
      <c r="E3148" s="744" t="e">
        <f>VLOOKUP($B3148,[1]Week!$A$1:$C$1462,2,0)</f>
        <v>#N/A</v>
      </c>
      <c r="F3148" s="745" t="str">
        <f t="shared" si="1459"/>
        <v>Feb</v>
      </c>
      <c r="G3148" s="746" t="s">
        <v>2830</v>
      </c>
      <c r="H3148" s="746" t="s">
        <v>311</v>
      </c>
      <c r="I3148" s="746" t="s">
        <v>2772</v>
      </c>
      <c r="J3148" s="747" t="s">
        <v>2913</v>
      </c>
      <c r="K3148" s="748" t="s">
        <v>1651</v>
      </c>
      <c r="L3148" s="748" t="s">
        <v>2167</v>
      </c>
      <c r="M3148" s="747" t="s">
        <v>683</v>
      </c>
      <c r="N3148" s="915" t="s">
        <v>2776</v>
      </c>
      <c r="O3148" s="746" t="s">
        <v>2749</v>
      </c>
      <c r="P3148" s="749">
        <v>5</v>
      </c>
      <c r="Q3148" s="749">
        <v>3</v>
      </c>
      <c r="R3148" s="849">
        <v>6.0000000000000001E-3</v>
      </c>
      <c r="S3148" s="746" t="s">
        <v>55</v>
      </c>
      <c r="T3148" s="746" t="s">
        <v>112</v>
      </c>
      <c r="U3148" s="860" t="s">
        <v>1633</v>
      </c>
      <c r="V3148" s="750">
        <f>5000</f>
        <v>5000</v>
      </c>
      <c r="W3148" s="750"/>
      <c r="X3148" s="751">
        <f>25000/5</f>
        <v>5000</v>
      </c>
      <c r="Y3148" s="752">
        <f t="shared" si="1463"/>
        <v>0</v>
      </c>
      <c r="Z3148" s="753">
        <f t="shared" si="1449"/>
        <v>0</v>
      </c>
      <c r="AA3148" s="753">
        <f t="shared" si="1460"/>
        <v>0</v>
      </c>
      <c r="AB3148" s="838">
        <v>1</v>
      </c>
      <c r="AC3148" s="750">
        <f t="shared" si="1464"/>
        <v>0</v>
      </c>
      <c r="AD3148" s="307" t="s">
        <v>2354</v>
      </c>
      <c r="AE3148" s="210">
        <f t="shared" si="1452"/>
        <v>0</v>
      </c>
      <c r="AF3148" s="210">
        <f t="shared" si="1465"/>
        <v>0</v>
      </c>
      <c r="AG3148" s="211">
        <f t="shared" si="1456"/>
        <v>0.28299999999999997</v>
      </c>
      <c r="AH3148" s="157">
        <v>0.26621999999999996</v>
      </c>
      <c r="AI3148" s="152">
        <f t="shared" si="1457"/>
        <v>25000</v>
      </c>
      <c r="AK3148" s="156" t="s">
        <v>691</v>
      </c>
      <c r="AL3148" s="574" t="s">
        <v>690</v>
      </c>
      <c r="AM3148" s="198">
        <f t="shared" si="1461"/>
        <v>0</v>
      </c>
      <c r="AN3148" s="199">
        <f t="shared" si="1462"/>
        <v>46080</v>
      </c>
      <c r="AO3148" s="159" t="s">
        <v>692</v>
      </c>
      <c r="AP3148" s="781" t="s">
        <v>642</v>
      </c>
      <c r="AQ3148" s="782">
        <v>12063755</v>
      </c>
      <c r="AR3148" s="782">
        <v>12081257</v>
      </c>
      <c r="AS3148" s="782">
        <v>12081260</v>
      </c>
      <c r="AT3148" s="782">
        <v>12098256</v>
      </c>
      <c r="AU3148" s="781"/>
      <c r="AV3148" s="782">
        <v>12098255</v>
      </c>
      <c r="AW3148" s="781"/>
      <c r="AX3148" s="781"/>
      <c r="AY3148" s="781"/>
      <c r="AZ3148" s="781"/>
      <c r="BA3148" s="781"/>
      <c r="BB3148" s="209">
        <v>23099087</v>
      </c>
    </row>
    <row r="3149" spans="1:54" ht="25" customHeight="1">
      <c r="A3149" s="440"/>
      <c r="B3149" s="743">
        <v>46080</v>
      </c>
      <c r="C3149" s="744">
        <v>46100</v>
      </c>
      <c r="D3149" s="746">
        <f t="shared" si="1458"/>
        <v>2026</v>
      </c>
      <c r="E3149" s="744" t="e">
        <f>VLOOKUP($B3149,[1]Week!$A$1:$C$1462,2,0)</f>
        <v>#N/A</v>
      </c>
      <c r="F3149" s="745" t="str">
        <f t="shared" si="1459"/>
        <v>Feb</v>
      </c>
      <c r="G3149" s="746" t="s">
        <v>2831</v>
      </c>
      <c r="H3149" s="746" t="s">
        <v>311</v>
      </c>
      <c r="I3149" s="746" t="s">
        <v>2772</v>
      </c>
      <c r="J3149" s="747" t="s">
        <v>2913</v>
      </c>
      <c r="K3149" s="748" t="s">
        <v>1651</v>
      </c>
      <c r="L3149" s="748" t="s">
        <v>2167</v>
      </c>
      <c r="M3149" s="747" t="s">
        <v>683</v>
      </c>
      <c r="N3149" s="915" t="s">
        <v>2776</v>
      </c>
      <c r="O3149" s="746" t="s">
        <v>2749</v>
      </c>
      <c r="P3149" s="749">
        <v>5</v>
      </c>
      <c r="Q3149" s="749">
        <v>3</v>
      </c>
      <c r="R3149" s="849">
        <v>6.0000000000000001E-3</v>
      </c>
      <c r="S3149" s="746" t="s">
        <v>55</v>
      </c>
      <c r="T3149" s="746" t="s">
        <v>112</v>
      </c>
      <c r="U3149" s="860" t="s">
        <v>1633</v>
      </c>
      <c r="V3149" s="750">
        <f>5000</f>
        <v>5000</v>
      </c>
      <c r="W3149" s="750"/>
      <c r="X3149" s="751">
        <f>(43782-25000+6218)/5</f>
        <v>5000</v>
      </c>
      <c r="Y3149" s="752">
        <f t="shared" si="1463"/>
        <v>0</v>
      </c>
      <c r="Z3149" s="753">
        <f t="shared" si="1449"/>
        <v>0</v>
      </c>
      <c r="AA3149" s="753">
        <f t="shared" si="1460"/>
        <v>0</v>
      </c>
      <c r="AB3149" s="838">
        <v>1</v>
      </c>
      <c r="AC3149" s="750">
        <f t="shared" si="1464"/>
        <v>0</v>
      </c>
      <c r="AD3149" s="307" t="s">
        <v>2354</v>
      </c>
      <c r="AE3149" s="210">
        <f t="shared" si="1452"/>
        <v>0</v>
      </c>
      <c r="AF3149" s="210">
        <f t="shared" si="1465"/>
        <v>0</v>
      </c>
      <c r="AG3149" s="211">
        <f t="shared" si="1456"/>
        <v>0.28299999999999997</v>
      </c>
      <c r="AH3149" s="157">
        <v>0.26621999999999996</v>
      </c>
      <c r="AI3149" s="152">
        <f t="shared" si="1457"/>
        <v>25000</v>
      </c>
      <c r="AK3149" s="156" t="s">
        <v>691</v>
      </c>
      <c r="AL3149" s="574" t="s">
        <v>690</v>
      </c>
      <c r="AM3149" s="198">
        <f t="shared" si="1461"/>
        <v>0</v>
      </c>
      <c r="AN3149" s="199">
        <f t="shared" si="1462"/>
        <v>46080</v>
      </c>
      <c r="AO3149" s="159" t="s">
        <v>692</v>
      </c>
      <c r="AP3149" s="781" t="s">
        <v>642</v>
      </c>
      <c r="AQ3149" s="782">
        <v>12063755</v>
      </c>
      <c r="AR3149" s="782">
        <v>12081257</v>
      </c>
      <c r="AS3149" s="782">
        <v>12081260</v>
      </c>
      <c r="AT3149" s="782">
        <v>12098256</v>
      </c>
      <c r="AU3149" s="781"/>
      <c r="AV3149" s="782">
        <v>12098255</v>
      </c>
      <c r="AW3149" s="781"/>
      <c r="AX3149" s="781"/>
      <c r="AY3149" s="781"/>
      <c r="AZ3149" s="781"/>
      <c r="BA3149" s="781"/>
      <c r="BB3149" s="209">
        <v>23099087</v>
      </c>
    </row>
    <row r="3150" spans="1:54" ht="24.65" customHeight="1">
      <c r="A3150" s="630" t="s">
        <v>120</v>
      </c>
      <c r="B3150" s="466">
        <v>46081</v>
      </c>
      <c r="C3150" s="466">
        <v>46090</v>
      </c>
      <c r="D3150" s="185">
        <f t="shared" si="1458"/>
        <v>2026</v>
      </c>
      <c r="E3150" s="468" t="e">
        <f>VLOOKUP($B3150,Week!$A$1:$C$1462,2,0)</f>
        <v>#N/A</v>
      </c>
      <c r="F3150" s="469" t="str">
        <f t="shared" si="1459"/>
        <v>Feb</v>
      </c>
      <c r="G3150" s="470" t="s">
        <v>2792</v>
      </c>
      <c r="H3150" s="468" t="s">
        <v>82</v>
      </c>
      <c r="I3150" s="468" t="s">
        <v>82</v>
      </c>
      <c r="J3150" s="471" t="s">
        <v>720</v>
      </c>
      <c r="K3150" s="472" t="s">
        <v>153</v>
      </c>
      <c r="L3150" s="390" t="s">
        <v>2166</v>
      </c>
      <c r="M3150" s="471" t="s">
        <v>579</v>
      </c>
      <c r="N3150" s="468" t="s">
        <v>2877</v>
      </c>
      <c r="O3150" s="468" t="s">
        <v>2651</v>
      </c>
      <c r="P3150" s="473">
        <v>8</v>
      </c>
      <c r="Q3150" s="473">
        <v>60</v>
      </c>
      <c r="R3150" s="474">
        <v>6.8100000000000001E-3</v>
      </c>
      <c r="S3150" s="468" t="s">
        <v>76</v>
      </c>
      <c r="T3150" s="468" t="s">
        <v>112</v>
      </c>
      <c r="U3150" s="468" t="s">
        <v>89</v>
      </c>
      <c r="V3150" s="475">
        <f>1408-576</f>
        <v>832</v>
      </c>
      <c r="W3150" s="475">
        <v>832</v>
      </c>
      <c r="X3150" s="476">
        <f>(120)/8</f>
        <v>15</v>
      </c>
      <c r="Y3150" s="477">
        <f>(W3150+X3150)-V3150</f>
        <v>15</v>
      </c>
      <c r="Z3150" s="478">
        <f t="shared" si="1449"/>
        <v>0</v>
      </c>
      <c r="AA3150" s="478">
        <f t="shared" si="1460"/>
        <v>0</v>
      </c>
      <c r="AB3150" s="828">
        <v>10</v>
      </c>
      <c r="AC3150" s="475">
        <f>Z3150*AB3150</f>
        <v>0</v>
      </c>
      <c r="AD3150" s="209"/>
      <c r="AE3150" s="210">
        <f t="shared" si="1452"/>
        <v>0</v>
      </c>
      <c r="AF3150" s="210">
        <f t="shared" si="1465"/>
        <v>0</v>
      </c>
      <c r="AG3150" s="211">
        <f t="shared" si="1456"/>
        <v>0.77</v>
      </c>
      <c r="AH3150" s="157">
        <f>(Z3150*AG3150)/1000</f>
        <v>0</v>
      </c>
      <c r="AI3150" s="152">
        <f t="shared" si="1457"/>
        <v>6656</v>
      </c>
      <c r="AK3150" s="156" t="s">
        <v>691</v>
      </c>
      <c r="AL3150" s="156" t="s">
        <v>689</v>
      </c>
      <c r="AM3150" s="198">
        <f t="shared" si="1461"/>
        <v>0</v>
      </c>
      <c r="AN3150" s="199">
        <f t="shared" si="1462"/>
        <v>46081</v>
      </c>
      <c r="AO3150" s="159" t="s">
        <v>692</v>
      </c>
      <c r="AP3150" s="783" t="s">
        <v>622</v>
      </c>
      <c r="AQ3150" s="782">
        <v>12088677</v>
      </c>
      <c r="AR3150" s="782" t="s">
        <v>2142</v>
      </c>
      <c r="AS3150" s="782"/>
      <c r="AT3150" s="782">
        <v>12098116</v>
      </c>
      <c r="AU3150" s="781"/>
      <c r="AV3150" s="782">
        <v>12098164</v>
      </c>
      <c r="AW3150" s="782"/>
      <c r="AX3150" s="796" t="s">
        <v>621</v>
      </c>
      <c r="AY3150" s="782"/>
      <c r="AZ3150" s="782"/>
      <c r="BA3150" s="781"/>
      <c r="BB3150" s="209">
        <v>23053184</v>
      </c>
    </row>
    <row r="3151" spans="1:54" ht="25" customHeight="1">
      <c r="B3151" s="213">
        <v>46081</v>
      </c>
      <c r="C3151" s="902" t="s">
        <v>2708</v>
      </c>
      <c r="D3151" s="215">
        <f t="shared" si="1458"/>
        <v>2026</v>
      </c>
      <c r="E3151" s="214" t="e">
        <f>VLOOKUP($B3151,Week!$A$1:$C$1462,2,0)</f>
        <v>#N/A</v>
      </c>
      <c r="F3151" s="216" t="str">
        <f t="shared" si="1459"/>
        <v>Feb</v>
      </c>
      <c r="G3151" s="215" t="s">
        <v>47</v>
      </c>
      <c r="H3151" s="215" t="s">
        <v>260</v>
      </c>
      <c r="I3151" s="215" t="s">
        <v>2702</v>
      </c>
      <c r="J3151" s="209" t="s">
        <v>2702</v>
      </c>
      <c r="K3151" s="217" t="s">
        <v>2706</v>
      </c>
      <c r="L3151" s="217" t="s">
        <v>2167</v>
      </c>
      <c r="M3151" s="209" t="s">
        <v>2733</v>
      </c>
      <c r="N3151" s="480" t="s">
        <v>2734</v>
      </c>
      <c r="O3151" s="215" t="s">
        <v>2735</v>
      </c>
      <c r="P3151" s="218">
        <v>12</v>
      </c>
      <c r="Q3151" s="218">
        <v>2</v>
      </c>
      <c r="R3151" s="219">
        <v>6.0000000000000001E-3</v>
      </c>
      <c r="S3151" s="215" t="s">
        <v>55</v>
      </c>
      <c r="T3151" s="215" t="s">
        <v>56</v>
      </c>
      <c r="U3151" s="852" t="s">
        <v>2707</v>
      </c>
      <c r="V3151" s="220">
        <f>1340+11</f>
        <v>1351</v>
      </c>
      <c r="W3151" s="220">
        <f>1340+11</f>
        <v>1351</v>
      </c>
      <c r="X3151" s="221"/>
      <c r="Y3151" s="222">
        <f>(W3151+X3151)-V3151</f>
        <v>0</v>
      </c>
      <c r="Z3151" s="223">
        <f t="shared" si="1449"/>
        <v>0</v>
      </c>
      <c r="AA3151" s="223">
        <f t="shared" si="1460"/>
        <v>0</v>
      </c>
      <c r="AB3151" s="807">
        <v>1.7000000000000001E-2</v>
      </c>
      <c r="AC3151" s="220">
        <f>Z3151*AB3151</f>
        <v>0</v>
      </c>
      <c r="AD3151" s="443"/>
      <c r="AE3151" s="210">
        <f t="shared" si="1452"/>
        <v>0</v>
      </c>
      <c r="AF3151" s="210">
        <f t="shared" si="1465"/>
        <v>0</v>
      </c>
      <c r="AG3151" s="211">
        <f t="shared" si="1456"/>
        <v>0.22500000000000001</v>
      </c>
      <c r="AH3151" s="157">
        <v>0.26621999999999996</v>
      </c>
      <c r="AI3151" s="152">
        <f t="shared" si="1457"/>
        <v>16212</v>
      </c>
      <c r="AK3151" s="156" t="s">
        <v>691</v>
      </c>
      <c r="AL3151" s="574" t="s">
        <v>690</v>
      </c>
      <c r="AM3151" s="198">
        <f t="shared" si="1461"/>
        <v>0</v>
      </c>
      <c r="AN3151" s="199">
        <f t="shared" si="1462"/>
        <v>46081</v>
      </c>
      <c r="AO3151" s="159" t="s">
        <v>692</v>
      </c>
      <c r="AP3151" s="781" t="s">
        <v>642</v>
      </c>
      <c r="AQ3151" s="782">
        <v>12071839</v>
      </c>
      <c r="AR3151" s="782"/>
      <c r="AS3151" s="782"/>
      <c r="AT3151" s="782">
        <v>12098021</v>
      </c>
      <c r="AU3151" s="783" t="s">
        <v>2979</v>
      </c>
      <c r="AV3151" s="782">
        <v>12098022</v>
      </c>
      <c r="AW3151" s="783"/>
      <c r="AX3151" s="781"/>
      <c r="AY3151" s="796"/>
      <c r="AZ3151" s="796"/>
      <c r="BA3151" s="796"/>
      <c r="BB3151" s="209">
        <v>23099860</v>
      </c>
    </row>
    <row r="3152" spans="1:54" ht="25.15" customHeight="1">
      <c r="B3152" s="345">
        <v>46081</v>
      </c>
      <c r="C3152" s="346">
        <v>46091</v>
      </c>
      <c r="D3152" s="185">
        <f t="shared" si="1458"/>
        <v>2026</v>
      </c>
      <c r="E3152" s="347" t="e">
        <f>VLOOKUP($B3152,Week!$A$1:$C$1462,2,0)</f>
        <v>#N/A</v>
      </c>
      <c r="F3152" s="348" t="str">
        <f t="shared" si="1459"/>
        <v>Feb</v>
      </c>
      <c r="G3152" s="347" t="s">
        <v>2807</v>
      </c>
      <c r="H3152" s="347" t="s">
        <v>424</v>
      </c>
      <c r="I3152" s="347" t="s">
        <v>2772</v>
      </c>
      <c r="J3152" s="438" t="s">
        <v>425</v>
      </c>
      <c r="K3152" s="350" t="s">
        <v>176</v>
      </c>
      <c r="L3152" s="350" t="s">
        <v>2167</v>
      </c>
      <c r="M3152" s="349" t="s">
        <v>426</v>
      </c>
      <c r="N3152" s="347" t="s">
        <v>427</v>
      </c>
      <c r="O3152" s="347" t="s">
        <v>599</v>
      </c>
      <c r="P3152" s="351">
        <v>36</v>
      </c>
      <c r="Q3152" s="351">
        <v>5</v>
      </c>
      <c r="R3152" s="352">
        <v>7.4999999999999997E-3</v>
      </c>
      <c r="S3152" s="347" t="s">
        <v>111</v>
      </c>
      <c r="T3152" s="347" t="s">
        <v>112</v>
      </c>
      <c r="U3152" s="347" t="s">
        <v>57</v>
      </c>
      <c r="V3152" s="353">
        <v>1288</v>
      </c>
      <c r="W3152" s="353">
        <f>12+1276</f>
        <v>1288</v>
      </c>
      <c r="X3152" s="354"/>
      <c r="Y3152" s="355">
        <f>(W3152+X3152)-V3152</f>
        <v>0</v>
      </c>
      <c r="Z3152" s="356">
        <f t="shared" si="1449"/>
        <v>0</v>
      </c>
      <c r="AA3152" s="353">
        <f t="shared" si="1460"/>
        <v>0</v>
      </c>
      <c r="AB3152" s="818">
        <v>7.4999999999999997E-3</v>
      </c>
      <c r="AC3152" s="353">
        <f>Z3152*AB3152</f>
        <v>0</v>
      </c>
      <c r="AD3152" s="307" t="s">
        <v>2448</v>
      </c>
      <c r="AE3152" s="210">
        <f t="shared" si="1452"/>
        <v>0</v>
      </c>
      <c r="AF3152" s="210">
        <f t="shared" si="1465"/>
        <v>0</v>
      </c>
      <c r="AG3152" s="211">
        <f t="shared" si="1456"/>
        <v>0.14799999999999999</v>
      </c>
      <c r="AH3152" s="157">
        <f>(Z3152*AG3152)/1000</f>
        <v>0</v>
      </c>
      <c r="AI3152" s="152">
        <f t="shared" si="1457"/>
        <v>46368</v>
      </c>
      <c r="AK3152" s="156" t="s">
        <v>691</v>
      </c>
      <c r="AL3152" s="574" t="s">
        <v>690</v>
      </c>
      <c r="AM3152" s="198">
        <f t="shared" si="1461"/>
        <v>0</v>
      </c>
      <c r="AN3152" s="199">
        <f t="shared" si="1462"/>
        <v>46081</v>
      </c>
      <c r="AO3152" s="159" t="s">
        <v>692</v>
      </c>
      <c r="AP3152" s="783" t="s">
        <v>609</v>
      </c>
      <c r="AQ3152" s="782">
        <v>12071839</v>
      </c>
      <c r="AR3152" s="782">
        <v>12080260</v>
      </c>
      <c r="AS3152" s="782">
        <v>12080259</v>
      </c>
      <c r="AT3152" s="782">
        <v>12096006</v>
      </c>
      <c r="AU3152" s="782"/>
      <c r="AV3152" s="782">
        <v>12096007</v>
      </c>
      <c r="AW3152" s="782">
        <v>12024404</v>
      </c>
      <c r="AX3152" s="781"/>
      <c r="AY3152" s="782">
        <v>12096022</v>
      </c>
      <c r="AZ3152" s="782"/>
      <c r="BA3152" s="781"/>
      <c r="BB3152" s="209">
        <v>23053185</v>
      </c>
    </row>
    <row r="3153" spans="1:54" ht="25" customHeight="1">
      <c r="B3153" s="183">
        <v>46082</v>
      </c>
      <c r="C3153" s="184"/>
      <c r="D3153" s="185">
        <f t="shared" si="1458"/>
        <v>2026</v>
      </c>
      <c r="E3153" s="185" t="e">
        <f>VLOOKUP($B3153,Week!$A$1:$C$1462,2,0)</f>
        <v>#N/A</v>
      </c>
      <c r="F3153" s="186" t="str">
        <f t="shared" si="1459"/>
        <v>Mar</v>
      </c>
      <c r="G3153" s="481"/>
      <c r="H3153" s="185"/>
      <c r="I3153" s="185"/>
      <c r="J3153" s="187"/>
      <c r="K3153" s="188"/>
      <c r="L3153" s="188"/>
      <c r="M3153" s="187"/>
      <c r="N3153" s="185"/>
      <c r="O3153" s="185"/>
      <c r="P3153" s="189"/>
      <c r="Q3153" s="189"/>
      <c r="R3153" s="190"/>
      <c r="S3153" s="185"/>
      <c r="T3153" s="185"/>
      <c r="U3153" s="185"/>
      <c r="V3153" s="191"/>
      <c r="W3153" s="191"/>
      <c r="X3153" s="192"/>
      <c r="Y3153" s="193"/>
      <c r="Z3153" s="194"/>
      <c r="AA3153" s="194">
        <f t="shared" si="1460"/>
        <v>0</v>
      </c>
      <c r="AB3153" s="805"/>
      <c r="AC3153" s="191"/>
      <c r="AD3153" s="187"/>
      <c r="AE3153" s="195"/>
      <c r="AF3153" s="195"/>
      <c r="AG3153" s="196"/>
      <c r="AH3153" s="197"/>
      <c r="AK3153" s="156" t="s">
        <v>691</v>
      </c>
      <c r="AM3153" s="198">
        <f t="shared" si="1461"/>
        <v>0</v>
      </c>
      <c r="AN3153" s="199">
        <f t="shared" si="1462"/>
        <v>46082</v>
      </c>
      <c r="AO3153" s="159" t="s">
        <v>692</v>
      </c>
      <c r="AP3153" s="781"/>
      <c r="AQ3153" s="782"/>
      <c r="AR3153" s="782"/>
      <c r="AS3153" s="782"/>
      <c r="AT3153" s="782"/>
      <c r="AU3153" s="781"/>
      <c r="AV3153" s="782"/>
      <c r="AW3153" s="782"/>
      <c r="AX3153" s="782"/>
      <c r="AY3153" s="782"/>
      <c r="AZ3153" s="782"/>
      <c r="BA3153" s="781"/>
      <c r="BB3153" s="209"/>
    </row>
    <row r="3154" spans="1:54" ht="24.75" customHeight="1">
      <c r="A3154" s="142" t="s">
        <v>120</v>
      </c>
      <c r="B3154" s="308">
        <v>46083</v>
      </c>
      <c r="C3154" s="644" t="s">
        <v>2708</v>
      </c>
      <c r="D3154" s="185">
        <f t="shared" si="1458"/>
        <v>2026</v>
      </c>
      <c r="E3154" s="519" t="e">
        <f>VLOOKUP($B3154,Week!$A$1:$C$1462,2,0)</f>
        <v>#N/A</v>
      </c>
      <c r="F3154" s="520" t="str">
        <f t="shared" si="1459"/>
        <v>Mar</v>
      </c>
      <c r="G3154" s="644" t="s">
        <v>47</v>
      </c>
      <c r="H3154" s="311" t="s">
        <v>518</v>
      </c>
      <c r="I3154" s="311" t="s">
        <v>2702</v>
      </c>
      <c r="J3154" s="312" t="s">
        <v>70</v>
      </c>
      <c r="K3154" s="313" t="s">
        <v>85</v>
      </c>
      <c r="L3154" s="390" t="s">
        <v>2166</v>
      </c>
      <c r="M3154" s="312" t="s">
        <v>515</v>
      </c>
      <c r="N3154" s="311" t="s">
        <v>588</v>
      </c>
      <c r="O3154" s="311" t="s">
        <v>546</v>
      </c>
      <c r="P3154" s="314">
        <v>12</v>
      </c>
      <c r="Q3154" s="314">
        <v>20</v>
      </c>
      <c r="R3154" s="315">
        <v>6.1999999999999998E-3</v>
      </c>
      <c r="S3154" s="311" t="s">
        <v>352</v>
      </c>
      <c r="T3154" s="311" t="s">
        <v>56</v>
      </c>
      <c r="U3154" s="311" t="s">
        <v>77</v>
      </c>
      <c r="V3154" s="316">
        <f>500</f>
        <v>500</v>
      </c>
      <c r="W3154" s="316">
        <f>65+435</f>
        <v>500</v>
      </c>
      <c r="X3154" s="317"/>
      <c r="Y3154" s="318">
        <f t="shared" ref="Y3154:Y3184" si="1466">(W3154+X3154)-V3154</f>
        <v>0</v>
      </c>
      <c r="Z3154" s="319">
        <f t="shared" ref="Z3154:Z3184" si="1467">IF(Y3154&lt;0,((V3154*P3154)-((W3154+X3154)*P3154)),0)</f>
        <v>0</v>
      </c>
      <c r="AA3154" s="319">
        <f t="shared" si="1460"/>
        <v>0</v>
      </c>
      <c r="AB3154" s="815"/>
      <c r="AC3154" s="316">
        <f t="shared" ref="AC3154:AC3184" si="1468">Z3154*AB3154</f>
        <v>0</v>
      </c>
      <c r="AD3154" s="209"/>
      <c r="AE3154" s="210">
        <f t="shared" ref="AE3154:AE3184" si="1469">SUM(Q3154*R3154*Z3154)/1000</f>
        <v>0</v>
      </c>
      <c r="AF3154" s="210">
        <f t="shared" ref="AF3154:AF3184" si="1470">AE3154/0.54</f>
        <v>0</v>
      </c>
      <c r="AG3154" s="211">
        <f t="shared" ref="AG3154:AG3173" si="1471">MID(O3154,1,3)/1000</f>
        <v>0.22</v>
      </c>
      <c r="AH3154" s="157">
        <f>(Z3154*AG3154)/1000</f>
        <v>0</v>
      </c>
      <c r="AI3154" s="152">
        <f t="shared" ref="AI3154:AI3184" si="1472">V3154*P3154</f>
        <v>6000</v>
      </c>
      <c r="AK3154" s="156" t="s">
        <v>691</v>
      </c>
      <c r="AL3154" s="156" t="s">
        <v>689</v>
      </c>
      <c r="AM3154" s="198">
        <f t="shared" si="1461"/>
        <v>0</v>
      </c>
      <c r="AN3154" s="199">
        <f t="shared" si="1462"/>
        <v>46083</v>
      </c>
      <c r="AO3154" s="159" t="s">
        <v>692</v>
      </c>
      <c r="AP3154" s="783" t="s">
        <v>613</v>
      </c>
      <c r="AQ3154" s="782"/>
      <c r="AR3154" s="782" t="s">
        <v>614</v>
      </c>
      <c r="AS3154" s="782"/>
      <c r="AT3154" s="782"/>
      <c r="AU3154" s="781"/>
      <c r="AV3154" s="782">
        <v>12083143</v>
      </c>
      <c r="AW3154" s="782"/>
      <c r="AX3154" s="782" t="s">
        <v>2187</v>
      </c>
      <c r="AY3154" s="782"/>
      <c r="AZ3154" s="782"/>
      <c r="BA3154" s="781"/>
      <c r="BB3154" s="209"/>
    </row>
    <row r="3155" spans="1:54" ht="24.75" customHeight="1">
      <c r="A3155" s="142" t="s">
        <v>120</v>
      </c>
      <c r="B3155" s="308">
        <v>46083</v>
      </c>
      <c r="C3155" s="644" t="s">
        <v>2708</v>
      </c>
      <c r="D3155" s="185">
        <f t="shared" si="1458"/>
        <v>2026</v>
      </c>
      <c r="E3155" s="519" t="e">
        <f>VLOOKUP($B3155,Week!$A$1:$C$1462,2,0)</f>
        <v>#N/A</v>
      </c>
      <c r="F3155" s="520" t="str">
        <f t="shared" si="1459"/>
        <v>Mar</v>
      </c>
      <c r="G3155" s="644" t="s">
        <v>47</v>
      </c>
      <c r="H3155" s="311" t="s">
        <v>518</v>
      </c>
      <c r="I3155" s="311" t="s">
        <v>2702</v>
      </c>
      <c r="J3155" s="312" t="s">
        <v>70</v>
      </c>
      <c r="K3155" s="313" t="s">
        <v>85</v>
      </c>
      <c r="L3155" s="390" t="s">
        <v>2166</v>
      </c>
      <c r="M3155" s="312" t="s">
        <v>515</v>
      </c>
      <c r="N3155" s="311" t="s">
        <v>588</v>
      </c>
      <c r="O3155" s="311" t="s">
        <v>546</v>
      </c>
      <c r="P3155" s="314">
        <v>12</v>
      </c>
      <c r="Q3155" s="314">
        <v>20</v>
      </c>
      <c r="R3155" s="315">
        <v>6.1999999999999998E-3</v>
      </c>
      <c r="S3155" s="311" t="s">
        <v>352</v>
      </c>
      <c r="T3155" s="311" t="s">
        <v>56</v>
      </c>
      <c r="U3155" s="311" t="s">
        <v>77</v>
      </c>
      <c r="V3155" s="316">
        <f>200+56</f>
        <v>256</v>
      </c>
      <c r="W3155" s="316">
        <f>691-435</f>
        <v>256</v>
      </c>
      <c r="X3155" s="317"/>
      <c r="Y3155" s="318">
        <f t="shared" si="1466"/>
        <v>0</v>
      </c>
      <c r="Z3155" s="319">
        <f t="shared" si="1467"/>
        <v>0</v>
      </c>
      <c r="AA3155" s="319">
        <f t="shared" si="1460"/>
        <v>0</v>
      </c>
      <c r="AB3155" s="815"/>
      <c r="AC3155" s="316">
        <f t="shared" si="1468"/>
        <v>0</v>
      </c>
      <c r="AD3155" s="209"/>
      <c r="AE3155" s="210">
        <f t="shared" si="1469"/>
        <v>0</v>
      </c>
      <c r="AF3155" s="210">
        <f t="shared" si="1470"/>
        <v>0</v>
      </c>
      <c r="AG3155" s="211">
        <f t="shared" si="1471"/>
        <v>0.22</v>
      </c>
      <c r="AH3155" s="157">
        <f>(Z3155*AG3155)/1000</f>
        <v>0</v>
      </c>
      <c r="AI3155" s="152">
        <f t="shared" si="1472"/>
        <v>3072</v>
      </c>
      <c r="AK3155" s="156" t="s">
        <v>691</v>
      </c>
      <c r="AL3155" s="156" t="s">
        <v>689</v>
      </c>
      <c r="AM3155" s="198">
        <f t="shared" si="1461"/>
        <v>0</v>
      </c>
      <c r="AN3155" s="199">
        <f t="shared" si="1462"/>
        <v>46083</v>
      </c>
      <c r="AO3155" s="159" t="s">
        <v>692</v>
      </c>
      <c r="AP3155" s="783" t="s">
        <v>613</v>
      </c>
      <c r="AQ3155" s="782"/>
      <c r="AR3155" s="782" t="s">
        <v>614</v>
      </c>
      <c r="AS3155" s="782"/>
      <c r="AT3155" s="782"/>
      <c r="AU3155" s="781"/>
      <c r="AV3155" s="782">
        <v>12083143</v>
      </c>
      <c r="AW3155" s="782"/>
      <c r="AX3155" s="782" t="s">
        <v>2187</v>
      </c>
      <c r="AY3155" s="782"/>
      <c r="AZ3155" s="782"/>
      <c r="BA3155" s="781"/>
      <c r="BB3155" s="209"/>
    </row>
    <row r="3156" spans="1:54" ht="24.65" customHeight="1">
      <c r="A3156" s="142" t="s">
        <v>120</v>
      </c>
      <c r="B3156" s="258">
        <v>46083</v>
      </c>
      <c r="C3156" s="259">
        <v>46091</v>
      </c>
      <c r="D3156" s="185">
        <f t="shared" si="1458"/>
        <v>2026</v>
      </c>
      <c r="E3156" s="260" t="e">
        <f>VLOOKUP($B3156,Week!$A$1:$C$1462,2,0)</f>
        <v>#N/A</v>
      </c>
      <c r="F3156" s="261" t="str">
        <f t="shared" si="1459"/>
        <v>Mar</v>
      </c>
      <c r="G3156" s="262" t="s">
        <v>2808</v>
      </c>
      <c r="H3156" s="260" t="s">
        <v>134</v>
      </c>
      <c r="I3156" s="260" t="s">
        <v>2772</v>
      </c>
      <c r="J3156" s="263" t="s">
        <v>2932</v>
      </c>
      <c r="K3156" s="264" t="s">
        <v>153</v>
      </c>
      <c r="L3156" s="390" t="s">
        <v>2166</v>
      </c>
      <c r="M3156" s="263" t="s">
        <v>165</v>
      </c>
      <c r="N3156" s="260" t="s">
        <v>166</v>
      </c>
      <c r="O3156" s="260" t="s">
        <v>502</v>
      </c>
      <c r="P3156" s="265">
        <v>20</v>
      </c>
      <c r="Q3156" s="265">
        <v>12</v>
      </c>
      <c r="R3156" s="266">
        <v>6.8100000000000001E-3</v>
      </c>
      <c r="S3156" s="260" t="s">
        <v>76</v>
      </c>
      <c r="T3156" s="260" t="s">
        <v>56</v>
      </c>
      <c r="U3156" s="260" t="s">
        <v>89</v>
      </c>
      <c r="V3156" s="267">
        <f>1500-899</f>
        <v>601</v>
      </c>
      <c r="W3156" s="267">
        <f>513</f>
        <v>513</v>
      </c>
      <c r="X3156" s="268">
        <f>2080/20</f>
        <v>104</v>
      </c>
      <c r="Y3156" s="269">
        <f t="shared" si="1466"/>
        <v>16</v>
      </c>
      <c r="Z3156" s="270">
        <f t="shared" si="1467"/>
        <v>0</v>
      </c>
      <c r="AA3156" s="270">
        <f t="shared" si="1460"/>
        <v>0</v>
      </c>
      <c r="AB3156" s="811">
        <v>2</v>
      </c>
      <c r="AC3156" s="267">
        <f t="shared" si="1468"/>
        <v>0</v>
      </c>
      <c r="AD3156" s="209" t="s">
        <v>168</v>
      </c>
      <c r="AE3156" s="210">
        <f t="shared" si="1469"/>
        <v>0</v>
      </c>
      <c r="AF3156" s="210">
        <f t="shared" si="1470"/>
        <v>0</v>
      </c>
      <c r="AG3156" s="211">
        <f t="shared" si="1471"/>
        <v>0.154</v>
      </c>
      <c r="AH3156" s="157">
        <f>(Z3156*AG3156)/1000</f>
        <v>0</v>
      </c>
      <c r="AI3156" s="152">
        <f t="shared" si="1472"/>
        <v>12020</v>
      </c>
      <c r="AK3156" s="156" t="s">
        <v>691</v>
      </c>
      <c r="AL3156" s="156" t="s">
        <v>689</v>
      </c>
      <c r="AM3156" s="198">
        <f t="shared" si="1461"/>
        <v>0</v>
      </c>
      <c r="AN3156" s="199">
        <f t="shared" si="1462"/>
        <v>46083</v>
      </c>
      <c r="AO3156" s="159" t="s">
        <v>692</v>
      </c>
      <c r="AP3156" s="783" t="s">
        <v>610</v>
      </c>
      <c r="AQ3156" s="783" t="s">
        <v>631</v>
      </c>
      <c r="AR3156" s="783" t="s">
        <v>523</v>
      </c>
      <c r="AS3156" s="781"/>
      <c r="AT3156" s="782">
        <v>12096524</v>
      </c>
      <c r="AU3156" s="781"/>
      <c r="AV3156" s="783" t="s">
        <v>2507</v>
      </c>
      <c r="AW3156" s="781"/>
      <c r="AX3156" s="782" t="s">
        <v>398</v>
      </c>
      <c r="AY3156" s="781"/>
      <c r="AZ3156" s="781"/>
      <c r="BA3156" s="781"/>
      <c r="BB3156" s="209">
        <v>23053184</v>
      </c>
    </row>
    <row r="3157" spans="1:54" ht="25" customHeight="1">
      <c r="B3157" s="213">
        <v>46083</v>
      </c>
      <c r="C3157" s="902" t="s">
        <v>2708</v>
      </c>
      <c r="D3157" s="215">
        <f t="shared" si="1458"/>
        <v>2026</v>
      </c>
      <c r="E3157" s="214" t="e">
        <f>VLOOKUP($B3157,Week!$A$1:$C$1462,2,0)</f>
        <v>#N/A</v>
      </c>
      <c r="F3157" s="216" t="str">
        <f t="shared" si="1459"/>
        <v>Mar</v>
      </c>
      <c r="G3157" s="215" t="s">
        <v>47</v>
      </c>
      <c r="H3157" s="215" t="s">
        <v>260</v>
      </c>
      <c r="I3157" s="215" t="s">
        <v>2702</v>
      </c>
      <c r="J3157" s="209" t="s">
        <v>2702</v>
      </c>
      <c r="K3157" s="217" t="s">
        <v>2706</v>
      </c>
      <c r="L3157" s="217" t="s">
        <v>2167</v>
      </c>
      <c r="M3157" s="209" t="s">
        <v>2733</v>
      </c>
      <c r="N3157" s="480" t="s">
        <v>2734</v>
      </c>
      <c r="O3157" s="215" t="s">
        <v>2735</v>
      </c>
      <c r="P3157" s="218">
        <v>12</v>
      </c>
      <c r="Q3157" s="218">
        <v>2</v>
      </c>
      <c r="R3157" s="219">
        <v>6.0000000000000001E-3</v>
      </c>
      <c r="S3157" s="215" t="s">
        <v>55</v>
      </c>
      <c r="T3157" s="215" t="s">
        <v>56</v>
      </c>
      <c r="U3157" s="852" t="s">
        <v>2707</v>
      </c>
      <c r="V3157" s="220">
        <v>1347</v>
      </c>
      <c r="W3157" s="220">
        <f>852+37+157+301</f>
        <v>1347</v>
      </c>
      <c r="X3157" s="221"/>
      <c r="Y3157" s="222">
        <f t="shared" si="1466"/>
        <v>0</v>
      </c>
      <c r="Z3157" s="223">
        <f t="shared" si="1467"/>
        <v>0</v>
      </c>
      <c r="AA3157" s="223">
        <f t="shared" si="1460"/>
        <v>0</v>
      </c>
      <c r="AB3157" s="807">
        <v>1.7000000000000001E-2</v>
      </c>
      <c r="AC3157" s="220">
        <f t="shared" si="1468"/>
        <v>0</v>
      </c>
      <c r="AD3157" s="443"/>
      <c r="AE3157" s="210">
        <f t="shared" si="1469"/>
        <v>0</v>
      </c>
      <c r="AF3157" s="210">
        <f t="shared" si="1470"/>
        <v>0</v>
      </c>
      <c r="AG3157" s="211">
        <f t="shared" si="1471"/>
        <v>0.22500000000000001</v>
      </c>
      <c r="AH3157" s="157">
        <v>0.26621999999999996</v>
      </c>
      <c r="AI3157" s="152">
        <f t="shared" si="1472"/>
        <v>16164</v>
      </c>
      <c r="AK3157" s="156" t="s">
        <v>691</v>
      </c>
      <c r="AL3157" s="574" t="s">
        <v>690</v>
      </c>
      <c r="AM3157" s="198">
        <f t="shared" si="1461"/>
        <v>0</v>
      </c>
      <c r="AN3157" s="199">
        <f t="shared" si="1462"/>
        <v>46083</v>
      </c>
      <c r="AO3157" s="159" t="s">
        <v>692</v>
      </c>
      <c r="AP3157" s="781" t="s">
        <v>642</v>
      </c>
      <c r="AQ3157" s="782">
        <v>12071839</v>
      </c>
      <c r="AR3157" s="782"/>
      <c r="AS3157" s="782"/>
      <c r="AT3157" s="782">
        <v>12098021</v>
      </c>
      <c r="AU3157" s="783" t="s">
        <v>2979</v>
      </c>
      <c r="AV3157" s="782">
        <v>12098022</v>
      </c>
      <c r="AW3157" s="783"/>
      <c r="AX3157" s="781"/>
      <c r="AY3157" s="796"/>
      <c r="AZ3157" s="796"/>
      <c r="BA3157" s="796"/>
      <c r="BB3157" s="209">
        <v>23099860</v>
      </c>
    </row>
    <row r="3158" spans="1:54" ht="25" customHeight="1">
      <c r="B3158" s="345">
        <v>46083</v>
      </c>
      <c r="C3158" s="464">
        <v>46091</v>
      </c>
      <c r="D3158" s="185">
        <f t="shared" si="1458"/>
        <v>2026</v>
      </c>
      <c r="E3158" s="464" t="e">
        <f>VLOOKUP($B3158,[1]Week!$A$1:$C$1462,2,0)</f>
        <v>#N/A</v>
      </c>
      <c r="F3158" s="465" t="str">
        <f t="shared" si="1459"/>
        <v>Mar</v>
      </c>
      <c r="G3158" s="347" t="s">
        <v>2743</v>
      </c>
      <c r="H3158" s="347" t="s">
        <v>134</v>
      </c>
      <c r="I3158" s="347" t="s">
        <v>2772</v>
      </c>
      <c r="J3158" s="349" t="s">
        <v>2932</v>
      </c>
      <c r="K3158" s="350" t="s">
        <v>107</v>
      </c>
      <c r="L3158" s="300" t="s">
        <v>2167</v>
      </c>
      <c r="M3158" s="349" t="s">
        <v>136</v>
      </c>
      <c r="N3158" s="347" t="s">
        <v>137</v>
      </c>
      <c r="O3158" s="347" t="s">
        <v>138</v>
      </c>
      <c r="P3158" s="351">
        <v>24</v>
      </c>
      <c r="Q3158" s="351">
        <v>3</v>
      </c>
      <c r="R3158" s="352">
        <v>7.4999999999999997E-3</v>
      </c>
      <c r="S3158" s="347" t="s">
        <v>111</v>
      </c>
      <c r="T3158" s="347" t="s">
        <v>56</v>
      </c>
      <c r="U3158" s="347" t="s">
        <v>572</v>
      </c>
      <c r="V3158" s="353">
        <f>250</f>
        <v>250</v>
      </c>
      <c r="W3158" s="353">
        <f>8+242</f>
        <v>250</v>
      </c>
      <c r="X3158" s="354"/>
      <c r="Y3158" s="355">
        <f t="shared" si="1466"/>
        <v>0</v>
      </c>
      <c r="Z3158" s="356">
        <f t="shared" si="1467"/>
        <v>0</v>
      </c>
      <c r="AA3158" s="356">
        <f t="shared" si="1460"/>
        <v>0</v>
      </c>
      <c r="AB3158" s="818">
        <v>1</v>
      </c>
      <c r="AC3158" s="353">
        <f t="shared" si="1468"/>
        <v>0</v>
      </c>
      <c r="AD3158" s="443"/>
      <c r="AE3158" s="210">
        <f t="shared" si="1469"/>
        <v>0</v>
      </c>
      <c r="AF3158" s="210">
        <f t="shared" si="1470"/>
        <v>0</v>
      </c>
      <c r="AG3158" s="211">
        <f t="shared" si="1471"/>
        <v>0.219</v>
      </c>
      <c r="AH3158" s="157">
        <f>(Z3158*AG3158)/1000</f>
        <v>0</v>
      </c>
      <c r="AI3158" s="152">
        <f t="shared" si="1472"/>
        <v>6000</v>
      </c>
      <c r="AK3158" s="156" t="s">
        <v>691</v>
      </c>
      <c r="AL3158" s="212" t="s">
        <v>690</v>
      </c>
      <c r="AM3158" s="198">
        <f t="shared" si="1461"/>
        <v>0</v>
      </c>
      <c r="AN3158" s="199">
        <f t="shared" si="1462"/>
        <v>46083</v>
      </c>
      <c r="AO3158" s="159" t="s">
        <v>692</v>
      </c>
      <c r="AP3158" s="783" t="s">
        <v>610</v>
      </c>
      <c r="AQ3158" s="796" t="s">
        <v>1500</v>
      </c>
      <c r="AR3158" s="782" t="s">
        <v>140</v>
      </c>
      <c r="AS3158" s="782" t="s">
        <v>141</v>
      </c>
      <c r="AT3158" s="782"/>
      <c r="AU3158" s="783" t="s">
        <v>568</v>
      </c>
      <c r="AV3158" s="796" t="s">
        <v>569</v>
      </c>
      <c r="AW3158" s="796" t="s">
        <v>570</v>
      </c>
      <c r="AX3158" s="782"/>
      <c r="AY3158" s="782">
        <v>12095878</v>
      </c>
      <c r="AZ3158" s="782">
        <v>12095879</v>
      </c>
      <c r="BA3158" s="782">
        <v>12095880</v>
      </c>
    </row>
    <row r="3159" spans="1:54" ht="24.75" customHeight="1">
      <c r="B3159" s="320">
        <v>46083</v>
      </c>
      <c r="C3159" s="321">
        <v>46093</v>
      </c>
      <c r="D3159" s="185">
        <f t="shared" si="1458"/>
        <v>2026</v>
      </c>
      <c r="E3159" s="321" t="e">
        <f>VLOOKUP($B3159,Week!$A$1:$C$1462,2,0)</f>
        <v>#N/A</v>
      </c>
      <c r="F3159" s="322" t="str">
        <f t="shared" si="1459"/>
        <v>Mar</v>
      </c>
      <c r="G3159" s="323" t="s">
        <v>2878</v>
      </c>
      <c r="H3159" s="323" t="s">
        <v>675</v>
      </c>
      <c r="I3159" s="323" t="s">
        <v>2772</v>
      </c>
      <c r="J3159" s="324" t="s">
        <v>2906</v>
      </c>
      <c r="K3159" s="325" t="s">
        <v>107</v>
      </c>
      <c r="L3159" s="300" t="s">
        <v>2167</v>
      </c>
      <c r="M3159" s="324" t="s">
        <v>313</v>
      </c>
      <c r="N3159" s="596" t="s">
        <v>710</v>
      </c>
      <c r="O3159" s="323" t="s">
        <v>592</v>
      </c>
      <c r="P3159" s="326">
        <v>8</v>
      </c>
      <c r="Q3159" s="326">
        <v>4</v>
      </c>
      <c r="R3159" s="327">
        <v>7.4999999999999997E-3</v>
      </c>
      <c r="S3159" s="323" t="s">
        <v>111</v>
      </c>
      <c r="T3159" s="323" t="s">
        <v>112</v>
      </c>
      <c r="U3159" s="323" t="s">
        <v>57</v>
      </c>
      <c r="V3159" s="328">
        <v>1456</v>
      </c>
      <c r="W3159" s="328"/>
      <c r="X3159" s="329">
        <f>(248+11400)/8</f>
        <v>1456</v>
      </c>
      <c r="Y3159" s="330">
        <f t="shared" si="1466"/>
        <v>0</v>
      </c>
      <c r="Z3159" s="331">
        <f t="shared" si="1467"/>
        <v>0</v>
      </c>
      <c r="AA3159" s="331">
        <f t="shared" si="1460"/>
        <v>0</v>
      </c>
      <c r="AB3159" s="816">
        <v>7.4999999999999997E-3</v>
      </c>
      <c r="AC3159" s="328">
        <f t="shared" si="1468"/>
        <v>0</v>
      </c>
      <c r="AD3159" s="443"/>
      <c r="AE3159" s="210">
        <f t="shared" si="1469"/>
        <v>0</v>
      </c>
      <c r="AF3159" s="210">
        <f t="shared" si="1470"/>
        <v>0</v>
      </c>
      <c r="AG3159" s="211">
        <f t="shared" si="1471"/>
        <v>0.30499999999999999</v>
      </c>
      <c r="AH3159" s="157">
        <f>(Z3159*AG3159)/1000</f>
        <v>0</v>
      </c>
      <c r="AI3159" s="152">
        <f t="shared" si="1472"/>
        <v>11648</v>
      </c>
      <c r="AK3159" s="156" t="s">
        <v>691</v>
      </c>
      <c r="AL3159" s="212" t="s">
        <v>690</v>
      </c>
      <c r="AM3159" s="198">
        <f t="shared" si="1461"/>
        <v>0</v>
      </c>
      <c r="AN3159" s="199">
        <f t="shared" si="1462"/>
        <v>46083</v>
      </c>
      <c r="AO3159" s="159" t="s">
        <v>692</v>
      </c>
      <c r="AP3159" s="783" t="s">
        <v>643</v>
      </c>
      <c r="AQ3159" s="782">
        <v>12063755</v>
      </c>
      <c r="AR3159" s="782">
        <v>12061353</v>
      </c>
      <c r="AS3159" s="782">
        <v>12061354</v>
      </c>
      <c r="AT3159" s="782">
        <v>12089987</v>
      </c>
      <c r="AU3159" s="781"/>
      <c r="AV3159" s="782">
        <v>12089986</v>
      </c>
      <c r="AW3159" s="782"/>
      <c r="AX3159" s="782"/>
      <c r="AY3159" s="781" t="s">
        <v>2713</v>
      </c>
      <c r="AZ3159" s="781" t="s">
        <v>2714</v>
      </c>
      <c r="BA3159" s="781"/>
      <c r="BB3159" s="209">
        <v>23053185</v>
      </c>
    </row>
    <row r="3160" spans="1:54" ht="25" customHeight="1">
      <c r="A3160" s="623"/>
      <c r="B3160" s="498">
        <v>46083</v>
      </c>
      <c r="C3160" s="499">
        <v>46093</v>
      </c>
      <c r="D3160" s="185">
        <f t="shared" si="1458"/>
        <v>2026</v>
      </c>
      <c r="E3160" s="499" t="e">
        <f>VLOOKUP($B3160,Week!$A$1:$C$1462,2,0)</f>
        <v>#N/A</v>
      </c>
      <c r="F3160" s="500" t="str">
        <f t="shared" si="1459"/>
        <v>Mar</v>
      </c>
      <c r="G3160" s="501" t="s">
        <v>2740</v>
      </c>
      <c r="H3160" s="501" t="s">
        <v>311</v>
      </c>
      <c r="I3160" s="501" t="s">
        <v>2772</v>
      </c>
      <c r="J3160" s="502" t="s">
        <v>738</v>
      </c>
      <c r="K3160" s="503" t="s">
        <v>1646</v>
      </c>
      <c r="L3160" s="300" t="s">
        <v>2167</v>
      </c>
      <c r="M3160" s="502" t="s">
        <v>654</v>
      </c>
      <c r="N3160" s="501" t="s">
        <v>726</v>
      </c>
      <c r="O3160" s="501" t="s">
        <v>655</v>
      </c>
      <c r="P3160" s="504">
        <v>24</v>
      </c>
      <c r="Q3160" s="504">
        <v>5</v>
      </c>
      <c r="R3160" s="505">
        <v>7.4999999999999997E-3</v>
      </c>
      <c r="S3160" s="501" t="s">
        <v>40</v>
      </c>
      <c r="T3160" s="501" t="s">
        <v>112</v>
      </c>
      <c r="U3160" s="506" t="s">
        <v>1894</v>
      </c>
      <c r="V3160" s="507">
        <v>924</v>
      </c>
      <c r="W3160" s="507">
        <f>2+918+4</f>
        <v>924</v>
      </c>
      <c r="X3160" s="508"/>
      <c r="Y3160" s="509">
        <f t="shared" si="1466"/>
        <v>0</v>
      </c>
      <c r="Z3160" s="510">
        <f t="shared" si="1467"/>
        <v>0</v>
      </c>
      <c r="AA3160" s="510">
        <f t="shared" si="1460"/>
        <v>0</v>
      </c>
      <c r="AB3160" s="830">
        <v>3.8699999999999998E-2</v>
      </c>
      <c r="AC3160" s="507">
        <f t="shared" si="1468"/>
        <v>0</v>
      </c>
      <c r="AD3160" s="209"/>
      <c r="AE3160" s="210">
        <f t="shared" si="1469"/>
        <v>0</v>
      </c>
      <c r="AF3160" s="210">
        <f t="shared" si="1470"/>
        <v>0</v>
      </c>
      <c r="AG3160" s="211">
        <f t="shared" si="1471"/>
        <v>0.307</v>
      </c>
      <c r="AH3160" s="157">
        <f>(Z3160*AG3160)/1000</f>
        <v>0</v>
      </c>
      <c r="AI3160" s="152">
        <f t="shared" si="1472"/>
        <v>22176</v>
      </c>
      <c r="AK3160" s="156" t="s">
        <v>691</v>
      </c>
      <c r="AL3160" s="212" t="s">
        <v>690</v>
      </c>
      <c r="AM3160" s="198">
        <f t="shared" si="1461"/>
        <v>0</v>
      </c>
      <c r="AN3160" s="199">
        <f t="shared" si="1462"/>
        <v>46083</v>
      </c>
      <c r="AO3160" s="159" t="s">
        <v>692</v>
      </c>
      <c r="AP3160" s="781" t="s">
        <v>642</v>
      </c>
      <c r="AQ3160" s="782">
        <v>12063755</v>
      </c>
      <c r="AR3160" s="782">
        <v>12061353</v>
      </c>
      <c r="AS3160" s="782">
        <v>12061354</v>
      </c>
      <c r="AT3160" s="782">
        <v>12089274</v>
      </c>
      <c r="AU3160" s="781"/>
      <c r="AV3160" s="782">
        <v>12089275</v>
      </c>
      <c r="AW3160" s="782">
        <v>12068154</v>
      </c>
      <c r="AX3160" s="782"/>
      <c r="AY3160" s="782">
        <v>12094140</v>
      </c>
      <c r="AZ3160" s="782"/>
      <c r="BA3160" s="781"/>
      <c r="BB3160" s="209">
        <v>23105470</v>
      </c>
    </row>
    <row r="3161" spans="1:54" ht="25" customHeight="1">
      <c r="B3161" s="332">
        <v>46083</v>
      </c>
      <c r="C3161" s="333">
        <v>46100</v>
      </c>
      <c r="D3161" s="185">
        <f t="shared" si="1458"/>
        <v>2026</v>
      </c>
      <c r="E3161" s="333" t="e">
        <f>VLOOKUP($B3161,Week!$A$1:$C$1462,2,0)</f>
        <v>#N/A</v>
      </c>
      <c r="F3161" s="334" t="str">
        <f t="shared" si="1459"/>
        <v>Mar</v>
      </c>
      <c r="G3161" s="335" t="s">
        <v>2862</v>
      </c>
      <c r="H3161" s="335" t="s">
        <v>311</v>
      </c>
      <c r="I3161" s="335" t="s">
        <v>2772</v>
      </c>
      <c r="J3161" s="336" t="s">
        <v>738</v>
      </c>
      <c r="K3161" s="337" t="s">
        <v>1649</v>
      </c>
      <c r="L3161" s="300" t="s">
        <v>2167</v>
      </c>
      <c r="M3161" s="336" t="s">
        <v>603</v>
      </c>
      <c r="N3161" s="335" t="s">
        <v>605</v>
      </c>
      <c r="O3161" s="335" t="s">
        <v>602</v>
      </c>
      <c r="P3161" s="338">
        <v>8</v>
      </c>
      <c r="Q3161" s="338">
        <v>3</v>
      </c>
      <c r="R3161" s="339">
        <v>6.0000000000000001E-3</v>
      </c>
      <c r="S3161" s="335" t="s">
        <v>55</v>
      </c>
      <c r="T3161" s="335" t="s">
        <v>112</v>
      </c>
      <c r="U3161" s="340" t="s">
        <v>1894</v>
      </c>
      <c r="V3161" s="341">
        <f>400</f>
        <v>400</v>
      </c>
      <c r="W3161" s="341"/>
      <c r="X3161" s="342">
        <f>(104+3349)/8</f>
        <v>431.625</v>
      </c>
      <c r="Y3161" s="343">
        <f t="shared" si="1466"/>
        <v>31.625</v>
      </c>
      <c r="Z3161" s="344">
        <f t="shared" si="1467"/>
        <v>0</v>
      </c>
      <c r="AA3161" s="344">
        <f t="shared" si="1460"/>
        <v>0</v>
      </c>
      <c r="AB3161" s="817">
        <v>3.8699999999999998E-2</v>
      </c>
      <c r="AC3161" s="341">
        <f t="shared" si="1468"/>
        <v>0</v>
      </c>
      <c r="AD3161" s="307" t="s">
        <v>2902</v>
      </c>
      <c r="AE3161" s="210">
        <f t="shared" si="1469"/>
        <v>0</v>
      </c>
      <c r="AF3161" s="210">
        <f t="shared" si="1470"/>
        <v>0</v>
      </c>
      <c r="AG3161" s="211">
        <f t="shared" si="1471"/>
        <v>0.30199999999999999</v>
      </c>
      <c r="AH3161" s="157">
        <v>0.26621999999999996</v>
      </c>
      <c r="AI3161" s="152">
        <f t="shared" si="1472"/>
        <v>3200</v>
      </c>
      <c r="AK3161" s="156" t="s">
        <v>691</v>
      </c>
      <c r="AL3161" s="156" t="s">
        <v>690</v>
      </c>
      <c r="AM3161" s="198">
        <f t="shared" si="1461"/>
        <v>0</v>
      </c>
      <c r="AN3161" s="199">
        <f t="shared" si="1462"/>
        <v>46083</v>
      </c>
      <c r="AO3161" s="159" t="s">
        <v>692</v>
      </c>
      <c r="AP3161" s="781" t="s">
        <v>642</v>
      </c>
      <c r="AQ3161" s="782">
        <v>12063755</v>
      </c>
      <c r="AR3161" s="782">
        <v>12061353</v>
      </c>
      <c r="AS3161" s="782">
        <v>12061354</v>
      </c>
      <c r="AT3161" s="782">
        <v>12097662</v>
      </c>
      <c r="AU3161" s="781"/>
      <c r="AV3161" s="782">
        <v>12097663</v>
      </c>
      <c r="AW3161" s="781"/>
      <c r="AX3161" s="781"/>
      <c r="AY3161" s="781"/>
      <c r="AZ3161" s="782"/>
      <c r="BA3161" s="781"/>
      <c r="BB3161" s="209">
        <v>23105470</v>
      </c>
    </row>
    <row r="3162" spans="1:54" ht="25" customHeight="1">
      <c r="A3162" s="142" t="s">
        <v>120</v>
      </c>
      <c r="B3162" s="320">
        <v>46084</v>
      </c>
      <c r="C3162" s="321">
        <v>46093</v>
      </c>
      <c r="D3162" s="323">
        <f t="shared" si="1458"/>
        <v>2026</v>
      </c>
      <c r="E3162" s="321" t="e">
        <f>VLOOKUP($B3162,Week!$A$1:$C$1462,2,0)</f>
        <v>#N/A</v>
      </c>
      <c r="F3162" s="322" t="str">
        <f t="shared" si="1459"/>
        <v>Mar</v>
      </c>
      <c r="G3162" s="323" t="s">
        <v>2757</v>
      </c>
      <c r="H3162" s="323" t="s">
        <v>363</v>
      </c>
      <c r="I3162" s="323" t="s">
        <v>2772</v>
      </c>
      <c r="J3162" s="324" t="s">
        <v>364</v>
      </c>
      <c r="K3162" s="325" t="s">
        <v>2583</v>
      </c>
      <c r="L3162" s="325" t="s">
        <v>2166</v>
      </c>
      <c r="M3162" s="324" t="s">
        <v>2586</v>
      </c>
      <c r="N3162" s="323" t="s">
        <v>2584</v>
      </c>
      <c r="O3162" s="323" t="s">
        <v>2587</v>
      </c>
      <c r="P3162" s="326">
        <v>20</v>
      </c>
      <c r="Q3162" s="326">
        <v>50</v>
      </c>
      <c r="R3162" s="327">
        <v>4.0000000000000001E-3</v>
      </c>
      <c r="S3162" s="323" t="s">
        <v>55</v>
      </c>
      <c r="T3162" s="323" t="s">
        <v>112</v>
      </c>
      <c r="U3162" s="323" t="s">
        <v>77</v>
      </c>
      <c r="V3162" s="328">
        <v>243</v>
      </c>
      <c r="W3162" s="328">
        <f>243</f>
        <v>243</v>
      </c>
      <c r="X3162" s="329"/>
      <c r="Y3162" s="330">
        <f t="shared" si="1466"/>
        <v>0</v>
      </c>
      <c r="Z3162" s="331">
        <f t="shared" si="1467"/>
        <v>0</v>
      </c>
      <c r="AA3162" s="331">
        <f t="shared" si="1460"/>
        <v>0</v>
      </c>
      <c r="AB3162" s="816">
        <v>6</v>
      </c>
      <c r="AC3162" s="328">
        <f t="shared" si="1468"/>
        <v>0</v>
      </c>
      <c r="AD3162" s="209"/>
      <c r="AE3162" s="210">
        <f t="shared" si="1469"/>
        <v>0</v>
      </c>
      <c r="AF3162" s="210">
        <f t="shared" si="1470"/>
        <v>0</v>
      </c>
      <c r="AG3162" s="211">
        <f t="shared" si="1471"/>
        <v>0.5</v>
      </c>
      <c r="AH3162" s="157">
        <f>(Z3162*AG3162)/1000</f>
        <v>0</v>
      </c>
      <c r="AI3162" s="152">
        <f t="shared" si="1472"/>
        <v>4860</v>
      </c>
      <c r="AK3162" s="156" t="s">
        <v>691</v>
      </c>
      <c r="AL3162" s="156" t="s">
        <v>689</v>
      </c>
      <c r="AM3162" s="198">
        <f t="shared" si="1461"/>
        <v>0</v>
      </c>
      <c r="AN3162" s="199">
        <f t="shared" si="1462"/>
        <v>46084</v>
      </c>
      <c r="AO3162" s="159" t="s">
        <v>692</v>
      </c>
      <c r="AP3162" s="783" t="s">
        <v>620</v>
      </c>
      <c r="AQ3162" s="796" t="s">
        <v>422</v>
      </c>
      <c r="AR3162" s="782">
        <v>12055234</v>
      </c>
      <c r="AS3162" s="781"/>
      <c r="AT3162" s="782"/>
      <c r="AU3162" s="782"/>
      <c r="AV3162" s="782">
        <v>12097165</v>
      </c>
      <c r="AW3162" s="782"/>
      <c r="AX3162" s="782">
        <v>12036656</v>
      </c>
      <c r="AY3162" s="799"/>
      <c r="AZ3162" s="781"/>
      <c r="BA3162" s="781"/>
      <c r="BB3162" s="209">
        <v>23053184</v>
      </c>
    </row>
    <row r="3163" spans="1:54" ht="25" customHeight="1">
      <c r="B3163" s="213">
        <v>46084</v>
      </c>
      <c r="C3163" s="902" t="s">
        <v>2708</v>
      </c>
      <c r="D3163" s="215">
        <f t="shared" si="1458"/>
        <v>2026</v>
      </c>
      <c r="E3163" s="214" t="e">
        <f>VLOOKUP($B3163,Week!$A$1:$C$1462,2,0)</f>
        <v>#N/A</v>
      </c>
      <c r="F3163" s="216" t="str">
        <f t="shared" si="1459"/>
        <v>Mar</v>
      </c>
      <c r="G3163" s="215" t="s">
        <v>47</v>
      </c>
      <c r="H3163" s="215" t="s">
        <v>260</v>
      </c>
      <c r="I3163" s="215" t="s">
        <v>2702</v>
      </c>
      <c r="J3163" s="209" t="s">
        <v>2702</v>
      </c>
      <c r="K3163" s="217" t="s">
        <v>2706</v>
      </c>
      <c r="L3163" s="217" t="s">
        <v>2167</v>
      </c>
      <c r="M3163" s="209" t="s">
        <v>2733</v>
      </c>
      <c r="N3163" s="480" t="s">
        <v>2734</v>
      </c>
      <c r="O3163" s="215" t="s">
        <v>2735</v>
      </c>
      <c r="P3163" s="218">
        <v>12</v>
      </c>
      <c r="Q3163" s="218">
        <v>2</v>
      </c>
      <c r="R3163" s="219">
        <v>6.0000000000000001E-3</v>
      </c>
      <c r="S3163" s="215" t="s">
        <v>55</v>
      </c>
      <c r="T3163" s="215" t="s">
        <v>56</v>
      </c>
      <c r="U3163" s="852" t="s">
        <v>2707</v>
      </c>
      <c r="V3163" s="220">
        <v>1329</v>
      </c>
      <c r="W3163" s="220">
        <f>637+9+277+406</f>
        <v>1329</v>
      </c>
      <c r="X3163" s="221"/>
      <c r="Y3163" s="222">
        <f t="shared" si="1466"/>
        <v>0</v>
      </c>
      <c r="Z3163" s="223">
        <f t="shared" si="1467"/>
        <v>0</v>
      </c>
      <c r="AA3163" s="223">
        <f t="shared" si="1460"/>
        <v>0</v>
      </c>
      <c r="AB3163" s="807">
        <v>1.7000000000000001E-2</v>
      </c>
      <c r="AC3163" s="220">
        <f t="shared" si="1468"/>
        <v>0</v>
      </c>
      <c r="AD3163" s="443"/>
      <c r="AE3163" s="210">
        <f t="shared" si="1469"/>
        <v>0</v>
      </c>
      <c r="AF3163" s="210">
        <f t="shared" si="1470"/>
        <v>0</v>
      </c>
      <c r="AG3163" s="211">
        <f t="shared" si="1471"/>
        <v>0.22500000000000001</v>
      </c>
      <c r="AH3163" s="157">
        <v>0.26621999999999996</v>
      </c>
      <c r="AI3163" s="152">
        <f t="shared" si="1472"/>
        <v>15948</v>
      </c>
      <c r="AK3163" s="156" t="s">
        <v>691</v>
      </c>
      <c r="AL3163" s="574" t="s">
        <v>690</v>
      </c>
      <c r="AM3163" s="198">
        <f t="shared" si="1461"/>
        <v>0</v>
      </c>
      <c r="AN3163" s="199">
        <f t="shared" si="1462"/>
        <v>46084</v>
      </c>
      <c r="AO3163" s="159" t="s">
        <v>692</v>
      </c>
      <c r="AP3163" s="781" t="s">
        <v>642</v>
      </c>
      <c r="AQ3163" s="782">
        <v>12071839</v>
      </c>
      <c r="AR3163" s="782"/>
      <c r="AS3163" s="782"/>
      <c r="AT3163" s="782">
        <v>12098021</v>
      </c>
      <c r="AU3163" s="783" t="s">
        <v>2979</v>
      </c>
      <c r="AV3163" s="782">
        <v>12098022</v>
      </c>
      <c r="AW3163" s="783"/>
      <c r="AX3163" s="781"/>
      <c r="AY3163" s="796"/>
      <c r="AZ3163" s="796"/>
      <c r="BA3163" s="796"/>
      <c r="BB3163" s="209">
        <v>23099860</v>
      </c>
    </row>
    <row r="3164" spans="1:54" ht="25" customHeight="1">
      <c r="B3164" s="213">
        <v>46084</v>
      </c>
      <c r="C3164" s="214">
        <v>46091</v>
      </c>
      <c r="D3164" s="185">
        <f t="shared" si="1458"/>
        <v>2026</v>
      </c>
      <c r="E3164" s="215" t="e">
        <f>VLOOKUP($B3164,[1]Week!$A$1:$C$1462,2,0)</f>
        <v>#N/A</v>
      </c>
      <c r="F3164" s="216" t="str">
        <f t="shared" si="1459"/>
        <v>Mar</v>
      </c>
      <c r="G3164" s="215" t="s">
        <v>2743</v>
      </c>
      <c r="H3164" s="215" t="s">
        <v>134</v>
      </c>
      <c r="I3164" s="215" t="s">
        <v>2772</v>
      </c>
      <c r="J3164" s="209" t="s">
        <v>2932</v>
      </c>
      <c r="K3164" s="217" t="s">
        <v>176</v>
      </c>
      <c r="L3164" s="300" t="s">
        <v>2167</v>
      </c>
      <c r="M3164" s="209" t="s">
        <v>193</v>
      </c>
      <c r="N3164" s="215" t="s">
        <v>194</v>
      </c>
      <c r="O3164" s="215" t="s">
        <v>195</v>
      </c>
      <c r="P3164" s="218">
        <v>24</v>
      </c>
      <c r="Q3164" s="218">
        <v>5</v>
      </c>
      <c r="R3164" s="219">
        <v>8.0000000000000002E-3</v>
      </c>
      <c r="S3164" s="215" t="s">
        <v>40</v>
      </c>
      <c r="T3164" s="215" t="s">
        <v>56</v>
      </c>
      <c r="U3164" s="215" t="s">
        <v>57</v>
      </c>
      <c r="V3164" s="220">
        <f>250</f>
        <v>250</v>
      </c>
      <c r="W3164" s="220">
        <f>3+247</f>
        <v>250</v>
      </c>
      <c r="X3164" s="221"/>
      <c r="Y3164" s="222">
        <f t="shared" si="1466"/>
        <v>0</v>
      </c>
      <c r="Z3164" s="223">
        <f t="shared" si="1467"/>
        <v>0</v>
      </c>
      <c r="AA3164" s="220">
        <f t="shared" si="1460"/>
        <v>0</v>
      </c>
      <c r="AB3164" s="807">
        <v>1</v>
      </c>
      <c r="AC3164" s="220">
        <f t="shared" si="1468"/>
        <v>0</v>
      </c>
      <c r="AD3164" s="381"/>
      <c r="AE3164" s="210">
        <f t="shared" si="1469"/>
        <v>0</v>
      </c>
      <c r="AF3164" s="210">
        <f t="shared" si="1470"/>
        <v>0</v>
      </c>
      <c r="AG3164" s="211">
        <f t="shared" si="1471"/>
        <v>0.14499999999999999</v>
      </c>
      <c r="AH3164" s="157">
        <f>(Z3164*AG3164)/1000</f>
        <v>0</v>
      </c>
      <c r="AI3164" s="152">
        <f t="shared" si="1472"/>
        <v>6000</v>
      </c>
      <c r="AK3164" s="156" t="s">
        <v>691</v>
      </c>
      <c r="AL3164" s="212" t="s">
        <v>690</v>
      </c>
      <c r="AM3164" s="198">
        <f t="shared" si="1461"/>
        <v>0</v>
      </c>
      <c r="AN3164" s="199">
        <f t="shared" si="1462"/>
        <v>46084</v>
      </c>
      <c r="AO3164" s="159" t="s">
        <v>692</v>
      </c>
      <c r="AP3164" s="783" t="s">
        <v>610</v>
      </c>
      <c r="AQ3164" s="782">
        <v>12071839</v>
      </c>
      <c r="AR3164" s="782">
        <v>12047514</v>
      </c>
      <c r="AS3164" s="782">
        <v>12047515</v>
      </c>
      <c r="AT3164" s="782"/>
      <c r="AU3164" s="782">
        <v>12026902</v>
      </c>
      <c r="AV3164" s="782">
        <v>12054724</v>
      </c>
      <c r="AW3164" s="782">
        <v>12026904</v>
      </c>
      <c r="AX3164" s="782"/>
      <c r="AY3164" s="782">
        <v>12094406</v>
      </c>
      <c r="AZ3164" s="782">
        <v>12094407</v>
      </c>
      <c r="BA3164" s="782">
        <v>12094408</v>
      </c>
    </row>
    <row r="3165" spans="1:54" ht="25" customHeight="1">
      <c r="B3165" s="213">
        <v>46084</v>
      </c>
      <c r="C3165" s="214">
        <v>46091</v>
      </c>
      <c r="D3165" s="185">
        <f t="shared" si="1458"/>
        <v>2026</v>
      </c>
      <c r="E3165" s="215" t="e">
        <f>VLOOKUP($B3165,[1]Week!$A$1:$C$1462,2,0)</f>
        <v>#N/A</v>
      </c>
      <c r="F3165" s="216" t="str">
        <f t="shared" si="1459"/>
        <v>Mar</v>
      </c>
      <c r="G3165" s="215" t="s">
        <v>2743</v>
      </c>
      <c r="H3165" s="215" t="s">
        <v>134</v>
      </c>
      <c r="I3165" s="215" t="s">
        <v>2772</v>
      </c>
      <c r="J3165" s="209" t="s">
        <v>2932</v>
      </c>
      <c r="K3165" s="217" t="s">
        <v>1648</v>
      </c>
      <c r="L3165" s="300" t="s">
        <v>2167</v>
      </c>
      <c r="M3165" s="209" t="s">
        <v>193</v>
      </c>
      <c r="N3165" s="215" t="s">
        <v>205</v>
      </c>
      <c r="O3165" s="215" t="s">
        <v>206</v>
      </c>
      <c r="P3165" s="218">
        <v>24</v>
      </c>
      <c r="Q3165" s="218">
        <v>5</v>
      </c>
      <c r="R3165" s="219">
        <v>8.0000000000000002E-3</v>
      </c>
      <c r="S3165" s="215" t="s">
        <v>40</v>
      </c>
      <c r="T3165" s="215" t="s">
        <v>56</v>
      </c>
      <c r="U3165" s="480" t="s">
        <v>499</v>
      </c>
      <c r="V3165" s="220">
        <f>250</f>
        <v>250</v>
      </c>
      <c r="W3165" s="220">
        <f>250</f>
        <v>250</v>
      </c>
      <c r="X3165" s="221"/>
      <c r="Y3165" s="222">
        <f t="shared" si="1466"/>
        <v>0</v>
      </c>
      <c r="Z3165" s="223">
        <f t="shared" si="1467"/>
        <v>0</v>
      </c>
      <c r="AA3165" s="220">
        <f t="shared" si="1460"/>
        <v>0</v>
      </c>
      <c r="AB3165" s="807">
        <v>1</v>
      </c>
      <c r="AC3165" s="220">
        <f t="shared" si="1468"/>
        <v>0</v>
      </c>
      <c r="AD3165" s="381"/>
      <c r="AE3165" s="210">
        <f t="shared" si="1469"/>
        <v>0</v>
      </c>
      <c r="AF3165" s="210">
        <f t="shared" si="1470"/>
        <v>0</v>
      </c>
      <c r="AG3165" s="211">
        <f t="shared" si="1471"/>
        <v>0.115</v>
      </c>
      <c r="AH3165" s="157">
        <f>(Z3165*AG3165)/1000</f>
        <v>0</v>
      </c>
      <c r="AI3165" s="152">
        <f t="shared" si="1472"/>
        <v>6000</v>
      </c>
      <c r="AK3165" s="156" t="s">
        <v>691</v>
      </c>
      <c r="AL3165" s="212" t="s">
        <v>690</v>
      </c>
      <c r="AM3165" s="198">
        <f t="shared" si="1461"/>
        <v>0</v>
      </c>
      <c r="AN3165" s="199">
        <f t="shared" si="1462"/>
        <v>46084</v>
      </c>
      <c r="AO3165" s="159" t="s">
        <v>692</v>
      </c>
      <c r="AP3165" s="783" t="s">
        <v>610</v>
      </c>
      <c r="AQ3165" s="782">
        <v>12071839</v>
      </c>
      <c r="AR3165" s="782">
        <v>12047514</v>
      </c>
      <c r="AS3165" s="782">
        <v>12047515</v>
      </c>
      <c r="AT3165" s="782"/>
      <c r="AU3165" s="782">
        <v>12026902</v>
      </c>
      <c r="AV3165" s="782">
        <v>12054722</v>
      </c>
      <c r="AW3165" s="782">
        <v>12026904</v>
      </c>
      <c r="AX3165" s="782"/>
      <c r="AY3165" s="782">
        <v>12094111</v>
      </c>
      <c r="AZ3165" s="782">
        <v>12094113</v>
      </c>
      <c r="BA3165" s="782">
        <v>12094114</v>
      </c>
    </row>
    <row r="3166" spans="1:54" ht="25" customHeight="1">
      <c r="B3166" s="571">
        <v>46084</v>
      </c>
      <c r="C3166" s="235">
        <v>46090</v>
      </c>
      <c r="D3166" s="236">
        <f t="shared" si="1458"/>
        <v>2026</v>
      </c>
      <c r="E3166" s="235" t="e">
        <f>VLOOKUP($B3166,Week!$A$1:$C$1462,2,0)</f>
        <v>#N/A</v>
      </c>
      <c r="F3166" s="237" t="str">
        <f t="shared" si="1459"/>
        <v>Mar</v>
      </c>
      <c r="G3166" s="756" t="s">
        <v>2811</v>
      </c>
      <c r="H3166" s="236" t="s">
        <v>500</v>
      </c>
      <c r="I3166" s="236" t="s">
        <v>2772</v>
      </c>
      <c r="J3166" s="238" t="s">
        <v>285</v>
      </c>
      <c r="K3166" s="239" t="s">
        <v>593</v>
      </c>
      <c r="L3166" s="239" t="s">
        <v>2167</v>
      </c>
      <c r="M3166" s="238" t="s">
        <v>2556</v>
      </c>
      <c r="N3166" s="236" t="s">
        <v>2558</v>
      </c>
      <c r="O3166" s="236" t="s">
        <v>2555</v>
      </c>
      <c r="P3166" s="240">
        <v>12</v>
      </c>
      <c r="Q3166" s="240">
        <v>4</v>
      </c>
      <c r="R3166" s="241">
        <v>6.0000000000000001E-3</v>
      </c>
      <c r="S3166" s="236" t="s">
        <v>55</v>
      </c>
      <c r="T3166" s="236" t="s">
        <v>112</v>
      </c>
      <c r="U3166" s="236" t="s">
        <v>57</v>
      </c>
      <c r="V3166" s="242">
        <v>2500</v>
      </c>
      <c r="W3166" s="242">
        <f>2500</f>
        <v>2500</v>
      </c>
      <c r="X3166" s="243"/>
      <c r="Y3166" s="244">
        <f t="shared" si="1466"/>
        <v>0</v>
      </c>
      <c r="Z3166" s="245">
        <f t="shared" si="1467"/>
        <v>0</v>
      </c>
      <c r="AA3166" s="245">
        <f t="shared" si="1460"/>
        <v>0</v>
      </c>
      <c r="AB3166" s="809">
        <v>7.4999999999999997E-3</v>
      </c>
      <c r="AC3166" s="242">
        <f t="shared" si="1468"/>
        <v>0</v>
      </c>
      <c r="AD3166" s="443"/>
      <c r="AE3166" s="210">
        <f t="shared" si="1469"/>
        <v>0</v>
      </c>
      <c r="AF3166" s="210">
        <f t="shared" si="1470"/>
        <v>0</v>
      </c>
      <c r="AG3166" s="211">
        <f t="shared" si="1471"/>
        <v>0.23100000000000001</v>
      </c>
      <c r="AH3166" s="157">
        <f>(Z3166*AG3166)/1000</f>
        <v>0</v>
      </c>
      <c r="AI3166" s="152">
        <f t="shared" si="1472"/>
        <v>30000</v>
      </c>
      <c r="AK3166" s="156" t="s">
        <v>691</v>
      </c>
      <c r="AL3166" s="574" t="s">
        <v>690</v>
      </c>
      <c r="AM3166" s="198">
        <f t="shared" si="1461"/>
        <v>0</v>
      </c>
      <c r="AN3166" s="199">
        <f t="shared" si="1462"/>
        <v>46084</v>
      </c>
      <c r="AO3166" s="159" t="s">
        <v>692</v>
      </c>
      <c r="AP3166" s="783"/>
      <c r="AQ3166" s="782">
        <v>12063755</v>
      </c>
      <c r="AR3166" s="782">
        <v>12061353</v>
      </c>
      <c r="AS3166" s="782">
        <v>12061354</v>
      </c>
      <c r="AT3166" s="782"/>
      <c r="AU3166" s="781"/>
      <c r="AV3166" s="782">
        <v>12096898</v>
      </c>
      <c r="AW3166" s="782"/>
      <c r="AX3166" s="782"/>
      <c r="AY3166" s="782">
        <v>12096895</v>
      </c>
      <c r="AZ3166" s="782">
        <v>12096896</v>
      </c>
      <c r="BA3166" s="782">
        <v>12096897</v>
      </c>
      <c r="BB3166" s="209">
        <v>23053185</v>
      </c>
    </row>
    <row r="3167" spans="1:54" ht="25" customHeight="1">
      <c r="A3167" s="142" t="s">
        <v>120</v>
      </c>
      <c r="B3167" s="320">
        <v>46085</v>
      </c>
      <c r="C3167" s="321">
        <v>46093</v>
      </c>
      <c r="D3167" s="323">
        <f t="shared" si="1458"/>
        <v>2026</v>
      </c>
      <c r="E3167" s="321" t="e">
        <f>VLOOKUP($B3167,Week!$A$1:$C$1462,2,0)</f>
        <v>#N/A</v>
      </c>
      <c r="F3167" s="322" t="str">
        <f t="shared" si="1459"/>
        <v>Mar</v>
      </c>
      <c r="G3167" s="323" t="s">
        <v>2757</v>
      </c>
      <c r="H3167" s="323" t="s">
        <v>363</v>
      </c>
      <c r="I3167" s="323" t="s">
        <v>2772</v>
      </c>
      <c r="J3167" s="324" t="s">
        <v>364</v>
      </c>
      <c r="K3167" s="325" t="s">
        <v>2583</v>
      </c>
      <c r="L3167" s="325" t="s">
        <v>2166</v>
      </c>
      <c r="M3167" s="324" t="s">
        <v>2586</v>
      </c>
      <c r="N3167" s="323" t="s">
        <v>2584</v>
      </c>
      <c r="O3167" s="323" t="s">
        <v>2587</v>
      </c>
      <c r="P3167" s="326">
        <v>20</v>
      </c>
      <c r="Q3167" s="326">
        <v>50</v>
      </c>
      <c r="R3167" s="327">
        <v>4.0000000000000001E-3</v>
      </c>
      <c r="S3167" s="323" t="s">
        <v>55</v>
      </c>
      <c r="T3167" s="323" t="s">
        <v>112</v>
      </c>
      <c r="U3167" s="323" t="s">
        <v>77</v>
      </c>
      <c r="V3167" s="328">
        <v>243</v>
      </c>
      <c r="W3167" s="328">
        <v>243</v>
      </c>
      <c r="X3167" s="329"/>
      <c r="Y3167" s="330">
        <f t="shared" si="1466"/>
        <v>0</v>
      </c>
      <c r="Z3167" s="331">
        <f t="shared" si="1467"/>
        <v>0</v>
      </c>
      <c r="AA3167" s="331">
        <f t="shared" ref="AA3167:AA3198" si="1473">Q3167*Z3167</f>
        <v>0</v>
      </c>
      <c r="AB3167" s="816">
        <v>6</v>
      </c>
      <c r="AC3167" s="328">
        <f t="shared" si="1468"/>
        <v>0</v>
      </c>
      <c r="AD3167" s="209"/>
      <c r="AE3167" s="210">
        <f t="shared" si="1469"/>
        <v>0</v>
      </c>
      <c r="AF3167" s="210">
        <f t="shared" si="1470"/>
        <v>0</v>
      </c>
      <c r="AG3167" s="211">
        <f t="shared" si="1471"/>
        <v>0.5</v>
      </c>
      <c r="AH3167" s="157">
        <f>(Z3167*AG3167)/1000</f>
        <v>0</v>
      </c>
      <c r="AI3167" s="152">
        <f t="shared" si="1472"/>
        <v>4860</v>
      </c>
      <c r="AK3167" s="156" t="s">
        <v>691</v>
      </c>
      <c r="AL3167" s="156" t="s">
        <v>689</v>
      </c>
      <c r="AM3167" s="198">
        <f t="shared" ref="AM3167:AM3198" si="1474">AG3167*Z3167</f>
        <v>0</v>
      </c>
      <c r="AN3167" s="199">
        <f t="shared" ref="AN3167:AN3198" si="1475">B3167</f>
        <v>46085</v>
      </c>
      <c r="AO3167" s="159" t="s">
        <v>692</v>
      </c>
      <c r="AP3167" s="783" t="s">
        <v>620</v>
      </c>
      <c r="AQ3167" s="796" t="s">
        <v>422</v>
      </c>
      <c r="AR3167" s="782">
        <v>12055234</v>
      </c>
      <c r="AS3167" s="781"/>
      <c r="AT3167" s="782"/>
      <c r="AU3167" s="782"/>
      <c r="AV3167" s="782">
        <v>12097165</v>
      </c>
      <c r="AW3167" s="782"/>
      <c r="AX3167" s="782">
        <v>12036656</v>
      </c>
      <c r="AY3167" s="799"/>
      <c r="AZ3167" s="781"/>
      <c r="BA3167" s="781"/>
      <c r="BB3167" s="209">
        <v>23053184</v>
      </c>
    </row>
    <row r="3168" spans="1:54" ht="25" customHeight="1">
      <c r="B3168" s="213">
        <v>46085</v>
      </c>
      <c r="C3168" s="902" t="s">
        <v>2708</v>
      </c>
      <c r="D3168" s="215">
        <f t="shared" si="1458"/>
        <v>2026</v>
      </c>
      <c r="E3168" s="214" t="e">
        <f>VLOOKUP($B3168,Week!$A$1:$C$1462,2,0)</f>
        <v>#N/A</v>
      </c>
      <c r="F3168" s="216" t="str">
        <f t="shared" si="1459"/>
        <v>Mar</v>
      </c>
      <c r="G3168" s="215" t="s">
        <v>47</v>
      </c>
      <c r="H3168" s="215" t="s">
        <v>260</v>
      </c>
      <c r="I3168" s="215" t="s">
        <v>2702</v>
      </c>
      <c r="J3168" s="209" t="s">
        <v>2702</v>
      </c>
      <c r="K3168" s="217" t="s">
        <v>2706</v>
      </c>
      <c r="L3168" s="217" t="s">
        <v>2167</v>
      </c>
      <c r="M3168" s="209" t="s">
        <v>2733</v>
      </c>
      <c r="N3168" s="480" t="s">
        <v>2734</v>
      </c>
      <c r="O3168" s="215" t="s">
        <v>2735</v>
      </c>
      <c r="P3168" s="218">
        <v>12</v>
      </c>
      <c r="Q3168" s="218">
        <v>2</v>
      </c>
      <c r="R3168" s="219">
        <v>6.0000000000000001E-3</v>
      </c>
      <c r="S3168" s="215" t="s">
        <v>55</v>
      </c>
      <c r="T3168" s="215" t="s">
        <v>56</v>
      </c>
      <c r="U3168" s="852" t="s">
        <v>2707</v>
      </c>
      <c r="V3168" s="220">
        <v>1324</v>
      </c>
      <c r="W3168" s="220">
        <f>428+896</f>
        <v>1324</v>
      </c>
      <c r="X3168" s="221"/>
      <c r="Y3168" s="222">
        <f t="shared" si="1466"/>
        <v>0</v>
      </c>
      <c r="Z3168" s="223">
        <f t="shared" si="1467"/>
        <v>0</v>
      </c>
      <c r="AA3168" s="223">
        <f t="shared" si="1473"/>
        <v>0</v>
      </c>
      <c r="AB3168" s="807">
        <v>1.7000000000000001E-2</v>
      </c>
      <c r="AC3168" s="220">
        <f t="shared" si="1468"/>
        <v>0</v>
      </c>
      <c r="AD3168" s="443"/>
      <c r="AE3168" s="210">
        <f t="shared" si="1469"/>
        <v>0</v>
      </c>
      <c r="AF3168" s="210">
        <f t="shared" si="1470"/>
        <v>0</v>
      </c>
      <c r="AG3168" s="211">
        <f t="shared" si="1471"/>
        <v>0.22500000000000001</v>
      </c>
      <c r="AH3168" s="157">
        <v>0.26621999999999996</v>
      </c>
      <c r="AI3168" s="152">
        <f t="shared" si="1472"/>
        <v>15888</v>
      </c>
      <c r="AK3168" s="156" t="s">
        <v>691</v>
      </c>
      <c r="AL3168" s="574" t="s">
        <v>690</v>
      </c>
      <c r="AM3168" s="198">
        <f t="shared" si="1474"/>
        <v>0</v>
      </c>
      <c r="AN3168" s="199">
        <f t="shared" si="1475"/>
        <v>46085</v>
      </c>
      <c r="AO3168" s="159" t="s">
        <v>692</v>
      </c>
      <c r="AP3168" s="781" t="s">
        <v>642</v>
      </c>
      <c r="AQ3168" s="782">
        <v>12071839</v>
      </c>
      <c r="AR3168" s="782"/>
      <c r="AS3168" s="782"/>
      <c r="AT3168" s="782">
        <v>12098021</v>
      </c>
      <c r="AU3168" s="783" t="s">
        <v>2979</v>
      </c>
      <c r="AV3168" s="782">
        <v>12098022</v>
      </c>
      <c r="AW3168" s="783"/>
      <c r="AX3168" s="781"/>
      <c r="AY3168" s="796"/>
      <c r="AZ3168" s="796"/>
      <c r="BA3168" s="796"/>
      <c r="BB3168" s="209">
        <v>23099860</v>
      </c>
    </row>
    <row r="3169" spans="1:54" ht="24.75" customHeight="1">
      <c r="B3169" s="295">
        <v>46085</v>
      </c>
      <c r="C3169" s="771" t="s">
        <v>2708</v>
      </c>
      <c r="D3169" s="185">
        <f t="shared" si="1458"/>
        <v>2026</v>
      </c>
      <c r="E3169" s="296" t="e">
        <f>VLOOKUP($B3169,Week!$A$1:$C$1462,2,0)</f>
        <v>#N/A</v>
      </c>
      <c r="F3169" s="297" t="str">
        <f t="shared" si="1459"/>
        <v>Mar</v>
      </c>
      <c r="G3169" s="648" t="s">
        <v>47</v>
      </c>
      <c r="H3169" s="298" t="s">
        <v>260</v>
      </c>
      <c r="I3169" s="298" t="s">
        <v>2702</v>
      </c>
      <c r="J3169" s="307" t="s">
        <v>2240</v>
      </c>
      <c r="K3169" s="300" t="s">
        <v>176</v>
      </c>
      <c r="L3169" s="300" t="s">
        <v>2167</v>
      </c>
      <c r="M3169" s="299" t="s">
        <v>2338</v>
      </c>
      <c r="N3169" s="298" t="s">
        <v>350</v>
      </c>
      <c r="O3169" s="298" t="s">
        <v>351</v>
      </c>
      <c r="P3169" s="301">
        <v>24</v>
      </c>
      <c r="Q3169" s="301">
        <v>5</v>
      </c>
      <c r="R3169" s="302">
        <v>6.1999999999999998E-3</v>
      </c>
      <c r="S3169" s="298" t="s">
        <v>352</v>
      </c>
      <c r="T3169" s="298" t="s">
        <v>56</v>
      </c>
      <c r="U3169" s="298" t="s">
        <v>57</v>
      </c>
      <c r="V3169" s="303">
        <v>2553</v>
      </c>
      <c r="W3169" s="303">
        <f>2553</f>
        <v>2553</v>
      </c>
      <c r="X3169" s="304"/>
      <c r="Y3169" s="305">
        <f t="shared" si="1466"/>
        <v>0</v>
      </c>
      <c r="Z3169" s="306">
        <f t="shared" si="1467"/>
        <v>0</v>
      </c>
      <c r="AA3169" s="306">
        <f t="shared" si="1473"/>
        <v>0</v>
      </c>
      <c r="AB3169" s="814">
        <v>7.4999999999999997E-3</v>
      </c>
      <c r="AC3169" s="303">
        <f t="shared" si="1468"/>
        <v>0</v>
      </c>
      <c r="AD3169" s="443"/>
      <c r="AE3169" s="210">
        <f t="shared" si="1469"/>
        <v>0</v>
      </c>
      <c r="AF3169" s="210">
        <f t="shared" si="1470"/>
        <v>0</v>
      </c>
      <c r="AG3169" s="211">
        <f t="shared" si="1471"/>
        <v>0.13</v>
      </c>
      <c r="AH3169" s="157">
        <f>(Z3169*AG3169)/1000</f>
        <v>0</v>
      </c>
      <c r="AI3169" s="152">
        <f t="shared" si="1472"/>
        <v>61272</v>
      </c>
      <c r="AK3169" s="156" t="s">
        <v>691</v>
      </c>
      <c r="AL3169" s="574" t="s">
        <v>690</v>
      </c>
      <c r="AM3169" s="198">
        <f t="shared" si="1474"/>
        <v>0</v>
      </c>
      <c r="AN3169" s="199">
        <f t="shared" si="1475"/>
        <v>46085</v>
      </c>
      <c r="AO3169" s="159" t="s">
        <v>692</v>
      </c>
      <c r="AP3169" s="783" t="s">
        <v>622</v>
      </c>
      <c r="AQ3169" s="782">
        <v>12071839</v>
      </c>
      <c r="AR3169" s="782">
        <v>12094356</v>
      </c>
      <c r="AS3169" s="782">
        <v>12068233</v>
      </c>
      <c r="AT3169" s="781"/>
      <c r="AU3169" s="781"/>
      <c r="AV3169" s="782">
        <v>12062075</v>
      </c>
      <c r="AW3169" s="781"/>
      <c r="AX3169" s="781"/>
      <c r="AY3169" s="782">
        <v>12094357</v>
      </c>
      <c r="AZ3169" s="782"/>
      <c r="BA3169" s="781"/>
      <c r="BB3169" s="209">
        <v>23053184</v>
      </c>
    </row>
    <row r="3170" spans="1:54" ht="25" customHeight="1">
      <c r="A3170" s="142" t="s">
        <v>120</v>
      </c>
      <c r="B3170" s="320">
        <v>46086</v>
      </c>
      <c r="C3170" s="321">
        <v>46093</v>
      </c>
      <c r="D3170" s="323">
        <f t="shared" si="1458"/>
        <v>2026</v>
      </c>
      <c r="E3170" s="321" t="e">
        <f>VLOOKUP($B3170,Week!$A$1:$C$1462,2,0)</f>
        <v>#N/A</v>
      </c>
      <c r="F3170" s="322" t="str">
        <f t="shared" si="1459"/>
        <v>Mar</v>
      </c>
      <c r="G3170" s="323" t="s">
        <v>2757</v>
      </c>
      <c r="H3170" s="323" t="s">
        <v>363</v>
      </c>
      <c r="I3170" s="323" t="s">
        <v>2772</v>
      </c>
      <c r="J3170" s="324" t="s">
        <v>364</v>
      </c>
      <c r="K3170" s="325" t="s">
        <v>2583</v>
      </c>
      <c r="L3170" s="325" t="s">
        <v>2166</v>
      </c>
      <c r="M3170" s="324" t="s">
        <v>2586</v>
      </c>
      <c r="N3170" s="323" t="s">
        <v>2584</v>
      </c>
      <c r="O3170" s="323" t="s">
        <v>2587</v>
      </c>
      <c r="P3170" s="326">
        <v>20</v>
      </c>
      <c r="Q3170" s="326">
        <v>50</v>
      </c>
      <c r="R3170" s="327">
        <v>4.0000000000000001E-3</v>
      </c>
      <c r="S3170" s="323" t="s">
        <v>55</v>
      </c>
      <c r="T3170" s="323" t="s">
        <v>112</v>
      </c>
      <c r="U3170" s="323" t="s">
        <v>77</v>
      </c>
      <c r="V3170" s="328">
        <v>242</v>
      </c>
      <c r="W3170" s="328">
        <f>242</f>
        <v>242</v>
      </c>
      <c r="X3170" s="329"/>
      <c r="Y3170" s="330">
        <f t="shared" si="1466"/>
        <v>0</v>
      </c>
      <c r="Z3170" s="331">
        <f t="shared" si="1467"/>
        <v>0</v>
      </c>
      <c r="AA3170" s="331">
        <f t="shared" si="1473"/>
        <v>0</v>
      </c>
      <c r="AB3170" s="816">
        <v>6</v>
      </c>
      <c r="AC3170" s="328">
        <f t="shared" si="1468"/>
        <v>0</v>
      </c>
      <c r="AD3170" s="209"/>
      <c r="AE3170" s="210">
        <f t="shared" si="1469"/>
        <v>0</v>
      </c>
      <c r="AF3170" s="210">
        <f t="shared" si="1470"/>
        <v>0</v>
      </c>
      <c r="AG3170" s="211">
        <f t="shared" si="1471"/>
        <v>0.5</v>
      </c>
      <c r="AH3170" s="157">
        <f>(Z3170*AG3170)/1000</f>
        <v>0</v>
      </c>
      <c r="AI3170" s="152">
        <f t="shared" si="1472"/>
        <v>4840</v>
      </c>
      <c r="AK3170" s="156" t="s">
        <v>691</v>
      </c>
      <c r="AL3170" s="156" t="s">
        <v>689</v>
      </c>
      <c r="AM3170" s="198">
        <f t="shared" si="1474"/>
        <v>0</v>
      </c>
      <c r="AN3170" s="199">
        <f t="shared" si="1475"/>
        <v>46086</v>
      </c>
      <c r="AO3170" s="159" t="s">
        <v>692</v>
      </c>
      <c r="AP3170" s="783" t="s">
        <v>620</v>
      </c>
      <c r="AQ3170" s="796" t="s">
        <v>422</v>
      </c>
      <c r="AR3170" s="782">
        <v>12055234</v>
      </c>
      <c r="AS3170" s="781"/>
      <c r="AT3170" s="782"/>
      <c r="AU3170" s="782"/>
      <c r="AV3170" s="782">
        <v>12097165</v>
      </c>
      <c r="AW3170" s="782"/>
      <c r="AX3170" s="782">
        <v>12036656</v>
      </c>
      <c r="AY3170" s="799"/>
      <c r="AZ3170" s="781"/>
      <c r="BA3170" s="781"/>
      <c r="BB3170" s="209">
        <v>23053184</v>
      </c>
    </row>
    <row r="3171" spans="1:54" ht="25" customHeight="1">
      <c r="B3171" s="213">
        <v>46086</v>
      </c>
      <c r="C3171" s="902" t="s">
        <v>2708</v>
      </c>
      <c r="D3171" s="215">
        <f t="shared" si="1458"/>
        <v>2026</v>
      </c>
      <c r="E3171" s="214" t="e">
        <f>VLOOKUP($B3171,Week!$A$1:$C$1462,2,0)</f>
        <v>#N/A</v>
      </c>
      <c r="F3171" s="216" t="str">
        <f t="shared" si="1459"/>
        <v>Mar</v>
      </c>
      <c r="G3171" s="215" t="s">
        <v>47</v>
      </c>
      <c r="H3171" s="215" t="s">
        <v>260</v>
      </c>
      <c r="I3171" s="215" t="s">
        <v>2702</v>
      </c>
      <c r="J3171" s="209" t="s">
        <v>2702</v>
      </c>
      <c r="K3171" s="217" t="s">
        <v>2706</v>
      </c>
      <c r="L3171" s="217" t="s">
        <v>2167</v>
      </c>
      <c r="M3171" s="209" t="s">
        <v>2733</v>
      </c>
      <c r="N3171" s="480" t="s">
        <v>2734</v>
      </c>
      <c r="O3171" s="215" t="s">
        <v>2735</v>
      </c>
      <c r="P3171" s="218">
        <v>12</v>
      </c>
      <c r="Q3171" s="218">
        <v>2</v>
      </c>
      <c r="R3171" s="219">
        <v>6.0000000000000001E-3</v>
      </c>
      <c r="S3171" s="215" t="s">
        <v>55</v>
      </c>
      <c r="T3171" s="215" t="s">
        <v>56</v>
      </c>
      <c r="U3171" s="852" t="s">
        <v>2707</v>
      </c>
      <c r="V3171" s="220">
        <v>1319</v>
      </c>
      <c r="W3171" s="220">
        <v>1319</v>
      </c>
      <c r="X3171" s="221"/>
      <c r="Y3171" s="222">
        <f t="shared" si="1466"/>
        <v>0</v>
      </c>
      <c r="Z3171" s="223">
        <f t="shared" si="1467"/>
        <v>0</v>
      </c>
      <c r="AA3171" s="223">
        <f t="shared" si="1473"/>
        <v>0</v>
      </c>
      <c r="AB3171" s="807">
        <v>1.7000000000000001E-2</v>
      </c>
      <c r="AC3171" s="220">
        <f t="shared" si="1468"/>
        <v>0</v>
      </c>
      <c r="AD3171" s="443"/>
      <c r="AE3171" s="210">
        <f t="shared" si="1469"/>
        <v>0</v>
      </c>
      <c r="AF3171" s="210">
        <f t="shared" si="1470"/>
        <v>0</v>
      </c>
      <c r="AG3171" s="211">
        <f t="shared" si="1471"/>
        <v>0.22500000000000001</v>
      </c>
      <c r="AH3171" s="157">
        <v>0.26621999999999996</v>
      </c>
      <c r="AI3171" s="152">
        <f t="shared" si="1472"/>
        <v>15828</v>
      </c>
      <c r="AK3171" s="156" t="s">
        <v>691</v>
      </c>
      <c r="AL3171" s="574" t="s">
        <v>690</v>
      </c>
      <c r="AM3171" s="198">
        <f t="shared" si="1474"/>
        <v>0</v>
      </c>
      <c r="AN3171" s="199">
        <f t="shared" si="1475"/>
        <v>46086</v>
      </c>
      <c r="AO3171" s="159" t="s">
        <v>692</v>
      </c>
      <c r="AP3171" s="781" t="s">
        <v>642</v>
      </c>
      <c r="AQ3171" s="782">
        <v>12071839</v>
      </c>
      <c r="AR3171" s="782"/>
      <c r="AS3171" s="782"/>
      <c r="AT3171" s="782">
        <v>12098021</v>
      </c>
      <c r="AU3171" s="783" t="s">
        <v>2979</v>
      </c>
      <c r="AV3171" s="782">
        <v>12098022</v>
      </c>
      <c r="AW3171" s="783"/>
      <c r="AX3171" s="781"/>
      <c r="AY3171" s="796"/>
      <c r="AZ3171" s="796"/>
      <c r="BA3171" s="796"/>
      <c r="BB3171" s="209">
        <v>23099860</v>
      </c>
    </row>
    <row r="3172" spans="1:54" ht="24.75" customHeight="1">
      <c r="B3172" s="295">
        <v>46086</v>
      </c>
      <c r="C3172" s="771" t="s">
        <v>2708</v>
      </c>
      <c r="D3172" s="185">
        <f t="shared" ref="D3172:D3178" si="1476">IF(B3172="","",YEAR(B3172))</f>
        <v>2026</v>
      </c>
      <c r="E3172" s="296" t="e">
        <f>VLOOKUP($B3172,Week!$A$1:$C$1462,2,0)</f>
        <v>#N/A</v>
      </c>
      <c r="F3172" s="297" t="str">
        <f t="shared" ref="F3172:F3178" si="1477">IF(B3172="","",TEXT(B3172,"[$-409]mmm"))</f>
        <v>Mar</v>
      </c>
      <c r="G3172" s="648" t="s">
        <v>47</v>
      </c>
      <c r="H3172" s="298" t="s">
        <v>260</v>
      </c>
      <c r="I3172" s="298" t="s">
        <v>2702</v>
      </c>
      <c r="J3172" s="307" t="s">
        <v>2240</v>
      </c>
      <c r="K3172" s="300" t="s">
        <v>176</v>
      </c>
      <c r="L3172" s="300" t="s">
        <v>2167</v>
      </c>
      <c r="M3172" s="299" t="s">
        <v>2338</v>
      </c>
      <c r="N3172" s="298" t="s">
        <v>350</v>
      </c>
      <c r="O3172" s="298" t="s">
        <v>351</v>
      </c>
      <c r="P3172" s="301">
        <v>24</v>
      </c>
      <c r="Q3172" s="301">
        <v>5</v>
      </c>
      <c r="R3172" s="302">
        <v>6.1999999999999998E-3</v>
      </c>
      <c r="S3172" s="298" t="s">
        <v>352</v>
      </c>
      <c r="T3172" s="298" t="s">
        <v>56</v>
      </c>
      <c r="U3172" s="298" t="s">
        <v>57</v>
      </c>
      <c r="V3172" s="303">
        <v>2428</v>
      </c>
      <c r="W3172" s="303">
        <f>2428</f>
        <v>2428</v>
      </c>
      <c r="X3172" s="304"/>
      <c r="Y3172" s="305">
        <f t="shared" si="1466"/>
        <v>0</v>
      </c>
      <c r="Z3172" s="306">
        <f t="shared" si="1467"/>
        <v>0</v>
      </c>
      <c r="AA3172" s="306">
        <f t="shared" si="1473"/>
        <v>0</v>
      </c>
      <c r="AB3172" s="814">
        <v>7.4999999999999997E-3</v>
      </c>
      <c r="AC3172" s="303">
        <f t="shared" si="1468"/>
        <v>0</v>
      </c>
      <c r="AD3172" s="443"/>
      <c r="AE3172" s="210">
        <f t="shared" si="1469"/>
        <v>0</v>
      </c>
      <c r="AF3172" s="210">
        <f t="shared" si="1470"/>
        <v>0</v>
      </c>
      <c r="AG3172" s="211">
        <f t="shared" si="1471"/>
        <v>0.13</v>
      </c>
      <c r="AH3172" s="157">
        <f>(Z3172*AG3172)/1000</f>
        <v>0</v>
      </c>
      <c r="AI3172" s="152">
        <f t="shared" si="1472"/>
        <v>58272</v>
      </c>
      <c r="AK3172" s="156" t="s">
        <v>691</v>
      </c>
      <c r="AL3172" s="574" t="s">
        <v>690</v>
      </c>
      <c r="AM3172" s="198">
        <f t="shared" si="1474"/>
        <v>0</v>
      </c>
      <c r="AN3172" s="199">
        <f t="shared" si="1475"/>
        <v>46086</v>
      </c>
      <c r="AO3172" s="159" t="s">
        <v>692</v>
      </c>
      <c r="AP3172" s="783" t="s">
        <v>622</v>
      </c>
      <c r="AQ3172" s="782">
        <v>12071839</v>
      </c>
      <c r="AR3172" s="782">
        <v>12094356</v>
      </c>
      <c r="AS3172" s="782">
        <v>12068233</v>
      </c>
      <c r="AT3172" s="781"/>
      <c r="AU3172" s="781"/>
      <c r="AV3172" s="782">
        <v>12062075</v>
      </c>
      <c r="AW3172" s="781"/>
      <c r="AX3172" s="781"/>
      <c r="AY3172" s="782">
        <v>12094357</v>
      </c>
      <c r="AZ3172" s="782"/>
      <c r="BA3172" s="781"/>
      <c r="BB3172" s="209">
        <v>23053184</v>
      </c>
    </row>
    <row r="3173" spans="1:54" ht="25" customHeight="1">
      <c r="A3173" s="142" t="s">
        <v>120</v>
      </c>
      <c r="B3173" s="320">
        <v>46087</v>
      </c>
      <c r="C3173" s="321">
        <v>46093</v>
      </c>
      <c r="D3173" s="323">
        <f t="shared" si="1476"/>
        <v>2026</v>
      </c>
      <c r="E3173" s="321" t="e">
        <f>VLOOKUP($B3173,Week!$A$1:$C$1462,2,0)</f>
        <v>#N/A</v>
      </c>
      <c r="F3173" s="322" t="str">
        <f t="shared" si="1477"/>
        <v>Mar</v>
      </c>
      <c r="G3173" s="323" t="s">
        <v>2757</v>
      </c>
      <c r="H3173" s="323" t="s">
        <v>363</v>
      </c>
      <c r="I3173" s="323" t="s">
        <v>2772</v>
      </c>
      <c r="J3173" s="324" t="s">
        <v>364</v>
      </c>
      <c r="K3173" s="325" t="s">
        <v>2583</v>
      </c>
      <c r="L3173" s="325" t="s">
        <v>2166</v>
      </c>
      <c r="M3173" s="324" t="s">
        <v>2586</v>
      </c>
      <c r="N3173" s="323" t="s">
        <v>2584</v>
      </c>
      <c r="O3173" s="323" t="s">
        <v>2587</v>
      </c>
      <c r="P3173" s="326">
        <v>20</v>
      </c>
      <c r="Q3173" s="326">
        <v>50</v>
      </c>
      <c r="R3173" s="327">
        <v>4.0000000000000001E-3</v>
      </c>
      <c r="S3173" s="323" t="s">
        <v>55</v>
      </c>
      <c r="T3173" s="323" t="s">
        <v>112</v>
      </c>
      <c r="U3173" s="323" t="s">
        <v>77</v>
      </c>
      <c r="V3173" s="328">
        <v>243</v>
      </c>
      <c r="W3173" s="328">
        <v>243</v>
      </c>
      <c r="X3173" s="329"/>
      <c r="Y3173" s="330">
        <f t="shared" si="1466"/>
        <v>0</v>
      </c>
      <c r="Z3173" s="331">
        <f t="shared" si="1467"/>
        <v>0</v>
      </c>
      <c r="AA3173" s="331">
        <f t="shared" si="1473"/>
        <v>0</v>
      </c>
      <c r="AB3173" s="816">
        <v>6</v>
      </c>
      <c r="AC3173" s="328">
        <f t="shared" si="1468"/>
        <v>0</v>
      </c>
      <c r="AD3173" s="209"/>
      <c r="AE3173" s="210">
        <f t="shared" si="1469"/>
        <v>0</v>
      </c>
      <c r="AF3173" s="210">
        <f t="shared" si="1470"/>
        <v>0</v>
      </c>
      <c r="AG3173" s="211">
        <f t="shared" si="1471"/>
        <v>0.5</v>
      </c>
      <c r="AH3173" s="157">
        <f>(Z3173*AG3173)/1000</f>
        <v>0</v>
      </c>
      <c r="AI3173" s="152">
        <f t="shared" si="1472"/>
        <v>4860</v>
      </c>
      <c r="AK3173" s="156" t="s">
        <v>691</v>
      </c>
      <c r="AL3173" s="156" t="s">
        <v>689</v>
      </c>
      <c r="AM3173" s="198">
        <f t="shared" si="1474"/>
        <v>0</v>
      </c>
      <c r="AN3173" s="199">
        <f t="shared" si="1475"/>
        <v>46087</v>
      </c>
      <c r="AO3173" s="159" t="s">
        <v>692</v>
      </c>
      <c r="AP3173" s="783" t="s">
        <v>620</v>
      </c>
      <c r="AQ3173" s="796" t="s">
        <v>422</v>
      </c>
      <c r="AR3173" s="782">
        <v>12055234</v>
      </c>
      <c r="AS3173" s="781"/>
      <c r="AT3173" s="782"/>
      <c r="AU3173" s="782"/>
      <c r="AV3173" s="782">
        <v>12097165</v>
      </c>
      <c r="AW3173" s="782"/>
      <c r="AX3173" s="782">
        <v>12036656</v>
      </c>
      <c r="AY3173" s="799"/>
      <c r="AZ3173" s="781"/>
      <c r="BA3173" s="781"/>
      <c r="BB3173" s="209">
        <v>23053184</v>
      </c>
    </row>
    <row r="3174" spans="1:54" ht="25" customHeight="1">
      <c r="B3174" s="424">
        <v>46087</v>
      </c>
      <c r="C3174" s="647" t="s">
        <v>2708</v>
      </c>
      <c r="D3174" s="185">
        <f>IF(B3174="","",YEAR(B3174))</f>
        <v>2026</v>
      </c>
      <c r="E3174" s="425" t="e">
        <f>VLOOKUP($B3174,Week!$A$1:$C$1462,2,0)</f>
        <v>#N/A</v>
      </c>
      <c r="F3174" s="426" t="str">
        <f>IF(B3174="","",TEXT(B3174,"[$-409]mmm"))</f>
        <v>Mar</v>
      </c>
      <c r="G3174" s="427" t="s">
        <v>47</v>
      </c>
      <c r="H3174" s="427" t="s">
        <v>518</v>
      </c>
      <c r="I3174" s="427" t="s">
        <v>2702</v>
      </c>
      <c r="J3174" s="428" t="s">
        <v>70</v>
      </c>
      <c r="K3174" s="429" t="s">
        <v>94</v>
      </c>
      <c r="L3174" s="300" t="s">
        <v>2167</v>
      </c>
      <c r="M3174" s="428" t="s">
        <v>2342</v>
      </c>
      <c r="N3174" s="427" t="s">
        <v>587</v>
      </c>
      <c r="O3174" s="427" t="s">
        <v>3198</v>
      </c>
      <c r="P3174" s="430">
        <v>18</v>
      </c>
      <c r="Q3174" s="430">
        <v>5</v>
      </c>
      <c r="R3174" s="431">
        <v>8.0000000000000002E-3</v>
      </c>
      <c r="S3174" s="427" t="s">
        <v>40</v>
      </c>
      <c r="T3174" s="427" t="s">
        <v>56</v>
      </c>
      <c r="U3174" s="427" t="s">
        <v>89</v>
      </c>
      <c r="V3174" s="432">
        <f>1200-875</f>
        <v>325</v>
      </c>
      <c r="W3174" s="432">
        <f>1+325</f>
        <v>326</v>
      </c>
      <c r="X3174" s="433"/>
      <c r="Y3174" s="434">
        <f t="shared" si="1466"/>
        <v>1</v>
      </c>
      <c r="Z3174" s="435">
        <f t="shared" si="1467"/>
        <v>0</v>
      </c>
      <c r="AA3174" s="435">
        <f t="shared" si="1473"/>
        <v>0</v>
      </c>
      <c r="AB3174" s="826">
        <v>1</v>
      </c>
      <c r="AC3174" s="432">
        <f t="shared" si="1468"/>
        <v>0</v>
      </c>
      <c r="AD3174" s="209"/>
      <c r="AE3174" s="210">
        <f t="shared" si="1469"/>
        <v>0</v>
      </c>
      <c r="AF3174" s="210">
        <f t="shared" si="1470"/>
        <v>0</v>
      </c>
      <c r="AG3174" s="211" t="e">
        <f>(MID(O3174,1,3)/1000)/3</f>
        <v>#VALUE!</v>
      </c>
      <c r="AH3174" s="157" t="e">
        <f>(Z3174*AG3174)/1000</f>
        <v>#VALUE!</v>
      </c>
      <c r="AI3174" s="152">
        <f t="shared" si="1472"/>
        <v>5850</v>
      </c>
      <c r="AK3174" s="156" t="s">
        <v>691</v>
      </c>
      <c r="AL3174" s="212" t="s">
        <v>690</v>
      </c>
      <c r="AM3174" s="198" t="e">
        <f t="shared" si="1474"/>
        <v>#VALUE!</v>
      </c>
      <c r="AN3174" s="199">
        <f t="shared" si="1475"/>
        <v>46087</v>
      </c>
      <c r="AO3174" s="159" t="s">
        <v>692</v>
      </c>
      <c r="AP3174" s="783" t="s">
        <v>628</v>
      </c>
      <c r="AQ3174" s="782"/>
      <c r="AR3174" s="782"/>
      <c r="AS3174" s="782"/>
      <c r="AT3174" s="782"/>
      <c r="AU3174" s="781"/>
      <c r="AV3174" s="782">
        <v>12080791</v>
      </c>
      <c r="AW3174" s="782" t="s">
        <v>641</v>
      </c>
      <c r="AX3174" s="782" t="s">
        <v>533</v>
      </c>
      <c r="AY3174" s="782"/>
      <c r="AZ3174" s="782"/>
      <c r="BA3174" s="781"/>
      <c r="BB3174" s="209">
        <v>23053184</v>
      </c>
    </row>
    <row r="3175" spans="1:54" ht="24.65" customHeight="1">
      <c r="B3175" s="411">
        <v>46087</v>
      </c>
      <c r="C3175" s="645" t="s">
        <v>2708</v>
      </c>
      <c r="D3175" s="185">
        <f>IF(B3175="","",YEAR(B3175))</f>
        <v>2026</v>
      </c>
      <c r="E3175" s="412" t="e">
        <f>VLOOKUP($B3175,Week!$A$1:$C$1462,2,0)</f>
        <v>#N/A</v>
      </c>
      <c r="F3175" s="413" t="str">
        <f>IF(B3175="","",TEXT(B3175,"[$-409]mmm"))</f>
        <v>Mar</v>
      </c>
      <c r="G3175" s="414" t="s">
        <v>47</v>
      </c>
      <c r="H3175" s="414" t="s">
        <v>260</v>
      </c>
      <c r="I3175" s="414" t="s">
        <v>2702</v>
      </c>
      <c r="J3175" s="415" t="s">
        <v>261</v>
      </c>
      <c r="K3175" s="416" t="s">
        <v>94</v>
      </c>
      <c r="L3175" s="300" t="s">
        <v>2167</v>
      </c>
      <c r="M3175" s="415" t="s">
        <v>2339</v>
      </c>
      <c r="N3175" s="414" t="s">
        <v>263</v>
      </c>
      <c r="O3175" s="414" t="s">
        <v>195</v>
      </c>
      <c r="P3175" s="417">
        <v>24</v>
      </c>
      <c r="Q3175" s="417">
        <v>5</v>
      </c>
      <c r="R3175" s="418">
        <v>8.0000000000000002E-3</v>
      </c>
      <c r="S3175" s="414" t="s">
        <v>40</v>
      </c>
      <c r="T3175" s="414" t="s">
        <v>56</v>
      </c>
      <c r="U3175" s="414" t="s">
        <v>57</v>
      </c>
      <c r="V3175" s="419">
        <v>1321</v>
      </c>
      <c r="W3175" s="419">
        <f>1321</f>
        <v>1321</v>
      </c>
      <c r="X3175" s="420"/>
      <c r="Y3175" s="421">
        <f t="shared" si="1466"/>
        <v>0</v>
      </c>
      <c r="Z3175" s="422">
        <f t="shared" si="1467"/>
        <v>0</v>
      </c>
      <c r="AA3175" s="422">
        <f t="shared" si="1473"/>
        <v>0</v>
      </c>
      <c r="AB3175" s="825">
        <v>7.4999999999999997E-3</v>
      </c>
      <c r="AC3175" s="419">
        <f t="shared" si="1468"/>
        <v>0</v>
      </c>
      <c r="AD3175" s="209"/>
      <c r="AE3175" s="210">
        <f t="shared" si="1469"/>
        <v>0</v>
      </c>
      <c r="AF3175" s="210">
        <f t="shared" si="1470"/>
        <v>0</v>
      </c>
      <c r="AG3175" s="211">
        <f t="shared" ref="AG3175:AG3184" si="1478">MID(O3175,1,3)/1000</f>
        <v>0.14499999999999999</v>
      </c>
      <c r="AH3175" s="157">
        <f>(Z3175*AG3175)/1000</f>
        <v>0</v>
      </c>
      <c r="AI3175" s="152">
        <f t="shared" si="1472"/>
        <v>31704</v>
      </c>
      <c r="AK3175" s="156" t="s">
        <v>691</v>
      </c>
      <c r="AL3175" s="212" t="s">
        <v>690</v>
      </c>
      <c r="AM3175" s="198">
        <f t="shared" si="1474"/>
        <v>0</v>
      </c>
      <c r="AN3175" s="199">
        <f t="shared" si="1475"/>
        <v>46087</v>
      </c>
      <c r="AO3175" s="159" t="s">
        <v>692</v>
      </c>
      <c r="AP3175" s="783" t="s">
        <v>609</v>
      </c>
      <c r="AQ3175" s="782">
        <v>12071839</v>
      </c>
      <c r="AR3175" s="782">
        <v>12047514</v>
      </c>
      <c r="AS3175" s="782">
        <v>12047515</v>
      </c>
      <c r="AT3175" s="781"/>
      <c r="AU3175" s="781"/>
      <c r="AV3175" s="782">
        <v>12080613</v>
      </c>
      <c r="AW3175" s="781"/>
      <c r="AX3175" s="781"/>
      <c r="AY3175" s="782">
        <v>12094241</v>
      </c>
      <c r="AZ3175" s="782">
        <v>12094242</v>
      </c>
      <c r="BA3175" s="781"/>
      <c r="BB3175" s="209">
        <v>23053185</v>
      </c>
    </row>
    <row r="3176" spans="1:54" ht="25" customHeight="1">
      <c r="B3176" s="743">
        <v>46087</v>
      </c>
      <c r="C3176" s="744" t="s">
        <v>2708</v>
      </c>
      <c r="D3176" s="215">
        <f>IF(B3176="","",YEAR(B3176))</f>
        <v>2026</v>
      </c>
      <c r="E3176" s="214" t="e">
        <f>VLOOKUP($B3176,Week!$A$1:$C$1462,2,0)</f>
        <v>#N/A</v>
      </c>
      <c r="F3176" s="216" t="str">
        <f>IF(B3176="","",TEXT(B3176,"[$-409]mmm"))</f>
        <v>Mar</v>
      </c>
      <c r="G3176" s="746" t="s">
        <v>47</v>
      </c>
      <c r="H3176" s="746" t="s">
        <v>260</v>
      </c>
      <c r="I3176" s="215" t="s">
        <v>2702</v>
      </c>
      <c r="J3176" s="747" t="s">
        <v>2702</v>
      </c>
      <c r="K3176" s="748" t="s">
        <v>2703</v>
      </c>
      <c r="L3176" s="217" t="s">
        <v>2167</v>
      </c>
      <c r="M3176" s="747" t="s">
        <v>2705</v>
      </c>
      <c r="N3176" s="915" t="s">
        <v>2704</v>
      </c>
      <c r="O3176" s="746" t="s">
        <v>1635</v>
      </c>
      <c r="P3176" s="749">
        <v>24</v>
      </c>
      <c r="Q3176" s="749">
        <v>3</v>
      </c>
      <c r="R3176" s="849">
        <v>6.1999999999999998E-3</v>
      </c>
      <c r="S3176" s="746" t="s">
        <v>352</v>
      </c>
      <c r="T3176" s="746" t="s">
        <v>56</v>
      </c>
      <c r="U3176" s="860" t="s">
        <v>739</v>
      </c>
      <c r="V3176" s="750">
        <f>5600-2492-2505</f>
        <v>603</v>
      </c>
      <c r="W3176" s="750">
        <f>603</f>
        <v>603</v>
      </c>
      <c r="X3176" s="751"/>
      <c r="Y3176" s="752">
        <f t="shared" si="1466"/>
        <v>0</v>
      </c>
      <c r="Z3176" s="753">
        <f t="shared" si="1467"/>
        <v>0</v>
      </c>
      <c r="AA3176" s="753">
        <f t="shared" si="1473"/>
        <v>0</v>
      </c>
      <c r="AB3176" s="838">
        <v>1.83E-2</v>
      </c>
      <c r="AC3176" s="750">
        <f t="shared" si="1468"/>
        <v>0</v>
      </c>
      <c r="AD3176" s="443"/>
      <c r="AE3176" s="210">
        <f t="shared" si="1469"/>
        <v>0</v>
      </c>
      <c r="AF3176" s="210">
        <f t="shared" si="1470"/>
        <v>0</v>
      </c>
      <c r="AG3176" s="211">
        <f t="shared" si="1478"/>
        <v>0.25</v>
      </c>
      <c r="AH3176" s="157">
        <v>0.26621999999999996</v>
      </c>
      <c r="AI3176" s="152">
        <f t="shared" si="1472"/>
        <v>14472</v>
      </c>
      <c r="AK3176" s="156" t="s">
        <v>691</v>
      </c>
      <c r="AL3176" s="574" t="s">
        <v>690</v>
      </c>
      <c r="AM3176" s="198">
        <f t="shared" si="1474"/>
        <v>0</v>
      </c>
      <c r="AN3176" s="199">
        <f t="shared" si="1475"/>
        <v>46087</v>
      </c>
      <c r="AO3176" s="159" t="s">
        <v>692</v>
      </c>
      <c r="AP3176" s="781" t="s">
        <v>642</v>
      </c>
      <c r="AQ3176" s="782">
        <v>12071839</v>
      </c>
      <c r="AR3176" s="782">
        <v>12042650</v>
      </c>
      <c r="AS3176" s="782">
        <v>12042649</v>
      </c>
      <c r="AT3176" s="782"/>
      <c r="AU3176" s="783"/>
      <c r="AV3176" s="782">
        <v>12097895</v>
      </c>
      <c r="AW3176" s="783"/>
      <c r="AX3176" s="781"/>
      <c r="AY3176" s="796">
        <v>12097893</v>
      </c>
      <c r="AZ3176" s="796">
        <v>12097894</v>
      </c>
      <c r="BA3176" s="796" t="s">
        <v>2462</v>
      </c>
      <c r="BB3176" s="209">
        <v>23099860</v>
      </c>
    </row>
    <row r="3177" spans="1:54" ht="25" customHeight="1">
      <c r="B3177" s="743">
        <v>46087</v>
      </c>
      <c r="C3177" s="848" t="s">
        <v>2708</v>
      </c>
      <c r="D3177" s="215">
        <f>IF(B3177="","",YEAR(B3177))</f>
        <v>2026</v>
      </c>
      <c r="E3177" s="214" t="e">
        <f>VLOOKUP($B3177,Week!$A$1:$C$1462,2,0)</f>
        <v>#N/A</v>
      </c>
      <c r="F3177" s="216" t="str">
        <f>IF(B3177="","",TEXT(B3177,"[$-409]mmm"))</f>
        <v>Mar</v>
      </c>
      <c r="G3177" s="746" t="s">
        <v>47</v>
      </c>
      <c r="H3177" s="746" t="s">
        <v>260</v>
      </c>
      <c r="I3177" s="215" t="s">
        <v>2702</v>
      </c>
      <c r="J3177" s="747" t="s">
        <v>2702</v>
      </c>
      <c r="K3177" s="748" t="s">
        <v>2703</v>
      </c>
      <c r="L3177" s="217" t="s">
        <v>2167</v>
      </c>
      <c r="M3177" s="747" t="s">
        <v>2705</v>
      </c>
      <c r="N3177" s="915" t="s">
        <v>2704</v>
      </c>
      <c r="O3177" s="746" t="s">
        <v>1635</v>
      </c>
      <c r="P3177" s="749">
        <v>24</v>
      </c>
      <c r="Q3177" s="749">
        <v>3</v>
      </c>
      <c r="R3177" s="849">
        <v>6.1999999999999998E-3</v>
      </c>
      <c r="S3177" s="746" t="s">
        <v>352</v>
      </c>
      <c r="T3177" s="746" t="s">
        <v>56</v>
      </c>
      <c r="U3177" s="860" t="s">
        <v>739</v>
      </c>
      <c r="V3177" s="750">
        <v>2262</v>
      </c>
      <c r="W3177" s="750">
        <f>2865-603</f>
        <v>2262</v>
      </c>
      <c r="X3177" s="751"/>
      <c r="Y3177" s="752">
        <f t="shared" si="1466"/>
        <v>0</v>
      </c>
      <c r="Z3177" s="753">
        <f t="shared" si="1467"/>
        <v>0</v>
      </c>
      <c r="AA3177" s="753">
        <f t="shared" si="1473"/>
        <v>0</v>
      </c>
      <c r="AB3177" s="838">
        <v>1.83E-2</v>
      </c>
      <c r="AC3177" s="750">
        <f t="shared" si="1468"/>
        <v>0</v>
      </c>
      <c r="AD3177" s="443"/>
      <c r="AE3177" s="210">
        <f t="shared" si="1469"/>
        <v>0</v>
      </c>
      <c r="AF3177" s="210">
        <f t="shared" si="1470"/>
        <v>0</v>
      </c>
      <c r="AG3177" s="211">
        <f t="shared" si="1478"/>
        <v>0.25</v>
      </c>
      <c r="AH3177" s="157">
        <v>0.26621999999999996</v>
      </c>
      <c r="AI3177" s="152">
        <f t="shared" si="1472"/>
        <v>54288</v>
      </c>
      <c r="AK3177" s="156" t="s">
        <v>691</v>
      </c>
      <c r="AL3177" s="574" t="s">
        <v>690</v>
      </c>
      <c r="AM3177" s="198">
        <f t="shared" si="1474"/>
        <v>0</v>
      </c>
      <c r="AN3177" s="199">
        <f t="shared" si="1475"/>
        <v>46087</v>
      </c>
      <c r="AO3177" s="159" t="s">
        <v>692</v>
      </c>
      <c r="AP3177" s="781" t="s">
        <v>642</v>
      </c>
      <c r="AQ3177" s="782">
        <v>12071839</v>
      </c>
      <c r="AR3177" s="782">
        <v>12042650</v>
      </c>
      <c r="AS3177" s="782">
        <v>12042649</v>
      </c>
      <c r="AT3177" s="782"/>
      <c r="AU3177" s="783"/>
      <c r="AV3177" s="782">
        <v>12097895</v>
      </c>
      <c r="AW3177" s="783"/>
      <c r="AX3177" s="781"/>
      <c r="AY3177" s="796">
        <v>12097893</v>
      </c>
      <c r="AZ3177" s="796">
        <v>12097894</v>
      </c>
      <c r="BA3177" s="796" t="s">
        <v>2462</v>
      </c>
      <c r="BB3177" s="209">
        <v>23099860</v>
      </c>
    </row>
    <row r="3178" spans="1:54" ht="25" customHeight="1">
      <c r="A3178" s="142" t="s">
        <v>120</v>
      </c>
      <c r="B3178" s="320">
        <v>46088</v>
      </c>
      <c r="C3178" s="321">
        <v>46093</v>
      </c>
      <c r="D3178" s="323">
        <f t="shared" si="1476"/>
        <v>2026</v>
      </c>
      <c r="E3178" s="321" t="e">
        <f>VLOOKUP($B3178,Week!$A$1:$C$1462,2,0)</f>
        <v>#N/A</v>
      </c>
      <c r="F3178" s="322" t="str">
        <f t="shared" si="1477"/>
        <v>Mar</v>
      </c>
      <c r="G3178" s="323" t="s">
        <v>2757</v>
      </c>
      <c r="H3178" s="323" t="s">
        <v>363</v>
      </c>
      <c r="I3178" s="323" t="s">
        <v>2772</v>
      </c>
      <c r="J3178" s="324" t="s">
        <v>364</v>
      </c>
      <c r="K3178" s="325" t="s">
        <v>2583</v>
      </c>
      <c r="L3178" s="325" t="s">
        <v>2166</v>
      </c>
      <c r="M3178" s="324" t="s">
        <v>2586</v>
      </c>
      <c r="N3178" s="323" t="s">
        <v>2584</v>
      </c>
      <c r="O3178" s="323" t="s">
        <v>2587</v>
      </c>
      <c r="P3178" s="326">
        <v>20</v>
      </c>
      <c r="Q3178" s="326">
        <v>50</v>
      </c>
      <c r="R3178" s="327">
        <v>4.0000000000000001E-3</v>
      </c>
      <c r="S3178" s="323" t="s">
        <v>55</v>
      </c>
      <c r="T3178" s="323" t="s">
        <v>112</v>
      </c>
      <c r="U3178" s="323" t="s">
        <v>77</v>
      </c>
      <c r="V3178" s="328">
        <f>1040-8-243-243-242-243</f>
        <v>61</v>
      </c>
      <c r="W3178" s="328">
        <v>61</v>
      </c>
      <c r="X3178" s="329"/>
      <c r="Y3178" s="330">
        <f t="shared" si="1466"/>
        <v>0</v>
      </c>
      <c r="Z3178" s="331">
        <f t="shared" si="1467"/>
        <v>0</v>
      </c>
      <c r="AA3178" s="331">
        <f t="shared" si="1473"/>
        <v>0</v>
      </c>
      <c r="AB3178" s="816">
        <v>6</v>
      </c>
      <c r="AC3178" s="328">
        <f t="shared" si="1468"/>
        <v>0</v>
      </c>
      <c r="AD3178" s="209"/>
      <c r="AE3178" s="210">
        <f t="shared" si="1469"/>
        <v>0</v>
      </c>
      <c r="AF3178" s="210">
        <f t="shared" si="1470"/>
        <v>0</v>
      </c>
      <c r="AG3178" s="211">
        <f t="shared" si="1478"/>
        <v>0.5</v>
      </c>
      <c r="AH3178" s="157">
        <f>(Z3178*AG3178)/1000</f>
        <v>0</v>
      </c>
      <c r="AI3178" s="152">
        <f t="shared" si="1472"/>
        <v>1220</v>
      </c>
      <c r="AK3178" s="156" t="s">
        <v>691</v>
      </c>
      <c r="AL3178" s="156" t="s">
        <v>689</v>
      </c>
      <c r="AM3178" s="198">
        <f t="shared" si="1474"/>
        <v>0</v>
      </c>
      <c r="AN3178" s="199">
        <f t="shared" si="1475"/>
        <v>46088</v>
      </c>
      <c r="AO3178" s="159" t="s">
        <v>692</v>
      </c>
      <c r="AP3178" s="783" t="s">
        <v>620</v>
      </c>
      <c r="AQ3178" s="796" t="s">
        <v>422</v>
      </c>
      <c r="AR3178" s="782">
        <v>12055234</v>
      </c>
      <c r="AS3178" s="781"/>
      <c r="AT3178" s="782"/>
      <c r="AU3178" s="782"/>
      <c r="AV3178" s="782">
        <v>12097165</v>
      </c>
      <c r="AW3178" s="782"/>
      <c r="AX3178" s="782">
        <v>12036656</v>
      </c>
      <c r="AY3178" s="799"/>
      <c r="AZ3178" s="781"/>
      <c r="BA3178" s="781"/>
      <c r="BB3178" s="209">
        <v>23053184</v>
      </c>
    </row>
    <row r="3179" spans="1:54" ht="25" customHeight="1">
      <c r="A3179" s="142" t="s">
        <v>120</v>
      </c>
      <c r="B3179" s="320">
        <v>46088</v>
      </c>
      <c r="C3179" s="321">
        <v>46132</v>
      </c>
      <c r="D3179" s="323">
        <f t="shared" ref="D3179:D3218" si="1479">IF(B3179="","",YEAR(B3179))</f>
        <v>2026</v>
      </c>
      <c r="E3179" s="321" t="e">
        <f>VLOOKUP($B3179,Week!$A$1:$C$1462,2,0)</f>
        <v>#N/A</v>
      </c>
      <c r="F3179" s="322" t="str">
        <f t="shared" ref="F3179:F3218" si="1480">IF(B3179="","",TEXT(B3179,"[$-409]mmm"))</f>
        <v>Mar</v>
      </c>
      <c r="G3179" s="323" t="s">
        <v>2760</v>
      </c>
      <c r="H3179" s="323" t="s">
        <v>363</v>
      </c>
      <c r="I3179" s="323" t="s">
        <v>2772</v>
      </c>
      <c r="J3179" s="324" t="s">
        <v>364</v>
      </c>
      <c r="K3179" s="325" t="s">
        <v>2583</v>
      </c>
      <c r="L3179" s="325" t="s">
        <v>2166</v>
      </c>
      <c r="M3179" s="324" t="s">
        <v>2586</v>
      </c>
      <c r="N3179" s="323" t="s">
        <v>2584</v>
      </c>
      <c r="O3179" s="323" t="s">
        <v>2587</v>
      </c>
      <c r="P3179" s="326">
        <v>20</v>
      </c>
      <c r="Q3179" s="326">
        <v>50</v>
      </c>
      <c r="R3179" s="327">
        <v>4.0000000000000001E-3</v>
      </c>
      <c r="S3179" s="323" t="s">
        <v>55</v>
      </c>
      <c r="T3179" s="323" t="s">
        <v>112</v>
      </c>
      <c r="U3179" s="323" t="s">
        <v>77</v>
      </c>
      <c r="V3179" s="328">
        <f>230-61</f>
        <v>169</v>
      </c>
      <c r="W3179" s="328">
        <v>169</v>
      </c>
      <c r="X3179" s="329"/>
      <c r="Y3179" s="330">
        <f t="shared" si="1466"/>
        <v>0</v>
      </c>
      <c r="Z3179" s="331">
        <f t="shared" si="1467"/>
        <v>0</v>
      </c>
      <c r="AA3179" s="331">
        <f t="shared" si="1473"/>
        <v>0</v>
      </c>
      <c r="AB3179" s="816">
        <v>6</v>
      </c>
      <c r="AC3179" s="328">
        <f t="shared" si="1468"/>
        <v>0</v>
      </c>
      <c r="AD3179" s="209"/>
      <c r="AE3179" s="210">
        <f t="shared" si="1469"/>
        <v>0</v>
      </c>
      <c r="AF3179" s="210">
        <f t="shared" si="1470"/>
        <v>0</v>
      </c>
      <c r="AG3179" s="211">
        <f t="shared" si="1478"/>
        <v>0.5</v>
      </c>
      <c r="AH3179" s="157">
        <f>(Z3179*AG3179)/1000</f>
        <v>0</v>
      </c>
      <c r="AI3179" s="152">
        <f t="shared" si="1472"/>
        <v>3380</v>
      </c>
      <c r="AK3179" s="156" t="s">
        <v>691</v>
      </c>
      <c r="AL3179" s="156" t="s">
        <v>689</v>
      </c>
      <c r="AM3179" s="198">
        <f t="shared" si="1474"/>
        <v>0</v>
      </c>
      <c r="AN3179" s="199">
        <f t="shared" si="1475"/>
        <v>46088</v>
      </c>
      <c r="AO3179" s="159" t="s">
        <v>692</v>
      </c>
      <c r="AP3179" s="783" t="s">
        <v>620</v>
      </c>
      <c r="AQ3179" s="796" t="s">
        <v>422</v>
      </c>
      <c r="AR3179" s="782">
        <v>12055234</v>
      </c>
      <c r="AS3179" s="781"/>
      <c r="AT3179" s="782"/>
      <c r="AU3179" s="782"/>
      <c r="AV3179" s="782">
        <v>12097165</v>
      </c>
      <c r="AW3179" s="782"/>
      <c r="AX3179" s="782">
        <v>12036656</v>
      </c>
      <c r="AY3179" s="799"/>
      <c r="AZ3179" s="781"/>
      <c r="BA3179" s="781"/>
      <c r="BB3179" s="209">
        <v>23053184</v>
      </c>
    </row>
    <row r="3180" spans="1:54" ht="24.75" customHeight="1">
      <c r="B3180" s="320">
        <v>46088</v>
      </c>
      <c r="C3180" s="321">
        <v>46100</v>
      </c>
      <c r="D3180" s="185">
        <f t="shared" si="1479"/>
        <v>2026</v>
      </c>
      <c r="E3180" s="321" t="e">
        <f>VLOOKUP($B3180,Week!$A$1:$C$1462,2,0)</f>
        <v>#N/A</v>
      </c>
      <c r="F3180" s="322" t="str">
        <f t="shared" si="1480"/>
        <v>Mar</v>
      </c>
      <c r="G3180" s="323" t="s">
        <v>2862</v>
      </c>
      <c r="H3180" s="323" t="s">
        <v>311</v>
      </c>
      <c r="I3180" s="323" t="s">
        <v>2772</v>
      </c>
      <c r="J3180" s="324" t="s">
        <v>738</v>
      </c>
      <c r="K3180" s="325" t="s">
        <v>107</v>
      </c>
      <c r="L3180" s="300" t="s">
        <v>2167</v>
      </c>
      <c r="M3180" s="324" t="s">
        <v>313</v>
      </c>
      <c r="N3180" s="323" t="s">
        <v>591</v>
      </c>
      <c r="O3180" s="323" t="s">
        <v>592</v>
      </c>
      <c r="P3180" s="326">
        <v>8</v>
      </c>
      <c r="Q3180" s="326">
        <v>4</v>
      </c>
      <c r="R3180" s="327">
        <v>7.4999999999999997E-3</v>
      </c>
      <c r="S3180" s="323" t="s">
        <v>111</v>
      </c>
      <c r="T3180" s="323" t="s">
        <v>112</v>
      </c>
      <c r="U3180" s="323" t="s">
        <v>57</v>
      </c>
      <c r="V3180" s="328">
        <f>1000</f>
        <v>1000</v>
      </c>
      <c r="W3180" s="328"/>
      <c r="X3180" s="329">
        <f>(87+8575)/8</f>
        <v>1082.75</v>
      </c>
      <c r="Y3180" s="330">
        <f t="shared" si="1466"/>
        <v>82.75</v>
      </c>
      <c r="Z3180" s="331">
        <f t="shared" si="1467"/>
        <v>0</v>
      </c>
      <c r="AA3180" s="331">
        <f t="shared" si="1473"/>
        <v>0</v>
      </c>
      <c r="AB3180" s="816">
        <v>7.4999999999999997E-3</v>
      </c>
      <c r="AC3180" s="328">
        <f t="shared" si="1468"/>
        <v>0</v>
      </c>
      <c r="AD3180" s="443"/>
      <c r="AE3180" s="210">
        <f t="shared" si="1469"/>
        <v>0</v>
      </c>
      <c r="AF3180" s="210">
        <f t="shared" si="1470"/>
        <v>0</v>
      </c>
      <c r="AG3180" s="211">
        <f t="shared" si="1478"/>
        <v>0.30499999999999999</v>
      </c>
      <c r="AH3180" s="157">
        <f>(Z3180*AG3180)/1000</f>
        <v>0</v>
      </c>
      <c r="AI3180" s="152">
        <f t="shared" si="1472"/>
        <v>8000</v>
      </c>
      <c r="AK3180" s="156" t="s">
        <v>691</v>
      </c>
      <c r="AL3180" s="212" t="s">
        <v>690</v>
      </c>
      <c r="AM3180" s="198">
        <f t="shared" si="1474"/>
        <v>0</v>
      </c>
      <c r="AN3180" s="199">
        <f t="shared" si="1475"/>
        <v>46088</v>
      </c>
      <c r="AO3180" s="159" t="s">
        <v>692</v>
      </c>
      <c r="AP3180" s="783" t="s">
        <v>643</v>
      </c>
      <c r="AQ3180" s="782">
        <v>12063755</v>
      </c>
      <c r="AR3180" s="782">
        <v>12061353</v>
      </c>
      <c r="AS3180" s="782">
        <v>12061354</v>
      </c>
      <c r="AT3180" s="782">
        <v>12097462</v>
      </c>
      <c r="AU3180" s="781"/>
      <c r="AV3180" s="782">
        <v>12097463</v>
      </c>
      <c r="AW3180" s="782"/>
      <c r="AX3180" s="782"/>
      <c r="AY3180" s="782"/>
      <c r="AZ3180" s="782"/>
      <c r="BA3180" s="781"/>
      <c r="BB3180" s="209">
        <v>23053185</v>
      </c>
    </row>
    <row r="3181" spans="1:54" ht="24.75" customHeight="1">
      <c r="B3181" s="320">
        <v>46088</v>
      </c>
      <c r="C3181" s="321">
        <v>46107</v>
      </c>
      <c r="D3181" s="185">
        <f t="shared" si="1479"/>
        <v>2026</v>
      </c>
      <c r="E3181" s="321" t="e">
        <f>VLOOKUP($B3181,Week!$A$1:$C$1462,2,0)</f>
        <v>#N/A</v>
      </c>
      <c r="F3181" s="322" t="str">
        <f t="shared" si="1480"/>
        <v>Mar</v>
      </c>
      <c r="G3181" s="323" t="s">
        <v>2889</v>
      </c>
      <c r="H3181" s="323" t="s">
        <v>675</v>
      </c>
      <c r="I3181" s="323" t="s">
        <v>2772</v>
      </c>
      <c r="J3181" s="324" t="s">
        <v>2906</v>
      </c>
      <c r="K3181" s="325" t="s">
        <v>107</v>
      </c>
      <c r="L3181" s="300" t="s">
        <v>2167</v>
      </c>
      <c r="M3181" s="324" t="s">
        <v>313</v>
      </c>
      <c r="N3181" s="596" t="s">
        <v>710</v>
      </c>
      <c r="O3181" s="323" t="s">
        <v>592</v>
      </c>
      <c r="P3181" s="326">
        <v>8</v>
      </c>
      <c r="Q3181" s="326">
        <v>4</v>
      </c>
      <c r="R3181" s="327">
        <v>7.4999999999999997E-3</v>
      </c>
      <c r="S3181" s="323" t="s">
        <v>111</v>
      </c>
      <c r="T3181" s="323" t="s">
        <v>112</v>
      </c>
      <c r="U3181" s="323" t="s">
        <v>57</v>
      </c>
      <c r="V3181" s="328">
        <f>150</f>
        <v>150</v>
      </c>
      <c r="W3181" s="328">
        <f>43+107</f>
        <v>150</v>
      </c>
      <c r="X3181" s="329"/>
      <c r="Y3181" s="330">
        <f t="shared" si="1466"/>
        <v>0</v>
      </c>
      <c r="Z3181" s="331">
        <f t="shared" si="1467"/>
        <v>0</v>
      </c>
      <c r="AA3181" s="331">
        <f t="shared" si="1473"/>
        <v>0</v>
      </c>
      <c r="AB3181" s="816">
        <v>7.4999999999999997E-3</v>
      </c>
      <c r="AC3181" s="328">
        <f t="shared" si="1468"/>
        <v>0</v>
      </c>
      <c r="AD3181" s="443"/>
      <c r="AE3181" s="210">
        <f t="shared" si="1469"/>
        <v>0</v>
      </c>
      <c r="AF3181" s="210">
        <f t="shared" si="1470"/>
        <v>0</v>
      </c>
      <c r="AG3181" s="211">
        <f t="shared" si="1478"/>
        <v>0.30499999999999999</v>
      </c>
      <c r="AH3181" s="157">
        <f>(Z3181*AG3181)/1000</f>
        <v>0</v>
      </c>
      <c r="AI3181" s="152">
        <f t="shared" si="1472"/>
        <v>1200</v>
      </c>
      <c r="AK3181" s="156" t="s">
        <v>691</v>
      </c>
      <c r="AL3181" s="212" t="s">
        <v>690</v>
      </c>
      <c r="AM3181" s="198">
        <f t="shared" si="1474"/>
        <v>0</v>
      </c>
      <c r="AN3181" s="199">
        <f t="shared" si="1475"/>
        <v>46088</v>
      </c>
      <c r="AO3181" s="159" t="s">
        <v>692</v>
      </c>
      <c r="AP3181" s="783" t="s">
        <v>643</v>
      </c>
      <c r="AQ3181" s="782">
        <v>12063755</v>
      </c>
      <c r="AR3181" s="782">
        <v>12061353</v>
      </c>
      <c r="AS3181" s="782">
        <v>12061354</v>
      </c>
      <c r="AT3181" s="782">
        <v>12089987</v>
      </c>
      <c r="AU3181" s="781"/>
      <c r="AV3181" s="782">
        <v>12089986</v>
      </c>
      <c r="AW3181" s="782"/>
      <c r="AX3181" s="782"/>
      <c r="AY3181" s="781" t="s">
        <v>2713</v>
      </c>
      <c r="AZ3181" s="781" t="s">
        <v>2714</v>
      </c>
      <c r="BA3181" s="781"/>
      <c r="BB3181" s="209">
        <v>23053185</v>
      </c>
    </row>
    <row r="3182" spans="1:54" ht="24.65" customHeight="1">
      <c r="B3182" s="308">
        <v>46088</v>
      </c>
      <c r="C3182" s="309">
        <v>46100</v>
      </c>
      <c r="D3182" s="185">
        <f t="shared" si="1479"/>
        <v>2026</v>
      </c>
      <c r="E3182" s="309" t="e">
        <f>VLOOKUP($B3182,Week!$A$1:$C$1462,2,0)</f>
        <v>#N/A</v>
      </c>
      <c r="F3182" s="310" t="str">
        <f t="shared" si="1480"/>
        <v>Mar</v>
      </c>
      <c r="G3182" s="311" t="s">
        <v>2780</v>
      </c>
      <c r="H3182" s="311" t="s">
        <v>311</v>
      </c>
      <c r="I3182" s="311" t="s">
        <v>2772</v>
      </c>
      <c r="J3182" s="312" t="s">
        <v>738</v>
      </c>
      <c r="K3182" s="313" t="s">
        <v>107</v>
      </c>
      <c r="L3182" s="300" t="s">
        <v>2167</v>
      </c>
      <c r="M3182" s="312" t="s">
        <v>313</v>
      </c>
      <c r="N3182" s="311" t="s">
        <v>314</v>
      </c>
      <c r="O3182" s="311" t="s">
        <v>110</v>
      </c>
      <c r="P3182" s="314">
        <v>36</v>
      </c>
      <c r="Q3182" s="314">
        <v>5</v>
      </c>
      <c r="R3182" s="315">
        <v>7.4999999999999997E-3</v>
      </c>
      <c r="S3182" s="311" t="s">
        <v>111</v>
      </c>
      <c r="T3182" s="311" t="s">
        <v>112</v>
      </c>
      <c r="U3182" s="311" t="s">
        <v>57</v>
      </c>
      <c r="V3182" s="316">
        <v>792</v>
      </c>
      <c r="W3182" s="316">
        <f>80+668+44</f>
        <v>792</v>
      </c>
      <c r="X3182" s="317"/>
      <c r="Y3182" s="318">
        <f t="shared" si="1466"/>
        <v>0</v>
      </c>
      <c r="Z3182" s="319">
        <f t="shared" si="1467"/>
        <v>0</v>
      </c>
      <c r="AA3182" s="319">
        <f t="shared" si="1473"/>
        <v>0</v>
      </c>
      <c r="AB3182" s="815">
        <v>7.4999999999999997E-3</v>
      </c>
      <c r="AC3182" s="316">
        <f t="shared" si="1468"/>
        <v>0</v>
      </c>
      <c r="AD3182" s="443"/>
      <c r="AE3182" s="210">
        <f t="shared" si="1469"/>
        <v>0</v>
      </c>
      <c r="AF3182" s="210">
        <f t="shared" si="1470"/>
        <v>0</v>
      </c>
      <c r="AG3182" s="211">
        <f t="shared" si="1478"/>
        <v>0.308</v>
      </c>
      <c r="AH3182" s="157">
        <f>(Z3182*AG3182)/1000</f>
        <v>0</v>
      </c>
      <c r="AI3182" s="152">
        <f t="shared" si="1472"/>
        <v>28512</v>
      </c>
      <c r="AK3182" s="156" t="s">
        <v>691</v>
      </c>
      <c r="AL3182" s="212" t="s">
        <v>690</v>
      </c>
      <c r="AM3182" s="198">
        <f t="shared" si="1474"/>
        <v>0</v>
      </c>
      <c r="AN3182" s="199">
        <f t="shared" si="1475"/>
        <v>46088</v>
      </c>
      <c r="AO3182" s="159" t="s">
        <v>692</v>
      </c>
      <c r="AP3182" s="783" t="s">
        <v>644</v>
      </c>
      <c r="AQ3182" s="782">
        <v>12063755</v>
      </c>
      <c r="AR3182" s="782">
        <v>12061353</v>
      </c>
      <c r="AS3182" s="782">
        <v>12061354</v>
      </c>
      <c r="AT3182" s="782">
        <v>12062266</v>
      </c>
      <c r="AU3182" s="781"/>
      <c r="AV3182" s="782">
        <v>12088159</v>
      </c>
      <c r="AW3182" s="782">
        <v>12088207</v>
      </c>
      <c r="AX3182" s="782"/>
      <c r="AY3182" s="782">
        <v>12094237</v>
      </c>
      <c r="AZ3182" s="782"/>
      <c r="BA3182" s="781"/>
      <c r="BB3182" s="209">
        <v>23053185</v>
      </c>
    </row>
    <row r="3183" spans="1:54" ht="25" customHeight="1">
      <c r="B3183" s="213">
        <v>46088</v>
      </c>
      <c r="C3183" s="902" t="s">
        <v>2708</v>
      </c>
      <c r="D3183" s="215">
        <f t="shared" si="1479"/>
        <v>2026</v>
      </c>
      <c r="E3183" s="214" t="e">
        <f>VLOOKUP($B3183,Week!$A$1:$C$1462,2,0)</f>
        <v>#N/A</v>
      </c>
      <c r="F3183" s="216" t="str">
        <f t="shared" si="1480"/>
        <v>Mar</v>
      </c>
      <c r="G3183" s="215" t="s">
        <v>47</v>
      </c>
      <c r="H3183" s="215" t="s">
        <v>260</v>
      </c>
      <c r="I3183" s="215" t="s">
        <v>2702</v>
      </c>
      <c r="J3183" s="209" t="s">
        <v>2702</v>
      </c>
      <c r="K3183" s="217" t="s">
        <v>2706</v>
      </c>
      <c r="L3183" s="217" t="s">
        <v>2167</v>
      </c>
      <c r="M3183" s="209" t="s">
        <v>2733</v>
      </c>
      <c r="N3183" s="480" t="s">
        <v>2734</v>
      </c>
      <c r="O3183" s="215" t="s">
        <v>2735</v>
      </c>
      <c r="P3183" s="218">
        <v>12</v>
      </c>
      <c r="Q3183" s="218">
        <v>2</v>
      </c>
      <c r="R3183" s="219">
        <v>6.0000000000000001E-3</v>
      </c>
      <c r="S3183" s="215" t="s">
        <v>55</v>
      </c>
      <c r="T3183" s="215" t="s">
        <v>56</v>
      </c>
      <c r="U3183" s="852" t="s">
        <v>2707</v>
      </c>
      <c r="V3183" s="220">
        <v>1410</v>
      </c>
      <c r="W3183" s="220">
        <f>1410</f>
        <v>1410</v>
      </c>
      <c r="X3183" s="221"/>
      <c r="Y3183" s="222">
        <f t="shared" si="1466"/>
        <v>0</v>
      </c>
      <c r="Z3183" s="223">
        <f t="shared" si="1467"/>
        <v>0</v>
      </c>
      <c r="AA3183" s="223">
        <f t="shared" si="1473"/>
        <v>0</v>
      </c>
      <c r="AB3183" s="807">
        <v>1.7000000000000001E-2</v>
      </c>
      <c r="AC3183" s="220">
        <f t="shared" si="1468"/>
        <v>0</v>
      </c>
      <c r="AD3183" s="443"/>
      <c r="AE3183" s="210">
        <f t="shared" si="1469"/>
        <v>0</v>
      </c>
      <c r="AF3183" s="210">
        <f t="shared" si="1470"/>
        <v>0</v>
      </c>
      <c r="AG3183" s="211">
        <f t="shared" si="1478"/>
        <v>0.22500000000000001</v>
      </c>
      <c r="AH3183" s="157">
        <v>0.26621999999999996</v>
      </c>
      <c r="AI3183" s="152">
        <f t="shared" si="1472"/>
        <v>16920</v>
      </c>
      <c r="AK3183" s="156" t="s">
        <v>691</v>
      </c>
      <c r="AL3183" s="574" t="s">
        <v>690</v>
      </c>
      <c r="AM3183" s="198">
        <f t="shared" si="1474"/>
        <v>0</v>
      </c>
      <c r="AN3183" s="199">
        <f t="shared" si="1475"/>
        <v>46088</v>
      </c>
      <c r="AO3183" s="159" t="s">
        <v>692</v>
      </c>
      <c r="AP3183" s="781" t="s">
        <v>642</v>
      </c>
      <c r="AQ3183" s="782">
        <v>12071839</v>
      </c>
      <c r="AR3183" s="782"/>
      <c r="AS3183" s="782"/>
      <c r="AT3183" s="782">
        <v>12098021</v>
      </c>
      <c r="AU3183" s="783" t="s">
        <v>2979</v>
      </c>
      <c r="AV3183" s="782">
        <v>12098022</v>
      </c>
      <c r="AW3183" s="783"/>
      <c r="AX3183" s="781"/>
      <c r="AY3183" s="796"/>
      <c r="AZ3183" s="796"/>
      <c r="BA3183" s="796"/>
      <c r="BB3183" s="209">
        <v>23099860</v>
      </c>
    </row>
    <row r="3184" spans="1:54" ht="25" customHeight="1">
      <c r="B3184" s="602">
        <v>46088</v>
      </c>
      <c r="C3184" s="861" t="s">
        <v>2708</v>
      </c>
      <c r="D3184" s="604">
        <f t="shared" si="1479"/>
        <v>2026</v>
      </c>
      <c r="E3184" s="603" t="e">
        <f>VLOOKUP($B3184,Week!$A$1:$C$1462,2,0)</f>
        <v>#N/A</v>
      </c>
      <c r="F3184" s="605" t="str">
        <f t="shared" si="1480"/>
        <v>Mar</v>
      </c>
      <c r="G3184" s="604" t="s">
        <v>47</v>
      </c>
      <c r="H3184" s="604" t="s">
        <v>518</v>
      </c>
      <c r="I3184" s="604" t="s">
        <v>2702</v>
      </c>
      <c r="J3184" s="606" t="s">
        <v>70</v>
      </c>
      <c r="K3184" s="607" t="s">
        <v>227</v>
      </c>
      <c r="L3184" s="607" t="s">
        <v>2167</v>
      </c>
      <c r="M3184" s="606" t="s">
        <v>2554</v>
      </c>
      <c r="N3184" s="604" t="s">
        <v>2334</v>
      </c>
      <c r="O3184" s="604" t="s">
        <v>2005</v>
      </c>
      <c r="P3184" s="608">
        <v>12</v>
      </c>
      <c r="Q3184" s="608">
        <v>3</v>
      </c>
      <c r="R3184" s="609">
        <v>8.0000000000000002E-3</v>
      </c>
      <c r="S3184" s="604" t="s">
        <v>352</v>
      </c>
      <c r="T3184" s="604" t="s">
        <v>56</v>
      </c>
      <c r="U3184" s="604" t="s">
        <v>2007</v>
      </c>
      <c r="V3184" s="862">
        <f>2500</f>
        <v>2500</v>
      </c>
      <c r="W3184" s="610">
        <f>2473+21+1+5</f>
        <v>2500</v>
      </c>
      <c r="X3184" s="611"/>
      <c r="Y3184" s="612">
        <f t="shared" si="1466"/>
        <v>0</v>
      </c>
      <c r="Z3184" s="613">
        <f t="shared" si="1467"/>
        <v>0</v>
      </c>
      <c r="AA3184" s="613">
        <f t="shared" si="1473"/>
        <v>0</v>
      </c>
      <c r="AB3184" s="836">
        <v>0.05</v>
      </c>
      <c r="AC3184" s="610">
        <f t="shared" si="1468"/>
        <v>0</v>
      </c>
      <c r="AD3184" s="307" t="s">
        <v>2344</v>
      </c>
      <c r="AE3184" s="210">
        <f t="shared" si="1469"/>
        <v>0</v>
      </c>
      <c r="AF3184" s="210">
        <f t="shared" si="1470"/>
        <v>0</v>
      </c>
      <c r="AG3184" s="211">
        <f t="shared" si="1478"/>
        <v>0.22700000000000001</v>
      </c>
      <c r="AH3184" s="157">
        <f>(Z3184*AG3184)/1000</f>
        <v>0</v>
      </c>
      <c r="AI3184" s="152">
        <f t="shared" si="1472"/>
        <v>30000</v>
      </c>
      <c r="AK3184" s="156" t="s">
        <v>691</v>
      </c>
      <c r="AL3184" s="212" t="s">
        <v>690</v>
      </c>
      <c r="AM3184" s="198">
        <f t="shared" si="1474"/>
        <v>0</v>
      </c>
      <c r="AN3184" s="199">
        <f t="shared" si="1475"/>
        <v>46088</v>
      </c>
      <c r="AO3184" s="159" t="s">
        <v>692</v>
      </c>
      <c r="AP3184" s="783" t="s">
        <v>623</v>
      </c>
      <c r="AQ3184" s="782">
        <v>12071839</v>
      </c>
      <c r="AR3184" s="782">
        <v>12042650</v>
      </c>
      <c r="AS3184" s="782">
        <v>12042649</v>
      </c>
      <c r="AT3184" s="782"/>
      <c r="AU3184" s="781"/>
      <c r="AV3184" s="782">
        <v>12094036</v>
      </c>
      <c r="AW3184" s="782"/>
      <c r="AX3184" s="782"/>
      <c r="AY3184" s="782">
        <v>12094035</v>
      </c>
      <c r="AZ3184" s="782">
        <v>12094041</v>
      </c>
      <c r="BA3184" s="781"/>
      <c r="BB3184" s="209">
        <v>11044165</v>
      </c>
    </row>
    <row r="3185" spans="1:54" ht="25" customHeight="1">
      <c r="B3185" s="183">
        <v>46089</v>
      </c>
      <c r="C3185" s="184"/>
      <c r="D3185" s="185">
        <f t="shared" si="1479"/>
        <v>2026</v>
      </c>
      <c r="E3185" s="185" t="e">
        <f>VLOOKUP($B3185,Week!$A$1:$C$1462,2,0)</f>
        <v>#N/A</v>
      </c>
      <c r="F3185" s="186" t="str">
        <f t="shared" si="1480"/>
        <v>Mar</v>
      </c>
      <c r="G3185" s="481"/>
      <c r="H3185" s="185"/>
      <c r="I3185" s="185"/>
      <c r="J3185" s="187"/>
      <c r="K3185" s="188"/>
      <c r="L3185" s="188"/>
      <c r="M3185" s="187"/>
      <c r="N3185" s="185"/>
      <c r="O3185" s="185"/>
      <c r="P3185" s="189"/>
      <c r="Q3185" s="189"/>
      <c r="R3185" s="190"/>
      <c r="S3185" s="185"/>
      <c r="T3185" s="185"/>
      <c r="U3185" s="185"/>
      <c r="V3185" s="191"/>
      <c r="W3185" s="191"/>
      <c r="X3185" s="192"/>
      <c r="Y3185" s="193"/>
      <c r="Z3185" s="194"/>
      <c r="AA3185" s="194">
        <f t="shared" si="1473"/>
        <v>0</v>
      </c>
      <c r="AB3185" s="805"/>
      <c r="AC3185" s="191"/>
      <c r="AD3185" s="187"/>
      <c r="AE3185" s="195"/>
      <c r="AF3185" s="195"/>
      <c r="AG3185" s="196"/>
      <c r="AH3185" s="197"/>
      <c r="AK3185" s="156" t="s">
        <v>691</v>
      </c>
      <c r="AM3185" s="198">
        <f t="shared" si="1474"/>
        <v>0</v>
      </c>
      <c r="AN3185" s="199">
        <f t="shared" si="1475"/>
        <v>46089</v>
      </c>
      <c r="AO3185" s="159" t="s">
        <v>692</v>
      </c>
      <c r="AP3185" s="781"/>
      <c r="AQ3185" s="782"/>
      <c r="AR3185" s="782"/>
      <c r="AS3185" s="782"/>
      <c r="AT3185" s="782"/>
      <c r="AU3185" s="781"/>
      <c r="AV3185" s="782"/>
      <c r="AW3185" s="782"/>
      <c r="AX3185" s="782"/>
      <c r="AY3185" s="782"/>
      <c r="AZ3185" s="782"/>
      <c r="BA3185" s="781"/>
      <c r="BB3185" s="209"/>
    </row>
    <row r="3186" spans="1:54" ht="25" customHeight="1">
      <c r="A3186" s="142" t="s">
        <v>120</v>
      </c>
      <c r="B3186" s="320">
        <v>46090</v>
      </c>
      <c r="C3186" s="321">
        <v>46132</v>
      </c>
      <c r="D3186" s="323">
        <f t="shared" si="1479"/>
        <v>2026</v>
      </c>
      <c r="E3186" s="321" t="e">
        <f>VLOOKUP($B3186,Week!$A$1:$C$1462,2,0)</f>
        <v>#N/A</v>
      </c>
      <c r="F3186" s="322" t="str">
        <f t="shared" si="1480"/>
        <v>Mar</v>
      </c>
      <c r="G3186" s="323" t="s">
        <v>2760</v>
      </c>
      <c r="H3186" s="323" t="s">
        <v>363</v>
      </c>
      <c r="I3186" s="323" t="s">
        <v>2772</v>
      </c>
      <c r="J3186" s="324" t="s">
        <v>364</v>
      </c>
      <c r="K3186" s="325" t="s">
        <v>2583</v>
      </c>
      <c r="L3186" s="325" t="s">
        <v>2166</v>
      </c>
      <c r="M3186" s="324" t="s">
        <v>2586</v>
      </c>
      <c r="N3186" s="323" t="s">
        <v>2584</v>
      </c>
      <c r="O3186" s="323" t="s">
        <v>2587</v>
      </c>
      <c r="P3186" s="326">
        <v>20</v>
      </c>
      <c r="Q3186" s="326">
        <v>50</v>
      </c>
      <c r="R3186" s="327">
        <v>4.0000000000000001E-3</v>
      </c>
      <c r="S3186" s="323" t="s">
        <v>55</v>
      </c>
      <c r="T3186" s="323" t="s">
        <v>112</v>
      </c>
      <c r="U3186" s="323" t="s">
        <v>77</v>
      </c>
      <c r="V3186" s="328">
        <v>159</v>
      </c>
      <c r="W3186" s="328">
        <f>25+134</f>
        <v>159</v>
      </c>
      <c r="X3186" s="329"/>
      <c r="Y3186" s="330">
        <f t="shared" ref="Y3186:Y3216" si="1481">(W3186+X3186)-V3186</f>
        <v>0</v>
      </c>
      <c r="Z3186" s="331">
        <f t="shared" ref="Z3186:Z3216" si="1482">IF(Y3186&lt;0,((V3186*P3186)-((W3186+X3186)*P3186)),0)</f>
        <v>0</v>
      </c>
      <c r="AA3186" s="331">
        <f t="shared" si="1473"/>
        <v>0</v>
      </c>
      <c r="AB3186" s="816">
        <v>6</v>
      </c>
      <c r="AC3186" s="328">
        <f t="shared" ref="AC3186:AC3216" si="1483">Z3186*AB3186</f>
        <v>0</v>
      </c>
      <c r="AD3186" s="209"/>
      <c r="AE3186" s="210">
        <f t="shared" ref="AE3186:AE3216" si="1484">SUM(Q3186*R3186*Z3186)/1000</f>
        <v>0</v>
      </c>
      <c r="AF3186" s="210">
        <f t="shared" ref="AF3186:AF3216" si="1485">AE3186/0.54</f>
        <v>0</v>
      </c>
      <c r="AG3186" s="211">
        <f>MID(O3186,1,3)/1000</f>
        <v>0.5</v>
      </c>
      <c r="AH3186" s="157">
        <f>(Z3186*AG3186)/1000</f>
        <v>0</v>
      </c>
      <c r="AI3186" s="152">
        <f t="shared" ref="AI3186:AI3216" si="1486">V3186*P3186</f>
        <v>3180</v>
      </c>
      <c r="AK3186" s="156" t="s">
        <v>691</v>
      </c>
      <c r="AL3186" s="156" t="s">
        <v>689</v>
      </c>
      <c r="AM3186" s="198">
        <f t="shared" si="1474"/>
        <v>0</v>
      </c>
      <c r="AN3186" s="199">
        <f t="shared" si="1475"/>
        <v>46090</v>
      </c>
      <c r="AO3186" s="159" t="s">
        <v>692</v>
      </c>
      <c r="AP3186" s="783" t="s">
        <v>620</v>
      </c>
      <c r="AQ3186" s="796" t="s">
        <v>422</v>
      </c>
      <c r="AR3186" s="782">
        <v>12055234</v>
      </c>
      <c r="AS3186" s="781"/>
      <c r="AT3186" s="782"/>
      <c r="AU3186" s="782"/>
      <c r="AV3186" s="782">
        <v>12097165</v>
      </c>
      <c r="AW3186" s="782"/>
      <c r="AX3186" s="782">
        <v>12036656</v>
      </c>
      <c r="AY3186" s="799"/>
      <c r="AZ3186" s="781"/>
      <c r="BA3186" s="781"/>
      <c r="BB3186" s="209">
        <v>23053184</v>
      </c>
    </row>
    <row r="3187" spans="1:54" ht="25" customHeight="1">
      <c r="A3187" s="142" t="s">
        <v>120</v>
      </c>
      <c r="B3187" s="383">
        <v>46090</v>
      </c>
      <c r="C3187" s="224">
        <v>46097</v>
      </c>
      <c r="D3187" s="225">
        <f t="shared" si="1479"/>
        <v>2026</v>
      </c>
      <c r="E3187" s="224" t="e">
        <f>VLOOKUP($B3187,Week!$A$1:$C$1462,2,0)</f>
        <v>#N/A</v>
      </c>
      <c r="F3187" s="226" t="str">
        <f t="shared" si="1480"/>
        <v>Mar</v>
      </c>
      <c r="G3187" s="642" t="s">
        <v>2668</v>
      </c>
      <c r="H3187" s="225" t="s">
        <v>104</v>
      </c>
      <c r="I3187" s="225" t="s">
        <v>2772</v>
      </c>
      <c r="J3187" s="227" t="s">
        <v>2681</v>
      </c>
      <c r="K3187" s="228" t="s">
        <v>85</v>
      </c>
      <c r="L3187" s="228" t="s">
        <v>2166</v>
      </c>
      <c r="M3187" s="227" t="s">
        <v>2669</v>
      </c>
      <c r="N3187" s="225" t="s">
        <v>2873</v>
      </c>
      <c r="O3187" s="225" t="s">
        <v>2670</v>
      </c>
      <c r="P3187" s="229">
        <v>10</v>
      </c>
      <c r="Q3187" s="229">
        <v>20</v>
      </c>
      <c r="R3187" s="230">
        <v>6.8100000000000001E-3</v>
      </c>
      <c r="S3187" s="225" t="s">
        <v>76</v>
      </c>
      <c r="T3187" s="225" t="s">
        <v>112</v>
      </c>
      <c r="U3187" s="225" t="s">
        <v>89</v>
      </c>
      <c r="V3187" s="231">
        <f>730</f>
        <v>730</v>
      </c>
      <c r="W3187" s="231">
        <f>730</f>
        <v>730</v>
      </c>
      <c r="X3187" s="232"/>
      <c r="Y3187" s="233">
        <f t="shared" si="1481"/>
        <v>0</v>
      </c>
      <c r="Z3187" s="234">
        <f t="shared" si="1482"/>
        <v>0</v>
      </c>
      <c r="AA3187" s="234">
        <f t="shared" si="1473"/>
        <v>0</v>
      </c>
      <c r="AB3187" s="822">
        <v>4</v>
      </c>
      <c r="AC3187" s="231">
        <f t="shared" si="1483"/>
        <v>0</v>
      </c>
      <c r="AD3187" s="381"/>
      <c r="AE3187" s="210">
        <f t="shared" si="1484"/>
        <v>0</v>
      </c>
      <c r="AF3187" s="210">
        <f t="shared" si="1485"/>
        <v>0</v>
      </c>
      <c r="AG3187" s="211">
        <f>MID(O3187,1,3)/1000</f>
        <v>0.26</v>
      </c>
      <c r="AH3187" s="157">
        <f>(Z3187*AG3187)/1000</f>
        <v>0</v>
      </c>
      <c r="AI3187" s="152">
        <f t="shared" si="1486"/>
        <v>7300</v>
      </c>
      <c r="AJ3187" s="156">
        <f>AI3187*Q3187</f>
        <v>146000</v>
      </c>
      <c r="AK3187" s="156" t="s">
        <v>691</v>
      </c>
      <c r="AL3187" s="156" t="s">
        <v>689</v>
      </c>
      <c r="AM3187" s="198">
        <f t="shared" si="1474"/>
        <v>0</v>
      </c>
      <c r="AN3187" s="199">
        <f t="shared" si="1475"/>
        <v>46090</v>
      </c>
      <c r="AO3187" s="159" t="s">
        <v>692</v>
      </c>
      <c r="AP3187" s="781" t="s">
        <v>423</v>
      </c>
      <c r="AQ3187" s="781" t="s">
        <v>422</v>
      </c>
      <c r="AR3187" s="782">
        <v>12079041</v>
      </c>
      <c r="AS3187" s="781"/>
      <c r="AT3187" s="782">
        <v>12097653</v>
      </c>
      <c r="AU3187" s="781"/>
      <c r="AV3187" s="782">
        <v>12097654</v>
      </c>
      <c r="AW3187" s="781"/>
      <c r="AX3187" s="783" t="s">
        <v>528</v>
      </c>
      <c r="AY3187" s="781"/>
      <c r="AZ3187" s="782"/>
      <c r="BA3187" s="781"/>
      <c r="BB3187" s="209">
        <v>23053184</v>
      </c>
    </row>
    <row r="3188" spans="1:54" ht="25.15" customHeight="1">
      <c r="B3188" s="345">
        <v>46090</v>
      </c>
      <c r="C3188" s="346">
        <v>46098</v>
      </c>
      <c r="D3188" s="185">
        <f t="shared" si="1479"/>
        <v>2026</v>
      </c>
      <c r="E3188" s="347" t="e">
        <f>VLOOKUP($B3188,Week!$A$1:$C$1462,2,0)</f>
        <v>#N/A</v>
      </c>
      <c r="F3188" s="348" t="str">
        <f t="shared" si="1480"/>
        <v>Mar</v>
      </c>
      <c r="G3188" s="347" t="s">
        <v>2796</v>
      </c>
      <c r="H3188" s="347" t="s">
        <v>697</v>
      </c>
      <c r="I3188" s="347" t="s">
        <v>2772</v>
      </c>
      <c r="J3188" s="438" t="s">
        <v>425</v>
      </c>
      <c r="K3188" s="350" t="s">
        <v>176</v>
      </c>
      <c r="L3188" s="350" t="s">
        <v>2167</v>
      </c>
      <c r="M3188" s="349" t="s">
        <v>426</v>
      </c>
      <c r="N3188" s="347" t="s">
        <v>427</v>
      </c>
      <c r="O3188" s="347" t="s">
        <v>599</v>
      </c>
      <c r="P3188" s="351">
        <v>36</v>
      </c>
      <c r="Q3188" s="351">
        <v>5</v>
      </c>
      <c r="R3188" s="352">
        <v>7.4999999999999997E-3</v>
      </c>
      <c r="S3188" s="347" t="s">
        <v>111</v>
      </c>
      <c r="T3188" s="347" t="s">
        <v>112</v>
      </c>
      <c r="U3188" s="347" t="s">
        <v>57</v>
      </c>
      <c r="V3188" s="353">
        <v>1288</v>
      </c>
      <c r="W3188" s="353">
        <f>1288</f>
        <v>1288</v>
      </c>
      <c r="X3188" s="354"/>
      <c r="Y3188" s="355">
        <f t="shared" si="1481"/>
        <v>0</v>
      </c>
      <c r="Z3188" s="356">
        <f t="shared" si="1482"/>
        <v>0</v>
      </c>
      <c r="AA3188" s="353">
        <f t="shared" si="1473"/>
        <v>0</v>
      </c>
      <c r="AB3188" s="818">
        <v>7.4999999999999997E-3</v>
      </c>
      <c r="AC3188" s="353">
        <f t="shared" si="1483"/>
        <v>0</v>
      </c>
      <c r="AD3188" s="307" t="s">
        <v>2448</v>
      </c>
      <c r="AE3188" s="210">
        <f t="shared" si="1484"/>
        <v>0</v>
      </c>
      <c r="AF3188" s="210">
        <f t="shared" si="1485"/>
        <v>0</v>
      </c>
      <c r="AG3188" s="211">
        <f>MID(O3188,1,3)/1000</f>
        <v>0.14799999999999999</v>
      </c>
      <c r="AH3188" s="157">
        <f>(Z3188*AG3188)/1000</f>
        <v>0</v>
      </c>
      <c r="AI3188" s="152">
        <f t="shared" si="1486"/>
        <v>46368</v>
      </c>
      <c r="AK3188" s="156" t="s">
        <v>691</v>
      </c>
      <c r="AL3188" s="574" t="s">
        <v>690</v>
      </c>
      <c r="AM3188" s="198">
        <f t="shared" si="1474"/>
        <v>0</v>
      </c>
      <c r="AN3188" s="199">
        <f t="shared" si="1475"/>
        <v>46090</v>
      </c>
      <c r="AO3188" s="159" t="s">
        <v>692</v>
      </c>
      <c r="AP3188" s="783" t="s">
        <v>609</v>
      </c>
      <c r="AQ3188" s="782">
        <v>12071839</v>
      </c>
      <c r="AR3188" s="782">
        <v>12080260</v>
      </c>
      <c r="AS3188" s="782">
        <v>12080259</v>
      </c>
      <c r="AT3188" s="782">
        <v>12096006</v>
      </c>
      <c r="AU3188" s="782"/>
      <c r="AV3188" s="782">
        <v>12096007</v>
      </c>
      <c r="AW3188" s="782">
        <v>12024404</v>
      </c>
      <c r="AX3188" s="781"/>
      <c r="AY3188" s="782">
        <v>12096022</v>
      </c>
      <c r="AZ3188" s="782"/>
      <c r="BA3188" s="781"/>
      <c r="BB3188" s="209">
        <v>23053185</v>
      </c>
    </row>
    <row r="3189" spans="1:54" ht="25" customHeight="1">
      <c r="B3189" s="213">
        <v>46090</v>
      </c>
      <c r="C3189" s="902" t="s">
        <v>2708</v>
      </c>
      <c r="D3189" s="215">
        <f t="shared" si="1479"/>
        <v>2026</v>
      </c>
      <c r="E3189" s="214" t="e">
        <f>VLOOKUP($B3189,Week!$A$1:$C$1462,2,0)</f>
        <v>#N/A</v>
      </c>
      <c r="F3189" s="216" t="str">
        <f t="shared" si="1480"/>
        <v>Mar</v>
      </c>
      <c r="G3189" s="215" t="s">
        <v>47</v>
      </c>
      <c r="H3189" s="215" t="s">
        <v>260</v>
      </c>
      <c r="I3189" s="215" t="s">
        <v>2702</v>
      </c>
      <c r="J3189" s="209" t="s">
        <v>2702</v>
      </c>
      <c r="K3189" s="217" t="s">
        <v>2706</v>
      </c>
      <c r="L3189" s="217" t="s">
        <v>2167</v>
      </c>
      <c r="M3189" s="209" t="s">
        <v>2733</v>
      </c>
      <c r="N3189" s="480" t="s">
        <v>2734</v>
      </c>
      <c r="O3189" s="215" t="s">
        <v>2735</v>
      </c>
      <c r="P3189" s="218">
        <v>12</v>
      </c>
      <c r="Q3189" s="218">
        <v>2</v>
      </c>
      <c r="R3189" s="219">
        <v>6.0000000000000001E-3</v>
      </c>
      <c r="S3189" s="215" t="s">
        <v>55</v>
      </c>
      <c r="T3189" s="215" t="s">
        <v>56</v>
      </c>
      <c r="U3189" s="852" t="s">
        <v>2707</v>
      </c>
      <c r="V3189" s="220">
        <v>1314</v>
      </c>
      <c r="W3189" s="220">
        <f>1314</f>
        <v>1314</v>
      </c>
      <c r="X3189" s="221"/>
      <c r="Y3189" s="222">
        <f t="shared" si="1481"/>
        <v>0</v>
      </c>
      <c r="Z3189" s="223">
        <f t="shared" si="1482"/>
        <v>0</v>
      </c>
      <c r="AA3189" s="223">
        <f t="shared" si="1473"/>
        <v>0</v>
      </c>
      <c r="AB3189" s="807">
        <v>1.7000000000000001E-2</v>
      </c>
      <c r="AC3189" s="220">
        <f t="shared" si="1483"/>
        <v>0</v>
      </c>
      <c r="AD3189" s="443"/>
      <c r="AE3189" s="210">
        <f t="shared" si="1484"/>
        <v>0</v>
      </c>
      <c r="AF3189" s="210">
        <f t="shared" si="1485"/>
        <v>0</v>
      </c>
      <c r="AG3189" s="211">
        <f t="shared" ref="AG3189:AG3198" si="1487">MID(O3189,1,3)/1000</f>
        <v>0.22500000000000001</v>
      </c>
      <c r="AH3189" s="157">
        <v>0.26621999999999996</v>
      </c>
      <c r="AI3189" s="152">
        <f t="shared" si="1486"/>
        <v>15768</v>
      </c>
      <c r="AK3189" s="156" t="s">
        <v>691</v>
      </c>
      <c r="AL3189" s="574" t="s">
        <v>690</v>
      </c>
      <c r="AM3189" s="198">
        <f t="shared" si="1474"/>
        <v>0</v>
      </c>
      <c r="AN3189" s="199">
        <f t="shared" si="1475"/>
        <v>46090</v>
      </c>
      <c r="AO3189" s="159" t="s">
        <v>692</v>
      </c>
      <c r="AP3189" s="781" t="s">
        <v>642</v>
      </c>
      <c r="AQ3189" s="782">
        <v>12071839</v>
      </c>
      <c r="AR3189" s="782"/>
      <c r="AS3189" s="782"/>
      <c r="AT3189" s="782">
        <v>12098021</v>
      </c>
      <c r="AU3189" s="783" t="s">
        <v>2979</v>
      </c>
      <c r="AV3189" s="782">
        <v>12098022</v>
      </c>
      <c r="AW3189" s="783"/>
      <c r="AX3189" s="781"/>
      <c r="AY3189" s="796"/>
      <c r="AZ3189" s="796"/>
      <c r="BA3189" s="796"/>
      <c r="BB3189" s="209">
        <v>23099860</v>
      </c>
    </row>
    <row r="3190" spans="1:54" ht="25" customHeight="1">
      <c r="A3190" s="142" t="s">
        <v>120</v>
      </c>
      <c r="B3190" s="320">
        <v>46091</v>
      </c>
      <c r="C3190" s="321">
        <v>46132</v>
      </c>
      <c r="D3190" s="323">
        <f t="shared" si="1479"/>
        <v>2026</v>
      </c>
      <c r="E3190" s="321" t="e">
        <f>VLOOKUP($B3190,Week!$A$1:$C$1462,2,0)</f>
        <v>#N/A</v>
      </c>
      <c r="F3190" s="322" t="str">
        <f t="shared" si="1480"/>
        <v>Mar</v>
      </c>
      <c r="G3190" s="323" t="s">
        <v>2760</v>
      </c>
      <c r="H3190" s="323" t="s">
        <v>363</v>
      </c>
      <c r="I3190" s="323" t="s">
        <v>2772</v>
      </c>
      <c r="J3190" s="324" t="s">
        <v>364</v>
      </c>
      <c r="K3190" s="325" t="s">
        <v>2583</v>
      </c>
      <c r="L3190" s="325" t="s">
        <v>2166</v>
      </c>
      <c r="M3190" s="324" t="s">
        <v>2586</v>
      </c>
      <c r="N3190" s="323" t="s">
        <v>2584</v>
      </c>
      <c r="O3190" s="323" t="s">
        <v>2587</v>
      </c>
      <c r="P3190" s="326">
        <v>20</v>
      </c>
      <c r="Q3190" s="326">
        <v>50</v>
      </c>
      <c r="R3190" s="327">
        <v>4.0000000000000001E-3</v>
      </c>
      <c r="S3190" s="323" t="s">
        <v>55</v>
      </c>
      <c r="T3190" s="323" t="s">
        <v>112</v>
      </c>
      <c r="U3190" s="323" t="s">
        <v>77</v>
      </c>
      <c r="V3190" s="328">
        <v>272</v>
      </c>
      <c r="W3190" s="328">
        <f>25+247</f>
        <v>272</v>
      </c>
      <c r="X3190" s="329"/>
      <c r="Y3190" s="330">
        <f t="shared" si="1481"/>
        <v>0</v>
      </c>
      <c r="Z3190" s="331">
        <f t="shared" si="1482"/>
        <v>0</v>
      </c>
      <c r="AA3190" s="331">
        <f t="shared" si="1473"/>
        <v>0</v>
      </c>
      <c r="AB3190" s="816">
        <v>6</v>
      </c>
      <c r="AC3190" s="328">
        <f t="shared" si="1483"/>
        <v>0</v>
      </c>
      <c r="AD3190" s="209"/>
      <c r="AE3190" s="210">
        <f t="shared" si="1484"/>
        <v>0</v>
      </c>
      <c r="AF3190" s="210">
        <f t="shared" si="1485"/>
        <v>0</v>
      </c>
      <c r="AG3190" s="211">
        <f t="shared" si="1487"/>
        <v>0.5</v>
      </c>
      <c r="AH3190" s="157">
        <f>(Z3190*AG3190)/1000</f>
        <v>0</v>
      </c>
      <c r="AI3190" s="152">
        <f t="shared" si="1486"/>
        <v>5440</v>
      </c>
      <c r="AK3190" s="156" t="s">
        <v>691</v>
      </c>
      <c r="AL3190" s="156" t="s">
        <v>689</v>
      </c>
      <c r="AM3190" s="198">
        <f t="shared" si="1474"/>
        <v>0</v>
      </c>
      <c r="AN3190" s="199">
        <f t="shared" si="1475"/>
        <v>46091</v>
      </c>
      <c r="AO3190" s="159" t="s">
        <v>692</v>
      </c>
      <c r="AP3190" s="783" t="s">
        <v>620</v>
      </c>
      <c r="AQ3190" s="796" t="s">
        <v>422</v>
      </c>
      <c r="AR3190" s="782">
        <v>12055234</v>
      </c>
      <c r="AS3190" s="781"/>
      <c r="AT3190" s="782"/>
      <c r="AU3190" s="782"/>
      <c r="AV3190" s="782">
        <v>12097165</v>
      </c>
      <c r="AW3190" s="782"/>
      <c r="AX3190" s="782">
        <v>12036656</v>
      </c>
      <c r="AY3190" s="799"/>
      <c r="AZ3190" s="781"/>
      <c r="BA3190" s="781"/>
      <c r="BB3190" s="209">
        <v>23053184</v>
      </c>
    </row>
    <row r="3191" spans="1:54" ht="25.15" customHeight="1">
      <c r="B3191" s="345">
        <v>46091</v>
      </c>
      <c r="C3191" s="346">
        <v>46105</v>
      </c>
      <c r="D3191" s="185">
        <f t="shared" si="1479"/>
        <v>2026</v>
      </c>
      <c r="E3191" s="347" t="e">
        <f>VLOOKUP($B3191,Week!$A$1:$C$1462,2,0)</f>
        <v>#N/A</v>
      </c>
      <c r="F3191" s="348" t="str">
        <f t="shared" si="1480"/>
        <v>Mar</v>
      </c>
      <c r="G3191" s="347" t="s">
        <v>2615</v>
      </c>
      <c r="H3191" s="347" t="s">
        <v>424</v>
      </c>
      <c r="I3191" s="347" t="s">
        <v>2772</v>
      </c>
      <c r="J3191" s="438" t="s">
        <v>425</v>
      </c>
      <c r="K3191" s="350" t="s">
        <v>176</v>
      </c>
      <c r="L3191" s="350" t="s">
        <v>2167</v>
      </c>
      <c r="M3191" s="349" t="s">
        <v>426</v>
      </c>
      <c r="N3191" s="347" t="s">
        <v>427</v>
      </c>
      <c r="O3191" s="347" t="s">
        <v>599</v>
      </c>
      <c r="P3191" s="351">
        <v>36</v>
      </c>
      <c r="Q3191" s="351">
        <v>5</v>
      </c>
      <c r="R3191" s="352">
        <v>7.4999999999999997E-3</v>
      </c>
      <c r="S3191" s="347" t="s">
        <v>111</v>
      </c>
      <c r="T3191" s="347" t="s">
        <v>112</v>
      </c>
      <c r="U3191" s="347" t="s">
        <v>57</v>
      </c>
      <c r="V3191" s="353">
        <v>1288</v>
      </c>
      <c r="W3191" s="353">
        <f>14+1274</f>
        <v>1288</v>
      </c>
      <c r="X3191" s="354"/>
      <c r="Y3191" s="355">
        <f t="shared" si="1481"/>
        <v>0</v>
      </c>
      <c r="Z3191" s="356">
        <f t="shared" si="1482"/>
        <v>0</v>
      </c>
      <c r="AA3191" s="353">
        <f t="shared" si="1473"/>
        <v>0</v>
      </c>
      <c r="AB3191" s="818">
        <v>7.4999999999999997E-3</v>
      </c>
      <c r="AC3191" s="353">
        <f t="shared" si="1483"/>
        <v>0</v>
      </c>
      <c r="AD3191" s="307" t="s">
        <v>2448</v>
      </c>
      <c r="AE3191" s="210">
        <f t="shared" si="1484"/>
        <v>0</v>
      </c>
      <c r="AF3191" s="210">
        <f t="shared" si="1485"/>
        <v>0</v>
      </c>
      <c r="AG3191" s="211">
        <f t="shared" si="1487"/>
        <v>0.14799999999999999</v>
      </c>
      <c r="AH3191" s="157">
        <f>(Z3191*AG3191)/1000</f>
        <v>0</v>
      </c>
      <c r="AI3191" s="152">
        <f t="shared" si="1486"/>
        <v>46368</v>
      </c>
      <c r="AK3191" s="156" t="s">
        <v>691</v>
      </c>
      <c r="AL3191" s="574" t="s">
        <v>690</v>
      </c>
      <c r="AM3191" s="198">
        <f t="shared" si="1474"/>
        <v>0</v>
      </c>
      <c r="AN3191" s="199">
        <f t="shared" si="1475"/>
        <v>46091</v>
      </c>
      <c r="AO3191" s="159" t="s">
        <v>692</v>
      </c>
      <c r="AP3191" s="783" t="s">
        <v>609</v>
      </c>
      <c r="AQ3191" s="782">
        <v>12071839</v>
      </c>
      <c r="AR3191" s="782">
        <v>12080260</v>
      </c>
      <c r="AS3191" s="782">
        <v>12080259</v>
      </c>
      <c r="AT3191" s="782">
        <v>12096006</v>
      </c>
      <c r="AU3191" s="782"/>
      <c r="AV3191" s="782">
        <v>12096007</v>
      </c>
      <c r="AW3191" s="782">
        <v>12024404</v>
      </c>
      <c r="AX3191" s="781"/>
      <c r="AY3191" s="782">
        <v>12096022</v>
      </c>
      <c r="AZ3191" s="782"/>
      <c r="BA3191" s="781"/>
      <c r="BB3191" s="209">
        <v>23053185</v>
      </c>
    </row>
    <row r="3192" spans="1:54" ht="25" customHeight="1">
      <c r="B3192" s="213">
        <v>46091</v>
      </c>
      <c r="C3192" s="902" t="s">
        <v>2708</v>
      </c>
      <c r="D3192" s="215">
        <f t="shared" si="1479"/>
        <v>2026</v>
      </c>
      <c r="E3192" s="214" t="e">
        <f>VLOOKUP($B3192,Week!$A$1:$C$1462,2,0)</f>
        <v>#N/A</v>
      </c>
      <c r="F3192" s="216" t="str">
        <f t="shared" si="1480"/>
        <v>Mar</v>
      </c>
      <c r="G3192" s="215" t="s">
        <v>47</v>
      </c>
      <c r="H3192" s="215" t="s">
        <v>260</v>
      </c>
      <c r="I3192" s="215" t="s">
        <v>2702</v>
      </c>
      <c r="J3192" s="209" t="s">
        <v>2702</v>
      </c>
      <c r="K3192" s="217" t="s">
        <v>2706</v>
      </c>
      <c r="L3192" s="217" t="s">
        <v>2167</v>
      </c>
      <c r="M3192" s="209" t="s">
        <v>2733</v>
      </c>
      <c r="N3192" s="480" t="s">
        <v>2734</v>
      </c>
      <c r="O3192" s="215" t="s">
        <v>2735</v>
      </c>
      <c r="P3192" s="218">
        <v>12</v>
      </c>
      <c r="Q3192" s="218">
        <v>2</v>
      </c>
      <c r="R3192" s="219">
        <v>6.0000000000000001E-3</v>
      </c>
      <c r="S3192" s="215" t="s">
        <v>55</v>
      </c>
      <c r="T3192" s="215" t="s">
        <v>56</v>
      </c>
      <c r="U3192" s="852" t="s">
        <v>2707</v>
      </c>
      <c r="V3192" s="220">
        <v>1355</v>
      </c>
      <c r="W3192" s="220">
        <v>1355</v>
      </c>
      <c r="X3192" s="221"/>
      <c r="Y3192" s="222">
        <f t="shared" si="1481"/>
        <v>0</v>
      </c>
      <c r="Z3192" s="223">
        <f t="shared" si="1482"/>
        <v>0</v>
      </c>
      <c r="AA3192" s="223">
        <f t="shared" si="1473"/>
        <v>0</v>
      </c>
      <c r="AB3192" s="807">
        <v>1.7000000000000001E-2</v>
      </c>
      <c r="AC3192" s="220">
        <f t="shared" si="1483"/>
        <v>0</v>
      </c>
      <c r="AD3192" s="443"/>
      <c r="AE3192" s="210">
        <f t="shared" si="1484"/>
        <v>0</v>
      </c>
      <c r="AF3192" s="210">
        <f t="shared" si="1485"/>
        <v>0</v>
      </c>
      <c r="AG3192" s="211">
        <f t="shared" si="1487"/>
        <v>0.22500000000000001</v>
      </c>
      <c r="AH3192" s="157">
        <v>0.26621999999999996</v>
      </c>
      <c r="AI3192" s="152">
        <f t="shared" si="1486"/>
        <v>16260</v>
      </c>
      <c r="AK3192" s="156" t="s">
        <v>691</v>
      </c>
      <c r="AL3192" s="574" t="s">
        <v>690</v>
      </c>
      <c r="AM3192" s="198">
        <f t="shared" si="1474"/>
        <v>0</v>
      </c>
      <c r="AN3192" s="199">
        <f t="shared" si="1475"/>
        <v>46091</v>
      </c>
      <c r="AO3192" s="159" t="s">
        <v>692</v>
      </c>
      <c r="AP3192" s="781" t="s">
        <v>642</v>
      </c>
      <c r="AQ3192" s="782">
        <v>12071839</v>
      </c>
      <c r="AR3192" s="782"/>
      <c r="AS3192" s="782"/>
      <c r="AT3192" s="782">
        <v>12098021</v>
      </c>
      <c r="AU3192" s="783" t="s">
        <v>2979</v>
      </c>
      <c r="AV3192" s="782">
        <v>12098022</v>
      </c>
      <c r="AW3192" s="783"/>
      <c r="AX3192" s="781"/>
      <c r="AY3192" s="796"/>
      <c r="AZ3192" s="796"/>
      <c r="BA3192" s="796"/>
      <c r="BB3192" s="209">
        <v>23099860</v>
      </c>
    </row>
    <row r="3193" spans="1:54" ht="25" customHeight="1">
      <c r="A3193" s="142" t="s">
        <v>120</v>
      </c>
      <c r="B3193" s="320">
        <v>46092</v>
      </c>
      <c r="C3193" s="321">
        <v>46132</v>
      </c>
      <c r="D3193" s="323">
        <f t="shared" si="1479"/>
        <v>2026</v>
      </c>
      <c r="E3193" s="321" t="e">
        <f>VLOOKUP($B3193,Week!$A$1:$C$1462,2,0)</f>
        <v>#N/A</v>
      </c>
      <c r="F3193" s="322" t="str">
        <f t="shared" si="1480"/>
        <v>Mar</v>
      </c>
      <c r="G3193" s="323" t="s">
        <v>2760</v>
      </c>
      <c r="H3193" s="323" t="s">
        <v>363</v>
      </c>
      <c r="I3193" s="323" t="s">
        <v>2772</v>
      </c>
      <c r="J3193" s="324" t="s">
        <v>364</v>
      </c>
      <c r="K3193" s="325" t="s">
        <v>2583</v>
      </c>
      <c r="L3193" s="325" t="s">
        <v>2166</v>
      </c>
      <c r="M3193" s="324" t="s">
        <v>2586</v>
      </c>
      <c r="N3193" s="323" t="s">
        <v>2584</v>
      </c>
      <c r="O3193" s="323" t="s">
        <v>2587</v>
      </c>
      <c r="P3193" s="326">
        <v>20</v>
      </c>
      <c r="Q3193" s="326">
        <v>50</v>
      </c>
      <c r="R3193" s="327">
        <v>4.0000000000000001E-3</v>
      </c>
      <c r="S3193" s="323" t="s">
        <v>55</v>
      </c>
      <c r="T3193" s="323" t="s">
        <v>112</v>
      </c>
      <c r="U3193" s="323" t="s">
        <v>77</v>
      </c>
      <c r="V3193" s="328">
        <v>216</v>
      </c>
      <c r="W3193" s="328">
        <f>24+192</f>
        <v>216</v>
      </c>
      <c r="X3193" s="329"/>
      <c r="Y3193" s="330">
        <f t="shared" si="1481"/>
        <v>0</v>
      </c>
      <c r="Z3193" s="331">
        <f t="shared" si="1482"/>
        <v>0</v>
      </c>
      <c r="AA3193" s="331">
        <f t="shared" si="1473"/>
        <v>0</v>
      </c>
      <c r="AB3193" s="816">
        <v>6</v>
      </c>
      <c r="AC3193" s="328">
        <f t="shared" si="1483"/>
        <v>0</v>
      </c>
      <c r="AD3193" s="209"/>
      <c r="AE3193" s="210">
        <f t="shared" si="1484"/>
        <v>0</v>
      </c>
      <c r="AF3193" s="210">
        <f t="shared" si="1485"/>
        <v>0</v>
      </c>
      <c r="AG3193" s="211">
        <f t="shared" si="1487"/>
        <v>0.5</v>
      </c>
      <c r="AH3193" s="157">
        <f t="shared" ref="AH3193:AH3202" si="1488">(Z3193*AG3193)/1000</f>
        <v>0</v>
      </c>
      <c r="AI3193" s="152">
        <f t="shared" si="1486"/>
        <v>4320</v>
      </c>
      <c r="AK3193" s="156" t="s">
        <v>691</v>
      </c>
      <c r="AL3193" s="156" t="s">
        <v>689</v>
      </c>
      <c r="AM3193" s="198">
        <f t="shared" si="1474"/>
        <v>0</v>
      </c>
      <c r="AN3193" s="199">
        <f t="shared" si="1475"/>
        <v>46092</v>
      </c>
      <c r="AO3193" s="159" t="s">
        <v>692</v>
      </c>
      <c r="AP3193" s="783" t="s">
        <v>620</v>
      </c>
      <c r="AQ3193" s="796" t="s">
        <v>422</v>
      </c>
      <c r="AR3193" s="782">
        <v>12055234</v>
      </c>
      <c r="AS3193" s="781"/>
      <c r="AT3193" s="782"/>
      <c r="AU3193" s="782"/>
      <c r="AV3193" s="782">
        <v>12097165</v>
      </c>
      <c r="AW3193" s="782"/>
      <c r="AX3193" s="782">
        <v>12036656</v>
      </c>
      <c r="AY3193" s="799"/>
      <c r="AZ3193" s="781"/>
      <c r="BA3193" s="781"/>
      <c r="BB3193" s="209">
        <v>23053184</v>
      </c>
    </row>
    <row r="3194" spans="1:54" ht="24.65" customHeight="1">
      <c r="B3194" s="411">
        <v>46092</v>
      </c>
      <c r="C3194" s="645" t="s">
        <v>2708</v>
      </c>
      <c r="D3194" s="185">
        <f t="shared" si="1479"/>
        <v>2026</v>
      </c>
      <c r="E3194" s="412" t="e">
        <f>VLOOKUP($B3194,Week!$A$1:$C$1462,2,0)</f>
        <v>#N/A</v>
      </c>
      <c r="F3194" s="413" t="str">
        <f t="shared" si="1480"/>
        <v>Mar</v>
      </c>
      <c r="G3194" s="414" t="s">
        <v>47</v>
      </c>
      <c r="H3194" s="414" t="s">
        <v>260</v>
      </c>
      <c r="I3194" s="414" t="s">
        <v>2702</v>
      </c>
      <c r="J3194" s="415" t="s">
        <v>261</v>
      </c>
      <c r="K3194" s="416" t="s">
        <v>94</v>
      </c>
      <c r="L3194" s="300" t="s">
        <v>2167</v>
      </c>
      <c r="M3194" s="415" t="s">
        <v>2339</v>
      </c>
      <c r="N3194" s="414" t="s">
        <v>263</v>
      </c>
      <c r="O3194" s="414" t="s">
        <v>195</v>
      </c>
      <c r="P3194" s="417">
        <v>24</v>
      </c>
      <c r="Q3194" s="417">
        <v>5</v>
      </c>
      <c r="R3194" s="418">
        <v>8.0000000000000002E-3</v>
      </c>
      <c r="S3194" s="414" t="s">
        <v>40</v>
      </c>
      <c r="T3194" s="414" t="s">
        <v>56</v>
      </c>
      <c r="U3194" s="414" t="s">
        <v>57</v>
      </c>
      <c r="V3194" s="419">
        <f>10000-52-2095-954-913-2082-1312-1321</f>
        <v>1271</v>
      </c>
      <c r="W3194" s="419">
        <f>1+1270</f>
        <v>1271</v>
      </c>
      <c r="X3194" s="420"/>
      <c r="Y3194" s="421">
        <f t="shared" si="1481"/>
        <v>0</v>
      </c>
      <c r="Z3194" s="422">
        <f t="shared" si="1482"/>
        <v>0</v>
      </c>
      <c r="AA3194" s="422">
        <f t="shared" si="1473"/>
        <v>0</v>
      </c>
      <c r="AB3194" s="825">
        <v>7.4999999999999997E-3</v>
      </c>
      <c r="AC3194" s="419">
        <f t="shared" si="1483"/>
        <v>0</v>
      </c>
      <c r="AD3194" s="209"/>
      <c r="AE3194" s="210">
        <f t="shared" si="1484"/>
        <v>0</v>
      </c>
      <c r="AF3194" s="210">
        <f t="shared" si="1485"/>
        <v>0</v>
      </c>
      <c r="AG3194" s="211">
        <f t="shared" si="1487"/>
        <v>0.14499999999999999</v>
      </c>
      <c r="AH3194" s="157">
        <f t="shared" si="1488"/>
        <v>0</v>
      </c>
      <c r="AI3194" s="152">
        <f t="shared" si="1486"/>
        <v>30504</v>
      </c>
      <c r="AK3194" s="156" t="s">
        <v>691</v>
      </c>
      <c r="AL3194" s="212" t="s">
        <v>690</v>
      </c>
      <c r="AM3194" s="198">
        <f t="shared" si="1474"/>
        <v>0</v>
      </c>
      <c r="AN3194" s="199">
        <f t="shared" si="1475"/>
        <v>46092</v>
      </c>
      <c r="AO3194" s="159" t="s">
        <v>692</v>
      </c>
      <c r="AP3194" s="783" t="s">
        <v>609</v>
      </c>
      <c r="AQ3194" s="782">
        <v>12071839</v>
      </c>
      <c r="AR3194" s="782">
        <v>12047514</v>
      </c>
      <c r="AS3194" s="782">
        <v>12047515</v>
      </c>
      <c r="AT3194" s="781"/>
      <c r="AU3194" s="781"/>
      <c r="AV3194" s="782">
        <v>12080613</v>
      </c>
      <c r="AW3194" s="781"/>
      <c r="AX3194" s="781"/>
      <c r="AY3194" s="782">
        <v>12094241</v>
      </c>
      <c r="AZ3194" s="782">
        <v>12094242</v>
      </c>
      <c r="BA3194" s="781"/>
      <c r="BB3194" s="209">
        <v>23053185</v>
      </c>
    </row>
    <row r="3195" spans="1:54" ht="24.65" customHeight="1">
      <c r="B3195" s="411">
        <v>46092</v>
      </c>
      <c r="C3195" s="645" t="s">
        <v>2736</v>
      </c>
      <c r="D3195" s="185">
        <f t="shared" si="1479"/>
        <v>2026</v>
      </c>
      <c r="E3195" s="412" t="e">
        <f>VLOOKUP($B3195,Week!$A$1:$C$1462,2,0)</f>
        <v>#N/A</v>
      </c>
      <c r="F3195" s="413" t="str">
        <f t="shared" si="1480"/>
        <v>Mar</v>
      </c>
      <c r="G3195" s="414" t="s">
        <v>47</v>
      </c>
      <c r="H3195" s="414" t="s">
        <v>260</v>
      </c>
      <c r="I3195" s="414" t="s">
        <v>2702</v>
      </c>
      <c r="J3195" s="415" t="s">
        <v>261</v>
      </c>
      <c r="K3195" s="416" t="s">
        <v>94</v>
      </c>
      <c r="L3195" s="300" t="s">
        <v>2167</v>
      </c>
      <c r="M3195" s="415" t="s">
        <v>2339</v>
      </c>
      <c r="N3195" s="414" t="s">
        <v>263</v>
      </c>
      <c r="O3195" s="414" t="s">
        <v>195</v>
      </c>
      <c r="P3195" s="417">
        <v>24</v>
      </c>
      <c r="Q3195" s="417">
        <v>5</v>
      </c>
      <c r="R3195" s="418">
        <v>8.0000000000000002E-3</v>
      </c>
      <c r="S3195" s="414" t="s">
        <v>40</v>
      </c>
      <c r="T3195" s="414" t="s">
        <v>56</v>
      </c>
      <c r="U3195" s="414" t="s">
        <v>57</v>
      </c>
      <c r="V3195" s="419">
        <v>1038</v>
      </c>
      <c r="W3195" s="419">
        <f>2308-1270</f>
        <v>1038</v>
      </c>
      <c r="X3195" s="420"/>
      <c r="Y3195" s="421">
        <f t="shared" si="1481"/>
        <v>0</v>
      </c>
      <c r="Z3195" s="422">
        <f t="shared" si="1482"/>
        <v>0</v>
      </c>
      <c r="AA3195" s="422">
        <f t="shared" si="1473"/>
        <v>0</v>
      </c>
      <c r="AB3195" s="825">
        <v>7.4999999999999997E-3</v>
      </c>
      <c r="AC3195" s="419">
        <f t="shared" si="1483"/>
        <v>0</v>
      </c>
      <c r="AD3195" s="209"/>
      <c r="AE3195" s="210">
        <f t="shared" si="1484"/>
        <v>0</v>
      </c>
      <c r="AF3195" s="210">
        <f t="shared" si="1485"/>
        <v>0</v>
      </c>
      <c r="AG3195" s="211">
        <f t="shared" si="1487"/>
        <v>0.14499999999999999</v>
      </c>
      <c r="AH3195" s="157">
        <f t="shared" si="1488"/>
        <v>0</v>
      </c>
      <c r="AI3195" s="152">
        <f t="shared" si="1486"/>
        <v>24912</v>
      </c>
      <c r="AK3195" s="156" t="s">
        <v>691</v>
      </c>
      <c r="AL3195" s="212" t="s">
        <v>690</v>
      </c>
      <c r="AM3195" s="198">
        <f t="shared" si="1474"/>
        <v>0</v>
      </c>
      <c r="AN3195" s="199">
        <f t="shared" si="1475"/>
        <v>46092</v>
      </c>
      <c r="AO3195" s="159" t="s">
        <v>692</v>
      </c>
      <c r="AP3195" s="783" t="s">
        <v>609</v>
      </c>
      <c r="AQ3195" s="782">
        <v>12071839</v>
      </c>
      <c r="AR3195" s="782">
        <v>12047514</v>
      </c>
      <c r="AS3195" s="782">
        <v>12047515</v>
      </c>
      <c r="AT3195" s="781"/>
      <c r="AU3195" s="781"/>
      <c r="AV3195" s="782">
        <v>12080613</v>
      </c>
      <c r="AW3195" s="781"/>
      <c r="AX3195" s="781"/>
      <c r="AY3195" s="782">
        <v>12094241</v>
      </c>
      <c r="AZ3195" s="782">
        <v>12094242</v>
      </c>
      <c r="BA3195" s="781"/>
      <c r="BB3195" s="209">
        <v>23053185</v>
      </c>
    </row>
    <row r="3196" spans="1:54" ht="25" customHeight="1">
      <c r="B3196" s="271">
        <v>46092</v>
      </c>
      <c r="C3196" s="870" t="s">
        <v>2736</v>
      </c>
      <c r="D3196" s="185">
        <f t="shared" si="1479"/>
        <v>2026</v>
      </c>
      <c r="E3196" s="272" t="e">
        <f>VLOOKUP($B3196,Week!$A$1:$C$1462,2,0)</f>
        <v>#N/A</v>
      </c>
      <c r="F3196" s="273" t="str">
        <f t="shared" si="1480"/>
        <v>Mar</v>
      </c>
      <c r="G3196" s="274" t="s">
        <v>47</v>
      </c>
      <c r="H3196" s="274" t="s">
        <v>518</v>
      </c>
      <c r="I3196" s="274" t="s">
        <v>2702</v>
      </c>
      <c r="J3196" s="275" t="s">
        <v>70</v>
      </c>
      <c r="K3196" s="276" t="s">
        <v>556</v>
      </c>
      <c r="L3196" s="300" t="s">
        <v>2167</v>
      </c>
      <c r="M3196" s="275" t="s">
        <v>520</v>
      </c>
      <c r="N3196" s="423" t="s">
        <v>586</v>
      </c>
      <c r="O3196" s="274" t="s">
        <v>585</v>
      </c>
      <c r="P3196" s="277">
        <v>12</v>
      </c>
      <c r="Q3196" s="277">
        <v>5</v>
      </c>
      <c r="R3196" s="278">
        <v>6.0000000000000001E-3</v>
      </c>
      <c r="S3196" s="274" t="s">
        <v>55</v>
      </c>
      <c r="T3196" s="274" t="s">
        <v>56</v>
      </c>
      <c r="U3196" s="274" t="s">
        <v>57</v>
      </c>
      <c r="V3196" s="279">
        <f>200</f>
        <v>200</v>
      </c>
      <c r="W3196" s="279">
        <f>24+12+164</f>
        <v>200</v>
      </c>
      <c r="X3196" s="280"/>
      <c r="Y3196" s="281">
        <f t="shared" si="1481"/>
        <v>0</v>
      </c>
      <c r="Z3196" s="282">
        <f t="shared" si="1482"/>
        <v>0</v>
      </c>
      <c r="AA3196" s="282">
        <f t="shared" si="1473"/>
        <v>0</v>
      </c>
      <c r="AB3196" s="812">
        <v>7.4999999999999997E-3</v>
      </c>
      <c r="AC3196" s="279">
        <f t="shared" si="1483"/>
        <v>0</v>
      </c>
      <c r="AD3196" s="209"/>
      <c r="AE3196" s="210">
        <f t="shared" si="1484"/>
        <v>0</v>
      </c>
      <c r="AF3196" s="210">
        <f t="shared" si="1485"/>
        <v>0</v>
      </c>
      <c r="AG3196" s="211">
        <f t="shared" si="1487"/>
        <v>0.13500000000000001</v>
      </c>
      <c r="AH3196" s="157">
        <f t="shared" si="1488"/>
        <v>0</v>
      </c>
      <c r="AI3196" s="152">
        <f t="shared" si="1486"/>
        <v>2400</v>
      </c>
      <c r="AK3196" s="156" t="s">
        <v>691</v>
      </c>
      <c r="AL3196" s="212" t="s">
        <v>690</v>
      </c>
      <c r="AM3196" s="198">
        <f t="shared" si="1474"/>
        <v>0</v>
      </c>
      <c r="AN3196" s="199">
        <f t="shared" si="1475"/>
        <v>46092</v>
      </c>
      <c r="AO3196" s="159" t="s">
        <v>692</v>
      </c>
      <c r="AP3196" s="781"/>
      <c r="AQ3196" s="782">
        <v>12071839</v>
      </c>
      <c r="AR3196" s="782">
        <v>12047514</v>
      </c>
      <c r="AS3196" s="782">
        <v>12047515</v>
      </c>
      <c r="AT3196" s="782"/>
      <c r="AU3196" s="781"/>
      <c r="AV3196" s="782">
        <v>12083307</v>
      </c>
      <c r="AW3196" s="782"/>
      <c r="AX3196" s="782"/>
      <c r="AY3196" s="782">
        <v>12094380</v>
      </c>
      <c r="AZ3196" s="782">
        <v>12094381</v>
      </c>
      <c r="BA3196" s="781"/>
      <c r="BB3196" s="209">
        <v>23053185</v>
      </c>
    </row>
    <row r="3197" spans="1:54" ht="25" customHeight="1">
      <c r="B3197" s="271">
        <v>46092</v>
      </c>
      <c r="C3197" s="870" t="s">
        <v>2736</v>
      </c>
      <c r="D3197" s="185">
        <f t="shared" si="1479"/>
        <v>2026</v>
      </c>
      <c r="E3197" s="272" t="e">
        <f>VLOOKUP($B3197,Week!$A$1:$C$1462,2,0)</f>
        <v>#N/A</v>
      </c>
      <c r="F3197" s="273" t="str">
        <f t="shared" si="1480"/>
        <v>Mar</v>
      </c>
      <c r="G3197" s="274" t="s">
        <v>47</v>
      </c>
      <c r="H3197" s="274" t="s">
        <v>518</v>
      </c>
      <c r="I3197" s="274" t="s">
        <v>2702</v>
      </c>
      <c r="J3197" s="275" t="s">
        <v>70</v>
      </c>
      <c r="K3197" s="276" t="s">
        <v>556</v>
      </c>
      <c r="L3197" s="300" t="s">
        <v>2167</v>
      </c>
      <c r="M3197" s="275" t="s">
        <v>520</v>
      </c>
      <c r="N3197" s="423" t="s">
        <v>586</v>
      </c>
      <c r="O3197" s="274" t="s">
        <v>585</v>
      </c>
      <c r="P3197" s="277">
        <v>12</v>
      </c>
      <c r="Q3197" s="277">
        <v>5</v>
      </c>
      <c r="R3197" s="278">
        <v>6.0000000000000001E-3</v>
      </c>
      <c r="S3197" s="274" t="s">
        <v>55</v>
      </c>
      <c r="T3197" s="274" t="s">
        <v>56</v>
      </c>
      <c r="U3197" s="274" t="s">
        <v>57</v>
      </c>
      <c r="V3197" s="279">
        <f>50</f>
        <v>50</v>
      </c>
      <c r="W3197" s="279">
        <v>50</v>
      </c>
      <c r="X3197" s="280"/>
      <c r="Y3197" s="281">
        <f t="shared" si="1481"/>
        <v>0</v>
      </c>
      <c r="Z3197" s="282">
        <f t="shared" si="1482"/>
        <v>0</v>
      </c>
      <c r="AA3197" s="282">
        <f t="shared" si="1473"/>
        <v>0</v>
      </c>
      <c r="AB3197" s="812">
        <v>7.4999999999999997E-3</v>
      </c>
      <c r="AC3197" s="279">
        <f t="shared" si="1483"/>
        <v>0</v>
      </c>
      <c r="AD3197" s="209"/>
      <c r="AE3197" s="210">
        <f t="shared" si="1484"/>
        <v>0</v>
      </c>
      <c r="AF3197" s="210">
        <f t="shared" si="1485"/>
        <v>0</v>
      </c>
      <c r="AG3197" s="211">
        <f t="shared" si="1487"/>
        <v>0.13500000000000001</v>
      </c>
      <c r="AH3197" s="157">
        <f t="shared" si="1488"/>
        <v>0</v>
      </c>
      <c r="AI3197" s="152">
        <f t="shared" si="1486"/>
        <v>600</v>
      </c>
      <c r="AK3197" s="156" t="s">
        <v>691</v>
      </c>
      <c r="AL3197" s="212" t="s">
        <v>690</v>
      </c>
      <c r="AM3197" s="198">
        <f t="shared" si="1474"/>
        <v>0</v>
      </c>
      <c r="AN3197" s="199">
        <f t="shared" si="1475"/>
        <v>46092</v>
      </c>
      <c r="AO3197" s="159" t="s">
        <v>692</v>
      </c>
      <c r="AP3197" s="781"/>
      <c r="AQ3197" s="782">
        <v>12071839</v>
      </c>
      <c r="AR3197" s="782">
        <v>12047514</v>
      </c>
      <c r="AS3197" s="782">
        <v>12047515</v>
      </c>
      <c r="AT3197" s="782"/>
      <c r="AU3197" s="781"/>
      <c r="AV3197" s="782">
        <v>12083307</v>
      </c>
      <c r="AW3197" s="782"/>
      <c r="AX3197" s="782"/>
      <c r="AY3197" s="782">
        <v>12094380</v>
      </c>
      <c r="AZ3197" s="782">
        <v>12094381</v>
      </c>
      <c r="BA3197" s="781"/>
      <c r="BB3197" s="209">
        <v>23053185</v>
      </c>
    </row>
    <row r="3198" spans="1:54" ht="25" customHeight="1">
      <c r="B3198" s="271">
        <v>46092</v>
      </c>
      <c r="C3198" s="870" t="s">
        <v>2736</v>
      </c>
      <c r="D3198" s="185">
        <f t="shared" si="1479"/>
        <v>2026</v>
      </c>
      <c r="E3198" s="272" t="e">
        <f>VLOOKUP($B3198,Week!$A$1:$C$1462,2,0)</f>
        <v>#N/A</v>
      </c>
      <c r="F3198" s="273" t="str">
        <f t="shared" si="1480"/>
        <v>Mar</v>
      </c>
      <c r="G3198" s="274" t="s">
        <v>47</v>
      </c>
      <c r="H3198" s="274" t="s">
        <v>518</v>
      </c>
      <c r="I3198" s="274" t="s">
        <v>2702</v>
      </c>
      <c r="J3198" s="275" t="s">
        <v>70</v>
      </c>
      <c r="K3198" s="276" t="s">
        <v>556</v>
      </c>
      <c r="L3198" s="300" t="s">
        <v>2167</v>
      </c>
      <c r="M3198" s="275" t="s">
        <v>520</v>
      </c>
      <c r="N3198" s="423" t="s">
        <v>586</v>
      </c>
      <c r="O3198" s="274" t="s">
        <v>585</v>
      </c>
      <c r="P3198" s="277">
        <v>12</v>
      </c>
      <c r="Q3198" s="277">
        <v>5</v>
      </c>
      <c r="R3198" s="278">
        <v>6.0000000000000001E-3</v>
      </c>
      <c r="S3198" s="274" t="s">
        <v>55</v>
      </c>
      <c r="T3198" s="274" t="s">
        <v>56</v>
      </c>
      <c r="U3198" s="274" t="s">
        <v>57</v>
      </c>
      <c r="V3198" s="279">
        <f>350</f>
        <v>350</v>
      </c>
      <c r="W3198" s="279">
        <v>350</v>
      </c>
      <c r="X3198" s="280"/>
      <c r="Y3198" s="281">
        <f t="shared" si="1481"/>
        <v>0</v>
      </c>
      <c r="Z3198" s="282">
        <f t="shared" si="1482"/>
        <v>0</v>
      </c>
      <c r="AA3198" s="282">
        <f t="shared" si="1473"/>
        <v>0</v>
      </c>
      <c r="AB3198" s="812">
        <v>7.4999999999999997E-3</v>
      </c>
      <c r="AC3198" s="279">
        <f t="shared" si="1483"/>
        <v>0</v>
      </c>
      <c r="AD3198" s="209"/>
      <c r="AE3198" s="210">
        <f t="shared" si="1484"/>
        <v>0</v>
      </c>
      <c r="AF3198" s="210">
        <f t="shared" si="1485"/>
        <v>0</v>
      </c>
      <c r="AG3198" s="211">
        <f t="shared" si="1487"/>
        <v>0.13500000000000001</v>
      </c>
      <c r="AH3198" s="157">
        <f t="shared" si="1488"/>
        <v>0</v>
      </c>
      <c r="AI3198" s="152">
        <f t="shared" si="1486"/>
        <v>4200</v>
      </c>
      <c r="AK3198" s="156" t="s">
        <v>691</v>
      </c>
      <c r="AL3198" s="212" t="s">
        <v>690</v>
      </c>
      <c r="AM3198" s="198">
        <f t="shared" si="1474"/>
        <v>0</v>
      </c>
      <c r="AN3198" s="199">
        <f t="shared" si="1475"/>
        <v>46092</v>
      </c>
      <c r="AO3198" s="159" t="s">
        <v>692</v>
      </c>
      <c r="AP3198" s="781"/>
      <c r="AQ3198" s="782">
        <v>12071839</v>
      </c>
      <c r="AR3198" s="782">
        <v>12047514</v>
      </c>
      <c r="AS3198" s="782">
        <v>12047515</v>
      </c>
      <c r="AT3198" s="782"/>
      <c r="AU3198" s="781"/>
      <c r="AV3198" s="782">
        <v>12083307</v>
      </c>
      <c r="AW3198" s="782"/>
      <c r="AX3198" s="782"/>
      <c r="AY3198" s="782">
        <v>12094380</v>
      </c>
      <c r="AZ3198" s="782">
        <v>12094381</v>
      </c>
      <c r="BA3198" s="781"/>
      <c r="BB3198" s="209">
        <v>23053185</v>
      </c>
    </row>
    <row r="3199" spans="1:54" ht="25" customHeight="1">
      <c r="A3199" s="440"/>
      <c r="B3199" s="332">
        <v>46092</v>
      </c>
      <c r="C3199" s="646" t="s">
        <v>2736</v>
      </c>
      <c r="D3199" s="185">
        <f t="shared" si="1479"/>
        <v>2026</v>
      </c>
      <c r="E3199" s="333" t="e">
        <f>VLOOKUP($B3199,Week!$A$1:$C$1462,2,0)</f>
        <v>#N/A</v>
      </c>
      <c r="F3199" s="334" t="str">
        <f t="shared" si="1480"/>
        <v>Mar</v>
      </c>
      <c r="G3199" s="335" t="s">
        <v>47</v>
      </c>
      <c r="H3199" s="335" t="s">
        <v>518</v>
      </c>
      <c r="I3199" s="335" t="s">
        <v>2702</v>
      </c>
      <c r="J3199" s="336" t="s">
        <v>70</v>
      </c>
      <c r="K3199" s="337" t="s">
        <v>582</v>
      </c>
      <c r="L3199" s="300" t="s">
        <v>2167</v>
      </c>
      <c r="M3199" s="336" t="s">
        <v>534</v>
      </c>
      <c r="N3199" s="530" t="s">
        <v>578</v>
      </c>
      <c r="O3199" s="335" t="s">
        <v>583</v>
      </c>
      <c r="P3199" s="338">
        <v>12</v>
      </c>
      <c r="Q3199" s="338">
        <v>3</v>
      </c>
      <c r="R3199" s="339">
        <v>6.0000000000000001E-3</v>
      </c>
      <c r="S3199" s="335" t="s">
        <v>55</v>
      </c>
      <c r="T3199" s="335" t="s">
        <v>56</v>
      </c>
      <c r="U3199" s="335" t="s">
        <v>57</v>
      </c>
      <c r="V3199" s="341">
        <f>200</f>
        <v>200</v>
      </c>
      <c r="W3199" s="341">
        <f>9+1+190</f>
        <v>200</v>
      </c>
      <c r="X3199" s="342"/>
      <c r="Y3199" s="343">
        <f t="shared" si="1481"/>
        <v>0</v>
      </c>
      <c r="Z3199" s="344">
        <f t="shared" si="1482"/>
        <v>0</v>
      </c>
      <c r="AA3199" s="344">
        <f t="shared" ref="AA3199:AA3222" si="1489">Q3199*Z3199</f>
        <v>0</v>
      </c>
      <c r="AB3199" s="817">
        <v>7.4999999999999997E-3</v>
      </c>
      <c r="AC3199" s="341">
        <f t="shared" si="1483"/>
        <v>0</v>
      </c>
      <c r="AD3199" s="209"/>
      <c r="AE3199" s="210">
        <f t="shared" si="1484"/>
        <v>0</v>
      </c>
      <c r="AF3199" s="210">
        <f t="shared" si="1485"/>
        <v>0</v>
      </c>
      <c r="AG3199" s="211">
        <f t="shared" ref="AG3199:AG3216" si="1490">MID(O3199,1,3)/1000</f>
        <v>0.191</v>
      </c>
      <c r="AH3199" s="157">
        <f t="shared" si="1488"/>
        <v>0</v>
      </c>
      <c r="AI3199" s="152">
        <f t="shared" si="1486"/>
        <v>2400</v>
      </c>
      <c r="AK3199" s="156" t="s">
        <v>691</v>
      </c>
      <c r="AL3199" s="212" t="s">
        <v>690</v>
      </c>
      <c r="AM3199" s="198">
        <f t="shared" ref="AM3199:AM3222" si="1491">AG3199*Z3199</f>
        <v>0</v>
      </c>
      <c r="AN3199" s="199">
        <f t="shared" ref="AN3199:AN3218" si="1492">B3199</f>
        <v>46092</v>
      </c>
      <c r="AO3199" s="159" t="s">
        <v>692</v>
      </c>
      <c r="AP3199" s="781"/>
      <c r="AQ3199" s="782">
        <v>12071839</v>
      </c>
      <c r="AR3199" s="782">
        <v>12042650</v>
      </c>
      <c r="AS3199" s="782">
        <v>12042649</v>
      </c>
      <c r="AT3199" s="782"/>
      <c r="AU3199" s="781"/>
      <c r="AV3199" s="782">
        <v>12083313</v>
      </c>
      <c r="AW3199" s="782"/>
      <c r="AX3199" s="782"/>
      <c r="AY3199" s="782">
        <v>12094233</v>
      </c>
      <c r="AZ3199" s="782">
        <v>12094234</v>
      </c>
      <c r="BA3199" s="781"/>
      <c r="BB3199" s="209">
        <v>23053185</v>
      </c>
    </row>
    <row r="3200" spans="1:54" ht="25" customHeight="1">
      <c r="A3200" s="440"/>
      <c r="B3200" s="332">
        <v>46092</v>
      </c>
      <c r="C3200" s="646" t="s">
        <v>2736</v>
      </c>
      <c r="D3200" s="185">
        <f t="shared" si="1479"/>
        <v>2026</v>
      </c>
      <c r="E3200" s="333" t="e">
        <f>VLOOKUP($B3200,Week!$A$1:$C$1462,2,0)</f>
        <v>#N/A</v>
      </c>
      <c r="F3200" s="334" t="str">
        <f t="shared" si="1480"/>
        <v>Mar</v>
      </c>
      <c r="G3200" s="335" t="s">
        <v>47</v>
      </c>
      <c r="H3200" s="335" t="s">
        <v>518</v>
      </c>
      <c r="I3200" s="335" t="s">
        <v>2702</v>
      </c>
      <c r="J3200" s="336" t="s">
        <v>70</v>
      </c>
      <c r="K3200" s="337" t="s">
        <v>582</v>
      </c>
      <c r="L3200" s="300" t="s">
        <v>2167</v>
      </c>
      <c r="M3200" s="336" t="s">
        <v>534</v>
      </c>
      <c r="N3200" s="530" t="s">
        <v>578</v>
      </c>
      <c r="O3200" s="335" t="s">
        <v>583</v>
      </c>
      <c r="P3200" s="338">
        <v>12</v>
      </c>
      <c r="Q3200" s="338">
        <v>3</v>
      </c>
      <c r="R3200" s="339">
        <v>6.0000000000000001E-3</v>
      </c>
      <c r="S3200" s="335" t="s">
        <v>55</v>
      </c>
      <c r="T3200" s="335" t="s">
        <v>56</v>
      </c>
      <c r="U3200" s="335" t="s">
        <v>57</v>
      </c>
      <c r="V3200" s="341">
        <f>50</f>
        <v>50</v>
      </c>
      <c r="W3200" s="341">
        <v>50</v>
      </c>
      <c r="X3200" s="342"/>
      <c r="Y3200" s="343">
        <f t="shared" si="1481"/>
        <v>0</v>
      </c>
      <c r="Z3200" s="344">
        <f t="shared" si="1482"/>
        <v>0</v>
      </c>
      <c r="AA3200" s="344">
        <f t="shared" si="1489"/>
        <v>0</v>
      </c>
      <c r="AB3200" s="817">
        <v>7.4999999999999997E-3</v>
      </c>
      <c r="AC3200" s="341">
        <f t="shared" si="1483"/>
        <v>0</v>
      </c>
      <c r="AD3200" s="209"/>
      <c r="AE3200" s="210">
        <f t="shared" si="1484"/>
        <v>0</v>
      </c>
      <c r="AF3200" s="210">
        <f t="shared" si="1485"/>
        <v>0</v>
      </c>
      <c r="AG3200" s="211">
        <f t="shared" si="1490"/>
        <v>0.191</v>
      </c>
      <c r="AH3200" s="157">
        <f t="shared" si="1488"/>
        <v>0</v>
      </c>
      <c r="AI3200" s="152">
        <f t="shared" si="1486"/>
        <v>600</v>
      </c>
      <c r="AK3200" s="156" t="s">
        <v>691</v>
      </c>
      <c r="AL3200" s="212" t="s">
        <v>690</v>
      </c>
      <c r="AM3200" s="198">
        <f t="shared" si="1491"/>
        <v>0</v>
      </c>
      <c r="AN3200" s="199">
        <f t="shared" si="1492"/>
        <v>46092</v>
      </c>
      <c r="AO3200" s="159" t="s">
        <v>692</v>
      </c>
      <c r="AP3200" s="781"/>
      <c r="AQ3200" s="782">
        <v>12071839</v>
      </c>
      <c r="AR3200" s="782">
        <v>12042650</v>
      </c>
      <c r="AS3200" s="782">
        <v>12042649</v>
      </c>
      <c r="AT3200" s="782"/>
      <c r="AU3200" s="781"/>
      <c r="AV3200" s="782">
        <v>12083313</v>
      </c>
      <c r="AW3200" s="782"/>
      <c r="AX3200" s="782"/>
      <c r="AY3200" s="782">
        <v>12094233</v>
      </c>
      <c r="AZ3200" s="782">
        <v>12094234</v>
      </c>
      <c r="BA3200" s="781"/>
      <c r="BB3200" s="209">
        <v>23053185</v>
      </c>
    </row>
    <row r="3201" spans="1:54" ht="25" customHeight="1">
      <c r="B3201" s="320">
        <v>46092</v>
      </c>
      <c r="C3201" s="844" t="s">
        <v>2708</v>
      </c>
      <c r="D3201" s="185">
        <f t="shared" si="1479"/>
        <v>2026</v>
      </c>
      <c r="E3201" s="321" t="e">
        <f>VLOOKUP($B3201,Week!$A$1:$C$1462,2,0)</f>
        <v>#N/A</v>
      </c>
      <c r="F3201" s="322" t="str">
        <f t="shared" si="1480"/>
        <v>Mar</v>
      </c>
      <c r="G3201" s="323" t="s">
        <v>47</v>
      </c>
      <c r="H3201" s="323" t="s">
        <v>518</v>
      </c>
      <c r="I3201" s="323" t="s">
        <v>2702</v>
      </c>
      <c r="J3201" s="324" t="s">
        <v>70</v>
      </c>
      <c r="K3201" s="325" t="s">
        <v>564</v>
      </c>
      <c r="L3201" s="300" t="s">
        <v>2167</v>
      </c>
      <c r="M3201" s="324" t="s">
        <v>2343</v>
      </c>
      <c r="N3201" s="323" t="s">
        <v>559</v>
      </c>
      <c r="O3201" s="323" t="s">
        <v>560</v>
      </c>
      <c r="P3201" s="326">
        <v>12</v>
      </c>
      <c r="Q3201" s="326">
        <v>3</v>
      </c>
      <c r="R3201" s="327">
        <v>8.0000000000000002E-3</v>
      </c>
      <c r="S3201" s="323" t="s">
        <v>40</v>
      </c>
      <c r="T3201" s="323" t="s">
        <v>56</v>
      </c>
      <c r="U3201" s="323" t="s">
        <v>57</v>
      </c>
      <c r="V3201" s="397">
        <f>500</f>
        <v>500</v>
      </c>
      <c r="W3201" s="328">
        <f>23+477</f>
        <v>500</v>
      </c>
      <c r="X3201" s="329"/>
      <c r="Y3201" s="330">
        <f t="shared" si="1481"/>
        <v>0</v>
      </c>
      <c r="Z3201" s="331">
        <f t="shared" si="1482"/>
        <v>0</v>
      </c>
      <c r="AA3201" s="331">
        <f t="shared" si="1489"/>
        <v>0</v>
      </c>
      <c r="AB3201" s="816">
        <v>7.4999999999999997E-3</v>
      </c>
      <c r="AC3201" s="328">
        <f t="shared" si="1483"/>
        <v>0</v>
      </c>
      <c r="AD3201" s="209"/>
      <c r="AE3201" s="210">
        <f t="shared" si="1484"/>
        <v>0</v>
      </c>
      <c r="AF3201" s="210">
        <f t="shared" si="1485"/>
        <v>0</v>
      </c>
      <c r="AG3201" s="211">
        <f t="shared" si="1490"/>
        <v>0.22600000000000001</v>
      </c>
      <c r="AH3201" s="157">
        <f t="shared" si="1488"/>
        <v>0</v>
      </c>
      <c r="AI3201" s="152">
        <f t="shared" si="1486"/>
        <v>6000</v>
      </c>
      <c r="AK3201" s="156" t="s">
        <v>691</v>
      </c>
      <c r="AL3201" s="212" t="s">
        <v>690</v>
      </c>
      <c r="AM3201" s="198">
        <f t="shared" si="1491"/>
        <v>0</v>
      </c>
      <c r="AN3201" s="199">
        <f t="shared" si="1492"/>
        <v>46092</v>
      </c>
      <c r="AO3201" s="159" t="s">
        <v>692</v>
      </c>
      <c r="AP3201" s="783" t="s">
        <v>623</v>
      </c>
      <c r="AQ3201" s="782">
        <v>12071839</v>
      </c>
      <c r="AR3201" s="782">
        <v>12042650</v>
      </c>
      <c r="AS3201" s="782">
        <v>12042649</v>
      </c>
      <c r="AT3201" s="782"/>
      <c r="AU3201" s="781"/>
      <c r="AV3201" s="782">
        <v>12083156</v>
      </c>
      <c r="AW3201" s="782"/>
      <c r="AX3201" s="782"/>
      <c r="AY3201" s="782">
        <v>12094235</v>
      </c>
      <c r="AZ3201" s="782">
        <v>12094236</v>
      </c>
      <c r="BA3201" s="781"/>
      <c r="BB3201" s="209">
        <v>23053185</v>
      </c>
    </row>
    <row r="3202" spans="1:54" ht="25" customHeight="1">
      <c r="B3202" s="320">
        <v>46092</v>
      </c>
      <c r="C3202" s="844" t="s">
        <v>2736</v>
      </c>
      <c r="D3202" s="185">
        <f t="shared" si="1479"/>
        <v>2026</v>
      </c>
      <c r="E3202" s="321" t="e">
        <f>VLOOKUP($B3202,Week!$A$1:$C$1462,2,0)</f>
        <v>#N/A</v>
      </c>
      <c r="F3202" s="322" t="str">
        <f t="shared" si="1480"/>
        <v>Mar</v>
      </c>
      <c r="G3202" s="323" t="s">
        <v>47</v>
      </c>
      <c r="H3202" s="323" t="s">
        <v>518</v>
      </c>
      <c r="I3202" s="323" t="s">
        <v>2702</v>
      </c>
      <c r="J3202" s="324" t="s">
        <v>70</v>
      </c>
      <c r="K3202" s="325" t="s">
        <v>564</v>
      </c>
      <c r="L3202" s="300" t="s">
        <v>2167</v>
      </c>
      <c r="M3202" s="324" t="s">
        <v>2343</v>
      </c>
      <c r="N3202" s="323" t="s">
        <v>559</v>
      </c>
      <c r="O3202" s="323" t="s">
        <v>560</v>
      </c>
      <c r="P3202" s="326">
        <v>12</v>
      </c>
      <c r="Q3202" s="326">
        <v>3</v>
      </c>
      <c r="R3202" s="327">
        <v>8.0000000000000002E-3</v>
      </c>
      <c r="S3202" s="323" t="s">
        <v>40</v>
      </c>
      <c r="T3202" s="323" t="s">
        <v>56</v>
      </c>
      <c r="U3202" s="323" t="s">
        <v>57</v>
      </c>
      <c r="V3202" s="397">
        <f>500</f>
        <v>500</v>
      </c>
      <c r="W3202" s="328">
        <f>500</f>
        <v>500</v>
      </c>
      <c r="X3202" s="329"/>
      <c r="Y3202" s="330">
        <f t="shared" si="1481"/>
        <v>0</v>
      </c>
      <c r="Z3202" s="331">
        <f t="shared" si="1482"/>
        <v>0</v>
      </c>
      <c r="AA3202" s="331">
        <f t="shared" si="1489"/>
        <v>0</v>
      </c>
      <c r="AB3202" s="816">
        <v>7.4999999999999997E-3</v>
      </c>
      <c r="AC3202" s="328">
        <f t="shared" si="1483"/>
        <v>0</v>
      </c>
      <c r="AD3202" s="209"/>
      <c r="AE3202" s="210">
        <f t="shared" si="1484"/>
        <v>0</v>
      </c>
      <c r="AF3202" s="210">
        <f t="shared" si="1485"/>
        <v>0</v>
      </c>
      <c r="AG3202" s="211">
        <f t="shared" si="1490"/>
        <v>0.22600000000000001</v>
      </c>
      <c r="AH3202" s="157">
        <f t="shared" si="1488"/>
        <v>0</v>
      </c>
      <c r="AI3202" s="152">
        <f t="shared" si="1486"/>
        <v>6000</v>
      </c>
      <c r="AK3202" s="156" t="s">
        <v>691</v>
      </c>
      <c r="AL3202" s="212" t="s">
        <v>690</v>
      </c>
      <c r="AM3202" s="198">
        <f t="shared" si="1491"/>
        <v>0</v>
      </c>
      <c r="AN3202" s="199">
        <f t="shared" si="1492"/>
        <v>46092</v>
      </c>
      <c r="AO3202" s="159" t="s">
        <v>692</v>
      </c>
      <c r="AP3202" s="783" t="s">
        <v>623</v>
      </c>
      <c r="AQ3202" s="782">
        <v>12071839</v>
      </c>
      <c r="AR3202" s="782">
        <v>12042650</v>
      </c>
      <c r="AS3202" s="782">
        <v>12042649</v>
      </c>
      <c r="AT3202" s="782"/>
      <c r="AU3202" s="781"/>
      <c r="AV3202" s="782">
        <v>12083156</v>
      </c>
      <c r="AW3202" s="782"/>
      <c r="AX3202" s="782"/>
      <c r="AY3202" s="782">
        <v>12094235</v>
      </c>
      <c r="AZ3202" s="782">
        <v>12094236</v>
      </c>
      <c r="BA3202" s="781"/>
      <c r="BB3202" s="209">
        <v>23053185</v>
      </c>
    </row>
    <row r="3203" spans="1:54" ht="25" customHeight="1">
      <c r="B3203" s="743">
        <v>46092</v>
      </c>
      <c r="C3203" s="848" t="s">
        <v>2708</v>
      </c>
      <c r="D3203" s="215">
        <f t="shared" si="1479"/>
        <v>2026</v>
      </c>
      <c r="E3203" s="214" t="e">
        <f>VLOOKUP($B3203,Week!$A$1:$C$1462,2,0)</f>
        <v>#N/A</v>
      </c>
      <c r="F3203" s="216" t="str">
        <f t="shared" si="1480"/>
        <v>Mar</v>
      </c>
      <c r="G3203" s="746" t="s">
        <v>47</v>
      </c>
      <c r="H3203" s="746" t="s">
        <v>260</v>
      </c>
      <c r="I3203" s="215" t="s">
        <v>2702</v>
      </c>
      <c r="J3203" s="747" t="s">
        <v>2702</v>
      </c>
      <c r="K3203" s="748" t="s">
        <v>2703</v>
      </c>
      <c r="L3203" s="217" t="s">
        <v>2167</v>
      </c>
      <c r="M3203" s="747" t="s">
        <v>2899</v>
      </c>
      <c r="N3203" s="915" t="s">
        <v>2704</v>
      </c>
      <c r="O3203" s="746" t="s">
        <v>1635</v>
      </c>
      <c r="P3203" s="749">
        <v>24</v>
      </c>
      <c r="Q3203" s="749">
        <v>3</v>
      </c>
      <c r="R3203" s="849">
        <v>6.1999999999999998E-3</v>
      </c>
      <c r="S3203" s="746" t="s">
        <v>352</v>
      </c>
      <c r="T3203" s="746" t="s">
        <v>56</v>
      </c>
      <c r="U3203" s="860" t="s">
        <v>739</v>
      </c>
      <c r="V3203" s="750">
        <f>453+400</f>
        <v>853</v>
      </c>
      <c r="W3203" s="750">
        <f>1+427+25</f>
        <v>453</v>
      </c>
      <c r="X3203" s="751">
        <f>400</f>
        <v>400</v>
      </c>
      <c r="Y3203" s="752">
        <f t="shared" si="1481"/>
        <v>0</v>
      </c>
      <c r="Z3203" s="753">
        <f t="shared" si="1482"/>
        <v>0</v>
      </c>
      <c r="AA3203" s="753">
        <f t="shared" si="1489"/>
        <v>0</v>
      </c>
      <c r="AB3203" s="838">
        <v>1.83E-2</v>
      </c>
      <c r="AC3203" s="750">
        <f t="shared" si="1483"/>
        <v>0</v>
      </c>
      <c r="AD3203" s="443"/>
      <c r="AE3203" s="210">
        <f t="shared" si="1484"/>
        <v>0</v>
      </c>
      <c r="AF3203" s="210">
        <f t="shared" si="1485"/>
        <v>0</v>
      </c>
      <c r="AG3203" s="211">
        <f t="shared" si="1490"/>
        <v>0.25</v>
      </c>
      <c r="AH3203" s="157">
        <v>0.26621999999999996</v>
      </c>
      <c r="AI3203" s="152">
        <f t="shared" si="1486"/>
        <v>20472</v>
      </c>
      <c r="AK3203" s="156" t="s">
        <v>691</v>
      </c>
      <c r="AL3203" s="574" t="s">
        <v>690</v>
      </c>
      <c r="AM3203" s="198">
        <f t="shared" si="1491"/>
        <v>0</v>
      </c>
      <c r="AN3203" s="199">
        <f t="shared" si="1492"/>
        <v>46092</v>
      </c>
      <c r="AO3203" s="159" t="s">
        <v>692</v>
      </c>
      <c r="AP3203" s="781" t="s">
        <v>642</v>
      </c>
      <c r="AQ3203" s="782">
        <v>12071839</v>
      </c>
      <c r="AR3203" s="782">
        <v>12042650</v>
      </c>
      <c r="AS3203" s="782">
        <v>12042649</v>
      </c>
      <c r="AT3203" s="782"/>
      <c r="AU3203" s="783"/>
      <c r="AV3203" s="782">
        <v>12097895</v>
      </c>
      <c r="AW3203" s="783"/>
      <c r="AX3203" s="781"/>
      <c r="AY3203" s="796">
        <v>12097893</v>
      </c>
      <c r="AZ3203" s="796">
        <v>12097894</v>
      </c>
      <c r="BA3203" s="796" t="s">
        <v>2462</v>
      </c>
      <c r="BB3203" s="209">
        <v>23099860</v>
      </c>
    </row>
    <row r="3204" spans="1:54" ht="25" customHeight="1">
      <c r="A3204" s="142" t="s">
        <v>120</v>
      </c>
      <c r="B3204" s="320">
        <v>46093</v>
      </c>
      <c r="C3204" s="321">
        <v>46132</v>
      </c>
      <c r="D3204" s="323">
        <f t="shared" si="1479"/>
        <v>2026</v>
      </c>
      <c r="E3204" s="321" t="e">
        <f>VLOOKUP($B3204,Week!$A$1:$C$1462,2,0)</f>
        <v>#N/A</v>
      </c>
      <c r="F3204" s="322" t="str">
        <f t="shared" si="1480"/>
        <v>Mar</v>
      </c>
      <c r="G3204" s="323" t="s">
        <v>2760</v>
      </c>
      <c r="H3204" s="323" t="s">
        <v>363</v>
      </c>
      <c r="I3204" s="323" t="s">
        <v>2772</v>
      </c>
      <c r="J3204" s="324" t="s">
        <v>364</v>
      </c>
      <c r="K3204" s="325" t="s">
        <v>2583</v>
      </c>
      <c r="L3204" s="325" t="s">
        <v>2166</v>
      </c>
      <c r="M3204" s="324" t="s">
        <v>2586</v>
      </c>
      <c r="N3204" s="323" t="s">
        <v>2584</v>
      </c>
      <c r="O3204" s="323" t="s">
        <v>2587</v>
      </c>
      <c r="P3204" s="326">
        <v>20</v>
      </c>
      <c r="Q3204" s="326">
        <v>50</v>
      </c>
      <c r="R3204" s="327">
        <v>4.0000000000000001E-3</v>
      </c>
      <c r="S3204" s="323" t="s">
        <v>55</v>
      </c>
      <c r="T3204" s="323" t="s">
        <v>112</v>
      </c>
      <c r="U3204" s="323" t="s">
        <v>77</v>
      </c>
      <c r="V3204" s="328">
        <f>1040-169-159-272-216</f>
        <v>224</v>
      </c>
      <c r="W3204" s="328">
        <f>210</f>
        <v>210</v>
      </c>
      <c r="X3204" s="329">
        <f>(400)/20</f>
        <v>20</v>
      </c>
      <c r="Y3204" s="330">
        <f t="shared" si="1481"/>
        <v>6</v>
      </c>
      <c r="Z3204" s="331">
        <f t="shared" si="1482"/>
        <v>0</v>
      </c>
      <c r="AA3204" s="331">
        <f t="shared" si="1489"/>
        <v>0</v>
      </c>
      <c r="AB3204" s="816">
        <v>6</v>
      </c>
      <c r="AC3204" s="328">
        <f t="shared" si="1483"/>
        <v>0</v>
      </c>
      <c r="AD3204" s="209"/>
      <c r="AE3204" s="210">
        <f t="shared" si="1484"/>
        <v>0</v>
      </c>
      <c r="AF3204" s="210">
        <f t="shared" si="1485"/>
        <v>0</v>
      </c>
      <c r="AG3204" s="211">
        <f t="shared" si="1490"/>
        <v>0.5</v>
      </c>
      <c r="AH3204" s="157">
        <f>(Z3204*AG3204)/1000</f>
        <v>0</v>
      </c>
      <c r="AI3204" s="152">
        <f t="shared" si="1486"/>
        <v>4480</v>
      </c>
      <c r="AK3204" s="156" t="s">
        <v>691</v>
      </c>
      <c r="AL3204" s="156" t="s">
        <v>689</v>
      </c>
      <c r="AM3204" s="198">
        <f t="shared" si="1491"/>
        <v>0</v>
      </c>
      <c r="AN3204" s="199">
        <f t="shared" si="1492"/>
        <v>46093</v>
      </c>
      <c r="AO3204" s="159" t="s">
        <v>692</v>
      </c>
      <c r="AP3204" s="783" t="s">
        <v>620</v>
      </c>
      <c r="AQ3204" s="796" t="s">
        <v>422</v>
      </c>
      <c r="AR3204" s="782">
        <v>12055234</v>
      </c>
      <c r="AS3204" s="781"/>
      <c r="AT3204" s="782"/>
      <c r="AU3204" s="782"/>
      <c r="AV3204" s="782">
        <v>12097165</v>
      </c>
      <c r="AW3204" s="782"/>
      <c r="AX3204" s="782">
        <v>12036656</v>
      </c>
      <c r="AY3204" s="799"/>
      <c r="AZ3204" s="781"/>
      <c r="BA3204" s="781"/>
      <c r="BB3204" s="209">
        <v>23053184</v>
      </c>
    </row>
    <row r="3205" spans="1:54" ht="24.75" customHeight="1">
      <c r="B3205" s="295">
        <v>46093</v>
      </c>
      <c r="C3205" s="771" t="s">
        <v>2708</v>
      </c>
      <c r="D3205" s="185">
        <f t="shared" si="1479"/>
        <v>2026</v>
      </c>
      <c r="E3205" s="296" t="e">
        <f>VLOOKUP($B3205,Week!$A$1:$C$1462,2,0)</f>
        <v>#N/A</v>
      </c>
      <c r="F3205" s="297" t="str">
        <f t="shared" si="1480"/>
        <v>Mar</v>
      </c>
      <c r="G3205" s="648" t="s">
        <v>47</v>
      </c>
      <c r="H3205" s="298" t="s">
        <v>260</v>
      </c>
      <c r="I3205" s="298" t="s">
        <v>2702</v>
      </c>
      <c r="J3205" s="307" t="s">
        <v>2240</v>
      </c>
      <c r="K3205" s="300" t="s">
        <v>176</v>
      </c>
      <c r="L3205" s="300" t="s">
        <v>2167</v>
      </c>
      <c r="M3205" s="299" t="s">
        <v>2338</v>
      </c>
      <c r="N3205" s="298" t="s">
        <v>350</v>
      </c>
      <c r="O3205" s="298" t="s">
        <v>351</v>
      </c>
      <c r="P3205" s="301">
        <v>24</v>
      </c>
      <c r="Q3205" s="301">
        <v>5</v>
      </c>
      <c r="R3205" s="302">
        <v>6.1999999999999998E-3</v>
      </c>
      <c r="S3205" s="298" t="s">
        <v>352</v>
      </c>
      <c r="T3205" s="298" t="s">
        <v>56</v>
      </c>
      <c r="U3205" s="298" t="s">
        <v>57</v>
      </c>
      <c r="V3205" s="303">
        <v>2955</v>
      </c>
      <c r="W3205" s="303">
        <f>1+2954</f>
        <v>2955</v>
      </c>
      <c r="X3205" s="304"/>
      <c r="Y3205" s="305">
        <f t="shared" si="1481"/>
        <v>0</v>
      </c>
      <c r="Z3205" s="306">
        <f t="shared" si="1482"/>
        <v>0</v>
      </c>
      <c r="AA3205" s="306">
        <f t="shared" si="1489"/>
        <v>0</v>
      </c>
      <c r="AB3205" s="814">
        <v>7.4999999999999997E-3</v>
      </c>
      <c r="AC3205" s="303">
        <f t="shared" si="1483"/>
        <v>0</v>
      </c>
      <c r="AD3205" s="443"/>
      <c r="AE3205" s="210">
        <f t="shared" si="1484"/>
        <v>0</v>
      </c>
      <c r="AF3205" s="210">
        <f t="shared" si="1485"/>
        <v>0</v>
      </c>
      <c r="AG3205" s="211">
        <f t="shared" si="1490"/>
        <v>0.13</v>
      </c>
      <c r="AH3205" s="157">
        <f>(Z3205*AG3205)/1000</f>
        <v>0</v>
      </c>
      <c r="AI3205" s="152">
        <f t="shared" si="1486"/>
        <v>70920</v>
      </c>
      <c r="AK3205" s="156" t="s">
        <v>691</v>
      </c>
      <c r="AL3205" s="574" t="s">
        <v>690</v>
      </c>
      <c r="AM3205" s="198">
        <f t="shared" si="1491"/>
        <v>0</v>
      </c>
      <c r="AN3205" s="199">
        <f t="shared" si="1492"/>
        <v>46093</v>
      </c>
      <c r="AO3205" s="159" t="s">
        <v>692</v>
      </c>
      <c r="AP3205" s="783" t="s">
        <v>622</v>
      </c>
      <c r="AQ3205" s="782">
        <v>12071839</v>
      </c>
      <c r="AR3205" s="782">
        <v>12094356</v>
      </c>
      <c r="AS3205" s="782">
        <v>12068233</v>
      </c>
      <c r="AT3205" s="781"/>
      <c r="AU3205" s="781"/>
      <c r="AV3205" s="782">
        <v>12062075</v>
      </c>
      <c r="AW3205" s="781"/>
      <c r="AX3205" s="781"/>
      <c r="AY3205" s="782">
        <v>12094357</v>
      </c>
      <c r="AZ3205" s="782"/>
      <c r="BA3205" s="781"/>
      <c r="BB3205" s="209">
        <v>23053184</v>
      </c>
    </row>
    <row r="3206" spans="1:54" ht="25" customHeight="1">
      <c r="B3206" s="213">
        <v>46093</v>
      </c>
      <c r="C3206" s="902" t="s">
        <v>2708</v>
      </c>
      <c r="D3206" s="215">
        <f t="shared" si="1479"/>
        <v>2026</v>
      </c>
      <c r="E3206" s="214" t="e">
        <f>VLOOKUP($B3206,Week!$A$1:$C$1462,2,0)</f>
        <v>#N/A</v>
      </c>
      <c r="F3206" s="216" t="str">
        <f t="shared" si="1480"/>
        <v>Mar</v>
      </c>
      <c r="G3206" s="215" t="s">
        <v>47</v>
      </c>
      <c r="H3206" s="215" t="s">
        <v>260</v>
      </c>
      <c r="I3206" s="215" t="s">
        <v>2702</v>
      </c>
      <c r="J3206" s="209" t="s">
        <v>2702</v>
      </c>
      <c r="K3206" s="217" t="s">
        <v>2706</v>
      </c>
      <c r="L3206" s="217" t="s">
        <v>2167</v>
      </c>
      <c r="M3206" s="209" t="s">
        <v>2733</v>
      </c>
      <c r="N3206" s="480" t="s">
        <v>2734</v>
      </c>
      <c r="O3206" s="215" t="s">
        <v>2735</v>
      </c>
      <c r="P3206" s="218">
        <v>12</v>
      </c>
      <c r="Q3206" s="218">
        <v>2</v>
      </c>
      <c r="R3206" s="219">
        <v>6.0000000000000001E-3</v>
      </c>
      <c r="S3206" s="215" t="s">
        <v>55</v>
      </c>
      <c r="T3206" s="215" t="s">
        <v>56</v>
      </c>
      <c r="U3206" s="852" t="s">
        <v>2707</v>
      </c>
      <c r="V3206" s="220">
        <v>1344</v>
      </c>
      <c r="W3206" s="220">
        <f>27+1317</f>
        <v>1344</v>
      </c>
      <c r="X3206" s="221"/>
      <c r="Y3206" s="222">
        <f t="shared" si="1481"/>
        <v>0</v>
      </c>
      <c r="Z3206" s="223">
        <f t="shared" si="1482"/>
        <v>0</v>
      </c>
      <c r="AA3206" s="223">
        <f t="shared" si="1489"/>
        <v>0</v>
      </c>
      <c r="AB3206" s="807">
        <v>1.7000000000000001E-2</v>
      </c>
      <c r="AC3206" s="220">
        <f t="shared" si="1483"/>
        <v>0</v>
      </c>
      <c r="AD3206" s="443"/>
      <c r="AE3206" s="210">
        <f t="shared" si="1484"/>
        <v>0</v>
      </c>
      <c r="AF3206" s="210">
        <f t="shared" si="1485"/>
        <v>0</v>
      </c>
      <c r="AG3206" s="211">
        <f t="shared" si="1490"/>
        <v>0.22500000000000001</v>
      </c>
      <c r="AH3206" s="157">
        <v>0.26621999999999996</v>
      </c>
      <c r="AI3206" s="152">
        <f t="shared" si="1486"/>
        <v>16128</v>
      </c>
      <c r="AK3206" s="156" t="s">
        <v>691</v>
      </c>
      <c r="AL3206" s="574" t="s">
        <v>690</v>
      </c>
      <c r="AM3206" s="198">
        <f t="shared" si="1491"/>
        <v>0</v>
      </c>
      <c r="AN3206" s="199">
        <f t="shared" si="1492"/>
        <v>46093</v>
      </c>
      <c r="AO3206" s="159" t="s">
        <v>692</v>
      </c>
      <c r="AP3206" s="781" t="s">
        <v>642</v>
      </c>
      <c r="AQ3206" s="782">
        <v>12071839</v>
      </c>
      <c r="AR3206" s="782"/>
      <c r="AS3206" s="782"/>
      <c r="AT3206" s="782">
        <v>12098021</v>
      </c>
      <c r="AU3206" s="783" t="s">
        <v>2979</v>
      </c>
      <c r="AV3206" s="782">
        <v>12098022</v>
      </c>
      <c r="AW3206" s="783"/>
      <c r="AX3206" s="781"/>
      <c r="AY3206" s="796"/>
      <c r="AZ3206" s="796"/>
      <c r="BA3206" s="796"/>
      <c r="BB3206" s="209">
        <v>23099860</v>
      </c>
    </row>
    <row r="3207" spans="1:54" ht="25.9" customHeight="1">
      <c r="A3207" s="142" t="s">
        <v>120</v>
      </c>
      <c r="B3207" s="235">
        <v>46094</v>
      </c>
      <c r="C3207" s="235">
        <v>46105</v>
      </c>
      <c r="D3207" s="185">
        <f t="shared" si="1479"/>
        <v>2026</v>
      </c>
      <c r="E3207" s="236" t="e">
        <f>VLOOKUP($B3207,Week!$A$1:$C$1462,2,0)</f>
        <v>#N/A</v>
      </c>
      <c r="F3207" s="237" t="str">
        <f t="shared" si="1480"/>
        <v>Mar</v>
      </c>
      <c r="G3207" s="236" t="s">
        <v>2790</v>
      </c>
      <c r="H3207" s="236" t="s">
        <v>392</v>
      </c>
      <c r="I3207" s="236" t="s">
        <v>2772</v>
      </c>
      <c r="J3207" s="238" t="s">
        <v>393</v>
      </c>
      <c r="K3207" s="239" t="s">
        <v>153</v>
      </c>
      <c r="L3207" s="390" t="s">
        <v>2166</v>
      </c>
      <c r="M3207" s="238" t="s">
        <v>165</v>
      </c>
      <c r="N3207" s="236" t="s">
        <v>685</v>
      </c>
      <c r="O3207" s="236" t="s">
        <v>167</v>
      </c>
      <c r="P3207" s="240">
        <v>20</v>
      </c>
      <c r="Q3207" s="240">
        <v>12</v>
      </c>
      <c r="R3207" s="241">
        <v>6.8100000000000001E-3</v>
      </c>
      <c r="S3207" s="236" t="s">
        <v>76</v>
      </c>
      <c r="T3207" s="236" t="s">
        <v>56</v>
      </c>
      <c r="U3207" s="236" t="s">
        <v>89</v>
      </c>
      <c r="V3207" s="242">
        <f>350</f>
        <v>350</v>
      </c>
      <c r="W3207" s="242">
        <v>350</v>
      </c>
      <c r="X3207" s="243"/>
      <c r="Y3207" s="244">
        <f t="shared" si="1481"/>
        <v>0</v>
      </c>
      <c r="Z3207" s="245">
        <f t="shared" si="1482"/>
        <v>0</v>
      </c>
      <c r="AA3207" s="245">
        <f t="shared" si="1489"/>
        <v>0</v>
      </c>
      <c r="AB3207" s="809">
        <v>2</v>
      </c>
      <c r="AC3207" s="242">
        <f t="shared" si="1483"/>
        <v>0</v>
      </c>
      <c r="AD3207" s="209"/>
      <c r="AE3207" s="210">
        <f t="shared" si="1484"/>
        <v>0</v>
      </c>
      <c r="AF3207" s="210">
        <f t="shared" si="1485"/>
        <v>0</v>
      </c>
      <c r="AG3207" s="211">
        <f t="shared" si="1490"/>
        <v>0.154</v>
      </c>
      <c r="AH3207" s="157">
        <f>(Z3207*AG3207)/1000</f>
        <v>0</v>
      </c>
      <c r="AI3207" s="152">
        <f t="shared" si="1486"/>
        <v>7000</v>
      </c>
      <c r="AK3207" s="156" t="s">
        <v>691</v>
      </c>
      <c r="AL3207" s="156" t="s">
        <v>689</v>
      </c>
      <c r="AM3207" s="198">
        <f t="shared" si="1491"/>
        <v>0</v>
      </c>
      <c r="AN3207" s="199">
        <f t="shared" si="1492"/>
        <v>46094</v>
      </c>
      <c r="AO3207" s="159" t="s">
        <v>692</v>
      </c>
      <c r="AP3207" s="783" t="s">
        <v>622</v>
      </c>
      <c r="AQ3207" s="783" t="s">
        <v>631</v>
      </c>
      <c r="AR3207" s="783" t="s">
        <v>523</v>
      </c>
      <c r="AS3207" s="781"/>
      <c r="AT3207" s="783" t="s">
        <v>607</v>
      </c>
      <c r="AU3207" s="781"/>
      <c r="AV3207" s="783" t="s">
        <v>606</v>
      </c>
      <c r="AW3207" s="781"/>
      <c r="AX3207" s="781" t="s">
        <v>398</v>
      </c>
      <c r="AY3207" s="781"/>
      <c r="AZ3207" s="782"/>
      <c r="BA3207" s="781"/>
      <c r="BB3207" s="209">
        <v>23053184</v>
      </c>
    </row>
    <row r="3208" spans="1:54" ht="25" customHeight="1">
      <c r="A3208" s="142" t="s">
        <v>120</v>
      </c>
      <c r="B3208" s="271">
        <v>46094</v>
      </c>
      <c r="C3208" s="272">
        <v>46104</v>
      </c>
      <c r="D3208" s="185">
        <f t="shared" si="1479"/>
        <v>2026</v>
      </c>
      <c r="E3208" s="272" t="e">
        <f>VLOOKUP($B3208,Week!$A$1:$C$1462,2,0)</f>
        <v>#N/A</v>
      </c>
      <c r="F3208" s="273" t="str">
        <f t="shared" si="1480"/>
        <v>Mar</v>
      </c>
      <c r="G3208" s="274" t="s">
        <v>2864</v>
      </c>
      <c r="H3208" s="274" t="s">
        <v>500</v>
      </c>
      <c r="I3208" s="274" t="s">
        <v>2772</v>
      </c>
      <c r="J3208" s="275" t="s">
        <v>285</v>
      </c>
      <c r="K3208" s="276" t="s">
        <v>153</v>
      </c>
      <c r="L3208" s="390" t="s">
        <v>2166</v>
      </c>
      <c r="M3208" s="275" t="s">
        <v>86</v>
      </c>
      <c r="N3208" s="274" t="s">
        <v>547</v>
      </c>
      <c r="O3208" s="274" t="s">
        <v>548</v>
      </c>
      <c r="P3208" s="277">
        <v>10</v>
      </c>
      <c r="Q3208" s="277">
        <v>50</v>
      </c>
      <c r="R3208" s="278">
        <v>6.8100000000000001E-3</v>
      </c>
      <c r="S3208" s="274" t="s">
        <v>76</v>
      </c>
      <c r="T3208" s="274" t="s">
        <v>56</v>
      </c>
      <c r="U3208" s="274" t="s">
        <v>89</v>
      </c>
      <c r="V3208" s="279">
        <v>427</v>
      </c>
      <c r="W3208" s="279">
        <f>427</f>
        <v>427</v>
      </c>
      <c r="X3208" s="280"/>
      <c r="Y3208" s="281">
        <f t="shared" si="1481"/>
        <v>0</v>
      </c>
      <c r="Z3208" s="282">
        <f t="shared" si="1482"/>
        <v>0</v>
      </c>
      <c r="AA3208" s="282">
        <f t="shared" si="1489"/>
        <v>0</v>
      </c>
      <c r="AB3208" s="812">
        <v>6</v>
      </c>
      <c r="AC3208" s="279">
        <f t="shared" si="1483"/>
        <v>0</v>
      </c>
      <c r="AD3208" s="209"/>
      <c r="AE3208" s="210">
        <f t="shared" si="1484"/>
        <v>0</v>
      </c>
      <c r="AF3208" s="210">
        <f t="shared" si="1485"/>
        <v>0</v>
      </c>
      <c r="AG3208" s="211">
        <f t="shared" si="1490"/>
        <v>0.63</v>
      </c>
      <c r="AH3208" s="157">
        <f>(Z3208*AG3208)/1000</f>
        <v>0</v>
      </c>
      <c r="AI3208" s="152">
        <f t="shared" si="1486"/>
        <v>4270</v>
      </c>
      <c r="AK3208" s="156" t="s">
        <v>691</v>
      </c>
      <c r="AL3208" s="156" t="s">
        <v>689</v>
      </c>
      <c r="AM3208" s="198">
        <f t="shared" si="1491"/>
        <v>0</v>
      </c>
      <c r="AN3208" s="199">
        <f t="shared" si="1492"/>
        <v>46094</v>
      </c>
      <c r="AO3208" s="159" t="s">
        <v>692</v>
      </c>
      <c r="AP3208" s="783" t="s">
        <v>620</v>
      </c>
      <c r="AQ3208" s="796" t="s">
        <v>422</v>
      </c>
      <c r="AR3208" s="782">
        <v>12055234</v>
      </c>
      <c r="AS3208" s="781"/>
      <c r="AT3208" s="782"/>
      <c r="AU3208" s="782"/>
      <c r="AV3208" s="782">
        <v>12062809</v>
      </c>
      <c r="AW3208" s="782"/>
      <c r="AX3208" s="782" t="s">
        <v>619</v>
      </c>
      <c r="AY3208" s="781"/>
      <c r="AZ3208" s="781"/>
      <c r="BA3208" s="781"/>
      <c r="BB3208" s="209">
        <v>23053184</v>
      </c>
    </row>
    <row r="3209" spans="1:54" ht="24.75" customHeight="1">
      <c r="B3209" s="295">
        <v>46094</v>
      </c>
      <c r="C3209" s="771" t="s">
        <v>2708</v>
      </c>
      <c r="D3209" s="185">
        <f t="shared" si="1479"/>
        <v>2026</v>
      </c>
      <c r="E3209" s="296" t="e">
        <f>VLOOKUP($B3209,Week!$A$1:$C$1462,2,0)</f>
        <v>#N/A</v>
      </c>
      <c r="F3209" s="297" t="str">
        <f t="shared" si="1480"/>
        <v>Mar</v>
      </c>
      <c r="G3209" s="648" t="s">
        <v>47</v>
      </c>
      <c r="H3209" s="298" t="s">
        <v>260</v>
      </c>
      <c r="I3209" s="298" t="s">
        <v>2702</v>
      </c>
      <c r="J3209" s="307" t="s">
        <v>2240</v>
      </c>
      <c r="K3209" s="300" t="s">
        <v>176</v>
      </c>
      <c r="L3209" s="300" t="s">
        <v>2167</v>
      </c>
      <c r="M3209" s="299" t="s">
        <v>2338</v>
      </c>
      <c r="N3209" s="298" t="s">
        <v>350</v>
      </c>
      <c r="O3209" s="298" t="s">
        <v>351</v>
      </c>
      <c r="P3209" s="301">
        <v>24</v>
      </c>
      <c r="Q3209" s="301">
        <v>5</v>
      </c>
      <c r="R3209" s="302">
        <v>6.1999999999999998E-3</v>
      </c>
      <c r="S3209" s="298" t="s">
        <v>352</v>
      </c>
      <c r="T3209" s="298" t="s">
        <v>56</v>
      </c>
      <c r="U3209" s="298" t="s">
        <v>57</v>
      </c>
      <c r="V3209" s="303">
        <v>2474</v>
      </c>
      <c r="W3209" s="303">
        <v>2474</v>
      </c>
      <c r="X3209" s="304"/>
      <c r="Y3209" s="305">
        <f t="shared" si="1481"/>
        <v>0</v>
      </c>
      <c r="Z3209" s="306">
        <f t="shared" si="1482"/>
        <v>0</v>
      </c>
      <c r="AA3209" s="306">
        <f t="shared" si="1489"/>
        <v>0</v>
      </c>
      <c r="AB3209" s="814">
        <v>7.4999999999999997E-3</v>
      </c>
      <c r="AC3209" s="303">
        <f t="shared" si="1483"/>
        <v>0</v>
      </c>
      <c r="AD3209" s="443"/>
      <c r="AE3209" s="210">
        <f t="shared" si="1484"/>
        <v>0</v>
      </c>
      <c r="AF3209" s="210">
        <f t="shared" si="1485"/>
        <v>0</v>
      </c>
      <c r="AG3209" s="211">
        <f t="shared" si="1490"/>
        <v>0.13</v>
      </c>
      <c r="AH3209" s="157">
        <f>(Z3209*AG3209)/1000</f>
        <v>0</v>
      </c>
      <c r="AI3209" s="152">
        <f t="shared" si="1486"/>
        <v>59376</v>
      </c>
      <c r="AK3209" s="156" t="s">
        <v>691</v>
      </c>
      <c r="AL3209" s="574" t="s">
        <v>690</v>
      </c>
      <c r="AM3209" s="198">
        <f t="shared" si="1491"/>
        <v>0</v>
      </c>
      <c r="AN3209" s="199">
        <f t="shared" si="1492"/>
        <v>46094</v>
      </c>
      <c r="AO3209" s="159" t="s">
        <v>692</v>
      </c>
      <c r="AP3209" s="783" t="s">
        <v>622</v>
      </c>
      <c r="AQ3209" s="782">
        <v>12071839</v>
      </c>
      <c r="AR3209" s="782">
        <v>12094356</v>
      </c>
      <c r="AS3209" s="782">
        <v>12068233</v>
      </c>
      <c r="AT3209" s="781"/>
      <c r="AU3209" s="781"/>
      <c r="AV3209" s="782">
        <v>12062075</v>
      </c>
      <c r="AW3209" s="781"/>
      <c r="AX3209" s="781"/>
      <c r="AY3209" s="782">
        <v>12094357</v>
      </c>
      <c r="AZ3209" s="782"/>
      <c r="BA3209" s="781"/>
      <c r="BB3209" s="209">
        <v>23053184</v>
      </c>
    </row>
    <row r="3210" spans="1:54" ht="25" customHeight="1">
      <c r="B3210" s="213">
        <v>46094</v>
      </c>
      <c r="C3210" s="902" t="s">
        <v>2708</v>
      </c>
      <c r="D3210" s="215">
        <f t="shared" si="1479"/>
        <v>2026</v>
      </c>
      <c r="E3210" s="214" t="e">
        <f>VLOOKUP($B3210,Week!$A$1:$C$1462,2,0)</f>
        <v>#N/A</v>
      </c>
      <c r="F3210" s="216" t="str">
        <f t="shared" si="1480"/>
        <v>Mar</v>
      </c>
      <c r="G3210" s="215" t="s">
        <v>47</v>
      </c>
      <c r="H3210" s="215" t="s">
        <v>260</v>
      </c>
      <c r="I3210" s="215" t="s">
        <v>2702</v>
      </c>
      <c r="J3210" s="209" t="s">
        <v>2702</v>
      </c>
      <c r="K3210" s="217" t="s">
        <v>2706</v>
      </c>
      <c r="L3210" s="217" t="s">
        <v>2167</v>
      </c>
      <c r="M3210" s="209" t="s">
        <v>2733</v>
      </c>
      <c r="N3210" s="480" t="s">
        <v>2734</v>
      </c>
      <c r="O3210" s="215" t="s">
        <v>2735</v>
      </c>
      <c r="P3210" s="218">
        <v>12</v>
      </c>
      <c r="Q3210" s="218">
        <v>2</v>
      </c>
      <c r="R3210" s="219">
        <v>6.0000000000000001E-3</v>
      </c>
      <c r="S3210" s="215" t="s">
        <v>55</v>
      </c>
      <c r="T3210" s="215" t="s">
        <v>56</v>
      </c>
      <c r="U3210" s="852" t="s">
        <v>2707</v>
      </c>
      <c r="V3210" s="220">
        <v>1435</v>
      </c>
      <c r="W3210" s="220">
        <f>3+937+450+45</f>
        <v>1435</v>
      </c>
      <c r="X3210" s="221"/>
      <c r="Y3210" s="222">
        <f t="shared" si="1481"/>
        <v>0</v>
      </c>
      <c r="Z3210" s="223">
        <f t="shared" si="1482"/>
        <v>0</v>
      </c>
      <c r="AA3210" s="223">
        <f t="shared" si="1489"/>
        <v>0</v>
      </c>
      <c r="AB3210" s="807">
        <v>1.7000000000000001E-2</v>
      </c>
      <c r="AC3210" s="220">
        <f t="shared" si="1483"/>
        <v>0</v>
      </c>
      <c r="AD3210" s="443"/>
      <c r="AE3210" s="210">
        <f t="shared" si="1484"/>
        <v>0</v>
      </c>
      <c r="AF3210" s="210">
        <f t="shared" si="1485"/>
        <v>0</v>
      </c>
      <c r="AG3210" s="211">
        <f t="shared" si="1490"/>
        <v>0.22500000000000001</v>
      </c>
      <c r="AH3210" s="157">
        <v>0.26621999999999996</v>
      </c>
      <c r="AI3210" s="152">
        <f t="shared" si="1486"/>
        <v>17220</v>
      </c>
      <c r="AK3210" s="156" t="s">
        <v>691</v>
      </c>
      <c r="AL3210" s="574" t="s">
        <v>690</v>
      </c>
      <c r="AM3210" s="198">
        <f t="shared" si="1491"/>
        <v>0</v>
      </c>
      <c r="AN3210" s="199">
        <f t="shared" si="1492"/>
        <v>46094</v>
      </c>
      <c r="AO3210" s="159" t="s">
        <v>692</v>
      </c>
      <c r="AP3210" s="781" t="s">
        <v>642</v>
      </c>
      <c r="AQ3210" s="782">
        <v>12071839</v>
      </c>
      <c r="AR3210" s="782"/>
      <c r="AS3210" s="782"/>
      <c r="AT3210" s="782">
        <v>12098021</v>
      </c>
      <c r="AU3210" s="783" t="s">
        <v>2979</v>
      </c>
      <c r="AV3210" s="782">
        <v>12098022</v>
      </c>
      <c r="AW3210" s="783"/>
      <c r="AX3210" s="781"/>
      <c r="AY3210" s="796"/>
      <c r="AZ3210" s="796"/>
      <c r="BA3210" s="796"/>
      <c r="BB3210" s="209">
        <v>23099860</v>
      </c>
    </row>
    <row r="3211" spans="1:54" ht="25" customHeight="1">
      <c r="A3211" s="142" t="s">
        <v>120</v>
      </c>
      <c r="B3211" s="271">
        <v>46095</v>
      </c>
      <c r="C3211" s="272">
        <v>46104</v>
      </c>
      <c r="D3211" s="185">
        <f t="shared" si="1479"/>
        <v>2026</v>
      </c>
      <c r="E3211" s="272" t="e">
        <f>VLOOKUP($B3211,Week!$A$1:$C$1462,2,0)</f>
        <v>#N/A</v>
      </c>
      <c r="F3211" s="273" t="str">
        <f t="shared" si="1480"/>
        <v>Mar</v>
      </c>
      <c r="G3211" s="274" t="s">
        <v>2864</v>
      </c>
      <c r="H3211" s="274" t="s">
        <v>500</v>
      </c>
      <c r="I3211" s="274" t="s">
        <v>2772</v>
      </c>
      <c r="J3211" s="275" t="s">
        <v>285</v>
      </c>
      <c r="K3211" s="276" t="s">
        <v>153</v>
      </c>
      <c r="L3211" s="390" t="s">
        <v>2166</v>
      </c>
      <c r="M3211" s="275" t="s">
        <v>86</v>
      </c>
      <c r="N3211" s="274" t="s">
        <v>547</v>
      </c>
      <c r="O3211" s="274" t="s">
        <v>548</v>
      </c>
      <c r="P3211" s="277">
        <v>10</v>
      </c>
      <c r="Q3211" s="277">
        <v>50</v>
      </c>
      <c r="R3211" s="278">
        <v>6.8100000000000001E-3</v>
      </c>
      <c r="S3211" s="274" t="s">
        <v>76</v>
      </c>
      <c r="T3211" s="274" t="s">
        <v>56</v>
      </c>
      <c r="U3211" s="274" t="s">
        <v>89</v>
      </c>
      <c r="V3211" s="279">
        <v>732</v>
      </c>
      <c r="W3211" s="279">
        <v>732</v>
      </c>
      <c r="X3211" s="280"/>
      <c r="Y3211" s="281">
        <f t="shared" si="1481"/>
        <v>0</v>
      </c>
      <c r="Z3211" s="282">
        <f t="shared" si="1482"/>
        <v>0</v>
      </c>
      <c r="AA3211" s="282">
        <f t="shared" si="1489"/>
        <v>0</v>
      </c>
      <c r="AB3211" s="812">
        <v>6</v>
      </c>
      <c r="AC3211" s="279">
        <f t="shared" si="1483"/>
        <v>0</v>
      </c>
      <c r="AD3211" s="209"/>
      <c r="AE3211" s="210">
        <f t="shared" si="1484"/>
        <v>0</v>
      </c>
      <c r="AF3211" s="210">
        <f t="shared" si="1485"/>
        <v>0</v>
      </c>
      <c r="AG3211" s="211">
        <f t="shared" si="1490"/>
        <v>0.63</v>
      </c>
      <c r="AH3211" s="157">
        <f t="shared" ref="AH3211:AH3216" si="1493">(Z3211*AG3211)/1000</f>
        <v>0</v>
      </c>
      <c r="AI3211" s="152">
        <f t="shared" si="1486"/>
        <v>7320</v>
      </c>
      <c r="AK3211" s="156" t="s">
        <v>691</v>
      </c>
      <c r="AL3211" s="156" t="s">
        <v>689</v>
      </c>
      <c r="AM3211" s="198">
        <f t="shared" si="1491"/>
        <v>0</v>
      </c>
      <c r="AN3211" s="199">
        <f t="shared" si="1492"/>
        <v>46095</v>
      </c>
      <c r="AO3211" s="159" t="s">
        <v>692</v>
      </c>
      <c r="AP3211" s="783" t="s">
        <v>620</v>
      </c>
      <c r="AQ3211" s="796" t="s">
        <v>422</v>
      </c>
      <c r="AR3211" s="782">
        <v>12055234</v>
      </c>
      <c r="AS3211" s="781"/>
      <c r="AT3211" s="782"/>
      <c r="AU3211" s="782"/>
      <c r="AV3211" s="782">
        <v>12062809</v>
      </c>
      <c r="AW3211" s="782"/>
      <c r="AX3211" s="782" t="s">
        <v>619</v>
      </c>
      <c r="AY3211" s="781"/>
      <c r="AZ3211" s="781"/>
      <c r="BA3211" s="781"/>
      <c r="BB3211" s="209">
        <v>23053184</v>
      </c>
    </row>
    <row r="3212" spans="1:54" ht="26.25" customHeight="1">
      <c r="B3212" s="235">
        <v>46095</v>
      </c>
      <c r="C3212" s="235">
        <v>46105</v>
      </c>
      <c r="D3212" s="185">
        <f t="shared" si="1479"/>
        <v>2026</v>
      </c>
      <c r="E3212" s="236" t="e">
        <f>VLOOKUP($B3212,Week!$A$1:$C$1462,2,0)</f>
        <v>#N/A</v>
      </c>
      <c r="F3212" s="237" t="str">
        <f t="shared" si="1480"/>
        <v>Mar</v>
      </c>
      <c r="G3212" s="236" t="s">
        <v>2790</v>
      </c>
      <c r="H3212" s="236" t="s">
        <v>392</v>
      </c>
      <c r="I3212" s="236" t="s">
        <v>2772</v>
      </c>
      <c r="J3212" s="238" t="s">
        <v>393</v>
      </c>
      <c r="K3212" s="239" t="s">
        <v>1643</v>
      </c>
      <c r="L3212" s="300" t="s">
        <v>2167</v>
      </c>
      <c r="M3212" s="238" t="s">
        <v>2385</v>
      </c>
      <c r="N3212" s="236" t="s">
        <v>407</v>
      </c>
      <c r="O3212" s="236" t="s">
        <v>206</v>
      </c>
      <c r="P3212" s="240">
        <v>24</v>
      </c>
      <c r="Q3212" s="240">
        <v>5</v>
      </c>
      <c r="R3212" s="241">
        <v>8.0000000000000002E-3</v>
      </c>
      <c r="S3212" s="236" t="s">
        <v>40</v>
      </c>
      <c r="T3212" s="236" t="s">
        <v>56</v>
      </c>
      <c r="U3212" s="640" t="s">
        <v>499</v>
      </c>
      <c r="V3212" s="242">
        <f>800</f>
        <v>800</v>
      </c>
      <c r="W3212" s="242">
        <f>18+782</f>
        <v>800</v>
      </c>
      <c r="X3212" s="243"/>
      <c r="Y3212" s="244">
        <f t="shared" si="1481"/>
        <v>0</v>
      </c>
      <c r="Z3212" s="245">
        <f t="shared" si="1482"/>
        <v>0</v>
      </c>
      <c r="AA3212" s="245">
        <f t="shared" si="1489"/>
        <v>0</v>
      </c>
      <c r="AB3212" s="809">
        <v>1</v>
      </c>
      <c r="AC3212" s="242">
        <f t="shared" si="1483"/>
        <v>0</v>
      </c>
      <c r="AD3212" s="209"/>
      <c r="AE3212" s="210">
        <f t="shared" si="1484"/>
        <v>0</v>
      </c>
      <c r="AF3212" s="210">
        <f t="shared" si="1485"/>
        <v>0</v>
      </c>
      <c r="AG3212" s="211">
        <f t="shared" si="1490"/>
        <v>0.115</v>
      </c>
      <c r="AH3212" s="157">
        <f t="shared" si="1493"/>
        <v>0</v>
      </c>
      <c r="AI3212" s="152">
        <f t="shared" si="1486"/>
        <v>19200</v>
      </c>
      <c r="AK3212" s="156" t="s">
        <v>691</v>
      </c>
      <c r="AL3212" s="574" t="s">
        <v>690</v>
      </c>
      <c r="AM3212" s="198">
        <f t="shared" si="1491"/>
        <v>0</v>
      </c>
      <c r="AN3212" s="199">
        <f t="shared" si="1492"/>
        <v>46095</v>
      </c>
      <c r="AO3212" s="159" t="s">
        <v>692</v>
      </c>
      <c r="AP3212" s="783" t="s">
        <v>608</v>
      </c>
      <c r="AQ3212" s="782">
        <v>12071839</v>
      </c>
      <c r="AR3212" s="782">
        <v>12047514</v>
      </c>
      <c r="AS3212" s="782">
        <v>12047515</v>
      </c>
      <c r="AT3212" s="781"/>
      <c r="AU3212" s="782">
        <v>12026902</v>
      </c>
      <c r="AV3212" s="782">
        <v>12081781</v>
      </c>
      <c r="AW3212" s="782">
        <v>12026904</v>
      </c>
      <c r="AX3212" s="781"/>
      <c r="AY3212" s="783" t="s">
        <v>2403</v>
      </c>
      <c r="AZ3212" s="783" t="s">
        <v>2404</v>
      </c>
      <c r="BA3212" s="783" t="s">
        <v>2405</v>
      </c>
      <c r="BB3212" s="209">
        <v>23052995</v>
      </c>
    </row>
    <row r="3213" spans="1:54" ht="24.65" customHeight="1">
      <c r="B3213" s="224">
        <v>46095</v>
      </c>
      <c r="C3213" s="224">
        <v>46105</v>
      </c>
      <c r="D3213" s="185">
        <f t="shared" si="1479"/>
        <v>2026</v>
      </c>
      <c r="E3213" s="225" t="e">
        <f>VLOOKUP($B3213,Week!$A$1:$C$1462,2,0)</f>
        <v>#N/A</v>
      </c>
      <c r="F3213" s="226" t="str">
        <f t="shared" si="1480"/>
        <v>Mar</v>
      </c>
      <c r="G3213" s="225" t="s">
        <v>2790</v>
      </c>
      <c r="H3213" s="225" t="s">
        <v>392</v>
      </c>
      <c r="I3213" s="225" t="s">
        <v>2772</v>
      </c>
      <c r="J3213" s="227" t="s">
        <v>393</v>
      </c>
      <c r="K3213" s="228" t="s">
        <v>176</v>
      </c>
      <c r="L3213" s="300" t="s">
        <v>2167</v>
      </c>
      <c r="M3213" s="228" t="s">
        <v>399</v>
      </c>
      <c r="N3213" s="225" t="s">
        <v>400</v>
      </c>
      <c r="O3213" s="225" t="s">
        <v>195</v>
      </c>
      <c r="P3213" s="229">
        <v>24</v>
      </c>
      <c r="Q3213" s="229">
        <v>5</v>
      </c>
      <c r="R3213" s="230">
        <v>8.0000000000000002E-3</v>
      </c>
      <c r="S3213" s="225" t="s">
        <v>40</v>
      </c>
      <c r="T3213" s="225" t="s">
        <v>56</v>
      </c>
      <c r="U3213" s="225" t="s">
        <v>57</v>
      </c>
      <c r="V3213" s="231">
        <f>1000</f>
        <v>1000</v>
      </c>
      <c r="W3213" s="231">
        <f>14+975+11</f>
        <v>1000</v>
      </c>
      <c r="X3213" s="232"/>
      <c r="Y3213" s="233">
        <f t="shared" si="1481"/>
        <v>0</v>
      </c>
      <c r="Z3213" s="234">
        <f t="shared" si="1482"/>
        <v>0</v>
      </c>
      <c r="AA3213" s="234">
        <f t="shared" si="1489"/>
        <v>0</v>
      </c>
      <c r="AB3213" s="808">
        <v>7.4999999999999997E-3</v>
      </c>
      <c r="AC3213" s="231">
        <f t="shared" si="1483"/>
        <v>0</v>
      </c>
      <c r="AD3213" s="220"/>
      <c r="AE3213" s="210">
        <f t="shared" si="1484"/>
        <v>0</v>
      </c>
      <c r="AF3213" s="210">
        <f t="shared" si="1485"/>
        <v>0</v>
      </c>
      <c r="AG3213" s="211">
        <f t="shared" si="1490"/>
        <v>0.14499999999999999</v>
      </c>
      <c r="AH3213" s="157">
        <f t="shared" si="1493"/>
        <v>0</v>
      </c>
      <c r="AI3213" s="152">
        <f t="shared" si="1486"/>
        <v>24000</v>
      </c>
      <c r="AK3213" s="156" t="s">
        <v>691</v>
      </c>
      <c r="AL3213" s="574" t="s">
        <v>690</v>
      </c>
      <c r="AM3213" s="198">
        <f t="shared" si="1491"/>
        <v>0</v>
      </c>
      <c r="AN3213" s="199">
        <f t="shared" si="1492"/>
        <v>46095</v>
      </c>
      <c r="AO3213" s="159" t="s">
        <v>692</v>
      </c>
      <c r="AP3213" s="783" t="s">
        <v>638</v>
      </c>
      <c r="AQ3213" s="783" t="s">
        <v>631</v>
      </c>
      <c r="AR3213" s="783" t="s">
        <v>632</v>
      </c>
      <c r="AS3213" s="783" t="s">
        <v>633</v>
      </c>
      <c r="AT3213" s="781"/>
      <c r="AU3213" s="783" t="s">
        <v>2606</v>
      </c>
      <c r="AV3213" s="783" t="s">
        <v>2380</v>
      </c>
      <c r="AW3213" s="783" t="s">
        <v>2607</v>
      </c>
      <c r="AX3213" s="781"/>
      <c r="AY3213" s="783" t="s">
        <v>2463</v>
      </c>
      <c r="AZ3213" s="783" t="s">
        <v>2464</v>
      </c>
      <c r="BA3213" s="783" t="s">
        <v>2465</v>
      </c>
      <c r="BB3213" s="209">
        <v>23053185</v>
      </c>
    </row>
    <row r="3214" spans="1:54" ht="24.75" customHeight="1">
      <c r="B3214" s="295">
        <v>46095</v>
      </c>
      <c r="C3214" s="771" t="s">
        <v>2708</v>
      </c>
      <c r="D3214" s="185">
        <f t="shared" si="1479"/>
        <v>2026</v>
      </c>
      <c r="E3214" s="296" t="e">
        <f>VLOOKUP($B3214,Week!$A$1:$C$1462,2,0)</f>
        <v>#N/A</v>
      </c>
      <c r="F3214" s="297" t="str">
        <f t="shared" si="1480"/>
        <v>Mar</v>
      </c>
      <c r="G3214" s="648" t="s">
        <v>47</v>
      </c>
      <c r="H3214" s="298" t="s">
        <v>260</v>
      </c>
      <c r="I3214" s="298" t="s">
        <v>2702</v>
      </c>
      <c r="J3214" s="307" t="s">
        <v>2240</v>
      </c>
      <c r="K3214" s="300" t="s">
        <v>176</v>
      </c>
      <c r="L3214" s="300" t="s">
        <v>2167</v>
      </c>
      <c r="M3214" s="299" t="s">
        <v>2338</v>
      </c>
      <c r="N3214" s="298" t="s">
        <v>350</v>
      </c>
      <c r="O3214" s="298" t="s">
        <v>351</v>
      </c>
      <c r="P3214" s="301">
        <v>24</v>
      </c>
      <c r="Q3214" s="301">
        <v>5</v>
      </c>
      <c r="R3214" s="302">
        <v>6.1999999999999998E-3</v>
      </c>
      <c r="S3214" s="298" t="s">
        <v>352</v>
      </c>
      <c r="T3214" s="298" t="s">
        <v>56</v>
      </c>
      <c r="U3214" s="298" t="s">
        <v>57</v>
      </c>
      <c r="V3214" s="303">
        <v>1546</v>
      </c>
      <c r="W3214" s="303">
        <f>1546</f>
        <v>1546</v>
      </c>
      <c r="X3214" s="304"/>
      <c r="Y3214" s="305">
        <f t="shared" si="1481"/>
        <v>0</v>
      </c>
      <c r="Z3214" s="306">
        <f t="shared" si="1482"/>
        <v>0</v>
      </c>
      <c r="AA3214" s="306">
        <f t="shared" si="1489"/>
        <v>0</v>
      </c>
      <c r="AB3214" s="814">
        <v>7.4999999999999997E-3</v>
      </c>
      <c r="AC3214" s="303">
        <f t="shared" si="1483"/>
        <v>0</v>
      </c>
      <c r="AD3214" s="443"/>
      <c r="AE3214" s="210">
        <f t="shared" si="1484"/>
        <v>0</v>
      </c>
      <c r="AF3214" s="210">
        <f t="shared" si="1485"/>
        <v>0</v>
      </c>
      <c r="AG3214" s="211">
        <f t="shared" si="1490"/>
        <v>0.13</v>
      </c>
      <c r="AH3214" s="157">
        <f t="shared" si="1493"/>
        <v>0</v>
      </c>
      <c r="AI3214" s="152">
        <f t="shared" si="1486"/>
        <v>37104</v>
      </c>
      <c r="AK3214" s="156" t="s">
        <v>691</v>
      </c>
      <c r="AL3214" s="574" t="s">
        <v>690</v>
      </c>
      <c r="AM3214" s="198">
        <f t="shared" si="1491"/>
        <v>0</v>
      </c>
      <c r="AN3214" s="199">
        <f t="shared" si="1492"/>
        <v>46095</v>
      </c>
      <c r="AO3214" s="159" t="s">
        <v>692</v>
      </c>
      <c r="AP3214" s="783" t="s">
        <v>622</v>
      </c>
      <c r="AQ3214" s="782">
        <v>12071839</v>
      </c>
      <c r="AR3214" s="782">
        <v>12094356</v>
      </c>
      <c r="AS3214" s="782">
        <v>12068233</v>
      </c>
      <c r="AT3214" s="781"/>
      <c r="AU3214" s="781"/>
      <c r="AV3214" s="782">
        <v>12062075</v>
      </c>
      <c r="AW3214" s="781"/>
      <c r="AX3214" s="781"/>
      <c r="AY3214" s="782">
        <v>12094357</v>
      </c>
      <c r="AZ3214" s="782"/>
      <c r="BA3214" s="781"/>
      <c r="BB3214" s="209">
        <v>23053184</v>
      </c>
    </row>
    <row r="3215" spans="1:54" ht="24.65" customHeight="1">
      <c r="B3215" s="308">
        <v>46095</v>
      </c>
      <c r="C3215" s="309">
        <v>46107</v>
      </c>
      <c r="D3215" s="185">
        <f t="shared" si="1479"/>
        <v>2026</v>
      </c>
      <c r="E3215" s="309" t="e">
        <f>VLOOKUP($B3215,Week!$A$1:$C$1462,2,0)</f>
        <v>#N/A</v>
      </c>
      <c r="F3215" s="310" t="str">
        <f t="shared" si="1480"/>
        <v>Mar</v>
      </c>
      <c r="G3215" s="311" t="s">
        <v>2781</v>
      </c>
      <c r="H3215" s="311" t="s">
        <v>311</v>
      </c>
      <c r="I3215" s="311" t="s">
        <v>2772</v>
      </c>
      <c r="J3215" s="312" t="s">
        <v>738</v>
      </c>
      <c r="K3215" s="313" t="s">
        <v>107</v>
      </c>
      <c r="L3215" s="300" t="s">
        <v>2167</v>
      </c>
      <c r="M3215" s="312" t="s">
        <v>313</v>
      </c>
      <c r="N3215" s="311" t="s">
        <v>314</v>
      </c>
      <c r="O3215" s="311" t="s">
        <v>110</v>
      </c>
      <c r="P3215" s="314">
        <v>36</v>
      </c>
      <c r="Q3215" s="314">
        <v>5</v>
      </c>
      <c r="R3215" s="315">
        <v>7.4999999999999997E-3</v>
      </c>
      <c r="S3215" s="311" t="s">
        <v>111</v>
      </c>
      <c r="T3215" s="311" t="s">
        <v>112</v>
      </c>
      <c r="U3215" s="311" t="s">
        <v>57</v>
      </c>
      <c r="V3215" s="316">
        <v>792</v>
      </c>
      <c r="W3215" s="316">
        <f>2+80+710</f>
        <v>792</v>
      </c>
      <c r="X3215" s="317"/>
      <c r="Y3215" s="318">
        <f t="shared" si="1481"/>
        <v>0</v>
      </c>
      <c r="Z3215" s="319">
        <f t="shared" si="1482"/>
        <v>0</v>
      </c>
      <c r="AA3215" s="319">
        <f t="shared" si="1489"/>
        <v>0</v>
      </c>
      <c r="AB3215" s="815">
        <v>7.4999999999999997E-3</v>
      </c>
      <c r="AC3215" s="316">
        <f t="shared" si="1483"/>
        <v>0</v>
      </c>
      <c r="AD3215" s="443"/>
      <c r="AE3215" s="210">
        <f t="shared" si="1484"/>
        <v>0</v>
      </c>
      <c r="AF3215" s="210">
        <f t="shared" si="1485"/>
        <v>0</v>
      </c>
      <c r="AG3215" s="211">
        <f t="shared" si="1490"/>
        <v>0.308</v>
      </c>
      <c r="AH3215" s="157">
        <f t="shared" si="1493"/>
        <v>0</v>
      </c>
      <c r="AI3215" s="152">
        <f t="shared" si="1486"/>
        <v>28512</v>
      </c>
      <c r="AK3215" s="156" t="s">
        <v>691</v>
      </c>
      <c r="AL3215" s="212" t="s">
        <v>690</v>
      </c>
      <c r="AM3215" s="198">
        <f t="shared" si="1491"/>
        <v>0</v>
      </c>
      <c r="AN3215" s="199">
        <f t="shared" si="1492"/>
        <v>46095</v>
      </c>
      <c r="AO3215" s="159" t="s">
        <v>692</v>
      </c>
      <c r="AP3215" s="783" t="s">
        <v>644</v>
      </c>
      <c r="AQ3215" s="782">
        <v>12063755</v>
      </c>
      <c r="AR3215" s="782">
        <v>12061353</v>
      </c>
      <c r="AS3215" s="782">
        <v>12061354</v>
      </c>
      <c r="AT3215" s="782">
        <v>12062266</v>
      </c>
      <c r="AU3215" s="781"/>
      <c r="AV3215" s="782">
        <v>12088159</v>
      </c>
      <c r="AW3215" s="782">
        <v>12088207</v>
      </c>
      <c r="AX3215" s="782"/>
      <c r="AY3215" s="782">
        <v>12094237</v>
      </c>
      <c r="AZ3215" s="782"/>
      <c r="BA3215" s="781"/>
      <c r="BB3215" s="209">
        <v>23053185</v>
      </c>
    </row>
    <row r="3216" spans="1:54" ht="25" customHeight="1">
      <c r="B3216" s="345">
        <v>46095</v>
      </c>
      <c r="C3216" s="464">
        <v>46106</v>
      </c>
      <c r="D3216" s="185">
        <f t="shared" si="1479"/>
        <v>2026</v>
      </c>
      <c r="E3216" s="464" t="e">
        <f>VLOOKUP($B3216,Week!$A$1:$C$1462,2,0)</f>
        <v>#N/A</v>
      </c>
      <c r="F3216" s="465" t="str">
        <f t="shared" si="1480"/>
        <v>Mar</v>
      </c>
      <c r="G3216" s="347" t="s">
        <v>2843</v>
      </c>
      <c r="H3216" s="347" t="s">
        <v>134</v>
      </c>
      <c r="I3216" s="347" t="s">
        <v>2772</v>
      </c>
      <c r="J3216" s="349" t="s">
        <v>2932</v>
      </c>
      <c r="K3216" s="350" t="s">
        <v>107</v>
      </c>
      <c r="L3216" s="300" t="s">
        <v>2167</v>
      </c>
      <c r="M3216" s="349" t="s">
        <v>136</v>
      </c>
      <c r="N3216" s="347" t="s">
        <v>137</v>
      </c>
      <c r="O3216" s="347" t="s">
        <v>138</v>
      </c>
      <c r="P3216" s="351">
        <v>24</v>
      </c>
      <c r="Q3216" s="351">
        <v>3</v>
      </c>
      <c r="R3216" s="352">
        <v>7.4999999999999997E-3</v>
      </c>
      <c r="S3216" s="347" t="s">
        <v>111</v>
      </c>
      <c r="T3216" s="347" t="s">
        <v>56</v>
      </c>
      <c r="U3216" s="347" t="s">
        <v>572</v>
      </c>
      <c r="V3216" s="353">
        <f>300-50</f>
        <v>250</v>
      </c>
      <c r="W3216" s="353">
        <f>1+249</f>
        <v>250</v>
      </c>
      <c r="X3216" s="354"/>
      <c r="Y3216" s="355">
        <f t="shared" si="1481"/>
        <v>0</v>
      </c>
      <c r="Z3216" s="356">
        <f t="shared" si="1482"/>
        <v>0</v>
      </c>
      <c r="AA3216" s="356">
        <f t="shared" si="1489"/>
        <v>0</v>
      </c>
      <c r="AB3216" s="818">
        <v>1</v>
      </c>
      <c r="AC3216" s="353">
        <f t="shared" si="1483"/>
        <v>0</v>
      </c>
      <c r="AD3216" s="573" t="s">
        <v>2909</v>
      </c>
      <c r="AE3216" s="210">
        <f t="shared" si="1484"/>
        <v>0</v>
      </c>
      <c r="AF3216" s="210">
        <f t="shared" si="1485"/>
        <v>0</v>
      </c>
      <c r="AG3216" s="211">
        <f t="shared" si="1490"/>
        <v>0.219</v>
      </c>
      <c r="AH3216" s="157">
        <f t="shared" si="1493"/>
        <v>0</v>
      </c>
      <c r="AI3216" s="152">
        <f t="shared" si="1486"/>
        <v>6000</v>
      </c>
      <c r="AK3216" s="156" t="s">
        <v>691</v>
      </c>
      <c r="AL3216" s="212" t="s">
        <v>690</v>
      </c>
      <c r="AM3216" s="198">
        <f t="shared" si="1491"/>
        <v>0</v>
      </c>
      <c r="AN3216" s="199">
        <f t="shared" si="1492"/>
        <v>46095</v>
      </c>
      <c r="AO3216" s="159" t="s">
        <v>692</v>
      </c>
      <c r="AP3216" s="783" t="s">
        <v>610</v>
      </c>
      <c r="AQ3216" s="796" t="s">
        <v>1500</v>
      </c>
      <c r="AR3216" s="782" t="s">
        <v>140</v>
      </c>
      <c r="AS3216" s="782" t="s">
        <v>141</v>
      </c>
      <c r="AT3216" s="782"/>
      <c r="AU3216" s="783" t="s">
        <v>568</v>
      </c>
      <c r="AV3216" s="796" t="s">
        <v>569</v>
      </c>
      <c r="AW3216" s="796" t="s">
        <v>570</v>
      </c>
      <c r="AX3216" s="782"/>
      <c r="AY3216" s="782">
        <v>12095878</v>
      </c>
      <c r="AZ3216" s="782">
        <v>12095879</v>
      </c>
      <c r="BA3216" s="782">
        <v>12095880</v>
      </c>
    </row>
    <row r="3217" spans="1:54" ht="25" customHeight="1">
      <c r="B3217" s="183">
        <v>46096</v>
      </c>
      <c r="C3217" s="184"/>
      <c r="D3217" s="185">
        <f t="shared" si="1479"/>
        <v>2026</v>
      </c>
      <c r="E3217" s="185" t="e">
        <f>VLOOKUP($B3217,Week!$A$1:$C$1462,2,0)</f>
        <v>#N/A</v>
      </c>
      <c r="F3217" s="186" t="str">
        <f t="shared" si="1480"/>
        <v>Mar</v>
      </c>
      <c r="G3217" s="481"/>
      <c r="H3217" s="185"/>
      <c r="I3217" s="185"/>
      <c r="J3217" s="187"/>
      <c r="K3217" s="188"/>
      <c r="L3217" s="188"/>
      <c r="M3217" s="187"/>
      <c r="N3217" s="185"/>
      <c r="O3217" s="185"/>
      <c r="P3217" s="189"/>
      <c r="Q3217" s="189"/>
      <c r="R3217" s="190"/>
      <c r="S3217" s="185"/>
      <c r="T3217" s="185"/>
      <c r="U3217" s="185"/>
      <c r="V3217" s="191"/>
      <c r="W3217" s="191"/>
      <c r="X3217" s="192"/>
      <c r="Y3217" s="193"/>
      <c r="Z3217" s="194"/>
      <c r="AA3217" s="194">
        <f t="shared" si="1489"/>
        <v>0</v>
      </c>
      <c r="AB3217" s="805"/>
      <c r="AC3217" s="191"/>
      <c r="AD3217" s="187"/>
      <c r="AE3217" s="195"/>
      <c r="AF3217" s="195"/>
      <c r="AG3217" s="196"/>
      <c r="AH3217" s="197"/>
      <c r="AK3217" s="156" t="s">
        <v>691</v>
      </c>
      <c r="AM3217" s="198">
        <f t="shared" si="1491"/>
        <v>0</v>
      </c>
      <c r="AN3217" s="199">
        <f t="shared" si="1492"/>
        <v>46096</v>
      </c>
      <c r="AO3217" s="159" t="s">
        <v>692</v>
      </c>
      <c r="AP3217" s="781"/>
      <c r="AQ3217" s="782"/>
      <c r="AR3217" s="782"/>
      <c r="AS3217" s="782"/>
      <c r="AT3217" s="782"/>
      <c r="AU3217" s="781"/>
      <c r="AV3217" s="782"/>
      <c r="AW3217" s="782"/>
      <c r="AX3217" s="782"/>
      <c r="AY3217" s="782"/>
      <c r="AZ3217" s="782"/>
      <c r="BA3217" s="781"/>
      <c r="BB3217" s="209"/>
    </row>
    <row r="3218" spans="1:54" ht="25" customHeight="1">
      <c r="A3218" s="142" t="s">
        <v>120</v>
      </c>
      <c r="B3218" s="271">
        <v>46097</v>
      </c>
      <c r="C3218" s="272">
        <v>46104</v>
      </c>
      <c r="D3218" s="185">
        <f t="shared" si="1479"/>
        <v>2026</v>
      </c>
      <c r="E3218" s="272" t="e">
        <f>VLOOKUP($B3218,Week!$A$1:$C$1462,2,0)</f>
        <v>#N/A</v>
      </c>
      <c r="F3218" s="273" t="str">
        <f t="shared" si="1480"/>
        <v>Mar</v>
      </c>
      <c r="G3218" s="274" t="s">
        <v>2864</v>
      </c>
      <c r="H3218" s="274" t="s">
        <v>500</v>
      </c>
      <c r="I3218" s="274" t="s">
        <v>2772</v>
      </c>
      <c r="J3218" s="275" t="s">
        <v>285</v>
      </c>
      <c r="K3218" s="276" t="s">
        <v>153</v>
      </c>
      <c r="L3218" s="390" t="s">
        <v>2166</v>
      </c>
      <c r="M3218" s="275" t="s">
        <v>86</v>
      </c>
      <c r="N3218" s="274" t="s">
        <v>547</v>
      </c>
      <c r="O3218" s="274" t="s">
        <v>548</v>
      </c>
      <c r="P3218" s="277">
        <v>10</v>
      </c>
      <c r="Q3218" s="277">
        <v>50</v>
      </c>
      <c r="R3218" s="278">
        <v>6.8100000000000001E-3</v>
      </c>
      <c r="S3218" s="274" t="s">
        <v>76</v>
      </c>
      <c r="T3218" s="274" t="s">
        <v>56</v>
      </c>
      <c r="U3218" s="274" t="s">
        <v>89</v>
      </c>
      <c r="V3218" s="279">
        <v>742</v>
      </c>
      <c r="W3218" s="279">
        <v>742</v>
      </c>
      <c r="X3218" s="280"/>
      <c r="Y3218" s="281">
        <f t="shared" ref="Y3218:Y3248" si="1494">(W3218+X3218)-V3218</f>
        <v>0</v>
      </c>
      <c r="Z3218" s="282">
        <f t="shared" ref="Z3218:Z3248" si="1495">IF(Y3218&lt;0,((V3218*P3218)-((W3218+X3218)*P3218)),0)</f>
        <v>0</v>
      </c>
      <c r="AA3218" s="282">
        <f t="shared" si="1489"/>
        <v>0</v>
      </c>
      <c r="AB3218" s="812">
        <v>6</v>
      </c>
      <c r="AC3218" s="279">
        <f t="shared" ref="AC3218:AC3248" si="1496">Z3218*AB3218</f>
        <v>0</v>
      </c>
      <c r="AD3218" s="209"/>
      <c r="AE3218" s="210">
        <f t="shared" ref="AE3218:AE3248" si="1497">SUM(Q3218*R3218*Z3218)/1000</f>
        <v>0</v>
      </c>
      <c r="AF3218" s="210">
        <f t="shared" ref="AF3218:AF3248" si="1498">AE3218/0.54</f>
        <v>0</v>
      </c>
      <c r="AG3218" s="211">
        <f t="shared" ref="AG3218:AG3225" si="1499">MID(O3218,1,3)/1000</f>
        <v>0.63</v>
      </c>
      <c r="AH3218" s="157">
        <f t="shared" ref="AH3218:AH3226" si="1500">(Z3218*AG3218)/1000</f>
        <v>0</v>
      </c>
      <c r="AI3218" s="152">
        <f t="shared" ref="AI3218:AI3248" si="1501">V3218*P3218</f>
        <v>7420</v>
      </c>
      <c r="AK3218" s="156" t="s">
        <v>691</v>
      </c>
      <c r="AL3218" s="156" t="s">
        <v>689</v>
      </c>
      <c r="AM3218" s="198">
        <f t="shared" si="1491"/>
        <v>0</v>
      </c>
      <c r="AN3218" s="199">
        <f t="shared" si="1492"/>
        <v>46097</v>
      </c>
      <c r="AO3218" s="159" t="s">
        <v>692</v>
      </c>
      <c r="AP3218" s="783" t="s">
        <v>620</v>
      </c>
      <c r="AQ3218" s="796" t="s">
        <v>422</v>
      </c>
      <c r="AR3218" s="782">
        <v>12055234</v>
      </c>
      <c r="AS3218" s="781"/>
      <c r="AT3218" s="782"/>
      <c r="AU3218" s="782"/>
      <c r="AV3218" s="782">
        <v>12062809</v>
      </c>
      <c r="AW3218" s="782"/>
      <c r="AX3218" s="782" t="s">
        <v>619</v>
      </c>
      <c r="AY3218" s="781"/>
      <c r="AZ3218" s="781"/>
      <c r="BA3218" s="781"/>
      <c r="BB3218" s="209">
        <v>23053184</v>
      </c>
    </row>
    <row r="3219" spans="1:54" ht="24.75" customHeight="1">
      <c r="B3219" s="295">
        <v>46097</v>
      </c>
      <c r="C3219" s="771" t="s">
        <v>2708</v>
      </c>
      <c r="D3219" s="185">
        <f t="shared" ref="D3219:D3228" si="1502">IF(B3219="","",YEAR(B3219))</f>
        <v>2026</v>
      </c>
      <c r="E3219" s="296" t="e">
        <f>VLOOKUP($B3219,Week!$A$1:$C$1462,2,0)</f>
        <v>#N/A</v>
      </c>
      <c r="F3219" s="297" t="str">
        <f t="shared" ref="F3219:F3228" si="1503">IF(B3219="","",TEXT(B3219,"[$-409]mmm"))</f>
        <v>Mar</v>
      </c>
      <c r="G3219" s="648" t="s">
        <v>47</v>
      </c>
      <c r="H3219" s="298" t="s">
        <v>260</v>
      </c>
      <c r="I3219" s="298" t="s">
        <v>2702</v>
      </c>
      <c r="J3219" s="307" t="s">
        <v>2240</v>
      </c>
      <c r="K3219" s="300" t="s">
        <v>176</v>
      </c>
      <c r="L3219" s="300" t="s">
        <v>2167</v>
      </c>
      <c r="M3219" s="299" t="s">
        <v>2338</v>
      </c>
      <c r="N3219" s="298" t="s">
        <v>350</v>
      </c>
      <c r="O3219" s="298" t="s">
        <v>351</v>
      </c>
      <c r="P3219" s="301">
        <v>24</v>
      </c>
      <c r="Q3219" s="301">
        <v>5</v>
      </c>
      <c r="R3219" s="302">
        <v>6.1999999999999998E-3</v>
      </c>
      <c r="S3219" s="298" t="s">
        <v>352</v>
      </c>
      <c r="T3219" s="298" t="s">
        <v>56</v>
      </c>
      <c r="U3219" s="298" t="s">
        <v>57</v>
      </c>
      <c r="V3219" s="303">
        <f>1957</f>
        <v>1957</v>
      </c>
      <c r="W3219" s="303">
        <v>1957</v>
      </c>
      <c r="X3219" s="304"/>
      <c r="Y3219" s="305">
        <f t="shared" si="1494"/>
        <v>0</v>
      </c>
      <c r="Z3219" s="306">
        <f t="shared" si="1495"/>
        <v>0</v>
      </c>
      <c r="AA3219" s="306">
        <f t="shared" si="1489"/>
        <v>0</v>
      </c>
      <c r="AB3219" s="814">
        <v>7.4999999999999997E-3</v>
      </c>
      <c r="AC3219" s="303">
        <f t="shared" si="1496"/>
        <v>0</v>
      </c>
      <c r="AD3219" s="443"/>
      <c r="AE3219" s="210">
        <f t="shared" si="1497"/>
        <v>0</v>
      </c>
      <c r="AF3219" s="210">
        <f t="shared" si="1498"/>
        <v>0</v>
      </c>
      <c r="AG3219" s="211">
        <f t="shared" si="1499"/>
        <v>0.13</v>
      </c>
      <c r="AH3219" s="157">
        <f t="shared" si="1500"/>
        <v>0</v>
      </c>
      <c r="AI3219" s="152">
        <f t="shared" si="1501"/>
        <v>46968</v>
      </c>
      <c r="AK3219" s="156" t="s">
        <v>691</v>
      </c>
      <c r="AL3219" s="574" t="s">
        <v>690</v>
      </c>
      <c r="AM3219" s="198">
        <f t="shared" si="1491"/>
        <v>0</v>
      </c>
      <c r="AN3219" s="199">
        <f t="shared" ref="AN3219:AN3228" si="1504">B3219</f>
        <v>46097</v>
      </c>
      <c r="AO3219" s="159" t="s">
        <v>692</v>
      </c>
      <c r="AP3219" s="783" t="s">
        <v>622</v>
      </c>
      <c r="AQ3219" s="782">
        <v>12071839</v>
      </c>
      <c r="AR3219" s="782">
        <v>12094356</v>
      </c>
      <c r="AS3219" s="782">
        <v>12068233</v>
      </c>
      <c r="AT3219" s="781"/>
      <c r="AU3219" s="781"/>
      <c r="AV3219" s="782">
        <v>12062075</v>
      </c>
      <c r="AW3219" s="781"/>
      <c r="AX3219" s="781"/>
      <c r="AY3219" s="782">
        <v>12094357</v>
      </c>
      <c r="AZ3219" s="782"/>
      <c r="BA3219" s="781"/>
      <c r="BB3219" s="209">
        <v>23053184</v>
      </c>
    </row>
    <row r="3220" spans="1:54" ht="25" customHeight="1">
      <c r="B3220" s="357">
        <v>46097</v>
      </c>
      <c r="C3220" s="358">
        <v>46122</v>
      </c>
      <c r="D3220" s="185">
        <f t="shared" si="1502"/>
        <v>2026</v>
      </c>
      <c r="E3220" s="358" t="e">
        <f>VLOOKUP($B3220,Week!$A$1:$C$1462,2,0)</f>
        <v>#N/A</v>
      </c>
      <c r="F3220" s="360" t="str">
        <f t="shared" si="1503"/>
        <v>Mar</v>
      </c>
      <c r="G3220" s="436" t="s">
        <v>2871</v>
      </c>
      <c r="H3220" s="359" t="s">
        <v>225</v>
      </c>
      <c r="I3220" s="359" t="s">
        <v>2773</v>
      </c>
      <c r="J3220" s="361" t="s">
        <v>650</v>
      </c>
      <c r="K3220" s="362" t="s">
        <v>593</v>
      </c>
      <c r="L3220" s="300" t="s">
        <v>2167</v>
      </c>
      <c r="M3220" s="361" t="s">
        <v>717</v>
      </c>
      <c r="N3220" s="359" t="s">
        <v>719</v>
      </c>
      <c r="O3220" s="359" t="s">
        <v>230</v>
      </c>
      <c r="P3220" s="363">
        <v>12</v>
      </c>
      <c r="Q3220" s="363">
        <v>5</v>
      </c>
      <c r="R3220" s="364">
        <v>6.0000000000000001E-3</v>
      </c>
      <c r="S3220" s="359" t="s">
        <v>55</v>
      </c>
      <c r="T3220" s="359" t="s">
        <v>112</v>
      </c>
      <c r="U3220" s="359" t="s">
        <v>57</v>
      </c>
      <c r="V3220" s="365">
        <v>2600</v>
      </c>
      <c r="W3220" s="365"/>
      <c r="X3220" s="366">
        <f>(1074+30126)/12</f>
        <v>2600</v>
      </c>
      <c r="Y3220" s="367">
        <f t="shared" si="1494"/>
        <v>0</v>
      </c>
      <c r="Z3220" s="368">
        <f t="shared" si="1495"/>
        <v>0</v>
      </c>
      <c r="AA3220" s="368">
        <f t="shared" si="1489"/>
        <v>0</v>
      </c>
      <c r="AB3220" s="819">
        <v>7.4999999999999997E-3</v>
      </c>
      <c r="AC3220" s="365">
        <f t="shared" si="1496"/>
        <v>0</v>
      </c>
      <c r="AD3220" s="307" t="s">
        <v>2421</v>
      </c>
      <c r="AE3220" s="210">
        <f t="shared" si="1497"/>
        <v>0</v>
      </c>
      <c r="AF3220" s="210">
        <f t="shared" si="1498"/>
        <v>0</v>
      </c>
      <c r="AG3220" s="211">
        <f t="shared" si="1499"/>
        <v>0.25800000000000001</v>
      </c>
      <c r="AH3220" s="157">
        <f t="shared" si="1500"/>
        <v>0</v>
      </c>
      <c r="AI3220" s="152">
        <f t="shared" si="1501"/>
        <v>31200</v>
      </c>
      <c r="AK3220" s="156" t="s">
        <v>691</v>
      </c>
      <c r="AL3220" s="574" t="s">
        <v>690</v>
      </c>
      <c r="AM3220" s="198">
        <f t="shared" si="1491"/>
        <v>0</v>
      </c>
      <c r="AN3220" s="199">
        <f t="shared" si="1504"/>
        <v>46097</v>
      </c>
      <c r="AO3220" s="159" t="s">
        <v>692</v>
      </c>
      <c r="AP3220" s="783" t="s">
        <v>612</v>
      </c>
      <c r="AQ3220" s="782">
        <v>12071839</v>
      </c>
      <c r="AR3220" s="782">
        <v>12042650</v>
      </c>
      <c r="AS3220" s="782">
        <v>12042649</v>
      </c>
      <c r="AT3220" s="782">
        <v>12096387</v>
      </c>
      <c r="AU3220" s="781"/>
      <c r="AV3220" s="782">
        <v>12088422</v>
      </c>
      <c r="AW3220" s="782"/>
      <c r="AX3220" s="782"/>
      <c r="AY3220" s="782"/>
      <c r="AZ3220" s="782"/>
      <c r="BA3220" s="781"/>
      <c r="BB3220" s="209">
        <v>23053185</v>
      </c>
    </row>
    <row r="3221" spans="1:54" ht="25" customHeight="1">
      <c r="A3221" s="142" t="s">
        <v>120</v>
      </c>
      <c r="B3221" s="271">
        <v>46098</v>
      </c>
      <c r="C3221" s="272">
        <v>46104</v>
      </c>
      <c r="D3221" s="185">
        <f t="shared" si="1502"/>
        <v>2026</v>
      </c>
      <c r="E3221" s="272" t="e">
        <f>VLOOKUP($B3221,Week!$A$1:$C$1462,2,0)</f>
        <v>#N/A</v>
      </c>
      <c r="F3221" s="273" t="str">
        <f t="shared" si="1503"/>
        <v>Mar</v>
      </c>
      <c r="G3221" s="274" t="s">
        <v>2864</v>
      </c>
      <c r="H3221" s="274" t="s">
        <v>500</v>
      </c>
      <c r="I3221" s="274" t="s">
        <v>2772</v>
      </c>
      <c r="J3221" s="275" t="s">
        <v>285</v>
      </c>
      <c r="K3221" s="276" t="s">
        <v>153</v>
      </c>
      <c r="L3221" s="390" t="s">
        <v>2166</v>
      </c>
      <c r="M3221" s="275" t="s">
        <v>86</v>
      </c>
      <c r="N3221" s="274" t="s">
        <v>547</v>
      </c>
      <c r="O3221" s="274" t="s">
        <v>548</v>
      </c>
      <c r="P3221" s="277">
        <v>10</v>
      </c>
      <c r="Q3221" s="277">
        <v>50</v>
      </c>
      <c r="R3221" s="278">
        <v>6.8100000000000001E-3</v>
      </c>
      <c r="S3221" s="274" t="s">
        <v>76</v>
      </c>
      <c r="T3221" s="274" t="s">
        <v>56</v>
      </c>
      <c r="U3221" s="274" t="s">
        <v>89</v>
      </c>
      <c r="V3221" s="279">
        <f>2056-427-732-742</f>
        <v>155</v>
      </c>
      <c r="W3221" s="279">
        <v>155</v>
      </c>
      <c r="X3221" s="280"/>
      <c r="Y3221" s="281">
        <f t="shared" si="1494"/>
        <v>0</v>
      </c>
      <c r="Z3221" s="282">
        <f t="shared" si="1495"/>
        <v>0</v>
      </c>
      <c r="AA3221" s="282">
        <f t="shared" si="1489"/>
        <v>0</v>
      </c>
      <c r="AB3221" s="812">
        <v>6</v>
      </c>
      <c r="AC3221" s="279">
        <f t="shared" si="1496"/>
        <v>0</v>
      </c>
      <c r="AD3221" s="209"/>
      <c r="AE3221" s="210">
        <f t="shared" si="1497"/>
        <v>0</v>
      </c>
      <c r="AF3221" s="210">
        <f t="shared" si="1498"/>
        <v>0</v>
      </c>
      <c r="AG3221" s="211">
        <f t="shared" si="1499"/>
        <v>0.63</v>
      </c>
      <c r="AH3221" s="157">
        <f t="shared" si="1500"/>
        <v>0</v>
      </c>
      <c r="AI3221" s="152">
        <f t="shared" si="1501"/>
        <v>1550</v>
      </c>
      <c r="AK3221" s="156" t="s">
        <v>691</v>
      </c>
      <c r="AL3221" s="156" t="s">
        <v>689</v>
      </c>
      <c r="AM3221" s="198">
        <f t="shared" si="1491"/>
        <v>0</v>
      </c>
      <c r="AN3221" s="199">
        <f t="shared" si="1504"/>
        <v>46098</v>
      </c>
      <c r="AO3221" s="159" t="s">
        <v>692</v>
      </c>
      <c r="AP3221" s="783" t="s">
        <v>620</v>
      </c>
      <c r="AQ3221" s="796" t="s">
        <v>422</v>
      </c>
      <c r="AR3221" s="782">
        <v>12055234</v>
      </c>
      <c r="AS3221" s="781"/>
      <c r="AT3221" s="782"/>
      <c r="AU3221" s="782"/>
      <c r="AV3221" s="782">
        <v>12062809</v>
      </c>
      <c r="AW3221" s="782"/>
      <c r="AX3221" s="782" t="s">
        <v>619</v>
      </c>
      <c r="AY3221" s="781"/>
      <c r="AZ3221" s="781"/>
      <c r="BA3221" s="781"/>
      <c r="BB3221" s="209">
        <v>23053184</v>
      </c>
    </row>
    <row r="3222" spans="1:54" ht="25" customHeight="1">
      <c r="A3222" s="142" t="s">
        <v>120</v>
      </c>
      <c r="B3222" s="271">
        <v>46098</v>
      </c>
      <c r="C3222" s="272">
        <v>46139</v>
      </c>
      <c r="D3222" s="185">
        <f>IF(B3222="","",YEAR(B3222))</f>
        <v>2026</v>
      </c>
      <c r="E3222" s="272" t="e">
        <f>VLOOKUP($B3222,Week!$A$1:$C$1462,2,0)</f>
        <v>#N/A</v>
      </c>
      <c r="F3222" s="273" t="str">
        <f>IF(B3222="","",TEXT(B3222,"[$-409]mmm"))</f>
        <v>Mar</v>
      </c>
      <c r="G3222" s="274" t="s">
        <v>2880</v>
      </c>
      <c r="H3222" s="274" t="s">
        <v>500</v>
      </c>
      <c r="I3222" s="274" t="s">
        <v>2772</v>
      </c>
      <c r="J3222" s="275" t="s">
        <v>285</v>
      </c>
      <c r="K3222" s="276" t="s">
        <v>153</v>
      </c>
      <c r="L3222" s="390" t="s">
        <v>2166</v>
      </c>
      <c r="M3222" s="275" t="s">
        <v>86</v>
      </c>
      <c r="N3222" s="274" t="s">
        <v>547</v>
      </c>
      <c r="O3222" s="274" t="s">
        <v>548</v>
      </c>
      <c r="P3222" s="277">
        <v>10</v>
      </c>
      <c r="Q3222" s="277">
        <v>50</v>
      </c>
      <c r="R3222" s="278">
        <v>6.8100000000000001E-3</v>
      </c>
      <c r="S3222" s="274" t="s">
        <v>76</v>
      </c>
      <c r="T3222" s="274" t="s">
        <v>56</v>
      </c>
      <c r="U3222" s="274" t="s">
        <v>89</v>
      </c>
      <c r="V3222" s="279">
        <f>40</f>
        <v>40</v>
      </c>
      <c r="W3222" s="279">
        <f>40</f>
        <v>40</v>
      </c>
      <c r="X3222" s="280"/>
      <c r="Y3222" s="281">
        <f t="shared" si="1494"/>
        <v>0</v>
      </c>
      <c r="Z3222" s="282">
        <f t="shared" si="1495"/>
        <v>0</v>
      </c>
      <c r="AA3222" s="282">
        <f t="shared" si="1489"/>
        <v>0</v>
      </c>
      <c r="AB3222" s="812">
        <v>6</v>
      </c>
      <c r="AC3222" s="279">
        <f t="shared" si="1496"/>
        <v>0</v>
      </c>
      <c r="AD3222" s="209"/>
      <c r="AE3222" s="210">
        <f t="shared" si="1497"/>
        <v>0</v>
      </c>
      <c r="AF3222" s="210">
        <f t="shared" si="1498"/>
        <v>0</v>
      </c>
      <c r="AG3222" s="211">
        <f t="shared" si="1499"/>
        <v>0.63</v>
      </c>
      <c r="AH3222" s="157">
        <f t="shared" si="1500"/>
        <v>0</v>
      </c>
      <c r="AI3222" s="152">
        <f t="shared" si="1501"/>
        <v>400</v>
      </c>
      <c r="AK3222" s="156" t="s">
        <v>691</v>
      </c>
      <c r="AL3222" s="156" t="s">
        <v>689</v>
      </c>
      <c r="AM3222" s="198">
        <f t="shared" si="1491"/>
        <v>0</v>
      </c>
      <c r="AN3222" s="199">
        <f>B3222</f>
        <v>46098</v>
      </c>
      <c r="AO3222" s="159" t="s">
        <v>692</v>
      </c>
      <c r="AP3222" s="783" t="s">
        <v>620</v>
      </c>
      <c r="AQ3222" s="796" t="s">
        <v>422</v>
      </c>
      <c r="AR3222" s="782">
        <v>12055234</v>
      </c>
      <c r="AS3222" s="781"/>
      <c r="AT3222" s="782"/>
      <c r="AU3222" s="782"/>
      <c r="AV3222" s="782">
        <v>12062809</v>
      </c>
      <c r="AW3222" s="782"/>
      <c r="AX3222" s="782" t="s">
        <v>619</v>
      </c>
      <c r="AY3222" s="781"/>
      <c r="AZ3222" s="781"/>
      <c r="BA3222" s="781"/>
      <c r="BB3222" s="209">
        <v>23053184</v>
      </c>
    </row>
    <row r="3223" spans="1:54" ht="25" customHeight="1">
      <c r="A3223" s="142" t="s">
        <v>120</v>
      </c>
      <c r="B3223" s="369">
        <v>46098</v>
      </c>
      <c r="C3223" s="370">
        <v>46105</v>
      </c>
      <c r="D3223" s="185">
        <f t="shared" si="1502"/>
        <v>2026</v>
      </c>
      <c r="E3223" s="371" t="e">
        <f>VLOOKUP($B3223,Week!$A$1:$C$1462,2,0)</f>
        <v>#N/A</v>
      </c>
      <c r="F3223" s="372" t="str">
        <f t="shared" si="1503"/>
        <v>Mar</v>
      </c>
      <c r="G3223" s="371" t="s">
        <v>2810</v>
      </c>
      <c r="H3223" s="371" t="s">
        <v>344</v>
      </c>
      <c r="I3223" s="371" t="s">
        <v>2772</v>
      </c>
      <c r="J3223" s="373" t="s">
        <v>345</v>
      </c>
      <c r="K3223" s="374" t="s">
        <v>153</v>
      </c>
      <c r="L3223" s="390" t="s">
        <v>2166</v>
      </c>
      <c r="M3223" s="373" t="s">
        <v>214</v>
      </c>
      <c r="N3223" s="371" t="s">
        <v>346</v>
      </c>
      <c r="O3223" s="371" t="s">
        <v>509</v>
      </c>
      <c r="P3223" s="375">
        <v>18</v>
      </c>
      <c r="Q3223" s="375">
        <v>8</v>
      </c>
      <c r="R3223" s="376">
        <v>6.8100000000000001E-3</v>
      </c>
      <c r="S3223" s="371" t="s">
        <v>76</v>
      </c>
      <c r="T3223" s="371" t="s">
        <v>56</v>
      </c>
      <c r="U3223" s="371" t="s">
        <v>89</v>
      </c>
      <c r="V3223" s="377">
        <f>1200</f>
        <v>1200</v>
      </c>
      <c r="W3223" s="377">
        <f>1052</f>
        <v>1052</v>
      </c>
      <c r="X3223" s="378">
        <f>(684+1980)/18</f>
        <v>148</v>
      </c>
      <c r="Y3223" s="379">
        <f t="shared" si="1494"/>
        <v>0</v>
      </c>
      <c r="Z3223" s="380">
        <f t="shared" si="1495"/>
        <v>0</v>
      </c>
      <c r="AA3223" s="380">
        <f t="shared" ref="AA3223:AA3228" si="1505">Q3223*Z3223</f>
        <v>0</v>
      </c>
      <c r="AB3223" s="820">
        <v>1</v>
      </c>
      <c r="AC3223" s="377">
        <f t="shared" si="1496"/>
        <v>0</v>
      </c>
      <c r="AD3223" s="443"/>
      <c r="AE3223" s="210">
        <f t="shared" si="1497"/>
        <v>0</v>
      </c>
      <c r="AF3223" s="210">
        <f t="shared" si="1498"/>
        <v>0</v>
      </c>
      <c r="AG3223" s="211">
        <f t="shared" si="1499"/>
        <v>0.10100000000000001</v>
      </c>
      <c r="AH3223" s="157">
        <f t="shared" si="1500"/>
        <v>0</v>
      </c>
      <c r="AI3223" s="152">
        <f t="shared" si="1501"/>
        <v>21600</v>
      </c>
      <c r="AK3223" s="156" t="s">
        <v>691</v>
      </c>
      <c r="AL3223" s="156" t="s">
        <v>689</v>
      </c>
      <c r="AM3223" s="198">
        <f t="shared" ref="AM3223:AM3228" si="1506">AG3223*Z3223</f>
        <v>0</v>
      </c>
      <c r="AN3223" s="199">
        <f t="shared" si="1504"/>
        <v>46098</v>
      </c>
      <c r="AO3223" s="159" t="s">
        <v>692</v>
      </c>
      <c r="AP3223" s="781"/>
      <c r="AQ3223" s="783" t="s">
        <v>631</v>
      </c>
      <c r="AR3223" s="782">
        <v>12038019</v>
      </c>
      <c r="AS3223" s="781"/>
      <c r="AT3223" s="800">
        <v>12096586</v>
      </c>
      <c r="AU3223" s="781"/>
      <c r="AV3223" s="800">
        <v>12096585</v>
      </c>
      <c r="AW3223" s="781"/>
      <c r="AX3223" s="781" t="s">
        <v>162</v>
      </c>
      <c r="AY3223" s="781"/>
      <c r="AZ3223" s="781"/>
      <c r="BA3223" s="781"/>
      <c r="BB3223" s="209">
        <v>23053184</v>
      </c>
    </row>
    <row r="3224" spans="1:54" ht="24.75" customHeight="1">
      <c r="B3224" s="295">
        <v>46098</v>
      </c>
      <c r="C3224" s="771" t="s">
        <v>2708</v>
      </c>
      <c r="D3224" s="185">
        <f t="shared" si="1502"/>
        <v>2026</v>
      </c>
      <c r="E3224" s="296" t="e">
        <f>VLOOKUP($B3224,Week!$A$1:$C$1462,2,0)</f>
        <v>#N/A</v>
      </c>
      <c r="F3224" s="297" t="str">
        <f t="shared" si="1503"/>
        <v>Mar</v>
      </c>
      <c r="G3224" s="648" t="s">
        <v>47</v>
      </c>
      <c r="H3224" s="298" t="s">
        <v>260</v>
      </c>
      <c r="I3224" s="298" t="s">
        <v>2702</v>
      </c>
      <c r="J3224" s="307" t="s">
        <v>2240</v>
      </c>
      <c r="K3224" s="300" t="s">
        <v>176</v>
      </c>
      <c r="L3224" s="300" t="s">
        <v>2167</v>
      </c>
      <c r="M3224" s="299" t="s">
        <v>2338</v>
      </c>
      <c r="N3224" s="298" t="s">
        <v>350</v>
      </c>
      <c r="O3224" s="298" t="s">
        <v>351</v>
      </c>
      <c r="P3224" s="301">
        <v>24</v>
      </c>
      <c r="Q3224" s="301">
        <v>5</v>
      </c>
      <c r="R3224" s="302">
        <v>6.1999999999999998E-3</v>
      </c>
      <c r="S3224" s="298" t="s">
        <v>352</v>
      </c>
      <c r="T3224" s="298" t="s">
        <v>56</v>
      </c>
      <c r="U3224" s="298" t="s">
        <v>57</v>
      </c>
      <c r="V3224" s="303">
        <f>17500-56-1724-2553-2428-2955-2474-1546-1957</f>
        <v>1807</v>
      </c>
      <c r="W3224" s="303">
        <v>1807</v>
      </c>
      <c r="X3224" s="304"/>
      <c r="Y3224" s="305">
        <f t="shared" si="1494"/>
        <v>0</v>
      </c>
      <c r="Z3224" s="306">
        <f t="shared" si="1495"/>
        <v>0</v>
      </c>
      <c r="AA3224" s="306">
        <f t="shared" si="1505"/>
        <v>0</v>
      </c>
      <c r="AB3224" s="814">
        <v>7.4999999999999997E-3</v>
      </c>
      <c r="AC3224" s="303">
        <f t="shared" si="1496"/>
        <v>0</v>
      </c>
      <c r="AD3224" s="443"/>
      <c r="AE3224" s="210">
        <f t="shared" si="1497"/>
        <v>0</v>
      </c>
      <c r="AF3224" s="210">
        <f t="shared" si="1498"/>
        <v>0</v>
      </c>
      <c r="AG3224" s="211">
        <f t="shared" si="1499"/>
        <v>0.13</v>
      </c>
      <c r="AH3224" s="157">
        <f t="shared" si="1500"/>
        <v>0</v>
      </c>
      <c r="AI3224" s="152">
        <f t="shared" si="1501"/>
        <v>43368</v>
      </c>
      <c r="AK3224" s="156" t="s">
        <v>691</v>
      </c>
      <c r="AL3224" s="574" t="s">
        <v>690</v>
      </c>
      <c r="AM3224" s="198">
        <f t="shared" si="1506"/>
        <v>0</v>
      </c>
      <c r="AN3224" s="199">
        <f t="shared" si="1504"/>
        <v>46098</v>
      </c>
      <c r="AO3224" s="159" t="s">
        <v>692</v>
      </c>
      <c r="AP3224" s="783" t="s">
        <v>622</v>
      </c>
      <c r="AQ3224" s="782">
        <v>12071839</v>
      </c>
      <c r="AR3224" s="782">
        <v>12094356</v>
      </c>
      <c r="AS3224" s="782">
        <v>12068233</v>
      </c>
      <c r="AT3224" s="781"/>
      <c r="AU3224" s="781"/>
      <c r="AV3224" s="782">
        <v>12062075</v>
      </c>
      <c r="AW3224" s="781"/>
      <c r="AX3224" s="781"/>
      <c r="AY3224" s="782">
        <v>12094357</v>
      </c>
      <c r="AZ3224" s="782"/>
      <c r="BA3224" s="781"/>
      <c r="BB3224" s="209">
        <v>23053184</v>
      </c>
    </row>
    <row r="3225" spans="1:54" ht="24.75" customHeight="1">
      <c r="B3225" s="295">
        <v>46098</v>
      </c>
      <c r="C3225" s="771" t="s">
        <v>2736</v>
      </c>
      <c r="D3225" s="185">
        <f>IF(B3225="","",YEAR(B3225))</f>
        <v>2026</v>
      </c>
      <c r="E3225" s="296" t="e">
        <f>VLOOKUP($B3225,Week!$A$1:$C$1462,2,0)</f>
        <v>#N/A</v>
      </c>
      <c r="F3225" s="297" t="str">
        <f>IF(B3225="","",TEXT(B3225,"[$-409]mmm"))</f>
        <v>Mar</v>
      </c>
      <c r="G3225" s="648" t="s">
        <v>47</v>
      </c>
      <c r="H3225" s="298" t="s">
        <v>260</v>
      </c>
      <c r="I3225" s="298" t="s">
        <v>2702</v>
      </c>
      <c r="J3225" s="307" t="s">
        <v>2240</v>
      </c>
      <c r="K3225" s="300" t="s">
        <v>176</v>
      </c>
      <c r="L3225" s="300" t="s">
        <v>2167</v>
      </c>
      <c r="M3225" s="299" t="s">
        <v>2338</v>
      </c>
      <c r="N3225" s="298" t="s">
        <v>350</v>
      </c>
      <c r="O3225" s="298" t="s">
        <v>351</v>
      </c>
      <c r="P3225" s="301">
        <v>24</v>
      </c>
      <c r="Q3225" s="301">
        <v>5</v>
      </c>
      <c r="R3225" s="302">
        <v>6.1999999999999998E-3</v>
      </c>
      <c r="S3225" s="298" t="s">
        <v>352</v>
      </c>
      <c r="T3225" s="298" t="s">
        <v>56</v>
      </c>
      <c r="U3225" s="298" t="s">
        <v>57</v>
      </c>
      <c r="V3225" s="303">
        <v>105</v>
      </c>
      <c r="W3225" s="303">
        <f>1912-1807</f>
        <v>105</v>
      </c>
      <c r="X3225" s="304"/>
      <c r="Y3225" s="305">
        <f t="shared" si="1494"/>
        <v>0</v>
      </c>
      <c r="Z3225" s="306">
        <f t="shared" si="1495"/>
        <v>0</v>
      </c>
      <c r="AA3225" s="306">
        <f t="shared" si="1505"/>
        <v>0</v>
      </c>
      <c r="AB3225" s="814">
        <v>7.4999999999999997E-3</v>
      </c>
      <c r="AC3225" s="303">
        <f t="shared" si="1496"/>
        <v>0</v>
      </c>
      <c r="AD3225" s="443"/>
      <c r="AE3225" s="210">
        <f t="shared" si="1497"/>
        <v>0</v>
      </c>
      <c r="AF3225" s="210">
        <f t="shared" si="1498"/>
        <v>0</v>
      </c>
      <c r="AG3225" s="211">
        <f t="shared" si="1499"/>
        <v>0.13</v>
      </c>
      <c r="AH3225" s="157">
        <f t="shared" si="1500"/>
        <v>0</v>
      </c>
      <c r="AI3225" s="152">
        <f t="shared" si="1501"/>
        <v>2520</v>
      </c>
      <c r="AK3225" s="156" t="s">
        <v>691</v>
      </c>
      <c r="AL3225" s="574" t="s">
        <v>690</v>
      </c>
      <c r="AM3225" s="198">
        <f t="shared" si="1506"/>
        <v>0</v>
      </c>
      <c r="AN3225" s="199">
        <f>B3225</f>
        <v>46098</v>
      </c>
      <c r="AO3225" s="159" t="s">
        <v>692</v>
      </c>
      <c r="AP3225" s="783" t="s">
        <v>622</v>
      </c>
      <c r="AQ3225" s="782">
        <v>12071839</v>
      </c>
      <c r="AR3225" s="782">
        <v>12094356</v>
      </c>
      <c r="AS3225" s="782">
        <v>12068233</v>
      </c>
      <c r="AT3225" s="781"/>
      <c r="AU3225" s="781"/>
      <c r="AV3225" s="782">
        <v>12062075</v>
      </c>
      <c r="AW3225" s="781"/>
      <c r="AX3225" s="781"/>
      <c r="AY3225" s="782">
        <v>12094357</v>
      </c>
      <c r="AZ3225" s="782"/>
      <c r="BA3225" s="781"/>
      <c r="BB3225" s="209">
        <v>23053184</v>
      </c>
    </row>
    <row r="3226" spans="1:54" ht="25" customHeight="1">
      <c r="B3226" s="424">
        <v>46098</v>
      </c>
      <c r="C3226" s="647" t="s">
        <v>2736</v>
      </c>
      <c r="D3226" s="185">
        <f t="shared" si="1502"/>
        <v>2026</v>
      </c>
      <c r="E3226" s="425" t="e">
        <f>VLOOKUP($B3226,Week!$A$1:$C$1462,2,0)</f>
        <v>#N/A</v>
      </c>
      <c r="F3226" s="426" t="str">
        <f t="shared" si="1503"/>
        <v>Mar</v>
      </c>
      <c r="G3226" s="427" t="s">
        <v>47</v>
      </c>
      <c r="H3226" s="427" t="s">
        <v>518</v>
      </c>
      <c r="I3226" s="427" t="s">
        <v>2702</v>
      </c>
      <c r="J3226" s="428" t="s">
        <v>70</v>
      </c>
      <c r="K3226" s="429" t="s">
        <v>94</v>
      </c>
      <c r="L3226" s="300" t="s">
        <v>2167</v>
      </c>
      <c r="M3226" s="428" t="s">
        <v>2342</v>
      </c>
      <c r="N3226" s="427" t="s">
        <v>587</v>
      </c>
      <c r="O3226" s="427" t="s">
        <v>3198</v>
      </c>
      <c r="P3226" s="430">
        <v>18</v>
      </c>
      <c r="Q3226" s="430">
        <v>5</v>
      </c>
      <c r="R3226" s="431">
        <v>8.0000000000000002E-3</v>
      </c>
      <c r="S3226" s="427" t="s">
        <v>40</v>
      </c>
      <c r="T3226" s="427" t="s">
        <v>56</v>
      </c>
      <c r="U3226" s="427" t="s">
        <v>89</v>
      </c>
      <c r="V3226" s="432">
        <f>1700</f>
        <v>1700</v>
      </c>
      <c r="W3226" s="432">
        <f>1+492+966+85+2+154</f>
        <v>1700</v>
      </c>
      <c r="X3226" s="433"/>
      <c r="Y3226" s="434">
        <f t="shared" si="1494"/>
        <v>0</v>
      </c>
      <c r="Z3226" s="435">
        <f t="shared" si="1495"/>
        <v>0</v>
      </c>
      <c r="AA3226" s="435">
        <f t="shared" si="1505"/>
        <v>0</v>
      </c>
      <c r="AB3226" s="826">
        <v>1</v>
      </c>
      <c r="AC3226" s="432">
        <f t="shared" si="1496"/>
        <v>0</v>
      </c>
      <c r="AD3226" s="209"/>
      <c r="AE3226" s="210">
        <f t="shared" si="1497"/>
        <v>0</v>
      </c>
      <c r="AF3226" s="210">
        <f t="shared" si="1498"/>
        <v>0</v>
      </c>
      <c r="AG3226" s="211" t="e">
        <f>(MID(O3226,1,3)/1000)/3</f>
        <v>#VALUE!</v>
      </c>
      <c r="AH3226" s="157" t="e">
        <f t="shared" si="1500"/>
        <v>#VALUE!</v>
      </c>
      <c r="AI3226" s="152">
        <f t="shared" si="1501"/>
        <v>30600</v>
      </c>
      <c r="AK3226" s="156" t="s">
        <v>691</v>
      </c>
      <c r="AL3226" s="212" t="s">
        <v>690</v>
      </c>
      <c r="AM3226" s="198" t="e">
        <f t="shared" si="1506"/>
        <v>#VALUE!</v>
      </c>
      <c r="AN3226" s="199">
        <f t="shared" si="1504"/>
        <v>46098</v>
      </c>
      <c r="AO3226" s="159" t="s">
        <v>692</v>
      </c>
      <c r="AP3226" s="783" t="s">
        <v>628</v>
      </c>
      <c r="AQ3226" s="782"/>
      <c r="AR3226" s="782"/>
      <c r="AS3226" s="782"/>
      <c r="AT3226" s="782"/>
      <c r="AU3226" s="781"/>
      <c r="AV3226" s="782">
        <v>12080791</v>
      </c>
      <c r="AW3226" s="782" t="s">
        <v>641</v>
      </c>
      <c r="AX3226" s="782" t="s">
        <v>533</v>
      </c>
      <c r="AY3226" s="782"/>
      <c r="AZ3226" s="782"/>
      <c r="BA3226" s="781"/>
      <c r="BB3226" s="209">
        <v>23053184</v>
      </c>
    </row>
    <row r="3227" spans="1:54" ht="25" customHeight="1">
      <c r="B3227" s="398">
        <v>46098</v>
      </c>
      <c r="C3227" s="879" t="s">
        <v>2708</v>
      </c>
      <c r="D3227" s="185">
        <f t="shared" si="1502"/>
        <v>2026</v>
      </c>
      <c r="E3227" s="399" t="e">
        <f>VLOOKUP($B3227,Week!$A$1:$C$1462,2,0)</f>
        <v>#N/A</v>
      </c>
      <c r="F3227" s="400" t="str">
        <f t="shared" si="1503"/>
        <v>Mar</v>
      </c>
      <c r="G3227" s="401" t="s">
        <v>47</v>
      </c>
      <c r="H3227" s="401" t="s">
        <v>518</v>
      </c>
      <c r="I3227" s="401" t="s">
        <v>2702</v>
      </c>
      <c r="J3227" s="402" t="s">
        <v>70</v>
      </c>
      <c r="K3227" s="403" t="s">
        <v>1645</v>
      </c>
      <c r="L3227" s="300" t="s">
        <v>2167</v>
      </c>
      <c r="M3227" s="402" t="s">
        <v>2567</v>
      </c>
      <c r="N3227" s="404" t="s">
        <v>2520</v>
      </c>
      <c r="O3227" s="401" t="s">
        <v>747</v>
      </c>
      <c r="P3227" s="405">
        <v>12</v>
      </c>
      <c r="Q3227" s="405">
        <v>5</v>
      </c>
      <c r="R3227" s="406">
        <v>8.0000000000000002E-3</v>
      </c>
      <c r="S3227" s="401" t="s">
        <v>352</v>
      </c>
      <c r="T3227" s="401" t="s">
        <v>56</v>
      </c>
      <c r="U3227" s="770" t="s">
        <v>669</v>
      </c>
      <c r="V3227" s="407">
        <f>600-554</f>
        <v>46</v>
      </c>
      <c r="W3227" s="407">
        <f>1+45</f>
        <v>46</v>
      </c>
      <c r="X3227" s="408"/>
      <c r="Y3227" s="409">
        <f t="shared" si="1494"/>
        <v>0</v>
      </c>
      <c r="Z3227" s="410">
        <f t="shared" si="1495"/>
        <v>0</v>
      </c>
      <c r="AA3227" s="410">
        <f t="shared" si="1505"/>
        <v>0</v>
      </c>
      <c r="AB3227" s="824">
        <v>8.9999999999999993E-3</v>
      </c>
      <c r="AC3227" s="407">
        <f t="shared" si="1496"/>
        <v>0</v>
      </c>
      <c r="AD3227" s="443"/>
      <c r="AE3227" s="210">
        <f t="shared" si="1497"/>
        <v>0</v>
      </c>
      <c r="AF3227" s="210">
        <f t="shared" si="1498"/>
        <v>0</v>
      </c>
      <c r="AG3227" s="211">
        <f>MID(O3227,1,3)/1000</f>
        <v>0.14299999999999999</v>
      </c>
      <c r="AH3227" s="157">
        <f t="shared" ref="AH3227:AH3232" si="1507">(Z3227*AG3227)/1000</f>
        <v>0</v>
      </c>
      <c r="AI3227" s="152">
        <f t="shared" si="1501"/>
        <v>552</v>
      </c>
      <c r="AK3227" s="156" t="s">
        <v>691</v>
      </c>
      <c r="AL3227" s="212" t="s">
        <v>690</v>
      </c>
      <c r="AM3227" s="198">
        <f t="shared" si="1506"/>
        <v>0</v>
      </c>
      <c r="AN3227" s="199">
        <f t="shared" si="1504"/>
        <v>46098</v>
      </c>
      <c r="AO3227" s="159" t="s">
        <v>692</v>
      </c>
      <c r="AP3227" s="783" t="s">
        <v>623</v>
      </c>
      <c r="AQ3227" s="782">
        <v>12071839</v>
      </c>
      <c r="AR3227" s="782">
        <v>12047514</v>
      </c>
      <c r="AS3227" s="782">
        <v>12047515</v>
      </c>
      <c r="AT3227" s="782"/>
      <c r="AU3227" s="781"/>
      <c r="AV3227" s="782">
        <v>12096536</v>
      </c>
      <c r="AW3227" s="782"/>
      <c r="AX3227" s="782"/>
      <c r="AY3227" s="782">
        <v>12096534</v>
      </c>
      <c r="AZ3227" s="782">
        <v>12096535</v>
      </c>
      <c r="BA3227" s="781"/>
      <c r="BB3227" s="209">
        <v>23098853</v>
      </c>
    </row>
    <row r="3228" spans="1:54" ht="25" customHeight="1">
      <c r="B3228" s="398">
        <v>46098</v>
      </c>
      <c r="C3228" s="879" t="s">
        <v>2736</v>
      </c>
      <c r="D3228" s="185">
        <f t="shared" si="1502"/>
        <v>2026</v>
      </c>
      <c r="E3228" s="399" t="e">
        <f>VLOOKUP($B3228,Week!$A$1:$C$1462,2,0)</f>
        <v>#N/A</v>
      </c>
      <c r="F3228" s="400" t="str">
        <f t="shared" si="1503"/>
        <v>Mar</v>
      </c>
      <c r="G3228" s="401" t="s">
        <v>47</v>
      </c>
      <c r="H3228" s="401" t="s">
        <v>518</v>
      </c>
      <c r="I3228" s="401" t="s">
        <v>2702</v>
      </c>
      <c r="J3228" s="402" t="s">
        <v>70</v>
      </c>
      <c r="K3228" s="403" t="s">
        <v>1645</v>
      </c>
      <c r="L3228" s="300" t="s">
        <v>2167</v>
      </c>
      <c r="M3228" s="402" t="s">
        <v>2567</v>
      </c>
      <c r="N3228" s="404" t="s">
        <v>2520</v>
      </c>
      <c r="O3228" s="401" t="s">
        <v>747</v>
      </c>
      <c r="P3228" s="405">
        <v>12</v>
      </c>
      <c r="Q3228" s="405">
        <v>5</v>
      </c>
      <c r="R3228" s="406">
        <v>8.0000000000000002E-3</v>
      </c>
      <c r="S3228" s="401" t="s">
        <v>352</v>
      </c>
      <c r="T3228" s="401" t="s">
        <v>56</v>
      </c>
      <c r="U3228" s="770" t="s">
        <v>669</v>
      </c>
      <c r="V3228" s="407">
        <f>600</f>
        <v>600</v>
      </c>
      <c r="W3228" s="407">
        <v>600</v>
      </c>
      <c r="X3228" s="408"/>
      <c r="Y3228" s="409">
        <f t="shared" si="1494"/>
        <v>0</v>
      </c>
      <c r="Z3228" s="410">
        <f t="shared" si="1495"/>
        <v>0</v>
      </c>
      <c r="AA3228" s="410">
        <f t="shared" si="1505"/>
        <v>0</v>
      </c>
      <c r="AB3228" s="824">
        <v>8.9999999999999993E-3</v>
      </c>
      <c r="AC3228" s="407">
        <f t="shared" si="1496"/>
        <v>0</v>
      </c>
      <c r="AD3228" s="443"/>
      <c r="AE3228" s="210">
        <f t="shared" si="1497"/>
        <v>0</v>
      </c>
      <c r="AF3228" s="210">
        <f t="shared" si="1498"/>
        <v>0</v>
      </c>
      <c r="AG3228" s="211">
        <f>MID(O3228,1,3)/1000</f>
        <v>0.14299999999999999</v>
      </c>
      <c r="AH3228" s="157">
        <f t="shared" si="1507"/>
        <v>0</v>
      </c>
      <c r="AI3228" s="152">
        <f t="shared" si="1501"/>
        <v>7200</v>
      </c>
      <c r="AK3228" s="156" t="s">
        <v>691</v>
      </c>
      <c r="AL3228" s="212" t="s">
        <v>690</v>
      </c>
      <c r="AM3228" s="198">
        <f t="shared" si="1506"/>
        <v>0</v>
      </c>
      <c r="AN3228" s="199">
        <f t="shared" si="1504"/>
        <v>46098</v>
      </c>
      <c r="AO3228" s="159" t="s">
        <v>692</v>
      </c>
      <c r="AP3228" s="783" t="s">
        <v>623</v>
      </c>
      <c r="AQ3228" s="782">
        <v>12071839</v>
      </c>
      <c r="AR3228" s="782">
        <v>12047514</v>
      </c>
      <c r="AS3228" s="782">
        <v>12047515</v>
      </c>
      <c r="AT3228" s="782"/>
      <c r="AU3228" s="781"/>
      <c r="AV3228" s="782">
        <v>12096536</v>
      </c>
      <c r="AW3228" s="782"/>
      <c r="AX3228" s="782"/>
      <c r="AY3228" s="782">
        <v>12096534</v>
      </c>
      <c r="AZ3228" s="782">
        <v>12096535</v>
      </c>
      <c r="BA3228" s="781"/>
      <c r="BB3228" s="209">
        <v>23098853</v>
      </c>
    </row>
    <row r="3229" spans="1:54" ht="25" customHeight="1">
      <c r="B3229" s="398">
        <v>46098</v>
      </c>
      <c r="C3229" s="879" t="s">
        <v>2736</v>
      </c>
      <c r="D3229" s="185">
        <f t="shared" ref="D3229:D3260" si="1508">IF(B3229="","",YEAR(B3229))</f>
        <v>2026</v>
      </c>
      <c r="E3229" s="399" t="e">
        <f>VLOOKUP($B3229,Week!$A$1:$C$1462,2,0)</f>
        <v>#N/A</v>
      </c>
      <c r="F3229" s="400" t="str">
        <f t="shared" ref="F3229:F3260" si="1509">IF(B3229="","",TEXT(B3229,"[$-409]mmm"))</f>
        <v>Mar</v>
      </c>
      <c r="G3229" s="401" t="s">
        <v>47</v>
      </c>
      <c r="H3229" s="401" t="s">
        <v>518</v>
      </c>
      <c r="I3229" s="401" t="s">
        <v>2702</v>
      </c>
      <c r="J3229" s="402" t="s">
        <v>70</v>
      </c>
      <c r="K3229" s="403" t="s">
        <v>1645</v>
      </c>
      <c r="L3229" s="300" t="s">
        <v>2167</v>
      </c>
      <c r="M3229" s="402" t="s">
        <v>2567</v>
      </c>
      <c r="N3229" s="404" t="s">
        <v>2520</v>
      </c>
      <c r="O3229" s="401" t="s">
        <v>747</v>
      </c>
      <c r="P3229" s="405">
        <v>12</v>
      </c>
      <c r="Q3229" s="405">
        <v>5</v>
      </c>
      <c r="R3229" s="406">
        <v>8.0000000000000002E-3</v>
      </c>
      <c r="S3229" s="401" t="s">
        <v>352</v>
      </c>
      <c r="T3229" s="401" t="s">
        <v>56</v>
      </c>
      <c r="U3229" s="770" t="s">
        <v>669</v>
      </c>
      <c r="V3229" s="407">
        <f>400</f>
        <v>400</v>
      </c>
      <c r="W3229" s="407">
        <v>400</v>
      </c>
      <c r="X3229" s="408"/>
      <c r="Y3229" s="409">
        <f t="shared" si="1494"/>
        <v>0</v>
      </c>
      <c r="Z3229" s="410">
        <f t="shared" si="1495"/>
        <v>0</v>
      </c>
      <c r="AA3229" s="410">
        <f t="shared" ref="AA3229:AA3260" si="1510">Q3229*Z3229</f>
        <v>0</v>
      </c>
      <c r="AB3229" s="824">
        <v>8.9999999999999993E-3</v>
      </c>
      <c r="AC3229" s="407">
        <f t="shared" si="1496"/>
        <v>0</v>
      </c>
      <c r="AD3229" s="443"/>
      <c r="AE3229" s="210">
        <f t="shared" si="1497"/>
        <v>0</v>
      </c>
      <c r="AF3229" s="210">
        <f t="shared" si="1498"/>
        <v>0</v>
      </c>
      <c r="AG3229" s="211">
        <f>MID(O3229,1,3)/1000</f>
        <v>0.14299999999999999</v>
      </c>
      <c r="AH3229" s="157">
        <f t="shared" si="1507"/>
        <v>0</v>
      </c>
      <c r="AI3229" s="152">
        <f t="shared" si="1501"/>
        <v>4800</v>
      </c>
      <c r="AK3229" s="156" t="s">
        <v>691</v>
      </c>
      <c r="AL3229" s="212" t="s">
        <v>690</v>
      </c>
      <c r="AM3229" s="198">
        <f t="shared" ref="AM3229:AM3260" si="1511">AG3229*Z3229</f>
        <v>0</v>
      </c>
      <c r="AN3229" s="199">
        <f t="shared" ref="AN3229:AN3260" si="1512">B3229</f>
        <v>46098</v>
      </c>
      <c r="AO3229" s="159" t="s">
        <v>692</v>
      </c>
      <c r="AP3229" s="783" t="s">
        <v>623</v>
      </c>
      <c r="AQ3229" s="782">
        <v>12071839</v>
      </c>
      <c r="AR3229" s="782">
        <v>12047514</v>
      </c>
      <c r="AS3229" s="782">
        <v>12047515</v>
      </c>
      <c r="AT3229" s="782"/>
      <c r="AU3229" s="781"/>
      <c r="AV3229" s="782">
        <v>12096536</v>
      </c>
      <c r="AW3229" s="782"/>
      <c r="AX3229" s="782"/>
      <c r="AY3229" s="782">
        <v>12096534</v>
      </c>
      <c r="AZ3229" s="782">
        <v>12096535</v>
      </c>
      <c r="BA3229" s="781"/>
      <c r="BB3229" s="209">
        <v>23098853</v>
      </c>
    </row>
    <row r="3230" spans="1:54" ht="24.65" customHeight="1">
      <c r="A3230" s="142" t="s">
        <v>120</v>
      </c>
      <c r="B3230" s="357">
        <v>46099</v>
      </c>
      <c r="C3230" s="358">
        <v>46105</v>
      </c>
      <c r="D3230" s="185">
        <f t="shared" si="1508"/>
        <v>2026</v>
      </c>
      <c r="E3230" s="359" t="e">
        <f>VLOOKUP($B3230,Week!$A$1:$C$1462,2,0)</f>
        <v>#N/A</v>
      </c>
      <c r="F3230" s="360" t="str">
        <f t="shared" si="1509"/>
        <v>Mar</v>
      </c>
      <c r="G3230" s="359" t="s">
        <v>2810</v>
      </c>
      <c r="H3230" s="359" t="s">
        <v>344</v>
      </c>
      <c r="I3230" s="359" t="s">
        <v>2772</v>
      </c>
      <c r="J3230" s="361" t="s">
        <v>345</v>
      </c>
      <c r="K3230" s="362" t="s">
        <v>355</v>
      </c>
      <c r="L3230" s="390" t="s">
        <v>2166</v>
      </c>
      <c r="M3230" s="361" t="s">
        <v>356</v>
      </c>
      <c r="N3230" s="359" t="s">
        <v>357</v>
      </c>
      <c r="O3230" s="359" t="s">
        <v>508</v>
      </c>
      <c r="P3230" s="363">
        <v>18</v>
      </c>
      <c r="Q3230" s="363">
        <v>8</v>
      </c>
      <c r="R3230" s="364">
        <v>6.0000000000000001E-3</v>
      </c>
      <c r="S3230" s="359" t="s">
        <v>55</v>
      </c>
      <c r="T3230" s="359" t="s">
        <v>56</v>
      </c>
      <c r="U3230" s="359" t="s">
        <v>89</v>
      </c>
      <c r="V3230" s="365">
        <f>700</f>
        <v>700</v>
      </c>
      <c r="W3230" s="365">
        <v>700</v>
      </c>
      <c r="X3230" s="366"/>
      <c r="Y3230" s="367">
        <f t="shared" si="1494"/>
        <v>0</v>
      </c>
      <c r="Z3230" s="368">
        <f t="shared" si="1495"/>
        <v>0</v>
      </c>
      <c r="AA3230" s="368">
        <f t="shared" si="1510"/>
        <v>0</v>
      </c>
      <c r="AB3230" s="819">
        <v>2</v>
      </c>
      <c r="AC3230" s="365">
        <f t="shared" si="1496"/>
        <v>0</v>
      </c>
      <c r="AD3230" s="307" t="s">
        <v>2614</v>
      </c>
      <c r="AE3230" s="210">
        <f t="shared" si="1497"/>
        <v>0</v>
      </c>
      <c r="AF3230" s="210">
        <f t="shared" si="1498"/>
        <v>0</v>
      </c>
      <c r="AG3230" s="211">
        <f>MID(O3230,1,2)/1000</f>
        <v>0.09</v>
      </c>
      <c r="AH3230" s="157">
        <f t="shared" si="1507"/>
        <v>0</v>
      </c>
      <c r="AI3230" s="152">
        <f t="shared" si="1501"/>
        <v>12600</v>
      </c>
      <c r="AK3230" s="156" t="s">
        <v>691</v>
      </c>
      <c r="AL3230" s="156" t="s">
        <v>689</v>
      </c>
      <c r="AM3230" s="198">
        <f t="shared" si="1511"/>
        <v>0</v>
      </c>
      <c r="AN3230" s="199">
        <f t="shared" si="1512"/>
        <v>46099</v>
      </c>
      <c r="AO3230" s="159" t="s">
        <v>692</v>
      </c>
      <c r="AP3230" s="781"/>
      <c r="AQ3230" s="782"/>
      <c r="AR3230" s="782" t="s">
        <v>531</v>
      </c>
      <c r="AS3230" s="782"/>
      <c r="AT3230" s="782"/>
      <c r="AU3230" s="782">
        <v>12054219</v>
      </c>
      <c r="AV3230" s="782">
        <v>12097306</v>
      </c>
      <c r="AW3230" s="782"/>
      <c r="AX3230" s="782" t="s">
        <v>2662</v>
      </c>
      <c r="AY3230" s="782"/>
      <c r="AZ3230" s="782"/>
      <c r="BA3230" s="781"/>
      <c r="BB3230" s="209">
        <v>23053184</v>
      </c>
    </row>
    <row r="3231" spans="1:54" ht="25" customHeight="1">
      <c r="A3231" s="142" t="s">
        <v>120</v>
      </c>
      <c r="B3231" s="559">
        <v>46099</v>
      </c>
      <c r="C3231" s="560">
        <v>46106</v>
      </c>
      <c r="D3231" s="185">
        <f t="shared" si="1508"/>
        <v>2026</v>
      </c>
      <c r="E3231" s="561" t="e">
        <f>VLOOKUP($B3231,Week!$A$1:$C$1462,2,0)</f>
        <v>#N/A</v>
      </c>
      <c r="F3231" s="562" t="str">
        <f t="shared" si="1509"/>
        <v>Mar</v>
      </c>
      <c r="G3231" s="561" t="s">
        <v>2842</v>
      </c>
      <c r="H3231" s="561" t="s">
        <v>134</v>
      </c>
      <c r="I3231" s="561" t="s">
        <v>2772</v>
      </c>
      <c r="J3231" s="563" t="s">
        <v>2932</v>
      </c>
      <c r="K3231" s="564" t="s">
        <v>355</v>
      </c>
      <c r="L3231" s="390" t="s">
        <v>2166</v>
      </c>
      <c r="M3231" s="563" t="s">
        <v>356</v>
      </c>
      <c r="N3231" s="561" t="s">
        <v>652</v>
      </c>
      <c r="O3231" s="561" t="s">
        <v>508</v>
      </c>
      <c r="P3231" s="565">
        <v>18</v>
      </c>
      <c r="Q3231" s="565">
        <v>8</v>
      </c>
      <c r="R3231" s="566">
        <v>6.0000000000000001E-3</v>
      </c>
      <c r="S3231" s="561" t="s">
        <v>55</v>
      </c>
      <c r="T3231" s="561" t="s">
        <v>56</v>
      </c>
      <c r="U3231" s="561" t="s">
        <v>89</v>
      </c>
      <c r="V3231" s="567">
        <f>1000</f>
        <v>1000</v>
      </c>
      <c r="W3231" s="567">
        <f>44+956</f>
        <v>1000</v>
      </c>
      <c r="X3231" s="568"/>
      <c r="Y3231" s="569">
        <f t="shared" si="1494"/>
        <v>0</v>
      </c>
      <c r="Z3231" s="570">
        <f t="shared" si="1495"/>
        <v>0</v>
      </c>
      <c r="AA3231" s="570">
        <f t="shared" si="1510"/>
        <v>0</v>
      </c>
      <c r="AB3231" s="834">
        <v>2</v>
      </c>
      <c r="AC3231" s="567">
        <f t="shared" si="1496"/>
        <v>0</v>
      </c>
      <c r="AD3231" s="209"/>
      <c r="AE3231" s="210">
        <f t="shared" si="1497"/>
        <v>0</v>
      </c>
      <c r="AF3231" s="210">
        <f t="shared" si="1498"/>
        <v>0</v>
      </c>
      <c r="AG3231" s="211">
        <f>MID(O3231,1,2)/1000</f>
        <v>0.09</v>
      </c>
      <c r="AH3231" s="157">
        <f t="shared" si="1507"/>
        <v>0</v>
      </c>
      <c r="AI3231" s="152">
        <f t="shared" si="1501"/>
        <v>18000</v>
      </c>
      <c r="AK3231" s="156" t="s">
        <v>691</v>
      </c>
      <c r="AL3231" s="156" t="s">
        <v>689</v>
      </c>
      <c r="AM3231" s="198">
        <f t="shared" si="1511"/>
        <v>0</v>
      </c>
      <c r="AN3231" s="199">
        <f t="shared" si="1512"/>
        <v>46099</v>
      </c>
      <c r="AO3231" s="159" t="s">
        <v>692</v>
      </c>
      <c r="AP3231" s="783"/>
      <c r="AQ3231" s="782"/>
      <c r="AR3231" s="782" t="s">
        <v>531</v>
      </c>
      <c r="AS3231" s="782"/>
      <c r="AT3231" s="782"/>
      <c r="AU3231" s="782">
        <v>12054219</v>
      </c>
      <c r="AV3231" s="782">
        <v>12097195</v>
      </c>
      <c r="AW3231" s="782"/>
      <c r="AX3231" s="782" t="s">
        <v>2519</v>
      </c>
      <c r="AY3231" s="782"/>
      <c r="AZ3231" s="782"/>
      <c r="BA3231" s="781"/>
      <c r="BB3231" s="209">
        <v>23053184</v>
      </c>
    </row>
    <row r="3232" spans="1:54" ht="25" customHeight="1">
      <c r="A3232" s="142" t="s">
        <v>120</v>
      </c>
      <c r="B3232" s="283">
        <v>46099</v>
      </c>
      <c r="C3232" s="284">
        <v>46106</v>
      </c>
      <c r="D3232" s="185">
        <f t="shared" si="1508"/>
        <v>2026</v>
      </c>
      <c r="E3232" s="286" t="e">
        <f>VLOOKUP($B3232,Week!$A$1:$C$1462,2,0)</f>
        <v>#N/A</v>
      </c>
      <c r="F3232" s="285" t="str">
        <f t="shared" si="1509"/>
        <v>Mar</v>
      </c>
      <c r="G3232" s="286" t="s">
        <v>2842</v>
      </c>
      <c r="H3232" s="286" t="s">
        <v>134</v>
      </c>
      <c r="I3232" s="286" t="s">
        <v>2772</v>
      </c>
      <c r="J3232" s="287" t="s">
        <v>2932</v>
      </c>
      <c r="K3232" s="288" t="s">
        <v>153</v>
      </c>
      <c r="L3232" s="390" t="s">
        <v>2166</v>
      </c>
      <c r="M3232" s="287" t="s">
        <v>214</v>
      </c>
      <c r="N3232" s="286" t="s">
        <v>215</v>
      </c>
      <c r="O3232" s="286" t="s">
        <v>504</v>
      </c>
      <c r="P3232" s="289">
        <v>20</v>
      </c>
      <c r="Q3232" s="289">
        <v>8</v>
      </c>
      <c r="R3232" s="290">
        <v>1.4999999999999999E-2</v>
      </c>
      <c r="S3232" s="286" t="s">
        <v>217</v>
      </c>
      <c r="T3232" s="286" t="s">
        <v>56</v>
      </c>
      <c r="U3232" s="286" t="s">
        <v>89</v>
      </c>
      <c r="V3232" s="291">
        <f>250</f>
        <v>250</v>
      </c>
      <c r="W3232" s="291">
        <f>18+232</f>
        <v>250</v>
      </c>
      <c r="X3232" s="292"/>
      <c r="Y3232" s="293">
        <f t="shared" si="1494"/>
        <v>0</v>
      </c>
      <c r="Z3232" s="294">
        <f t="shared" si="1495"/>
        <v>0</v>
      </c>
      <c r="AA3232" s="291">
        <f t="shared" si="1510"/>
        <v>0</v>
      </c>
      <c r="AB3232" s="813">
        <v>2</v>
      </c>
      <c r="AC3232" s="291">
        <f t="shared" si="1496"/>
        <v>0</v>
      </c>
      <c r="AD3232" s="209" t="s">
        <v>218</v>
      </c>
      <c r="AE3232" s="210">
        <f t="shared" si="1497"/>
        <v>0</v>
      </c>
      <c r="AF3232" s="210">
        <f t="shared" si="1498"/>
        <v>0</v>
      </c>
      <c r="AG3232" s="211">
        <f t="shared" ref="AG3232:AG3248" si="1513">MID(O3232,1,3)/1000</f>
        <v>0.19400000000000001</v>
      </c>
      <c r="AH3232" s="157">
        <f t="shared" si="1507"/>
        <v>0</v>
      </c>
      <c r="AI3232" s="152">
        <f t="shared" si="1501"/>
        <v>5000</v>
      </c>
      <c r="AK3232" s="156" t="s">
        <v>691</v>
      </c>
      <c r="AL3232" s="156" t="s">
        <v>689</v>
      </c>
      <c r="AM3232" s="198">
        <f t="shared" si="1511"/>
        <v>0</v>
      </c>
      <c r="AN3232" s="199">
        <f t="shared" si="1512"/>
        <v>46099</v>
      </c>
      <c r="AO3232" s="159" t="s">
        <v>692</v>
      </c>
      <c r="AP3232" s="783" t="s">
        <v>610</v>
      </c>
      <c r="AQ3232" s="782">
        <v>12071839</v>
      </c>
      <c r="AR3232" s="782">
        <v>12064528</v>
      </c>
      <c r="AS3232" s="782"/>
      <c r="AT3232" s="782">
        <v>12096526</v>
      </c>
      <c r="AU3232" s="781"/>
      <c r="AV3232" s="782">
        <v>12096527</v>
      </c>
      <c r="AW3232" s="782"/>
      <c r="AX3232" s="782" t="s">
        <v>545</v>
      </c>
      <c r="AY3232" s="782"/>
      <c r="AZ3232" s="782"/>
      <c r="BA3232" s="781"/>
      <c r="BB3232" s="209">
        <v>23053184</v>
      </c>
    </row>
    <row r="3233" spans="1:54" ht="25" customHeight="1">
      <c r="B3233" s="213">
        <v>46099</v>
      </c>
      <c r="C3233" s="902" t="s">
        <v>2708</v>
      </c>
      <c r="D3233" s="215">
        <f t="shared" si="1508"/>
        <v>2026</v>
      </c>
      <c r="E3233" s="214" t="e">
        <f>VLOOKUP($B3233,Week!$A$1:$C$1462,2,0)</f>
        <v>#N/A</v>
      </c>
      <c r="F3233" s="216" t="str">
        <f t="shared" si="1509"/>
        <v>Mar</v>
      </c>
      <c r="G3233" s="215" t="s">
        <v>47</v>
      </c>
      <c r="H3233" s="215" t="s">
        <v>260</v>
      </c>
      <c r="I3233" s="215" t="s">
        <v>2702</v>
      </c>
      <c r="J3233" s="209" t="s">
        <v>2702</v>
      </c>
      <c r="K3233" s="217" t="s">
        <v>2706</v>
      </c>
      <c r="L3233" s="217" t="s">
        <v>2167</v>
      </c>
      <c r="M3233" s="209" t="s">
        <v>2733</v>
      </c>
      <c r="N3233" s="480" t="s">
        <v>2734</v>
      </c>
      <c r="O3233" s="215" t="s">
        <v>2735</v>
      </c>
      <c r="P3233" s="218">
        <v>12</v>
      </c>
      <c r="Q3233" s="218">
        <v>2</v>
      </c>
      <c r="R3233" s="219">
        <v>6.0000000000000001E-3</v>
      </c>
      <c r="S3233" s="215" t="s">
        <v>55</v>
      </c>
      <c r="T3233" s="215" t="s">
        <v>56</v>
      </c>
      <c r="U3233" s="852" t="s">
        <v>2707</v>
      </c>
      <c r="V3233" s="220">
        <f>22000-1260-1334-1177-1302-1141-1231-1021-1351-1347-1329-1324-1319-1410-1314-1355-1344-1435</f>
        <v>6</v>
      </c>
      <c r="W3233" s="220">
        <f>6</f>
        <v>6</v>
      </c>
      <c r="X3233" s="221"/>
      <c r="Y3233" s="222">
        <f t="shared" si="1494"/>
        <v>0</v>
      </c>
      <c r="Z3233" s="223">
        <f t="shared" si="1495"/>
        <v>0</v>
      </c>
      <c r="AA3233" s="223">
        <f t="shared" si="1510"/>
        <v>0</v>
      </c>
      <c r="AB3233" s="807">
        <v>1.7000000000000001E-2</v>
      </c>
      <c r="AC3233" s="220">
        <f t="shared" si="1496"/>
        <v>0</v>
      </c>
      <c r="AD3233" s="443"/>
      <c r="AE3233" s="210">
        <f t="shared" si="1497"/>
        <v>0</v>
      </c>
      <c r="AF3233" s="210">
        <f t="shared" si="1498"/>
        <v>0</v>
      </c>
      <c r="AG3233" s="211">
        <f t="shared" si="1513"/>
        <v>0.22500000000000001</v>
      </c>
      <c r="AH3233" s="157">
        <v>0.26621999999999996</v>
      </c>
      <c r="AI3233" s="152">
        <f t="shared" si="1501"/>
        <v>72</v>
      </c>
      <c r="AK3233" s="156" t="s">
        <v>691</v>
      </c>
      <c r="AL3233" s="574" t="s">
        <v>690</v>
      </c>
      <c r="AM3233" s="198">
        <f t="shared" si="1511"/>
        <v>0</v>
      </c>
      <c r="AN3233" s="199">
        <f t="shared" si="1512"/>
        <v>46099</v>
      </c>
      <c r="AO3233" s="159" t="s">
        <v>692</v>
      </c>
      <c r="AP3233" s="781" t="s">
        <v>642</v>
      </c>
      <c r="AQ3233" s="782">
        <v>12071839</v>
      </c>
      <c r="AR3233" s="782"/>
      <c r="AS3233" s="782"/>
      <c r="AT3233" s="782">
        <v>12098021</v>
      </c>
      <c r="AU3233" s="783" t="s">
        <v>2979</v>
      </c>
      <c r="AV3233" s="782">
        <v>12098022</v>
      </c>
      <c r="AW3233" s="783"/>
      <c r="AX3233" s="781"/>
      <c r="AY3233" s="796"/>
      <c r="AZ3233" s="796"/>
      <c r="BA3233" s="796"/>
      <c r="BB3233" s="209">
        <v>23099860</v>
      </c>
    </row>
    <row r="3234" spans="1:54" ht="25" customHeight="1">
      <c r="B3234" s="213">
        <v>46099</v>
      </c>
      <c r="C3234" s="902" t="s">
        <v>2736</v>
      </c>
      <c r="D3234" s="215">
        <f t="shared" si="1508"/>
        <v>2026</v>
      </c>
      <c r="E3234" s="214" t="e">
        <f>VLOOKUP($B3234,Week!$A$1:$C$1462,2,0)</f>
        <v>#N/A</v>
      </c>
      <c r="F3234" s="216" t="str">
        <f t="shared" si="1509"/>
        <v>Mar</v>
      </c>
      <c r="G3234" s="215" t="s">
        <v>47</v>
      </c>
      <c r="H3234" s="215" t="s">
        <v>260</v>
      </c>
      <c r="I3234" s="215" t="s">
        <v>2702</v>
      </c>
      <c r="J3234" s="209" t="s">
        <v>2702</v>
      </c>
      <c r="K3234" s="217" t="s">
        <v>2706</v>
      </c>
      <c r="L3234" s="217" t="s">
        <v>2167</v>
      </c>
      <c r="M3234" s="209" t="s">
        <v>2733</v>
      </c>
      <c r="N3234" s="480" t="s">
        <v>2734</v>
      </c>
      <c r="O3234" s="215" t="s">
        <v>2735</v>
      </c>
      <c r="P3234" s="218">
        <v>12</v>
      </c>
      <c r="Q3234" s="218">
        <v>2</v>
      </c>
      <c r="R3234" s="219">
        <v>6.0000000000000001E-3</v>
      </c>
      <c r="S3234" s="215" t="s">
        <v>55</v>
      </c>
      <c r="T3234" s="215" t="s">
        <v>56</v>
      </c>
      <c r="U3234" s="852" t="s">
        <v>2707</v>
      </c>
      <c r="V3234" s="220">
        <f>607</f>
        <v>607</v>
      </c>
      <c r="W3234" s="220">
        <f>501-6+112</f>
        <v>607</v>
      </c>
      <c r="X3234" s="221"/>
      <c r="Y3234" s="222">
        <f t="shared" si="1494"/>
        <v>0</v>
      </c>
      <c r="Z3234" s="223">
        <f t="shared" si="1495"/>
        <v>0</v>
      </c>
      <c r="AA3234" s="223">
        <f t="shared" si="1510"/>
        <v>0</v>
      </c>
      <c r="AB3234" s="807">
        <v>1.7000000000000001E-2</v>
      </c>
      <c r="AC3234" s="220">
        <f t="shared" si="1496"/>
        <v>0</v>
      </c>
      <c r="AD3234" s="443"/>
      <c r="AE3234" s="210">
        <f t="shared" si="1497"/>
        <v>0</v>
      </c>
      <c r="AF3234" s="210">
        <f t="shared" si="1498"/>
        <v>0</v>
      </c>
      <c r="AG3234" s="211">
        <f t="shared" si="1513"/>
        <v>0.22500000000000001</v>
      </c>
      <c r="AH3234" s="157">
        <v>0.26621999999999996</v>
      </c>
      <c r="AI3234" s="152">
        <f t="shared" si="1501"/>
        <v>7284</v>
      </c>
      <c r="AK3234" s="156" t="s">
        <v>691</v>
      </c>
      <c r="AL3234" s="574" t="s">
        <v>690</v>
      </c>
      <c r="AM3234" s="198">
        <f t="shared" si="1511"/>
        <v>0</v>
      </c>
      <c r="AN3234" s="199">
        <f t="shared" si="1512"/>
        <v>46099</v>
      </c>
      <c r="AO3234" s="159" t="s">
        <v>692</v>
      </c>
      <c r="AP3234" s="781" t="s">
        <v>642</v>
      </c>
      <c r="AQ3234" s="782">
        <v>12071839</v>
      </c>
      <c r="AR3234" s="782"/>
      <c r="AS3234" s="782"/>
      <c r="AT3234" s="782">
        <v>12098021</v>
      </c>
      <c r="AU3234" s="783" t="s">
        <v>2979</v>
      </c>
      <c r="AV3234" s="782">
        <v>12098022</v>
      </c>
      <c r="AW3234" s="783"/>
      <c r="AX3234" s="781"/>
      <c r="AY3234" s="796"/>
      <c r="AZ3234" s="796"/>
      <c r="BA3234" s="796"/>
      <c r="BB3234" s="209">
        <v>23099860</v>
      </c>
    </row>
    <row r="3235" spans="1:54" ht="24.65" customHeight="1">
      <c r="B3235" s="411">
        <v>46099</v>
      </c>
      <c r="C3235" s="645" t="s">
        <v>2736</v>
      </c>
      <c r="D3235" s="185">
        <f t="shared" si="1508"/>
        <v>2026</v>
      </c>
      <c r="E3235" s="412" t="e">
        <f>VLOOKUP($B3235,Week!$A$1:$C$1462,2,0)</f>
        <v>#N/A</v>
      </c>
      <c r="F3235" s="413" t="str">
        <f t="shared" si="1509"/>
        <v>Mar</v>
      </c>
      <c r="G3235" s="414" t="s">
        <v>47</v>
      </c>
      <c r="H3235" s="414" t="s">
        <v>260</v>
      </c>
      <c r="I3235" s="414" t="s">
        <v>2702</v>
      </c>
      <c r="J3235" s="415" t="s">
        <v>261</v>
      </c>
      <c r="K3235" s="416" t="s">
        <v>94</v>
      </c>
      <c r="L3235" s="300" t="s">
        <v>2167</v>
      </c>
      <c r="M3235" s="415" t="s">
        <v>2339</v>
      </c>
      <c r="N3235" s="414" t="s">
        <v>263</v>
      </c>
      <c r="O3235" s="414" t="s">
        <v>195</v>
      </c>
      <c r="P3235" s="417">
        <v>24</v>
      </c>
      <c r="Q3235" s="417">
        <v>5</v>
      </c>
      <c r="R3235" s="418">
        <v>8.0000000000000002E-3</v>
      </c>
      <c r="S3235" s="414" t="s">
        <v>40</v>
      </c>
      <c r="T3235" s="414" t="s">
        <v>56</v>
      </c>
      <c r="U3235" s="414" t="s">
        <v>57</v>
      </c>
      <c r="V3235" s="419">
        <f>2917+1250-654</f>
        <v>3513</v>
      </c>
      <c r="W3235" s="419">
        <v>3513</v>
      </c>
      <c r="X3235" s="420"/>
      <c r="Y3235" s="421">
        <f t="shared" si="1494"/>
        <v>0</v>
      </c>
      <c r="Z3235" s="422">
        <f t="shared" si="1495"/>
        <v>0</v>
      </c>
      <c r="AA3235" s="422">
        <f t="shared" si="1510"/>
        <v>0</v>
      </c>
      <c r="AB3235" s="825">
        <v>7.4999999999999997E-3</v>
      </c>
      <c r="AC3235" s="419">
        <f t="shared" si="1496"/>
        <v>0</v>
      </c>
      <c r="AD3235" s="209"/>
      <c r="AE3235" s="210">
        <f t="shared" si="1497"/>
        <v>0</v>
      </c>
      <c r="AF3235" s="210">
        <f t="shared" si="1498"/>
        <v>0</v>
      </c>
      <c r="AG3235" s="211">
        <f t="shared" si="1513"/>
        <v>0.14499999999999999</v>
      </c>
      <c r="AH3235" s="157">
        <f>(Z3235*AG3235)/1000</f>
        <v>0</v>
      </c>
      <c r="AI3235" s="152">
        <f t="shared" si="1501"/>
        <v>84312</v>
      </c>
      <c r="AK3235" s="156" t="s">
        <v>691</v>
      </c>
      <c r="AL3235" s="212" t="s">
        <v>690</v>
      </c>
      <c r="AM3235" s="198">
        <f t="shared" si="1511"/>
        <v>0</v>
      </c>
      <c r="AN3235" s="199">
        <f t="shared" si="1512"/>
        <v>46099</v>
      </c>
      <c r="AO3235" s="159" t="s">
        <v>692</v>
      </c>
      <c r="AP3235" s="783" t="s">
        <v>609</v>
      </c>
      <c r="AQ3235" s="782">
        <v>12071839</v>
      </c>
      <c r="AR3235" s="782">
        <v>12047514</v>
      </c>
      <c r="AS3235" s="782">
        <v>12047515</v>
      </c>
      <c r="AT3235" s="781"/>
      <c r="AU3235" s="781"/>
      <c r="AV3235" s="782">
        <v>12080613</v>
      </c>
      <c r="AW3235" s="781"/>
      <c r="AX3235" s="781"/>
      <c r="AY3235" s="782">
        <v>12094241</v>
      </c>
      <c r="AZ3235" s="782">
        <v>12094242</v>
      </c>
      <c r="BA3235" s="781"/>
      <c r="BB3235" s="209">
        <v>23053185</v>
      </c>
    </row>
    <row r="3236" spans="1:54" ht="24.65" customHeight="1">
      <c r="A3236" s="142" t="s">
        <v>120</v>
      </c>
      <c r="B3236" s="258">
        <v>46100</v>
      </c>
      <c r="C3236" s="259">
        <v>46106</v>
      </c>
      <c r="D3236" s="185">
        <f t="shared" si="1508"/>
        <v>2026</v>
      </c>
      <c r="E3236" s="260" t="e">
        <f>VLOOKUP($B3236,Week!$A$1:$C$1462,2,0)</f>
        <v>#N/A</v>
      </c>
      <c r="F3236" s="261" t="str">
        <f t="shared" si="1509"/>
        <v>Mar</v>
      </c>
      <c r="G3236" s="262" t="s">
        <v>2842</v>
      </c>
      <c r="H3236" s="260" t="s">
        <v>134</v>
      </c>
      <c r="I3236" s="260" t="s">
        <v>2772</v>
      </c>
      <c r="J3236" s="263" t="s">
        <v>2932</v>
      </c>
      <c r="K3236" s="264" t="s">
        <v>153</v>
      </c>
      <c r="L3236" s="390" t="s">
        <v>2166</v>
      </c>
      <c r="M3236" s="263" t="s">
        <v>165</v>
      </c>
      <c r="N3236" s="260" t="s">
        <v>166</v>
      </c>
      <c r="O3236" s="260" t="s">
        <v>502</v>
      </c>
      <c r="P3236" s="265">
        <v>20</v>
      </c>
      <c r="Q3236" s="265">
        <v>12</v>
      </c>
      <c r="R3236" s="266">
        <v>6.8100000000000001E-3</v>
      </c>
      <c r="S3236" s="260" t="s">
        <v>76</v>
      </c>
      <c r="T3236" s="260" t="s">
        <v>56</v>
      </c>
      <c r="U3236" s="260" t="s">
        <v>89</v>
      </c>
      <c r="V3236" s="267">
        <f>1000</f>
        <v>1000</v>
      </c>
      <c r="W3236" s="267">
        <f>908</f>
        <v>908</v>
      </c>
      <c r="X3236" s="268">
        <f>(320+1600)/20</f>
        <v>96</v>
      </c>
      <c r="Y3236" s="269">
        <f t="shared" si="1494"/>
        <v>4</v>
      </c>
      <c r="Z3236" s="270">
        <f t="shared" si="1495"/>
        <v>0</v>
      </c>
      <c r="AA3236" s="270">
        <f t="shared" si="1510"/>
        <v>0</v>
      </c>
      <c r="AB3236" s="811">
        <v>2</v>
      </c>
      <c r="AC3236" s="267">
        <f t="shared" si="1496"/>
        <v>0</v>
      </c>
      <c r="AD3236" s="209" t="s">
        <v>168</v>
      </c>
      <c r="AE3236" s="210">
        <f t="shared" si="1497"/>
        <v>0</v>
      </c>
      <c r="AF3236" s="210">
        <f t="shared" si="1498"/>
        <v>0</v>
      </c>
      <c r="AG3236" s="211">
        <f t="shared" si="1513"/>
        <v>0.154</v>
      </c>
      <c r="AH3236" s="157">
        <f>(Z3236*AG3236)/1000</f>
        <v>0</v>
      </c>
      <c r="AI3236" s="152">
        <f t="shared" si="1501"/>
        <v>20000</v>
      </c>
      <c r="AK3236" s="156" t="s">
        <v>691</v>
      </c>
      <c r="AL3236" s="156" t="s">
        <v>689</v>
      </c>
      <c r="AM3236" s="198">
        <f t="shared" si="1511"/>
        <v>0</v>
      </c>
      <c r="AN3236" s="199">
        <f t="shared" si="1512"/>
        <v>46100</v>
      </c>
      <c r="AO3236" s="159" t="s">
        <v>692</v>
      </c>
      <c r="AP3236" s="783" t="s">
        <v>610</v>
      </c>
      <c r="AQ3236" s="783" t="s">
        <v>631</v>
      </c>
      <c r="AR3236" s="783" t="s">
        <v>523</v>
      </c>
      <c r="AS3236" s="781"/>
      <c r="AT3236" s="782">
        <v>12096524</v>
      </c>
      <c r="AU3236" s="781"/>
      <c r="AV3236" s="783" t="s">
        <v>2507</v>
      </c>
      <c r="AW3236" s="781"/>
      <c r="AX3236" s="782" t="s">
        <v>398</v>
      </c>
      <c r="AY3236" s="781"/>
      <c r="AZ3236" s="781"/>
      <c r="BA3236" s="781"/>
      <c r="BB3236" s="209">
        <v>23053184</v>
      </c>
    </row>
    <row r="3237" spans="1:54" ht="25" customHeight="1">
      <c r="A3237" s="142" t="s">
        <v>120</v>
      </c>
      <c r="B3237" s="271">
        <v>46100</v>
      </c>
      <c r="C3237" s="272">
        <v>46132</v>
      </c>
      <c r="D3237" s="185">
        <f t="shared" si="1508"/>
        <v>2026</v>
      </c>
      <c r="E3237" s="272" t="e">
        <f>VLOOKUP($B3237,Week!$A$1:$C$1462,2,0)</f>
        <v>#N/A</v>
      </c>
      <c r="F3237" s="273" t="str">
        <f t="shared" si="1509"/>
        <v>Mar</v>
      </c>
      <c r="G3237" s="274" t="s">
        <v>2880</v>
      </c>
      <c r="H3237" s="274" t="s">
        <v>500</v>
      </c>
      <c r="I3237" s="274" t="s">
        <v>2772</v>
      </c>
      <c r="J3237" s="275" t="s">
        <v>285</v>
      </c>
      <c r="K3237" s="276" t="s">
        <v>153</v>
      </c>
      <c r="L3237" s="390" t="s">
        <v>2166</v>
      </c>
      <c r="M3237" s="275" t="s">
        <v>86</v>
      </c>
      <c r="N3237" s="274" t="s">
        <v>547</v>
      </c>
      <c r="O3237" s="274" t="s">
        <v>548</v>
      </c>
      <c r="P3237" s="277">
        <v>10</v>
      </c>
      <c r="Q3237" s="277">
        <v>50</v>
      </c>
      <c r="R3237" s="278">
        <v>6.8100000000000001E-3</v>
      </c>
      <c r="S3237" s="274" t="s">
        <v>76</v>
      </c>
      <c r="T3237" s="274" t="s">
        <v>56</v>
      </c>
      <c r="U3237" s="274" t="s">
        <v>89</v>
      </c>
      <c r="V3237" s="279">
        <v>95</v>
      </c>
      <c r="W3237" s="279">
        <f>95</f>
        <v>95</v>
      </c>
      <c r="X3237" s="280"/>
      <c r="Y3237" s="281">
        <f t="shared" si="1494"/>
        <v>0</v>
      </c>
      <c r="Z3237" s="282">
        <f t="shared" si="1495"/>
        <v>0</v>
      </c>
      <c r="AA3237" s="282">
        <f t="shared" si="1510"/>
        <v>0</v>
      </c>
      <c r="AB3237" s="812">
        <v>6</v>
      </c>
      <c r="AC3237" s="279">
        <f t="shared" si="1496"/>
        <v>0</v>
      </c>
      <c r="AD3237" s="209"/>
      <c r="AE3237" s="210">
        <f t="shared" si="1497"/>
        <v>0</v>
      </c>
      <c r="AF3237" s="210">
        <f t="shared" si="1498"/>
        <v>0</v>
      </c>
      <c r="AG3237" s="211">
        <f t="shared" si="1513"/>
        <v>0.63</v>
      </c>
      <c r="AH3237" s="157">
        <f>(Z3237*AG3237)/1000</f>
        <v>0</v>
      </c>
      <c r="AI3237" s="152">
        <f t="shared" si="1501"/>
        <v>950</v>
      </c>
      <c r="AK3237" s="156" t="s">
        <v>691</v>
      </c>
      <c r="AL3237" s="156" t="s">
        <v>689</v>
      </c>
      <c r="AM3237" s="198">
        <f t="shared" si="1511"/>
        <v>0</v>
      </c>
      <c r="AN3237" s="199">
        <f t="shared" si="1512"/>
        <v>46100</v>
      </c>
      <c r="AO3237" s="159" t="s">
        <v>692</v>
      </c>
      <c r="AP3237" s="783" t="s">
        <v>620</v>
      </c>
      <c r="AQ3237" s="796" t="s">
        <v>422</v>
      </c>
      <c r="AR3237" s="782">
        <v>12055234</v>
      </c>
      <c r="AS3237" s="781"/>
      <c r="AT3237" s="782"/>
      <c r="AU3237" s="782"/>
      <c r="AV3237" s="782">
        <v>12062809</v>
      </c>
      <c r="AW3237" s="782"/>
      <c r="AX3237" s="782" t="s">
        <v>619</v>
      </c>
      <c r="AY3237" s="781"/>
      <c r="AZ3237" s="781"/>
      <c r="BA3237" s="781"/>
      <c r="BB3237" s="209">
        <v>23053184</v>
      </c>
    </row>
    <row r="3238" spans="1:54" ht="24.65" customHeight="1">
      <c r="B3238" s="411">
        <v>46100</v>
      </c>
      <c r="C3238" s="645" t="s">
        <v>2736</v>
      </c>
      <c r="D3238" s="185">
        <f t="shared" si="1508"/>
        <v>2026</v>
      </c>
      <c r="E3238" s="412" t="e">
        <f>VLOOKUP($B3238,Week!$A$1:$C$1462,2,0)</f>
        <v>#N/A</v>
      </c>
      <c r="F3238" s="413" t="str">
        <f t="shared" si="1509"/>
        <v>Mar</v>
      </c>
      <c r="G3238" s="414" t="s">
        <v>47</v>
      </c>
      <c r="H3238" s="414" t="s">
        <v>260</v>
      </c>
      <c r="I3238" s="414" t="s">
        <v>2702</v>
      </c>
      <c r="J3238" s="415" t="s">
        <v>261</v>
      </c>
      <c r="K3238" s="416" t="s">
        <v>94</v>
      </c>
      <c r="L3238" s="300" t="s">
        <v>2167</v>
      </c>
      <c r="M3238" s="415" t="s">
        <v>2339</v>
      </c>
      <c r="N3238" s="414" t="s">
        <v>263</v>
      </c>
      <c r="O3238" s="414" t="s">
        <v>195</v>
      </c>
      <c r="P3238" s="417">
        <v>24</v>
      </c>
      <c r="Q3238" s="417">
        <v>5</v>
      </c>
      <c r="R3238" s="418">
        <v>8.0000000000000002E-3</v>
      </c>
      <c r="S3238" s="414" t="s">
        <v>40</v>
      </c>
      <c r="T3238" s="414" t="s">
        <v>56</v>
      </c>
      <c r="U3238" s="414" t="s">
        <v>57</v>
      </c>
      <c r="V3238" s="419">
        <v>4819</v>
      </c>
      <c r="W3238" s="419">
        <f>4819</f>
        <v>4819</v>
      </c>
      <c r="X3238" s="420"/>
      <c r="Y3238" s="421">
        <f t="shared" si="1494"/>
        <v>0</v>
      </c>
      <c r="Z3238" s="422">
        <f t="shared" si="1495"/>
        <v>0</v>
      </c>
      <c r="AA3238" s="422">
        <f t="shared" si="1510"/>
        <v>0</v>
      </c>
      <c r="AB3238" s="825">
        <v>7.4999999999999997E-3</v>
      </c>
      <c r="AC3238" s="419">
        <f t="shared" si="1496"/>
        <v>0</v>
      </c>
      <c r="AD3238" s="209"/>
      <c r="AE3238" s="210">
        <f t="shared" si="1497"/>
        <v>0</v>
      </c>
      <c r="AF3238" s="210">
        <f t="shared" si="1498"/>
        <v>0</v>
      </c>
      <c r="AG3238" s="211">
        <f t="shared" si="1513"/>
        <v>0.14499999999999999</v>
      </c>
      <c r="AH3238" s="157">
        <f>(Z3238*AG3238)/1000</f>
        <v>0</v>
      </c>
      <c r="AI3238" s="152">
        <f t="shared" si="1501"/>
        <v>115656</v>
      </c>
      <c r="AK3238" s="156" t="s">
        <v>691</v>
      </c>
      <c r="AL3238" s="212" t="s">
        <v>690</v>
      </c>
      <c r="AM3238" s="198">
        <f t="shared" si="1511"/>
        <v>0</v>
      </c>
      <c r="AN3238" s="199">
        <f t="shared" si="1512"/>
        <v>46100</v>
      </c>
      <c r="AO3238" s="159" t="s">
        <v>692</v>
      </c>
      <c r="AP3238" s="783" t="s">
        <v>609</v>
      </c>
      <c r="AQ3238" s="782">
        <v>12071839</v>
      </c>
      <c r="AR3238" s="782">
        <v>12047514</v>
      </c>
      <c r="AS3238" s="782">
        <v>12047515</v>
      </c>
      <c r="AT3238" s="781"/>
      <c r="AU3238" s="781"/>
      <c r="AV3238" s="782">
        <v>12080613</v>
      </c>
      <c r="AW3238" s="781"/>
      <c r="AX3238" s="781"/>
      <c r="AY3238" s="782">
        <v>12094241</v>
      </c>
      <c r="AZ3238" s="782">
        <v>12094242</v>
      </c>
      <c r="BA3238" s="781"/>
      <c r="BB3238" s="209">
        <v>23053185</v>
      </c>
    </row>
    <row r="3239" spans="1:54" ht="25" customHeight="1">
      <c r="A3239" s="142" t="s">
        <v>120</v>
      </c>
      <c r="B3239" s="271">
        <v>46101</v>
      </c>
      <c r="C3239" s="272">
        <v>46132</v>
      </c>
      <c r="D3239" s="185">
        <f t="shared" si="1508"/>
        <v>2026</v>
      </c>
      <c r="E3239" s="272" t="e">
        <f>VLOOKUP($B3239,Week!$A$1:$C$1462,2,0)</f>
        <v>#N/A</v>
      </c>
      <c r="F3239" s="273" t="str">
        <f t="shared" si="1509"/>
        <v>Mar</v>
      </c>
      <c r="G3239" s="274" t="s">
        <v>2880</v>
      </c>
      <c r="H3239" s="274" t="s">
        <v>500</v>
      </c>
      <c r="I3239" s="274" t="s">
        <v>2772</v>
      </c>
      <c r="J3239" s="275" t="s">
        <v>285</v>
      </c>
      <c r="K3239" s="276" t="s">
        <v>153</v>
      </c>
      <c r="L3239" s="390" t="s">
        <v>2166</v>
      </c>
      <c r="M3239" s="275" t="s">
        <v>86</v>
      </c>
      <c r="N3239" s="274" t="s">
        <v>547</v>
      </c>
      <c r="O3239" s="274" t="s">
        <v>548</v>
      </c>
      <c r="P3239" s="277">
        <v>10</v>
      </c>
      <c r="Q3239" s="277">
        <v>50</v>
      </c>
      <c r="R3239" s="278">
        <v>6.8100000000000001E-3</v>
      </c>
      <c r="S3239" s="274" t="s">
        <v>76</v>
      </c>
      <c r="T3239" s="274" t="s">
        <v>56</v>
      </c>
      <c r="U3239" s="274" t="s">
        <v>89</v>
      </c>
      <c r="V3239" s="279">
        <v>729</v>
      </c>
      <c r="W3239" s="279">
        <v>729</v>
      </c>
      <c r="X3239" s="280"/>
      <c r="Y3239" s="281">
        <f t="shared" si="1494"/>
        <v>0</v>
      </c>
      <c r="Z3239" s="282">
        <f t="shared" si="1495"/>
        <v>0</v>
      </c>
      <c r="AA3239" s="282">
        <f t="shared" si="1510"/>
        <v>0</v>
      </c>
      <c r="AB3239" s="812">
        <v>6</v>
      </c>
      <c r="AC3239" s="279">
        <f t="shared" si="1496"/>
        <v>0</v>
      </c>
      <c r="AD3239" s="209"/>
      <c r="AE3239" s="210">
        <f t="shared" si="1497"/>
        <v>0</v>
      </c>
      <c r="AF3239" s="210">
        <f t="shared" si="1498"/>
        <v>0</v>
      </c>
      <c r="AG3239" s="211">
        <f t="shared" si="1513"/>
        <v>0.63</v>
      </c>
      <c r="AH3239" s="157">
        <f>(Z3239*AG3239)/1000</f>
        <v>0</v>
      </c>
      <c r="AI3239" s="152">
        <f t="shared" si="1501"/>
        <v>7290</v>
      </c>
      <c r="AK3239" s="156" t="s">
        <v>691</v>
      </c>
      <c r="AL3239" s="156" t="s">
        <v>689</v>
      </c>
      <c r="AM3239" s="198">
        <f t="shared" si="1511"/>
        <v>0</v>
      </c>
      <c r="AN3239" s="199">
        <f t="shared" si="1512"/>
        <v>46101</v>
      </c>
      <c r="AO3239" s="159" t="s">
        <v>692</v>
      </c>
      <c r="AP3239" s="783" t="s">
        <v>620</v>
      </c>
      <c r="AQ3239" s="796" t="s">
        <v>422</v>
      </c>
      <c r="AR3239" s="782">
        <v>12055234</v>
      </c>
      <c r="AS3239" s="781"/>
      <c r="AT3239" s="782"/>
      <c r="AU3239" s="782"/>
      <c r="AV3239" s="782">
        <v>12062809</v>
      </c>
      <c r="AW3239" s="782"/>
      <c r="AX3239" s="782" t="s">
        <v>619</v>
      </c>
      <c r="AY3239" s="781"/>
      <c r="AZ3239" s="781"/>
      <c r="BA3239" s="781"/>
      <c r="BB3239" s="209">
        <v>23053184</v>
      </c>
    </row>
    <row r="3240" spans="1:54" ht="25" customHeight="1">
      <c r="B3240" s="213">
        <v>46101</v>
      </c>
      <c r="C3240" s="214">
        <v>46106</v>
      </c>
      <c r="D3240" s="215">
        <f t="shared" si="1508"/>
        <v>2026</v>
      </c>
      <c r="E3240" s="214" t="e">
        <f>VLOOKUP($B3240,Week!$A$1:$C$1462,2,0)</f>
        <v>#N/A</v>
      </c>
      <c r="F3240" s="216" t="str">
        <f t="shared" si="1509"/>
        <v>Mar</v>
      </c>
      <c r="G3240" s="215" t="s">
        <v>2843</v>
      </c>
      <c r="H3240" s="215" t="s">
        <v>134</v>
      </c>
      <c r="I3240" s="215" t="s">
        <v>2772</v>
      </c>
      <c r="J3240" s="209" t="s">
        <v>2932</v>
      </c>
      <c r="K3240" s="217" t="s">
        <v>2534</v>
      </c>
      <c r="L3240" s="217" t="s">
        <v>2167</v>
      </c>
      <c r="M3240" s="209" t="s">
        <v>2235</v>
      </c>
      <c r="N3240" s="480" t="s">
        <v>2236</v>
      </c>
      <c r="O3240" s="215" t="s">
        <v>2233</v>
      </c>
      <c r="P3240" s="218">
        <v>24</v>
      </c>
      <c r="Q3240" s="218">
        <v>3</v>
      </c>
      <c r="R3240" s="219">
        <v>6.0000000000000001E-3</v>
      </c>
      <c r="S3240" s="215" t="s">
        <v>55</v>
      </c>
      <c r="T3240" s="215" t="s">
        <v>112</v>
      </c>
      <c r="U3240" s="852" t="s">
        <v>739</v>
      </c>
      <c r="V3240" s="220">
        <f>210</f>
        <v>210</v>
      </c>
      <c r="W3240" s="220">
        <f>7+203</f>
        <v>210</v>
      </c>
      <c r="X3240" s="221"/>
      <c r="Y3240" s="222">
        <f t="shared" si="1494"/>
        <v>0</v>
      </c>
      <c r="Z3240" s="223">
        <f t="shared" si="1495"/>
        <v>0</v>
      </c>
      <c r="AA3240" s="223">
        <f t="shared" si="1510"/>
        <v>0</v>
      </c>
      <c r="AB3240" s="807">
        <v>2.4E-2</v>
      </c>
      <c r="AC3240" s="220">
        <f t="shared" si="1496"/>
        <v>0</v>
      </c>
      <c r="AD3240" s="443"/>
      <c r="AE3240" s="210">
        <f t="shared" si="1497"/>
        <v>0</v>
      </c>
      <c r="AF3240" s="210">
        <f t="shared" si="1498"/>
        <v>0</v>
      </c>
      <c r="AG3240" s="211">
        <f t="shared" si="1513"/>
        <v>0.3</v>
      </c>
      <c r="AH3240" s="157">
        <v>0.26621999999999996</v>
      </c>
      <c r="AI3240" s="152">
        <f t="shared" si="1501"/>
        <v>5040</v>
      </c>
      <c r="AK3240" s="156" t="s">
        <v>691</v>
      </c>
      <c r="AL3240" s="574" t="s">
        <v>690</v>
      </c>
      <c r="AM3240" s="198">
        <f t="shared" si="1511"/>
        <v>0</v>
      </c>
      <c r="AN3240" s="199">
        <f t="shared" si="1512"/>
        <v>46101</v>
      </c>
      <c r="AO3240" s="159" t="s">
        <v>692</v>
      </c>
      <c r="AP3240" s="781" t="s">
        <v>642</v>
      </c>
      <c r="AQ3240" s="782">
        <v>12063755</v>
      </c>
      <c r="AR3240" s="782">
        <v>12061353</v>
      </c>
      <c r="AS3240" s="782">
        <v>12061354</v>
      </c>
      <c r="AT3240" s="782"/>
      <c r="AU3240" s="783" t="s">
        <v>568</v>
      </c>
      <c r="AV3240" s="782">
        <v>12095301</v>
      </c>
      <c r="AW3240" s="783" t="s">
        <v>568</v>
      </c>
      <c r="AX3240" s="781"/>
      <c r="AY3240" s="796" t="s">
        <v>2460</v>
      </c>
      <c r="AZ3240" s="796" t="s">
        <v>2461</v>
      </c>
      <c r="BA3240" s="796" t="s">
        <v>2462</v>
      </c>
      <c r="BB3240" s="209">
        <v>23099860</v>
      </c>
    </row>
    <row r="3241" spans="1:54" ht="25" customHeight="1">
      <c r="B3241" s="213">
        <v>46101</v>
      </c>
      <c r="C3241" s="214">
        <v>46106</v>
      </c>
      <c r="D3241" s="185">
        <f t="shared" si="1508"/>
        <v>2026</v>
      </c>
      <c r="E3241" s="215" t="e">
        <f>VLOOKUP($B3241,Week!$A$1:$C$1462,2,0)</f>
        <v>#N/A</v>
      </c>
      <c r="F3241" s="216" t="str">
        <f t="shared" si="1509"/>
        <v>Mar</v>
      </c>
      <c r="G3241" s="215" t="s">
        <v>2843</v>
      </c>
      <c r="H3241" s="215" t="s">
        <v>134</v>
      </c>
      <c r="I3241" s="215" t="s">
        <v>2772</v>
      </c>
      <c r="J3241" s="209" t="s">
        <v>2932</v>
      </c>
      <c r="K3241" s="217" t="s">
        <v>176</v>
      </c>
      <c r="L3241" s="300" t="s">
        <v>2167</v>
      </c>
      <c r="M3241" s="209" t="s">
        <v>193</v>
      </c>
      <c r="N3241" s="215" t="s">
        <v>194</v>
      </c>
      <c r="O3241" s="215" t="s">
        <v>195</v>
      </c>
      <c r="P3241" s="218">
        <v>24</v>
      </c>
      <c r="Q3241" s="218">
        <v>5</v>
      </c>
      <c r="R3241" s="219">
        <v>8.0000000000000002E-3</v>
      </c>
      <c r="S3241" s="215" t="s">
        <v>40</v>
      </c>
      <c r="T3241" s="215" t="s">
        <v>56</v>
      </c>
      <c r="U3241" s="215" t="s">
        <v>57</v>
      </c>
      <c r="V3241" s="220">
        <f>500</f>
        <v>500</v>
      </c>
      <c r="W3241" s="220">
        <f>2+498</f>
        <v>500</v>
      </c>
      <c r="X3241" s="221"/>
      <c r="Y3241" s="222">
        <f t="shared" si="1494"/>
        <v>0</v>
      </c>
      <c r="Z3241" s="223">
        <f t="shared" si="1495"/>
        <v>0</v>
      </c>
      <c r="AA3241" s="220">
        <f t="shared" si="1510"/>
        <v>0</v>
      </c>
      <c r="AB3241" s="807">
        <v>1</v>
      </c>
      <c r="AC3241" s="220">
        <f t="shared" si="1496"/>
        <v>0</v>
      </c>
      <c r="AD3241" s="573" t="s">
        <v>2909</v>
      </c>
      <c r="AE3241" s="210">
        <f t="shared" si="1497"/>
        <v>0</v>
      </c>
      <c r="AF3241" s="210">
        <f t="shared" si="1498"/>
        <v>0</v>
      </c>
      <c r="AG3241" s="211">
        <f t="shared" si="1513"/>
        <v>0.14499999999999999</v>
      </c>
      <c r="AH3241" s="157">
        <f t="shared" ref="AH3241:AH3247" si="1514">(Z3241*AG3241)/1000</f>
        <v>0</v>
      </c>
      <c r="AI3241" s="152">
        <f t="shared" si="1501"/>
        <v>12000</v>
      </c>
      <c r="AK3241" s="156" t="s">
        <v>691</v>
      </c>
      <c r="AL3241" s="212" t="s">
        <v>690</v>
      </c>
      <c r="AM3241" s="198">
        <f t="shared" si="1511"/>
        <v>0</v>
      </c>
      <c r="AN3241" s="199">
        <f t="shared" si="1512"/>
        <v>46101</v>
      </c>
      <c r="AO3241" s="159" t="s">
        <v>692</v>
      </c>
      <c r="AP3241" s="783" t="s">
        <v>610</v>
      </c>
      <c r="AQ3241" s="782">
        <v>12071839</v>
      </c>
      <c r="AR3241" s="782">
        <v>12047514</v>
      </c>
      <c r="AS3241" s="782">
        <v>12047515</v>
      </c>
      <c r="AT3241" s="782"/>
      <c r="AU3241" s="782">
        <v>12026902</v>
      </c>
      <c r="AV3241" s="796" t="s">
        <v>2980</v>
      </c>
      <c r="AW3241" s="782">
        <v>12026904</v>
      </c>
      <c r="AX3241" s="782"/>
      <c r="AY3241" s="782">
        <v>12094406</v>
      </c>
      <c r="AZ3241" s="782">
        <v>12094407</v>
      </c>
      <c r="BA3241" s="782">
        <v>12094408</v>
      </c>
    </row>
    <row r="3242" spans="1:54" ht="25" customHeight="1">
      <c r="B3242" s="213">
        <v>46101</v>
      </c>
      <c r="C3242" s="214">
        <v>46106</v>
      </c>
      <c r="D3242" s="185">
        <f t="shared" si="1508"/>
        <v>2026</v>
      </c>
      <c r="E3242" s="215" t="e">
        <f>VLOOKUP($B3242,Week!$A$1:$C$1462,2,0)</f>
        <v>#N/A</v>
      </c>
      <c r="F3242" s="216" t="str">
        <f t="shared" si="1509"/>
        <v>Mar</v>
      </c>
      <c r="G3242" s="215" t="s">
        <v>2843</v>
      </c>
      <c r="H3242" s="215" t="s">
        <v>134</v>
      </c>
      <c r="I3242" s="215" t="s">
        <v>2772</v>
      </c>
      <c r="J3242" s="209" t="s">
        <v>2932</v>
      </c>
      <c r="K3242" s="217" t="s">
        <v>1648</v>
      </c>
      <c r="L3242" s="300" t="s">
        <v>2167</v>
      </c>
      <c r="M3242" s="209" t="s">
        <v>193</v>
      </c>
      <c r="N3242" s="215" t="s">
        <v>205</v>
      </c>
      <c r="O3242" s="215" t="s">
        <v>206</v>
      </c>
      <c r="P3242" s="218">
        <v>24</v>
      </c>
      <c r="Q3242" s="218">
        <v>5</v>
      </c>
      <c r="R3242" s="219">
        <v>8.0000000000000002E-3</v>
      </c>
      <c r="S3242" s="215" t="s">
        <v>40</v>
      </c>
      <c r="T3242" s="215" t="s">
        <v>56</v>
      </c>
      <c r="U3242" s="480" t="s">
        <v>499</v>
      </c>
      <c r="V3242" s="220">
        <f>260</f>
        <v>260</v>
      </c>
      <c r="W3242" s="220">
        <f>2+258</f>
        <v>260</v>
      </c>
      <c r="X3242" s="221"/>
      <c r="Y3242" s="222">
        <f t="shared" si="1494"/>
        <v>0</v>
      </c>
      <c r="Z3242" s="223">
        <f t="shared" si="1495"/>
        <v>0</v>
      </c>
      <c r="AA3242" s="220">
        <f t="shared" si="1510"/>
        <v>0</v>
      </c>
      <c r="AB3242" s="807">
        <v>1</v>
      </c>
      <c r="AC3242" s="220">
        <f t="shared" si="1496"/>
        <v>0</v>
      </c>
      <c r="AD3242" s="573" t="s">
        <v>2934</v>
      </c>
      <c r="AE3242" s="210">
        <f t="shared" si="1497"/>
        <v>0</v>
      </c>
      <c r="AF3242" s="210">
        <f t="shared" si="1498"/>
        <v>0</v>
      </c>
      <c r="AG3242" s="211">
        <f t="shared" si="1513"/>
        <v>0.115</v>
      </c>
      <c r="AH3242" s="157">
        <f t="shared" si="1514"/>
        <v>0</v>
      </c>
      <c r="AI3242" s="152">
        <f t="shared" si="1501"/>
        <v>6240</v>
      </c>
      <c r="AK3242" s="156" t="s">
        <v>691</v>
      </c>
      <c r="AL3242" s="212" t="s">
        <v>690</v>
      </c>
      <c r="AM3242" s="198">
        <f t="shared" si="1511"/>
        <v>0</v>
      </c>
      <c r="AN3242" s="199">
        <f t="shared" si="1512"/>
        <v>46101</v>
      </c>
      <c r="AO3242" s="159" t="s">
        <v>692</v>
      </c>
      <c r="AP3242" s="783" t="s">
        <v>610</v>
      </c>
      <c r="AQ3242" s="782">
        <v>12071839</v>
      </c>
      <c r="AR3242" s="782">
        <v>12047514</v>
      </c>
      <c r="AS3242" s="782">
        <v>12047515</v>
      </c>
      <c r="AT3242" s="782"/>
      <c r="AU3242" s="782">
        <v>12026902</v>
      </c>
      <c r="AV3242" s="782">
        <v>12098136</v>
      </c>
      <c r="AW3242" s="782">
        <v>12026904</v>
      </c>
      <c r="AX3242" s="782"/>
      <c r="AY3242" s="782">
        <v>12094111</v>
      </c>
      <c r="AZ3242" s="782">
        <v>12094113</v>
      </c>
      <c r="BA3242" s="782">
        <v>12094114</v>
      </c>
    </row>
    <row r="3243" spans="1:54" ht="25" customHeight="1">
      <c r="B3243" s="213">
        <v>46101</v>
      </c>
      <c r="C3243" s="214">
        <v>46106</v>
      </c>
      <c r="D3243" s="185">
        <f t="shared" si="1508"/>
        <v>2026</v>
      </c>
      <c r="E3243" s="215" t="e">
        <f>VLOOKUP($B3243,Week!$A$1:$C$1462,2,0)</f>
        <v>#N/A</v>
      </c>
      <c r="F3243" s="216" t="str">
        <f t="shared" si="1509"/>
        <v>Mar</v>
      </c>
      <c r="G3243" s="215" t="s">
        <v>2843</v>
      </c>
      <c r="H3243" s="215" t="s">
        <v>134</v>
      </c>
      <c r="I3243" s="215" t="s">
        <v>2772</v>
      </c>
      <c r="J3243" s="209" t="s">
        <v>2932</v>
      </c>
      <c r="K3243" s="217" t="s">
        <v>1648</v>
      </c>
      <c r="L3243" s="300" t="s">
        <v>2167</v>
      </c>
      <c r="M3243" s="209" t="s">
        <v>193</v>
      </c>
      <c r="N3243" s="215" t="s">
        <v>205</v>
      </c>
      <c r="O3243" s="215" t="s">
        <v>206</v>
      </c>
      <c r="P3243" s="218">
        <v>24</v>
      </c>
      <c r="Q3243" s="218">
        <v>5</v>
      </c>
      <c r="R3243" s="219">
        <v>8.0000000000000002E-3</v>
      </c>
      <c r="S3243" s="215" t="s">
        <v>40</v>
      </c>
      <c r="T3243" s="215" t="s">
        <v>56</v>
      </c>
      <c r="U3243" s="480" t="s">
        <v>499</v>
      </c>
      <c r="V3243" s="220">
        <f>240</f>
        <v>240</v>
      </c>
      <c r="W3243" s="220">
        <f>240</f>
        <v>240</v>
      </c>
      <c r="X3243" s="221"/>
      <c r="Y3243" s="222">
        <f t="shared" si="1494"/>
        <v>0</v>
      </c>
      <c r="Z3243" s="223">
        <f t="shared" si="1495"/>
        <v>0</v>
      </c>
      <c r="AA3243" s="220">
        <f t="shared" si="1510"/>
        <v>0</v>
      </c>
      <c r="AB3243" s="807">
        <v>1</v>
      </c>
      <c r="AC3243" s="220">
        <f t="shared" si="1496"/>
        <v>0</v>
      </c>
      <c r="AD3243" s="573" t="s">
        <v>2909</v>
      </c>
      <c r="AE3243" s="210">
        <f t="shared" si="1497"/>
        <v>0</v>
      </c>
      <c r="AF3243" s="210">
        <f t="shared" si="1498"/>
        <v>0</v>
      </c>
      <c r="AG3243" s="211">
        <f t="shared" si="1513"/>
        <v>0.115</v>
      </c>
      <c r="AH3243" s="157">
        <f t="shared" si="1514"/>
        <v>0</v>
      </c>
      <c r="AI3243" s="152">
        <f t="shared" si="1501"/>
        <v>5760</v>
      </c>
      <c r="AK3243" s="156" t="s">
        <v>691</v>
      </c>
      <c r="AL3243" s="212" t="s">
        <v>690</v>
      </c>
      <c r="AM3243" s="198">
        <f t="shared" si="1511"/>
        <v>0</v>
      </c>
      <c r="AN3243" s="199">
        <f t="shared" si="1512"/>
        <v>46101</v>
      </c>
      <c r="AO3243" s="159" t="s">
        <v>692</v>
      </c>
      <c r="AP3243" s="783" t="s">
        <v>610</v>
      </c>
      <c r="AQ3243" s="782">
        <v>12071839</v>
      </c>
      <c r="AR3243" s="782">
        <v>12047514</v>
      </c>
      <c r="AS3243" s="782">
        <v>12047515</v>
      </c>
      <c r="AT3243" s="782"/>
      <c r="AU3243" s="782">
        <v>12026902</v>
      </c>
      <c r="AV3243" s="782">
        <v>12098136</v>
      </c>
      <c r="AW3243" s="782">
        <v>12026904</v>
      </c>
      <c r="AX3243" s="782"/>
      <c r="AY3243" s="782">
        <v>12094111</v>
      </c>
      <c r="AZ3243" s="782">
        <v>12094113</v>
      </c>
      <c r="BA3243" s="782">
        <v>12094114</v>
      </c>
    </row>
    <row r="3244" spans="1:54" ht="24.75" customHeight="1">
      <c r="B3244" s="295">
        <v>46101</v>
      </c>
      <c r="C3244" s="771" t="s">
        <v>2736</v>
      </c>
      <c r="D3244" s="185">
        <f t="shared" si="1508"/>
        <v>2026</v>
      </c>
      <c r="E3244" s="296" t="e">
        <f>VLOOKUP($B3244,Week!$A$1:$C$1462,2,0)</f>
        <v>#N/A</v>
      </c>
      <c r="F3244" s="297" t="str">
        <f t="shared" si="1509"/>
        <v>Mar</v>
      </c>
      <c r="G3244" s="648" t="s">
        <v>47</v>
      </c>
      <c r="H3244" s="298" t="s">
        <v>260</v>
      </c>
      <c r="I3244" s="298" t="s">
        <v>2702</v>
      </c>
      <c r="J3244" s="307" t="s">
        <v>2240</v>
      </c>
      <c r="K3244" s="300" t="s">
        <v>176</v>
      </c>
      <c r="L3244" s="300" t="s">
        <v>2167</v>
      </c>
      <c r="M3244" s="299" t="s">
        <v>2338</v>
      </c>
      <c r="N3244" s="298" t="s">
        <v>350</v>
      </c>
      <c r="O3244" s="298" t="s">
        <v>351</v>
      </c>
      <c r="P3244" s="301">
        <v>24</v>
      </c>
      <c r="Q3244" s="301">
        <v>5</v>
      </c>
      <c r="R3244" s="302">
        <v>6.1999999999999998E-3</v>
      </c>
      <c r="S3244" s="298" t="s">
        <v>352</v>
      </c>
      <c r="T3244" s="298" t="s">
        <v>56</v>
      </c>
      <c r="U3244" s="298" t="s">
        <v>57</v>
      </c>
      <c r="V3244" s="303">
        <v>3040</v>
      </c>
      <c r="W3244" s="303">
        <v>3040</v>
      </c>
      <c r="X3244" s="304"/>
      <c r="Y3244" s="305">
        <f t="shared" si="1494"/>
        <v>0</v>
      </c>
      <c r="Z3244" s="306">
        <f t="shared" si="1495"/>
        <v>0</v>
      </c>
      <c r="AA3244" s="306">
        <f t="shared" si="1510"/>
        <v>0</v>
      </c>
      <c r="AB3244" s="814">
        <v>7.4999999999999997E-3</v>
      </c>
      <c r="AC3244" s="303">
        <f t="shared" si="1496"/>
        <v>0</v>
      </c>
      <c r="AD3244" s="443"/>
      <c r="AE3244" s="210">
        <f t="shared" si="1497"/>
        <v>0</v>
      </c>
      <c r="AF3244" s="210">
        <f t="shared" si="1498"/>
        <v>0</v>
      </c>
      <c r="AG3244" s="211">
        <f t="shared" si="1513"/>
        <v>0.13</v>
      </c>
      <c r="AH3244" s="157">
        <f t="shared" si="1514"/>
        <v>0</v>
      </c>
      <c r="AI3244" s="152">
        <f t="shared" si="1501"/>
        <v>72960</v>
      </c>
      <c r="AK3244" s="156" t="s">
        <v>691</v>
      </c>
      <c r="AL3244" s="574" t="s">
        <v>690</v>
      </c>
      <c r="AM3244" s="198">
        <f t="shared" si="1511"/>
        <v>0</v>
      </c>
      <c r="AN3244" s="199">
        <f t="shared" si="1512"/>
        <v>46101</v>
      </c>
      <c r="AO3244" s="159" t="s">
        <v>692</v>
      </c>
      <c r="AP3244" s="783" t="s">
        <v>622</v>
      </c>
      <c r="AQ3244" s="782">
        <v>12071839</v>
      </c>
      <c r="AR3244" s="782">
        <v>12094356</v>
      </c>
      <c r="AS3244" s="782">
        <v>12068233</v>
      </c>
      <c r="AT3244" s="781"/>
      <c r="AU3244" s="781"/>
      <c r="AV3244" s="782">
        <v>12062075</v>
      </c>
      <c r="AW3244" s="781"/>
      <c r="AX3244" s="781"/>
      <c r="AY3244" s="782">
        <v>12094357</v>
      </c>
      <c r="AZ3244" s="782"/>
      <c r="BA3244" s="781"/>
      <c r="BB3244" s="209">
        <v>23053184</v>
      </c>
    </row>
    <row r="3245" spans="1:54" ht="25" customHeight="1">
      <c r="A3245" s="142" t="s">
        <v>120</v>
      </c>
      <c r="B3245" s="271">
        <v>46102</v>
      </c>
      <c r="C3245" s="272">
        <v>46132</v>
      </c>
      <c r="D3245" s="185">
        <f t="shared" si="1508"/>
        <v>2026</v>
      </c>
      <c r="E3245" s="272" t="e">
        <f>VLOOKUP($B3245,Week!$A$1:$C$1462,2,0)</f>
        <v>#N/A</v>
      </c>
      <c r="F3245" s="273" t="str">
        <f t="shared" si="1509"/>
        <v>Mar</v>
      </c>
      <c r="G3245" s="274" t="s">
        <v>2880</v>
      </c>
      <c r="H3245" s="274" t="s">
        <v>500</v>
      </c>
      <c r="I3245" s="274" t="s">
        <v>2772</v>
      </c>
      <c r="J3245" s="275" t="s">
        <v>285</v>
      </c>
      <c r="K3245" s="276" t="s">
        <v>153</v>
      </c>
      <c r="L3245" s="390" t="s">
        <v>2166</v>
      </c>
      <c r="M3245" s="275" t="s">
        <v>86</v>
      </c>
      <c r="N3245" s="274" t="s">
        <v>547</v>
      </c>
      <c r="O3245" s="274" t="s">
        <v>548</v>
      </c>
      <c r="P3245" s="277">
        <v>10</v>
      </c>
      <c r="Q3245" s="277">
        <v>50</v>
      </c>
      <c r="R3245" s="278">
        <v>6.8100000000000001E-3</v>
      </c>
      <c r="S3245" s="274" t="s">
        <v>76</v>
      </c>
      <c r="T3245" s="274" t="s">
        <v>56</v>
      </c>
      <c r="U3245" s="274" t="s">
        <v>89</v>
      </c>
      <c r="V3245" s="279">
        <v>742</v>
      </c>
      <c r="W3245" s="279">
        <f>742</f>
        <v>742</v>
      </c>
      <c r="X3245" s="280"/>
      <c r="Y3245" s="281">
        <f t="shared" si="1494"/>
        <v>0</v>
      </c>
      <c r="Z3245" s="282">
        <f t="shared" si="1495"/>
        <v>0</v>
      </c>
      <c r="AA3245" s="282">
        <f t="shared" si="1510"/>
        <v>0</v>
      </c>
      <c r="AB3245" s="812">
        <v>6</v>
      </c>
      <c r="AC3245" s="279">
        <f t="shared" si="1496"/>
        <v>0</v>
      </c>
      <c r="AD3245" s="209"/>
      <c r="AE3245" s="210">
        <f t="shared" si="1497"/>
        <v>0</v>
      </c>
      <c r="AF3245" s="210">
        <f t="shared" si="1498"/>
        <v>0</v>
      </c>
      <c r="AG3245" s="211">
        <f t="shared" si="1513"/>
        <v>0.63</v>
      </c>
      <c r="AH3245" s="157">
        <f t="shared" si="1514"/>
        <v>0</v>
      </c>
      <c r="AI3245" s="152">
        <f t="shared" si="1501"/>
        <v>7420</v>
      </c>
      <c r="AK3245" s="156" t="s">
        <v>691</v>
      </c>
      <c r="AL3245" s="156" t="s">
        <v>689</v>
      </c>
      <c r="AM3245" s="198">
        <f t="shared" si="1511"/>
        <v>0</v>
      </c>
      <c r="AN3245" s="199">
        <f t="shared" si="1512"/>
        <v>46102</v>
      </c>
      <c r="AO3245" s="159" t="s">
        <v>692</v>
      </c>
      <c r="AP3245" s="783" t="s">
        <v>620</v>
      </c>
      <c r="AQ3245" s="796" t="s">
        <v>422</v>
      </c>
      <c r="AR3245" s="782">
        <v>12055234</v>
      </c>
      <c r="AS3245" s="781"/>
      <c r="AT3245" s="782"/>
      <c r="AU3245" s="782"/>
      <c r="AV3245" s="782">
        <v>12062809</v>
      </c>
      <c r="AW3245" s="782"/>
      <c r="AX3245" s="782" t="s">
        <v>619</v>
      </c>
      <c r="AY3245" s="781"/>
      <c r="AZ3245" s="781"/>
      <c r="BA3245" s="781"/>
      <c r="BB3245" s="209">
        <v>23053184</v>
      </c>
    </row>
    <row r="3246" spans="1:54" ht="24.75" customHeight="1">
      <c r="B3246" s="295">
        <v>46102</v>
      </c>
      <c r="C3246" s="771" t="s">
        <v>2736</v>
      </c>
      <c r="D3246" s="185">
        <f t="shared" si="1508"/>
        <v>2026</v>
      </c>
      <c r="E3246" s="296" t="e">
        <f>VLOOKUP($B3246,Week!$A$1:$C$1462,2,0)</f>
        <v>#N/A</v>
      </c>
      <c r="F3246" s="297" t="str">
        <f t="shared" si="1509"/>
        <v>Mar</v>
      </c>
      <c r="G3246" s="648" t="s">
        <v>47</v>
      </c>
      <c r="H3246" s="298" t="s">
        <v>260</v>
      </c>
      <c r="I3246" s="298" t="s">
        <v>2702</v>
      </c>
      <c r="J3246" s="307" t="s">
        <v>2240</v>
      </c>
      <c r="K3246" s="300" t="s">
        <v>176</v>
      </c>
      <c r="L3246" s="300" t="s">
        <v>2167</v>
      </c>
      <c r="M3246" s="299" t="s">
        <v>2338</v>
      </c>
      <c r="N3246" s="298" t="s">
        <v>350</v>
      </c>
      <c r="O3246" s="298" t="s">
        <v>351</v>
      </c>
      <c r="P3246" s="301">
        <v>24</v>
      </c>
      <c r="Q3246" s="301">
        <v>5</v>
      </c>
      <c r="R3246" s="302">
        <v>6.1999999999999998E-3</v>
      </c>
      <c r="S3246" s="298" t="s">
        <v>352</v>
      </c>
      <c r="T3246" s="298" t="s">
        <v>56</v>
      </c>
      <c r="U3246" s="298" t="s">
        <v>57</v>
      </c>
      <c r="V3246" s="303">
        <v>2794</v>
      </c>
      <c r="W3246" s="303">
        <f>2794</f>
        <v>2794</v>
      </c>
      <c r="X3246" s="304"/>
      <c r="Y3246" s="305">
        <f t="shared" si="1494"/>
        <v>0</v>
      </c>
      <c r="Z3246" s="306">
        <f t="shared" si="1495"/>
        <v>0</v>
      </c>
      <c r="AA3246" s="306">
        <f t="shared" si="1510"/>
        <v>0</v>
      </c>
      <c r="AB3246" s="814">
        <v>7.4999999999999997E-3</v>
      </c>
      <c r="AC3246" s="303">
        <f t="shared" si="1496"/>
        <v>0</v>
      </c>
      <c r="AD3246" s="443"/>
      <c r="AE3246" s="210">
        <f t="shared" si="1497"/>
        <v>0</v>
      </c>
      <c r="AF3246" s="210">
        <f t="shared" si="1498"/>
        <v>0</v>
      </c>
      <c r="AG3246" s="211">
        <f t="shared" si="1513"/>
        <v>0.13</v>
      </c>
      <c r="AH3246" s="157">
        <f t="shared" si="1514"/>
        <v>0</v>
      </c>
      <c r="AI3246" s="152">
        <f t="shared" si="1501"/>
        <v>67056</v>
      </c>
      <c r="AK3246" s="156" t="s">
        <v>691</v>
      </c>
      <c r="AL3246" s="574" t="s">
        <v>690</v>
      </c>
      <c r="AM3246" s="198">
        <f t="shared" si="1511"/>
        <v>0</v>
      </c>
      <c r="AN3246" s="199">
        <f t="shared" si="1512"/>
        <v>46102</v>
      </c>
      <c r="AO3246" s="159" t="s">
        <v>692</v>
      </c>
      <c r="AP3246" s="783" t="s">
        <v>622</v>
      </c>
      <c r="AQ3246" s="782">
        <v>12071839</v>
      </c>
      <c r="AR3246" s="782">
        <v>12094356</v>
      </c>
      <c r="AS3246" s="782">
        <v>12068233</v>
      </c>
      <c r="AT3246" s="781"/>
      <c r="AU3246" s="781"/>
      <c r="AV3246" s="782">
        <v>12062075</v>
      </c>
      <c r="AW3246" s="781"/>
      <c r="AX3246" s="781"/>
      <c r="AY3246" s="782">
        <v>12094357</v>
      </c>
      <c r="AZ3246" s="782"/>
      <c r="BA3246" s="781"/>
      <c r="BB3246" s="209">
        <v>23053184</v>
      </c>
    </row>
    <row r="3247" spans="1:54" ht="24.65" customHeight="1">
      <c r="B3247" s="308">
        <v>46102</v>
      </c>
      <c r="C3247" s="309">
        <v>46114</v>
      </c>
      <c r="D3247" s="185">
        <f t="shared" si="1508"/>
        <v>2026</v>
      </c>
      <c r="E3247" s="309" t="e">
        <f>VLOOKUP($B3247,Week!$A$1:$C$1462,2,0)</f>
        <v>#N/A</v>
      </c>
      <c r="F3247" s="310" t="str">
        <f t="shared" si="1509"/>
        <v>Mar</v>
      </c>
      <c r="G3247" s="311" t="s">
        <v>2791</v>
      </c>
      <c r="H3247" s="311" t="s">
        <v>311</v>
      </c>
      <c r="I3247" s="311" t="s">
        <v>2772</v>
      </c>
      <c r="J3247" s="312" t="s">
        <v>738</v>
      </c>
      <c r="K3247" s="313" t="s">
        <v>107</v>
      </c>
      <c r="L3247" s="300" t="s">
        <v>2167</v>
      </c>
      <c r="M3247" s="312" t="s">
        <v>313</v>
      </c>
      <c r="N3247" s="311" t="s">
        <v>314</v>
      </c>
      <c r="O3247" s="311" t="s">
        <v>110</v>
      </c>
      <c r="P3247" s="314">
        <v>36</v>
      </c>
      <c r="Q3247" s="314">
        <v>5</v>
      </c>
      <c r="R3247" s="315">
        <v>7.4999999999999997E-3</v>
      </c>
      <c r="S3247" s="311" t="s">
        <v>111</v>
      </c>
      <c r="T3247" s="311" t="s">
        <v>112</v>
      </c>
      <c r="U3247" s="311" t="s">
        <v>57</v>
      </c>
      <c r="V3247" s="316">
        <v>792</v>
      </c>
      <c r="W3247" s="316">
        <f>80+38+674</f>
        <v>792</v>
      </c>
      <c r="X3247" s="317"/>
      <c r="Y3247" s="318">
        <f t="shared" si="1494"/>
        <v>0</v>
      </c>
      <c r="Z3247" s="319">
        <f t="shared" si="1495"/>
        <v>0</v>
      </c>
      <c r="AA3247" s="319">
        <f t="shared" si="1510"/>
        <v>0</v>
      </c>
      <c r="AB3247" s="815">
        <v>7.4999999999999997E-3</v>
      </c>
      <c r="AC3247" s="316">
        <f t="shared" si="1496"/>
        <v>0</v>
      </c>
      <c r="AD3247" s="443"/>
      <c r="AE3247" s="210">
        <f t="shared" si="1497"/>
        <v>0</v>
      </c>
      <c r="AF3247" s="210">
        <f t="shared" si="1498"/>
        <v>0</v>
      </c>
      <c r="AG3247" s="211">
        <f t="shared" si="1513"/>
        <v>0.308</v>
      </c>
      <c r="AH3247" s="157">
        <f t="shared" si="1514"/>
        <v>0</v>
      </c>
      <c r="AI3247" s="152">
        <f t="shared" si="1501"/>
        <v>28512</v>
      </c>
      <c r="AK3247" s="156" t="s">
        <v>691</v>
      </c>
      <c r="AL3247" s="212" t="s">
        <v>690</v>
      </c>
      <c r="AM3247" s="198">
        <f t="shared" si="1511"/>
        <v>0</v>
      </c>
      <c r="AN3247" s="199">
        <f t="shared" si="1512"/>
        <v>46102</v>
      </c>
      <c r="AO3247" s="159" t="s">
        <v>692</v>
      </c>
      <c r="AP3247" s="783" t="s">
        <v>644</v>
      </c>
      <c r="AQ3247" s="782">
        <v>12063755</v>
      </c>
      <c r="AR3247" s="782">
        <v>12061353</v>
      </c>
      <c r="AS3247" s="782">
        <v>12061354</v>
      </c>
      <c r="AT3247" s="782">
        <v>12062266</v>
      </c>
      <c r="AU3247" s="781"/>
      <c r="AV3247" s="782">
        <v>12088159</v>
      </c>
      <c r="AW3247" s="782">
        <v>12088207</v>
      </c>
      <c r="AX3247" s="782"/>
      <c r="AY3247" s="782">
        <v>12094237</v>
      </c>
      <c r="AZ3247" s="782"/>
      <c r="BA3247" s="781"/>
      <c r="BB3247" s="209">
        <v>23053185</v>
      </c>
    </row>
    <row r="3248" spans="1:54" ht="25" customHeight="1">
      <c r="B3248" s="332">
        <v>46102</v>
      </c>
      <c r="C3248" s="333">
        <v>46107</v>
      </c>
      <c r="D3248" s="185">
        <f t="shared" si="1508"/>
        <v>2026</v>
      </c>
      <c r="E3248" s="333" t="e">
        <f>VLOOKUP($B3248,Week!$A$1:$C$1462,2,0)</f>
        <v>#N/A</v>
      </c>
      <c r="F3248" s="334" t="str">
        <f t="shared" si="1509"/>
        <v>Mar</v>
      </c>
      <c r="G3248" s="335" t="s">
        <v>2889</v>
      </c>
      <c r="H3248" s="335" t="s">
        <v>675</v>
      </c>
      <c r="I3248" s="335" t="s">
        <v>2772</v>
      </c>
      <c r="J3248" s="336" t="s">
        <v>2906</v>
      </c>
      <c r="K3248" s="337" t="s">
        <v>1652</v>
      </c>
      <c r="L3248" s="300" t="s">
        <v>2167</v>
      </c>
      <c r="M3248" s="336" t="s">
        <v>682</v>
      </c>
      <c r="N3248" s="530" t="s">
        <v>712</v>
      </c>
      <c r="O3248" s="335" t="s">
        <v>602</v>
      </c>
      <c r="P3248" s="338">
        <v>8</v>
      </c>
      <c r="Q3248" s="338">
        <v>3</v>
      </c>
      <c r="R3248" s="339">
        <v>6.0000000000000001E-3</v>
      </c>
      <c r="S3248" s="335" t="s">
        <v>55</v>
      </c>
      <c r="T3248" s="335" t="s">
        <v>112</v>
      </c>
      <c r="U3248" s="340" t="s">
        <v>724</v>
      </c>
      <c r="V3248" s="341">
        <f>724</f>
        <v>724</v>
      </c>
      <c r="W3248" s="341"/>
      <c r="X3248" s="342">
        <f>(347+5600)/8</f>
        <v>743.375</v>
      </c>
      <c r="Y3248" s="343">
        <f t="shared" si="1494"/>
        <v>19.375</v>
      </c>
      <c r="Z3248" s="344">
        <f t="shared" si="1495"/>
        <v>0</v>
      </c>
      <c r="AA3248" s="344">
        <f t="shared" si="1510"/>
        <v>0</v>
      </c>
      <c r="AB3248" s="817">
        <v>5.8823E-2</v>
      </c>
      <c r="AC3248" s="341">
        <f t="shared" si="1496"/>
        <v>0</v>
      </c>
      <c r="AD3248" s="515"/>
      <c r="AE3248" s="210">
        <f t="shared" si="1497"/>
        <v>0</v>
      </c>
      <c r="AF3248" s="210">
        <f t="shared" si="1498"/>
        <v>0</v>
      </c>
      <c r="AG3248" s="211">
        <f t="shared" si="1513"/>
        <v>0.30199999999999999</v>
      </c>
      <c r="AH3248" s="157">
        <v>0.26621999999999996</v>
      </c>
      <c r="AI3248" s="152">
        <f t="shared" si="1501"/>
        <v>5792</v>
      </c>
      <c r="AK3248" s="156" t="s">
        <v>691</v>
      </c>
      <c r="AL3248" s="574" t="s">
        <v>690</v>
      </c>
      <c r="AM3248" s="198">
        <f t="shared" si="1511"/>
        <v>0</v>
      </c>
      <c r="AN3248" s="199">
        <f t="shared" si="1512"/>
        <v>46102</v>
      </c>
      <c r="AO3248" s="159" t="s">
        <v>692</v>
      </c>
      <c r="AP3248" s="781" t="s">
        <v>642</v>
      </c>
      <c r="AQ3248" s="782">
        <v>12063755</v>
      </c>
      <c r="AR3248" s="782">
        <v>12061353</v>
      </c>
      <c r="AS3248" s="782">
        <v>12061354</v>
      </c>
      <c r="AT3248" s="782">
        <v>12090030</v>
      </c>
      <c r="AU3248" s="781"/>
      <c r="AV3248" s="782">
        <v>12089992</v>
      </c>
      <c r="AW3248" s="781"/>
      <c r="AX3248" s="781"/>
      <c r="AY3248" s="781"/>
      <c r="AZ3248" s="782"/>
      <c r="BA3248" s="781"/>
      <c r="BB3248" s="209">
        <v>23099860</v>
      </c>
    </row>
    <row r="3249" spans="1:54" ht="25" customHeight="1">
      <c r="B3249" s="183">
        <v>46103</v>
      </c>
      <c r="C3249" s="184"/>
      <c r="D3249" s="185">
        <f t="shared" si="1508"/>
        <v>2026</v>
      </c>
      <c r="E3249" s="185" t="e">
        <f>VLOOKUP($B3249,Week!$A$1:$C$1462,2,0)</f>
        <v>#N/A</v>
      </c>
      <c r="F3249" s="186" t="str">
        <f t="shared" si="1509"/>
        <v>Mar</v>
      </c>
      <c r="G3249" s="481"/>
      <c r="H3249" s="185"/>
      <c r="I3249" s="185"/>
      <c r="J3249" s="187"/>
      <c r="K3249" s="188"/>
      <c r="L3249" s="188"/>
      <c r="M3249" s="187"/>
      <c r="N3249" s="185"/>
      <c r="O3249" s="185"/>
      <c r="P3249" s="189"/>
      <c r="Q3249" s="189"/>
      <c r="R3249" s="190"/>
      <c r="S3249" s="185"/>
      <c r="T3249" s="185"/>
      <c r="U3249" s="185"/>
      <c r="V3249" s="191"/>
      <c r="W3249" s="191"/>
      <c r="X3249" s="192"/>
      <c r="Y3249" s="193"/>
      <c r="Z3249" s="194"/>
      <c r="AA3249" s="194">
        <f t="shared" si="1510"/>
        <v>0</v>
      </c>
      <c r="AB3249" s="805"/>
      <c r="AC3249" s="191"/>
      <c r="AD3249" s="187"/>
      <c r="AE3249" s="195"/>
      <c r="AF3249" s="195"/>
      <c r="AG3249" s="196"/>
      <c r="AH3249" s="197"/>
      <c r="AK3249" s="156" t="s">
        <v>691</v>
      </c>
      <c r="AM3249" s="198">
        <f t="shared" si="1511"/>
        <v>0</v>
      </c>
      <c r="AN3249" s="199">
        <f t="shared" si="1512"/>
        <v>46103</v>
      </c>
      <c r="AO3249" s="159" t="s">
        <v>692</v>
      </c>
      <c r="AP3249" s="781"/>
      <c r="AQ3249" s="782"/>
      <c r="AR3249" s="782"/>
      <c r="AS3249" s="782"/>
      <c r="AT3249" s="782"/>
      <c r="AU3249" s="781"/>
      <c r="AV3249" s="782"/>
      <c r="AW3249" s="782"/>
      <c r="AX3249" s="782"/>
      <c r="AY3249" s="782"/>
      <c r="AZ3249" s="782"/>
      <c r="BA3249" s="781"/>
      <c r="BB3249" s="209"/>
    </row>
    <row r="3250" spans="1:54" ht="25" customHeight="1">
      <c r="A3250" s="142" t="s">
        <v>120</v>
      </c>
      <c r="B3250" s="308">
        <v>46104</v>
      </c>
      <c r="C3250" s="309">
        <v>46120</v>
      </c>
      <c r="D3250" s="185">
        <f t="shared" si="1508"/>
        <v>2026</v>
      </c>
      <c r="E3250" s="309" t="e">
        <f>VLOOKUP($B3250,Week!$A$1:$C$1462,2,0)</f>
        <v>#N/A</v>
      </c>
      <c r="F3250" s="310" t="str">
        <f t="shared" si="1509"/>
        <v>Mar</v>
      </c>
      <c r="G3250" s="579" t="s">
        <v>2882</v>
      </c>
      <c r="H3250" s="311" t="s">
        <v>104</v>
      </c>
      <c r="I3250" s="311" t="s">
        <v>2772</v>
      </c>
      <c r="J3250" s="312" t="s">
        <v>105</v>
      </c>
      <c r="K3250" s="313" t="s">
        <v>85</v>
      </c>
      <c r="L3250" s="390" t="s">
        <v>2166</v>
      </c>
      <c r="M3250" s="312" t="s">
        <v>86</v>
      </c>
      <c r="N3250" s="311" t="s">
        <v>421</v>
      </c>
      <c r="O3250" s="311" t="s">
        <v>506</v>
      </c>
      <c r="P3250" s="314">
        <v>10</v>
      </c>
      <c r="Q3250" s="314">
        <v>50</v>
      </c>
      <c r="R3250" s="315">
        <v>6.8100000000000001E-3</v>
      </c>
      <c r="S3250" s="311" t="s">
        <v>76</v>
      </c>
      <c r="T3250" s="311" t="s">
        <v>112</v>
      </c>
      <c r="U3250" s="311" t="s">
        <v>89</v>
      </c>
      <c r="V3250" s="316">
        <f>100</f>
        <v>100</v>
      </c>
      <c r="W3250" s="316">
        <f>100</f>
        <v>100</v>
      </c>
      <c r="X3250" s="317"/>
      <c r="Y3250" s="318">
        <f t="shared" ref="Y3250:Y3278" si="1515">(W3250+X3250)-V3250</f>
        <v>0</v>
      </c>
      <c r="Z3250" s="319">
        <f t="shared" ref="Z3250:Z3278" si="1516">IF(Y3250&lt;0,((V3250*P3250)-((W3250+X3250)*P3250)),0)</f>
        <v>0</v>
      </c>
      <c r="AA3250" s="319">
        <f t="shared" si="1510"/>
        <v>0</v>
      </c>
      <c r="AB3250" s="815">
        <v>6</v>
      </c>
      <c r="AC3250" s="316">
        <f t="shared" ref="AC3250:AC3278" si="1517">Z3250*AB3250</f>
        <v>0</v>
      </c>
      <c r="AD3250" s="381"/>
      <c r="AE3250" s="210">
        <f t="shared" ref="AE3250:AE3278" si="1518">SUM(Q3250*R3250*Z3250)/1000</f>
        <v>0</v>
      </c>
      <c r="AF3250" s="210">
        <f t="shared" ref="AF3250:AF3278" si="1519">AE3250/0.54</f>
        <v>0</v>
      </c>
      <c r="AG3250" s="211">
        <f t="shared" ref="AG3250:AG3257" si="1520">MID(O3250,1,3)/1000</f>
        <v>0.57999999999999996</v>
      </c>
      <c r="AH3250" s="157">
        <f t="shared" ref="AH3250:AH3259" si="1521">(Z3250*AG3250)/1000</f>
        <v>0</v>
      </c>
      <c r="AI3250" s="152">
        <f t="shared" ref="AI3250:AI3278" si="1522">V3250*P3250</f>
        <v>1000</v>
      </c>
      <c r="AJ3250" s="156">
        <f>AI3250*Q3250</f>
        <v>50000</v>
      </c>
      <c r="AK3250" s="156" t="s">
        <v>691</v>
      </c>
      <c r="AL3250" s="156" t="s">
        <v>689</v>
      </c>
      <c r="AM3250" s="198">
        <f t="shared" si="1511"/>
        <v>0</v>
      </c>
      <c r="AN3250" s="199">
        <f t="shared" si="1512"/>
        <v>46104</v>
      </c>
      <c r="AO3250" s="159" t="s">
        <v>692</v>
      </c>
      <c r="AP3250" s="781" t="s">
        <v>423</v>
      </c>
      <c r="AQ3250" s="781" t="s">
        <v>422</v>
      </c>
      <c r="AR3250" s="782">
        <v>12055234</v>
      </c>
      <c r="AS3250" s="781"/>
      <c r="AT3250" s="782">
        <v>12069432</v>
      </c>
      <c r="AU3250" s="781"/>
      <c r="AV3250" s="782">
        <v>12069433</v>
      </c>
      <c r="AW3250" s="781"/>
      <c r="AX3250" s="781" t="s">
        <v>93</v>
      </c>
      <c r="AY3250" s="781"/>
      <c r="AZ3250" s="782"/>
      <c r="BA3250" s="781"/>
      <c r="BB3250" s="209">
        <v>23053184</v>
      </c>
    </row>
    <row r="3251" spans="1:54" ht="25" customHeight="1">
      <c r="A3251" s="142" t="s">
        <v>120</v>
      </c>
      <c r="B3251" s="308">
        <v>46104</v>
      </c>
      <c r="C3251" s="309">
        <v>46120</v>
      </c>
      <c r="D3251" s="185">
        <f t="shared" si="1508"/>
        <v>2026</v>
      </c>
      <c r="E3251" s="309" t="e">
        <f>VLOOKUP($B3251,Week!$A$1:$C$1462,2,0)</f>
        <v>#N/A</v>
      </c>
      <c r="F3251" s="310" t="str">
        <f t="shared" si="1509"/>
        <v>Mar</v>
      </c>
      <c r="G3251" s="579" t="s">
        <v>2883</v>
      </c>
      <c r="H3251" s="311" t="s">
        <v>104</v>
      </c>
      <c r="I3251" s="311" t="s">
        <v>2772</v>
      </c>
      <c r="J3251" s="312" t="s">
        <v>105</v>
      </c>
      <c r="K3251" s="313" t="s">
        <v>85</v>
      </c>
      <c r="L3251" s="390" t="s">
        <v>2166</v>
      </c>
      <c r="M3251" s="312" t="s">
        <v>86</v>
      </c>
      <c r="N3251" s="311" t="s">
        <v>421</v>
      </c>
      <c r="O3251" s="311" t="s">
        <v>506</v>
      </c>
      <c r="P3251" s="314">
        <v>10</v>
      </c>
      <c r="Q3251" s="314">
        <v>50</v>
      </c>
      <c r="R3251" s="315">
        <v>6.8100000000000001E-3</v>
      </c>
      <c r="S3251" s="311" t="s">
        <v>76</v>
      </c>
      <c r="T3251" s="311" t="s">
        <v>112</v>
      </c>
      <c r="U3251" s="311" t="s">
        <v>89</v>
      </c>
      <c r="V3251" s="316">
        <f>100</f>
        <v>100</v>
      </c>
      <c r="W3251" s="316">
        <f>100</f>
        <v>100</v>
      </c>
      <c r="X3251" s="317"/>
      <c r="Y3251" s="318">
        <f t="shared" si="1515"/>
        <v>0</v>
      </c>
      <c r="Z3251" s="319">
        <f t="shared" si="1516"/>
        <v>0</v>
      </c>
      <c r="AA3251" s="319">
        <f t="shared" si="1510"/>
        <v>0</v>
      </c>
      <c r="AB3251" s="815">
        <v>6</v>
      </c>
      <c r="AC3251" s="316">
        <f t="shared" si="1517"/>
        <v>0</v>
      </c>
      <c r="AD3251" s="381"/>
      <c r="AE3251" s="210">
        <f t="shared" si="1518"/>
        <v>0</v>
      </c>
      <c r="AF3251" s="210">
        <f t="shared" si="1519"/>
        <v>0</v>
      </c>
      <c r="AG3251" s="211">
        <f t="shared" si="1520"/>
        <v>0.57999999999999996</v>
      </c>
      <c r="AH3251" s="157">
        <f t="shared" si="1521"/>
        <v>0</v>
      </c>
      <c r="AI3251" s="152">
        <f t="shared" si="1522"/>
        <v>1000</v>
      </c>
      <c r="AJ3251" s="156">
        <f>AI3251*Q3251</f>
        <v>50000</v>
      </c>
      <c r="AK3251" s="156" t="s">
        <v>691</v>
      </c>
      <c r="AL3251" s="156" t="s">
        <v>689</v>
      </c>
      <c r="AM3251" s="198">
        <f t="shared" si="1511"/>
        <v>0</v>
      </c>
      <c r="AN3251" s="199">
        <f t="shared" si="1512"/>
        <v>46104</v>
      </c>
      <c r="AO3251" s="159" t="s">
        <v>692</v>
      </c>
      <c r="AP3251" s="781" t="s">
        <v>423</v>
      </c>
      <c r="AQ3251" s="781" t="s">
        <v>422</v>
      </c>
      <c r="AR3251" s="782">
        <v>12055234</v>
      </c>
      <c r="AS3251" s="781"/>
      <c r="AT3251" s="782">
        <v>12069432</v>
      </c>
      <c r="AU3251" s="781"/>
      <c r="AV3251" s="782">
        <v>12069433</v>
      </c>
      <c r="AW3251" s="781"/>
      <c r="AX3251" s="781" t="s">
        <v>93</v>
      </c>
      <c r="AY3251" s="781"/>
      <c r="AZ3251" s="782"/>
      <c r="BA3251" s="781"/>
      <c r="BB3251" s="209">
        <v>23053184</v>
      </c>
    </row>
    <row r="3252" spans="1:54" ht="25" customHeight="1">
      <c r="A3252" s="142" t="s">
        <v>120</v>
      </c>
      <c r="B3252" s="271">
        <v>46104</v>
      </c>
      <c r="C3252" s="272">
        <v>46132</v>
      </c>
      <c r="D3252" s="185">
        <f t="shared" si="1508"/>
        <v>2026</v>
      </c>
      <c r="E3252" s="272" t="e">
        <f>VLOOKUP($B3252,Week!$A$1:$C$1462,2,0)</f>
        <v>#N/A</v>
      </c>
      <c r="F3252" s="273" t="str">
        <f t="shared" si="1509"/>
        <v>Mar</v>
      </c>
      <c r="G3252" s="274" t="s">
        <v>2880</v>
      </c>
      <c r="H3252" s="274" t="s">
        <v>500</v>
      </c>
      <c r="I3252" s="274" t="s">
        <v>2772</v>
      </c>
      <c r="J3252" s="275" t="s">
        <v>285</v>
      </c>
      <c r="K3252" s="276" t="s">
        <v>153</v>
      </c>
      <c r="L3252" s="390" t="s">
        <v>2166</v>
      </c>
      <c r="M3252" s="275" t="s">
        <v>86</v>
      </c>
      <c r="N3252" s="274" t="s">
        <v>547</v>
      </c>
      <c r="O3252" s="274" t="s">
        <v>548</v>
      </c>
      <c r="P3252" s="277">
        <v>10</v>
      </c>
      <c r="Q3252" s="277">
        <v>50</v>
      </c>
      <c r="R3252" s="278">
        <v>6.8100000000000001E-3</v>
      </c>
      <c r="S3252" s="274" t="s">
        <v>76</v>
      </c>
      <c r="T3252" s="274" t="s">
        <v>56</v>
      </c>
      <c r="U3252" s="274" t="s">
        <v>89</v>
      </c>
      <c r="V3252" s="279">
        <f>2056-40-95-729-742</f>
        <v>450</v>
      </c>
      <c r="W3252" s="279">
        <v>450</v>
      </c>
      <c r="X3252" s="280"/>
      <c r="Y3252" s="281">
        <f t="shared" si="1515"/>
        <v>0</v>
      </c>
      <c r="Z3252" s="282">
        <f t="shared" si="1516"/>
        <v>0</v>
      </c>
      <c r="AA3252" s="282">
        <f t="shared" si="1510"/>
        <v>0</v>
      </c>
      <c r="AB3252" s="812">
        <v>6</v>
      </c>
      <c r="AC3252" s="279">
        <f t="shared" si="1517"/>
        <v>0</v>
      </c>
      <c r="AD3252" s="209"/>
      <c r="AE3252" s="210">
        <f t="shared" si="1518"/>
        <v>0</v>
      </c>
      <c r="AF3252" s="210">
        <f t="shared" si="1519"/>
        <v>0</v>
      </c>
      <c r="AG3252" s="211">
        <f t="shared" si="1520"/>
        <v>0.63</v>
      </c>
      <c r="AH3252" s="157">
        <f t="shared" si="1521"/>
        <v>0</v>
      </c>
      <c r="AI3252" s="152">
        <f t="shared" si="1522"/>
        <v>4500</v>
      </c>
      <c r="AK3252" s="156" t="s">
        <v>691</v>
      </c>
      <c r="AL3252" s="156" t="s">
        <v>689</v>
      </c>
      <c r="AM3252" s="198">
        <f t="shared" si="1511"/>
        <v>0</v>
      </c>
      <c r="AN3252" s="199">
        <f t="shared" si="1512"/>
        <v>46104</v>
      </c>
      <c r="AO3252" s="159" t="s">
        <v>692</v>
      </c>
      <c r="AP3252" s="783" t="s">
        <v>620</v>
      </c>
      <c r="AQ3252" s="796" t="s">
        <v>422</v>
      </c>
      <c r="AR3252" s="782">
        <v>12055234</v>
      </c>
      <c r="AS3252" s="781"/>
      <c r="AT3252" s="782"/>
      <c r="AU3252" s="782"/>
      <c r="AV3252" s="782">
        <v>12062809</v>
      </c>
      <c r="AW3252" s="782"/>
      <c r="AX3252" s="782" t="s">
        <v>619</v>
      </c>
      <c r="AY3252" s="781"/>
      <c r="AZ3252" s="781"/>
      <c r="BA3252" s="781"/>
      <c r="BB3252" s="209">
        <v>23053184</v>
      </c>
    </row>
    <row r="3253" spans="1:54" ht="24.75" customHeight="1">
      <c r="B3253" s="295">
        <v>46104</v>
      </c>
      <c r="C3253" s="771" t="s">
        <v>2736</v>
      </c>
      <c r="D3253" s="185">
        <f t="shared" si="1508"/>
        <v>2026</v>
      </c>
      <c r="E3253" s="296" t="e">
        <f>VLOOKUP($B3253,Week!$A$1:$C$1462,2,0)</f>
        <v>#N/A</v>
      </c>
      <c r="F3253" s="297" t="str">
        <f t="shared" si="1509"/>
        <v>Mar</v>
      </c>
      <c r="G3253" s="648" t="s">
        <v>47</v>
      </c>
      <c r="H3253" s="298" t="s">
        <v>260</v>
      </c>
      <c r="I3253" s="298" t="s">
        <v>2702</v>
      </c>
      <c r="J3253" s="307" t="s">
        <v>2240</v>
      </c>
      <c r="K3253" s="300" t="s">
        <v>176</v>
      </c>
      <c r="L3253" s="300" t="s">
        <v>2167</v>
      </c>
      <c r="M3253" s="299" t="s">
        <v>2338</v>
      </c>
      <c r="N3253" s="298" t="s">
        <v>350</v>
      </c>
      <c r="O3253" s="298" t="s">
        <v>351</v>
      </c>
      <c r="P3253" s="301">
        <v>24</v>
      </c>
      <c r="Q3253" s="301">
        <v>5</v>
      </c>
      <c r="R3253" s="302">
        <v>6.1999999999999998E-3</v>
      </c>
      <c r="S3253" s="298" t="s">
        <v>352</v>
      </c>
      <c r="T3253" s="298" t="s">
        <v>56</v>
      </c>
      <c r="U3253" s="298" t="s">
        <v>57</v>
      </c>
      <c r="V3253" s="303">
        <v>858</v>
      </c>
      <c r="W3253" s="303">
        <f>1+857</f>
        <v>858</v>
      </c>
      <c r="X3253" s="304"/>
      <c r="Y3253" s="305">
        <f t="shared" si="1515"/>
        <v>0</v>
      </c>
      <c r="Z3253" s="306">
        <f t="shared" si="1516"/>
        <v>0</v>
      </c>
      <c r="AA3253" s="306">
        <f t="shared" si="1510"/>
        <v>0</v>
      </c>
      <c r="AB3253" s="814">
        <v>7.4999999999999997E-3</v>
      </c>
      <c r="AC3253" s="303">
        <f t="shared" si="1517"/>
        <v>0</v>
      </c>
      <c r="AD3253" s="443"/>
      <c r="AE3253" s="210">
        <f t="shared" si="1518"/>
        <v>0</v>
      </c>
      <c r="AF3253" s="210">
        <f t="shared" si="1519"/>
        <v>0</v>
      </c>
      <c r="AG3253" s="211">
        <f t="shared" si="1520"/>
        <v>0.13</v>
      </c>
      <c r="AH3253" s="157">
        <f t="shared" si="1521"/>
        <v>0</v>
      </c>
      <c r="AI3253" s="152">
        <f t="shared" si="1522"/>
        <v>20592</v>
      </c>
      <c r="AK3253" s="156" t="s">
        <v>691</v>
      </c>
      <c r="AL3253" s="574" t="s">
        <v>690</v>
      </c>
      <c r="AM3253" s="198">
        <f t="shared" si="1511"/>
        <v>0</v>
      </c>
      <c r="AN3253" s="199">
        <f t="shared" si="1512"/>
        <v>46104</v>
      </c>
      <c r="AO3253" s="159" t="s">
        <v>692</v>
      </c>
      <c r="AP3253" s="783" t="s">
        <v>622</v>
      </c>
      <c r="AQ3253" s="782">
        <v>12071839</v>
      </c>
      <c r="AR3253" s="782">
        <v>12094356</v>
      </c>
      <c r="AS3253" s="782">
        <v>12068233</v>
      </c>
      <c r="AT3253" s="781"/>
      <c r="AU3253" s="781"/>
      <c r="AV3253" s="782">
        <v>12062075</v>
      </c>
      <c r="AW3253" s="781"/>
      <c r="AX3253" s="781"/>
      <c r="AY3253" s="782">
        <v>12094357</v>
      </c>
      <c r="AZ3253" s="782"/>
      <c r="BA3253" s="781"/>
      <c r="BB3253" s="209">
        <v>23053184</v>
      </c>
    </row>
    <row r="3254" spans="1:54" ht="24.65" customHeight="1">
      <c r="B3254" s="224">
        <v>46104</v>
      </c>
      <c r="C3254" s="224">
        <v>46120</v>
      </c>
      <c r="D3254" s="185">
        <f t="shared" si="1508"/>
        <v>2026</v>
      </c>
      <c r="E3254" s="225" t="e">
        <f>VLOOKUP($B3254,Week!$A$1:$C$1462,2,0)</f>
        <v>#N/A</v>
      </c>
      <c r="F3254" s="226" t="str">
        <f t="shared" si="1509"/>
        <v>Mar</v>
      </c>
      <c r="G3254" s="225" t="s">
        <v>2888</v>
      </c>
      <c r="H3254" s="225" t="s">
        <v>392</v>
      </c>
      <c r="I3254" s="225" t="s">
        <v>2772</v>
      </c>
      <c r="J3254" s="227" t="s">
        <v>393</v>
      </c>
      <c r="K3254" s="228" t="s">
        <v>176</v>
      </c>
      <c r="L3254" s="300" t="s">
        <v>2167</v>
      </c>
      <c r="M3254" s="228" t="s">
        <v>399</v>
      </c>
      <c r="N3254" s="225" t="s">
        <v>400</v>
      </c>
      <c r="O3254" s="225" t="s">
        <v>195</v>
      </c>
      <c r="P3254" s="229">
        <v>24</v>
      </c>
      <c r="Q3254" s="229">
        <v>5</v>
      </c>
      <c r="R3254" s="230">
        <v>8.0000000000000002E-3</v>
      </c>
      <c r="S3254" s="225" t="s">
        <v>40</v>
      </c>
      <c r="T3254" s="225" t="s">
        <v>56</v>
      </c>
      <c r="U3254" s="225" t="s">
        <v>57</v>
      </c>
      <c r="V3254" s="231">
        <f>900</f>
        <v>900</v>
      </c>
      <c r="W3254" s="231">
        <f>900</f>
        <v>900</v>
      </c>
      <c r="X3254" s="232">
        <f>(111)/24</f>
        <v>4.625</v>
      </c>
      <c r="Y3254" s="233">
        <f t="shared" si="1515"/>
        <v>4.625</v>
      </c>
      <c r="Z3254" s="234">
        <f t="shared" si="1516"/>
        <v>0</v>
      </c>
      <c r="AA3254" s="234">
        <f t="shared" si="1510"/>
        <v>0</v>
      </c>
      <c r="AB3254" s="808">
        <v>7.4999999999999997E-3</v>
      </c>
      <c r="AC3254" s="231">
        <f t="shared" si="1517"/>
        <v>0</v>
      </c>
      <c r="AD3254" s="557" t="s">
        <v>2614</v>
      </c>
      <c r="AE3254" s="210">
        <f t="shared" si="1518"/>
        <v>0</v>
      </c>
      <c r="AF3254" s="210">
        <f t="shared" si="1519"/>
        <v>0</v>
      </c>
      <c r="AG3254" s="211">
        <f t="shared" si="1520"/>
        <v>0.14499999999999999</v>
      </c>
      <c r="AH3254" s="157">
        <f t="shared" si="1521"/>
        <v>0</v>
      </c>
      <c r="AI3254" s="152">
        <f t="shared" si="1522"/>
        <v>21600</v>
      </c>
      <c r="AK3254" s="156" t="s">
        <v>691</v>
      </c>
      <c r="AL3254" s="574" t="s">
        <v>690</v>
      </c>
      <c r="AM3254" s="198">
        <f t="shared" si="1511"/>
        <v>0</v>
      </c>
      <c r="AN3254" s="199">
        <f t="shared" si="1512"/>
        <v>46104</v>
      </c>
      <c r="AO3254" s="159" t="s">
        <v>692</v>
      </c>
      <c r="AP3254" s="783" t="s">
        <v>638</v>
      </c>
      <c r="AQ3254" s="783" t="s">
        <v>631</v>
      </c>
      <c r="AR3254" s="783" t="s">
        <v>632</v>
      </c>
      <c r="AS3254" s="783" t="s">
        <v>633</v>
      </c>
      <c r="AT3254" s="781"/>
      <c r="AU3254" s="782">
        <v>12026902</v>
      </c>
      <c r="AV3254" s="783" t="s">
        <v>2981</v>
      </c>
      <c r="AW3254" s="782">
        <v>12026904</v>
      </c>
      <c r="AX3254" s="781"/>
      <c r="AY3254" s="783" t="s">
        <v>2463</v>
      </c>
      <c r="AZ3254" s="783" t="s">
        <v>2464</v>
      </c>
      <c r="BA3254" s="783" t="s">
        <v>2465</v>
      </c>
      <c r="BB3254" s="209">
        <v>23053185</v>
      </c>
    </row>
    <row r="3255" spans="1:54" ht="26.25" customHeight="1">
      <c r="B3255" s="235">
        <v>46104</v>
      </c>
      <c r="C3255" s="235">
        <v>46120</v>
      </c>
      <c r="D3255" s="185">
        <f t="shared" si="1508"/>
        <v>2026</v>
      </c>
      <c r="E3255" s="236" t="e">
        <f>VLOOKUP($B3255,Week!$A$1:$C$1462,2,0)</f>
        <v>#N/A</v>
      </c>
      <c r="F3255" s="237" t="str">
        <f t="shared" si="1509"/>
        <v>Mar</v>
      </c>
      <c r="G3255" s="236" t="s">
        <v>2888</v>
      </c>
      <c r="H3255" s="236" t="s">
        <v>392</v>
      </c>
      <c r="I3255" s="236" t="s">
        <v>2772</v>
      </c>
      <c r="J3255" s="238" t="s">
        <v>393</v>
      </c>
      <c r="K3255" s="239" t="s">
        <v>1643</v>
      </c>
      <c r="L3255" s="300" t="s">
        <v>2167</v>
      </c>
      <c r="M3255" s="238" t="s">
        <v>2385</v>
      </c>
      <c r="N3255" s="236" t="s">
        <v>407</v>
      </c>
      <c r="O3255" s="236" t="s">
        <v>206</v>
      </c>
      <c r="P3255" s="240">
        <v>24</v>
      </c>
      <c r="Q3255" s="240">
        <v>5</v>
      </c>
      <c r="R3255" s="241">
        <v>8.0000000000000002E-3</v>
      </c>
      <c r="S3255" s="236" t="s">
        <v>40</v>
      </c>
      <c r="T3255" s="236" t="s">
        <v>56</v>
      </c>
      <c r="U3255" s="640" t="s">
        <v>499</v>
      </c>
      <c r="V3255" s="242">
        <f>800</f>
        <v>800</v>
      </c>
      <c r="W3255" s="242">
        <f>7+793</f>
        <v>800</v>
      </c>
      <c r="X3255" s="243">
        <f>(47)/24</f>
        <v>1.9583333333333333</v>
      </c>
      <c r="Y3255" s="244">
        <f t="shared" si="1515"/>
        <v>1.9583333333333712</v>
      </c>
      <c r="Z3255" s="245">
        <f t="shared" si="1516"/>
        <v>0</v>
      </c>
      <c r="AA3255" s="245">
        <f t="shared" si="1510"/>
        <v>0</v>
      </c>
      <c r="AB3255" s="809">
        <v>1</v>
      </c>
      <c r="AC3255" s="242">
        <f t="shared" si="1517"/>
        <v>0</v>
      </c>
      <c r="AD3255" s="772" t="s">
        <v>2614</v>
      </c>
      <c r="AE3255" s="210">
        <f t="shared" si="1518"/>
        <v>0</v>
      </c>
      <c r="AF3255" s="210">
        <f t="shared" si="1519"/>
        <v>0</v>
      </c>
      <c r="AG3255" s="211">
        <f t="shared" si="1520"/>
        <v>0.115</v>
      </c>
      <c r="AH3255" s="157">
        <f t="shared" si="1521"/>
        <v>0</v>
      </c>
      <c r="AI3255" s="152">
        <f t="shared" si="1522"/>
        <v>19200</v>
      </c>
      <c r="AK3255" s="156" t="s">
        <v>691</v>
      </c>
      <c r="AL3255" s="574" t="s">
        <v>690</v>
      </c>
      <c r="AM3255" s="198">
        <f t="shared" si="1511"/>
        <v>0</v>
      </c>
      <c r="AN3255" s="199">
        <f t="shared" si="1512"/>
        <v>46104</v>
      </c>
      <c r="AO3255" s="159" t="s">
        <v>692</v>
      </c>
      <c r="AP3255" s="783" t="s">
        <v>608</v>
      </c>
      <c r="AQ3255" s="782">
        <v>12071839</v>
      </c>
      <c r="AR3255" s="782">
        <v>12047514</v>
      </c>
      <c r="AS3255" s="782">
        <v>12047515</v>
      </c>
      <c r="AT3255" s="781"/>
      <c r="AU3255" s="782">
        <v>12026902</v>
      </c>
      <c r="AV3255" s="782">
        <v>12098047</v>
      </c>
      <c r="AW3255" s="782">
        <v>12026904</v>
      </c>
      <c r="AX3255" s="781"/>
      <c r="AY3255" s="783" t="s">
        <v>2403</v>
      </c>
      <c r="AZ3255" s="783" t="s">
        <v>2404</v>
      </c>
      <c r="BA3255" s="783" t="s">
        <v>2405</v>
      </c>
      <c r="BB3255" s="209">
        <v>23052995</v>
      </c>
    </row>
    <row r="3256" spans="1:54" ht="25.15" customHeight="1">
      <c r="B3256" s="546">
        <v>46104</v>
      </c>
      <c r="C3256" s="547">
        <v>46119</v>
      </c>
      <c r="D3256" s="549">
        <f t="shared" si="1508"/>
        <v>2026</v>
      </c>
      <c r="E3256" s="549" t="e">
        <f>VLOOKUP($B3256,Week!$A$1:$C$1462,2,0)</f>
        <v>#N/A</v>
      </c>
      <c r="F3256" s="548" t="str">
        <f t="shared" si="1509"/>
        <v>Mar</v>
      </c>
      <c r="G3256" s="549" t="s">
        <v>2907</v>
      </c>
      <c r="H3256" s="549" t="s">
        <v>424</v>
      </c>
      <c r="I3256" s="549" t="s">
        <v>2772</v>
      </c>
      <c r="J3256" s="772" t="s">
        <v>425</v>
      </c>
      <c r="K3256" s="551" t="s">
        <v>1643</v>
      </c>
      <c r="L3256" s="551" t="s">
        <v>2167</v>
      </c>
      <c r="M3256" s="550" t="s">
        <v>2418</v>
      </c>
      <c r="N3256" s="549" t="s">
        <v>2255</v>
      </c>
      <c r="O3256" s="549" t="s">
        <v>2253</v>
      </c>
      <c r="P3256" s="552">
        <v>8</v>
      </c>
      <c r="Q3256" s="552">
        <v>5</v>
      </c>
      <c r="R3256" s="553">
        <v>7.4999999999999997E-3</v>
      </c>
      <c r="S3256" s="549" t="s">
        <v>40</v>
      </c>
      <c r="T3256" s="549" t="s">
        <v>112</v>
      </c>
      <c r="U3256" s="618" t="s">
        <v>1894</v>
      </c>
      <c r="V3256" s="554">
        <f>5148</f>
        <v>5148</v>
      </c>
      <c r="W3256" s="554"/>
      <c r="X3256" s="555">
        <f>(134+41050)/8</f>
        <v>5148</v>
      </c>
      <c r="Y3256" s="556">
        <f t="shared" si="1515"/>
        <v>0</v>
      </c>
      <c r="Z3256" s="557">
        <f t="shared" si="1516"/>
        <v>0</v>
      </c>
      <c r="AA3256" s="554">
        <f t="shared" si="1510"/>
        <v>0</v>
      </c>
      <c r="AB3256" s="833">
        <v>7.4999999999999997E-3</v>
      </c>
      <c r="AC3256" s="554">
        <f t="shared" si="1517"/>
        <v>0</v>
      </c>
      <c r="AD3256" s="307" t="s">
        <v>2870</v>
      </c>
      <c r="AE3256" s="210">
        <f t="shared" si="1518"/>
        <v>0</v>
      </c>
      <c r="AF3256" s="210">
        <f t="shared" si="1519"/>
        <v>0</v>
      </c>
      <c r="AG3256" s="211">
        <f t="shared" si="1520"/>
        <v>0.14699999999999999</v>
      </c>
      <c r="AH3256" s="157">
        <f t="shared" si="1521"/>
        <v>0</v>
      </c>
      <c r="AI3256" s="152">
        <f t="shared" si="1522"/>
        <v>41184</v>
      </c>
      <c r="AK3256" s="156" t="s">
        <v>691</v>
      </c>
      <c r="AL3256" s="574" t="s">
        <v>690</v>
      </c>
      <c r="AM3256" s="198">
        <f t="shared" si="1511"/>
        <v>0</v>
      </c>
      <c r="AN3256" s="199">
        <f t="shared" si="1512"/>
        <v>46104</v>
      </c>
      <c r="AO3256" s="159" t="s">
        <v>692</v>
      </c>
      <c r="AP3256" s="783" t="s">
        <v>609</v>
      </c>
      <c r="AQ3256" s="782">
        <v>12071839</v>
      </c>
      <c r="AR3256" s="782">
        <v>12080260</v>
      </c>
      <c r="AS3256" s="782">
        <v>12080259</v>
      </c>
      <c r="AT3256" s="798" t="s">
        <v>2378</v>
      </c>
      <c r="AU3256" s="782"/>
      <c r="AV3256" s="782">
        <v>12096148</v>
      </c>
      <c r="AW3256" s="782"/>
      <c r="AX3256" s="781"/>
      <c r="AY3256" s="782"/>
      <c r="AZ3256" s="782"/>
      <c r="BA3256" s="781"/>
      <c r="BB3256" s="209">
        <v>23053185</v>
      </c>
    </row>
    <row r="3257" spans="1:54" ht="25.9" customHeight="1">
      <c r="A3257" s="142" t="s">
        <v>120</v>
      </c>
      <c r="B3257" s="235">
        <v>46105</v>
      </c>
      <c r="C3257" s="235">
        <v>46120</v>
      </c>
      <c r="D3257" s="185">
        <f t="shared" si="1508"/>
        <v>2026</v>
      </c>
      <c r="E3257" s="236" t="e">
        <f>VLOOKUP($B3257,Week!$A$1:$C$1462,2,0)</f>
        <v>#N/A</v>
      </c>
      <c r="F3257" s="237" t="str">
        <f t="shared" si="1509"/>
        <v>Mar</v>
      </c>
      <c r="G3257" s="236" t="s">
        <v>2888</v>
      </c>
      <c r="H3257" s="236" t="s">
        <v>392</v>
      </c>
      <c r="I3257" s="236" t="s">
        <v>2772</v>
      </c>
      <c r="J3257" s="238" t="s">
        <v>393</v>
      </c>
      <c r="K3257" s="239" t="s">
        <v>153</v>
      </c>
      <c r="L3257" s="390" t="s">
        <v>2166</v>
      </c>
      <c r="M3257" s="238" t="s">
        <v>165</v>
      </c>
      <c r="N3257" s="236" t="s">
        <v>685</v>
      </c>
      <c r="O3257" s="236" t="s">
        <v>167</v>
      </c>
      <c r="P3257" s="240">
        <v>20</v>
      </c>
      <c r="Q3257" s="240">
        <v>12</v>
      </c>
      <c r="R3257" s="241">
        <v>6.8100000000000001E-3</v>
      </c>
      <c r="S3257" s="236" t="s">
        <v>76</v>
      </c>
      <c r="T3257" s="236" t="s">
        <v>56</v>
      </c>
      <c r="U3257" s="236" t="s">
        <v>89</v>
      </c>
      <c r="V3257" s="242">
        <f>350</f>
        <v>350</v>
      </c>
      <c r="W3257" s="242">
        <f>1+349</f>
        <v>350</v>
      </c>
      <c r="X3257" s="243"/>
      <c r="Y3257" s="244">
        <f t="shared" si="1515"/>
        <v>0</v>
      </c>
      <c r="Z3257" s="245">
        <f t="shared" si="1516"/>
        <v>0</v>
      </c>
      <c r="AA3257" s="245">
        <f t="shared" si="1510"/>
        <v>0</v>
      </c>
      <c r="AB3257" s="809">
        <v>2</v>
      </c>
      <c r="AC3257" s="242">
        <f t="shared" si="1517"/>
        <v>0</v>
      </c>
      <c r="AD3257" s="772" t="s">
        <v>2614</v>
      </c>
      <c r="AE3257" s="210">
        <f t="shared" si="1518"/>
        <v>0</v>
      </c>
      <c r="AF3257" s="210">
        <f t="shared" si="1519"/>
        <v>0</v>
      </c>
      <c r="AG3257" s="211">
        <f t="shared" si="1520"/>
        <v>0.154</v>
      </c>
      <c r="AH3257" s="157">
        <f t="shared" si="1521"/>
        <v>0</v>
      </c>
      <c r="AI3257" s="152">
        <f t="shared" si="1522"/>
        <v>7000</v>
      </c>
      <c r="AK3257" s="156" t="s">
        <v>691</v>
      </c>
      <c r="AL3257" s="156" t="s">
        <v>689</v>
      </c>
      <c r="AM3257" s="198">
        <f t="shared" si="1511"/>
        <v>0</v>
      </c>
      <c r="AN3257" s="199">
        <f t="shared" si="1512"/>
        <v>46105</v>
      </c>
      <c r="AO3257" s="159" t="s">
        <v>692</v>
      </c>
      <c r="AP3257" s="783" t="s">
        <v>622</v>
      </c>
      <c r="AQ3257" s="783" t="s">
        <v>631</v>
      </c>
      <c r="AR3257" s="783" t="s">
        <v>523</v>
      </c>
      <c r="AS3257" s="781"/>
      <c r="AT3257" s="783" t="s">
        <v>2982</v>
      </c>
      <c r="AU3257" s="781"/>
      <c r="AV3257" s="783" t="s">
        <v>606</v>
      </c>
      <c r="AW3257" s="781"/>
      <c r="AX3257" s="781" t="s">
        <v>398</v>
      </c>
      <c r="AY3257" s="781"/>
      <c r="AZ3257" s="782"/>
      <c r="BA3257" s="781"/>
      <c r="BB3257" s="209">
        <v>23053184</v>
      </c>
    </row>
    <row r="3258" spans="1:54" ht="25" customHeight="1">
      <c r="A3258" s="142" t="s">
        <v>120</v>
      </c>
      <c r="B3258" s="383">
        <v>46105</v>
      </c>
      <c r="C3258" s="224">
        <v>46120</v>
      </c>
      <c r="D3258" s="225">
        <f t="shared" si="1508"/>
        <v>2026</v>
      </c>
      <c r="E3258" s="225" t="e">
        <f>VLOOKUP($B3258,Week!$A$1:$C$1462,2,0)</f>
        <v>#N/A</v>
      </c>
      <c r="F3258" s="226" t="str">
        <f t="shared" si="1509"/>
        <v>Mar</v>
      </c>
      <c r="G3258" s="225" t="s">
        <v>2888</v>
      </c>
      <c r="H3258" s="225" t="s">
        <v>392</v>
      </c>
      <c r="I3258" s="225" t="s">
        <v>2772</v>
      </c>
      <c r="J3258" s="227" t="s">
        <v>393</v>
      </c>
      <c r="K3258" s="228" t="s">
        <v>153</v>
      </c>
      <c r="L3258" s="228" t="s">
        <v>2166</v>
      </c>
      <c r="M3258" s="227" t="s">
        <v>2363</v>
      </c>
      <c r="N3258" s="225" t="s">
        <v>2886</v>
      </c>
      <c r="O3258" s="225" t="s">
        <v>2365</v>
      </c>
      <c r="P3258" s="229">
        <v>18</v>
      </c>
      <c r="Q3258" s="229">
        <v>8</v>
      </c>
      <c r="R3258" s="230">
        <v>6.8100000000000001E-3</v>
      </c>
      <c r="S3258" s="225" t="s">
        <v>76</v>
      </c>
      <c r="T3258" s="225" t="s">
        <v>56</v>
      </c>
      <c r="U3258" s="917" t="s">
        <v>499</v>
      </c>
      <c r="V3258" s="231">
        <v>200</v>
      </c>
      <c r="W3258" s="231">
        <f>200</f>
        <v>200</v>
      </c>
      <c r="X3258" s="232"/>
      <c r="Y3258" s="233">
        <f t="shared" si="1515"/>
        <v>0</v>
      </c>
      <c r="Z3258" s="234">
        <f t="shared" si="1516"/>
        <v>0</v>
      </c>
      <c r="AA3258" s="234">
        <f t="shared" si="1510"/>
        <v>0</v>
      </c>
      <c r="AB3258" s="822">
        <v>1</v>
      </c>
      <c r="AC3258" s="231">
        <f t="shared" si="1517"/>
        <v>0</v>
      </c>
      <c r="AD3258" s="772" t="s">
        <v>2614</v>
      </c>
      <c r="AE3258" s="210">
        <f t="shared" si="1518"/>
        <v>0</v>
      </c>
      <c r="AF3258" s="210">
        <f t="shared" si="1519"/>
        <v>0</v>
      </c>
      <c r="AG3258" s="211">
        <f>MID(O3258,1,2)/1000</f>
        <v>1.2E-2</v>
      </c>
      <c r="AH3258" s="157">
        <f t="shared" si="1521"/>
        <v>0</v>
      </c>
      <c r="AI3258" s="152">
        <f t="shared" si="1522"/>
        <v>3600</v>
      </c>
      <c r="AK3258" s="156" t="s">
        <v>691</v>
      </c>
      <c r="AL3258" s="156" t="s">
        <v>689</v>
      </c>
      <c r="AM3258" s="198">
        <f t="shared" si="1511"/>
        <v>0</v>
      </c>
      <c r="AN3258" s="199">
        <f t="shared" si="1512"/>
        <v>46105</v>
      </c>
      <c r="AO3258" s="159" t="s">
        <v>692</v>
      </c>
      <c r="AP3258" s="783"/>
      <c r="AQ3258" s="783" t="s">
        <v>631</v>
      </c>
      <c r="AR3258" s="796">
        <v>12038019</v>
      </c>
      <c r="AS3258" s="782"/>
      <c r="AT3258" s="782">
        <v>12098299</v>
      </c>
      <c r="AU3258" s="782"/>
      <c r="AV3258" s="782">
        <v>12098340</v>
      </c>
      <c r="AW3258" s="782"/>
      <c r="AX3258" s="781" t="s">
        <v>162</v>
      </c>
      <c r="AY3258" s="782"/>
      <c r="AZ3258" s="782"/>
      <c r="BA3258" s="781"/>
      <c r="BB3258" s="209">
        <v>23053184</v>
      </c>
    </row>
    <row r="3259" spans="1:54" ht="25" customHeight="1">
      <c r="A3259" s="142" t="s">
        <v>120</v>
      </c>
      <c r="B3259" s="546">
        <v>46105</v>
      </c>
      <c r="C3259" s="547">
        <v>46113</v>
      </c>
      <c r="D3259" s="549">
        <f t="shared" si="1508"/>
        <v>2026</v>
      </c>
      <c r="E3259" s="547" t="e">
        <f>VLOOKUP($B3259,Week!$A$1:$C$1462,2,0)</f>
        <v>#N/A</v>
      </c>
      <c r="F3259" s="548" t="str">
        <f t="shared" si="1509"/>
        <v>Mar</v>
      </c>
      <c r="G3259" s="549" t="s">
        <v>2866</v>
      </c>
      <c r="H3259" s="549" t="s">
        <v>500</v>
      </c>
      <c r="I3259" s="549" t="s">
        <v>2772</v>
      </c>
      <c r="J3259" s="550" t="s">
        <v>285</v>
      </c>
      <c r="K3259" s="551" t="s">
        <v>153</v>
      </c>
      <c r="L3259" s="551" t="s">
        <v>2166</v>
      </c>
      <c r="M3259" s="550" t="s">
        <v>579</v>
      </c>
      <c r="N3259" s="549" t="s">
        <v>2745</v>
      </c>
      <c r="O3259" s="549" t="s">
        <v>2746</v>
      </c>
      <c r="P3259" s="552">
        <v>10</v>
      </c>
      <c r="Q3259" s="552">
        <v>60</v>
      </c>
      <c r="R3259" s="553">
        <v>6.8100000000000001E-3</v>
      </c>
      <c r="S3259" s="549" t="s">
        <v>76</v>
      </c>
      <c r="T3259" s="549" t="s">
        <v>56</v>
      </c>
      <c r="U3259" s="549" t="s">
        <v>89</v>
      </c>
      <c r="V3259" s="554">
        <v>357</v>
      </c>
      <c r="W3259" s="554">
        <f>357</f>
        <v>357</v>
      </c>
      <c r="X3259" s="555"/>
      <c r="Y3259" s="556">
        <f t="shared" si="1515"/>
        <v>0</v>
      </c>
      <c r="Z3259" s="557">
        <f t="shared" si="1516"/>
        <v>0</v>
      </c>
      <c r="AA3259" s="557">
        <f t="shared" si="1510"/>
        <v>0</v>
      </c>
      <c r="AB3259" s="833">
        <v>6</v>
      </c>
      <c r="AC3259" s="554">
        <f t="shared" si="1517"/>
        <v>0</v>
      </c>
      <c r="AD3259" s="209"/>
      <c r="AE3259" s="210">
        <f t="shared" si="1518"/>
        <v>0</v>
      </c>
      <c r="AF3259" s="210">
        <f t="shared" si="1519"/>
        <v>0</v>
      </c>
      <c r="AG3259" s="211">
        <f t="shared" ref="AG3259:AG3278" si="1523">MID(O3259,1,3)/1000</f>
        <v>0.75</v>
      </c>
      <c r="AH3259" s="157">
        <f t="shared" si="1521"/>
        <v>0</v>
      </c>
      <c r="AI3259" s="152">
        <f t="shared" si="1522"/>
        <v>3570</v>
      </c>
      <c r="AK3259" s="156" t="s">
        <v>691</v>
      </c>
      <c r="AL3259" s="156" t="s">
        <v>689</v>
      </c>
      <c r="AM3259" s="198">
        <f t="shared" si="1511"/>
        <v>0</v>
      </c>
      <c r="AN3259" s="199">
        <f t="shared" si="1512"/>
        <v>46105</v>
      </c>
      <c r="AO3259" s="159" t="s">
        <v>692</v>
      </c>
      <c r="AP3259" s="783" t="s">
        <v>620</v>
      </c>
      <c r="AQ3259" s="796" t="s">
        <v>422</v>
      </c>
      <c r="AR3259" s="782" t="s">
        <v>2142</v>
      </c>
      <c r="AS3259" s="781"/>
      <c r="AT3259" s="782">
        <v>12098238</v>
      </c>
      <c r="AU3259" s="782"/>
      <c r="AV3259" s="782"/>
      <c r="AW3259" s="782"/>
      <c r="AX3259" s="782">
        <v>12080741</v>
      </c>
      <c r="AY3259" s="781"/>
      <c r="AZ3259" s="781"/>
      <c r="BA3259" s="781"/>
      <c r="BB3259" s="209">
        <v>23053184</v>
      </c>
    </row>
    <row r="3260" spans="1:54" ht="25" customHeight="1">
      <c r="B3260" s="213">
        <v>46105</v>
      </c>
      <c r="C3260" s="902" t="s">
        <v>2736</v>
      </c>
      <c r="D3260" s="215">
        <f t="shared" si="1508"/>
        <v>2026</v>
      </c>
      <c r="E3260" s="214" t="e">
        <f>VLOOKUP($B3260,Week!$A$1:$C$1462,2,0)</f>
        <v>#N/A</v>
      </c>
      <c r="F3260" s="216" t="str">
        <f t="shared" si="1509"/>
        <v>Mar</v>
      </c>
      <c r="G3260" s="215" t="s">
        <v>47</v>
      </c>
      <c r="H3260" s="215" t="s">
        <v>260</v>
      </c>
      <c r="I3260" s="215" t="s">
        <v>2702</v>
      </c>
      <c r="J3260" s="209" t="s">
        <v>2702</v>
      </c>
      <c r="K3260" s="217" t="s">
        <v>2706</v>
      </c>
      <c r="L3260" s="217" t="s">
        <v>2167</v>
      </c>
      <c r="M3260" s="209" t="s">
        <v>2733</v>
      </c>
      <c r="N3260" s="480" t="s">
        <v>2734</v>
      </c>
      <c r="O3260" s="215" t="s">
        <v>2735</v>
      </c>
      <c r="P3260" s="218">
        <v>12</v>
      </c>
      <c r="Q3260" s="218">
        <v>2</v>
      </c>
      <c r="R3260" s="219">
        <v>6.0000000000000001E-3</v>
      </c>
      <c r="S3260" s="215" t="s">
        <v>55</v>
      </c>
      <c r="T3260" s="215" t="s">
        <v>56</v>
      </c>
      <c r="U3260" s="852" t="s">
        <v>2707</v>
      </c>
      <c r="V3260" s="220">
        <v>1835</v>
      </c>
      <c r="W3260" s="220">
        <f>127+557+324+707+120</f>
        <v>1835</v>
      </c>
      <c r="X3260" s="221"/>
      <c r="Y3260" s="222">
        <f t="shared" si="1515"/>
        <v>0</v>
      </c>
      <c r="Z3260" s="223">
        <f t="shared" si="1516"/>
        <v>0</v>
      </c>
      <c r="AA3260" s="223">
        <f t="shared" si="1510"/>
        <v>0</v>
      </c>
      <c r="AB3260" s="807">
        <v>1.7000000000000001E-2</v>
      </c>
      <c r="AC3260" s="220">
        <f t="shared" si="1517"/>
        <v>0</v>
      </c>
      <c r="AD3260" s="443"/>
      <c r="AE3260" s="210">
        <f t="shared" si="1518"/>
        <v>0</v>
      </c>
      <c r="AF3260" s="210">
        <f t="shared" si="1519"/>
        <v>0</v>
      </c>
      <c r="AG3260" s="211">
        <f t="shared" si="1523"/>
        <v>0.22500000000000001</v>
      </c>
      <c r="AH3260" s="157">
        <v>0.26621999999999996</v>
      </c>
      <c r="AI3260" s="152">
        <f t="shared" si="1522"/>
        <v>22020</v>
      </c>
      <c r="AK3260" s="156" t="s">
        <v>691</v>
      </c>
      <c r="AL3260" s="574" t="s">
        <v>690</v>
      </c>
      <c r="AM3260" s="198">
        <f t="shared" si="1511"/>
        <v>0</v>
      </c>
      <c r="AN3260" s="199">
        <f t="shared" si="1512"/>
        <v>46105</v>
      </c>
      <c r="AO3260" s="159" t="s">
        <v>692</v>
      </c>
      <c r="AP3260" s="781" t="s">
        <v>642</v>
      </c>
      <c r="AQ3260" s="782">
        <v>12071839</v>
      </c>
      <c r="AR3260" s="782"/>
      <c r="AS3260" s="782"/>
      <c r="AT3260" s="782">
        <v>12098021</v>
      </c>
      <c r="AU3260" s="783" t="s">
        <v>2979</v>
      </c>
      <c r="AV3260" s="782">
        <v>12098022</v>
      </c>
      <c r="AW3260" s="783"/>
      <c r="AX3260" s="781"/>
      <c r="AY3260" s="796"/>
      <c r="AZ3260" s="796"/>
      <c r="BA3260" s="796"/>
      <c r="BB3260" s="209">
        <v>23099860</v>
      </c>
    </row>
    <row r="3261" spans="1:54" ht="25" customHeight="1">
      <c r="A3261" s="529" t="s">
        <v>1937</v>
      </c>
      <c r="B3261" s="357">
        <v>46105</v>
      </c>
      <c r="C3261" s="776" t="s">
        <v>2736</v>
      </c>
      <c r="D3261" s="185">
        <f t="shared" ref="D3261:D3293" si="1524">IF(B3261="","",YEAR(B3261))</f>
        <v>2026</v>
      </c>
      <c r="E3261" s="358" t="e">
        <f>VLOOKUP($B3261,Week!$A$1:$C$1462,2,0)</f>
        <v>#N/A</v>
      </c>
      <c r="F3261" s="360" t="str">
        <f t="shared" ref="F3261:F3293" si="1525">IF(B3261="","",TEXT(B3261,"[$-409]mmm"))</f>
        <v>Mar</v>
      </c>
      <c r="G3261" s="359" t="s">
        <v>47</v>
      </c>
      <c r="H3261" s="359" t="s">
        <v>518</v>
      </c>
      <c r="I3261" s="359" t="s">
        <v>2702</v>
      </c>
      <c r="J3261" s="361" t="s">
        <v>70</v>
      </c>
      <c r="K3261" s="362" t="s">
        <v>94</v>
      </c>
      <c r="L3261" s="362" t="s">
        <v>2167</v>
      </c>
      <c r="M3261" s="361" t="s">
        <v>2341</v>
      </c>
      <c r="N3261" s="436" t="s">
        <v>648</v>
      </c>
      <c r="O3261" s="359" t="s">
        <v>97</v>
      </c>
      <c r="P3261" s="363">
        <v>12</v>
      </c>
      <c r="Q3261" s="363">
        <v>5</v>
      </c>
      <c r="R3261" s="364">
        <v>8.0000000000000002E-3</v>
      </c>
      <c r="S3261" s="359" t="s">
        <v>40</v>
      </c>
      <c r="T3261" s="359" t="s">
        <v>56</v>
      </c>
      <c r="U3261" s="359" t="s">
        <v>57</v>
      </c>
      <c r="V3261" s="365">
        <v>12</v>
      </c>
      <c r="W3261" s="365">
        <v>12</v>
      </c>
      <c r="X3261" s="366"/>
      <c r="Y3261" s="367">
        <f t="shared" si="1515"/>
        <v>0</v>
      </c>
      <c r="Z3261" s="368">
        <f t="shared" si="1516"/>
        <v>0</v>
      </c>
      <c r="AA3261" s="368">
        <f t="shared" ref="AA3261:AA3292" si="1526">Q3261*Z3261</f>
        <v>0</v>
      </c>
      <c r="AB3261" s="819">
        <v>7.4999999999999997E-3</v>
      </c>
      <c r="AC3261" s="365">
        <f t="shared" si="1517"/>
        <v>0</v>
      </c>
      <c r="AD3261" s="209"/>
      <c r="AE3261" s="210">
        <f t="shared" si="1518"/>
        <v>0</v>
      </c>
      <c r="AF3261" s="210">
        <f t="shared" si="1519"/>
        <v>0</v>
      </c>
      <c r="AG3261" s="211">
        <f t="shared" si="1523"/>
        <v>0.14499999999999999</v>
      </c>
      <c r="AH3261" s="157">
        <f>(Z3261*AG3261)/1000</f>
        <v>0</v>
      </c>
      <c r="AI3261" s="152">
        <f t="shared" si="1522"/>
        <v>144</v>
      </c>
      <c r="AK3261" s="156" t="s">
        <v>691</v>
      </c>
      <c r="AL3261" s="574" t="s">
        <v>690</v>
      </c>
      <c r="AM3261" s="198">
        <f t="shared" ref="AM3261:AM3293" si="1527">AG3261*Z3261</f>
        <v>0</v>
      </c>
      <c r="AN3261" s="199">
        <f t="shared" ref="AN3261:AN3293" si="1528">B3261</f>
        <v>46105</v>
      </c>
      <c r="AO3261" s="159" t="s">
        <v>692</v>
      </c>
      <c r="AP3261" s="783" t="s">
        <v>628</v>
      </c>
      <c r="AQ3261" s="782">
        <v>12071839</v>
      </c>
      <c r="AR3261" s="782">
        <v>12047514</v>
      </c>
      <c r="AS3261" s="782">
        <v>12047515</v>
      </c>
      <c r="AT3261" s="782"/>
      <c r="AU3261" s="781"/>
      <c r="AV3261" s="782">
        <v>12080617</v>
      </c>
      <c r="AW3261" s="782"/>
      <c r="AX3261" s="782"/>
      <c r="AY3261" s="782">
        <v>12094231</v>
      </c>
      <c r="AZ3261" s="782">
        <v>1209232</v>
      </c>
      <c r="BA3261" s="781"/>
      <c r="BB3261" s="209"/>
    </row>
    <row r="3262" spans="1:54" ht="25" customHeight="1">
      <c r="B3262" s="357">
        <v>46105</v>
      </c>
      <c r="C3262" s="776" t="s">
        <v>2736</v>
      </c>
      <c r="D3262" s="185">
        <f t="shared" si="1524"/>
        <v>2026</v>
      </c>
      <c r="E3262" s="358" t="e">
        <f>VLOOKUP($B3262,Week!$A$1:$C$1462,2,0)</f>
        <v>#N/A</v>
      </c>
      <c r="F3262" s="360" t="str">
        <f t="shared" si="1525"/>
        <v>Mar</v>
      </c>
      <c r="G3262" s="359" t="s">
        <v>47</v>
      </c>
      <c r="H3262" s="359" t="s">
        <v>518</v>
      </c>
      <c r="I3262" s="359" t="s">
        <v>2702</v>
      </c>
      <c r="J3262" s="361" t="s">
        <v>70</v>
      </c>
      <c r="K3262" s="362" t="s">
        <v>94</v>
      </c>
      <c r="L3262" s="300" t="s">
        <v>2167</v>
      </c>
      <c r="M3262" s="361" t="s">
        <v>2341</v>
      </c>
      <c r="N3262" s="359" t="s">
        <v>589</v>
      </c>
      <c r="O3262" s="359" t="s">
        <v>97</v>
      </c>
      <c r="P3262" s="363">
        <v>12</v>
      </c>
      <c r="Q3262" s="363">
        <v>5</v>
      </c>
      <c r="R3262" s="364">
        <v>8.0000000000000002E-3</v>
      </c>
      <c r="S3262" s="359" t="s">
        <v>40</v>
      </c>
      <c r="T3262" s="359" t="s">
        <v>56</v>
      </c>
      <c r="U3262" s="359" t="s">
        <v>57</v>
      </c>
      <c r="V3262" s="365">
        <f>3750</f>
        <v>3750</v>
      </c>
      <c r="W3262" s="365">
        <f>19+3731</f>
        <v>3750</v>
      </c>
      <c r="X3262" s="366"/>
      <c r="Y3262" s="367">
        <f t="shared" si="1515"/>
        <v>0</v>
      </c>
      <c r="Z3262" s="368">
        <f t="shared" si="1516"/>
        <v>0</v>
      </c>
      <c r="AA3262" s="368">
        <f t="shared" si="1526"/>
        <v>0</v>
      </c>
      <c r="AB3262" s="819">
        <v>7.4999999999999997E-3</v>
      </c>
      <c r="AC3262" s="365">
        <f t="shared" si="1517"/>
        <v>0</v>
      </c>
      <c r="AD3262" s="209"/>
      <c r="AE3262" s="210">
        <f t="shared" si="1518"/>
        <v>0</v>
      </c>
      <c r="AF3262" s="210">
        <f t="shared" si="1519"/>
        <v>0</v>
      </c>
      <c r="AG3262" s="211">
        <f t="shared" si="1523"/>
        <v>0.14499999999999999</v>
      </c>
      <c r="AH3262" s="157">
        <f>(Z3262*AG3262)/1000</f>
        <v>0</v>
      </c>
      <c r="AI3262" s="152">
        <f t="shared" si="1522"/>
        <v>45000</v>
      </c>
      <c r="AK3262" s="156" t="s">
        <v>691</v>
      </c>
      <c r="AL3262" s="574" t="s">
        <v>690</v>
      </c>
      <c r="AM3262" s="198">
        <f t="shared" si="1527"/>
        <v>0</v>
      </c>
      <c r="AN3262" s="199">
        <f t="shared" si="1528"/>
        <v>46105</v>
      </c>
      <c r="AO3262" s="159" t="s">
        <v>692</v>
      </c>
      <c r="AP3262" s="783" t="s">
        <v>628</v>
      </c>
      <c r="AQ3262" s="782">
        <v>12071839</v>
      </c>
      <c r="AR3262" s="782">
        <v>12047514</v>
      </c>
      <c r="AS3262" s="782">
        <v>12047515</v>
      </c>
      <c r="AT3262" s="782"/>
      <c r="AU3262" s="781"/>
      <c r="AV3262" s="782">
        <v>12080617</v>
      </c>
      <c r="AW3262" s="782"/>
      <c r="AX3262" s="782"/>
      <c r="AY3262" s="782">
        <v>12094231</v>
      </c>
      <c r="AZ3262" s="782">
        <v>1209232</v>
      </c>
      <c r="BA3262" s="781"/>
      <c r="BB3262" s="209">
        <v>23053185</v>
      </c>
    </row>
    <row r="3263" spans="1:54" ht="24.65" customHeight="1">
      <c r="B3263" s="411">
        <v>46105</v>
      </c>
      <c r="C3263" s="645" t="s">
        <v>2736</v>
      </c>
      <c r="D3263" s="185">
        <f t="shared" si="1524"/>
        <v>2026</v>
      </c>
      <c r="E3263" s="412" t="e">
        <f>VLOOKUP($B3263,Week!$A$1:$C$1462,2,0)</f>
        <v>#N/A</v>
      </c>
      <c r="F3263" s="413" t="str">
        <f t="shared" si="1525"/>
        <v>Mar</v>
      </c>
      <c r="G3263" s="414" t="s">
        <v>47</v>
      </c>
      <c r="H3263" s="414" t="s">
        <v>260</v>
      </c>
      <c r="I3263" s="414" t="s">
        <v>2702</v>
      </c>
      <c r="J3263" s="415" t="s">
        <v>261</v>
      </c>
      <c r="K3263" s="416" t="s">
        <v>94</v>
      </c>
      <c r="L3263" s="300" t="s">
        <v>2167</v>
      </c>
      <c r="M3263" s="415" t="s">
        <v>2339</v>
      </c>
      <c r="N3263" s="414" t="s">
        <v>263</v>
      </c>
      <c r="O3263" s="414" t="s">
        <v>195</v>
      </c>
      <c r="P3263" s="417">
        <v>24</v>
      </c>
      <c r="Q3263" s="417">
        <v>5</v>
      </c>
      <c r="R3263" s="418">
        <v>8.0000000000000002E-3</v>
      </c>
      <c r="S3263" s="414" t="s">
        <v>40</v>
      </c>
      <c r="T3263" s="414" t="s">
        <v>56</v>
      </c>
      <c r="U3263" s="414" t="s">
        <v>57</v>
      </c>
      <c r="V3263" s="419">
        <v>1284</v>
      </c>
      <c r="W3263" s="419">
        <f>1+1283</f>
        <v>1284</v>
      </c>
      <c r="X3263" s="420"/>
      <c r="Y3263" s="421">
        <f t="shared" si="1515"/>
        <v>0</v>
      </c>
      <c r="Z3263" s="422">
        <f t="shared" si="1516"/>
        <v>0</v>
      </c>
      <c r="AA3263" s="422">
        <f t="shared" si="1526"/>
        <v>0</v>
      </c>
      <c r="AB3263" s="825">
        <v>7.4999999999999997E-3</v>
      </c>
      <c r="AC3263" s="419">
        <f t="shared" si="1517"/>
        <v>0</v>
      </c>
      <c r="AD3263" s="209"/>
      <c r="AE3263" s="210">
        <f t="shared" si="1518"/>
        <v>0</v>
      </c>
      <c r="AF3263" s="210">
        <f t="shared" si="1519"/>
        <v>0</v>
      </c>
      <c r="AG3263" s="211">
        <f t="shared" si="1523"/>
        <v>0.14499999999999999</v>
      </c>
      <c r="AH3263" s="157">
        <f>(Z3263*AG3263)/1000</f>
        <v>0</v>
      </c>
      <c r="AI3263" s="152">
        <f t="shared" si="1522"/>
        <v>30816</v>
      </c>
      <c r="AK3263" s="156" t="s">
        <v>691</v>
      </c>
      <c r="AL3263" s="212" t="s">
        <v>690</v>
      </c>
      <c r="AM3263" s="198">
        <f t="shared" si="1527"/>
        <v>0</v>
      </c>
      <c r="AN3263" s="199">
        <f t="shared" si="1528"/>
        <v>46105</v>
      </c>
      <c r="AO3263" s="159" t="s">
        <v>692</v>
      </c>
      <c r="AP3263" s="783" t="s">
        <v>609</v>
      </c>
      <c r="AQ3263" s="782">
        <v>12071839</v>
      </c>
      <c r="AR3263" s="782">
        <v>12047514</v>
      </c>
      <c r="AS3263" s="782">
        <v>12047515</v>
      </c>
      <c r="AT3263" s="781"/>
      <c r="AU3263" s="781"/>
      <c r="AV3263" s="782">
        <v>12080613</v>
      </c>
      <c r="AW3263" s="781"/>
      <c r="AX3263" s="781"/>
      <c r="AY3263" s="782">
        <v>12094241</v>
      </c>
      <c r="AZ3263" s="782">
        <v>12094242</v>
      </c>
      <c r="BA3263" s="781"/>
      <c r="BB3263" s="209">
        <v>23053185</v>
      </c>
    </row>
    <row r="3264" spans="1:54" ht="25" customHeight="1">
      <c r="A3264" s="142" t="s">
        <v>120</v>
      </c>
      <c r="B3264" s="546">
        <v>46106</v>
      </c>
      <c r="C3264" s="547">
        <v>46113</v>
      </c>
      <c r="D3264" s="549">
        <f t="shared" si="1524"/>
        <v>2026</v>
      </c>
      <c r="E3264" s="547" t="e">
        <f>VLOOKUP($B3264,Week!$A$1:$C$1462,2,0)</f>
        <v>#N/A</v>
      </c>
      <c r="F3264" s="548" t="str">
        <f t="shared" si="1525"/>
        <v>Mar</v>
      </c>
      <c r="G3264" s="549" t="s">
        <v>2866</v>
      </c>
      <c r="H3264" s="549" t="s">
        <v>500</v>
      </c>
      <c r="I3264" s="549" t="s">
        <v>2772</v>
      </c>
      <c r="J3264" s="550" t="s">
        <v>285</v>
      </c>
      <c r="K3264" s="551" t="s">
        <v>153</v>
      </c>
      <c r="L3264" s="551" t="s">
        <v>2166</v>
      </c>
      <c r="M3264" s="550" t="s">
        <v>579</v>
      </c>
      <c r="N3264" s="549" t="s">
        <v>2745</v>
      </c>
      <c r="O3264" s="549" t="s">
        <v>2746</v>
      </c>
      <c r="P3264" s="552">
        <v>10</v>
      </c>
      <c r="Q3264" s="552">
        <v>60</v>
      </c>
      <c r="R3264" s="553">
        <v>6.8100000000000001E-3</v>
      </c>
      <c r="S3264" s="549" t="s">
        <v>76</v>
      </c>
      <c r="T3264" s="549" t="s">
        <v>56</v>
      </c>
      <c r="U3264" s="549" t="s">
        <v>89</v>
      </c>
      <c r="V3264" s="554">
        <v>618</v>
      </c>
      <c r="W3264" s="554">
        <f>618</f>
        <v>618</v>
      </c>
      <c r="X3264" s="555"/>
      <c r="Y3264" s="556">
        <f t="shared" si="1515"/>
        <v>0</v>
      </c>
      <c r="Z3264" s="557">
        <f t="shared" si="1516"/>
        <v>0</v>
      </c>
      <c r="AA3264" s="557">
        <f t="shared" si="1526"/>
        <v>0</v>
      </c>
      <c r="AB3264" s="833">
        <v>6</v>
      </c>
      <c r="AC3264" s="554">
        <f t="shared" si="1517"/>
        <v>0</v>
      </c>
      <c r="AD3264" s="209"/>
      <c r="AE3264" s="210">
        <f t="shared" si="1518"/>
        <v>0</v>
      </c>
      <c r="AF3264" s="210">
        <f t="shared" si="1519"/>
        <v>0</v>
      </c>
      <c r="AG3264" s="211">
        <f t="shared" si="1523"/>
        <v>0.75</v>
      </c>
      <c r="AH3264" s="157">
        <f>(Z3264*AG3264)/1000</f>
        <v>0</v>
      </c>
      <c r="AI3264" s="152">
        <f t="shared" si="1522"/>
        <v>6180</v>
      </c>
      <c r="AK3264" s="156" t="s">
        <v>691</v>
      </c>
      <c r="AL3264" s="156" t="s">
        <v>689</v>
      </c>
      <c r="AM3264" s="198">
        <f t="shared" si="1527"/>
        <v>0</v>
      </c>
      <c r="AN3264" s="199">
        <f t="shared" si="1528"/>
        <v>46106</v>
      </c>
      <c r="AO3264" s="159" t="s">
        <v>692</v>
      </c>
      <c r="AP3264" s="783" t="s">
        <v>620</v>
      </c>
      <c r="AQ3264" s="796" t="s">
        <v>422</v>
      </c>
      <c r="AR3264" s="782" t="s">
        <v>2142</v>
      </c>
      <c r="AS3264" s="781"/>
      <c r="AT3264" s="782">
        <v>12098238</v>
      </c>
      <c r="AU3264" s="782"/>
      <c r="AV3264" s="782"/>
      <c r="AW3264" s="782"/>
      <c r="AX3264" s="782">
        <v>12080741</v>
      </c>
      <c r="AY3264" s="781"/>
      <c r="AZ3264" s="781"/>
      <c r="BA3264" s="781"/>
      <c r="BB3264" s="209">
        <v>23053184</v>
      </c>
    </row>
    <row r="3265" spans="1:54" ht="25" customHeight="1">
      <c r="B3265" s="743">
        <v>46106</v>
      </c>
      <c r="C3265" s="848" t="s">
        <v>2708</v>
      </c>
      <c r="D3265" s="215">
        <f t="shared" si="1524"/>
        <v>2026</v>
      </c>
      <c r="E3265" s="214" t="e">
        <f>VLOOKUP($B3265,Week!$A$1:$C$1462,2,0)</f>
        <v>#N/A</v>
      </c>
      <c r="F3265" s="216" t="str">
        <f t="shared" si="1525"/>
        <v>Mar</v>
      </c>
      <c r="G3265" s="746" t="s">
        <v>47</v>
      </c>
      <c r="H3265" s="746" t="s">
        <v>260</v>
      </c>
      <c r="I3265" s="215" t="s">
        <v>2702</v>
      </c>
      <c r="J3265" s="747" t="s">
        <v>2702</v>
      </c>
      <c r="K3265" s="748" t="s">
        <v>2703</v>
      </c>
      <c r="L3265" s="217" t="s">
        <v>2167</v>
      </c>
      <c r="M3265" s="747" t="s">
        <v>2899</v>
      </c>
      <c r="N3265" s="915" t="s">
        <v>2704</v>
      </c>
      <c r="O3265" s="746" t="s">
        <v>1635</v>
      </c>
      <c r="P3265" s="749">
        <v>24</v>
      </c>
      <c r="Q3265" s="749">
        <v>3</v>
      </c>
      <c r="R3265" s="849">
        <v>6.1999999999999998E-3</v>
      </c>
      <c r="S3265" s="746" t="s">
        <v>352</v>
      </c>
      <c r="T3265" s="746" t="s">
        <v>56</v>
      </c>
      <c r="U3265" s="860" t="s">
        <v>739</v>
      </c>
      <c r="V3265" s="750">
        <f>4000-2262-853</f>
        <v>885</v>
      </c>
      <c r="W3265" s="750">
        <f>1+884</f>
        <v>885</v>
      </c>
      <c r="X3265" s="751"/>
      <c r="Y3265" s="752">
        <f t="shared" si="1515"/>
        <v>0</v>
      </c>
      <c r="Z3265" s="753">
        <f t="shared" si="1516"/>
        <v>0</v>
      </c>
      <c r="AA3265" s="753">
        <f t="shared" si="1526"/>
        <v>0</v>
      </c>
      <c r="AB3265" s="838">
        <v>1.83E-2</v>
      </c>
      <c r="AC3265" s="750">
        <f t="shared" si="1517"/>
        <v>0</v>
      </c>
      <c r="AD3265" s="443"/>
      <c r="AE3265" s="210">
        <f t="shared" si="1518"/>
        <v>0</v>
      </c>
      <c r="AF3265" s="210">
        <f t="shared" si="1519"/>
        <v>0</v>
      </c>
      <c r="AG3265" s="211">
        <f t="shared" si="1523"/>
        <v>0.25</v>
      </c>
      <c r="AH3265" s="157">
        <v>0.26621999999999996</v>
      </c>
      <c r="AI3265" s="152">
        <f t="shared" si="1522"/>
        <v>21240</v>
      </c>
      <c r="AK3265" s="156" t="s">
        <v>691</v>
      </c>
      <c r="AL3265" s="574" t="s">
        <v>690</v>
      </c>
      <c r="AM3265" s="198">
        <f t="shared" si="1527"/>
        <v>0</v>
      </c>
      <c r="AN3265" s="199">
        <f t="shared" si="1528"/>
        <v>46106</v>
      </c>
      <c r="AO3265" s="159" t="s">
        <v>692</v>
      </c>
      <c r="AP3265" s="781" t="s">
        <v>642</v>
      </c>
      <c r="AQ3265" s="782">
        <v>12071839</v>
      </c>
      <c r="AR3265" s="782">
        <v>12042650</v>
      </c>
      <c r="AS3265" s="782">
        <v>12042649</v>
      </c>
      <c r="AT3265" s="782"/>
      <c r="AU3265" s="783"/>
      <c r="AV3265" s="782">
        <v>12097895</v>
      </c>
      <c r="AW3265" s="783"/>
      <c r="AX3265" s="781"/>
      <c r="AY3265" s="796">
        <v>12097893</v>
      </c>
      <c r="AZ3265" s="796">
        <v>12097894</v>
      </c>
      <c r="BA3265" s="796" t="s">
        <v>2462</v>
      </c>
      <c r="BB3265" s="209">
        <v>23099860</v>
      </c>
    </row>
    <row r="3266" spans="1:54" ht="25" customHeight="1">
      <c r="B3266" s="743">
        <v>46106</v>
      </c>
      <c r="C3266" s="848" t="s">
        <v>2736</v>
      </c>
      <c r="D3266" s="215">
        <f t="shared" si="1524"/>
        <v>2026</v>
      </c>
      <c r="E3266" s="214" t="e">
        <f>VLOOKUP($B3266,Week!$A$1:$C$1462,2,0)</f>
        <v>#N/A</v>
      </c>
      <c r="F3266" s="216" t="str">
        <f t="shared" si="1525"/>
        <v>Mar</v>
      </c>
      <c r="G3266" s="746" t="s">
        <v>47</v>
      </c>
      <c r="H3266" s="746" t="s">
        <v>260</v>
      </c>
      <c r="I3266" s="215" t="s">
        <v>2702</v>
      </c>
      <c r="J3266" s="747" t="s">
        <v>2702</v>
      </c>
      <c r="K3266" s="748" t="s">
        <v>2703</v>
      </c>
      <c r="L3266" s="217" t="s">
        <v>2167</v>
      </c>
      <c r="M3266" s="747" t="s">
        <v>2899</v>
      </c>
      <c r="N3266" s="915" t="s">
        <v>2704</v>
      </c>
      <c r="O3266" s="746" t="s">
        <v>1635</v>
      </c>
      <c r="P3266" s="749">
        <v>24</v>
      </c>
      <c r="Q3266" s="749">
        <v>3</v>
      </c>
      <c r="R3266" s="849">
        <v>6.1999999999999998E-3</v>
      </c>
      <c r="S3266" s="746" t="s">
        <v>352</v>
      </c>
      <c r="T3266" s="746" t="s">
        <v>56</v>
      </c>
      <c r="U3266" s="860" t="s">
        <v>739</v>
      </c>
      <c r="V3266" s="750">
        <v>3314</v>
      </c>
      <c r="W3266" s="750">
        <f>4048-884+150</f>
        <v>3314</v>
      </c>
      <c r="X3266" s="751"/>
      <c r="Y3266" s="752">
        <f t="shared" si="1515"/>
        <v>0</v>
      </c>
      <c r="Z3266" s="753">
        <f t="shared" si="1516"/>
        <v>0</v>
      </c>
      <c r="AA3266" s="753">
        <f t="shared" si="1526"/>
        <v>0</v>
      </c>
      <c r="AB3266" s="838">
        <v>1.83E-2</v>
      </c>
      <c r="AC3266" s="750">
        <f t="shared" si="1517"/>
        <v>0</v>
      </c>
      <c r="AD3266" s="443"/>
      <c r="AE3266" s="210">
        <f t="shared" si="1518"/>
        <v>0</v>
      </c>
      <c r="AF3266" s="210">
        <f t="shared" si="1519"/>
        <v>0</v>
      </c>
      <c r="AG3266" s="211">
        <f t="shared" si="1523"/>
        <v>0.25</v>
      </c>
      <c r="AH3266" s="157">
        <v>0.26621999999999996</v>
      </c>
      <c r="AI3266" s="152">
        <f t="shared" si="1522"/>
        <v>79536</v>
      </c>
      <c r="AK3266" s="156" t="s">
        <v>691</v>
      </c>
      <c r="AL3266" s="574" t="s">
        <v>690</v>
      </c>
      <c r="AM3266" s="198">
        <f t="shared" si="1527"/>
        <v>0</v>
      </c>
      <c r="AN3266" s="199">
        <f t="shared" si="1528"/>
        <v>46106</v>
      </c>
      <c r="AO3266" s="159" t="s">
        <v>692</v>
      </c>
      <c r="AP3266" s="781" t="s">
        <v>642</v>
      </c>
      <c r="AQ3266" s="782">
        <v>12071839</v>
      </c>
      <c r="AR3266" s="782">
        <v>12042650</v>
      </c>
      <c r="AS3266" s="782">
        <v>12042649</v>
      </c>
      <c r="AT3266" s="782"/>
      <c r="AU3266" s="783"/>
      <c r="AV3266" s="782">
        <v>12097895</v>
      </c>
      <c r="AW3266" s="783"/>
      <c r="AX3266" s="781"/>
      <c r="AY3266" s="796">
        <v>12097893</v>
      </c>
      <c r="AZ3266" s="796">
        <v>12097894</v>
      </c>
      <c r="BA3266" s="796" t="s">
        <v>2462</v>
      </c>
      <c r="BB3266" s="209">
        <v>23099860</v>
      </c>
    </row>
    <row r="3267" spans="1:54" ht="25" customHeight="1">
      <c r="A3267" s="142" t="s">
        <v>120</v>
      </c>
      <c r="B3267" s="546">
        <v>46107</v>
      </c>
      <c r="C3267" s="547">
        <v>46113</v>
      </c>
      <c r="D3267" s="549">
        <f t="shared" si="1524"/>
        <v>2026</v>
      </c>
      <c r="E3267" s="547" t="e">
        <f>VLOOKUP($B3267,Week!$A$1:$C$1462,2,0)</f>
        <v>#N/A</v>
      </c>
      <c r="F3267" s="548" t="str">
        <f t="shared" si="1525"/>
        <v>Mar</v>
      </c>
      <c r="G3267" s="549" t="s">
        <v>2866</v>
      </c>
      <c r="H3267" s="549" t="s">
        <v>500</v>
      </c>
      <c r="I3267" s="549" t="s">
        <v>2772</v>
      </c>
      <c r="J3267" s="550" t="s">
        <v>285</v>
      </c>
      <c r="K3267" s="551" t="s">
        <v>153</v>
      </c>
      <c r="L3267" s="551" t="s">
        <v>2166</v>
      </c>
      <c r="M3267" s="550" t="s">
        <v>579</v>
      </c>
      <c r="N3267" s="549" t="s">
        <v>2745</v>
      </c>
      <c r="O3267" s="549" t="s">
        <v>2746</v>
      </c>
      <c r="P3267" s="552">
        <v>10</v>
      </c>
      <c r="Q3267" s="552">
        <v>60</v>
      </c>
      <c r="R3267" s="553">
        <v>6.8100000000000001E-3</v>
      </c>
      <c r="S3267" s="549" t="s">
        <v>76</v>
      </c>
      <c r="T3267" s="549" t="s">
        <v>56</v>
      </c>
      <c r="U3267" s="549" t="s">
        <v>89</v>
      </c>
      <c r="V3267" s="554">
        <f>1360-357-618</f>
        <v>385</v>
      </c>
      <c r="W3267" s="554">
        <v>303</v>
      </c>
      <c r="X3267" s="555">
        <f>(820)/10</f>
        <v>82</v>
      </c>
      <c r="Y3267" s="556">
        <f t="shared" si="1515"/>
        <v>0</v>
      </c>
      <c r="Z3267" s="557">
        <f t="shared" si="1516"/>
        <v>0</v>
      </c>
      <c r="AA3267" s="557">
        <f t="shared" si="1526"/>
        <v>0</v>
      </c>
      <c r="AB3267" s="833">
        <v>6</v>
      </c>
      <c r="AC3267" s="554">
        <f t="shared" si="1517"/>
        <v>0</v>
      </c>
      <c r="AD3267" s="209"/>
      <c r="AE3267" s="210">
        <f t="shared" si="1518"/>
        <v>0</v>
      </c>
      <c r="AF3267" s="210">
        <f t="shared" si="1519"/>
        <v>0</v>
      </c>
      <c r="AG3267" s="211">
        <f t="shared" si="1523"/>
        <v>0.75</v>
      </c>
      <c r="AH3267" s="157">
        <f>(Z3267*AG3267)/1000</f>
        <v>0</v>
      </c>
      <c r="AI3267" s="152">
        <f t="shared" si="1522"/>
        <v>3850</v>
      </c>
      <c r="AK3267" s="156" t="s">
        <v>691</v>
      </c>
      <c r="AL3267" s="156" t="s">
        <v>689</v>
      </c>
      <c r="AM3267" s="198">
        <f t="shared" si="1527"/>
        <v>0</v>
      </c>
      <c r="AN3267" s="199">
        <f t="shared" si="1528"/>
        <v>46107</v>
      </c>
      <c r="AO3267" s="159" t="s">
        <v>692</v>
      </c>
      <c r="AP3267" s="783" t="s">
        <v>620</v>
      </c>
      <c r="AQ3267" s="796" t="s">
        <v>422</v>
      </c>
      <c r="AR3267" s="782" t="s">
        <v>2142</v>
      </c>
      <c r="AS3267" s="781"/>
      <c r="AT3267" s="782">
        <v>12098238</v>
      </c>
      <c r="AU3267" s="782"/>
      <c r="AV3267" s="782"/>
      <c r="AW3267" s="782"/>
      <c r="AX3267" s="782">
        <v>12080741</v>
      </c>
      <c r="AY3267" s="781"/>
      <c r="AZ3267" s="781"/>
      <c r="BA3267" s="781"/>
      <c r="BB3267" s="209">
        <v>23053184</v>
      </c>
    </row>
    <row r="3268" spans="1:54" ht="25" customHeight="1">
      <c r="A3268" s="142" t="s">
        <v>120</v>
      </c>
      <c r="B3268" s="546">
        <v>46107</v>
      </c>
      <c r="C3268" s="547">
        <v>46119</v>
      </c>
      <c r="D3268" s="549">
        <f t="shared" si="1524"/>
        <v>2026</v>
      </c>
      <c r="E3268" s="547" t="e">
        <f>VLOOKUP($B3268,Week!$A$1:$C$1462,2,0)</f>
        <v>#N/A</v>
      </c>
      <c r="F3268" s="548" t="str">
        <f t="shared" si="1525"/>
        <v>Mar</v>
      </c>
      <c r="G3268" s="549" t="s">
        <v>2901</v>
      </c>
      <c r="H3268" s="549" t="s">
        <v>500</v>
      </c>
      <c r="I3268" s="549" t="s">
        <v>2772</v>
      </c>
      <c r="J3268" s="550" t="s">
        <v>285</v>
      </c>
      <c r="K3268" s="551" t="s">
        <v>153</v>
      </c>
      <c r="L3268" s="551" t="s">
        <v>2166</v>
      </c>
      <c r="M3268" s="550" t="s">
        <v>579</v>
      </c>
      <c r="N3268" s="549" t="s">
        <v>2745</v>
      </c>
      <c r="O3268" s="549" t="s">
        <v>2746</v>
      </c>
      <c r="P3268" s="552">
        <v>10</v>
      </c>
      <c r="Q3268" s="552">
        <v>60</v>
      </c>
      <c r="R3268" s="553">
        <v>6.8100000000000001E-3</v>
      </c>
      <c r="S3268" s="549" t="s">
        <v>76</v>
      </c>
      <c r="T3268" s="549" t="s">
        <v>56</v>
      </c>
      <c r="U3268" s="549" t="s">
        <v>89</v>
      </c>
      <c r="V3268" s="554">
        <v>204</v>
      </c>
      <c r="W3268" s="554"/>
      <c r="X3268" s="555">
        <f>(2040)/10</f>
        <v>204</v>
      </c>
      <c r="Y3268" s="556">
        <f t="shared" si="1515"/>
        <v>0</v>
      </c>
      <c r="Z3268" s="557">
        <f t="shared" si="1516"/>
        <v>0</v>
      </c>
      <c r="AA3268" s="557">
        <f t="shared" si="1526"/>
        <v>0</v>
      </c>
      <c r="AB3268" s="833">
        <v>6</v>
      </c>
      <c r="AC3268" s="554">
        <f t="shared" si="1517"/>
        <v>0</v>
      </c>
      <c r="AD3268" s="209"/>
      <c r="AE3268" s="210">
        <f t="shared" si="1518"/>
        <v>0</v>
      </c>
      <c r="AF3268" s="210">
        <f t="shared" si="1519"/>
        <v>0</v>
      </c>
      <c r="AG3268" s="211">
        <f t="shared" si="1523"/>
        <v>0.75</v>
      </c>
      <c r="AH3268" s="157">
        <f>(Z3268*AG3268)/1000</f>
        <v>0</v>
      </c>
      <c r="AI3268" s="152">
        <f t="shared" si="1522"/>
        <v>2040</v>
      </c>
      <c r="AK3268" s="156" t="s">
        <v>691</v>
      </c>
      <c r="AL3268" s="156" t="s">
        <v>689</v>
      </c>
      <c r="AM3268" s="198">
        <f t="shared" si="1527"/>
        <v>0</v>
      </c>
      <c r="AN3268" s="199">
        <f t="shared" si="1528"/>
        <v>46107</v>
      </c>
      <c r="AO3268" s="159" t="s">
        <v>692</v>
      </c>
      <c r="AP3268" s="783" t="s">
        <v>620</v>
      </c>
      <c r="AQ3268" s="796" t="s">
        <v>422</v>
      </c>
      <c r="AR3268" s="782" t="s">
        <v>2142</v>
      </c>
      <c r="AS3268" s="781"/>
      <c r="AT3268" s="782">
        <v>12098238</v>
      </c>
      <c r="AU3268" s="782"/>
      <c r="AV3268" s="782"/>
      <c r="AW3268" s="782"/>
      <c r="AX3268" s="782">
        <v>12080741</v>
      </c>
      <c r="AY3268" s="781"/>
      <c r="AZ3268" s="781"/>
      <c r="BA3268" s="781"/>
      <c r="BB3268" s="209">
        <v>23053184</v>
      </c>
    </row>
    <row r="3269" spans="1:54" ht="25" customHeight="1">
      <c r="B3269" s="743">
        <v>46107</v>
      </c>
      <c r="C3269" s="848" t="s">
        <v>2736</v>
      </c>
      <c r="D3269" s="215">
        <f t="shared" si="1524"/>
        <v>2026</v>
      </c>
      <c r="E3269" s="214" t="e">
        <f>VLOOKUP($B3269,Week!$A$1:$C$1462,2,0)</f>
        <v>#N/A</v>
      </c>
      <c r="F3269" s="216" t="str">
        <f t="shared" si="1525"/>
        <v>Mar</v>
      </c>
      <c r="G3269" s="746" t="s">
        <v>47</v>
      </c>
      <c r="H3269" s="746" t="s">
        <v>260</v>
      </c>
      <c r="I3269" s="215" t="s">
        <v>2702</v>
      </c>
      <c r="J3269" s="747" t="s">
        <v>2702</v>
      </c>
      <c r="K3269" s="748" t="s">
        <v>2703</v>
      </c>
      <c r="L3269" s="217" t="s">
        <v>2167</v>
      </c>
      <c r="M3269" s="747" t="s">
        <v>2899</v>
      </c>
      <c r="N3269" s="915" t="s">
        <v>2704</v>
      </c>
      <c r="O3269" s="746" t="s">
        <v>1635</v>
      </c>
      <c r="P3269" s="749">
        <v>24</v>
      </c>
      <c r="Q3269" s="749">
        <v>3</v>
      </c>
      <c r="R3269" s="849">
        <v>6.1999999999999998E-3</v>
      </c>
      <c r="S3269" s="746" t="s">
        <v>352</v>
      </c>
      <c r="T3269" s="746" t="s">
        <v>56</v>
      </c>
      <c r="U3269" s="860" t="s">
        <v>739</v>
      </c>
      <c r="V3269" s="750">
        <v>4097</v>
      </c>
      <c r="W3269" s="750">
        <f>4097</f>
        <v>4097</v>
      </c>
      <c r="X3269" s="751"/>
      <c r="Y3269" s="752">
        <f t="shared" si="1515"/>
        <v>0</v>
      </c>
      <c r="Z3269" s="753">
        <f t="shared" si="1516"/>
        <v>0</v>
      </c>
      <c r="AA3269" s="753">
        <f t="shared" si="1526"/>
        <v>0</v>
      </c>
      <c r="AB3269" s="838">
        <v>1.83E-2</v>
      </c>
      <c r="AC3269" s="750">
        <f t="shared" si="1517"/>
        <v>0</v>
      </c>
      <c r="AD3269" s="443"/>
      <c r="AE3269" s="210">
        <f t="shared" si="1518"/>
        <v>0</v>
      </c>
      <c r="AF3269" s="210">
        <f t="shared" si="1519"/>
        <v>0</v>
      </c>
      <c r="AG3269" s="211">
        <f t="shared" si="1523"/>
        <v>0.25</v>
      </c>
      <c r="AH3269" s="157">
        <v>0.26621999999999996</v>
      </c>
      <c r="AI3269" s="152">
        <f t="shared" si="1522"/>
        <v>98328</v>
      </c>
      <c r="AK3269" s="156" t="s">
        <v>691</v>
      </c>
      <c r="AL3269" s="574" t="s">
        <v>690</v>
      </c>
      <c r="AM3269" s="198">
        <f t="shared" si="1527"/>
        <v>0</v>
      </c>
      <c r="AN3269" s="199">
        <f t="shared" si="1528"/>
        <v>46107</v>
      </c>
      <c r="AO3269" s="159" t="s">
        <v>692</v>
      </c>
      <c r="AP3269" s="781" t="s">
        <v>642</v>
      </c>
      <c r="AQ3269" s="782">
        <v>12071839</v>
      </c>
      <c r="AR3269" s="782">
        <v>12042650</v>
      </c>
      <c r="AS3269" s="782">
        <v>12042649</v>
      </c>
      <c r="AT3269" s="782"/>
      <c r="AU3269" s="783"/>
      <c r="AV3269" s="782">
        <v>12097895</v>
      </c>
      <c r="AW3269" s="783"/>
      <c r="AX3269" s="781"/>
      <c r="AY3269" s="796">
        <v>12097893</v>
      </c>
      <c r="AZ3269" s="796">
        <v>12097894</v>
      </c>
      <c r="BA3269" s="796" t="s">
        <v>2462</v>
      </c>
      <c r="BB3269" s="209">
        <v>23099860</v>
      </c>
    </row>
    <row r="3270" spans="1:54" ht="25" customHeight="1">
      <c r="A3270" s="142" t="s">
        <v>120</v>
      </c>
      <c r="B3270" s="546">
        <v>46108</v>
      </c>
      <c r="C3270" s="547">
        <v>46119</v>
      </c>
      <c r="D3270" s="549">
        <f t="shared" si="1524"/>
        <v>2026</v>
      </c>
      <c r="E3270" s="547" t="e">
        <f>VLOOKUP($B3270,Week!$A$1:$C$1462,2,0)</f>
        <v>#N/A</v>
      </c>
      <c r="F3270" s="548" t="str">
        <f t="shared" si="1525"/>
        <v>Mar</v>
      </c>
      <c r="G3270" s="549" t="s">
        <v>2901</v>
      </c>
      <c r="H3270" s="549" t="s">
        <v>500</v>
      </c>
      <c r="I3270" s="549" t="s">
        <v>2772</v>
      </c>
      <c r="J3270" s="550" t="s">
        <v>285</v>
      </c>
      <c r="K3270" s="551" t="s">
        <v>153</v>
      </c>
      <c r="L3270" s="551" t="s">
        <v>2166</v>
      </c>
      <c r="M3270" s="550" t="s">
        <v>579</v>
      </c>
      <c r="N3270" s="549" t="s">
        <v>2745</v>
      </c>
      <c r="O3270" s="549" t="s">
        <v>2746</v>
      </c>
      <c r="P3270" s="552">
        <v>10</v>
      </c>
      <c r="Q3270" s="552">
        <v>60</v>
      </c>
      <c r="R3270" s="553">
        <v>6.8100000000000001E-3</v>
      </c>
      <c r="S3270" s="549" t="s">
        <v>76</v>
      </c>
      <c r="T3270" s="549" t="s">
        <v>56</v>
      </c>
      <c r="U3270" s="549" t="s">
        <v>89</v>
      </c>
      <c r="V3270" s="554">
        <v>622</v>
      </c>
      <c r="W3270" s="554">
        <f>622</f>
        <v>622</v>
      </c>
      <c r="X3270" s="555"/>
      <c r="Y3270" s="556">
        <f t="shared" si="1515"/>
        <v>0</v>
      </c>
      <c r="Z3270" s="557">
        <f t="shared" si="1516"/>
        <v>0</v>
      </c>
      <c r="AA3270" s="557">
        <f t="shared" si="1526"/>
        <v>0</v>
      </c>
      <c r="AB3270" s="833">
        <v>6</v>
      </c>
      <c r="AC3270" s="554">
        <f t="shared" si="1517"/>
        <v>0</v>
      </c>
      <c r="AD3270" s="209"/>
      <c r="AE3270" s="210">
        <f t="shared" si="1518"/>
        <v>0</v>
      </c>
      <c r="AF3270" s="210">
        <f t="shared" si="1519"/>
        <v>0</v>
      </c>
      <c r="AG3270" s="211">
        <f t="shared" si="1523"/>
        <v>0.75</v>
      </c>
      <c r="AH3270" s="157">
        <f>(Z3270*AG3270)/1000</f>
        <v>0</v>
      </c>
      <c r="AI3270" s="152">
        <f t="shared" si="1522"/>
        <v>6220</v>
      </c>
      <c r="AK3270" s="156" t="s">
        <v>691</v>
      </c>
      <c r="AL3270" s="156" t="s">
        <v>689</v>
      </c>
      <c r="AM3270" s="198">
        <f t="shared" si="1527"/>
        <v>0</v>
      </c>
      <c r="AN3270" s="199">
        <f t="shared" si="1528"/>
        <v>46108</v>
      </c>
      <c r="AO3270" s="159" t="s">
        <v>692</v>
      </c>
      <c r="AP3270" s="783" t="s">
        <v>620</v>
      </c>
      <c r="AQ3270" s="796" t="s">
        <v>422</v>
      </c>
      <c r="AR3270" s="782" t="s">
        <v>2142</v>
      </c>
      <c r="AS3270" s="781"/>
      <c r="AT3270" s="782">
        <v>12098238</v>
      </c>
      <c r="AU3270" s="782"/>
      <c r="AV3270" s="782"/>
      <c r="AW3270" s="782"/>
      <c r="AX3270" s="782">
        <v>12080741</v>
      </c>
      <c r="AY3270" s="781"/>
      <c r="AZ3270" s="781"/>
      <c r="BA3270" s="781"/>
      <c r="BB3270" s="209">
        <v>23053184</v>
      </c>
    </row>
    <row r="3271" spans="1:54" ht="25" customHeight="1">
      <c r="B3271" s="213">
        <v>46108</v>
      </c>
      <c r="C3271" s="902" t="s">
        <v>2708</v>
      </c>
      <c r="D3271" s="215">
        <f t="shared" si="1524"/>
        <v>2026</v>
      </c>
      <c r="E3271" s="214" t="e">
        <f>VLOOKUP($B3271,Week!$A$1:$C$1462,2,0)</f>
        <v>#N/A</v>
      </c>
      <c r="F3271" s="216" t="str">
        <f t="shared" si="1525"/>
        <v>Mar</v>
      </c>
      <c r="G3271" s="215" t="s">
        <v>47</v>
      </c>
      <c r="H3271" s="215" t="s">
        <v>518</v>
      </c>
      <c r="I3271" s="215" t="s">
        <v>2702</v>
      </c>
      <c r="J3271" s="209" t="s">
        <v>2702</v>
      </c>
      <c r="K3271" s="217" t="s">
        <v>2703</v>
      </c>
      <c r="L3271" s="217" t="s">
        <v>2167</v>
      </c>
      <c r="M3271" s="209" t="s">
        <v>2898</v>
      </c>
      <c r="N3271" s="480" t="s">
        <v>2900</v>
      </c>
      <c r="O3271" s="215" t="s">
        <v>2897</v>
      </c>
      <c r="P3271" s="218">
        <v>12</v>
      </c>
      <c r="Q3271" s="218">
        <v>3</v>
      </c>
      <c r="R3271" s="219">
        <v>6.1999999999999998E-3</v>
      </c>
      <c r="S3271" s="215" t="s">
        <v>352</v>
      </c>
      <c r="T3271" s="215" t="s">
        <v>56</v>
      </c>
      <c r="U3271" s="852" t="s">
        <v>739</v>
      </c>
      <c r="V3271" s="220">
        <f>1500</f>
        <v>1500</v>
      </c>
      <c r="W3271" s="220">
        <v>1500</v>
      </c>
      <c r="X3271" s="221"/>
      <c r="Y3271" s="222">
        <f t="shared" si="1515"/>
        <v>0</v>
      </c>
      <c r="Z3271" s="223">
        <f t="shared" si="1516"/>
        <v>0</v>
      </c>
      <c r="AA3271" s="223">
        <f t="shared" si="1526"/>
        <v>0</v>
      </c>
      <c r="AB3271" s="807">
        <v>1.83E-2</v>
      </c>
      <c r="AC3271" s="220">
        <f t="shared" si="1517"/>
        <v>0</v>
      </c>
      <c r="AD3271" s="443"/>
      <c r="AE3271" s="210">
        <f t="shared" si="1518"/>
        <v>0</v>
      </c>
      <c r="AF3271" s="210">
        <f t="shared" si="1519"/>
        <v>0</v>
      </c>
      <c r="AG3271" s="211">
        <f t="shared" si="1523"/>
        <v>0.25</v>
      </c>
      <c r="AH3271" s="157">
        <v>0.26621999999999996</v>
      </c>
      <c r="AI3271" s="152">
        <f t="shared" si="1522"/>
        <v>18000</v>
      </c>
      <c r="AK3271" s="156" t="s">
        <v>691</v>
      </c>
      <c r="AL3271" s="574" t="s">
        <v>690</v>
      </c>
      <c r="AM3271" s="198">
        <f t="shared" si="1527"/>
        <v>0</v>
      </c>
      <c r="AN3271" s="199">
        <f t="shared" si="1528"/>
        <v>46108</v>
      </c>
      <c r="AO3271" s="159" t="s">
        <v>692</v>
      </c>
      <c r="AP3271" s="781" t="s">
        <v>642</v>
      </c>
      <c r="AQ3271" s="782">
        <v>12063755</v>
      </c>
      <c r="AR3271" s="782">
        <v>12042650</v>
      </c>
      <c r="AS3271" s="782">
        <v>12042649</v>
      </c>
      <c r="AT3271" s="782"/>
      <c r="AU3271" s="783"/>
      <c r="AV3271" s="782">
        <v>12097895</v>
      </c>
      <c r="AW3271" s="783"/>
      <c r="AX3271" s="781"/>
      <c r="AY3271" s="796">
        <v>12097893</v>
      </c>
      <c r="AZ3271" s="796">
        <v>12097894</v>
      </c>
      <c r="BA3271" s="796" t="s">
        <v>2462</v>
      </c>
      <c r="BB3271" s="209">
        <v>23099860</v>
      </c>
    </row>
    <row r="3272" spans="1:54" ht="25" customHeight="1">
      <c r="B3272" s="743">
        <v>46108</v>
      </c>
      <c r="C3272" s="848" t="s">
        <v>2736</v>
      </c>
      <c r="D3272" s="215">
        <f t="shared" si="1524"/>
        <v>2026</v>
      </c>
      <c r="E3272" s="214" t="e">
        <f>VLOOKUP($B3272,Week!$A$1:$C$1462,2,0)</f>
        <v>#N/A</v>
      </c>
      <c r="F3272" s="216" t="str">
        <f t="shared" si="1525"/>
        <v>Mar</v>
      </c>
      <c r="G3272" s="746" t="s">
        <v>47</v>
      </c>
      <c r="H3272" s="746" t="s">
        <v>260</v>
      </c>
      <c r="I3272" s="215" t="s">
        <v>2702</v>
      </c>
      <c r="J3272" s="747" t="s">
        <v>2702</v>
      </c>
      <c r="K3272" s="748" t="s">
        <v>2703</v>
      </c>
      <c r="L3272" s="217" t="s">
        <v>2167</v>
      </c>
      <c r="M3272" s="747" t="s">
        <v>2899</v>
      </c>
      <c r="N3272" s="915" t="s">
        <v>2704</v>
      </c>
      <c r="O3272" s="746" t="s">
        <v>1635</v>
      </c>
      <c r="P3272" s="749">
        <v>24</v>
      </c>
      <c r="Q3272" s="749">
        <v>3</v>
      </c>
      <c r="R3272" s="849">
        <v>6.1999999999999998E-3</v>
      </c>
      <c r="S3272" s="746" t="s">
        <v>352</v>
      </c>
      <c r="T3272" s="746" t="s">
        <v>56</v>
      </c>
      <c r="U3272" s="860" t="s">
        <v>739</v>
      </c>
      <c r="V3272" s="750">
        <f>3420+3</f>
        <v>3423</v>
      </c>
      <c r="W3272" s="750">
        <f>2971+256+127+1+65+3</f>
        <v>3423</v>
      </c>
      <c r="X3272" s="751"/>
      <c r="Y3272" s="752">
        <f t="shared" si="1515"/>
        <v>0</v>
      </c>
      <c r="Z3272" s="753">
        <f t="shared" si="1516"/>
        <v>0</v>
      </c>
      <c r="AA3272" s="753">
        <f t="shared" si="1526"/>
        <v>0</v>
      </c>
      <c r="AB3272" s="838">
        <v>1.83E-2</v>
      </c>
      <c r="AC3272" s="750">
        <f t="shared" si="1517"/>
        <v>0</v>
      </c>
      <c r="AD3272" s="443" t="s">
        <v>2949</v>
      </c>
      <c r="AE3272" s="210">
        <f t="shared" si="1518"/>
        <v>0</v>
      </c>
      <c r="AF3272" s="210">
        <f t="shared" si="1519"/>
        <v>0</v>
      </c>
      <c r="AG3272" s="211">
        <f t="shared" si="1523"/>
        <v>0.25</v>
      </c>
      <c r="AH3272" s="157">
        <v>0.26621999999999996</v>
      </c>
      <c r="AI3272" s="152">
        <f t="shared" si="1522"/>
        <v>82152</v>
      </c>
      <c r="AK3272" s="156" t="s">
        <v>691</v>
      </c>
      <c r="AL3272" s="574" t="s">
        <v>690</v>
      </c>
      <c r="AM3272" s="198">
        <f t="shared" si="1527"/>
        <v>0</v>
      </c>
      <c r="AN3272" s="199">
        <f t="shared" si="1528"/>
        <v>46108</v>
      </c>
      <c r="AO3272" s="159" t="s">
        <v>692</v>
      </c>
      <c r="AP3272" s="781" t="s">
        <v>642</v>
      </c>
      <c r="AQ3272" s="782">
        <v>12071839</v>
      </c>
      <c r="AR3272" s="782">
        <v>12042650</v>
      </c>
      <c r="AS3272" s="782">
        <v>12042649</v>
      </c>
      <c r="AT3272" s="782"/>
      <c r="AU3272" s="783"/>
      <c r="AV3272" s="782">
        <v>12097895</v>
      </c>
      <c r="AW3272" s="783"/>
      <c r="AX3272" s="781"/>
      <c r="AY3272" s="796">
        <v>12097893</v>
      </c>
      <c r="AZ3272" s="796">
        <v>12097894</v>
      </c>
      <c r="BA3272" s="796" t="s">
        <v>2462</v>
      </c>
      <c r="BB3272" s="209">
        <v>23099860</v>
      </c>
    </row>
    <row r="3273" spans="1:54" ht="25" customHeight="1">
      <c r="A3273" s="142" t="s">
        <v>120</v>
      </c>
      <c r="B3273" s="546">
        <v>46109</v>
      </c>
      <c r="C3273" s="547">
        <v>46119</v>
      </c>
      <c r="D3273" s="549">
        <f t="shared" si="1524"/>
        <v>2026</v>
      </c>
      <c r="E3273" s="547" t="e">
        <f>VLOOKUP($B3273,Week!$A$1:$C$1462,2,0)</f>
        <v>#N/A</v>
      </c>
      <c r="F3273" s="548" t="str">
        <f t="shared" si="1525"/>
        <v>Mar</v>
      </c>
      <c r="G3273" s="549" t="s">
        <v>2901</v>
      </c>
      <c r="H3273" s="549" t="s">
        <v>500</v>
      </c>
      <c r="I3273" s="549" t="s">
        <v>2772</v>
      </c>
      <c r="J3273" s="550" t="s">
        <v>285</v>
      </c>
      <c r="K3273" s="551" t="s">
        <v>153</v>
      </c>
      <c r="L3273" s="551" t="s">
        <v>2166</v>
      </c>
      <c r="M3273" s="550" t="s">
        <v>579</v>
      </c>
      <c r="N3273" s="549" t="s">
        <v>2745</v>
      </c>
      <c r="O3273" s="549" t="s">
        <v>2746</v>
      </c>
      <c r="P3273" s="552">
        <v>10</v>
      </c>
      <c r="Q3273" s="552">
        <v>60</v>
      </c>
      <c r="R3273" s="553">
        <v>6.8100000000000001E-3</v>
      </c>
      <c r="S3273" s="549" t="s">
        <v>76</v>
      </c>
      <c r="T3273" s="549" t="s">
        <v>56</v>
      </c>
      <c r="U3273" s="549" t="s">
        <v>89</v>
      </c>
      <c r="V3273" s="554">
        <f>1360-204-622</f>
        <v>534</v>
      </c>
      <c r="W3273" s="554">
        <f>534</f>
        <v>534</v>
      </c>
      <c r="X3273" s="555"/>
      <c r="Y3273" s="556">
        <f t="shared" si="1515"/>
        <v>0</v>
      </c>
      <c r="Z3273" s="557">
        <f t="shared" si="1516"/>
        <v>0</v>
      </c>
      <c r="AA3273" s="557">
        <f t="shared" si="1526"/>
        <v>0</v>
      </c>
      <c r="AB3273" s="833">
        <v>6</v>
      </c>
      <c r="AC3273" s="554">
        <f t="shared" si="1517"/>
        <v>0</v>
      </c>
      <c r="AD3273" s="209"/>
      <c r="AE3273" s="210">
        <f t="shared" si="1518"/>
        <v>0</v>
      </c>
      <c r="AF3273" s="210">
        <f t="shared" si="1519"/>
        <v>0</v>
      </c>
      <c r="AG3273" s="211">
        <f t="shared" si="1523"/>
        <v>0.75</v>
      </c>
      <c r="AH3273" s="157">
        <f t="shared" ref="AH3273:AH3278" si="1529">(Z3273*AG3273)/1000</f>
        <v>0</v>
      </c>
      <c r="AI3273" s="152">
        <f t="shared" si="1522"/>
        <v>5340</v>
      </c>
      <c r="AK3273" s="156" t="s">
        <v>691</v>
      </c>
      <c r="AL3273" s="156" t="s">
        <v>689</v>
      </c>
      <c r="AM3273" s="198">
        <f t="shared" si="1527"/>
        <v>0</v>
      </c>
      <c r="AN3273" s="199">
        <f t="shared" si="1528"/>
        <v>46109</v>
      </c>
      <c r="AO3273" s="159" t="s">
        <v>692</v>
      </c>
      <c r="AP3273" s="783" t="s">
        <v>620</v>
      </c>
      <c r="AQ3273" s="796" t="s">
        <v>422</v>
      </c>
      <c r="AR3273" s="782" t="s">
        <v>2142</v>
      </c>
      <c r="AS3273" s="781"/>
      <c r="AT3273" s="782">
        <v>12098238</v>
      </c>
      <c r="AU3273" s="782"/>
      <c r="AV3273" s="782"/>
      <c r="AW3273" s="782"/>
      <c r="AX3273" s="782">
        <v>12080741</v>
      </c>
      <c r="AY3273" s="781"/>
      <c r="AZ3273" s="781"/>
      <c r="BA3273" s="781"/>
      <c r="BB3273" s="209">
        <v>23053184</v>
      </c>
    </row>
    <row r="3274" spans="1:54" ht="24.65" customHeight="1">
      <c r="B3274" s="308">
        <v>46109</v>
      </c>
      <c r="C3274" s="309">
        <v>46119</v>
      </c>
      <c r="D3274" s="185">
        <f t="shared" si="1524"/>
        <v>2026</v>
      </c>
      <c r="E3274" s="309" t="e">
        <f>VLOOKUP($B3274,Week!$A$1:$C$1462,2,0)</f>
        <v>#N/A</v>
      </c>
      <c r="F3274" s="310" t="str">
        <f t="shared" si="1525"/>
        <v>Mar</v>
      </c>
      <c r="G3274" s="311" t="s">
        <v>2855</v>
      </c>
      <c r="H3274" s="311" t="s">
        <v>311</v>
      </c>
      <c r="I3274" s="311" t="s">
        <v>2772</v>
      </c>
      <c r="J3274" s="312" t="s">
        <v>738</v>
      </c>
      <c r="K3274" s="313" t="s">
        <v>107</v>
      </c>
      <c r="L3274" s="300" t="s">
        <v>2167</v>
      </c>
      <c r="M3274" s="312" t="s">
        <v>313</v>
      </c>
      <c r="N3274" s="311" t="s">
        <v>314</v>
      </c>
      <c r="O3274" s="311" t="s">
        <v>110</v>
      </c>
      <c r="P3274" s="314">
        <v>36</v>
      </c>
      <c r="Q3274" s="314">
        <v>5</v>
      </c>
      <c r="R3274" s="315">
        <v>7.4999999999999997E-3</v>
      </c>
      <c r="S3274" s="311" t="s">
        <v>111</v>
      </c>
      <c r="T3274" s="311" t="s">
        <v>112</v>
      </c>
      <c r="U3274" s="311" t="s">
        <v>57</v>
      </c>
      <c r="V3274" s="316">
        <v>792</v>
      </c>
      <c r="W3274" s="316">
        <f>43+669</f>
        <v>712</v>
      </c>
      <c r="X3274" s="317">
        <f>80</f>
        <v>80</v>
      </c>
      <c r="Y3274" s="318">
        <f t="shared" si="1515"/>
        <v>0</v>
      </c>
      <c r="Z3274" s="319">
        <f t="shared" si="1516"/>
        <v>0</v>
      </c>
      <c r="AA3274" s="319">
        <f t="shared" si="1526"/>
        <v>0</v>
      </c>
      <c r="AB3274" s="815">
        <v>7.4999999999999997E-3</v>
      </c>
      <c r="AC3274" s="316">
        <f t="shared" si="1517"/>
        <v>0</v>
      </c>
      <c r="AD3274" s="209"/>
      <c r="AE3274" s="210">
        <f t="shared" si="1518"/>
        <v>0</v>
      </c>
      <c r="AF3274" s="210">
        <f t="shared" si="1519"/>
        <v>0</v>
      </c>
      <c r="AG3274" s="211">
        <f t="shared" si="1523"/>
        <v>0.308</v>
      </c>
      <c r="AH3274" s="157">
        <f t="shared" si="1529"/>
        <v>0</v>
      </c>
      <c r="AI3274" s="152">
        <f t="shared" si="1522"/>
        <v>28512</v>
      </c>
      <c r="AK3274" s="156" t="s">
        <v>691</v>
      </c>
      <c r="AL3274" s="212" t="s">
        <v>690</v>
      </c>
      <c r="AM3274" s="198">
        <f t="shared" si="1527"/>
        <v>0</v>
      </c>
      <c r="AN3274" s="199">
        <f t="shared" si="1528"/>
        <v>46109</v>
      </c>
      <c r="AO3274" s="159" t="s">
        <v>692</v>
      </c>
      <c r="AP3274" s="783" t="s">
        <v>644</v>
      </c>
      <c r="AQ3274" s="782">
        <v>12063755</v>
      </c>
      <c r="AR3274" s="782">
        <v>12061353</v>
      </c>
      <c r="AS3274" s="782">
        <v>12061354</v>
      </c>
      <c r="AT3274" s="782">
        <v>12062266</v>
      </c>
      <c r="AU3274" s="781"/>
      <c r="AV3274" s="782">
        <v>12088159</v>
      </c>
      <c r="AW3274" s="782">
        <v>12088207</v>
      </c>
      <c r="AX3274" s="782"/>
      <c r="AY3274" s="782">
        <v>12094237</v>
      </c>
      <c r="AZ3274" s="782"/>
      <c r="BA3274" s="781"/>
      <c r="BB3274" s="209">
        <v>23053185</v>
      </c>
    </row>
    <row r="3275" spans="1:54" ht="24.65" customHeight="1">
      <c r="B3275" s="308">
        <v>46109</v>
      </c>
      <c r="C3275" s="309">
        <v>46119</v>
      </c>
      <c r="D3275" s="185">
        <f t="shared" si="1524"/>
        <v>2026</v>
      </c>
      <c r="E3275" s="309" t="e">
        <f>VLOOKUP($B3275,Week!$A$1:$C$1462,2,0)</f>
        <v>#N/A</v>
      </c>
      <c r="F3275" s="310" t="str">
        <f t="shared" si="1525"/>
        <v>Mar</v>
      </c>
      <c r="G3275" s="311" t="s">
        <v>2856</v>
      </c>
      <c r="H3275" s="311" t="s">
        <v>311</v>
      </c>
      <c r="I3275" s="311" t="s">
        <v>2772</v>
      </c>
      <c r="J3275" s="312" t="s">
        <v>738</v>
      </c>
      <c r="K3275" s="313" t="s">
        <v>107</v>
      </c>
      <c r="L3275" s="300" t="s">
        <v>2167</v>
      </c>
      <c r="M3275" s="312" t="s">
        <v>313</v>
      </c>
      <c r="N3275" s="311" t="s">
        <v>314</v>
      </c>
      <c r="O3275" s="311" t="s">
        <v>110</v>
      </c>
      <c r="P3275" s="314">
        <v>36</v>
      </c>
      <c r="Q3275" s="314">
        <v>5</v>
      </c>
      <c r="R3275" s="315">
        <v>7.4999999999999997E-3</v>
      </c>
      <c r="S3275" s="311" t="s">
        <v>111</v>
      </c>
      <c r="T3275" s="311" t="s">
        <v>112</v>
      </c>
      <c r="U3275" s="311" t="s">
        <v>57</v>
      </c>
      <c r="V3275" s="316">
        <v>792</v>
      </c>
      <c r="W3275" s="316">
        <f>712</f>
        <v>712</v>
      </c>
      <c r="X3275" s="317">
        <v>80</v>
      </c>
      <c r="Y3275" s="318">
        <f t="shared" si="1515"/>
        <v>0</v>
      </c>
      <c r="Z3275" s="319">
        <f t="shared" si="1516"/>
        <v>0</v>
      </c>
      <c r="AA3275" s="319">
        <f t="shared" si="1526"/>
        <v>0</v>
      </c>
      <c r="AB3275" s="815">
        <v>7.4999999999999997E-3</v>
      </c>
      <c r="AC3275" s="316">
        <f t="shared" si="1517"/>
        <v>0</v>
      </c>
      <c r="AD3275" s="443"/>
      <c r="AE3275" s="210">
        <f t="shared" si="1518"/>
        <v>0</v>
      </c>
      <c r="AF3275" s="210">
        <f t="shared" si="1519"/>
        <v>0</v>
      </c>
      <c r="AG3275" s="211">
        <f t="shared" si="1523"/>
        <v>0.308</v>
      </c>
      <c r="AH3275" s="157">
        <f t="shared" si="1529"/>
        <v>0</v>
      </c>
      <c r="AI3275" s="152">
        <f t="shared" si="1522"/>
        <v>28512</v>
      </c>
      <c r="AK3275" s="156" t="s">
        <v>691</v>
      </c>
      <c r="AL3275" s="212" t="s">
        <v>690</v>
      </c>
      <c r="AM3275" s="198">
        <f t="shared" si="1527"/>
        <v>0</v>
      </c>
      <c r="AN3275" s="199">
        <f t="shared" si="1528"/>
        <v>46109</v>
      </c>
      <c r="AO3275" s="159" t="s">
        <v>692</v>
      </c>
      <c r="AP3275" s="783" t="s">
        <v>644</v>
      </c>
      <c r="AQ3275" s="782">
        <v>12063755</v>
      </c>
      <c r="AR3275" s="782">
        <v>12061353</v>
      </c>
      <c r="AS3275" s="782">
        <v>12061354</v>
      </c>
      <c r="AT3275" s="782">
        <v>12062266</v>
      </c>
      <c r="AU3275" s="781"/>
      <c r="AV3275" s="782">
        <v>12088159</v>
      </c>
      <c r="AW3275" s="782">
        <v>12088207</v>
      </c>
      <c r="AX3275" s="782"/>
      <c r="AY3275" s="782">
        <v>12094237</v>
      </c>
      <c r="AZ3275" s="782"/>
      <c r="BA3275" s="781"/>
      <c r="BB3275" s="209">
        <v>23053185</v>
      </c>
    </row>
    <row r="3276" spans="1:54" ht="24.65" customHeight="1">
      <c r="B3276" s="308">
        <v>46109</v>
      </c>
      <c r="C3276" s="309">
        <v>46119</v>
      </c>
      <c r="D3276" s="185">
        <f t="shared" si="1524"/>
        <v>2026</v>
      </c>
      <c r="E3276" s="309" t="e">
        <f>VLOOKUP($B3276,Week!$A$1:$C$1462,2,0)</f>
        <v>#N/A</v>
      </c>
      <c r="F3276" s="310" t="str">
        <f t="shared" si="1525"/>
        <v>Mar</v>
      </c>
      <c r="G3276" s="311" t="s">
        <v>2857</v>
      </c>
      <c r="H3276" s="311" t="s">
        <v>311</v>
      </c>
      <c r="I3276" s="311" t="s">
        <v>2772</v>
      </c>
      <c r="J3276" s="312" t="s">
        <v>738</v>
      </c>
      <c r="K3276" s="313" t="s">
        <v>107</v>
      </c>
      <c r="L3276" s="300" t="s">
        <v>2167</v>
      </c>
      <c r="M3276" s="312" t="s">
        <v>313</v>
      </c>
      <c r="N3276" s="311" t="s">
        <v>314</v>
      </c>
      <c r="O3276" s="311" t="s">
        <v>110</v>
      </c>
      <c r="P3276" s="314">
        <v>36</v>
      </c>
      <c r="Q3276" s="314">
        <v>5</v>
      </c>
      <c r="R3276" s="315">
        <v>7.4999999999999997E-3</v>
      </c>
      <c r="S3276" s="311" t="s">
        <v>111</v>
      </c>
      <c r="T3276" s="311" t="s">
        <v>112</v>
      </c>
      <c r="U3276" s="311" t="s">
        <v>57</v>
      </c>
      <c r="V3276" s="316">
        <v>792</v>
      </c>
      <c r="W3276" s="316">
        <f>2093-669-712</f>
        <v>712</v>
      </c>
      <c r="X3276" s="317">
        <v>80</v>
      </c>
      <c r="Y3276" s="318">
        <f t="shared" si="1515"/>
        <v>0</v>
      </c>
      <c r="Z3276" s="319">
        <f t="shared" si="1516"/>
        <v>0</v>
      </c>
      <c r="AA3276" s="319">
        <f t="shared" si="1526"/>
        <v>0</v>
      </c>
      <c r="AB3276" s="815">
        <v>7.4999999999999997E-3</v>
      </c>
      <c r="AC3276" s="316">
        <f t="shared" si="1517"/>
        <v>0</v>
      </c>
      <c r="AD3276" s="209"/>
      <c r="AE3276" s="210">
        <f t="shared" si="1518"/>
        <v>0</v>
      </c>
      <c r="AF3276" s="210">
        <f t="shared" si="1519"/>
        <v>0</v>
      </c>
      <c r="AG3276" s="211">
        <f t="shared" si="1523"/>
        <v>0.308</v>
      </c>
      <c r="AH3276" s="157">
        <f t="shared" si="1529"/>
        <v>0</v>
      </c>
      <c r="AI3276" s="152">
        <f t="shared" si="1522"/>
        <v>28512</v>
      </c>
      <c r="AK3276" s="156" t="s">
        <v>691</v>
      </c>
      <c r="AL3276" s="212" t="s">
        <v>690</v>
      </c>
      <c r="AM3276" s="198">
        <f t="shared" si="1527"/>
        <v>0</v>
      </c>
      <c r="AN3276" s="199">
        <f t="shared" si="1528"/>
        <v>46109</v>
      </c>
      <c r="AO3276" s="159" t="s">
        <v>692</v>
      </c>
      <c r="AP3276" s="783" t="s">
        <v>644</v>
      </c>
      <c r="AQ3276" s="782">
        <v>12063755</v>
      </c>
      <c r="AR3276" s="782">
        <v>12061353</v>
      </c>
      <c r="AS3276" s="782">
        <v>12061354</v>
      </c>
      <c r="AT3276" s="782">
        <v>12062266</v>
      </c>
      <c r="AU3276" s="781"/>
      <c r="AV3276" s="782">
        <v>12088159</v>
      </c>
      <c r="AW3276" s="782">
        <v>12088207</v>
      </c>
      <c r="AX3276" s="782"/>
      <c r="AY3276" s="782">
        <v>12094237</v>
      </c>
      <c r="AZ3276" s="782"/>
      <c r="BA3276" s="781"/>
      <c r="BB3276" s="209">
        <v>23053185</v>
      </c>
    </row>
    <row r="3277" spans="1:54" ht="24.65" customHeight="1">
      <c r="B3277" s="224">
        <v>46109</v>
      </c>
      <c r="C3277" s="224">
        <v>46120</v>
      </c>
      <c r="D3277" s="185">
        <f t="shared" si="1524"/>
        <v>2026</v>
      </c>
      <c r="E3277" s="224" t="e">
        <f>VLOOKUP($B3277,Week!$A$1:$C$1462,2,0)</f>
        <v>#N/A</v>
      </c>
      <c r="F3277" s="226" t="str">
        <f t="shared" si="1525"/>
        <v>Mar</v>
      </c>
      <c r="G3277" s="642" t="s">
        <v>2882</v>
      </c>
      <c r="H3277" s="225" t="s">
        <v>104</v>
      </c>
      <c r="I3277" s="225" t="s">
        <v>2772</v>
      </c>
      <c r="J3277" s="227" t="s">
        <v>105</v>
      </c>
      <c r="K3277" s="228" t="s">
        <v>676</v>
      </c>
      <c r="L3277" s="300" t="s">
        <v>2167</v>
      </c>
      <c r="M3277" s="227" t="s">
        <v>108</v>
      </c>
      <c r="N3277" s="225" t="s">
        <v>688</v>
      </c>
      <c r="O3277" s="225" t="s">
        <v>428</v>
      </c>
      <c r="P3277" s="229">
        <v>24</v>
      </c>
      <c r="Q3277" s="229">
        <v>5</v>
      </c>
      <c r="R3277" s="230">
        <v>6.0000000000000001E-3</v>
      </c>
      <c r="S3277" s="225" t="s">
        <v>55</v>
      </c>
      <c r="T3277" s="225" t="s">
        <v>112</v>
      </c>
      <c r="U3277" s="225" t="s">
        <v>113</v>
      </c>
      <c r="V3277" s="231">
        <f>170</f>
        <v>170</v>
      </c>
      <c r="W3277" s="231">
        <f>120</f>
        <v>120</v>
      </c>
      <c r="X3277" s="232">
        <f>1200/24</f>
        <v>50</v>
      </c>
      <c r="Y3277" s="233">
        <f t="shared" si="1515"/>
        <v>0</v>
      </c>
      <c r="Z3277" s="234">
        <f t="shared" si="1516"/>
        <v>0</v>
      </c>
      <c r="AA3277" s="234">
        <f t="shared" si="1526"/>
        <v>0</v>
      </c>
      <c r="AB3277" s="822">
        <v>9.7000000000000003E-3</v>
      </c>
      <c r="AC3277" s="231">
        <f t="shared" si="1517"/>
        <v>0</v>
      </c>
      <c r="AD3277" s="209"/>
      <c r="AE3277" s="210">
        <f t="shared" si="1518"/>
        <v>0</v>
      </c>
      <c r="AF3277" s="210">
        <f t="shared" si="1519"/>
        <v>0</v>
      </c>
      <c r="AG3277" s="211">
        <f t="shared" si="1523"/>
        <v>0.308</v>
      </c>
      <c r="AH3277" s="157">
        <f t="shared" si="1529"/>
        <v>0</v>
      </c>
      <c r="AI3277" s="152">
        <f t="shared" si="1522"/>
        <v>4080</v>
      </c>
      <c r="AK3277" s="156" t="s">
        <v>691</v>
      </c>
      <c r="AL3277" s="212" t="s">
        <v>690</v>
      </c>
      <c r="AM3277" s="198">
        <f t="shared" si="1527"/>
        <v>0</v>
      </c>
      <c r="AN3277" s="199">
        <f t="shared" si="1528"/>
        <v>46109</v>
      </c>
      <c r="AO3277" s="159" t="s">
        <v>692</v>
      </c>
      <c r="AP3277" s="783" t="s">
        <v>629</v>
      </c>
      <c r="AQ3277" s="782">
        <v>12063755</v>
      </c>
      <c r="AR3277" s="782">
        <v>12061353</v>
      </c>
      <c r="AS3277" s="782">
        <v>12061354</v>
      </c>
      <c r="AT3277" s="782">
        <v>12085752</v>
      </c>
      <c r="AU3277" s="781"/>
      <c r="AV3277" s="782">
        <v>12069473</v>
      </c>
      <c r="AW3277" s="782">
        <v>12068154</v>
      </c>
      <c r="AX3277" s="782"/>
      <c r="AY3277" s="782">
        <v>12085753</v>
      </c>
      <c r="AZ3277" s="782"/>
      <c r="BA3277" s="781"/>
      <c r="BB3277" s="209">
        <v>23054743</v>
      </c>
    </row>
    <row r="3278" spans="1:54" ht="24.65" customHeight="1">
      <c r="B3278" s="224">
        <v>46109</v>
      </c>
      <c r="C3278" s="224">
        <v>46120</v>
      </c>
      <c r="D3278" s="185">
        <f t="shared" si="1524"/>
        <v>2026</v>
      </c>
      <c r="E3278" s="224" t="e">
        <f>VLOOKUP($B3278,Week!$A$1:$C$1462,2,0)</f>
        <v>#N/A</v>
      </c>
      <c r="F3278" s="226" t="str">
        <f t="shared" si="1525"/>
        <v>Mar</v>
      </c>
      <c r="G3278" s="642" t="s">
        <v>2883</v>
      </c>
      <c r="H3278" s="225" t="s">
        <v>104</v>
      </c>
      <c r="I3278" s="225" t="s">
        <v>2772</v>
      </c>
      <c r="J3278" s="227" t="s">
        <v>105</v>
      </c>
      <c r="K3278" s="228" t="s">
        <v>676</v>
      </c>
      <c r="L3278" s="300" t="s">
        <v>2167</v>
      </c>
      <c r="M3278" s="227" t="s">
        <v>108</v>
      </c>
      <c r="N3278" s="225" t="s">
        <v>688</v>
      </c>
      <c r="O3278" s="225" t="s">
        <v>428</v>
      </c>
      <c r="P3278" s="229">
        <v>24</v>
      </c>
      <c r="Q3278" s="229">
        <v>5</v>
      </c>
      <c r="R3278" s="230">
        <v>6.0000000000000001E-3</v>
      </c>
      <c r="S3278" s="225" t="s">
        <v>55</v>
      </c>
      <c r="T3278" s="225" t="s">
        <v>112</v>
      </c>
      <c r="U3278" s="225" t="s">
        <v>113</v>
      </c>
      <c r="V3278" s="231">
        <f>170</f>
        <v>170</v>
      </c>
      <c r="W3278" s="231"/>
      <c r="X3278" s="232">
        <f>(5247-1200+33)/24</f>
        <v>170</v>
      </c>
      <c r="Y3278" s="233">
        <f t="shared" si="1515"/>
        <v>0</v>
      </c>
      <c r="Z3278" s="234">
        <f t="shared" si="1516"/>
        <v>0</v>
      </c>
      <c r="AA3278" s="234">
        <f t="shared" si="1526"/>
        <v>0</v>
      </c>
      <c r="AB3278" s="822">
        <v>9.7000000000000003E-3</v>
      </c>
      <c r="AC3278" s="231">
        <f t="shared" si="1517"/>
        <v>0</v>
      </c>
      <c r="AD3278" s="209"/>
      <c r="AE3278" s="210">
        <f t="shared" si="1518"/>
        <v>0</v>
      </c>
      <c r="AF3278" s="210">
        <f t="shared" si="1519"/>
        <v>0</v>
      </c>
      <c r="AG3278" s="211">
        <f t="shared" si="1523"/>
        <v>0.308</v>
      </c>
      <c r="AH3278" s="157">
        <f t="shared" si="1529"/>
        <v>0</v>
      </c>
      <c r="AI3278" s="152">
        <f t="shared" si="1522"/>
        <v>4080</v>
      </c>
      <c r="AK3278" s="156" t="s">
        <v>691</v>
      </c>
      <c r="AL3278" s="212" t="s">
        <v>690</v>
      </c>
      <c r="AM3278" s="198">
        <f t="shared" si="1527"/>
        <v>0</v>
      </c>
      <c r="AN3278" s="199">
        <f t="shared" si="1528"/>
        <v>46109</v>
      </c>
      <c r="AO3278" s="159" t="s">
        <v>692</v>
      </c>
      <c r="AP3278" s="783" t="s">
        <v>629</v>
      </c>
      <c r="AQ3278" s="782">
        <v>12063755</v>
      </c>
      <c r="AR3278" s="782">
        <v>12061353</v>
      </c>
      <c r="AS3278" s="782">
        <v>12061354</v>
      </c>
      <c r="AT3278" s="782">
        <v>12085752</v>
      </c>
      <c r="AU3278" s="781"/>
      <c r="AV3278" s="782">
        <v>12069473</v>
      </c>
      <c r="AW3278" s="782">
        <v>12068154</v>
      </c>
      <c r="AX3278" s="782"/>
      <c r="AY3278" s="782">
        <v>12085753</v>
      </c>
      <c r="AZ3278" s="782"/>
      <c r="BA3278" s="781"/>
      <c r="BB3278" s="209">
        <v>23054743</v>
      </c>
    </row>
    <row r="3279" spans="1:54" ht="25" customHeight="1">
      <c r="B3279" s="183">
        <v>46110</v>
      </c>
      <c r="C3279" s="184"/>
      <c r="D3279" s="185">
        <f t="shared" si="1524"/>
        <v>2026</v>
      </c>
      <c r="E3279" s="185" t="e">
        <f>VLOOKUP($B3279,Week!$A$1:$C$1462,2,0)</f>
        <v>#N/A</v>
      </c>
      <c r="F3279" s="186" t="str">
        <f t="shared" si="1525"/>
        <v>Mar</v>
      </c>
      <c r="G3279" s="481"/>
      <c r="H3279" s="185"/>
      <c r="I3279" s="185"/>
      <c r="J3279" s="187"/>
      <c r="K3279" s="188"/>
      <c r="L3279" s="188"/>
      <c r="M3279" s="187"/>
      <c r="N3279" s="185"/>
      <c r="O3279" s="185"/>
      <c r="P3279" s="189"/>
      <c r="Q3279" s="189"/>
      <c r="R3279" s="190"/>
      <c r="S3279" s="185"/>
      <c r="T3279" s="185"/>
      <c r="U3279" s="185"/>
      <c r="V3279" s="191"/>
      <c r="W3279" s="191"/>
      <c r="X3279" s="192"/>
      <c r="Y3279" s="193"/>
      <c r="Z3279" s="194"/>
      <c r="AA3279" s="194">
        <f t="shared" si="1526"/>
        <v>0</v>
      </c>
      <c r="AB3279" s="805"/>
      <c r="AC3279" s="191"/>
      <c r="AD3279" s="187"/>
      <c r="AE3279" s="195"/>
      <c r="AF3279" s="195"/>
      <c r="AG3279" s="196"/>
      <c r="AH3279" s="197"/>
      <c r="AK3279" s="156" t="s">
        <v>691</v>
      </c>
      <c r="AM3279" s="198">
        <f t="shared" si="1527"/>
        <v>0</v>
      </c>
      <c r="AN3279" s="199">
        <f t="shared" si="1528"/>
        <v>46110</v>
      </c>
      <c r="AO3279" s="159" t="s">
        <v>692</v>
      </c>
      <c r="AP3279" s="781"/>
      <c r="AQ3279" s="782"/>
      <c r="AR3279" s="782"/>
      <c r="AS3279" s="782"/>
      <c r="AT3279" s="782"/>
      <c r="AU3279" s="781"/>
      <c r="AV3279" s="782"/>
      <c r="AW3279" s="782"/>
      <c r="AX3279" s="782"/>
      <c r="AY3279" s="782"/>
      <c r="AZ3279" s="782"/>
      <c r="BA3279" s="781"/>
      <c r="BB3279" s="209"/>
    </row>
    <row r="3280" spans="1:54" ht="25" customHeight="1">
      <c r="A3280" s="440"/>
      <c r="B3280" s="743">
        <v>46111</v>
      </c>
      <c r="C3280" s="743">
        <v>46133</v>
      </c>
      <c r="D3280" s="746">
        <f t="shared" si="1524"/>
        <v>2026</v>
      </c>
      <c r="E3280" s="858" t="e">
        <f>VLOOKUP($B3280,Week!$A$1:$C$1462,2,0)</f>
        <v>#N/A</v>
      </c>
      <c r="F3280" s="859" t="str">
        <f t="shared" si="1525"/>
        <v>Mar</v>
      </c>
      <c r="G3280" s="746" t="s">
        <v>2782</v>
      </c>
      <c r="H3280" s="746" t="s">
        <v>424</v>
      </c>
      <c r="I3280" s="746" t="s">
        <v>2772</v>
      </c>
      <c r="J3280" s="747" t="s">
        <v>425</v>
      </c>
      <c r="K3280" s="748" t="s">
        <v>1651</v>
      </c>
      <c r="L3280" s="748" t="s">
        <v>2167</v>
      </c>
      <c r="M3280" s="747" t="s">
        <v>2260</v>
      </c>
      <c r="N3280" s="746" t="s">
        <v>2257</v>
      </c>
      <c r="O3280" s="746" t="s">
        <v>2254</v>
      </c>
      <c r="P3280" s="749">
        <v>6</v>
      </c>
      <c r="Q3280" s="749">
        <v>3</v>
      </c>
      <c r="R3280" s="849">
        <v>6.1999999999999998E-3</v>
      </c>
      <c r="S3280" s="746" t="s">
        <v>55</v>
      </c>
      <c r="T3280" s="746" t="s">
        <v>112</v>
      </c>
      <c r="U3280" s="860" t="s">
        <v>1633</v>
      </c>
      <c r="V3280" s="750">
        <v>2657</v>
      </c>
      <c r="W3280" s="750"/>
      <c r="X3280" s="751">
        <f>(15943)/6</f>
        <v>2657.1666666666665</v>
      </c>
      <c r="Y3280" s="752">
        <f t="shared" ref="Y3280:Y3324" si="1530">(W3280+X3280)-V3280</f>
        <v>0.16666666666651508</v>
      </c>
      <c r="Z3280" s="753">
        <f t="shared" ref="Z3280:Z3324" si="1531">IF(Y3280&lt;0,((V3280*P3280)-((W3280+X3280)*P3280)),0)</f>
        <v>0</v>
      </c>
      <c r="AA3280" s="753">
        <f t="shared" si="1526"/>
        <v>0</v>
      </c>
      <c r="AB3280" s="838">
        <v>6.5000000000000002E-2</v>
      </c>
      <c r="AC3280" s="750">
        <f t="shared" ref="AC3280:AC3324" si="1532">Z3280*AB3280</f>
        <v>0</v>
      </c>
      <c r="AD3280" s="209"/>
      <c r="AE3280" s="210">
        <f t="shared" ref="AE3280:AE3324" si="1533">SUM(Q3280*R3280*Z3280)/1000</f>
        <v>0</v>
      </c>
      <c r="AF3280" s="210">
        <f t="shared" ref="AF3280:AF3294" si="1534">AE3280/0.54</f>
        <v>0</v>
      </c>
      <c r="AG3280" s="211">
        <f>MID(O3280,1,3)/1000</f>
        <v>0.3</v>
      </c>
      <c r="AH3280" s="157">
        <f t="shared" ref="AH3280:AH3314" si="1535">(Z3280*AG3280)/1000</f>
        <v>0</v>
      </c>
      <c r="AI3280" s="152">
        <f>V3280*P3280</f>
        <v>15942</v>
      </c>
      <c r="AK3280" s="156" t="s">
        <v>691</v>
      </c>
      <c r="AL3280" s="212" t="s">
        <v>690</v>
      </c>
      <c r="AM3280" s="198">
        <f t="shared" si="1527"/>
        <v>0</v>
      </c>
      <c r="AN3280" s="199">
        <f t="shared" si="1528"/>
        <v>46111</v>
      </c>
      <c r="AO3280" s="159" t="s">
        <v>692</v>
      </c>
      <c r="AP3280" s="781"/>
      <c r="AQ3280" s="782"/>
      <c r="AR3280" s="782" t="s">
        <v>2379</v>
      </c>
      <c r="AS3280" s="782"/>
      <c r="AT3280" s="782">
        <v>12095581</v>
      </c>
      <c r="AU3280" s="783"/>
      <c r="AV3280" s="782">
        <v>12096149</v>
      </c>
      <c r="AW3280" s="782"/>
      <c r="AX3280" s="782"/>
      <c r="AY3280" s="782"/>
      <c r="AZ3280" s="782"/>
      <c r="BA3280" s="782"/>
      <c r="BB3280" s="209">
        <v>23105543</v>
      </c>
    </row>
    <row r="3281" spans="1:54" ht="24.75" customHeight="1">
      <c r="B3281" s="295">
        <v>46111</v>
      </c>
      <c r="C3281" s="771" t="s">
        <v>2736</v>
      </c>
      <c r="D3281" s="185">
        <f t="shared" si="1524"/>
        <v>2026</v>
      </c>
      <c r="E3281" s="296" t="e">
        <f>VLOOKUP($B3281,Week!$A$1:$C$1462,2,0)</f>
        <v>#N/A</v>
      </c>
      <c r="F3281" s="297" t="str">
        <f t="shared" si="1525"/>
        <v>Mar</v>
      </c>
      <c r="G3281" s="648" t="s">
        <v>47</v>
      </c>
      <c r="H3281" s="298" t="s">
        <v>260</v>
      </c>
      <c r="I3281" s="298" t="s">
        <v>2702</v>
      </c>
      <c r="J3281" s="307" t="s">
        <v>2240</v>
      </c>
      <c r="K3281" s="300" t="s">
        <v>176</v>
      </c>
      <c r="L3281" s="300" t="s">
        <v>2167</v>
      </c>
      <c r="M3281" s="299" t="s">
        <v>2338</v>
      </c>
      <c r="N3281" s="298" t="s">
        <v>350</v>
      </c>
      <c r="O3281" s="298" t="s">
        <v>351</v>
      </c>
      <c r="P3281" s="301">
        <v>24</v>
      </c>
      <c r="Q3281" s="301">
        <v>5</v>
      </c>
      <c r="R3281" s="302">
        <v>6.1999999999999998E-3</v>
      </c>
      <c r="S3281" s="298" t="s">
        <v>352</v>
      </c>
      <c r="T3281" s="298" t="s">
        <v>56</v>
      </c>
      <c r="U3281" s="298" t="s">
        <v>57</v>
      </c>
      <c r="V3281" s="303">
        <v>2122</v>
      </c>
      <c r="W3281" s="303">
        <f>1+2121</f>
        <v>2122</v>
      </c>
      <c r="X3281" s="304"/>
      <c r="Y3281" s="305">
        <f t="shared" si="1530"/>
        <v>0</v>
      </c>
      <c r="Z3281" s="306">
        <f t="shared" si="1531"/>
        <v>0</v>
      </c>
      <c r="AA3281" s="306">
        <f t="shared" si="1526"/>
        <v>0</v>
      </c>
      <c r="AB3281" s="814">
        <v>7.4999999999999997E-3</v>
      </c>
      <c r="AC3281" s="303">
        <f t="shared" si="1532"/>
        <v>0</v>
      </c>
      <c r="AD3281" s="443"/>
      <c r="AE3281" s="210">
        <f t="shared" si="1533"/>
        <v>0</v>
      </c>
      <c r="AF3281" s="210">
        <f t="shared" si="1534"/>
        <v>0</v>
      </c>
      <c r="AG3281" s="211">
        <f>MID(O3281,1,3)/1000</f>
        <v>0.13</v>
      </c>
      <c r="AH3281" s="157">
        <f t="shared" si="1535"/>
        <v>0</v>
      </c>
      <c r="AI3281" s="152">
        <f>V3281*P3281</f>
        <v>50928</v>
      </c>
      <c r="AK3281" s="156" t="s">
        <v>691</v>
      </c>
      <c r="AL3281" s="574" t="s">
        <v>690</v>
      </c>
      <c r="AM3281" s="198">
        <f t="shared" si="1527"/>
        <v>0</v>
      </c>
      <c r="AN3281" s="199">
        <f t="shared" si="1528"/>
        <v>46111</v>
      </c>
      <c r="AO3281" s="159" t="s">
        <v>692</v>
      </c>
      <c r="AP3281" s="783" t="s">
        <v>622</v>
      </c>
      <c r="AQ3281" s="782">
        <v>12071839</v>
      </c>
      <c r="AR3281" s="782">
        <v>12094356</v>
      </c>
      <c r="AS3281" s="782">
        <v>12068233</v>
      </c>
      <c r="AT3281" s="781"/>
      <c r="AU3281" s="781"/>
      <c r="AV3281" s="782">
        <v>12062075</v>
      </c>
      <c r="AW3281" s="781"/>
      <c r="AX3281" s="781"/>
      <c r="AY3281" s="782">
        <v>12094357</v>
      </c>
      <c r="AZ3281" s="782"/>
      <c r="BA3281" s="781"/>
      <c r="BB3281" s="209">
        <v>23053184</v>
      </c>
    </row>
    <row r="3282" spans="1:54" ht="24.65" customHeight="1">
      <c r="B3282" s="283">
        <v>46111</v>
      </c>
      <c r="C3282" s="284">
        <v>46119</v>
      </c>
      <c r="D3282" s="185">
        <f t="shared" si="1524"/>
        <v>2026</v>
      </c>
      <c r="E3282" s="284" t="e">
        <f>VLOOKUP($B3282,Week!$A$1:$C$1462,2,0)</f>
        <v>#N/A</v>
      </c>
      <c r="F3282" s="285" t="str">
        <f t="shared" si="1525"/>
        <v>Mar</v>
      </c>
      <c r="G3282" s="631" t="s">
        <v>2882</v>
      </c>
      <c r="H3282" s="624" t="s">
        <v>104</v>
      </c>
      <c r="I3282" s="624" t="s">
        <v>2772</v>
      </c>
      <c r="J3282" s="625" t="s">
        <v>105</v>
      </c>
      <c r="K3282" s="288" t="s">
        <v>51</v>
      </c>
      <c r="L3282" s="300" t="s">
        <v>2167</v>
      </c>
      <c r="M3282" s="287" t="s">
        <v>595</v>
      </c>
      <c r="N3282" s="286" t="s">
        <v>597</v>
      </c>
      <c r="O3282" s="286" t="s">
        <v>187</v>
      </c>
      <c r="P3282" s="289">
        <v>8</v>
      </c>
      <c r="Q3282" s="289">
        <v>5</v>
      </c>
      <c r="R3282" s="290">
        <v>6.0000000000000001E-3</v>
      </c>
      <c r="S3282" s="286" t="s">
        <v>55</v>
      </c>
      <c r="T3282" s="286" t="s">
        <v>112</v>
      </c>
      <c r="U3282" s="286" t="s">
        <v>57</v>
      </c>
      <c r="V3282" s="291">
        <f>400</f>
        <v>400</v>
      </c>
      <c r="W3282" s="291">
        <f>400</f>
        <v>400</v>
      </c>
      <c r="X3282" s="292"/>
      <c r="Y3282" s="293">
        <f t="shared" si="1530"/>
        <v>0</v>
      </c>
      <c r="Z3282" s="294">
        <f t="shared" si="1531"/>
        <v>0</v>
      </c>
      <c r="AA3282" s="294">
        <f t="shared" si="1526"/>
        <v>0</v>
      </c>
      <c r="AB3282" s="813">
        <v>7.4999999999999997E-3</v>
      </c>
      <c r="AC3282" s="291">
        <f t="shared" si="1532"/>
        <v>0</v>
      </c>
      <c r="AD3282" s="486"/>
      <c r="AE3282" s="210">
        <f t="shared" si="1533"/>
        <v>0</v>
      </c>
      <c r="AF3282" s="210">
        <f t="shared" si="1534"/>
        <v>0</v>
      </c>
      <c r="AG3282" s="211">
        <v>0.14499999999999999</v>
      </c>
      <c r="AH3282" s="157">
        <f t="shared" si="1535"/>
        <v>0</v>
      </c>
      <c r="AI3282" s="152">
        <v>19800</v>
      </c>
      <c r="AK3282" s="156" t="s">
        <v>691</v>
      </c>
      <c r="AL3282" s="212" t="s">
        <v>690</v>
      </c>
      <c r="AM3282" s="198">
        <f t="shared" si="1527"/>
        <v>0</v>
      </c>
      <c r="AN3282" s="199">
        <f t="shared" si="1528"/>
        <v>46111</v>
      </c>
      <c r="AO3282" s="159" t="s">
        <v>692</v>
      </c>
      <c r="AP3282" s="781"/>
      <c r="AQ3282" s="782">
        <v>12071839</v>
      </c>
      <c r="AR3282" s="782">
        <v>12047514</v>
      </c>
      <c r="AS3282" s="782">
        <v>12047515</v>
      </c>
      <c r="AT3282" s="782">
        <v>12083107</v>
      </c>
      <c r="AU3282" s="781"/>
      <c r="AV3282" s="782">
        <v>12084002</v>
      </c>
      <c r="AW3282" s="782"/>
      <c r="AX3282" s="782"/>
      <c r="AY3282" s="782"/>
      <c r="AZ3282" s="782"/>
      <c r="BA3282" s="781"/>
      <c r="BB3282" s="209">
        <v>23053185</v>
      </c>
    </row>
    <row r="3283" spans="1:54" ht="24.65" customHeight="1">
      <c r="B3283" s="283">
        <v>46111</v>
      </c>
      <c r="C3283" s="284">
        <v>46120</v>
      </c>
      <c r="D3283" s="185">
        <f t="shared" si="1524"/>
        <v>2026</v>
      </c>
      <c r="E3283" s="284" t="e">
        <f>VLOOKUP($B3283,Week!$A$1:$C$1462,2,0)</f>
        <v>#N/A</v>
      </c>
      <c r="F3283" s="285" t="str">
        <f t="shared" si="1525"/>
        <v>Mar</v>
      </c>
      <c r="G3283" s="631" t="s">
        <v>2883</v>
      </c>
      <c r="H3283" s="624" t="s">
        <v>104</v>
      </c>
      <c r="I3283" s="624" t="s">
        <v>2772</v>
      </c>
      <c r="J3283" s="625" t="s">
        <v>105</v>
      </c>
      <c r="K3283" s="288" t="s">
        <v>51</v>
      </c>
      <c r="L3283" s="300" t="s">
        <v>2167</v>
      </c>
      <c r="M3283" s="287" t="s">
        <v>595</v>
      </c>
      <c r="N3283" s="286" t="s">
        <v>597</v>
      </c>
      <c r="O3283" s="286" t="s">
        <v>187</v>
      </c>
      <c r="P3283" s="289">
        <v>8</v>
      </c>
      <c r="Q3283" s="289">
        <v>5</v>
      </c>
      <c r="R3283" s="290">
        <v>6.0000000000000001E-3</v>
      </c>
      <c r="S3283" s="286" t="s">
        <v>55</v>
      </c>
      <c r="T3283" s="286" t="s">
        <v>112</v>
      </c>
      <c r="U3283" s="286" t="s">
        <v>57</v>
      </c>
      <c r="V3283" s="291">
        <f>400</f>
        <v>400</v>
      </c>
      <c r="W3283" s="291">
        <f>400</f>
        <v>400</v>
      </c>
      <c r="X3283" s="292"/>
      <c r="Y3283" s="293">
        <f t="shared" si="1530"/>
        <v>0</v>
      </c>
      <c r="Z3283" s="294">
        <f t="shared" si="1531"/>
        <v>0</v>
      </c>
      <c r="AA3283" s="294">
        <f t="shared" si="1526"/>
        <v>0</v>
      </c>
      <c r="AB3283" s="813">
        <v>7.4999999999999997E-3</v>
      </c>
      <c r="AC3283" s="291">
        <f t="shared" si="1532"/>
        <v>0</v>
      </c>
      <c r="AD3283" s="486"/>
      <c r="AE3283" s="210">
        <f t="shared" si="1533"/>
        <v>0</v>
      </c>
      <c r="AF3283" s="210">
        <f t="shared" si="1534"/>
        <v>0</v>
      </c>
      <c r="AG3283" s="211">
        <v>0.14499999999999999</v>
      </c>
      <c r="AH3283" s="157">
        <f t="shared" si="1535"/>
        <v>0</v>
      </c>
      <c r="AI3283" s="152">
        <v>19800</v>
      </c>
      <c r="AK3283" s="156" t="s">
        <v>691</v>
      </c>
      <c r="AL3283" s="212" t="s">
        <v>690</v>
      </c>
      <c r="AM3283" s="198">
        <f t="shared" si="1527"/>
        <v>0</v>
      </c>
      <c r="AN3283" s="199">
        <f t="shared" si="1528"/>
        <v>46111</v>
      </c>
      <c r="AO3283" s="159" t="s">
        <v>692</v>
      </c>
      <c r="AP3283" s="781"/>
      <c r="AQ3283" s="782">
        <v>12071839</v>
      </c>
      <c r="AR3283" s="782">
        <v>12047514</v>
      </c>
      <c r="AS3283" s="782">
        <v>12047515</v>
      </c>
      <c r="AT3283" s="782">
        <v>12083107</v>
      </c>
      <c r="AU3283" s="781"/>
      <c r="AV3283" s="782">
        <v>12084002</v>
      </c>
      <c r="AW3283" s="782"/>
      <c r="AX3283" s="782"/>
      <c r="AY3283" s="782"/>
      <c r="AZ3283" s="782"/>
      <c r="BA3283" s="781"/>
      <c r="BB3283" s="209">
        <v>23053185</v>
      </c>
    </row>
    <row r="3284" spans="1:54" ht="25" customHeight="1">
      <c r="B3284" s="357">
        <v>46111</v>
      </c>
      <c r="C3284" s="358">
        <v>46132</v>
      </c>
      <c r="D3284" s="185">
        <f t="shared" si="1524"/>
        <v>2026</v>
      </c>
      <c r="E3284" s="358" t="e">
        <f>VLOOKUP($B3284,Week!$A$1:$C$1462,2,0)</f>
        <v>#N/A</v>
      </c>
      <c r="F3284" s="360" t="str">
        <f t="shared" si="1525"/>
        <v>Mar</v>
      </c>
      <c r="G3284" s="436" t="s">
        <v>2872</v>
      </c>
      <c r="H3284" s="359" t="s">
        <v>225</v>
      </c>
      <c r="I3284" s="359" t="s">
        <v>2773</v>
      </c>
      <c r="J3284" s="361" t="s">
        <v>650</v>
      </c>
      <c r="K3284" s="362" t="s">
        <v>593</v>
      </c>
      <c r="L3284" s="300" t="s">
        <v>2167</v>
      </c>
      <c r="M3284" s="361" t="s">
        <v>717</v>
      </c>
      <c r="N3284" s="359" t="s">
        <v>719</v>
      </c>
      <c r="O3284" s="359" t="s">
        <v>230</v>
      </c>
      <c r="P3284" s="363">
        <v>12</v>
      </c>
      <c r="Q3284" s="363">
        <v>5</v>
      </c>
      <c r="R3284" s="364">
        <v>6.0000000000000001E-3</v>
      </c>
      <c r="S3284" s="359" t="s">
        <v>55</v>
      </c>
      <c r="T3284" s="359" t="s">
        <v>112</v>
      </c>
      <c r="U3284" s="359" t="s">
        <v>57</v>
      </c>
      <c r="V3284" s="365">
        <v>2600</v>
      </c>
      <c r="W3284" s="365"/>
      <c r="X3284" s="366">
        <f>(1084+30116)/12</f>
        <v>2600</v>
      </c>
      <c r="Y3284" s="367">
        <f t="shared" si="1530"/>
        <v>0</v>
      </c>
      <c r="Z3284" s="368">
        <f t="shared" si="1531"/>
        <v>0</v>
      </c>
      <c r="AA3284" s="368">
        <f t="shared" si="1526"/>
        <v>0</v>
      </c>
      <c r="AB3284" s="819">
        <v>7.4999999999999997E-3</v>
      </c>
      <c r="AC3284" s="365">
        <f t="shared" si="1532"/>
        <v>0</v>
      </c>
      <c r="AD3284" s="307" t="s">
        <v>2421</v>
      </c>
      <c r="AE3284" s="210">
        <f t="shared" si="1533"/>
        <v>0</v>
      </c>
      <c r="AF3284" s="210">
        <f t="shared" si="1534"/>
        <v>0</v>
      </c>
      <c r="AG3284" s="211">
        <f t="shared" ref="AG3284:AG3306" si="1536">MID(O3284,1,3)/1000</f>
        <v>0.25800000000000001</v>
      </c>
      <c r="AH3284" s="157">
        <f t="shared" si="1535"/>
        <v>0</v>
      </c>
      <c r="AI3284" s="152">
        <f t="shared" ref="AI3284:AI3324" si="1537">V3284*P3284</f>
        <v>31200</v>
      </c>
      <c r="AK3284" s="156" t="s">
        <v>691</v>
      </c>
      <c r="AL3284" s="574" t="s">
        <v>690</v>
      </c>
      <c r="AM3284" s="198">
        <f t="shared" si="1527"/>
        <v>0</v>
      </c>
      <c r="AN3284" s="199">
        <f t="shared" si="1528"/>
        <v>46111</v>
      </c>
      <c r="AO3284" s="159" t="s">
        <v>692</v>
      </c>
      <c r="AP3284" s="783" t="s">
        <v>612</v>
      </c>
      <c r="AQ3284" s="782">
        <v>12071839</v>
      </c>
      <c r="AR3284" s="782">
        <v>12042650</v>
      </c>
      <c r="AS3284" s="782">
        <v>12042649</v>
      </c>
      <c r="AT3284" s="782">
        <v>12096387</v>
      </c>
      <c r="AU3284" s="781"/>
      <c r="AV3284" s="782">
        <v>12088422</v>
      </c>
      <c r="AW3284" s="782"/>
      <c r="AX3284" s="782"/>
      <c r="AY3284" s="782"/>
      <c r="AZ3284" s="782"/>
      <c r="BA3284" s="781"/>
      <c r="BB3284" s="209">
        <v>23053185</v>
      </c>
    </row>
    <row r="3285" spans="1:54" ht="25" customHeight="1">
      <c r="A3285" s="142" t="s">
        <v>120</v>
      </c>
      <c r="B3285" s="546">
        <v>46112</v>
      </c>
      <c r="C3285" s="547">
        <v>46139</v>
      </c>
      <c r="D3285" s="549">
        <f t="shared" si="1524"/>
        <v>2026</v>
      </c>
      <c r="E3285" s="547" t="e">
        <f>VLOOKUP($B3285,Week!$A$1:$C$1462,2,0)</f>
        <v>#N/A</v>
      </c>
      <c r="F3285" s="548" t="str">
        <f t="shared" si="1525"/>
        <v>Mar</v>
      </c>
      <c r="G3285" s="549" t="s">
        <v>2865</v>
      </c>
      <c r="H3285" s="549" t="s">
        <v>500</v>
      </c>
      <c r="I3285" s="549" t="s">
        <v>2772</v>
      </c>
      <c r="J3285" s="550" t="s">
        <v>285</v>
      </c>
      <c r="K3285" s="551" t="s">
        <v>153</v>
      </c>
      <c r="L3285" s="551" t="s">
        <v>2166</v>
      </c>
      <c r="M3285" s="550" t="s">
        <v>579</v>
      </c>
      <c r="N3285" s="549" t="s">
        <v>2745</v>
      </c>
      <c r="O3285" s="549" t="s">
        <v>2746</v>
      </c>
      <c r="P3285" s="552">
        <v>10</v>
      </c>
      <c r="Q3285" s="552">
        <v>60</v>
      </c>
      <c r="R3285" s="553">
        <v>6.8100000000000001E-3</v>
      </c>
      <c r="S3285" s="549" t="s">
        <v>76</v>
      </c>
      <c r="T3285" s="549" t="s">
        <v>56</v>
      </c>
      <c r="U3285" s="549" t="s">
        <v>89</v>
      </c>
      <c r="V3285" s="554">
        <v>550</v>
      </c>
      <c r="W3285" s="554">
        <f>24+406</f>
        <v>430</v>
      </c>
      <c r="X3285" s="555">
        <f>(1200)/10</f>
        <v>120</v>
      </c>
      <c r="Y3285" s="556">
        <f t="shared" si="1530"/>
        <v>0</v>
      </c>
      <c r="Z3285" s="557">
        <f t="shared" si="1531"/>
        <v>0</v>
      </c>
      <c r="AA3285" s="557">
        <f t="shared" si="1526"/>
        <v>0</v>
      </c>
      <c r="AB3285" s="833">
        <v>6</v>
      </c>
      <c r="AC3285" s="554">
        <f t="shared" si="1532"/>
        <v>0</v>
      </c>
      <c r="AD3285" s="209"/>
      <c r="AE3285" s="210">
        <f t="shared" si="1533"/>
        <v>0</v>
      </c>
      <c r="AF3285" s="210">
        <f t="shared" si="1534"/>
        <v>0</v>
      </c>
      <c r="AG3285" s="211">
        <f t="shared" si="1536"/>
        <v>0.75</v>
      </c>
      <c r="AH3285" s="157">
        <f t="shared" si="1535"/>
        <v>0</v>
      </c>
      <c r="AI3285" s="152">
        <f t="shared" si="1537"/>
        <v>5500</v>
      </c>
      <c r="AK3285" s="156" t="s">
        <v>691</v>
      </c>
      <c r="AL3285" s="156" t="s">
        <v>689</v>
      </c>
      <c r="AM3285" s="198">
        <f t="shared" si="1527"/>
        <v>0</v>
      </c>
      <c r="AN3285" s="199">
        <f t="shared" si="1528"/>
        <v>46112</v>
      </c>
      <c r="AO3285" s="159" t="s">
        <v>692</v>
      </c>
      <c r="AP3285" s="783" t="s">
        <v>620</v>
      </c>
      <c r="AQ3285" s="796" t="s">
        <v>422</v>
      </c>
      <c r="AR3285" s="782" t="s">
        <v>2142</v>
      </c>
      <c r="AS3285" s="781"/>
      <c r="AT3285" s="782">
        <v>12098238</v>
      </c>
      <c r="AU3285" s="782"/>
      <c r="AV3285" s="782"/>
      <c r="AW3285" s="782"/>
      <c r="AX3285" s="782">
        <v>12080741</v>
      </c>
      <c r="AY3285" s="781"/>
      <c r="AZ3285" s="781"/>
      <c r="BA3285" s="781"/>
      <c r="BB3285" s="209">
        <v>23053184</v>
      </c>
    </row>
    <row r="3286" spans="1:54" ht="25" customHeight="1">
      <c r="A3286" s="440"/>
      <c r="B3286" s="743">
        <v>46112</v>
      </c>
      <c r="C3286" s="743">
        <v>46133</v>
      </c>
      <c r="D3286" s="746">
        <f t="shared" si="1524"/>
        <v>2026</v>
      </c>
      <c r="E3286" s="858" t="e">
        <f>VLOOKUP($B3286,Week!$A$1:$C$1462,2,0)</f>
        <v>#N/A</v>
      </c>
      <c r="F3286" s="859" t="str">
        <f t="shared" si="1525"/>
        <v>Mar</v>
      </c>
      <c r="G3286" s="746" t="s">
        <v>2782</v>
      </c>
      <c r="H3286" s="746" t="s">
        <v>424</v>
      </c>
      <c r="I3286" s="746" t="s">
        <v>2772</v>
      </c>
      <c r="J3286" s="747" t="s">
        <v>425</v>
      </c>
      <c r="K3286" s="748" t="s">
        <v>1651</v>
      </c>
      <c r="L3286" s="748" t="s">
        <v>2167</v>
      </c>
      <c r="M3286" s="747" t="s">
        <v>2260</v>
      </c>
      <c r="N3286" s="746" t="s">
        <v>2257</v>
      </c>
      <c r="O3286" s="746" t="s">
        <v>2254</v>
      </c>
      <c r="P3286" s="749">
        <v>6</v>
      </c>
      <c r="Q3286" s="749">
        <v>3</v>
      </c>
      <c r="R3286" s="849">
        <v>6.1999999999999998E-3</v>
      </c>
      <c r="S3286" s="746" t="s">
        <v>55</v>
      </c>
      <c r="T3286" s="746" t="s">
        <v>112</v>
      </c>
      <c r="U3286" s="860" t="s">
        <v>1633</v>
      </c>
      <c r="V3286" s="750">
        <v>2672</v>
      </c>
      <c r="W3286" s="750"/>
      <c r="X3286" s="751">
        <f>16032/6</f>
        <v>2672</v>
      </c>
      <c r="Y3286" s="752">
        <f t="shared" si="1530"/>
        <v>0</v>
      </c>
      <c r="Z3286" s="753">
        <f t="shared" si="1531"/>
        <v>0</v>
      </c>
      <c r="AA3286" s="753">
        <f t="shared" si="1526"/>
        <v>0</v>
      </c>
      <c r="AB3286" s="838">
        <v>6.5000000000000002E-2</v>
      </c>
      <c r="AC3286" s="750">
        <f t="shared" si="1532"/>
        <v>0</v>
      </c>
      <c r="AD3286" s="209"/>
      <c r="AE3286" s="210">
        <f t="shared" si="1533"/>
        <v>0</v>
      </c>
      <c r="AF3286" s="210">
        <f t="shared" si="1534"/>
        <v>0</v>
      </c>
      <c r="AG3286" s="211">
        <f t="shared" si="1536"/>
        <v>0.3</v>
      </c>
      <c r="AH3286" s="157">
        <f t="shared" si="1535"/>
        <v>0</v>
      </c>
      <c r="AI3286" s="152">
        <f t="shared" si="1537"/>
        <v>16032</v>
      </c>
      <c r="AK3286" s="156" t="s">
        <v>691</v>
      </c>
      <c r="AL3286" s="212" t="s">
        <v>690</v>
      </c>
      <c r="AM3286" s="198">
        <f t="shared" si="1527"/>
        <v>0</v>
      </c>
      <c r="AN3286" s="199">
        <f t="shared" si="1528"/>
        <v>46112</v>
      </c>
      <c r="AO3286" s="159" t="s">
        <v>692</v>
      </c>
      <c r="AP3286" s="781"/>
      <c r="AQ3286" s="782"/>
      <c r="AR3286" s="782" t="s">
        <v>2379</v>
      </c>
      <c r="AS3286" s="782"/>
      <c r="AT3286" s="782">
        <v>12095581</v>
      </c>
      <c r="AU3286" s="783"/>
      <c r="AV3286" s="782">
        <v>12096149</v>
      </c>
      <c r="AW3286" s="782"/>
      <c r="AX3286" s="782"/>
      <c r="AY3286" s="782"/>
      <c r="AZ3286" s="782"/>
      <c r="BA3286" s="782"/>
      <c r="BB3286" s="209">
        <v>23105543</v>
      </c>
    </row>
    <row r="3287" spans="1:54" ht="25" customHeight="1">
      <c r="B3287" s="571">
        <v>46112</v>
      </c>
      <c r="C3287" s="235">
        <v>46119</v>
      </c>
      <c r="D3287" s="236">
        <f t="shared" si="1524"/>
        <v>2026</v>
      </c>
      <c r="E3287" s="235" t="e">
        <f>VLOOKUP($B3287,Week!$A$1:$C$1462,2,0)</f>
        <v>#N/A</v>
      </c>
      <c r="F3287" s="237" t="str">
        <f t="shared" si="1525"/>
        <v>Mar</v>
      </c>
      <c r="G3287" s="756" t="s">
        <v>2852</v>
      </c>
      <c r="H3287" s="236" t="s">
        <v>500</v>
      </c>
      <c r="I3287" s="236" t="s">
        <v>2772</v>
      </c>
      <c r="J3287" s="238" t="s">
        <v>285</v>
      </c>
      <c r="K3287" s="239" t="s">
        <v>593</v>
      </c>
      <c r="L3287" s="239" t="s">
        <v>2167</v>
      </c>
      <c r="M3287" s="238" t="s">
        <v>2556</v>
      </c>
      <c r="N3287" s="236" t="s">
        <v>2558</v>
      </c>
      <c r="O3287" s="236" t="s">
        <v>2555</v>
      </c>
      <c r="P3287" s="240">
        <v>12</v>
      </c>
      <c r="Q3287" s="240">
        <v>4</v>
      </c>
      <c r="R3287" s="241">
        <v>6.0000000000000001E-3</v>
      </c>
      <c r="S3287" s="236" t="s">
        <v>55</v>
      </c>
      <c r="T3287" s="236" t="s">
        <v>112</v>
      </c>
      <c r="U3287" s="236" t="s">
        <v>57</v>
      </c>
      <c r="V3287" s="242">
        <v>2500</v>
      </c>
      <c r="W3287" s="242">
        <f>23+2477</f>
        <v>2500</v>
      </c>
      <c r="X3287" s="243"/>
      <c r="Y3287" s="244">
        <f t="shared" si="1530"/>
        <v>0</v>
      </c>
      <c r="Z3287" s="245">
        <f t="shared" si="1531"/>
        <v>0</v>
      </c>
      <c r="AA3287" s="245">
        <f t="shared" si="1526"/>
        <v>0</v>
      </c>
      <c r="AB3287" s="809">
        <v>7.4999999999999997E-3</v>
      </c>
      <c r="AC3287" s="242">
        <f t="shared" si="1532"/>
        <v>0</v>
      </c>
      <c r="AD3287" s="443"/>
      <c r="AE3287" s="210">
        <f t="shared" si="1533"/>
        <v>0</v>
      </c>
      <c r="AF3287" s="210">
        <f t="shared" si="1534"/>
        <v>0</v>
      </c>
      <c r="AG3287" s="211">
        <f t="shared" si="1536"/>
        <v>0.23100000000000001</v>
      </c>
      <c r="AH3287" s="157">
        <f t="shared" si="1535"/>
        <v>0</v>
      </c>
      <c r="AI3287" s="152">
        <f t="shared" si="1537"/>
        <v>30000</v>
      </c>
      <c r="AK3287" s="156" t="s">
        <v>691</v>
      </c>
      <c r="AL3287" s="574" t="s">
        <v>690</v>
      </c>
      <c r="AM3287" s="198">
        <f t="shared" si="1527"/>
        <v>0</v>
      </c>
      <c r="AN3287" s="199">
        <f t="shared" si="1528"/>
        <v>46112</v>
      </c>
      <c r="AO3287" s="159" t="s">
        <v>692</v>
      </c>
      <c r="AP3287" s="783"/>
      <c r="AQ3287" s="782">
        <v>12063755</v>
      </c>
      <c r="AR3287" s="782">
        <v>12061353</v>
      </c>
      <c r="AS3287" s="782">
        <v>12061354</v>
      </c>
      <c r="AT3287" s="782"/>
      <c r="AU3287" s="781"/>
      <c r="AV3287" s="782">
        <v>12096898</v>
      </c>
      <c r="AW3287" s="782"/>
      <c r="AX3287" s="782"/>
      <c r="AY3287" s="782">
        <v>12096895</v>
      </c>
      <c r="AZ3287" s="782">
        <v>12096896</v>
      </c>
      <c r="BA3287" s="782">
        <v>12096897</v>
      </c>
      <c r="BB3287" s="209">
        <v>23053185</v>
      </c>
    </row>
    <row r="3288" spans="1:54" ht="25" customHeight="1">
      <c r="B3288" s="602">
        <v>46112</v>
      </c>
      <c r="C3288" s="861" t="s">
        <v>2736</v>
      </c>
      <c r="D3288" s="604">
        <f t="shared" si="1524"/>
        <v>2026</v>
      </c>
      <c r="E3288" s="603" t="e">
        <f>VLOOKUP($B3288,Week!$A$1:$C$1462,2,0)</f>
        <v>#N/A</v>
      </c>
      <c r="F3288" s="605" t="str">
        <f t="shared" si="1525"/>
        <v>Mar</v>
      </c>
      <c r="G3288" s="604" t="s">
        <v>47</v>
      </c>
      <c r="H3288" s="604" t="s">
        <v>518</v>
      </c>
      <c r="I3288" s="604" t="s">
        <v>2702</v>
      </c>
      <c r="J3288" s="606" t="s">
        <v>70</v>
      </c>
      <c r="K3288" s="607" t="s">
        <v>227</v>
      </c>
      <c r="L3288" s="607" t="s">
        <v>2167</v>
      </c>
      <c r="M3288" s="606" t="s">
        <v>2554</v>
      </c>
      <c r="N3288" s="604" t="s">
        <v>2334</v>
      </c>
      <c r="O3288" s="604" t="s">
        <v>2005</v>
      </c>
      <c r="P3288" s="608">
        <v>12</v>
      </c>
      <c r="Q3288" s="608">
        <v>3</v>
      </c>
      <c r="R3288" s="609">
        <v>8.0000000000000002E-3</v>
      </c>
      <c r="S3288" s="604" t="s">
        <v>352</v>
      </c>
      <c r="T3288" s="604" t="s">
        <v>56</v>
      </c>
      <c r="U3288" s="604" t="s">
        <v>2007</v>
      </c>
      <c r="V3288" s="862">
        <f>2500</f>
        <v>2500</v>
      </c>
      <c r="W3288" s="610">
        <f>1+2499</f>
        <v>2500</v>
      </c>
      <c r="X3288" s="611"/>
      <c r="Y3288" s="612">
        <f t="shared" si="1530"/>
        <v>0</v>
      </c>
      <c r="Z3288" s="613">
        <f t="shared" si="1531"/>
        <v>0</v>
      </c>
      <c r="AA3288" s="613">
        <f t="shared" si="1526"/>
        <v>0</v>
      </c>
      <c r="AB3288" s="836">
        <v>0.05</v>
      </c>
      <c r="AC3288" s="610">
        <f t="shared" si="1532"/>
        <v>0</v>
      </c>
      <c r="AD3288" s="307" t="s">
        <v>2344</v>
      </c>
      <c r="AE3288" s="210">
        <f t="shared" si="1533"/>
        <v>0</v>
      </c>
      <c r="AF3288" s="210">
        <f t="shared" si="1534"/>
        <v>0</v>
      </c>
      <c r="AG3288" s="211">
        <f t="shared" si="1536"/>
        <v>0.22700000000000001</v>
      </c>
      <c r="AH3288" s="157">
        <f t="shared" si="1535"/>
        <v>0</v>
      </c>
      <c r="AI3288" s="152">
        <f t="shared" si="1537"/>
        <v>30000</v>
      </c>
      <c r="AK3288" s="156" t="s">
        <v>691</v>
      </c>
      <c r="AL3288" s="212" t="s">
        <v>690</v>
      </c>
      <c r="AM3288" s="198">
        <f t="shared" si="1527"/>
        <v>0</v>
      </c>
      <c r="AN3288" s="199">
        <f t="shared" si="1528"/>
        <v>46112</v>
      </c>
      <c r="AO3288" s="159" t="s">
        <v>692</v>
      </c>
      <c r="AP3288" s="783" t="s">
        <v>623</v>
      </c>
      <c r="AQ3288" s="782">
        <v>12071839</v>
      </c>
      <c r="AR3288" s="782">
        <v>12042650</v>
      </c>
      <c r="AS3288" s="782">
        <v>12042649</v>
      </c>
      <c r="AT3288" s="782"/>
      <c r="AU3288" s="781"/>
      <c r="AV3288" s="782">
        <v>12094036</v>
      </c>
      <c r="AW3288" s="782"/>
      <c r="AX3288" s="782"/>
      <c r="AY3288" s="782">
        <v>12094035</v>
      </c>
      <c r="AZ3288" s="782">
        <v>12094041</v>
      </c>
      <c r="BA3288" s="781"/>
      <c r="BB3288" s="209">
        <v>11044165</v>
      </c>
    </row>
    <row r="3289" spans="1:54" ht="25" customHeight="1">
      <c r="A3289" s="142" t="s">
        <v>120</v>
      </c>
      <c r="B3289" s="546">
        <v>46113</v>
      </c>
      <c r="C3289" s="547">
        <v>46139</v>
      </c>
      <c r="D3289" s="549">
        <f t="shared" si="1524"/>
        <v>2026</v>
      </c>
      <c r="E3289" s="547" t="e">
        <f>VLOOKUP($B3289,Week!$A$1:$C$1462,2,0)</f>
        <v>#N/A</v>
      </c>
      <c r="F3289" s="548" t="str">
        <f t="shared" si="1525"/>
        <v>Apr</v>
      </c>
      <c r="G3289" s="549" t="s">
        <v>2865</v>
      </c>
      <c r="H3289" s="549" t="s">
        <v>500</v>
      </c>
      <c r="I3289" s="549" t="s">
        <v>2772</v>
      </c>
      <c r="J3289" s="550" t="s">
        <v>285</v>
      </c>
      <c r="K3289" s="551" t="s">
        <v>153</v>
      </c>
      <c r="L3289" s="551" t="s">
        <v>2166</v>
      </c>
      <c r="M3289" s="550" t="s">
        <v>579</v>
      </c>
      <c r="N3289" s="549" t="s">
        <v>2745</v>
      </c>
      <c r="O3289" s="549" t="s">
        <v>2746</v>
      </c>
      <c r="P3289" s="552">
        <v>10</v>
      </c>
      <c r="Q3289" s="552">
        <v>60</v>
      </c>
      <c r="R3289" s="553">
        <v>6.8100000000000001E-3</v>
      </c>
      <c r="S3289" s="549" t="s">
        <v>76</v>
      </c>
      <c r="T3289" s="549" t="s">
        <v>56</v>
      </c>
      <c r="U3289" s="549" t="s">
        <v>89</v>
      </c>
      <c r="V3289" s="554">
        <v>522</v>
      </c>
      <c r="W3289" s="554">
        <v>522</v>
      </c>
      <c r="X3289" s="555"/>
      <c r="Y3289" s="556">
        <f t="shared" si="1530"/>
        <v>0</v>
      </c>
      <c r="Z3289" s="557">
        <f t="shared" si="1531"/>
        <v>0</v>
      </c>
      <c r="AA3289" s="557">
        <f t="shared" si="1526"/>
        <v>0</v>
      </c>
      <c r="AB3289" s="833">
        <v>6</v>
      </c>
      <c r="AC3289" s="554">
        <f t="shared" si="1532"/>
        <v>0</v>
      </c>
      <c r="AD3289" s="209"/>
      <c r="AE3289" s="210">
        <f t="shared" si="1533"/>
        <v>0</v>
      </c>
      <c r="AF3289" s="210">
        <f t="shared" si="1534"/>
        <v>0</v>
      </c>
      <c r="AG3289" s="211">
        <f t="shared" si="1536"/>
        <v>0.75</v>
      </c>
      <c r="AH3289" s="157">
        <f t="shared" si="1535"/>
        <v>0</v>
      </c>
      <c r="AI3289" s="152">
        <f t="shared" si="1537"/>
        <v>5220</v>
      </c>
      <c r="AK3289" s="156" t="s">
        <v>691</v>
      </c>
      <c r="AL3289" s="156" t="s">
        <v>689</v>
      </c>
      <c r="AM3289" s="198">
        <f t="shared" si="1527"/>
        <v>0</v>
      </c>
      <c r="AN3289" s="199">
        <f t="shared" si="1528"/>
        <v>46113</v>
      </c>
      <c r="AO3289" s="159" t="s">
        <v>692</v>
      </c>
      <c r="AP3289" s="783" t="s">
        <v>620</v>
      </c>
      <c r="AQ3289" s="796" t="s">
        <v>422</v>
      </c>
      <c r="AR3289" s="782" t="s">
        <v>2142</v>
      </c>
      <c r="AS3289" s="781"/>
      <c r="AT3289" s="782">
        <v>12098238</v>
      </c>
      <c r="AU3289" s="782"/>
      <c r="AV3289" s="782"/>
      <c r="AW3289" s="782"/>
      <c r="AX3289" s="782">
        <v>12080741</v>
      </c>
      <c r="AY3289" s="781"/>
      <c r="AZ3289" s="781"/>
      <c r="BA3289" s="781"/>
      <c r="BB3289" s="209">
        <v>23053184</v>
      </c>
    </row>
    <row r="3290" spans="1:54" ht="25" customHeight="1">
      <c r="A3290" s="440"/>
      <c r="B3290" s="743">
        <v>46113</v>
      </c>
      <c r="C3290" s="743">
        <v>46133</v>
      </c>
      <c r="D3290" s="746">
        <f t="shared" si="1524"/>
        <v>2026</v>
      </c>
      <c r="E3290" s="858" t="e">
        <f>VLOOKUP($B3290,Week!$A$1:$C$1462,2,0)</f>
        <v>#N/A</v>
      </c>
      <c r="F3290" s="859" t="str">
        <f t="shared" si="1525"/>
        <v>Apr</v>
      </c>
      <c r="G3290" s="746" t="s">
        <v>2782</v>
      </c>
      <c r="H3290" s="746" t="s">
        <v>424</v>
      </c>
      <c r="I3290" s="746" t="s">
        <v>2772</v>
      </c>
      <c r="J3290" s="747" t="s">
        <v>425</v>
      </c>
      <c r="K3290" s="748" t="s">
        <v>1651</v>
      </c>
      <c r="L3290" s="748" t="s">
        <v>2167</v>
      </c>
      <c r="M3290" s="747" t="s">
        <v>2260</v>
      </c>
      <c r="N3290" s="746" t="s">
        <v>2257</v>
      </c>
      <c r="O3290" s="746" t="s">
        <v>2254</v>
      </c>
      <c r="P3290" s="749">
        <v>6</v>
      </c>
      <c r="Q3290" s="749">
        <v>3</v>
      </c>
      <c r="R3290" s="849">
        <v>6.1999999999999998E-3</v>
      </c>
      <c r="S3290" s="746" t="s">
        <v>55</v>
      </c>
      <c r="T3290" s="746" t="s">
        <v>112</v>
      </c>
      <c r="U3290" s="860" t="s">
        <v>1633</v>
      </c>
      <c r="V3290" s="750">
        <f>8000-2657-2672</f>
        <v>2671</v>
      </c>
      <c r="W3290" s="750">
        <f>97</f>
        <v>97</v>
      </c>
      <c r="X3290" s="751">
        <f>17553/6</f>
        <v>2925.5</v>
      </c>
      <c r="Y3290" s="752">
        <f t="shared" si="1530"/>
        <v>351.5</v>
      </c>
      <c r="Z3290" s="753">
        <f t="shared" si="1531"/>
        <v>0</v>
      </c>
      <c r="AA3290" s="753">
        <f t="shared" si="1526"/>
        <v>0</v>
      </c>
      <c r="AB3290" s="838">
        <v>6.5000000000000002E-2</v>
      </c>
      <c r="AC3290" s="750">
        <f t="shared" si="1532"/>
        <v>0</v>
      </c>
      <c r="AD3290" s="209"/>
      <c r="AE3290" s="210">
        <f t="shared" si="1533"/>
        <v>0</v>
      </c>
      <c r="AF3290" s="210">
        <f t="shared" si="1534"/>
        <v>0</v>
      </c>
      <c r="AG3290" s="211">
        <f t="shared" si="1536"/>
        <v>0.3</v>
      </c>
      <c r="AH3290" s="157">
        <f t="shared" si="1535"/>
        <v>0</v>
      </c>
      <c r="AI3290" s="152">
        <f t="shared" si="1537"/>
        <v>16026</v>
      </c>
      <c r="AK3290" s="156" t="s">
        <v>691</v>
      </c>
      <c r="AL3290" s="212" t="s">
        <v>690</v>
      </c>
      <c r="AM3290" s="198">
        <f t="shared" si="1527"/>
        <v>0</v>
      </c>
      <c r="AN3290" s="199">
        <f t="shared" si="1528"/>
        <v>46113</v>
      </c>
      <c r="AO3290" s="159" t="s">
        <v>692</v>
      </c>
      <c r="AP3290" s="781"/>
      <c r="AQ3290" s="782"/>
      <c r="AR3290" s="782" t="s">
        <v>2379</v>
      </c>
      <c r="AS3290" s="782"/>
      <c r="AT3290" s="782">
        <v>12095581</v>
      </c>
      <c r="AU3290" s="783"/>
      <c r="AV3290" s="782">
        <v>12096149</v>
      </c>
      <c r="AW3290" s="782"/>
      <c r="AX3290" s="782"/>
      <c r="AY3290" s="782"/>
      <c r="AZ3290" s="782"/>
      <c r="BA3290" s="782"/>
      <c r="BB3290" s="209">
        <v>23105543</v>
      </c>
    </row>
    <row r="3291" spans="1:54" ht="24.75" customHeight="1">
      <c r="B3291" s="295">
        <v>46113</v>
      </c>
      <c r="C3291" s="771" t="s">
        <v>2736</v>
      </c>
      <c r="D3291" s="185">
        <f t="shared" si="1524"/>
        <v>2026</v>
      </c>
      <c r="E3291" s="296" t="e">
        <f>VLOOKUP($B3291,Week!$A$1:$C$1462,2,0)</f>
        <v>#N/A</v>
      </c>
      <c r="F3291" s="297" t="str">
        <f t="shared" si="1525"/>
        <v>Apr</v>
      </c>
      <c r="G3291" s="648" t="s">
        <v>47</v>
      </c>
      <c r="H3291" s="298" t="s">
        <v>260</v>
      </c>
      <c r="I3291" s="298" t="s">
        <v>2702</v>
      </c>
      <c r="J3291" s="307" t="s">
        <v>2240</v>
      </c>
      <c r="K3291" s="300" t="s">
        <v>176</v>
      </c>
      <c r="L3291" s="300" t="s">
        <v>2167</v>
      </c>
      <c r="M3291" s="299" t="s">
        <v>2338</v>
      </c>
      <c r="N3291" s="298" t="s">
        <v>350</v>
      </c>
      <c r="O3291" s="298" t="s">
        <v>351</v>
      </c>
      <c r="P3291" s="301">
        <v>24</v>
      </c>
      <c r="Q3291" s="301">
        <v>5</v>
      </c>
      <c r="R3291" s="302">
        <v>6.1999999999999998E-3</v>
      </c>
      <c r="S3291" s="298" t="s">
        <v>352</v>
      </c>
      <c r="T3291" s="298" t="s">
        <v>56</v>
      </c>
      <c r="U3291" s="298" t="s">
        <v>57</v>
      </c>
      <c r="V3291" s="303">
        <v>856</v>
      </c>
      <c r="W3291" s="303">
        <f>1+850+5</f>
        <v>856</v>
      </c>
      <c r="X3291" s="304"/>
      <c r="Y3291" s="305">
        <f t="shared" si="1530"/>
        <v>0</v>
      </c>
      <c r="Z3291" s="306">
        <f t="shared" si="1531"/>
        <v>0</v>
      </c>
      <c r="AA3291" s="306">
        <f t="shared" si="1526"/>
        <v>0</v>
      </c>
      <c r="AB3291" s="814">
        <v>7.4999999999999997E-3</v>
      </c>
      <c r="AC3291" s="303">
        <f t="shared" si="1532"/>
        <v>0</v>
      </c>
      <c r="AD3291" s="443"/>
      <c r="AE3291" s="210">
        <f t="shared" si="1533"/>
        <v>0</v>
      </c>
      <c r="AF3291" s="210">
        <f t="shared" si="1534"/>
        <v>0</v>
      </c>
      <c r="AG3291" s="211">
        <f t="shared" si="1536"/>
        <v>0.13</v>
      </c>
      <c r="AH3291" s="157">
        <f t="shared" si="1535"/>
        <v>0</v>
      </c>
      <c r="AI3291" s="152">
        <f t="shared" si="1537"/>
        <v>20544</v>
      </c>
      <c r="AK3291" s="156" t="s">
        <v>691</v>
      </c>
      <c r="AL3291" s="574" t="s">
        <v>690</v>
      </c>
      <c r="AM3291" s="198">
        <f t="shared" si="1527"/>
        <v>0</v>
      </c>
      <c r="AN3291" s="199">
        <f t="shared" si="1528"/>
        <v>46113</v>
      </c>
      <c r="AO3291" s="159" t="s">
        <v>692</v>
      </c>
      <c r="AP3291" s="783" t="s">
        <v>622</v>
      </c>
      <c r="AQ3291" s="782">
        <v>12071839</v>
      </c>
      <c r="AR3291" s="782">
        <v>12094356</v>
      </c>
      <c r="AS3291" s="782">
        <v>12068233</v>
      </c>
      <c r="AT3291" s="781"/>
      <c r="AU3291" s="781"/>
      <c r="AV3291" s="782">
        <v>12062075</v>
      </c>
      <c r="AW3291" s="781"/>
      <c r="AX3291" s="781"/>
      <c r="AY3291" s="782">
        <v>12094357</v>
      </c>
      <c r="AZ3291" s="782"/>
      <c r="BA3291" s="781"/>
      <c r="BB3291" s="209">
        <v>23053184</v>
      </c>
    </row>
    <row r="3292" spans="1:54" ht="25" customHeight="1">
      <c r="A3292" s="529" t="s">
        <v>1937</v>
      </c>
      <c r="B3292" s="357">
        <v>46113</v>
      </c>
      <c r="C3292" s="776" t="s">
        <v>2848</v>
      </c>
      <c r="D3292" s="185">
        <f t="shared" si="1524"/>
        <v>2026</v>
      </c>
      <c r="E3292" s="358" t="e">
        <f>VLOOKUP($B3292,Week!$A$1:$C$1462,2,0)</f>
        <v>#N/A</v>
      </c>
      <c r="F3292" s="360" t="str">
        <f t="shared" si="1525"/>
        <v>Apr</v>
      </c>
      <c r="G3292" s="359" t="s">
        <v>47</v>
      </c>
      <c r="H3292" s="359" t="s">
        <v>518</v>
      </c>
      <c r="I3292" s="359" t="s">
        <v>2702</v>
      </c>
      <c r="J3292" s="361" t="s">
        <v>70</v>
      </c>
      <c r="K3292" s="362" t="s">
        <v>94</v>
      </c>
      <c r="L3292" s="362" t="s">
        <v>2167</v>
      </c>
      <c r="M3292" s="361" t="s">
        <v>2341</v>
      </c>
      <c r="N3292" s="436" t="s">
        <v>648</v>
      </c>
      <c r="O3292" s="359" t="s">
        <v>97</v>
      </c>
      <c r="P3292" s="363">
        <v>12</v>
      </c>
      <c r="Q3292" s="363">
        <v>5</v>
      </c>
      <c r="R3292" s="364">
        <v>8.0000000000000002E-3</v>
      </c>
      <c r="S3292" s="359" t="s">
        <v>40</v>
      </c>
      <c r="T3292" s="359" t="s">
        <v>56</v>
      </c>
      <c r="U3292" s="359" t="s">
        <v>57</v>
      </c>
      <c r="V3292" s="365">
        <v>12</v>
      </c>
      <c r="W3292" s="365">
        <v>12</v>
      </c>
      <c r="X3292" s="366"/>
      <c r="Y3292" s="367">
        <f t="shared" si="1530"/>
        <v>0</v>
      </c>
      <c r="Z3292" s="368">
        <f t="shared" si="1531"/>
        <v>0</v>
      </c>
      <c r="AA3292" s="368">
        <f t="shared" si="1526"/>
        <v>0</v>
      </c>
      <c r="AB3292" s="819">
        <v>7.4999999999999997E-3</v>
      </c>
      <c r="AC3292" s="365">
        <f t="shared" si="1532"/>
        <v>0</v>
      </c>
      <c r="AD3292" s="209"/>
      <c r="AE3292" s="210">
        <f t="shared" si="1533"/>
        <v>0</v>
      </c>
      <c r="AF3292" s="210">
        <f t="shared" si="1534"/>
        <v>0</v>
      </c>
      <c r="AG3292" s="211">
        <f t="shared" si="1536"/>
        <v>0.14499999999999999</v>
      </c>
      <c r="AH3292" s="157">
        <f t="shared" si="1535"/>
        <v>0</v>
      </c>
      <c r="AI3292" s="152">
        <f t="shared" si="1537"/>
        <v>144</v>
      </c>
      <c r="AK3292" s="156" t="s">
        <v>691</v>
      </c>
      <c r="AL3292" s="574" t="s">
        <v>690</v>
      </c>
      <c r="AM3292" s="198">
        <f t="shared" si="1527"/>
        <v>0</v>
      </c>
      <c r="AN3292" s="199">
        <f t="shared" si="1528"/>
        <v>46113</v>
      </c>
      <c r="AO3292" s="159" t="s">
        <v>692</v>
      </c>
      <c r="AP3292" s="783" t="s">
        <v>628</v>
      </c>
      <c r="AQ3292" s="782">
        <v>12071839</v>
      </c>
      <c r="AR3292" s="782">
        <v>12047514</v>
      </c>
      <c r="AS3292" s="782">
        <v>12047515</v>
      </c>
      <c r="AT3292" s="782"/>
      <c r="AU3292" s="781"/>
      <c r="AV3292" s="782">
        <v>12080617</v>
      </c>
      <c r="AW3292" s="782"/>
      <c r="AX3292" s="782"/>
      <c r="AY3292" s="782">
        <v>12094231</v>
      </c>
      <c r="AZ3292" s="782">
        <v>1209232</v>
      </c>
      <c r="BA3292" s="781"/>
      <c r="BB3292" s="209"/>
    </row>
    <row r="3293" spans="1:54" ht="24.65" customHeight="1">
      <c r="A3293" s="529" t="s">
        <v>1812</v>
      </c>
      <c r="B3293" s="357">
        <v>46113</v>
      </c>
      <c r="C3293" s="776">
        <v>46139</v>
      </c>
      <c r="D3293" s="185">
        <f t="shared" si="1524"/>
        <v>2026</v>
      </c>
      <c r="E3293" s="358" t="e">
        <f>VLOOKUP($B3293,Week!$A$1:$C$1462,2,0)</f>
        <v>#N/A</v>
      </c>
      <c r="F3293" s="360" t="str">
        <f t="shared" si="1525"/>
        <v>Apr</v>
      </c>
      <c r="G3293" s="359" t="s">
        <v>2935</v>
      </c>
      <c r="H3293" s="436" t="s">
        <v>1820</v>
      </c>
      <c r="I3293" s="436" t="s">
        <v>1820</v>
      </c>
      <c r="J3293" s="437" t="s">
        <v>1821</v>
      </c>
      <c r="K3293" s="362" t="s">
        <v>94</v>
      </c>
      <c r="L3293" s="300" t="s">
        <v>2167</v>
      </c>
      <c r="M3293" s="361" t="s">
        <v>1823</v>
      </c>
      <c r="N3293" s="436" t="s">
        <v>1818</v>
      </c>
      <c r="O3293" s="359" t="s">
        <v>97</v>
      </c>
      <c r="P3293" s="363">
        <v>12</v>
      </c>
      <c r="Q3293" s="363">
        <v>5</v>
      </c>
      <c r="R3293" s="364">
        <v>8.0000000000000002E-3</v>
      </c>
      <c r="S3293" s="359" t="s">
        <v>40</v>
      </c>
      <c r="T3293" s="359" t="s">
        <v>56</v>
      </c>
      <c r="U3293" s="359" t="s">
        <v>57</v>
      </c>
      <c r="V3293" s="365">
        <f>100</f>
        <v>100</v>
      </c>
      <c r="W3293" s="365">
        <f>100</f>
        <v>100</v>
      </c>
      <c r="X3293" s="366"/>
      <c r="Y3293" s="367">
        <f t="shared" si="1530"/>
        <v>0</v>
      </c>
      <c r="Z3293" s="368">
        <f t="shared" si="1531"/>
        <v>0</v>
      </c>
      <c r="AA3293" s="368">
        <f t="shared" ref="AA3293" si="1538">Q3293*Z3293</f>
        <v>0</v>
      </c>
      <c r="AB3293" s="819">
        <v>7.4999999999999997E-3</v>
      </c>
      <c r="AC3293" s="365">
        <f t="shared" si="1532"/>
        <v>0</v>
      </c>
      <c r="AD3293" s="443"/>
      <c r="AE3293" s="210">
        <f t="shared" si="1533"/>
        <v>0</v>
      </c>
      <c r="AF3293" s="210">
        <f t="shared" si="1534"/>
        <v>0</v>
      </c>
      <c r="AG3293" s="211">
        <f t="shared" si="1536"/>
        <v>0.14499999999999999</v>
      </c>
      <c r="AH3293" s="157">
        <f t="shared" si="1535"/>
        <v>0</v>
      </c>
      <c r="AI3293" s="152">
        <f t="shared" si="1537"/>
        <v>1200</v>
      </c>
      <c r="AK3293" s="156" t="s">
        <v>691</v>
      </c>
      <c r="AL3293" s="574" t="s">
        <v>690</v>
      </c>
      <c r="AM3293" s="198">
        <f t="shared" si="1527"/>
        <v>0</v>
      </c>
      <c r="AN3293" s="199">
        <f t="shared" si="1528"/>
        <v>46113</v>
      </c>
      <c r="AO3293" s="159" t="s">
        <v>692</v>
      </c>
      <c r="AP3293" s="783" t="s">
        <v>628</v>
      </c>
      <c r="AQ3293" s="782">
        <v>12071839</v>
      </c>
      <c r="AR3293" s="782">
        <v>12047514</v>
      </c>
      <c r="AS3293" s="782">
        <v>12047515</v>
      </c>
      <c r="AT3293" s="782"/>
      <c r="AU3293" s="781"/>
      <c r="AV3293" s="782">
        <v>12080617</v>
      </c>
      <c r="AW3293" s="782"/>
      <c r="AX3293" s="782"/>
      <c r="AY3293" s="782">
        <v>12094231</v>
      </c>
      <c r="AZ3293" s="782">
        <v>1209232</v>
      </c>
      <c r="BA3293" s="781"/>
      <c r="BB3293" s="209">
        <v>23053185</v>
      </c>
    </row>
    <row r="3294" spans="1:54" ht="25" customHeight="1">
      <c r="B3294" s="357">
        <v>46113</v>
      </c>
      <c r="C3294" s="776" t="s">
        <v>2848</v>
      </c>
      <c r="D3294" s="185">
        <f t="shared" ref="D3294:D3300" si="1539">IF(B3294="","",YEAR(B3294))</f>
        <v>2026</v>
      </c>
      <c r="E3294" s="358" t="e">
        <f>VLOOKUP($B3294,Week!$A$1:$C$1462,2,0)</f>
        <v>#N/A</v>
      </c>
      <c r="F3294" s="360" t="str">
        <f t="shared" ref="F3294:F3300" si="1540">IF(B3294="","",TEXT(B3294,"[$-409]mmm"))</f>
        <v>Apr</v>
      </c>
      <c r="G3294" s="359" t="s">
        <v>47</v>
      </c>
      <c r="H3294" s="359" t="s">
        <v>518</v>
      </c>
      <c r="I3294" s="359" t="s">
        <v>2702</v>
      </c>
      <c r="J3294" s="361" t="s">
        <v>70</v>
      </c>
      <c r="K3294" s="362" t="s">
        <v>94</v>
      </c>
      <c r="L3294" s="300" t="s">
        <v>2167</v>
      </c>
      <c r="M3294" s="361" t="s">
        <v>2341</v>
      </c>
      <c r="N3294" s="359" t="s">
        <v>589</v>
      </c>
      <c r="O3294" s="359" t="s">
        <v>97</v>
      </c>
      <c r="P3294" s="363">
        <v>12</v>
      </c>
      <c r="Q3294" s="363">
        <v>5</v>
      </c>
      <c r="R3294" s="364">
        <v>8.0000000000000002E-3</v>
      </c>
      <c r="S3294" s="359" t="s">
        <v>40</v>
      </c>
      <c r="T3294" s="359" t="s">
        <v>56</v>
      </c>
      <c r="U3294" s="359" t="s">
        <v>57</v>
      </c>
      <c r="V3294" s="365">
        <f>2500</f>
        <v>2500</v>
      </c>
      <c r="W3294" s="365">
        <f>3777-3731+1+2453</f>
        <v>2500</v>
      </c>
      <c r="X3294" s="366"/>
      <c r="Y3294" s="367">
        <f t="shared" si="1530"/>
        <v>0</v>
      </c>
      <c r="Z3294" s="368">
        <f t="shared" si="1531"/>
        <v>0</v>
      </c>
      <c r="AA3294" s="368">
        <f t="shared" ref="AA3294:AA3301" si="1541">Q3294*Z3294</f>
        <v>0</v>
      </c>
      <c r="AB3294" s="819">
        <v>7.4999999999999997E-3</v>
      </c>
      <c r="AC3294" s="365">
        <f t="shared" si="1532"/>
        <v>0</v>
      </c>
      <c r="AD3294" s="209"/>
      <c r="AE3294" s="210">
        <f t="shared" si="1533"/>
        <v>0</v>
      </c>
      <c r="AF3294" s="210">
        <f t="shared" si="1534"/>
        <v>0</v>
      </c>
      <c r="AG3294" s="211">
        <f t="shared" si="1536"/>
        <v>0.14499999999999999</v>
      </c>
      <c r="AH3294" s="157">
        <f t="shared" si="1535"/>
        <v>0</v>
      </c>
      <c r="AI3294" s="152">
        <f t="shared" si="1537"/>
        <v>30000</v>
      </c>
      <c r="AK3294" s="156" t="s">
        <v>691</v>
      </c>
      <c r="AL3294" s="574" t="s">
        <v>690</v>
      </c>
      <c r="AM3294" s="198">
        <f t="shared" ref="AM3294:AM3301" si="1542">AG3294*Z3294</f>
        <v>0</v>
      </c>
      <c r="AN3294" s="199">
        <f t="shared" ref="AN3294:AN3300" si="1543">B3294</f>
        <v>46113</v>
      </c>
      <c r="AO3294" s="159" t="s">
        <v>692</v>
      </c>
      <c r="AP3294" s="783" t="s">
        <v>628</v>
      </c>
      <c r="AQ3294" s="782">
        <v>12071839</v>
      </c>
      <c r="AR3294" s="782">
        <v>12047514</v>
      </c>
      <c r="AS3294" s="782">
        <v>12047515</v>
      </c>
      <c r="AT3294" s="782"/>
      <c r="AU3294" s="781"/>
      <c r="AV3294" s="782">
        <v>12080617</v>
      </c>
      <c r="AW3294" s="782"/>
      <c r="AX3294" s="782"/>
      <c r="AY3294" s="782">
        <v>12094231</v>
      </c>
      <c r="AZ3294" s="782">
        <v>1209232</v>
      </c>
      <c r="BA3294" s="781"/>
      <c r="BB3294" s="209">
        <v>23053185</v>
      </c>
    </row>
    <row r="3295" spans="1:54" ht="25" customHeight="1">
      <c r="A3295" s="142" t="s">
        <v>120</v>
      </c>
      <c r="B3295" s="308">
        <v>46114</v>
      </c>
      <c r="C3295" s="309">
        <v>46147</v>
      </c>
      <c r="D3295" s="185">
        <f t="shared" si="1539"/>
        <v>2026</v>
      </c>
      <c r="E3295" s="309" t="e">
        <f>VLOOKUP($B3295,Week!$A$1:$C$1462,2,0)</f>
        <v>#N/A</v>
      </c>
      <c r="F3295" s="310" t="str">
        <f t="shared" si="1540"/>
        <v>Apr</v>
      </c>
      <c r="G3295" s="579" t="s">
        <v>2890</v>
      </c>
      <c r="H3295" s="311" t="s">
        <v>104</v>
      </c>
      <c r="I3295" s="311" t="s">
        <v>2772</v>
      </c>
      <c r="J3295" s="312" t="s">
        <v>105</v>
      </c>
      <c r="K3295" s="313" t="s">
        <v>85</v>
      </c>
      <c r="L3295" s="390" t="s">
        <v>2166</v>
      </c>
      <c r="M3295" s="312" t="s">
        <v>86</v>
      </c>
      <c r="N3295" s="311" t="s">
        <v>421</v>
      </c>
      <c r="O3295" s="311" t="s">
        <v>506</v>
      </c>
      <c r="P3295" s="314">
        <v>10</v>
      </c>
      <c r="Q3295" s="314">
        <v>50</v>
      </c>
      <c r="R3295" s="315">
        <v>6.8100000000000001E-3</v>
      </c>
      <c r="S3295" s="311" t="s">
        <v>76</v>
      </c>
      <c r="T3295" s="311" t="s">
        <v>112</v>
      </c>
      <c r="U3295" s="311" t="s">
        <v>89</v>
      </c>
      <c r="V3295" s="316">
        <f>100</f>
        <v>100</v>
      </c>
      <c r="W3295" s="316">
        <f>19+81</f>
        <v>100</v>
      </c>
      <c r="X3295" s="317"/>
      <c r="Y3295" s="318">
        <f t="shared" si="1530"/>
        <v>0</v>
      </c>
      <c r="Z3295" s="319">
        <f t="shared" si="1531"/>
        <v>0</v>
      </c>
      <c r="AA3295" s="319">
        <f t="shared" si="1541"/>
        <v>0</v>
      </c>
      <c r="AB3295" s="815">
        <v>6</v>
      </c>
      <c r="AC3295" s="316">
        <f t="shared" si="1532"/>
        <v>0</v>
      </c>
      <c r="AD3295" s="381"/>
      <c r="AE3295" s="210">
        <f t="shared" si="1533"/>
        <v>0</v>
      </c>
      <c r="AF3295" s="210">
        <f t="shared" ref="AF3295:AF3300" si="1544">AE3295/0.54</f>
        <v>0</v>
      </c>
      <c r="AG3295" s="211">
        <f t="shared" si="1536"/>
        <v>0.57999999999999996</v>
      </c>
      <c r="AH3295" s="157">
        <f t="shared" si="1535"/>
        <v>0</v>
      </c>
      <c r="AI3295" s="152">
        <f t="shared" si="1537"/>
        <v>1000</v>
      </c>
      <c r="AJ3295" s="156">
        <f>AI3295*Q3295</f>
        <v>50000</v>
      </c>
      <c r="AK3295" s="156" t="s">
        <v>691</v>
      </c>
      <c r="AL3295" s="156" t="s">
        <v>689</v>
      </c>
      <c r="AM3295" s="198">
        <f t="shared" si="1542"/>
        <v>0</v>
      </c>
      <c r="AN3295" s="199">
        <f t="shared" si="1543"/>
        <v>46114</v>
      </c>
      <c r="AO3295" s="159" t="s">
        <v>692</v>
      </c>
      <c r="AP3295" s="781" t="s">
        <v>423</v>
      </c>
      <c r="AQ3295" s="781" t="s">
        <v>422</v>
      </c>
      <c r="AR3295" s="782">
        <v>12055234</v>
      </c>
      <c r="AS3295" s="781"/>
      <c r="AT3295" s="782">
        <v>12069432</v>
      </c>
      <c r="AU3295" s="781"/>
      <c r="AV3295" s="782">
        <v>12069433</v>
      </c>
      <c r="AW3295" s="781"/>
      <c r="AX3295" s="781" t="s">
        <v>93</v>
      </c>
      <c r="AY3295" s="781"/>
      <c r="AZ3295" s="782"/>
      <c r="BA3295" s="781"/>
      <c r="BB3295" s="209">
        <v>23053184</v>
      </c>
    </row>
    <row r="3296" spans="1:54" ht="25" customHeight="1">
      <c r="A3296" s="142" t="s">
        <v>120</v>
      </c>
      <c r="B3296" s="308">
        <v>46114</v>
      </c>
      <c r="C3296" s="309">
        <v>46147</v>
      </c>
      <c r="D3296" s="185">
        <f t="shared" si="1539"/>
        <v>2026</v>
      </c>
      <c r="E3296" s="309" t="e">
        <f>VLOOKUP($B3296,Week!$A$1:$C$1462,2,0)</f>
        <v>#N/A</v>
      </c>
      <c r="F3296" s="310" t="str">
        <f t="shared" si="1540"/>
        <v>Apr</v>
      </c>
      <c r="G3296" s="579" t="s">
        <v>2891</v>
      </c>
      <c r="H3296" s="311" t="s">
        <v>104</v>
      </c>
      <c r="I3296" s="311" t="s">
        <v>2772</v>
      </c>
      <c r="J3296" s="312" t="s">
        <v>105</v>
      </c>
      <c r="K3296" s="313" t="s">
        <v>85</v>
      </c>
      <c r="L3296" s="390" t="s">
        <v>2166</v>
      </c>
      <c r="M3296" s="312" t="s">
        <v>86</v>
      </c>
      <c r="N3296" s="311" t="s">
        <v>421</v>
      </c>
      <c r="O3296" s="311" t="s">
        <v>506</v>
      </c>
      <c r="P3296" s="314">
        <v>10</v>
      </c>
      <c r="Q3296" s="314">
        <v>50</v>
      </c>
      <c r="R3296" s="315">
        <v>6.8100000000000001E-3</v>
      </c>
      <c r="S3296" s="311" t="s">
        <v>76</v>
      </c>
      <c r="T3296" s="311" t="s">
        <v>112</v>
      </c>
      <c r="U3296" s="311" t="s">
        <v>89</v>
      </c>
      <c r="V3296" s="316">
        <f>100</f>
        <v>100</v>
      </c>
      <c r="W3296" s="316">
        <f>181-81</f>
        <v>100</v>
      </c>
      <c r="X3296" s="317">
        <f>120/10</f>
        <v>12</v>
      </c>
      <c r="Y3296" s="318">
        <f t="shared" si="1530"/>
        <v>12</v>
      </c>
      <c r="Z3296" s="319">
        <f t="shared" si="1531"/>
        <v>0</v>
      </c>
      <c r="AA3296" s="319">
        <f t="shared" si="1541"/>
        <v>0</v>
      </c>
      <c r="AB3296" s="815">
        <v>6</v>
      </c>
      <c r="AC3296" s="316">
        <f t="shared" si="1532"/>
        <v>0</v>
      </c>
      <c r="AD3296" s="381"/>
      <c r="AE3296" s="210">
        <f t="shared" si="1533"/>
        <v>0</v>
      </c>
      <c r="AF3296" s="210">
        <f t="shared" si="1544"/>
        <v>0</v>
      </c>
      <c r="AG3296" s="211">
        <f t="shared" si="1536"/>
        <v>0.57999999999999996</v>
      </c>
      <c r="AH3296" s="157">
        <f t="shared" si="1535"/>
        <v>0</v>
      </c>
      <c r="AI3296" s="152">
        <f t="shared" si="1537"/>
        <v>1000</v>
      </c>
      <c r="AJ3296" s="156">
        <f>AI3296*Q3296</f>
        <v>50000</v>
      </c>
      <c r="AK3296" s="156" t="s">
        <v>691</v>
      </c>
      <c r="AL3296" s="156" t="s">
        <v>689</v>
      </c>
      <c r="AM3296" s="198">
        <f t="shared" si="1542"/>
        <v>0</v>
      </c>
      <c r="AN3296" s="199">
        <f t="shared" si="1543"/>
        <v>46114</v>
      </c>
      <c r="AO3296" s="159" t="s">
        <v>692</v>
      </c>
      <c r="AP3296" s="781" t="s">
        <v>423</v>
      </c>
      <c r="AQ3296" s="781" t="s">
        <v>422</v>
      </c>
      <c r="AR3296" s="782">
        <v>12055234</v>
      </c>
      <c r="AS3296" s="781"/>
      <c r="AT3296" s="782">
        <v>12069432</v>
      </c>
      <c r="AU3296" s="781"/>
      <c r="AV3296" s="782">
        <v>12069433</v>
      </c>
      <c r="AW3296" s="781"/>
      <c r="AX3296" s="781" t="s">
        <v>93</v>
      </c>
      <c r="AY3296" s="781"/>
      <c r="AZ3296" s="782"/>
      <c r="BA3296" s="781"/>
      <c r="BB3296" s="209">
        <v>23053184</v>
      </c>
    </row>
    <row r="3297" spans="1:54" ht="24.75" customHeight="1">
      <c r="A3297" s="142" t="s">
        <v>120</v>
      </c>
      <c r="B3297" s="308">
        <v>46114</v>
      </c>
      <c r="C3297" s="644" t="s">
        <v>2736</v>
      </c>
      <c r="D3297" s="185">
        <f t="shared" si="1539"/>
        <v>2026</v>
      </c>
      <c r="E3297" s="519" t="e">
        <f>VLOOKUP($B3297,Week!$A$1:$C$1462,2,0)</f>
        <v>#N/A</v>
      </c>
      <c r="F3297" s="520" t="str">
        <f t="shared" si="1540"/>
        <v>Apr</v>
      </c>
      <c r="G3297" s="644" t="s">
        <v>47</v>
      </c>
      <c r="H3297" s="311" t="s">
        <v>518</v>
      </c>
      <c r="I3297" s="311" t="s">
        <v>2702</v>
      </c>
      <c r="J3297" s="312" t="s">
        <v>70</v>
      </c>
      <c r="K3297" s="313" t="s">
        <v>85</v>
      </c>
      <c r="L3297" s="390" t="s">
        <v>2166</v>
      </c>
      <c r="M3297" s="312" t="s">
        <v>515</v>
      </c>
      <c r="N3297" s="311" t="s">
        <v>588</v>
      </c>
      <c r="O3297" s="311" t="s">
        <v>546</v>
      </c>
      <c r="P3297" s="314">
        <v>12</v>
      </c>
      <c r="Q3297" s="314">
        <v>20</v>
      </c>
      <c r="R3297" s="315">
        <v>6.1999999999999998E-3</v>
      </c>
      <c r="S3297" s="311" t="s">
        <v>352</v>
      </c>
      <c r="T3297" s="311" t="s">
        <v>56</v>
      </c>
      <c r="U3297" s="311" t="s">
        <v>77</v>
      </c>
      <c r="V3297" s="316">
        <f>500</f>
        <v>500</v>
      </c>
      <c r="W3297" s="316">
        <f>500</f>
        <v>500</v>
      </c>
      <c r="X3297" s="317"/>
      <c r="Y3297" s="318">
        <f t="shared" si="1530"/>
        <v>0</v>
      </c>
      <c r="Z3297" s="319">
        <f t="shared" si="1531"/>
        <v>0</v>
      </c>
      <c r="AA3297" s="319">
        <f t="shared" si="1541"/>
        <v>0</v>
      </c>
      <c r="AB3297" s="815"/>
      <c r="AC3297" s="316">
        <f t="shared" si="1532"/>
        <v>0</v>
      </c>
      <c r="AD3297" s="209"/>
      <c r="AE3297" s="210">
        <f t="shared" si="1533"/>
        <v>0</v>
      </c>
      <c r="AF3297" s="210">
        <f t="shared" si="1544"/>
        <v>0</v>
      </c>
      <c r="AG3297" s="211">
        <f t="shared" si="1536"/>
        <v>0.22</v>
      </c>
      <c r="AH3297" s="157">
        <f t="shared" si="1535"/>
        <v>0</v>
      </c>
      <c r="AI3297" s="152">
        <f t="shared" si="1537"/>
        <v>6000</v>
      </c>
      <c r="AK3297" s="156" t="s">
        <v>691</v>
      </c>
      <c r="AL3297" s="156" t="s">
        <v>689</v>
      </c>
      <c r="AM3297" s="198">
        <f t="shared" si="1542"/>
        <v>0</v>
      </c>
      <c r="AN3297" s="199">
        <f t="shared" si="1543"/>
        <v>46114</v>
      </c>
      <c r="AO3297" s="159" t="s">
        <v>692</v>
      </c>
      <c r="AP3297" s="783" t="s">
        <v>613</v>
      </c>
      <c r="AQ3297" s="782"/>
      <c r="AR3297" s="782" t="s">
        <v>614</v>
      </c>
      <c r="AS3297" s="782"/>
      <c r="AT3297" s="782"/>
      <c r="AU3297" s="781"/>
      <c r="AV3297" s="782">
        <v>12083143</v>
      </c>
      <c r="AW3297" s="782"/>
      <c r="AX3297" s="782" t="s">
        <v>2187</v>
      </c>
      <c r="AY3297" s="782"/>
      <c r="AZ3297" s="782"/>
      <c r="BA3297" s="781"/>
      <c r="BB3297" s="209"/>
    </row>
    <row r="3298" spans="1:54" ht="25" customHeight="1">
      <c r="A3298" s="142" t="s">
        <v>120</v>
      </c>
      <c r="B3298" s="546">
        <v>46114</v>
      </c>
      <c r="C3298" s="547">
        <v>46139</v>
      </c>
      <c r="D3298" s="549">
        <f t="shared" si="1539"/>
        <v>2026</v>
      </c>
      <c r="E3298" s="547" t="e">
        <f>VLOOKUP($B3298,Week!$A$1:$C$1462,2,0)</f>
        <v>#N/A</v>
      </c>
      <c r="F3298" s="548" t="str">
        <f t="shared" si="1540"/>
        <v>Apr</v>
      </c>
      <c r="G3298" s="549" t="s">
        <v>2865</v>
      </c>
      <c r="H3298" s="549" t="s">
        <v>500</v>
      </c>
      <c r="I3298" s="549" t="s">
        <v>2772</v>
      </c>
      <c r="J3298" s="550" t="s">
        <v>285</v>
      </c>
      <c r="K3298" s="551" t="s">
        <v>153</v>
      </c>
      <c r="L3298" s="551" t="s">
        <v>2166</v>
      </c>
      <c r="M3298" s="550" t="s">
        <v>579</v>
      </c>
      <c r="N3298" s="549" t="s">
        <v>2745</v>
      </c>
      <c r="O3298" s="549" t="s">
        <v>2746</v>
      </c>
      <c r="P3298" s="552">
        <v>10</v>
      </c>
      <c r="Q3298" s="552">
        <v>60</v>
      </c>
      <c r="R3298" s="553">
        <v>6.8100000000000001E-3</v>
      </c>
      <c r="S3298" s="549" t="s">
        <v>76</v>
      </c>
      <c r="T3298" s="549" t="s">
        <v>56</v>
      </c>
      <c r="U3298" s="549" t="s">
        <v>89</v>
      </c>
      <c r="V3298" s="554">
        <v>195</v>
      </c>
      <c r="W3298" s="554">
        <f>195</f>
        <v>195</v>
      </c>
      <c r="X3298" s="555"/>
      <c r="Y3298" s="556">
        <f t="shared" si="1530"/>
        <v>0</v>
      </c>
      <c r="Z3298" s="557">
        <f t="shared" si="1531"/>
        <v>0</v>
      </c>
      <c r="AA3298" s="557">
        <f t="shared" si="1541"/>
        <v>0</v>
      </c>
      <c r="AB3298" s="833">
        <v>6</v>
      </c>
      <c r="AC3298" s="554">
        <f t="shared" si="1532"/>
        <v>0</v>
      </c>
      <c r="AD3298" s="209"/>
      <c r="AE3298" s="210">
        <f t="shared" si="1533"/>
        <v>0</v>
      </c>
      <c r="AF3298" s="210">
        <f t="shared" si="1544"/>
        <v>0</v>
      </c>
      <c r="AG3298" s="211">
        <f t="shared" si="1536"/>
        <v>0.75</v>
      </c>
      <c r="AH3298" s="157">
        <f t="shared" si="1535"/>
        <v>0</v>
      </c>
      <c r="AI3298" s="152">
        <f t="shared" si="1537"/>
        <v>1950</v>
      </c>
      <c r="AK3298" s="156" t="s">
        <v>691</v>
      </c>
      <c r="AL3298" s="156" t="s">
        <v>689</v>
      </c>
      <c r="AM3298" s="198">
        <f t="shared" si="1542"/>
        <v>0</v>
      </c>
      <c r="AN3298" s="199">
        <f t="shared" si="1543"/>
        <v>46114</v>
      </c>
      <c r="AO3298" s="159" t="s">
        <v>692</v>
      </c>
      <c r="AP3298" s="783" t="s">
        <v>620</v>
      </c>
      <c r="AQ3298" s="796" t="s">
        <v>422</v>
      </c>
      <c r="AR3298" s="782" t="s">
        <v>2142</v>
      </c>
      <c r="AS3298" s="781"/>
      <c r="AT3298" s="782">
        <v>12098238</v>
      </c>
      <c r="AU3298" s="782"/>
      <c r="AV3298" s="782"/>
      <c r="AW3298" s="782"/>
      <c r="AX3298" s="782">
        <v>12080741</v>
      </c>
      <c r="AY3298" s="781"/>
      <c r="AZ3298" s="781"/>
      <c r="BA3298" s="781"/>
      <c r="BB3298" s="209">
        <v>23053184</v>
      </c>
    </row>
    <row r="3299" spans="1:54" ht="25" customHeight="1">
      <c r="B3299" s="320">
        <v>46114</v>
      </c>
      <c r="C3299" s="844" t="s">
        <v>2848</v>
      </c>
      <c r="D3299" s="185">
        <f t="shared" si="1539"/>
        <v>2026</v>
      </c>
      <c r="E3299" s="321" t="e">
        <f>VLOOKUP($B3299,Week!$A$1:$C$1462,2,0)</f>
        <v>#N/A</v>
      </c>
      <c r="F3299" s="322" t="str">
        <f t="shared" si="1540"/>
        <v>Apr</v>
      </c>
      <c r="G3299" s="323" t="s">
        <v>47</v>
      </c>
      <c r="H3299" s="323" t="s">
        <v>518</v>
      </c>
      <c r="I3299" s="323" t="s">
        <v>2702</v>
      </c>
      <c r="J3299" s="324" t="s">
        <v>70</v>
      </c>
      <c r="K3299" s="325" t="s">
        <v>564</v>
      </c>
      <c r="L3299" s="300" t="s">
        <v>2167</v>
      </c>
      <c r="M3299" s="324" t="s">
        <v>2343</v>
      </c>
      <c r="N3299" s="323" t="s">
        <v>559</v>
      </c>
      <c r="O3299" s="323" t="s">
        <v>560</v>
      </c>
      <c r="P3299" s="326">
        <v>12</v>
      </c>
      <c r="Q3299" s="326">
        <v>3</v>
      </c>
      <c r="R3299" s="327">
        <v>8.0000000000000002E-3</v>
      </c>
      <c r="S3299" s="323" t="s">
        <v>40</v>
      </c>
      <c r="T3299" s="323" t="s">
        <v>56</v>
      </c>
      <c r="U3299" s="323" t="s">
        <v>57</v>
      </c>
      <c r="V3299" s="397">
        <f>500</f>
        <v>500</v>
      </c>
      <c r="W3299" s="328">
        <f>984-477-500+1+492</f>
        <v>500</v>
      </c>
      <c r="X3299" s="329"/>
      <c r="Y3299" s="330">
        <f t="shared" si="1530"/>
        <v>0</v>
      </c>
      <c r="Z3299" s="331">
        <f t="shared" si="1531"/>
        <v>0</v>
      </c>
      <c r="AA3299" s="331">
        <f t="shared" si="1541"/>
        <v>0</v>
      </c>
      <c r="AB3299" s="816">
        <v>7.4999999999999997E-3</v>
      </c>
      <c r="AC3299" s="328">
        <f t="shared" si="1532"/>
        <v>0</v>
      </c>
      <c r="AD3299" s="209"/>
      <c r="AE3299" s="210">
        <f t="shared" si="1533"/>
        <v>0</v>
      </c>
      <c r="AF3299" s="210">
        <f t="shared" si="1544"/>
        <v>0</v>
      </c>
      <c r="AG3299" s="211">
        <f t="shared" si="1536"/>
        <v>0.22600000000000001</v>
      </c>
      <c r="AH3299" s="157">
        <f t="shared" si="1535"/>
        <v>0</v>
      </c>
      <c r="AI3299" s="152">
        <f t="shared" si="1537"/>
        <v>6000</v>
      </c>
      <c r="AK3299" s="156" t="s">
        <v>691</v>
      </c>
      <c r="AL3299" s="212" t="s">
        <v>690</v>
      </c>
      <c r="AM3299" s="198">
        <f t="shared" si="1542"/>
        <v>0</v>
      </c>
      <c r="AN3299" s="199">
        <f t="shared" si="1543"/>
        <v>46114</v>
      </c>
      <c r="AO3299" s="159" t="s">
        <v>692</v>
      </c>
      <c r="AP3299" s="783" t="s">
        <v>623</v>
      </c>
      <c r="AQ3299" s="782">
        <v>12071839</v>
      </c>
      <c r="AR3299" s="782">
        <v>12042650</v>
      </c>
      <c r="AS3299" s="782">
        <v>12042649</v>
      </c>
      <c r="AT3299" s="782"/>
      <c r="AU3299" s="781"/>
      <c r="AV3299" s="782">
        <v>12083156</v>
      </c>
      <c r="AW3299" s="782"/>
      <c r="AX3299" s="782"/>
      <c r="AY3299" s="782">
        <v>12094235</v>
      </c>
      <c r="AZ3299" s="782">
        <v>12094236</v>
      </c>
      <c r="BA3299" s="781"/>
      <c r="BB3299" s="209">
        <v>23053185</v>
      </c>
    </row>
    <row r="3300" spans="1:54" ht="25" customHeight="1">
      <c r="B3300" s="320">
        <v>46114</v>
      </c>
      <c r="C3300" s="844" t="s">
        <v>2848</v>
      </c>
      <c r="D3300" s="185">
        <f t="shared" si="1539"/>
        <v>2026</v>
      </c>
      <c r="E3300" s="321" t="e">
        <f>VLOOKUP($B3300,Week!$A$1:$C$1462,2,0)</f>
        <v>#N/A</v>
      </c>
      <c r="F3300" s="322" t="str">
        <f t="shared" si="1540"/>
        <v>Apr</v>
      </c>
      <c r="G3300" s="323" t="s">
        <v>47</v>
      </c>
      <c r="H3300" s="323" t="s">
        <v>518</v>
      </c>
      <c r="I3300" s="323" t="s">
        <v>2702</v>
      </c>
      <c r="J3300" s="324" t="s">
        <v>70</v>
      </c>
      <c r="K3300" s="325" t="s">
        <v>564</v>
      </c>
      <c r="L3300" s="300" t="s">
        <v>2167</v>
      </c>
      <c r="M3300" s="324" t="s">
        <v>2343</v>
      </c>
      <c r="N3300" s="323" t="s">
        <v>559</v>
      </c>
      <c r="O3300" s="323" t="s">
        <v>560</v>
      </c>
      <c r="P3300" s="326">
        <v>12</v>
      </c>
      <c r="Q3300" s="326">
        <v>3</v>
      </c>
      <c r="R3300" s="327">
        <v>8.0000000000000002E-3</v>
      </c>
      <c r="S3300" s="323" t="s">
        <v>40</v>
      </c>
      <c r="T3300" s="323" t="s">
        <v>56</v>
      </c>
      <c r="U3300" s="323" t="s">
        <v>57</v>
      </c>
      <c r="V3300" s="397">
        <f>500</f>
        <v>500</v>
      </c>
      <c r="W3300" s="328">
        <f>500</f>
        <v>500</v>
      </c>
      <c r="X3300" s="329"/>
      <c r="Y3300" s="330">
        <f t="shared" si="1530"/>
        <v>0</v>
      </c>
      <c r="Z3300" s="331">
        <f t="shared" si="1531"/>
        <v>0</v>
      </c>
      <c r="AA3300" s="331">
        <f t="shared" si="1541"/>
        <v>0</v>
      </c>
      <c r="AB3300" s="816">
        <v>7.4999999999999997E-3</v>
      </c>
      <c r="AC3300" s="328">
        <f t="shared" si="1532"/>
        <v>0</v>
      </c>
      <c r="AD3300" s="209"/>
      <c r="AE3300" s="210">
        <f t="shared" si="1533"/>
        <v>0</v>
      </c>
      <c r="AF3300" s="210">
        <f t="shared" si="1544"/>
        <v>0</v>
      </c>
      <c r="AG3300" s="211">
        <f t="shared" si="1536"/>
        <v>0.22600000000000001</v>
      </c>
      <c r="AH3300" s="157">
        <f t="shared" si="1535"/>
        <v>0</v>
      </c>
      <c r="AI3300" s="152">
        <f t="shared" si="1537"/>
        <v>6000</v>
      </c>
      <c r="AK3300" s="156" t="s">
        <v>691</v>
      </c>
      <c r="AL3300" s="212" t="s">
        <v>690</v>
      </c>
      <c r="AM3300" s="198">
        <f t="shared" si="1542"/>
        <v>0</v>
      </c>
      <c r="AN3300" s="199">
        <f t="shared" si="1543"/>
        <v>46114</v>
      </c>
      <c r="AO3300" s="159" t="s">
        <v>692</v>
      </c>
      <c r="AP3300" s="783" t="s">
        <v>623</v>
      </c>
      <c r="AQ3300" s="782">
        <v>12071839</v>
      </c>
      <c r="AR3300" s="782">
        <v>12042650</v>
      </c>
      <c r="AS3300" s="782">
        <v>12042649</v>
      </c>
      <c r="AT3300" s="782"/>
      <c r="AU3300" s="781"/>
      <c r="AV3300" s="782">
        <v>12083156</v>
      </c>
      <c r="AW3300" s="782"/>
      <c r="AX3300" s="782"/>
      <c r="AY3300" s="782">
        <v>12094235</v>
      </c>
      <c r="AZ3300" s="782">
        <v>12094236</v>
      </c>
      <c r="BA3300" s="781"/>
      <c r="BB3300" s="209">
        <v>23053185</v>
      </c>
    </row>
    <row r="3301" spans="1:54" ht="25" customHeight="1">
      <c r="A3301" s="440"/>
      <c r="B3301" s="332">
        <v>46114</v>
      </c>
      <c r="C3301" s="646" t="s">
        <v>2736</v>
      </c>
      <c r="D3301" s="185">
        <f t="shared" ref="D3301:D3332" si="1545">IF(B3301="","",YEAR(B3301))</f>
        <v>2026</v>
      </c>
      <c r="E3301" s="333" t="e">
        <f>VLOOKUP($B3301,Week!$A$1:$C$1462,2,0)</f>
        <v>#N/A</v>
      </c>
      <c r="F3301" s="334" t="str">
        <f t="shared" ref="F3301:F3332" si="1546">IF(B3301="","",TEXT(B3301,"[$-409]mmm"))</f>
        <v>Apr</v>
      </c>
      <c r="G3301" s="335" t="s">
        <v>47</v>
      </c>
      <c r="H3301" s="335" t="s">
        <v>518</v>
      </c>
      <c r="I3301" s="335" t="s">
        <v>2702</v>
      </c>
      <c r="J3301" s="336" t="s">
        <v>70</v>
      </c>
      <c r="K3301" s="337" t="s">
        <v>582</v>
      </c>
      <c r="L3301" s="300" t="s">
        <v>2167</v>
      </c>
      <c r="M3301" s="336" t="s">
        <v>534</v>
      </c>
      <c r="N3301" s="530" t="s">
        <v>578</v>
      </c>
      <c r="O3301" s="335" t="s">
        <v>583</v>
      </c>
      <c r="P3301" s="338">
        <v>12</v>
      </c>
      <c r="Q3301" s="338">
        <v>3</v>
      </c>
      <c r="R3301" s="339">
        <v>6.0000000000000001E-3</v>
      </c>
      <c r="S3301" s="335" t="s">
        <v>55</v>
      </c>
      <c r="T3301" s="335" t="s">
        <v>56</v>
      </c>
      <c r="U3301" s="335" t="s">
        <v>57</v>
      </c>
      <c r="V3301" s="341">
        <f>200</f>
        <v>200</v>
      </c>
      <c r="W3301" s="341">
        <f>278-190-50+1+161</f>
        <v>200</v>
      </c>
      <c r="X3301" s="342"/>
      <c r="Y3301" s="343">
        <f t="shared" si="1530"/>
        <v>0</v>
      </c>
      <c r="Z3301" s="344">
        <f t="shared" si="1531"/>
        <v>0</v>
      </c>
      <c r="AA3301" s="344">
        <f t="shared" si="1541"/>
        <v>0</v>
      </c>
      <c r="AB3301" s="817">
        <v>7.4999999999999997E-3</v>
      </c>
      <c r="AC3301" s="341">
        <f t="shared" si="1532"/>
        <v>0</v>
      </c>
      <c r="AD3301" s="209"/>
      <c r="AE3301" s="210">
        <f t="shared" si="1533"/>
        <v>0</v>
      </c>
      <c r="AF3301" s="210">
        <f t="shared" ref="AF3301:AF3324" si="1547">AE3301/0.54</f>
        <v>0</v>
      </c>
      <c r="AG3301" s="211">
        <f t="shared" si="1536"/>
        <v>0.191</v>
      </c>
      <c r="AH3301" s="157">
        <f t="shared" si="1535"/>
        <v>0</v>
      </c>
      <c r="AI3301" s="152">
        <f t="shared" si="1537"/>
        <v>2400</v>
      </c>
      <c r="AK3301" s="156" t="s">
        <v>691</v>
      </c>
      <c r="AL3301" s="212" t="s">
        <v>690</v>
      </c>
      <c r="AM3301" s="198">
        <f t="shared" si="1542"/>
        <v>0</v>
      </c>
      <c r="AN3301" s="199">
        <f t="shared" ref="AN3301:AN3338" si="1548">B3301</f>
        <v>46114</v>
      </c>
      <c r="AO3301" s="159" t="s">
        <v>692</v>
      </c>
      <c r="AP3301" s="781"/>
      <c r="AQ3301" s="782">
        <v>12071839</v>
      </c>
      <c r="AR3301" s="782">
        <v>12042650</v>
      </c>
      <c r="AS3301" s="782">
        <v>12042649</v>
      </c>
      <c r="AT3301" s="782"/>
      <c r="AU3301" s="781"/>
      <c r="AV3301" s="782">
        <v>12083313</v>
      </c>
      <c r="AW3301" s="782"/>
      <c r="AX3301" s="782"/>
      <c r="AY3301" s="782">
        <v>12094233</v>
      </c>
      <c r="AZ3301" s="782">
        <v>12094234</v>
      </c>
      <c r="BA3301" s="781"/>
      <c r="BB3301" s="209">
        <v>23053185</v>
      </c>
    </row>
    <row r="3302" spans="1:54" ht="25" customHeight="1">
      <c r="A3302" s="440"/>
      <c r="B3302" s="332">
        <v>46114</v>
      </c>
      <c r="C3302" s="646" t="s">
        <v>2848</v>
      </c>
      <c r="D3302" s="185">
        <f t="shared" si="1545"/>
        <v>2026</v>
      </c>
      <c r="E3302" s="333" t="e">
        <f>VLOOKUP($B3302,Week!$A$1:$C$1462,2,0)</f>
        <v>#N/A</v>
      </c>
      <c r="F3302" s="334" t="str">
        <f t="shared" si="1546"/>
        <v>Apr</v>
      </c>
      <c r="G3302" s="335" t="s">
        <v>47</v>
      </c>
      <c r="H3302" s="335" t="s">
        <v>518</v>
      </c>
      <c r="I3302" s="335" t="s">
        <v>2702</v>
      </c>
      <c r="J3302" s="336" t="s">
        <v>70</v>
      </c>
      <c r="K3302" s="337" t="s">
        <v>582</v>
      </c>
      <c r="L3302" s="300" t="s">
        <v>2167</v>
      </c>
      <c r="M3302" s="336" t="s">
        <v>534</v>
      </c>
      <c r="N3302" s="530" t="s">
        <v>578</v>
      </c>
      <c r="O3302" s="335" t="s">
        <v>583</v>
      </c>
      <c r="P3302" s="338">
        <v>12</v>
      </c>
      <c r="Q3302" s="338">
        <v>3</v>
      </c>
      <c r="R3302" s="339">
        <v>6.0000000000000001E-3</v>
      </c>
      <c r="S3302" s="335" t="s">
        <v>55</v>
      </c>
      <c r="T3302" s="335" t="s">
        <v>56</v>
      </c>
      <c r="U3302" s="335" t="s">
        <v>57</v>
      </c>
      <c r="V3302" s="341">
        <f>200</f>
        <v>200</v>
      </c>
      <c r="W3302" s="341">
        <f>200</f>
        <v>200</v>
      </c>
      <c r="X3302" s="342"/>
      <c r="Y3302" s="343">
        <f t="shared" si="1530"/>
        <v>0</v>
      </c>
      <c r="Z3302" s="344">
        <f t="shared" si="1531"/>
        <v>0</v>
      </c>
      <c r="AA3302" s="344">
        <f t="shared" ref="AA3302:AA3338" si="1549">Q3302*Z3302</f>
        <v>0</v>
      </c>
      <c r="AB3302" s="817">
        <v>7.4999999999999997E-3</v>
      </c>
      <c r="AC3302" s="341">
        <f t="shared" si="1532"/>
        <v>0</v>
      </c>
      <c r="AD3302" s="209"/>
      <c r="AE3302" s="210">
        <f t="shared" si="1533"/>
        <v>0</v>
      </c>
      <c r="AF3302" s="210">
        <f t="shared" si="1547"/>
        <v>0</v>
      </c>
      <c r="AG3302" s="211">
        <f t="shared" si="1536"/>
        <v>0.191</v>
      </c>
      <c r="AH3302" s="157">
        <f t="shared" si="1535"/>
        <v>0</v>
      </c>
      <c r="AI3302" s="152">
        <f t="shared" si="1537"/>
        <v>2400</v>
      </c>
      <c r="AK3302" s="156" t="s">
        <v>691</v>
      </c>
      <c r="AL3302" s="212" t="s">
        <v>690</v>
      </c>
      <c r="AM3302" s="198">
        <f t="shared" ref="AM3302:AM3338" si="1550">AG3302*Z3302</f>
        <v>0</v>
      </c>
      <c r="AN3302" s="199">
        <f t="shared" si="1548"/>
        <v>46114</v>
      </c>
      <c r="AO3302" s="159" t="s">
        <v>692</v>
      </c>
      <c r="AP3302" s="781"/>
      <c r="AQ3302" s="782">
        <v>12071839</v>
      </c>
      <c r="AR3302" s="782">
        <v>12042650</v>
      </c>
      <c r="AS3302" s="782">
        <v>12042649</v>
      </c>
      <c r="AT3302" s="782"/>
      <c r="AU3302" s="781"/>
      <c r="AV3302" s="782">
        <v>12083313</v>
      </c>
      <c r="AW3302" s="782"/>
      <c r="AX3302" s="782"/>
      <c r="AY3302" s="782">
        <v>12094233</v>
      </c>
      <c r="AZ3302" s="782">
        <v>12094234</v>
      </c>
      <c r="BA3302" s="781"/>
      <c r="BB3302" s="209">
        <v>23053185</v>
      </c>
    </row>
    <row r="3303" spans="1:54" ht="25" customHeight="1">
      <c r="A3303" s="440"/>
      <c r="B3303" s="332">
        <v>46114</v>
      </c>
      <c r="C3303" s="646" t="s">
        <v>2848</v>
      </c>
      <c r="D3303" s="185">
        <f t="shared" si="1545"/>
        <v>2026</v>
      </c>
      <c r="E3303" s="333" t="e">
        <f>VLOOKUP($B3303,Week!$A$1:$C$1462,2,0)</f>
        <v>#N/A</v>
      </c>
      <c r="F3303" s="334" t="str">
        <f t="shared" si="1546"/>
        <v>Apr</v>
      </c>
      <c r="G3303" s="335" t="s">
        <v>47</v>
      </c>
      <c r="H3303" s="335" t="s">
        <v>518</v>
      </c>
      <c r="I3303" s="335" t="s">
        <v>2702</v>
      </c>
      <c r="J3303" s="336" t="s">
        <v>70</v>
      </c>
      <c r="K3303" s="337" t="s">
        <v>582</v>
      </c>
      <c r="L3303" s="300" t="s">
        <v>2167</v>
      </c>
      <c r="M3303" s="336" t="s">
        <v>534</v>
      </c>
      <c r="N3303" s="530" t="s">
        <v>578</v>
      </c>
      <c r="O3303" s="335" t="s">
        <v>583</v>
      </c>
      <c r="P3303" s="338">
        <v>12</v>
      </c>
      <c r="Q3303" s="338">
        <v>3</v>
      </c>
      <c r="R3303" s="339">
        <v>6.0000000000000001E-3</v>
      </c>
      <c r="S3303" s="335" t="s">
        <v>55</v>
      </c>
      <c r="T3303" s="335" t="s">
        <v>56</v>
      </c>
      <c r="U3303" s="335" t="s">
        <v>57</v>
      </c>
      <c r="V3303" s="341">
        <v>70</v>
      </c>
      <c r="W3303" s="341">
        <f>431-161-200</f>
        <v>70</v>
      </c>
      <c r="X3303" s="342"/>
      <c r="Y3303" s="343">
        <f t="shared" si="1530"/>
        <v>0</v>
      </c>
      <c r="Z3303" s="344">
        <f t="shared" si="1531"/>
        <v>0</v>
      </c>
      <c r="AA3303" s="344">
        <f t="shared" si="1549"/>
        <v>0</v>
      </c>
      <c r="AB3303" s="817">
        <v>7.4999999999999997E-3</v>
      </c>
      <c r="AC3303" s="341">
        <f t="shared" si="1532"/>
        <v>0</v>
      </c>
      <c r="AD3303" s="209"/>
      <c r="AE3303" s="210">
        <f t="shared" si="1533"/>
        <v>0</v>
      </c>
      <c r="AF3303" s="210">
        <f t="shared" si="1547"/>
        <v>0</v>
      </c>
      <c r="AG3303" s="211">
        <f t="shared" si="1536"/>
        <v>0.191</v>
      </c>
      <c r="AH3303" s="157">
        <f t="shared" si="1535"/>
        <v>0</v>
      </c>
      <c r="AI3303" s="152">
        <f t="shared" si="1537"/>
        <v>840</v>
      </c>
      <c r="AK3303" s="156" t="s">
        <v>691</v>
      </c>
      <c r="AL3303" s="212" t="s">
        <v>690</v>
      </c>
      <c r="AM3303" s="198">
        <f t="shared" si="1550"/>
        <v>0</v>
      </c>
      <c r="AN3303" s="199">
        <f t="shared" si="1548"/>
        <v>46114</v>
      </c>
      <c r="AO3303" s="159" t="s">
        <v>692</v>
      </c>
      <c r="AP3303" s="781"/>
      <c r="AQ3303" s="782">
        <v>12071839</v>
      </c>
      <c r="AR3303" s="782">
        <v>12042650</v>
      </c>
      <c r="AS3303" s="782">
        <v>12042649</v>
      </c>
      <c r="AT3303" s="782"/>
      <c r="AU3303" s="781"/>
      <c r="AV3303" s="782">
        <v>12083313</v>
      </c>
      <c r="AW3303" s="782"/>
      <c r="AX3303" s="782"/>
      <c r="AY3303" s="782">
        <v>12094233</v>
      </c>
      <c r="AZ3303" s="782">
        <v>12094234</v>
      </c>
      <c r="BA3303" s="781"/>
      <c r="BB3303" s="209">
        <v>23053185</v>
      </c>
    </row>
    <row r="3304" spans="1:54" ht="25" customHeight="1">
      <c r="B3304" s="271">
        <v>46114</v>
      </c>
      <c r="C3304" s="870" t="s">
        <v>2736</v>
      </c>
      <c r="D3304" s="185">
        <f t="shared" si="1545"/>
        <v>2026</v>
      </c>
      <c r="E3304" s="272" t="e">
        <f>VLOOKUP($B3304,Week!$A$1:$C$1462,2,0)</f>
        <v>#N/A</v>
      </c>
      <c r="F3304" s="273" t="str">
        <f t="shared" si="1546"/>
        <v>Apr</v>
      </c>
      <c r="G3304" s="274" t="s">
        <v>47</v>
      </c>
      <c r="H3304" s="274" t="s">
        <v>518</v>
      </c>
      <c r="I3304" s="274" t="s">
        <v>2702</v>
      </c>
      <c r="J3304" s="275" t="s">
        <v>70</v>
      </c>
      <c r="K3304" s="276" t="s">
        <v>556</v>
      </c>
      <c r="L3304" s="300" t="s">
        <v>2167</v>
      </c>
      <c r="M3304" s="275" t="s">
        <v>520</v>
      </c>
      <c r="N3304" s="423" t="s">
        <v>586</v>
      </c>
      <c r="O3304" s="274" t="s">
        <v>585</v>
      </c>
      <c r="P3304" s="277">
        <v>12</v>
      </c>
      <c r="Q3304" s="277">
        <v>5</v>
      </c>
      <c r="R3304" s="278">
        <v>6.0000000000000001E-3</v>
      </c>
      <c r="S3304" s="274" t="s">
        <v>55</v>
      </c>
      <c r="T3304" s="274" t="s">
        <v>56</v>
      </c>
      <c r="U3304" s="274" t="s">
        <v>57</v>
      </c>
      <c r="V3304" s="279">
        <f>300</f>
        <v>300</v>
      </c>
      <c r="W3304" s="279">
        <f>614-164-50-350+26+224</f>
        <v>300</v>
      </c>
      <c r="X3304" s="280"/>
      <c r="Y3304" s="281">
        <f t="shared" si="1530"/>
        <v>0</v>
      </c>
      <c r="Z3304" s="282">
        <f t="shared" si="1531"/>
        <v>0</v>
      </c>
      <c r="AA3304" s="282">
        <f t="shared" si="1549"/>
        <v>0</v>
      </c>
      <c r="AB3304" s="812">
        <v>7.4999999999999997E-3</v>
      </c>
      <c r="AC3304" s="279">
        <f t="shared" si="1532"/>
        <v>0</v>
      </c>
      <c r="AD3304" s="209"/>
      <c r="AE3304" s="210">
        <f t="shared" si="1533"/>
        <v>0</v>
      </c>
      <c r="AF3304" s="210">
        <f t="shared" si="1547"/>
        <v>0</v>
      </c>
      <c r="AG3304" s="211">
        <f t="shared" si="1536"/>
        <v>0.13500000000000001</v>
      </c>
      <c r="AH3304" s="157">
        <f t="shared" si="1535"/>
        <v>0</v>
      </c>
      <c r="AI3304" s="152">
        <f t="shared" si="1537"/>
        <v>3600</v>
      </c>
      <c r="AK3304" s="156" t="s">
        <v>691</v>
      </c>
      <c r="AL3304" s="212" t="s">
        <v>690</v>
      </c>
      <c r="AM3304" s="198">
        <f t="shared" si="1550"/>
        <v>0</v>
      </c>
      <c r="AN3304" s="199">
        <f t="shared" si="1548"/>
        <v>46114</v>
      </c>
      <c r="AO3304" s="159" t="s">
        <v>692</v>
      </c>
      <c r="AP3304" s="781"/>
      <c r="AQ3304" s="782">
        <v>12071839</v>
      </c>
      <c r="AR3304" s="782">
        <v>12047514</v>
      </c>
      <c r="AS3304" s="782">
        <v>12047515</v>
      </c>
      <c r="AT3304" s="782"/>
      <c r="AU3304" s="781"/>
      <c r="AV3304" s="782">
        <v>12083307</v>
      </c>
      <c r="AW3304" s="782"/>
      <c r="AX3304" s="782"/>
      <c r="AY3304" s="782">
        <v>12094380</v>
      </c>
      <c r="AZ3304" s="782">
        <v>12094381</v>
      </c>
      <c r="BA3304" s="781"/>
      <c r="BB3304" s="209">
        <v>23053185</v>
      </c>
    </row>
    <row r="3305" spans="1:54" ht="24.65" customHeight="1">
      <c r="B3305" s="411">
        <v>46114</v>
      </c>
      <c r="C3305" s="645" t="s">
        <v>2736</v>
      </c>
      <c r="D3305" s="185">
        <f t="shared" si="1545"/>
        <v>2026</v>
      </c>
      <c r="E3305" s="412" t="e">
        <f>VLOOKUP($B3305,Week!$A$1:$C$1462,2,0)</f>
        <v>#N/A</v>
      </c>
      <c r="F3305" s="413" t="str">
        <f t="shared" si="1546"/>
        <v>Apr</v>
      </c>
      <c r="G3305" s="414" t="s">
        <v>47</v>
      </c>
      <c r="H3305" s="414" t="s">
        <v>260</v>
      </c>
      <c r="I3305" s="414" t="s">
        <v>2702</v>
      </c>
      <c r="J3305" s="415" t="s">
        <v>261</v>
      </c>
      <c r="K3305" s="416" t="s">
        <v>94</v>
      </c>
      <c r="L3305" s="300" t="s">
        <v>2167</v>
      </c>
      <c r="M3305" s="415" t="s">
        <v>2339</v>
      </c>
      <c r="N3305" s="414" t="s">
        <v>263</v>
      </c>
      <c r="O3305" s="414" t="s">
        <v>195</v>
      </c>
      <c r="P3305" s="417">
        <v>24</v>
      </c>
      <c r="Q3305" s="417">
        <v>5</v>
      </c>
      <c r="R3305" s="418">
        <v>8.0000000000000002E-3</v>
      </c>
      <c r="S3305" s="414" t="s">
        <v>40</v>
      </c>
      <c r="T3305" s="414" t="s">
        <v>56</v>
      </c>
      <c r="U3305" s="414" t="s">
        <v>57</v>
      </c>
      <c r="V3305" s="419">
        <f>12500-1038-3513-4819-1284</f>
        <v>1846</v>
      </c>
      <c r="W3305" s="419">
        <f>1+1845</f>
        <v>1846</v>
      </c>
      <c r="X3305" s="420"/>
      <c r="Y3305" s="421">
        <f t="shared" si="1530"/>
        <v>0</v>
      </c>
      <c r="Z3305" s="422">
        <f t="shared" si="1531"/>
        <v>0</v>
      </c>
      <c r="AA3305" s="422">
        <f t="shared" si="1549"/>
        <v>0</v>
      </c>
      <c r="AB3305" s="825">
        <v>7.4999999999999997E-3</v>
      </c>
      <c r="AC3305" s="419">
        <f t="shared" si="1532"/>
        <v>0</v>
      </c>
      <c r="AD3305" s="209"/>
      <c r="AE3305" s="210">
        <f t="shared" si="1533"/>
        <v>0</v>
      </c>
      <c r="AF3305" s="210">
        <f t="shared" si="1547"/>
        <v>0</v>
      </c>
      <c r="AG3305" s="211">
        <f t="shared" si="1536"/>
        <v>0.14499999999999999</v>
      </c>
      <c r="AH3305" s="157">
        <f t="shared" si="1535"/>
        <v>0</v>
      </c>
      <c r="AI3305" s="152">
        <f t="shared" si="1537"/>
        <v>44304</v>
      </c>
      <c r="AK3305" s="156" t="s">
        <v>691</v>
      </c>
      <c r="AL3305" s="212" t="s">
        <v>690</v>
      </c>
      <c r="AM3305" s="198">
        <f t="shared" si="1550"/>
        <v>0</v>
      </c>
      <c r="AN3305" s="199">
        <f t="shared" si="1548"/>
        <v>46114</v>
      </c>
      <c r="AO3305" s="159" t="s">
        <v>692</v>
      </c>
      <c r="AP3305" s="783" t="s">
        <v>609</v>
      </c>
      <c r="AQ3305" s="782">
        <v>12071839</v>
      </c>
      <c r="AR3305" s="782">
        <v>12047514</v>
      </c>
      <c r="AS3305" s="782">
        <v>12047515</v>
      </c>
      <c r="AT3305" s="781"/>
      <c r="AU3305" s="781"/>
      <c r="AV3305" s="782">
        <v>12080613</v>
      </c>
      <c r="AW3305" s="781"/>
      <c r="AX3305" s="781"/>
      <c r="AY3305" s="782">
        <v>12094241</v>
      </c>
      <c r="AZ3305" s="782">
        <v>12094242</v>
      </c>
      <c r="BA3305" s="781"/>
      <c r="BB3305" s="209">
        <v>23053185</v>
      </c>
    </row>
    <row r="3306" spans="1:54" ht="24.65" customHeight="1">
      <c r="B3306" s="411">
        <v>46114</v>
      </c>
      <c r="C3306" s="645" t="s">
        <v>2848</v>
      </c>
      <c r="D3306" s="185">
        <f t="shared" si="1545"/>
        <v>2026</v>
      </c>
      <c r="E3306" s="412" t="e">
        <f>VLOOKUP($B3306,Week!$A$1:$C$1462,2,0)</f>
        <v>#N/A</v>
      </c>
      <c r="F3306" s="413" t="str">
        <f t="shared" si="1546"/>
        <v>Apr</v>
      </c>
      <c r="G3306" s="414" t="s">
        <v>47</v>
      </c>
      <c r="H3306" s="414" t="s">
        <v>260</v>
      </c>
      <c r="I3306" s="414" t="s">
        <v>2702</v>
      </c>
      <c r="J3306" s="415" t="s">
        <v>261</v>
      </c>
      <c r="K3306" s="416" t="s">
        <v>94</v>
      </c>
      <c r="L3306" s="300" t="s">
        <v>2167</v>
      </c>
      <c r="M3306" s="415" t="s">
        <v>2339</v>
      </c>
      <c r="N3306" s="414" t="s">
        <v>263</v>
      </c>
      <c r="O3306" s="414" t="s">
        <v>195</v>
      </c>
      <c r="P3306" s="417">
        <v>24</v>
      </c>
      <c r="Q3306" s="417">
        <v>5</v>
      </c>
      <c r="R3306" s="418">
        <v>8.0000000000000002E-3</v>
      </c>
      <c r="S3306" s="414" t="s">
        <v>40</v>
      </c>
      <c r="T3306" s="414" t="s">
        <v>56</v>
      </c>
      <c r="U3306" s="414" t="s">
        <v>57</v>
      </c>
      <c r="V3306" s="419">
        <f>19</f>
        <v>19</v>
      </c>
      <c r="W3306" s="419">
        <f>1864-1845</f>
        <v>19</v>
      </c>
      <c r="X3306" s="420"/>
      <c r="Y3306" s="421">
        <f t="shared" si="1530"/>
        <v>0</v>
      </c>
      <c r="Z3306" s="422">
        <f t="shared" si="1531"/>
        <v>0</v>
      </c>
      <c r="AA3306" s="422">
        <f t="shared" si="1549"/>
        <v>0</v>
      </c>
      <c r="AB3306" s="825">
        <v>7.4999999999999997E-3</v>
      </c>
      <c r="AC3306" s="419">
        <f t="shared" si="1532"/>
        <v>0</v>
      </c>
      <c r="AD3306" s="209"/>
      <c r="AE3306" s="210">
        <f t="shared" si="1533"/>
        <v>0</v>
      </c>
      <c r="AF3306" s="210">
        <f t="shared" si="1547"/>
        <v>0</v>
      </c>
      <c r="AG3306" s="211">
        <f t="shared" si="1536"/>
        <v>0.14499999999999999</v>
      </c>
      <c r="AH3306" s="157">
        <f t="shared" si="1535"/>
        <v>0</v>
      </c>
      <c r="AI3306" s="152">
        <f t="shared" si="1537"/>
        <v>456</v>
      </c>
      <c r="AK3306" s="156" t="s">
        <v>691</v>
      </c>
      <c r="AL3306" s="212" t="s">
        <v>690</v>
      </c>
      <c r="AM3306" s="198">
        <f t="shared" si="1550"/>
        <v>0</v>
      </c>
      <c r="AN3306" s="199">
        <f t="shared" si="1548"/>
        <v>46114</v>
      </c>
      <c r="AO3306" s="159" t="s">
        <v>692</v>
      </c>
      <c r="AP3306" s="783" t="s">
        <v>609</v>
      </c>
      <c r="AQ3306" s="782">
        <v>12071839</v>
      </c>
      <c r="AR3306" s="782">
        <v>12047514</v>
      </c>
      <c r="AS3306" s="782">
        <v>12047515</v>
      </c>
      <c r="AT3306" s="781"/>
      <c r="AU3306" s="781"/>
      <c r="AV3306" s="782">
        <v>12080613</v>
      </c>
      <c r="AW3306" s="781"/>
      <c r="AX3306" s="781"/>
      <c r="AY3306" s="782">
        <v>12094241</v>
      </c>
      <c r="AZ3306" s="782">
        <v>12094242</v>
      </c>
      <c r="BA3306" s="781"/>
      <c r="BB3306" s="209">
        <v>23053185</v>
      </c>
    </row>
    <row r="3307" spans="1:54" ht="25" customHeight="1">
      <c r="B3307" s="424">
        <v>46114</v>
      </c>
      <c r="C3307" s="647" t="s">
        <v>2736</v>
      </c>
      <c r="D3307" s="185">
        <f t="shared" si="1545"/>
        <v>2026</v>
      </c>
      <c r="E3307" s="425" t="e">
        <f>VLOOKUP($B3307,Week!$A$1:$C$1462,2,0)</f>
        <v>#N/A</v>
      </c>
      <c r="F3307" s="426" t="str">
        <f t="shared" si="1546"/>
        <v>Apr</v>
      </c>
      <c r="G3307" s="427" t="s">
        <v>47</v>
      </c>
      <c r="H3307" s="427" t="s">
        <v>518</v>
      </c>
      <c r="I3307" s="427" t="s">
        <v>2702</v>
      </c>
      <c r="J3307" s="428" t="s">
        <v>70</v>
      </c>
      <c r="K3307" s="429" t="s">
        <v>94</v>
      </c>
      <c r="L3307" s="300" t="s">
        <v>2167</v>
      </c>
      <c r="M3307" s="428" t="s">
        <v>2342</v>
      </c>
      <c r="N3307" s="427" t="s">
        <v>587</v>
      </c>
      <c r="O3307" s="427" t="s">
        <v>3198</v>
      </c>
      <c r="P3307" s="430">
        <v>18</v>
      </c>
      <c r="Q3307" s="430">
        <v>5</v>
      </c>
      <c r="R3307" s="431">
        <v>8.0000000000000002E-3</v>
      </c>
      <c r="S3307" s="427" t="s">
        <v>40</v>
      </c>
      <c r="T3307" s="427" t="s">
        <v>56</v>
      </c>
      <c r="U3307" s="427" t="s">
        <v>89</v>
      </c>
      <c r="V3307" s="432">
        <f>1200</f>
        <v>1200</v>
      </c>
      <c r="W3307" s="432">
        <f>1+157+739</f>
        <v>897</v>
      </c>
      <c r="X3307" s="433">
        <f>1818/6</f>
        <v>303</v>
      </c>
      <c r="Y3307" s="434">
        <f t="shared" si="1530"/>
        <v>0</v>
      </c>
      <c r="Z3307" s="435">
        <f t="shared" si="1531"/>
        <v>0</v>
      </c>
      <c r="AA3307" s="435">
        <f t="shared" si="1549"/>
        <v>0</v>
      </c>
      <c r="AB3307" s="826">
        <v>1</v>
      </c>
      <c r="AC3307" s="432">
        <f t="shared" si="1532"/>
        <v>0</v>
      </c>
      <c r="AD3307" s="209"/>
      <c r="AE3307" s="210">
        <f t="shared" si="1533"/>
        <v>0</v>
      </c>
      <c r="AF3307" s="210">
        <f t="shared" si="1547"/>
        <v>0</v>
      </c>
      <c r="AG3307" s="211" t="e">
        <f>(MID(O3307,1,3)/1000)/3</f>
        <v>#VALUE!</v>
      </c>
      <c r="AH3307" s="157" t="e">
        <f t="shared" si="1535"/>
        <v>#VALUE!</v>
      </c>
      <c r="AI3307" s="152">
        <f t="shared" si="1537"/>
        <v>21600</v>
      </c>
      <c r="AK3307" s="156" t="s">
        <v>691</v>
      </c>
      <c r="AL3307" s="212" t="s">
        <v>690</v>
      </c>
      <c r="AM3307" s="198" t="e">
        <f t="shared" si="1550"/>
        <v>#VALUE!</v>
      </c>
      <c r="AN3307" s="199">
        <f t="shared" si="1548"/>
        <v>46114</v>
      </c>
      <c r="AO3307" s="159" t="s">
        <v>692</v>
      </c>
      <c r="AP3307" s="783" t="s">
        <v>628</v>
      </c>
      <c r="AQ3307" s="782"/>
      <c r="AR3307" s="782"/>
      <c r="AS3307" s="782"/>
      <c r="AT3307" s="782"/>
      <c r="AU3307" s="781"/>
      <c r="AV3307" s="782">
        <v>12080791</v>
      </c>
      <c r="AW3307" s="782" t="s">
        <v>641</v>
      </c>
      <c r="AX3307" s="782" t="s">
        <v>533</v>
      </c>
      <c r="AY3307" s="782"/>
      <c r="AZ3307" s="782"/>
      <c r="BA3307" s="781"/>
      <c r="BB3307" s="209">
        <v>23053184</v>
      </c>
    </row>
    <row r="3308" spans="1:54" ht="25" customHeight="1">
      <c r="A3308" s="142" t="s">
        <v>120</v>
      </c>
      <c r="B3308" s="546">
        <v>46115</v>
      </c>
      <c r="C3308" s="547">
        <v>46139</v>
      </c>
      <c r="D3308" s="549">
        <f t="shared" si="1545"/>
        <v>2026</v>
      </c>
      <c r="E3308" s="547" t="e">
        <f>VLOOKUP($B3308,Week!$A$1:$C$1462,2,0)</f>
        <v>#N/A</v>
      </c>
      <c r="F3308" s="548" t="str">
        <f t="shared" si="1546"/>
        <v>Apr</v>
      </c>
      <c r="G3308" s="549" t="s">
        <v>2865</v>
      </c>
      <c r="H3308" s="549" t="s">
        <v>500</v>
      </c>
      <c r="I3308" s="549" t="s">
        <v>2772</v>
      </c>
      <c r="J3308" s="550" t="s">
        <v>285</v>
      </c>
      <c r="K3308" s="551" t="s">
        <v>153</v>
      </c>
      <c r="L3308" s="551" t="s">
        <v>2166</v>
      </c>
      <c r="M3308" s="550" t="s">
        <v>579</v>
      </c>
      <c r="N3308" s="549" t="s">
        <v>2745</v>
      </c>
      <c r="O3308" s="549" t="s">
        <v>2746</v>
      </c>
      <c r="P3308" s="552">
        <v>10</v>
      </c>
      <c r="Q3308" s="552">
        <v>60</v>
      </c>
      <c r="R3308" s="553">
        <v>6.8100000000000001E-3</v>
      </c>
      <c r="S3308" s="549" t="s">
        <v>76</v>
      </c>
      <c r="T3308" s="549" t="s">
        <v>56</v>
      </c>
      <c r="U3308" s="549" t="s">
        <v>89</v>
      </c>
      <c r="V3308" s="554">
        <f>1360-550-522-195</f>
        <v>93</v>
      </c>
      <c r="W3308" s="554">
        <f>93</f>
        <v>93</v>
      </c>
      <c r="X3308" s="555"/>
      <c r="Y3308" s="556">
        <f t="shared" si="1530"/>
        <v>0</v>
      </c>
      <c r="Z3308" s="557">
        <f t="shared" si="1531"/>
        <v>0</v>
      </c>
      <c r="AA3308" s="557">
        <f t="shared" si="1549"/>
        <v>0</v>
      </c>
      <c r="AB3308" s="833">
        <v>6</v>
      </c>
      <c r="AC3308" s="554">
        <f t="shared" si="1532"/>
        <v>0</v>
      </c>
      <c r="AD3308" s="209"/>
      <c r="AE3308" s="210">
        <f t="shared" si="1533"/>
        <v>0</v>
      </c>
      <c r="AF3308" s="210">
        <f t="shared" si="1547"/>
        <v>0</v>
      </c>
      <c r="AG3308" s="211">
        <f>MID(O3308,1,3)/1000</f>
        <v>0.75</v>
      </c>
      <c r="AH3308" s="157">
        <f t="shared" si="1535"/>
        <v>0</v>
      </c>
      <c r="AI3308" s="152">
        <f t="shared" si="1537"/>
        <v>930</v>
      </c>
      <c r="AK3308" s="156" t="s">
        <v>691</v>
      </c>
      <c r="AL3308" s="156" t="s">
        <v>689</v>
      </c>
      <c r="AM3308" s="198">
        <f t="shared" si="1550"/>
        <v>0</v>
      </c>
      <c r="AN3308" s="199">
        <f t="shared" si="1548"/>
        <v>46115</v>
      </c>
      <c r="AO3308" s="159" t="s">
        <v>692</v>
      </c>
      <c r="AP3308" s="783" t="s">
        <v>620</v>
      </c>
      <c r="AQ3308" s="796" t="s">
        <v>422</v>
      </c>
      <c r="AR3308" s="782" t="s">
        <v>2142</v>
      </c>
      <c r="AS3308" s="781"/>
      <c r="AT3308" s="782">
        <v>12098238</v>
      </c>
      <c r="AU3308" s="782"/>
      <c r="AV3308" s="782"/>
      <c r="AW3308" s="782"/>
      <c r="AX3308" s="782">
        <v>12080741</v>
      </c>
      <c r="AY3308" s="781"/>
      <c r="AZ3308" s="781"/>
      <c r="BA3308" s="781"/>
      <c r="BB3308" s="209">
        <v>23053184</v>
      </c>
    </row>
    <row r="3309" spans="1:54" ht="25" customHeight="1">
      <c r="A3309" s="142" t="s">
        <v>120</v>
      </c>
      <c r="B3309" s="283">
        <v>46115</v>
      </c>
      <c r="C3309" s="284">
        <v>46134</v>
      </c>
      <c r="D3309" s="185">
        <f t="shared" si="1545"/>
        <v>2026</v>
      </c>
      <c r="E3309" s="286" t="e">
        <f>VLOOKUP($B3309,Week!$A$1:$C$1462,2,0)</f>
        <v>#N/A</v>
      </c>
      <c r="F3309" s="285" t="str">
        <f t="shared" si="1546"/>
        <v>Apr</v>
      </c>
      <c r="G3309" s="286" t="s">
        <v>2962</v>
      </c>
      <c r="H3309" s="286" t="s">
        <v>344</v>
      </c>
      <c r="I3309" s="286" t="s">
        <v>2772</v>
      </c>
      <c r="J3309" s="287" t="s">
        <v>345</v>
      </c>
      <c r="K3309" s="288" t="s">
        <v>153</v>
      </c>
      <c r="L3309" s="390" t="s">
        <v>2166</v>
      </c>
      <c r="M3309" s="287" t="s">
        <v>214</v>
      </c>
      <c r="N3309" s="286" t="s">
        <v>2525</v>
      </c>
      <c r="O3309" s="286" t="s">
        <v>504</v>
      </c>
      <c r="P3309" s="289">
        <v>20</v>
      </c>
      <c r="Q3309" s="289">
        <v>8</v>
      </c>
      <c r="R3309" s="290">
        <v>1.4999999999999999E-2</v>
      </c>
      <c r="S3309" s="286" t="s">
        <v>217</v>
      </c>
      <c r="T3309" s="286" t="s">
        <v>56</v>
      </c>
      <c r="U3309" s="286" t="s">
        <v>89</v>
      </c>
      <c r="V3309" s="291">
        <f>5</f>
        <v>5</v>
      </c>
      <c r="W3309" s="291">
        <f>5</f>
        <v>5</v>
      </c>
      <c r="X3309" s="292"/>
      <c r="Y3309" s="293">
        <f t="shared" si="1530"/>
        <v>0</v>
      </c>
      <c r="Z3309" s="294">
        <f t="shared" si="1531"/>
        <v>0</v>
      </c>
      <c r="AA3309" s="291">
        <f t="shared" si="1549"/>
        <v>0</v>
      </c>
      <c r="AB3309" s="813">
        <v>2</v>
      </c>
      <c r="AC3309" s="291">
        <f t="shared" si="1532"/>
        <v>0</v>
      </c>
      <c r="AD3309" s="209" t="s">
        <v>218</v>
      </c>
      <c r="AE3309" s="210">
        <f t="shared" si="1533"/>
        <v>0</v>
      </c>
      <c r="AF3309" s="210">
        <f t="shared" si="1547"/>
        <v>0</v>
      </c>
      <c r="AG3309" s="211">
        <f>MID(O3309,1,3)/1000</f>
        <v>0.19400000000000001</v>
      </c>
      <c r="AH3309" s="157">
        <f t="shared" si="1535"/>
        <v>0</v>
      </c>
      <c r="AI3309" s="152">
        <f t="shared" si="1537"/>
        <v>100</v>
      </c>
      <c r="AK3309" s="156" t="s">
        <v>691</v>
      </c>
      <c r="AL3309" s="156" t="s">
        <v>689</v>
      </c>
      <c r="AM3309" s="198">
        <f t="shared" si="1550"/>
        <v>0</v>
      </c>
      <c r="AN3309" s="199">
        <f t="shared" si="1548"/>
        <v>46115</v>
      </c>
      <c r="AO3309" s="159" t="s">
        <v>692</v>
      </c>
      <c r="AP3309" s="783" t="s">
        <v>610</v>
      </c>
      <c r="AQ3309" s="782">
        <v>12071839</v>
      </c>
      <c r="AR3309" s="782">
        <v>12064528</v>
      </c>
      <c r="AS3309" s="782"/>
      <c r="AT3309" s="782">
        <v>12096526</v>
      </c>
      <c r="AU3309" s="781"/>
      <c r="AV3309" s="782">
        <v>12096527</v>
      </c>
      <c r="AW3309" s="782"/>
      <c r="AX3309" s="782" t="s">
        <v>545</v>
      </c>
      <c r="AY3309" s="782"/>
      <c r="AZ3309" s="782"/>
      <c r="BA3309" s="781"/>
      <c r="BB3309" s="209">
        <v>23053184</v>
      </c>
    </row>
    <row r="3310" spans="1:54" ht="25" customHeight="1">
      <c r="A3310" s="142" t="s">
        <v>120</v>
      </c>
      <c r="B3310" s="283">
        <v>46115</v>
      </c>
      <c r="C3310" s="284">
        <v>46141</v>
      </c>
      <c r="D3310" s="185">
        <f t="shared" si="1545"/>
        <v>2026</v>
      </c>
      <c r="E3310" s="286" t="e">
        <f>VLOOKUP($B3310,Week!$A$1:$C$1462,2,0)</f>
        <v>#N/A</v>
      </c>
      <c r="F3310" s="285" t="str">
        <f t="shared" si="1546"/>
        <v>Apr</v>
      </c>
      <c r="G3310" s="286" t="s">
        <v>2844</v>
      </c>
      <c r="H3310" s="286" t="s">
        <v>134</v>
      </c>
      <c r="I3310" s="286" t="s">
        <v>2772</v>
      </c>
      <c r="J3310" s="287" t="s">
        <v>2932</v>
      </c>
      <c r="K3310" s="288" t="s">
        <v>153</v>
      </c>
      <c r="L3310" s="390" t="s">
        <v>2166</v>
      </c>
      <c r="M3310" s="287" t="s">
        <v>214</v>
      </c>
      <c r="N3310" s="286" t="s">
        <v>215</v>
      </c>
      <c r="O3310" s="286" t="s">
        <v>504</v>
      </c>
      <c r="P3310" s="289">
        <v>20</v>
      </c>
      <c r="Q3310" s="289">
        <v>8</v>
      </c>
      <c r="R3310" s="290">
        <v>1.4999999999999999E-2</v>
      </c>
      <c r="S3310" s="286" t="s">
        <v>217</v>
      </c>
      <c r="T3310" s="286" t="s">
        <v>56</v>
      </c>
      <c r="U3310" s="286" t="s">
        <v>89</v>
      </c>
      <c r="V3310" s="291">
        <f>250</f>
        <v>250</v>
      </c>
      <c r="W3310" s="291">
        <f>250</f>
        <v>250</v>
      </c>
      <c r="X3310" s="292"/>
      <c r="Y3310" s="293">
        <f t="shared" si="1530"/>
        <v>0</v>
      </c>
      <c r="Z3310" s="294">
        <f t="shared" si="1531"/>
        <v>0</v>
      </c>
      <c r="AA3310" s="291">
        <f t="shared" si="1549"/>
        <v>0</v>
      </c>
      <c r="AB3310" s="813">
        <v>2</v>
      </c>
      <c r="AC3310" s="291">
        <f t="shared" si="1532"/>
        <v>0</v>
      </c>
      <c r="AD3310" s="209" t="s">
        <v>218</v>
      </c>
      <c r="AE3310" s="210">
        <f t="shared" si="1533"/>
        <v>0</v>
      </c>
      <c r="AF3310" s="210">
        <f t="shared" si="1547"/>
        <v>0</v>
      </c>
      <c r="AG3310" s="211">
        <f>MID(O3310,1,3)/1000</f>
        <v>0.19400000000000001</v>
      </c>
      <c r="AH3310" s="157">
        <f t="shared" si="1535"/>
        <v>0</v>
      </c>
      <c r="AI3310" s="152">
        <f t="shared" si="1537"/>
        <v>5000</v>
      </c>
      <c r="AK3310" s="156" t="s">
        <v>691</v>
      </c>
      <c r="AL3310" s="156" t="s">
        <v>689</v>
      </c>
      <c r="AM3310" s="198">
        <f t="shared" si="1550"/>
        <v>0</v>
      </c>
      <c r="AN3310" s="199">
        <f t="shared" si="1548"/>
        <v>46115</v>
      </c>
      <c r="AO3310" s="159" t="s">
        <v>692</v>
      </c>
      <c r="AP3310" s="783" t="s">
        <v>610</v>
      </c>
      <c r="AQ3310" s="782">
        <v>12071839</v>
      </c>
      <c r="AR3310" s="782">
        <v>12064528</v>
      </c>
      <c r="AS3310" s="782"/>
      <c r="AT3310" s="782">
        <v>12096526</v>
      </c>
      <c r="AU3310" s="781"/>
      <c r="AV3310" s="782">
        <v>12096527</v>
      </c>
      <c r="AW3310" s="782"/>
      <c r="AX3310" s="782" t="s">
        <v>545</v>
      </c>
      <c r="AY3310" s="782"/>
      <c r="AZ3310" s="782"/>
      <c r="BA3310" s="781"/>
      <c r="BB3310" s="209">
        <v>23053184</v>
      </c>
    </row>
    <row r="3311" spans="1:54" ht="25" customHeight="1">
      <c r="A3311" s="142" t="s">
        <v>120</v>
      </c>
      <c r="B3311" s="559">
        <v>46115</v>
      </c>
      <c r="C3311" s="560">
        <v>46141</v>
      </c>
      <c r="D3311" s="185">
        <f t="shared" si="1545"/>
        <v>2026</v>
      </c>
      <c r="E3311" s="561" t="e">
        <f>VLOOKUP($B3311,Week!$A$1:$C$1462,2,0)</f>
        <v>#N/A</v>
      </c>
      <c r="F3311" s="562" t="str">
        <f t="shared" si="1546"/>
        <v>Apr</v>
      </c>
      <c r="G3311" s="561" t="s">
        <v>2844</v>
      </c>
      <c r="H3311" s="561" t="s">
        <v>134</v>
      </c>
      <c r="I3311" s="561" t="s">
        <v>2772</v>
      </c>
      <c r="J3311" s="563" t="s">
        <v>2932</v>
      </c>
      <c r="K3311" s="564" t="s">
        <v>355</v>
      </c>
      <c r="L3311" s="390" t="s">
        <v>2166</v>
      </c>
      <c r="M3311" s="563" t="s">
        <v>356</v>
      </c>
      <c r="N3311" s="561" t="s">
        <v>652</v>
      </c>
      <c r="O3311" s="561" t="s">
        <v>508</v>
      </c>
      <c r="P3311" s="565">
        <v>18</v>
      </c>
      <c r="Q3311" s="565">
        <v>8</v>
      </c>
      <c r="R3311" s="566">
        <v>6.0000000000000001E-3</v>
      </c>
      <c r="S3311" s="561" t="s">
        <v>55</v>
      </c>
      <c r="T3311" s="561" t="s">
        <v>56</v>
      </c>
      <c r="U3311" s="561" t="s">
        <v>89</v>
      </c>
      <c r="V3311" s="567">
        <f>350</f>
        <v>350</v>
      </c>
      <c r="W3311" s="567">
        <f>166+180+4</f>
        <v>350</v>
      </c>
      <c r="X3311" s="568"/>
      <c r="Y3311" s="569">
        <f t="shared" si="1530"/>
        <v>0</v>
      </c>
      <c r="Z3311" s="570">
        <f t="shared" si="1531"/>
        <v>0</v>
      </c>
      <c r="AA3311" s="570">
        <f t="shared" si="1549"/>
        <v>0</v>
      </c>
      <c r="AB3311" s="834">
        <v>2</v>
      </c>
      <c r="AC3311" s="567">
        <f t="shared" si="1532"/>
        <v>0</v>
      </c>
      <c r="AD3311" s="209"/>
      <c r="AE3311" s="210">
        <f t="shared" si="1533"/>
        <v>0</v>
      </c>
      <c r="AF3311" s="210">
        <f t="shared" si="1547"/>
        <v>0</v>
      </c>
      <c r="AG3311" s="211">
        <f>MID(O3311,1,2)/1000</f>
        <v>0.09</v>
      </c>
      <c r="AH3311" s="157">
        <f t="shared" si="1535"/>
        <v>0</v>
      </c>
      <c r="AI3311" s="152">
        <f t="shared" si="1537"/>
        <v>6300</v>
      </c>
      <c r="AK3311" s="156" t="s">
        <v>691</v>
      </c>
      <c r="AL3311" s="156" t="s">
        <v>689</v>
      </c>
      <c r="AM3311" s="198">
        <f t="shared" si="1550"/>
        <v>0</v>
      </c>
      <c r="AN3311" s="199">
        <f t="shared" si="1548"/>
        <v>46115</v>
      </c>
      <c r="AO3311" s="159" t="s">
        <v>692</v>
      </c>
      <c r="AP3311" s="783"/>
      <c r="AQ3311" s="782"/>
      <c r="AR3311" s="782" t="s">
        <v>531</v>
      </c>
      <c r="AS3311" s="782"/>
      <c r="AT3311" s="782"/>
      <c r="AU3311" s="782">
        <v>12054219</v>
      </c>
      <c r="AV3311" s="782">
        <v>12097195</v>
      </c>
      <c r="AW3311" s="782"/>
      <c r="AX3311" s="782" t="s">
        <v>2519</v>
      </c>
      <c r="AY3311" s="782"/>
      <c r="AZ3311" s="782"/>
      <c r="BA3311" s="781"/>
      <c r="BB3311" s="209">
        <v>23053184</v>
      </c>
    </row>
    <row r="3312" spans="1:54" ht="25" customHeight="1">
      <c r="A3312" s="142" t="s">
        <v>120</v>
      </c>
      <c r="B3312" s="369">
        <v>46115</v>
      </c>
      <c r="C3312" s="370">
        <v>46134</v>
      </c>
      <c r="D3312" s="185">
        <f t="shared" si="1545"/>
        <v>2026</v>
      </c>
      <c r="E3312" s="371" t="e">
        <f>VLOOKUP($B3312,Week!$A$1:$C$1462,2,0)</f>
        <v>#N/A</v>
      </c>
      <c r="F3312" s="372" t="str">
        <f t="shared" si="1546"/>
        <v>Apr</v>
      </c>
      <c r="G3312" s="371" t="s">
        <v>2887</v>
      </c>
      <c r="H3312" s="371" t="s">
        <v>344</v>
      </c>
      <c r="I3312" s="371" t="s">
        <v>2772</v>
      </c>
      <c r="J3312" s="373" t="s">
        <v>345</v>
      </c>
      <c r="K3312" s="374" t="s">
        <v>153</v>
      </c>
      <c r="L3312" s="390" t="s">
        <v>2166</v>
      </c>
      <c r="M3312" s="373" t="s">
        <v>214</v>
      </c>
      <c r="N3312" s="371" t="s">
        <v>346</v>
      </c>
      <c r="O3312" s="371" t="s">
        <v>509</v>
      </c>
      <c r="P3312" s="375">
        <v>18</v>
      </c>
      <c r="Q3312" s="375">
        <v>8</v>
      </c>
      <c r="R3312" s="376">
        <v>6.8100000000000001E-3</v>
      </c>
      <c r="S3312" s="371" t="s">
        <v>76</v>
      </c>
      <c r="T3312" s="371" t="s">
        <v>56</v>
      </c>
      <c r="U3312" s="371" t="s">
        <v>89</v>
      </c>
      <c r="V3312" s="377">
        <v>309</v>
      </c>
      <c r="W3312" s="377"/>
      <c r="X3312" s="378">
        <f>(846+90+4626)/18</f>
        <v>309</v>
      </c>
      <c r="Y3312" s="379">
        <f t="shared" si="1530"/>
        <v>0</v>
      </c>
      <c r="Z3312" s="380">
        <f t="shared" si="1531"/>
        <v>0</v>
      </c>
      <c r="AA3312" s="380">
        <f t="shared" si="1549"/>
        <v>0</v>
      </c>
      <c r="AB3312" s="820">
        <v>1</v>
      </c>
      <c r="AC3312" s="377">
        <f t="shared" si="1532"/>
        <v>0</v>
      </c>
      <c r="AD3312" s="443"/>
      <c r="AE3312" s="210">
        <f t="shared" si="1533"/>
        <v>0</v>
      </c>
      <c r="AF3312" s="210">
        <f t="shared" si="1547"/>
        <v>0</v>
      </c>
      <c r="AG3312" s="211">
        <f t="shared" ref="AG3312:AG3324" si="1551">MID(O3312,1,3)/1000</f>
        <v>0.10100000000000001</v>
      </c>
      <c r="AH3312" s="157">
        <f t="shared" si="1535"/>
        <v>0</v>
      </c>
      <c r="AI3312" s="152">
        <f t="shared" si="1537"/>
        <v>5562</v>
      </c>
      <c r="AK3312" s="156" t="s">
        <v>691</v>
      </c>
      <c r="AL3312" s="156" t="s">
        <v>689</v>
      </c>
      <c r="AM3312" s="198">
        <f t="shared" si="1550"/>
        <v>0</v>
      </c>
      <c r="AN3312" s="199">
        <f t="shared" si="1548"/>
        <v>46115</v>
      </c>
      <c r="AO3312" s="159" t="s">
        <v>692</v>
      </c>
      <c r="AP3312" s="781"/>
      <c r="AQ3312" s="783" t="s">
        <v>631</v>
      </c>
      <c r="AR3312" s="782">
        <v>12038019</v>
      </c>
      <c r="AS3312" s="781"/>
      <c r="AT3312" s="800">
        <v>12096586</v>
      </c>
      <c r="AU3312" s="781"/>
      <c r="AV3312" s="800">
        <v>12096585</v>
      </c>
      <c r="AW3312" s="781"/>
      <c r="AX3312" s="781" t="s">
        <v>162</v>
      </c>
      <c r="AY3312" s="781"/>
      <c r="AZ3312" s="781"/>
      <c r="BA3312" s="781"/>
      <c r="BB3312" s="209">
        <v>23053184</v>
      </c>
    </row>
    <row r="3313" spans="1:54" ht="24.65" customHeight="1">
      <c r="B3313" s="369">
        <v>46115</v>
      </c>
      <c r="C3313" s="370">
        <v>46120</v>
      </c>
      <c r="D3313" s="185">
        <f t="shared" si="1545"/>
        <v>2026</v>
      </c>
      <c r="E3313" s="370" t="e">
        <f>VLOOKUP($B3313,Week!$A$1:$C$1462,2,0)</f>
        <v>#N/A</v>
      </c>
      <c r="F3313" s="372" t="str">
        <f t="shared" si="1546"/>
        <v>Apr</v>
      </c>
      <c r="G3313" s="439" t="s">
        <v>2882</v>
      </c>
      <c r="H3313" s="371" t="s">
        <v>104</v>
      </c>
      <c r="I3313" s="371" t="s">
        <v>2772</v>
      </c>
      <c r="J3313" s="373" t="s">
        <v>105</v>
      </c>
      <c r="K3313" s="374" t="s">
        <v>593</v>
      </c>
      <c r="L3313" s="300" t="s">
        <v>2167</v>
      </c>
      <c r="M3313" s="373" t="s">
        <v>594</v>
      </c>
      <c r="N3313" s="371" t="s">
        <v>687</v>
      </c>
      <c r="O3313" s="371" t="s">
        <v>415</v>
      </c>
      <c r="P3313" s="375">
        <v>24</v>
      </c>
      <c r="Q3313" s="375">
        <v>5</v>
      </c>
      <c r="R3313" s="376">
        <v>6.0000000000000001E-3</v>
      </c>
      <c r="S3313" s="371" t="s">
        <v>55</v>
      </c>
      <c r="T3313" s="371" t="s">
        <v>112</v>
      </c>
      <c r="U3313" s="371" t="s">
        <v>57</v>
      </c>
      <c r="V3313" s="377">
        <f>800</f>
        <v>800</v>
      </c>
      <c r="W3313" s="377">
        <f>751</f>
        <v>751</v>
      </c>
      <c r="X3313" s="378">
        <f>1176/24</f>
        <v>49</v>
      </c>
      <c r="Y3313" s="379">
        <f t="shared" si="1530"/>
        <v>0</v>
      </c>
      <c r="Z3313" s="380">
        <f t="shared" si="1531"/>
        <v>0</v>
      </c>
      <c r="AA3313" s="380">
        <f t="shared" si="1549"/>
        <v>0</v>
      </c>
      <c r="AB3313" s="820">
        <v>7.4999999999999997E-3</v>
      </c>
      <c r="AC3313" s="377">
        <f t="shared" si="1532"/>
        <v>0</v>
      </c>
      <c r="AD3313" s="486"/>
      <c r="AE3313" s="210">
        <f t="shared" si="1533"/>
        <v>0</v>
      </c>
      <c r="AF3313" s="210">
        <f t="shared" si="1547"/>
        <v>0</v>
      </c>
      <c r="AG3313" s="211">
        <f t="shared" si="1551"/>
        <v>0.25800000000000001</v>
      </c>
      <c r="AH3313" s="157">
        <f t="shared" si="1535"/>
        <v>0</v>
      </c>
      <c r="AI3313" s="152">
        <f t="shared" si="1537"/>
        <v>19200</v>
      </c>
      <c r="AK3313" s="156" t="s">
        <v>691</v>
      </c>
      <c r="AL3313" s="212" t="s">
        <v>690</v>
      </c>
      <c r="AM3313" s="198">
        <f t="shared" si="1550"/>
        <v>0</v>
      </c>
      <c r="AN3313" s="199">
        <f t="shared" si="1548"/>
        <v>46115</v>
      </c>
      <c r="AO3313" s="159" t="s">
        <v>692</v>
      </c>
      <c r="AP3313" s="783"/>
      <c r="AQ3313" s="782">
        <v>12071839</v>
      </c>
      <c r="AR3313" s="782">
        <v>12042650</v>
      </c>
      <c r="AS3313" s="782">
        <v>12042649</v>
      </c>
      <c r="AT3313" s="782">
        <v>12085742</v>
      </c>
      <c r="AU3313" s="781"/>
      <c r="AV3313" s="782">
        <v>12085744</v>
      </c>
      <c r="AW3313" s="782">
        <v>12049607</v>
      </c>
      <c r="AX3313" s="782"/>
      <c r="AY3313" s="782">
        <v>12094129</v>
      </c>
      <c r="AZ3313" s="782"/>
      <c r="BA3313" s="781"/>
      <c r="BB3313" s="209">
        <v>23053185</v>
      </c>
    </row>
    <row r="3314" spans="1:54" ht="24.65" customHeight="1">
      <c r="B3314" s="369">
        <v>46115</v>
      </c>
      <c r="C3314" s="370">
        <v>46120</v>
      </c>
      <c r="D3314" s="185">
        <f t="shared" si="1545"/>
        <v>2026</v>
      </c>
      <c r="E3314" s="370" t="e">
        <f>VLOOKUP($B3314,Week!$A$1:$C$1462,2,0)</f>
        <v>#N/A</v>
      </c>
      <c r="F3314" s="372" t="str">
        <f t="shared" si="1546"/>
        <v>Apr</v>
      </c>
      <c r="G3314" s="439" t="s">
        <v>2883</v>
      </c>
      <c r="H3314" s="371" t="s">
        <v>104</v>
      </c>
      <c r="I3314" s="371" t="s">
        <v>2772</v>
      </c>
      <c r="J3314" s="373" t="s">
        <v>105</v>
      </c>
      <c r="K3314" s="374" t="s">
        <v>593</v>
      </c>
      <c r="L3314" s="300" t="s">
        <v>2167</v>
      </c>
      <c r="M3314" s="373" t="s">
        <v>594</v>
      </c>
      <c r="N3314" s="371" t="s">
        <v>687</v>
      </c>
      <c r="O3314" s="371" t="s">
        <v>415</v>
      </c>
      <c r="P3314" s="375">
        <v>24</v>
      </c>
      <c r="Q3314" s="375">
        <v>5</v>
      </c>
      <c r="R3314" s="376">
        <v>6.0000000000000001E-3</v>
      </c>
      <c r="S3314" s="371" t="s">
        <v>55</v>
      </c>
      <c r="T3314" s="371" t="s">
        <v>112</v>
      </c>
      <c r="U3314" s="371" t="s">
        <v>57</v>
      </c>
      <c r="V3314" s="377">
        <f>800</f>
        <v>800</v>
      </c>
      <c r="W3314" s="377">
        <f>1540-751</f>
        <v>789</v>
      </c>
      <c r="X3314" s="378">
        <f>264/24</f>
        <v>11</v>
      </c>
      <c r="Y3314" s="379">
        <f t="shared" si="1530"/>
        <v>0</v>
      </c>
      <c r="Z3314" s="380">
        <f t="shared" si="1531"/>
        <v>0</v>
      </c>
      <c r="AA3314" s="380">
        <f t="shared" si="1549"/>
        <v>0</v>
      </c>
      <c r="AB3314" s="820">
        <v>7.4999999999999997E-3</v>
      </c>
      <c r="AC3314" s="377">
        <f t="shared" si="1532"/>
        <v>0</v>
      </c>
      <c r="AD3314" s="486"/>
      <c r="AE3314" s="210">
        <f t="shared" si="1533"/>
        <v>0</v>
      </c>
      <c r="AF3314" s="210">
        <f t="shared" si="1547"/>
        <v>0</v>
      </c>
      <c r="AG3314" s="211">
        <f t="shared" si="1551"/>
        <v>0.25800000000000001</v>
      </c>
      <c r="AH3314" s="157">
        <f t="shared" si="1535"/>
        <v>0</v>
      </c>
      <c r="AI3314" s="152">
        <f t="shared" si="1537"/>
        <v>19200</v>
      </c>
      <c r="AK3314" s="156" t="s">
        <v>691</v>
      </c>
      <c r="AL3314" s="212" t="s">
        <v>690</v>
      </c>
      <c r="AM3314" s="198">
        <f t="shared" si="1550"/>
        <v>0</v>
      </c>
      <c r="AN3314" s="199">
        <f t="shared" si="1548"/>
        <v>46115</v>
      </c>
      <c r="AO3314" s="159" t="s">
        <v>692</v>
      </c>
      <c r="AP3314" s="783"/>
      <c r="AQ3314" s="782">
        <v>12071839</v>
      </c>
      <c r="AR3314" s="782">
        <v>12042650</v>
      </c>
      <c r="AS3314" s="782">
        <v>12042649</v>
      </c>
      <c r="AT3314" s="782">
        <v>12085742</v>
      </c>
      <c r="AU3314" s="781"/>
      <c r="AV3314" s="782">
        <v>12085744</v>
      </c>
      <c r="AW3314" s="782">
        <v>12049607</v>
      </c>
      <c r="AX3314" s="782"/>
      <c r="AY3314" s="782">
        <v>12094129</v>
      </c>
      <c r="AZ3314" s="782"/>
      <c r="BA3314" s="781"/>
      <c r="BB3314" s="209">
        <v>23053185</v>
      </c>
    </row>
    <row r="3315" spans="1:54" ht="25" customHeight="1">
      <c r="B3315" s="213">
        <v>46115</v>
      </c>
      <c r="C3315" s="902" t="s">
        <v>2736</v>
      </c>
      <c r="D3315" s="215">
        <f t="shared" si="1545"/>
        <v>2026</v>
      </c>
      <c r="E3315" s="214" t="e">
        <f>VLOOKUP($B3315,Week!$A$1:$C$1462,2,0)</f>
        <v>#N/A</v>
      </c>
      <c r="F3315" s="216" t="str">
        <f t="shared" si="1546"/>
        <v>Apr</v>
      </c>
      <c r="G3315" s="215" t="s">
        <v>47</v>
      </c>
      <c r="H3315" s="215" t="s">
        <v>518</v>
      </c>
      <c r="I3315" s="215" t="s">
        <v>2702</v>
      </c>
      <c r="J3315" s="209" t="s">
        <v>2702</v>
      </c>
      <c r="K3315" s="217" t="s">
        <v>2912</v>
      </c>
      <c r="L3315" s="217" t="s">
        <v>2167</v>
      </c>
      <c r="M3315" s="209" t="s">
        <v>2898</v>
      </c>
      <c r="N3315" s="480" t="s">
        <v>2900</v>
      </c>
      <c r="O3315" s="215" t="s">
        <v>2897</v>
      </c>
      <c r="P3315" s="218">
        <v>12</v>
      </c>
      <c r="Q3315" s="218">
        <v>3</v>
      </c>
      <c r="R3315" s="219">
        <v>6.1999999999999998E-3</v>
      </c>
      <c r="S3315" s="215" t="s">
        <v>352</v>
      </c>
      <c r="T3315" s="215" t="s">
        <v>56</v>
      </c>
      <c r="U3315" s="852" t="s">
        <v>739</v>
      </c>
      <c r="V3315" s="220">
        <f>500</f>
        <v>500</v>
      </c>
      <c r="W3315" s="220">
        <f>500</f>
        <v>500</v>
      </c>
      <c r="X3315" s="221"/>
      <c r="Y3315" s="222">
        <f t="shared" si="1530"/>
        <v>0</v>
      </c>
      <c r="Z3315" s="223">
        <f t="shared" si="1531"/>
        <v>0</v>
      </c>
      <c r="AA3315" s="223">
        <f t="shared" si="1549"/>
        <v>0</v>
      </c>
      <c r="AB3315" s="807">
        <v>1.83E-2</v>
      </c>
      <c r="AC3315" s="220">
        <f t="shared" si="1532"/>
        <v>0</v>
      </c>
      <c r="AD3315" s="443" t="s">
        <v>2950</v>
      </c>
      <c r="AE3315" s="210">
        <f t="shared" si="1533"/>
        <v>0</v>
      </c>
      <c r="AF3315" s="210">
        <f t="shared" si="1547"/>
        <v>0</v>
      </c>
      <c r="AG3315" s="211">
        <f t="shared" si="1551"/>
        <v>0.25</v>
      </c>
      <c r="AH3315" s="157">
        <v>0.26621999999999996</v>
      </c>
      <c r="AI3315" s="152">
        <f t="shared" si="1537"/>
        <v>6000</v>
      </c>
      <c r="AK3315" s="156" t="s">
        <v>691</v>
      </c>
      <c r="AL3315" s="574" t="s">
        <v>690</v>
      </c>
      <c r="AM3315" s="198">
        <f t="shared" si="1550"/>
        <v>0</v>
      </c>
      <c r="AN3315" s="199">
        <f t="shared" si="1548"/>
        <v>46115</v>
      </c>
      <c r="AO3315" s="159" t="s">
        <v>692</v>
      </c>
      <c r="AP3315" s="781" t="s">
        <v>642</v>
      </c>
      <c r="AQ3315" s="782">
        <v>12063755</v>
      </c>
      <c r="AR3315" s="782">
        <v>12042650</v>
      </c>
      <c r="AS3315" s="782">
        <v>12042649</v>
      </c>
      <c r="AT3315" s="782"/>
      <c r="AU3315" s="783"/>
      <c r="AV3315" s="782">
        <v>12097895</v>
      </c>
      <c r="AW3315" s="783"/>
      <c r="AX3315" s="781"/>
      <c r="AY3315" s="796">
        <v>12097893</v>
      </c>
      <c r="AZ3315" s="796">
        <v>12097894</v>
      </c>
      <c r="BA3315" s="796" t="s">
        <v>2462</v>
      </c>
      <c r="BB3315" s="209">
        <v>23099860</v>
      </c>
    </row>
    <row r="3316" spans="1:54" ht="25" customHeight="1">
      <c r="B3316" s="743">
        <v>46115</v>
      </c>
      <c r="C3316" s="848" t="s">
        <v>2736</v>
      </c>
      <c r="D3316" s="215">
        <f t="shared" si="1545"/>
        <v>2026</v>
      </c>
      <c r="E3316" s="214" t="e">
        <f>VLOOKUP($B3316,Week!$A$1:$C$1462,2,0)</f>
        <v>#N/A</v>
      </c>
      <c r="F3316" s="216" t="str">
        <f t="shared" si="1546"/>
        <v>Apr</v>
      </c>
      <c r="G3316" s="746" t="s">
        <v>47</v>
      </c>
      <c r="H3316" s="746" t="s">
        <v>260</v>
      </c>
      <c r="I3316" s="215" t="s">
        <v>2702</v>
      </c>
      <c r="J3316" s="747" t="s">
        <v>2702</v>
      </c>
      <c r="K3316" s="748" t="s">
        <v>2912</v>
      </c>
      <c r="L3316" s="217" t="s">
        <v>2167</v>
      </c>
      <c r="M3316" s="747" t="s">
        <v>2899</v>
      </c>
      <c r="N3316" s="915" t="s">
        <v>2704</v>
      </c>
      <c r="O3316" s="746" t="s">
        <v>1635</v>
      </c>
      <c r="P3316" s="749">
        <v>24</v>
      </c>
      <c r="Q3316" s="749">
        <v>3</v>
      </c>
      <c r="R3316" s="849">
        <v>6.1999999999999998E-3</v>
      </c>
      <c r="S3316" s="746" t="s">
        <v>352</v>
      </c>
      <c r="T3316" s="746" t="s">
        <v>56</v>
      </c>
      <c r="U3316" s="860" t="s">
        <v>739</v>
      </c>
      <c r="V3316" s="750">
        <v>1749</v>
      </c>
      <c r="W3316" s="750">
        <v>1749</v>
      </c>
      <c r="X3316" s="751"/>
      <c r="Y3316" s="752">
        <f t="shared" si="1530"/>
        <v>0</v>
      </c>
      <c r="Z3316" s="753">
        <f t="shared" si="1531"/>
        <v>0</v>
      </c>
      <c r="AA3316" s="753">
        <f t="shared" si="1549"/>
        <v>0</v>
      </c>
      <c r="AB3316" s="838">
        <v>1.83E-2</v>
      </c>
      <c r="AC3316" s="750">
        <f t="shared" si="1532"/>
        <v>0</v>
      </c>
      <c r="AD3316" s="443"/>
      <c r="AE3316" s="210">
        <f t="shared" si="1533"/>
        <v>0</v>
      </c>
      <c r="AF3316" s="210">
        <f t="shared" si="1547"/>
        <v>0</v>
      </c>
      <c r="AG3316" s="211">
        <f t="shared" si="1551"/>
        <v>0.25</v>
      </c>
      <c r="AH3316" s="157">
        <v>0.26621999999999996</v>
      </c>
      <c r="AI3316" s="152">
        <f t="shared" si="1537"/>
        <v>41976</v>
      </c>
      <c r="AK3316" s="156" t="s">
        <v>691</v>
      </c>
      <c r="AL3316" s="574" t="s">
        <v>690</v>
      </c>
      <c r="AM3316" s="198">
        <f t="shared" si="1550"/>
        <v>0</v>
      </c>
      <c r="AN3316" s="199">
        <f t="shared" si="1548"/>
        <v>46115</v>
      </c>
      <c r="AO3316" s="159" t="s">
        <v>692</v>
      </c>
      <c r="AP3316" s="781" t="s">
        <v>642</v>
      </c>
      <c r="AQ3316" s="782">
        <v>12071839</v>
      </c>
      <c r="AR3316" s="782">
        <v>12042650</v>
      </c>
      <c r="AS3316" s="782">
        <v>12042649</v>
      </c>
      <c r="AT3316" s="782"/>
      <c r="AU3316" s="783"/>
      <c r="AV3316" s="782">
        <v>12097895</v>
      </c>
      <c r="AW3316" s="783"/>
      <c r="AX3316" s="781"/>
      <c r="AY3316" s="796">
        <v>12097893</v>
      </c>
      <c r="AZ3316" s="796">
        <v>12097894</v>
      </c>
      <c r="BA3316" s="796" t="s">
        <v>2462</v>
      </c>
      <c r="BB3316" s="209">
        <v>23099860</v>
      </c>
    </row>
    <row r="3317" spans="1:54" ht="25" customHeight="1">
      <c r="A3317" s="142" t="s">
        <v>120</v>
      </c>
      <c r="B3317" s="369">
        <v>46116</v>
      </c>
      <c r="C3317" s="370">
        <v>46134</v>
      </c>
      <c r="D3317" s="185">
        <f t="shared" si="1545"/>
        <v>2026</v>
      </c>
      <c r="E3317" s="371" t="e">
        <f>VLOOKUP($B3317,Week!$A$1:$C$1462,2,0)</f>
        <v>#N/A</v>
      </c>
      <c r="F3317" s="372" t="str">
        <f t="shared" si="1546"/>
        <v>Apr</v>
      </c>
      <c r="G3317" s="371" t="s">
        <v>2887</v>
      </c>
      <c r="H3317" s="371" t="s">
        <v>344</v>
      </c>
      <c r="I3317" s="371" t="s">
        <v>2772</v>
      </c>
      <c r="J3317" s="373" t="s">
        <v>345</v>
      </c>
      <c r="K3317" s="374" t="s">
        <v>153</v>
      </c>
      <c r="L3317" s="390" t="s">
        <v>2166</v>
      </c>
      <c r="M3317" s="373" t="s">
        <v>214</v>
      </c>
      <c r="N3317" s="371" t="s">
        <v>346</v>
      </c>
      <c r="O3317" s="371" t="s">
        <v>509</v>
      </c>
      <c r="P3317" s="375">
        <v>18</v>
      </c>
      <c r="Q3317" s="375">
        <v>8</v>
      </c>
      <c r="R3317" s="376">
        <v>6.8100000000000001E-3</v>
      </c>
      <c r="S3317" s="371" t="s">
        <v>76</v>
      </c>
      <c r="T3317" s="371" t="s">
        <v>56</v>
      </c>
      <c r="U3317" s="371" t="s">
        <v>89</v>
      </c>
      <c r="V3317" s="377">
        <f>1800-309</f>
        <v>1491</v>
      </c>
      <c r="W3317" s="377">
        <f>570</f>
        <v>570</v>
      </c>
      <c r="X3317" s="378">
        <f>16632/18</f>
        <v>924</v>
      </c>
      <c r="Y3317" s="379">
        <f t="shared" si="1530"/>
        <v>3</v>
      </c>
      <c r="Z3317" s="380">
        <f t="shared" si="1531"/>
        <v>0</v>
      </c>
      <c r="AA3317" s="380">
        <f t="shared" si="1549"/>
        <v>0</v>
      </c>
      <c r="AB3317" s="820">
        <v>1</v>
      </c>
      <c r="AC3317" s="377">
        <f t="shared" si="1532"/>
        <v>0</v>
      </c>
      <c r="AD3317" s="443"/>
      <c r="AE3317" s="210">
        <f t="shared" si="1533"/>
        <v>0</v>
      </c>
      <c r="AF3317" s="210">
        <f t="shared" si="1547"/>
        <v>0</v>
      </c>
      <c r="AG3317" s="211">
        <f t="shared" si="1551"/>
        <v>0.10100000000000001</v>
      </c>
      <c r="AH3317" s="157">
        <f t="shared" ref="AH3317:AH3324" si="1552">(Z3317*AG3317)/1000</f>
        <v>0</v>
      </c>
      <c r="AI3317" s="152">
        <f t="shared" si="1537"/>
        <v>26838</v>
      </c>
      <c r="AK3317" s="156" t="s">
        <v>691</v>
      </c>
      <c r="AL3317" s="156" t="s">
        <v>689</v>
      </c>
      <c r="AM3317" s="198">
        <f t="shared" si="1550"/>
        <v>0</v>
      </c>
      <c r="AN3317" s="199">
        <f t="shared" si="1548"/>
        <v>46116</v>
      </c>
      <c r="AO3317" s="159" t="s">
        <v>692</v>
      </c>
      <c r="AP3317" s="781"/>
      <c r="AQ3317" s="783" t="s">
        <v>631</v>
      </c>
      <c r="AR3317" s="782">
        <v>12038019</v>
      </c>
      <c r="AS3317" s="781"/>
      <c r="AT3317" s="800">
        <v>12096586</v>
      </c>
      <c r="AU3317" s="781"/>
      <c r="AV3317" s="800">
        <v>12096585</v>
      </c>
      <c r="AW3317" s="781"/>
      <c r="AX3317" s="781" t="s">
        <v>162</v>
      </c>
      <c r="AY3317" s="781"/>
      <c r="AZ3317" s="781"/>
      <c r="BA3317" s="781"/>
      <c r="BB3317" s="209">
        <v>23053184</v>
      </c>
    </row>
    <row r="3318" spans="1:54" ht="24.75" customHeight="1">
      <c r="B3318" s="295">
        <v>46116</v>
      </c>
      <c r="C3318" s="771" t="s">
        <v>2736</v>
      </c>
      <c r="D3318" s="185">
        <f t="shared" si="1545"/>
        <v>2026</v>
      </c>
      <c r="E3318" s="296" t="e">
        <f>VLOOKUP($B3318,Week!$A$1:$C$1462,2,0)</f>
        <v>#N/A</v>
      </c>
      <c r="F3318" s="297" t="str">
        <f t="shared" si="1546"/>
        <v>Apr</v>
      </c>
      <c r="G3318" s="648" t="s">
        <v>47</v>
      </c>
      <c r="H3318" s="298" t="s">
        <v>260</v>
      </c>
      <c r="I3318" s="298" t="s">
        <v>2702</v>
      </c>
      <c r="J3318" s="307" t="s">
        <v>2240</v>
      </c>
      <c r="K3318" s="300" t="s">
        <v>176</v>
      </c>
      <c r="L3318" s="300" t="s">
        <v>2167</v>
      </c>
      <c r="M3318" s="299" t="s">
        <v>2338</v>
      </c>
      <c r="N3318" s="298" t="s">
        <v>350</v>
      </c>
      <c r="O3318" s="298" t="s">
        <v>351</v>
      </c>
      <c r="P3318" s="301">
        <v>24</v>
      </c>
      <c r="Q3318" s="301">
        <v>5</v>
      </c>
      <c r="R3318" s="302">
        <v>6.1999999999999998E-3</v>
      </c>
      <c r="S3318" s="298" t="s">
        <v>352</v>
      </c>
      <c r="T3318" s="298" t="s">
        <v>56</v>
      </c>
      <c r="U3318" s="298" t="s">
        <v>57</v>
      </c>
      <c r="V3318" s="303">
        <v>1466</v>
      </c>
      <c r="W3318" s="303">
        <v>1466</v>
      </c>
      <c r="X3318" s="304"/>
      <c r="Y3318" s="305">
        <f t="shared" si="1530"/>
        <v>0</v>
      </c>
      <c r="Z3318" s="306">
        <f t="shared" si="1531"/>
        <v>0</v>
      </c>
      <c r="AA3318" s="306">
        <f t="shared" si="1549"/>
        <v>0</v>
      </c>
      <c r="AB3318" s="814">
        <v>7.4999999999999997E-3</v>
      </c>
      <c r="AC3318" s="303">
        <f t="shared" si="1532"/>
        <v>0</v>
      </c>
      <c r="AD3318" s="443"/>
      <c r="AE3318" s="210">
        <f t="shared" si="1533"/>
        <v>0</v>
      </c>
      <c r="AF3318" s="210">
        <f t="shared" si="1547"/>
        <v>0</v>
      </c>
      <c r="AG3318" s="211">
        <f t="shared" si="1551"/>
        <v>0.13</v>
      </c>
      <c r="AH3318" s="157">
        <f t="shared" si="1552"/>
        <v>0</v>
      </c>
      <c r="AI3318" s="152">
        <f t="shared" si="1537"/>
        <v>35184</v>
      </c>
      <c r="AK3318" s="156" t="s">
        <v>691</v>
      </c>
      <c r="AL3318" s="574" t="s">
        <v>690</v>
      </c>
      <c r="AM3318" s="198">
        <f t="shared" si="1550"/>
        <v>0</v>
      </c>
      <c r="AN3318" s="199">
        <f t="shared" si="1548"/>
        <v>46116</v>
      </c>
      <c r="AO3318" s="159" t="s">
        <v>692</v>
      </c>
      <c r="AP3318" s="783" t="s">
        <v>622</v>
      </c>
      <c r="AQ3318" s="782">
        <v>12071839</v>
      </c>
      <c r="AR3318" s="782">
        <v>12094356</v>
      </c>
      <c r="AS3318" s="782">
        <v>12068233</v>
      </c>
      <c r="AT3318" s="781"/>
      <c r="AU3318" s="781"/>
      <c r="AV3318" s="782">
        <v>12062075</v>
      </c>
      <c r="AW3318" s="781"/>
      <c r="AX3318" s="781"/>
      <c r="AY3318" s="782">
        <v>12094357</v>
      </c>
      <c r="AZ3318" s="782"/>
      <c r="BA3318" s="781"/>
      <c r="BB3318" s="209">
        <v>23053184</v>
      </c>
    </row>
    <row r="3319" spans="1:54" ht="25" customHeight="1">
      <c r="B3319" s="345">
        <v>46116</v>
      </c>
      <c r="C3319" s="464">
        <v>46134</v>
      </c>
      <c r="D3319" s="185">
        <f t="shared" si="1545"/>
        <v>2026</v>
      </c>
      <c r="E3319" s="464" t="e">
        <f>VLOOKUP($B3319,Week!$A$1:$C$1462,2,0)</f>
        <v>#N/A</v>
      </c>
      <c r="F3319" s="465" t="str">
        <f t="shared" si="1546"/>
        <v>Apr</v>
      </c>
      <c r="G3319" s="347" t="s">
        <v>2962</v>
      </c>
      <c r="H3319" s="347" t="s">
        <v>344</v>
      </c>
      <c r="I3319" s="347" t="s">
        <v>2772</v>
      </c>
      <c r="J3319" s="349" t="s">
        <v>345</v>
      </c>
      <c r="K3319" s="350" t="s">
        <v>107</v>
      </c>
      <c r="L3319" s="300" t="s">
        <v>2167</v>
      </c>
      <c r="M3319" s="349" t="s">
        <v>136</v>
      </c>
      <c r="N3319" s="347" t="s">
        <v>2526</v>
      </c>
      <c r="O3319" s="347" t="s">
        <v>138</v>
      </c>
      <c r="P3319" s="351">
        <v>24</v>
      </c>
      <c r="Q3319" s="351">
        <v>3</v>
      </c>
      <c r="R3319" s="352">
        <v>7.4999999999999997E-3</v>
      </c>
      <c r="S3319" s="347" t="s">
        <v>111</v>
      </c>
      <c r="T3319" s="347" t="s">
        <v>56</v>
      </c>
      <c r="U3319" s="347" t="s">
        <v>572</v>
      </c>
      <c r="V3319" s="353">
        <v>15</v>
      </c>
      <c r="W3319" s="353">
        <v>15</v>
      </c>
      <c r="X3319" s="354"/>
      <c r="Y3319" s="355">
        <f t="shared" si="1530"/>
        <v>0</v>
      </c>
      <c r="Z3319" s="356">
        <f t="shared" si="1531"/>
        <v>0</v>
      </c>
      <c r="AA3319" s="356">
        <f t="shared" si="1549"/>
        <v>0</v>
      </c>
      <c r="AB3319" s="818">
        <v>1</v>
      </c>
      <c r="AC3319" s="353">
        <f t="shared" si="1532"/>
        <v>0</v>
      </c>
      <c r="AD3319" s="443"/>
      <c r="AE3319" s="210">
        <f t="shared" si="1533"/>
        <v>0</v>
      </c>
      <c r="AF3319" s="210">
        <f t="shared" si="1547"/>
        <v>0</v>
      </c>
      <c r="AG3319" s="211">
        <f t="shared" si="1551"/>
        <v>0.219</v>
      </c>
      <c r="AH3319" s="157">
        <f t="shared" si="1552"/>
        <v>0</v>
      </c>
      <c r="AI3319" s="152">
        <f t="shared" si="1537"/>
        <v>360</v>
      </c>
      <c r="AK3319" s="156" t="s">
        <v>691</v>
      </c>
      <c r="AL3319" s="212" t="s">
        <v>690</v>
      </c>
      <c r="AM3319" s="198">
        <f t="shared" si="1550"/>
        <v>0</v>
      </c>
      <c r="AN3319" s="199">
        <f t="shared" si="1548"/>
        <v>46116</v>
      </c>
      <c r="AO3319" s="159" t="s">
        <v>692</v>
      </c>
      <c r="AP3319" s="783" t="s">
        <v>610</v>
      </c>
      <c r="AQ3319" s="796" t="s">
        <v>1500</v>
      </c>
      <c r="AR3319" s="782" t="s">
        <v>140</v>
      </c>
      <c r="AS3319" s="782" t="s">
        <v>141</v>
      </c>
      <c r="AT3319" s="782"/>
      <c r="AU3319" s="783" t="s">
        <v>568</v>
      </c>
      <c r="AV3319" s="796" t="s">
        <v>2983</v>
      </c>
      <c r="AW3319" s="796" t="s">
        <v>570</v>
      </c>
      <c r="AX3319" s="782" t="s">
        <v>2984</v>
      </c>
      <c r="AY3319" s="782">
        <v>12095878</v>
      </c>
      <c r="AZ3319" s="782">
        <v>12095879</v>
      </c>
      <c r="BA3319" s="782">
        <v>12095880</v>
      </c>
    </row>
    <row r="3320" spans="1:54" ht="25" customHeight="1">
      <c r="B3320" s="345">
        <v>46116</v>
      </c>
      <c r="C3320" s="464">
        <v>46141</v>
      </c>
      <c r="D3320" s="185">
        <f t="shared" si="1545"/>
        <v>2026</v>
      </c>
      <c r="E3320" s="464" t="e">
        <f>VLOOKUP($B3320,Week!$A$1:$C$1462,2,0)</f>
        <v>#N/A</v>
      </c>
      <c r="F3320" s="465" t="str">
        <f t="shared" si="1546"/>
        <v>Apr</v>
      </c>
      <c r="G3320" s="347" t="s">
        <v>2845</v>
      </c>
      <c r="H3320" s="347" t="s">
        <v>134</v>
      </c>
      <c r="I3320" s="347" t="s">
        <v>2772</v>
      </c>
      <c r="J3320" s="349" t="s">
        <v>2932</v>
      </c>
      <c r="K3320" s="350" t="s">
        <v>107</v>
      </c>
      <c r="L3320" s="300" t="s">
        <v>2167</v>
      </c>
      <c r="M3320" s="349" t="s">
        <v>136</v>
      </c>
      <c r="N3320" s="347" t="s">
        <v>137</v>
      </c>
      <c r="O3320" s="347" t="s">
        <v>138</v>
      </c>
      <c r="P3320" s="351">
        <v>24</v>
      </c>
      <c r="Q3320" s="351">
        <v>3</v>
      </c>
      <c r="R3320" s="352">
        <v>7.4999999999999997E-3</v>
      </c>
      <c r="S3320" s="347" t="s">
        <v>111</v>
      </c>
      <c r="T3320" s="347" t="s">
        <v>56</v>
      </c>
      <c r="U3320" s="347" t="s">
        <v>572</v>
      </c>
      <c r="V3320" s="353">
        <f>250</f>
        <v>250</v>
      </c>
      <c r="W3320" s="353">
        <f>1+249</f>
        <v>250</v>
      </c>
      <c r="X3320" s="354"/>
      <c r="Y3320" s="355">
        <f t="shared" si="1530"/>
        <v>0</v>
      </c>
      <c r="Z3320" s="356">
        <f t="shared" si="1531"/>
        <v>0</v>
      </c>
      <c r="AA3320" s="356">
        <f t="shared" si="1549"/>
        <v>0</v>
      </c>
      <c r="AB3320" s="818">
        <v>1</v>
      </c>
      <c r="AC3320" s="353">
        <f t="shared" si="1532"/>
        <v>0</v>
      </c>
      <c r="AD3320" s="443"/>
      <c r="AE3320" s="210">
        <f t="shared" si="1533"/>
        <v>0</v>
      </c>
      <c r="AF3320" s="210">
        <f t="shared" si="1547"/>
        <v>0</v>
      </c>
      <c r="AG3320" s="211">
        <f t="shared" si="1551"/>
        <v>0.219</v>
      </c>
      <c r="AH3320" s="157">
        <f t="shared" si="1552"/>
        <v>0</v>
      </c>
      <c r="AI3320" s="152">
        <f t="shared" si="1537"/>
        <v>6000</v>
      </c>
      <c r="AK3320" s="156" t="s">
        <v>691</v>
      </c>
      <c r="AL3320" s="212" t="s">
        <v>690</v>
      </c>
      <c r="AM3320" s="198">
        <f t="shared" si="1550"/>
        <v>0</v>
      </c>
      <c r="AN3320" s="199">
        <f t="shared" si="1548"/>
        <v>46116</v>
      </c>
      <c r="AO3320" s="159" t="s">
        <v>692</v>
      </c>
      <c r="AP3320" s="783" t="s">
        <v>610</v>
      </c>
      <c r="AQ3320" s="796" t="s">
        <v>1500</v>
      </c>
      <c r="AR3320" s="782" t="s">
        <v>140</v>
      </c>
      <c r="AS3320" s="782" t="s">
        <v>141</v>
      </c>
      <c r="AT3320" s="782"/>
      <c r="AU3320" s="783" t="s">
        <v>568</v>
      </c>
      <c r="AV3320" s="796" t="s">
        <v>2983</v>
      </c>
      <c r="AW3320" s="796" t="s">
        <v>570</v>
      </c>
      <c r="AX3320" s="782"/>
      <c r="AY3320" s="782">
        <v>12095878</v>
      </c>
      <c r="AZ3320" s="782">
        <v>12095879</v>
      </c>
      <c r="BA3320" s="782">
        <v>12095880</v>
      </c>
    </row>
    <row r="3321" spans="1:54" ht="24.65" customHeight="1">
      <c r="B3321" s="308">
        <v>46116</v>
      </c>
      <c r="C3321" s="309">
        <v>46135</v>
      </c>
      <c r="D3321" s="185">
        <f t="shared" si="1545"/>
        <v>2026</v>
      </c>
      <c r="E3321" s="309" t="e">
        <f>VLOOKUP($B3321,Week!$A$1:$C$1462,2,0)</f>
        <v>#N/A</v>
      </c>
      <c r="F3321" s="310" t="str">
        <f t="shared" si="1546"/>
        <v>Apr</v>
      </c>
      <c r="G3321" s="311" t="s">
        <v>2858</v>
      </c>
      <c r="H3321" s="311" t="s">
        <v>311</v>
      </c>
      <c r="I3321" s="311" t="s">
        <v>2772</v>
      </c>
      <c r="J3321" s="312" t="s">
        <v>738</v>
      </c>
      <c r="K3321" s="313" t="s">
        <v>107</v>
      </c>
      <c r="L3321" s="300" t="s">
        <v>2167</v>
      </c>
      <c r="M3321" s="312" t="s">
        <v>313</v>
      </c>
      <c r="N3321" s="311" t="s">
        <v>314</v>
      </c>
      <c r="O3321" s="311" t="s">
        <v>110</v>
      </c>
      <c r="P3321" s="314">
        <v>36</v>
      </c>
      <c r="Q3321" s="314">
        <v>5</v>
      </c>
      <c r="R3321" s="315">
        <v>7.4999999999999997E-3</v>
      </c>
      <c r="S3321" s="311" t="s">
        <v>111</v>
      </c>
      <c r="T3321" s="311" t="s">
        <v>112</v>
      </c>
      <c r="U3321" s="311" t="s">
        <v>57</v>
      </c>
      <c r="V3321" s="316">
        <v>792</v>
      </c>
      <c r="W3321" s="316">
        <f>51+648</f>
        <v>699</v>
      </c>
      <c r="X3321" s="317">
        <f>80+(468/36)</f>
        <v>93</v>
      </c>
      <c r="Y3321" s="318">
        <f t="shared" si="1530"/>
        <v>0</v>
      </c>
      <c r="Z3321" s="319">
        <f t="shared" si="1531"/>
        <v>0</v>
      </c>
      <c r="AA3321" s="319">
        <f t="shared" si="1549"/>
        <v>0</v>
      </c>
      <c r="AB3321" s="815">
        <v>7.4999999999999997E-3</v>
      </c>
      <c r="AC3321" s="316">
        <f t="shared" si="1532"/>
        <v>0</v>
      </c>
      <c r="AD3321" s="209"/>
      <c r="AE3321" s="210">
        <f t="shared" si="1533"/>
        <v>0</v>
      </c>
      <c r="AF3321" s="210">
        <f t="shared" si="1547"/>
        <v>0</v>
      </c>
      <c r="AG3321" s="211">
        <f t="shared" si="1551"/>
        <v>0.308</v>
      </c>
      <c r="AH3321" s="157">
        <f t="shared" si="1552"/>
        <v>0</v>
      </c>
      <c r="AI3321" s="152">
        <f t="shared" si="1537"/>
        <v>28512</v>
      </c>
      <c r="AK3321" s="156" t="s">
        <v>691</v>
      </c>
      <c r="AL3321" s="212" t="s">
        <v>690</v>
      </c>
      <c r="AM3321" s="198">
        <f t="shared" si="1550"/>
        <v>0</v>
      </c>
      <c r="AN3321" s="199">
        <f t="shared" si="1548"/>
        <v>46116</v>
      </c>
      <c r="AO3321" s="159" t="s">
        <v>692</v>
      </c>
      <c r="AP3321" s="783" t="s">
        <v>644</v>
      </c>
      <c r="AQ3321" s="782">
        <v>12063755</v>
      </c>
      <c r="AR3321" s="782">
        <v>12061353</v>
      </c>
      <c r="AS3321" s="782">
        <v>12061354</v>
      </c>
      <c r="AT3321" s="782">
        <v>12062266</v>
      </c>
      <c r="AU3321" s="781"/>
      <c r="AV3321" s="782">
        <v>12088159</v>
      </c>
      <c r="AW3321" s="782">
        <v>12088207</v>
      </c>
      <c r="AX3321" s="782"/>
      <c r="AY3321" s="782">
        <v>12094237</v>
      </c>
      <c r="AZ3321" s="782"/>
      <c r="BA3321" s="781"/>
      <c r="BB3321" s="209">
        <v>23053185</v>
      </c>
    </row>
    <row r="3322" spans="1:54" ht="24.75" customHeight="1">
      <c r="B3322" s="320">
        <v>46116</v>
      </c>
      <c r="C3322" s="321">
        <v>46135</v>
      </c>
      <c r="D3322" s="185">
        <f t="shared" si="1545"/>
        <v>2026</v>
      </c>
      <c r="E3322" s="321" t="e">
        <f>VLOOKUP($B3322,Week!$A$1:$C$1462,2,0)</f>
        <v>#N/A</v>
      </c>
      <c r="F3322" s="322" t="str">
        <f t="shared" si="1546"/>
        <v>Apr</v>
      </c>
      <c r="G3322" s="323" t="s">
        <v>2863</v>
      </c>
      <c r="H3322" s="323" t="s">
        <v>675</v>
      </c>
      <c r="I3322" s="323" t="s">
        <v>2772</v>
      </c>
      <c r="J3322" s="324" t="s">
        <v>2906</v>
      </c>
      <c r="K3322" s="325" t="s">
        <v>107</v>
      </c>
      <c r="L3322" s="300" t="s">
        <v>2167</v>
      </c>
      <c r="M3322" s="324" t="s">
        <v>313</v>
      </c>
      <c r="N3322" s="596" t="s">
        <v>710</v>
      </c>
      <c r="O3322" s="323" t="s">
        <v>592</v>
      </c>
      <c r="P3322" s="326">
        <v>8</v>
      </c>
      <c r="Q3322" s="326">
        <v>4</v>
      </c>
      <c r="R3322" s="327">
        <v>7.4999999999999997E-3</v>
      </c>
      <c r="S3322" s="323" t="s">
        <v>111</v>
      </c>
      <c r="T3322" s="323" t="s">
        <v>112</v>
      </c>
      <c r="U3322" s="323" t="s">
        <v>57</v>
      </c>
      <c r="V3322" s="328">
        <f>420</f>
        <v>420</v>
      </c>
      <c r="W3322" s="328"/>
      <c r="X3322" s="329">
        <f>(662+2772)/8</f>
        <v>429.25</v>
      </c>
      <c r="Y3322" s="330">
        <f t="shared" si="1530"/>
        <v>9.25</v>
      </c>
      <c r="Z3322" s="331">
        <f t="shared" si="1531"/>
        <v>0</v>
      </c>
      <c r="AA3322" s="331">
        <f t="shared" si="1549"/>
        <v>0</v>
      </c>
      <c r="AB3322" s="816">
        <v>7.4999999999999997E-3</v>
      </c>
      <c r="AC3322" s="328">
        <f t="shared" si="1532"/>
        <v>0</v>
      </c>
      <c r="AD3322" s="443" t="s">
        <v>2930</v>
      </c>
      <c r="AE3322" s="210">
        <f t="shared" si="1533"/>
        <v>0</v>
      </c>
      <c r="AF3322" s="210">
        <f t="shared" si="1547"/>
        <v>0</v>
      </c>
      <c r="AG3322" s="211">
        <f t="shared" si="1551"/>
        <v>0.30499999999999999</v>
      </c>
      <c r="AH3322" s="157">
        <f t="shared" si="1552"/>
        <v>0</v>
      </c>
      <c r="AI3322" s="152">
        <f t="shared" si="1537"/>
        <v>3360</v>
      </c>
      <c r="AK3322" s="156" t="s">
        <v>691</v>
      </c>
      <c r="AL3322" s="212" t="s">
        <v>690</v>
      </c>
      <c r="AM3322" s="198">
        <f t="shared" si="1550"/>
        <v>0</v>
      </c>
      <c r="AN3322" s="199">
        <f t="shared" si="1548"/>
        <v>46116</v>
      </c>
      <c r="AO3322" s="159" t="s">
        <v>692</v>
      </c>
      <c r="AP3322" s="783" t="s">
        <v>643</v>
      </c>
      <c r="AQ3322" s="782">
        <v>12063755</v>
      </c>
      <c r="AR3322" s="782">
        <v>12061353</v>
      </c>
      <c r="AS3322" s="782">
        <v>12061354</v>
      </c>
      <c r="AT3322" s="782">
        <v>12089987</v>
      </c>
      <c r="AU3322" s="781"/>
      <c r="AV3322" s="782">
        <v>12089986</v>
      </c>
      <c r="AW3322" s="782"/>
      <c r="AX3322" s="782"/>
      <c r="AY3322" s="781" t="s">
        <v>2713</v>
      </c>
      <c r="AZ3322" s="781" t="s">
        <v>2714</v>
      </c>
      <c r="BA3322" s="781"/>
      <c r="BB3322" s="209">
        <v>23053185</v>
      </c>
    </row>
    <row r="3323" spans="1:54" ht="25" customHeight="1">
      <c r="A3323" s="623"/>
      <c r="B3323" s="498">
        <v>46116</v>
      </c>
      <c r="C3323" s="499">
        <v>46135</v>
      </c>
      <c r="D3323" s="185">
        <f t="shared" si="1545"/>
        <v>2026</v>
      </c>
      <c r="E3323" s="499" t="e">
        <f>VLOOKUP($B3323,Week!$A$1:$C$1462,2,0)</f>
        <v>#N/A</v>
      </c>
      <c r="F3323" s="500" t="str">
        <f t="shared" si="1546"/>
        <v>Apr</v>
      </c>
      <c r="G3323" s="501" t="s">
        <v>2868</v>
      </c>
      <c r="H3323" s="501" t="s">
        <v>311</v>
      </c>
      <c r="I3323" s="501" t="s">
        <v>2772</v>
      </c>
      <c r="J3323" s="502" t="s">
        <v>738</v>
      </c>
      <c r="K3323" s="503" t="s">
        <v>1646</v>
      </c>
      <c r="L3323" s="300" t="s">
        <v>2167</v>
      </c>
      <c r="M3323" s="502" t="s">
        <v>654</v>
      </c>
      <c r="N3323" s="501" t="s">
        <v>726</v>
      </c>
      <c r="O3323" s="501" t="s">
        <v>655</v>
      </c>
      <c r="P3323" s="504">
        <v>24</v>
      </c>
      <c r="Q3323" s="504">
        <v>5</v>
      </c>
      <c r="R3323" s="505">
        <v>7.4999999999999997E-3</v>
      </c>
      <c r="S3323" s="501" t="s">
        <v>40</v>
      </c>
      <c r="T3323" s="501" t="s">
        <v>112</v>
      </c>
      <c r="U3323" s="506" t="s">
        <v>1894</v>
      </c>
      <c r="V3323" s="507">
        <f>390</f>
        <v>390</v>
      </c>
      <c r="W3323" s="507">
        <f>390</f>
        <v>390</v>
      </c>
      <c r="X3323" s="508"/>
      <c r="Y3323" s="509">
        <f t="shared" si="1530"/>
        <v>0</v>
      </c>
      <c r="Z3323" s="510">
        <f t="shared" si="1531"/>
        <v>0</v>
      </c>
      <c r="AA3323" s="510">
        <f t="shared" si="1549"/>
        <v>0</v>
      </c>
      <c r="AB3323" s="830">
        <v>3.8699999999999998E-2</v>
      </c>
      <c r="AC3323" s="507">
        <f t="shared" si="1532"/>
        <v>0</v>
      </c>
      <c r="AD3323" s="209"/>
      <c r="AE3323" s="210">
        <f t="shared" si="1533"/>
        <v>0</v>
      </c>
      <c r="AF3323" s="210">
        <f t="shared" si="1547"/>
        <v>0</v>
      </c>
      <c r="AG3323" s="211">
        <f t="shared" si="1551"/>
        <v>0.307</v>
      </c>
      <c r="AH3323" s="157">
        <f t="shared" si="1552"/>
        <v>0</v>
      </c>
      <c r="AI3323" s="152">
        <f t="shared" si="1537"/>
        <v>9360</v>
      </c>
      <c r="AK3323" s="156" t="s">
        <v>691</v>
      </c>
      <c r="AL3323" s="212" t="s">
        <v>690</v>
      </c>
      <c r="AM3323" s="198">
        <f t="shared" si="1550"/>
        <v>0</v>
      </c>
      <c r="AN3323" s="199">
        <f t="shared" si="1548"/>
        <v>46116</v>
      </c>
      <c r="AO3323" s="159" t="s">
        <v>692</v>
      </c>
      <c r="AP3323" s="781" t="s">
        <v>642</v>
      </c>
      <c r="AQ3323" s="782">
        <v>12063755</v>
      </c>
      <c r="AR3323" s="782">
        <v>12061353</v>
      </c>
      <c r="AS3323" s="782">
        <v>12061354</v>
      </c>
      <c r="AT3323" s="782">
        <v>12089274</v>
      </c>
      <c r="AU3323" s="781"/>
      <c r="AV3323" s="782">
        <v>12089275</v>
      </c>
      <c r="AW3323" s="782">
        <v>12068154</v>
      </c>
      <c r="AX3323" s="782"/>
      <c r="AY3323" s="782">
        <v>12094140</v>
      </c>
      <c r="AZ3323" s="782"/>
      <c r="BA3323" s="781"/>
      <c r="BB3323" s="209">
        <v>23105470</v>
      </c>
    </row>
    <row r="3324" spans="1:54" ht="25" customHeight="1">
      <c r="A3324" s="623"/>
      <c r="B3324" s="498">
        <v>46116</v>
      </c>
      <c r="C3324" s="499">
        <v>46149</v>
      </c>
      <c r="D3324" s="185">
        <f t="shared" si="1545"/>
        <v>2026</v>
      </c>
      <c r="E3324" s="499" t="e">
        <f>VLOOKUP($B3324,Week!$A$1:$C$1462,2,0)</f>
        <v>#N/A</v>
      </c>
      <c r="F3324" s="500" t="str">
        <f t="shared" si="1546"/>
        <v>Apr</v>
      </c>
      <c r="G3324" s="501" t="s">
        <v>2869</v>
      </c>
      <c r="H3324" s="501" t="s">
        <v>311</v>
      </c>
      <c r="I3324" s="501" t="s">
        <v>2772</v>
      </c>
      <c r="J3324" s="502" t="s">
        <v>738</v>
      </c>
      <c r="K3324" s="503" t="s">
        <v>1646</v>
      </c>
      <c r="L3324" s="300" t="s">
        <v>2167</v>
      </c>
      <c r="M3324" s="502" t="s">
        <v>654</v>
      </c>
      <c r="N3324" s="501" t="s">
        <v>726</v>
      </c>
      <c r="O3324" s="501" t="s">
        <v>655</v>
      </c>
      <c r="P3324" s="504">
        <v>24</v>
      </c>
      <c r="Q3324" s="504">
        <v>5</v>
      </c>
      <c r="R3324" s="505">
        <v>7.4999999999999997E-3</v>
      </c>
      <c r="S3324" s="501" t="s">
        <v>40</v>
      </c>
      <c r="T3324" s="501" t="s">
        <v>112</v>
      </c>
      <c r="U3324" s="506" t="s">
        <v>1894</v>
      </c>
      <c r="V3324" s="507">
        <f>390</f>
        <v>390</v>
      </c>
      <c r="W3324" s="507">
        <f>390</f>
        <v>390</v>
      </c>
      <c r="X3324" s="508"/>
      <c r="Y3324" s="509">
        <f t="shared" si="1530"/>
        <v>0</v>
      </c>
      <c r="Z3324" s="510">
        <f t="shared" si="1531"/>
        <v>0</v>
      </c>
      <c r="AA3324" s="510">
        <f t="shared" si="1549"/>
        <v>0</v>
      </c>
      <c r="AB3324" s="830">
        <v>3.8699999999999998E-2</v>
      </c>
      <c r="AC3324" s="507">
        <f t="shared" si="1532"/>
        <v>0</v>
      </c>
      <c r="AD3324" s="209"/>
      <c r="AE3324" s="210">
        <f t="shared" si="1533"/>
        <v>0</v>
      </c>
      <c r="AF3324" s="210">
        <f t="shared" si="1547"/>
        <v>0</v>
      </c>
      <c r="AG3324" s="211">
        <f t="shared" si="1551"/>
        <v>0.307</v>
      </c>
      <c r="AH3324" s="157">
        <f t="shared" si="1552"/>
        <v>0</v>
      </c>
      <c r="AI3324" s="152">
        <f t="shared" si="1537"/>
        <v>9360</v>
      </c>
      <c r="AK3324" s="156" t="s">
        <v>691</v>
      </c>
      <c r="AL3324" s="212" t="s">
        <v>690</v>
      </c>
      <c r="AM3324" s="198">
        <f t="shared" si="1550"/>
        <v>0</v>
      </c>
      <c r="AN3324" s="199">
        <f t="shared" si="1548"/>
        <v>46116</v>
      </c>
      <c r="AO3324" s="159" t="s">
        <v>692</v>
      </c>
      <c r="AP3324" s="781" t="s">
        <v>642</v>
      </c>
      <c r="AQ3324" s="782">
        <v>12063755</v>
      </c>
      <c r="AR3324" s="782">
        <v>12061353</v>
      </c>
      <c r="AS3324" s="782">
        <v>12061354</v>
      </c>
      <c r="AT3324" s="782">
        <v>12089274</v>
      </c>
      <c r="AU3324" s="781"/>
      <c r="AV3324" s="782">
        <v>12089275</v>
      </c>
      <c r="AW3324" s="782">
        <v>12068154</v>
      </c>
      <c r="AX3324" s="782"/>
      <c r="AY3324" s="782">
        <v>12094140</v>
      </c>
      <c r="AZ3324" s="782"/>
      <c r="BA3324" s="781"/>
      <c r="BB3324" s="209">
        <v>23105470</v>
      </c>
    </row>
    <row r="3325" spans="1:54" ht="25" customHeight="1">
      <c r="B3325" s="183">
        <v>46117</v>
      </c>
      <c r="C3325" s="184"/>
      <c r="D3325" s="185">
        <f t="shared" si="1545"/>
        <v>2026</v>
      </c>
      <c r="E3325" s="185" t="e">
        <f>VLOOKUP($B3325,Week!$A$1:$C$1462,2,0)</f>
        <v>#N/A</v>
      </c>
      <c r="F3325" s="186" t="str">
        <f t="shared" si="1546"/>
        <v>Apr</v>
      </c>
      <c r="G3325" s="481"/>
      <c r="H3325" s="185"/>
      <c r="I3325" s="185"/>
      <c r="J3325" s="187"/>
      <c r="K3325" s="188"/>
      <c r="L3325" s="188"/>
      <c r="M3325" s="187"/>
      <c r="N3325" s="185"/>
      <c r="O3325" s="185"/>
      <c r="P3325" s="189"/>
      <c r="Q3325" s="189"/>
      <c r="R3325" s="190"/>
      <c r="S3325" s="185"/>
      <c r="T3325" s="185"/>
      <c r="U3325" s="185"/>
      <c r="V3325" s="191"/>
      <c r="W3325" s="191"/>
      <c r="X3325" s="192"/>
      <c r="Y3325" s="193"/>
      <c r="Z3325" s="194"/>
      <c r="AA3325" s="194">
        <f t="shared" si="1549"/>
        <v>0</v>
      </c>
      <c r="AB3325" s="805"/>
      <c r="AC3325" s="191"/>
      <c r="AD3325" s="187"/>
      <c r="AE3325" s="195"/>
      <c r="AF3325" s="195"/>
      <c r="AG3325" s="196"/>
      <c r="AH3325" s="197"/>
      <c r="AK3325" s="156" t="s">
        <v>691</v>
      </c>
      <c r="AM3325" s="198">
        <f t="shared" si="1550"/>
        <v>0</v>
      </c>
      <c r="AN3325" s="199">
        <f t="shared" si="1548"/>
        <v>46117</v>
      </c>
      <c r="AO3325" s="159" t="s">
        <v>692</v>
      </c>
      <c r="AP3325" s="781"/>
      <c r="AQ3325" s="782"/>
      <c r="AR3325" s="782"/>
      <c r="AS3325" s="782"/>
      <c r="AT3325" s="782"/>
      <c r="AU3325" s="781"/>
      <c r="AV3325" s="782"/>
      <c r="AW3325" s="782"/>
      <c r="AX3325" s="782"/>
      <c r="AY3325" s="782"/>
      <c r="AZ3325" s="782"/>
      <c r="BA3325" s="781"/>
      <c r="BB3325" s="209"/>
    </row>
    <row r="3326" spans="1:54" ht="25" customHeight="1">
      <c r="A3326" s="142" t="s">
        <v>120</v>
      </c>
      <c r="B3326" s="581">
        <v>46118</v>
      </c>
      <c r="C3326" s="333">
        <v>46128</v>
      </c>
      <c r="D3326" s="185">
        <f t="shared" si="1545"/>
        <v>2026</v>
      </c>
      <c r="E3326" s="335" t="e">
        <f>VLOOKUP($B3326,Week!$A$1:$C$1462,2,0)</f>
        <v>#N/A</v>
      </c>
      <c r="F3326" s="334" t="str">
        <f t="shared" si="1546"/>
        <v>Apr</v>
      </c>
      <c r="G3326" s="530" t="s">
        <v>2931</v>
      </c>
      <c r="H3326" s="335" t="s">
        <v>82</v>
      </c>
      <c r="I3326" s="335" t="s">
        <v>82</v>
      </c>
      <c r="J3326" s="336" t="s">
        <v>235</v>
      </c>
      <c r="K3326" s="337" t="s">
        <v>85</v>
      </c>
      <c r="L3326" s="390" t="s">
        <v>2166</v>
      </c>
      <c r="M3326" s="336" t="s">
        <v>86</v>
      </c>
      <c r="N3326" s="335" t="s">
        <v>273</v>
      </c>
      <c r="O3326" s="335" t="s">
        <v>507</v>
      </c>
      <c r="P3326" s="338">
        <v>8</v>
      </c>
      <c r="Q3326" s="338">
        <v>50</v>
      </c>
      <c r="R3326" s="339">
        <v>6.8100000000000001E-3</v>
      </c>
      <c r="S3326" s="335" t="s">
        <v>76</v>
      </c>
      <c r="T3326" s="335" t="s">
        <v>56</v>
      </c>
      <c r="U3326" s="335" t="s">
        <v>89</v>
      </c>
      <c r="V3326" s="341">
        <f>924</f>
        <v>924</v>
      </c>
      <c r="W3326" s="341">
        <f>482</f>
        <v>482</v>
      </c>
      <c r="X3326" s="342">
        <f>3600/8</f>
        <v>450</v>
      </c>
      <c r="Y3326" s="343">
        <f t="shared" ref="Y3326:Y3336" si="1553">(W3326+X3326)-V3326</f>
        <v>8</v>
      </c>
      <c r="Z3326" s="344">
        <f t="shared" ref="Z3326:Z3336" si="1554">IF(Y3326&lt;0,((V3326*P3326)-((W3326+X3326)*P3326)),0)</f>
        <v>0</v>
      </c>
      <c r="AA3326" s="344">
        <f t="shared" si="1549"/>
        <v>0</v>
      </c>
      <c r="AB3326" s="817">
        <v>6</v>
      </c>
      <c r="AC3326" s="341">
        <f t="shared" ref="AC3326:AC3336" si="1555">Z3326*AB3326</f>
        <v>0</v>
      </c>
      <c r="AD3326" s="443"/>
      <c r="AE3326" s="210">
        <f t="shared" ref="AE3326:AE3336" si="1556">SUM(Q3326*R3326*Z3326)/1000</f>
        <v>0</v>
      </c>
      <c r="AF3326" s="210">
        <f t="shared" ref="AF3326:AF3336" si="1557">AE3326/0.54</f>
        <v>0</v>
      </c>
      <c r="AG3326" s="211">
        <f t="shared" ref="AG3326:AG3333" si="1558">MID(O3326,1,3)/1000</f>
        <v>0.63</v>
      </c>
      <c r="AH3326" s="157">
        <f>(Z3326*AG3326)/1000</f>
        <v>0</v>
      </c>
      <c r="AI3326" s="152">
        <f t="shared" ref="AI3326:AI3336" si="1559">V3326*P3326</f>
        <v>7392</v>
      </c>
      <c r="AK3326" s="156" t="s">
        <v>691</v>
      </c>
      <c r="AL3326" s="156" t="s">
        <v>689</v>
      </c>
      <c r="AM3326" s="198">
        <f t="shared" si="1550"/>
        <v>0</v>
      </c>
      <c r="AN3326" s="199">
        <f t="shared" si="1548"/>
        <v>46118</v>
      </c>
      <c r="AO3326" s="159" t="s">
        <v>692</v>
      </c>
      <c r="AP3326" s="781"/>
      <c r="AQ3326" s="782">
        <v>12088677</v>
      </c>
      <c r="AR3326" s="782">
        <v>12055234</v>
      </c>
      <c r="AS3326" s="782"/>
      <c r="AT3326" s="782">
        <v>12096754</v>
      </c>
      <c r="AU3326" s="781"/>
      <c r="AV3326" s="782">
        <v>12097083</v>
      </c>
      <c r="AW3326" s="782"/>
      <c r="AX3326" s="782" t="s">
        <v>93</v>
      </c>
      <c r="AY3326" s="782"/>
      <c r="AZ3326" s="782"/>
      <c r="BA3326" s="781"/>
    </row>
    <row r="3327" spans="1:54" ht="25" customHeight="1">
      <c r="B3327" s="213">
        <v>46118</v>
      </c>
      <c r="C3327" s="902" t="s">
        <v>2736</v>
      </c>
      <c r="D3327" s="215">
        <f t="shared" si="1545"/>
        <v>2026</v>
      </c>
      <c r="E3327" s="214" t="e">
        <f>VLOOKUP($B3327,Week!$A$1:$C$1462,2,0)</f>
        <v>#N/A</v>
      </c>
      <c r="F3327" s="216" t="str">
        <f t="shared" si="1546"/>
        <v>Apr</v>
      </c>
      <c r="G3327" s="215" t="s">
        <v>47</v>
      </c>
      <c r="H3327" s="215" t="s">
        <v>260</v>
      </c>
      <c r="I3327" s="215" t="s">
        <v>2702</v>
      </c>
      <c r="J3327" s="209" t="s">
        <v>2702</v>
      </c>
      <c r="K3327" s="217" t="s">
        <v>2706</v>
      </c>
      <c r="L3327" s="217" t="s">
        <v>2167</v>
      </c>
      <c r="M3327" s="209" t="s">
        <v>2733</v>
      </c>
      <c r="N3327" s="480" t="s">
        <v>2734</v>
      </c>
      <c r="O3327" s="215" t="s">
        <v>2735</v>
      </c>
      <c r="P3327" s="218">
        <v>12</v>
      </c>
      <c r="Q3327" s="218">
        <v>2</v>
      </c>
      <c r="R3327" s="219">
        <v>6.0000000000000001E-3</v>
      </c>
      <c r="S3327" s="215" t="s">
        <v>55</v>
      </c>
      <c r="T3327" s="215" t="s">
        <v>56</v>
      </c>
      <c r="U3327" s="852" t="s">
        <v>2707</v>
      </c>
      <c r="V3327" s="220">
        <f>1414</f>
        <v>1414</v>
      </c>
      <c r="W3327" s="220">
        <f>721+237+456</f>
        <v>1414</v>
      </c>
      <c r="X3327" s="221"/>
      <c r="Y3327" s="222">
        <f t="shared" si="1553"/>
        <v>0</v>
      </c>
      <c r="Z3327" s="223">
        <f t="shared" si="1554"/>
        <v>0</v>
      </c>
      <c r="AA3327" s="223">
        <f t="shared" si="1549"/>
        <v>0</v>
      </c>
      <c r="AB3327" s="807">
        <v>1.7000000000000001E-2</v>
      </c>
      <c r="AC3327" s="220">
        <f t="shared" si="1555"/>
        <v>0</v>
      </c>
      <c r="AD3327" s="919">
        <v>46111</v>
      </c>
      <c r="AE3327" s="210">
        <f t="shared" si="1556"/>
        <v>0</v>
      </c>
      <c r="AF3327" s="210">
        <f t="shared" si="1557"/>
        <v>0</v>
      </c>
      <c r="AG3327" s="211">
        <f t="shared" si="1558"/>
        <v>0.22500000000000001</v>
      </c>
      <c r="AH3327" s="157">
        <v>0.26621999999999996</v>
      </c>
      <c r="AI3327" s="152">
        <f t="shared" si="1559"/>
        <v>16968</v>
      </c>
      <c r="AK3327" s="156" t="s">
        <v>691</v>
      </c>
      <c r="AL3327" s="574" t="s">
        <v>690</v>
      </c>
      <c r="AM3327" s="198">
        <f t="shared" si="1550"/>
        <v>0</v>
      </c>
      <c r="AN3327" s="199">
        <f t="shared" si="1548"/>
        <v>46118</v>
      </c>
      <c r="AO3327" s="159" t="s">
        <v>692</v>
      </c>
      <c r="AP3327" s="781" t="s">
        <v>642</v>
      </c>
      <c r="AQ3327" s="782">
        <v>12071839</v>
      </c>
      <c r="AR3327" s="782"/>
      <c r="AS3327" s="782"/>
      <c r="AT3327" s="782">
        <v>12098021</v>
      </c>
      <c r="AU3327" s="783" t="s">
        <v>2979</v>
      </c>
      <c r="AV3327" s="782">
        <v>12098022</v>
      </c>
      <c r="AW3327" s="783"/>
      <c r="AX3327" s="781"/>
      <c r="AY3327" s="796"/>
      <c r="AZ3327" s="796"/>
      <c r="BA3327" s="796"/>
      <c r="BB3327" s="209">
        <v>23099860</v>
      </c>
    </row>
    <row r="3328" spans="1:54" ht="25.15" customHeight="1">
      <c r="B3328" s="345">
        <v>46118</v>
      </c>
      <c r="C3328" s="346">
        <v>46147</v>
      </c>
      <c r="D3328" s="185">
        <f t="shared" si="1545"/>
        <v>2026</v>
      </c>
      <c r="E3328" s="347" t="e">
        <f>VLOOKUP($B3328,Week!$A$1:$C$1462,2,0)</f>
        <v>#N/A</v>
      </c>
      <c r="F3328" s="348" t="str">
        <f t="shared" si="1546"/>
        <v>Apr</v>
      </c>
      <c r="G3328" s="347" t="s">
        <v>2797</v>
      </c>
      <c r="H3328" s="347" t="s">
        <v>424</v>
      </c>
      <c r="I3328" s="347" t="s">
        <v>2772</v>
      </c>
      <c r="J3328" s="438" t="s">
        <v>425</v>
      </c>
      <c r="K3328" s="350" t="s">
        <v>176</v>
      </c>
      <c r="L3328" s="350" t="s">
        <v>2167</v>
      </c>
      <c r="M3328" s="349" t="s">
        <v>426</v>
      </c>
      <c r="N3328" s="347" t="s">
        <v>427</v>
      </c>
      <c r="O3328" s="347" t="s">
        <v>599</v>
      </c>
      <c r="P3328" s="351">
        <v>36</v>
      </c>
      <c r="Q3328" s="351">
        <v>5</v>
      </c>
      <c r="R3328" s="352">
        <v>7.4999999999999997E-3</v>
      </c>
      <c r="S3328" s="347" t="s">
        <v>111</v>
      </c>
      <c r="T3328" s="347" t="s">
        <v>112</v>
      </c>
      <c r="U3328" s="347" t="s">
        <v>57</v>
      </c>
      <c r="V3328" s="353">
        <v>1288</v>
      </c>
      <c r="W3328" s="353">
        <f>66+1222</f>
        <v>1288</v>
      </c>
      <c r="X3328" s="354"/>
      <c r="Y3328" s="355">
        <f t="shared" si="1553"/>
        <v>0</v>
      </c>
      <c r="Z3328" s="356">
        <f t="shared" si="1554"/>
        <v>0</v>
      </c>
      <c r="AA3328" s="353">
        <f t="shared" si="1549"/>
        <v>0</v>
      </c>
      <c r="AB3328" s="818">
        <v>7.4999999999999997E-3</v>
      </c>
      <c r="AC3328" s="353">
        <f t="shared" si="1555"/>
        <v>0</v>
      </c>
      <c r="AD3328" s="307" t="s">
        <v>2448</v>
      </c>
      <c r="AE3328" s="210">
        <f t="shared" si="1556"/>
        <v>0</v>
      </c>
      <c r="AF3328" s="210">
        <f t="shared" si="1557"/>
        <v>0</v>
      </c>
      <c r="AG3328" s="211">
        <f t="shared" si="1558"/>
        <v>0.14799999999999999</v>
      </c>
      <c r="AH3328" s="157">
        <f>(Z3328*AG3328)/1000</f>
        <v>0</v>
      </c>
      <c r="AI3328" s="152">
        <f t="shared" si="1559"/>
        <v>46368</v>
      </c>
      <c r="AK3328" s="156" t="s">
        <v>691</v>
      </c>
      <c r="AL3328" s="574" t="s">
        <v>690</v>
      </c>
      <c r="AM3328" s="198">
        <f t="shared" si="1550"/>
        <v>0</v>
      </c>
      <c r="AN3328" s="199">
        <f t="shared" si="1548"/>
        <v>46118</v>
      </c>
      <c r="AO3328" s="159" t="s">
        <v>692</v>
      </c>
      <c r="AP3328" s="783" t="s">
        <v>609</v>
      </c>
      <c r="AQ3328" s="782">
        <v>12071839</v>
      </c>
      <c r="AR3328" s="782">
        <v>12080260</v>
      </c>
      <c r="AS3328" s="782">
        <v>12080259</v>
      </c>
      <c r="AT3328" s="782">
        <v>12096006</v>
      </c>
      <c r="AU3328" s="782"/>
      <c r="AV3328" s="782">
        <v>12096007</v>
      </c>
      <c r="AW3328" s="782">
        <v>12024404</v>
      </c>
      <c r="AX3328" s="781"/>
      <c r="AY3328" s="782">
        <v>12096022</v>
      </c>
      <c r="AZ3328" s="782"/>
      <c r="BA3328" s="781"/>
      <c r="BB3328" s="209">
        <v>23053185</v>
      </c>
    </row>
    <row r="3329" spans="1:54" ht="25" customHeight="1">
      <c r="B3329" s="213">
        <v>46118</v>
      </c>
      <c r="C3329" s="214">
        <v>46141</v>
      </c>
      <c r="D3329" s="185">
        <f t="shared" si="1545"/>
        <v>2026</v>
      </c>
      <c r="E3329" s="215" t="e">
        <f>VLOOKUP($B3329,Week!$A$1:$C$1462,2,0)</f>
        <v>#N/A</v>
      </c>
      <c r="F3329" s="216" t="str">
        <f t="shared" si="1546"/>
        <v>Apr</v>
      </c>
      <c r="G3329" s="215" t="s">
        <v>2845</v>
      </c>
      <c r="H3329" s="215" t="s">
        <v>134</v>
      </c>
      <c r="I3329" s="215" t="s">
        <v>2772</v>
      </c>
      <c r="J3329" s="209" t="s">
        <v>2932</v>
      </c>
      <c r="K3329" s="217" t="s">
        <v>176</v>
      </c>
      <c r="L3329" s="300" t="s">
        <v>2167</v>
      </c>
      <c r="M3329" s="209" t="s">
        <v>193</v>
      </c>
      <c r="N3329" s="215" t="s">
        <v>194</v>
      </c>
      <c r="O3329" s="215" t="s">
        <v>195</v>
      </c>
      <c r="P3329" s="218">
        <v>24</v>
      </c>
      <c r="Q3329" s="218">
        <v>5</v>
      </c>
      <c r="R3329" s="219">
        <v>8.0000000000000002E-3</v>
      </c>
      <c r="S3329" s="215" t="s">
        <v>40</v>
      </c>
      <c r="T3329" s="215" t="s">
        <v>56</v>
      </c>
      <c r="U3329" s="215" t="s">
        <v>57</v>
      </c>
      <c r="V3329" s="220">
        <f>250</f>
        <v>250</v>
      </c>
      <c r="W3329" s="220">
        <f>3+247</f>
        <v>250</v>
      </c>
      <c r="X3329" s="221"/>
      <c r="Y3329" s="222">
        <f t="shared" si="1553"/>
        <v>0</v>
      </c>
      <c r="Z3329" s="223">
        <f t="shared" si="1554"/>
        <v>0</v>
      </c>
      <c r="AA3329" s="220">
        <f t="shared" si="1549"/>
        <v>0</v>
      </c>
      <c r="AB3329" s="807">
        <v>1</v>
      </c>
      <c r="AC3329" s="220">
        <f t="shared" si="1555"/>
        <v>0</v>
      </c>
      <c r="AD3329" s="381"/>
      <c r="AE3329" s="210">
        <f t="shared" si="1556"/>
        <v>0</v>
      </c>
      <c r="AF3329" s="210">
        <f t="shared" si="1557"/>
        <v>0</v>
      </c>
      <c r="AG3329" s="211">
        <f t="shared" si="1558"/>
        <v>0.14499999999999999</v>
      </c>
      <c r="AH3329" s="157">
        <f>(Z3329*AG3329)/1000</f>
        <v>0</v>
      </c>
      <c r="AI3329" s="152">
        <f t="shared" si="1559"/>
        <v>6000</v>
      </c>
      <c r="AK3329" s="156" t="s">
        <v>691</v>
      </c>
      <c r="AL3329" s="212" t="s">
        <v>690</v>
      </c>
      <c r="AM3329" s="198">
        <f t="shared" si="1550"/>
        <v>0</v>
      </c>
      <c r="AN3329" s="199">
        <f t="shared" si="1548"/>
        <v>46118</v>
      </c>
      <c r="AO3329" s="159" t="s">
        <v>692</v>
      </c>
      <c r="AP3329" s="783" t="s">
        <v>610</v>
      </c>
      <c r="AQ3329" s="782">
        <v>12071839</v>
      </c>
      <c r="AR3329" s="782">
        <v>12047514</v>
      </c>
      <c r="AS3329" s="782">
        <v>12047515</v>
      </c>
      <c r="AT3329" s="782"/>
      <c r="AU3329" s="782">
        <v>12026902</v>
      </c>
      <c r="AV3329" s="796" t="s">
        <v>2980</v>
      </c>
      <c r="AW3329" s="782">
        <v>12026904</v>
      </c>
      <c r="AX3329" s="782"/>
      <c r="AY3329" s="782">
        <v>12094406</v>
      </c>
      <c r="AZ3329" s="782">
        <v>12094407</v>
      </c>
      <c r="BA3329" s="782">
        <v>12094408</v>
      </c>
    </row>
    <row r="3330" spans="1:54" ht="25" customHeight="1">
      <c r="A3330" s="142" t="s">
        <v>120</v>
      </c>
      <c r="B3330" s="546">
        <v>46119</v>
      </c>
      <c r="C3330" s="547">
        <v>46128</v>
      </c>
      <c r="D3330" s="549">
        <f t="shared" si="1545"/>
        <v>2026</v>
      </c>
      <c r="E3330" s="547" t="e">
        <f>VLOOKUP($B3330,Week!$A$1:$C$1462,2,0)</f>
        <v>#N/A</v>
      </c>
      <c r="F3330" s="548" t="str">
        <f t="shared" si="1546"/>
        <v>Apr</v>
      </c>
      <c r="G3330" s="549" t="s">
        <v>2666</v>
      </c>
      <c r="H3330" s="549" t="s">
        <v>500</v>
      </c>
      <c r="I3330" s="549" t="s">
        <v>2772</v>
      </c>
      <c r="J3330" s="550" t="s">
        <v>285</v>
      </c>
      <c r="K3330" s="551" t="s">
        <v>2947</v>
      </c>
      <c r="L3330" s="551" t="s">
        <v>2166</v>
      </c>
      <c r="M3330" s="550" t="s">
        <v>2582</v>
      </c>
      <c r="N3330" s="549" t="s">
        <v>2665</v>
      </c>
      <c r="O3330" s="549" t="s">
        <v>2664</v>
      </c>
      <c r="P3330" s="552">
        <v>10</v>
      </c>
      <c r="Q3330" s="552">
        <v>50</v>
      </c>
      <c r="R3330" s="553">
        <v>4.0000000000000001E-3</v>
      </c>
      <c r="S3330" s="549" t="s">
        <v>55</v>
      </c>
      <c r="T3330" s="549" t="s">
        <v>56</v>
      </c>
      <c r="U3330" s="549" t="s">
        <v>89</v>
      </c>
      <c r="V3330" s="554">
        <v>555</v>
      </c>
      <c r="W3330" s="554">
        <f>555</f>
        <v>555</v>
      </c>
      <c r="X3330" s="555"/>
      <c r="Y3330" s="556">
        <f t="shared" si="1553"/>
        <v>0</v>
      </c>
      <c r="Z3330" s="557">
        <f t="shared" si="1554"/>
        <v>0</v>
      </c>
      <c r="AA3330" s="557">
        <f t="shared" si="1549"/>
        <v>0</v>
      </c>
      <c r="AB3330" s="833">
        <v>6</v>
      </c>
      <c r="AC3330" s="554">
        <f t="shared" si="1555"/>
        <v>0</v>
      </c>
      <c r="AD3330" s="209"/>
      <c r="AE3330" s="210">
        <f t="shared" si="1556"/>
        <v>0</v>
      </c>
      <c r="AF3330" s="210">
        <f t="shared" si="1557"/>
        <v>0</v>
      </c>
      <c r="AG3330" s="211">
        <f t="shared" si="1558"/>
        <v>0.53</v>
      </c>
      <c r="AH3330" s="157">
        <f>(Z3330*AG3330)/1000</f>
        <v>0</v>
      </c>
      <c r="AI3330" s="152">
        <f t="shared" si="1559"/>
        <v>5550</v>
      </c>
      <c r="AK3330" s="156" t="s">
        <v>691</v>
      </c>
      <c r="AL3330" s="156" t="s">
        <v>689</v>
      </c>
      <c r="AM3330" s="198">
        <f t="shared" si="1550"/>
        <v>0</v>
      </c>
      <c r="AN3330" s="199">
        <f t="shared" si="1548"/>
        <v>46119</v>
      </c>
      <c r="AO3330" s="159" t="s">
        <v>692</v>
      </c>
      <c r="AP3330" s="783" t="s">
        <v>620</v>
      </c>
      <c r="AQ3330" s="796" t="s">
        <v>422</v>
      </c>
      <c r="AR3330" s="782">
        <v>12055234</v>
      </c>
      <c r="AS3330" s="781"/>
      <c r="AT3330" s="782"/>
      <c r="AU3330" s="782"/>
      <c r="AV3330" s="782">
        <v>12097530</v>
      </c>
      <c r="AW3330" s="782"/>
      <c r="AX3330" s="782">
        <v>12097529</v>
      </c>
      <c r="AY3330" s="781"/>
      <c r="AZ3330" s="781"/>
      <c r="BA3330" s="781"/>
      <c r="BB3330" s="209">
        <v>23053184</v>
      </c>
    </row>
    <row r="3331" spans="1:54" ht="25" customHeight="1">
      <c r="B3331" s="213">
        <v>46119</v>
      </c>
      <c r="C3331" s="902" t="s">
        <v>2736</v>
      </c>
      <c r="D3331" s="215">
        <f t="shared" si="1545"/>
        <v>2026</v>
      </c>
      <c r="E3331" s="214" t="e">
        <f>VLOOKUP($B3331,Week!$A$1:$C$1462,2,0)</f>
        <v>#N/A</v>
      </c>
      <c r="F3331" s="216" t="str">
        <f t="shared" si="1546"/>
        <v>Apr</v>
      </c>
      <c r="G3331" s="215" t="s">
        <v>47</v>
      </c>
      <c r="H3331" s="215" t="s">
        <v>260</v>
      </c>
      <c r="I3331" s="215" t="s">
        <v>2702</v>
      </c>
      <c r="J3331" s="209" t="s">
        <v>2702</v>
      </c>
      <c r="K3331" s="217" t="s">
        <v>2706</v>
      </c>
      <c r="L3331" s="217" t="s">
        <v>2167</v>
      </c>
      <c r="M3331" s="209" t="s">
        <v>2733</v>
      </c>
      <c r="N3331" s="480" t="s">
        <v>2734</v>
      </c>
      <c r="O3331" s="215" t="s">
        <v>2735</v>
      </c>
      <c r="P3331" s="218">
        <v>12</v>
      </c>
      <c r="Q3331" s="218">
        <v>2</v>
      </c>
      <c r="R3331" s="219">
        <v>6.0000000000000001E-3</v>
      </c>
      <c r="S3331" s="215" t="s">
        <v>55</v>
      </c>
      <c r="T3331" s="215" t="s">
        <v>56</v>
      </c>
      <c r="U3331" s="852" t="s">
        <v>2707</v>
      </c>
      <c r="V3331" s="220">
        <v>1378</v>
      </c>
      <c r="W3331" s="220">
        <f>239+747+392</f>
        <v>1378</v>
      </c>
      <c r="X3331" s="221"/>
      <c r="Y3331" s="222">
        <f t="shared" si="1553"/>
        <v>0</v>
      </c>
      <c r="Z3331" s="223">
        <f t="shared" si="1554"/>
        <v>0</v>
      </c>
      <c r="AA3331" s="223">
        <f t="shared" si="1549"/>
        <v>0</v>
      </c>
      <c r="AB3331" s="807">
        <v>1.7000000000000001E-2</v>
      </c>
      <c r="AC3331" s="220">
        <f t="shared" si="1555"/>
        <v>0</v>
      </c>
      <c r="AD3331" s="919">
        <v>46114</v>
      </c>
      <c r="AE3331" s="210">
        <f t="shared" si="1556"/>
        <v>0</v>
      </c>
      <c r="AF3331" s="210">
        <f t="shared" si="1557"/>
        <v>0</v>
      </c>
      <c r="AG3331" s="211">
        <f t="shared" si="1558"/>
        <v>0.22500000000000001</v>
      </c>
      <c r="AH3331" s="157">
        <v>0.26621999999999996</v>
      </c>
      <c r="AI3331" s="152">
        <f t="shared" si="1559"/>
        <v>16536</v>
      </c>
      <c r="AK3331" s="156" t="s">
        <v>691</v>
      </c>
      <c r="AL3331" s="574" t="s">
        <v>690</v>
      </c>
      <c r="AM3331" s="198">
        <f t="shared" si="1550"/>
        <v>0</v>
      </c>
      <c r="AN3331" s="199">
        <f t="shared" si="1548"/>
        <v>46119</v>
      </c>
      <c r="AO3331" s="159" t="s">
        <v>692</v>
      </c>
      <c r="AP3331" s="781" t="s">
        <v>642</v>
      </c>
      <c r="AQ3331" s="782">
        <v>12071839</v>
      </c>
      <c r="AR3331" s="782"/>
      <c r="AS3331" s="782"/>
      <c r="AT3331" s="782">
        <v>12098021</v>
      </c>
      <c r="AU3331" s="783" t="s">
        <v>2979</v>
      </c>
      <c r="AV3331" s="782">
        <v>12098022</v>
      </c>
      <c r="AW3331" s="783"/>
      <c r="AX3331" s="781"/>
      <c r="AY3331" s="796"/>
      <c r="AZ3331" s="796"/>
      <c r="BA3331" s="796"/>
      <c r="BB3331" s="209">
        <v>23099860</v>
      </c>
    </row>
    <row r="3332" spans="1:54" ht="25" customHeight="1">
      <c r="B3332" s="213">
        <v>46119</v>
      </c>
      <c r="C3332" s="214">
        <v>46134</v>
      </c>
      <c r="D3332" s="185">
        <f t="shared" si="1545"/>
        <v>2026</v>
      </c>
      <c r="E3332" s="215" t="e">
        <f>VLOOKUP($B3332,Week!$A$1:$C$1462,2,0)</f>
        <v>#N/A</v>
      </c>
      <c r="F3332" s="216" t="str">
        <f t="shared" si="1546"/>
        <v>Apr</v>
      </c>
      <c r="G3332" s="215" t="s">
        <v>2962</v>
      </c>
      <c r="H3332" s="215" t="s">
        <v>344</v>
      </c>
      <c r="I3332" s="215" t="s">
        <v>2772</v>
      </c>
      <c r="J3332" s="209" t="s">
        <v>345</v>
      </c>
      <c r="K3332" s="217" t="s">
        <v>1648</v>
      </c>
      <c r="L3332" s="300" t="s">
        <v>2167</v>
      </c>
      <c r="M3332" s="209" t="s">
        <v>193</v>
      </c>
      <c r="N3332" s="215" t="s">
        <v>2527</v>
      </c>
      <c r="O3332" s="215" t="s">
        <v>206</v>
      </c>
      <c r="P3332" s="218">
        <v>24</v>
      </c>
      <c r="Q3332" s="218">
        <v>5</v>
      </c>
      <c r="R3332" s="219">
        <v>8.0000000000000002E-3</v>
      </c>
      <c r="S3332" s="215" t="s">
        <v>40</v>
      </c>
      <c r="T3332" s="215" t="s">
        <v>56</v>
      </c>
      <c r="U3332" s="480" t="s">
        <v>499</v>
      </c>
      <c r="V3332" s="220">
        <v>15</v>
      </c>
      <c r="W3332" s="220">
        <v>15</v>
      </c>
      <c r="X3332" s="221"/>
      <c r="Y3332" s="222">
        <f t="shared" si="1553"/>
        <v>0</v>
      </c>
      <c r="Z3332" s="223">
        <f t="shared" si="1554"/>
        <v>0</v>
      </c>
      <c r="AA3332" s="220">
        <f t="shared" si="1549"/>
        <v>0</v>
      </c>
      <c r="AB3332" s="807">
        <v>1</v>
      </c>
      <c r="AC3332" s="220">
        <f t="shared" si="1555"/>
        <v>0</v>
      </c>
      <c r="AD3332" s="381"/>
      <c r="AE3332" s="210">
        <f t="shared" si="1556"/>
        <v>0</v>
      </c>
      <c r="AF3332" s="210">
        <f t="shared" si="1557"/>
        <v>0</v>
      </c>
      <c r="AG3332" s="211">
        <f t="shared" si="1558"/>
        <v>0.115</v>
      </c>
      <c r="AH3332" s="157">
        <f>(Z3332*AG3332)/1000</f>
        <v>0</v>
      </c>
      <c r="AI3332" s="152">
        <f t="shared" si="1559"/>
        <v>360</v>
      </c>
      <c r="AK3332" s="156" t="s">
        <v>691</v>
      </c>
      <c r="AL3332" s="212" t="s">
        <v>690</v>
      </c>
      <c r="AM3332" s="198">
        <f t="shared" si="1550"/>
        <v>0</v>
      </c>
      <c r="AN3332" s="199">
        <f t="shared" si="1548"/>
        <v>46119</v>
      </c>
      <c r="AO3332" s="159" t="s">
        <v>692</v>
      </c>
      <c r="AP3332" s="783" t="s">
        <v>610</v>
      </c>
      <c r="AQ3332" s="782">
        <v>12071839</v>
      </c>
      <c r="AR3332" s="782">
        <v>12047514</v>
      </c>
      <c r="AS3332" s="782">
        <v>12047515</v>
      </c>
      <c r="AT3332" s="782"/>
      <c r="AU3332" s="782">
        <v>12026902</v>
      </c>
      <c r="AV3332" s="782">
        <v>12098136</v>
      </c>
      <c r="AW3332" s="782">
        <v>12026904</v>
      </c>
      <c r="AX3332" s="782"/>
      <c r="AY3332" s="782">
        <v>12094111</v>
      </c>
      <c r="AZ3332" s="782">
        <v>12094113</v>
      </c>
      <c r="BA3332" s="782">
        <v>12094114</v>
      </c>
    </row>
    <row r="3333" spans="1:54" ht="25" customHeight="1">
      <c r="B3333" s="213">
        <v>46119</v>
      </c>
      <c r="C3333" s="214">
        <v>46141</v>
      </c>
      <c r="D3333" s="185">
        <f t="shared" ref="D3333:D3364" si="1560">IF(B3333="","",YEAR(B3333))</f>
        <v>2026</v>
      </c>
      <c r="E3333" s="215" t="e">
        <f>VLOOKUP($B3333,Week!$A$1:$C$1462,2,0)</f>
        <v>#N/A</v>
      </c>
      <c r="F3333" s="216" t="str">
        <f t="shared" ref="F3333:F3364" si="1561">IF(B3333="","",TEXT(B3333,"[$-409]mmm"))</f>
        <v>Apr</v>
      </c>
      <c r="G3333" s="215" t="s">
        <v>2845</v>
      </c>
      <c r="H3333" s="215" t="s">
        <v>134</v>
      </c>
      <c r="I3333" s="215" t="s">
        <v>2772</v>
      </c>
      <c r="J3333" s="209" t="s">
        <v>2932</v>
      </c>
      <c r="K3333" s="217" t="s">
        <v>1648</v>
      </c>
      <c r="L3333" s="300" t="s">
        <v>2167</v>
      </c>
      <c r="M3333" s="209" t="s">
        <v>193</v>
      </c>
      <c r="N3333" s="215" t="s">
        <v>205</v>
      </c>
      <c r="O3333" s="215" t="s">
        <v>206</v>
      </c>
      <c r="P3333" s="218">
        <v>24</v>
      </c>
      <c r="Q3333" s="218">
        <v>5</v>
      </c>
      <c r="R3333" s="219">
        <v>8.0000000000000002E-3</v>
      </c>
      <c r="S3333" s="215" t="s">
        <v>40</v>
      </c>
      <c r="T3333" s="215" t="s">
        <v>56</v>
      </c>
      <c r="U3333" s="480" t="s">
        <v>499</v>
      </c>
      <c r="V3333" s="220">
        <f>250</f>
        <v>250</v>
      </c>
      <c r="W3333" s="220">
        <f>7+243</f>
        <v>250</v>
      </c>
      <c r="X3333" s="221"/>
      <c r="Y3333" s="222">
        <f t="shared" si="1553"/>
        <v>0</v>
      </c>
      <c r="Z3333" s="223">
        <f t="shared" si="1554"/>
        <v>0</v>
      </c>
      <c r="AA3333" s="220">
        <f t="shared" si="1549"/>
        <v>0</v>
      </c>
      <c r="AB3333" s="807">
        <v>1</v>
      </c>
      <c r="AC3333" s="220">
        <f t="shared" si="1555"/>
        <v>0</v>
      </c>
      <c r="AD3333" s="381"/>
      <c r="AE3333" s="210">
        <f t="shared" si="1556"/>
        <v>0</v>
      </c>
      <c r="AF3333" s="210">
        <f t="shared" si="1557"/>
        <v>0</v>
      </c>
      <c r="AG3333" s="211">
        <f t="shared" si="1558"/>
        <v>0.115</v>
      </c>
      <c r="AH3333" s="157">
        <f>(Z3333*AG3333)/1000</f>
        <v>0</v>
      </c>
      <c r="AI3333" s="152">
        <f t="shared" si="1559"/>
        <v>6000</v>
      </c>
      <c r="AK3333" s="156" t="s">
        <v>691</v>
      </c>
      <c r="AL3333" s="212" t="s">
        <v>690</v>
      </c>
      <c r="AM3333" s="198">
        <f t="shared" si="1550"/>
        <v>0</v>
      </c>
      <c r="AN3333" s="199">
        <f t="shared" si="1548"/>
        <v>46119</v>
      </c>
      <c r="AO3333" s="159" t="s">
        <v>692</v>
      </c>
      <c r="AP3333" s="783" t="s">
        <v>610</v>
      </c>
      <c r="AQ3333" s="782">
        <v>12071839</v>
      </c>
      <c r="AR3333" s="782">
        <v>12047514</v>
      </c>
      <c r="AS3333" s="782">
        <v>12047515</v>
      </c>
      <c r="AT3333" s="782"/>
      <c r="AU3333" s="782">
        <v>12026902</v>
      </c>
      <c r="AV3333" s="782">
        <v>12098136</v>
      </c>
      <c r="AW3333" s="782">
        <v>12026904</v>
      </c>
      <c r="AX3333" s="782"/>
      <c r="AY3333" s="782">
        <v>12094111</v>
      </c>
      <c r="AZ3333" s="782">
        <v>12094113</v>
      </c>
      <c r="BA3333" s="782">
        <v>12094114</v>
      </c>
    </row>
    <row r="3334" spans="1:54" ht="24.75" customHeight="1">
      <c r="B3334" s="295">
        <v>46119</v>
      </c>
      <c r="C3334" s="771" t="s">
        <v>2736</v>
      </c>
      <c r="D3334" s="185">
        <f t="shared" si="1560"/>
        <v>2026</v>
      </c>
      <c r="E3334" s="296" t="e">
        <f>VLOOKUP($B3334,Week!$A$1:$C$1462,2,0)</f>
        <v>#N/A</v>
      </c>
      <c r="F3334" s="297" t="str">
        <f t="shared" si="1561"/>
        <v>Apr</v>
      </c>
      <c r="G3334" s="648" t="s">
        <v>47</v>
      </c>
      <c r="H3334" s="298" t="s">
        <v>260</v>
      </c>
      <c r="I3334" s="298" t="s">
        <v>2702</v>
      </c>
      <c r="J3334" s="307" t="s">
        <v>2240</v>
      </c>
      <c r="K3334" s="300" t="s">
        <v>176</v>
      </c>
      <c r="L3334" s="300" t="s">
        <v>2167</v>
      </c>
      <c r="M3334" s="299" t="s">
        <v>2338</v>
      </c>
      <c r="N3334" s="298" t="s">
        <v>350</v>
      </c>
      <c r="O3334" s="298" t="s">
        <v>351</v>
      </c>
      <c r="P3334" s="301">
        <v>24</v>
      </c>
      <c r="Q3334" s="301">
        <v>5</v>
      </c>
      <c r="R3334" s="302">
        <v>6.1999999999999998E-3</v>
      </c>
      <c r="S3334" s="298" t="s">
        <v>352</v>
      </c>
      <c r="T3334" s="298" t="s">
        <v>56</v>
      </c>
      <c r="U3334" s="298" t="s">
        <v>57</v>
      </c>
      <c r="V3334" s="303">
        <v>1614</v>
      </c>
      <c r="W3334" s="303">
        <f>1+1613</f>
        <v>1614</v>
      </c>
      <c r="X3334" s="304"/>
      <c r="Y3334" s="305">
        <f t="shared" si="1553"/>
        <v>0</v>
      </c>
      <c r="Z3334" s="306">
        <f t="shared" si="1554"/>
        <v>0</v>
      </c>
      <c r="AA3334" s="306">
        <f t="shared" si="1549"/>
        <v>0</v>
      </c>
      <c r="AB3334" s="814">
        <v>7.4999999999999997E-3</v>
      </c>
      <c r="AC3334" s="303">
        <f t="shared" si="1555"/>
        <v>0</v>
      </c>
      <c r="AD3334" s="443"/>
      <c r="AE3334" s="210">
        <f t="shared" si="1556"/>
        <v>0</v>
      </c>
      <c r="AF3334" s="210">
        <f t="shared" si="1557"/>
        <v>0</v>
      </c>
      <c r="AG3334" s="211">
        <f t="shared" ref="AG3334:AG3344" si="1562">MID(O3334,1,3)/1000</f>
        <v>0.13</v>
      </c>
      <c r="AH3334" s="157">
        <f>(Z3334*AG3334)/1000</f>
        <v>0</v>
      </c>
      <c r="AI3334" s="152">
        <f t="shared" si="1559"/>
        <v>38736</v>
      </c>
      <c r="AK3334" s="156" t="s">
        <v>691</v>
      </c>
      <c r="AL3334" s="574" t="s">
        <v>690</v>
      </c>
      <c r="AM3334" s="198">
        <f t="shared" si="1550"/>
        <v>0</v>
      </c>
      <c r="AN3334" s="199">
        <f t="shared" si="1548"/>
        <v>46119</v>
      </c>
      <c r="AO3334" s="159" t="s">
        <v>692</v>
      </c>
      <c r="AP3334" s="783" t="s">
        <v>622</v>
      </c>
      <c r="AQ3334" s="782">
        <v>12071839</v>
      </c>
      <c r="AR3334" s="782">
        <v>12094356</v>
      </c>
      <c r="AS3334" s="782">
        <v>12068233</v>
      </c>
      <c r="AT3334" s="781"/>
      <c r="AU3334" s="781"/>
      <c r="AV3334" s="782">
        <v>12062075</v>
      </c>
      <c r="AW3334" s="781"/>
      <c r="AX3334" s="781"/>
      <c r="AY3334" s="782">
        <v>12094357</v>
      </c>
      <c r="AZ3334" s="782"/>
      <c r="BA3334" s="781"/>
      <c r="BB3334" s="209">
        <v>23053184</v>
      </c>
    </row>
    <row r="3335" spans="1:54" ht="25" customHeight="1">
      <c r="A3335" s="142" t="s">
        <v>120</v>
      </c>
      <c r="B3335" s="546">
        <v>46120</v>
      </c>
      <c r="C3335" s="547">
        <v>46128</v>
      </c>
      <c r="D3335" s="549">
        <f t="shared" si="1560"/>
        <v>2026</v>
      </c>
      <c r="E3335" s="547" t="e">
        <f>VLOOKUP($B3335,Week!$A$1:$C$1462,2,0)</f>
        <v>#N/A</v>
      </c>
      <c r="F3335" s="548" t="str">
        <f t="shared" si="1561"/>
        <v>Apr</v>
      </c>
      <c r="G3335" s="549" t="s">
        <v>2666</v>
      </c>
      <c r="H3335" s="549" t="s">
        <v>500</v>
      </c>
      <c r="I3335" s="549" t="s">
        <v>2772</v>
      </c>
      <c r="J3335" s="550" t="s">
        <v>285</v>
      </c>
      <c r="K3335" s="551" t="s">
        <v>2947</v>
      </c>
      <c r="L3335" s="551" t="s">
        <v>2166</v>
      </c>
      <c r="M3335" s="550" t="s">
        <v>2582</v>
      </c>
      <c r="N3335" s="549" t="s">
        <v>2665</v>
      </c>
      <c r="O3335" s="549" t="s">
        <v>2664</v>
      </c>
      <c r="P3335" s="552">
        <v>10</v>
      </c>
      <c r="Q3335" s="552">
        <v>50</v>
      </c>
      <c r="R3335" s="553">
        <v>4.0000000000000001E-3</v>
      </c>
      <c r="S3335" s="549" t="s">
        <v>55</v>
      </c>
      <c r="T3335" s="549" t="s">
        <v>56</v>
      </c>
      <c r="U3335" s="549" t="s">
        <v>89</v>
      </c>
      <c r="V3335" s="554">
        <v>523</v>
      </c>
      <c r="W3335" s="554">
        <v>523</v>
      </c>
      <c r="X3335" s="555"/>
      <c r="Y3335" s="556">
        <f t="shared" si="1553"/>
        <v>0</v>
      </c>
      <c r="Z3335" s="557">
        <f t="shared" si="1554"/>
        <v>0</v>
      </c>
      <c r="AA3335" s="557">
        <f t="shared" si="1549"/>
        <v>0</v>
      </c>
      <c r="AB3335" s="833">
        <v>6</v>
      </c>
      <c r="AC3335" s="554">
        <f t="shared" si="1555"/>
        <v>0</v>
      </c>
      <c r="AD3335" s="209"/>
      <c r="AE3335" s="210">
        <f t="shared" si="1556"/>
        <v>0</v>
      </c>
      <c r="AF3335" s="210">
        <f t="shared" si="1557"/>
        <v>0</v>
      </c>
      <c r="AG3335" s="211">
        <f t="shared" si="1562"/>
        <v>0.53</v>
      </c>
      <c r="AH3335" s="157">
        <f>(Z3335*AG3335)/1000</f>
        <v>0</v>
      </c>
      <c r="AI3335" s="152">
        <f t="shared" si="1559"/>
        <v>5230</v>
      </c>
      <c r="AK3335" s="156" t="s">
        <v>691</v>
      </c>
      <c r="AL3335" s="156" t="s">
        <v>689</v>
      </c>
      <c r="AM3335" s="198">
        <f t="shared" si="1550"/>
        <v>0</v>
      </c>
      <c r="AN3335" s="199">
        <f t="shared" si="1548"/>
        <v>46120</v>
      </c>
      <c r="AO3335" s="159" t="s">
        <v>692</v>
      </c>
      <c r="AP3335" s="783" t="s">
        <v>620</v>
      </c>
      <c r="AQ3335" s="796" t="s">
        <v>422</v>
      </c>
      <c r="AR3335" s="782">
        <v>12055234</v>
      </c>
      <c r="AS3335" s="781"/>
      <c r="AT3335" s="782"/>
      <c r="AU3335" s="782"/>
      <c r="AV3335" s="782">
        <v>12097530</v>
      </c>
      <c r="AW3335" s="782"/>
      <c r="AX3335" s="782">
        <v>12097529</v>
      </c>
      <c r="AY3335" s="781"/>
      <c r="AZ3335" s="781"/>
      <c r="BA3335" s="781"/>
      <c r="BB3335" s="209">
        <v>23053184</v>
      </c>
    </row>
    <row r="3336" spans="1:54" ht="25" customHeight="1">
      <c r="B3336" s="213">
        <v>46120</v>
      </c>
      <c r="C3336" s="902" t="s">
        <v>2736</v>
      </c>
      <c r="D3336" s="215">
        <f t="shared" si="1560"/>
        <v>2026</v>
      </c>
      <c r="E3336" s="214" t="e">
        <f>VLOOKUP($B3336,Week!$A$1:$C$1462,2,0)</f>
        <v>#N/A</v>
      </c>
      <c r="F3336" s="216" t="str">
        <f t="shared" si="1561"/>
        <v>Apr</v>
      </c>
      <c r="G3336" s="215" t="s">
        <v>47</v>
      </c>
      <c r="H3336" s="215" t="s">
        <v>260</v>
      </c>
      <c r="I3336" s="215" t="s">
        <v>2702</v>
      </c>
      <c r="J3336" s="209" t="s">
        <v>2702</v>
      </c>
      <c r="K3336" s="217" t="s">
        <v>2706</v>
      </c>
      <c r="L3336" s="217" t="s">
        <v>2167</v>
      </c>
      <c r="M3336" s="209" t="s">
        <v>2733</v>
      </c>
      <c r="N3336" s="480" t="s">
        <v>2734</v>
      </c>
      <c r="O3336" s="215" t="s">
        <v>2735</v>
      </c>
      <c r="P3336" s="218">
        <v>12</v>
      </c>
      <c r="Q3336" s="218">
        <v>2</v>
      </c>
      <c r="R3336" s="219">
        <v>6.0000000000000001E-3</v>
      </c>
      <c r="S3336" s="215" t="s">
        <v>55</v>
      </c>
      <c r="T3336" s="215" t="s">
        <v>56</v>
      </c>
      <c r="U3336" s="852" t="s">
        <v>2707</v>
      </c>
      <c r="V3336" s="220">
        <v>1410</v>
      </c>
      <c r="W3336" s="220">
        <f>242+512+656</f>
        <v>1410</v>
      </c>
      <c r="X3336" s="221"/>
      <c r="Y3336" s="222">
        <f t="shared" si="1553"/>
        <v>0</v>
      </c>
      <c r="Z3336" s="223">
        <f t="shared" si="1554"/>
        <v>0</v>
      </c>
      <c r="AA3336" s="223">
        <f t="shared" si="1549"/>
        <v>0</v>
      </c>
      <c r="AB3336" s="807">
        <v>1.7000000000000001E-2</v>
      </c>
      <c r="AC3336" s="220">
        <f t="shared" si="1555"/>
        <v>0</v>
      </c>
      <c r="AD3336" s="443"/>
      <c r="AE3336" s="210">
        <f t="shared" si="1556"/>
        <v>0</v>
      </c>
      <c r="AF3336" s="210">
        <f t="shared" si="1557"/>
        <v>0</v>
      </c>
      <c r="AG3336" s="211">
        <f t="shared" si="1562"/>
        <v>0.22500000000000001</v>
      </c>
      <c r="AH3336" s="157">
        <v>0.26621999999999996</v>
      </c>
      <c r="AI3336" s="152">
        <f t="shared" si="1559"/>
        <v>16920</v>
      </c>
      <c r="AK3336" s="156" t="s">
        <v>691</v>
      </c>
      <c r="AL3336" s="574" t="s">
        <v>690</v>
      </c>
      <c r="AM3336" s="198">
        <f t="shared" si="1550"/>
        <v>0</v>
      </c>
      <c r="AN3336" s="199">
        <f t="shared" si="1548"/>
        <v>46120</v>
      </c>
      <c r="AO3336" s="159" t="s">
        <v>692</v>
      </c>
      <c r="AP3336" s="781" t="s">
        <v>642</v>
      </c>
      <c r="AQ3336" s="782">
        <v>12071839</v>
      </c>
      <c r="AR3336" s="782"/>
      <c r="AS3336" s="782"/>
      <c r="AT3336" s="782">
        <v>12098021</v>
      </c>
      <c r="AU3336" s="783" t="s">
        <v>2979</v>
      </c>
      <c r="AV3336" s="782">
        <v>12098022</v>
      </c>
      <c r="AW3336" s="783"/>
      <c r="AX3336" s="781"/>
      <c r="AY3336" s="796"/>
      <c r="AZ3336" s="796"/>
      <c r="BA3336" s="796"/>
      <c r="BB3336" s="209">
        <v>23099860</v>
      </c>
    </row>
    <row r="3337" spans="1:54" ht="24.75" customHeight="1">
      <c r="B3337" s="295">
        <v>46120</v>
      </c>
      <c r="C3337" s="771" t="s">
        <v>2736</v>
      </c>
      <c r="D3337" s="185">
        <f t="shared" si="1560"/>
        <v>2026</v>
      </c>
      <c r="E3337" s="296" t="e">
        <f>VLOOKUP($B3337,Week!$A$1:$C$1462,2,0)</f>
        <v>#N/A</v>
      </c>
      <c r="F3337" s="297" t="str">
        <f t="shared" si="1561"/>
        <v>Apr</v>
      </c>
      <c r="G3337" s="648" t="s">
        <v>47</v>
      </c>
      <c r="H3337" s="298" t="s">
        <v>260</v>
      </c>
      <c r="I3337" s="298" t="s">
        <v>2702</v>
      </c>
      <c r="J3337" s="307" t="s">
        <v>2240</v>
      </c>
      <c r="K3337" s="300" t="s">
        <v>176</v>
      </c>
      <c r="L3337" s="300" t="s">
        <v>2167</v>
      </c>
      <c r="M3337" s="299" t="s">
        <v>2338</v>
      </c>
      <c r="N3337" s="298" t="s">
        <v>350</v>
      </c>
      <c r="O3337" s="298" t="s">
        <v>351</v>
      </c>
      <c r="P3337" s="301">
        <v>24</v>
      </c>
      <c r="Q3337" s="301">
        <v>5</v>
      </c>
      <c r="R3337" s="302">
        <v>6.1999999999999998E-3</v>
      </c>
      <c r="S3337" s="298" t="s">
        <v>352</v>
      </c>
      <c r="T3337" s="298" t="s">
        <v>56</v>
      </c>
      <c r="U3337" s="298" t="s">
        <v>57</v>
      </c>
      <c r="V3337" s="303">
        <f>15000-105-3040-2794-858-2122-856-1466-1614</f>
        <v>2145</v>
      </c>
      <c r="W3337" s="303">
        <v>2145</v>
      </c>
      <c r="X3337" s="304"/>
      <c r="Y3337" s="305">
        <f t="shared" ref="Y3337:Y3344" si="1563">(W3337+X3337)-V3337</f>
        <v>0</v>
      </c>
      <c r="Z3337" s="306">
        <f t="shared" ref="Z3337:Z3344" si="1564">IF(Y3337&lt;0,((V3337*P3337)-((W3337+X3337)*P3337)),0)</f>
        <v>0</v>
      </c>
      <c r="AA3337" s="306">
        <f t="shared" si="1549"/>
        <v>0</v>
      </c>
      <c r="AB3337" s="814">
        <v>7.4999999999999997E-3</v>
      </c>
      <c r="AC3337" s="303">
        <f t="shared" ref="AC3337:AC3344" si="1565">Z3337*AB3337</f>
        <v>0</v>
      </c>
      <c r="AD3337" s="443"/>
      <c r="AE3337" s="210">
        <f t="shared" ref="AE3337:AE3344" si="1566">SUM(Q3337*R3337*Z3337)/1000</f>
        <v>0</v>
      </c>
      <c r="AF3337" s="210">
        <f t="shared" ref="AF3337:AF3344" si="1567">AE3337/0.54</f>
        <v>0</v>
      </c>
      <c r="AG3337" s="211">
        <f t="shared" si="1562"/>
        <v>0.13</v>
      </c>
      <c r="AH3337" s="157">
        <f>(Z3337*AG3337)/1000</f>
        <v>0</v>
      </c>
      <c r="AI3337" s="152">
        <f t="shared" ref="AI3337:AI3344" si="1568">V3337*P3337</f>
        <v>51480</v>
      </c>
      <c r="AK3337" s="156" t="s">
        <v>691</v>
      </c>
      <c r="AL3337" s="574" t="s">
        <v>690</v>
      </c>
      <c r="AM3337" s="198">
        <f t="shared" si="1550"/>
        <v>0</v>
      </c>
      <c r="AN3337" s="199">
        <f t="shared" si="1548"/>
        <v>46120</v>
      </c>
      <c r="AO3337" s="159" t="s">
        <v>692</v>
      </c>
      <c r="AP3337" s="783" t="s">
        <v>622</v>
      </c>
      <c r="AQ3337" s="782">
        <v>12071839</v>
      </c>
      <c r="AR3337" s="782">
        <v>12094356</v>
      </c>
      <c r="AS3337" s="782">
        <v>12068233</v>
      </c>
      <c r="AT3337" s="781"/>
      <c r="AU3337" s="781"/>
      <c r="AV3337" s="782">
        <v>12062075</v>
      </c>
      <c r="AW3337" s="781"/>
      <c r="AX3337" s="781"/>
      <c r="AY3337" s="782">
        <v>12094357</v>
      </c>
      <c r="AZ3337" s="782"/>
      <c r="BA3337" s="781"/>
      <c r="BB3337" s="209">
        <v>23053184</v>
      </c>
    </row>
    <row r="3338" spans="1:54" ht="24.75" customHeight="1">
      <c r="B3338" s="295">
        <v>46120</v>
      </c>
      <c r="C3338" s="771" t="s">
        <v>2848</v>
      </c>
      <c r="D3338" s="185">
        <f t="shared" si="1560"/>
        <v>2026</v>
      </c>
      <c r="E3338" s="296" t="e">
        <f>VLOOKUP($B3338,Week!$A$1:$C$1462,2,0)</f>
        <v>#N/A</v>
      </c>
      <c r="F3338" s="297" t="str">
        <f t="shared" si="1561"/>
        <v>Apr</v>
      </c>
      <c r="G3338" s="648" t="s">
        <v>47</v>
      </c>
      <c r="H3338" s="298" t="s">
        <v>260</v>
      </c>
      <c r="I3338" s="298" t="s">
        <v>2702</v>
      </c>
      <c r="J3338" s="307" t="s">
        <v>2240</v>
      </c>
      <c r="K3338" s="300" t="s">
        <v>176</v>
      </c>
      <c r="L3338" s="300" t="s">
        <v>2167</v>
      </c>
      <c r="M3338" s="299" t="s">
        <v>2338</v>
      </c>
      <c r="N3338" s="298" t="s">
        <v>350</v>
      </c>
      <c r="O3338" s="298" t="s">
        <v>351</v>
      </c>
      <c r="P3338" s="301">
        <v>24</v>
      </c>
      <c r="Q3338" s="301">
        <v>5</v>
      </c>
      <c r="R3338" s="302">
        <v>6.1999999999999998E-3</v>
      </c>
      <c r="S3338" s="298" t="s">
        <v>352</v>
      </c>
      <c r="T3338" s="298" t="s">
        <v>56</v>
      </c>
      <c r="U3338" s="298" t="s">
        <v>57</v>
      </c>
      <c r="V3338" s="303">
        <f>66</f>
        <v>66</v>
      </c>
      <c r="W3338" s="303">
        <f>2211-2145</f>
        <v>66</v>
      </c>
      <c r="X3338" s="304"/>
      <c r="Y3338" s="305">
        <f>(W3338+X3338)-V3338</f>
        <v>0</v>
      </c>
      <c r="Z3338" s="306">
        <f>IF(Y3338&lt;0,((V3338*P3338)-((W3338+X3338)*P3338)),0)</f>
        <v>0</v>
      </c>
      <c r="AA3338" s="306">
        <f t="shared" si="1549"/>
        <v>0</v>
      </c>
      <c r="AB3338" s="814">
        <v>7.4999999999999997E-3</v>
      </c>
      <c r="AC3338" s="303">
        <f>Z3338*AB3338</f>
        <v>0</v>
      </c>
      <c r="AD3338" s="443"/>
      <c r="AE3338" s="210">
        <f>SUM(Q3338*R3338*Z3338)/1000</f>
        <v>0</v>
      </c>
      <c r="AF3338" s="210">
        <f>AE3338/0.54</f>
        <v>0</v>
      </c>
      <c r="AG3338" s="211">
        <f t="shared" si="1562"/>
        <v>0.13</v>
      </c>
      <c r="AH3338" s="157">
        <f>(Z3338*AG3338)/1000</f>
        <v>0</v>
      </c>
      <c r="AI3338" s="152">
        <f>V3338*P3338</f>
        <v>1584</v>
      </c>
      <c r="AK3338" s="156" t="s">
        <v>691</v>
      </c>
      <c r="AL3338" s="574" t="s">
        <v>690</v>
      </c>
      <c r="AM3338" s="198">
        <f t="shared" si="1550"/>
        <v>0</v>
      </c>
      <c r="AN3338" s="199">
        <f t="shared" si="1548"/>
        <v>46120</v>
      </c>
      <c r="AO3338" s="159" t="s">
        <v>692</v>
      </c>
      <c r="AP3338" s="783" t="s">
        <v>622</v>
      </c>
      <c r="AQ3338" s="782">
        <v>12071839</v>
      </c>
      <c r="AR3338" s="782">
        <v>12094356</v>
      </c>
      <c r="AS3338" s="782">
        <v>12068233</v>
      </c>
      <c r="AT3338" s="781"/>
      <c r="AU3338" s="781"/>
      <c r="AV3338" s="782">
        <v>12062075</v>
      </c>
      <c r="AW3338" s="781"/>
      <c r="AX3338" s="781"/>
      <c r="AY3338" s="782">
        <v>12094357</v>
      </c>
      <c r="AZ3338" s="782"/>
      <c r="BA3338" s="781"/>
      <c r="BB3338" s="209">
        <v>23053184</v>
      </c>
    </row>
    <row r="3339" spans="1:54" ht="25" customHeight="1">
      <c r="B3339" s="213">
        <v>46120</v>
      </c>
      <c r="C3339" s="214">
        <v>46134</v>
      </c>
      <c r="D3339" s="215">
        <f t="shared" si="1560"/>
        <v>2026</v>
      </c>
      <c r="E3339" s="214" t="e">
        <f>VLOOKUP($B3339,Week!$A$1:$C$1462,2,0)</f>
        <v>#N/A</v>
      </c>
      <c r="F3339" s="216" t="str">
        <f t="shared" si="1561"/>
        <v>Apr</v>
      </c>
      <c r="G3339" s="215" t="s">
        <v>2962</v>
      </c>
      <c r="H3339" s="215" t="s">
        <v>344</v>
      </c>
      <c r="I3339" s="215" t="s">
        <v>2772</v>
      </c>
      <c r="J3339" s="209" t="s">
        <v>345</v>
      </c>
      <c r="K3339" s="217" t="s">
        <v>2534</v>
      </c>
      <c r="L3339" s="217" t="s">
        <v>2167</v>
      </c>
      <c r="M3339" s="209" t="s">
        <v>2235</v>
      </c>
      <c r="N3339" s="480" t="s">
        <v>2528</v>
      </c>
      <c r="O3339" s="215" t="s">
        <v>2233</v>
      </c>
      <c r="P3339" s="218">
        <v>24</v>
      </c>
      <c r="Q3339" s="218">
        <v>3</v>
      </c>
      <c r="R3339" s="219">
        <v>6.0000000000000001E-3</v>
      </c>
      <c r="S3339" s="215" t="s">
        <v>55</v>
      </c>
      <c r="T3339" s="215" t="s">
        <v>112</v>
      </c>
      <c r="U3339" s="852" t="s">
        <v>739</v>
      </c>
      <c r="V3339" s="220">
        <v>15</v>
      </c>
      <c r="W3339" s="220">
        <v>15</v>
      </c>
      <c r="X3339" s="221"/>
      <c r="Y3339" s="222">
        <f t="shared" si="1563"/>
        <v>0</v>
      </c>
      <c r="Z3339" s="223">
        <f t="shared" si="1564"/>
        <v>0</v>
      </c>
      <c r="AA3339" s="223">
        <f t="shared" ref="AA3339:AA3344" si="1569">Q3339*Z3339</f>
        <v>0</v>
      </c>
      <c r="AB3339" s="807">
        <v>1.2999999999999999E-2</v>
      </c>
      <c r="AC3339" s="220">
        <f t="shared" si="1565"/>
        <v>0</v>
      </c>
      <c r="AD3339" s="443" t="s">
        <v>2612</v>
      </c>
      <c r="AE3339" s="210">
        <f t="shared" si="1566"/>
        <v>0</v>
      </c>
      <c r="AF3339" s="210">
        <f t="shared" si="1567"/>
        <v>0</v>
      </c>
      <c r="AG3339" s="211">
        <f>MID(O3339,1,3)/1000</f>
        <v>0.3</v>
      </c>
      <c r="AH3339" s="157">
        <v>0.26621999999999996</v>
      </c>
      <c r="AI3339" s="152">
        <f t="shared" si="1568"/>
        <v>360</v>
      </c>
      <c r="AK3339" s="156" t="s">
        <v>691</v>
      </c>
      <c r="AL3339" s="574" t="s">
        <v>690</v>
      </c>
      <c r="AM3339" s="198">
        <f t="shared" ref="AM3339:AM3344" si="1570">AG3339*Z3339</f>
        <v>0</v>
      </c>
      <c r="AN3339" s="199">
        <f t="shared" ref="AN3339:AN3344" si="1571">B3339</f>
        <v>46120</v>
      </c>
      <c r="AO3339" s="159" t="s">
        <v>692</v>
      </c>
      <c r="AP3339" s="781" t="s">
        <v>642</v>
      </c>
      <c r="AQ3339" s="782">
        <v>12063755</v>
      </c>
      <c r="AR3339" s="782">
        <v>12061353</v>
      </c>
      <c r="AS3339" s="782">
        <v>12061354</v>
      </c>
      <c r="AT3339" s="782"/>
      <c r="AU3339" s="783" t="s">
        <v>570</v>
      </c>
      <c r="AV3339" s="782">
        <v>12095301</v>
      </c>
      <c r="AW3339" s="783" t="s">
        <v>568</v>
      </c>
      <c r="AX3339" s="799" t="s">
        <v>2985</v>
      </c>
      <c r="AY3339" s="796" t="s">
        <v>2460</v>
      </c>
      <c r="AZ3339" s="796" t="s">
        <v>2461</v>
      </c>
      <c r="BA3339" s="796" t="s">
        <v>2462</v>
      </c>
      <c r="BB3339" s="209">
        <v>23099860</v>
      </c>
    </row>
    <row r="3340" spans="1:54" ht="25" customHeight="1">
      <c r="B3340" s="213">
        <v>46120</v>
      </c>
      <c r="C3340" s="214">
        <v>46141</v>
      </c>
      <c r="D3340" s="215">
        <f t="shared" si="1560"/>
        <v>2026</v>
      </c>
      <c r="E3340" s="214" t="e">
        <f>VLOOKUP($B3340,Week!$A$1:$C$1462,2,0)</f>
        <v>#N/A</v>
      </c>
      <c r="F3340" s="216" t="str">
        <f t="shared" si="1561"/>
        <v>Apr</v>
      </c>
      <c r="G3340" s="215" t="s">
        <v>2845</v>
      </c>
      <c r="H3340" s="215" t="s">
        <v>134</v>
      </c>
      <c r="I3340" s="215" t="s">
        <v>2772</v>
      </c>
      <c r="J3340" s="209" t="s">
        <v>2932</v>
      </c>
      <c r="K3340" s="217" t="s">
        <v>2534</v>
      </c>
      <c r="L3340" s="217" t="s">
        <v>2167</v>
      </c>
      <c r="M3340" s="209" t="s">
        <v>2235</v>
      </c>
      <c r="N3340" s="480" t="s">
        <v>2236</v>
      </c>
      <c r="O3340" s="215" t="s">
        <v>2233</v>
      </c>
      <c r="P3340" s="218">
        <v>24</v>
      </c>
      <c r="Q3340" s="218">
        <v>3</v>
      </c>
      <c r="R3340" s="219">
        <v>6.0000000000000001E-3</v>
      </c>
      <c r="S3340" s="215" t="s">
        <v>55</v>
      </c>
      <c r="T3340" s="215" t="s">
        <v>112</v>
      </c>
      <c r="U3340" s="852" t="s">
        <v>739</v>
      </c>
      <c r="V3340" s="220">
        <f>210-65</f>
        <v>145</v>
      </c>
      <c r="W3340" s="220">
        <f>132</f>
        <v>132</v>
      </c>
      <c r="X3340" s="221">
        <f>(378)/24</f>
        <v>15.75</v>
      </c>
      <c r="Y3340" s="222">
        <f t="shared" si="1563"/>
        <v>2.75</v>
      </c>
      <c r="Z3340" s="223">
        <f t="shared" si="1564"/>
        <v>0</v>
      </c>
      <c r="AA3340" s="223">
        <f t="shared" si="1569"/>
        <v>0</v>
      </c>
      <c r="AB3340" s="807">
        <v>2.4E-2</v>
      </c>
      <c r="AC3340" s="220">
        <f t="shared" si="1565"/>
        <v>0</v>
      </c>
      <c r="AD3340" s="443"/>
      <c r="AE3340" s="210">
        <f t="shared" si="1566"/>
        <v>0</v>
      </c>
      <c r="AF3340" s="210">
        <f t="shared" si="1567"/>
        <v>0</v>
      </c>
      <c r="AG3340" s="211">
        <f>MID(O3340,1,3)/1000</f>
        <v>0.3</v>
      </c>
      <c r="AH3340" s="157">
        <v>0.26621999999999996</v>
      </c>
      <c r="AI3340" s="152">
        <f t="shared" si="1568"/>
        <v>3480</v>
      </c>
      <c r="AK3340" s="156" t="s">
        <v>691</v>
      </c>
      <c r="AL3340" s="574" t="s">
        <v>690</v>
      </c>
      <c r="AM3340" s="198">
        <f t="shared" si="1570"/>
        <v>0</v>
      </c>
      <c r="AN3340" s="199">
        <f t="shared" si="1571"/>
        <v>46120</v>
      </c>
      <c r="AO3340" s="159" t="s">
        <v>692</v>
      </c>
      <c r="AP3340" s="781" t="s">
        <v>642</v>
      </c>
      <c r="AQ3340" s="782">
        <v>12063755</v>
      </c>
      <c r="AR3340" s="782">
        <v>12061353</v>
      </c>
      <c r="AS3340" s="782">
        <v>12061354</v>
      </c>
      <c r="AT3340" s="782"/>
      <c r="AU3340" s="783" t="s">
        <v>568</v>
      </c>
      <c r="AV3340" s="782">
        <v>12095301</v>
      </c>
      <c r="AW3340" s="783" t="s">
        <v>568</v>
      </c>
      <c r="AX3340" s="781"/>
      <c r="AY3340" s="796" t="s">
        <v>2460</v>
      </c>
      <c r="AZ3340" s="796" t="s">
        <v>2461</v>
      </c>
      <c r="BA3340" s="796" t="s">
        <v>2462</v>
      </c>
      <c r="BB3340" s="209">
        <v>23099860</v>
      </c>
    </row>
    <row r="3341" spans="1:54" ht="25" customHeight="1">
      <c r="A3341" s="142" t="s">
        <v>120</v>
      </c>
      <c r="B3341" s="546">
        <v>46121</v>
      </c>
      <c r="C3341" s="547">
        <v>46128</v>
      </c>
      <c r="D3341" s="549">
        <f t="shared" si="1560"/>
        <v>2026</v>
      </c>
      <c r="E3341" s="547" t="e">
        <f>VLOOKUP($B3341,Week!$A$1:$C$1462,2,0)</f>
        <v>#N/A</v>
      </c>
      <c r="F3341" s="548" t="str">
        <f t="shared" si="1561"/>
        <v>Apr</v>
      </c>
      <c r="G3341" s="549" t="s">
        <v>2666</v>
      </c>
      <c r="H3341" s="549" t="s">
        <v>500</v>
      </c>
      <c r="I3341" s="549" t="s">
        <v>2772</v>
      </c>
      <c r="J3341" s="550" t="s">
        <v>285</v>
      </c>
      <c r="K3341" s="551" t="s">
        <v>2947</v>
      </c>
      <c r="L3341" s="551" t="s">
        <v>2166</v>
      </c>
      <c r="M3341" s="550" t="s">
        <v>2582</v>
      </c>
      <c r="N3341" s="549" t="s">
        <v>2665</v>
      </c>
      <c r="O3341" s="549" t="s">
        <v>2664</v>
      </c>
      <c r="P3341" s="552">
        <v>10</v>
      </c>
      <c r="Q3341" s="552">
        <v>50</v>
      </c>
      <c r="R3341" s="553">
        <v>4.0000000000000001E-3</v>
      </c>
      <c r="S3341" s="549" t="s">
        <v>55</v>
      </c>
      <c r="T3341" s="549" t="s">
        <v>56</v>
      </c>
      <c r="U3341" s="549" t="s">
        <v>89</v>
      </c>
      <c r="V3341" s="554">
        <v>508</v>
      </c>
      <c r="W3341" s="554">
        <v>508</v>
      </c>
      <c r="X3341" s="555"/>
      <c r="Y3341" s="556">
        <f t="shared" si="1563"/>
        <v>0</v>
      </c>
      <c r="Z3341" s="557">
        <f t="shared" si="1564"/>
        <v>0</v>
      </c>
      <c r="AA3341" s="557">
        <f t="shared" si="1569"/>
        <v>0</v>
      </c>
      <c r="AB3341" s="833">
        <v>6</v>
      </c>
      <c r="AC3341" s="554">
        <f t="shared" si="1565"/>
        <v>0</v>
      </c>
      <c r="AD3341" s="209"/>
      <c r="AE3341" s="210">
        <f t="shared" si="1566"/>
        <v>0</v>
      </c>
      <c r="AF3341" s="210">
        <f t="shared" si="1567"/>
        <v>0</v>
      </c>
      <c r="AG3341" s="211">
        <f t="shared" si="1562"/>
        <v>0.53</v>
      </c>
      <c r="AH3341" s="157">
        <f>(Z3341*AG3341)/1000</f>
        <v>0</v>
      </c>
      <c r="AI3341" s="152">
        <f t="shared" si="1568"/>
        <v>5080</v>
      </c>
      <c r="AK3341" s="156" t="s">
        <v>691</v>
      </c>
      <c r="AL3341" s="156" t="s">
        <v>689</v>
      </c>
      <c r="AM3341" s="198">
        <f t="shared" si="1570"/>
        <v>0</v>
      </c>
      <c r="AN3341" s="199">
        <f t="shared" si="1571"/>
        <v>46121</v>
      </c>
      <c r="AO3341" s="159" t="s">
        <v>692</v>
      </c>
      <c r="AP3341" s="783" t="s">
        <v>620</v>
      </c>
      <c r="AQ3341" s="796" t="s">
        <v>422</v>
      </c>
      <c r="AR3341" s="782">
        <v>12055234</v>
      </c>
      <c r="AS3341" s="781"/>
      <c r="AT3341" s="782"/>
      <c r="AU3341" s="782"/>
      <c r="AV3341" s="782">
        <v>12097530</v>
      </c>
      <c r="AW3341" s="782"/>
      <c r="AX3341" s="782">
        <v>12097529</v>
      </c>
      <c r="AY3341" s="781"/>
      <c r="AZ3341" s="781"/>
      <c r="BA3341" s="781"/>
      <c r="BB3341" s="209">
        <v>23053184</v>
      </c>
    </row>
    <row r="3342" spans="1:54" ht="25" customHeight="1">
      <c r="B3342" s="213">
        <v>46121</v>
      </c>
      <c r="C3342" s="902" t="s">
        <v>2736</v>
      </c>
      <c r="D3342" s="215">
        <f t="shared" si="1560"/>
        <v>2026</v>
      </c>
      <c r="E3342" s="214" t="e">
        <f>VLOOKUP($B3342,Week!$A$1:$C$1462,2,0)</f>
        <v>#N/A</v>
      </c>
      <c r="F3342" s="216" t="str">
        <f t="shared" si="1561"/>
        <v>Apr</v>
      </c>
      <c r="G3342" s="215" t="s">
        <v>47</v>
      </c>
      <c r="H3342" s="215" t="s">
        <v>260</v>
      </c>
      <c r="I3342" s="215" t="s">
        <v>2702</v>
      </c>
      <c r="J3342" s="209" t="s">
        <v>2702</v>
      </c>
      <c r="K3342" s="217" t="s">
        <v>2706</v>
      </c>
      <c r="L3342" s="217" t="s">
        <v>2167</v>
      </c>
      <c r="M3342" s="209" t="s">
        <v>2733</v>
      </c>
      <c r="N3342" s="480" t="s">
        <v>2734</v>
      </c>
      <c r="O3342" s="215" t="s">
        <v>2735</v>
      </c>
      <c r="P3342" s="218">
        <v>12</v>
      </c>
      <c r="Q3342" s="218">
        <v>2</v>
      </c>
      <c r="R3342" s="219">
        <v>6.0000000000000001E-3</v>
      </c>
      <c r="S3342" s="215" t="s">
        <v>55</v>
      </c>
      <c r="T3342" s="215" t="s">
        <v>56</v>
      </c>
      <c r="U3342" s="852" t="s">
        <v>2707</v>
      </c>
      <c r="V3342" s="220">
        <v>1355</v>
      </c>
      <c r="W3342" s="220">
        <f>425+515+255+160</f>
        <v>1355</v>
      </c>
      <c r="X3342" s="221"/>
      <c r="Y3342" s="222">
        <f>(W3342+X3342)-V3342</f>
        <v>0</v>
      </c>
      <c r="Z3342" s="223">
        <f>IF(Y3342&lt;0,((V3342*P3342)-((W3342+X3342)*P3342)),0)</f>
        <v>0</v>
      </c>
      <c r="AA3342" s="223">
        <f t="shared" si="1569"/>
        <v>0</v>
      </c>
      <c r="AB3342" s="807">
        <v>1.7000000000000001E-2</v>
      </c>
      <c r="AC3342" s="220">
        <f>Z3342*AB3342</f>
        <v>0</v>
      </c>
      <c r="AD3342" s="443"/>
      <c r="AE3342" s="210">
        <f>SUM(Q3342*R3342*Z3342)/1000</f>
        <v>0</v>
      </c>
      <c r="AF3342" s="210">
        <f>AE3342/0.54</f>
        <v>0</v>
      </c>
      <c r="AG3342" s="211">
        <f>MID(O3342,1,3)/1000</f>
        <v>0.22500000000000001</v>
      </c>
      <c r="AH3342" s="157">
        <v>0.26621999999999996</v>
      </c>
      <c r="AI3342" s="152">
        <f>V3342*P3342</f>
        <v>16260</v>
      </c>
      <c r="AK3342" s="156" t="s">
        <v>691</v>
      </c>
      <c r="AL3342" s="574" t="s">
        <v>690</v>
      </c>
      <c r="AM3342" s="198">
        <f t="shared" si="1570"/>
        <v>0</v>
      </c>
      <c r="AN3342" s="199">
        <f t="shared" si="1571"/>
        <v>46121</v>
      </c>
      <c r="AO3342" s="159" t="s">
        <v>692</v>
      </c>
      <c r="AP3342" s="781" t="s">
        <v>642</v>
      </c>
      <c r="AQ3342" s="782">
        <v>12071839</v>
      </c>
      <c r="AR3342" s="782"/>
      <c r="AS3342" s="782"/>
      <c r="AT3342" s="782">
        <v>12098021</v>
      </c>
      <c r="AU3342" s="783" t="s">
        <v>2979</v>
      </c>
      <c r="AV3342" s="782">
        <v>12098022</v>
      </c>
      <c r="AW3342" s="783"/>
      <c r="AX3342" s="781"/>
      <c r="AY3342" s="796"/>
      <c r="AZ3342" s="796"/>
      <c r="BA3342" s="796"/>
      <c r="BB3342" s="209">
        <v>23099860</v>
      </c>
    </row>
    <row r="3343" spans="1:54" ht="25" customHeight="1">
      <c r="B3343" s="213">
        <v>46121</v>
      </c>
      <c r="C3343" s="902" t="s">
        <v>2848</v>
      </c>
      <c r="D3343" s="215">
        <f t="shared" si="1560"/>
        <v>2026</v>
      </c>
      <c r="E3343" s="214" t="e">
        <f>VLOOKUP($B3343,Week!$A$1:$C$1462,2,0)</f>
        <v>#N/A</v>
      </c>
      <c r="F3343" s="216" t="str">
        <f t="shared" si="1561"/>
        <v>Apr</v>
      </c>
      <c r="G3343" s="215" t="s">
        <v>47</v>
      </c>
      <c r="H3343" s="215" t="s">
        <v>260</v>
      </c>
      <c r="I3343" s="215" t="s">
        <v>2702</v>
      </c>
      <c r="J3343" s="209" t="s">
        <v>2702</v>
      </c>
      <c r="K3343" s="217" t="s">
        <v>2706</v>
      </c>
      <c r="L3343" s="217" t="s">
        <v>2167</v>
      </c>
      <c r="M3343" s="209" t="s">
        <v>2733</v>
      </c>
      <c r="N3343" s="480" t="s">
        <v>2734</v>
      </c>
      <c r="O3343" s="215" t="s">
        <v>2735</v>
      </c>
      <c r="P3343" s="218">
        <v>12</v>
      </c>
      <c r="Q3343" s="218">
        <v>2</v>
      </c>
      <c r="R3343" s="219">
        <v>6.0000000000000001E-3</v>
      </c>
      <c r="S3343" s="215" t="s">
        <v>55</v>
      </c>
      <c r="T3343" s="215" t="s">
        <v>56</v>
      </c>
      <c r="U3343" s="852" t="s">
        <v>2707</v>
      </c>
      <c r="V3343" s="220">
        <f>1412-1355+2</f>
        <v>59</v>
      </c>
      <c r="W3343" s="220">
        <f>217-160+2</f>
        <v>59</v>
      </c>
      <c r="X3343" s="221"/>
      <c r="Y3343" s="222">
        <f t="shared" si="1563"/>
        <v>0</v>
      </c>
      <c r="Z3343" s="223">
        <f t="shared" si="1564"/>
        <v>0</v>
      </c>
      <c r="AA3343" s="223">
        <f t="shared" si="1569"/>
        <v>0</v>
      </c>
      <c r="AB3343" s="807">
        <v>1.7000000000000001E-2</v>
      </c>
      <c r="AC3343" s="220">
        <f t="shared" si="1565"/>
        <v>0</v>
      </c>
      <c r="AD3343" s="443"/>
      <c r="AE3343" s="210">
        <f t="shared" si="1566"/>
        <v>0</v>
      </c>
      <c r="AF3343" s="210">
        <f t="shared" si="1567"/>
        <v>0</v>
      </c>
      <c r="AG3343" s="211">
        <f>MID(O3343,1,3)/1000</f>
        <v>0.22500000000000001</v>
      </c>
      <c r="AH3343" s="157">
        <v>0.26621999999999996</v>
      </c>
      <c r="AI3343" s="152">
        <f t="shared" si="1568"/>
        <v>708</v>
      </c>
      <c r="AK3343" s="156" t="s">
        <v>691</v>
      </c>
      <c r="AL3343" s="574" t="s">
        <v>690</v>
      </c>
      <c r="AM3343" s="198">
        <f t="shared" si="1570"/>
        <v>0</v>
      </c>
      <c r="AN3343" s="199">
        <f t="shared" si="1571"/>
        <v>46121</v>
      </c>
      <c r="AO3343" s="159" t="s">
        <v>692</v>
      </c>
      <c r="AP3343" s="781" t="s">
        <v>642</v>
      </c>
      <c r="AQ3343" s="782">
        <v>12071839</v>
      </c>
      <c r="AR3343" s="782"/>
      <c r="AS3343" s="782"/>
      <c r="AT3343" s="782">
        <v>12098021</v>
      </c>
      <c r="AU3343" s="783" t="s">
        <v>2979</v>
      </c>
      <c r="AV3343" s="782">
        <v>12098022</v>
      </c>
      <c r="AW3343" s="783"/>
      <c r="AX3343" s="781"/>
      <c r="AY3343" s="796"/>
      <c r="AZ3343" s="796"/>
      <c r="BA3343" s="796"/>
      <c r="BB3343" s="209">
        <v>23099860</v>
      </c>
    </row>
    <row r="3344" spans="1:54" ht="25" customHeight="1">
      <c r="B3344" s="743">
        <v>46121</v>
      </c>
      <c r="C3344" s="848" t="s">
        <v>2736</v>
      </c>
      <c r="D3344" s="215">
        <f t="shared" si="1560"/>
        <v>2026</v>
      </c>
      <c r="E3344" s="214" t="e">
        <f>VLOOKUP($B3344,Week!$A$1:$C$1462,2,0)</f>
        <v>#N/A</v>
      </c>
      <c r="F3344" s="216" t="str">
        <f t="shared" si="1561"/>
        <v>Apr</v>
      </c>
      <c r="G3344" s="746" t="s">
        <v>47</v>
      </c>
      <c r="H3344" s="746" t="s">
        <v>260</v>
      </c>
      <c r="I3344" s="215" t="s">
        <v>2702</v>
      </c>
      <c r="J3344" s="747" t="s">
        <v>2702</v>
      </c>
      <c r="K3344" s="748" t="s">
        <v>2912</v>
      </c>
      <c r="L3344" s="217" t="s">
        <v>2167</v>
      </c>
      <c r="M3344" s="747" t="s">
        <v>2899</v>
      </c>
      <c r="N3344" s="915" t="s">
        <v>2704</v>
      </c>
      <c r="O3344" s="746" t="s">
        <v>1635</v>
      </c>
      <c r="P3344" s="749">
        <v>24</v>
      </c>
      <c r="Q3344" s="749">
        <v>3</v>
      </c>
      <c r="R3344" s="849">
        <v>6.1999999999999998E-3</v>
      </c>
      <c r="S3344" s="746" t="s">
        <v>352</v>
      </c>
      <c r="T3344" s="746" t="s">
        <v>56</v>
      </c>
      <c r="U3344" s="860" t="s">
        <v>739</v>
      </c>
      <c r="V3344" s="750">
        <v>2061</v>
      </c>
      <c r="W3344" s="750">
        <f>1+2060</f>
        <v>2061</v>
      </c>
      <c r="X3344" s="751"/>
      <c r="Y3344" s="752">
        <f t="shared" si="1563"/>
        <v>0</v>
      </c>
      <c r="Z3344" s="753">
        <f t="shared" si="1564"/>
        <v>0</v>
      </c>
      <c r="AA3344" s="753">
        <f t="shared" si="1569"/>
        <v>0</v>
      </c>
      <c r="AB3344" s="838">
        <v>1.83E-2</v>
      </c>
      <c r="AC3344" s="750">
        <f t="shared" si="1565"/>
        <v>0</v>
      </c>
      <c r="AD3344" s="443"/>
      <c r="AE3344" s="210">
        <f t="shared" si="1566"/>
        <v>0</v>
      </c>
      <c r="AF3344" s="210">
        <f t="shared" si="1567"/>
        <v>0</v>
      </c>
      <c r="AG3344" s="211">
        <f t="shared" si="1562"/>
        <v>0.25</v>
      </c>
      <c r="AH3344" s="157">
        <v>0.26621999999999996</v>
      </c>
      <c r="AI3344" s="152">
        <f t="shared" si="1568"/>
        <v>49464</v>
      </c>
      <c r="AK3344" s="156" t="s">
        <v>691</v>
      </c>
      <c r="AL3344" s="574" t="s">
        <v>690</v>
      </c>
      <c r="AM3344" s="198">
        <f t="shared" si="1570"/>
        <v>0</v>
      </c>
      <c r="AN3344" s="199">
        <f t="shared" si="1571"/>
        <v>46121</v>
      </c>
      <c r="AO3344" s="159" t="s">
        <v>692</v>
      </c>
      <c r="AP3344" s="781" t="s">
        <v>642</v>
      </c>
      <c r="AQ3344" s="782">
        <v>12071839</v>
      </c>
      <c r="AR3344" s="782">
        <v>12042650</v>
      </c>
      <c r="AS3344" s="782">
        <v>12042649</v>
      </c>
      <c r="AT3344" s="782"/>
      <c r="AU3344" s="783"/>
      <c r="AV3344" s="782">
        <v>12097895</v>
      </c>
      <c r="AW3344" s="783"/>
      <c r="AX3344" s="781"/>
      <c r="AY3344" s="796">
        <v>12097893</v>
      </c>
      <c r="AZ3344" s="796">
        <v>12097894</v>
      </c>
      <c r="BA3344" s="796" t="s">
        <v>2462</v>
      </c>
      <c r="BB3344" s="209">
        <v>23099860</v>
      </c>
    </row>
    <row r="3345" spans="1:54" ht="25" customHeight="1">
      <c r="A3345" s="142" t="s">
        <v>120</v>
      </c>
      <c r="B3345" s="546">
        <v>46122</v>
      </c>
      <c r="C3345" s="547">
        <v>46128</v>
      </c>
      <c r="D3345" s="549">
        <f t="shared" si="1560"/>
        <v>2026</v>
      </c>
      <c r="E3345" s="547" t="e">
        <f>VLOOKUP($B3345,Week!$A$1:$C$1462,2,0)</f>
        <v>#N/A</v>
      </c>
      <c r="F3345" s="548" t="str">
        <f t="shared" si="1561"/>
        <v>Apr</v>
      </c>
      <c r="G3345" s="549" t="s">
        <v>2666</v>
      </c>
      <c r="H3345" s="549" t="s">
        <v>500</v>
      </c>
      <c r="I3345" s="549" t="s">
        <v>2772</v>
      </c>
      <c r="J3345" s="550" t="s">
        <v>285</v>
      </c>
      <c r="K3345" s="551" t="s">
        <v>2947</v>
      </c>
      <c r="L3345" s="551" t="s">
        <v>2166</v>
      </c>
      <c r="M3345" s="550" t="s">
        <v>2582</v>
      </c>
      <c r="N3345" s="549" t="s">
        <v>2665</v>
      </c>
      <c r="O3345" s="549" t="s">
        <v>2664</v>
      </c>
      <c r="P3345" s="552">
        <v>10</v>
      </c>
      <c r="Q3345" s="552">
        <v>50</v>
      </c>
      <c r="R3345" s="553">
        <v>4.0000000000000001E-3</v>
      </c>
      <c r="S3345" s="549" t="s">
        <v>55</v>
      </c>
      <c r="T3345" s="549" t="s">
        <v>56</v>
      </c>
      <c r="U3345" s="549" t="s">
        <v>89</v>
      </c>
      <c r="V3345" s="554">
        <f>2056-555-523-508</f>
        <v>470</v>
      </c>
      <c r="W3345" s="554">
        <f>404</f>
        <v>404</v>
      </c>
      <c r="X3345" s="555">
        <f>710/10</f>
        <v>71</v>
      </c>
      <c r="Y3345" s="556">
        <f>(W3345+X3345)-V3345</f>
        <v>5</v>
      </c>
      <c r="Z3345" s="557">
        <f>IF(Y3345&lt;0,((V3345*P3345)-((W3345+X3345)*P3345)),0)</f>
        <v>0</v>
      </c>
      <c r="AA3345" s="557">
        <f t="shared" ref="AA3345:AA3376" si="1572">Q3345*Z3345</f>
        <v>0</v>
      </c>
      <c r="AB3345" s="833">
        <v>6</v>
      </c>
      <c r="AC3345" s="554">
        <f>Z3345*AB3345</f>
        <v>0</v>
      </c>
      <c r="AD3345" s="209"/>
      <c r="AE3345" s="210">
        <f>SUM(Q3345*R3345*Z3345)/1000</f>
        <v>0</v>
      </c>
      <c r="AF3345" s="210">
        <f>AE3345/0.54</f>
        <v>0</v>
      </c>
      <c r="AG3345" s="211">
        <f>MID(O3345,1,3)/1000</f>
        <v>0.53</v>
      </c>
      <c r="AH3345" s="157">
        <f>(Z3345*AG3345)/1000</f>
        <v>0</v>
      </c>
      <c r="AI3345" s="152">
        <f>V3345*P3345</f>
        <v>4700</v>
      </c>
      <c r="AK3345" s="156" t="s">
        <v>691</v>
      </c>
      <c r="AL3345" s="156" t="s">
        <v>689</v>
      </c>
      <c r="AM3345" s="198">
        <f t="shared" ref="AM3345:AM3376" si="1573">AG3345*Z3345</f>
        <v>0</v>
      </c>
      <c r="AN3345" s="199">
        <f t="shared" ref="AN3345:AN3376" si="1574">B3345</f>
        <v>46122</v>
      </c>
      <c r="AO3345" s="159" t="s">
        <v>692</v>
      </c>
      <c r="AP3345" s="783" t="s">
        <v>620</v>
      </c>
      <c r="AQ3345" s="796" t="s">
        <v>422</v>
      </c>
      <c r="AR3345" s="782">
        <v>12055234</v>
      </c>
      <c r="AS3345" s="781"/>
      <c r="AT3345" s="782"/>
      <c r="AU3345" s="782"/>
      <c r="AV3345" s="782">
        <v>12097530</v>
      </c>
      <c r="AW3345" s="782"/>
      <c r="AX3345" s="782">
        <v>12097529</v>
      </c>
      <c r="AY3345" s="781"/>
      <c r="AZ3345" s="781"/>
      <c r="BA3345" s="781"/>
      <c r="BB3345" s="209">
        <v>23053184</v>
      </c>
    </row>
    <row r="3346" spans="1:54" ht="25" customHeight="1">
      <c r="B3346" s="213">
        <v>46122</v>
      </c>
      <c r="C3346" s="902" t="s">
        <v>2848</v>
      </c>
      <c r="D3346" s="215">
        <f t="shared" si="1560"/>
        <v>2026</v>
      </c>
      <c r="E3346" s="214" t="e">
        <f>VLOOKUP($B3346,Week!$A$1:$C$1462,2,0)</f>
        <v>#N/A</v>
      </c>
      <c r="F3346" s="216" t="str">
        <f t="shared" si="1561"/>
        <v>Apr</v>
      </c>
      <c r="G3346" s="215" t="s">
        <v>47</v>
      </c>
      <c r="H3346" s="215" t="s">
        <v>260</v>
      </c>
      <c r="I3346" s="215" t="s">
        <v>2702</v>
      </c>
      <c r="J3346" s="209" t="s">
        <v>2702</v>
      </c>
      <c r="K3346" s="217" t="s">
        <v>2706</v>
      </c>
      <c r="L3346" s="217" t="s">
        <v>2167</v>
      </c>
      <c r="M3346" s="209" t="s">
        <v>2733</v>
      </c>
      <c r="N3346" s="480" t="s">
        <v>2734</v>
      </c>
      <c r="O3346" s="215" t="s">
        <v>2735</v>
      </c>
      <c r="P3346" s="218">
        <v>12</v>
      </c>
      <c r="Q3346" s="218">
        <v>2</v>
      </c>
      <c r="R3346" s="219">
        <v>6.0000000000000001E-3</v>
      </c>
      <c r="S3346" s="215" t="s">
        <v>55</v>
      </c>
      <c r="T3346" s="215" t="s">
        <v>56</v>
      </c>
      <c r="U3346" s="852" t="s">
        <v>2707</v>
      </c>
      <c r="V3346" s="220">
        <f>1419-40</f>
        <v>1379</v>
      </c>
      <c r="W3346" s="220">
        <f>647+621+111</f>
        <v>1379</v>
      </c>
      <c r="X3346" s="221"/>
      <c r="Y3346" s="222">
        <f>(W3346+X3346)-V3346</f>
        <v>0</v>
      </c>
      <c r="Z3346" s="223">
        <f>IF(Y3346&lt;0,((V3346*P3346)-((W3346+X3346)*P3346)),0)</f>
        <v>0</v>
      </c>
      <c r="AA3346" s="223">
        <f t="shared" si="1572"/>
        <v>0</v>
      </c>
      <c r="AB3346" s="807">
        <v>1.7000000000000001E-2</v>
      </c>
      <c r="AC3346" s="220">
        <f>Z3346*AB3346</f>
        <v>0</v>
      </c>
      <c r="AD3346" s="443"/>
      <c r="AE3346" s="210">
        <f>SUM(Q3346*R3346*Z3346)/1000</f>
        <v>0</v>
      </c>
      <c r="AF3346" s="210">
        <f>AE3346/0.54</f>
        <v>0</v>
      </c>
      <c r="AG3346" s="211">
        <f>MID(O3346,1,3)/1000</f>
        <v>0.22500000000000001</v>
      </c>
      <c r="AH3346" s="157">
        <v>0.26621999999999996</v>
      </c>
      <c r="AI3346" s="152">
        <f>V3346*P3346</f>
        <v>16548</v>
      </c>
      <c r="AK3346" s="156" t="s">
        <v>691</v>
      </c>
      <c r="AL3346" s="574" t="s">
        <v>690</v>
      </c>
      <c r="AM3346" s="198">
        <f t="shared" si="1573"/>
        <v>0</v>
      </c>
      <c r="AN3346" s="199">
        <f t="shared" si="1574"/>
        <v>46122</v>
      </c>
      <c r="AO3346" s="159" t="s">
        <v>692</v>
      </c>
      <c r="AP3346" s="781" t="s">
        <v>642</v>
      </c>
      <c r="AQ3346" s="782">
        <v>12071839</v>
      </c>
      <c r="AR3346" s="782"/>
      <c r="AS3346" s="782"/>
      <c r="AT3346" s="782">
        <v>12098021</v>
      </c>
      <c r="AU3346" s="783" t="s">
        <v>2979</v>
      </c>
      <c r="AV3346" s="782">
        <v>12098022</v>
      </c>
      <c r="AW3346" s="783"/>
      <c r="AX3346" s="781"/>
      <c r="AY3346" s="796"/>
      <c r="AZ3346" s="796"/>
      <c r="BA3346" s="796"/>
      <c r="BB3346" s="209">
        <v>23099860</v>
      </c>
    </row>
    <row r="3347" spans="1:54" ht="25" customHeight="1">
      <c r="B3347" s="743">
        <v>46122</v>
      </c>
      <c r="C3347" s="848" t="s">
        <v>2736</v>
      </c>
      <c r="D3347" s="215">
        <f t="shared" si="1560"/>
        <v>2026</v>
      </c>
      <c r="E3347" s="214" t="e">
        <f>VLOOKUP($B3347,Week!$A$1:$C$1462,2,0)</f>
        <v>#N/A</v>
      </c>
      <c r="F3347" s="216" t="str">
        <f t="shared" si="1561"/>
        <v>Apr</v>
      </c>
      <c r="G3347" s="746" t="s">
        <v>47</v>
      </c>
      <c r="H3347" s="746" t="s">
        <v>260</v>
      </c>
      <c r="I3347" s="215" t="s">
        <v>2702</v>
      </c>
      <c r="J3347" s="747" t="s">
        <v>2702</v>
      </c>
      <c r="K3347" s="748" t="s">
        <v>2912</v>
      </c>
      <c r="L3347" s="217" t="s">
        <v>2167</v>
      </c>
      <c r="M3347" s="747" t="s">
        <v>2899</v>
      </c>
      <c r="N3347" s="915" t="s">
        <v>2704</v>
      </c>
      <c r="O3347" s="746" t="s">
        <v>1635</v>
      </c>
      <c r="P3347" s="749">
        <v>24</v>
      </c>
      <c r="Q3347" s="749">
        <v>3</v>
      </c>
      <c r="R3347" s="849">
        <v>6.1999999999999998E-3</v>
      </c>
      <c r="S3347" s="746" t="s">
        <v>352</v>
      </c>
      <c r="T3347" s="746" t="s">
        <v>56</v>
      </c>
      <c r="U3347" s="860" t="s">
        <v>739</v>
      </c>
      <c r="V3347" s="750">
        <v>2047</v>
      </c>
      <c r="W3347" s="750">
        <f>2047</f>
        <v>2047</v>
      </c>
      <c r="X3347" s="751"/>
      <c r="Y3347" s="752">
        <f>(W3347+X3347)-V3347</f>
        <v>0</v>
      </c>
      <c r="Z3347" s="753">
        <f>IF(Y3347&lt;0,((V3347*P3347)-((W3347+X3347)*P3347)),0)</f>
        <v>0</v>
      </c>
      <c r="AA3347" s="753">
        <f t="shared" si="1572"/>
        <v>0</v>
      </c>
      <c r="AB3347" s="838">
        <v>1.83E-2</v>
      </c>
      <c r="AC3347" s="750">
        <f>Z3347*AB3347</f>
        <v>0</v>
      </c>
      <c r="AD3347" s="443"/>
      <c r="AE3347" s="210">
        <f>SUM(Q3347*R3347*Z3347)/1000</f>
        <v>0</v>
      </c>
      <c r="AF3347" s="210">
        <f>AE3347/0.54</f>
        <v>0</v>
      </c>
      <c r="AG3347" s="211">
        <f>MID(O3347,1,3)/1000</f>
        <v>0.25</v>
      </c>
      <c r="AH3347" s="157">
        <v>0.26621999999999996</v>
      </c>
      <c r="AI3347" s="152">
        <f>V3347*P3347</f>
        <v>49128</v>
      </c>
      <c r="AK3347" s="156" t="s">
        <v>691</v>
      </c>
      <c r="AL3347" s="574" t="s">
        <v>690</v>
      </c>
      <c r="AM3347" s="198">
        <f t="shared" si="1573"/>
        <v>0</v>
      </c>
      <c r="AN3347" s="199">
        <f t="shared" si="1574"/>
        <v>46122</v>
      </c>
      <c r="AO3347" s="159" t="s">
        <v>692</v>
      </c>
      <c r="AP3347" s="781" t="s">
        <v>642</v>
      </c>
      <c r="AQ3347" s="782">
        <v>12071839</v>
      </c>
      <c r="AR3347" s="782">
        <v>12042650</v>
      </c>
      <c r="AS3347" s="782">
        <v>12042649</v>
      </c>
      <c r="AT3347" s="782"/>
      <c r="AU3347" s="783"/>
      <c r="AV3347" s="782">
        <v>12097895</v>
      </c>
      <c r="AW3347" s="783"/>
      <c r="AX3347" s="781"/>
      <c r="AY3347" s="796">
        <v>12097893</v>
      </c>
      <c r="AZ3347" s="796">
        <v>12097894</v>
      </c>
      <c r="BA3347" s="796" t="s">
        <v>2462</v>
      </c>
      <c r="BB3347" s="209">
        <v>23099860</v>
      </c>
    </row>
    <row r="3348" spans="1:54" ht="24.65" customHeight="1">
      <c r="A3348" s="142" t="s">
        <v>120</v>
      </c>
      <c r="B3348" s="258">
        <v>46123</v>
      </c>
      <c r="C3348" s="259">
        <v>46141</v>
      </c>
      <c r="D3348" s="185">
        <f t="shared" si="1560"/>
        <v>2026</v>
      </c>
      <c r="E3348" s="260" t="e">
        <f>VLOOKUP($B3348,Week!$A$1:$C$1462,2,0)</f>
        <v>#N/A</v>
      </c>
      <c r="F3348" s="261" t="str">
        <f t="shared" si="1561"/>
        <v>Apr</v>
      </c>
      <c r="G3348" s="262" t="s">
        <v>2844</v>
      </c>
      <c r="H3348" s="260" t="s">
        <v>134</v>
      </c>
      <c r="I3348" s="260" t="s">
        <v>2772</v>
      </c>
      <c r="J3348" s="263" t="s">
        <v>2932</v>
      </c>
      <c r="K3348" s="264" t="s">
        <v>153</v>
      </c>
      <c r="L3348" s="390" t="s">
        <v>2166</v>
      </c>
      <c r="M3348" s="263" t="s">
        <v>165</v>
      </c>
      <c r="N3348" s="260" t="s">
        <v>166</v>
      </c>
      <c r="O3348" s="260" t="s">
        <v>502</v>
      </c>
      <c r="P3348" s="265">
        <v>20</v>
      </c>
      <c r="Q3348" s="265">
        <v>12</v>
      </c>
      <c r="R3348" s="266">
        <v>6.8100000000000001E-3</v>
      </c>
      <c r="S3348" s="260" t="s">
        <v>76</v>
      </c>
      <c r="T3348" s="260" t="s">
        <v>56</v>
      </c>
      <c r="U3348" s="260" t="s">
        <v>89</v>
      </c>
      <c r="V3348" s="267">
        <f>1000</f>
        <v>1000</v>
      </c>
      <c r="W3348" s="267">
        <f>826</f>
        <v>826</v>
      </c>
      <c r="X3348" s="268">
        <f>(80+3400)/20</f>
        <v>174</v>
      </c>
      <c r="Y3348" s="269">
        <f>(W3348+X3348)-V3348</f>
        <v>0</v>
      </c>
      <c r="Z3348" s="270">
        <f>IF(Y3348&lt;0,((V3348*P3348)-((W3348+X3348)*P3348)),0)</f>
        <v>0</v>
      </c>
      <c r="AA3348" s="270">
        <f t="shared" si="1572"/>
        <v>0</v>
      </c>
      <c r="AB3348" s="811">
        <v>2</v>
      </c>
      <c r="AC3348" s="267">
        <f>Z3348*AB3348</f>
        <v>0</v>
      </c>
      <c r="AD3348" s="209" t="s">
        <v>168</v>
      </c>
      <c r="AE3348" s="210">
        <f>SUM(Q3348*R3348*Z3348)/1000</f>
        <v>0</v>
      </c>
      <c r="AF3348" s="210">
        <f>AE3348/0.54</f>
        <v>0</v>
      </c>
      <c r="AG3348" s="211">
        <f>MID(O3348,1,3)/1000</f>
        <v>0.154</v>
      </c>
      <c r="AH3348" s="157">
        <f>(Z3348*AG3348)/1000</f>
        <v>0</v>
      </c>
      <c r="AI3348" s="152">
        <f>V3348*P3348</f>
        <v>20000</v>
      </c>
      <c r="AK3348" s="156" t="s">
        <v>691</v>
      </c>
      <c r="AL3348" s="156" t="s">
        <v>689</v>
      </c>
      <c r="AM3348" s="198">
        <f t="shared" si="1573"/>
        <v>0</v>
      </c>
      <c r="AN3348" s="199">
        <f t="shared" si="1574"/>
        <v>46123</v>
      </c>
      <c r="AO3348" s="159" t="s">
        <v>692</v>
      </c>
      <c r="AP3348" s="783" t="s">
        <v>610</v>
      </c>
      <c r="AQ3348" s="783" t="s">
        <v>631</v>
      </c>
      <c r="AR3348" s="783" t="s">
        <v>523</v>
      </c>
      <c r="AS3348" s="781"/>
      <c r="AT3348" s="782">
        <v>12096524</v>
      </c>
      <c r="AU3348" s="781"/>
      <c r="AV3348" s="783" t="s">
        <v>2507</v>
      </c>
      <c r="AW3348" s="781"/>
      <c r="AX3348" s="782" t="s">
        <v>398</v>
      </c>
      <c r="AY3348" s="781"/>
      <c r="AZ3348" s="781"/>
      <c r="BA3348" s="781"/>
      <c r="BB3348" s="209">
        <v>23053184</v>
      </c>
    </row>
    <row r="3349" spans="1:54" ht="25" customHeight="1">
      <c r="B3349" s="743">
        <v>46123</v>
      </c>
      <c r="C3349" s="848" t="s">
        <v>2736</v>
      </c>
      <c r="D3349" s="215">
        <f t="shared" si="1560"/>
        <v>2026</v>
      </c>
      <c r="E3349" s="214" t="e">
        <f>VLOOKUP($B3349,Week!$A$1:$C$1462,2,0)</f>
        <v>#N/A</v>
      </c>
      <c r="F3349" s="216" t="str">
        <f t="shared" si="1561"/>
        <v>Apr</v>
      </c>
      <c r="G3349" s="746" t="s">
        <v>47</v>
      </c>
      <c r="H3349" s="746" t="s">
        <v>260</v>
      </c>
      <c r="I3349" s="215" t="s">
        <v>2702</v>
      </c>
      <c r="J3349" s="747" t="s">
        <v>2702</v>
      </c>
      <c r="K3349" s="748" t="s">
        <v>2912</v>
      </c>
      <c r="L3349" s="217" t="s">
        <v>2167</v>
      </c>
      <c r="M3349" s="747" t="s">
        <v>2899</v>
      </c>
      <c r="N3349" s="915" t="s">
        <v>2704</v>
      </c>
      <c r="O3349" s="746" t="s">
        <v>1635</v>
      </c>
      <c r="P3349" s="749">
        <v>24</v>
      </c>
      <c r="Q3349" s="749">
        <v>3</v>
      </c>
      <c r="R3349" s="849">
        <v>6.1999999999999998E-3</v>
      </c>
      <c r="S3349" s="746" t="s">
        <v>352</v>
      </c>
      <c r="T3349" s="746" t="s">
        <v>56</v>
      </c>
      <c r="U3349" s="860" t="s">
        <v>739</v>
      </c>
      <c r="V3349" s="750">
        <v>3369</v>
      </c>
      <c r="W3349" s="750">
        <v>3369</v>
      </c>
      <c r="X3349" s="751"/>
      <c r="Y3349" s="752">
        <f>(W3349+X3349)-V3349</f>
        <v>0</v>
      </c>
      <c r="Z3349" s="753">
        <f>IF(Y3349&lt;0,((V3349*P3349)-((W3349+X3349)*P3349)),0)</f>
        <v>0</v>
      </c>
      <c r="AA3349" s="753">
        <f t="shared" si="1572"/>
        <v>0</v>
      </c>
      <c r="AB3349" s="838">
        <v>1.83E-2</v>
      </c>
      <c r="AC3349" s="750">
        <f>Z3349*AB3349</f>
        <v>0</v>
      </c>
      <c r="AD3349" s="443"/>
      <c r="AE3349" s="210">
        <f>SUM(Q3349*R3349*Z3349)/1000</f>
        <v>0</v>
      </c>
      <c r="AF3349" s="210">
        <f>AE3349/0.54</f>
        <v>0</v>
      </c>
      <c r="AG3349" s="211">
        <f>MID(O3349,1,3)/1000</f>
        <v>0.25</v>
      </c>
      <c r="AH3349" s="157">
        <v>0.26621999999999996</v>
      </c>
      <c r="AI3349" s="152">
        <f>V3349*P3349</f>
        <v>80856</v>
      </c>
      <c r="AK3349" s="156" t="s">
        <v>691</v>
      </c>
      <c r="AL3349" s="574" t="s">
        <v>690</v>
      </c>
      <c r="AM3349" s="198">
        <f t="shared" si="1573"/>
        <v>0</v>
      </c>
      <c r="AN3349" s="199">
        <f t="shared" si="1574"/>
        <v>46123</v>
      </c>
      <c r="AO3349" s="159" t="s">
        <v>692</v>
      </c>
      <c r="AP3349" s="781" t="s">
        <v>642</v>
      </c>
      <c r="AQ3349" s="782">
        <v>12071839</v>
      </c>
      <c r="AR3349" s="782">
        <v>12042650</v>
      </c>
      <c r="AS3349" s="782">
        <v>12042649</v>
      </c>
      <c r="AT3349" s="782"/>
      <c r="AU3349" s="783"/>
      <c r="AV3349" s="782">
        <v>12097895</v>
      </c>
      <c r="AW3349" s="783"/>
      <c r="AX3349" s="781"/>
      <c r="AY3349" s="796">
        <v>12097893</v>
      </c>
      <c r="AZ3349" s="796">
        <v>12097894</v>
      </c>
      <c r="BA3349" s="796" t="s">
        <v>2462</v>
      </c>
      <c r="BB3349" s="209">
        <v>23099860</v>
      </c>
    </row>
    <row r="3350" spans="1:54" ht="25" customHeight="1">
      <c r="B3350" s="183">
        <v>46124</v>
      </c>
      <c r="C3350" s="184"/>
      <c r="D3350" s="185">
        <f t="shared" si="1560"/>
        <v>2026</v>
      </c>
      <c r="E3350" s="185" t="e">
        <f>VLOOKUP($B3350,Week!$A$1:$C$1462,2,0)</f>
        <v>#N/A</v>
      </c>
      <c r="F3350" s="186" t="str">
        <f t="shared" si="1561"/>
        <v>Apr</v>
      </c>
      <c r="G3350" s="481"/>
      <c r="H3350" s="185"/>
      <c r="I3350" s="185"/>
      <c r="J3350" s="187"/>
      <c r="K3350" s="188"/>
      <c r="L3350" s="188"/>
      <c r="M3350" s="187"/>
      <c r="N3350" s="185"/>
      <c r="O3350" s="185"/>
      <c r="P3350" s="189"/>
      <c r="Q3350" s="189"/>
      <c r="R3350" s="190"/>
      <c r="S3350" s="185"/>
      <c r="T3350" s="185"/>
      <c r="U3350" s="185"/>
      <c r="V3350" s="191"/>
      <c r="W3350" s="191"/>
      <c r="X3350" s="192"/>
      <c r="Y3350" s="193"/>
      <c r="Z3350" s="194"/>
      <c r="AA3350" s="194">
        <f t="shared" si="1572"/>
        <v>0</v>
      </c>
      <c r="AB3350" s="805"/>
      <c r="AC3350" s="191"/>
      <c r="AD3350" s="187"/>
      <c r="AE3350" s="195"/>
      <c r="AF3350" s="195"/>
      <c r="AG3350" s="196"/>
      <c r="AH3350" s="197"/>
      <c r="AK3350" s="156" t="s">
        <v>691</v>
      </c>
      <c r="AM3350" s="198">
        <f t="shared" si="1573"/>
        <v>0</v>
      </c>
      <c r="AN3350" s="199">
        <f t="shared" si="1574"/>
        <v>46124</v>
      </c>
      <c r="AO3350" s="159" t="s">
        <v>692</v>
      </c>
      <c r="AP3350" s="781"/>
      <c r="AQ3350" s="782"/>
      <c r="AR3350" s="782"/>
      <c r="AS3350" s="782"/>
      <c r="AT3350" s="782"/>
      <c r="AU3350" s="781"/>
      <c r="AV3350" s="782"/>
      <c r="AW3350" s="782"/>
      <c r="AX3350" s="782"/>
      <c r="AY3350" s="782"/>
      <c r="AZ3350" s="782"/>
      <c r="BA3350" s="781"/>
      <c r="BB3350" s="209"/>
    </row>
    <row r="3351" spans="1:54" ht="25" customHeight="1">
      <c r="B3351" s="183">
        <v>46125</v>
      </c>
      <c r="C3351" s="184"/>
      <c r="D3351" s="185">
        <f t="shared" si="1560"/>
        <v>2026</v>
      </c>
      <c r="E3351" s="185" t="e">
        <f>VLOOKUP($B3351,Week!$A$1:$C$1462,2,0)</f>
        <v>#N/A</v>
      </c>
      <c r="F3351" s="186" t="str">
        <f t="shared" si="1561"/>
        <v>Apr</v>
      </c>
      <c r="G3351" s="481"/>
      <c r="H3351" s="185"/>
      <c r="I3351" s="185"/>
      <c r="J3351" s="187"/>
      <c r="K3351" s="188"/>
      <c r="L3351" s="188"/>
      <c r="M3351" s="187"/>
      <c r="N3351" s="185"/>
      <c r="O3351" s="185"/>
      <c r="P3351" s="189"/>
      <c r="Q3351" s="189"/>
      <c r="R3351" s="190"/>
      <c r="S3351" s="185"/>
      <c r="T3351" s="185"/>
      <c r="U3351" s="185"/>
      <c r="V3351" s="191"/>
      <c r="W3351" s="191"/>
      <c r="X3351" s="192"/>
      <c r="Y3351" s="193"/>
      <c r="Z3351" s="194"/>
      <c r="AA3351" s="194">
        <f t="shared" si="1572"/>
        <v>0</v>
      </c>
      <c r="AB3351" s="805"/>
      <c r="AC3351" s="191"/>
      <c r="AD3351" s="187"/>
      <c r="AE3351" s="195"/>
      <c r="AF3351" s="195"/>
      <c r="AG3351" s="196"/>
      <c r="AH3351" s="197"/>
      <c r="AK3351" s="156" t="s">
        <v>691</v>
      </c>
      <c r="AM3351" s="198">
        <f t="shared" si="1573"/>
        <v>0</v>
      </c>
      <c r="AN3351" s="199">
        <f t="shared" si="1574"/>
        <v>46125</v>
      </c>
      <c r="AO3351" s="159" t="s">
        <v>692</v>
      </c>
      <c r="AP3351" s="781"/>
      <c r="AQ3351" s="782"/>
      <c r="AR3351" s="782"/>
      <c r="AS3351" s="782"/>
      <c r="AT3351" s="782"/>
      <c r="AU3351" s="781"/>
      <c r="AV3351" s="782"/>
      <c r="AW3351" s="782"/>
      <c r="AX3351" s="782"/>
      <c r="AY3351" s="782"/>
      <c r="AZ3351" s="782"/>
      <c r="BA3351" s="781"/>
      <c r="BB3351" s="209"/>
    </row>
    <row r="3352" spans="1:54" ht="25" customHeight="1">
      <c r="B3352" s="183">
        <v>46126</v>
      </c>
      <c r="C3352" s="184"/>
      <c r="D3352" s="185">
        <f t="shared" si="1560"/>
        <v>2026</v>
      </c>
      <c r="E3352" s="185" t="e">
        <f>VLOOKUP($B3352,Week!$A$1:$C$1462,2,0)</f>
        <v>#N/A</v>
      </c>
      <c r="F3352" s="186" t="str">
        <f t="shared" si="1561"/>
        <v>Apr</v>
      </c>
      <c r="G3352" s="481"/>
      <c r="H3352" s="185"/>
      <c r="I3352" s="185"/>
      <c r="J3352" s="187"/>
      <c r="K3352" s="188"/>
      <c r="L3352" s="188"/>
      <c r="M3352" s="187"/>
      <c r="N3352" s="185"/>
      <c r="O3352" s="185"/>
      <c r="P3352" s="189"/>
      <c r="Q3352" s="189"/>
      <c r="R3352" s="190"/>
      <c r="S3352" s="185"/>
      <c r="T3352" s="185"/>
      <c r="U3352" s="185"/>
      <c r="V3352" s="191"/>
      <c r="W3352" s="191"/>
      <c r="X3352" s="192"/>
      <c r="Y3352" s="193"/>
      <c r="Z3352" s="194"/>
      <c r="AA3352" s="194">
        <f t="shared" si="1572"/>
        <v>0</v>
      </c>
      <c r="AB3352" s="805"/>
      <c r="AC3352" s="191"/>
      <c r="AD3352" s="187"/>
      <c r="AE3352" s="195"/>
      <c r="AF3352" s="195"/>
      <c r="AG3352" s="196"/>
      <c r="AH3352" s="197"/>
      <c r="AK3352" s="156" t="s">
        <v>691</v>
      </c>
      <c r="AM3352" s="198">
        <f t="shared" si="1573"/>
        <v>0</v>
      </c>
      <c r="AN3352" s="199">
        <f t="shared" si="1574"/>
        <v>46126</v>
      </c>
      <c r="AO3352" s="159" t="s">
        <v>692</v>
      </c>
      <c r="AP3352" s="781"/>
      <c r="AQ3352" s="782"/>
      <c r="AR3352" s="782"/>
      <c r="AS3352" s="782"/>
      <c r="AT3352" s="782"/>
      <c r="AU3352" s="781"/>
      <c r="AV3352" s="782"/>
      <c r="AW3352" s="782"/>
      <c r="AX3352" s="782"/>
      <c r="AY3352" s="782"/>
      <c r="AZ3352" s="782"/>
      <c r="BA3352" s="781"/>
      <c r="BB3352" s="209"/>
    </row>
    <row r="3353" spans="1:54" ht="25" customHeight="1">
      <c r="B3353" s="183">
        <v>46127</v>
      </c>
      <c r="C3353" s="184"/>
      <c r="D3353" s="185">
        <f t="shared" si="1560"/>
        <v>2026</v>
      </c>
      <c r="E3353" s="185" t="e">
        <f>VLOOKUP($B3353,Week!$A$1:$C$1462,2,0)</f>
        <v>#N/A</v>
      </c>
      <c r="F3353" s="186" t="str">
        <f t="shared" si="1561"/>
        <v>Apr</v>
      </c>
      <c r="G3353" s="481"/>
      <c r="H3353" s="185"/>
      <c r="I3353" s="185"/>
      <c r="J3353" s="187"/>
      <c r="K3353" s="188"/>
      <c r="L3353" s="188"/>
      <c r="M3353" s="187"/>
      <c r="N3353" s="185"/>
      <c r="O3353" s="185"/>
      <c r="P3353" s="189"/>
      <c r="Q3353" s="189"/>
      <c r="R3353" s="190"/>
      <c r="S3353" s="185"/>
      <c r="T3353" s="185"/>
      <c r="U3353" s="185"/>
      <c r="V3353" s="191"/>
      <c r="W3353" s="191"/>
      <c r="X3353" s="192"/>
      <c r="Y3353" s="193"/>
      <c r="Z3353" s="194"/>
      <c r="AA3353" s="194">
        <f t="shared" si="1572"/>
        <v>0</v>
      </c>
      <c r="AB3353" s="805"/>
      <c r="AC3353" s="191"/>
      <c r="AD3353" s="187"/>
      <c r="AE3353" s="195"/>
      <c r="AF3353" s="195"/>
      <c r="AG3353" s="196"/>
      <c r="AH3353" s="197"/>
      <c r="AK3353" s="156" t="s">
        <v>691</v>
      </c>
      <c r="AM3353" s="198">
        <f t="shared" si="1573"/>
        <v>0</v>
      </c>
      <c r="AN3353" s="199">
        <f t="shared" si="1574"/>
        <v>46127</v>
      </c>
      <c r="AO3353" s="159" t="s">
        <v>692</v>
      </c>
      <c r="AP3353" s="781"/>
      <c r="AQ3353" s="782"/>
      <c r="AR3353" s="782"/>
      <c r="AS3353" s="782"/>
      <c r="AT3353" s="782"/>
      <c r="AU3353" s="781"/>
      <c r="AV3353" s="782"/>
      <c r="AW3353" s="782"/>
      <c r="AX3353" s="782"/>
      <c r="AY3353" s="782"/>
      <c r="AZ3353" s="782"/>
      <c r="BA3353" s="781"/>
      <c r="BB3353" s="209"/>
    </row>
    <row r="3354" spans="1:54" ht="24.65" customHeight="1">
      <c r="B3354" s="757">
        <v>46128</v>
      </c>
      <c r="C3354" s="758">
        <v>46140</v>
      </c>
      <c r="D3354" s="185">
        <f t="shared" si="1560"/>
        <v>2026</v>
      </c>
      <c r="E3354" s="758" t="e">
        <f>VLOOKUP($B3354,Week!$A$1:$C$1462,2,0)</f>
        <v>#N/A</v>
      </c>
      <c r="F3354" s="759" t="str">
        <f t="shared" si="1561"/>
        <v>Apr</v>
      </c>
      <c r="G3354" s="863" t="s">
        <v>2914</v>
      </c>
      <c r="H3354" s="761" t="s">
        <v>424</v>
      </c>
      <c r="I3354" s="761" t="s">
        <v>2772</v>
      </c>
      <c r="J3354" s="762" t="s">
        <v>425</v>
      </c>
      <c r="K3354" s="763" t="s">
        <v>593</v>
      </c>
      <c r="L3354" s="300" t="s">
        <v>2167</v>
      </c>
      <c r="M3354" s="762" t="s">
        <v>594</v>
      </c>
      <c r="N3354" s="761" t="s">
        <v>1671</v>
      </c>
      <c r="O3354" s="761" t="s">
        <v>415</v>
      </c>
      <c r="P3354" s="764">
        <v>24</v>
      </c>
      <c r="Q3354" s="764">
        <v>5</v>
      </c>
      <c r="R3354" s="765">
        <v>6.0000000000000001E-3</v>
      </c>
      <c r="S3354" s="761" t="s">
        <v>55</v>
      </c>
      <c r="T3354" s="761" t="s">
        <v>112</v>
      </c>
      <c r="U3354" s="761" t="s">
        <v>57</v>
      </c>
      <c r="V3354" s="766">
        <v>705</v>
      </c>
      <c r="W3354" s="766">
        <f>399+16</f>
        <v>415</v>
      </c>
      <c r="X3354" s="767">
        <f>(696+6290)/24</f>
        <v>291.08333333333331</v>
      </c>
      <c r="Y3354" s="768">
        <f t="shared" ref="Y3354:Y3369" si="1575">(W3354+X3354)-V3354</f>
        <v>1.0833333333332575</v>
      </c>
      <c r="Z3354" s="769">
        <f t="shared" ref="Z3354:Z3369" si="1576">IF(Y3354&lt;0,((V3354*P3354)-((W3354+X3354)*P3354)),0)</f>
        <v>0</v>
      </c>
      <c r="AA3354" s="769">
        <f t="shared" si="1572"/>
        <v>0</v>
      </c>
      <c r="AB3354" s="837">
        <v>7.4999999999999997E-3</v>
      </c>
      <c r="AC3354" s="766">
        <f t="shared" ref="AC3354:AC3369" si="1577">Z3354*AB3354</f>
        <v>0</v>
      </c>
      <c r="AD3354" s="485" t="s">
        <v>2333</v>
      </c>
      <c r="AE3354" s="210">
        <f t="shared" ref="AE3354:AE3369" si="1578">SUM(Q3354*R3354*Z3354)/1000</f>
        <v>0</v>
      </c>
      <c r="AF3354" s="210">
        <f t="shared" ref="AF3354:AF3369" si="1579">AE3354/0.54</f>
        <v>0</v>
      </c>
      <c r="AG3354" s="211">
        <f>MID(O3354,1,3)/1000</f>
        <v>0.25800000000000001</v>
      </c>
      <c r="AH3354" s="157">
        <f t="shared" ref="AH3354:AH3360" si="1580">(Z3354*AG3354)/1000</f>
        <v>0</v>
      </c>
      <c r="AI3354" s="152">
        <f t="shared" ref="AI3354:AI3369" si="1581">V3354*P3354</f>
        <v>16920</v>
      </c>
      <c r="AK3354" s="156" t="s">
        <v>691</v>
      </c>
      <c r="AL3354" s="212" t="s">
        <v>690</v>
      </c>
      <c r="AM3354" s="198">
        <f t="shared" si="1573"/>
        <v>0</v>
      </c>
      <c r="AN3354" s="199">
        <f t="shared" si="1574"/>
        <v>46128</v>
      </c>
      <c r="AO3354" s="159" t="s">
        <v>692</v>
      </c>
      <c r="AP3354" s="783" t="s">
        <v>609</v>
      </c>
      <c r="AQ3354" s="782">
        <v>12071839</v>
      </c>
      <c r="AR3354" s="782">
        <v>12095778</v>
      </c>
      <c r="AS3354" s="782">
        <v>12095777</v>
      </c>
      <c r="AT3354" s="782">
        <v>12096140</v>
      </c>
      <c r="AU3354" s="782"/>
      <c r="AV3354" s="782">
        <v>12096141</v>
      </c>
      <c r="AW3354" s="782"/>
      <c r="AX3354" s="781"/>
      <c r="AY3354" s="782">
        <v>12096139</v>
      </c>
      <c r="AZ3354" s="782"/>
      <c r="BA3354" s="781"/>
      <c r="BB3354" s="209">
        <v>23053185</v>
      </c>
    </row>
    <row r="3355" spans="1:54" ht="24.65" customHeight="1">
      <c r="B3355" s="369">
        <v>46128</v>
      </c>
      <c r="C3355" s="370">
        <v>46147</v>
      </c>
      <c r="D3355" s="185">
        <f t="shared" si="1560"/>
        <v>2026</v>
      </c>
      <c r="E3355" s="370" t="e">
        <f>VLOOKUP($B3355,Week!$A$1:$C$1462,2,0)</f>
        <v>#N/A</v>
      </c>
      <c r="F3355" s="372" t="str">
        <f t="shared" si="1561"/>
        <v>Apr</v>
      </c>
      <c r="G3355" s="439" t="s">
        <v>2890</v>
      </c>
      <c r="H3355" s="371" t="s">
        <v>104</v>
      </c>
      <c r="I3355" s="371" t="s">
        <v>2772</v>
      </c>
      <c r="J3355" s="373" t="s">
        <v>105</v>
      </c>
      <c r="K3355" s="374" t="s">
        <v>593</v>
      </c>
      <c r="L3355" s="300" t="s">
        <v>2167</v>
      </c>
      <c r="M3355" s="373" t="s">
        <v>594</v>
      </c>
      <c r="N3355" s="371" t="s">
        <v>687</v>
      </c>
      <c r="O3355" s="371" t="s">
        <v>415</v>
      </c>
      <c r="P3355" s="375">
        <v>24</v>
      </c>
      <c r="Q3355" s="375">
        <v>5</v>
      </c>
      <c r="R3355" s="376">
        <v>6.0000000000000001E-3</v>
      </c>
      <c r="S3355" s="371" t="s">
        <v>55</v>
      </c>
      <c r="T3355" s="371" t="s">
        <v>112</v>
      </c>
      <c r="U3355" s="371" t="s">
        <v>57</v>
      </c>
      <c r="V3355" s="377">
        <f>800</f>
        <v>800</v>
      </c>
      <c r="W3355" s="377">
        <f>683</f>
        <v>683</v>
      </c>
      <c r="X3355" s="378">
        <f>(2822)/24</f>
        <v>117.58333333333333</v>
      </c>
      <c r="Y3355" s="379">
        <f t="shared" si="1575"/>
        <v>0.58333333333337123</v>
      </c>
      <c r="Z3355" s="380">
        <f t="shared" si="1576"/>
        <v>0</v>
      </c>
      <c r="AA3355" s="380">
        <f t="shared" si="1572"/>
        <v>0</v>
      </c>
      <c r="AB3355" s="820">
        <v>7.4999999999999997E-3</v>
      </c>
      <c r="AC3355" s="377">
        <f t="shared" si="1577"/>
        <v>0</v>
      </c>
      <c r="AD3355" s="486" t="s">
        <v>2905</v>
      </c>
      <c r="AE3355" s="210">
        <f t="shared" si="1578"/>
        <v>0</v>
      </c>
      <c r="AF3355" s="210">
        <f t="shared" si="1579"/>
        <v>0</v>
      </c>
      <c r="AG3355" s="211">
        <f t="shared" ref="AG3355:AG3361" si="1582">MID(O3355,1,3)/1000</f>
        <v>0.25800000000000001</v>
      </c>
      <c r="AH3355" s="157">
        <f t="shared" si="1580"/>
        <v>0</v>
      </c>
      <c r="AI3355" s="152">
        <f t="shared" si="1581"/>
        <v>19200</v>
      </c>
      <c r="AK3355" s="156" t="s">
        <v>691</v>
      </c>
      <c r="AL3355" s="212" t="s">
        <v>690</v>
      </c>
      <c r="AM3355" s="198">
        <f t="shared" si="1573"/>
        <v>0</v>
      </c>
      <c r="AN3355" s="199">
        <f t="shared" si="1574"/>
        <v>46128</v>
      </c>
      <c r="AO3355" s="159" t="s">
        <v>692</v>
      </c>
      <c r="AP3355" s="783"/>
      <c r="AQ3355" s="782">
        <v>12071839</v>
      </c>
      <c r="AR3355" s="782">
        <v>12042650</v>
      </c>
      <c r="AS3355" s="782">
        <v>12042649</v>
      </c>
      <c r="AT3355" s="782">
        <v>12085742</v>
      </c>
      <c r="AU3355" s="781"/>
      <c r="AV3355" s="782">
        <v>12085744</v>
      </c>
      <c r="AW3355" s="782">
        <v>12049607</v>
      </c>
      <c r="AX3355" s="782"/>
      <c r="AY3355" s="782">
        <v>12094129</v>
      </c>
      <c r="AZ3355" s="782"/>
      <c r="BA3355" s="781"/>
      <c r="BB3355" s="209">
        <v>23053185</v>
      </c>
    </row>
    <row r="3356" spans="1:54" ht="24.65" customHeight="1">
      <c r="B3356" s="369">
        <v>46128</v>
      </c>
      <c r="C3356" s="370">
        <v>46147</v>
      </c>
      <c r="D3356" s="185">
        <f t="shared" si="1560"/>
        <v>2026</v>
      </c>
      <c r="E3356" s="370" t="e">
        <f>VLOOKUP($B3356,Week!$A$1:$C$1462,2,0)</f>
        <v>#N/A</v>
      </c>
      <c r="F3356" s="372" t="str">
        <f t="shared" si="1561"/>
        <v>Apr</v>
      </c>
      <c r="G3356" s="439" t="s">
        <v>2891</v>
      </c>
      <c r="H3356" s="371" t="s">
        <v>104</v>
      </c>
      <c r="I3356" s="371" t="s">
        <v>2772</v>
      </c>
      <c r="J3356" s="373" t="s">
        <v>105</v>
      </c>
      <c r="K3356" s="374" t="s">
        <v>593</v>
      </c>
      <c r="L3356" s="300" t="s">
        <v>2167</v>
      </c>
      <c r="M3356" s="373" t="s">
        <v>594</v>
      </c>
      <c r="N3356" s="371" t="s">
        <v>687</v>
      </c>
      <c r="O3356" s="371" t="s">
        <v>415</v>
      </c>
      <c r="P3356" s="375">
        <v>24</v>
      </c>
      <c r="Q3356" s="375">
        <v>5</v>
      </c>
      <c r="R3356" s="376">
        <v>6.0000000000000001E-3</v>
      </c>
      <c r="S3356" s="371" t="s">
        <v>55</v>
      </c>
      <c r="T3356" s="371" t="s">
        <v>112</v>
      </c>
      <c r="U3356" s="371" t="s">
        <v>57</v>
      </c>
      <c r="V3356" s="377">
        <f>700</f>
        <v>700</v>
      </c>
      <c r="W3356" s="377">
        <f>1371-683</f>
        <v>688</v>
      </c>
      <c r="X3356" s="378">
        <v>12</v>
      </c>
      <c r="Y3356" s="379">
        <f t="shared" si="1575"/>
        <v>0</v>
      </c>
      <c r="Z3356" s="380">
        <f t="shared" si="1576"/>
        <v>0</v>
      </c>
      <c r="AA3356" s="380">
        <f t="shared" si="1572"/>
        <v>0</v>
      </c>
      <c r="AB3356" s="820">
        <v>7.4999999999999997E-3</v>
      </c>
      <c r="AC3356" s="377">
        <f t="shared" si="1577"/>
        <v>0</v>
      </c>
      <c r="AD3356" s="486" t="s">
        <v>2905</v>
      </c>
      <c r="AE3356" s="210">
        <f t="shared" si="1578"/>
        <v>0</v>
      </c>
      <c r="AF3356" s="210">
        <f t="shared" si="1579"/>
        <v>0</v>
      </c>
      <c r="AG3356" s="211">
        <f t="shared" si="1582"/>
        <v>0.25800000000000001</v>
      </c>
      <c r="AH3356" s="157">
        <f t="shared" si="1580"/>
        <v>0</v>
      </c>
      <c r="AI3356" s="152">
        <f t="shared" si="1581"/>
        <v>16800</v>
      </c>
      <c r="AK3356" s="156" t="s">
        <v>691</v>
      </c>
      <c r="AL3356" s="212" t="s">
        <v>690</v>
      </c>
      <c r="AM3356" s="198">
        <f t="shared" si="1573"/>
        <v>0</v>
      </c>
      <c r="AN3356" s="199">
        <f t="shared" si="1574"/>
        <v>46128</v>
      </c>
      <c r="AO3356" s="159" t="s">
        <v>692</v>
      </c>
      <c r="AP3356" s="783"/>
      <c r="AQ3356" s="782">
        <v>12071839</v>
      </c>
      <c r="AR3356" s="782">
        <v>12042650</v>
      </c>
      <c r="AS3356" s="782">
        <v>12042649</v>
      </c>
      <c r="AT3356" s="782">
        <v>12085742</v>
      </c>
      <c r="AU3356" s="781"/>
      <c r="AV3356" s="782">
        <v>12085744</v>
      </c>
      <c r="AW3356" s="782">
        <v>12049607</v>
      </c>
      <c r="AX3356" s="782"/>
      <c r="AY3356" s="782">
        <v>12094129</v>
      </c>
      <c r="AZ3356" s="782"/>
      <c r="BA3356" s="781"/>
      <c r="BB3356" s="209">
        <v>23053185</v>
      </c>
    </row>
    <row r="3357" spans="1:54" ht="25" customHeight="1">
      <c r="B3357" s="357">
        <v>46128</v>
      </c>
      <c r="C3357" s="358">
        <v>46154</v>
      </c>
      <c r="D3357" s="185">
        <f t="shared" si="1560"/>
        <v>2026</v>
      </c>
      <c r="E3357" s="358" t="e">
        <f>VLOOKUP($B3357,Week!$A$1:$C$1462,2,0)</f>
        <v>#N/A</v>
      </c>
      <c r="F3357" s="360" t="str">
        <f t="shared" si="1561"/>
        <v>Apr</v>
      </c>
      <c r="G3357" s="436" t="s">
        <v>2885</v>
      </c>
      <c r="H3357" s="359" t="s">
        <v>225</v>
      </c>
      <c r="I3357" s="359" t="s">
        <v>2773</v>
      </c>
      <c r="J3357" s="361" t="s">
        <v>650</v>
      </c>
      <c r="K3357" s="362" t="s">
        <v>593</v>
      </c>
      <c r="L3357" s="300" t="s">
        <v>2167</v>
      </c>
      <c r="M3357" s="361" t="s">
        <v>717</v>
      </c>
      <c r="N3357" s="359" t="s">
        <v>719</v>
      </c>
      <c r="O3357" s="359" t="s">
        <v>230</v>
      </c>
      <c r="P3357" s="363">
        <v>12</v>
      </c>
      <c r="Q3357" s="363">
        <v>5</v>
      </c>
      <c r="R3357" s="364">
        <v>6.0000000000000001E-3</v>
      </c>
      <c r="S3357" s="359" t="s">
        <v>55</v>
      </c>
      <c r="T3357" s="359" t="s">
        <v>112</v>
      </c>
      <c r="U3357" s="359" t="s">
        <v>57</v>
      </c>
      <c r="V3357" s="365">
        <f>2600</f>
        <v>2600</v>
      </c>
      <c r="W3357" s="365"/>
      <c r="X3357" s="366">
        <f>(886+30314)/12</f>
        <v>2600</v>
      </c>
      <c r="Y3357" s="367">
        <f t="shared" si="1575"/>
        <v>0</v>
      </c>
      <c r="Z3357" s="368">
        <f t="shared" si="1576"/>
        <v>0</v>
      </c>
      <c r="AA3357" s="368">
        <f t="shared" si="1572"/>
        <v>0</v>
      </c>
      <c r="AB3357" s="819">
        <v>7.4999999999999997E-3</v>
      </c>
      <c r="AC3357" s="365">
        <f t="shared" si="1577"/>
        <v>0</v>
      </c>
      <c r="AD3357" s="307" t="s">
        <v>2421</v>
      </c>
      <c r="AE3357" s="210">
        <f t="shared" si="1578"/>
        <v>0</v>
      </c>
      <c r="AF3357" s="210">
        <f t="shared" si="1579"/>
        <v>0</v>
      </c>
      <c r="AG3357" s="211">
        <f t="shared" si="1582"/>
        <v>0.25800000000000001</v>
      </c>
      <c r="AH3357" s="157">
        <f t="shared" si="1580"/>
        <v>0</v>
      </c>
      <c r="AI3357" s="152">
        <f t="shared" si="1581"/>
        <v>31200</v>
      </c>
      <c r="AK3357" s="156" t="s">
        <v>691</v>
      </c>
      <c r="AL3357" s="574" t="s">
        <v>690</v>
      </c>
      <c r="AM3357" s="198">
        <f t="shared" si="1573"/>
        <v>0</v>
      </c>
      <c r="AN3357" s="199">
        <f t="shared" si="1574"/>
        <v>46128</v>
      </c>
      <c r="AO3357" s="159" t="s">
        <v>692</v>
      </c>
      <c r="AP3357" s="783" t="s">
        <v>612</v>
      </c>
      <c r="AQ3357" s="782">
        <v>12071839</v>
      </c>
      <c r="AR3357" s="782">
        <v>12042650</v>
      </c>
      <c r="AS3357" s="782">
        <v>12042649</v>
      </c>
      <c r="AT3357" s="782">
        <v>12096387</v>
      </c>
      <c r="AU3357" s="781"/>
      <c r="AV3357" s="782">
        <v>12088422</v>
      </c>
      <c r="AW3357" s="782"/>
      <c r="AX3357" s="782"/>
      <c r="AY3357" s="782"/>
      <c r="AZ3357" s="782"/>
      <c r="BA3357" s="781"/>
      <c r="BB3357" s="209">
        <v>23053185</v>
      </c>
    </row>
    <row r="3358" spans="1:54" ht="25" customHeight="1">
      <c r="A3358" s="754" t="s">
        <v>438</v>
      </c>
      <c r="B3358" s="332">
        <v>46129</v>
      </c>
      <c r="C3358" s="333">
        <v>46170</v>
      </c>
      <c r="D3358" s="185">
        <f t="shared" si="1560"/>
        <v>2026</v>
      </c>
      <c r="E3358" s="335" t="e">
        <f>VLOOKUP($B3358,Week!$A$1:$C$1462,2,0)</f>
        <v>#N/A</v>
      </c>
      <c r="F3358" s="334" t="str">
        <f t="shared" si="1561"/>
        <v>Apr</v>
      </c>
      <c r="G3358" s="530" t="s">
        <v>2971</v>
      </c>
      <c r="H3358" s="335" t="s">
        <v>675</v>
      </c>
      <c r="I3358" s="335" t="s">
        <v>2772</v>
      </c>
      <c r="J3358" s="336" t="s">
        <v>709</v>
      </c>
      <c r="K3358" s="337" t="s">
        <v>671</v>
      </c>
      <c r="L3358" s="300" t="s">
        <v>2167</v>
      </c>
      <c r="M3358" s="336" t="s">
        <v>661</v>
      </c>
      <c r="N3358" s="335" t="s">
        <v>714</v>
      </c>
      <c r="O3358" s="335" t="s">
        <v>566</v>
      </c>
      <c r="P3358" s="338">
        <v>16</v>
      </c>
      <c r="Q3358" s="338">
        <v>6</v>
      </c>
      <c r="R3358" s="339">
        <v>6.0000000000000001E-3</v>
      </c>
      <c r="S3358" s="335" t="s">
        <v>55</v>
      </c>
      <c r="T3358" s="335" t="s">
        <v>112</v>
      </c>
      <c r="U3358" s="335" t="s">
        <v>662</v>
      </c>
      <c r="V3358" s="341">
        <v>216</v>
      </c>
      <c r="W3358" s="341"/>
      <c r="X3358" s="342">
        <f>(53+64+1750)/8</f>
        <v>233.375</v>
      </c>
      <c r="Y3358" s="343">
        <f t="shared" si="1575"/>
        <v>17.375</v>
      </c>
      <c r="Z3358" s="344">
        <f t="shared" si="1576"/>
        <v>0</v>
      </c>
      <c r="AA3358" s="344">
        <f t="shared" si="1572"/>
        <v>0</v>
      </c>
      <c r="AB3358" s="817">
        <v>1</v>
      </c>
      <c r="AC3358" s="341">
        <f t="shared" si="1577"/>
        <v>0</v>
      </c>
      <c r="AD3358" s="336"/>
      <c r="AE3358" s="533">
        <f t="shared" si="1578"/>
        <v>0</v>
      </c>
      <c r="AF3358" s="533">
        <f t="shared" si="1579"/>
        <v>0</v>
      </c>
      <c r="AG3358" s="211">
        <f t="shared" si="1582"/>
        <v>0.11700000000000001</v>
      </c>
      <c r="AH3358" s="157">
        <f t="shared" si="1580"/>
        <v>0</v>
      </c>
      <c r="AI3358" s="152">
        <f t="shared" si="1581"/>
        <v>3456</v>
      </c>
      <c r="AK3358" s="156" t="s">
        <v>691</v>
      </c>
      <c r="AL3358" s="212" t="s">
        <v>690</v>
      </c>
      <c r="AM3358" s="198">
        <f t="shared" si="1573"/>
        <v>0</v>
      </c>
      <c r="AN3358" s="199">
        <f t="shared" si="1574"/>
        <v>46129</v>
      </c>
      <c r="AO3358" s="159" t="s">
        <v>692</v>
      </c>
      <c r="AP3358" s="797"/>
      <c r="AQ3358" s="798"/>
      <c r="AR3358" s="798" t="s">
        <v>2144</v>
      </c>
      <c r="AS3358" s="798"/>
      <c r="AT3358" s="782">
        <v>12090031</v>
      </c>
      <c r="AU3358" s="799"/>
      <c r="AV3358" s="782">
        <v>12090032</v>
      </c>
      <c r="AW3358" s="798"/>
      <c r="AX3358" s="798" t="s">
        <v>2145</v>
      </c>
      <c r="AY3358" s="798"/>
      <c r="AZ3358" s="798"/>
      <c r="BA3358" s="799"/>
      <c r="BB3358" s="209">
        <v>23094763</v>
      </c>
    </row>
    <row r="3359" spans="1:54" ht="24.75" customHeight="1">
      <c r="B3359" s="295">
        <v>46129</v>
      </c>
      <c r="C3359" s="771" t="s">
        <v>2848</v>
      </c>
      <c r="D3359" s="185">
        <f t="shared" si="1560"/>
        <v>2026</v>
      </c>
      <c r="E3359" s="296" t="e">
        <f>VLOOKUP($B3359,Week!$A$1:$C$1462,2,0)</f>
        <v>#N/A</v>
      </c>
      <c r="F3359" s="297" t="str">
        <f t="shared" si="1561"/>
        <v>Apr</v>
      </c>
      <c r="G3359" s="648" t="s">
        <v>47</v>
      </c>
      <c r="H3359" s="298" t="s">
        <v>260</v>
      </c>
      <c r="I3359" s="298" t="s">
        <v>2702</v>
      </c>
      <c r="J3359" s="307" t="s">
        <v>2240</v>
      </c>
      <c r="K3359" s="300" t="s">
        <v>176</v>
      </c>
      <c r="L3359" s="300" t="s">
        <v>2167</v>
      </c>
      <c r="M3359" s="299" t="s">
        <v>2338</v>
      </c>
      <c r="N3359" s="298" t="s">
        <v>350</v>
      </c>
      <c r="O3359" s="298" t="s">
        <v>351</v>
      </c>
      <c r="P3359" s="301">
        <v>24</v>
      </c>
      <c r="Q3359" s="301">
        <v>5</v>
      </c>
      <c r="R3359" s="302">
        <v>6.1999999999999998E-3</v>
      </c>
      <c r="S3359" s="298" t="s">
        <v>352</v>
      </c>
      <c r="T3359" s="298" t="s">
        <v>56</v>
      </c>
      <c r="U3359" s="298" t="s">
        <v>57</v>
      </c>
      <c r="V3359" s="303">
        <v>1082</v>
      </c>
      <c r="W3359" s="303">
        <f>1+1081</f>
        <v>1082</v>
      </c>
      <c r="X3359" s="304"/>
      <c r="Y3359" s="305">
        <f t="shared" si="1575"/>
        <v>0</v>
      </c>
      <c r="Z3359" s="306">
        <f t="shared" si="1576"/>
        <v>0</v>
      </c>
      <c r="AA3359" s="306">
        <f t="shared" si="1572"/>
        <v>0</v>
      </c>
      <c r="AB3359" s="814">
        <v>7.4999999999999997E-3</v>
      </c>
      <c r="AC3359" s="303">
        <f t="shared" si="1577"/>
        <v>0</v>
      </c>
      <c r="AD3359" s="443"/>
      <c r="AE3359" s="210">
        <f t="shared" si="1578"/>
        <v>0</v>
      </c>
      <c r="AF3359" s="210">
        <f t="shared" si="1579"/>
        <v>0</v>
      </c>
      <c r="AG3359" s="211">
        <f t="shared" si="1582"/>
        <v>0.13</v>
      </c>
      <c r="AH3359" s="157">
        <f t="shared" si="1580"/>
        <v>0</v>
      </c>
      <c r="AI3359" s="152">
        <f t="shared" si="1581"/>
        <v>25968</v>
      </c>
      <c r="AK3359" s="156" t="s">
        <v>691</v>
      </c>
      <c r="AL3359" s="574" t="s">
        <v>690</v>
      </c>
      <c r="AM3359" s="198">
        <f t="shared" si="1573"/>
        <v>0</v>
      </c>
      <c r="AN3359" s="199">
        <f t="shared" si="1574"/>
        <v>46129</v>
      </c>
      <c r="AO3359" s="159" t="s">
        <v>692</v>
      </c>
      <c r="AP3359" s="783" t="s">
        <v>622</v>
      </c>
      <c r="AQ3359" s="782">
        <v>12071839</v>
      </c>
      <c r="AR3359" s="782">
        <v>12094356</v>
      </c>
      <c r="AS3359" s="782">
        <v>12068233</v>
      </c>
      <c r="AT3359" s="781"/>
      <c r="AU3359" s="781"/>
      <c r="AV3359" s="782">
        <v>12062075</v>
      </c>
      <c r="AW3359" s="781"/>
      <c r="AX3359" s="781"/>
      <c r="AY3359" s="782">
        <v>12094357</v>
      </c>
      <c r="AZ3359" s="782"/>
      <c r="BA3359" s="781"/>
      <c r="BB3359" s="209">
        <v>23053184</v>
      </c>
    </row>
    <row r="3360" spans="1:54" ht="25" customHeight="1">
      <c r="A3360" s="440"/>
      <c r="B3360" s="583">
        <v>46129</v>
      </c>
      <c r="C3360" s="583">
        <v>46139</v>
      </c>
      <c r="D3360" s="185">
        <f t="shared" si="1560"/>
        <v>2026</v>
      </c>
      <c r="E3360" s="584" t="e">
        <f>VLOOKUP($B3360,[1]Week!$A$1:$C$1462,2,0)</f>
        <v>#N/A</v>
      </c>
      <c r="F3360" s="585" t="str">
        <f t="shared" si="1561"/>
        <v>Apr</v>
      </c>
      <c r="G3360" s="586" t="s">
        <v>2845</v>
      </c>
      <c r="H3360" s="586" t="s">
        <v>134</v>
      </c>
      <c r="I3360" s="586" t="s">
        <v>2772</v>
      </c>
      <c r="J3360" s="587" t="s">
        <v>2932</v>
      </c>
      <c r="K3360" s="588" t="s">
        <v>2945</v>
      </c>
      <c r="L3360" s="300" t="s">
        <v>2167</v>
      </c>
      <c r="M3360" s="587" t="s">
        <v>1636</v>
      </c>
      <c r="N3360" s="586" t="s">
        <v>1634</v>
      </c>
      <c r="O3360" s="586" t="s">
        <v>1635</v>
      </c>
      <c r="P3360" s="589">
        <v>24</v>
      </c>
      <c r="Q3360" s="589">
        <v>3</v>
      </c>
      <c r="R3360" s="590">
        <v>8.0000000000000002E-3</v>
      </c>
      <c r="S3360" s="586" t="s">
        <v>40</v>
      </c>
      <c r="T3360" s="586" t="s">
        <v>112</v>
      </c>
      <c r="U3360" s="591" t="s">
        <v>1633</v>
      </c>
      <c r="V3360" s="592">
        <f>420</f>
        <v>420</v>
      </c>
      <c r="W3360" s="592">
        <f>419</f>
        <v>419</v>
      </c>
      <c r="X3360" s="593">
        <f>(155+15)/24</f>
        <v>7.083333333333333</v>
      </c>
      <c r="Y3360" s="594">
        <f t="shared" si="1575"/>
        <v>6.0833333333333144</v>
      </c>
      <c r="Z3360" s="595">
        <f t="shared" si="1576"/>
        <v>0</v>
      </c>
      <c r="AA3360" s="595">
        <f t="shared" si="1572"/>
        <v>0</v>
      </c>
      <c r="AB3360" s="835">
        <v>6.5000000000000002E-2</v>
      </c>
      <c r="AC3360" s="592">
        <f t="shared" si="1577"/>
        <v>0</v>
      </c>
      <c r="AD3360" s="443"/>
      <c r="AE3360" s="210">
        <f t="shared" si="1578"/>
        <v>0</v>
      </c>
      <c r="AF3360" s="210">
        <f t="shared" si="1579"/>
        <v>0</v>
      </c>
      <c r="AG3360" s="211">
        <f t="shared" si="1582"/>
        <v>0.25</v>
      </c>
      <c r="AH3360" s="157">
        <f t="shared" si="1580"/>
        <v>0</v>
      </c>
      <c r="AI3360" s="152">
        <f t="shared" si="1581"/>
        <v>10080</v>
      </c>
      <c r="AK3360" s="156" t="s">
        <v>691</v>
      </c>
      <c r="AL3360" s="212" t="s">
        <v>690</v>
      </c>
      <c r="AM3360" s="198">
        <f t="shared" si="1573"/>
        <v>0</v>
      </c>
      <c r="AN3360" s="199">
        <f t="shared" si="1574"/>
        <v>46129</v>
      </c>
      <c r="AO3360" s="159" t="s">
        <v>692</v>
      </c>
      <c r="AP3360" s="781"/>
      <c r="AQ3360" s="782">
        <v>12071839</v>
      </c>
      <c r="AR3360" s="782">
        <v>12042650</v>
      </c>
      <c r="AS3360" s="782">
        <v>12042649</v>
      </c>
      <c r="AT3360" s="782"/>
      <c r="AU3360" s="783" t="s">
        <v>2156</v>
      </c>
      <c r="AV3360" s="782">
        <v>12091944</v>
      </c>
      <c r="AW3360" s="782" t="s">
        <v>2157</v>
      </c>
      <c r="AX3360" s="782"/>
      <c r="AY3360" s="782">
        <v>12094273</v>
      </c>
      <c r="AZ3360" s="782">
        <v>12094274</v>
      </c>
      <c r="BA3360" s="782">
        <v>12094275</v>
      </c>
      <c r="BB3360" s="209">
        <v>23105543</v>
      </c>
    </row>
    <row r="3361" spans="1:54" ht="25" customHeight="1">
      <c r="A3361" s="440"/>
      <c r="B3361" s="743">
        <v>46129</v>
      </c>
      <c r="C3361" s="744">
        <v>46148</v>
      </c>
      <c r="D3361" s="185">
        <f t="shared" si="1560"/>
        <v>2026</v>
      </c>
      <c r="E3361" s="333" t="e">
        <f>VLOOKUP($B3361,Week!$A$1:$C$1462,2,0)</f>
        <v>#N/A</v>
      </c>
      <c r="F3361" s="334" t="str">
        <f t="shared" si="1561"/>
        <v>Apr</v>
      </c>
      <c r="G3361" s="746" t="s">
        <v>2833</v>
      </c>
      <c r="H3361" s="746" t="s">
        <v>311</v>
      </c>
      <c r="I3361" s="335" t="s">
        <v>2772</v>
      </c>
      <c r="J3361" s="747" t="s">
        <v>2913</v>
      </c>
      <c r="K3361" s="748" t="s">
        <v>1651</v>
      </c>
      <c r="L3361" s="300" t="s">
        <v>2167</v>
      </c>
      <c r="M3361" s="747" t="s">
        <v>683</v>
      </c>
      <c r="N3361" s="915" t="s">
        <v>2776</v>
      </c>
      <c r="O3361" s="746" t="s">
        <v>2749</v>
      </c>
      <c r="P3361" s="749">
        <v>5</v>
      </c>
      <c r="Q3361" s="749">
        <v>3</v>
      </c>
      <c r="R3361" s="849">
        <v>6.0000000000000001E-3</v>
      </c>
      <c r="S3361" s="746" t="s">
        <v>55</v>
      </c>
      <c r="T3361" s="746" t="s">
        <v>112</v>
      </c>
      <c r="U3361" s="860" t="s">
        <v>1633</v>
      </c>
      <c r="V3361" s="750">
        <f>5000</f>
        <v>5000</v>
      </c>
      <c r="W3361" s="750"/>
      <c r="X3361" s="751">
        <f>(120+24352+661)/5</f>
        <v>5026.6000000000004</v>
      </c>
      <c r="Y3361" s="752">
        <f t="shared" si="1575"/>
        <v>26.600000000000364</v>
      </c>
      <c r="Z3361" s="753">
        <f t="shared" si="1576"/>
        <v>0</v>
      </c>
      <c r="AA3361" s="753">
        <f t="shared" si="1572"/>
        <v>0</v>
      </c>
      <c r="AB3361" s="838">
        <v>1</v>
      </c>
      <c r="AC3361" s="750">
        <f t="shared" si="1577"/>
        <v>0</v>
      </c>
      <c r="AD3361" s="307" t="s">
        <v>2354</v>
      </c>
      <c r="AE3361" s="210">
        <f t="shared" si="1578"/>
        <v>0</v>
      </c>
      <c r="AF3361" s="210">
        <f t="shared" si="1579"/>
        <v>0</v>
      </c>
      <c r="AG3361" s="211">
        <f t="shared" si="1582"/>
        <v>0.28299999999999997</v>
      </c>
      <c r="AH3361" s="157">
        <v>0.26621999999999996</v>
      </c>
      <c r="AI3361" s="152">
        <f t="shared" si="1581"/>
        <v>25000</v>
      </c>
      <c r="AK3361" s="156" t="s">
        <v>691</v>
      </c>
      <c r="AL3361" s="574" t="s">
        <v>690</v>
      </c>
      <c r="AM3361" s="198">
        <f t="shared" si="1573"/>
        <v>0</v>
      </c>
      <c r="AN3361" s="199">
        <f t="shared" si="1574"/>
        <v>46129</v>
      </c>
      <c r="AO3361" s="159" t="s">
        <v>692</v>
      </c>
      <c r="AP3361" s="781" t="s">
        <v>642</v>
      </c>
      <c r="AQ3361" s="782">
        <v>12063755</v>
      </c>
      <c r="AR3361" s="782">
        <v>12081257</v>
      </c>
      <c r="AS3361" s="782">
        <v>12081260</v>
      </c>
      <c r="AT3361" s="782">
        <v>12098256</v>
      </c>
      <c r="AU3361" s="781"/>
      <c r="AV3361" s="782">
        <v>12098255</v>
      </c>
      <c r="AW3361" s="781"/>
      <c r="AX3361" s="781"/>
      <c r="AY3361" s="781"/>
      <c r="AZ3361" s="781"/>
      <c r="BA3361" s="781"/>
      <c r="BB3361" s="209">
        <v>23099087</v>
      </c>
    </row>
    <row r="3362" spans="1:54" ht="25" customHeight="1">
      <c r="B3362" s="332">
        <v>46129</v>
      </c>
      <c r="C3362" s="333">
        <v>46135</v>
      </c>
      <c r="D3362" s="185">
        <f t="shared" si="1560"/>
        <v>2026</v>
      </c>
      <c r="E3362" s="333" t="e">
        <f>VLOOKUP($B3362,Week!$A$1:$C$1462,2,0)</f>
        <v>#N/A</v>
      </c>
      <c r="F3362" s="334" t="str">
        <f t="shared" si="1561"/>
        <v>Apr</v>
      </c>
      <c r="G3362" s="335" t="s">
        <v>2863</v>
      </c>
      <c r="H3362" s="335" t="s">
        <v>675</v>
      </c>
      <c r="I3362" s="335" t="s">
        <v>2772</v>
      </c>
      <c r="J3362" s="336" t="s">
        <v>2906</v>
      </c>
      <c r="K3362" s="337" t="s">
        <v>1652</v>
      </c>
      <c r="L3362" s="300" t="s">
        <v>2167</v>
      </c>
      <c r="M3362" s="336" t="s">
        <v>682</v>
      </c>
      <c r="N3362" s="530" t="s">
        <v>712</v>
      </c>
      <c r="O3362" s="335" t="s">
        <v>602</v>
      </c>
      <c r="P3362" s="338">
        <v>8</v>
      </c>
      <c r="Q3362" s="338">
        <v>3</v>
      </c>
      <c r="R3362" s="339">
        <v>6.0000000000000001E-3</v>
      </c>
      <c r="S3362" s="335" t="s">
        <v>55</v>
      </c>
      <c r="T3362" s="335" t="s">
        <v>112</v>
      </c>
      <c r="U3362" s="340" t="s">
        <v>724</v>
      </c>
      <c r="V3362" s="341">
        <f>600</f>
        <v>600</v>
      </c>
      <c r="W3362" s="341"/>
      <c r="X3362" s="342">
        <f>(148+4652)/8</f>
        <v>600</v>
      </c>
      <c r="Y3362" s="343">
        <f t="shared" si="1575"/>
        <v>0</v>
      </c>
      <c r="Z3362" s="344">
        <f t="shared" si="1576"/>
        <v>0</v>
      </c>
      <c r="AA3362" s="344">
        <f t="shared" si="1572"/>
        <v>0</v>
      </c>
      <c r="AB3362" s="817">
        <v>5.8823E-2</v>
      </c>
      <c r="AC3362" s="341">
        <f t="shared" si="1577"/>
        <v>0</v>
      </c>
      <c r="AD3362" s="515"/>
      <c r="AE3362" s="210">
        <f t="shared" si="1578"/>
        <v>0</v>
      </c>
      <c r="AF3362" s="210">
        <f t="shared" si="1579"/>
        <v>0</v>
      </c>
      <c r="AG3362" s="211">
        <f t="shared" ref="AG3362:AG3369" si="1583">MID(O3362,1,3)/1000</f>
        <v>0.30199999999999999</v>
      </c>
      <c r="AH3362" s="157">
        <v>0.26621999999999996</v>
      </c>
      <c r="AI3362" s="152">
        <f t="shared" si="1581"/>
        <v>4800</v>
      </c>
      <c r="AK3362" s="156" t="s">
        <v>691</v>
      </c>
      <c r="AL3362" s="574" t="s">
        <v>690</v>
      </c>
      <c r="AM3362" s="198">
        <f t="shared" si="1573"/>
        <v>0</v>
      </c>
      <c r="AN3362" s="199">
        <f t="shared" si="1574"/>
        <v>46129</v>
      </c>
      <c r="AO3362" s="159" t="s">
        <v>692</v>
      </c>
      <c r="AP3362" s="781" t="s">
        <v>642</v>
      </c>
      <c r="AQ3362" s="782">
        <v>12063755</v>
      </c>
      <c r="AR3362" s="782">
        <v>12061353</v>
      </c>
      <c r="AS3362" s="782">
        <v>12061354</v>
      </c>
      <c r="AT3362" s="782">
        <v>12090030</v>
      </c>
      <c r="AU3362" s="781"/>
      <c r="AV3362" s="782">
        <v>12089992</v>
      </c>
      <c r="AW3362" s="781"/>
      <c r="AX3362" s="781"/>
      <c r="AY3362" s="781"/>
      <c r="AZ3362" s="782"/>
      <c r="BA3362" s="781"/>
      <c r="BB3362" s="209">
        <v>23099860</v>
      </c>
    </row>
    <row r="3363" spans="1:54" ht="25" customHeight="1">
      <c r="B3363" s="332">
        <v>46129</v>
      </c>
      <c r="C3363" s="333">
        <v>46170</v>
      </c>
      <c r="D3363" s="185">
        <f t="shared" si="1560"/>
        <v>2026</v>
      </c>
      <c r="E3363" s="333" t="e">
        <f>VLOOKUP($B3363,Week!$A$1:$C$1462,2,0)</f>
        <v>#N/A</v>
      </c>
      <c r="F3363" s="334" t="str">
        <f t="shared" si="1561"/>
        <v>Apr</v>
      </c>
      <c r="G3363" s="335" t="s">
        <v>2971</v>
      </c>
      <c r="H3363" s="335" t="s">
        <v>675</v>
      </c>
      <c r="I3363" s="335" t="s">
        <v>2772</v>
      </c>
      <c r="J3363" s="336" t="s">
        <v>2906</v>
      </c>
      <c r="K3363" s="337" t="s">
        <v>1652</v>
      </c>
      <c r="L3363" s="300" t="s">
        <v>2167</v>
      </c>
      <c r="M3363" s="336" t="s">
        <v>682</v>
      </c>
      <c r="N3363" s="530" t="s">
        <v>712</v>
      </c>
      <c r="O3363" s="335" t="s">
        <v>602</v>
      </c>
      <c r="P3363" s="338">
        <v>8</v>
      </c>
      <c r="Q3363" s="338">
        <v>3</v>
      </c>
      <c r="R3363" s="339">
        <v>6.0000000000000001E-3</v>
      </c>
      <c r="S3363" s="335" t="s">
        <v>55</v>
      </c>
      <c r="T3363" s="335" t="s">
        <v>112</v>
      </c>
      <c r="U3363" s="340" t="s">
        <v>724</v>
      </c>
      <c r="V3363" s="341">
        <v>560</v>
      </c>
      <c r="W3363" s="341"/>
      <c r="X3363" s="342">
        <f>(9093-4652+39)/8</f>
        <v>560</v>
      </c>
      <c r="Y3363" s="343">
        <f t="shared" si="1575"/>
        <v>0</v>
      </c>
      <c r="Z3363" s="344">
        <f t="shared" si="1576"/>
        <v>0</v>
      </c>
      <c r="AA3363" s="344">
        <f t="shared" si="1572"/>
        <v>0</v>
      </c>
      <c r="AB3363" s="817">
        <v>5.8823E-2</v>
      </c>
      <c r="AC3363" s="341">
        <f t="shared" si="1577"/>
        <v>0</v>
      </c>
      <c r="AD3363" s="515"/>
      <c r="AE3363" s="210">
        <f t="shared" si="1578"/>
        <v>0</v>
      </c>
      <c r="AF3363" s="210">
        <f t="shared" si="1579"/>
        <v>0</v>
      </c>
      <c r="AG3363" s="211">
        <f t="shared" si="1583"/>
        <v>0.30199999999999999</v>
      </c>
      <c r="AH3363" s="157">
        <v>0.26621999999999996</v>
      </c>
      <c r="AI3363" s="152">
        <f t="shared" si="1581"/>
        <v>4480</v>
      </c>
      <c r="AK3363" s="156" t="s">
        <v>691</v>
      </c>
      <c r="AL3363" s="574" t="s">
        <v>690</v>
      </c>
      <c r="AM3363" s="198">
        <f t="shared" si="1573"/>
        <v>0</v>
      </c>
      <c r="AN3363" s="199">
        <f t="shared" si="1574"/>
        <v>46129</v>
      </c>
      <c r="AO3363" s="159" t="s">
        <v>692</v>
      </c>
      <c r="AP3363" s="781" t="s">
        <v>642</v>
      </c>
      <c r="AQ3363" s="782">
        <v>12063755</v>
      </c>
      <c r="AR3363" s="782">
        <v>12061353</v>
      </c>
      <c r="AS3363" s="782">
        <v>12061354</v>
      </c>
      <c r="AT3363" s="782">
        <v>12090030</v>
      </c>
      <c r="AU3363" s="781"/>
      <c r="AV3363" s="782">
        <v>12089992</v>
      </c>
      <c r="AW3363" s="781"/>
      <c r="AX3363" s="781"/>
      <c r="AY3363" s="781"/>
      <c r="AZ3363" s="782"/>
      <c r="BA3363" s="781"/>
      <c r="BB3363" s="209">
        <v>23099860</v>
      </c>
    </row>
    <row r="3364" spans="1:54" ht="25" customHeight="1">
      <c r="B3364" s="743">
        <v>46129</v>
      </c>
      <c r="C3364" s="744">
        <v>46148</v>
      </c>
      <c r="D3364" s="746">
        <f t="shared" si="1560"/>
        <v>2026</v>
      </c>
      <c r="E3364" s="744" t="e">
        <f>VLOOKUP($B3364,Week!$A$1:$C$1462,2,0)</f>
        <v>#N/A</v>
      </c>
      <c r="F3364" s="745" t="str">
        <f t="shared" si="1561"/>
        <v>Apr</v>
      </c>
      <c r="G3364" s="746" t="s">
        <v>2834</v>
      </c>
      <c r="H3364" s="746" t="s">
        <v>311</v>
      </c>
      <c r="I3364" s="746" t="s">
        <v>2772</v>
      </c>
      <c r="J3364" s="747" t="s">
        <v>2913</v>
      </c>
      <c r="K3364" s="748" t="s">
        <v>1652</v>
      </c>
      <c r="L3364" s="748" t="s">
        <v>2167</v>
      </c>
      <c r="M3364" s="747" t="s">
        <v>682</v>
      </c>
      <c r="N3364" s="915" t="s">
        <v>2775</v>
      </c>
      <c r="O3364" s="746" t="s">
        <v>2748</v>
      </c>
      <c r="P3364" s="749">
        <v>5</v>
      </c>
      <c r="Q3364" s="749">
        <v>3</v>
      </c>
      <c r="R3364" s="849">
        <v>6.0000000000000001E-3</v>
      </c>
      <c r="S3364" s="746" t="s">
        <v>55</v>
      </c>
      <c r="T3364" s="746" t="s">
        <v>112</v>
      </c>
      <c r="U3364" s="860" t="s">
        <v>724</v>
      </c>
      <c r="V3364" s="750">
        <f>5000</f>
        <v>5000</v>
      </c>
      <c r="W3364" s="750"/>
      <c r="X3364" s="751">
        <f>(39+25154)/5</f>
        <v>5038.6000000000004</v>
      </c>
      <c r="Y3364" s="752">
        <f t="shared" si="1575"/>
        <v>38.600000000000364</v>
      </c>
      <c r="Z3364" s="753">
        <f t="shared" si="1576"/>
        <v>0</v>
      </c>
      <c r="AA3364" s="753">
        <f t="shared" si="1572"/>
        <v>0</v>
      </c>
      <c r="AB3364" s="838">
        <v>5.8823E-2</v>
      </c>
      <c r="AC3364" s="750">
        <f t="shared" si="1577"/>
        <v>0</v>
      </c>
      <c r="AD3364" s="307" t="s">
        <v>2354</v>
      </c>
      <c r="AE3364" s="210">
        <f t="shared" si="1578"/>
        <v>0</v>
      </c>
      <c r="AF3364" s="210">
        <f t="shared" si="1579"/>
        <v>0</v>
      </c>
      <c r="AG3364" s="211">
        <f t="shared" si="1583"/>
        <v>0.30199999999999999</v>
      </c>
      <c r="AH3364" s="157">
        <v>0.26621999999999996</v>
      </c>
      <c r="AI3364" s="152">
        <f t="shared" si="1581"/>
        <v>25000</v>
      </c>
      <c r="AK3364" s="156" t="s">
        <v>691</v>
      </c>
      <c r="AL3364" s="574" t="s">
        <v>690</v>
      </c>
      <c r="AM3364" s="198">
        <f t="shared" si="1573"/>
        <v>0</v>
      </c>
      <c r="AN3364" s="199">
        <f t="shared" si="1574"/>
        <v>46129</v>
      </c>
      <c r="AO3364" s="159" t="s">
        <v>692</v>
      </c>
      <c r="AP3364" s="781" t="s">
        <v>642</v>
      </c>
      <c r="AQ3364" s="782">
        <v>12063755</v>
      </c>
      <c r="AR3364" s="782">
        <v>12081257</v>
      </c>
      <c r="AS3364" s="782">
        <v>12081260</v>
      </c>
      <c r="AT3364" s="782">
        <v>12098253</v>
      </c>
      <c r="AU3364" s="781"/>
      <c r="AV3364" s="782">
        <v>12098254</v>
      </c>
      <c r="AW3364" s="781"/>
      <c r="AX3364" s="781"/>
      <c r="AY3364" s="781"/>
      <c r="AZ3364" s="782"/>
      <c r="BA3364" s="781"/>
      <c r="BB3364" s="209">
        <v>23099860</v>
      </c>
    </row>
    <row r="3365" spans="1:54" ht="25" customHeight="1">
      <c r="B3365" s="385">
        <v>46129</v>
      </c>
      <c r="C3365" s="386">
        <v>46154</v>
      </c>
      <c r="D3365" s="185">
        <f t="shared" ref="D3365:D3396" si="1584">IF(B3365="","",YEAR(B3365))</f>
        <v>2026</v>
      </c>
      <c r="E3365" s="386" t="e">
        <f>VLOOKUP($B3365,Week!$A$1:$C$1462,2,0)</f>
        <v>#N/A</v>
      </c>
      <c r="F3365" s="387" t="str">
        <f t="shared" ref="F3365:F3396" si="1585">IF(B3365="","",TEXT(B3365,"[$-409]mmm"))</f>
        <v>Apr</v>
      </c>
      <c r="G3365" s="388" t="s">
        <v>2896</v>
      </c>
      <c r="H3365" s="388" t="s">
        <v>600</v>
      </c>
      <c r="I3365" s="388" t="s">
        <v>2772</v>
      </c>
      <c r="J3365" s="389" t="s">
        <v>708</v>
      </c>
      <c r="K3365" s="390" t="s">
        <v>1652</v>
      </c>
      <c r="L3365" s="300" t="s">
        <v>2167</v>
      </c>
      <c r="M3365" s="389" t="s">
        <v>682</v>
      </c>
      <c r="N3365" s="637" t="s">
        <v>1404</v>
      </c>
      <c r="O3365" s="388" t="s">
        <v>602</v>
      </c>
      <c r="P3365" s="391">
        <v>8</v>
      </c>
      <c r="Q3365" s="391">
        <v>3</v>
      </c>
      <c r="R3365" s="392">
        <v>6.0000000000000001E-3</v>
      </c>
      <c r="S3365" s="388" t="s">
        <v>55</v>
      </c>
      <c r="T3365" s="388" t="s">
        <v>112</v>
      </c>
      <c r="U3365" s="601" t="s">
        <v>724</v>
      </c>
      <c r="V3365" s="393">
        <f>1750</f>
        <v>1750</v>
      </c>
      <c r="W3365" s="393"/>
      <c r="X3365" s="394">
        <f>(131+13505+431)/8</f>
        <v>1758.375</v>
      </c>
      <c r="Y3365" s="395">
        <f t="shared" si="1575"/>
        <v>8.375</v>
      </c>
      <c r="Z3365" s="396">
        <f t="shared" si="1576"/>
        <v>0</v>
      </c>
      <c r="AA3365" s="396">
        <f t="shared" si="1572"/>
        <v>0</v>
      </c>
      <c r="AB3365" s="823">
        <v>5.8823E-2</v>
      </c>
      <c r="AC3365" s="393">
        <f t="shared" si="1577"/>
        <v>0</v>
      </c>
      <c r="AD3365" s="636"/>
      <c r="AE3365" s="210">
        <f t="shared" si="1578"/>
        <v>0</v>
      </c>
      <c r="AF3365" s="210">
        <f t="shared" si="1579"/>
        <v>0</v>
      </c>
      <c r="AG3365" s="211">
        <f t="shared" si="1583"/>
        <v>0.30199999999999999</v>
      </c>
      <c r="AH3365" s="157">
        <v>0.26621999999999996</v>
      </c>
      <c r="AI3365" s="152">
        <f t="shared" si="1581"/>
        <v>14000</v>
      </c>
      <c r="AK3365" s="156" t="s">
        <v>691</v>
      </c>
      <c r="AL3365" s="212" t="s">
        <v>690</v>
      </c>
      <c r="AM3365" s="198">
        <f t="shared" si="1573"/>
        <v>0</v>
      </c>
      <c r="AN3365" s="199">
        <f t="shared" si="1574"/>
        <v>46129</v>
      </c>
      <c r="AO3365" s="159" t="s">
        <v>692</v>
      </c>
      <c r="AP3365" s="781" t="s">
        <v>642</v>
      </c>
      <c r="AQ3365" s="782">
        <v>12063755</v>
      </c>
      <c r="AR3365" s="782">
        <v>12061353</v>
      </c>
      <c r="AS3365" s="782">
        <v>12061354</v>
      </c>
      <c r="AT3365" s="782">
        <v>12091199</v>
      </c>
      <c r="AU3365" s="781"/>
      <c r="AV3365" s="782">
        <v>12091198</v>
      </c>
      <c r="AW3365" s="781"/>
      <c r="AX3365" s="781"/>
      <c r="AY3365" s="781"/>
      <c r="AZ3365" s="782"/>
      <c r="BA3365" s="781"/>
    </row>
    <row r="3366" spans="1:54" ht="24.75" customHeight="1">
      <c r="B3366" s="295">
        <v>46130</v>
      </c>
      <c r="C3366" s="771" t="s">
        <v>2848</v>
      </c>
      <c r="D3366" s="185">
        <f t="shared" si="1584"/>
        <v>2026</v>
      </c>
      <c r="E3366" s="296" t="e">
        <f>VLOOKUP($B3366,Week!$A$1:$C$1462,2,0)</f>
        <v>#N/A</v>
      </c>
      <c r="F3366" s="297" t="str">
        <f t="shared" si="1585"/>
        <v>Apr</v>
      </c>
      <c r="G3366" s="648" t="s">
        <v>47</v>
      </c>
      <c r="H3366" s="298" t="s">
        <v>260</v>
      </c>
      <c r="I3366" s="298" t="s">
        <v>2702</v>
      </c>
      <c r="J3366" s="307" t="s">
        <v>2240</v>
      </c>
      <c r="K3366" s="300" t="s">
        <v>176</v>
      </c>
      <c r="L3366" s="300" t="s">
        <v>2167</v>
      </c>
      <c r="M3366" s="299" t="s">
        <v>2338</v>
      </c>
      <c r="N3366" s="298" t="s">
        <v>350</v>
      </c>
      <c r="O3366" s="298" t="s">
        <v>351</v>
      </c>
      <c r="P3366" s="301">
        <v>24</v>
      </c>
      <c r="Q3366" s="301">
        <v>5</v>
      </c>
      <c r="R3366" s="302">
        <v>6.1999999999999998E-3</v>
      </c>
      <c r="S3366" s="298" t="s">
        <v>352</v>
      </c>
      <c r="T3366" s="298" t="s">
        <v>56</v>
      </c>
      <c r="U3366" s="298" t="s">
        <v>57</v>
      </c>
      <c r="V3366" s="303">
        <v>1553</v>
      </c>
      <c r="W3366" s="303">
        <f>1+1552</f>
        <v>1553</v>
      </c>
      <c r="X3366" s="304"/>
      <c r="Y3366" s="305">
        <f t="shared" si="1575"/>
        <v>0</v>
      </c>
      <c r="Z3366" s="306">
        <f t="shared" si="1576"/>
        <v>0</v>
      </c>
      <c r="AA3366" s="306">
        <f t="shared" si="1572"/>
        <v>0</v>
      </c>
      <c r="AB3366" s="814">
        <v>7.4999999999999997E-3</v>
      </c>
      <c r="AC3366" s="303">
        <f t="shared" si="1577"/>
        <v>0</v>
      </c>
      <c r="AD3366" s="443"/>
      <c r="AE3366" s="210">
        <f t="shared" si="1578"/>
        <v>0</v>
      </c>
      <c r="AF3366" s="210">
        <f t="shared" si="1579"/>
        <v>0</v>
      </c>
      <c r="AG3366" s="211">
        <f t="shared" si="1583"/>
        <v>0.13</v>
      </c>
      <c r="AH3366" s="157">
        <f>(Z3366*AG3366)/1000</f>
        <v>0</v>
      </c>
      <c r="AI3366" s="152">
        <f t="shared" si="1581"/>
        <v>37272</v>
      </c>
      <c r="AK3366" s="156" t="s">
        <v>691</v>
      </c>
      <c r="AL3366" s="574" t="s">
        <v>690</v>
      </c>
      <c r="AM3366" s="198">
        <f t="shared" si="1573"/>
        <v>0</v>
      </c>
      <c r="AN3366" s="199">
        <f t="shared" si="1574"/>
        <v>46130</v>
      </c>
      <c r="AO3366" s="159" t="s">
        <v>692</v>
      </c>
      <c r="AP3366" s="783" t="s">
        <v>622</v>
      </c>
      <c r="AQ3366" s="782">
        <v>12071839</v>
      </c>
      <c r="AR3366" s="782">
        <v>12094356</v>
      </c>
      <c r="AS3366" s="782">
        <v>12068233</v>
      </c>
      <c r="AT3366" s="781"/>
      <c r="AU3366" s="781"/>
      <c r="AV3366" s="782">
        <v>12062075</v>
      </c>
      <c r="AW3366" s="781"/>
      <c r="AX3366" s="781"/>
      <c r="AY3366" s="782">
        <v>12094357</v>
      </c>
      <c r="AZ3366" s="782"/>
      <c r="BA3366" s="781"/>
      <c r="BB3366" s="209">
        <v>23053184</v>
      </c>
    </row>
    <row r="3367" spans="1:54" ht="24.65" customHeight="1">
      <c r="B3367" s="466">
        <v>46130</v>
      </c>
      <c r="C3367" s="467">
        <v>46135</v>
      </c>
      <c r="D3367" s="185">
        <f t="shared" si="1584"/>
        <v>2026</v>
      </c>
      <c r="E3367" s="467" t="e">
        <f>VLOOKUP($B3367,Week!$A$1:$C$1462,2,0)</f>
        <v>#N/A</v>
      </c>
      <c r="F3367" s="469" t="str">
        <f t="shared" si="1585"/>
        <v>Apr</v>
      </c>
      <c r="G3367" s="468" t="s">
        <v>2904</v>
      </c>
      <c r="H3367" s="468" t="s">
        <v>675</v>
      </c>
      <c r="I3367" s="468" t="s">
        <v>2772</v>
      </c>
      <c r="J3367" s="471" t="s">
        <v>2906</v>
      </c>
      <c r="K3367" s="472" t="s">
        <v>107</v>
      </c>
      <c r="L3367" s="300" t="s">
        <v>2167</v>
      </c>
      <c r="M3367" s="471" t="s">
        <v>313</v>
      </c>
      <c r="N3367" s="617" t="s">
        <v>696</v>
      </c>
      <c r="O3367" s="468" t="s">
        <v>110</v>
      </c>
      <c r="P3367" s="473">
        <v>36</v>
      </c>
      <c r="Q3367" s="473">
        <v>5</v>
      </c>
      <c r="R3367" s="474">
        <v>7.4999999999999997E-3</v>
      </c>
      <c r="S3367" s="468" t="s">
        <v>111</v>
      </c>
      <c r="T3367" s="468" t="s">
        <v>112</v>
      </c>
      <c r="U3367" s="468" t="s">
        <v>57</v>
      </c>
      <c r="V3367" s="475">
        <v>792</v>
      </c>
      <c r="W3367" s="475">
        <v>792</v>
      </c>
      <c r="X3367" s="476"/>
      <c r="Y3367" s="477">
        <f t="shared" si="1575"/>
        <v>0</v>
      </c>
      <c r="Z3367" s="478">
        <f t="shared" si="1576"/>
        <v>0</v>
      </c>
      <c r="AA3367" s="478">
        <f t="shared" si="1572"/>
        <v>0</v>
      </c>
      <c r="AB3367" s="828">
        <v>7.4999999999999997E-3</v>
      </c>
      <c r="AC3367" s="475">
        <f t="shared" si="1577"/>
        <v>0</v>
      </c>
      <c r="AD3367" s="307" t="s">
        <v>2779</v>
      </c>
      <c r="AE3367" s="210">
        <f t="shared" si="1578"/>
        <v>0</v>
      </c>
      <c r="AF3367" s="210">
        <f t="shared" si="1579"/>
        <v>0</v>
      </c>
      <c r="AG3367" s="211">
        <f t="shared" si="1583"/>
        <v>0.308</v>
      </c>
      <c r="AH3367" s="157">
        <f>(Z3367*AG3367)/1000</f>
        <v>0</v>
      </c>
      <c r="AI3367" s="152">
        <f t="shared" si="1581"/>
        <v>28512</v>
      </c>
      <c r="AK3367" s="156" t="s">
        <v>691</v>
      </c>
      <c r="AL3367" s="212" t="s">
        <v>690</v>
      </c>
      <c r="AM3367" s="198">
        <f t="shared" si="1573"/>
        <v>0</v>
      </c>
      <c r="AN3367" s="199">
        <f t="shared" si="1574"/>
        <v>46130</v>
      </c>
      <c r="AO3367" s="159" t="s">
        <v>692</v>
      </c>
      <c r="AP3367" s="783" t="s">
        <v>644</v>
      </c>
      <c r="AQ3367" s="782">
        <v>12063755</v>
      </c>
      <c r="AR3367" s="782">
        <v>12081257</v>
      </c>
      <c r="AS3367" s="782">
        <v>12081260</v>
      </c>
      <c r="AT3367" s="782">
        <v>12098623</v>
      </c>
      <c r="AU3367" s="781"/>
      <c r="AV3367" s="782">
        <v>12098706</v>
      </c>
      <c r="AW3367" s="782">
        <v>12088207</v>
      </c>
      <c r="AX3367" s="782"/>
      <c r="AY3367" s="782">
        <v>12094237</v>
      </c>
      <c r="AZ3367" s="782"/>
      <c r="BA3367" s="781"/>
      <c r="BB3367" s="209">
        <v>23053185</v>
      </c>
    </row>
    <row r="3368" spans="1:54" ht="24.65" customHeight="1">
      <c r="B3368" s="308">
        <v>46130</v>
      </c>
      <c r="C3368" s="309">
        <v>46142</v>
      </c>
      <c r="D3368" s="185">
        <f t="shared" si="1584"/>
        <v>2026</v>
      </c>
      <c r="E3368" s="309" t="e">
        <f>VLOOKUP($B3368,Week!$A$1:$C$1462,2,0)</f>
        <v>#N/A</v>
      </c>
      <c r="F3368" s="310" t="str">
        <f t="shared" si="1585"/>
        <v>Apr</v>
      </c>
      <c r="G3368" s="311" t="s">
        <v>2859</v>
      </c>
      <c r="H3368" s="311" t="s">
        <v>311</v>
      </c>
      <c r="I3368" s="311" t="s">
        <v>2772</v>
      </c>
      <c r="J3368" s="312" t="s">
        <v>738</v>
      </c>
      <c r="K3368" s="313" t="s">
        <v>107</v>
      </c>
      <c r="L3368" s="300" t="s">
        <v>2167</v>
      </c>
      <c r="M3368" s="312" t="s">
        <v>313</v>
      </c>
      <c r="N3368" s="311" t="s">
        <v>314</v>
      </c>
      <c r="O3368" s="311" t="s">
        <v>110</v>
      </c>
      <c r="P3368" s="314">
        <v>36</v>
      </c>
      <c r="Q3368" s="314">
        <v>5</v>
      </c>
      <c r="R3368" s="315">
        <v>7.4999999999999997E-3</v>
      </c>
      <c r="S3368" s="311" t="s">
        <v>111</v>
      </c>
      <c r="T3368" s="311" t="s">
        <v>112</v>
      </c>
      <c r="U3368" s="311" t="s">
        <v>57</v>
      </c>
      <c r="V3368" s="316">
        <v>792</v>
      </c>
      <c r="W3368" s="316">
        <f>734</f>
        <v>734</v>
      </c>
      <c r="X3368" s="317">
        <f>13+((1608+12)/36)</f>
        <v>58</v>
      </c>
      <c r="Y3368" s="318">
        <f t="shared" si="1575"/>
        <v>0</v>
      </c>
      <c r="Z3368" s="319">
        <f t="shared" si="1576"/>
        <v>0</v>
      </c>
      <c r="AA3368" s="319">
        <f t="shared" si="1572"/>
        <v>0</v>
      </c>
      <c r="AB3368" s="815">
        <v>7.4999999999999997E-3</v>
      </c>
      <c r="AC3368" s="316">
        <f t="shared" si="1577"/>
        <v>0</v>
      </c>
      <c r="AD3368" s="307" t="s">
        <v>2779</v>
      </c>
      <c r="AE3368" s="210">
        <f t="shared" si="1578"/>
        <v>0</v>
      </c>
      <c r="AF3368" s="210">
        <f t="shared" si="1579"/>
        <v>0</v>
      </c>
      <c r="AG3368" s="211">
        <f t="shared" si="1583"/>
        <v>0.308</v>
      </c>
      <c r="AH3368" s="157">
        <f>(Z3368*AG3368)/1000</f>
        <v>0</v>
      </c>
      <c r="AI3368" s="152">
        <f t="shared" si="1581"/>
        <v>28512</v>
      </c>
      <c r="AK3368" s="156" t="s">
        <v>691</v>
      </c>
      <c r="AL3368" s="212" t="s">
        <v>690</v>
      </c>
      <c r="AM3368" s="198">
        <f t="shared" si="1573"/>
        <v>0</v>
      </c>
      <c r="AN3368" s="199">
        <f t="shared" si="1574"/>
        <v>46130</v>
      </c>
      <c r="AO3368" s="159" t="s">
        <v>692</v>
      </c>
      <c r="AP3368" s="783" t="s">
        <v>644</v>
      </c>
      <c r="AQ3368" s="782">
        <v>12063755</v>
      </c>
      <c r="AR3368" s="782">
        <v>12081257</v>
      </c>
      <c r="AS3368" s="782">
        <v>12081260</v>
      </c>
      <c r="AT3368" s="782">
        <v>12098623</v>
      </c>
      <c r="AU3368" s="781"/>
      <c r="AV3368" s="782">
        <v>12098706</v>
      </c>
      <c r="AW3368" s="782">
        <v>12088207</v>
      </c>
      <c r="AX3368" s="782"/>
      <c r="AY3368" s="782">
        <v>12094237</v>
      </c>
      <c r="AZ3368" s="782"/>
      <c r="BA3368" s="781"/>
      <c r="BB3368" s="209">
        <v>23053185</v>
      </c>
    </row>
    <row r="3369" spans="1:54" ht="24.75" customHeight="1">
      <c r="B3369" s="320">
        <v>46130</v>
      </c>
      <c r="C3369" s="321">
        <v>46148</v>
      </c>
      <c r="D3369" s="185">
        <f t="shared" si="1584"/>
        <v>2026</v>
      </c>
      <c r="E3369" s="321" t="e">
        <f>VLOOKUP($B3369,Week!$A$1:$C$1462,2,0)</f>
        <v>#N/A</v>
      </c>
      <c r="F3369" s="322" t="str">
        <f t="shared" si="1585"/>
        <v>Apr</v>
      </c>
      <c r="G3369" s="323" t="s">
        <v>2832</v>
      </c>
      <c r="H3369" s="323" t="s">
        <v>311</v>
      </c>
      <c r="I3369" s="323" t="s">
        <v>2772</v>
      </c>
      <c r="J3369" s="324" t="s">
        <v>2913</v>
      </c>
      <c r="K3369" s="325" t="s">
        <v>107</v>
      </c>
      <c r="L3369" s="324" t="s">
        <v>313</v>
      </c>
      <c r="M3369" s="324" t="s">
        <v>313</v>
      </c>
      <c r="N3369" s="596" t="s">
        <v>2853</v>
      </c>
      <c r="O3369" s="323" t="s">
        <v>2747</v>
      </c>
      <c r="P3369" s="326">
        <v>5</v>
      </c>
      <c r="Q3369" s="326">
        <v>4</v>
      </c>
      <c r="R3369" s="327">
        <v>7.4999999999999997E-3</v>
      </c>
      <c r="S3369" s="323" t="s">
        <v>111</v>
      </c>
      <c r="T3369" s="323" t="s">
        <v>112</v>
      </c>
      <c r="U3369" s="323" t="s">
        <v>57</v>
      </c>
      <c r="V3369" s="328">
        <f>5000</f>
        <v>5000</v>
      </c>
      <c r="W3369" s="328"/>
      <c r="X3369" s="329">
        <f>(254+24746)/5</f>
        <v>5000</v>
      </c>
      <c r="Y3369" s="330">
        <f t="shared" si="1575"/>
        <v>0</v>
      </c>
      <c r="Z3369" s="331">
        <f t="shared" si="1576"/>
        <v>0</v>
      </c>
      <c r="AA3369" s="331">
        <f t="shared" si="1572"/>
        <v>0</v>
      </c>
      <c r="AB3369" s="816">
        <v>7.4999999999999997E-3</v>
      </c>
      <c r="AC3369" s="328">
        <f t="shared" si="1577"/>
        <v>0</v>
      </c>
      <c r="AD3369" s="307" t="s">
        <v>2354</v>
      </c>
      <c r="AE3369" s="210">
        <f t="shared" si="1578"/>
        <v>0</v>
      </c>
      <c r="AF3369" s="210">
        <f t="shared" si="1579"/>
        <v>0</v>
      </c>
      <c r="AG3369" s="211">
        <f t="shared" si="1583"/>
        <v>0.30499999999999999</v>
      </c>
      <c r="AH3369" s="157">
        <f>(Z3369*AG3369)/1000</f>
        <v>0</v>
      </c>
      <c r="AI3369" s="152">
        <f t="shared" si="1581"/>
        <v>25000</v>
      </c>
      <c r="AK3369" s="156" t="s">
        <v>691</v>
      </c>
      <c r="AL3369" s="212" t="s">
        <v>690</v>
      </c>
      <c r="AM3369" s="198">
        <f t="shared" si="1573"/>
        <v>0</v>
      </c>
      <c r="AN3369" s="199">
        <f t="shared" si="1574"/>
        <v>46130</v>
      </c>
      <c r="AO3369" s="159" t="s">
        <v>692</v>
      </c>
      <c r="AP3369" s="783" t="s">
        <v>643</v>
      </c>
      <c r="AQ3369" s="782">
        <v>12063755</v>
      </c>
      <c r="AR3369" s="782">
        <v>12081257</v>
      </c>
      <c r="AS3369" s="782">
        <v>12081260</v>
      </c>
      <c r="AT3369" s="782">
        <v>12098252</v>
      </c>
      <c r="AU3369" s="781"/>
      <c r="AV3369" s="782">
        <v>12098251</v>
      </c>
      <c r="AW3369" s="782"/>
      <c r="AX3369" s="782"/>
      <c r="AY3369" s="781"/>
      <c r="AZ3369" s="781"/>
      <c r="BA3369" s="781"/>
      <c r="BB3369" s="209">
        <v>23053185</v>
      </c>
    </row>
    <row r="3370" spans="1:54" ht="25" customHeight="1">
      <c r="B3370" s="183">
        <v>46131</v>
      </c>
      <c r="C3370" s="184"/>
      <c r="D3370" s="185">
        <f t="shared" si="1584"/>
        <v>2026</v>
      </c>
      <c r="E3370" s="185" t="e">
        <f>VLOOKUP($B3370,Week!$A$1:$C$1462,2,0)</f>
        <v>#N/A</v>
      </c>
      <c r="F3370" s="186" t="str">
        <f t="shared" si="1585"/>
        <v>Apr</v>
      </c>
      <c r="G3370" s="481"/>
      <c r="H3370" s="185"/>
      <c r="I3370" s="185"/>
      <c r="J3370" s="187"/>
      <c r="K3370" s="188"/>
      <c r="L3370" s="188"/>
      <c r="M3370" s="187"/>
      <c r="N3370" s="185"/>
      <c r="O3370" s="185"/>
      <c r="P3370" s="189"/>
      <c r="Q3370" s="189"/>
      <c r="R3370" s="190"/>
      <c r="S3370" s="185"/>
      <c r="T3370" s="185"/>
      <c r="U3370" s="185"/>
      <c r="V3370" s="191"/>
      <c r="W3370" s="191"/>
      <c r="X3370" s="192"/>
      <c r="Y3370" s="193"/>
      <c r="Z3370" s="194"/>
      <c r="AA3370" s="194">
        <f t="shared" si="1572"/>
        <v>0</v>
      </c>
      <c r="AB3370" s="805"/>
      <c r="AC3370" s="191"/>
      <c r="AD3370" s="187"/>
      <c r="AE3370" s="195"/>
      <c r="AF3370" s="195"/>
      <c r="AG3370" s="196"/>
      <c r="AH3370" s="197"/>
      <c r="AK3370" s="156" t="s">
        <v>691</v>
      </c>
      <c r="AM3370" s="198">
        <f t="shared" si="1573"/>
        <v>0</v>
      </c>
      <c r="AN3370" s="199">
        <f t="shared" si="1574"/>
        <v>46131</v>
      </c>
      <c r="AO3370" s="159" t="s">
        <v>692</v>
      </c>
      <c r="AP3370" s="781"/>
      <c r="AQ3370" s="782"/>
      <c r="AR3370" s="782"/>
      <c r="AS3370" s="782"/>
      <c r="AT3370" s="782"/>
      <c r="AU3370" s="781"/>
      <c r="AV3370" s="782"/>
      <c r="AW3370" s="782"/>
      <c r="AX3370" s="782"/>
      <c r="AY3370" s="782"/>
      <c r="AZ3370" s="782"/>
      <c r="BA3370" s="781"/>
      <c r="BB3370" s="209"/>
    </row>
    <row r="3371" spans="1:54" ht="25.15" customHeight="1">
      <c r="B3371" s="345">
        <v>46132</v>
      </c>
      <c r="C3371" s="346">
        <v>46154</v>
      </c>
      <c r="D3371" s="185">
        <f t="shared" si="1584"/>
        <v>2026</v>
      </c>
      <c r="E3371" s="347" t="e">
        <f>VLOOKUP($B3371,Week!$A$1:$C$1462,2,0)</f>
        <v>#N/A</v>
      </c>
      <c r="F3371" s="348" t="str">
        <f t="shared" si="1585"/>
        <v>Apr</v>
      </c>
      <c r="G3371" s="347" t="s">
        <v>2798</v>
      </c>
      <c r="H3371" s="347" t="s">
        <v>424</v>
      </c>
      <c r="I3371" s="347" t="s">
        <v>2772</v>
      </c>
      <c r="J3371" s="438" t="s">
        <v>425</v>
      </c>
      <c r="K3371" s="350" t="s">
        <v>176</v>
      </c>
      <c r="L3371" s="350" t="s">
        <v>2167</v>
      </c>
      <c r="M3371" s="349" t="s">
        <v>426</v>
      </c>
      <c r="N3371" s="347" t="s">
        <v>427</v>
      </c>
      <c r="O3371" s="347" t="s">
        <v>599</v>
      </c>
      <c r="P3371" s="351">
        <v>36</v>
      </c>
      <c r="Q3371" s="351">
        <v>5</v>
      </c>
      <c r="R3371" s="352">
        <v>7.4999999999999997E-3</v>
      </c>
      <c r="S3371" s="347" t="s">
        <v>111</v>
      </c>
      <c r="T3371" s="347" t="s">
        <v>112</v>
      </c>
      <c r="U3371" s="347" t="s">
        <v>57</v>
      </c>
      <c r="V3371" s="353">
        <v>1288</v>
      </c>
      <c r="W3371" s="353">
        <f>45+1243</f>
        <v>1288</v>
      </c>
      <c r="X3371" s="354"/>
      <c r="Y3371" s="355">
        <f t="shared" ref="Y3371:Y3387" si="1586">(W3371+X3371)-V3371</f>
        <v>0</v>
      </c>
      <c r="Z3371" s="356">
        <f t="shared" ref="Z3371:Z3387" si="1587">IF(Y3371&lt;0,((V3371*P3371)-((W3371+X3371)*P3371)),0)</f>
        <v>0</v>
      </c>
      <c r="AA3371" s="353">
        <f t="shared" si="1572"/>
        <v>0</v>
      </c>
      <c r="AB3371" s="818">
        <v>7.4999999999999997E-3</v>
      </c>
      <c r="AC3371" s="353">
        <f t="shared" ref="AC3371:AC3387" si="1588">Z3371*AB3371</f>
        <v>0</v>
      </c>
      <c r="AD3371" s="307" t="s">
        <v>2448</v>
      </c>
      <c r="AE3371" s="210">
        <f t="shared" ref="AE3371:AE3387" si="1589">SUM(Q3371*R3371*Z3371)/1000</f>
        <v>0</v>
      </c>
      <c r="AF3371" s="210">
        <f t="shared" ref="AF3371:AF3387" si="1590">AE3371/0.54</f>
        <v>0</v>
      </c>
      <c r="AG3371" s="211">
        <f t="shared" ref="AG3371:AG3387" si="1591">MID(O3371,1,3)/1000</f>
        <v>0.14799999999999999</v>
      </c>
      <c r="AH3371" s="157">
        <f>(Z3371*AG3371)/1000</f>
        <v>0</v>
      </c>
      <c r="AI3371" s="152">
        <f t="shared" ref="AI3371:AI3387" si="1592">V3371*P3371</f>
        <v>46368</v>
      </c>
      <c r="AK3371" s="156" t="s">
        <v>691</v>
      </c>
      <c r="AL3371" s="574" t="s">
        <v>690</v>
      </c>
      <c r="AM3371" s="198">
        <f t="shared" si="1573"/>
        <v>0</v>
      </c>
      <c r="AN3371" s="199">
        <f t="shared" si="1574"/>
        <v>46132</v>
      </c>
      <c r="AO3371" s="159" t="s">
        <v>692</v>
      </c>
      <c r="AP3371" s="783" t="s">
        <v>609</v>
      </c>
      <c r="AQ3371" s="782">
        <v>12071839</v>
      </c>
      <c r="AR3371" s="782">
        <v>12080260</v>
      </c>
      <c r="AS3371" s="782">
        <v>12080259</v>
      </c>
      <c r="AT3371" s="782">
        <v>12096006</v>
      </c>
      <c r="AU3371" s="782"/>
      <c r="AV3371" s="782">
        <v>12096007</v>
      </c>
      <c r="AW3371" s="782">
        <v>12024404</v>
      </c>
      <c r="AX3371" s="781"/>
      <c r="AY3371" s="782">
        <v>12096022</v>
      </c>
      <c r="AZ3371" s="782"/>
      <c r="BA3371" s="781"/>
      <c r="BB3371" s="209">
        <v>23053185</v>
      </c>
    </row>
    <row r="3372" spans="1:54" ht="25.15" customHeight="1">
      <c r="B3372" s="345">
        <v>46132</v>
      </c>
      <c r="C3372" s="346">
        <v>46161</v>
      </c>
      <c r="D3372" s="185">
        <f t="shared" si="1584"/>
        <v>2026</v>
      </c>
      <c r="E3372" s="347" t="e">
        <f>VLOOKUP($B3372,Week!$A$1:$C$1462,2,0)</f>
        <v>#N/A</v>
      </c>
      <c r="F3372" s="348" t="str">
        <f t="shared" si="1585"/>
        <v>Apr</v>
      </c>
      <c r="G3372" s="347" t="s">
        <v>2799</v>
      </c>
      <c r="H3372" s="347" t="s">
        <v>424</v>
      </c>
      <c r="I3372" s="347" t="s">
        <v>2772</v>
      </c>
      <c r="J3372" s="438" t="s">
        <v>425</v>
      </c>
      <c r="K3372" s="350" t="s">
        <v>176</v>
      </c>
      <c r="L3372" s="350" t="s">
        <v>2167</v>
      </c>
      <c r="M3372" s="349" t="s">
        <v>426</v>
      </c>
      <c r="N3372" s="347" t="s">
        <v>427</v>
      </c>
      <c r="O3372" s="347" t="s">
        <v>599</v>
      </c>
      <c r="P3372" s="351">
        <v>36</v>
      </c>
      <c r="Q3372" s="351">
        <v>5</v>
      </c>
      <c r="R3372" s="352">
        <v>7.4999999999999997E-3</v>
      </c>
      <c r="S3372" s="347" t="s">
        <v>111</v>
      </c>
      <c r="T3372" s="347" t="s">
        <v>112</v>
      </c>
      <c r="U3372" s="347" t="s">
        <v>57</v>
      </c>
      <c r="V3372" s="353">
        <v>1288</v>
      </c>
      <c r="W3372" s="353">
        <f>2531-1243</f>
        <v>1288</v>
      </c>
      <c r="X3372" s="354"/>
      <c r="Y3372" s="355">
        <f t="shared" si="1586"/>
        <v>0</v>
      </c>
      <c r="Z3372" s="356">
        <f t="shared" si="1587"/>
        <v>0</v>
      </c>
      <c r="AA3372" s="353">
        <f t="shared" si="1572"/>
        <v>0</v>
      </c>
      <c r="AB3372" s="818">
        <v>7.4999999999999997E-3</v>
      </c>
      <c r="AC3372" s="353">
        <f t="shared" si="1588"/>
        <v>0</v>
      </c>
      <c r="AD3372" s="307" t="s">
        <v>2448</v>
      </c>
      <c r="AE3372" s="210">
        <f t="shared" si="1589"/>
        <v>0</v>
      </c>
      <c r="AF3372" s="210">
        <f t="shared" si="1590"/>
        <v>0</v>
      </c>
      <c r="AG3372" s="211">
        <f t="shared" si="1591"/>
        <v>0.14799999999999999</v>
      </c>
      <c r="AH3372" s="157">
        <f>(Z3372*AG3372)/1000</f>
        <v>0</v>
      </c>
      <c r="AI3372" s="152">
        <f t="shared" si="1592"/>
        <v>46368</v>
      </c>
      <c r="AK3372" s="156" t="s">
        <v>691</v>
      </c>
      <c r="AL3372" s="574" t="s">
        <v>690</v>
      </c>
      <c r="AM3372" s="198">
        <f t="shared" si="1573"/>
        <v>0</v>
      </c>
      <c r="AN3372" s="199">
        <f t="shared" si="1574"/>
        <v>46132</v>
      </c>
      <c r="AO3372" s="159" t="s">
        <v>692</v>
      </c>
      <c r="AP3372" s="783" t="s">
        <v>609</v>
      </c>
      <c r="AQ3372" s="782">
        <v>12071839</v>
      </c>
      <c r="AR3372" s="782">
        <v>12080260</v>
      </c>
      <c r="AS3372" s="782">
        <v>12080259</v>
      </c>
      <c r="AT3372" s="782">
        <v>12096006</v>
      </c>
      <c r="AU3372" s="782"/>
      <c r="AV3372" s="782">
        <v>12096007</v>
      </c>
      <c r="AW3372" s="782">
        <v>12024404</v>
      </c>
      <c r="AX3372" s="781"/>
      <c r="AY3372" s="782">
        <v>12096022</v>
      </c>
      <c r="AZ3372" s="782"/>
      <c r="BA3372" s="781"/>
      <c r="BB3372" s="209">
        <v>23053185</v>
      </c>
    </row>
    <row r="3373" spans="1:54" ht="24.75" customHeight="1">
      <c r="B3373" s="295">
        <v>46132</v>
      </c>
      <c r="C3373" s="771" t="s">
        <v>2848</v>
      </c>
      <c r="D3373" s="185">
        <f t="shared" si="1584"/>
        <v>2026</v>
      </c>
      <c r="E3373" s="296" t="e">
        <f>VLOOKUP($B3373,Week!$A$1:$C$1462,2,0)</f>
        <v>#N/A</v>
      </c>
      <c r="F3373" s="297" t="str">
        <f t="shared" si="1585"/>
        <v>Apr</v>
      </c>
      <c r="G3373" s="648" t="s">
        <v>47</v>
      </c>
      <c r="H3373" s="298" t="s">
        <v>260</v>
      </c>
      <c r="I3373" s="298" t="s">
        <v>2702</v>
      </c>
      <c r="J3373" s="307" t="s">
        <v>2240</v>
      </c>
      <c r="K3373" s="300" t="s">
        <v>176</v>
      </c>
      <c r="L3373" s="300" t="s">
        <v>2167</v>
      </c>
      <c r="M3373" s="299" t="s">
        <v>2338</v>
      </c>
      <c r="N3373" s="298" t="s">
        <v>350</v>
      </c>
      <c r="O3373" s="298" t="s">
        <v>351</v>
      </c>
      <c r="P3373" s="301">
        <v>24</v>
      </c>
      <c r="Q3373" s="301">
        <v>5</v>
      </c>
      <c r="R3373" s="302">
        <v>6.1999999999999998E-3</v>
      </c>
      <c r="S3373" s="298" t="s">
        <v>352</v>
      </c>
      <c r="T3373" s="298" t="s">
        <v>56</v>
      </c>
      <c r="U3373" s="298" t="s">
        <v>57</v>
      </c>
      <c r="V3373" s="303">
        <f>1061</f>
        <v>1061</v>
      </c>
      <c r="W3373" s="303">
        <f>1+1060</f>
        <v>1061</v>
      </c>
      <c r="X3373" s="304"/>
      <c r="Y3373" s="305">
        <f t="shared" si="1586"/>
        <v>0</v>
      </c>
      <c r="Z3373" s="306">
        <f t="shared" si="1587"/>
        <v>0</v>
      </c>
      <c r="AA3373" s="306">
        <f t="shared" si="1572"/>
        <v>0</v>
      </c>
      <c r="AB3373" s="814">
        <v>7.4999999999999997E-3</v>
      </c>
      <c r="AC3373" s="303">
        <f t="shared" si="1588"/>
        <v>0</v>
      </c>
      <c r="AD3373" s="443"/>
      <c r="AE3373" s="210">
        <f t="shared" si="1589"/>
        <v>0</v>
      </c>
      <c r="AF3373" s="210">
        <f t="shared" si="1590"/>
        <v>0</v>
      </c>
      <c r="AG3373" s="211">
        <f t="shared" si="1591"/>
        <v>0.13</v>
      </c>
      <c r="AH3373" s="157">
        <f>(Z3373*AG3373)/1000</f>
        <v>0</v>
      </c>
      <c r="AI3373" s="152">
        <f t="shared" si="1592"/>
        <v>25464</v>
      </c>
      <c r="AK3373" s="156" t="s">
        <v>691</v>
      </c>
      <c r="AL3373" s="574" t="s">
        <v>690</v>
      </c>
      <c r="AM3373" s="198">
        <f t="shared" si="1573"/>
        <v>0</v>
      </c>
      <c r="AN3373" s="199">
        <f t="shared" si="1574"/>
        <v>46132</v>
      </c>
      <c r="AO3373" s="159" t="s">
        <v>692</v>
      </c>
      <c r="AP3373" s="783" t="s">
        <v>622</v>
      </c>
      <c r="AQ3373" s="782">
        <v>12071839</v>
      </c>
      <c r="AR3373" s="782">
        <v>12094356</v>
      </c>
      <c r="AS3373" s="782">
        <v>12068233</v>
      </c>
      <c r="AT3373" s="781"/>
      <c r="AU3373" s="781"/>
      <c r="AV3373" s="782">
        <v>12062075</v>
      </c>
      <c r="AW3373" s="781"/>
      <c r="AX3373" s="781"/>
      <c r="AY3373" s="782">
        <v>12094357</v>
      </c>
      <c r="AZ3373" s="782"/>
      <c r="BA3373" s="781"/>
      <c r="BB3373" s="209">
        <v>23053184</v>
      </c>
    </row>
    <row r="3374" spans="1:54" ht="25" customHeight="1">
      <c r="B3374" s="743">
        <v>46133</v>
      </c>
      <c r="C3374" s="848" t="s">
        <v>2736</v>
      </c>
      <c r="D3374" s="215">
        <f t="shared" si="1584"/>
        <v>2026</v>
      </c>
      <c r="E3374" s="214" t="e">
        <f>VLOOKUP($B3374,Week!$A$1:$C$1462,2,0)</f>
        <v>#N/A</v>
      </c>
      <c r="F3374" s="216" t="str">
        <f t="shared" si="1585"/>
        <v>Apr</v>
      </c>
      <c r="G3374" s="746" t="s">
        <v>47</v>
      </c>
      <c r="H3374" s="746" t="s">
        <v>260</v>
      </c>
      <c r="I3374" s="215" t="s">
        <v>2702</v>
      </c>
      <c r="J3374" s="747" t="s">
        <v>2702</v>
      </c>
      <c r="K3374" s="748" t="s">
        <v>2912</v>
      </c>
      <c r="L3374" s="217" t="s">
        <v>2167</v>
      </c>
      <c r="M3374" s="747" t="s">
        <v>2899</v>
      </c>
      <c r="N3374" s="915" t="s">
        <v>2704</v>
      </c>
      <c r="O3374" s="746" t="s">
        <v>1635</v>
      </c>
      <c r="P3374" s="749">
        <v>24</v>
      </c>
      <c r="Q3374" s="749">
        <v>3</v>
      </c>
      <c r="R3374" s="849">
        <v>6.1999999999999998E-3</v>
      </c>
      <c r="S3374" s="746" t="s">
        <v>352</v>
      </c>
      <c r="T3374" s="746" t="s">
        <v>56</v>
      </c>
      <c r="U3374" s="860" t="s">
        <v>739</v>
      </c>
      <c r="V3374" s="750">
        <f>22500-3314-4097-3423-1749-2061-2047-3369</f>
        <v>2440</v>
      </c>
      <c r="W3374" s="750">
        <f>1+2439</f>
        <v>2440</v>
      </c>
      <c r="X3374" s="751"/>
      <c r="Y3374" s="752">
        <f t="shared" si="1586"/>
        <v>0</v>
      </c>
      <c r="Z3374" s="753">
        <f t="shared" si="1587"/>
        <v>0</v>
      </c>
      <c r="AA3374" s="753">
        <f t="shared" si="1572"/>
        <v>0</v>
      </c>
      <c r="AB3374" s="838">
        <v>1.83E-2</v>
      </c>
      <c r="AC3374" s="750">
        <f t="shared" si="1588"/>
        <v>0</v>
      </c>
      <c r="AD3374" s="443"/>
      <c r="AE3374" s="210">
        <f t="shared" si="1589"/>
        <v>0</v>
      </c>
      <c r="AF3374" s="210">
        <f t="shared" si="1590"/>
        <v>0</v>
      </c>
      <c r="AG3374" s="211">
        <f t="shared" si="1591"/>
        <v>0.25</v>
      </c>
      <c r="AH3374" s="157">
        <v>0.26621999999999996</v>
      </c>
      <c r="AI3374" s="152">
        <f t="shared" si="1592"/>
        <v>58560</v>
      </c>
      <c r="AK3374" s="156" t="s">
        <v>691</v>
      </c>
      <c r="AL3374" s="574" t="s">
        <v>690</v>
      </c>
      <c r="AM3374" s="198">
        <f t="shared" si="1573"/>
        <v>0</v>
      </c>
      <c r="AN3374" s="199">
        <f t="shared" si="1574"/>
        <v>46133</v>
      </c>
      <c r="AO3374" s="159" t="s">
        <v>692</v>
      </c>
      <c r="AP3374" s="781" t="s">
        <v>642</v>
      </c>
      <c r="AQ3374" s="782">
        <v>12071839</v>
      </c>
      <c r="AR3374" s="782">
        <v>12042650</v>
      </c>
      <c r="AS3374" s="782">
        <v>12042649</v>
      </c>
      <c r="AT3374" s="782"/>
      <c r="AU3374" s="783"/>
      <c r="AV3374" s="782">
        <v>12097895</v>
      </c>
      <c r="AW3374" s="783"/>
      <c r="AX3374" s="781"/>
      <c r="AY3374" s="796">
        <v>12097893</v>
      </c>
      <c r="AZ3374" s="796">
        <v>12097894</v>
      </c>
      <c r="BA3374" s="796" t="s">
        <v>2462</v>
      </c>
      <c r="BB3374" s="209">
        <v>23099860</v>
      </c>
    </row>
    <row r="3375" spans="1:54" ht="25" customHeight="1">
      <c r="B3375" s="950">
        <v>46133</v>
      </c>
      <c r="C3375" s="951" t="s">
        <v>2848</v>
      </c>
      <c r="D3375" s="215">
        <f t="shared" si="1584"/>
        <v>2026</v>
      </c>
      <c r="E3375" s="214" t="e">
        <f>VLOOKUP($B3375,Week!$A$1:$C$1462,2,0)</f>
        <v>#N/A</v>
      </c>
      <c r="F3375" s="216" t="str">
        <f t="shared" si="1585"/>
        <v>Apr</v>
      </c>
      <c r="G3375" s="952" t="s">
        <v>47</v>
      </c>
      <c r="H3375" s="952" t="s">
        <v>260</v>
      </c>
      <c r="I3375" s="215" t="s">
        <v>2702</v>
      </c>
      <c r="J3375" s="953" t="s">
        <v>2702</v>
      </c>
      <c r="K3375" s="954" t="s">
        <v>2912</v>
      </c>
      <c r="L3375" s="217" t="s">
        <v>2167</v>
      </c>
      <c r="M3375" s="953" t="s">
        <v>2899</v>
      </c>
      <c r="N3375" s="955" t="s">
        <v>2704</v>
      </c>
      <c r="O3375" s="952" t="s">
        <v>1635</v>
      </c>
      <c r="P3375" s="956">
        <v>24</v>
      </c>
      <c r="Q3375" s="956">
        <v>3</v>
      </c>
      <c r="R3375" s="957">
        <v>6.1999999999999998E-3</v>
      </c>
      <c r="S3375" s="952" t="s">
        <v>352</v>
      </c>
      <c r="T3375" s="952" t="s">
        <v>56</v>
      </c>
      <c r="U3375" s="958" t="s">
        <v>739</v>
      </c>
      <c r="V3375" s="959">
        <v>2500</v>
      </c>
      <c r="W3375" s="959">
        <f>4333-2439</f>
        <v>1894</v>
      </c>
      <c r="X3375" s="960">
        <f>(14544)/24</f>
        <v>606</v>
      </c>
      <c r="Y3375" s="961">
        <f t="shared" si="1586"/>
        <v>0</v>
      </c>
      <c r="Z3375" s="962">
        <f t="shared" si="1587"/>
        <v>0</v>
      </c>
      <c r="AA3375" s="962">
        <f t="shared" si="1572"/>
        <v>0</v>
      </c>
      <c r="AB3375" s="963">
        <v>1.83E-2</v>
      </c>
      <c r="AC3375" s="959">
        <f t="shared" si="1588"/>
        <v>0</v>
      </c>
      <c r="AD3375" s="443"/>
      <c r="AE3375" s="210">
        <f t="shared" si="1589"/>
        <v>0</v>
      </c>
      <c r="AF3375" s="210">
        <f t="shared" si="1590"/>
        <v>0</v>
      </c>
      <c r="AG3375" s="211">
        <f t="shared" si="1591"/>
        <v>0.25</v>
      </c>
      <c r="AH3375" s="157">
        <v>0.26621999999999996</v>
      </c>
      <c r="AI3375" s="152">
        <f t="shared" si="1592"/>
        <v>60000</v>
      </c>
      <c r="AK3375" s="156" t="s">
        <v>691</v>
      </c>
      <c r="AL3375" s="574" t="s">
        <v>690</v>
      </c>
      <c r="AM3375" s="198">
        <f t="shared" si="1573"/>
        <v>0</v>
      </c>
      <c r="AN3375" s="199">
        <f t="shared" si="1574"/>
        <v>46133</v>
      </c>
      <c r="AO3375" s="159" t="s">
        <v>692</v>
      </c>
      <c r="AP3375" s="781" t="s">
        <v>642</v>
      </c>
      <c r="AQ3375" s="782">
        <v>12071839</v>
      </c>
      <c r="AR3375" s="782">
        <v>12042650</v>
      </c>
      <c r="AS3375" s="782">
        <v>12042649</v>
      </c>
      <c r="AT3375" s="782"/>
      <c r="AU3375" s="783"/>
      <c r="AV3375" s="782">
        <v>12097895</v>
      </c>
      <c r="AW3375" s="783"/>
      <c r="AX3375" s="781"/>
      <c r="AY3375" s="796">
        <v>12097893</v>
      </c>
      <c r="AZ3375" s="796">
        <v>12097894</v>
      </c>
      <c r="BA3375" s="796" t="s">
        <v>2462</v>
      </c>
      <c r="BB3375" s="209">
        <v>23099860</v>
      </c>
    </row>
    <row r="3376" spans="1:54" ht="24.65" customHeight="1">
      <c r="B3376" s="411">
        <v>46134</v>
      </c>
      <c r="C3376" s="645" t="s">
        <v>2848</v>
      </c>
      <c r="D3376" s="185">
        <f t="shared" si="1584"/>
        <v>2026</v>
      </c>
      <c r="E3376" s="412" t="e">
        <f>VLOOKUP($B3376,Week!$A$1:$C$1462,2,0)</f>
        <v>#N/A</v>
      </c>
      <c r="F3376" s="413" t="str">
        <f t="shared" si="1585"/>
        <v>Apr</v>
      </c>
      <c r="G3376" s="414" t="s">
        <v>47</v>
      </c>
      <c r="H3376" s="414" t="s">
        <v>260</v>
      </c>
      <c r="I3376" s="414" t="s">
        <v>2702</v>
      </c>
      <c r="J3376" s="415" t="s">
        <v>261</v>
      </c>
      <c r="K3376" s="416" t="s">
        <v>94</v>
      </c>
      <c r="L3376" s="300" t="s">
        <v>2167</v>
      </c>
      <c r="M3376" s="415" t="s">
        <v>2339</v>
      </c>
      <c r="N3376" s="414" t="s">
        <v>263</v>
      </c>
      <c r="O3376" s="414" t="s">
        <v>195</v>
      </c>
      <c r="P3376" s="417">
        <v>24</v>
      </c>
      <c r="Q3376" s="417">
        <v>5</v>
      </c>
      <c r="R3376" s="418">
        <v>8.0000000000000002E-3</v>
      </c>
      <c r="S3376" s="414" t="s">
        <v>40</v>
      </c>
      <c r="T3376" s="414" t="s">
        <v>56</v>
      </c>
      <c r="U3376" s="414" t="s">
        <v>57</v>
      </c>
      <c r="V3376" s="419">
        <v>5088</v>
      </c>
      <c r="W3376" s="419">
        <v>5088</v>
      </c>
      <c r="X3376" s="420"/>
      <c r="Y3376" s="421">
        <f t="shared" si="1586"/>
        <v>0</v>
      </c>
      <c r="Z3376" s="422">
        <f t="shared" si="1587"/>
        <v>0</v>
      </c>
      <c r="AA3376" s="422">
        <f t="shared" si="1572"/>
        <v>0</v>
      </c>
      <c r="AB3376" s="825">
        <v>7.4999999999999997E-3</v>
      </c>
      <c r="AC3376" s="419">
        <f t="shared" si="1588"/>
        <v>0</v>
      </c>
      <c r="AD3376" s="209"/>
      <c r="AE3376" s="210">
        <f t="shared" si="1589"/>
        <v>0</v>
      </c>
      <c r="AF3376" s="210">
        <f t="shared" si="1590"/>
        <v>0</v>
      </c>
      <c r="AG3376" s="211">
        <f t="shared" si="1591"/>
        <v>0.14499999999999999</v>
      </c>
      <c r="AH3376" s="157">
        <f>(Z3376*AG3376)/1000</f>
        <v>0</v>
      </c>
      <c r="AI3376" s="152">
        <f t="shared" si="1592"/>
        <v>122112</v>
      </c>
      <c r="AK3376" s="156" t="s">
        <v>691</v>
      </c>
      <c r="AL3376" s="212" t="s">
        <v>690</v>
      </c>
      <c r="AM3376" s="198">
        <f t="shared" si="1573"/>
        <v>0</v>
      </c>
      <c r="AN3376" s="199">
        <f t="shared" si="1574"/>
        <v>46134</v>
      </c>
      <c r="AO3376" s="159" t="s">
        <v>692</v>
      </c>
      <c r="AP3376" s="783" t="s">
        <v>609</v>
      </c>
      <c r="AQ3376" s="782">
        <v>12071839</v>
      </c>
      <c r="AR3376" s="782">
        <v>12047514</v>
      </c>
      <c r="AS3376" s="782">
        <v>12047515</v>
      </c>
      <c r="AT3376" s="781"/>
      <c r="AU3376" s="781"/>
      <c r="AV3376" s="782">
        <v>12080613</v>
      </c>
      <c r="AW3376" s="781"/>
      <c r="AX3376" s="781"/>
      <c r="AY3376" s="782">
        <v>12094241</v>
      </c>
      <c r="AZ3376" s="782">
        <v>12094242</v>
      </c>
      <c r="BA3376" s="781"/>
      <c r="BB3376" s="209">
        <v>23053185</v>
      </c>
    </row>
    <row r="3377" spans="1:54" ht="25" customHeight="1">
      <c r="B3377" s="213">
        <v>46135</v>
      </c>
      <c r="C3377" s="902" t="s">
        <v>2848</v>
      </c>
      <c r="D3377" s="215">
        <f t="shared" si="1584"/>
        <v>2026</v>
      </c>
      <c r="E3377" s="214" t="e">
        <f>VLOOKUP($B3377,Week!$A$1:$C$1462,2,0)</f>
        <v>#N/A</v>
      </c>
      <c r="F3377" s="216" t="str">
        <f t="shared" si="1585"/>
        <v>Apr</v>
      </c>
      <c r="G3377" s="215" t="s">
        <v>47</v>
      </c>
      <c r="H3377" s="215" t="s">
        <v>260</v>
      </c>
      <c r="I3377" s="215" t="s">
        <v>2702</v>
      </c>
      <c r="J3377" s="209" t="s">
        <v>2702</v>
      </c>
      <c r="K3377" s="217" t="s">
        <v>2706</v>
      </c>
      <c r="L3377" s="217" t="s">
        <v>2167</v>
      </c>
      <c r="M3377" s="209" t="s">
        <v>2733</v>
      </c>
      <c r="N3377" s="480" t="s">
        <v>2734</v>
      </c>
      <c r="O3377" s="215" t="s">
        <v>2735</v>
      </c>
      <c r="P3377" s="218">
        <v>12</v>
      </c>
      <c r="Q3377" s="218">
        <v>2</v>
      </c>
      <c r="R3377" s="219">
        <v>6.0000000000000001E-3</v>
      </c>
      <c r="S3377" s="215" t="s">
        <v>55</v>
      </c>
      <c r="T3377" s="215" t="s">
        <v>56</v>
      </c>
      <c r="U3377" s="852" t="s">
        <v>2707</v>
      </c>
      <c r="V3377" s="220">
        <v>1804</v>
      </c>
      <c r="W3377" s="220">
        <f>982+822</f>
        <v>1804</v>
      </c>
      <c r="X3377" s="221"/>
      <c r="Y3377" s="222">
        <f t="shared" si="1586"/>
        <v>0</v>
      </c>
      <c r="Z3377" s="223">
        <f t="shared" si="1587"/>
        <v>0</v>
      </c>
      <c r="AA3377" s="223">
        <f t="shared" ref="AA3377:AA3408" si="1593">Q3377*Z3377</f>
        <v>0</v>
      </c>
      <c r="AB3377" s="807">
        <v>1.7000000000000001E-2</v>
      </c>
      <c r="AC3377" s="220">
        <f t="shared" si="1588"/>
        <v>0</v>
      </c>
      <c r="AD3377" s="443"/>
      <c r="AE3377" s="210">
        <f t="shared" si="1589"/>
        <v>0</v>
      </c>
      <c r="AF3377" s="210">
        <f t="shared" si="1590"/>
        <v>0</v>
      </c>
      <c r="AG3377" s="211">
        <f t="shared" si="1591"/>
        <v>0.22500000000000001</v>
      </c>
      <c r="AH3377" s="157">
        <v>0.26621999999999996</v>
      </c>
      <c r="AI3377" s="152">
        <f t="shared" si="1592"/>
        <v>21648</v>
      </c>
      <c r="AK3377" s="156" t="s">
        <v>691</v>
      </c>
      <c r="AL3377" s="574" t="s">
        <v>690</v>
      </c>
      <c r="AM3377" s="198">
        <f t="shared" ref="AM3377:AM3408" si="1594">AG3377*Z3377</f>
        <v>0</v>
      </c>
      <c r="AN3377" s="199">
        <f t="shared" ref="AN3377:AN3408" si="1595">B3377</f>
        <v>46135</v>
      </c>
      <c r="AO3377" s="159" t="s">
        <v>692</v>
      </c>
      <c r="AP3377" s="781" t="s">
        <v>642</v>
      </c>
      <c r="AQ3377" s="782">
        <v>12071839</v>
      </c>
      <c r="AR3377" s="782"/>
      <c r="AS3377" s="782"/>
      <c r="AT3377" s="782">
        <v>12098021</v>
      </c>
      <c r="AU3377" s="783" t="s">
        <v>2979</v>
      </c>
      <c r="AV3377" s="782">
        <v>12098022</v>
      </c>
      <c r="AW3377" s="783"/>
      <c r="AX3377" s="781"/>
      <c r="AY3377" s="796"/>
      <c r="AZ3377" s="796"/>
      <c r="BA3377" s="796"/>
      <c r="BB3377" s="209">
        <v>23099860</v>
      </c>
    </row>
    <row r="3378" spans="1:54" ht="25" customHeight="1">
      <c r="B3378" s="271">
        <v>46135</v>
      </c>
      <c r="C3378" s="870" t="s">
        <v>2849</v>
      </c>
      <c r="D3378" s="185">
        <f t="shared" si="1584"/>
        <v>2026</v>
      </c>
      <c r="E3378" s="272" t="e">
        <f>VLOOKUP($B3378,Week!$A$1:$C$1462,2,0)</f>
        <v>#N/A</v>
      </c>
      <c r="F3378" s="273" t="str">
        <f t="shared" si="1585"/>
        <v>Apr</v>
      </c>
      <c r="G3378" s="274" t="s">
        <v>47</v>
      </c>
      <c r="H3378" s="274" t="s">
        <v>518</v>
      </c>
      <c r="I3378" s="274" t="s">
        <v>2702</v>
      </c>
      <c r="J3378" s="275" t="s">
        <v>70</v>
      </c>
      <c r="K3378" s="276" t="s">
        <v>556</v>
      </c>
      <c r="L3378" s="300" t="s">
        <v>2167</v>
      </c>
      <c r="M3378" s="275" t="s">
        <v>520</v>
      </c>
      <c r="N3378" s="423" t="s">
        <v>586</v>
      </c>
      <c r="O3378" s="274" t="s">
        <v>585</v>
      </c>
      <c r="P3378" s="277">
        <v>12</v>
      </c>
      <c r="Q3378" s="277">
        <v>5</v>
      </c>
      <c r="R3378" s="278">
        <v>6.0000000000000001E-3</v>
      </c>
      <c r="S3378" s="274" t="s">
        <v>55</v>
      </c>
      <c r="T3378" s="274" t="s">
        <v>56</v>
      </c>
      <c r="U3378" s="274" t="s">
        <v>57</v>
      </c>
      <c r="V3378" s="279">
        <f>300</f>
        <v>300</v>
      </c>
      <c r="W3378" s="279">
        <f>232-224+292</f>
        <v>300</v>
      </c>
      <c r="X3378" s="280"/>
      <c r="Y3378" s="281">
        <f t="shared" si="1586"/>
        <v>0</v>
      </c>
      <c r="Z3378" s="282">
        <f t="shared" si="1587"/>
        <v>0</v>
      </c>
      <c r="AA3378" s="282">
        <f t="shared" si="1593"/>
        <v>0</v>
      </c>
      <c r="AB3378" s="812">
        <v>7.4999999999999997E-3</v>
      </c>
      <c r="AC3378" s="279">
        <f t="shared" si="1588"/>
        <v>0</v>
      </c>
      <c r="AD3378" s="209"/>
      <c r="AE3378" s="210">
        <f t="shared" si="1589"/>
        <v>0</v>
      </c>
      <c r="AF3378" s="210">
        <f t="shared" si="1590"/>
        <v>0</v>
      </c>
      <c r="AG3378" s="211">
        <f t="shared" si="1591"/>
        <v>0.13500000000000001</v>
      </c>
      <c r="AH3378" s="157">
        <f>(Z3378*AG3378)/1000</f>
        <v>0</v>
      </c>
      <c r="AI3378" s="152">
        <f t="shared" si="1592"/>
        <v>3600</v>
      </c>
      <c r="AK3378" s="156" t="s">
        <v>691</v>
      </c>
      <c r="AL3378" s="212" t="s">
        <v>690</v>
      </c>
      <c r="AM3378" s="198">
        <f t="shared" si="1594"/>
        <v>0</v>
      </c>
      <c r="AN3378" s="199">
        <f t="shared" si="1595"/>
        <v>46135</v>
      </c>
      <c r="AO3378" s="159" t="s">
        <v>692</v>
      </c>
      <c r="AP3378" s="781"/>
      <c r="AQ3378" s="782">
        <v>12071839</v>
      </c>
      <c r="AR3378" s="782">
        <v>12047514</v>
      </c>
      <c r="AS3378" s="782">
        <v>12047515</v>
      </c>
      <c r="AT3378" s="782"/>
      <c r="AU3378" s="781"/>
      <c r="AV3378" s="782">
        <v>12083307</v>
      </c>
      <c r="AW3378" s="782"/>
      <c r="AX3378" s="782"/>
      <c r="AY3378" s="782">
        <v>12094380</v>
      </c>
      <c r="AZ3378" s="782">
        <v>12094381</v>
      </c>
      <c r="BA3378" s="781"/>
      <c r="BB3378" s="209">
        <v>23053185</v>
      </c>
    </row>
    <row r="3379" spans="1:54" ht="25" customHeight="1">
      <c r="B3379" s="271">
        <v>46135</v>
      </c>
      <c r="C3379" s="870" t="s">
        <v>3055</v>
      </c>
      <c r="D3379" s="185">
        <f t="shared" si="1584"/>
        <v>2026</v>
      </c>
      <c r="E3379" s="272" t="e">
        <f>VLOOKUP($B3379,Week!$A$1:$C$1462,2,0)</f>
        <v>#N/A</v>
      </c>
      <c r="F3379" s="273" t="str">
        <f t="shared" si="1585"/>
        <v>Apr</v>
      </c>
      <c r="G3379" s="274" t="s">
        <v>47</v>
      </c>
      <c r="H3379" s="274" t="s">
        <v>518</v>
      </c>
      <c r="I3379" s="274" t="s">
        <v>2702</v>
      </c>
      <c r="J3379" s="275" t="s">
        <v>70</v>
      </c>
      <c r="K3379" s="276" t="s">
        <v>556</v>
      </c>
      <c r="L3379" s="300" t="s">
        <v>2167</v>
      </c>
      <c r="M3379" s="275" t="s">
        <v>520</v>
      </c>
      <c r="N3379" s="423" t="s">
        <v>586</v>
      </c>
      <c r="O3379" s="274" t="s">
        <v>585</v>
      </c>
      <c r="P3379" s="277">
        <v>12</v>
      </c>
      <c r="Q3379" s="277">
        <v>5</v>
      </c>
      <c r="R3379" s="278">
        <v>6.0000000000000001E-3</v>
      </c>
      <c r="S3379" s="274" t="s">
        <v>55</v>
      </c>
      <c r="T3379" s="274" t="s">
        <v>56</v>
      </c>
      <c r="U3379" s="274" t="s">
        <v>57</v>
      </c>
      <c r="V3379" s="279">
        <v>27</v>
      </c>
      <c r="W3379" s="279">
        <f>27</f>
        <v>27</v>
      </c>
      <c r="X3379" s="280"/>
      <c r="Y3379" s="281">
        <f t="shared" si="1586"/>
        <v>0</v>
      </c>
      <c r="Z3379" s="282">
        <f t="shared" si="1587"/>
        <v>0</v>
      </c>
      <c r="AA3379" s="282">
        <f t="shared" si="1593"/>
        <v>0</v>
      </c>
      <c r="AB3379" s="812">
        <v>7.4999999999999997E-3</v>
      </c>
      <c r="AC3379" s="279">
        <f t="shared" si="1588"/>
        <v>0</v>
      </c>
      <c r="AD3379" s="908" t="s">
        <v>3109</v>
      </c>
      <c r="AE3379" s="210">
        <f t="shared" si="1589"/>
        <v>0</v>
      </c>
      <c r="AF3379" s="210">
        <f t="shared" si="1590"/>
        <v>0</v>
      </c>
      <c r="AG3379" s="211">
        <f t="shared" si="1591"/>
        <v>0.13500000000000001</v>
      </c>
      <c r="AH3379" s="157">
        <f>(Z3379*AG3379)/1000</f>
        <v>0</v>
      </c>
      <c r="AI3379" s="152">
        <f t="shared" si="1592"/>
        <v>324</v>
      </c>
      <c r="AK3379" s="156" t="s">
        <v>691</v>
      </c>
      <c r="AL3379" s="212" t="s">
        <v>690</v>
      </c>
      <c r="AM3379" s="198">
        <f t="shared" si="1594"/>
        <v>0</v>
      </c>
      <c r="AN3379" s="199">
        <f t="shared" si="1595"/>
        <v>46135</v>
      </c>
      <c r="AO3379" s="159" t="s">
        <v>692</v>
      </c>
      <c r="AP3379" s="781"/>
      <c r="AQ3379" s="782">
        <v>12071839</v>
      </c>
      <c r="AR3379" s="782">
        <v>12047514</v>
      </c>
      <c r="AS3379" s="782">
        <v>12047515</v>
      </c>
      <c r="AT3379" s="782"/>
      <c r="AU3379" s="781"/>
      <c r="AV3379" s="782">
        <v>12083307</v>
      </c>
      <c r="AW3379" s="782"/>
      <c r="AX3379" s="782"/>
      <c r="AY3379" s="782">
        <v>12094380</v>
      </c>
      <c r="AZ3379" s="782">
        <v>12094381</v>
      </c>
      <c r="BA3379" s="781"/>
      <c r="BB3379" s="209">
        <v>23053185</v>
      </c>
    </row>
    <row r="3380" spans="1:54" ht="24.65" customHeight="1">
      <c r="A3380" s="529" t="s">
        <v>1812</v>
      </c>
      <c r="B3380" s="357">
        <v>46135</v>
      </c>
      <c r="C3380" s="776">
        <v>46157</v>
      </c>
      <c r="D3380" s="185">
        <f t="shared" si="1584"/>
        <v>2026</v>
      </c>
      <c r="E3380" s="358" t="e">
        <f>VLOOKUP($B3380,Week!$A$1:$C$1462,2,0)</f>
        <v>#N/A</v>
      </c>
      <c r="F3380" s="360" t="str">
        <f t="shared" si="1585"/>
        <v>Apr</v>
      </c>
      <c r="G3380" s="359" t="s">
        <v>2951</v>
      </c>
      <c r="H3380" s="436" t="s">
        <v>1820</v>
      </c>
      <c r="I3380" s="436" t="s">
        <v>1820</v>
      </c>
      <c r="J3380" s="437" t="s">
        <v>1821</v>
      </c>
      <c r="K3380" s="362" t="s">
        <v>94</v>
      </c>
      <c r="L3380" s="300" t="s">
        <v>2167</v>
      </c>
      <c r="M3380" s="361" t="s">
        <v>1823</v>
      </c>
      <c r="N3380" s="436" t="s">
        <v>1818</v>
      </c>
      <c r="O3380" s="359" t="s">
        <v>97</v>
      </c>
      <c r="P3380" s="363">
        <v>12</v>
      </c>
      <c r="Q3380" s="363">
        <v>5</v>
      </c>
      <c r="R3380" s="364">
        <v>8.0000000000000002E-3</v>
      </c>
      <c r="S3380" s="359" t="s">
        <v>40</v>
      </c>
      <c r="T3380" s="359" t="s">
        <v>56</v>
      </c>
      <c r="U3380" s="359" t="s">
        <v>57</v>
      </c>
      <c r="V3380" s="365">
        <f>100</f>
        <v>100</v>
      </c>
      <c r="W3380" s="365">
        <f>100</f>
        <v>100</v>
      </c>
      <c r="X3380" s="366"/>
      <c r="Y3380" s="367">
        <f t="shared" si="1586"/>
        <v>0</v>
      </c>
      <c r="Z3380" s="368">
        <f t="shared" si="1587"/>
        <v>0</v>
      </c>
      <c r="AA3380" s="368">
        <f t="shared" si="1593"/>
        <v>0</v>
      </c>
      <c r="AB3380" s="819">
        <v>7.4999999999999997E-3</v>
      </c>
      <c r="AC3380" s="365">
        <f t="shared" si="1588"/>
        <v>0</v>
      </c>
      <c r="AD3380" s="443"/>
      <c r="AE3380" s="210">
        <f t="shared" si="1589"/>
        <v>0</v>
      </c>
      <c r="AF3380" s="210">
        <f t="shared" si="1590"/>
        <v>0</v>
      </c>
      <c r="AG3380" s="211">
        <f t="shared" si="1591"/>
        <v>0.14499999999999999</v>
      </c>
      <c r="AH3380" s="157">
        <f>(Z3380*AG3380)/1000</f>
        <v>0</v>
      </c>
      <c r="AI3380" s="152">
        <f t="shared" si="1592"/>
        <v>1200</v>
      </c>
      <c r="AK3380" s="156" t="s">
        <v>691</v>
      </c>
      <c r="AL3380" s="574" t="s">
        <v>690</v>
      </c>
      <c r="AM3380" s="198">
        <f t="shared" si="1594"/>
        <v>0</v>
      </c>
      <c r="AN3380" s="199">
        <f t="shared" si="1595"/>
        <v>46135</v>
      </c>
      <c r="AO3380" s="159" t="s">
        <v>692</v>
      </c>
      <c r="AP3380" s="783" t="s">
        <v>628</v>
      </c>
      <c r="AQ3380" s="782">
        <v>12071839</v>
      </c>
      <c r="AR3380" s="782">
        <v>12047514</v>
      </c>
      <c r="AS3380" s="782">
        <v>12047515</v>
      </c>
      <c r="AT3380" s="782"/>
      <c r="AU3380" s="781"/>
      <c r="AV3380" s="782">
        <v>12080617</v>
      </c>
      <c r="AW3380" s="782"/>
      <c r="AX3380" s="782" t="s">
        <v>2986</v>
      </c>
      <c r="AY3380" s="782">
        <v>12094231</v>
      </c>
      <c r="AZ3380" s="782">
        <v>1209232</v>
      </c>
      <c r="BA3380" s="781"/>
      <c r="BB3380" s="209">
        <v>23053185</v>
      </c>
    </row>
    <row r="3381" spans="1:54" ht="24.65" customHeight="1">
      <c r="B3381" s="411">
        <v>46135</v>
      </c>
      <c r="C3381" s="645" t="s">
        <v>2848</v>
      </c>
      <c r="D3381" s="185">
        <f t="shared" si="1584"/>
        <v>2026</v>
      </c>
      <c r="E3381" s="412" t="e">
        <f>VLOOKUP($B3381,Week!$A$1:$C$1462,2,0)</f>
        <v>#N/A</v>
      </c>
      <c r="F3381" s="413" t="str">
        <f t="shared" si="1585"/>
        <v>Apr</v>
      </c>
      <c r="G3381" s="414" t="s">
        <v>47</v>
      </c>
      <c r="H3381" s="414" t="s">
        <v>260</v>
      </c>
      <c r="I3381" s="414" t="s">
        <v>2702</v>
      </c>
      <c r="J3381" s="415" t="s">
        <v>261</v>
      </c>
      <c r="K3381" s="416" t="s">
        <v>94</v>
      </c>
      <c r="L3381" s="300" t="s">
        <v>2167</v>
      </c>
      <c r="M3381" s="415" t="s">
        <v>2339</v>
      </c>
      <c r="N3381" s="414" t="s">
        <v>263</v>
      </c>
      <c r="O3381" s="414" t="s">
        <v>195</v>
      </c>
      <c r="P3381" s="417">
        <v>24</v>
      </c>
      <c r="Q3381" s="417">
        <v>5</v>
      </c>
      <c r="R3381" s="418">
        <v>8.0000000000000002E-3</v>
      </c>
      <c r="S3381" s="414" t="s">
        <v>40</v>
      </c>
      <c r="T3381" s="414" t="s">
        <v>56</v>
      </c>
      <c r="U3381" s="414" t="s">
        <v>57</v>
      </c>
      <c r="V3381" s="419">
        <f>7500-19-5088</f>
        <v>2393</v>
      </c>
      <c r="W3381" s="419">
        <f>1+2392</f>
        <v>2393</v>
      </c>
      <c r="X3381" s="420"/>
      <c r="Y3381" s="421">
        <f t="shared" si="1586"/>
        <v>0</v>
      </c>
      <c r="Z3381" s="422">
        <f t="shared" si="1587"/>
        <v>0</v>
      </c>
      <c r="AA3381" s="422">
        <f t="shared" si="1593"/>
        <v>0</v>
      </c>
      <c r="AB3381" s="825">
        <v>7.4999999999999997E-3</v>
      </c>
      <c r="AC3381" s="419">
        <f t="shared" si="1588"/>
        <v>0</v>
      </c>
      <c r="AD3381" s="209"/>
      <c r="AE3381" s="210">
        <f t="shared" si="1589"/>
        <v>0</v>
      </c>
      <c r="AF3381" s="210">
        <f t="shared" si="1590"/>
        <v>0</v>
      </c>
      <c r="AG3381" s="211">
        <f t="shared" si="1591"/>
        <v>0.14499999999999999</v>
      </c>
      <c r="AH3381" s="157">
        <f>(Z3381*AG3381)/1000</f>
        <v>0</v>
      </c>
      <c r="AI3381" s="152">
        <f t="shared" si="1592"/>
        <v>57432</v>
      </c>
      <c r="AK3381" s="156" t="s">
        <v>691</v>
      </c>
      <c r="AL3381" s="212" t="s">
        <v>690</v>
      </c>
      <c r="AM3381" s="198">
        <f t="shared" si="1594"/>
        <v>0</v>
      </c>
      <c r="AN3381" s="199">
        <f t="shared" si="1595"/>
        <v>46135</v>
      </c>
      <c r="AO3381" s="159" t="s">
        <v>692</v>
      </c>
      <c r="AP3381" s="783" t="s">
        <v>609</v>
      </c>
      <c r="AQ3381" s="782">
        <v>12071839</v>
      </c>
      <c r="AR3381" s="782">
        <v>12047514</v>
      </c>
      <c r="AS3381" s="782">
        <v>12047515</v>
      </c>
      <c r="AT3381" s="781"/>
      <c r="AU3381" s="781"/>
      <c r="AV3381" s="782">
        <v>12080613</v>
      </c>
      <c r="AW3381" s="781"/>
      <c r="AX3381" s="781"/>
      <c r="AY3381" s="782">
        <v>12094241</v>
      </c>
      <c r="AZ3381" s="782">
        <v>12094242</v>
      </c>
      <c r="BA3381" s="781"/>
      <c r="BB3381" s="209">
        <v>23053185</v>
      </c>
    </row>
    <row r="3382" spans="1:54" ht="24.65" customHeight="1">
      <c r="B3382" s="411">
        <v>46135</v>
      </c>
      <c r="C3382" s="645" t="s">
        <v>2848</v>
      </c>
      <c r="D3382" s="185">
        <f t="shared" si="1584"/>
        <v>2026</v>
      </c>
      <c r="E3382" s="412" t="e">
        <f>VLOOKUP($B3382,Week!$A$1:$C$1462,2,0)</f>
        <v>#N/A</v>
      </c>
      <c r="F3382" s="413" t="str">
        <f t="shared" si="1585"/>
        <v>Apr</v>
      </c>
      <c r="G3382" s="414" t="s">
        <v>47</v>
      </c>
      <c r="H3382" s="414" t="s">
        <v>260</v>
      </c>
      <c r="I3382" s="414" t="s">
        <v>2702</v>
      </c>
      <c r="J3382" s="415" t="s">
        <v>261</v>
      </c>
      <c r="K3382" s="416" t="s">
        <v>94</v>
      </c>
      <c r="L3382" s="300" t="s">
        <v>2167</v>
      </c>
      <c r="M3382" s="415" t="s">
        <v>2339</v>
      </c>
      <c r="N3382" s="414" t="s">
        <v>263</v>
      </c>
      <c r="O3382" s="414" t="s">
        <v>195</v>
      </c>
      <c r="P3382" s="417">
        <v>24</v>
      </c>
      <c r="Q3382" s="417">
        <v>5</v>
      </c>
      <c r="R3382" s="418">
        <v>8.0000000000000002E-3</v>
      </c>
      <c r="S3382" s="414" t="s">
        <v>40</v>
      </c>
      <c r="T3382" s="414" t="s">
        <v>56</v>
      </c>
      <c r="U3382" s="414" t="s">
        <v>57</v>
      </c>
      <c r="V3382" s="419">
        <f>2643-2392</f>
        <v>251</v>
      </c>
      <c r="W3382" s="419">
        <f>2643-2392</f>
        <v>251</v>
      </c>
      <c r="X3382" s="420"/>
      <c r="Y3382" s="421">
        <f t="shared" si="1586"/>
        <v>0</v>
      </c>
      <c r="Z3382" s="422">
        <f t="shared" si="1587"/>
        <v>0</v>
      </c>
      <c r="AA3382" s="422">
        <f t="shared" si="1593"/>
        <v>0</v>
      </c>
      <c r="AB3382" s="825">
        <v>7.4999999999999997E-3</v>
      </c>
      <c r="AC3382" s="419">
        <f t="shared" si="1588"/>
        <v>0</v>
      </c>
      <c r="AD3382" s="209"/>
      <c r="AE3382" s="210">
        <f t="shared" si="1589"/>
        <v>0</v>
      </c>
      <c r="AF3382" s="210">
        <f t="shared" si="1590"/>
        <v>0</v>
      </c>
      <c r="AG3382" s="211">
        <f t="shared" si="1591"/>
        <v>0.14499999999999999</v>
      </c>
      <c r="AH3382" s="157">
        <f>(Z3382*AG3382)/1000</f>
        <v>0</v>
      </c>
      <c r="AI3382" s="152">
        <f t="shared" si="1592"/>
        <v>6024</v>
      </c>
      <c r="AK3382" s="156" t="s">
        <v>691</v>
      </c>
      <c r="AL3382" s="212" t="s">
        <v>690</v>
      </c>
      <c r="AM3382" s="198">
        <f t="shared" si="1594"/>
        <v>0</v>
      </c>
      <c r="AN3382" s="199">
        <f t="shared" si="1595"/>
        <v>46135</v>
      </c>
      <c r="AO3382" s="159" t="s">
        <v>692</v>
      </c>
      <c r="AP3382" s="783" t="s">
        <v>609</v>
      </c>
      <c r="AQ3382" s="782">
        <v>12071839</v>
      </c>
      <c r="AR3382" s="782">
        <v>12047514</v>
      </c>
      <c r="AS3382" s="782">
        <v>12047515</v>
      </c>
      <c r="AT3382" s="781"/>
      <c r="AU3382" s="781"/>
      <c r="AV3382" s="782">
        <v>12080613</v>
      </c>
      <c r="AW3382" s="781"/>
      <c r="AX3382" s="781"/>
      <c r="AY3382" s="782">
        <v>12094241</v>
      </c>
      <c r="AZ3382" s="782">
        <v>12094242</v>
      </c>
      <c r="BA3382" s="781"/>
      <c r="BB3382" s="209">
        <v>23053185</v>
      </c>
    </row>
    <row r="3383" spans="1:54" ht="25" customHeight="1">
      <c r="B3383" s="213">
        <v>46136</v>
      </c>
      <c r="C3383" s="902" t="s">
        <v>2848</v>
      </c>
      <c r="D3383" s="215">
        <f t="shared" si="1584"/>
        <v>2026</v>
      </c>
      <c r="E3383" s="214" t="e">
        <f>VLOOKUP($B3383,Week!$A$1:$C$1462,2,0)</f>
        <v>#N/A</v>
      </c>
      <c r="F3383" s="216" t="str">
        <f t="shared" si="1585"/>
        <v>Apr</v>
      </c>
      <c r="G3383" s="215" t="s">
        <v>47</v>
      </c>
      <c r="H3383" s="215" t="s">
        <v>260</v>
      </c>
      <c r="I3383" s="215" t="s">
        <v>2702</v>
      </c>
      <c r="J3383" s="209" t="s">
        <v>2702</v>
      </c>
      <c r="K3383" s="217" t="s">
        <v>2706</v>
      </c>
      <c r="L3383" s="217" t="s">
        <v>2167</v>
      </c>
      <c r="M3383" s="209" t="s">
        <v>2733</v>
      </c>
      <c r="N3383" s="480" t="s">
        <v>2734</v>
      </c>
      <c r="O3383" s="215" t="s">
        <v>2735</v>
      </c>
      <c r="P3383" s="218">
        <v>12</v>
      </c>
      <c r="Q3383" s="218">
        <v>2</v>
      </c>
      <c r="R3383" s="219">
        <v>6.0000000000000001E-3</v>
      </c>
      <c r="S3383" s="215" t="s">
        <v>55</v>
      </c>
      <c r="T3383" s="215" t="s">
        <v>56</v>
      </c>
      <c r="U3383" s="852" t="s">
        <v>2707</v>
      </c>
      <c r="V3383" s="220">
        <f>1426+90</f>
        <v>1516</v>
      </c>
      <c r="W3383" s="220">
        <f>976+540</f>
        <v>1516</v>
      </c>
      <c r="X3383" s="221"/>
      <c r="Y3383" s="222">
        <f t="shared" si="1586"/>
        <v>0</v>
      </c>
      <c r="Z3383" s="223">
        <f t="shared" si="1587"/>
        <v>0</v>
      </c>
      <c r="AA3383" s="223">
        <f t="shared" si="1593"/>
        <v>0</v>
      </c>
      <c r="AB3383" s="807">
        <v>1.7000000000000001E-2</v>
      </c>
      <c r="AC3383" s="220">
        <f t="shared" si="1588"/>
        <v>0</v>
      </c>
      <c r="AD3383" s="443"/>
      <c r="AE3383" s="210">
        <f t="shared" si="1589"/>
        <v>0</v>
      </c>
      <c r="AF3383" s="210">
        <f t="shared" si="1590"/>
        <v>0</v>
      </c>
      <c r="AG3383" s="211">
        <f t="shared" si="1591"/>
        <v>0.22500000000000001</v>
      </c>
      <c r="AH3383" s="157">
        <v>0.26621999999999996</v>
      </c>
      <c r="AI3383" s="152">
        <f t="shared" si="1592"/>
        <v>18192</v>
      </c>
      <c r="AK3383" s="156" t="s">
        <v>691</v>
      </c>
      <c r="AL3383" s="574" t="s">
        <v>690</v>
      </c>
      <c r="AM3383" s="198">
        <f t="shared" si="1594"/>
        <v>0</v>
      </c>
      <c r="AN3383" s="199">
        <f t="shared" si="1595"/>
        <v>46136</v>
      </c>
      <c r="AO3383" s="159" t="s">
        <v>692</v>
      </c>
      <c r="AP3383" s="781" t="s">
        <v>642</v>
      </c>
      <c r="AQ3383" s="782">
        <v>12071839</v>
      </c>
      <c r="AR3383" s="782"/>
      <c r="AS3383" s="782"/>
      <c r="AT3383" s="782">
        <v>12098021</v>
      </c>
      <c r="AU3383" s="783" t="s">
        <v>2979</v>
      </c>
      <c r="AV3383" s="782">
        <v>12098022</v>
      </c>
      <c r="AW3383" s="783"/>
      <c r="AX3383" s="781"/>
      <c r="AY3383" s="796"/>
      <c r="AZ3383" s="796"/>
      <c r="BA3383" s="796"/>
      <c r="BB3383" s="209">
        <v>23099860</v>
      </c>
    </row>
    <row r="3384" spans="1:54" ht="24.65" customHeight="1">
      <c r="B3384" s="308">
        <v>46136</v>
      </c>
      <c r="C3384" s="309">
        <v>46163</v>
      </c>
      <c r="D3384" s="185">
        <f t="shared" si="1584"/>
        <v>2026</v>
      </c>
      <c r="E3384" s="309" t="e">
        <f>VLOOKUP($B3384,Week!$A$1:$C$1462,2,0)</f>
        <v>#N/A</v>
      </c>
      <c r="F3384" s="310" t="str">
        <f t="shared" si="1585"/>
        <v>Apr</v>
      </c>
      <c r="G3384" s="311" t="s">
        <v>2860</v>
      </c>
      <c r="H3384" s="311" t="s">
        <v>311</v>
      </c>
      <c r="I3384" s="311" t="s">
        <v>2772</v>
      </c>
      <c r="J3384" s="312" t="s">
        <v>738</v>
      </c>
      <c r="K3384" s="313" t="s">
        <v>107</v>
      </c>
      <c r="L3384" s="300" t="s">
        <v>2167</v>
      </c>
      <c r="M3384" s="312" t="s">
        <v>313</v>
      </c>
      <c r="N3384" s="311" t="s">
        <v>314</v>
      </c>
      <c r="O3384" s="311" t="s">
        <v>110</v>
      </c>
      <c r="P3384" s="314">
        <v>36</v>
      </c>
      <c r="Q3384" s="314">
        <v>5</v>
      </c>
      <c r="R3384" s="315">
        <v>7.4999999999999997E-3</v>
      </c>
      <c r="S3384" s="311" t="s">
        <v>111</v>
      </c>
      <c r="T3384" s="311" t="s">
        <v>112</v>
      </c>
      <c r="U3384" s="311" t="s">
        <v>57</v>
      </c>
      <c r="V3384" s="316">
        <v>792</v>
      </c>
      <c r="W3384" s="316">
        <v>792</v>
      </c>
      <c r="X3384" s="317"/>
      <c r="Y3384" s="318">
        <f t="shared" si="1586"/>
        <v>0</v>
      </c>
      <c r="Z3384" s="319">
        <f t="shared" si="1587"/>
        <v>0</v>
      </c>
      <c r="AA3384" s="319">
        <f t="shared" si="1593"/>
        <v>0</v>
      </c>
      <c r="AB3384" s="815">
        <v>7.4999999999999997E-3</v>
      </c>
      <c r="AC3384" s="316">
        <f t="shared" si="1588"/>
        <v>0</v>
      </c>
      <c r="AD3384" s="307" t="s">
        <v>2779</v>
      </c>
      <c r="AE3384" s="210">
        <f t="shared" si="1589"/>
        <v>0</v>
      </c>
      <c r="AF3384" s="210">
        <f t="shared" si="1590"/>
        <v>0</v>
      </c>
      <c r="AG3384" s="211">
        <f t="shared" si="1591"/>
        <v>0.308</v>
      </c>
      <c r="AH3384" s="157">
        <f>(Z3384*AG3384)/1000</f>
        <v>0</v>
      </c>
      <c r="AI3384" s="152">
        <f t="shared" si="1592"/>
        <v>28512</v>
      </c>
      <c r="AK3384" s="156" t="s">
        <v>691</v>
      </c>
      <c r="AL3384" s="212" t="s">
        <v>690</v>
      </c>
      <c r="AM3384" s="198">
        <f t="shared" si="1594"/>
        <v>0</v>
      </c>
      <c r="AN3384" s="199">
        <f t="shared" si="1595"/>
        <v>46136</v>
      </c>
      <c r="AO3384" s="159" t="s">
        <v>692</v>
      </c>
      <c r="AP3384" s="783" t="s">
        <v>644</v>
      </c>
      <c r="AQ3384" s="782">
        <v>12063755</v>
      </c>
      <c r="AR3384" s="782">
        <v>12081257</v>
      </c>
      <c r="AS3384" s="782">
        <v>12081260</v>
      </c>
      <c r="AT3384" s="782">
        <v>12098623</v>
      </c>
      <c r="AU3384" s="781"/>
      <c r="AV3384" s="782">
        <v>12098706</v>
      </c>
      <c r="AW3384" s="782">
        <v>12088207</v>
      </c>
      <c r="AX3384" s="782"/>
      <c r="AY3384" s="782">
        <v>12094237</v>
      </c>
      <c r="AZ3384" s="782"/>
      <c r="BA3384" s="781"/>
      <c r="BB3384" s="209">
        <v>23053185</v>
      </c>
    </row>
    <row r="3385" spans="1:54" ht="24.65" customHeight="1">
      <c r="B3385" s="308">
        <v>46136</v>
      </c>
      <c r="C3385" s="309">
        <v>46163</v>
      </c>
      <c r="D3385" s="185">
        <f t="shared" si="1584"/>
        <v>2026</v>
      </c>
      <c r="E3385" s="309" t="e">
        <f>VLOOKUP($B3385,Week!$A$1:$C$1462,2,0)</f>
        <v>#N/A</v>
      </c>
      <c r="F3385" s="310" t="str">
        <f t="shared" si="1585"/>
        <v>Apr</v>
      </c>
      <c r="G3385" s="311" t="s">
        <v>2942</v>
      </c>
      <c r="H3385" s="311" t="s">
        <v>311</v>
      </c>
      <c r="I3385" s="311" t="s">
        <v>2772</v>
      </c>
      <c r="J3385" s="312" t="s">
        <v>738</v>
      </c>
      <c r="K3385" s="313" t="s">
        <v>107</v>
      </c>
      <c r="L3385" s="300" t="s">
        <v>2167</v>
      </c>
      <c r="M3385" s="312" t="s">
        <v>313</v>
      </c>
      <c r="N3385" s="311" t="s">
        <v>314</v>
      </c>
      <c r="O3385" s="311" t="s">
        <v>110</v>
      </c>
      <c r="P3385" s="314">
        <v>36</v>
      </c>
      <c r="Q3385" s="314">
        <v>5</v>
      </c>
      <c r="R3385" s="315">
        <v>7.4999999999999997E-3</v>
      </c>
      <c r="S3385" s="311" t="s">
        <v>111</v>
      </c>
      <c r="T3385" s="311" t="s">
        <v>112</v>
      </c>
      <c r="U3385" s="311" t="s">
        <v>57</v>
      </c>
      <c r="V3385" s="316">
        <v>792</v>
      </c>
      <c r="W3385" s="316">
        <v>792</v>
      </c>
      <c r="X3385" s="317"/>
      <c r="Y3385" s="318">
        <f t="shared" si="1586"/>
        <v>0</v>
      </c>
      <c r="Z3385" s="319">
        <f t="shared" si="1587"/>
        <v>0</v>
      </c>
      <c r="AA3385" s="319">
        <f t="shared" si="1593"/>
        <v>0</v>
      </c>
      <c r="AB3385" s="815">
        <v>7.4999999999999997E-3</v>
      </c>
      <c r="AC3385" s="316">
        <f t="shared" si="1588"/>
        <v>0</v>
      </c>
      <c r="AD3385" s="307" t="s">
        <v>2779</v>
      </c>
      <c r="AE3385" s="210">
        <f t="shared" si="1589"/>
        <v>0</v>
      </c>
      <c r="AF3385" s="210">
        <f t="shared" si="1590"/>
        <v>0</v>
      </c>
      <c r="AG3385" s="211">
        <f t="shared" si="1591"/>
        <v>0.308</v>
      </c>
      <c r="AH3385" s="157">
        <f>(Z3385*AG3385)/1000</f>
        <v>0</v>
      </c>
      <c r="AI3385" s="152">
        <f t="shared" si="1592"/>
        <v>28512</v>
      </c>
      <c r="AK3385" s="156" t="s">
        <v>691</v>
      </c>
      <c r="AL3385" s="212" t="s">
        <v>690</v>
      </c>
      <c r="AM3385" s="198">
        <f t="shared" si="1594"/>
        <v>0</v>
      </c>
      <c r="AN3385" s="199">
        <f t="shared" si="1595"/>
        <v>46136</v>
      </c>
      <c r="AO3385" s="159" t="s">
        <v>692</v>
      </c>
      <c r="AP3385" s="783" t="s">
        <v>644</v>
      </c>
      <c r="AQ3385" s="782">
        <v>12063755</v>
      </c>
      <c r="AR3385" s="782">
        <v>12081257</v>
      </c>
      <c r="AS3385" s="782">
        <v>12081260</v>
      </c>
      <c r="AT3385" s="782">
        <v>12098623</v>
      </c>
      <c r="AU3385" s="781"/>
      <c r="AV3385" s="782">
        <v>12098706</v>
      </c>
      <c r="AW3385" s="782">
        <v>12088207</v>
      </c>
      <c r="AX3385" s="782"/>
      <c r="AY3385" s="782">
        <v>12094237</v>
      </c>
      <c r="AZ3385" s="782"/>
      <c r="BA3385" s="781"/>
      <c r="BB3385" s="209">
        <v>23053185</v>
      </c>
    </row>
    <row r="3386" spans="1:54" ht="24.65" customHeight="1">
      <c r="B3386" s="308">
        <v>46136</v>
      </c>
      <c r="C3386" s="309">
        <v>46169</v>
      </c>
      <c r="D3386" s="185">
        <f t="shared" si="1584"/>
        <v>2026</v>
      </c>
      <c r="E3386" s="309" t="e">
        <f>VLOOKUP($B3386,Week!$A$1:$C$1462,2,0)</f>
        <v>#N/A</v>
      </c>
      <c r="F3386" s="310" t="str">
        <f t="shared" si="1585"/>
        <v>Apr</v>
      </c>
      <c r="G3386" s="311" t="s">
        <v>2943</v>
      </c>
      <c r="H3386" s="311" t="s">
        <v>311</v>
      </c>
      <c r="I3386" s="311" t="s">
        <v>2772</v>
      </c>
      <c r="J3386" s="312" t="s">
        <v>738</v>
      </c>
      <c r="K3386" s="313" t="s">
        <v>107</v>
      </c>
      <c r="L3386" s="300" t="s">
        <v>2167</v>
      </c>
      <c r="M3386" s="312" t="s">
        <v>313</v>
      </c>
      <c r="N3386" s="311" t="s">
        <v>314</v>
      </c>
      <c r="O3386" s="311" t="s">
        <v>110</v>
      </c>
      <c r="P3386" s="314">
        <v>36</v>
      </c>
      <c r="Q3386" s="314">
        <v>5</v>
      </c>
      <c r="R3386" s="315">
        <v>7.4999999999999997E-3</v>
      </c>
      <c r="S3386" s="311" t="s">
        <v>111</v>
      </c>
      <c r="T3386" s="311" t="s">
        <v>112</v>
      </c>
      <c r="U3386" s="311" t="s">
        <v>57</v>
      </c>
      <c r="V3386" s="316">
        <v>792</v>
      </c>
      <c r="W3386" s="316">
        <f>2373-792-792+2</f>
        <v>791</v>
      </c>
      <c r="X3386" s="317">
        <f>1</f>
        <v>1</v>
      </c>
      <c r="Y3386" s="318">
        <f t="shared" si="1586"/>
        <v>0</v>
      </c>
      <c r="Z3386" s="319">
        <f t="shared" si="1587"/>
        <v>0</v>
      </c>
      <c r="AA3386" s="319">
        <f t="shared" si="1593"/>
        <v>0</v>
      </c>
      <c r="AB3386" s="815">
        <v>7.4999999999999997E-3</v>
      </c>
      <c r="AC3386" s="316">
        <f t="shared" si="1588"/>
        <v>0</v>
      </c>
      <c r="AD3386" s="307" t="s">
        <v>2779</v>
      </c>
      <c r="AE3386" s="210">
        <f t="shared" si="1589"/>
        <v>0</v>
      </c>
      <c r="AF3386" s="210">
        <f t="shared" si="1590"/>
        <v>0</v>
      </c>
      <c r="AG3386" s="211">
        <f t="shared" si="1591"/>
        <v>0.308</v>
      </c>
      <c r="AH3386" s="157">
        <f>(Z3386*AG3386)/1000</f>
        <v>0</v>
      </c>
      <c r="AI3386" s="152">
        <f t="shared" si="1592"/>
        <v>28512</v>
      </c>
      <c r="AK3386" s="156" t="s">
        <v>691</v>
      </c>
      <c r="AL3386" s="212" t="s">
        <v>690</v>
      </c>
      <c r="AM3386" s="198">
        <f t="shared" si="1594"/>
        <v>0</v>
      </c>
      <c r="AN3386" s="199">
        <f t="shared" si="1595"/>
        <v>46136</v>
      </c>
      <c r="AO3386" s="159" t="s">
        <v>692</v>
      </c>
      <c r="AP3386" s="783" t="s">
        <v>644</v>
      </c>
      <c r="AQ3386" s="782">
        <v>12063755</v>
      </c>
      <c r="AR3386" s="782">
        <v>12081257</v>
      </c>
      <c r="AS3386" s="782">
        <v>12081260</v>
      </c>
      <c r="AT3386" s="782">
        <v>12098623</v>
      </c>
      <c r="AU3386" s="781"/>
      <c r="AV3386" s="782">
        <v>12098706</v>
      </c>
      <c r="AW3386" s="782">
        <v>12088207</v>
      </c>
      <c r="AX3386" s="782"/>
      <c r="AY3386" s="782">
        <v>12094237</v>
      </c>
      <c r="AZ3386" s="782"/>
      <c r="BA3386" s="781"/>
      <c r="BB3386" s="209">
        <v>23053185</v>
      </c>
    </row>
    <row r="3387" spans="1:54" ht="24.75" customHeight="1">
      <c r="B3387" s="295">
        <v>46137</v>
      </c>
      <c r="C3387" s="771" t="s">
        <v>2848</v>
      </c>
      <c r="D3387" s="185">
        <f t="shared" si="1584"/>
        <v>2026</v>
      </c>
      <c r="E3387" s="296" t="e">
        <f>VLOOKUP($B3387,Week!$A$1:$C$1462,2,0)</f>
        <v>#N/A</v>
      </c>
      <c r="F3387" s="297" t="str">
        <f t="shared" si="1585"/>
        <v>Apr</v>
      </c>
      <c r="G3387" s="648" t="s">
        <v>47</v>
      </c>
      <c r="H3387" s="298" t="s">
        <v>260</v>
      </c>
      <c r="I3387" s="298" t="s">
        <v>2702</v>
      </c>
      <c r="J3387" s="307" t="s">
        <v>2240</v>
      </c>
      <c r="K3387" s="300" t="s">
        <v>176</v>
      </c>
      <c r="L3387" s="300" t="s">
        <v>2167</v>
      </c>
      <c r="M3387" s="299" t="s">
        <v>2338</v>
      </c>
      <c r="N3387" s="298" t="s">
        <v>350</v>
      </c>
      <c r="O3387" s="298" t="s">
        <v>351</v>
      </c>
      <c r="P3387" s="301">
        <v>24</v>
      </c>
      <c r="Q3387" s="301">
        <v>5</v>
      </c>
      <c r="R3387" s="302">
        <v>6.1999999999999998E-3</v>
      </c>
      <c r="S3387" s="298" t="s">
        <v>352</v>
      </c>
      <c r="T3387" s="298" t="s">
        <v>56</v>
      </c>
      <c r="U3387" s="298" t="s">
        <v>57</v>
      </c>
      <c r="V3387" s="303">
        <v>1089</v>
      </c>
      <c r="W3387" s="303">
        <v>1089</v>
      </c>
      <c r="X3387" s="304"/>
      <c r="Y3387" s="305">
        <f t="shared" si="1586"/>
        <v>0</v>
      </c>
      <c r="Z3387" s="306">
        <f t="shared" si="1587"/>
        <v>0</v>
      </c>
      <c r="AA3387" s="306">
        <f t="shared" si="1593"/>
        <v>0</v>
      </c>
      <c r="AB3387" s="814">
        <v>7.4999999999999997E-3</v>
      </c>
      <c r="AC3387" s="303">
        <f t="shared" si="1588"/>
        <v>0</v>
      </c>
      <c r="AD3387" s="443"/>
      <c r="AE3387" s="210">
        <f t="shared" si="1589"/>
        <v>0</v>
      </c>
      <c r="AF3387" s="210">
        <f t="shared" si="1590"/>
        <v>0</v>
      </c>
      <c r="AG3387" s="211">
        <f t="shared" si="1591"/>
        <v>0.13</v>
      </c>
      <c r="AH3387" s="157">
        <f>(Z3387*AG3387)/1000</f>
        <v>0</v>
      </c>
      <c r="AI3387" s="152">
        <f t="shared" si="1592"/>
        <v>26136</v>
      </c>
      <c r="AK3387" s="156" t="s">
        <v>691</v>
      </c>
      <c r="AL3387" s="574" t="s">
        <v>690</v>
      </c>
      <c r="AM3387" s="198">
        <f t="shared" si="1594"/>
        <v>0</v>
      </c>
      <c r="AN3387" s="199">
        <f t="shared" si="1595"/>
        <v>46137</v>
      </c>
      <c r="AO3387" s="159" t="s">
        <v>692</v>
      </c>
      <c r="AP3387" s="783" t="s">
        <v>622</v>
      </c>
      <c r="AQ3387" s="782">
        <v>12071839</v>
      </c>
      <c r="AR3387" s="782">
        <v>12094356</v>
      </c>
      <c r="AS3387" s="782">
        <v>12068233</v>
      </c>
      <c r="AT3387" s="781"/>
      <c r="AU3387" s="781"/>
      <c r="AV3387" s="782">
        <v>12062075</v>
      </c>
      <c r="AW3387" s="781"/>
      <c r="AX3387" s="781"/>
      <c r="AY3387" s="782">
        <v>12094357</v>
      </c>
      <c r="AZ3387" s="782"/>
      <c r="BA3387" s="781"/>
      <c r="BB3387" s="209">
        <v>23053184</v>
      </c>
    </row>
    <row r="3388" spans="1:54" ht="25" customHeight="1">
      <c r="B3388" s="183">
        <v>46138</v>
      </c>
      <c r="C3388" s="184"/>
      <c r="D3388" s="185">
        <f t="shared" si="1584"/>
        <v>2026</v>
      </c>
      <c r="E3388" s="185" t="e">
        <f>VLOOKUP($B3388,Week!$A$1:$C$1462,2,0)</f>
        <v>#N/A</v>
      </c>
      <c r="F3388" s="186" t="str">
        <f t="shared" si="1585"/>
        <v>Apr</v>
      </c>
      <c r="G3388" s="481"/>
      <c r="H3388" s="185"/>
      <c r="I3388" s="185"/>
      <c r="J3388" s="187"/>
      <c r="K3388" s="188"/>
      <c r="L3388" s="188"/>
      <c r="M3388" s="187"/>
      <c r="N3388" s="185"/>
      <c r="O3388" s="185"/>
      <c r="P3388" s="189"/>
      <c r="Q3388" s="189"/>
      <c r="R3388" s="190"/>
      <c r="S3388" s="185"/>
      <c r="T3388" s="185"/>
      <c r="U3388" s="185"/>
      <c r="V3388" s="191"/>
      <c r="W3388" s="191"/>
      <c r="X3388" s="192"/>
      <c r="Y3388" s="193"/>
      <c r="Z3388" s="194"/>
      <c r="AA3388" s="194">
        <f t="shared" si="1593"/>
        <v>0</v>
      </c>
      <c r="AB3388" s="805"/>
      <c r="AC3388" s="191"/>
      <c r="AD3388" s="187"/>
      <c r="AE3388" s="195"/>
      <c r="AF3388" s="195"/>
      <c r="AG3388" s="196"/>
      <c r="AH3388" s="197"/>
      <c r="AK3388" s="156" t="s">
        <v>691</v>
      </c>
      <c r="AM3388" s="198">
        <f t="shared" si="1594"/>
        <v>0</v>
      </c>
      <c r="AN3388" s="199">
        <f t="shared" si="1595"/>
        <v>46138</v>
      </c>
      <c r="AO3388" s="159" t="s">
        <v>692</v>
      </c>
      <c r="AP3388" s="781"/>
      <c r="AQ3388" s="782"/>
      <c r="AR3388" s="782"/>
      <c r="AS3388" s="782"/>
      <c r="AT3388" s="782"/>
      <c r="AU3388" s="781"/>
      <c r="AV3388" s="782"/>
      <c r="AW3388" s="782"/>
      <c r="AX3388" s="782"/>
      <c r="AY3388" s="782"/>
      <c r="AZ3388" s="782"/>
      <c r="BA3388" s="781"/>
      <c r="BB3388" s="209"/>
    </row>
    <row r="3389" spans="1:54" ht="25" customHeight="1">
      <c r="A3389" s="142" t="s">
        <v>120</v>
      </c>
      <c r="B3389" s="448">
        <v>46139</v>
      </c>
      <c r="C3389" s="449">
        <v>46160</v>
      </c>
      <c r="D3389" s="185">
        <f t="shared" si="1584"/>
        <v>2026</v>
      </c>
      <c r="E3389" s="450" t="e">
        <f>VLOOKUP($B3389,Week!$A$1:$C$1462,2,0)</f>
        <v>#N/A</v>
      </c>
      <c r="F3389" s="451" t="str">
        <f t="shared" si="1585"/>
        <v>Apr</v>
      </c>
      <c r="G3389" s="450" t="s">
        <v>2903</v>
      </c>
      <c r="H3389" s="450" t="s">
        <v>134</v>
      </c>
      <c r="I3389" s="450" t="s">
        <v>2772</v>
      </c>
      <c r="J3389" s="452" t="s">
        <v>2932</v>
      </c>
      <c r="K3389" s="453" t="s">
        <v>153</v>
      </c>
      <c r="L3389" s="390" t="s">
        <v>2166</v>
      </c>
      <c r="M3389" s="452" t="s">
        <v>1642</v>
      </c>
      <c r="N3389" s="450" t="s">
        <v>429</v>
      </c>
      <c r="O3389" s="450" t="s">
        <v>505</v>
      </c>
      <c r="P3389" s="454">
        <v>20</v>
      </c>
      <c r="Q3389" s="454">
        <v>12</v>
      </c>
      <c r="R3389" s="455">
        <v>6.8100000000000001E-3</v>
      </c>
      <c r="S3389" s="450" t="s">
        <v>76</v>
      </c>
      <c r="T3389" s="450" t="s">
        <v>56</v>
      </c>
      <c r="U3389" s="773" t="s">
        <v>430</v>
      </c>
      <c r="V3389" s="456">
        <v>1200</v>
      </c>
      <c r="W3389" s="456">
        <f>653</f>
        <v>653</v>
      </c>
      <c r="X3389" s="457">
        <f>(120+10900)/20</f>
        <v>551</v>
      </c>
      <c r="Y3389" s="458">
        <f t="shared" ref="Y3389:Y3402" si="1596">(W3389+X3389)-V3389</f>
        <v>4</v>
      </c>
      <c r="Z3389" s="459">
        <f t="shared" ref="Z3389:Z3402" si="1597">IF(Y3389&lt;0,((V3389*P3389)-((W3389+X3389)*P3389)),0)</f>
        <v>0</v>
      </c>
      <c r="AA3389" s="459">
        <f t="shared" si="1593"/>
        <v>0</v>
      </c>
      <c r="AB3389" s="827">
        <v>2</v>
      </c>
      <c r="AC3389" s="456">
        <f t="shared" ref="AC3389:AC3402" si="1598">Z3389*AB3389</f>
        <v>0</v>
      </c>
      <c r="AD3389" s="209" t="s">
        <v>218</v>
      </c>
      <c r="AE3389" s="210">
        <f t="shared" ref="AE3389:AE3402" si="1599">SUM(Q3389*R3389*Z3389)/1000</f>
        <v>0</v>
      </c>
      <c r="AF3389" s="210">
        <f t="shared" ref="AF3389:AF3402" si="1600">AE3389/0.54</f>
        <v>0</v>
      </c>
      <c r="AG3389" s="211">
        <f t="shared" ref="AG3389:AG3396" si="1601">MID(O3389,1,3)/1000</f>
        <v>0.20399999999999999</v>
      </c>
      <c r="AH3389" s="157">
        <f>(Z3389*AG3389)/1000</f>
        <v>0</v>
      </c>
      <c r="AI3389" s="152">
        <f t="shared" ref="AI3389:AI3396" si="1602">V3389*P3389</f>
        <v>24000</v>
      </c>
      <c r="AK3389" s="156" t="s">
        <v>691</v>
      </c>
      <c r="AL3389" s="156" t="s">
        <v>689</v>
      </c>
      <c r="AM3389" s="198">
        <f t="shared" si="1594"/>
        <v>0</v>
      </c>
      <c r="AN3389" s="199">
        <f t="shared" si="1595"/>
        <v>46139</v>
      </c>
      <c r="AO3389" s="159" t="s">
        <v>692</v>
      </c>
      <c r="AP3389" s="781"/>
      <c r="AQ3389" s="782">
        <v>12071839</v>
      </c>
      <c r="AR3389" s="782">
        <v>12019692</v>
      </c>
      <c r="AS3389" s="782"/>
      <c r="AT3389" s="867">
        <v>12095767</v>
      </c>
      <c r="AU3389" s="868"/>
      <c r="AV3389" s="867">
        <v>12095768</v>
      </c>
      <c r="AW3389" s="782"/>
      <c r="AX3389" s="782" t="s">
        <v>398</v>
      </c>
      <c r="AY3389" s="782"/>
      <c r="AZ3389" s="782"/>
      <c r="BA3389" s="781"/>
      <c r="BB3389" s="209">
        <v>23057444</v>
      </c>
    </row>
    <row r="3390" spans="1:54" ht="25" customHeight="1">
      <c r="B3390" s="357">
        <v>46140</v>
      </c>
      <c r="C3390" s="358">
        <v>46181</v>
      </c>
      <c r="D3390" s="185">
        <f t="shared" si="1584"/>
        <v>2026</v>
      </c>
      <c r="E3390" s="358" t="e">
        <f>VLOOKUP($B3390,Week!$A$1:$C$1462,2,0)</f>
        <v>#N/A</v>
      </c>
      <c r="F3390" s="360" t="str">
        <f t="shared" si="1585"/>
        <v>Apr</v>
      </c>
      <c r="G3390" s="436" t="s">
        <v>2910</v>
      </c>
      <c r="H3390" s="359" t="s">
        <v>225</v>
      </c>
      <c r="I3390" s="359" t="s">
        <v>2773</v>
      </c>
      <c r="J3390" s="361" t="s">
        <v>650</v>
      </c>
      <c r="K3390" s="362" t="s">
        <v>593</v>
      </c>
      <c r="L3390" s="300" t="s">
        <v>2167</v>
      </c>
      <c r="M3390" s="361" t="s">
        <v>717</v>
      </c>
      <c r="N3390" s="359" t="s">
        <v>719</v>
      </c>
      <c r="O3390" s="359" t="s">
        <v>230</v>
      </c>
      <c r="P3390" s="363">
        <v>12</v>
      </c>
      <c r="Q3390" s="363">
        <v>5</v>
      </c>
      <c r="R3390" s="364">
        <v>6.0000000000000001E-3</v>
      </c>
      <c r="S3390" s="359" t="s">
        <v>55</v>
      </c>
      <c r="T3390" s="359" t="s">
        <v>112</v>
      </c>
      <c r="U3390" s="359" t="s">
        <v>57</v>
      </c>
      <c r="V3390" s="365">
        <v>2600</v>
      </c>
      <c r="W3390" s="365"/>
      <c r="X3390" s="366">
        <f>(1560+25959+3681)/12</f>
        <v>2600</v>
      </c>
      <c r="Y3390" s="367">
        <f t="shared" si="1596"/>
        <v>0</v>
      </c>
      <c r="Z3390" s="368">
        <f t="shared" si="1597"/>
        <v>0</v>
      </c>
      <c r="AA3390" s="368">
        <f t="shared" si="1593"/>
        <v>0</v>
      </c>
      <c r="AB3390" s="819">
        <v>7.4999999999999997E-3</v>
      </c>
      <c r="AC3390" s="365">
        <f t="shared" si="1598"/>
        <v>0</v>
      </c>
      <c r="AD3390" s="307" t="s">
        <v>2421</v>
      </c>
      <c r="AE3390" s="210">
        <f t="shared" si="1599"/>
        <v>0</v>
      </c>
      <c r="AF3390" s="210">
        <f t="shared" si="1600"/>
        <v>0</v>
      </c>
      <c r="AG3390" s="211">
        <f t="shared" si="1601"/>
        <v>0.25800000000000001</v>
      </c>
      <c r="AH3390" s="157">
        <f>(Z3390*AG3390)/1000</f>
        <v>0</v>
      </c>
      <c r="AI3390" s="152">
        <f t="shared" si="1602"/>
        <v>31200</v>
      </c>
      <c r="AK3390" s="156" t="s">
        <v>691</v>
      </c>
      <c r="AL3390" s="574" t="s">
        <v>690</v>
      </c>
      <c r="AM3390" s="198">
        <f t="shared" si="1594"/>
        <v>0</v>
      </c>
      <c r="AN3390" s="199">
        <f t="shared" si="1595"/>
        <v>46140</v>
      </c>
      <c r="AO3390" s="159" t="s">
        <v>692</v>
      </c>
      <c r="AP3390" s="783" t="s">
        <v>612</v>
      </c>
      <c r="AQ3390" s="782">
        <v>12071839</v>
      </c>
      <c r="AR3390" s="782">
        <v>12042650</v>
      </c>
      <c r="AS3390" s="782">
        <v>12042649</v>
      </c>
      <c r="AT3390" s="782">
        <v>12096387</v>
      </c>
      <c r="AU3390" s="781"/>
      <c r="AV3390" s="782">
        <v>12088422</v>
      </c>
      <c r="AW3390" s="782"/>
      <c r="AX3390" s="782"/>
      <c r="AY3390" s="782"/>
      <c r="AZ3390" s="782"/>
      <c r="BA3390" s="781"/>
      <c r="BB3390" s="209">
        <v>23053185</v>
      </c>
    </row>
    <row r="3391" spans="1:54" ht="25" customHeight="1">
      <c r="A3391" s="623"/>
      <c r="B3391" s="498">
        <v>46140</v>
      </c>
      <c r="C3391" s="499">
        <v>46163</v>
      </c>
      <c r="D3391" s="185">
        <f t="shared" si="1584"/>
        <v>2026</v>
      </c>
      <c r="E3391" s="499" t="e">
        <f>VLOOKUP($B3391,Week!$A$1:$C$1462,2,0)</f>
        <v>#N/A</v>
      </c>
      <c r="F3391" s="500" t="str">
        <f t="shared" si="1585"/>
        <v>Apr</v>
      </c>
      <c r="G3391" s="501" t="s">
        <v>2908</v>
      </c>
      <c r="H3391" s="501" t="s">
        <v>311</v>
      </c>
      <c r="I3391" s="501" t="s">
        <v>2772</v>
      </c>
      <c r="J3391" s="502" t="s">
        <v>738</v>
      </c>
      <c r="K3391" s="503" t="s">
        <v>1646</v>
      </c>
      <c r="L3391" s="300" t="s">
        <v>2167</v>
      </c>
      <c r="M3391" s="502" t="s">
        <v>654</v>
      </c>
      <c r="N3391" s="501" t="s">
        <v>726</v>
      </c>
      <c r="O3391" s="501" t="s">
        <v>655</v>
      </c>
      <c r="P3391" s="504">
        <v>24</v>
      </c>
      <c r="Q3391" s="504">
        <v>5</v>
      </c>
      <c r="R3391" s="505">
        <v>7.4999999999999997E-3</v>
      </c>
      <c r="S3391" s="501" t="s">
        <v>40</v>
      </c>
      <c r="T3391" s="501" t="s">
        <v>112</v>
      </c>
      <c r="U3391" s="506" t="s">
        <v>1894</v>
      </c>
      <c r="V3391" s="507">
        <f>390</f>
        <v>390</v>
      </c>
      <c r="W3391" s="507">
        <f>59+331</f>
        <v>390</v>
      </c>
      <c r="X3391" s="508"/>
      <c r="Y3391" s="509">
        <f t="shared" si="1596"/>
        <v>0</v>
      </c>
      <c r="Z3391" s="510">
        <f t="shared" si="1597"/>
        <v>0</v>
      </c>
      <c r="AA3391" s="510">
        <f t="shared" si="1593"/>
        <v>0</v>
      </c>
      <c r="AB3391" s="830">
        <v>3.8699999999999998E-2</v>
      </c>
      <c r="AC3391" s="507">
        <f t="shared" si="1598"/>
        <v>0</v>
      </c>
      <c r="AD3391" s="209"/>
      <c r="AE3391" s="210">
        <f t="shared" si="1599"/>
        <v>0</v>
      </c>
      <c r="AF3391" s="210">
        <f t="shared" si="1600"/>
        <v>0</v>
      </c>
      <c r="AG3391" s="211">
        <f t="shared" si="1601"/>
        <v>0.307</v>
      </c>
      <c r="AH3391" s="157">
        <f>(Z3391*AG3391)/1000</f>
        <v>0</v>
      </c>
      <c r="AI3391" s="152">
        <f t="shared" si="1602"/>
        <v>9360</v>
      </c>
      <c r="AK3391" s="156" t="s">
        <v>691</v>
      </c>
      <c r="AL3391" s="212" t="s">
        <v>690</v>
      </c>
      <c r="AM3391" s="198">
        <f t="shared" si="1594"/>
        <v>0</v>
      </c>
      <c r="AN3391" s="199">
        <f t="shared" si="1595"/>
        <v>46140</v>
      </c>
      <c r="AO3391" s="159" t="s">
        <v>692</v>
      </c>
      <c r="AP3391" s="781" t="s">
        <v>642</v>
      </c>
      <c r="AQ3391" s="782">
        <v>12063755</v>
      </c>
      <c r="AR3391" s="782">
        <v>12061353</v>
      </c>
      <c r="AS3391" s="782">
        <v>12061354</v>
      </c>
      <c r="AT3391" s="782">
        <v>12089274</v>
      </c>
      <c r="AU3391" s="781"/>
      <c r="AV3391" s="782">
        <v>12089275</v>
      </c>
      <c r="AW3391" s="782">
        <v>12068154</v>
      </c>
      <c r="AX3391" s="782"/>
      <c r="AY3391" s="782">
        <v>12094140</v>
      </c>
      <c r="AZ3391" s="782"/>
      <c r="BA3391" s="781"/>
      <c r="BB3391" s="209">
        <v>23105470</v>
      </c>
    </row>
    <row r="3392" spans="1:54" ht="25" customHeight="1">
      <c r="A3392" s="623"/>
      <c r="B3392" s="498">
        <v>46140</v>
      </c>
      <c r="C3392" s="499">
        <v>46169</v>
      </c>
      <c r="D3392" s="185">
        <f t="shared" si="1584"/>
        <v>2026</v>
      </c>
      <c r="E3392" s="499" t="e">
        <f>VLOOKUP($B3392,Week!$A$1:$C$1462,2,0)</f>
        <v>#N/A</v>
      </c>
      <c r="F3392" s="500" t="str">
        <f t="shared" si="1585"/>
        <v>Apr</v>
      </c>
      <c r="G3392" s="501" t="s">
        <v>2884</v>
      </c>
      <c r="H3392" s="501" t="s">
        <v>311</v>
      </c>
      <c r="I3392" s="501" t="s">
        <v>2772</v>
      </c>
      <c r="J3392" s="502" t="s">
        <v>738</v>
      </c>
      <c r="K3392" s="503" t="s">
        <v>1646</v>
      </c>
      <c r="L3392" s="300" t="s">
        <v>2167</v>
      </c>
      <c r="M3392" s="502" t="s">
        <v>654</v>
      </c>
      <c r="N3392" s="501" t="s">
        <v>726</v>
      </c>
      <c r="O3392" s="501" t="s">
        <v>655</v>
      </c>
      <c r="P3392" s="504">
        <v>24</v>
      </c>
      <c r="Q3392" s="504">
        <v>5</v>
      </c>
      <c r="R3392" s="505">
        <v>7.4999999999999997E-3</v>
      </c>
      <c r="S3392" s="501" t="s">
        <v>40</v>
      </c>
      <c r="T3392" s="501" t="s">
        <v>112</v>
      </c>
      <c r="U3392" s="506" t="s">
        <v>1894</v>
      </c>
      <c r="V3392" s="507">
        <f>390</f>
        <v>390</v>
      </c>
      <c r="W3392" s="507">
        <f>420-331</f>
        <v>89</v>
      </c>
      <c r="X3392" s="508">
        <f>(6261+963)/24</f>
        <v>301</v>
      </c>
      <c r="Y3392" s="509">
        <f t="shared" si="1596"/>
        <v>0</v>
      </c>
      <c r="Z3392" s="510">
        <f t="shared" si="1597"/>
        <v>0</v>
      </c>
      <c r="AA3392" s="510">
        <f t="shared" si="1593"/>
        <v>0</v>
      </c>
      <c r="AB3392" s="830">
        <v>3.8699999999999998E-2</v>
      </c>
      <c r="AC3392" s="507">
        <f t="shared" si="1598"/>
        <v>0</v>
      </c>
      <c r="AD3392" s="209"/>
      <c r="AE3392" s="210">
        <f t="shared" si="1599"/>
        <v>0</v>
      </c>
      <c r="AF3392" s="210">
        <f t="shared" si="1600"/>
        <v>0</v>
      </c>
      <c r="AG3392" s="211">
        <f t="shared" si="1601"/>
        <v>0.307</v>
      </c>
      <c r="AH3392" s="157">
        <f>(Z3392*AG3392)/1000</f>
        <v>0</v>
      </c>
      <c r="AI3392" s="152">
        <f t="shared" si="1602"/>
        <v>9360</v>
      </c>
      <c r="AK3392" s="156" t="s">
        <v>691</v>
      </c>
      <c r="AL3392" s="212" t="s">
        <v>690</v>
      </c>
      <c r="AM3392" s="198">
        <f t="shared" si="1594"/>
        <v>0</v>
      </c>
      <c r="AN3392" s="199">
        <f t="shared" si="1595"/>
        <v>46140</v>
      </c>
      <c r="AO3392" s="159" t="s">
        <v>692</v>
      </c>
      <c r="AP3392" s="781" t="s">
        <v>642</v>
      </c>
      <c r="AQ3392" s="782">
        <v>12063755</v>
      </c>
      <c r="AR3392" s="782">
        <v>12061353</v>
      </c>
      <c r="AS3392" s="782">
        <v>12061354</v>
      </c>
      <c r="AT3392" s="782">
        <v>12089274</v>
      </c>
      <c r="AU3392" s="781"/>
      <c r="AV3392" s="782">
        <v>12089275</v>
      </c>
      <c r="AW3392" s="782">
        <v>12068154</v>
      </c>
      <c r="AX3392" s="782"/>
      <c r="AY3392" s="782">
        <v>12094140</v>
      </c>
      <c r="AZ3392" s="782"/>
      <c r="BA3392" s="781"/>
      <c r="BB3392" s="209">
        <v>23105470</v>
      </c>
    </row>
    <row r="3393" spans="1:54" ht="25" customHeight="1">
      <c r="B3393" s="332">
        <v>46140</v>
      </c>
      <c r="C3393" s="333">
        <v>46170</v>
      </c>
      <c r="D3393" s="185">
        <f t="shared" si="1584"/>
        <v>2026</v>
      </c>
      <c r="E3393" s="333" t="e">
        <f>VLOOKUP($B3393,Week!$A$1:$C$1462,2,0)</f>
        <v>#N/A</v>
      </c>
      <c r="F3393" s="334" t="str">
        <f t="shared" si="1585"/>
        <v>Apr</v>
      </c>
      <c r="G3393" s="335" t="s">
        <v>2971</v>
      </c>
      <c r="H3393" s="335" t="s">
        <v>675</v>
      </c>
      <c r="I3393" s="335" t="s">
        <v>2772</v>
      </c>
      <c r="J3393" s="336" t="s">
        <v>2906</v>
      </c>
      <c r="K3393" s="337" t="s">
        <v>1649</v>
      </c>
      <c r="L3393" s="300" t="s">
        <v>2167</v>
      </c>
      <c r="M3393" s="336" t="s">
        <v>603</v>
      </c>
      <c r="N3393" s="530" t="s">
        <v>711</v>
      </c>
      <c r="O3393" s="335" t="s">
        <v>602</v>
      </c>
      <c r="P3393" s="338">
        <v>8</v>
      </c>
      <c r="Q3393" s="338">
        <v>3</v>
      </c>
      <c r="R3393" s="339">
        <v>6.0000000000000001E-3</v>
      </c>
      <c r="S3393" s="335" t="s">
        <v>55</v>
      </c>
      <c r="T3393" s="335" t="s">
        <v>112</v>
      </c>
      <c r="U3393" s="340" t="s">
        <v>1894</v>
      </c>
      <c r="V3393" s="341">
        <f>60</f>
        <v>60</v>
      </c>
      <c r="W3393" s="341"/>
      <c r="X3393" s="342">
        <f>(128+352)/8</f>
        <v>60</v>
      </c>
      <c r="Y3393" s="343">
        <f t="shared" si="1596"/>
        <v>0</v>
      </c>
      <c r="Z3393" s="344">
        <f t="shared" si="1597"/>
        <v>0</v>
      </c>
      <c r="AA3393" s="344">
        <f t="shared" si="1593"/>
        <v>0</v>
      </c>
      <c r="AB3393" s="817">
        <v>3.8699999999999998E-2</v>
      </c>
      <c r="AC3393" s="341">
        <f t="shared" si="1598"/>
        <v>0</v>
      </c>
      <c r="AD3393" s="443"/>
      <c r="AE3393" s="210">
        <f t="shared" si="1599"/>
        <v>0</v>
      </c>
      <c r="AF3393" s="210">
        <f t="shared" si="1600"/>
        <v>0</v>
      </c>
      <c r="AG3393" s="211">
        <f t="shared" si="1601"/>
        <v>0.30199999999999999</v>
      </c>
      <c r="AH3393" s="157">
        <v>0.26621999999999996</v>
      </c>
      <c r="AI3393" s="152">
        <f t="shared" si="1602"/>
        <v>480</v>
      </c>
      <c r="AK3393" s="156" t="s">
        <v>691</v>
      </c>
      <c r="AL3393" s="212" t="s">
        <v>690</v>
      </c>
      <c r="AM3393" s="198">
        <f t="shared" si="1594"/>
        <v>0</v>
      </c>
      <c r="AN3393" s="199">
        <f t="shared" si="1595"/>
        <v>46140</v>
      </c>
      <c r="AO3393" s="159" t="s">
        <v>692</v>
      </c>
      <c r="AP3393" s="781" t="s">
        <v>642</v>
      </c>
      <c r="AQ3393" s="782">
        <v>12063755</v>
      </c>
      <c r="AR3393" s="782">
        <v>12061353</v>
      </c>
      <c r="AS3393" s="782">
        <v>12061354</v>
      </c>
      <c r="AT3393" s="782">
        <v>12089988</v>
      </c>
      <c r="AU3393" s="781"/>
      <c r="AV3393" s="782">
        <v>12089985</v>
      </c>
      <c r="AW3393" s="781"/>
      <c r="AX3393" s="781"/>
      <c r="AY3393" s="781" t="s">
        <v>2713</v>
      </c>
      <c r="AZ3393" s="781" t="s">
        <v>2714</v>
      </c>
      <c r="BA3393" s="781"/>
      <c r="BB3393" s="209">
        <v>23105470</v>
      </c>
    </row>
    <row r="3394" spans="1:54" ht="25" customHeight="1">
      <c r="B3394" s="332">
        <v>46140</v>
      </c>
      <c r="C3394" s="333">
        <v>46154</v>
      </c>
      <c r="D3394" s="185">
        <f t="shared" si="1584"/>
        <v>2026</v>
      </c>
      <c r="E3394" s="333" t="e">
        <f>VLOOKUP($B3394,Week!$A$1:$C$1462,2,0)</f>
        <v>#N/A</v>
      </c>
      <c r="F3394" s="334" t="str">
        <f t="shared" si="1585"/>
        <v>Apr</v>
      </c>
      <c r="G3394" s="335" t="s">
        <v>2896</v>
      </c>
      <c r="H3394" s="335" t="s">
        <v>600</v>
      </c>
      <c r="I3394" s="335" t="s">
        <v>2772</v>
      </c>
      <c r="J3394" s="336" t="s">
        <v>708</v>
      </c>
      <c r="K3394" s="337" t="s">
        <v>1646</v>
      </c>
      <c r="L3394" s="300" t="s">
        <v>2167</v>
      </c>
      <c r="M3394" s="336" t="s">
        <v>601</v>
      </c>
      <c r="N3394" s="335" t="s">
        <v>604</v>
      </c>
      <c r="O3394" s="335" t="s">
        <v>543</v>
      </c>
      <c r="P3394" s="338">
        <v>8</v>
      </c>
      <c r="Q3394" s="338">
        <v>3</v>
      </c>
      <c r="R3394" s="339">
        <v>7.4999999999999997E-3</v>
      </c>
      <c r="S3394" s="335" t="s">
        <v>40</v>
      </c>
      <c r="T3394" s="335" t="s">
        <v>112</v>
      </c>
      <c r="U3394" s="340" t="s">
        <v>1893</v>
      </c>
      <c r="V3394" s="341">
        <f>1750</f>
        <v>1750</v>
      </c>
      <c r="W3394" s="341"/>
      <c r="X3394" s="342">
        <f>(14188)/8</f>
        <v>1773.5</v>
      </c>
      <c r="Y3394" s="343">
        <f t="shared" si="1596"/>
        <v>23.5</v>
      </c>
      <c r="Z3394" s="344">
        <f t="shared" si="1597"/>
        <v>0</v>
      </c>
      <c r="AA3394" s="344">
        <f t="shared" si="1593"/>
        <v>0</v>
      </c>
      <c r="AB3394" s="817">
        <v>3.85E-2</v>
      </c>
      <c r="AC3394" s="341">
        <f t="shared" si="1598"/>
        <v>0</v>
      </c>
      <c r="AD3394" s="307" t="s">
        <v>673</v>
      </c>
      <c r="AE3394" s="210">
        <f t="shared" si="1599"/>
        <v>0</v>
      </c>
      <c r="AF3394" s="210">
        <f t="shared" si="1600"/>
        <v>0</v>
      </c>
      <c r="AG3394" s="211">
        <f t="shared" si="1601"/>
        <v>0.309</v>
      </c>
      <c r="AH3394" s="157">
        <f>(Z3394*AG3394)/1000</f>
        <v>0</v>
      </c>
      <c r="AI3394" s="152">
        <f t="shared" si="1602"/>
        <v>14000</v>
      </c>
      <c r="AK3394" s="156" t="s">
        <v>691</v>
      </c>
      <c r="AL3394" s="574" t="s">
        <v>690</v>
      </c>
      <c r="AM3394" s="198">
        <f t="shared" si="1594"/>
        <v>0</v>
      </c>
      <c r="AN3394" s="199">
        <f t="shared" si="1595"/>
        <v>46140</v>
      </c>
      <c r="AO3394" s="159" t="s">
        <v>692</v>
      </c>
      <c r="AP3394" s="783" t="s">
        <v>629</v>
      </c>
      <c r="AQ3394" s="782">
        <v>12071839</v>
      </c>
      <c r="AR3394" s="782">
        <v>12061353</v>
      </c>
      <c r="AS3394" s="782">
        <v>12061354</v>
      </c>
      <c r="AT3394" s="782">
        <v>12098576</v>
      </c>
      <c r="AU3394" s="781"/>
      <c r="AV3394" s="782">
        <v>12098578</v>
      </c>
      <c r="AW3394" s="781"/>
      <c r="AX3394" s="781"/>
      <c r="AY3394" s="782">
        <v>12094357</v>
      </c>
      <c r="AZ3394" s="781"/>
      <c r="BA3394" s="781"/>
      <c r="BB3394" s="209">
        <v>23053185</v>
      </c>
    </row>
    <row r="3395" spans="1:54" ht="25" customHeight="1">
      <c r="A3395" s="440"/>
      <c r="B3395" s="332">
        <v>46141</v>
      </c>
      <c r="C3395" s="646" t="s">
        <v>2848</v>
      </c>
      <c r="D3395" s="185">
        <f t="shared" si="1584"/>
        <v>2026</v>
      </c>
      <c r="E3395" s="333" t="e">
        <f>VLOOKUP($B3395,[1]Week!$A$1:$C$1462,2,0)</f>
        <v>#N/A</v>
      </c>
      <c r="F3395" s="334" t="str">
        <f t="shared" si="1585"/>
        <v>Apr</v>
      </c>
      <c r="G3395" s="335" t="s">
        <v>47</v>
      </c>
      <c r="H3395" s="335" t="s">
        <v>518</v>
      </c>
      <c r="I3395" s="335" t="s">
        <v>2702</v>
      </c>
      <c r="J3395" s="336" t="s">
        <v>70</v>
      </c>
      <c r="K3395" s="337" t="s">
        <v>2581</v>
      </c>
      <c r="L3395" s="300" t="s">
        <v>2167</v>
      </c>
      <c r="M3395" s="336" t="s">
        <v>2575</v>
      </c>
      <c r="N3395" s="530" t="s">
        <v>2578</v>
      </c>
      <c r="O3395" s="335" t="s">
        <v>2574</v>
      </c>
      <c r="P3395" s="338">
        <v>12</v>
      </c>
      <c r="Q3395" s="338">
        <v>3</v>
      </c>
      <c r="R3395" s="339">
        <v>6.1999999999999998E-3</v>
      </c>
      <c r="S3395" s="335" t="s">
        <v>55</v>
      </c>
      <c r="T3395" s="335" t="s">
        <v>56</v>
      </c>
      <c r="U3395" s="340" t="s">
        <v>1633</v>
      </c>
      <c r="V3395" s="341">
        <f>1667</f>
        <v>1667</v>
      </c>
      <c r="W3395" s="341">
        <f>19+1657</f>
        <v>1676</v>
      </c>
      <c r="X3395" s="342">
        <f>(65)/12</f>
        <v>5.416666666666667</v>
      </c>
      <c r="Y3395" s="343">
        <f t="shared" si="1596"/>
        <v>14.416666666666742</v>
      </c>
      <c r="Z3395" s="344">
        <f t="shared" si="1597"/>
        <v>0</v>
      </c>
      <c r="AA3395" s="344">
        <f t="shared" si="1593"/>
        <v>0</v>
      </c>
      <c r="AB3395" s="817"/>
      <c r="AC3395" s="341">
        <f t="shared" si="1598"/>
        <v>0</v>
      </c>
      <c r="AD3395" s="443"/>
      <c r="AE3395" s="210">
        <f t="shared" si="1599"/>
        <v>0</v>
      </c>
      <c r="AF3395" s="210">
        <f t="shared" si="1600"/>
        <v>0</v>
      </c>
      <c r="AG3395" s="211">
        <f t="shared" si="1601"/>
        <v>0.23499999999999999</v>
      </c>
      <c r="AH3395" s="157">
        <v>0.26621999999999996</v>
      </c>
      <c r="AI3395" s="152">
        <f t="shared" si="1602"/>
        <v>20004</v>
      </c>
      <c r="AK3395" s="156" t="s">
        <v>691</v>
      </c>
      <c r="AL3395" s="574" t="s">
        <v>690</v>
      </c>
      <c r="AM3395" s="198">
        <f t="shared" si="1594"/>
        <v>0</v>
      </c>
      <c r="AN3395" s="199">
        <f t="shared" si="1595"/>
        <v>46141</v>
      </c>
      <c r="AO3395" s="159" t="s">
        <v>692</v>
      </c>
      <c r="AP3395" s="781" t="s">
        <v>642</v>
      </c>
      <c r="AQ3395" s="782">
        <v>12071839</v>
      </c>
      <c r="AR3395" s="782">
        <v>12042650</v>
      </c>
      <c r="AS3395" s="782">
        <v>12042649</v>
      </c>
      <c r="AT3395" s="782"/>
      <c r="AU3395" s="781"/>
      <c r="AV3395" s="782">
        <v>12094444</v>
      </c>
      <c r="AW3395" s="781"/>
      <c r="AX3395" s="781"/>
      <c r="AY3395" s="783" t="s">
        <v>2602</v>
      </c>
      <c r="AZ3395" s="796" t="s">
        <v>2603</v>
      </c>
      <c r="BA3395" s="781"/>
      <c r="BB3395" s="209">
        <v>23099087</v>
      </c>
    </row>
    <row r="3396" spans="1:54" ht="25" customHeight="1">
      <c r="A3396" s="440"/>
      <c r="B3396" s="332">
        <v>46141</v>
      </c>
      <c r="C3396" s="646" t="s">
        <v>2848</v>
      </c>
      <c r="D3396" s="185">
        <f t="shared" si="1584"/>
        <v>2026</v>
      </c>
      <c r="E3396" s="333" t="e">
        <f>VLOOKUP($B3396,[1]Week!$A$1:$C$1462,2,0)</f>
        <v>#N/A</v>
      </c>
      <c r="F3396" s="334" t="str">
        <f t="shared" si="1585"/>
        <v>Apr</v>
      </c>
      <c r="G3396" s="335" t="s">
        <v>47</v>
      </c>
      <c r="H3396" s="335" t="s">
        <v>518</v>
      </c>
      <c r="I3396" s="335" t="s">
        <v>2702</v>
      </c>
      <c r="J3396" s="336" t="s">
        <v>70</v>
      </c>
      <c r="K3396" s="337" t="s">
        <v>2580</v>
      </c>
      <c r="L3396" s="300" t="s">
        <v>2167</v>
      </c>
      <c r="M3396" s="336" t="s">
        <v>2576</v>
      </c>
      <c r="N3396" s="530" t="s">
        <v>2579</v>
      </c>
      <c r="O3396" s="335" t="s">
        <v>2574</v>
      </c>
      <c r="P3396" s="338">
        <v>12</v>
      </c>
      <c r="Q3396" s="338">
        <v>3</v>
      </c>
      <c r="R3396" s="339">
        <v>6.1999999999999998E-3</v>
      </c>
      <c r="S3396" s="335" t="s">
        <v>55</v>
      </c>
      <c r="T3396" s="335" t="s">
        <v>56</v>
      </c>
      <c r="U3396" s="340" t="s">
        <v>2577</v>
      </c>
      <c r="V3396" s="341">
        <f>1667</f>
        <v>1667</v>
      </c>
      <c r="W3396" s="341">
        <f>8+1515</f>
        <v>1523</v>
      </c>
      <c r="X3396" s="342">
        <f>(1781)/12</f>
        <v>148.41666666666666</v>
      </c>
      <c r="Y3396" s="343">
        <f t="shared" si="1596"/>
        <v>4.4166666666667425</v>
      </c>
      <c r="Z3396" s="344">
        <f t="shared" si="1597"/>
        <v>0</v>
      </c>
      <c r="AA3396" s="344">
        <f t="shared" si="1593"/>
        <v>0</v>
      </c>
      <c r="AB3396" s="817"/>
      <c r="AC3396" s="341">
        <f t="shared" si="1598"/>
        <v>0</v>
      </c>
      <c r="AD3396" s="443"/>
      <c r="AE3396" s="210">
        <f t="shared" si="1599"/>
        <v>0</v>
      </c>
      <c r="AF3396" s="210">
        <f t="shared" si="1600"/>
        <v>0</v>
      </c>
      <c r="AG3396" s="211">
        <f t="shared" si="1601"/>
        <v>0.23499999999999999</v>
      </c>
      <c r="AH3396" s="157">
        <v>0.26621999999999996</v>
      </c>
      <c r="AI3396" s="152">
        <f t="shared" si="1602"/>
        <v>20004</v>
      </c>
      <c r="AK3396" s="156" t="s">
        <v>691</v>
      </c>
      <c r="AL3396" s="574" t="s">
        <v>690</v>
      </c>
      <c r="AM3396" s="198">
        <f t="shared" si="1594"/>
        <v>0</v>
      </c>
      <c r="AN3396" s="199">
        <f t="shared" si="1595"/>
        <v>46141</v>
      </c>
      <c r="AO3396" s="159" t="s">
        <v>692</v>
      </c>
      <c r="AP3396" s="781" t="s">
        <v>642</v>
      </c>
      <c r="AQ3396" s="782">
        <v>12071839</v>
      </c>
      <c r="AR3396" s="782">
        <v>12042650</v>
      </c>
      <c r="AS3396" s="782">
        <v>12042649</v>
      </c>
      <c r="AT3396" s="782"/>
      <c r="AU3396" s="781"/>
      <c r="AV3396" s="782">
        <v>12096531</v>
      </c>
      <c r="AW3396" s="781"/>
      <c r="AX3396" s="781"/>
      <c r="AY3396" s="783" t="s">
        <v>2604</v>
      </c>
      <c r="AZ3396" s="796" t="s">
        <v>2605</v>
      </c>
      <c r="BA3396" s="781"/>
      <c r="BB3396" s="209">
        <v>23099087</v>
      </c>
    </row>
    <row r="3397" spans="1:54" ht="24.65" customHeight="1">
      <c r="B3397" s="466">
        <v>46141</v>
      </c>
      <c r="C3397" s="467">
        <v>46147</v>
      </c>
      <c r="D3397" s="185">
        <f t="shared" ref="D3397:D3423" si="1603">IF(B3397="","",YEAR(B3397))</f>
        <v>2026</v>
      </c>
      <c r="E3397" s="467" t="e">
        <f>VLOOKUP($B3397,Week!$A$1:$C$1462,2,0)</f>
        <v>#N/A</v>
      </c>
      <c r="F3397" s="469" t="str">
        <f t="shared" ref="F3397:F3423" si="1604">IF(B3397="","",TEXT(B3397,"[$-409]mmm"))</f>
        <v>Apr</v>
      </c>
      <c r="G3397" s="641" t="s">
        <v>2891</v>
      </c>
      <c r="H3397" s="482" t="s">
        <v>104</v>
      </c>
      <c r="I3397" s="482" t="s">
        <v>2772</v>
      </c>
      <c r="J3397" s="483" t="s">
        <v>105</v>
      </c>
      <c r="K3397" s="484" t="s">
        <v>51</v>
      </c>
      <c r="L3397" s="300" t="s">
        <v>2167</v>
      </c>
      <c r="M3397" s="483" t="s">
        <v>674</v>
      </c>
      <c r="N3397" s="482" t="s">
        <v>677</v>
      </c>
      <c r="O3397" s="482" t="s">
        <v>501</v>
      </c>
      <c r="P3397" s="473">
        <v>36</v>
      </c>
      <c r="Q3397" s="473">
        <v>5</v>
      </c>
      <c r="R3397" s="474">
        <v>6.0000000000000001E-3</v>
      </c>
      <c r="S3397" s="482" t="s">
        <v>55</v>
      </c>
      <c r="T3397" s="482" t="s">
        <v>112</v>
      </c>
      <c r="U3397" s="482" t="s">
        <v>57</v>
      </c>
      <c r="V3397" s="475">
        <f>450</f>
        <v>450</v>
      </c>
      <c r="W3397" s="475">
        <f>119+331</f>
        <v>450</v>
      </c>
      <c r="X3397" s="476"/>
      <c r="Y3397" s="477">
        <f t="shared" si="1596"/>
        <v>0</v>
      </c>
      <c r="Z3397" s="478">
        <f t="shared" si="1597"/>
        <v>0</v>
      </c>
      <c r="AA3397" s="478">
        <f t="shared" si="1593"/>
        <v>0</v>
      </c>
      <c r="AB3397" s="828">
        <v>7.4999999999999997E-3</v>
      </c>
      <c r="AC3397" s="475">
        <f t="shared" si="1598"/>
        <v>0</v>
      </c>
      <c r="AD3397" s="209" t="s">
        <v>3017</v>
      </c>
      <c r="AE3397" s="210">
        <f t="shared" si="1599"/>
        <v>0</v>
      </c>
      <c r="AF3397" s="210">
        <f t="shared" si="1600"/>
        <v>0</v>
      </c>
      <c r="AG3397" s="211">
        <v>0.14499999999999999</v>
      </c>
      <c r="AH3397" s="157">
        <f t="shared" ref="AH3397:AH3402" si="1605">(Z3397*AG3397)/1000</f>
        <v>0</v>
      </c>
      <c r="AI3397" s="152">
        <v>19800</v>
      </c>
      <c r="AK3397" s="156" t="s">
        <v>691</v>
      </c>
      <c r="AL3397" s="212" t="s">
        <v>690</v>
      </c>
      <c r="AM3397" s="198">
        <f t="shared" si="1594"/>
        <v>0</v>
      </c>
      <c r="AN3397" s="199">
        <f t="shared" si="1595"/>
        <v>46141</v>
      </c>
      <c r="AO3397" s="159" t="s">
        <v>692</v>
      </c>
      <c r="AP3397" s="781"/>
      <c r="AQ3397" s="782">
        <v>12071839</v>
      </c>
      <c r="AR3397" s="782">
        <v>12047514</v>
      </c>
      <c r="AS3397" s="782">
        <v>12047515</v>
      </c>
      <c r="AT3397" s="782">
        <v>12085743</v>
      </c>
      <c r="AU3397" s="781"/>
      <c r="AV3397" s="782">
        <v>12098690</v>
      </c>
      <c r="AW3397" s="782">
        <v>12024404</v>
      </c>
      <c r="AX3397" s="782"/>
      <c r="AY3397" s="782">
        <v>12094238</v>
      </c>
      <c r="AZ3397" s="782"/>
      <c r="BA3397" s="781"/>
      <c r="BB3397" s="209">
        <v>23053185</v>
      </c>
    </row>
    <row r="3398" spans="1:54" ht="24.65" customHeight="1">
      <c r="B3398" s="411">
        <v>46141</v>
      </c>
      <c r="C3398" s="645" t="s">
        <v>2848</v>
      </c>
      <c r="D3398" s="185">
        <f t="shared" si="1603"/>
        <v>2026</v>
      </c>
      <c r="E3398" s="412" t="e">
        <f>VLOOKUP($B3398,Week!$A$1:$C$1462,2,0)</f>
        <v>#N/A</v>
      </c>
      <c r="F3398" s="413" t="str">
        <f t="shared" si="1604"/>
        <v>Apr</v>
      </c>
      <c r="G3398" s="414" t="s">
        <v>47</v>
      </c>
      <c r="H3398" s="414" t="s">
        <v>260</v>
      </c>
      <c r="I3398" s="414" t="s">
        <v>2702</v>
      </c>
      <c r="J3398" s="415" t="s">
        <v>261</v>
      </c>
      <c r="K3398" s="416" t="s">
        <v>94</v>
      </c>
      <c r="L3398" s="300" t="s">
        <v>2167</v>
      </c>
      <c r="M3398" s="415" t="s">
        <v>2339</v>
      </c>
      <c r="N3398" s="414" t="s">
        <v>263</v>
      </c>
      <c r="O3398" s="414" t="s">
        <v>195</v>
      </c>
      <c r="P3398" s="417">
        <v>24</v>
      </c>
      <c r="Q3398" s="417">
        <v>5</v>
      </c>
      <c r="R3398" s="418">
        <v>8.0000000000000002E-3</v>
      </c>
      <c r="S3398" s="414" t="s">
        <v>40</v>
      </c>
      <c r="T3398" s="414" t="s">
        <v>56</v>
      </c>
      <c r="U3398" s="414" t="s">
        <v>57</v>
      </c>
      <c r="V3398" s="419">
        <f>2500-251</f>
        <v>2249</v>
      </c>
      <c r="W3398" s="419">
        <f>1+479</f>
        <v>480</v>
      </c>
      <c r="X3398" s="420">
        <f>(42456)/24</f>
        <v>1769</v>
      </c>
      <c r="Y3398" s="421">
        <f t="shared" si="1596"/>
        <v>0</v>
      </c>
      <c r="Z3398" s="422">
        <f t="shared" si="1597"/>
        <v>0</v>
      </c>
      <c r="AA3398" s="422">
        <f t="shared" si="1593"/>
        <v>0</v>
      </c>
      <c r="AB3398" s="825">
        <v>7.4999999999999997E-3</v>
      </c>
      <c r="AC3398" s="419">
        <f t="shared" si="1598"/>
        <v>0</v>
      </c>
      <c r="AD3398" s="209" t="s">
        <v>3017</v>
      </c>
      <c r="AE3398" s="210">
        <f t="shared" si="1599"/>
        <v>0</v>
      </c>
      <c r="AF3398" s="210">
        <f t="shared" si="1600"/>
        <v>0</v>
      </c>
      <c r="AG3398" s="211">
        <f>MID(O3398,1,3)/1000</f>
        <v>0.14499999999999999</v>
      </c>
      <c r="AH3398" s="157">
        <f t="shared" si="1605"/>
        <v>0</v>
      </c>
      <c r="AI3398" s="152">
        <f>V3398*P3398</f>
        <v>53976</v>
      </c>
      <c r="AK3398" s="156" t="s">
        <v>691</v>
      </c>
      <c r="AL3398" s="212" t="s">
        <v>690</v>
      </c>
      <c r="AM3398" s="198">
        <f t="shared" si="1594"/>
        <v>0</v>
      </c>
      <c r="AN3398" s="199">
        <f t="shared" si="1595"/>
        <v>46141</v>
      </c>
      <c r="AO3398" s="159" t="s">
        <v>692</v>
      </c>
      <c r="AP3398" s="783" t="s">
        <v>609</v>
      </c>
      <c r="AQ3398" s="782">
        <v>12071839</v>
      </c>
      <c r="AR3398" s="782">
        <v>12047514</v>
      </c>
      <c r="AS3398" s="782">
        <v>12047515</v>
      </c>
      <c r="AT3398" s="781"/>
      <c r="AU3398" s="781"/>
      <c r="AV3398" s="782">
        <v>12080613</v>
      </c>
      <c r="AW3398" s="781"/>
      <c r="AX3398" s="781"/>
      <c r="AY3398" s="782">
        <v>12094241</v>
      </c>
      <c r="AZ3398" s="782">
        <v>12094242</v>
      </c>
      <c r="BA3398" s="781"/>
      <c r="BB3398" s="209">
        <v>23053185</v>
      </c>
    </row>
    <row r="3399" spans="1:54" ht="25.15" customHeight="1">
      <c r="B3399" s="345">
        <v>46142</v>
      </c>
      <c r="C3399" s="346">
        <v>46175</v>
      </c>
      <c r="D3399" s="185">
        <f t="shared" si="1603"/>
        <v>2026</v>
      </c>
      <c r="E3399" s="347" t="e">
        <f>VLOOKUP($B3399,Week!$A$1:$C$1462,2,0)</f>
        <v>#N/A</v>
      </c>
      <c r="F3399" s="348" t="str">
        <f t="shared" si="1604"/>
        <v>Apr</v>
      </c>
      <c r="G3399" s="347" t="s">
        <v>2800</v>
      </c>
      <c r="H3399" s="347" t="s">
        <v>424</v>
      </c>
      <c r="I3399" s="347" t="s">
        <v>2772</v>
      </c>
      <c r="J3399" s="438" t="s">
        <v>425</v>
      </c>
      <c r="K3399" s="350" t="s">
        <v>176</v>
      </c>
      <c r="L3399" s="350" t="s">
        <v>2167</v>
      </c>
      <c r="M3399" s="349" t="s">
        <v>426</v>
      </c>
      <c r="N3399" s="347" t="s">
        <v>427</v>
      </c>
      <c r="O3399" s="347" t="s">
        <v>599</v>
      </c>
      <c r="P3399" s="351">
        <v>36</v>
      </c>
      <c r="Q3399" s="351">
        <v>5</v>
      </c>
      <c r="R3399" s="352">
        <v>7.4999999999999997E-3</v>
      </c>
      <c r="S3399" s="347" t="s">
        <v>111</v>
      </c>
      <c r="T3399" s="347" t="s">
        <v>112</v>
      </c>
      <c r="U3399" s="347" t="s">
        <v>57</v>
      </c>
      <c r="V3399" s="353">
        <v>1288</v>
      </c>
      <c r="W3399" s="353">
        <f>67+1211+10</f>
        <v>1288</v>
      </c>
      <c r="X3399" s="354"/>
      <c r="Y3399" s="355">
        <f t="shared" si="1596"/>
        <v>0</v>
      </c>
      <c r="Z3399" s="356">
        <f t="shared" si="1597"/>
        <v>0</v>
      </c>
      <c r="AA3399" s="353">
        <f t="shared" si="1593"/>
        <v>0</v>
      </c>
      <c r="AB3399" s="818">
        <v>7.4999999999999997E-3</v>
      </c>
      <c r="AC3399" s="353">
        <f t="shared" si="1598"/>
        <v>0</v>
      </c>
      <c r="AD3399" s="307" t="s">
        <v>2448</v>
      </c>
      <c r="AE3399" s="210">
        <f t="shared" si="1599"/>
        <v>0</v>
      </c>
      <c r="AF3399" s="210">
        <f t="shared" si="1600"/>
        <v>0</v>
      </c>
      <c r="AG3399" s="211">
        <f>MID(O3399,1,3)/1000</f>
        <v>0.14799999999999999</v>
      </c>
      <c r="AH3399" s="157">
        <f t="shared" si="1605"/>
        <v>0</v>
      </c>
      <c r="AI3399" s="152">
        <f>V3399*P3399</f>
        <v>46368</v>
      </c>
      <c r="AK3399" s="156" t="s">
        <v>691</v>
      </c>
      <c r="AL3399" s="574" t="s">
        <v>690</v>
      </c>
      <c r="AM3399" s="198">
        <f t="shared" si="1594"/>
        <v>0</v>
      </c>
      <c r="AN3399" s="199">
        <f t="shared" si="1595"/>
        <v>46142</v>
      </c>
      <c r="AO3399" s="159" t="s">
        <v>692</v>
      </c>
      <c r="AP3399" s="783" t="s">
        <v>609</v>
      </c>
      <c r="AQ3399" s="782">
        <v>12071839</v>
      </c>
      <c r="AR3399" s="782">
        <v>12080260</v>
      </c>
      <c r="AS3399" s="782">
        <v>12080259</v>
      </c>
      <c r="AT3399" s="782">
        <v>12096006</v>
      </c>
      <c r="AU3399" s="782"/>
      <c r="AV3399" s="782">
        <v>12096007</v>
      </c>
      <c r="AW3399" s="782">
        <v>12024404</v>
      </c>
      <c r="AX3399" s="781"/>
      <c r="AY3399" s="782">
        <v>12096022</v>
      </c>
      <c r="AZ3399" s="782"/>
      <c r="BA3399" s="781"/>
      <c r="BB3399" s="209">
        <v>23053185</v>
      </c>
    </row>
    <row r="3400" spans="1:54" ht="24.65" customHeight="1">
      <c r="B3400" s="466">
        <v>46142</v>
      </c>
      <c r="C3400" s="467">
        <v>46148</v>
      </c>
      <c r="D3400" s="185">
        <f t="shared" si="1603"/>
        <v>2026</v>
      </c>
      <c r="E3400" s="467" t="e">
        <f>VLOOKUP($B3400,Week!$A$1:$C$1462,2,0)</f>
        <v>#N/A</v>
      </c>
      <c r="F3400" s="469" t="str">
        <f t="shared" si="1604"/>
        <v>Apr</v>
      </c>
      <c r="G3400" s="641" t="s">
        <v>2890</v>
      </c>
      <c r="H3400" s="482" t="s">
        <v>104</v>
      </c>
      <c r="I3400" s="482" t="s">
        <v>2772</v>
      </c>
      <c r="J3400" s="483" t="s">
        <v>105</v>
      </c>
      <c r="K3400" s="484" t="s">
        <v>51</v>
      </c>
      <c r="L3400" s="300" t="s">
        <v>2167</v>
      </c>
      <c r="M3400" s="483" t="s">
        <v>674</v>
      </c>
      <c r="N3400" s="482" t="s">
        <v>677</v>
      </c>
      <c r="O3400" s="482" t="s">
        <v>501</v>
      </c>
      <c r="P3400" s="473">
        <v>36</v>
      </c>
      <c r="Q3400" s="473">
        <v>5</v>
      </c>
      <c r="R3400" s="474">
        <v>6.0000000000000001E-3</v>
      </c>
      <c r="S3400" s="482" t="s">
        <v>55</v>
      </c>
      <c r="T3400" s="482" t="s">
        <v>112</v>
      </c>
      <c r="U3400" s="482" t="s">
        <v>57</v>
      </c>
      <c r="V3400" s="475">
        <f>300</f>
        <v>300</v>
      </c>
      <c r="W3400" s="475">
        <f>300</f>
        <v>300</v>
      </c>
      <c r="X3400" s="476">
        <f>(73)/36</f>
        <v>2.0277777777777777</v>
      </c>
      <c r="Y3400" s="477">
        <f t="shared" si="1596"/>
        <v>2.0277777777777715</v>
      </c>
      <c r="Z3400" s="478">
        <f t="shared" si="1597"/>
        <v>0</v>
      </c>
      <c r="AA3400" s="478">
        <f t="shared" si="1593"/>
        <v>0</v>
      </c>
      <c r="AB3400" s="828">
        <v>7.4999999999999997E-3</v>
      </c>
      <c r="AC3400" s="475">
        <f t="shared" si="1598"/>
        <v>0</v>
      </c>
      <c r="AD3400" s="486" t="s">
        <v>2905</v>
      </c>
      <c r="AE3400" s="210">
        <f t="shared" si="1599"/>
        <v>0</v>
      </c>
      <c r="AF3400" s="210">
        <f t="shared" si="1600"/>
        <v>0</v>
      </c>
      <c r="AG3400" s="211">
        <v>0.14499999999999999</v>
      </c>
      <c r="AH3400" s="157">
        <f t="shared" si="1605"/>
        <v>0</v>
      </c>
      <c r="AI3400" s="152">
        <v>19800</v>
      </c>
      <c r="AK3400" s="156" t="s">
        <v>691</v>
      </c>
      <c r="AL3400" s="212" t="s">
        <v>690</v>
      </c>
      <c r="AM3400" s="198">
        <f t="shared" si="1594"/>
        <v>0</v>
      </c>
      <c r="AN3400" s="199">
        <f t="shared" si="1595"/>
        <v>46142</v>
      </c>
      <c r="AO3400" s="159" t="s">
        <v>692</v>
      </c>
      <c r="AP3400" s="781"/>
      <c r="AQ3400" s="782">
        <v>12071839</v>
      </c>
      <c r="AR3400" s="782">
        <v>12047514</v>
      </c>
      <c r="AS3400" s="782">
        <v>12047515</v>
      </c>
      <c r="AT3400" s="782">
        <v>12085743</v>
      </c>
      <c r="AU3400" s="781"/>
      <c r="AV3400" s="782">
        <v>12098690</v>
      </c>
      <c r="AW3400" s="782">
        <v>12024404</v>
      </c>
      <c r="AX3400" s="782"/>
      <c r="AY3400" s="782">
        <v>12094238</v>
      </c>
      <c r="AZ3400" s="782"/>
      <c r="BA3400" s="781"/>
      <c r="BB3400" s="209">
        <v>23053185</v>
      </c>
    </row>
    <row r="3401" spans="1:54" ht="24.65" customHeight="1">
      <c r="B3401" s="283">
        <v>46142</v>
      </c>
      <c r="C3401" s="284">
        <v>46181</v>
      </c>
      <c r="D3401" s="185">
        <f t="shared" si="1603"/>
        <v>2026</v>
      </c>
      <c r="E3401" s="284" t="e">
        <f>VLOOKUP($B3401,Week!$A$1:$C$1462,2,0)</f>
        <v>#N/A</v>
      </c>
      <c r="F3401" s="285" t="str">
        <f t="shared" si="1604"/>
        <v>Apr</v>
      </c>
      <c r="G3401" s="631" t="s">
        <v>2894</v>
      </c>
      <c r="H3401" s="624" t="s">
        <v>104</v>
      </c>
      <c r="I3401" s="624" t="s">
        <v>2772</v>
      </c>
      <c r="J3401" s="625" t="s">
        <v>105</v>
      </c>
      <c r="K3401" s="288" t="s">
        <v>51</v>
      </c>
      <c r="L3401" s="300" t="s">
        <v>2167</v>
      </c>
      <c r="M3401" s="287" t="s">
        <v>595</v>
      </c>
      <c r="N3401" s="286" t="s">
        <v>597</v>
      </c>
      <c r="O3401" s="286" t="s">
        <v>187</v>
      </c>
      <c r="P3401" s="289">
        <v>8</v>
      </c>
      <c r="Q3401" s="289">
        <v>5</v>
      </c>
      <c r="R3401" s="290">
        <v>6.0000000000000001E-3</v>
      </c>
      <c r="S3401" s="286" t="s">
        <v>55</v>
      </c>
      <c r="T3401" s="286" t="s">
        <v>112</v>
      </c>
      <c r="U3401" s="286" t="s">
        <v>57</v>
      </c>
      <c r="V3401" s="291">
        <f>5000</f>
        <v>5000</v>
      </c>
      <c r="W3401" s="291"/>
      <c r="X3401" s="292">
        <f>(77+161+40600)/8</f>
        <v>5104.75</v>
      </c>
      <c r="Y3401" s="293">
        <f t="shared" si="1596"/>
        <v>104.75</v>
      </c>
      <c r="Z3401" s="294">
        <f t="shared" si="1597"/>
        <v>0</v>
      </c>
      <c r="AA3401" s="294">
        <f t="shared" si="1593"/>
        <v>0</v>
      </c>
      <c r="AB3401" s="813">
        <v>7.4999999999999997E-3</v>
      </c>
      <c r="AC3401" s="291">
        <f t="shared" si="1598"/>
        <v>0</v>
      </c>
      <c r="AD3401" s="918" t="s">
        <v>2895</v>
      </c>
      <c r="AE3401" s="210">
        <f t="shared" si="1599"/>
        <v>0</v>
      </c>
      <c r="AF3401" s="210">
        <f t="shared" si="1600"/>
        <v>0</v>
      </c>
      <c r="AG3401" s="211">
        <v>0.14499999999999999</v>
      </c>
      <c r="AH3401" s="157">
        <f t="shared" si="1605"/>
        <v>0</v>
      </c>
      <c r="AI3401" s="152">
        <v>19800</v>
      </c>
      <c r="AK3401" s="156" t="s">
        <v>691</v>
      </c>
      <c r="AL3401" s="212" t="s">
        <v>690</v>
      </c>
      <c r="AM3401" s="198">
        <f t="shared" si="1594"/>
        <v>0</v>
      </c>
      <c r="AN3401" s="199">
        <f t="shared" si="1595"/>
        <v>46142</v>
      </c>
      <c r="AO3401" s="159" t="s">
        <v>692</v>
      </c>
      <c r="AP3401" s="781"/>
      <c r="AQ3401" s="782">
        <v>12071839</v>
      </c>
      <c r="AR3401" s="782">
        <v>12047514</v>
      </c>
      <c r="AS3401" s="782">
        <v>12047515</v>
      </c>
      <c r="AT3401" s="782">
        <v>12098748</v>
      </c>
      <c r="AU3401" s="781"/>
      <c r="AV3401" s="782">
        <v>12098749</v>
      </c>
      <c r="AW3401" s="782"/>
      <c r="AX3401" s="782"/>
      <c r="AY3401" s="782"/>
      <c r="AZ3401" s="782"/>
      <c r="BA3401" s="781"/>
      <c r="BB3401" s="209">
        <v>23053185</v>
      </c>
    </row>
    <row r="3402" spans="1:54" ht="24.75" customHeight="1">
      <c r="B3402" s="295">
        <v>46142</v>
      </c>
      <c r="C3402" s="771" t="s">
        <v>2848</v>
      </c>
      <c r="D3402" s="185">
        <f t="shared" si="1603"/>
        <v>2026</v>
      </c>
      <c r="E3402" s="296" t="e">
        <f>VLOOKUP($B3402,Week!$A$1:$C$1462,2,0)</f>
        <v>#N/A</v>
      </c>
      <c r="F3402" s="297" t="str">
        <f t="shared" si="1604"/>
        <v>Apr</v>
      </c>
      <c r="G3402" s="648" t="s">
        <v>47</v>
      </c>
      <c r="H3402" s="298" t="s">
        <v>260</v>
      </c>
      <c r="I3402" s="298" t="s">
        <v>2702</v>
      </c>
      <c r="J3402" s="307" t="s">
        <v>2240</v>
      </c>
      <c r="K3402" s="300" t="s">
        <v>176</v>
      </c>
      <c r="L3402" s="300" t="s">
        <v>2167</v>
      </c>
      <c r="M3402" s="299" t="s">
        <v>2338</v>
      </c>
      <c r="N3402" s="298" t="s">
        <v>350</v>
      </c>
      <c r="O3402" s="298" t="s">
        <v>351</v>
      </c>
      <c r="P3402" s="301">
        <v>24</v>
      </c>
      <c r="Q3402" s="301">
        <v>5</v>
      </c>
      <c r="R3402" s="302">
        <v>6.1999999999999998E-3</v>
      </c>
      <c r="S3402" s="298" t="s">
        <v>352</v>
      </c>
      <c r="T3402" s="298" t="s">
        <v>56</v>
      </c>
      <c r="U3402" s="298" t="s">
        <v>57</v>
      </c>
      <c r="V3402" s="303">
        <v>1237</v>
      </c>
      <c r="W3402" s="303">
        <f>1237</f>
        <v>1237</v>
      </c>
      <c r="X3402" s="304"/>
      <c r="Y3402" s="305">
        <f t="shared" si="1596"/>
        <v>0</v>
      </c>
      <c r="Z3402" s="306">
        <f t="shared" si="1597"/>
        <v>0</v>
      </c>
      <c r="AA3402" s="306">
        <f t="shared" si="1593"/>
        <v>0</v>
      </c>
      <c r="AB3402" s="814">
        <v>7.4999999999999997E-3</v>
      </c>
      <c r="AC3402" s="303">
        <f t="shared" si="1598"/>
        <v>0</v>
      </c>
      <c r="AD3402" s="443"/>
      <c r="AE3402" s="210">
        <f t="shared" si="1599"/>
        <v>0</v>
      </c>
      <c r="AF3402" s="210">
        <f t="shared" si="1600"/>
        <v>0</v>
      </c>
      <c r="AG3402" s="211">
        <f>MID(O3402,1,3)/1000</f>
        <v>0.13</v>
      </c>
      <c r="AH3402" s="157">
        <f t="shared" si="1605"/>
        <v>0</v>
      </c>
      <c r="AI3402" s="152">
        <f>V3402*P3402</f>
        <v>29688</v>
      </c>
      <c r="AK3402" s="156" t="s">
        <v>691</v>
      </c>
      <c r="AL3402" s="574" t="s">
        <v>690</v>
      </c>
      <c r="AM3402" s="198">
        <f t="shared" si="1594"/>
        <v>0</v>
      </c>
      <c r="AN3402" s="199">
        <f t="shared" si="1595"/>
        <v>46142</v>
      </c>
      <c r="AO3402" s="159" t="s">
        <v>692</v>
      </c>
      <c r="AP3402" s="783" t="s">
        <v>622</v>
      </c>
      <c r="AQ3402" s="782">
        <v>12071839</v>
      </c>
      <c r="AR3402" s="782">
        <v>12094356</v>
      </c>
      <c r="AS3402" s="782">
        <v>12068233</v>
      </c>
      <c r="AT3402" s="781"/>
      <c r="AU3402" s="781"/>
      <c r="AV3402" s="782">
        <v>12062075</v>
      </c>
      <c r="AW3402" s="781"/>
      <c r="AX3402" s="781"/>
      <c r="AY3402" s="782">
        <v>12094357</v>
      </c>
      <c r="AZ3402" s="782"/>
      <c r="BA3402" s="781"/>
      <c r="BB3402" s="209">
        <v>23053184</v>
      </c>
    </row>
    <row r="3403" spans="1:54" ht="25" customHeight="1">
      <c r="B3403" s="183">
        <v>46143</v>
      </c>
      <c r="C3403" s="184"/>
      <c r="D3403" s="185">
        <f t="shared" si="1603"/>
        <v>2026</v>
      </c>
      <c r="E3403" s="185" t="e">
        <f>VLOOKUP($B3403,Week!$A$1:$C$1462,2,0)</f>
        <v>#N/A</v>
      </c>
      <c r="F3403" s="186" t="str">
        <f t="shared" si="1604"/>
        <v>May</v>
      </c>
      <c r="G3403" s="481"/>
      <c r="H3403" s="185"/>
      <c r="I3403" s="185"/>
      <c r="J3403" s="187"/>
      <c r="K3403" s="188"/>
      <c r="L3403" s="188"/>
      <c r="M3403" s="187"/>
      <c r="N3403" s="185"/>
      <c r="O3403" s="185"/>
      <c r="P3403" s="189"/>
      <c r="Q3403" s="189"/>
      <c r="R3403" s="190"/>
      <c r="S3403" s="185"/>
      <c r="T3403" s="185"/>
      <c r="U3403" s="185"/>
      <c r="V3403" s="191"/>
      <c r="W3403" s="191"/>
      <c r="X3403" s="192"/>
      <c r="Y3403" s="193"/>
      <c r="Z3403" s="194"/>
      <c r="AA3403" s="194">
        <f t="shared" si="1593"/>
        <v>0</v>
      </c>
      <c r="AB3403" s="805"/>
      <c r="AC3403" s="191"/>
      <c r="AD3403" s="187"/>
      <c r="AE3403" s="195"/>
      <c r="AF3403" s="195"/>
      <c r="AG3403" s="196"/>
      <c r="AH3403" s="197"/>
      <c r="AK3403" s="156" t="s">
        <v>691</v>
      </c>
      <c r="AM3403" s="198">
        <f t="shared" si="1594"/>
        <v>0</v>
      </c>
      <c r="AN3403" s="199">
        <f t="shared" si="1595"/>
        <v>46143</v>
      </c>
      <c r="AO3403" s="159" t="s">
        <v>692</v>
      </c>
      <c r="AP3403" s="781"/>
      <c r="AQ3403" s="782"/>
      <c r="AR3403" s="782"/>
      <c r="AS3403" s="782"/>
      <c r="AT3403" s="782"/>
      <c r="AU3403" s="781"/>
      <c r="AV3403" s="782"/>
      <c r="AW3403" s="782"/>
      <c r="AX3403" s="782"/>
      <c r="AY3403" s="782"/>
      <c r="AZ3403" s="782"/>
      <c r="BA3403" s="781"/>
      <c r="BB3403" s="209"/>
    </row>
    <row r="3404" spans="1:54" ht="25" customHeight="1">
      <c r="B3404" s="183">
        <v>46144</v>
      </c>
      <c r="C3404" s="184"/>
      <c r="D3404" s="185">
        <f t="shared" si="1603"/>
        <v>2026</v>
      </c>
      <c r="E3404" s="185" t="e">
        <f>VLOOKUP($B3404,Week!$A$1:$C$1462,2,0)</f>
        <v>#N/A</v>
      </c>
      <c r="F3404" s="186" t="str">
        <f t="shared" si="1604"/>
        <v>May</v>
      </c>
      <c r="G3404" s="481"/>
      <c r="H3404" s="185"/>
      <c r="I3404" s="185"/>
      <c r="J3404" s="187"/>
      <c r="K3404" s="188"/>
      <c r="L3404" s="188"/>
      <c r="M3404" s="187"/>
      <c r="N3404" s="185"/>
      <c r="O3404" s="185"/>
      <c r="P3404" s="189"/>
      <c r="Q3404" s="189"/>
      <c r="R3404" s="190"/>
      <c r="S3404" s="185"/>
      <c r="T3404" s="185"/>
      <c r="U3404" s="185"/>
      <c r="V3404" s="191"/>
      <c r="W3404" s="191"/>
      <c r="X3404" s="192"/>
      <c r="Y3404" s="193"/>
      <c r="Z3404" s="194"/>
      <c r="AA3404" s="194">
        <f t="shared" si="1593"/>
        <v>0</v>
      </c>
      <c r="AB3404" s="805"/>
      <c r="AC3404" s="191"/>
      <c r="AD3404" s="187"/>
      <c r="AE3404" s="195"/>
      <c r="AF3404" s="195"/>
      <c r="AG3404" s="196"/>
      <c r="AH3404" s="197"/>
      <c r="AK3404" s="156" t="s">
        <v>691</v>
      </c>
      <c r="AM3404" s="198">
        <f t="shared" si="1594"/>
        <v>0</v>
      </c>
      <c r="AN3404" s="199">
        <f t="shared" si="1595"/>
        <v>46144</v>
      </c>
      <c r="AO3404" s="159" t="s">
        <v>692</v>
      </c>
      <c r="AP3404" s="781"/>
      <c r="AQ3404" s="782"/>
      <c r="AR3404" s="782"/>
      <c r="AS3404" s="782"/>
      <c r="AT3404" s="782"/>
      <c r="AU3404" s="781"/>
      <c r="AV3404" s="782"/>
      <c r="AW3404" s="782"/>
      <c r="AX3404" s="782"/>
      <c r="AY3404" s="782"/>
      <c r="AZ3404" s="782"/>
      <c r="BA3404" s="781"/>
      <c r="BB3404" s="209"/>
    </row>
    <row r="3405" spans="1:54" ht="25" customHeight="1">
      <c r="B3405" s="183">
        <v>46145</v>
      </c>
      <c r="C3405" s="184"/>
      <c r="D3405" s="185">
        <f t="shared" si="1603"/>
        <v>2026</v>
      </c>
      <c r="E3405" s="185" t="e">
        <f>VLOOKUP($B3405,Week!$A$1:$C$1462,2,0)</f>
        <v>#N/A</v>
      </c>
      <c r="F3405" s="186" t="str">
        <f t="shared" si="1604"/>
        <v>May</v>
      </c>
      <c r="G3405" s="481"/>
      <c r="H3405" s="185"/>
      <c r="I3405" s="185"/>
      <c r="J3405" s="187"/>
      <c r="K3405" s="188"/>
      <c r="L3405" s="188"/>
      <c r="M3405" s="187"/>
      <c r="N3405" s="185"/>
      <c r="O3405" s="185"/>
      <c r="P3405" s="189"/>
      <c r="Q3405" s="189"/>
      <c r="R3405" s="190"/>
      <c r="S3405" s="185"/>
      <c r="T3405" s="185"/>
      <c r="U3405" s="185"/>
      <c r="V3405" s="191"/>
      <c r="W3405" s="191"/>
      <c r="X3405" s="192"/>
      <c r="Y3405" s="193"/>
      <c r="Z3405" s="194"/>
      <c r="AA3405" s="194">
        <f t="shared" si="1593"/>
        <v>0</v>
      </c>
      <c r="AB3405" s="805"/>
      <c r="AC3405" s="191"/>
      <c r="AD3405" s="187"/>
      <c r="AE3405" s="195"/>
      <c r="AF3405" s="195"/>
      <c r="AG3405" s="196"/>
      <c r="AH3405" s="197"/>
      <c r="AK3405" s="156" t="s">
        <v>691</v>
      </c>
      <c r="AM3405" s="198">
        <f t="shared" si="1594"/>
        <v>0</v>
      </c>
      <c r="AN3405" s="199">
        <f t="shared" si="1595"/>
        <v>46145</v>
      </c>
      <c r="AO3405" s="159" t="s">
        <v>692</v>
      </c>
      <c r="AP3405" s="781"/>
      <c r="AQ3405" s="782"/>
      <c r="AR3405" s="782"/>
      <c r="AS3405" s="782"/>
      <c r="AT3405" s="782"/>
      <c r="AU3405" s="781"/>
      <c r="AV3405" s="782"/>
      <c r="AW3405" s="782"/>
      <c r="AX3405" s="782"/>
      <c r="AY3405" s="782"/>
      <c r="AZ3405" s="782"/>
      <c r="BA3405" s="781"/>
      <c r="BB3405" s="209"/>
    </row>
    <row r="3406" spans="1:54" ht="25" customHeight="1">
      <c r="B3406" s="183">
        <v>46146</v>
      </c>
      <c r="C3406" s="184"/>
      <c r="D3406" s="185">
        <f t="shared" si="1603"/>
        <v>2026</v>
      </c>
      <c r="E3406" s="185" t="e">
        <f>VLOOKUP($B3406,Week!$A$1:$C$1462,2,0)</f>
        <v>#N/A</v>
      </c>
      <c r="F3406" s="186" t="str">
        <f t="shared" si="1604"/>
        <v>May</v>
      </c>
      <c r="G3406" s="481"/>
      <c r="H3406" s="185"/>
      <c r="I3406" s="185"/>
      <c r="J3406" s="187"/>
      <c r="K3406" s="188"/>
      <c r="L3406" s="188"/>
      <c r="M3406" s="187"/>
      <c r="N3406" s="185"/>
      <c r="O3406" s="185"/>
      <c r="P3406" s="189"/>
      <c r="Q3406" s="189"/>
      <c r="R3406" s="190"/>
      <c r="S3406" s="185"/>
      <c r="T3406" s="185"/>
      <c r="U3406" s="185"/>
      <c r="V3406" s="191"/>
      <c r="W3406" s="191"/>
      <c r="X3406" s="192"/>
      <c r="Y3406" s="193"/>
      <c r="Z3406" s="194"/>
      <c r="AA3406" s="194">
        <f t="shared" si="1593"/>
        <v>0</v>
      </c>
      <c r="AB3406" s="805"/>
      <c r="AC3406" s="191"/>
      <c r="AD3406" s="187"/>
      <c r="AE3406" s="195"/>
      <c r="AF3406" s="195"/>
      <c r="AG3406" s="196"/>
      <c r="AH3406" s="197"/>
      <c r="AK3406" s="156" t="s">
        <v>691</v>
      </c>
      <c r="AM3406" s="198">
        <f t="shared" si="1594"/>
        <v>0</v>
      </c>
      <c r="AN3406" s="199">
        <f t="shared" si="1595"/>
        <v>46146</v>
      </c>
      <c r="AO3406" s="159" t="s">
        <v>692</v>
      </c>
      <c r="AP3406" s="781"/>
      <c r="AQ3406" s="782"/>
      <c r="AR3406" s="782"/>
      <c r="AS3406" s="782"/>
      <c r="AT3406" s="782"/>
      <c r="AU3406" s="781"/>
      <c r="AV3406" s="782"/>
      <c r="AW3406" s="782"/>
      <c r="AX3406" s="782"/>
      <c r="AY3406" s="782"/>
      <c r="AZ3406" s="782"/>
      <c r="BA3406" s="781"/>
      <c r="BB3406" s="209"/>
    </row>
    <row r="3407" spans="1:54" ht="25" customHeight="1">
      <c r="A3407" s="142" t="s">
        <v>120</v>
      </c>
      <c r="B3407" s="571">
        <v>46147</v>
      </c>
      <c r="C3407" s="845" t="s">
        <v>2848</v>
      </c>
      <c r="D3407" s="185">
        <f t="shared" si="1603"/>
        <v>2026</v>
      </c>
      <c r="E3407" s="236" t="e">
        <f>VLOOKUP($B3407,Week!$A$1:$C$1462,2,0)</f>
        <v>#N/A</v>
      </c>
      <c r="F3407" s="237" t="str">
        <f t="shared" si="1604"/>
        <v>May</v>
      </c>
      <c r="G3407" s="236" t="s">
        <v>47</v>
      </c>
      <c r="H3407" s="236" t="s">
        <v>47</v>
      </c>
      <c r="I3407" s="236" t="s">
        <v>2702</v>
      </c>
      <c r="J3407" s="238" t="s">
        <v>70</v>
      </c>
      <c r="K3407" s="239" t="s">
        <v>153</v>
      </c>
      <c r="L3407" s="390" t="s">
        <v>2166</v>
      </c>
      <c r="M3407" s="238" t="s">
        <v>154</v>
      </c>
      <c r="N3407" s="236" t="s">
        <v>155</v>
      </c>
      <c r="O3407" s="236" t="s">
        <v>156</v>
      </c>
      <c r="P3407" s="240">
        <v>8</v>
      </c>
      <c r="Q3407" s="240">
        <v>50</v>
      </c>
      <c r="R3407" s="241">
        <v>8.1300000000000001E-3</v>
      </c>
      <c r="S3407" s="236" t="s">
        <v>40</v>
      </c>
      <c r="T3407" s="236" t="s">
        <v>56</v>
      </c>
      <c r="U3407" s="236"/>
      <c r="V3407" s="242">
        <f>200</f>
        <v>200</v>
      </c>
      <c r="W3407" s="242">
        <f>200</f>
        <v>200</v>
      </c>
      <c r="X3407" s="243"/>
      <c r="Y3407" s="244">
        <f t="shared" ref="Y3407:Y3414" si="1606">(W3407+X3407)-V3407</f>
        <v>0</v>
      </c>
      <c r="Z3407" s="245">
        <f t="shared" ref="Z3407:Z3414" si="1607">IF(Y3407&lt;0,((V3407*P3407)-((W3407+X3407)*P3407)),0)</f>
        <v>0</v>
      </c>
      <c r="AA3407" s="242">
        <f t="shared" si="1593"/>
        <v>0</v>
      </c>
      <c r="AB3407" s="809"/>
      <c r="AC3407" s="242">
        <f t="shared" ref="AC3407:AC3414" si="1608">Z3407*AB3407</f>
        <v>0</v>
      </c>
      <c r="AD3407" s="443"/>
      <c r="AE3407" s="210">
        <f t="shared" ref="AE3407:AE3422" si="1609">SUM(Q3407*R3407*Z3407)/1000</f>
        <v>0</v>
      </c>
      <c r="AF3407" s="220">
        <f t="shared" ref="AF3407:AF3414" si="1610">AE3407/0.54</f>
        <v>0</v>
      </c>
      <c r="AG3407" s="211">
        <f>MID(O3407,1,3)/1000</f>
        <v>0.6</v>
      </c>
      <c r="AH3407" s="157">
        <f t="shared" ref="AH3407:AH3416" si="1611">(Z3407*AG3407)/1000</f>
        <v>0</v>
      </c>
      <c r="AI3407" s="152">
        <f t="shared" ref="AI3407:AI3414" si="1612">V3407*P3407</f>
        <v>1600</v>
      </c>
      <c r="AK3407" s="156" t="s">
        <v>691</v>
      </c>
      <c r="AL3407" s="156" t="s">
        <v>689</v>
      </c>
      <c r="AM3407" s="198">
        <f t="shared" si="1594"/>
        <v>0</v>
      </c>
      <c r="AN3407" s="199">
        <f t="shared" si="1595"/>
        <v>46147</v>
      </c>
      <c r="AO3407" s="159" t="s">
        <v>692</v>
      </c>
      <c r="AP3407" s="781"/>
      <c r="AQ3407" s="781"/>
      <c r="AR3407" s="783" t="s">
        <v>529</v>
      </c>
      <c r="AS3407" s="781"/>
      <c r="AT3407" s="783"/>
      <c r="AU3407" s="783"/>
      <c r="AV3407" s="783" t="s">
        <v>530</v>
      </c>
      <c r="AW3407" s="781"/>
      <c r="AX3407" s="781" t="s">
        <v>93</v>
      </c>
      <c r="AY3407" s="781"/>
      <c r="AZ3407" s="782"/>
      <c r="BA3407" s="781"/>
    </row>
    <row r="3408" spans="1:54" ht="25.9" customHeight="1">
      <c r="A3408" s="142" t="s">
        <v>120</v>
      </c>
      <c r="B3408" s="235">
        <v>46147</v>
      </c>
      <c r="C3408" s="235">
        <v>46169</v>
      </c>
      <c r="D3408" s="185">
        <f t="shared" si="1603"/>
        <v>2026</v>
      </c>
      <c r="E3408" s="236" t="e">
        <f>VLOOKUP($B3408,Week!$A$1:$C$1462,2,0)</f>
        <v>#N/A</v>
      </c>
      <c r="F3408" s="237" t="str">
        <f t="shared" si="1604"/>
        <v>May</v>
      </c>
      <c r="G3408" s="236" t="s">
        <v>2952</v>
      </c>
      <c r="H3408" s="236" t="s">
        <v>392</v>
      </c>
      <c r="I3408" s="236" t="s">
        <v>2772</v>
      </c>
      <c r="J3408" s="238" t="s">
        <v>393</v>
      </c>
      <c r="K3408" s="239" t="s">
        <v>153</v>
      </c>
      <c r="L3408" s="390" t="s">
        <v>2166</v>
      </c>
      <c r="M3408" s="238" t="s">
        <v>165</v>
      </c>
      <c r="N3408" s="236" t="s">
        <v>685</v>
      </c>
      <c r="O3408" s="236" t="s">
        <v>167</v>
      </c>
      <c r="P3408" s="240">
        <v>20</v>
      </c>
      <c r="Q3408" s="240">
        <v>12</v>
      </c>
      <c r="R3408" s="241">
        <v>6.8100000000000001E-3</v>
      </c>
      <c r="S3408" s="236" t="s">
        <v>76</v>
      </c>
      <c r="T3408" s="236" t="s">
        <v>56</v>
      </c>
      <c r="U3408" s="236" t="s">
        <v>89</v>
      </c>
      <c r="V3408" s="242">
        <f>100</f>
        <v>100</v>
      </c>
      <c r="W3408" s="242">
        <f>3+97</f>
        <v>100</v>
      </c>
      <c r="X3408" s="243"/>
      <c r="Y3408" s="244">
        <f t="shared" si="1606"/>
        <v>0</v>
      </c>
      <c r="Z3408" s="245">
        <f t="shared" si="1607"/>
        <v>0</v>
      </c>
      <c r="AA3408" s="245">
        <f t="shared" si="1593"/>
        <v>0</v>
      </c>
      <c r="AB3408" s="809">
        <v>2</v>
      </c>
      <c r="AC3408" s="242">
        <f t="shared" si="1608"/>
        <v>0</v>
      </c>
      <c r="AD3408" s="772" t="s">
        <v>2614</v>
      </c>
      <c r="AE3408" s="210">
        <f t="shared" si="1609"/>
        <v>0</v>
      </c>
      <c r="AF3408" s="210">
        <f t="shared" si="1610"/>
        <v>0</v>
      </c>
      <c r="AG3408" s="211">
        <f>MID(O3408,1,3)/1000</f>
        <v>0.154</v>
      </c>
      <c r="AH3408" s="157">
        <f t="shared" si="1611"/>
        <v>0</v>
      </c>
      <c r="AI3408" s="152">
        <f t="shared" si="1612"/>
        <v>2000</v>
      </c>
      <c r="AK3408" s="156" t="s">
        <v>691</v>
      </c>
      <c r="AL3408" s="156" t="s">
        <v>689</v>
      </c>
      <c r="AM3408" s="198">
        <f t="shared" si="1594"/>
        <v>0</v>
      </c>
      <c r="AN3408" s="199">
        <f t="shared" si="1595"/>
        <v>46147</v>
      </c>
      <c r="AO3408" s="159" t="s">
        <v>692</v>
      </c>
      <c r="AP3408" s="783" t="s">
        <v>622</v>
      </c>
      <c r="AQ3408" s="783" t="s">
        <v>631</v>
      </c>
      <c r="AR3408" s="783" t="s">
        <v>523</v>
      </c>
      <c r="AS3408" s="781"/>
      <c r="AT3408" s="783" t="s">
        <v>2982</v>
      </c>
      <c r="AU3408" s="781"/>
      <c r="AV3408" s="783" t="s">
        <v>2987</v>
      </c>
      <c r="AW3408" s="781"/>
      <c r="AX3408" s="781" t="s">
        <v>398</v>
      </c>
      <c r="AY3408" s="781"/>
      <c r="AZ3408" s="782"/>
      <c r="BA3408" s="781"/>
      <c r="BB3408" s="209">
        <v>23053184</v>
      </c>
    </row>
    <row r="3409" spans="1:54" ht="25" customHeight="1">
      <c r="A3409" s="142" t="s">
        <v>120</v>
      </c>
      <c r="B3409" s="383">
        <v>46147</v>
      </c>
      <c r="C3409" s="224">
        <v>46169</v>
      </c>
      <c r="D3409" s="225">
        <f t="shared" si="1603"/>
        <v>2026</v>
      </c>
      <c r="E3409" s="225" t="e">
        <f>VLOOKUP($B3409,Week!$A$1:$C$1462,2,0)</f>
        <v>#N/A</v>
      </c>
      <c r="F3409" s="226" t="str">
        <f t="shared" si="1604"/>
        <v>May</v>
      </c>
      <c r="G3409" s="225" t="s">
        <v>2952</v>
      </c>
      <c r="H3409" s="225" t="s">
        <v>392</v>
      </c>
      <c r="I3409" s="225" t="s">
        <v>2772</v>
      </c>
      <c r="J3409" s="227" t="s">
        <v>393</v>
      </c>
      <c r="K3409" s="228" t="s">
        <v>153</v>
      </c>
      <c r="L3409" s="228" t="s">
        <v>2166</v>
      </c>
      <c r="M3409" s="227" t="s">
        <v>2363</v>
      </c>
      <c r="N3409" s="225" t="s">
        <v>2886</v>
      </c>
      <c r="O3409" s="225" t="s">
        <v>2365</v>
      </c>
      <c r="P3409" s="229">
        <v>18</v>
      </c>
      <c r="Q3409" s="229">
        <v>8</v>
      </c>
      <c r="R3409" s="230">
        <v>6.8100000000000001E-3</v>
      </c>
      <c r="S3409" s="225" t="s">
        <v>76</v>
      </c>
      <c r="T3409" s="225" t="s">
        <v>56</v>
      </c>
      <c r="U3409" s="917" t="s">
        <v>499</v>
      </c>
      <c r="V3409" s="231">
        <f>100</f>
        <v>100</v>
      </c>
      <c r="W3409" s="231">
        <f>100</f>
        <v>100</v>
      </c>
      <c r="X3409" s="232"/>
      <c r="Y3409" s="233">
        <f t="shared" si="1606"/>
        <v>0</v>
      </c>
      <c r="Z3409" s="234">
        <f t="shared" si="1607"/>
        <v>0</v>
      </c>
      <c r="AA3409" s="234">
        <f t="shared" ref="AA3409:AA3440" si="1613">Q3409*Z3409</f>
        <v>0</v>
      </c>
      <c r="AB3409" s="822">
        <v>1</v>
      </c>
      <c r="AC3409" s="231">
        <f t="shared" si="1608"/>
        <v>0</v>
      </c>
      <c r="AD3409" s="772" t="s">
        <v>2614</v>
      </c>
      <c r="AE3409" s="210">
        <f t="shared" si="1609"/>
        <v>0</v>
      </c>
      <c r="AF3409" s="210">
        <f t="shared" si="1610"/>
        <v>0</v>
      </c>
      <c r="AG3409" s="211">
        <f>MID(O3409,1,2)/1000</f>
        <v>1.2E-2</v>
      </c>
      <c r="AH3409" s="157">
        <f t="shared" si="1611"/>
        <v>0</v>
      </c>
      <c r="AI3409" s="152">
        <f t="shared" si="1612"/>
        <v>1800</v>
      </c>
      <c r="AK3409" s="156" t="s">
        <v>691</v>
      </c>
      <c r="AL3409" s="156" t="s">
        <v>689</v>
      </c>
      <c r="AM3409" s="198">
        <f t="shared" ref="AM3409:AM3443" si="1614">AG3409*Z3409</f>
        <v>0</v>
      </c>
      <c r="AN3409" s="199">
        <f t="shared" ref="AN3409:AN3443" si="1615">B3409</f>
        <v>46147</v>
      </c>
      <c r="AO3409" s="159" t="s">
        <v>692</v>
      </c>
      <c r="AP3409" s="783"/>
      <c r="AQ3409" s="783" t="s">
        <v>631</v>
      </c>
      <c r="AR3409" s="796">
        <v>12038019</v>
      </c>
      <c r="AS3409" s="782"/>
      <c r="AT3409" s="782">
        <v>12098299</v>
      </c>
      <c r="AU3409" s="782"/>
      <c r="AV3409" s="782">
        <v>12098340</v>
      </c>
      <c r="AW3409" s="782"/>
      <c r="AX3409" s="781" t="s">
        <v>162</v>
      </c>
      <c r="AY3409" s="782"/>
      <c r="AZ3409" s="782"/>
      <c r="BA3409" s="781"/>
      <c r="BB3409" s="209">
        <v>23053184</v>
      </c>
    </row>
    <row r="3410" spans="1:54" ht="25" customHeight="1">
      <c r="A3410" s="142" t="s">
        <v>120</v>
      </c>
      <c r="B3410" s="546">
        <v>46147</v>
      </c>
      <c r="C3410" s="547">
        <v>46174</v>
      </c>
      <c r="D3410" s="549">
        <f t="shared" si="1603"/>
        <v>2026</v>
      </c>
      <c r="E3410" s="547" t="e">
        <f>VLOOKUP($B3410,Week!$A$1:$C$1462,2,0)</f>
        <v>#N/A</v>
      </c>
      <c r="F3410" s="548" t="str">
        <f t="shared" si="1604"/>
        <v>May</v>
      </c>
      <c r="G3410" s="549" t="s">
        <v>2867</v>
      </c>
      <c r="H3410" s="549" t="s">
        <v>500</v>
      </c>
      <c r="I3410" s="549" t="s">
        <v>2772</v>
      </c>
      <c r="J3410" s="550" t="s">
        <v>285</v>
      </c>
      <c r="K3410" s="551" t="s">
        <v>153</v>
      </c>
      <c r="L3410" s="551" t="s">
        <v>2166</v>
      </c>
      <c r="M3410" s="550" t="s">
        <v>579</v>
      </c>
      <c r="N3410" s="549" t="s">
        <v>2745</v>
      </c>
      <c r="O3410" s="549" t="s">
        <v>2746</v>
      </c>
      <c r="P3410" s="552">
        <v>10</v>
      </c>
      <c r="Q3410" s="552">
        <v>60</v>
      </c>
      <c r="R3410" s="553">
        <v>6.8100000000000001E-3</v>
      </c>
      <c r="S3410" s="549" t="s">
        <v>76</v>
      </c>
      <c r="T3410" s="549" t="s">
        <v>56</v>
      </c>
      <c r="U3410" s="549" t="s">
        <v>89</v>
      </c>
      <c r="V3410" s="554">
        <v>775</v>
      </c>
      <c r="W3410" s="554">
        <f>17+758</f>
        <v>775</v>
      </c>
      <c r="X3410" s="555"/>
      <c r="Y3410" s="556">
        <f t="shared" si="1606"/>
        <v>0</v>
      </c>
      <c r="Z3410" s="557">
        <f t="shared" si="1607"/>
        <v>0</v>
      </c>
      <c r="AA3410" s="557">
        <f t="shared" si="1613"/>
        <v>0</v>
      </c>
      <c r="AB3410" s="833">
        <v>6</v>
      </c>
      <c r="AC3410" s="554">
        <f t="shared" si="1608"/>
        <v>0</v>
      </c>
      <c r="AD3410" s="209"/>
      <c r="AE3410" s="210">
        <f t="shared" si="1609"/>
        <v>0</v>
      </c>
      <c r="AF3410" s="210">
        <f t="shared" si="1610"/>
        <v>0</v>
      </c>
      <c r="AG3410" s="211">
        <f>MID(O3410,1,3)/1000</f>
        <v>0.75</v>
      </c>
      <c r="AH3410" s="157">
        <f t="shared" si="1611"/>
        <v>0</v>
      </c>
      <c r="AI3410" s="152">
        <f t="shared" si="1612"/>
        <v>7750</v>
      </c>
      <c r="AK3410" s="156" t="s">
        <v>691</v>
      </c>
      <c r="AL3410" s="156" t="s">
        <v>689</v>
      </c>
      <c r="AM3410" s="198">
        <f t="shared" si="1614"/>
        <v>0</v>
      </c>
      <c r="AN3410" s="199">
        <f t="shared" si="1615"/>
        <v>46147</v>
      </c>
      <c r="AO3410" s="159" t="s">
        <v>692</v>
      </c>
      <c r="AP3410" s="783" t="s">
        <v>620</v>
      </c>
      <c r="AQ3410" s="796" t="s">
        <v>422</v>
      </c>
      <c r="AR3410" s="782" t="s">
        <v>2142</v>
      </c>
      <c r="AS3410" s="781"/>
      <c r="AT3410" s="782">
        <v>12098238</v>
      </c>
      <c r="AU3410" s="782"/>
      <c r="AV3410" s="782"/>
      <c r="AW3410" s="782"/>
      <c r="AX3410" s="782">
        <v>12080741</v>
      </c>
      <c r="AY3410" s="781"/>
      <c r="AZ3410" s="781"/>
      <c r="BA3410" s="781"/>
      <c r="BB3410" s="209">
        <v>23053184</v>
      </c>
    </row>
    <row r="3411" spans="1:54" ht="25" customHeight="1">
      <c r="A3411" s="142" t="s">
        <v>120</v>
      </c>
      <c r="B3411" s="546">
        <v>46148</v>
      </c>
      <c r="C3411" s="547">
        <v>46174</v>
      </c>
      <c r="D3411" s="549">
        <f t="shared" si="1603"/>
        <v>2026</v>
      </c>
      <c r="E3411" s="547" t="e">
        <f>VLOOKUP($B3411,Week!$A$1:$C$1462,2,0)</f>
        <v>#N/A</v>
      </c>
      <c r="F3411" s="548" t="str">
        <f t="shared" si="1604"/>
        <v>May</v>
      </c>
      <c r="G3411" s="549" t="s">
        <v>2867</v>
      </c>
      <c r="H3411" s="549" t="s">
        <v>500</v>
      </c>
      <c r="I3411" s="549" t="s">
        <v>2772</v>
      </c>
      <c r="J3411" s="550" t="s">
        <v>285</v>
      </c>
      <c r="K3411" s="551" t="s">
        <v>153</v>
      </c>
      <c r="L3411" s="551" t="s">
        <v>2166</v>
      </c>
      <c r="M3411" s="550" t="s">
        <v>579</v>
      </c>
      <c r="N3411" s="549" t="s">
        <v>2745</v>
      </c>
      <c r="O3411" s="549" t="s">
        <v>2746</v>
      </c>
      <c r="P3411" s="552">
        <v>10</v>
      </c>
      <c r="Q3411" s="552">
        <v>60</v>
      </c>
      <c r="R3411" s="553">
        <v>6.8100000000000001E-3</v>
      </c>
      <c r="S3411" s="549" t="s">
        <v>76</v>
      </c>
      <c r="T3411" s="549" t="s">
        <v>56</v>
      </c>
      <c r="U3411" s="549" t="s">
        <v>89</v>
      </c>
      <c r="V3411" s="554">
        <f>1360-775</f>
        <v>585</v>
      </c>
      <c r="W3411" s="554">
        <v>585</v>
      </c>
      <c r="X3411" s="555"/>
      <c r="Y3411" s="556">
        <f t="shared" si="1606"/>
        <v>0</v>
      </c>
      <c r="Z3411" s="557">
        <f t="shared" si="1607"/>
        <v>0</v>
      </c>
      <c r="AA3411" s="557">
        <f t="shared" si="1613"/>
        <v>0</v>
      </c>
      <c r="AB3411" s="833">
        <v>6</v>
      </c>
      <c r="AC3411" s="554">
        <f t="shared" si="1608"/>
        <v>0</v>
      </c>
      <c r="AD3411" s="209"/>
      <c r="AE3411" s="210">
        <f t="shared" si="1609"/>
        <v>0</v>
      </c>
      <c r="AF3411" s="210">
        <f t="shared" si="1610"/>
        <v>0</v>
      </c>
      <c r="AG3411" s="211">
        <f>MID(O3411,1,3)/1000</f>
        <v>0.75</v>
      </c>
      <c r="AH3411" s="157">
        <f t="shared" si="1611"/>
        <v>0</v>
      </c>
      <c r="AI3411" s="152">
        <f t="shared" si="1612"/>
        <v>5850</v>
      </c>
      <c r="AK3411" s="156" t="s">
        <v>691</v>
      </c>
      <c r="AL3411" s="156" t="s">
        <v>689</v>
      </c>
      <c r="AM3411" s="198">
        <f t="shared" si="1614"/>
        <v>0</v>
      </c>
      <c r="AN3411" s="199">
        <f t="shared" si="1615"/>
        <v>46148</v>
      </c>
      <c r="AO3411" s="159" t="s">
        <v>692</v>
      </c>
      <c r="AP3411" s="783" t="s">
        <v>620</v>
      </c>
      <c r="AQ3411" s="796" t="s">
        <v>422</v>
      </c>
      <c r="AR3411" s="782" t="s">
        <v>2142</v>
      </c>
      <c r="AS3411" s="781"/>
      <c r="AT3411" s="782">
        <v>12098238</v>
      </c>
      <c r="AU3411" s="782"/>
      <c r="AV3411" s="782"/>
      <c r="AW3411" s="782"/>
      <c r="AX3411" s="782">
        <v>12080741</v>
      </c>
      <c r="AY3411" s="781"/>
      <c r="AZ3411" s="781"/>
      <c r="BA3411" s="781"/>
      <c r="BB3411" s="209">
        <v>23053184</v>
      </c>
    </row>
    <row r="3412" spans="1:54" ht="25" customHeight="1">
      <c r="A3412" s="142" t="s">
        <v>120</v>
      </c>
      <c r="B3412" s="271">
        <v>46148</v>
      </c>
      <c r="C3412" s="272">
        <v>46174</v>
      </c>
      <c r="D3412" s="185">
        <f t="shared" si="1603"/>
        <v>2026</v>
      </c>
      <c r="E3412" s="272" t="e">
        <f>VLOOKUP($B3412,Week!$A$1:$C$1462,2,0)</f>
        <v>#N/A</v>
      </c>
      <c r="F3412" s="273" t="str">
        <f t="shared" si="1604"/>
        <v>May</v>
      </c>
      <c r="G3412" s="274" t="s">
        <v>2893</v>
      </c>
      <c r="H3412" s="274" t="s">
        <v>500</v>
      </c>
      <c r="I3412" s="274" t="s">
        <v>2772</v>
      </c>
      <c r="J3412" s="275" t="s">
        <v>285</v>
      </c>
      <c r="K3412" s="276" t="s">
        <v>153</v>
      </c>
      <c r="L3412" s="390" t="s">
        <v>2166</v>
      </c>
      <c r="M3412" s="275" t="s">
        <v>86</v>
      </c>
      <c r="N3412" s="274" t="s">
        <v>547</v>
      </c>
      <c r="O3412" s="274" t="s">
        <v>548</v>
      </c>
      <c r="P3412" s="277">
        <v>10</v>
      </c>
      <c r="Q3412" s="277">
        <v>50</v>
      </c>
      <c r="R3412" s="278">
        <v>6.8100000000000001E-3</v>
      </c>
      <c r="S3412" s="274" t="s">
        <v>76</v>
      </c>
      <c r="T3412" s="274" t="s">
        <v>56</v>
      </c>
      <c r="U3412" s="274" t="s">
        <v>89</v>
      </c>
      <c r="V3412" s="279">
        <f>766</f>
        <v>766</v>
      </c>
      <c r="W3412" s="279">
        <f>14+724</f>
        <v>738</v>
      </c>
      <c r="X3412" s="280">
        <f>(280)/10</f>
        <v>28</v>
      </c>
      <c r="Y3412" s="281">
        <f t="shared" si="1606"/>
        <v>0</v>
      </c>
      <c r="Z3412" s="282">
        <f t="shared" si="1607"/>
        <v>0</v>
      </c>
      <c r="AA3412" s="282">
        <f t="shared" si="1613"/>
        <v>0</v>
      </c>
      <c r="AB3412" s="812">
        <v>6</v>
      </c>
      <c r="AC3412" s="279">
        <f t="shared" si="1608"/>
        <v>0</v>
      </c>
      <c r="AD3412" s="209"/>
      <c r="AE3412" s="210">
        <f t="shared" si="1609"/>
        <v>0</v>
      </c>
      <c r="AF3412" s="210">
        <f t="shared" si="1610"/>
        <v>0</v>
      </c>
      <c r="AG3412" s="211">
        <f>MID(O3412,1,3)/1000</f>
        <v>0.63</v>
      </c>
      <c r="AH3412" s="157">
        <f t="shared" si="1611"/>
        <v>0</v>
      </c>
      <c r="AI3412" s="152">
        <f t="shared" si="1612"/>
        <v>7660</v>
      </c>
      <c r="AK3412" s="156" t="s">
        <v>691</v>
      </c>
      <c r="AL3412" s="156" t="s">
        <v>689</v>
      </c>
      <c r="AM3412" s="198">
        <f t="shared" si="1614"/>
        <v>0</v>
      </c>
      <c r="AN3412" s="199">
        <f t="shared" si="1615"/>
        <v>46148</v>
      </c>
      <c r="AO3412" s="159" t="s">
        <v>692</v>
      </c>
      <c r="AP3412" s="783" t="s">
        <v>620</v>
      </c>
      <c r="AQ3412" s="796" t="s">
        <v>422</v>
      </c>
      <c r="AR3412" s="782">
        <v>12055234</v>
      </c>
      <c r="AS3412" s="781"/>
      <c r="AT3412" s="782"/>
      <c r="AU3412" s="782"/>
      <c r="AV3412" s="782">
        <v>12062809</v>
      </c>
      <c r="AW3412" s="782"/>
      <c r="AX3412" s="782" t="s">
        <v>619</v>
      </c>
      <c r="AY3412" s="781"/>
      <c r="AZ3412" s="781"/>
      <c r="BA3412" s="781"/>
      <c r="BB3412" s="209">
        <v>23053184</v>
      </c>
    </row>
    <row r="3413" spans="1:54" ht="25" customHeight="1">
      <c r="A3413" s="142" t="s">
        <v>120</v>
      </c>
      <c r="B3413" s="271">
        <v>46149</v>
      </c>
      <c r="C3413" s="272">
        <v>46174</v>
      </c>
      <c r="D3413" s="185">
        <f t="shared" si="1603"/>
        <v>2026</v>
      </c>
      <c r="E3413" s="272" t="e">
        <f>VLOOKUP($B3413,Week!$A$1:$C$1462,2,0)</f>
        <v>#N/A</v>
      </c>
      <c r="F3413" s="273" t="str">
        <f t="shared" si="1604"/>
        <v>May</v>
      </c>
      <c r="G3413" s="274" t="s">
        <v>2893</v>
      </c>
      <c r="H3413" s="274" t="s">
        <v>500</v>
      </c>
      <c r="I3413" s="274" t="s">
        <v>2772</v>
      </c>
      <c r="J3413" s="275" t="s">
        <v>285</v>
      </c>
      <c r="K3413" s="276" t="s">
        <v>153</v>
      </c>
      <c r="L3413" s="390" t="s">
        <v>2166</v>
      </c>
      <c r="M3413" s="275" t="s">
        <v>86</v>
      </c>
      <c r="N3413" s="274" t="s">
        <v>547</v>
      </c>
      <c r="O3413" s="274" t="s">
        <v>548</v>
      </c>
      <c r="P3413" s="277">
        <v>10</v>
      </c>
      <c r="Q3413" s="277">
        <v>50</v>
      </c>
      <c r="R3413" s="278">
        <v>6.8100000000000001E-3</v>
      </c>
      <c r="S3413" s="274" t="s">
        <v>76</v>
      </c>
      <c r="T3413" s="274" t="s">
        <v>56</v>
      </c>
      <c r="U3413" s="274" t="s">
        <v>89</v>
      </c>
      <c r="V3413" s="279">
        <f>2056-766</f>
        <v>1290</v>
      </c>
      <c r="W3413" s="279">
        <f>1203</f>
        <v>1203</v>
      </c>
      <c r="X3413" s="280">
        <f>1260/10</f>
        <v>126</v>
      </c>
      <c r="Y3413" s="281">
        <f t="shared" si="1606"/>
        <v>39</v>
      </c>
      <c r="Z3413" s="282">
        <f t="shared" si="1607"/>
        <v>0</v>
      </c>
      <c r="AA3413" s="282">
        <f t="shared" si="1613"/>
        <v>0</v>
      </c>
      <c r="AB3413" s="812">
        <v>6</v>
      </c>
      <c r="AC3413" s="279">
        <f t="shared" si="1608"/>
        <v>0</v>
      </c>
      <c r="AD3413" s="209"/>
      <c r="AE3413" s="210">
        <f t="shared" si="1609"/>
        <v>0</v>
      </c>
      <c r="AF3413" s="210">
        <f t="shared" si="1610"/>
        <v>0</v>
      </c>
      <c r="AG3413" s="211">
        <f>MID(O3413,1,3)/1000</f>
        <v>0.63</v>
      </c>
      <c r="AH3413" s="157">
        <f t="shared" si="1611"/>
        <v>0</v>
      </c>
      <c r="AI3413" s="152">
        <f t="shared" si="1612"/>
        <v>12900</v>
      </c>
      <c r="AK3413" s="156" t="s">
        <v>691</v>
      </c>
      <c r="AL3413" s="156" t="s">
        <v>689</v>
      </c>
      <c r="AM3413" s="198">
        <f t="shared" si="1614"/>
        <v>0</v>
      </c>
      <c r="AN3413" s="199">
        <f t="shared" si="1615"/>
        <v>46149</v>
      </c>
      <c r="AO3413" s="159" t="s">
        <v>692</v>
      </c>
      <c r="AP3413" s="783" t="s">
        <v>620</v>
      </c>
      <c r="AQ3413" s="796" t="s">
        <v>422</v>
      </c>
      <c r="AR3413" s="782">
        <v>12055234</v>
      </c>
      <c r="AS3413" s="781"/>
      <c r="AT3413" s="782"/>
      <c r="AU3413" s="782"/>
      <c r="AV3413" s="782">
        <v>12062809</v>
      </c>
      <c r="AW3413" s="782"/>
      <c r="AX3413" s="782" t="s">
        <v>619</v>
      </c>
      <c r="AY3413" s="781"/>
      <c r="AZ3413" s="781"/>
      <c r="BA3413" s="781"/>
      <c r="BB3413" s="209">
        <v>23053184</v>
      </c>
    </row>
    <row r="3414" spans="1:54" ht="24.65" customHeight="1">
      <c r="B3414" s="224">
        <v>46150</v>
      </c>
      <c r="C3414" s="224">
        <v>46169</v>
      </c>
      <c r="D3414" s="185">
        <f t="shared" si="1603"/>
        <v>2026</v>
      </c>
      <c r="E3414" s="225" t="e">
        <f>VLOOKUP($B3414,Week!$A$1:$C$1462,2,0)</f>
        <v>#N/A</v>
      </c>
      <c r="F3414" s="226" t="str">
        <f t="shared" si="1604"/>
        <v>May</v>
      </c>
      <c r="G3414" s="225" t="s">
        <v>2952</v>
      </c>
      <c r="H3414" s="225" t="s">
        <v>392</v>
      </c>
      <c r="I3414" s="225" t="s">
        <v>2772</v>
      </c>
      <c r="J3414" s="227" t="s">
        <v>393</v>
      </c>
      <c r="K3414" s="228" t="s">
        <v>176</v>
      </c>
      <c r="L3414" s="300" t="s">
        <v>2167</v>
      </c>
      <c r="M3414" s="228" t="s">
        <v>399</v>
      </c>
      <c r="N3414" s="225" t="s">
        <v>400</v>
      </c>
      <c r="O3414" s="225" t="s">
        <v>195</v>
      </c>
      <c r="P3414" s="229">
        <v>24</v>
      </c>
      <c r="Q3414" s="229">
        <v>5</v>
      </c>
      <c r="R3414" s="230">
        <v>8.0000000000000002E-3</v>
      </c>
      <c r="S3414" s="225" t="s">
        <v>40</v>
      </c>
      <c r="T3414" s="225" t="s">
        <v>56</v>
      </c>
      <c r="U3414" s="225" t="s">
        <v>57</v>
      </c>
      <c r="V3414" s="231">
        <f>1000</f>
        <v>1000</v>
      </c>
      <c r="W3414" s="231">
        <f>5+995</f>
        <v>1000</v>
      </c>
      <c r="X3414" s="232"/>
      <c r="Y3414" s="233">
        <f t="shared" si="1606"/>
        <v>0</v>
      </c>
      <c r="Z3414" s="234">
        <f t="shared" si="1607"/>
        <v>0</v>
      </c>
      <c r="AA3414" s="234">
        <f t="shared" si="1613"/>
        <v>0</v>
      </c>
      <c r="AB3414" s="808">
        <v>7.4999999999999997E-3</v>
      </c>
      <c r="AC3414" s="231">
        <f t="shared" si="1608"/>
        <v>0</v>
      </c>
      <c r="AD3414" s="557" t="s">
        <v>2614</v>
      </c>
      <c r="AE3414" s="210">
        <f t="shared" si="1609"/>
        <v>0</v>
      </c>
      <c r="AF3414" s="210">
        <f t="shared" si="1610"/>
        <v>0</v>
      </c>
      <c r="AG3414" s="211">
        <f>MID(O3414,1,3)/1000</f>
        <v>0.14499999999999999</v>
      </c>
      <c r="AH3414" s="157">
        <f t="shared" si="1611"/>
        <v>0</v>
      </c>
      <c r="AI3414" s="152">
        <f t="shared" si="1612"/>
        <v>24000</v>
      </c>
      <c r="AK3414" s="156" t="s">
        <v>691</v>
      </c>
      <c r="AL3414" s="574" t="s">
        <v>690</v>
      </c>
      <c r="AM3414" s="198">
        <f t="shared" si="1614"/>
        <v>0</v>
      </c>
      <c r="AN3414" s="199">
        <f t="shared" si="1615"/>
        <v>46150</v>
      </c>
      <c r="AO3414" s="159" t="s">
        <v>692</v>
      </c>
      <c r="AP3414" s="783" t="s">
        <v>638</v>
      </c>
      <c r="AQ3414" s="783" t="s">
        <v>631</v>
      </c>
      <c r="AR3414" s="783" t="s">
        <v>632</v>
      </c>
      <c r="AS3414" s="783" t="s">
        <v>633</v>
      </c>
      <c r="AT3414" s="781"/>
      <c r="AU3414" s="782">
        <v>12026902</v>
      </c>
      <c r="AV3414" s="783" t="s">
        <v>2981</v>
      </c>
      <c r="AW3414" s="782">
        <v>12026904</v>
      </c>
      <c r="AX3414" s="781"/>
      <c r="AY3414" s="783" t="s">
        <v>2463</v>
      </c>
      <c r="AZ3414" s="783" t="s">
        <v>2464</v>
      </c>
      <c r="BA3414" s="783" t="s">
        <v>2465</v>
      </c>
      <c r="BB3414" s="209">
        <v>23053185</v>
      </c>
    </row>
    <row r="3415" spans="1:54" ht="26.25" customHeight="1">
      <c r="B3415" s="235">
        <v>46150</v>
      </c>
      <c r="C3415" s="235">
        <v>46169</v>
      </c>
      <c r="D3415" s="185">
        <f t="shared" si="1603"/>
        <v>2026</v>
      </c>
      <c r="E3415" s="236" t="e">
        <f>VLOOKUP($B3415,Week!$A$1:$C$1462,2,0)</f>
        <v>#N/A</v>
      </c>
      <c r="F3415" s="237" t="str">
        <f t="shared" si="1604"/>
        <v>May</v>
      </c>
      <c r="G3415" s="236" t="s">
        <v>2952</v>
      </c>
      <c r="H3415" s="236" t="s">
        <v>392</v>
      </c>
      <c r="I3415" s="236" t="s">
        <v>2772</v>
      </c>
      <c r="J3415" s="238" t="s">
        <v>393</v>
      </c>
      <c r="K3415" s="239" t="s">
        <v>1643</v>
      </c>
      <c r="L3415" s="300" t="s">
        <v>2167</v>
      </c>
      <c r="M3415" s="238" t="s">
        <v>2385</v>
      </c>
      <c r="N3415" s="236" t="s">
        <v>407</v>
      </c>
      <c r="O3415" s="236" t="s">
        <v>206</v>
      </c>
      <c r="P3415" s="240">
        <v>24</v>
      </c>
      <c r="Q3415" s="240">
        <v>5</v>
      </c>
      <c r="R3415" s="241">
        <v>8.0000000000000002E-3</v>
      </c>
      <c r="S3415" s="236" t="s">
        <v>40</v>
      </c>
      <c r="T3415" s="236" t="s">
        <v>56</v>
      </c>
      <c r="U3415" s="640" t="s">
        <v>499</v>
      </c>
      <c r="V3415" s="242">
        <f>950</f>
        <v>950</v>
      </c>
      <c r="W3415" s="242">
        <f>2+948</f>
        <v>950</v>
      </c>
      <c r="X3415" s="243"/>
      <c r="Y3415" s="244">
        <f t="shared" ref="Y3415:Y3422" si="1616">(W3415+X3415)-V3415</f>
        <v>0</v>
      </c>
      <c r="Z3415" s="245">
        <f t="shared" ref="Z3415:Z3422" si="1617">IF(Y3415&lt;0,((V3415*P3415)-((W3415+X3415)*P3415)),0)</f>
        <v>0</v>
      </c>
      <c r="AA3415" s="245">
        <f t="shared" si="1613"/>
        <v>0</v>
      </c>
      <c r="AB3415" s="809">
        <v>1</v>
      </c>
      <c r="AC3415" s="242">
        <f t="shared" ref="AC3415:AC3422" si="1618">Z3415*AB3415</f>
        <v>0</v>
      </c>
      <c r="AD3415" s="772" t="s">
        <v>2614</v>
      </c>
      <c r="AE3415" s="210">
        <f t="shared" si="1609"/>
        <v>0</v>
      </c>
      <c r="AF3415" s="210">
        <f t="shared" ref="AF3415:AF3422" si="1619">AE3415/0.54</f>
        <v>0</v>
      </c>
      <c r="AG3415" s="211">
        <f t="shared" ref="AG3415:AG3422" si="1620">MID(O3415,1,3)/1000</f>
        <v>0.115</v>
      </c>
      <c r="AH3415" s="157">
        <f t="shared" si="1611"/>
        <v>0</v>
      </c>
      <c r="AI3415" s="152">
        <f t="shared" ref="AI3415:AI3422" si="1621">V3415*P3415</f>
        <v>22800</v>
      </c>
      <c r="AK3415" s="156" t="s">
        <v>691</v>
      </c>
      <c r="AL3415" s="574" t="s">
        <v>690</v>
      </c>
      <c r="AM3415" s="198">
        <f t="shared" si="1614"/>
        <v>0</v>
      </c>
      <c r="AN3415" s="199">
        <f t="shared" si="1615"/>
        <v>46150</v>
      </c>
      <c r="AO3415" s="159" t="s">
        <v>692</v>
      </c>
      <c r="AP3415" s="783" t="s">
        <v>608</v>
      </c>
      <c r="AQ3415" s="782">
        <v>12071839</v>
      </c>
      <c r="AR3415" s="782">
        <v>12047514</v>
      </c>
      <c r="AS3415" s="782">
        <v>12047515</v>
      </c>
      <c r="AT3415" s="781"/>
      <c r="AU3415" s="782">
        <v>12026902</v>
      </c>
      <c r="AV3415" s="782">
        <v>12098047</v>
      </c>
      <c r="AW3415" s="782">
        <v>12026904</v>
      </c>
      <c r="AX3415" s="781"/>
      <c r="AY3415" s="783" t="s">
        <v>2403</v>
      </c>
      <c r="AZ3415" s="783" t="s">
        <v>2404</v>
      </c>
      <c r="BA3415" s="783" t="s">
        <v>2405</v>
      </c>
      <c r="BB3415" s="209">
        <v>23052995</v>
      </c>
    </row>
    <row r="3416" spans="1:54" ht="25" customHeight="1">
      <c r="B3416" s="571">
        <v>46150</v>
      </c>
      <c r="C3416" s="235">
        <v>46167</v>
      </c>
      <c r="D3416" s="236">
        <f t="shared" si="1603"/>
        <v>2026</v>
      </c>
      <c r="E3416" s="235" t="e">
        <f>VLOOKUP($B3416,Week!$A$1:$C$1462,2,0)</f>
        <v>#N/A</v>
      </c>
      <c r="F3416" s="237" t="str">
        <f t="shared" si="1604"/>
        <v>May</v>
      </c>
      <c r="G3416" s="756" t="s">
        <v>2995</v>
      </c>
      <c r="H3416" s="236" t="s">
        <v>500</v>
      </c>
      <c r="I3416" s="236" t="s">
        <v>2772</v>
      </c>
      <c r="J3416" s="238" t="s">
        <v>285</v>
      </c>
      <c r="K3416" s="239" t="s">
        <v>593</v>
      </c>
      <c r="L3416" s="239" t="s">
        <v>2167</v>
      </c>
      <c r="M3416" s="238" t="s">
        <v>2556</v>
      </c>
      <c r="N3416" s="236" t="s">
        <v>2558</v>
      </c>
      <c r="O3416" s="236" t="s">
        <v>2555</v>
      </c>
      <c r="P3416" s="240">
        <v>12</v>
      </c>
      <c r="Q3416" s="240">
        <v>4</v>
      </c>
      <c r="R3416" s="241">
        <v>6.0000000000000001E-3</v>
      </c>
      <c r="S3416" s="236" t="s">
        <v>55</v>
      </c>
      <c r="T3416" s="236" t="s">
        <v>112</v>
      </c>
      <c r="U3416" s="236" t="s">
        <v>57</v>
      </c>
      <c r="V3416" s="242">
        <v>2500</v>
      </c>
      <c r="W3416" s="242">
        <f>29+2471</f>
        <v>2500</v>
      </c>
      <c r="X3416" s="243">
        <f>(252)/12</f>
        <v>21</v>
      </c>
      <c r="Y3416" s="244">
        <f t="shared" si="1616"/>
        <v>21</v>
      </c>
      <c r="Z3416" s="245">
        <f t="shared" si="1617"/>
        <v>0</v>
      </c>
      <c r="AA3416" s="245">
        <f t="shared" si="1613"/>
        <v>0</v>
      </c>
      <c r="AB3416" s="809">
        <v>7.4999999999999997E-3</v>
      </c>
      <c r="AC3416" s="242">
        <f t="shared" si="1618"/>
        <v>0</v>
      </c>
      <c r="AD3416" s="443"/>
      <c r="AE3416" s="210">
        <f t="shared" si="1609"/>
        <v>0</v>
      </c>
      <c r="AF3416" s="210">
        <f t="shared" si="1619"/>
        <v>0</v>
      </c>
      <c r="AG3416" s="211">
        <f t="shared" si="1620"/>
        <v>0.23100000000000001</v>
      </c>
      <c r="AH3416" s="157">
        <f t="shared" si="1611"/>
        <v>0</v>
      </c>
      <c r="AI3416" s="152">
        <f t="shared" si="1621"/>
        <v>30000</v>
      </c>
      <c r="AK3416" s="156" t="s">
        <v>691</v>
      </c>
      <c r="AL3416" s="574" t="s">
        <v>690</v>
      </c>
      <c r="AM3416" s="198">
        <f t="shared" si="1614"/>
        <v>0</v>
      </c>
      <c r="AN3416" s="199">
        <f t="shared" si="1615"/>
        <v>46150</v>
      </c>
      <c r="AO3416" s="159" t="s">
        <v>692</v>
      </c>
      <c r="AP3416" s="783"/>
      <c r="AQ3416" s="782">
        <v>12063755</v>
      </c>
      <c r="AR3416" s="782">
        <v>12061353</v>
      </c>
      <c r="AS3416" s="782">
        <v>12061354</v>
      </c>
      <c r="AT3416" s="782"/>
      <c r="AU3416" s="781"/>
      <c r="AV3416" s="782">
        <v>12096898</v>
      </c>
      <c r="AW3416" s="782"/>
      <c r="AX3416" s="782"/>
      <c r="AY3416" s="782">
        <v>12096895</v>
      </c>
      <c r="AZ3416" s="782">
        <v>12096896</v>
      </c>
      <c r="BA3416" s="782">
        <v>12096897</v>
      </c>
      <c r="BB3416" s="209">
        <v>23053185</v>
      </c>
    </row>
    <row r="3417" spans="1:54" ht="25" customHeight="1">
      <c r="B3417" s="357">
        <v>46150</v>
      </c>
      <c r="C3417" s="776" t="s">
        <v>2848</v>
      </c>
      <c r="D3417" s="359">
        <f t="shared" si="1603"/>
        <v>2026</v>
      </c>
      <c r="E3417" s="358" t="e">
        <f>VLOOKUP($B3417,Week!$A$1:$C$1462,2,0)</f>
        <v>#N/A</v>
      </c>
      <c r="F3417" s="360" t="str">
        <f t="shared" si="1604"/>
        <v>May</v>
      </c>
      <c r="G3417" s="359" t="s">
        <v>47</v>
      </c>
      <c r="H3417" s="359" t="s">
        <v>518</v>
      </c>
      <c r="I3417" s="359" t="s">
        <v>2702</v>
      </c>
      <c r="J3417" s="361" t="s">
        <v>2702</v>
      </c>
      <c r="K3417" s="362" t="s">
        <v>2703</v>
      </c>
      <c r="L3417" s="362" t="s">
        <v>2167</v>
      </c>
      <c r="M3417" s="361" t="s">
        <v>3033</v>
      </c>
      <c r="N3417" s="436" t="s">
        <v>2936</v>
      </c>
      <c r="O3417" s="359" t="s">
        <v>2944</v>
      </c>
      <c r="P3417" s="363">
        <v>18</v>
      </c>
      <c r="Q3417" s="363">
        <v>3</v>
      </c>
      <c r="R3417" s="364">
        <v>6.1999999999999998E-3</v>
      </c>
      <c r="S3417" s="359" t="s">
        <v>352</v>
      </c>
      <c r="T3417" s="359" t="s">
        <v>56</v>
      </c>
      <c r="U3417" s="905" t="s">
        <v>739</v>
      </c>
      <c r="V3417" s="365">
        <f>2500</f>
        <v>2500</v>
      </c>
      <c r="W3417" s="365">
        <f>25</f>
        <v>25</v>
      </c>
      <c r="X3417" s="366">
        <f>(14852)/6</f>
        <v>2475.3333333333335</v>
      </c>
      <c r="Y3417" s="367">
        <f t="shared" si="1616"/>
        <v>0.33333333333348492</v>
      </c>
      <c r="Z3417" s="368">
        <f t="shared" si="1617"/>
        <v>0</v>
      </c>
      <c r="AA3417" s="368">
        <f t="shared" si="1613"/>
        <v>0</v>
      </c>
      <c r="AB3417" s="819">
        <v>1.83E-2</v>
      </c>
      <c r="AC3417" s="365">
        <f t="shared" si="1618"/>
        <v>0</v>
      </c>
      <c r="AD3417" s="443"/>
      <c r="AE3417" s="210">
        <f t="shared" si="1609"/>
        <v>0</v>
      </c>
      <c r="AF3417" s="210">
        <f t="shared" si="1619"/>
        <v>0</v>
      </c>
      <c r="AG3417" s="211">
        <f t="shared" si="1620"/>
        <v>0.25</v>
      </c>
      <c r="AH3417" s="157">
        <v>0.26621999999999996</v>
      </c>
      <c r="AI3417" s="152">
        <f t="shared" si="1621"/>
        <v>45000</v>
      </c>
      <c r="AK3417" s="156" t="s">
        <v>691</v>
      </c>
      <c r="AL3417" s="574" t="s">
        <v>690</v>
      </c>
      <c r="AM3417" s="198">
        <f t="shared" si="1614"/>
        <v>0</v>
      </c>
      <c r="AN3417" s="199">
        <f t="shared" si="1615"/>
        <v>46150</v>
      </c>
      <c r="AO3417" s="159" t="s">
        <v>692</v>
      </c>
      <c r="AP3417" s="781" t="s">
        <v>642</v>
      </c>
      <c r="AQ3417" s="782">
        <v>12063755</v>
      </c>
      <c r="AR3417" s="782">
        <v>12042650</v>
      </c>
      <c r="AS3417" s="782">
        <v>12042649</v>
      </c>
      <c r="AT3417" s="782"/>
      <c r="AU3417" s="783"/>
      <c r="AV3417" s="782">
        <v>12098790</v>
      </c>
      <c r="AW3417" s="783"/>
      <c r="AX3417" s="783" t="s">
        <v>2793</v>
      </c>
      <c r="AY3417" s="796">
        <v>12097893</v>
      </c>
      <c r="AZ3417" s="796">
        <v>12097894</v>
      </c>
      <c r="BA3417" s="796" t="s">
        <v>2462</v>
      </c>
      <c r="BB3417" s="209">
        <v>23099860</v>
      </c>
    </row>
    <row r="3418" spans="1:54" ht="24.75" customHeight="1">
      <c r="B3418" s="295">
        <v>46151</v>
      </c>
      <c r="C3418" s="771" t="s">
        <v>2848</v>
      </c>
      <c r="D3418" s="185">
        <f t="shared" si="1603"/>
        <v>2026</v>
      </c>
      <c r="E3418" s="296" t="e">
        <f>VLOOKUP($B3418,Week!$A$1:$C$1462,2,0)</f>
        <v>#N/A</v>
      </c>
      <c r="F3418" s="297" t="str">
        <f t="shared" si="1604"/>
        <v>May</v>
      </c>
      <c r="G3418" s="648" t="s">
        <v>47</v>
      </c>
      <c r="H3418" s="298" t="s">
        <v>260</v>
      </c>
      <c r="I3418" s="298" t="s">
        <v>2702</v>
      </c>
      <c r="J3418" s="307" t="s">
        <v>2240</v>
      </c>
      <c r="K3418" s="300" t="s">
        <v>176</v>
      </c>
      <c r="L3418" s="300" t="s">
        <v>2167</v>
      </c>
      <c r="M3418" s="299" t="s">
        <v>2338</v>
      </c>
      <c r="N3418" s="298" t="s">
        <v>350</v>
      </c>
      <c r="O3418" s="298" t="s">
        <v>351</v>
      </c>
      <c r="P3418" s="301">
        <v>24</v>
      </c>
      <c r="Q3418" s="301">
        <v>5</v>
      </c>
      <c r="R3418" s="302">
        <v>6.1999999999999998E-3</v>
      </c>
      <c r="S3418" s="298" t="s">
        <v>352</v>
      </c>
      <c r="T3418" s="298" t="s">
        <v>56</v>
      </c>
      <c r="U3418" s="298" t="s">
        <v>57</v>
      </c>
      <c r="V3418" s="303">
        <f>6250-66-1082-1553-1061-1089-1237+18</f>
        <v>180</v>
      </c>
      <c r="W3418" s="303">
        <f>162+18</f>
        <v>180</v>
      </c>
      <c r="X3418" s="304"/>
      <c r="Y3418" s="305">
        <f>(W3418+X3418)-V3418</f>
        <v>0</v>
      </c>
      <c r="Z3418" s="306">
        <f>IF(Y3418&lt;0,((V3418*P3418)-((W3418+X3418)*P3418)),0)</f>
        <v>0</v>
      </c>
      <c r="AA3418" s="306">
        <f t="shared" si="1613"/>
        <v>0</v>
      </c>
      <c r="AB3418" s="814">
        <v>7.4999999999999997E-3</v>
      </c>
      <c r="AC3418" s="303">
        <f>Z3418*AB3418</f>
        <v>0</v>
      </c>
      <c r="AD3418" s="443"/>
      <c r="AE3418" s="210">
        <f t="shared" si="1609"/>
        <v>0</v>
      </c>
      <c r="AF3418" s="210">
        <f>AE3418/0.54</f>
        <v>0</v>
      </c>
      <c r="AG3418" s="211">
        <f>MID(O3418,1,3)/1000</f>
        <v>0.13</v>
      </c>
      <c r="AH3418" s="157">
        <f>(Z3418*AG3418)/1000</f>
        <v>0</v>
      </c>
      <c r="AI3418" s="152">
        <f>V3418*P3418</f>
        <v>4320</v>
      </c>
      <c r="AK3418" s="156" t="s">
        <v>691</v>
      </c>
      <c r="AL3418" s="574" t="s">
        <v>690</v>
      </c>
      <c r="AM3418" s="198">
        <f t="shared" si="1614"/>
        <v>0</v>
      </c>
      <c r="AN3418" s="199">
        <f t="shared" si="1615"/>
        <v>46151</v>
      </c>
      <c r="AO3418" s="159" t="s">
        <v>692</v>
      </c>
      <c r="AP3418" s="783" t="s">
        <v>622</v>
      </c>
      <c r="AQ3418" s="782">
        <v>12071839</v>
      </c>
      <c r="AR3418" s="782">
        <v>12094356</v>
      </c>
      <c r="AS3418" s="782">
        <v>12068233</v>
      </c>
      <c r="AT3418" s="781"/>
      <c r="AU3418" s="781"/>
      <c r="AV3418" s="782">
        <v>12062075</v>
      </c>
      <c r="AW3418" s="781"/>
      <c r="AX3418" s="781"/>
      <c r="AY3418" s="782">
        <v>12094357</v>
      </c>
      <c r="AZ3418" s="782"/>
      <c r="BA3418" s="781"/>
      <c r="BB3418" s="209">
        <v>23053184</v>
      </c>
    </row>
    <row r="3419" spans="1:54" ht="24.75" customHeight="1">
      <c r="B3419" s="295">
        <v>46151</v>
      </c>
      <c r="C3419" s="771" t="s">
        <v>2849</v>
      </c>
      <c r="D3419" s="185">
        <f t="shared" si="1603"/>
        <v>2026</v>
      </c>
      <c r="E3419" s="296" t="e">
        <f>VLOOKUP($B3419,Week!$A$1:$C$1462,2,0)</f>
        <v>#N/A</v>
      </c>
      <c r="F3419" s="297" t="str">
        <f t="shared" si="1604"/>
        <v>May</v>
      </c>
      <c r="G3419" s="648" t="s">
        <v>47</v>
      </c>
      <c r="H3419" s="298" t="s">
        <v>260</v>
      </c>
      <c r="I3419" s="298" t="s">
        <v>2702</v>
      </c>
      <c r="J3419" s="307" t="s">
        <v>2240</v>
      </c>
      <c r="K3419" s="300" t="s">
        <v>176</v>
      </c>
      <c r="L3419" s="300" t="s">
        <v>2167</v>
      </c>
      <c r="M3419" s="299" t="s">
        <v>2338</v>
      </c>
      <c r="N3419" s="298" t="s">
        <v>350</v>
      </c>
      <c r="O3419" s="298" t="s">
        <v>351</v>
      </c>
      <c r="P3419" s="301">
        <v>24</v>
      </c>
      <c r="Q3419" s="301">
        <v>5</v>
      </c>
      <c r="R3419" s="302">
        <v>6.1999999999999998E-3</v>
      </c>
      <c r="S3419" s="298" t="s">
        <v>352</v>
      </c>
      <c r="T3419" s="298" t="s">
        <v>56</v>
      </c>
      <c r="U3419" s="298" t="s">
        <v>57</v>
      </c>
      <c r="V3419" s="303">
        <f>2464</f>
        <v>2464</v>
      </c>
      <c r="W3419" s="303">
        <f>2644-180</f>
        <v>2464</v>
      </c>
      <c r="X3419" s="304"/>
      <c r="Y3419" s="305">
        <f t="shared" si="1616"/>
        <v>0</v>
      </c>
      <c r="Z3419" s="306">
        <f t="shared" si="1617"/>
        <v>0</v>
      </c>
      <c r="AA3419" s="306">
        <f t="shared" si="1613"/>
        <v>0</v>
      </c>
      <c r="AB3419" s="814">
        <v>7.4999999999999997E-3</v>
      </c>
      <c r="AC3419" s="303">
        <f t="shared" si="1618"/>
        <v>0</v>
      </c>
      <c r="AD3419" s="443"/>
      <c r="AE3419" s="210">
        <f t="shared" si="1609"/>
        <v>0</v>
      </c>
      <c r="AF3419" s="210">
        <f t="shared" si="1619"/>
        <v>0</v>
      </c>
      <c r="AG3419" s="211">
        <f t="shared" si="1620"/>
        <v>0.13</v>
      </c>
      <c r="AH3419" s="157">
        <f>(Z3419*AG3419)/1000</f>
        <v>0</v>
      </c>
      <c r="AI3419" s="152">
        <f t="shared" si="1621"/>
        <v>59136</v>
      </c>
      <c r="AK3419" s="156" t="s">
        <v>691</v>
      </c>
      <c r="AL3419" s="574" t="s">
        <v>690</v>
      </c>
      <c r="AM3419" s="198">
        <f t="shared" si="1614"/>
        <v>0</v>
      </c>
      <c r="AN3419" s="199">
        <f t="shared" si="1615"/>
        <v>46151</v>
      </c>
      <c r="AO3419" s="159" t="s">
        <v>692</v>
      </c>
      <c r="AP3419" s="783" t="s">
        <v>622</v>
      </c>
      <c r="AQ3419" s="782">
        <v>12071839</v>
      </c>
      <c r="AR3419" s="782">
        <v>12094356</v>
      </c>
      <c r="AS3419" s="782">
        <v>12068233</v>
      </c>
      <c r="AT3419" s="781"/>
      <c r="AU3419" s="781"/>
      <c r="AV3419" s="782">
        <v>12062075</v>
      </c>
      <c r="AW3419" s="781"/>
      <c r="AX3419" s="781"/>
      <c r="AY3419" s="782">
        <v>12094357</v>
      </c>
      <c r="AZ3419" s="782"/>
      <c r="BA3419" s="781"/>
      <c r="BB3419" s="209">
        <v>23053184</v>
      </c>
    </row>
    <row r="3420" spans="1:54" ht="24.75" customHeight="1">
      <c r="B3420" s="320">
        <v>46151</v>
      </c>
      <c r="C3420" s="321">
        <v>46170</v>
      </c>
      <c r="D3420" s="185">
        <f t="shared" si="1603"/>
        <v>2026</v>
      </c>
      <c r="E3420" s="321" t="e">
        <f>VLOOKUP($B3420,Week!$A$1:$C$1462,2,0)</f>
        <v>#N/A</v>
      </c>
      <c r="F3420" s="322" t="str">
        <f t="shared" si="1604"/>
        <v>May</v>
      </c>
      <c r="G3420" s="323" t="s">
        <v>2971</v>
      </c>
      <c r="H3420" s="323" t="s">
        <v>675</v>
      </c>
      <c r="I3420" s="323" t="s">
        <v>2772</v>
      </c>
      <c r="J3420" s="324" t="s">
        <v>2906</v>
      </c>
      <c r="K3420" s="325" t="s">
        <v>107</v>
      </c>
      <c r="L3420" s="300" t="s">
        <v>2167</v>
      </c>
      <c r="M3420" s="324" t="s">
        <v>313</v>
      </c>
      <c r="N3420" s="596" t="s">
        <v>710</v>
      </c>
      <c r="O3420" s="323" t="s">
        <v>592</v>
      </c>
      <c r="P3420" s="326">
        <v>8</v>
      </c>
      <c r="Q3420" s="326">
        <v>4</v>
      </c>
      <c r="R3420" s="327">
        <v>7.4999999999999997E-3</v>
      </c>
      <c r="S3420" s="323" t="s">
        <v>111</v>
      </c>
      <c r="T3420" s="323" t="s">
        <v>112</v>
      </c>
      <c r="U3420" s="323" t="s">
        <v>57</v>
      </c>
      <c r="V3420" s="328">
        <f>650</f>
        <v>650</v>
      </c>
      <c r="W3420" s="328"/>
      <c r="X3420" s="329">
        <f>(58+5431+100)/8</f>
        <v>698.625</v>
      </c>
      <c r="Y3420" s="330">
        <f t="shared" si="1616"/>
        <v>48.625</v>
      </c>
      <c r="Z3420" s="331">
        <f t="shared" si="1617"/>
        <v>0</v>
      </c>
      <c r="AA3420" s="331">
        <f t="shared" si="1613"/>
        <v>0</v>
      </c>
      <c r="AB3420" s="816">
        <v>7.4999999999999997E-3</v>
      </c>
      <c r="AC3420" s="328">
        <f t="shared" si="1618"/>
        <v>0</v>
      </c>
      <c r="AD3420" s="443" t="s">
        <v>2930</v>
      </c>
      <c r="AE3420" s="210">
        <f t="shared" si="1609"/>
        <v>0</v>
      </c>
      <c r="AF3420" s="210">
        <f t="shared" si="1619"/>
        <v>0</v>
      </c>
      <c r="AG3420" s="211">
        <f t="shared" si="1620"/>
        <v>0.30499999999999999</v>
      </c>
      <c r="AH3420" s="157">
        <f>(Z3420*AG3420)/1000</f>
        <v>0</v>
      </c>
      <c r="AI3420" s="152">
        <f t="shared" si="1621"/>
        <v>5200</v>
      </c>
      <c r="AK3420" s="156" t="s">
        <v>691</v>
      </c>
      <c r="AL3420" s="212" t="s">
        <v>690</v>
      </c>
      <c r="AM3420" s="198">
        <f t="shared" si="1614"/>
        <v>0</v>
      </c>
      <c r="AN3420" s="199">
        <f t="shared" si="1615"/>
        <v>46151</v>
      </c>
      <c r="AO3420" s="159" t="s">
        <v>692</v>
      </c>
      <c r="AP3420" s="783" t="s">
        <v>643</v>
      </c>
      <c r="AQ3420" s="782">
        <v>12063755</v>
      </c>
      <c r="AR3420" s="782">
        <v>12061353</v>
      </c>
      <c r="AS3420" s="782">
        <v>12061354</v>
      </c>
      <c r="AT3420" s="782">
        <v>12089987</v>
      </c>
      <c r="AU3420" s="781"/>
      <c r="AV3420" s="782">
        <v>12089986</v>
      </c>
      <c r="AW3420" s="782"/>
      <c r="AX3420" s="782"/>
      <c r="AY3420" s="781" t="s">
        <v>2713</v>
      </c>
      <c r="AZ3420" s="781" t="s">
        <v>2714</v>
      </c>
      <c r="BA3420" s="781"/>
      <c r="BB3420" s="209">
        <v>23053185</v>
      </c>
    </row>
    <row r="3421" spans="1:54" ht="24.75" customHeight="1">
      <c r="B3421" s="320">
        <v>46151</v>
      </c>
      <c r="C3421" s="321">
        <v>46170</v>
      </c>
      <c r="D3421" s="185">
        <f t="shared" si="1603"/>
        <v>2026</v>
      </c>
      <c r="E3421" s="321" t="e">
        <f>VLOOKUP($B3421,Week!$A$1:$C$1462,2,0)</f>
        <v>#N/A</v>
      </c>
      <c r="F3421" s="322" t="str">
        <f t="shared" si="1604"/>
        <v>May</v>
      </c>
      <c r="G3421" s="323" t="s">
        <v>2835</v>
      </c>
      <c r="H3421" s="323" t="s">
        <v>311</v>
      </c>
      <c r="I3421" s="323" t="s">
        <v>2772</v>
      </c>
      <c r="J3421" s="324" t="s">
        <v>2913</v>
      </c>
      <c r="K3421" s="325" t="s">
        <v>107</v>
      </c>
      <c r="L3421" s="300" t="s">
        <v>2167</v>
      </c>
      <c r="M3421" s="324" t="s">
        <v>313</v>
      </c>
      <c r="N3421" s="596" t="s">
        <v>2853</v>
      </c>
      <c r="O3421" s="323" t="s">
        <v>2747</v>
      </c>
      <c r="P3421" s="326">
        <v>5</v>
      </c>
      <c r="Q3421" s="326">
        <v>4</v>
      </c>
      <c r="R3421" s="327">
        <v>7.4999999999999997E-3</v>
      </c>
      <c r="S3421" s="323" t="s">
        <v>111</v>
      </c>
      <c r="T3421" s="323" t="s">
        <v>112</v>
      </c>
      <c r="U3421" s="323" t="s">
        <v>57</v>
      </c>
      <c r="V3421" s="328">
        <f>5000+76</f>
        <v>5076</v>
      </c>
      <c r="W3421" s="328"/>
      <c r="X3421" s="329">
        <f>(1143+23546+691)/5</f>
        <v>5076</v>
      </c>
      <c r="Y3421" s="330">
        <f t="shared" si="1616"/>
        <v>0</v>
      </c>
      <c r="Z3421" s="331">
        <f t="shared" si="1617"/>
        <v>0</v>
      </c>
      <c r="AA3421" s="331">
        <f t="shared" si="1613"/>
        <v>0</v>
      </c>
      <c r="AB3421" s="816">
        <v>7.4999999999999997E-3</v>
      </c>
      <c r="AC3421" s="328">
        <f t="shared" si="1618"/>
        <v>0</v>
      </c>
      <c r="AD3421" s="307" t="s">
        <v>2354</v>
      </c>
      <c r="AE3421" s="210">
        <f t="shared" si="1609"/>
        <v>0</v>
      </c>
      <c r="AF3421" s="210">
        <f t="shared" si="1619"/>
        <v>0</v>
      </c>
      <c r="AG3421" s="211">
        <f t="shared" si="1620"/>
        <v>0.30499999999999999</v>
      </c>
      <c r="AH3421" s="157">
        <f>(Z3421*AG3421)/1000</f>
        <v>0</v>
      </c>
      <c r="AI3421" s="152">
        <f t="shared" si="1621"/>
        <v>25380</v>
      </c>
      <c r="AK3421" s="156" t="s">
        <v>691</v>
      </c>
      <c r="AL3421" s="212" t="s">
        <v>690</v>
      </c>
      <c r="AM3421" s="198">
        <f t="shared" si="1614"/>
        <v>0</v>
      </c>
      <c r="AN3421" s="199">
        <f t="shared" si="1615"/>
        <v>46151</v>
      </c>
      <c r="AO3421" s="159" t="s">
        <v>692</v>
      </c>
      <c r="AP3421" s="783" t="s">
        <v>643</v>
      </c>
      <c r="AQ3421" s="782">
        <v>12063755</v>
      </c>
      <c r="AR3421" s="782">
        <v>12081257</v>
      </c>
      <c r="AS3421" s="782">
        <v>12081260</v>
      </c>
      <c r="AT3421" s="782">
        <v>12098252</v>
      </c>
      <c r="AU3421" s="781"/>
      <c r="AV3421" s="782">
        <v>12098251</v>
      </c>
      <c r="AW3421" s="782"/>
      <c r="AX3421" s="782"/>
      <c r="AY3421" s="781"/>
      <c r="AZ3421" s="781"/>
      <c r="BA3421" s="781"/>
      <c r="BB3421" s="209">
        <v>23053185</v>
      </c>
    </row>
    <row r="3422" spans="1:54" ht="25" customHeight="1">
      <c r="B3422" s="743">
        <v>46151</v>
      </c>
      <c r="C3422" s="744">
        <v>46170</v>
      </c>
      <c r="D3422" s="746">
        <f t="shared" si="1603"/>
        <v>2026</v>
      </c>
      <c r="E3422" s="744" t="e">
        <f>VLOOKUP($B3422,Week!$A$1:$C$1462,2,0)</f>
        <v>#N/A</v>
      </c>
      <c r="F3422" s="745" t="str">
        <f t="shared" si="1604"/>
        <v>May</v>
      </c>
      <c r="G3422" s="746" t="s">
        <v>2836</v>
      </c>
      <c r="H3422" s="746" t="s">
        <v>311</v>
      </c>
      <c r="I3422" s="746" t="s">
        <v>2772</v>
      </c>
      <c r="J3422" s="747" t="s">
        <v>2913</v>
      </c>
      <c r="K3422" s="748" t="s">
        <v>1652</v>
      </c>
      <c r="L3422" s="748" t="s">
        <v>2167</v>
      </c>
      <c r="M3422" s="747" t="s">
        <v>682</v>
      </c>
      <c r="N3422" s="915" t="s">
        <v>2775</v>
      </c>
      <c r="O3422" s="746" t="s">
        <v>2748</v>
      </c>
      <c r="P3422" s="749">
        <v>5</v>
      </c>
      <c r="Q3422" s="749">
        <v>3</v>
      </c>
      <c r="R3422" s="849">
        <v>6.0000000000000001E-3</v>
      </c>
      <c r="S3422" s="746" t="s">
        <v>55</v>
      </c>
      <c r="T3422" s="746" t="s">
        <v>112</v>
      </c>
      <c r="U3422" s="860" t="s">
        <v>724</v>
      </c>
      <c r="V3422" s="750">
        <f>5000+76</f>
        <v>5076</v>
      </c>
      <c r="W3422" s="750"/>
      <c r="X3422" s="751">
        <f>(184+26004-808)/5</f>
        <v>5076</v>
      </c>
      <c r="Y3422" s="752">
        <f t="shared" si="1616"/>
        <v>0</v>
      </c>
      <c r="Z3422" s="753">
        <f t="shared" si="1617"/>
        <v>0</v>
      </c>
      <c r="AA3422" s="753">
        <f t="shared" si="1613"/>
        <v>0</v>
      </c>
      <c r="AB3422" s="838">
        <v>5.8823E-2</v>
      </c>
      <c r="AC3422" s="750">
        <f t="shared" si="1618"/>
        <v>0</v>
      </c>
      <c r="AD3422" s="307" t="s">
        <v>2354</v>
      </c>
      <c r="AE3422" s="210">
        <f t="shared" si="1609"/>
        <v>0</v>
      </c>
      <c r="AF3422" s="210">
        <f t="shared" si="1619"/>
        <v>0</v>
      </c>
      <c r="AG3422" s="211">
        <f t="shared" si="1620"/>
        <v>0.30199999999999999</v>
      </c>
      <c r="AH3422" s="157">
        <v>0.26621999999999996</v>
      </c>
      <c r="AI3422" s="152">
        <f t="shared" si="1621"/>
        <v>25380</v>
      </c>
      <c r="AK3422" s="156" t="s">
        <v>691</v>
      </c>
      <c r="AL3422" s="574" t="s">
        <v>690</v>
      </c>
      <c r="AM3422" s="198">
        <f t="shared" si="1614"/>
        <v>0</v>
      </c>
      <c r="AN3422" s="199">
        <f t="shared" si="1615"/>
        <v>46151</v>
      </c>
      <c r="AO3422" s="159" t="s">
        <v>692</v>
      </c>
      <c r="AP3422" s="781" t="s">
        <v>642</v>
      </c>
      <c r="AQ3422" s="782">
        <v>12063755</v>
      </c>
      <c r="AR3422" s="782">
        <v>12081257</v>
      </c>
      <c r="AS3422" s="782">
        <v>12081260</v>
      </c>
      <c r="AT3422" s="782">
        <v>12098253</v>
      </c>
      <c r="AU3422" s="781"/>
      <c r="AV3422" s="782">
        <v>12098254</v>
      </c>
      <c r="AW3422" s="781"/>
      <c r="AX3422" s="781"/>
      <c r="AY3422" s="781"/>
      <c r="AZ3422" s="782"/>
      <c r="BA3422" s="781"/>
      <c r="BB3422" s="209">
        <v>23099860</v>
      </c>
    </row>
    <row r="3423" spans="1:54" ht="25" customHeight="1">
      <c r="B3423" s="183">
        <v>46152</v>
      </c>
      <c r="C3423" s="184"/>
      <c r="D3423" s="185">
        <f t="shared" si="1603"/>
        <v>2026</v>
      </c>
      <c r="E3423" s="185" t="e">
        <f>VLOOKUP($B3423,Week!$A$1:$C$1462,2,0)</f>
        <v>#N/A</v>
      </c>
      <c r="F3423" s="186" t="str">
        <f t="shared" si="1604"/>
        <v>May</v>
      </c>
      <c r="G3423" s="481"/>
      <c r="H3423" s="185"/>
      <c r="I3423" s="185"/>
      <c r="J3423" s="187"/>
      <c r="K3423" s="188"/>
      <c r="L3423" s="188"/>
      <c r="M3423" s="187"/>
      <c r="N3423" s="185"/>
      <c r="O3423" s="185"/>
      <c r="P3423" s="189"/>
      <c r="Q3423" s="189"/>
      <c r="R3423" s="190"/>
      <c r="S3423" s="185"/>
      <c r="T3423" s="185"/>
      <c r="U3423" s="185"/>
      <c r="V3423" s="191"/>
      <c r="W3423" s="191"/>
      <c r="X3423" s="192"/>
      <c r="Y3423" s="193"/>
      <c r="Z3423" s="194"/>
      <c r="AA3423" s="194">
        <f t="shared" si="1613"/>
        <v>0</v>
      </c>
      <c r="AB3423" s="805"/>
      <c r="AC3423" s="191"/>
      <c r="AD3423" s="187"/>
      <c r="AE3423" s="195"/>
      <c r="AF3423" s="195"/>
      <c r="AG3423" s="196"/>
      <c r="AH3423" s="197"/>
      <c r="AK3423" s="156" t="s">
        <v>691</v>
      </c>
      <c r="AM3423" s="198">
        <f t="shared" si="1614"/>
        <v>0</v>
      </c>
      <c r="AN3423" s="199">
        <f t="shared" si="1615"/>
        <v>46152</v>
      </c>
      <c r="AO3423" s="159" t="s">
        <v>692</v>
      </c>
      <c r="AP3423" s="781"/>
      <c r="AQ3423" s="782"/>
      <c r="AR3423" s="782"/>
      <c r="AS3423" s="782"/>
      <c r="AT3423" s="782"/>
      <c r="AU3423" s="781"/>
      <c r="AV3423" s="782"/>
      <c r="AW3423" s="782"/>
      <c r="AX3423" s="782"/>
      <c r="AY3423" s="782"/>
      <c r="AZ3423" s="782"/>
      <c r="BA3423" s="781"/>
      <c r="BB3423" s="209"/>
    </row>
    <row r="3424" spans="1:54" ht="25" customHeight="1">
      <c r="B3424" s="213">
        <v>46153</v>
      </c>
      <c r="C3424" s="902" t="s">
        <v>2848</v>
      </c>
      <c r="D3424" s="215">
        <f t="shared" ref="D3424:D3431" si="1622">IF(B3424="","",YEAR(B3424))</f>
        <v>2026</v>
      </c>
      <c r="E3424" s="214" t="e">
        <f>VLOOKUP($B3424,Week!$A$1:$C$1462,2,0)</f>
        <v>#N/A</v>
      </c>
      <c r="F3424" s="216" t="str">
        <f t="shared" ref="F3424:F3431" si="1623">IF(B3424="","",TEXT(B3424,"[$-409]mmm"))</f>
        <v>May</v>
      </c>
      <c r="G3424" s="215" t="s">
        <v>47</v>
      </c>
      <c r="H3424" s="215" t="s">
        <v>260</v>
      </c>
      <c r="I3424" s="215" t="s">
        <v>2702</v>
      </c>
      <c r="J3424" s="209" t="s">
        <v>2702</v>
      </c>
      <c r="K3424" s="217" t="s">
        <v>2706</v>
      </c>
      <c r="L3424" s="217" t="s">
        <v>2167</v>
      </c>
      <c r="M3424" s="209" t="s">
        <v>2733</v>
      </c>
      <c r="N3424" s="480" t="s">
        <v>2734</v>
      </c>
      <c r="O3424" s="215" t="s">
        <v>2735</v>
      </c>
      <c r="P3424" s="218">
        <v>12</v>
      </c>
      <c r="Q3424" s="218">
        <v>2</v>
      </c>
      <c r="R3424" s="219">
        <v>6.0000000000000001E-3</v>
      </c>
      <c r="S3424" s="215" t="s">
        <v>55</v>
      </c>
      <c r="T3424" s="215" t="s">
        <v>56</v>
      </c>
      <c r="U3424" s="852" t="s">
        <v>2707</v>
      </c>
      <c r="V3424" s="220">
        <f>6000-59-1379-1804-1426-90</f>
        <v>1242</v>
      </c>
      <c r="W3424" s="220">
        <f>517+525+200</f>
        <v>1242</v>
      </c>
      <c r="X3424" s="221"/>
      <c r="Y3424" s="222">
        <f t="shared" ref="Y3424:Y3442" si="1624">(W3424+X3424)-V3424</f>
        <v>0</v>
      </c>
      <c r="Z3424" s="223">
        <f t="shared" ref="Z3424:Z3442" si="1625">IF(Y3424&lt;0,((V3424*P3424)-((W3424+X3424)*P3424)),0)</f>
        <v>0</v>
      </c>
      <c r="AA3424" s="223">
        <f t="shared" si="1613"/>
        <v>0</v>
      </c>
      <c r="AB3424" s="807">
        <v>1.7000000000000001E-2</v>
      </c>
      <c r="AC3424" s="220">
        <f t="shared" ref="AC3424:AC3442" si="1626">Z3424*AB3424</f>
        <v>0</v>
      </c>
      <c r="AD3424" s="443"/>
      <c r="AE3424" s="210">
        <f t="shared" ref="AE3424:AE3442" si="1627">SUM(Q3424*R3424*Z3424)/1000</f>
        <v>0</v>
      </c>
      <c r="AF3424" s="210">
        <f t="shared" ref="AF3424:AF3442" si="1628">AE3424/0.54</f>
        <v>0</v>
      </c>
      <c r="AG3424" s="211">
        <f t="shared" ref="AG3424:AG3442" si="1629">MID(O3424,1,3)/1000</f>
        <v>0.22500000000000001</v>
      </c>
      <c r="AH3424" s="157">
        <v>0.26621999999999996</v>
      </c>
      <c r="AI3424" s="152">
        <f t="shared" ref="AI3424:AI3442" si="1630">V3424*P3424</f>
        <v>14904</v>
      </c>
      <c r="AK3424" s="156" t="s">
        <v>691</v>
      </c>
      <c r="AL3424" s="574" t="s">
        <v>690</v>
      </c>
      <c r="AM3424" s="198">
        <f t="shared" si="1614"/>
        <v>0</v>
      </c>
      <c r="AN3424" s="199">
        <f t="shared" si="1615"/>
        <v>46153</v>
      </c>
      <c r="AO3424" s="159" t="s">
        <v>692</v>
      </c>
      <c r="AP3424" s="781" t="s">
        <v>642</v>
      </c>
      <c r="AQ3424" s="782">
        <v>12071839</v>
      </c>
      <c r="AR3424" s="782"/>
      <c r="AS3424" s="782"/>
      <c r="AT3424" s="782">
        <v>12098021</v>
      </c>
      <c r="AU3424" s="783" t="s">
        <v>2979</v>
      </c>
      <c r="AV3424" s="782">
        <v>12098022</v>
      </c>
      <c r="AW3424" s="783"/>
      <c r="AX3424" s="781"/>
      <c r="AY3424" s="796"/>
      <c r="AZ3424" s="796"/>
      <c r="BA3424" s="796"/>
      <c r="BB3424" s="209">
        <v>23099860</v>
      </c>
    </row>
    <row r="3425" spans="1:54" ht="25" customHeight="1">
      <c r="B3425" s="213">
        <v>46153</v>
      </c>
      <c r="C3425" s="902" t="s">
        <v>2849</v>
      </c>
      <c r="D3425" s="215">
        <f t="shared" si="1622"/>
        <v>2026</v>
      </c>
      <c r="E3425" s="214" t="e">
        <f>VLOOKUP($B3425,Week!$A$1:$C$1462,2,0)</f>
        <v>#N/A</v>
      </c>
      <c r="F3425" s="216" t="str">
        <f t="shared" si="1623"/>
        <v>May</v>
      </c>
      <c r="G3425" s="215" t="s">
        <v>47</v>
      </c>
      <c r="H3425" s="215" t="s">
        <v>260</v>
      </c>
      <c r="I3425" s="215" t="s">
        <v>2702</v>
      </c>
      <c r="J3425" s="209" t="s">
        <v>2702</v>
      </c>
      <c r="K3425" s="217" t="s">
        <v>2706</v>
      </c>
      <c r="L3425" s="217" t="s">
        <v>2167</v>
      </c>
      <c r="M3425" s="209" t="s">
        <v>2733</v>
      </c>
      <c r="N3425" s="480" t="s">
        <v>2734</v>
      </c>
      <c r="O3425" s="215" t="s">
        <v>2735</v>
      </c>
      <c r="P3425" s="218">
        <v>12</v>
      </c>
      <c r="Q3425" s="218">
        <v>2</v>
      </c>
      <c r="R3425" s="219">
        <v>6.0000000000000001E-3</v>
      </c>
      <c r="S3425" s="215" t="s">
        <v>55</v>
      </c>
      <c r="T3425" s="215" t="s">
        <v>56</v>
      </c>
      <c r="U3425" s="852" t="s">
        <v>2707</v>
      </c>
      <c r="V3425" s="220">
        <v>250</v>
      </c>
      <c r="W3425" s="220">
        <v>250</v>
      </c>
      <c r="X3425" s="221"/>
      <c r="Y3425" s="222">
        <f t="shared" si="1624"/>
        <v>0</v>
      </c>
      <c r="Z3425" s="223">
        <f t="shared" si="1625"/>
        <v>0</v>
      </c>
      <c r="AA3425" s="223">
        <f t="shared" si="1613"/>
        <v>0</v>
      </c>
      <c r="AB3425" s="807">
        <v>1.7000000000000001E-2</v>
      </c>
      <c r="AC3425" s="220">
        <f t="shared" si="1626"/>
        <v>0</v>
      </c>
      <c r="AD3425" s="443"/>
      <c r="AE3425" s="210">
        <f t="shared" si="1627"/>
        <v>0</v>
      </c>
      <c r="AF3425" s="210">
        <f t="shared" si="1628"/>
        <v>0</v>
      </c>
      <c r="AG3425" s="211">
        <f t="shared" si="1629"/>
        <v>0.22500000000000001</v>
      </c>
      <c r="AH3425" s="157">
        <v>0.26621999999999996</v>
      </c>
      <c r="AI3425" s="152">
        <f t="shared" si="1630"/>
        <v>3000</v>
      </c>
      <c r="AK3425" s="156" t="s">
        <v>691</v>
      </c>
      <c r="AL3425" s="574" t="s">
        <v>690</v>
      </c>
      <c r="AM3425" s="198">
        <f t="shared" si="1614"/>
        <v>0</v>
      </c>
      <c r="AN3425" s="199">
        <f t="shared" si="1615"/>
        <v>46153</v>
      </c>
      <c r="AO3425" s="159" t="s">
        <v>692</v>
      </c>
      <c r="AP3425" s="781" t="s">
        <v>642</v>
      </c>
      <c r="AQ3425" s="782">
        <v>12071839</v>
      </c>
      <c r="AR3425" s="782"/>
      <c r="AS3425" s="782"/>
      <c r="AT3425" s="782">
        <v>12098021</v>
      </c>
      <c r="AU3425" s="783" t="s">
        <v>2979</v>
      </c>
      <c r="AV3425" s="782">
        <v>12098022</v>
      </c>
      <c r="AW3425" s="783"/>
      <c r="AX3425" s="781"/>
      <c r="AY3425" s="796"/>
      <c r="AZ3425" s="796"/>
      <c r="BA3425" s="796"/>
      <c r="BB3425" s="209">
        <v>23099860</v>
      </c>
    </row>
    <row r="3426" spans="1:54" ht="24.75" customHeight="1">
      <c r="B3426" s="295">
        <v>46153</v>
      </c>
      <c r="C3426" s="771" t="s">
        <v>2849</v>
      </c>
      <c r="D3426" s="185">
        <f t="shared" si="1622"/>
        <v>2026</v>
      </c>
      <c r="E3426" s="296" t="e">
        <f>VLOOKUP($B3426,Week!$A$1:$C$1462,2,0)</f>
        <v>#N/A</v>
      </c>
      <c r="F3426" s="297" t="str">
        <f t="shared" si="1623"/>
        <v>May</v>
      </c>
      <c r="G3426" s="648" t="s">
        <v>47</v>
      </c>
      <c r="H3426" s="298" t="s">
        <v>260</v>
      </c>
      <c r="I3426" s="298" t="s">
        <v>2702</v>
      </c>
      <c r="J3426" s="307" t="s">
        <v>2240</v>
      </c>
      <c r="K3426" s="300" t="s">
        <v>176</v>
      </c>
      <c r="L3426" s="300" t="s">
        <v>2167</v>
      </c>
      <c r="M3426" s="299" t="s">
        <v>2338</v>
      </c>
      <c r="N3426" s="298" t="s">
        <v>350</v>
      </c>
      <c r="O3426" s="298" t="s">
        <v>351</v>
      </c>
      <c r="P3426" s="301">
        <v>24</v>
      </c>
      <c r="Q3426" s="301">
        <v>5</v>
      </c>
      <c r="R3426" s="302">
        <v>6.1999999999999998E-3</v>
      </c>
      <c r="S3426" s="298" t="s">
        <v>352</v>
      </c>
      <c r="T3426" s="298" t="s">
        <v>56</v>
      </c>
      <c r="U3426" s="298" t="s">
        <v>57</v>
      </c>
      <c r="V3426" s="303">
        <f>1867</f>
        <v>1867</v>
      </c>
      <c r="W3426" s="303">
        <f>1826</f>
        <v>1826</v>
      </c>
      <c r="X3426" s="304">
        <f>989/24</f>
        <v>41.208333333333336</v>
      </c>
      <c r="Y3426" s="305">
        <f t="shared" si="1624"/>
        <v>0.20833333333325754</v>
      </c>
      <c r="Z3426" s="306">
        <f t="shared" si="1625"/>
        <v>0</v>
      </c>
      <c r="AA3426" s="306">
        <f t="shared" si="1613"/>
        <v>0</v>
      </c>
      <c r="AB3426" s="814">
        <v>7.4999999999999997E-3</v>
      </c>
      <c r="AC3426" s="303">
        <f t="shared" si="1626"/>
        <v>0</v>
      </c>
      <c r="AD3426" s="443"/>
      <c r="AE3426" s="210">
        <f t="shared" si="1627"/>
        <v>0</v>
      </c>
      <c r="AF3426" s="210">
        <f t="shared" si="1628"/>
        <v>0</v>
      </c>
      <c r="AG3426" s="211">
        <f t="shared" si="1629"/>
        <v>0.13</v>
      </c>
      <c r="AH3426" s="157">
        <f>(Z3426*AG3426)/1000</f>
        <v>0</v>
      </c>
      <c r="AI3426" s="152">
        <f t="shared" si="1630"/>
        <v>44808</v>
      </c>
      <c r="AK3426" s="156" t="s">
        <v>691</v>
      </c>
      <c r="AL3426" s="574" t="s">
        <v>690</v>
      </c>
      <c r="AM3426" s="198">
        <f t="shared" si="1614"/>
        <v>0</v>
      </c>
      <c r="AN3426" s="199">
        <f t="shared" si="1615"/>
        <v>46153</v>
      </c>
      <c r="AO3426" s="159" t="s">
        <v>692</v>
      </c>
      <c r="AP3426" s="783" t="s">
        <v>622</v>
      </c>
      <c r="AQ3426" s="782">
        <v>12071839</v>
      </c>
      <c r="AR3426" s="782">
        <v>12094356</v>
      </c>
      <c r="AS3426" s="782">
        <v>12068233</v>
      </c>
      <c r="AT3426" s="781"/>
      <c r="AU3426" s="781"/>
      <c r="AV3426" s="782">
        <v>12062075</v>
      </c>
      <c r="AW3426" s="781"/>
      <c r="AX3426" s="781"/>
      <c r="AY3426" s="782">
        <v>12094357</v>
      </c>
      <c r="AZ3426" s="782"/>
      <c r="BA3426" s="781"/>
      <c r="BB3426" s="209">
        <v>23053184</v>
      </c>
    </row>
    <row r="3427" spans="1:54" ht="25" customHeight="1">
      <c r="B3427" s="308">
        <v>46153</v>
      </c>
      <c r="C3427" s="309">
        <v>46168</v>
      </c>
      <c r="D3427" s="311">
        <f t="shared" si="1622"/>
        <v>2026</v>
      </c>
      <c r="E3427" s="309" t="e">
        <f>VLOOKUP($B3427,Week!$A$1:$C$1462,2,0)</f>
        <v>#N/A</v>
      </c>
      <c r="F3427" s="310" t="str">
        <f t="shared" si="1623"/>
        <v>May</v>
      </c>
      <c r="G3427" s="311" t="s">
        <v>2939</v>
      </c>
      <c r="H3427" s="311" t="s">
        <v>600</v>
      </c>
      <c r="I3427" s="311" t="s">
        <v>2772</v>
      </c>
      <c r="J3427" s="312" t="s">
        <v>708</v>
      </c>
      <c r="K3427" s="313" t="s">
        <v>2534</v>
      </c>
      <c r="L3427" s="313" t="s">
        <v>2167</v>
      </c>
      <c r="M3427" s="312" t="s">
        <v>2926</v>
      </c>
      <c r="N3427" s="579" t="s">
        <v>2920</v>
      </c>
      <c r="O3427" s="311" t="s">
        <v>2916</v>
      </c>
      <c r="P3427" s="314">
        <v>12</v>
      </c>
      <c r="Q3427" s="314">
        <v>1</v>
      </c>
      <c r="R3427" s="315">
        <v>6.1999999999999998E-3</v>
      </c>
      <c r="S3427" s="311" t="s">
        <v>55</v>
      </c>
      <c r="T3427" s="311" t="s">
        <v>112</v>
      </c>
      <c r="U3427" s="629" t="s">
        <v>739</v>
      </c>
      <c r="V3427" s="316">
        <v>4080</v>
      </c>
      <c r="W3427" s="316">
        <f>294</f>
        <v>294</v>
      </c>
      <c r="X3427" s="317">
        <f>(45369+164)/12</f>
        <v>3794.4166666666665</v>
      </c>
      <c r="Y3427" s="318">
        <f t="shared" si="1624"/>
        <v>8.4166666666665151</v>
      </c>
      <c r="Z3427" s="319">
        <f t="shared" si="1625"/>
        <v>0</v>
      </c>
      <c r="AA3427" s="319">
        <f t="shared" si="1613"/>
        <v>0</v>
      </c>
      <c r="AB3427" s="815">
        <v>4.0000000000000001E-3</v>
      </c>
      <c r="AC3427" s="316">
        <f t="shared" si="1626"/>
        <v>0</v>
      </c>
      <c r="AD3427" s="443" t="s">
        <v>2779</v>
      </c>
      <c r="AE3427" s="210">
        <f t="shared" si="1627"/>
        <v>0</v>
      </c>
      <c r="AF3427" s="210">
        <f t="shared" si="1628"/>
        <v>0</v>
      </c>
      <c r="AG3427" s="211">
        <f t="shared" si="1629"/>
        <v>0.13</v>
      </c>
      <c r="AH3427" s="157">
        <v>0.26621999999999996</v>
      </c>
      <c r="AI3427" s="152">
        <f t="shared" si="1630"/>
        <v>48960</v>
      </c>
      <c r="AK3427" s="156" t="s">
        <v>691</v>
      </c>
      <c r="AL3427" s="574" t="s">
        <v>690</v>
      </c>
      <c r="AM3427" s="198">
        <f t="shared" si="1614"/>
        <v>0</v>
      </c>
      <c r="AN3427" s="199">
        <f t="shared" si="1615"/>
        <v>46153</v>
      </c>
      <c r="AO3427" s="159" t="s">
        <v>692</v>
      </c>
      <c r="AP3427" s="781"/>
      <c r="AQ3427" s="782">
        <v>12071839</v>
      </c>
      <c r="AR3427" s="782">
        <v>12080260</v>
      </c>
      <c r="AS3427" s="782">
        <v>12080259</v>
      </c>
      <c r="AT3427" s="782"/>
      <c r="AU3427" s="783"/>
      <c r="AV3427" s="782">
        <v>12098841</v>
      </c>
      <c r="AW3427" s="783"/>
      <c r="AX3427" s="781"/>
      <c r="AY3427" s="796">
        <v>12098838</v>
      </c>
      <c r="AZ3427" s="796">
        <v>12098839</v>
      </c>
      <c r="BA3427" s="796">
        <v>12098840</v>
      </c>
      <c r="BB3427" s="209">
        <v>23099860</v>
      </c>
    </row>
    <row r="3428" spans="1:54" ht="24.75" customHeight="1">
      <c r="B3428" s="320">
        <v>46154</v>
      </c>
      <c r="C3428" s="321">
        <v>46212</v>
      </c>
      <c r="D3428" s="185">
        <f>IF(B3428="","",YEAR(B3428))</f>
        <v>2026</v>
      </c>
      <c r="E3428" s="321" t="e">
        <f>VLOOKUP($B3428,Week!$A$1:$C$1462,2,0)</f>
        <v>#N/A</v>
      </c>
      <c r="F3428" s="322" t="str">
        <f>IF(B3428="","",TEXT(B3428,"[$-409]mmm"))</f>
        <v>May</v>
      </c>
      <c r="G3428" s="323" t="s">
        <v>2838</v>
      </c>
      <c r="H3428" s="323" t="s">
        <v>311</v>
      </c>
      <c r="I3428" s="323" t="s">
        <v>2772</v>
      </c>
      <c r="J3428" s="324" t="s">
        <v>2913</v>
      </c>
      <c r="K3428" s="325" t="s">
        <v>107</v>
      </c>
      <c r="L3428" s="300" t="s">
        <v>2167</v>
      </c>
      <c r="M3428" s="324" t="s">
        <v>313</v>
      </c>
      <c r="N3428" s="596" t="s">
        <v>2853</v>
      </c>
      <c r="O3428" s="323" t="s">
        <v>2747</v>
      </c>
      <c r="P3428" s="326">
        <v>5</v>
      </c>
      <c r="Q3428" s="326">
        <v>4</v>
      </c>
      <c r="R3428" s="327">
        <v>7.4999999999999997E-3</v>
      </c>
      <c r="S3428" s="323" t="s">
        <v>111</v>
      </c>
      <c r="T3428" s="323" t="s">
        <v>112</v>
      </c>
      <c r="U3428" s="323" t="s">
        <v>57</v>
      </c>
      <c r="V3428" s="328">
        <f>5000+76</f>
        <v>5076</v>
      </c>
      <c r="W3428" s="328"/>
      <c r="X3428" s="329">
        <f>(25630)/5</f>
        <v>5126</v>
      </c>
      <c r="Y3428" s="330">
        <f t="shared" si="1624"/>
        <v>50</v>
      </c>
      <c r="Z3428" s="331">
        <f t="shared" si="1625"/>
        <v>0</v>
      </c>
      <c r="AA3428" s="331">
        <f t="shared" si="1613"/>
        <v>0</v>
      </c>
      <c r="AB3428" s="816">
        <v>7.4999999999999997E-3</v>
      </c>
      <c r="AC3428" s="328">
        <f t="shared" si="1626"/>
        <v>0</v>
      </c>
      <c r="AD3428" s="307" t="s">
        <v>2354</v>
      </c>
      <c r="AE3428" s="210">
        <f t="shared" si="1627"/>
        <v>0</v>
      </c>
      <c r="AF3428" s="210">
        <f t="shared" si="1628"/>
        <v>0</v>
      </c>
      <c r="AG3428" s="211">
        <f t="shared" si="1629"/>
        <v>0.30499999999999999</v>
      </c>
      <c r="AH3428" s="157">
        <f>(Z3428*AG3428)/1000</f>
        <v>0</v>
      </c>
      <c r="AI3428" s="152">
        <f t="shared" si="1630"/>
        <v>25380</v>
      </c>
      <c r="AK3428" s="156" t="s">
        <v>691</v>
      </c>
      <c r="AL3428" s="212" t="s">
        <v>690</v>
      </c>
      <c r="AM3428" s="198">
        <f t="shared" si="1614"/>
        <v>0</v>
      </c>
      <c r="AN3428" s="199">
        <f t="shared" si="1615"/>
        <v>46154</v>
      </c>
      <c r="AO3428" s="159" t="s">
        <v>692</v>
      </c>
      <c r="AP3428" s="783" t="s">
        <v>643</v>
      </c>
      <c r="AQ3428" s="782">
        <v>12063755</v>
      </c>
      <c r="AR3428" s="782">
        <v>12081257</v>
      </c>
      <c r="AS3428" s="782">
        <v>12081260</v>
      </c>
      <c r="AT3428" s="782">
        <v>12098252</v>
      </c>
      <c r="AU3428" s="781"/>
      <c r="AV3428" s="782">
        <v>12098251</v>
      </c>
      <c r="AW3428" s="782"/>
      <c r="AX3428" s="782"/>
      <c r="AY3428" s="781"/>
      <c r="AZ3428" s="781"/>
      <c r="BA3428" s="781"/>
      <c r="BB3428" s="209">
        <v>23053185</v>
      </c>
    </row>
    <row r="3429" spans="1:54" ht="24.65" customHeight="1">
      <c r="B3429" s="308">
        <v>46154</v>
      </c>
      <c r="C3429" s="309">
        <v>46177</v>
      </c>
      <c r="D3429" s="185">
        <f t="shared" si="1622"/>
        <v>2026</v>
      </c>
      <c r="E3429" s="309" t="e">
        <f>VLOOKUP($B3429,Week!$A$1:$C$1462,2,0)</f>
        <v>#N/A</v>
      </c>
      <c r="F3429" s="310" t="str">
        <f t="shared" si="1623"/>
        <v>May</v>
      </c>
      <c r="G3429" s="311" t="s">
        <v>2959</v>
      </c>
      <c r="H3429" s="311" t="s">
        <v>311</v>
      </c>
      <c r="I3429" s="311" t="s">
        <v>2772</v>
      </c>
      <c r="J3429" s="312" t="s">
        <v>738</v>
      </c>
      <c r="K3429" s="313" t="s">
        <v>107</v>
      </c>
      <c r="L3429" s="300" t="s">
        <v>2167</v>
      </c>
      <c r="M3429" s="312" t="s">
        <v>313</v>
      </c>
      <c r="N3429" s="311" t="s">
        <v>314</v>
      </c>
      <c r="O3429" s="311" t="s">
        <v>110</v>
      </c>
      <c r="P3429" s="314">
        <v>36</v>
      </c>
      <c r="Q3429" s="314">
        <v>5</v>
      </c>
      <c r="R3429" s="315">
        <v>7.4999999999999997E-3</v>
      </c>
      <c r="S3429" s="311" t="s">
        <v>111</v>
      </c>
      <c r="T3429" s="311" t="s">
        <v>112</v>
      </c>
      <c r="U3429" s="311" t="s">
        <v>57</v>
      </c>
      <c r="V3429" s="316">
        <v>792</v>
      </c>
      <c r="W3429" s="316">
        <f>778</f>
        <v>778</v>
      </c>
      <c r="X3429" s="317">
        <v>14</v>
      </c>
      <c r="Y3429" s="318">
        <f t="shared" si="1624"/>
        <v>0</v>
      </c>
      <c r="Z3429" s="319">
        <f t="shared" si="1625"/>
        <v>0</v>
      </c>
      <c r="AA3429" s="319">
        <f t="shared" si="1613"/>
        <v>0</v>
      </c>
      <c r="AB3429" s="815">
        <v>7.4999999999999997E-3</v>
      </c>
      <c r="AC3429" s="316">
        <f t="shared" si="1626"/>
        <v>0</v>
      </c>
      <c r="AD3429" s="209"/>
      <c r="AE3429" s="210">
        <f t="shared" si="1627"/>
        <v>0</v>
      </c>
      <c r="AF3429" s="210">
        <f t="shared" si="1628"/>
        <v>0</v>
      </c>
      <c r="AG3429" s="211">
        <f t="shared" si="1629"/>
        <v>0.308</v>
      </c>
      <c r="AH3429" s="157">
        <f>(Z3429*AG3429)/1000</f>
        <v>0</v>
      </c>
      <c r="AI3429" s="152">
        <f t="shared" si="1630"/>
        <v>28512</v>
      </c>
      <c r="AK3429" s="156" t="s">
        <v>691</v>
      </c>
      <c r="AL3429" s="212" t="s">
        <v>690</v>
      </c>
      <c r="AM3429" s="198">
        <f t="shared" si="1614"/>
        <v>0</v>
      </c>
      <c r="AN3429" s="199">
        <f t="shared" si="1615"/>
        <v>46154</v>
      </c>
      <c r="AO3429" s="159" t="s">
        <v>692</v>
      </c>
      <c r="AP3429" s="783" t="s">
        <v>644</v>
      </c>
      <c r="AQ3429" s="782">
        <v>12063755</v>
      </c>
      <c r="AR3429" s="782">
        <v>12081257</v>
      </c>
      <c r="AS3429" s="782">
        <v>12081260</v>
      </c>
      <c r="AT3429" s="782">
        <v>12098623</v>
      </c>
      <c r="AU3429" s="781"/>
      <c r="AV3429" s="782">
        <v>12098706</v>
      </c>
      <c r="AW3429" s="782">
        <v>12088207</v>
      </c>
      <c r="AX3429" s="782"/>
      <c r="AY3429" s="782">
        <v>12094237</v>
      </c>
      <c r="AZ3429" s="782"/>
      <c r="BA3429" s="781"/>
      <c r="BB3429" s="209">
        <v>23053185</v>
      </c>
    </row>
    <row r="3430" spans="1:54" ht="24.65" customHeight="1">
      <c r="B3430" s="308">
        <v>46154</v>
      </c>
      <c r="C3430" s="309">
        <v>46184</v>
      </c>
      <c r="D3430" s="185">
        <f t="shared" si="1622"/>
        <v>2026</v>
      </c>
      <c r="E3430" s="309" t="e">
        <f>VLOOKUP($B3430,Week!$A$1:$C$1462,2,0)</f>
        <v>#N/A</v>
      </c>
      <c r="F3430" s="310" t="str">
        <f t="shared" si="1623"/>
        <v>May</v>
      </c>
      <c r="G3430" s="311" t="s">
        <v>2960</v>
      </c>
      <c r="H3430" s="311" t="s">
        <v>311</v>
      </c>
      <c r="I3430" s="311" t="s">
        <v>2772</v>
      </c>
      <c r="J3430" s="312" t="s">
        <v>738</v>
      </c>
      <c r="K3430" s="313" t="s">
        <v>107</v>
      </c>
      <c r="L3430" s="300" t="s">
        <v>2167</v>
      </c>
      <c r="M3430" s="312" t="s">
        <v>313</v>
      </c>
      <c r="N3430" s="311" t="s">
        <v>314</v>
      </c>
      <c r="O3430" s="311" t="s">
        <v>110</v>
      </c>
      <c r="P3430" s="314">
        <v>36</v>
      </c>
      <c r="Q3430" s="314">
        <v>5</v>
      </c>
      <c r="R3430" s="315">
        <v>7.4999999999999997E-3</v>
      </c>
      <c r="S3430" s="311" t="s">
        <v>111</v>
      </c>
      <c r="T3430" s="311" t="s">
        <v>112</v>
      </c>
      <c r="U3430" s="311" t="s">
        <v>57</v>
      </c>
      <c r="V3430" s="316">
        <v>792</v>
      </c>
      <c r="W3430" s="316">
        <f>792</f>
        <v>792</v>
      </c>
      <c r="X3430" s="317"/>
      <c r="Y3430" s="318">
        <f t="shared" si="1624"/>
        <v>0</v>
      </c>
      <c r="Z3430" s="319">
        <f t="shared" si="1625"/>
        <v>0</v>
      </c>
      <c r="AA3430" s="319">
        <f t="shared" si="1613"/>
        <v>0</v>
      </c>
      <c r="AB3430" s="815">
        <v>7.4999999999999997E-3</v>
      </c>
      <c r="AC3430" s="316">
        <f t="shared" si="1626"/>
        <v>0</v>
      </c>
      <c r="AD3430" s="443"/>
      <c r="AE3430" s="210">
        <f t="shared" si="1627"/>
        <v>0</v>
      </c>
      <c r="AF3430" s="210">
        <f t="shared" si="1628"/>
        <v>0</v>
      </c>
      <c r="AG3430" s="211">
        <f t="shared" si="1629"/>
        <v>0.308</v>
      </c>
      <c r="AH3430" s="157">
        <f>(Z3430*AG3430)/1000</f>
        <v>0</v>
      </c>
      <c r="AI3430" s="152">
        <f t="shared" si="1630"/>
        <v>28512</v>
      </c>
      <c r="AK3430" s="156" t="s">
        <v>691</v>
      </c>
      <c r="AL3430" s="212" t="s">
        <v>690</v>
      </c>
      <c r="AM3430" s="198">
        <f t="shared" si="1614"/>
        <v>0</v>
      </c>
      <c r="AN3430" s="199">
        <f t="shared" si="1615"/>
        <v>46154</v>
      </c>
      <c r="AO3430" s="159" t="s">
        <v>692</v>
      </c>
      <c r="AP3430" s="783" t="s">
        <v>644</v>
      </c>
      <c r="AQ3430" s="782">
        <v>12063755</v>
      </c>
      <c r="AR3430" s="782">
        <v>12081257</v>
      </c>
      <c r="AS3430" s="782">
        <v>12081260</v>
      </c>
      <c r="AT3430" s="782">
        <v>12098623</v>
      </c>
      <c r="AU3430" s="781"/>
      <c r="AV3430" s="782">
        <v>12098706</v>
      </c>
      <c r="AW3430" s="782">
        <v>12088207</v>
      </c>
      <c r="AX3430" s="782"/>
      <c r="AY3430" s="782">
        <v>12094237</v>
      </c>
      <c r="AZ3430" s="782"/>
      <c r="BA3430" s="781"/>
      <c r="BB3430" s="209">
        <v>23053185</v>
      </c>
    </row>
    <row r="3431" spans="1:54" ht="24.65" customHeight="1">
      <c r="B3431" s="308">
        <v>46154</v>
      </c>
      <c r="C3431" s="309">
        <v>46191</v>
      </c>
      <c r="D3431" s="185">
        <f t="shared" si="1622"/>
        <v>2026</v>
      </c>
      <c r="E3431" s="309" t="e">
        <f>VLOOKUP($B3431,Week!$A$1:$C$1462,2,0)</f>
        <v>#N/A</v>
      </c>
      <c r="F3431" s="310" t="str">
        <f t="shared" si="1623"/>
        <v>May</v>
      </c>
      <c r="G3431" s="311" t="s">
        <v>2961</v>
      </c>
      <c r="H3431" s="311" t="s">
        <v>311</v>
      </c>
      <c r="I3431" s="311" t="s">
        <v>2772</v>
      </c>
      <c r="J3431" s="312" t="s">
        <v>738</v>
      </c>
      <c r="K3431" s="313" t="s">
        <v>107</v>
      </c>
      <c r="L3431" s="300" t="s">
        <v>2167</v>
      </c>
      <c r="M3431" s="312" t="s">
        <v>313</v>
      </c>
      <c r="N3431" s="311" t="s">
        <v>314</v>
      </c>
      <c r="O3431" s="311" t="s">
        <v>110</v>
      </c>
      <c r="P3431" s="314">
        <v>36</v>
      </c>
      <c r="Q3431" s="314">
        <v>5</v>
      </c>
      <c r="R3431" s="315">
        <v>7.4999999999999997E-3</v>
      </c>
      <c r="S3431" s="311" t="s">
        <v>111</v>
      </c>
      <c r="T3431" s="311" t="s">
        <v>112</v>
      </c>
      <c r="U3431" s="311" t="s">
        <v>57</v>
      </c>
      <c r="V3431" s="316">
        <v>792</v>
      </c>
      <c r="W3431" s="316">
        <f>2362-778-792</f>
        <v>792</v>
      </c>
      <c r="X3431" s="317"/>
      <c r="Y3431" s="318">
        <f t="shared" si="1624"/>
        <v>0</v>
      </c>
      <c r="Z3431" s="319">
        <f t="shared" si="1625"/>
        <v>0</v>
      </c>
      <c r="AA3431" s="319">
        <f t="shared" si="1613"/>
        <v>0</v>
      </c>
      <c r="AB3431" s="815">
        <v>7.4999999999999997E-3</v>
      </c>
      <c r="AC3431" s="316">
        <f t="shared" si="1626"/>
        <v>0</v>
      </c>
      <c r="AD3431" s="209"/>
      <c r="AE3431" s="210">
        <f t="shared" si="1627"/>
        <v>0</v>
      </c>
      <c r="AF3431" s="210">
        <f t="shared" si="1628"/>
        <v>0</v>
      </c>
      <c r="AG3431" s="211">
        <f t="shared" si="1629"/>
        <v>0.308</v>
      </c>
      <c r="AH3431" s="157">
        <f>(Z3431*AG3431)/1000</f>
        <v>0</v>
      </c>
      <c r="AI3431" s="152">
        <f t="shared" si="1630"/>
        <v>28512</v>
      </c>
      <c r="AK3431" s="156" t="s">
        <v>691</v>
      </c>
      <c r="AL3431" s="212" t="s">
        <v>690</v>
      </c>
      <c r="AM3431" s="198">
        <f t="shared" si="1614"/>
        <v>0</v>
      </c>
      <c r="AN3431" s="199">
        <f t="shared" si="1615"/>
        <v>46154</v>
      </c>
      <c r="AO3431" s="159" t="s">
        <v>692</v>
      </c>
      <c r="AP3431" s="783" t="s">
        <v>644</v>
      </c>
      <c r="AQ3431" s="782">
        <v>12063755</v>
      </c>
      <c r="AR3431" s="782">
        <v>12081257</v>
      </c>
      <c r="AS3431" s="782">
        <v>12081260</v>
      </c>
      <c r="AT3431" s="782">
        <v>12098623</v>
      </c>
      <c r="AU3431" s="781"/>
      <c r="AV3431" s="782">
        <v>12098706</v>
      </c>
      <c r="AW3431" s="782">
        <v>12088207</v>
      </c>
      <c r="AX3431" s="782"/>
      <c r="AY3431" s="782">
        <v>12094237</v>
      </c>
      <c r="AZ3431" s="782"/>
      <c r="BA3431" s="781"/>
      <c r="BB3431" s="209">
        <v>23053185</v>
      </c>
    </row>
    <row r="3432" spans="1:54" ht="25" customHeight="1">
      <c r="B3432" s="743">
        <v>46155</v>
      </c>
      <c r="C3432" s="744">
        <v>46168</v>
      </c>
      <c r="D3432" s="746">
        <f t="shared" ref="D3432:D3443" si="1631">IF(B3432="","",YEAR(B3432))</f>
        <v>2026</v>
      </c>
      <c r="E3432" s="744" t="e">
        <f>VLOOKUP($B3432,Week!$A$1:$C$1462,2,0)</f>
        <v>#N/A</v>
      </c>
      <c r="F3432" s="745" t="str">
        <f t="shared" ref="F3432:F3443" si="1632">IF(B3432="","",TEXT(B3432,"[$-409]mmm"))</f>
        <v>May</v>
      </c>
      <c r="G3432" s="746" t="s">
        <v>2938</v>
      </c>
      <c r="H3432" s="746" t="s">
        <v>600</v>
      </c>
      <c r="I3432" s="746" t="s">
        <v>2772</v>
      </c>
      <c r="J3432" s="747" t="s">
        <v>708</v>
      </c>
      <c r="K3432" s="748" t="s">
        <v>2915</v>
      </c>
      <c r="L3432" s="748" t="s">
        <v>2167</v>
      </c>
      <c r="M3432" s="747" t="s">
        <v>2925</v>
      </c>
      <c r="N3432" s="915" t="s">
        <v>2919</v>
      </c>
      <c r="O3432" s="746" t="s">
        <v>2916</v>
      </c>
      <c r="P3432" s="749">
        <v>12</v>
      </c>
      <c r="Q3432" s="749">
        <v>1</v>
      </c>
      <c r="R3432" s="849">
        <v>6.1999999999999998E-3</v>
      </c>
      <c r="S3432" s="746" t="s">
        <v>55</v>
      </c>
      <c r="T3432" s="746" t="s">
        <v>112</v>
      </c>
      <c r="U3432" s="860" t="s">
        <v>724</v>
      </c>
      <c r="V3432" s="750">
        <v>4080</v>
      </c>
      <c r="W3432" s="750">
        <f>4080</f>
        <v>4080</v>
      </c>
      <c r="X3432" s="751">
        <f>(143)/12</f>
        <v>11.916666666666666</v>
      </c>
      <c r="Y3432" s="752">
        <f t="shared" si="1624"/>
        <v>11.916666666666515</v>
      </c>
      <c r="Z3432" s="753">
        <f t="shared" si="1625"/>
        <v>0</v>
      </c>
      <c r="AA3432" s="753">
        <f t="shared" si="1613"/>
        <v>0</v>
      </c>
      <c r="AB3432" s="838">
        <v>5.8823E-2</v>
      </c>
      <c r="AC3432" s="750">
        <f t="shared" si="1626"/>
        <v>0</v>
      </c>
      <c r="AD3432" s="443" t="s">
        <v>2779</v>
      </c>
      <c r="AE3432" s="210">
        <f t="shared" si="1627"/>
        <v>0</v>
      </c>
      <c r="AF3432" s="210">
        <f t="shared" si="1628"/>
        <v>0</v>
      </c>
      <c r="AG3432" s="211">
        <f t="shared" si="1629"/>
        <v>0.13</v>
      </c>
      <c r="AH3432" s="157">
        <v>0.26621999999999996</v>
      </c>
      <c r="AI3432" s="152">
        <f t="shared" si="1630"/>
        <v>48960</v>
      </c>
      <c r="AK3432" s="156" t="s">
        <v>691</v>
      </c>
      <c r="AL3432" s="574" t="s">
        <v>690</v>
      </c>
      <c r="AM3432" s="198">
        <f t="shared" si="1614"/>
        <v>0</v>
      </c>
      <c r="AN3432" s="199">
        <f t="shared" si="1615"/>
        <v>46155</v>
      </c>
      <c r="AO3432" s="159" t="s">
        <v>692</v>
      </c>
      <c r="AP3432" s="781"/>
      <c r="AQ3432" s="782">
        <v>12071839</v>
      </c>
      <c r="AR3432" s="782">
        <v>12080260</v>
      </c>
      <c r="AS3432" s="782">
        <v>12080259</v>
      </c>
      <c r="AT3432" s="782"/>
      <c r="AU3432" s="781"/>
      <c r="AV3432" s="782">
        <v>12098845</v>
      </c>
      <c r="AW3432" s="781"/>
      <c r="AX3432" s="781"/>
      <c r="AY3432" s="783" t="s">
        <v>2988</v>
      </c>
      <c r="AZ3432" s="796" t="s">
        <v>2989</v>
      </c>
      <c r="BA3432" s="783" t="s">
        <v>2990</v>
      </c>
      <c r="BB3432" s="209">
        <v>23099860</v>
      </c>
    </row>
    <row r="3433" spans="1:54" ht="25" customHeight="1">
      <c r="B3433" s="743">
        <v>46155</v>
      </c>
      <c r="C3433" s="744">
        <v>46182</v>
      </c>
      <c r="D3433" s="746">
        <f t="shared" si="1631"/>
        <v>2026</v>
      </c>
      <c r="E3433" s="744" t="e">
        <f>VLOOKUP($B3433,Week!$A$1:$C$1462,2,0)</f>
        <v>#N/A</v>
      </c>
      <c r="F3433" s="745" t="str">
        <f t="shared" si="1632"/>
        <v>May</v>
      </c>
      <c r="G3433" s="746" t="s">
        <v>2941</v>
      </c>
      <c r="H3433" s="746" t="s">
        <v>600</v>
      </c>
      <c r="I3433" s="746" t="s">
        <v>2772</v>
      </c>
      <c r="J3433" s="747" t="s">
        <v>708</v>
      </c>
      <c r="K3433" s="748" t="s">
        <v>1652</v>
      </c>
      <c r="L3433" s="748" t="s">
        <v>2167</v>
      </c>
      <c r="M3433" s="747" t="s">
        <v>2928</v>
      </c>
      <c r="N3433" s="915" t="s">
        <v>2922</v>
      </c>
      <c r="O3433" s="746" t="s">
        <v>2917</v>
      </c>
      <c r="P3433" s="749">
        <v>12</v>
      </c>
      <c r="Q3433" s="749">
        <v>3</v>
      </c>
      <c r="R3433" s="849">
        <v>6.1999999999999998E-3</v>
      </c>
      <c r="S3433" s="746" t="s">
        <v>55</v>
      </c>
      <c r="T3433" s="746" t="s">
        <v>112</v>
      </c>
      <c r="U3433" s="860" t="s">
        <v>724</v>
      </c>
      <c r="V3433" s="750">
        <f>2660</f>
        <v>2660</v>
      </c>
      <c r="W3433" s="750"/>
      <c r="X3433" s="751">
        <f>2660</f>
        <v>2660</v>
      </c>
      <c r="Y3433" s="752">
        <f t="shared" si="1624"/>
        <v>0</v>
      </c>
      <c r="Z3433" s="753">
        <f t="shared" si="1625"/>
        <v>0</v>
      </c>
      <c r="AA3433" s="753">
        <f t="shared" si="1613"/>
        <v>0</v>
      </c>
      <c r="AB3433" s="838">
        <v>5.8823E-2</v>
      </c>
      <c r="AC3433" s="750">
        <f t="shared" si="1626"/>
        <v>0</v>
      </c>
      <c r="AD3433" s="443" t="s">
        <v>2779</v>
      </c>
      <c r="AE3433" s="210">
        <f t="shared" si="1627"/>
        <v>0</v>
      </c>
      <c r="AF3433" s="210">
        <f t="shared" si="1628"/>
        <v>0</v>
      </c>
      <c r="AG3433" s="211">
        <f t="shared" si="1629"/>
        <v>0.24</v>
      </c>
      <c r="AH3433" s="157">
        <v>0.26621999999999996</v>
      </c>
      <c r="AI3433" s="152">
        <f t="shared" si="1630"/>
        <v>31920</v>
      </c>
      <c r="AK3433" s="156" t="s">
        <v>691</v>
      </c>
      <c r="AL3433" s="574" t="s">
        <v>690</v>
      </c>
      <c r="AM3433" s="198">
        <f t="shared" si="1614"/>
        <v>0</v>
      </c>
      <c r="AN3433" s="199">
        <f t="shared" si="1615"/>
        <v>46155</v>
      </c>
      <c r="AO3433" s="159" t="s">
        <v>692</v>
      </c>
      <c r="AP3433" s="781"/>
      <c r="AQ3433" s="782">
        <v>12071839</v>
      </c>
      <c r="AR3433" s="782">
        <v>12095778</v>
      </c>
      <c r="AS3433" s="782">
        <v>12095777</v>
      </c>
      <c r="AT3433" s="798" t="s">
        <v>3018</v>
      </c>
      <c r="AU3433" s="781"/>
      <c r="AV3433" s="782">
        <v>12098859</v>
      </c>
      <c r="AW3433" s="781"/>
      <c r="AX3433" s="781"/>
      <c r="AY3433" s="781"/>
      <c r="AZ3433" s="782"/>
      <c r="BA3433" s="781"/>
      <c r="BB3433" s="209">
        <v>23099860</v>
      </c>
    </row>
    <row r="3434" spans="1:54" ht="25" customHeight="1">
      <c r="B3434" s="743">
        <v>46155</v>
      </c>
      <c r="C3434" s="744">
        <v>46189</v>
      </c>
      <c r="D3434" s="746">
        <f t="shared" si="1631"/>
        <v>2026</v>
      </c>
      <c r="E3434" s="744" t="e">
        <f>VLOOKUP($B3434,Week!$A$1:$C$1462,2,0)</f>
        <v>#N/A</v>
      </c>
      <c r="F3434" s="745" t="str">
        <f t="shared" si="1632"/>
        <v>May</v>
      </c>
      <c r="G3434" s="746" t="s">
        <v>2968</v>
      </c>
      <c r="H3434" s="746" t="s">
        <v>600</v>
      </c>
      <c r="I3434" s="746" t="s">
        <v>2772</v>
      </c>
      <c r="J3434" s="747" t="s">
        <v>708</v>
      </c>
      <c r="K3434" s="748" t="s">
        <v>1652</v>
      </c>
      <c r="L3434" s="748" t="s">
        <v>2167</v>
      </c>
      <c r="M3434" s="747" t="s">
        <v>2928</v>
      </c>
      <c r="N3434" s="915" t="s">
        <v>2922</v>
      </c>
      <c r="O3434" s="746" t="s">
        <v>2917</v>
      </c>
      <c r="P3434" s="749">
        <v>12</v>
      </c>
      <c r="Q3434" s="749">
        <v>3</v>
      </c>
      <c r="R3434" s="849">
        <v>6.1999999999999998E-3</v>
      </c>
      <c r="S3434" s="746" t="s">
        <v>55</v>
      </c>
      <c r="T3434" s="746" t="s">
        <v>112</v>
      </c>
      <c r="U3434" s="860" t="s">
        <v>724</v>
      </c>
      <c r="V3434" s="750">
        <f>2660</f>
        <v>2660</v>
      </c>
      <c r="W3434" s="750"/>
      <c r="X3434" s="751">
        <f>2660</f>
        <v>2660</v>
      </c>
      <c r="Y3434" s="752">
        <f t="shared" si="1624"/>
        <v>0</v>
      </c>
      <c r="Z3434" s="753">
        <f t="shared" si="1625"/>
        <v>0</v>
      </c>
      <c r="AA3434" s="753">
        <f t="shared" si="1613"/>
        <v>0</v>
      </c>
      <c r="AB3434" s="838">
        <v>5.8823E-2</v>
      </c>
      <c r="AC3434" s="750">
        <f t="shared" si="1626"/>
        <v>0</v>
      </c>
      <c r="AD3434" s="443" t="s">
        <v>2779</v>
      </c>
      <c r="AE3434" s="210">
        <f t="shared" si="1627"/>
        <v>0</v>
      </c>
      <c r="AF3434" s="210">
        <f t="shared" si="1628"/>
        <v>0</v>
      </c>
      <c r="AG3434" s="211">
        <f t="shared" si="1629"/>
        <v>0.24</v>
      </c>
      <c r="AH3434" s="157">
        <v>0.26621999999999996</v>
      </c>
      <c r="AI3434" s="152">
        <f t="shared" si="1630"/>
        <v>31920</v>
      </c>
      <c r="AK3434" s="156" t="s">
        <v>691</v>
      </c>
      <c r="AL3434" s="574" t="s">
        <v>690</v>
      </c>
      <c r="AM3434" s="198">
        <f t="shared" si="1614"/>
        <v>0</v>
      </c>
      <c r="AN3434" s="199">
        <f t="shared" si="1615"/>
        <v>46155</v>
      </c>
      <c r="AO3434" s="159" t="s">
        <v>692</v>
      </c>
      <c r="AP3434" s="781"/>
      <c r="AQ3434" s="782">
        <v>12071839</v>
      </c>
      <c r="AR3434" s="782">
        <v>12095778</v>
      </c>
      <c r="AS3434" s="782">
        <v>12095777</v>
      </c>
      <c r="AT3434" s="798" t="s">
        <v>3018</v>
      </c>
      <c r="AU3434" s="781"/>
      <c r="AV3434" s="782">
        <v>12098859</v>
      </c>
      <c r="AW3434" s="781"/>
      <c r="AX3434" s="781"/>
      <c r="AY3434" s="781"/>
      <c r="AZ3434" s="782"/>
      <c r="BA3434" s="781"/>
      <c r="BB3434" s="209">
        <v>23099860</v>
      </c>
    </row>
    <row r="3435" spans="1:54" ht="24.75" customHeight="1">
      <c r="B3435" s="295">
        <v>46156</v>
      </c>
      <c r="C3435" s="771" t="s">
        <v>2849</v>
      </c>
      <c r="D3435" s="185">
        <f t="shared" si="1631"/>
        <v>2026</v>
      </c>
      <c r="E3435" s="296" t="e">
        <f>VLOOKUP($B3435,Week!$A$1:$C$1462,2,0)</f>
        <v>#N/A</v>
      </c>
      <c r="F3435" s="297" t="str">
        <f t="shared" si="1632"/>
        <v>May</v>
      </c>
      <c r="G3435" s="648" t="s">
        <v>47</v>
      </c>
      <c r="H3435" s="298" t="s">
        <v>260</v>
      </c>
      <c r="I3435" s="298" t="s">
        <v>2702</v>
      </c>
      <c r="J3435" s="307" t="s">
        <v>2240</v>
      </c>
      <c r="K3435" s="300" t="s">
        <v>176</v>
      </c>
      <c r="L3435" s="300" t="s">
        <v>2167</v>
      </c>
      <c r="M3435" s="299" t="s">
        <v>2338</v>
      </c>
      <c r="N3435" s="298" t="s">
        <v>350</v>
      </c>
      <c r="O3435" s="298" t="s">
        <v>351</v>
      </c>
      <c r="P3435" s="301">
        <v>24</v>
      </c>
      <c r="Q3435" s="301">
        <v>5</v>
      </c>
      <c r="R3435" s="302">
        <v>6.1999999999999998E-3</v>
      </c>
      <c r="S3435" s="298" t="s">
        <v>352</v>
      </c>
      <c r="T3435" s="298" t="s">
        <v>56</v>
      </c>
      <c r="U3435" s="298" t="s">
        <v>57</v>
      </c>
      <c r="V3435" s="303">
        <f>3858</f>
        <v>3858</v>
      </c>
      <c r="W3435" s="303">
        <f>3858</f>
        <v>3858</v>
      </c>
      <c r="X3435" s="304"/>
      <c r="Y3435" s="305">
        <f t="shared" si="1624"/>
        <v>0</v>
      </c>
      <c r="Z3435" s="306">
        <f t="shared" si="1625"/>
        <v>0</v>
      </c>
      <c r="AA3435" s="306">
        <f t="shared" si="1613"/>
        <v>0</v>
      </c>
      <c r="AB3435" s="814">
        <v>7.4999999999999997E-3</v>
      </c>
      <c r="AC3435" s="303">
        <f t="shared" si="1626"/>
        <v>0</v>
      </c>
      <c r="AD3435" s="443"/>
      <c r="AE3435" s="210">
        <f t="shared" si="1627"/>
        <v>0</v>
      </c>
      <c r="AF3435" s="210">
        <f t="shared" si="1628"/>
        <v>0</v>
      </c>
      <c r="AG3435" s="211">
        <f t="shared" si="1629"/>
        <v>0.13</v>
      </c>
      <c r="AH3435" s="157">
        <f t="shared" ref="AH3435:AH3442" si="1633">(Z3435*AG3435)/1000</f>
        <v>0</v>
      </c>
      <c r="AI3435" s="152">
        <f t="shared" si="1630"/>
        <v>92592</v>
      </c>
      <c r="AK3435" s="156" t="s">
        <v>691</v>
      </c>
      <c r="AL3435" s="574" t="s">
        <v>690</v>
      </c>
      <c r="AM3435" s="198">
        <f t="shared" si="1614"/>
        <v>0</v>
      </c>
      <c r="AN3435" s="199">
        <f t="shared" si="1615"/>
        <v>46156</v>
      </c>
      <c r="AO3435" s="159" t="s">
        <v>692</v>
      </c>
      <c r="AP3435" s="783" t="s">
        <v>622</v>
      </c>
      <c r="AQ3435" s="782">
        <v>12071839</v>
      </c>
      <c r="AR3435" s="782">
        <v>12094356</v>
      </c>
      <c r="AS3435" s="782">
        <v>12068233</v>
      </c>
      <c r="AT3435" s="781"/>
      <c r="AU3435" s="781"/>
      <c r="AV3435" s="782">
        <v>12062075</v>
      </c>
      <c r="AW3435" s="781"/>
      <c r="AX3435" s="781"/>
      <c r="AY3435" s="782">
        <v>12094357</v>
      </c>
      <c r="AZ3435" s="782"/>
      <c r="BA3435" s="781"/>
      <c r="BB3435" s="209">
        <v>23053184</v>
      </c>
    </row>
    <row r="3436" spans="1:54" ht="25" customHeight="1">
      <c r="A3436" s="529" t="s">
        <v>1937</v>
      </c>
      <c r="B3436" s="357">
        <v>46156</v>
      </c>
      <c r="C3436" s="776" t="s">
        <v>2849</v>
      </c>
      <c r="D3436" s="185">
        <f t="shared" si="1631"/>
        <v>2026</v>
      </c>
      <c r="E3436" s="358" t="e">
        <f>VLOOKUP($B3436,Week!$A$1:$C$1462,2,0)</f>
        <v>#N/A</v>
      </c>
      <c r="F3436" s="360" t="str">
        <f t="shared" si="1632"/>
        <v>May</v>
      </c>
      <c r="G3436" s="359" t="s">
        <v>47</v>
      </c>
      <c r="H3436" s="359" t="s">
        <v>518</v>
      </c>
      <c r="I3436" s="359" t="s">
        <v>2702</v>
      </c>
      <c r="J3436" s="361" t="s">
        <v>70</v>
      </c>
      <c r="K3436" s="362" t="s">
        <v>94</v>
      </c>
      <c r="L3436" s="362" t="s">
        <v>2167</v>
      </c>
      <c r="M3436" s="361" t="s">
        <v>2341</v>
      </c>
      <c r="N3436" s="436" t="s">
        <v>648</v>
      </c>
      <c r="O3436" s="359" t="s">
        <v>97</v>
      </c>
      <c r="P3436" s="363">
        <v>12</v>
      </c>
      <c r="Q3436" s="363">
        <v>5</v>
      </c>
      <c r="R3436" s="364">
        <v>8.0000000000000002E-3</v>
      </c>
      <c r="S3436" s="359" t="s">
        <v>40</v>
      </c>
      <c r="T3436" s="359" t="s">
        <v>56</v>
      </c>
      <c r="U3436" s="359" t="s">
        <v>57</v>
      </c>
      <c r="V3436" s="365">
        <v>12</v>
      </c>
      <c r="W3436" s="365">
        <v>12</v>
      </c>
      <c r="X3436" s="366"/>
      <c r="Y3436" s="367">
        <f t="shared" si="1624"/>
        <v>0</v>
      </c>
      <c r="Z3436" s="368">
        <f t="shared" si="1625"/>
        <v>0</v>
      </c>
      <c r="AA3436" s="368">
        <f t="shared" si="1613"/>
        <v>0</v>
      </c>
      <c r="AB3436" s="819">
        <v>7.4999999999999997E-3</v>
      </c>
      <c r="AC3436" s="365">
        <f t="shared" si="1626"/>
        <v>0</v>
      </c>
      <c r="AD3436" s="209"/>
      <c r="AE3436" s="210">
        <f t="shared" si="1627"/>
        <v>0</v>
      </c>
      <c r="AF3436" s="210">
        <f t="shared" si="1628"/>
        <v>0</v>
      </c>
      <c r="AG3436" s="211">
        <f t="shared" si="1629"/>
        <v>0.14499999999999999</v>
      </c>
      <c r="AH3436" s="157">
        <f t="shared" si="1633"/>
        <v>0</v>
      </c>
      <c r="AI3436" s="152">
        <f t="shared" si="1630"/>
        <v>144</v>
      </c>
      <c r="AK3436" s="156" t="s">
        <v>691</v>
      </c>
      <c r="AL3436" s="574" t="s">
        <v>690</v>
      </c>
      <c r="AM3436" s="198">
        <f t="shared" si="1614"/>
        <v>0</v>
      </c>
      <c r="AN3436" s="199">
        <f t="shared" si="1615"/>
        <v>46156</v>
      </c>
      <c r="AO3436" s="159" t="s">
        <v>692</v>
      </c>
      <c r="AP3436" s="783" t="s">
        <v>628</v>
      </c>
      <c r="AQ3436" s="782">
        <v>12071839</v>
      </c>
      <c r="AR3436" s="782">
        <v>12047514</v>
      </c>
      <c r="AS3436" s="782">
        <v>12047515</v>
      </c>
      <c r="AT3436" s="782"/>
      <c r="AU3436" s="781"/>
      <c r="AV3436" s="782">
        <v>12080617</v>
      </c>
      <c r="AW3436" s="782"/>
      <c r="AX3436" s="782"/>
      <c r="AY3436" s="782">
        <v>12094231</v>
      </c>
      <c r="AZ3436" s="782">
        <v>1209232</v>
      </c>
      <c r="BA3436" s="781"/>
      <c r="BB3436" s="209"/>
    </row>
    <row r="3437" spans="1:54" ht="25" customHeight="1">
      <c r="B3437" s="357">
        <v>46156</v>
      </c>
      <c r="C3437" s="776" t="s">
        <v>2849</v>
      </c>
      <c r="D3437" s="185">
        <f t="shared" si="1631"/>
        <v>2026</v>
      </c>
      <c r="E3437" s="358" t="e">
        <f>VLOOKUP($B3437,Week!$A$1:$C$1462,2,0)</f>
        <v>#N/A</v>
      </c>
      <c r="F3437" s="360" t="str">
        <f t="shared" si="1632"/>
        <v>May</v>
      </c>
      <c r="G3437" s="359" t="s">
        <v>47</v>
      </c>
      <c r="H3437" s="359" t="s">
        <v>518</v>
      </c>
      <c r="I3437" s="359" t="s">
        <v>2702</v>
      </c>
      <c r="J3437" s="361" t="s">
        <v>70</v>
      </c>
      <c r="K3437" s="362" t="s">
        <v>94</v>
      </c>
      <c r="L3437" s="300" t="s">
        <v>2167</v>
      </c>
      <c r="M3437" s="361" t="s">
        <v>2341</v>
      </c>
      <c r="N3437" s="359" t="s">
        <v>589</v>
      </c>
      <c r="O3437" s="359" t="s">
        <v>97</v>
      </c>
      <c r="P3437" s="363">
        <v>12</v>
      </c>
      <c r="Q3437" s="363">
        <v>5</v>
      </c>
      <c r="R3437" s="364">
        <v>8.0000000000000002E-3</v>
      </c>
      <c r="S3437" s="359" t="s">
        <v>40</v>
      </c>
      <c r="T3437" s="359" t="s">
        <v>56</v>
      </c>
      <c r="U3437" s="359" t="s">
        <v>57</v>
      </c>
      <c r="V3437" s="365">
        <f>2500+600</f>
        <v>3100</v>
      </c>
      <c r="W3437" s="365">
        <f>2505-2453+46+3002</f>
        <v>3100</v>
      </c>
      <c r="X3437" s="366"/>
      <c r="Y3437" s="367">
        <f t="shared" si="1624"/>
        <v>0</v>
      </c>
      <c r="Z3437" s="368">
        <f t="shared" si="1625"/>
        <v>0</v>
      </c>
      <c r="AA3437" s="368">
        <f t="shared" si="1613"/>
        <v>0</v>
      </c>
      <c r="AB3437" s="819">
        <v>7.4999999999999997E-3</v>
      </c>
      <c r="AC3437" s="365">
        <f t="shared" si="1626"/>
        <v>0</v>
      </c>
      <c r="AD3437" s="209"/>
      <c r="AE3437" s="210">
        <f t="shared" si="1627"/>
        <v>0</v>
      </c>
      <c r="AF3437" s="210">
        <f t="shared" si="1628"/>
        <v>0</v>
      </c>
      <c r="AG3437" s="211">
        <f t="shared" si="1629"/>
        <v>0.14499999999999999</v>
      </c>
      <c r="AH3437" s="157">
        <f t="shared" si="1633"/>
        <v>0</v>
      </c>
      <c r="AI3437" s="152">
        <f t="shared" si="1630"/>
        <v>37200</v>
      </c>
      <c r="AK3437" s="156" t="s">
        <v>691</v>
      </c>
      <c r="AL3437" s="574" t="s">
        <v>690</v>
      </c>
      <c r="AM3437" s="198">
        <f t="shared" si="1614"/>
        <v>0</v>
      </c>
      <c r="AN3437" s="199">
        <f t="shared" si="1615"/>
        <v>46156</v>
      </c>
      <c r="AO3437" s="159" t="s">
        <v>692</v>
      </c>
      <c r="AP3437" s="783" t="s">
        <v>628</v>
      </c>
      <c r="AQ3437" s="782">
        <v>12071839</v>
      </c>
      <c r="AR3437" s="782">
        <v>12047514</v>
      </c>
      <c r="AS3437" s="782">
        <v>12047515</v>
      </c>
      <c r="AT3437" s="782"/>
      <c r="AU3437" s="781"/>
      <c r="AV3437" s="782">
        <v>12080617</v>
      </c>
      <c r="AW3437" s="782"/>
      <c r="AX3437" s="782"/>
      <c r="AY3437" s="782">
        <v>12094231</v>
      </c>
      <c r="AZ3437" s="782">
        <v>1209232</v>
      </c>
      <c r="BA3437" s="781"/>
      <c r="BB3437" s="209">
        <v>23053185</v>
      </c>
    </row>
    <row r="3438" spans="1:54" ht="25" customHeight="1">
      <c r="B3438" s="320">
        <v>46157</v>
      </c>
      <c r="C3438" s="844" t="s">
        <v>2849</v>
      </c>
      <c r="D3438" s="185">
        <f t="shared" si="1631"/>
        <v>2026</v>
      </c>
      <c r="E3438" s="321" t="e">
        <f>VLOOKUP($B3438,Week!$A$1:$C$1462,2,0)</f>
        <v>#N/A</v>
      </c>
      <c r="F3438" s="322" t="str">
        <f t="shared" si="1632"/>
        <v>May</v>
      </c>
      <c r="G3438" s="323" t="s">
        <v>47</v>
      </c>
      <c r="H3438" s="323" t="s">
        <v>518</v>
      </c>
      <c r="I3438" s="323" t="s">
        <v>2702</v>
      </c>
      <c r="J3438" s="324" t="s">
        <v>70</v>
      </c>
      <c r="K3438" s="325" t="s">
        <v>564</v>
      </c>
      <c r="L3438" s="300" t="s">
        <v>2167</v>
      </c>
      <c r="M3438" s="324" t="s">
        <v>2343</v>
      </c>
      <c r="N3438" s="323" t="s">
        <v>559</v>
      </c>
      <c r="O3438" s="323" t="s">
        <v>560</v>
      </c>
      <c r="P3438" s="326">
        <v>12</v>
      </c>
      <c r="Q3438" s="326">
        <v>3</v>
      </c>
      <c r="R3438" s="327">
        <v>8.0000000000000002E-3</v>
      </c>
      <c r="S3438" s="323" t="s">
        <v>40</v>
      </c>
      <c r="T3438" s="323" t="s">
        <v>56</v>
      </c>
      <c r="U3438" s="323" t="s">
        <v>57</v>
      </c>
      <c r="V3438" s="397">
        <f>500</f>
        <v>500</v>
      </c>
      <c r="W3438" s="328">
        <f>15+4+481</f>
        <v>500</v>
      </c>
      <c r="X3438" s="329"/>
      <c r="Y3438" s="330">
        <f t="shared" si="1624"/>
        <v>0</v>
      </c>
      <c r="Z3438" s="331">
        <f t="shared" si="1625"/>
        <v>0</v>
      </c>
      <c r="AA3438" s="331">
        <f t="shared" si="1613"/>
        <v>0</v>
      </c>
      <c r="AB3438" s="816">
        <v>7.4999999999999997E-3</v>
      </c>
      <c r="AC3438" s="328">
        <f t="shared" si="1626"/>
        <v>0</v>
      </c>
      <c r="AD3438" s="209"/>
      <c r="AE3438" s="210">
        <f t="shared" si="1627"/>
        <v>0</v>
      </c>
      <c r="AF3438" s="210">
        <f t="shared" si="1628"/>
        <v>0</v>
      </c>
      <c r="AG3438" s="211">
        <f t="shared" si="1629"/>
        <v>0.22600000000000001</v>
      </c>
      <c r="AH3438" s="157">
        <f t="shared" si="1633"/>
        <v>0</v>
      </c>
      <c r="AI3438" s="152">
        <f t="shared" si="1630"/>
        <v>6000</v>
      </c>
      <c r="AK3438" s="156" t="s">
        <v>691</v>
      </c>
      <c r="AL3438" s="212" t="s">
        <v>690</v>
      </c>
      <c r="AM3438" s="198">
        <f t="shared" si="1614"/>
        <v>0</v>
      </c>
      <c r="AN3438" s="199">
        <f t="shared" si="1615"/>
        <v>46157</v>
      </c>
      <c r="AO3438" s="159" t="s">
        <v>692</v>
      </c>
      <c r="AP3438" s="783" t="s">
        <v>623</v>
      </c>
      <c r="AQ3438" s="782">
        <v>12071839</v>
      </c>
      <c r="AR3438" s="782">
        <v>12042650</v>
      </c>
      <c r="AS3438" s="782">
        <v>12042649</v>
      </c>
      <c r="AT3438" s="782"/>
      <c r="AU3438" s="781"/>
      <c r="AV3438" s="782">
        <v>12083156</v>
      </c>
      <c r="AW3438" s="782"/>
      <c r="AX3438" s="782"/>
      <c r="AY3438" s="782">
        <v>12094235</v>
      </c>
      <c r="AZ3438" s="782">
        <v>12094236</v>
      </c>
      <c r="BA3438" s="781"/>
      <c r="BB3438" s="209">
        <v>23053185</v>
      </c>
    </row>
    <row r="3439" spans="1:54" ht="24.65" customHeight="1">
      <c r="B3439" s="411">
        <v>46157</v>
      </c>
      <c r="C3439" s="645" t="s">
        <v>2849</v>
      </c>
      <c r="D3439" s="185">
        <f t="shared" si="1631"/>
        <v>2026</v>
      </c>
      <c r="E3439" s="412" t="e">
        <f>VLOOKUP($B3439,Week!$A$1:$C$1462,2,0)</f>
        <v>#N/A</v>
      </c>
      <c r="F3439" s="413" t="str">
        <f t="shared" si="1632"/>
        <v>May</v>
      </c>
      <c r="G3439" s="414" t="s">
        <v>47</v>
      </c>
      <c r="H3439" s="414" t="s">
        <v>260</v>
      </c>
      <c r="I3439" s="414" t="s">
        <v>2702</v>
      </c>
      <c r="J3439" s="415" t="s">
        <v>261</v>
      </c>
      <c r="K3439" s="416" t="s">
        <v>94</v>
      </c>
      <c r="L3439" s="300" t="s">
        <v>2167</v>
      </c>
      <c r="M3439" s="415" t="s">
        <v>2339</v>
      </c>
      <c r="N3439" s="414" t="s">
        <v>263</v>
      </c>
      <c r="O3439" s="414" t="s">
        <v>195</v>
      </c>
      <c r="P3439" s="417">
        <v>24</v>
      </c>
      <c r="Q3439" s="417">
        <v>5</v>
      </c>
      <c r="R3439" s="418">
        <v>8.0000000000000002E-3</v>
      </c>
      <c r="S3439" s="414" t="s">
        <v>40</v>
      </c>
      <c r="T3439" s="414" t="s">
        <v>56</v>
      </c>
      <c r="U3439" s="414" t="s">
        <v>57</v>
      </c>
      <c r="V3439" s="419">
        <f>5100</f>
        <v>5100</v>
      </c>
      <c r="W3439" s="419">
        <f>5096</f>
        <v>5096</v>
      </c>
      <c r="X3439" s="420">
        <f>(104)/24</f>
        <v>4.333333333333333</v>
      </c>
      <c r="Y3439" s="421">
        <f t="shared" si="1624"/>
        <v>0.33333333333303017</v>
      </c>
      <c r="Z3439" s="422">
        <f t="shared" si="1625"/>
        <v>0</v>
      </c>
      <c r="AA3439" s="422">
        <f t="shared" si="1613"/>
        <v>0</v>
      </c>
      <c r="AB3439" s="825">
        <v>7.4999999999999997E-3</v>
      </c>
      <c r="AC3439" s="419">
        <f t="shared" si="1626"/>
        <v>0</v>
      </c>
      <c r="AD3439" s="209" t="s">
        <v>2698</v>
      </c>
      <c r="AE3439" s="210">
        <f t="shared" si="1627"/>
        <v>0</v>
      </c>
      <c r="AF3439" s="210">
        <f t="shared" si="1628"/>
        <v>0</v>
      </c>
      <c r="AG3439" s="211">
        <f t="shared" si="1629"/>
        <v>0.14499999999999999</v>
      </c>
      <c r="AH3439" s="157">
        <f t="shared" si="1633"/>
        <v>0</v>
      </c>
      <c r="AI3439" s="152">
        <f t="shared" si="1630"/>
        <v>122400</v>
      </c>
      <c r="AK3439" s="156" t="s">
        <v>691</v>
      </c>
      <c r="AL3439" s="212" t="s">
        <v>690</v>
      </c>
      <c r="AM3439" s="198">
        <f t="shared" si="1614"/>
        <v>0</v>
      </c>
      <c r="AN3439" s="199">
        <f t="shared" si="1615"/>
        <v>46157</v>
      </c>
      <c r="AO3439" s="159" t="s">
        <v>692</v>
      </c>
      <c r="AP3439" s="783" t="s">
        <v>609</v>
      </c>
      <c r="AQ3439" s="782">
        <v>12071839</v>
      </c>
      <c r="AR3439" s="782">
        <v>12047514</v>
      </c>
      <c r="AS3439" s="782">
        <v>12047515</v>
      </c>
      <c r="AT3439" s="781"/>
      <c r="AU3439" s="781"/>
      <c r="AV3439" s="782">
        <v>12080613</v>
      </c>
      <c r="AW3439" s="781"/>
      <c r="AX3439" s="781"/>
      <c r="AY3439" s="782">
        <v>12094241</v>
      </c>
      <c r="AZ3439" s="782">
        <v>12094242</v>
      </c>
      <c r="BA3439" s="781"/>
      <c r="BB3439" s="209">
        <v>23053185</v>
      </c>
    </row>
    <row r="3440" spans="1:54" ht="25" customHeight="1">
      <c r="B3440" s="332">
        <v>46158</v>
      </c>
      <c r="C3440" s="333">
        <v>46168</v>
      </c>
      <c r="D3440" s="185">
        <f t="shared" si="1631"/>
        <v>2026</v>
      </c>
      <c r="E3440" s="333" t="e">
        <f>VLOOKUP($B3440,Week!$A$1:$C$1462,2,0)</f>
        <v>#N/A</v>
      </c>
      <c r="F3440" s="334" t="str">
        <f t="shared" si="1632"/>
        <v>May</v>
      </c>
      <c r="G3440" s="335" t="s">
        <v>2937</v>
      </c>
      <c r="H3440" s="335" t="s">
        <v>600</v>
      </c>
      <c r="I3440" s="335" t="s">
        <v>2772</v>
      </c>
      <c r="J3440" s="336" t="s">
        <v>708</v>
      </c>
      <c r="K3440" s="337" t="s">
        <v>2929</v>
      </c>
      <c r="L3440" s="300" t="s">
        <v>2167</v>
      </c>
      <c r="M3440" s="336" t="s">
        <v>2924</v>
      </c>
      <c r="N3440" s="335" t="s">
        <v>2918</v>
      </c>
      <c r="O3440" s="335" t="s">
        <v>2916</v>
      </c>
      <c r="P3440" s="338">
        <v>12</v>
      </c>
      <c r="Q3440" s="338">
        <v>1</v>
      </c>
      <c r="R3440" s="339">
        <v>6.1999999999999998E-3</v>
      </c>
      <c r="S3440" s="335" t="s">
        <v>55</v>
      </c>
      <c r="T3440" s="335" t="s">
        <v>112</v>
      </c>
      <c r="U3440" s="340" t="s">
        <v>1893</v>
      </c>
      <c r="V3440" s="341">
        <v>4080</v>
      </c>
      <c r="W3440" s="341">
        <f>4050</f>
        <v>4050</v>
      </c>
      <c r="X3440" s="342">
        <f>(469)/12</f>
        <v>39.083333333333336</v>
      </c>
      <c r="Y3440" s="343">
        <f t="shared" si="1624"/>
        <v>9.0833333333334849</v>
      </c>
      <c r="Z3440" s="344">
        <f t="shared" si="1625"/>
        <v>0</v>
      </c>
      <c r="AA3440" s="344">
        <f t="shared" si="1613"/>
        <v>0</v>
      </c>
      <c r="AB3440" s="817">
        <v>3.85E-2</v>
      </c>
      <c r="AC3440" s="341">
        <f t="shared" si="1626"/>
        <v>0</v>
      </c>
      <c r="AD3440" s="443" t="s">
        <v>2779</v>
      </c>
      <c r="AE3440" s="210">
        <f t="shared" si="1627"/>
        <v>0</v>
      </c>
      <c r="AF3440" s="210">
        <f t="shared" si="1628"/>
        <v>0</v>
      </c>
      <c r="AG3440" s="211">
        <f t="shared" si="1629"/>
        <v>0.13</v>
      </c>
      <c r="AH3440" s="157">
        <f t="shared" si="1633"/>
        <v>0</v>
      </c>
      <c r="AI3440" s="152">
        <f t="shared" si="1630"/>
        <v>48960</v>
      </c>
      <c r="AK3440" s="156" t="s">
        <v>691</v>
      </c>
      <c r="AL3440" s="574" t="s">
        <v>690</v>
      </c>
      <c r="AM3440" s="198">
        <f t="shared" si="1614"/>
        <v>0</v>
      </c>
      <c r="AN3440" s="199">
        <f t="shared" si="1615"/>
        <v>46158</v>
      </c>
      <c r="AO3440" s="159" t="s">
        <v>692</v>
      </c>
      <c r="AP3440" s="783"/>
      <c r="AQ3440" s="782">
        <v>12071839</v>
      </c>
      <c r="AR3440" s="782">
        <v>12080260</v>
      </c>
      <c r="AS3440" s="782">
        <v>12080259</v>
      </c>
      <c r="AT3440" s="782"/>
      <c r="AU3440" s="781"/>
      <c r="AV3440" s="782">
        <v>12098849</v>
      </c>
      <c r="AW3440" s="781"/>
      <c r="AX3440" s="781"/>
      <c r="AY3440" s="782">
        <v>12098846</v>
      </c>
      <c r="AZ3440" s="783" t="s">
        <v>2991</v>
      </c>
      <c r="BA3440" s="783" t="s">
        <v>2992</v>
      </c>
      <c r="BB3440" s="209">
        <v>23053185</v>
      </c>
    </row>
    <row r="3441" spans="1:54" ht="25" customHeight="1">
      <c r="B3441" s="332">
        <v>46158</v>
      </c>
      <c r="C3441" s="333">
        <v>46182</v>
      </c>
      <c r="D3441" s="185">
        <f t="shared" si="1631"/>
        <v>2026</v>
      </c>
      <c r="E3441" s="333" t="e">
        <f>VLOOKUP($B3441,Week!$A$1:$C$1462,2,0)</f>
        <v>#N/A</v>
      </c>
      <c r="F3441" s="334" t="str">
        <f t="shared" si="1632"/>
        <v>May</v>
      </c>
      <c r="G3441" s="335" t="s">
        <v>2940</v>
      </c>
      <c r="H3441" s="335" t="s">
        <v>600</v>
      </c>
      <c r="I3441" s="335" t="s">
        <v>2772</v>
      </c>
      <c r="J3441" s="336" t="s">
        <v>708</v>
      </c>
      <c r="K3441" s="337" t="s">
        <v>1649</v>
      </c>
      <c r="L3441" s="300" t="s">
        <v>2167</v>
      </c>
      <c r="M3441" s="336" t="s">
        <v>2927</v>
      </c>
      <c r="N3441" s="335" t="s">
        <v>2921</v>
      </c>
      <c r="O3441" s="335" t="s">
        <v>2917</v>
      </c>
      <c r="P3441" s="338">
        <v>12</v>
      </c>
      <c r="Q3441" s="338">
        <v>3</v>
      </c>
      <c r="R3441" s="339">
        <v>6.1999999999999998E-3</v>
      </c>
      <c r="S3441" s="335" t="s">
        <v>55</v>
      </c>
      <c r="T3441" s="335" t="s">
        <v>112</v>
      </c>
      <c r="U3441" s="340" t="s">
        <v>1893</v>
      </c>
      <c r="V3441" s="341">
        <f>2660</f>
        <v>2660</v>
      </c>
      <c r="W3441" s="341"/>
      <c r="X3441" s="342">
        <f>31920/12</f>
        <v>2660</v>
      </c>
      <c r="Y3441" s="343">
        <f t="shared" si="1624"/>
        <v>0</v>
      </c>
      <c r="Z3441" s="344">
        <f t="shared" si="1625"/>
        <v>0</v>
      </c>
      <c r="AA3441" s="344">
        <f t="shared" ref="AA3441:AA3443" si="1634">Q3441*Z3441</f>
        <v>0</v>
      </c>
      <c r="AB3441" s="817">
        <v>3.85E-2</v>
      </c>
      <c r="AC3441" s="341">
        <f t="shared" si="1626"/>
        <v>0</v>
      </c>
      <c r="AD3441" s="443" t="s">
        <v>2779</v>
      </c>
      <c r="AE3441" s="210">
        <f t="shared" si="1627"/>
        <v>0</v>
      </c>
      <c r="AF3441" s="210">
        <f t="shared" si="1628"/>
        <v>0</v>
      </c>
      <c r="AG3441" s="211">
        <f t="shared" si="1629"/>
        <v>0.24</v>
      </c>
      <c r="AH3441" s="157">
        <f t="shared" si="1633"/>
        <v>0</v>
      </c>
      <c r="AI3441" s="152">
        <f t="shared" si="1630"/>
        <v>31920</v>
      </c>
      <c r="AK3441" s="156" t="s">
        <v>691</v>
      </c>
      <c r="AL3441" s="574" t="s">
        <v>690</v>
      </c>
      <c r="AM3441" s="198">
        <f t="shared" si="1614"/>
        <v>0</v>
      </c>
      <c r="AN3441" s="199">
        <f t="shared" si="1615"/>
        <v>46158</v>
      </c>
      <c r="AO3441" s="159" t="s">
        <v>692</v>
      </c>
      <c r="AP3441" s="783"/>
      <c r="AQ3441" s="782">
        <v>12071839</v>
      </c>
      <c r="AR3441" s="782">
        <v>12095778</v>
      </c>
      <c r="AS3441" s="782">
        <v>12095777</v>
      </c>
      <c r="AT3441" s="798" t="s">
        <v>3019</v>
      </c>
      <c r="AU3441" s="781"/>
      <c r="AV3441" s="782">
        <v>12098861</v>
      </c>
      <c r="AW3441" s="781"/>
      <c r="AX3441" s="781"/>
      <c r="AY3441" s="782"/>
      <c r="AZ3441" s="781"/>
      <c r="BA3441" s="781"/>
      <c r="BB3441" s="209">
        <v>23053185</v>
      </c>
    </row>
    <row r="3442" spans="1:54" ht="25" customHeight="1">
      <c r="B3442" s="332">
        <v>46158</v>
      </c>
      <c r="C3442" s="333">
        <v>46189</v>
      </c>
      <c r="D3442" s="185">
        <f t="shared" si="1631"/>
        <v>2026</v>
      </c>
      <c r="E3442" s="333" t="e">
        <f>VLOOKUP($B3442,Week!$A$1:$C$1462,2,0)</f>
        <v>#N/A</v>
      </c>
      <c r="F3442" s="334" t="str">
        <f t="shared" si="1632"/>
        <v>May</v>
      </c>
      <c r="G3442" s="335" t="s">
        <v>2967</v>
      </c>
      <c r="H3442" s="335" t="s">
        <v>600</v>
      </c>
      <c r="I3442" s="335" t="s">
        <v>2772</v>
      </c>
      <c r="J3442" s="336" t="s">
        <v>708</v>
      </c>
      <c r="K3442" s="337" t="s">
        <v>1649</v>
      </c>
      <c r="L3442" s="300" t="s">
        <v>2167</v>
      </c>
      <c r="M3442" s="336" t="s">
        <v>2927</v>
      </c>
      <c r="N3442" s="335" t="s">
        <v>2921</v>
      </c>
      <c r="O3442" s="335" t="s">
        <v>2917</v>
      </c>
      <c r="P3442" s="338">
        <v>12</v>
      </c>
      <c r="Q3442" s="338">
        <v>3</v>
      </c>
      <c r="R3442" s="339">
        <v>6.1999999999999998E-3</v>
      </c>
      <c r="S3442" s="335" t="s">
        <v>55</v>
      </c>
      <c r="T3442" s="335" t="s">
        <v>112</v>
      </c>
      <c r="U3442" s="340" t="s">
        <v>1893</v>
      </c>
      <c r="V3442" s="341">
        <f>2660</f>
        <v>2660</v>
      </c>
      <c r="W3442" s="341"/>
      <c r="X3442" s="342">
        <f>31920/12</f>
        <v>2660</v>
      </c>
      <c r="Y3442" s="343">
        <f t="shared" si="1624"/>
        <v>0</v>
      </c>
      <c r="Z3442" s="344">
        <f t="shared" si="1625"/>
        <v>0</v>
      </c>
      <c r="AA3442" s="344">
        <f t="shared" si="1634"/>
        <v>0</v>
      </c>
      <c r="AB3442" s="817">
        <v>3.85E-2</v>
      </c>
      <c r="AC3442" s="341">
        <f t="shared" si="1626"/>
        <v>0</v>
      </c>
      <c r="AD3442" s="443" t="s">
        <v>2779</v>
      </c>
      <c r="AE3442" s="210">
        <f t="shared" si="1627"/>
        <v>0</v>
      </c>
      <c r="AF3442" s="210">
        <f t="shared" si="1628"/>
        <v>0</v>
      </c>
      <c r="AG3442" s="211">
        <f t="shared" si="1629"/>
        <v>0.24</v>
      </c>
      <c r="AH3442" s="157">
        <f t="shared" si="1633"/>
        <v>0</v>
      </c>
      <c r="AI3442" s="152">
        <f t="shared" si="1630"/>
        <v>31920</v>
      </c>
      <c r="AK3442" s="156" t="s">
        <v>691</v>
      </c>
      <c r="AL3442" s="574" t="s">
        <v>690</v>
      </c>
      <c r="AM3442" s="198">
        <f t="shared" si="1614"/>
        <v>0</v>
      </c>
      <c r="AN3442" s="199">
        <f t="shared" si="1615"/>
        <v>46158</v>
      </c>
      <c r="AO3442" s="159" t="s">
        <v>692</v>
      </c>
      <c r="AP3442" s="783"/>
      <c r="AQ3442" s="782">
        <v>12071839</v>
      </c>
      <c r="AR3442" s="782">
        <v>12095778</v>
      </c>
      <c r="AS3442" s="782">
        <v>12095777</v>
      </c>
      <c r="AT3442" s="798" t="s">
        <v>3019</v>
      </c>
      <c r="AU3442" s="781"/>
      <c r="AV3442" s="782">
        <v>12098861</v>
      </c>
      <c r="AW3442" s="781"/>
      <c r="AX3442" s="781"/>
      <c r="AY3442" s="782"/>
      <c r="AZ3442" s="781"/>
      <c r="BA3442" s="781"/>
      <c r="BB3442" s="209">
        <v>23053185</v>
      </c>
    </row>
    <row r="3443" spans="1:54" ht="25" customHeight="1">
      <c r="B3443" s="183">
        <v>46159</v>
      </c>
      <c r="C3443" s="184"/>
      <c r="D3443" s="185">
        <f t="shared" si="1631"/>
        <v>2026</v>
      </c>
      <c r="E3443" s="185" t="e">
        <f>VLOOKUP($B3443,Week!$A$1:$C$1462,2,0)</f>
        <v>#N/A</v>
      </c>
      <c r="F3443" s="186" t="str">
        <f t="shared" si="1632"/>
        <v>May</v>
      </c>
      <c r="G3443" s="481"/>
      <c r="H3443" s="185"/>
      <c r="I3443" s="185"/>
      <c r="J3443" s="187"/>
      <c r="K3443" s="188"/>
      <c r="L3443" s="188"/>
      <c r="M3443" s="187"/>
      <c r="N3443" s="185"/>
      <c r="O3443" s="185"/>
      <c r="P3443" s="189"/>
      <c r="Q3443" s="189"/>
      <c r="R3443" s="190"/>
      <c r="S3443" s="185"/>
      <c r="T3443" s="185"/>
      <c r="U3443" s="185"/>
      <c r="V3443" s="191"/>
      <c r="W3443" s="191"/>
      <c r="X3443" s="192"/>
      <c r="Y3443" s="193"/>
      <c r="Z3443" s="194"/>
      <c r="AA3443" s="194">
        <f t="shared" si="1634"/>
        <v>0</v>
      </c>
      <c r="AB3443" s="805"/>
      <c r="AC3443" s="191"/>
      <c r="AD3443" s="187"/>
      <c r="AE3443" s="195"/>
      <c r="AF3443" s="195"/>
      <c r="AG3443" s="196"/>
      <c r="AH3443" s="197"/>
      <c r="AK3443" s="156" t="s">
        <v>691</v>
      </c>
      <c r="AM3443" s="198">
        <f t="shared" si="1614"/>
        <v>0</v>
      </c>
      <c r="AN3443" s="199">
        <f t="shared" si="1615"/>
        <v>46159</v>
      </c>
      <c r="AO3443" s="159" t="s">
        <v>692</v>
      </c>
      <c r="AP3443" s="781"/>
      <c r="AQ3443" s="782"/>
      <c r="AR3443" s="782"/>
      <c r="AS3443" s="782"/>
      <c r="AT3443" s="782"/>
      <c r="AU3443" s="781"/>
      <c r="AV3443" s="782"/>
      <c r="AW3443" s="782"/>
      <c r="AX3443" s="782"/>
      <c r="AY3443" s="782"/>
      <c r="AZ3443" s="782"/>
      <c r="BA3443" s="781"/>
      <c r="BB3443" s="209"/>
    </row>
    <row r="3444" spans="1:54" ht="24.65" customHeight="1">
      <c r="A3444" s="142" t="s">
        <v>120</v>
      </c>
      <c r="B3444" s="383">
        <v>46160</v>
      </c>
      <c r="C3444" s="224">
        <v>46167</v>
      </c>
      <c r="D3444" s="185">
        <f t="shared" ref="D3444:D3456" si="1635">IF(B3444="","",YEAR(B3444))</f>
        <v>2026</v>
      </c>
      <c r="E3444" s="224" t="e">
        <f>VLOOKUP($B3444,Week!$A$1:$C$1462,2,0)</f>
        <v>#N/A</v>
      </c>
      <c r="F3444" s="226" t="str">
        <f t="shared" ref="F3444:F3456" si="1636">IF(B3444="","",TEXT(B3444,"[$-409]mmm"))</f>
        <v>May</v>
      </c>
      <c r="G3444" s="225" t="s">
        <v>3006</v>
      </c>
      <c r="H3444" s="225" t="s">
        <v>1259</v>
      </c>
      <c r="I3444" s="225" t="s">
        <v>2772</v>
      </c>
      <c r="J3444" s="227" t="s">
        <v>512</v>
      </c>
      <c r="K3444" s="228" t="s">
        <v>85</v>
      </c>
      <c r="L3444" s="390" t="s">
        <v>2166</v>
      </c>
      <c r="M3444" s="227" t="s">
        <v>165</v>
      </c>
      <c r="N3444" s="225" t="s">
        <v>700</v>
      </c>
      <c r="O3444" s="225" t="s">
        <v>287</v>
      </c>
      <c r="P3444" s="229">
        <v>40</v>
      </c>
      <c r="Q3444" s="229">
        <v>12</v>
      </c>
      <c r="R3444" s="230">
        <v>8.1300000000000001E-3</v>
      </c>
      <c r="S3444" s="225" t="s">
        <v>40</v>
      </c>
      <c r="T3444" s="225" t="s">
        <v>112</v>
      </c>
      <c r="U3444" s="225" t="s">
        <v>89</v>
      </c>
      <c r="V3444" s="231">
        <f>1302</f>
        <v>1302</v>
      </c>
      <c r="W3444" s="231">
        <f>672</f>
        <v>672</v>
      </c>
      <c r="X3444" s="232">
        <f>(160+280+24760)/40</f>
        <v>630</v>
      </c>
      <c r="Y3444" s="233">
        <f t="shared" ref="Y3444:Y3469" si="1637">(W3444+X3444)-V3444</f>
        <v>0</v>
      </c>
      <c r="Z3444" s="234">
        <f t="shared" ref="Z3444:Z3469" si="1638">IF(Y3444&lt;0,((V3444*P3444)-((W3444+X3444)*P3444)),0)</f>
        <v>0</v>
      </c>
      <c r="AA3444" s="234">
        <f t="shared" ref="AA3444:AA3456" si="1639">Q3444*Z3444</f>
        <v>0</v>
      </c>
      <c r="AB3444" s="822">
        <v>2</v>
      </c>
      <c r="AC3444" s="231">
        <f t="shared" ref="AC3444:AC3469" si="1640">Z3444*AB3444</f>
        <v>0</v>
      </c>
      <c r="AD3444" s="209"/>
      <c r="AE3444" s="210">
        <f>SUM(Q3444*R3444*Z3444)/1000</f>
        <v>0</v>
      </c>
      <c r="AF3444" s="210">
        <f t="shared" ref="AF3444:AF3464" si="1641">AE3444/0.54</f>
        <v>0</v>
      </c>
      <c r="AG3444" s="211">
        <f t="shared" ref="AG3444:AG3455" si="1642">MID(O3444,1,3)/1000</f>
        <v>0.154</v>
      </c>
      <c r="AH3444" s="157">
        <f>(Z3444*AG3444)/1000</f>
        <v>0</v>
      </c>
      <c r="AI3444" s="152">
        <f t="shared" ref="AI3444:AI3469" si="1643">V3444*P3444</f>
        <v>52080</v>
      </c>
      <c r="AK3444" s="156" t="s">
        <v>691</v>
      </c>
      <c r="AL3444" s="156" t="s">
        <v>689</v>
      </c>
      <c r="AM3444" s="198">
        <f t="shared" ref="AM3444:AM3456" si="1644">AG3444*Z3444</f>
        <v>0</v>
      </c>
      <c r="AN3444" s="199">
        <f t="shared" ref="AN3444:AN3456" si="1645">B3444</f>
        <v>46160</v>
      </c>
      <c r="AO3444" s="159" t="s">
        <v>692</v>
      </c>
      <c r="AP3444" s="781"/>
      <c r="AQ3444" s="782">
        <v>12071839</v>
      </c>
      <c r="AR3444" s="782">
        <v>12019692</v>
      </c>
      <c r="AS3444" s="782"/>
      <c r="AT3444" s="782">
        <v>12056457</v>
      </c>
      <c r="AU3444" s="782"/>
      <c r="AV3444" s="782">
        <v>12056565</v>
      </c>
      <c r="AW3444" s="782">
        <v>12034747</v>
      </c>
      <c r="AX3444" s="782" t="s">
        <v>398</v>
      </c>
      <c r="AY3444" s="782" t="s">
        <v>513</v>
      </c>
      <c r="AZ3444" s="782"/>
      <c r="BA3444" s="781"/>
      <c r="BB3444" s="209">
        <v>23053184</v>
      </c>
    </row>
    <row r="3445" spans="1:54" ht="25" customHeight="1">
      <c r="B3445" s="466">
        <v>46161</v>
      </c>
      <c r="C3445" s="941" t="s">
        <v>2848</v>
      </c>
      <c r="D3445" s="468">
        <f t="shared" ref="D3445:D3451" si="1646">IF(B3445="","",YEAR(B3445))</f>
        <v>2026</v>
      </c>
      <c r="E3445" s="467" t="e">
        <f>VLOOKUP($B3445,Week!$A$1:$C$1462,2,0)</f>
        <v>#N/A</v>
      </c>
      <c r="F3445" s="469" t="str">
        <f t="shared" ref="F3445:F3451" si="1647">IF(B3445="","",TEXT(B3445,"[$-409]mmm"))</f>
        <v>May</v>
      </c>
      <c r="G3445" s="468" t="s">
        <v>47</v>
      </c>
      <c r="H3445" s="468" t="s">
        <v>518</v>
      </c>
      <c r="I3445" s="468" t="s">
        <v>2702</v>
      </c>
      <c r="J3445" s="471" t="s">
        <v>2702</v>
      </c>
      <c r="K3445" s="472" t="s">
        <v>2706</v>
      </c>
      <c r="L3445" s="472" t="s">
        <v>2167</v>
      </c>
      <c r="M3445" s="471" t="s">
        <v>3041</v>
      </c>
      <c r="N3445" s="617" t="s">
        <v>3042</v>
      </c>
      <c r="O3445" s="468" t="s">
        <v>2735</v>
      </c>
      <c r="P3445" s="473">
        <v>12</v>
      </c>
      <c r="Q3445" s="473">
        <v>2</v>
      </c>
      <c r="R3445" s="474">
        <v>6.0000000000000001E-3</v>
      </c>
      <c r="S3445" s="468" t="s">
        <v>55</v>
      </c>
      <c r="T3445" s="468" t="s">
        <v>56</v>
      </c>
      <c r="U3445" s="620" t="s">
        <v>2707</v>
      </c>
      <c r="V3445" s="475">
        <v>1500</v>
      </c>
      <c r="W3445" s="475">
        <f>439</f>
        <v>439</v>
      </c>
      <c r="X3445" s="476">
        <f>1179-118</f>
        <v>1061</v>
      </c>
      <c r="Y3445" s="477">
        <f t="shared" si="1637"/>
        <v>0</v>
      </c>
      <c r="Z3445" s="478">
        <f t="shared" si="1638"/>
        <v>0</v>
      </c>
      <c r="AA3445" s="478">
        <f t="shared" ref="AA3445:AA3451" si="1648">Q3445*Z3445</f>
        <v>0</v>
      </c>
      <c r="AB3445" s="828">
        <v>1.7000000000000001E-2</v>
      </c>
      <c r="AC3445" s="475">
        <f t="shared" si="1640"/>
        <v>0</v>
      </c>
      <c r="AD3445" s="443"/>
      <c r="AE3445" s="210">
        <f>SUM(Q3445*R3445*Z3445)/1000</f>
        <v>0</v>
      </c>
      <c r="AF3445" s="210">
        <f t="shared" si="1641"/>
        <v>0</v>
      </c>
      <c r="AG3445" s="211">
        <f t="shared" si="1642"/>
        <v>0.22500000000000001</v>
      </c>
      <c r="AH3445" s="157">
        <v>0.26621999999999996</v>
      </c>
      <c r="AI3445" s="152">
        <f t="shared" si="1643"/>
        <v>18000</v>
      </c>
      <c r="AK3445" s="156" t="s">
        <v>691</v>
      </c>
      <c r="AL3445" s="574" t="s">
        <v>690</v>
      </c>
      <c r="AM3445" s="198">
        <f t="shared" ref="AM3445:AM3451" si="1649">AG3445*Z3445</f>
        <v>0</v>
      </c>
      <c r="AN3445" s="199">
        <f t="shared" ref="AN3445:AN3451" si="1650">B3445</f>
        <v>46161</v>
      </c>
      <c r="AO3445" s="159" t="s">
        <v>692</v>
      </c>
      <c r="AP3445" s="781" t="s">
        <v>642</v>
      </c>
      <c r="AQ3445" s="782">
        <v>12071839</v>
      </c>
      <c r="AR3445" s="782"/>
      <c r="AS3445" s="782"/>
      <c r="AT3445" s="782">
        <v>12098021</v>
      </c>
      <c r="AU3445" s="783" t="s">
        <v>2979</v>
      </c>
      <c r="AV3445" s="782">
        <v>12098022</v>
      </c>
      <c r="AW3445" s="783"/>
      <c r="AX3445" s="781"/>
      <c r="AY3445" s="796"/>
      <c r="AZ3445" s="796"/>
      <c r="BA3445" s="796"/>
      <c r="BB3445" s="209">
        <v>23099860</v>
      </c>
    </row>
    <row r="3446" spans="1:54" ht="25" customHeight="1">
      <c r="B3446" s="466">
        <v>46161</v>
      </c>
      <c r="C3446" s="941" t="s">
        <v>2849</v>
      </c>
      <c r="D3446" s="468">
        <f t="shared" si="1646"/>
        <v>2026</v>
      </c>
      <c r="E3446" s="467" t="e">
        <f>VLOOKUP($B3446,Week!$A$1:$C$1462,2,0)</f>
        <v>#N/A</v>
      </c>
      <c r="F3446" s="469" t="str">
        <f t="shared" si="1647"/>
        <v>May</v>
      </c>
      <c r="G3446" s="468" t="s">
        <v>47</v>
      </c>
      <c r="H3446" s="468" t="s">
        <v>518</v>
      </c>
      <c r="I3446" s="468" t="s">
        <v>2702</v>
      </c>
      <c r="J3446" s="471" t="s">
        <v>2702</v>
      </c>
      <c r="K3446" s="472" t="s">
        <v>2706</v>
      </c>
      <c r="L3446" s="472" t="s">
        <v>2167</v>
      </c>
      <c r="M3446" s="471" t="s">
        <v>3041</v>
      </c>
      <c r="N3446" s="617" t="s">
        <v>3042</v>
      </c>
      <c r="O3446" s="468" t="s">
        <v>2735</v>
      </c>
      <c r="P3446" s="473">
        <v>12</v>
      </c>
      <c r="Q3446" s="473">
        <v>2</v>
      </c>
      <c r="R3446" s="474">
        <v>6.0000000000000001E-3</v>
      </c>
      <c r="S3446" s="468" t="s">
        <v>55</v>
      </c>
      <c r="T3446" s="468" t="s">
        <v>56</v>
      </c>
      <c r="U3446" s="620" t="s">
        <v>2707</v>
      </c>
      <c r="V3446" s="475">
        <f>118</f>
        <v>118</v>
      </c>
      <c r="W3446" s="475"/>
      <c r="X3446" s="476">
        <v>118</v>
      </c>
      <c r="Y3446" s="477">
        <f t="shared" si="1637"/>
        <v>0</v>
      </c>
      <c r="Z3446" s="478">
        <f t="shared" si="1638"/>
        <v>0</v>
      </c>
      <c r="AA3446" s="478">
        <f t="shared" si="1648"/>
        <v>0</v>
      </c>
      <c r="AB3446" s="828">
        <v>1.7000000000000001E-2</v>
      </c>
      <c r="AC3446" s="475">
        <f t="shared" si="1640"/>
        <v>0</v>
      </c>
      <c r="AD3446" s="443"/>
      <c r="AE3446" s="210">
        <f>SUM(Q3446*R3446*Z3446)/1000</f>
        <v>0</v>
      </c>
      <c r="AF3446" s="210">
        <f t="shared" si="1641"/>
        <v>0</v>
      </c>
      <c r="AG3446" s="211">
        <f t="shared" si="1642"/>
        <v>0.22500000000000001</v>
      </c>
      <c r="AH3446" s="157">
        <v>0.26621999999999996</v>
      </c>
      <c r="AI3446" s="152">
        <f t="shared" si="1643"/>
        <v>1416</v>
      </c>
      <c r="AK3446" s="156" t="s">
        <v>691</v>
      </c>
      <c r="AL3446" s="574" t="s">
        <v>690</v>
      </c>
      <c r="AM3446" s="198">
        <f t="shared" si="1649"/>
        <v>0</v>
      </c>
      <c r="AN3446" s="199">
        <f t="shared" si="1650"/>
        <v>46161</v>
      </c>
      <c r="AO3446" s="159" t="s">
        <v>692</v>
      </c>
      <c r="AP3446" s="781" t="s">
        <v>642</v>
      </c>
      <c r="AQ3446" s="782">
        <v>12071839</v>
      </c>
      <c r="AR3446" s="782"/>
      <c r="AS3446" s="782"/>
      <c r="AT3446" s="782">
        <v>12098021</v>
      </c>
      <c r="AU3446" s="783" t="s">
        <v>2979</v>
      </c>
      <c r="AV3446" s="782">
        <v>12098022</v>
      </c>
      <c r="AW3446" s="783"/>
      <c r="AX3446" s="781"/>
      <c r="AY3446" s="796"/>
      <c r="AZ3446" s="796"/>
      <c r="BA3446" s="796"/>
      <c r="BB3446" s="209">
        <v>23099860</v>
      </c>
    </row>
    <row r="3447" spans="1:54" ht="25.15" customHeight="1">
      <c r="B3447" s="345">
        <v>46161</v>
      </c>
      <c r="C3447" s="346">
        <v>46189</v>
      </c>
      <c r="D3447" s="185">
        <f t="shared" si="1646"/>
        <v>2026</v>
      </c>
      <c r="E3447" s="347" t="e">
        <f>VLOOKUP($B3447,Week!$A$1:$C$1462,2,0)</f>
        <v>#N/A</v>
      </c>
      <c r="F3447" s="348" t="str">
        <f t="shared" si="1647"/>
        <v>May</v>
      </c>
      <c r="G3447" s="347" t="s">
        <v>2801</v>
      </c>
      <c r="H3447" s="347" t="s">
        <v>424</v>
      </c>
      <c r="I3447" s="347" t="s">
        <v>2772</v>
      </c>
      <c r="J3447" s="438" t="s">
        <v>425</v>
      </c>
      <c r="K3447" s="350" t="s">
        <v>176</v>
      </c>
      <c r="L3447" s="350" t="s">
        <v>2167</v>
      </c>
      <c r="M3447" s="349" t="s">
        <v>426</v>
      </c>
      <c r="N3447" s="347" t="s">
        <v>427</v>
      </c>
      <c r="O3447" s="347" t="s">
        <v>599</v>
      </c>
      <c r="P3447" s="351">
        <v>36</v>
      </c>
      <c r="Q3447" s="351">
        <v>5</v>
      </c>
      <c r="R3447" s="352">
        <v>7.4999999999999997E-3</v>
      </c>
      <c r="S3447" s="347" t="s">
        <v>111</v>
      </c>
      <c r="T3447" s="347" t="s">
        <v>112</v>
      </c>
      <c r="U3447" s="347" t="s">
        <v>57</v>
      </c>
      <c r="V3447" s="353">
        <v>1288</v>
      </c>
      <c r="W3447" s="353">
        <f>1280+8</f>
        <v>1288</v>
      </c>
      <c r="X3447" s="354"/>
      <c r="Y3447" s="355">
        <f t="shared" si="1637"/>
        <v>0</v>
      </c>
      <c r="Z3447" s="356">
        <f t="shared" si="1638"/>
        <v>0</v>
      </c>
      <c r="AA3447" s="353">
        <f t="shared" si="1648"/>
        <v>0</v>
      </c>
      <c r="AB3447" s="818">
        <v>7.4999999999999997E-3</v>
      </c>
      <c r="AC3447" s="353">
        <f t="shared" si="1640"/>
        <v>0</v>
      </c>
      <c r="AD3447" s="307" t="s">
        <v>2448</v>
      </c>
      <c r="AE3447" s="210">
        <f t="shared" ref="AE3447:AE3454" si="1651">SUM(Q3447*R3447*Z3447)/1000</f>
        <v>0</v>
      </c>
      <c r="AF3447" s="210">
        <f t="shared" si="1641"/>
        <v>0</v>
      </c>
      <c r="AG3447" s="211">
        <f t="shared" si="1642"/>
        <v>0.14799999999999999</v>
      </c>
      <c r="AH3447" s="157">
        <f>(Z3447*AG3447)/1000</f>
        <v>0</v>
      </c>
      <c r="AI3447" s="152">
        <f t="shared" si="1643"/>
        <v>46368</v>
      </c>
      <c r="AK3447" s="156" t="s">
        <v>691</v>
      </c>
      <c r="AL3447" s="574" t="s">
        <v>690</v>
      </c>
      <c r="AM3447" s="198">
        <f t="shared" si="1649"/>
        <v>0</v>
      </c>
      <c r="AN3447" s="199">
        <f t="shared" si="1650"/>
        <v>46161</v>
      </c>
      <c r="AO3447" s="159" t="s">
        <v>692</v>
      </c>
      <c r="AP3447" s="783" t="s">
        <v>609</v>
      </c>
      <c r="AQ3447" s="782">
        <v>12071839</v>
      </c>
      <c r="AR3447" s="782">
        <v>12080260</v>
      </c>
      <c r="AS3447" s="782">
        <v>12080259</v>
      </c>
      <c r="AT3447" s="782">
        <v>12096006</v>
      </c>
      <c r="AU3447" s="782"/>
      <c r="AV3447" s="782">
        <v>12096007</v>
      </c>
      <c r="AW3447" s="782">
        <v>12024404</v>
      </c>
      <c r="AX3447" s="781"/>
      <c r="AY3447" s="782">
        <v>12096022</v>
      </c>
      <c r="AZ3447" s="782"/>
      <c r="BA3447" s="781"/>
      <c r="BB3447" s="209">
        <v>23053185</v>
      </c>
    </row>
    <row r="3448" spans="1:54" ht="25" customHeight="1">
      <c r="B3448" s="332">
        <v>46161</v>
      </c>
      <c r="C3448" s="333">
        <v>46189</v>
      </c>
      <c r="D3448" s="185">
        <f t="shared" si="1646"/>
        <v>2026</v>
      </c>
      <c r="E3448" s="333" t="e">
        <f>VLOOKUP($B3448,Week!$A$1:$C$1462,2,0)</f>
        <v>#N/A</v>
      </c>
      <c r="F3448" s="334" t="str">
        <f t="shared" si="1647"/>
        <v>May</v>
      </c>
      <c r="G3448" s="335" t="s">
        <v>2948</v>
      </c>
      <c r="H3448" s="335" t="s">
        <v>571</v>
      </c>
      <c r="I3448" s="335" t="s">
        <v>2772</v>
      </c>
      <c r="J3448" s="336" t="s">
        <v>663</v>
      </c>
      <c r="K3448" s="337" t="s">
        <v>1649</v>
      </c>
      <c r="L3448" s="300" t="s">
        <v>2167</v>
      </c>
      <c r="M3448" s="336" t="s">
        <v>603</v>
      </c>
      <c r="N3448" s="335" t="s">
        <v>658</v>
      </c>
      <c r="O3448" s="335" t="s">
        <v>659</v>
      </c>
      <c r="P3448" s="338">
        <v>12</v>
      </c>
      <c r="Q3448" s="338">
        <v>3</v>
      </c>
      <c r="R3448" s="339">
        <v>6.0000000000000001E-3</v>
      </c>
      <c r="S3448" s="335" t="s">
        <v>55</v>
      </c>
      <c r="T3448" s="335" t="s">
        <v>112</v>
      </c>
      <c r="U3448" s="340" t="s">
        <v>1894</v>
      </c>
      <c r="V3448" s="341">
        <f>1139</f>
        <v>1139</v>
      </c>
      <c r="W3448" s="341"/>
      <c r="X3448" s="342">
        <f>(302+14647)/12</f>
        <v>1245.75</v>
      </c>
      <c r="Y3448" s="343">
        <f t="shared" si="1637"/>
        <v>106.75</v>
      </c>
      <c r="Z3448" s="344">
        <f t="shared" si="1638"/>
        <v>0</v>
      </c>
      <c r="AA3448" s="344">
        <f t="shared" si="1648"/>
        <v>0</v>
      </c>
      <c r="AB3448" s="817">
        <v>3.8699999999999998E-2</v>
      </c>
      <c r="AC3448" s="341">
        <f t="shared" si="1640"/>
        <v>0</v>
      </c>
      <c r="AD3448" s="627" t="s">
        <v>672</v>
      </c>
      <c r="AE3448" s="210">
        <f>SUM(Q3448*R3448*Z3448)/1000</f>
        <v>0</v>
      </c>
      <c r="AF3448" s="210">
        <f t="shared" si="1641"/>
        <v>0</v>
      </c>
      <c r="AG3448" s="211">
        <f t="shared" si="1642"/>
        <v>0.30199999999999999</v>
      </c>
      <c r="AH3448" s="157">
        <v>0.26621999999999996</v>
      </c>
      <c r="AI3448" s="152">
        <f t="shared" si="1643"/>
        <v>13668</v>
      </c>
      <c r="AK3448" s="156" t="s">
        <v>691</v>
      </c>
      <c r="AL3448" s="212" t="s">
        <v>690</v>
      </c>
      <c r="AM3448" s="198">
        <f t="shared" si="1649"/>
        <v>0</v>
      </c>
      <c r="AN3448" s="199">
        <f t="shared" si="1650"/>
        <v>46161</v>
      </c>
      <c r="AO3448" s="159" t="s">
        <v>692</v>
      </c>
      <c r="AP3448" s="781" t="s">
        <v>642</v>
      </c>
      <c r="AQ3448" s="782">
        <v>12063755</v>
      </c>
      <c r="AR3448" s="782">
        <v>12061353</v>
      </c>
      <c r="AS3448" s="782">
        <v>12061354</v>
      </c>
      <c r="AT3448" s="782">
        <v>12090251</v>
      </c>
      <c r="AU3448" s="781"/>
      <c r="AV3448" s="782">
        <v>12090248</v>
      </c>
      <c r="AW3448" s="781"/>
      <c r="AX3448" s="781"/>
      <c r="AY3448" s="782"/>
      <c r="AZ3448" s="782"/>
      <c r="BA3448" s="782"/>
      <c r="BB3448" s="209">
        <v>23105470</v>
      </c>
    </row>
    <row r="3449" spans="1:54" ht="25" customHeight="1">
      <c r="A3449" s="623"/>
      <c r="B3449" s="498">
        <v>46161</v>
      </c>
      <c r="C3449" s="499">
        <v>46191</v>
      </c>
      <c r="D3449" s="185">
        <f t="shared" si="1646"/>
        <v>2026</v>
      </c>
      <c r="E3449" s="499" t="e">
        <f>VLOOKUP($B3449,Week!$A$1:$C$1462,2,0)</f>
        <v>#N/A</v>
      </c>
      <c r="F3449" s="500" t="str">
        <f t="shared" si="1647"/>
        <v>May</v>
      </c>
      <c r="G3449" s="501" t="s">
        <v>2946</v>
      </c>
      <c r="H3449" s="501" t="s">
        <v>311</v>
      </c>
      <c r="I3449" s="501" t="s">
        <v>2772</v>
      </c>
      <c r="J3449" s="502" t="s">
        <v>738</v>
      </c>
      <c r="K3449" s="503" t="s">
        <v>1646</v>
      </c>
      <c r="L3449" s="300" t="s">
        <v>2167</v>
      </c>
      <c r="M3449" s="502" t="s">
        <v>654</v>
      </c>
      <c r="N3449" s="501" t="s">
        <v>726</v>
      </c>
      <c r="O3449" s="501" t="s">
        <v>655</v>
      </c>
      <c r="P3449" s="504">
        <v>24</v>
      </c>
      <c r="Q3449" s="504">
        <v>5</v>
      </c>
      <c r="R3449" s="505">
        <v>7.4999999999999997E-3</v>
      </c>
      <c r="S3449" s="501" t="s">
        <v>40</v>
      </c>
      <c r="T3449" s="501" t="s">
        <v>112</v>
      </c>
      <c r="U3449" s="506" t="s">
        <v>1894</v>
      </c>
      <c r="V3449" s="507">
        <f>390</f>
        <v>390</v>
      </c>
      <c r="W3449" s="507">
        <f>18+366</f>
        <v>384</v>
      </c>
      <c r="X3449" s="508">
        <f>6</f>
        <v>6</v>
      </c>
      <c r="Y3449" s="509">
        <f t="shared" si="1637"/>
        <v>0</v>
      </c>
      <c r="Z3449" s="510">
        <f t="shared" si="1638"/>
        <v>0</v>
      </c>
      <c r="AA3449" s="510">
        <f t="shared" si="1648"/>
        <v>0</v>
      </c>
      <c r="AB3449" s="830">
        <v>3.8699999999999998E-2</v>
      </c>
      <c r="AC3449" s="507">
        <f t="shared" si="1640"/>
        <v>0</v>
      </c>
      <c r="AD3449" s="209"/>
      <c r="AE3449" s="210">
        <f t="shared" si="1651"/>
        <v>0</v>
      </c>
      <c r="AF3449" s="210">
        <f t="shared" si="1641"/>
        <v>0</v>
      </c>
      <c r="AG3449" s="211">
        <f t="shared" si="1642"/>
        <v>0.307</v>
      </c>
      <c r="AH3449" s="157">
        <f t="shared" ref="AH3449:AH3459" si="1652">(Z3449*AG3449)/1000</f>
        <v>0</v>
      </c>
      <c r="AI3449" s="152">
        <f t="shared" si="1643"/>
        <v>9360</v>
      </c>
      <c r="AK3449" s="156" t="s">
        <v>691</v>
      </c>
      <c r="AL3449" s="212" t="s">
        <v>690</v>
      </c>
      <c r="AM3449" s="198">
        <f t="shared" si="1649"/>
        <v>0</v>
      </c>
      <c r="AN3449" s="199">
        <f t="shared" si="1650"/>
        <v>46161</v>
      </c>
      <c r="AO3449" s="159" t="s">
        <v>692</v>
      </c>
      <c r="AP3449" s="781" t="s">
        <v>642</v>
      </c>
      <c r="AQ3449" s="782">
        <v>12063755</v>
      </c>
      <c r="AR3449" s="782">
        <v>12061353</v>
      </c>
      <c r="AS3449" s="782">
        <v>12061354</v>
      </c>
      <c r="AT3449" s="782">
        <v>12089274</v>
      </c>
      <c r="AU3449" s="781"/>
      <c r="AV3449" s="782">
        <v>12089275</v>
      </c>
      <c r="AW3449" s="782">
        <v>12068154</v>
      </c>
      <c r="AX3449" s="782"/>
      <c r="AY3449" s="782">
        <v>12094140</v>
      </c>
      <c r="AZ3449" s="782"/>
      <c r="BA3449" s="781"/>
      <c r="BB3449" s="209">
        <v>23105470</v>
      </c>
    </row>
    <row r="3450" spans="1:54" ht="25" customHeight="1">
      <c r="A3450" s="623"/>
      <c r="B3450" s="498">
        <v>46161</v>
      </c>
      <c r="C3450" s="499">
        <v>46205</v>
      </c>
      <c r="D3450" s="185">
        <f t="shared" si="1646"/>
        <v>2026</v>
      </c>
      <c r="E3450" s="499" t="e">
        <f>VLOOKUP($B3450,Week!$A$1:$C$1462,2,0)</f>
        <v>#N/A</v>
      </c>
      <c r="F3450" s="500" t="str">
        <f t="shared" si="1647"/>
        <v>May</v>
      </c>
      <c r="G3450" s="501" t="s">
        <v>2963</v>
      </c>
      <c r="H3450" s="501" t="s">
        <v>311</v>
      </c>
      <c r="I3450" s="501" t="s">
        <v>2772</v>
      </c>
      <c r="J3450" s="502" t="s">
        <v>738</v>
      </c>
      <c r="K3450" s="503" t="s">
        <v>1646</v>
      </c>
      <c r="L3450" s="300" t="s">
        <v>2167</v>
      </c>
      <c r="M3450" s="502" t="s">
        <v>654</v>
      </c>
      <c r="N3450" s="501" t="s">
        <v>726</v>
      </c>
      <c r="O3450" s="501" t="s">
        <v>655</v>
      </c>
      <c r="P3450" s="504">
        <v>24</v>
      </c>
      <c r="Q3450" s="504">
        <v>5</v>
      </c>
      <c r="R3450" s="505">
        <v>7.4999999999999997E-3</v>
      </c>
      <c r="S3450" s="501" t="s">
        <v>40</v>
      </c>
      <c r="T3450" s="501" t="s">
        <v>112</v>
      </c>
      <c r="U3450" s="506" t="s">
        <v>1894</v>
      </c>
      <c r="V3450" s="507">
        <f>390</f>
        <v>390</v>
      </c>
      <c r="W3450" s="507">
        <f>756-366</f>
        <v>390</v>
      </c>
      <c r="X3450" s="508"/>
      <c r="Y3450" s="509">
        <f t="shared" si="1637"/>
        <v>0</v>
      </c>
      <c r="Z3450" s="510">
        <f t="shared" si="1638"/>
        <v>0</v>
      </c>
      <c r="AA3450" s="510">
        <f t="shared" si="1648"/>
        <v>0</v>
      </c>
      <c r="AB3450" s="830">
        <v>3.8699999999999998E-2</v>
      </c>
      <c r="AC3450" s="507">
        <f t="shared" si="1640"/>
        <v>0</v>
      </c>
      <c r="AD3450" s="209"/>
      <c r="AE3450" s="210">
        <f t="shared" si="1651"/>
        <v>0</v>
      </c>
      <c r="AF3450" s="210">
        <f t="shared" si="1641"/>
        <v>0</v>
      </c>
      <c r="AG3450" s="211">
        <f t="shared" si="1642"/>
        <v>0.307</v>
      </c>
      <c r="AH3450" s="157">
        <f t="shared" si="1652"/>
        <v>0</v>
      </c>
      <c r="AI3450" s="152">
        <f t="shared" si="1643"/>
        <v>9360</v>
      </c>
      <c r="AK3450" s="156" t="s">
        <v>691</v>
      </c>
      <c r="AL3450" s="212" t="s">
        <v>690</v>
      </c>
      <c r="AM3450" s="198">
        <f t="shared" si="1649"/>
        <v>0</v>
      </c>
      <c r="AN3450" s="199">
        <f t="shared" si="1650"/>
        <v>46161</v>
      </c>
      <c r="AO3450" s="159" t="s">
        <v>692</v>
      </c>
      <c r="AP3450" s="781" t="s">
        <v>642</v>
      </c>
      <c r="AQ3450" s="782">
        <v>12063755</v>
      </c>
      <c r="AR3450" s="782">
        <v>12061353</v>
      </c>
      <c r="AS3450" s="782">
        <v>12061354</v>
      </c>
      <c r="AT3450" s="782">
        <v>12089274</v>
      </c>
      <c r="AU3450" s="781"/>
      <c r="AV3450" s="782">
        <v>12089275</v>
      </c>
      <c r="AW3450" s="782">
        <v>12068154</v>
      </c>
      <c r="AX3450" s="782"/>
      <c r="AY3450" s="782">
        <v>12094140</v>
      </c>
      <c r="AZ3450" s="782"/>
      <c r="BA3450" s="781"/>
      <c r="BB3450" s="209">
        <v>23105470</v>
      </c>
    </row>
    <row r="3451" spans="1:54" ht="25.15" customHeight="1">
      <c r="B3451" s="546">
        <v>46161</v>
      </c>
      <c r="C3451" s="547">
        <v>46189</v>
      </c>
      <c r="D3451" s="549">
        <f t="shared" si="1646"/>
        <v>2026</v>
      </c>
      <c r="E3451" s="549" t="e">
        <f>VLOOKUP($B3451,Week!$A$1:$C$1462,2,0)</f>
        <v>#N/A</v>
      </c>
      <c r="F3451" s="548" t="str">
        <f t="shared" si="1647"/>
        <v>May</v>
      </c>
      <c r="G3451" s="549" t="s">
        <v>2957</v>
      </c>
      <c r="H3451" s="549" t="s">
        <v>2956</v>
      </c>
      <c r="I3451" s="549" t="s">
        <v>2772</v>
      </c>
      <c r="J3451" s="772" t="s">
        <v>425</v>
      </c>
      <c r="K3451" s="551" t="s">
        <v>1643</v>
      </c>
      <c r="L3451" s="551" t="s">
        <v>2167</v>
      </c>
      <c r="M3451" s="550" t="s">
        <v>2418</v>
      </c>
      <c r="N3451" s="549" t="s">
        <v>2955</v>
      </c>
      <c r="O3451" s="549" t="s">
        <v>2253</v>
      </c>
      <c r="P3451" s="552">
        <v>8</v>
      </c>
      <c r="Q3451" s="552">
        <v>5</v>
      </c>
      <c r="R3451" s="553">
        <v>7.4999999999999997E-3</v>
      </c>
      <c r="S3451" s="549" t="s">
        <v>40</v>
      </c>
      <c r="T3451" s="549" t="s">
        <v>112</v>
      </c>
      <c r="U3451" s="618" t="s">
        <v>1894</v>
      </c>
      <c r="V3451" s="554">
        <f>1100</f>
        <v>1100</v>
      </c>
      <c r="W3451" s="554"/>
      <c r="X3451" s="555">
        <f>(1069+7731)/8</f>
        <v>1100</v>
      </c>
      <c r="Y3451" s="556">
        <f t="shared" si="1637"/>
        <v>0</v>
      </c>
      <c r="Z3451" s="557">
        <f t="shared" si="1638"/>
        <v>0</v>
      </c>
      <c r="AA3451" s="554">
        <f t="shared" si="1648"/>
        <v>0</v>
      </c>
      <c r="AB3451" s="833">
        <v>7.4999999999999997E-3</v>
      </c>
      <c r="AC3451" s="554">
        <f t="shared" si="1640"/>
        <v>0</v>
      </c>
      <c r="AD3451" s="443" t="s">
        <v>672</v>
      </c>
      <c r="AE3451" s="210">
        <f>SUM(Q3451*R3451*Z3451)/1000</f>
        <v>0</v>
      </c>
      <c r="AF3451" s="210">
        <f t="shared" si="1641"/>
        <v>0</v>
      </c>
      <c r="AG3451" s="211">
        <f t="shared" si="1642"/>
        <v>0.14699999999999999</v>
      </c>
      <c r="AH3451" s="157">
        <f t="shared" si="1652"/>
        <v>0</v>
      </c>
      <c r="AI3451" s="152">
        <f t="shared" si="1643"/>
        <v>8800</v>
      </c>
      <c r="AK3451" s="156" t="s">
        <v>691</v>
      </c>
      <c r="AL3451" s="574" t="s">
        <v>690</v>
      </c>
      <c r="AM3451" s="198">
        <f t="shared" si="1649"/>
        <v>0</v>
      </c>
      <c r="AN3451" s="199">
        <f t="shared" si="1650"/>
        <v>46161</v>
      </c>
      <c r="AO3451" s="159" t="s">
        <v>692</v>
      </c>
      <c r="AP3451" s="783" t="s">
        <v>609</v>
      </c>
      <c r="AQ3451" s="782">
        <v>12071839</v>
      </c>
      <c r="AR3451" s="782">
        <v>12080260</v>
      </c>
      <c r="AS3451" s="782">
        <v>12080259</v>
      </c>
      <c r="AT3451" s="798" t="s">
        <v>2378</v>
      </c>
      <c r="AU3451" s="782"/>
      <c r="AV3451" s="782">
        <v>12098928</v>
      </c>
      <c r="AW3451" s="782"/>
      <c r="AX3451" s="781"/>
      <c r="AY3451" s="782"/>
      <c r="AZ3451" s="782"/>
      <c r="BA3451" s="781"/>
      <c r="BB3451" s="209">
        <v>23053185</v>
      </c>
    </row>
    <row r="3452" spans="1:54" ht="24.65" customHeight="1">
      <c r="A3452" s="142" t="s">
        <v>120</v>
      </c>
      <c r="B3452" s="383">
        <v>46162</v>
      </c>
      <c r="C3452" s="224">
        <v>46167</v>
      </c>
      <c r="D3452" s="185">
        <f t="shared" si="1635"/>
        <v>2026</v>
      </c>
      <c r="E3452" s="224" t="e">
        <f>VLOOKUP($B3452,Week!$A$1:$C$1462,2,0)</f>
        <v>#N/A</v>
      </c>
      <c r="F3452" s="226" t="str">
        <f t="shared" si="1636"/>
        <v>May</v>
      </c>
      <c r="G3452" s="225" t="s">
        <v>3006</v>
      </c>
      <c r="H3452" s="225" t="s">
        <v>1259</v>
      </c>
      <c r="I3452" s="225" t="s">
        <v>2772</v>
      </c>
      <c r="J3452" s="227" t="s">
        <v>512</v>
      </c>
      <c r="K3452" s="228" t="s">
        <v>85</v>
      </c>
      <c r="L3452" s="390" t="s">
        <v>2166</v>
      </c>
      <c r="M3452" s="227" t="s">
        <v>165</v>
      </c>
      <c r="N3452" s="225" t="s">
        <v>700</v>
      </c>
      <c r="O3452" s="225" t="s">
        <v>287</v>
      </c>
      <c r="P3452" s="229">
        <v>40</v>
      </c>
      <c r="Q3452" s="229">
        <v>12</v>
      </c>
      <c r="R3452" s="230">
        <v>8.1300000000000001E-3</v>
      </c>
      <c r="S3452" s="225" t="s">
        <v>40</v>
      </c>
      <c r="T3452" s="225" t="s">
        <v>112</v>
      </c>
      <c r="U3452" s="225" t="s">
        <v>89</v>
      </c>
      <c r="V3452" s="231">
        <f>1624-1302</f>
        <v>322</v>
      </c>
      <c r="W3452" s="231">
        <f>278</f>
        <v>278</v>
      </c>
      <c r="X3452" s="232">
        <f>(2320+200)/40</f>
        <v>63</v>
      </c>
      <c r="Y3452" s="233">
        <f t="shared" si="1637"/>
        <v>19</v>
      </c>
      <c r="Z3452" s="234">
        <f t="shared" si="1638"/>
        <v>0</v>
      </c>
      <c r="AA3452" s="234">
        <f t="shared" si="1639"/>
        <v>0</v>
      </c>
      <c r="AB3452" s="822">
        <v>2</v>
      </c>
      <c r="AC3452" s="231">
        <f t="shared" si="1640"/>
        <v>0</v>
      </c>
      <c r="AD3452" s="209"/>
      <c r="AE3452" s="210">
        <f t="shared" si="1651"/>
        <v>0</v>
      </c>
      <c r="AF3452" s="210">
        <f t="shared" si="1641"/>
        <v>0</v>
      </c>
      <c r="AG3452" s="211">
        <f t="shared" si="1642"/>
        <v>0.154</v>
      </c>
      <c r="AH3452" s="157">
        <f t="shared" si="1652"/>
        <v>0</v>
      </c>
      <c r="AI3452" s="152">
        <f t="shared" si="1643"/>
        <v>12880</v>
      </c>
      <c r="AK3452" s="156" t="s">
        <v>691</v>
      </c>
      <c r="AL3452" s="156" t="s">
        <v>689</v>
      </c>
      <c r="AM3452" s="198">
        <f t="shared" si="1644"/>
        <v>0</v>
      </c>
      <c r="AN3452" s="199">
        <f t="shared" si="1645"/>
        <v>46162</v>
      </c>
      <c r="AO3452" s="159" t="s">
        <v>692</v>
      </c>
      <c r="AP3452" s="781"/>
      <c r="AQ3452" s="782">
        <v>12071839</v>
      </c>
      <c r="AR3452" s="782">
        <v>12019692</v>
      </c>
      <c r="AS3452" s="782"/>
      <c r="AT3452" s="782">
        <v>12056457</v>
      </c>
      <c r="AU3452" s="782"/>
      <c r="AV3452" s="782">
        <v>12056565</v>
      </c>
      <c r="AW3452" s="782">
        <v>12034747</v>
      </c>
      <c r="AX3452" s="782" t="s">
        <v>398</v>
      </c>
      <c r="AY3452" s="782" t="s">
        <v>513</v>
      </c>
      <c r="AZ3452" s="782"/>
      <c r="BA3452" s="781"/>
      <c r="BB3452" s="209">
        <v>23053184</v>
      </c>
    </row>
    <row r="3453" spans="1:54" ht="24.65" customHeight="1">
      <c r="A3453" s="142" t="s">
        <v>120</v>
      </c>
      <c r="B3453" s="258">
        <v>46162</v>
      </c>
      <c r="C3453" s="259">
        <v>46196</v>
      </c>
      <c r="D3453" s="185">
        <f t="shared" si="1635"/>
        <v>2026</v>
      </c>
      <c r="E3453" s="260" t="e">
        <f>VLOOKUP($B3453,Week!$A$1:$C$1462,2,0)</f>
        <v>#N/A</v>
      </c>
      <c r="F3453" s="261" t="str">
        <f t="shared" si="1636"/>
        <v>May</v>
      </c>
      <c r="G3453" s="262" t="s">
        <v>2846</v>
      </c>
      <c r="H3453" s="260" t="s">
        <v>134</v>
      </c>
      <c r="I3453" s="260" t="s">
        <v>2772</v>
      </c>
      <c r="J3453" s="263" t="s">
        <v>2932</v>
      </c>
      <c r="K3453" s="264" t="s">
        <v>153</v>
      </c>
      <c r="L3453" s="390" t="s">
        <v>2166</v>
      </c>
      <c r="M3453" s="263" t="s">
        <v>165</v>
      </c>
      <c r="N3453" s="260" t="s">
        <v>166</v>
      </c>
      <c r="O3453" s="260" t="s">
        <v>502</v>
      </c>
      <c r="P3453" s="265">
        <v>20</v>
      </c>
      <c r="Q3453" s="265">
        <v>12</v>
      </c>
      <c r="R3453" s="266">
        <v>6.8100000000000001E-3</v>
      </c>
      <c r="S3453" s="260" t="s">
        <v>76</v>
      </c>
      <c r="T3453" s="260" t="s">
        <v>56</v>
      </c>
      <c r="U3453" s="260" t="s">
        <v>89</v>
      </c>
      <c r="V3453" s="267">
        <f>1000</f>
        <v>1000</v>
      </c>
      <c r="W3453" s="267">
        <f>381</f>
        <v>381</v>
      </c>
      <c r="X3453" s="268">
        <f>(1600+10780)/20</f>
        <v>619</v>
      </c>
      <c r="Y3453" s="269">
        <f t="shared" si="1637"/>
        <v>0</v>
      </c>
      <c r="Z3453" s="270">
        <f t="shared" si="1638"/>
        <v>0</v>
      </c>
      <c r="AA3453" s="270">
        <f t="shared" si="1639"/>
        <v>0</v>
      </c>
      <c r="AB3453" s="811">
        <v>2</v>
      </c>
      <c r="AC3453" s="267">
        <f t="shared" si="1640"/>
        <v>0</v>
      </c>
      <c r="AD3453" s="209" t="s">
        <v>168</v>
      </c>
      <c r="AE3453" s="210">
        <f t="shared" si="1651"/>
        <v>0</v>
      </c>
      <c r="AF3453" s="210">
        <f t="shared" si="1641"/>
        <v>0</v>
      </c>
      <c r="AG3453" s="211">
        <f t="shared" si="1642"/>
        <v>0.154</v>
      </c>
      <c r="AH3453" s="157">
        <f t="shared" si="1652"/>
        <v>0</v>
      </c>
      <c r="AI3453" s="152">
        <f t="shared" si="1643"/>
        <v>20000</v>
      </c>
      <c r="AK3453" s="156" t="s">
        <v>691</v>
      </c>
      <c r="AL3453" s="156" t="s">
        <v>689</v>
      </c>
      <c r="AM3453" s="198">
        <f t="shared" si="1644"/>
        <v>0</v>
      </c>
      <c r="AN3453" s="199">
        <f t="shared" si="1645"/>
        <v>46162</v>
      </c>
      <c r="AO3453" s="159" t="s">
        <v>692</v>
      </c>
      <c r="AP3453" s="783" t="s">
        <v>610</v>
      </c>
      <c r="AQ3453" s="783" t="s">
        <v>631</v>
      </c>
      <c r="AR3453" s="783" t="s">
        <v>523</v>
      </c>
      <c r="AS3453" s="781"/>
      <c r="AT3453" s="782">
        <v>12096524</v>
      </c>
      <c r="AU3453" s="781"/>
      <c r="AV3453" s="783" t="s">
        <v>2507</v>
      </c>
      <c r="AW3453" s="781"/>
      <c r="AX3453" s="782" t="s">
        <v>398</v>
      </c>
      <c r="AY3453" s="781"/>
      <c r="AZ3453" s="781"/>
      <c r="BA3453" s="781"/>
      <c r="BB3453" s="209">
        <v>23053184</v>
      </c>
    </row>
    <row r="3454" spans="1:54" ht="25" customHeight="1">
      <c r="A3454" s="142" t="s">
        <v>120</v>
      </c>
      <c r="B3454" s="283">
        <v>46162</v>
      </c>
      <c r="C3454" s="284">
        <v>46196</v>
      </c>
      <c r="D3454" s="185">
        <f t="shared" si="1635"/>
        <v>2026</v>
      </c>
      <c r="E3454" s="286" t="e">
        <f>VLOOKUP($B3454,Week!$A$1:$C$1462,2,0)</f>
        <v>#N/A</v>
      </c>
      <c r="F3454" s="285" t="str">
        <f t="shared" si="1636"/>
        <v>May</v>
      </c>
      <c r="G3454" s="286" t="s">
        <v>2846</v>
      </c>
      <c r="H3454" s="286" t="s">
        <v>134</v>
      </c>
      <c r="I3454" s="286" t="s">
        <v>2772</v>
      </c>
      <c r="J3454" s="287" t="s">
        <v>2932</v>
      </c>
      <c r="K3454" s="288" t="s">
        <v>153</v>
      </c>
      <c r="L3454" s="390" t="s">
        <v>2166</v>
      </c>
      <c r="M3454" s="287" t="s">
        <v>214</v>
      </c>
      <c r="N3454" s="286" t="s">
        <v>215</v>
      </c>
      <c r="O3454" s="286" t="s">
        <v>504</v>
      </c>
      <c r="P3454" s="289">
        <v>20</v>
      </c>
      <c r="Q3454" s="289">
        <v>8</v>
      </c>
      <c r="R3454" s="290">
        <v>1.4999999999999999E-2</v>
      </c>
      <c r="S3454" s="286" t="s">
        <v>217</v>
      </c>
      <c r="T3454" s="286" t="s">
        <v>56</v>
      </c>
      <c r="U3454" s="286" t="s">
        <v>89</v>
      </c>
      <c r="V3454" s="291">
        <f>250</f>
        <v>250</v>
      </c>
      <c r="W3454" s="291">
        <f>3+247</f>
        <v>250</v>
      </c>
      <c r="X3454" s="292"/>
      <c r="Y3454" s="293">
        <f t="shared" si="1637"/>
        <v>0</v>
      </c>
      <c r="Z3454" s="294">
        <f t="shared" si="1638"/>
        <v>0</v>
      </c>
      <c r="AA3454" s="291">
        <f t="shared" si="1639"/>
        <v>0</v>
      </c>
      <c r="AB3454" s="813">
        <v>2</v>
      </c>
      <c r="AC3454" s="291">
        <f t="shared" si="1640"/>
        <v>0</v>
      </c>
      <c r="AD3454" s="209" t="s">
        <v>218</v>
      </c>
      <c r="AE3454" s="210">
        <f t="shared" si="1651"/>
        <v>0</v>
      </c>
      <c r="AF3454" s="210">
        <f t="shared" si="1641"/>
        <v>0</v>
      </c>
      <c r="AG3454" s="211">
        <f t="shared" si="1642"/>
        <v>0.19400000000000001</v>
      </c>
      <c r="AH3454" s="157">
        <f t="shared" si="1652"/>
        <v>0</v>
      </c>
      <c r="AI3454" s="152">
        <f t="shared" si="1643"/>
        <v>5000</v>
      </c>
      <c r="AK3454" s="156" t="s">
        <v>691</v>
      </c>
      <c r="AL3454" s="156" t="s">
        <v>689</v>
      </c>
      <c r="AM3454" s="198">
        <f t="shared" si="1644"/>
        <v>0</v>
      </c>
      <c r="AN3454" s="199">
        <f t="shared" si="1645"/>
        <v>46162</v>
      </c>
      <c r="AO3454" s="159" t="s">
        <v>692</v>
      </c>
      <c r="AP3454" s="783" t="s">
        <v>610</v>
      </c>
      <c r="AQ3454" s="782">
        <v>12071839</v>
      </c>
      <c r="AR3454" s="782">
        <v>12064528</v>
      </c>
      <c r="AS3454" s="782"/>
      <c r="AT3454" s="782">
        <v>12096526</v>
      </c>
      <c r="AU3454" s="781"/>
      <c r="AV3454" s="782">
        <v>12096527</v>
      </c>
      <c r="AW3454" s="782"/>
      <c r="AX3454" s="782" t="s">
        <v>545</v>
      </c>
      <c r="AY3454" s="782"/>
      <c r="AZ3454" s="782"/>
      <c r="BA3454" s="781"/>
      <c r="BB3454" s="209">
        <v>23053184</v>
      </c>
    </row>
    <row r="3455" spans="1:54" ht="24.65" customHeight="1">
      <c r="A3455" s="142" t="s">
        <v>120</v>
      </c>
      <c r="B3455" s="546">
        <v>46162</v>
      </c>
      <c r="C3455" s="547">
        <v>46196</v>
      </c>
      <c r="D3455" s="549">
        <f t="shared" si="1635"/>
        <v>2026</v>
      </c>
      <c r="E3455" s="549" t="e">
        <f>VLOOKUP($B3455,Week!$A$1:$C$1462,2,0)</f>
        <v>#N/A</v>
      </c>
      <c r="F3455" s="548" t="str">
        <f t="shared" si="1636"/>
        <v>May</v>
      </c>
      <c r="G3455" s="864" t="s">
        <v>2846</v>
      </c>
      <c r="H3455" s="549" t="s">
        <v>134</v>
      </c>
      <c r="I3455" s="549" t="s">
        <v>2772</v>
      </c>
      <c r="J3455" s="550" t="s">
        <v>2932</v>
      </c>
      <c r="K3455" s="551" t="s">
        <v>153</v>
      </c>
      <c r="L3455" s="551" t="s">
        <v>2166</v>
      </c>
      <c r="M3455" s="550" t="s">
        <v>2363</v>
      </c>
      <c r="N3455" s="549" t="s">
        <v>2364</v>
      </c>
      <c r="O3455" s="549" t="s">
        <v>2365</v>
      </c>
      <c r="P3455" s="552">
        <v>18</v>
      </c>
      <c r="Q3455" s="552">
        <v>8</v>
      </c>
      <c r="R3455" s="553">
        <v>6.8100000000000001E-3</v>
      </c>
      <c r="S3455" s="549" t="s">
        <v>76</v>
      </c>
      <c r="T3455" s="549" t="s">
        <v>56</v>
      </c>
      <c r="U3455" s="865" t="s">
        <v>499</v>
      </c>
      <c r="V3455" s="554">
        <f>400</f>
        <v>400</v>
      </c>
      <c r="W3455" s="554">
        <f>400</f>
        <v>400</v>
      </c>
      <c r="X3455" s="555">
        <f>(72)/18</f>
        <v>4</v>
      </c>
      <c r="Y3455" s="556">
        <f t="shared" si="1637"/>
        <v>4</v>
      </c>
      <c r="Z3455" s="557">
        <f t="shared" si="1638"/>
        <v>0</v>
      </c>
      <c r="AA3455" s="557">
        <f t="shared" si="1639"/>
        <v>0</v>
      </c>
      <c r="AB3455" s="833">
        <v>1</v>
      </c>
      <c r="AC3455" s="554">
        <f t="shared" si="1640"/>
        <v>0</v>
      </c>
      <c r="AD3455" s="209"/>
      <c r="AE3455" s="210">
        <f t="shared" ref="AE3455:AE3464" si="1653">SUM(Q3455*R3455*Z3455)/1000</f>
        <v>0</v>
      </c>
      <c r="AF3455" s="210">
        <f t="shared" si="1641"/>
        <v>0</v>
      </c>
      <c r="AG3455" s="211">
        <f t="shared" si="1642"/>
        <v>0.126</v>
      </c>
      <c r="AH3455" s="157">
        <f t="shared" si="1652"/>
        <v>0</v>
      </c>
      <c r="AI3455" s="152">
        <f t="shared" si="1643"/>
        <v>7200</v>
      </c>
      <c r="AK3455" s="156" t="s">
        <v>691</v>
      </c>
      <c r="AL3455" s="156" t="s">
        <v>689</v>
      </c>
      <c r="AM3455" s="198">
        <f t="shared" si="1644"/>
        <v>0</v>
      </c>
      <c r="AN3455" s="199">
        <f t="shared" si="1645"/>
        <v>46162</v>
      </c>
      <c r="AO3455" s="159" t="s">
        <v>692</v>
      </c>
      <c r="AP3455" s="783"/>
      <c r="AQ3455" s="783" t="s">
        <v>631</v>
      </c>
      <c r="AR3455" s="796">
        <v>12038019</v>
      </c>
      <c r="AS3455" s="781"/>
      <c r="AT3455" s="869">
        <v>12097296</v>
      </c>
      <c r="AU3455" s="781"/>
      <c r="AV3455" s="940">
        <v>12097295</v>
      </c>
      <c r="AW3455" s="781"/>
      <c r="AX3455" s="781" t="s">
        <v>162</v>
      </c>
      <c r="AY3455" s="781"/>
      <c r="AZ3455" s="781"/>
      <c r="BA3455" s="781"/>
      <c r="BB3455" s="209"/>
    </row>
    <row r="3456" spans="1:54" ht="25" customHeight="1">
      <c r="A3456" s="142" t="s">
        <v>120</v>
      </c>
      <c r="B3456" s="559">
        <v>46162</v>
      </c>
      <c r="C3456" s="560">
        <v>46196</v>
      </c>
      <c r="D3456" s="185">
        <f t="shared" si="1635"/>
        <v>2026</v>
      </c>
      <c r="E3456" s="561" t="e">
        <f>VLOOKUP($B3456,Week!$A$1:$C$1462,2,0)</f>
        <v>#N/A</v>
      </c>
      <c r="F3456" s="562" t="str">
        <f t="shared" si="1636"/>
        <v>May</v>
      </c>
      <c r="G3456" s="561" t="s">
        <v>2846</v>
      </c>
      <c r="H3456" s="561" t="s">
        <v>134</v>
      </c>
      <c r="I3456" s="561" t="s">
        <v>2772</v>
      </c>
      <c r="J3456" s="563" t="s">
        <v>2932</v>
      </c>
      <c r="K3456" s="564" t="s">
        <v>355</v>
      </c>
      <c r="L3456" s="390" t="s">
        <v>2166</v>
      </c>
      <c r="M3456" s="563" t="s">
        <v>356</v>
      </c>
      <c r="N3456" s="561" t="s">
        <v>652</v>
      </c>
      <c r="O3456" s="561" t="s">
        <v>508</v>
      </c>
      <c r="P3456" s="565">
        <v>18</v>
      </c>
      <c r="Q3456" s="565">
        <v>8</v>
      </c>
      <c r="R3456" s="566">
        <v>6.0000000000000001E-3</v>
      </c>
      <c r="S3456" s="561" t="s">
        <v>55</v>
      </c>
      <c r="T3456" s="561" t="s">
        <v>56</v>
      </c>
      <c r="U3456" s="561" t="s">
        <v>89</v>
      </c>
      <c r="V3456" s="567">
        <f>500</f>
        <v>500</v>
      </c>
      <c r="W3456" s="567">
        <f>5+495</f>
        <v>500</v>
      </c>
      <c r="X3456" s="568"/>
      <c r="Y3456" s="569">
        <f t="shared" si="1637"/>
        <v>0</v>
      </c>
      <c r="Z3456" s="570">
        <f t="shared" si="1638"/>
        <v>0</v>
      </c>
      <c r="AA3456" s="570">
        <f t="shared" si="1639"/>
        <v>0</v>
      </c>
      <c r="AB3456" s="834">
        <v>2</v>
      </c>
      <c r="AC3456" s="567">
        <f t="shared" si="1640"/>
        <v>0</v>
      </c>
      <c r="AD3456" s="443" t="s">
        <v>2614</v>
      </c>
      <c r="AE3456" s="210">
        <f t="shared" si="1653"/>
        <v>0</v>
      </c>
      <c r="AF3456" s="210">
        <f t="shared" si="1641"/>
        <v>0</v>
      </c>
      <c r="AG3456" s="211">
        <f>MID(O3456,1,2)/1000</f>
        <v>0.09</v>
      </c>
      <c r="AH3456" s="157">
        <f t="shared" si="1652"/>
        <v>0</v>
      </c>
      <c r="AI3456" s="152">
        <f t="shared" si="1643"/>
        <v>9000</v>
      </c>
      <c r="AK3456" s="156" t="s">
        <v>691</v>
      </c>
      <c r="AL3456" s="156" t="s">
        <v>689</v>
      </c>
      <c r="AM3456" s="198">
        <f t="shared" si="1644"/>
        <v>0</v>
      </c>
      <c r="AN3456" s="199">
        <f t="shared" si="1645"/>
        <v>46162</v>
      </c>
      <c r="AO3456" s="159" t="s">
        <v>692</v>
      </c>
      <c r="AP3456" s="783"/>
      <c r="AQ3456" s="782"/>
      <c r="AR3456" s="782" t="s">
        <v>531</v>
      </c>
      <c r="AS3456" s="782"/>
      <c r="AT3456" s="782"/>
      <c r="AU3456" s="782">
        <v>12054219</v>
      </c>
      <c r="AV3456" s="782">
        <v>12097195</v>
      </c>
      <c r="AW3456" s="782"/>
      <c r="AX3456" s="782" t="s">
        <v>2519</v>
      </c>
      <c r="AY3456" s="782"/>
      <c r="AZ3456" s="782"/>
      <c r="BA3456" s="781"/>
      <c r="BB3456" s="209">
        <v>23053184</v>
      </c>
    </row>
    <row r="3457" spans="1:54" ht="24.65" customHeight="1">
      <c r="A3457" s="529" t="s">
        <v>1812</v>
      </c>
      <c r="B3457" s="357">
        <v>46163</v>
      </c>
      <c r="C3457" s="776">
        <v>46183</v>
      </c>
      <c r="D3457" s="185">
        <f>IF(B3457="","",YEAR(B3457))</f>
        <v>2026</v>
      </c>
      <c r="E3457" s="358" t="e">
        <f>VLOOKUP($B3457,Week!$A$1:$C$1462,2,0)</f>
        <v>#N/A</v>
      </c>
      <c r="F3457" s="360" t="str">
        <f>IF(B3457="","",TEXT(B3457,"[$-409]mmm"))</f>
        <v>May</v>
      </c>
      <c r="G3457" s="359" t="s">
        <v>3028</v>
      </c>
      <c r="H3457" s="436" t="s">
        <v>1820</v>
      </c>
      <c r="I3457" s="436" t="s">
        <v>1820</v>
      </c>
      <c r="J3457" s="437" t="s">
        <v>1821</v>
      </c>
      <c r="K3457" s="362" t="s">
        <v>94</v>
      </c>
      <c r="L3457" s="300" t="s">
        <v>2167</v>
      </c>
      <c r="M3457" s="361" t="s">
        <v>1823</v>
      </c>
      <c r="N3457" s="436" t="s">
        <v>1818</v>
      </c>
      <c r="O3457" s="359" t="s">
        <v>97</v>
      </c>
      <c r="P3457" s="363">
        <v>12</v>
      </c>
      <c r="Q3457" s="363">
        <v>5</v>
      </c>
      <c r="R3457" s="364">
        <v>8.0000000000000002E-3</v>
      </c>
      <c r="S3457" s="359" t="s">
        <v>40</v>
      </c>
      <c r="T3457" s="359" t="s">
        <v>56</v>
      </c>
      <c r="U3457" s="359" t="s">
        <v>57</v>
      </c>
      <c r="V3457" s="365">
        <f>200</f>
        <v>200</v>
      </c>
      <c r="W3457" s="365">
        <f>2+198</f>
        <v>200</v>
      </c>
      <c r="X3457" s="366">
        <f>(55)/12</f>
        <v>4.583333333333333</v>
      </c>
      <c r="Y3457" s="367">
        <f t="shared" si="1637"/>
        <v>4.5833333333333428</v>
      </c>
      <c r="Z3457" s="368">
        <f t="shared" si="1638"/>
        <v>0</v>
      </c>
      <c r="AA3457" s="368">
        <f>Q3457*Z3457</f>
        <v>0</v>
      </c>
      <c r="AB3457" s="819">
        <v>7.4999999999999997E-3</v>
      </c>
      <c r="AC3457" s="365">
        <f t="shared" si="1640"/>
        <v>0</v>
      </c>
      <c r="AD3457" s="443"/>
      <c r="AE3457" s="210">
        <f t="shared" si="1653"/>
        <v>0</v>
      </c>
      <c r="AF3457" s="210">
        <f t="shared" si="1641"/>
        <v>0</v>
      </c>
      <c r="AG3457" s="211">
        <f t="shared" ref="AG3457:AG3469" si="1654">MID(O3457,1,3)/1000</f>
        <v>0.14499999999999999</v>
      </c>
      <c r="AH3457" s="157">
        <f t="shared" si="1652"/>
        <v>0</v>
      </c>
      <c r="AI3457" s="152">
        <f t="shared" si="1643"/>
        <v>2400</v>
      </c>
      <c r="AK3457" s="156" t="s">
        <v>691</v>
      </c>
      <c r="AL3457" s="574" t="s">
        <v>690</v>
      </c>
      <c r="AM3457" s="198">
        <f>AG3457*Z3457</f>
        <v>0</v>
      </c>
      <c r="AN3457" s="199">
        <f>B3457</f>
        <v>46163</v>
      </c>
      <c r="AO3457" s="159" t="s">
        <v>692</v>
      </c>
      <c r="AP3457" s="783" t="s">
        <v>628</v>
      </c>
      <c r="AQ3457" s="782">
        <v>12071839</v>
      </c>
      <c r="AR3457" s="782">
        <v>12047514</v>
      </c>
      <c r="AS3457" s="782">
        <v>12047515</v>
      </c>
      <c r="AT3457" s="782"/>
      <c r="AU3457" s="781"/>
      <c r="AV3457" s="782">
        <v>12080617</v>
      </c>
      <c r="AW3457" s="782"/>
      <c r="AX3457" s="782" t="s">
        <v>2986</v>
      </c>
      <c r="AY3457" s="782">
        <v>12094231</v>
      </c>
      <c r="AZ3457" s="782">
        <v>1209232</v>
      </c>
      <c r="BA3457" s="781"/>
      <c r="BB3457" s="209">
        <v>23053185</v>
      </c>
    </row>
    <row r="3458" spans="1:54" ht="24.65" customHeight="1">
      <c r="B3458" s="411">
        <v>46163</v>
      </c>
      <c r="C3458" s="645" t="s">
        <v>2849</v>
      </c>
      <c r="D3458" s="185">
        <f>IF(B3458="","",YEAR(B3458))</f>
        <v>2026</v>
      </c>
      <c r="E3458" s="412" t="e">
        <f>VLOOKUP($B3458,Week!$A$1:$C$1462,2,0)</f>
        <v>#N/A</v>
      </c>
      <c r="F3458" s="413" t="str">
        <f>IF(B3458="","",TEXT(B3458,"[$-409]mmm"))</f>
        <v>May</v>
      </c>
      <c r="G3458" s="414" t="s">
        <v>47</v>
      </c>
      <c r="H3458" s="414" t="s">
        <v>260</v>
      </c>
      <c r="I3458" s="414" t="s">
        <v>2702</v>
      </c>
      <c r="J3458" s="415" t="s">
        <v>261</v>
      </c>
      <c r="K3458" s="416" t="s">
        <v>94</v>
      </c>
      <c r="L3458" s="300" t="s">
        <v>2167</v>
      </c>
      <c r="M3458" s="415" t="s">
        <v>2339</v>
      </c>
      <c r="N3458" s="414" t="s">
        <v>263</v>
      </c>
      <c r="O3458" s="414" t="s">
        <v>195</v>
      </c>
      <c r="P3458" s="417">
        <v>24</v>
      </c>
      <c r="Q3458" s="417">
        <v>5</v>
      </c>
      <c r="R3458" s="418">
        <v>8.0000000000000002E-3</v>
      </c>
      <c r="S3458" s="414" t="s">
        <v>40</v>
      </c>
      <c r="T3458" s="414" t="s">
        <v>56</v>
      </c>
      <c r="U3458" s="414" t="s">
        <v>57</v>
      </c>
      <c r="V3458" s="419">
        <f>10000-5100</f>
        <v>4900</v>
      </c>
      <c r="W3458" s="419">
        <f>1+4899</f>
        <v>4900</v>
      </c>
      <c r="X3458" s="420"/>
      <c r="Y3458" s="421">
        <f t="shared" si="1637"/>
        <v>0</v>
      </c>
      <c r="Z3458" s="422">
        <f t="shared" si="1638"/>
        <v>0</v>
      </c>
      <c r="AA3458" s="422">
        <f>Q3458*Z3458</f>
        <v>0</v>
      </c>
      <c r="AB3458" s="825">
        <v>7.4999999999999997E-3</v>
      </c>
      <c r="AC3458" s="419">
        <f t="shared" si="1640"/>
        <v>0</v>
      </c>
      <c r="AD3458" s="209" t="s">
        <v>2698</v>
      </c>
      <c r="AE3458" s="210">
        <f t="shared" si="1653"/>
        <v>0</v>
      </c>
      <c r="AF3458" s="210">
        <f t="shared" si="1641"/>
        <v>0</v>
      </c>
      <c r="AG3458" s="211">
        <f t="shared" si="1654"/>
        <v>0.14499999999999999</v>
      </c>
      <c r="AH3458" s="157">
        <f t="shared" si="1652"/>
        <v>0</v>
      </c>
      <c r="AI3458" s="152">
        <f t="shared" si="1643"/>
        <v>117600</v>
      </c>
      <c r="AK3458" s="156" t="s">
        <v>691</v>
      </c>
      <c r="AL3458" s="212" t="s">
        <v>690</v>
      </c>
      <c r="AM3458" s="198">
        <f>AG3458*Z3458</f>
        <v>0</v>
      </c>
      <c r="AN3458" s="199">
        <f>B3458</f>
        <v>46163</v>
      </c>
      <c r="AO3458" s="159" t="s">
        <v>692</v>
      </c>
      <c r="AP3458" s="783" t="s">
        <v>609</v>
      </c>
      <c r="AQ3458" s="782">
        <v>12071839</v>
      </c>
      <c r="AR3458" s="782">
        <v>12047514</v>
      </c>
      <c r="AS3458" s="782">
        <v>12047515</v>
      </c>
      <c r="AT3458" s="781"/>
      <c r="AU3458" s="781"/>
      <c r="AV3458" s="782">
        <v>12080613</v>
      </c>
      <c r="AW3458" s="781"/>
      <c r="AX3458" s="781"/>
      <c r="AY3458" s="782">
        <v>12094241</v>
      </c>
      <c r="AZ3458" s="782">
        <v>12094242</v>
      </c>
      <c r="BA3458" s="781"/>
      <c r="BB3458" s="209">
        <v>23053185</v>
      </c>
    </row>
    <row r="3459" spans="1:54" ht="24.65" customHeight="1">
      <c r="B3459" s="411">
        <v>46163</v>
      </c>
      <c r="C3459" s="645" t="s">
        <v>2849</v>
      </c>
      <c r="D3459" s="185">
        <f t="shared" ref="D3459:D3467" si="1655">IF(B3459="","",YEAR(B3459))</f>
        <v>2026</v>
      </c>
      <c r="E3459" s="412" t="e">
        <f>VLOOKUP($B3459,Week!$A$1:$C$1462,2,0)</f>
        <v>#N/A</v>
      </c>
      <c r="F3459" s="413" t="str">
        <f t="shared" ref="F3459:F3467" si="1656">IF(B3459="","",TEXT(B3459,"[$-409]mmm"))</f>
        <v>May</v>
      </c>
      <c r="G3459" s="414" t="s">
        <v>47</v>
      </c>
      <c r="H3459" s="414" t="s">
        <v>260</v>
      </c>
      <c r="I3459" s="414" t="s">
        <v>2702</v>
      </c>
      <c r="J3459" s="415" t="s">
        <v>261</v>
      </c>
      <c r="K3459" s="416" t="s">
        <v>94</v>
      </c>
      <c r="L3459" s="300" t="s">
        <v>2167</v>
      </c>
      <c r="M3459" s="415" t="s">
        <v>2339</v>
      </c>
      <c r="N3459" s="414" t="s">
        <v>263</v>
      </c>
      <c r="O3459" s="414" t="s">
        <v>195</v>
      </c>
      <c r="P3459" s="417">
        <v>24</v>
      </c>
      <c r="Q3459" s="417">
        <v>5</v>
      </c>
      <c r="R3459" s="418">
        <v>8.0000000000000002E-3</v>
      </c>
      <c r="S3459" s="414" t="s">
        <v>40</v>
      </c>
      <c r="T3459" s="414" t="s">
        <v>56</v>
      </c>
      <c r="U3459" s="414" t="s">
        <v>57</v>
      </c>
      <c r="V3459" s="419">
        <v>65</v>
      </c>
      <c r="W3459" s="419">
        <v>65</v>
      </c>
      <c r="X3459" s="420"/>
      <c r="Y3459" s="421">
        <f t="shared" si="1637"/>
        <v>0</v>
      </c>
      <c r="Z3459" s="422">
        <f t="shared" si="1638"/>
        <v>0</v>
      </c>
      <c r="AA3459" s="422">
        <f t="shared" ref="AA3459:AA3467" si="1657">Q3459*Z3459</f>
        <v>0</v>
      </c>
      <c r="AB3459" s="825">
        <v>7.4999999999999997E-3</v>
      </c>
      <c r="AC3459" s="419">
        <f t="shared" si="1640"/>
        <v>0</v>
      </c>
      <c r="AD3459" s="209" t="s">
        <v>2698</v>
      </c>
      <c r="AE3459" s="210">
        <f t="shared" si="1653"/>
        <v>0</v>
      </c>
      <c r="AF3459" s="210">
        <f t="shared" si="1641"/>
        <v>0</v>
      </c>
      <c r="AG3459" s="211">
        <f t="shared" si="1654"/>
        <v>0.14499999999999999</v>
      </c>
      <c r="AH3459" s="157">
        <f t="shared" si="1652"/>
        <v>0</v>
      </c>
      <c r="AI3459" s="152">
        <f t="shared" si="1643"/>
        <v>1560</v>
      </c>
      <c r="AK3459" s="156" t="s">
        <v>691</v>
      </c>
      <c r="AL3459" s="212" t="s">
        <v>690</v>
      </c>
      <c r="AM3459" s="198">
        <f t="shared" ref="AM3459:AM3467" si="1658">AG3459*Z3459</f>
        <v>0</v>
      </c>
      <c r="AN3459" s="199">
        <f t="shared" ref="AN3459:AN3467" si="1659">B3459</f>
        <v>46163</v>
      </c>
      <c r="AO3459" s="159" t="s">
        <v>692</v>
      </c>
      <c r="AP3459" s="783" t="s">
        <v>609</v>
      </c>
      <c r="AQ3459" s="782">
        <v>12071839</v>
      </c>
      <c r="AR3459" s="782">
        <v>12047514</v>
      </c>
      <c r="AS3459" s="782">
        <v>12047515</v>
      </c>
      <c r="AT3459" s="781"/>
      <c r="AU3459" s="781"/>
      <c r="AV3459" s="782">
        <v>12080613</v>
      </c>
      <c r="AW3459" s="781"/>
      <c r="AX3459" s="781"/>
      <c r="AY3459" s="782">
        <v>12094241</v>
      </c>
      <c r="AZ3459" s="782">
        <v>12094242</v>
      </c>
      <c r="BA3459" s="781"/>
      <c r="BB3459" s="209">
        <v>23053185</v>
      </c>
    </row>
    <row r="3460" spans="1:54" ht="25" customHeight="1">
      <c r="B3460" s="213">
        <v>46164</v>
      </c>
      <c r="C3460" s="214">
        <v>46189</v>
      </c>
      <c r="D3460" s="215">
        <f t="shared" si="1655"/>
        <v>2026</v>
      </c>
      <c r="E3460" s="214" t="e">
        <f>VLOOKUP($B3460,Week!$A$1:$C$1462,2,0)</f>
        <v>#N/A</v>
      </c>
      <c r="F3460" s="216" t="str">
        <f t="shared" si="1656"/>
        <v>May</v>
      </c>
      <c r="G3460" s="215" t="s">
        <v>3007</v>
      </c>
      <c r="H3460" s="215" t="s">
        <v>600</v>
      </c>
      <c r="I3460" s="215" t="s">
        <v>2772</v>
      </c>
      <c r="J3460" s="209" t="s">
        <v>708</v>
      </c>
      <c r="K3460" s="217" t="s">
        <v>2534</v>
      </c>
      <c r="L3460" s="217" t="s">
        <v>2167</v>
      </c>
      <c r="M3460" s="209" t="s">
        <v>2933</v>
      </c>
      <c r="N3460" s="480" t="s">
        <v>2923</v>
      </c>
      <c r="O3460" s="215" t="s">
        <v>2917</v>
      </c>
      <c r="P3460" s="218">
        <v>12</v>
      </c>
      <c r="Q3460" s="218">
        <v>3</v>
      </c>
      <c r="R3460" s="219">
        <v>6.1999999999999998E-3</v>
      </c>
      <c r="S3460" s="215" t="s">
        <v>55</v>
      </c>
      <c r="T3460" s="215" t="s">
        <v>112</v>
      </c>
      <c r="U3460" s="852" t="s">
        <v>739</v>
      </c>
      <c r="V3460" s="220">
        <v>2660</v>
      </c>
      <c r="W3460" s="220"/>
      <c r="X3460" s="221">
        <f>(31920)/12</f>
        <v>2660</v>
      </c>
      <c r="Y3460" s="222">
        <f t="shared" si="1637"/>
        <v>0</v>
      </c>
      <c r="Z3460" s="223">
        <f t="shared" si="1638"/>
        <v>0</v>
      </c>
      <c r="AA3460" s="223">
        <f t="shared" si="1657"/>
        <v>0</v>
      </c>
      <c r="AB3460" s="807"/>
      <c r="AC3460" s="220">
        <f t="shared" si="1640"/>
        <v>0</v>
      </c>
      <c r="AD3460" s="443" t="s">
        <v>2779</v>
      </c>
      <c r="AE3460" s="210">
        <f t="shared" si="1653"/>
        <v>0</v>
      </c>
      <c r="AF3460" s="210">
        <f t="shared" si="1641"/>
        <v>0</v>
      </c>
      <c r="AG3460" s="211">
        <f t="shared" si="1654"/>
        <v>0.24</v>
      </c>
      <c r="AH3460" s="157">
        <v>0.26621999999999996</v>
      </c>
      <c r="AI3460" s="152">
        <f t="shared" si="1643"/>
        <v>31920</v>
      </c>
      <c r="AK3460" s="156" t="s">
        <v>691</v>
      </c>
      <c r="AL3460" s="574" t="s">
        <v>690</v>
      </c>
      <c r="AM3460" s="198">
        <f t="shared" si="1658"/>
        <v>0</v>
      </c>
      <c r="AN3460" s="199">
        <f t="shared" si="1659"/>
        <v>46164</v>
      </c>
      <c r="AO3460" s="159" t="s">
        <v>692</v>
      </c>
      <c r="AP3460" s="781"/>
      <c r="AQ3460" s="782">
        <v>12071839</v>
      </c>
      <c r="AR3460" s="782">
        <v>12095778</v>
      </c>
      <c r="AS3460" s="782">
        <v>12095777</v>
      </c>
      <c r="AT3460" s="798" t="s">
        <v>3020</v>
      </c>
      <c r="AU3460" s="783"/>
      <c r="AV3460" s="782">
        <v>12098856</v>
      </c>
      <c r="AW3460" s="783"/>
      <c r="AX3460" s="781"/>
      <c r="AY3460" s="796"/>
      <c r="AZ3460" s="796"/>
      <c r="BA3460" s="796"/>
      <c r="BB3460" s="209">
        <v>23099860</v>
      </c>
    </row>
    <row r="3461" spans="1:54" ht="25" customHeight="1">
      <c r="B3461" s="213">
        <v>46164</v>
      </c>
      <c r="C3461" s="902" t="s">
        <v>2848</v>
      </c>
      <c r="D3461" s="215">
        <f t="shared" si="1655"/>
        <v>2026</v>
      </c>
      <c r="E3461" s="214" t="e">
        <f>VLOOKUP($B3461,Week!$A$1:$C$1462,2,0)</f>
        <v>#N/A</v>
      </c>
      <c r="F3461" s="216" t="str">
        <f t="shared" si="1656"/>
        <v>May</v>
      </c>
      <c r="G3461" s="215" t="s">
        <v>47</v>
      </c>
      <c r="H3461" s="215" t="s">
        <v>518</v>
      </c>
      <c r="I3461" s="215" t="s">
        <v>2702</v>
      </c>
      <c r="J3461" s="209" t="s">
        <v>2702</v>
      </c>
      <c r="K3461" s="217" t="s">
        <v>2912</v>
      </c>
      <c r="L3461" s="217" t="s">
        <v>2167</v>
      </c>
      <c r="M3461" s="209" t="s">
        <v>2898</v>
      </c>
      <c r="N3461" s="480" t="s">
        <v>2900</v>
      </c>
      <c r="O3461" s="215" t="s">
        <v>2897</v>
      </c>
      <c r="P3461" s="218">
        <v>12</v>
      </c>
      <c r="Q3461" s="218">
        <v>3</v>
      </c>
      <c r="R3461" s="219">
        <v>6.1999999999999998E-3</v>
      </c>
      <c r="S3461" s="215" t="s">
        <v>352</v>
      </c>
      <c r="T3461" s="215" t="s">
        <v>56</v>
      </c>
      <c r="U3461" s="852" t="s">
        <v>739</v>
      </c>
      <c r="V3461" s="220">
        <f>800</f>
        <v>800</v>
      </c>
      <c r="W3461" s="220">
        <v>800</v>
      </c>
      <c r="X3461" s="221"/>
      <c r="Y3461" s="222">
        <f t="shared" si="1637"/>
        <v>0</v>
      </c>
      <c r="Z3461" s="223">
        <f t="shared" si="1638"/>
        <v>0</v>
      </c>
      <c r="AA3461" s="223">
        <f t="shared" si="1657"/>
        <v>0</v>
      </c>
      <c r="AB3461" s="807">
        <v>1.83E-2</v>
      </c>
      <c r="AC3461" s="220">
        <f t="shared" si="1640"/>
        <v>0</v>
      </c>
      <c r="AD3461" s="443"/>
      <c r="AE3461" s="210">
        <f t="shared" si="1653"/>
        <v>0</v>
      </c>
      <c r="AF3461" s="210">
        <f t="shared" si="1641"/>
        <v>0</v>
      </c>
      <c r="AG3461" s="211">
        <f t="shared" si="1654"/>
        <v>0.25</v>
      </c>
      <c r="AH3461" s="157">
        <v>0.26621999999999996</v>
      </c>
      <c r="AI3461" s="152">
        <f t="shared" si="1643"/>
        <v>9600</v>
      </c>
      <c r="AK3461" s="156" t="s">
        <v>691</v>
      </c>
      <c r="AL3461" s="574" t="s">
        <v>690</v>
      </c>
      <c r="AM3461" s="198">
        <f t="shared" si="1658"/>
        <v>0</v>
      </c>
      <c r="AN3461" s="199">
        <f t="shared" si="1659"/>
        <v>46164</v>
      </c>
      <c r="AO3461" s="159" t="s">
        <v>692</v>
      </c>
      <c r="AP3461" s="781" t="s">
        <v>642</v>
      </c>
      <c r="AQ3461" s="782">
        <v>12063755</v>
      </c>
      <c r="AR3461" s="782">
        <v>12042650</v>
      </c>
      <c r="AS3461" s="782">
        <v>12042649</v>
      </c>
      <c r="AT3461" s="782"/>
      <c r="AU3461" s="783"/>
      <c r="AV3461" s="782">
        <v>12097895</v>
      </c>
      <c r="AW3461" s="783"/>
      <c r="AX3461" s="781"/>
      <c r="AY3461" s="796">
        <v>12097893</v>
      </c>
      <c r="AZ3461" s="796">
        <v>12097894</v>
      </c>
      <c r="BA3461" s="796" t="s">
        <v>2462</v>
      </c>
      <c r="BB3461" s="209">
        <v>23099860</v>
      </c>
    </row>
    <row r="3462" spans="1:54" ht="25" customHeight="1">
      <c r="B3462" s="950">
        <v>46164</v>
      </c>
      <c r="C3462" s="951" t="s">
        <v>2849</v>
      </c>
      <c r="D3462" s="215">
        <f t="shared" si="1655"/>
        <v>2026</v>
      </c>
      <c r="E3462" s="214" t="e">
        <f>VLOOKUP($B3462,Week!$A$1:$C$1462,2,0)</f>
        <v>#N/A</v>
      </c>
      <c r="F3462" s="216" t="str">
        <f t="shared" si="1656"/>
        <v>May</v>
      </c>
      <c r="G3462" s="952" t="s">
        <v>47</v>
      </c>
      <c r="H3462" s="952" t="s">
        <v>260</v>
      </c>
      <c r="I3462" s="215" t="s">
        <v>2702</v>
      </c>
      <c r="J3462" s="953" t="s">
        <v>2702</v>
      </c>
      <c r="K3462" s="954" t="s">
        <v>2912</v>
      </c>
      <c r="L3462" s="217" t="s">
        <v>2167</v>
      </c>
      <c r="M3462" s="953" t="s">
        <v>2899</v>
      </c>
      <c r="N3462" s="955" t="s">
        <v>2704</v>
      </c>
      <c r="O3462" s="952" t="s">
        <v>1635</v>
      </c>
      <c r="P3462" s="956">
        <v>24</v>
      </c>
      <c r="Q3462" s="956">
        <v>3</v>
      </c>
      <c r="R3462" s="957">
        <v>6.1999999999999998E-3</v>
      </c>
      <c r="S3462" s="952" t="s">
        <v>352</v>
      </c>
      <c r="T3462" s="952" t="s">
        <v>56</v>
      </c>
      <c r="U3462" s="958" t="s">
        <v>739</v>
      </c>
      <c r="V3462" s="959">
        <f>2400</f>
        <v>2400</v>
      </c>
      <c r="W3462" s="959">
        <f>112+1+2287</f>
        <v>2400</v>
      </c>
      <c r="X3462" s="960"/>
      <c r="Y3462" s="961">
        <f t="shared" si="1637"/>
        <v>0</v>
      </c>
      <c r="Z3462" s="962">
        <f t="shared" si="1638"/>
        <v>0</v>
      </c>
      <c r="AA3462" s="962">
        <f t="shared" si="1657"/>
        <v>0</v>
      </c>
      <c r="AB3462" s="963">
        <v>1.83E-2</v>
      </c>
      <c r="AC3462" s="959">
        <f t="shared" si="1640"/>
        <v>0</v>
      </c>
      <c r="AD3462" s="443"/>
      <c r="AE3462" s="210">
        <f t="shared" si="1653"/>
        <v>0</v>
      </c>
      <c r="AF3462" s="210">
        <f t="shared" si="1641"/>
        <v>0</v>
      </c>
      <c r="AG3462" s="211">
        <f t="shared" si="1654"/>
        <v>0.25</v>
      </c>
      <c r="AH3462" s="157">
        <v>0.26621999999999996</v>
      </c>
      <c r="AI3462" s="152">
        <f t="shared" si="1643"/>
        <v>57600</v>
      </c>
      <c r="AK3462" s="156" t="s">
        <v>691</v>
      </c>
      <c r="AL3462" s="574" t="s">
        <v>690</v>
      </c>
      <c r="AM3462" s="198">
        <f t="shared" si="1658"/>
        <v>0</v>
      </c>
      <c r="AN3462" s="199">
        <f t="shared" si="1659"/>
        <v>46164</v>
      </c>
      <c r="AO3462" s="159" t="s">
        <v>692</v>
      </c>
      <c r="AP3462" s="781" t="s">
        <v>642</v>
      </c>
      <c r="AQ3462" s="782">
        <v>12071839</v>
      </c>
      <c r="AR3462" s="782">
        <v>12042650</v>
      </c>
      <c r="AS3462" s="782">
        <v>12042649</v>
      </c>
      <c r="AT3462" s="782"/>
      <c r="AU3462" s="783"/>
      <c r="AV3462" s="782">
        <v>12097895</v>
      </c>
      <c r="AW3462" s="783"/>
      <c r="AX3462" s="781"/>
      <c r="AY3462" s="796">
        <v>12097893</v>
      </c>
      <c r="AZ3462" s="796">
        <v>12097894</v>
      </c>
      <c r="BA3462" s="796" t="s">
        <v>2462</v>
      </c>
      <c r="BB3462" s="209">
        <v>23099860</v>
      </c>
    </row>
    <row r="3463" spans="1:54" ht="25" customHeight="1">
      <c r="A3463" s="440"/>
      <c r="B3463" s="743">
        <v>46165</v>
      </c>
      <c r="C3463" s="743">
        <v>46189</v>
      </c>
      <c r="D3463" s="746">
        <f>IF(B3463="","",YEAR(B3463))</f>
        <v>2026</v>
      </c>
      <c r="E3463" s="858" t="e">
        <f>VLOOKUP($B3463,Week!$A$1:$C$1462,2,0)</f>
        <v>#N/A</v>
      </c>
      <c r="F3463" s="859" t="str">
        <f>IF(B3463="","",TEXT(B3463,"[$-409]mmm"))</f>
        <v>May</v>
      </c>
      <c r="G3463" s="746" t="s">
        <v>2957</v>
      </c>
      <c r="H3463" s="746" t="s">
        <v>2956</v>
      </c>
      <c r="I3463" s="746" t="s">
        <v>2772</v>
      </c>
      <c r="J3463" s="747" t="s">
        <v>425</v>
      </c>
      <c r="K3463" s="748" t="s">
        <v>1651</v>
      </c>
      <c r="L3463" s="748" t="s">
        <v>2167</v>
      </c>
      <c r="M3463" s="747" t="s">
        <v>2260</v>
      </c>
      <c r="N3463" s="746" t="s">
        <v>3050</v>
      </c>
      <c r="O3463" s="746" t="s">
        <v>2254</v>
      </c>
      <c r="P3463" s="749">
        <v>6</v>
      </c>
      <c r="Q3463" s="749">
        <v>3</v>
      </c>
      <c r="R3463" s="849">
        <v>6.1999999999999998E-3</v>
      </c>
      <c r="S3463" s="746" t="s">
        <v>55</v>
      </c>
      <c r="T3463" s="746" t="s">
        <v>112</v>
      </c>
      <c r="U3463" s="860" t="s">
        <v>1633</v>
      </c>
      <c r="V3463" s="750">
        <f>1300</f>
        <v>1300</v>
      </c>
      <c r="W3463" s="750"/>
      <c r="X3463" s="751">
        <f>(2755+6272)/6</f>
        <v>1504.5</v>
      </c>
      <c r="Y3463" s="752">
        <f t="shared" si="1637"/>
        <v>204.5</v>
      </c>
      <c r="Z3463" s="753">
        <f t="shared" si="1638"/>
        <v>0</v>
      </c>
      <c r="AA3463" s="753">
        <f>Q3463*Z3463</f>
        <v>0</v>
      </c>
      <c r="AB3463" s="838">
        <v>6.5000000000000002E-2</v>
      </c>
      <c r="AC3463" s="750">
        <f t="shared" si="1640"/>
        <v>0</v>
      </c>
      <c r="AD3463" s="209"/>
      <c r="AE3463" s="210">
        <f t="shared" si="1653"/>
        <v>0</v>
      </c>
      <c r="AF3463" s="210">
        <f t="shared" si="1641"/>
        <v>0</v>
      </c>
      <c r="AG3463" s="211">
        <f t="shared" si="1654"/>
        <v>0.3</v>
      </c>
      <c r="AH3463" s="157">
        <f>(Z3463*AG3463)/1000</f>
        <v>0</v>
      </c>
      <c r="AI3463" s="152">
        <f t="shared" si="1643"/>
        <v>7800</v>
      </c>
      <c r="AK3463" s="156" t="s">
        <v>691</v>
      </c>
      <c r="AL3463" s="212" t="s">
        <v>690</v>
      </c>
      <c r="AM3463" s="198">
        <f>AG3463*Z3463</f>
        <v>0</v>
      </c>
      <c r="AN3463" s="199">
        <f>B3463</f>
        <v>46165</v>
      </c>
      <c r="AO3463" s="159" t="s">
        <v>692</v>
      </c>
      <c r="AP3463" s="781"/>
      <c r="AQ3463" s="782"/>
      <c r="AR3463" s="782" t="s">
        <v>2379</v>
      </c>
      <c r="AS3463" s="782"/>
      <c r="AT3463" s="782">
        <v>12095581</v>
      </c>
      <c r="AU3463" s="783"/>
      <c r="AV3463" s="782">
        <v>12098931</v>
      </c>
      <c r="AW3463" s="782"/>
      <c r="AX3463" s="782"/>
      <c r="AY3463" s="782"/>
      <c r="AZ3463" s="782"/>
      <c r="BA3463" s="782"/>
      <c r="BB3463" s="209">
        <v>23105543</v>
      </c>
    </row>
    <row r="3464" spans="1:54" ht="25" customHeight="1">
      <c r="A3464" s="440"/>
      <c r="B3464" s="743">
        <v>46165</v>
      </c>
      <c r="C3464" s="744">
        <v>46191</v>
      </c>
      <c r="D3464" s="185">
        <f>IF(B3464="","",YEAR(B3464))</f>
        <v>2026</v>
      </c>
      <c r="E3464" s="333" t="e">
        <f>VLOOKUP($B3464,Week!$A$1:$C$1462,2,0)</f>
        <v>#N/A</v>
      </c>
      <c r="F3464" s="334" t="str">
        <f>IF(B3464="","",TEXT(B3464,"[$-409]mmm"))</f>
        <v>May</v>
      </c>
      <c r="G3464" s="746" t="s">
        <v>2837</v>
      </c>
      <c r="H3464" s="746" t="s">
        <v>311</v>
      </c>
      <c r="I3464" s="335" t="s">
        <v>2772</v>
      </c>
      <c r="J3464" s="747" t="s">
        <v>2913</v>
      </c>
      <c r="K3464" s="748" t="s">
        <v>1651</v>
      </c>
      <c r="L3464" s="300" t="s">
        <v>2167</v>
      </c>
      <c r="M3464" s="747" t="s">
        <v>683</v>
      </c>
      <c r="N3464" s="915" t="s">
        <v>2776</v>
      </c>
      <c r="O3464" s="746" t="s">
        <v>2749</v>
      </c>
      <c r="P3464" s="749">
        <v>5</v>
      </c>
      <c r="Q3464" s="749">
        <v>3</v>
      </c>
      <c r="R3464" s="849">
        <v>6.0000000000000001E-3</v>
      </c>
      <c r="S3464" s="746" t="s">
        <v>55</v>
      </c>
      <c r="T3464" s="746" t="s">
        <v>112</v>
      </c>
      <c r="U3464" s="860" t="s">
        <v>1633</v>
      </c>
      <c r="V3464" s="750">
        <f>5000+76</f>
        <v>5076</v>
      </c>
      <c r="W3464" s="750"/>
      <c r="X3464" s="751">
        <f>(123+25257)/5</f>
        <v>5076</v>
      </c>
      <c r="Y3464" s="752">
        <f t="shared" si="1637"/>
        <v>0</v>
      </c>
      <c r="Z3464" s="753">
        <f t="shared" si="1638"/>
        <v>0</v>
      </c>
      <c r="AA3464" s="753">
        <f>Q3464*Z3464</f>
        <v>0</v>
      </c>
      <c r="AB3464" s="838">
        <v>1</v>
      </c>
      <c r="AC3464" s="750">
        <f t="shared" si="1640"/>
        <v>0</v>
      </c>
      <c r="AD3464" s="307" t="s">
        <v>2354</v>
      </c>
      <c r="AE3464" s="210">
        <f t="shared" si="1653"/>
        <v>0</v>
      </c>
      <c r="AF3464" s="210">
        <f t="shared" si="1641"/>
        <v>0</v>
      </c>
      <c r="AG3464" s="211">
        <f t="shared" si="1654"/>
        <v>0.28299999999999997</v>
      </c>
      <c r="AH3464" s="157">
        <v>0.26621999999999996</v>
      </c>
      <c r="AI3464" s="152">
        <f t="shared" si="1643"/>
        <v>25380</v>
      </c>
      <c r="AK3464" s="156" t="s">
        <v>691</v>
      </c>
      <c r="AL3464" s="574" t="s">
        <v>690</v>
      </c>
      <c r="AM3464" s="198">
        <f>AG3464*Z3464</f>
        <v>0</v>
      </c>
      <c r="AN3464" s="199">
        <f>B3464</f>
        <v>46165</v>
      </c>
      <c r="AO3464" s="159" t="s">
        <v>692</v>
      </c>
      <c r="AP3464" s="781" t="s">
        <v>642</v>
      </c>
      <c r="AQ3464" s="782">
        <v>12063755</v>
      </c>
      <c r="AR3464" s="782">
        <v>12081257</v>
      </c>
      <c r="AS3464" s="782">
        <v>12081260</v>
      </c>
      <c r="AT3464" s="782">
        <v>12098256</v>
      </c>
      <c r="AU3464" s="781"/>
      <c r="AV3464" s="782">
        <v>12098255</v>
      </c>
      <c r="AW3464" s="781"/>
      <c r="AX3464" s="781"/>
      <c r="AY3464" s="781"/>
      <c r="AZ3464" s="781"/>
      <c r="BA3464" s="781"/>
      <c r="BB3464" s="209">
        <v>23099087</v>
      </c>
    </row>
    <row r="3465" spans="1:54" ht="25" customHeight="1">
      <c r="B3465" s="200">
        <v>46165</v>
      </c>
      <c r="C3465" s="201">
        <v>46230</v>
      </c>
      <c r="D3465" s="185">
        <f t="shared" si="1655"/>
        <v>2026</v>
      </c>
      <c r="E3465" s="201" t="e">
        <f>VLOOKUP($B3465,Week!$A$1:$C$1462,2,0)</f>
        <v>#N/A</v>
      </c>
      <c r="F3465" s="202" t="str">
        <f t="shared" si="1656"/>
        <v>May</v>
      </c>
      <c r="G3465" s="512" t="s">
        <v>3008</v>
      </c>
      <c r="H3465" s="512" t="s">
        <v>424</v>
      </c>
      <c r="I3465" s="512" t="s">
        <v>2772</v>
      </c>
      <c r="J3465" s="513" t="s">
        <v>535</v>
      </c>
      <c r="K3465" s="514" t="s">
        <v>227</v>
      </c>
      <c r="L3465" s="300" t="s">
        <v>2167</v>
      </c>
      <c r="M3465" s="513" t="s">
        <v>539</v>
      </c>
      <c r="N3465" s="512" t="s">
        <v>540</v>
      </c>
      <c r="O3465" s="512" t="s">
        <v>304</v>
      </c>
      <c r="P3465" s="203">
        <v>8</v>
      </c>
      <c r="Q3465" s="203">
        <v>5</v>
      </c>
      <c r="R3465" s="204">
        <v>7.4999999999999997E-3</v>
      </c>
      <c r="S3465" s="512" t="s">
        <v>111</v>
      </c>
      <c r="T3465" s="512" t="s">
        <v>112</v>
      </c>
      <c r="U3465" s="512" t="s">
        <v>57</v>
      </c>
      <c r="V3465" s="205">
        <f>900</f>
        <v>900</v>
      </c>
      <c r="W3465" s="205"/>
      <c r="X3465" s="206">
        <f>(603+40+6723)/8</f>
        <v>920.75</v>
      </c>
      <c r="Y3465" s="207">
        <f t="shared" si="1637"/>
        <v>20.75</v>
      </c>
      <c r="Z3465" s="208">
        <f t="shared" si="1638"/>
        <v>0</v>
      </c>
      <c r="AA3465" s="208">
        <f t="shared" si="1657"/>
        <v>0</v>
      </c>
      <c r="AB3465" s="806">
        <v>7.4999999999999997E-3</v>
      </c>
      <c r="AC3465" s="205">
        <f t="shared" si="1640"/>
        <v>0</v>
      </c>
      <c r="AD3465" s="307" t="s">
        <v>2354</v>
      </c>
      <c r="AE3465" s="210"/>
      <c r="AF3465" s="210"/>
      <c r="AG3465" s="211">
        <f t="shared" si="1654"/>
        <v>0.25800000000000001</v>
      </c>
      <c r="AH3465" s="157">
        <f>(Z3465*AG3465)/1000</f>
        <v>0</v>
      </c>
      <c r="AI3465" s="152">
        <f t="shared" si="1643"/>
        <v>7200</v>
      </c>
      <c r="AK3465" s="156" t="s">
        <v>691</v>
      </c>
      <c r="AL3465" s="212" t="s">
        <v>690</v>
      </c>
      <c r="AM3465" s="198">
        <f t="shared" si="1658"/>
        <v>0</v>
      </c>
      <c r="AN3465" s="199">
        <f t="shared" si="1659"/>
        <v>46165</v>
      </c>
      <c r="AO3465" s="159" t="s">
        <v>692</v>
      </c>
      <c r="AP3465" s="781"/>
      <c r="AQ3465" s="782">
        <v>12071839</v>
      </c>
      <c r="AR3465" s="782">
        <v>12095778</v>
      </c>
      <c r="AS3465" s="782">
        <v>12095777</v>
      </c>
      <c r="AT3465" s="782">
        <v>12096464</v>
      </c>
      <c r="AU3465" s="782"/>
      <c r="AV3465" s="782">
        <v>12098094</v>
      </c>
      <c r="AW3465" s="781"/>
      <c r="AX3465" s="781"/>
      <c r="AY3465" s="781" t="s">
        <v>541</v>
      </c>
      <c r="AZ3465" s="781"/>
      <c r="BA3465" s="781"/>
    </row>
    <row r="3466" spans="1:54" ht="25" customHeight="1">
      <c r="B3466" s="345">
        <v>46165</v>
      </c>
      <c r="C3466" s="464">
        <v>46196</v>
      </c>
      <c r="D3466" s="185">
        <f>IF(B3466="","",YEAR(B3466))</f>
        <v>2026</v>
      </c>
      <c r="E3466" s="464" t="e">
        <f>VLOOKUP($B3466,Week!$A$1:$C$1462,2,0)</f>
        <v>#N/A</v>
      </c>
      <c r="F3466" s="465" t="str">
        <f>IF(B3466="","",TEXT(B3466,"[$-409]mmm"))</f>
        <v>May</v>
      </c>
      <c r="G3466" s="347" t="s">
        <v>2847</v>
      </c>
      <c r="H3466" s="347" t="s">
        <v>134</v>
      </c>
      <c r="I3466" s="347" t="s">
        <v>2772</v>
      </c>
      <c r="J3466" s="349" t="s">
        <v>2932</v>
      </c>
      <c r="K3466" s="350" t="s">
        <v>107</v>
      </c>
      <c r="L3466" s="300" t="s">
        <v>2167</v>
      </c>
      <c r="M3466" s="349" t="s">
        <v>136</v>
      </c>
      <c r="N3466" s="347" t="s">
        <v>137</v>
      </c>
      <c r="O3466" s="347" t="s">
        <v>138</v>
      </c>
      <c r="P3466" s="351">
        <v>24</v>
      </c>
      <c r="Q3466" s="351">
        <v>3</v>
      </c>
      <c r="R3466" s="352">
        <v>7.4999999999999997E-3</v>
      </c>
      <c r="S3466" s="347" t="s">
        <v>111</v>
      </c>
      <c r="T3466" s="347" t="s">
        <v>56</v>
      </c>
      <c r="U3466" s="347" t="s">
        <v>572</v>
      </c>
      <c r="V3466" s="353">
        <f>250</f>
        <v>250</v>
      </c>
      <c r="W3466" s="353">
        <f>5+245</f>
        <v>250</v>
      </c>
      <c r="X3466" s="354"/>
      <c r="Y3466" s="355">
        <f t="shared" si="1637"/>
        <v>0</v>
      </c>
      <c r="Z3466" s="356">
        <f t="shared" si="1638"/>
        <v>0</v>
      </c>
      <c r="AA3466" s="356">
        <f>Q3466*Z3466</f>
        <v>0</v>
      </c>
      <c r="AB3466" s="818">
        <v>1</v>
      </c>
      <c r="AC3466" s="353">
        <f t="shared" si="1640"/>
        <v>0</v>
      </c>
      <c r="AD3466" s="443"/>
      <c r="AE3466" s="210">
        <f>SUM(Q3466*R3466*Z3466)/1000</f>
        <v>0</v>
      </c>
      <c r="AF3466" s="210">
        <f>AE3466/0.54</f>
        <v>0</v>
      </c>
      <c r="AG3466" s="211">
        <f t="shared" si="1654"/>
        <v>0.219</v>
      </c>
      <c r="AH3466" s="157">
        <f>(Z3466*AG3466)/1000</f>
        <v>0</v>
      </c>
      <c r="AI3466" s="152">
        <f t="shared" si="1643"/>
        <v>6000</v>
      </c>
      <c r="AK3466" s="156" t="s">
        <v>691</v>
      </c>
      <c r="AL3466" s="212" t="s">
        <v>690</v>
      </c>
      <c r="AM3466" s="198">
        <f>AG3466*Z3466</f>
        <v>0</v>
      </c>
      <c r="AN3466" s="199">
        <f>B3466</f>
        <v>46165</v>
      </c>
      <c r="AO3466" s="159" t="s">
        <v>692</v>
      </c>
      <c r="AP3466" s="783" t="s">
        <v>610</v>
      </c>
      <c r="AQ3466" s="796" t="s">
        <v>1500</v>
      </c>
      <c r="AR3466" s="782" t="s">
        <v>140</v>
      </c>
      <c r="AS3466" s="782" t="s">
        <v>141</v>
      </c>
      <c r="AT3466" s="782"/>
      <c r="AU3466" s="783" t="s">
        <v>568</v>
      </c>
      <c r="AV3466" s="796" t="s">
        <v>2983</v>
      </c>
      <c r="AW3466" s="796" t="s">
        <v>570</v>
      </c>
      <c r="AX3466" s="782"/>
      <c r="AY3466" s="782">
        <v>12095878</v>
      </c>
      <c r="AZ3466" s="782">
        <v>12095879</v>
      </c>
      <c r="BA3466" s="782">
        <v>12095880</v>
      </c>
    </row>
    <row r="3467" spans="1:54" ht="24.65" customHeight="1">
      <c r="B3467" s="308">
        <v>46165</v>
      </c>
      <c r="C3467" s="309">
        <v>46219</v>
      </c>
      <c r="D3467" s="185">
        <f t="shared" si="1655"/>
        <v>2026</v>
      </c>
      <c r="E3467" s="309" t="e">
        <f>VLOOKUP($B3467,Week!$A$1:$C$1462,2,0)</f>
        <v>#N/A</v>
      </c>
      <c r="F3467" s="310" t="str">
        <f t="shared" si="1656"/>
        <v>May</v>
      </c>
      <c r="G3467" s="311" t="s">
        <v>3003</v>
      </c>
      <c r="H3467" s="311" t="s">
        <v>311</v>
      </c>
      <c r="I3467" s="311" t="s">
        <v>2772</v>
      </c>
      <c r="J3467" s="312" t="s">
        <v>738</v>
      </c>
      <c r="K3467" s="313" t="s">
        <v>107</v>
      </c>
      <c r="L3467" s="300" t="s">
        <v>2167</v>
      </c>
      <c r="M3467" s="312" t="s">
        <v>313</v>
      </c>
      <c r="N3467" s="311" t="s">
        <v>314</v>
      </c>
      <c r="O3467" s="311" t="s">
        <v>110</v>
      </c>
      <c r="P3467" s="314">
        <v>36</v>
      </c>
      <c r="Q3467" s="314">
        <v>5</v>
      </c>
      <c r="R3467" s="315">
        <v>7.4999999999999997E-3</v>
      </c>
      <c r="S3467" s="311" t="s">
        <v>111</v>
      </c>
      <c r="T3467" s="311" t="s">
        <v>112</v>
      </c>
      <c r="U3467" s="311" t="s">
        <v>57</v>
      </c>
      <c r="V3467" s="316">
        <v>792</v>
      </c>
      <c r="W3467" s="316">
        <f>17+775</f>
        <v>792</v>
      </c>
      <c r="X3467" s="317"/>
      <c r="Y3467" s="318">
        <f t="shared" si="1637"/>
        <v>0</v>
      </c>
      <c r="Z3467" s="319">
        <f t="shared" si="1638"/>
        <v>0</v>
      </c>
      <c r="AA3467" s="319">
        <f t="shared" si="1657"/>
        <v>0</v>
      </c>
      <c r="AB3467" s="815">
        <v>7.4999999999999997E-3</v>
      </c>
      <c r="AC3467" s="316">
        <f t="shared" si="1640"/>
        <v>0</v>
      </c>
      <c r="AD3467" s="209"/>
      <c r="AE3467" s="210">
        <f>SUM(Q3467*R3467*Z3467)/1000</f>
        <v>0</v>
      </c>
      <c r="AF3467" s="210">
        <f>AE3467/0.54</f>
        <v>0</v>
      </c>
      <c r="AG3467" s="211">
        <f t="shared" si="1654"/>
        <v>0.308</v>
      </c>
      <c r="AH3467" s="157">
        <f>(Z3467*AG3467)/1000</f>
        <v>0</v>
      </c>
      <c r="AI3467" s="152">
        <f t="shared" si="1643"/>
        <v>28512</v>
      </c>
      <c r="AK3467" s="156" t="s">
        <v>691</v>
      </c>
      <c r="AL3467" s="212" t="s">
        <v>690</v>
      </c>
      <c r="AM3467" s="198">
        <f t="shared" si="1658"/>
        <v>0</v>
      </c>
      <c r="AN3467" s="199">
        <f t="shared" si="1659"/>
        <v>46165</v>
      </c>
      <c r="AO3467" s="159" t="s">
        <v>692</v>
      </c>
      <c r="AP3467" s="783" t="s">
        <v>644</v>
      </c>
      <c r="AQ3467" s="782">
        <v>12063755</v>
      </c>
      <c r="AR3467" s="782">
        <v>12081257</v>
      </c>
      <c r="AS3467" s="782">
        <v>12081260</v>
      </c>
      <c r="AT3467" s="782">
        <v>12098623</v>
      </c>
      <c r="AU3467" s="781"/>
      <c r="AV3467" s="782">
        <v>12098706</v>
      </c>
      <c r="AW3467" s="782">
        <v>12088207</v>
      </c>
      <c r="AX3467" s="782"/>
      <c r="AY3467" s="782">
        <v>12094237</v>
      </c>
      <c r="AZ3467" s="782"/>
      <c r="BA3467" s="781"/>
      <c r="BB3467" s="209">
        <v>23053185</v>
      </c>
    </row>
    <row r="3468" spans="1:54" ht="25" customHeight="1">
      <c r="B3468" s="385">
        <v>46165</v>
      </c>
      <c r="C3468" s="386">
        <v>46189</v>
      </c>
      <c r="D3468" s="185">
        <f t="shared" ref="D3468:D3531" si="1660">IF(B3468="","",YEAR(B3468))</f>
        <v>2026</v>
      </c>
      <c r="E3468" s="386" t="e">
        <f>VLOOKUP($B3468,Week!$A$1:$C$1462,2,0)</f>
        <v>#N/A</v>
      </c>
      <c r="F3468" s="387" t="str">
        <f t="shared" ref="F3468:F3531" si="1661">IF(B3468="","",TEXT(B3468,"[$-409]mmm"))</f>
        <v>May</v>
      </c>
      <c r="G3468" s="388" t="s">
        <v>2948</v>
      </c>
      <c r="H3468" s="388" t="s">
        <v>571</v>
      </c>
      <c r="I3468" s="388" t="s">
        <v>2772</v>
      </c>
      <c r="J3468" s="389" t="s">
        <v>663</v>
      </c>
      <c r="K3468" s="390" t="s">
        <v>1652</v>
      </c>
      <c r="L3468" s="300" t="s">
        <v>2167</v>
      </c>
      <c r="M3468" s="389" t="s">
        <v>682</v>
      </c>
      <c r="N3468" s="388" t="s">
        <v>718</v>
      </c>
      <c r="O3468" s="388" t="s">
        <v>659</v>
      </c>
      <c r="P3468" s="391">
        <v>12</v>
      </c>
      <c r="Q3468" s="391">
        <v>3</v>
      </c>
      <c r="R3468" s="392">
        <v>6.0000000000000001E-3</v>
      </c>
      <c r="S3468" s="388" t="s">
        <v>55</v>
      </c>
      <c r="T3468" s="388" t="s">
        <v>112</v>
      </c>
      <c r="U3468" s="601" t="s">
        <v>724</v>
      </c>
      <c r="V3468" s="393">
        <f>1139</f>
        <v>1139</v>
      </c>
      <c r="W3468" s="393"/>
      <c r="X3468" s="394">
        <f>14282/12</f>
        <v>1190.1666666666667</v>
      </c>
      <c r="Y3468" s="395">
        <f t="shared" si="1637"/>
        <v>51.166666666666742</v>
      </c>
      <c r="Z3468" s="396">
        <f t="shared" si="1638"/>
        <v>0</v>
      </c>
      <c r="AA3468" s="396">
        <f t="shared" ref="AA3468:AA3499" si="1662">Q3468*Z3468</f>
        <v>0</v>
      </c>
      <c r="AB3468" s="823">
        <v>5.8823E-2</v>
      </c>
      <c r="AC3468" s="393">
        <f t="shared" si="1640"/>
        <v>0</v>
      </c>
      <c r="AD3468" s="627" t="s">
        <v>672</v>
      </c>
      <c r="AE3468" s="210">
        <f>SUM(Q3468*R3468*Z3468)/1000</f>
        <v>0</v>
      </c>
      <c r="AF3468" s="210">
        <f>AE3468/0.54</f>
        <v>0</v>
      </c>
      <c r="AG3468" s="211">
        <f t="shared" si="1654"/>
        <v>0.30199999999999999</v>
      </c>
      <c r="AH3468" s="157">
        <v>0.26621999999999996</v>
      </c>
      <c r="AI3468" s="152">
        <f t="shared" si="1643"/>
        <v>13668</v>
      </c>
      <c r="AK3468" s="156" t="s">
        <v>691</v>
      </c>
      <c r="AL3468" s="212" t="s">
        <v>690</v>
      </c>
      <c r="AM3468" s="198">
        <f t="shared" ref="AM3468:AM3499" si="1663">AG3468*Z3468</f>
        <v>0</v>
      </c>
      <c r="AN3468" s="199">
        <f t="shared" ref="AN3468:AN3499" si="1664">B3468</f>
        <v>46165</v>
      </c>
      <c r="AO3468" s="159" t="s">
        <v>692</v>
      </c>
      <c r="AP3468" s="781" t="s">
        <v>642</v>
      </c>
      <c r="AQ3468" s="782">
        <v>12063755</v>
      </c>
      <c r="AR3468" s="782">
        <v>12061353</v>
      </c>
      <c r="AS3468" s="782">
        <v>12061354</v>
      </c>
      <c r="AT3468" s="782">
        <v>12090253</v>
      </c>
      <c r="AU3468" s="781"/>
      <c r="AV3468" s="782">
        <v>12090245</v>
      </c>
      <c r="AW3468" s="781"/>
      <c r="AX3468" s="781"/>
      <c r="AY3468" s="781"/>
      <c r="AZ3468" s="782"/>
      <c r="BA3468" s="781"/>
      <c r="BB3468" s="209">
        <v>23099860</v>
      </c>
    </row>
    <row r="3469" spans="1:54" ht="25" customHeight="1">
      <c r="B3469" s="743">
        <v>46165</v>
      </c>
      <c r="C3469" s="744">
        <v>46198</v>
      </c>
      <c r="D3469" s="746">
        <f t="shared" si="1660"/>
        <v>2026</v>
      </c>
      <c r="E3469" s="744" t="e">
        <f>VLOOKUP($B3469,Week!$A$1:$C$1462,2,0)</f>
        <v>#N/A</v>
      </c>
      <c r="F3469" s="745" t="str">
        <f t="shared" si="1661"/>
        <v>May</v>
      </c>
      <c r="G3469" s="746" t="s">
        <v>2839</v>
      </c>
      <c r="H3469" s="746" t="s">
        <v>311</v>
      </c>
      <c r="I3469" s="746" t="s">
        <v>2772</v>
      </c>
      <c r="J3469" s="747" t="s">
        <v>2913</v>
      </c>
      <c r="K3469" s="748" t="s">
        <v>1652</v>
      </c>
      <c r="L3469" s="748" t="s">
        <v>2167</v>
      </c>
      <c r="M3469" s="747" t="s">
        <v>682</v>
      </c>
      <c r="N3469" s="915" t="s">
        <v>2775</v>
      </c>
      <c r="O3469" s="746" t="s">
        <v>2748</v>
      </c>
      <c r="P3469" s="749">
        <v>5</v>
      </c>
      <c r="Q3469" s="749">
        <v>3</v>
      </c>
      <c r="R3469" s="849">
        <v>6.0000000000000001E-3</v>
      </c>
      <c r="S3469" s="746" t="s">
        <v>55</v>
      </c>
      <c r="T3469" s="746" t="s">
        <v>112</v>
      </c>
      <c r="U3469" s="860" t="s">
        <v>724</v>
      </c>
      <c r="V3469" s="750">
        <f>5000+76</f>
        <v>5076</v>
      </c>
      <c r="W3469" s="750"/>
      <c r="X3469" s="751">
        <f>(509+24825+46)/5</f>
        <v>5076</v>
      </c>
      <c r="Y3469" s="752">
        <f t="shared" si="1637"/>
        <v>0</v>
      </c>
      <c r="Z3469" s="753">
        <f t="shared" si="1638"/>
        <v>0</v>
      </c>
      <c r="AA3469" s="753">
        <f t="shared" si="1662"/>
        <v>0</v>
      </c>
      <c r="AB3469" s="838">
        <v>5.8823E-2</v>
      </c>
      <c r="AC3469" s="750">
        <f t="shared" si="1640"/>
        <v>0</v>
      </c>
      <c r="AD3469" s="307" t="s">
        <v>2354</v>
      </c>
      <c r="AE3469" s="210">
        <f>SUM(Q3469*R3469*Z3469)/1000</f>
        <v>0</v>
      </c>
      <c r="AF3469" s="210">
        <f>AE3469/0.54</f>
        <v>0</v>
      </c>
      <c r="AG3469" s="211">
        <f t="shared" si="1654"/>
        <v>0.30199999999999999</v>
      </c>
      <c r="AH3469" s="157">
        <v>0.26621999999999996</v>
      </c>
      <c r="AI3469" s="152">
        <f t="shared" si="1643"/>
        <v>25380</v>
      </c>
      <c r="AK3469" s="156" t="s">
        <v>691</v>
      </c>
      <c r="AL3469" s="574" t="s">
        <v>690</v>
      </c>
      <c r="AM3469" s="198">
        <f t="shared" si="1663"/>
        <v>0</v>
      </c>
      <c r="AN3469" s="199">
        <f t="shared" si="1664"/>
        <v>46165</v>
      </c>
      <c r="AO3469" s="159" t="s">
        <v>692</v>
      </c>
      <c r="AP3469" s="781" t="s">
        <v>642</v>
      </c>
      <c r="AQ3469" s="782">
        <v>12063755</v>
      </c>
      <c r="AR3469" s="782">
        <v>12081257</v>
      </c>
      <c r="AS3469" s="782">
        <v>12081260</v>
      </c>
      <c r="AT3469" s="782">
        <v>12098253</v>
      </c>
      <c r="AU3469" s="781"/>
      <c r="AV3469" s="782">
        <v>12098254</v>
      </c>
      <c r="AW3469" s="781"/>
      <c r="AX3469" s="781"/>
      <c r="AY3469" s="781"/>
      <c r="AZ3469" s="782"/>
      <c r="BA3469" s="781"/>
      <c r="BB3469" s="209">
        <v>23099860</v>
      </c>
    </row>
    <row r="3470" spans="1:54" ht="25" customHeight="1">
      <c r="B3470" s="183">
        <v>46166</v>
      </c>
      <c r="C3470" s="184"/>
      <c r="D3470" s="185">
        <f t="shared" si="1660"/>
        <v>2026</v>
      </c>
      <c r="E3470" s="185" t="e">
        <f>VLOOKUP($B3470,Week!$A$1:$C$1462,2,0)</f>
        <v>#N/A</v>
      </c>
      <c r="F3470" s="186" t="str">
        <f t="shared" si="1661"/>
        <v>May</v>
      </c>
      <c r="G3470" s="481"/>
      <c r="H3470" s="185"/>
      <c r="I3470" s="185"/>
      <c r="J3470" s="187"/>
      <c r="K3470" s="188"/>
      <c r="L3470" s="188"/>
      <c r="M3470" s="187"/>
      <c r="N3470" s="185"/>
      <c r="O3470" s="185"/>
      <c r="P3470" s="189"/>
      <c r="Q3470" s="189"/>
      <c r="R3470" s="190"/>
      <c r="S3470" s="185"/>
      <c r="T3470" s="185"/>
      <c r="U3470" s="185"/>
      <c r="V3470" s="191"/>
      <c r="W3470" s="191"/>
      <c r="X3470" s="192"/>
      <c r="Y3470" s="193"/>
      <c r="Z3470" s="194"/>
      <c r="AA3470" s="194">
        <f t="shared" si="1662"/>
        <v>0</v>
      </c>
      <c r="AB3470" s="805"/>
      <c r="AC3470" s="191"/>
      <c r="AD3470" s="187"/>
      <c r="AE3470" s="195"/>
      <c r="AF3470" s="195"/>
      <c r="AG3470" s="196"/>
      <c r="AH3470" s="197"/>
      <c r="AK3470" s="156" t="s">
        <v>691</v>
      </c>
      <c r="AM3470" s="198">
        <f t="shared" si="1663"/>
        <v>0</v>
      </c>
      <c r="AN3470" s="199">
        <f t="shared" si="1664"/>
        <v>46166</v>
      </c>
      <c r="AO3470" s="159" t="s">
        <v>692</v>
      </c>
      <c r="AP3470" s="781"/>
      <c r="AQ3470" s="782"/>
      <c r="AR3470" s="782"/>
      <c r="AS3470" s="782"/>
      <c r="AT3470" s="782"/>
      <c r="AU3470" s="781"/>
      <c r="AV3470" s="782"/>
      <c r="AW3470" s="782"/>
      <c r="AX3470" s="782"/>
      <c r="AY3470" s="782"/>
      <c r="AZ3470" s="782"/>
      <c r="BA3470" s="781"/>
      <c r="BB3470" s="209"/>
    </row>
    <row r="3471" spans="1:54" ht="25" customHeight="1">
      <c r="B3471" s="183">
        <v>46173</v>
      </c>
      <c r="C3471" s="184"/>
      <c r="D3471" s="185">
        <f t="shared" si="1660"/>
        <v>2026</v>
      </c>
      <c r="E3471" s="185" t="e">
        <f>VLOOKUP($B3471,Week!$A$1:$C$1462,2,0)</f>
        <v>#N/A</v>
      </c>
      <c r="F3471" s="186" t="str">
        <f t="shared" si="1661"/>
        <v>May</v>
      </c>
      <c r="G3471" s="481"/>
      <c r="H3471" s="185"/>
      <c r="I3471" s="185"/>
      <c r="J3471" s="187"/>
      <c r="K3471" s="188"/>
      <c r="L3471" s="188"/>
      <c r="M3471" s="187"/>
      <c r="N3471" s="185"/>
      <c r="O3471" s="185"/>
      <c r="P3471" s="189"/>
      <c r="Q3471" s="189"/>
      <c r="R3471" s="190"/>
      <c r="S3471" s="185"/>
      <c r="T3471" s="185"/>
      <c r="U3471" s="185"/>
      <c r="V3471" s="191"/>
      <c r="W3471" s="191"/>
      <c r="X3471" s="192"/>
      <c r="Y3471" s="193"/>
      <c r="Z3471" s="194"/>
      <c r="AA3471" s="194">
        <f t="shared" si="1662"/>
        <v>0</v>
      </c>
      <c r="AB3471" s="805"/>
      <c r="AC3471" s="191"/>
      <c r="AD3471" s="187"/>
      <c r="AE3471" s="195"/>
      <c r="AF3471" s="195"/>
      <c r="AG3471" s="196"/>
      <c r="AH3471" s="197"/>
      <c r="AK3471" s="156" t="s">
        <v>691</v>
      </c>
      <c r="AM3471" s="198">
        <f t="shared" si="1663"/>
        <v>0</v>
      </c>
      <c r="AN3471" s="199">
        <f t="shared" si="1664"/>
        <v>46173</v>
      </c>
      <c r="AO3471" s="159" t="s">
        <v>692</v>
      </c>
      <c r="AP3471" s="781"/>
      <c r="AQ3471" s="782"/>
      <c r="AR3471" s="782"/>
      <c r="AS3471" s="782"/>
      <c r="AT3471" s="782"/>
      <c r="AU3471" s="781"/>
      <c r="AV3471" s="782"/>
      <c r="AW3471" s="782"/>
      <c r="AX3471" s="782"/>
      <c r="AY3471" s="782"/>
      <c r="AZ3471" s="782"/>
      <c r="BA3471" s="781"/>
      <c r="BB3471" s="209"/>
    </row>
    <row r="3472" spans="1:54" ht="25" customHeight="1">
      <c r="B3472" s="183">
        <v>46176</v>
      </c>
      <c r="C3472" s="184"/>
      <c r="D3472" s="185">
        <f t="shared" si="1660"/>
        <v>2026</v>
      </c>
      <c r="E3472" s="185" t="e">
        <f>VLOOKUP($B3472,Week!$A$1:$C$1462,2,0)</f>
        <v>#N/A</v>
      </c>
      <c r="F3472" s="186" t="str">
        <f t="shared" si="1661"/>
        <v>Jun</v>
      </c>
      <c r="G3472" s="481"/>
      <c r="H3472" s="185"/>
      <c r="I3472" s="185"/>
      <c r="J3472" s="187"/>
      <c r="K3472" s="188"/>
      <c r="L3472" s="188"/>
      <c r="M3472" s="187"/>
      <c r="N3472" s="185"/>
      <c r="O3472" s="185"/>
      <c r="P3472" s="189"/>
      <c r="Q3472" s="189"/>
      <c r="R3472" s="190"/>
      <c r="S3472" s="185"/>
      <c r="T3472" s="185"/>
      <c r="U3472" s="185"/>
      <c r="V3472" s="191"/>
      <c r="W3472" s="191"/>
      <c r="X3472" s="192"/>
      <c r="Y3472" s="193"/>
      <c r="Z3472" s="194"/>
      <c r="AA3472" s="194">
        <f t="shared" si="1662"/>
        <v>0</v>
      </c>
      <c r="AB3472" s="805"/>
      <c r="AC3472" s="191"/>
      <c r="AD3472" s="187"/>
      <c r="AE3472" s="195"/>
      <c r="AF3472" s="195"/>
      <c r="AG3472" s="196"/>
      <c r="AH3472" s="197"/>
      <c r="AK3472" s="156" t="s">
        <v>691</v>
      </c>
      <c r="AM3472" s="198">
        <f t="shared" si="1663"/>
        <v>0</v>
      </c>
      <c r="AN3472" s="199">
        <f t="shared" si="1664"/>
        <v>46176</v>
      </c>
      <c r="AO3472" s="159" t="s">
        <v>692</v>
      </c>
      <c r="AP3472" s="781"/>
      <c r="AQ3472" s="782"/>
      <c r="AR3472" s="782"/>
      <c r="AS3472" s="782"/>
      <c r="AT3472" s="782"/>
      <c r="AU3472" s="781"/>
      <c r="AV3472" s="782"/>
      <c r="AW3472" s="782"/>
      <c r="AX3472" s="782"/>
      <c r="AY3472" s="782"/>
      <c r="AZ3472" s="782"/>
      <c r="BA3472" s="781"/>
      <c r="BB3472" s="209"/>
    </row>
    <row r="3473" spans="1:54" ht="25" customHeight="1">
      <c r="B3473" s="183">
        <v>46180</v>
      </c>
      <c r="C3473" s="184"/>
      <c r="D3473" s="185">
        <f t="shared" si="1660"/>
        <v>2026</v>
      </c>
      <c r="E3473" s="185" t="e">
        <f>VLOOKUP($B3473,Week!$A$1:$C$1462,2,0)</f>
        <v>#N/A</v>
      </c>
      <c r="F3473" s="186" t="str">
        <f t="shared" si="1661"/>
        <v>Jun</v>
      </c>
      <c r="G3473" s="481"/>
      <c r="H3473" s="185"/>
      <c r="I3473" s="185"/>
      <c r="J3473" s="187"/>
      <c r="K3473" s="188"/>
      <c r="L3473" s="188"/>
      <c r="M3473" s="187"/>
      <c r="N3473" s="185"/>
      <c r="O3473" s="185"/>
      <c r="P3473" s="189"/>
      <c r="Q3473" s="189"/>
      <c r="R3473" s="190"/>
      <c r="S3473" s="185"/>
      <c r="T3473" s="185"/>
      <c r="U3473" s="185"/>
      <c r="V3473" s="191"/>
      <c r="W3473" s="191"/>
      <c r="X3473" s="192"/>
      <c r="Y3473" s="193"/>
      <c r="Z3473" s="194"/>
      <c r="AA3473" s="194">
        <f t="shared" si="1662"/>
        <v>0</v>
      </c>
      <c r="AB3473" s="805"/>
      <c r="AC3473" s="191"/>
      <c r="AD3473" s="187"/>
      <c r="AE3473" s="195"/>
      <c r="AF3473" s="195"/>
      <c r="AG3473" s="196"/>
      <c r="AH3473" s="197"/>
      <c r="AK3473" s="156" t="s">
        <v>691</v>
      </c>
      <c r="AM3473" s="198">
        <f t="shared" si="1663"/>
        <v>0</v>
      </c>
      <c r="AN3473" s="199">
        <f t="shared" si="1664"/>
        <v>46180</v>
      </c>
      <c r="AO3473" s="159" t="s">
        <v>692</v>
      </c>
      <c r="AP3473" s="781"/>
      <c r="AQ3473" s="782"/>
      <c r="AR3473" s="782"/>
      <c r="AS3473" s="782"/>
      <c r="AT3473" s="782"/>
      <c r="AU3473" s="781"/>
      <c r="AV3473" s="782"/>
      <c r="AW3473" s="782"/>
      <c r="AX3473" s="782"/>
      <c r="AY3473" s="782"/>
      <c r="AZ3473" s="782"/>
      <c r="BA3473" s="781"/>
      <c r="BB3473" s="209"/>
    </row>
    <row r="3474" spans="1:54" ht="25" customHeight="1">
      <c r="B3474" s="183">
        <v>46187</v>
      </c>
      <c r="C3474" s="184"/>
      <c r="D3474" s="185">
        <f t="shared" si="1660"/>
        <v>2026</v>
      </c>
      <c r="E3474" s="185" t="e">
        <f>VLOOKUP($B3474,Week!$A$1:$C$1462,2,0)</f>
        <v>#N/A</v>
      </c>
      <c r="F3474" s="186" t="str">
        <f t="shared" si="1661"/>
        <v>Jun</v>
      </c>
      <c r="G3474" s="481"/>
      <c r="H3474" s="185"/>
      <c r="I3474" s="185"/>
      <c r="J3474" s="187"/>
      <c r="K3474" s="188"/>
      <c r="L3474" s="188"/>
      <c r="M3474" s="187"/>
      <c r="N3474" s="185"/>
      <c r="O3474" s="185"/>
      <c r="P3474" s="189"/>
      <c r="Q3474" s="189"/>
      <c r="R3474" s="190"/>
      <c r="S3474" s="185"/>
      <c r="T3474" s="185"/>
      <c r="U3474" s="185"/>
      <c r="V3474" s="191"/>
      <c r="W3474" s="191"/>
      <c r="X3474" s="192"/>
      <c r="Y3474" s="193"/>
      <c r="Z3474" s="194"/>
      <c r="AA3474" s="194">
        <f t="shared" si="1662"/>
        <v>0</v>
      </c>
      <c r="AB3474" s="805"/>
      <c r="AC3474" s="191"/>
      <c r="AD3474" s="187"/>
      <c r="AE3474" s="195"/>
      <c r="AF3474" s="195"/>
      <c r="AG3474" s="196"/>
      <c r="AH3474" s="197"/>
      <c r="AK3474" s="156" t="s">
        <v>691</v>
      </c>
      <c r="AM3474" s="198">
        <f t="shared" si="1663"/>
        <v>0</v>
      </c>
      <c r="AN3474" s="199">
        <f t="shared" si="1664"/>
        <v>46187</v>
      </c>
      <c r="AO3474" s="159" t="s">
        <v>692</v>
      </c>
      <c r="AP3474" s="781"/>
      <c r="AQ3474" s="782"/>
      <c r="AR3474" s="782"/>
      <c r="AS3474" s="782"/>
      <c r="AT3474" s="782"/>
      <c r="AU3474" s="781"/>
      <c r="AV3474" s="782"/>
      <c r="AW3474" s="782"/>
      <c r="AX3474" s="782"/>
      <c r="AY3474" s="782"/>
      <c r="AZ3474" s="782"/>
      <c r="BA3474" s="781"/>
      <c r="BB3474" s="209"/>
    </row>
    <row r="3475" spans="1:54" ht="25" customHeight="1">
      <c r="A3475" s="142" t="s">
        <v>120</v>
      </c>
      <c r="B3475" s="582">
        <v>46188</v>
      </c>
      <c r="C3475" s="535">
        <v>46197</v>
      </c>
      <c r="D3475" s="185">
        <f t="shared" si="1660"/>
        <v>2026</v>
      </c>
      <c r="E3475" s="535" t="e">
        <f>VLOOKUP($B3475,Week!$A$1:$C$1462,2,0)</f>
        <v>#N/A</v>
      </c>
      <c r="F3475" s="536" t="str">
        <f t="shared" si="1661"/>
        <v>Jun</v>
      </c>
      <c r="G3475" s="843" t="s">
        <v>3031</v>
      </c>
      <c r="H3475" s="537" t="s">
        <v>82</v>
      </c>
      <c r="I3475" s="537" t="s">
        <v>82</v>
      </c>
      <c r="J3475" s="538" t="s">
        <v>3032</v>
      </c>
      <c r="K3475" s="539" t="s">
        <v>85</v>
      </c>
      <c r="L3475" s="390" t="s">
        <v>2166</v>
      </c>
      <c r="M3475" s="538" t="s">
        <v>165</v>
      </c>
      <c r="N3475" s="537" t="s">
        <v>3037</v>
      </c>
      <c r="O3475" s="537" t="s">
        <v>502</v>
      </c>
      <c r="P3475" s="540">
        <v>20</v>
      </c>
      <c r="Q3475" s="540">
        <v>12</v>
      </c>
      <c r="R3475" s="541">
        <v>6.8100000000000001E-3</v>
      </c>
      <c r="S3475" s="537" t="s">
        <v>76</v>
      </c>
      <c r="T3475" s="537" t="s">
        <v>112</v>
      </c>
      <c r="U3475" s="537" t="s">
        <v>89</v>
      </c>
      <c r="V3475" s="542">
        <v>1386</v>
      </c>
      <c r="W3475" s="542">
        <f>1297+14+73+2</f>
        <v>1386</v>
      </c>
      <c r="X3475" s="543"/>
      <c r="Y3475" s="544">
        <f t="shared" ref="Y3475:Y3515" si="1665">(W3475+X3475)-V3475</f>
        <v>0</v>
      </c>
      <c r="Z3475" s="545">
        <f t="shared" ref="Z3475:Z3515" si="1666">IF(Y3475&lt;0,((V3475*P3475)-((W3475+X3475)*P3475)),0)</f>
        <v>0</v>
      </c>
      <c r="AA3475" s="545">
        <f t="shared" si="1662"/>
        <v>0</v>
      </c>
      <c r="AB3475" s="832">
        <v>2</v>
      </c>
      <c r="AC3475" s="542">
        <f>Z3475*AB3475</f>
        <v>0</v>
      </c>
      <c r="AD3475" s="209"/>
      <c r="AE3475" s="210">
        <f t="shared" ref="AE3475:AE3506" si="1667">SUM(Q3475*R3475*Z3475)/1000</f>
        <v>0</v>
      </c>
      <c r="AF3475" s="210">
        <f t="shared" ref="AF3475:AF3506" si="1668">AE3475/0.54</f>
        <v>0</v>
      </c>
      <c r="AG3475" s="211">
        <f t="shared" ref="AG3475:AG3482" si="1669">MID(O3475,1,3)/1000</f>
        <v>0.154</v>
      </c>
      <c r="AH3475" s="157">
        <f>(Z3475*AG3475)/1000</f>
        <v>0</v>
      </c>
      <c r="AI3475" s="152">
        <f t="shared" ref="AI3475:AI3506" si="1670">V3475*P3475</f>
        <v>27720</v>
      </c>
      <c r="AK3475" s="156" t="s">
        <v>691</v>
      </c>
      <c r="AL3475" s="156" t="s">
        <v>689</v>
      </c>
      <c r="AM3475" s="198">
        <f t="shared" si="1663"/>
        <v>0</v>
      </c>
      <c r="AN3475" s="199">
        <f t="shared" si="1664"/>
        <v>46188</v>
      </c>
      <c r="AO3475" s="159" t="s">
        <v>692</v>
      </c>
      <c r="AP3475" s="781"/>
      <c r="AQ3475" s="782">
        <v>12071839</v>
      </c>
      <c r="AR3475" s="783" t="s">
        <v>523</v>
      </c>
      <c r="AS3475" s="781"/>
      <c r="AT3475" s="783"/>
      <c r="AU3475" s="781"/>
      <c r="AV3475" s="796"/>
      <c r="AW3475" s="782"/>
      <c r="AX3475" s="782" t="s">
        <v>398</v>
      </c>
      <c r="AY3475" s="782"/>
      <c r="AZ3475" s="782"/>
      <c r="BA3475" s="781"/>
    </row>
    <row r="3476" spans="1:54" ht="25" customHeight="1">
      <c r="B3476" s="920">
        <v>46188</v>
      </c>
      <c r="C3476" s="921">
        <v>46198</v>
      </c>
      <c r="D3476" s="922">
        <f t="shared" si="1660"/>
        <v>2026</v>
      </c>
      <c r="E3476" s="921" t="e">
        <f>VLOOKUP($B3476,Week!$A$1:$C$1462,2,0)</f>
        <v>#N/A</v>
      </c>
      <c r="F3476" s="923" t="str">
        <f t="shared" si="1661"/>
        <v>Jun</v>
      </c>
      <c r="G3476" s="922" t="s">
        <v>3024</v>
      </c>
      <c r="H3476" s="922" t="s">
        <v>424</v>
      </c>
      <c r="I3476" s="922" t="s">
        <v>2772</v>
      </c>
      <c r="J3476" s="924" t="s">
        <v>425</v>
      </c>
      <c r="K3476" s="925" t="s">
        <v>2994</v>
      </c>
      <c r="L3476" s="925" t="s">
        <v>2167</v>
      </c>
      <c r="M3476" s="924" t="s">
        <v>2977</v>
      </c>
      <c r="N3476" s="926" t="s">
        <v>2978</v>
      </c>
      <c r="O3476" s="922" t="s">
        <v>2954</v>
      </c>
      <c r="P3476" s="927">
        <v>12</v>
      </c>
      <c r="Q3476" s="927">
        <v>3</v>
      </c>
      <c r="R3476" s="928">
        <v>6.1999999999999998E-3</v>
      </c>
      <c r="S3476" s="922" t="s">
        <v>55</v>
      </c>
      <c r="T3476" s="922" t="s">
        <v>112</v>
      </c>
      <c r="U3476" s="929" t="s">
        <v>2577</v>
      </c>
      <c r="V3476" s="930">
        <v>2278</v>
      </c>
      <c r="W3476" s="930">
        <f>60</f>
        <v>60</v>
      </c>
      <c r="X3476" s="931">
        <f>27255/12</f>
        <v>2271.25</v>
      </c>
      <c r="Y3476" s="932">
        <f t="shared" si="1665"/>
        <v>53.25</v>
      </c>
      <c r="Z3476" s="933">
        <f t="shared" si="1666"/>
        <v>0</v>
      </c>
      <c r="AA3476" s="933">
        <f t="shared" si="1662"/>
        <v>0</v>
      </c>
      <c r="AB3476" s="934"/>
      <c r="AC3476" s="930">
        <f t="shared" ref="AC3476:AC3482" si="1671">Z3476*AB3476</f>
        <v>0</v>
      </c>
      <c r="AD3476" s="443" t="s">
        <v>2779</v>
      </c>
      <c r="AE3476" s="210">
        <f t="shared" si="1667"/>
        <v>0</v>
      </c>
      <c r="AF3476" s="210">
        <f t="shared" si="1668"/>
        <v>0</v>
      </c>
      <c r="AG3476" s="211">
        <f t="shared" si="1669"/>
        <v>0.32</v>
      </c>
      <c r="AH3476" s="157">
        <v>0.26621999999999996</v>
      </c>
      <c r="AI3476" s="152">
        <f t="shared" si="1670"/>
        <v>27336</v>
      </c>
      <c r="AK3476" s="156" t="s">
        <v>691</v>
      </c>
      <c r="AL3476" s="574" t="s">
        <v>690</v>
      </c>
      <c r="AM3476" s="198">
        <f t="shared" si="1663"/>
        <v>0</v>
      </c>
      <c r="AN3476" s="199">
        <f t="shared" si="1664"/>
        <v>46188</v>
      </c>
      <c r="AO3476" s="159" t="s">
        <v>692</v>
      </c>
      <c r="AP3476" s="781"/>
      <c r="AQ3476" s="782">
        <v>12063755</v>
      </c>
      <c r="AR3476" s="782" t="s">
        <v>3021</v>
      </c>
      <c r="AS3476" s="782">
        <v>12081260</v>
      </c>
      <c r="AT3476" s="798" t="s">
        <v>3023</v>
      </c>
      <c r="AU3476" s="783"/>
      <c r="AV3476" s="782">
        <v>12098990</v>
      </c>
      <c r="AW3476" s="783"/>
      <c r="AX3476" s="781"/>
      <c r="AY3476" s="796"/>
      <c r="AZ3476" s="796"/>
      <c r="BA3476" s="796"/>
      <c r="BB3476" s="209"/>
    </row>
    <row r="3477" spans="1:54" ht="25" customHeight="1">
      <c r="B3477" s="602">
        <v>46188</v>
      </c>
      <c r="C3477" s="861" t="s">
        <v>2849</v>
      </c>
      <c r="D3477" s="604">
        <f t="shared" si="1660"/>
        <v>2026</v>
      </c>
      <c r="E3477" s="603" t="e">
        <f>VLOOKUP($B3477,Week!$A$1:$C$1462,2,0)</f>
        <v>#N/A</v>
      </c>
      <c r="F3477" s="605" t="str">
        <f t="shared" si="1661"/>
        <v>Jun</v>
      </c>
      <c r="G3477" s="604" t="s">
        <v>47</v>
      </c>
      <c r="H3477" s="604" t="s">
        <v>518</v>
      </c>
      <c r="I3477" s="604" t="s">
        <v>2702</v>
      </c>
      <c r="J3477" s="606" t="s">
        <v>70</v>
      </c>
      <c r="K3477" s="607" t="s">
        <v>227</v>
      </c>
      <c r="L3477" s="607" t="s">
        <v>2167</v>
      </c>
      <c r="M3477" s="606" t="s">
        <v>2554</v>
      </c>
      <c r="N3477" s="604" t="s">
        <v>2334</v>
      </c>
      <c r="O3477" s="604" t="s">
        <v>2005</v>
      </c>
      <c r="P3477" s="608">
        <v>12</v>
      </c>
      <c r="Q3477" s="608">
        <v>3</v>
      </c>
      <c r="R3477" s="609">
        <v>8.0000000000000002E-3</v>
      </c>
      <c r="S3477" s="604" t="s">
        <v>352</v>
      </c>
      <c r="T3477" s="604" t="s">
        <v>56</v>
      </c>
      <c r="U3477" s="604" t="s">
        <v>2007</v>
      </c>
      <c r="V3477" s="862">
        <v>2432</v>
      </c>
      <c r="W3477" s="610">
        <f>9+2423</f>
        <v>2432</v>
      </c>
      <c r="X3477" s="611"/>
      <c r="Y3477" s="612">
        <f t="shared" si="1665"/>
        <v>0</v>
      </c>
      <c r="Z3477" s="613">
        <f t="shared" si="1666"/>
        <v>0</v>
      </c>
      <c r="AA3477" s="613">
        <f t="shared" si="1662"/>
        <v>0</v>
      </c>
      <c r="AB3477" s="836">
        <v>0.05</v>
      </c>
      <c r="AC3477" s="610">
        <f t="shared" si="1671"/>
        <v>0</v>
      </c>
      <c r="AD3477" s="307" t="s">
        <v>2344</v>
      </c>
      <c r="AE3477" s="210">
        <f t="shared" si="1667"/>
        <v>0</v>
      </c>
      <c r="AF3477" s="210">
        <f t="shared" si="1668"/>
        <v>0</v>
      </c>
      <c r="AG3477" s="211">
        <f t="shared" si="1669"/>
        <v>0.22700000000000001</v>
      </c>
      <c r="AH3477" s="157">
        <f>(Z3477*AG3477)/1000</f>
        <v>0</v>
      </c>
      <c r="AI3477" s="152">
        <f t="shared" si="1670"/>
        <v>29184</v>
      </c>
      <c r="AK3477" s="156" t="s">
        <v>691</v>
      </c>
      <c r="AL3477" s="212" t="s">
        <v>690</v>
      </c>
      <c r="AM3477" s="198">
        <f t="shared" si="1663"/>
        <v>0</v>
      </c>
      <c r="AN3477" s="199">
        <f t="shared" si="1664"/>
        <v>46188</v>
      </c>
      <c r="AO3477" s="159" t="s">
        <v>692</v>
      </c>
      <c r="AP3477" s="783" t="s">
        <v>623</v>
      </c>
      <c r="AQ3477" s="782">
        <v>12071839</v>
      </c>
      <c r="AR3477" s="782">
        <v>12042650</v>
      </c>
      <c r="AS3477" s="782">
        <v>12042649</v>
      </c>
      <c r="AT3477" s="782"/>
      <c r="AU3477" s="781"/>
      <c r="AV3477" s="782">
        <v>12094036</v>
      </c>
      <c r="AW3477" s="782"/>
      <c r="AX3477" s="782"/>
      <c r="AY3477" s="782">
        <v>12094035</v>
      </c>
      <c r="AZ3477" s="782">
        <v>12094041</v>
      </c>
      <c r="BA3477" s="781"/>
      <c r="BB3477" s="209">
        <v>11044165</v>
      </c>
    </row>
    <row r="3478" spans="1:54" ht="25" customHeight="1">
      <c r="A3478" s="142" t="s">
        <v>120</v>
      </c>
      <c r="B3478" s="546">
        <v>46189</v>
      </c>
      <c r="C3478" s="547">
        <v>46203</v>
      </c>
      <c r="D3478" s="185">
        <f t="shared" si="1660"/>
        <v>2026</v>
      </c>
      <c r="E3478" s="547" t="e">
        <f>VLOOKUP($B3478,Week!$A$1:$C$1462,2,0)</f>
        <v>#N/A</v>
      </c>
      <c r="F3478" s="548" t="str">
        <f t="shared" si="1661"/>
        <v>Jun</v>
      </c>
      <c r="G3478" s="549" t="s">
        <v>2993</v>
      </c>
      <c r="H3478" s="549" t="s">
        <v>431</v>
      </c>
      <c r="I3478" s="549" t="s">
        <v>2772</v>
      </c>
      <c r="J3478" s="550" t="s">
        <v>432</v>
      </c>
      <c r="K3478" s="551" t="s">
        <v>85</v>
      </c>
      <c r="L3478" s="390" t="s">
        <v>2166</v>
      </c>
      <c r="M3478" s="550" t="s">
        <v>86</v>
      </c>
      <c r="N3478" s="549" t="s">
        <v>550</v>
      </c>
      <c r="O3478" s="549" t="s">
        <v>548</v>
      </c>
      <c r="P3478" s="552">
        <v>10</v>
      </c>
      <c r="Q3478" s="552">
        <v>50</v>
      </c>
      <c r="R3478" s="553">
        <v>8.1300000000000001E-3</v>
      </c>
      <c r="S3478" s="549" t="s">
        <v>40</v>
      </c>
      <c r="T3478" s="549" t="s">
        <v>112</v>
      </c>
      <c r="U3478" s="549" t="s">
        <v>89</v>
      </c>
      <c r="V3478" s="554">
        <f>600</f>
        <v>600</v>
      </c>
      <c r="W3478" s="554">
        <f>600</f>
        <v>600</v>
      </c>
      <c r="X3478" s="555"/>
      <c r="Y3478" s="556">
        <f t="shared" si="1665"/>
        <v>0</v>
      </c>
      <c r="Z3478" s="557">
        <f t="shared" si="1666"/>
        <v>0</v>
      </c>
      <c r="AA3478" s="557">
        <f t="shared" si="1662"/>
        <v>0</v>
      </c>
      <c r="AB3478" s="833">
        <v>6</v>
      </c>
      <c r="AC3478" s="554">
        <f>Z3478*AB3478</f>
        <v>0</v>
      </c>
      <c r="AD3478" s="209"/>
      <c r="AE3478" s="210">
        <f t="shared" si="1667"/>
        <v>0</v>
      </c>
      <c r="AF3478" s="210">
        <f t="shared" si="1668"/>
        <v>0</v>
      </c>
      <c r="AG3478" s="211">
        <f t="shared" si="1669"/>
        <v>0.63</v>
      </c>
      <c r="AH3478" s="157">
        <f>(Z3478*AG3478)/1000</f>
        <v>0</v>
      </c>
      <c r="AI3478" s="152">
        <f t="shared" si="1670"/>
        <v>6000</v>
      </c>
      <c r="AK3478" s="156" t="s">
        <v>691</v>
      </c>
      <c r="AL3478" s="156" t="s">
        <v>689</v>
      </c>
      <c r="AM3478" s="198">
        <f t="shared" si="1663"/>
        <v>0</v>
      </c>
      <c r="AN3478" s="199">
        <f t="shared" si="1664"/>
        <v>46189</v>
      </c>
      <c r="AO3478" s="159" t="s">
        <v>692</v>
      </c>
      <c r="AP3478" s="783" t="s">
        <v>618</v>
      </c>
      <c r="AQ3478" s="782" t="s">
        <v>549</v>
      </c>
      <c r="AR3478" s="796" t="s">
        <v>529</v>
      </c>
      <c r="AS3478" s="782"/>
      <c r="AT3478" s="796" t="s">
        <v>551</v>
      </c>
      <c r="AU3478" s="781"/>
      <c r="AV3478" s="796" t="s">
        <v>552</v>
      </c>
      <c r="AW3478" s="782"/>
      <c r="AX3478" s="782" t="s">
        <v>93</v>
      </c>
      <c r="AY3478" s="782"/>
      <c r="AZ3478" s="782"/>
      <c r="BA3478" s="781"/>
    </row>
    <row r="3479" spans="1:54" ht="25" customHeight="1">
      <c r="B3479" s="466">
        <v>46189</v>
      </c>
      <c r="C3479" s="941" t="s">
        <v>2849</v>
      </c>
      <c r="D3479" s="468">
        <f t="shared" si="1660"/>
        <v>2026</v>
      </c>
      <c r="E3479" s="467" t="e">
        <f>VLOOKUP($B3479,Week!$A$1:$C$1462,2,0)</f>
        <v>#N/A</v>
      </c>
      <c r="F3479" s="469" t="str">
        <f t="shared" si="1661"/>
        <v>Jun</v>
      </c>
      <c r="G3479" s="468" t="s">
        <v>47</v>
      </c>
      <c r="H3479" s="468" t="s">
        <v>518</v>
      </c>
      <c r="I3479" s="468" t="s">
        <v>2702</v>
      </c>
      <c r="J3479" s="471" t="s">
        <v>2702</v>
      </c>
      <c r="K3479" s="472" t="s">
        <v>2706</v>
      </c>
      <c r="L3479" s="472" t="s">
        <v>2167</v>
      </c>
      <c r="M3479" s="471" t="s">
        <v>3041</v>
      </c>
      <c r="N3479" s="617" t="s">
        <v>3042</v>
      </c>
      <c r="O3479" s="468" t="s">
        <v>2735</v>
      </c>
      <c r="P3479" s="473">
        <v>12</v>
      </c>
      <c r="Q3479" s="473">
        <v>2</v>
      </c>
      <c r="R3479" s="474">
        <v>6.0000000000000001E-3</v>
      </c>
      <c r="S3479" s="468" t="s">
        <v>55</v>
      </c>
      <c r="T3479" s="468" t="s">
        <v>56</v>
      </c>
      <c r="U3479" s="620" t="s">
        <v>2707</v>
      </c>
      <c r="V3479" s="475">
        <f>800-118</f>
        <v>682</v>
      </c>
      <c r="W3479" s="475">
        <f>682</f>
        <v>682</v>
      </c>
      <c r="X3479" s="476"/>
      <c r="Y3479" s="477">
        <f t="shared" si="1665"/>
        <v>0</v>
      </c>
      <c r="Z3479" s="478">
        <f t="shared" si="1666"/>
        <v>0</v>
      </c>
      <c r="AA3479" s="478">
        <f t="shared" si="1662"/>
        <v>0</v>
      </c>
      <c r="AB3479" s="828">
        <v>1.7000000000000001E-2</v>
      </c>
      <c r="AC3479" s="475">
        <f t="shared" si="1671"/>
        <v>0</v>
      </c>
      <c r="AD3479" s="443"/>
      <c r="AE3479" s="210">
        <f t="shared" si="1667"/>
        <v>0</v>
      </c>
      <c r="AF3479" s="210">
        <f t="shared" si="1668"/>
        <v>0</v>
      </c>
      <c r="AG3479" s="211">
        <f t="shared" si="1669"/>
        <v>0.22500000000000001</v>
      </c>
      <c r="AH3479" s="157">
        <v>0.26621999999999996</v>
      </c>
      <c r="AI3479" s="152">
        <f t="shared" si="1670"/>
        <v>8184</v>
      </c>
      <c r="AK3479" s="156" t="s">
        <v>691</v>
      </c>
      <c r="AL3479" s="574" t="s">
        <v>690</v>
      </c>
      <c r="AM3479" s="198">
        <f t="shared" si="1663"/>
        <v>0</v>
      </c>
      <c r="AN3479" s="199">
        <f t="shared" si="1664"/>
        <v>46189</v>
      </c>
      <c r="AO3479" s="159" t="s">
        <v>692</v>
      </c>
      <c r="AP3479" s="781" t="s">
        <v>642</v>
      </c>
      <c r="AQ3479" s="782">
        <v>12071839</v>
      </c>
      <c r="AR3479" s="782"/>
      <c r="AS3479" s="782"/>
      <c r="AT3479" s="782">
        <v>12098021</v>
      </c>
      <c r="AU3479" s="783" t="s">
        <v>2979</v>
      </c>
      <c r="AV3479" s="782">
        <v>12098022</v>
      </c>
      <c r="AW3479" s="783"/>
      <c r="AX3479" s="781"/>
      <c r="AY3479" s="796"/>
      <c r="AZ3479" s="796"/>
      <c r="BA3479" s="796"/>
      <c r="BB3479" s="209">
        <v>23099860</v>
      </c>
    </row>
    <row r="3480" spans="1:54" ht="25" customHeight="1">
      <c r="B3480" s="213">
        <v>46189</v>
      </c>
      <c r="C3480" s="214">
        <v>46196</v>
      </c>
      <c r="D3480" s="185">
        <f t="shared" si="1660"/>
        <v>2026</v>
      </c>
      <c r="E3480" s="215" t="e">
        <f>VLOOKUP($B3480,Week!$A$1:$C$1462,2,0)</f>
        <v>#N/A</v>
      </c>
      <c r="F3480" s="216" t="str">
        <f t="shared" si="1661"/>
        <v>Jun</v>
      </c>
      <c r="G3480" s="215" t="s">
        <v>2847</v>
      </c>
      <c r="H3480" s="215" t="s">
        <v>134</v>
      </c>
      <c r="I3480" s="215" t="s">
        <v>2772</v>
      </c>
      <c r="J3480" s="209" t="s">
        <v>2932</v>
      </c>
      <c r="K3480" s="217" t="s">
        <v>1648</v>
      </c>
      <c r="L3480" s="300" t="s">
        <v>2167</v>
      </c>
      <c r="M3480" s="209" t="s">
        <v>193</v>
      </c>
      <c r="N3480" s="215" t="s">
        <v>205</v>
      </c>
      <c r="O3480" s="215" t="s">
        <v>206</v>
      </c>
      <c r="P3480" s="218">
        <v>24</v>
      </c>
      <c r="Q3480" s="218">
        <v>5</v>
      </c>
      <c r="R3480" s="219">
        <v>8.0000000000000002E-3</v>
      </c>
      <c r="S3480" s="215" t="s">
        <v>40</v>
      </c>
      <c r="T3480" s="215" t="s">
        <v>56</v>
      </c>
      <c r="U3480" s="480" t="s">
        <v>499</v>
      </c>
      <c r="V3480" s="220">
        <f>250</f>
        <v>250</v>
      </c>
      <c r="W3480" s="220">
        <f>3+247</f>
        <v>250</v>
      </c>
      <c r="X3480" s="221"/>
      <c r="Y3480" s="222">
        <f t="shared" si="1665"/>
        <v>0</v>
      </c>
      <c r="Z3480" s="223">
        <f t="shared" si="1666"/>
        <v>0</v>
      </c>
      <c r="AA3480" s="220">
        <f t="shared" si="1662"/>
        <v>0</v>
      </c>
      <c r="AB3480" s="807">
        <v>1</v>
      </c>
      <c r="AC3480" s="220">
        <f>Z3480*AB3480</f>
        <v>0</v>
      </c>
      <c r="AD3480" s="381"/>
      <c r="AE3480" s="210">
        <f t="shared" si="1667"/>
        <v>0</v>
      </c>
      <c r="AF3480" s="210">
        <f t="shared" si="1668"/>
        <v>0</v>
      </c>
      <c r="AG3480" s="211">
        <f t="shared" si="1669"/>
        <v>0.115</v>
      </c>
      <c r="AH3480" s="157">
        <f t="shared" ref="AH3480:AH3490" si="1672">(Z3480*AG3480)/1000</f>
        <v>0</v>
      </c>
      <c r="AI3480" s="152">
        <f t="shared" si="1670"/>
        <v>6000</v>
      </c>
      <c r="AK3480" s="156" t="s">
        <v>691</v>
      </c>
      <c r="AL3480" s="212" t="s">
        <v>690</v>
      </c>
      <c r="AM3480" s="198">
        <f t="shared" si="1663"/>
        <v>0</v>
      </c>
      <c r="AN3480" s="199">
        <f t="shared" si="1664"/>
        <v>46189</v>
      </c>
      <c r="AO3480" s="159" t="s">
        <v>692</v>
      </c>
      <c r="AP3480" s="783" t="s">
        <v>610</v>
      </c>
      <c r="AQ3480" s="782">
        <v>12071839</v>
      </c>
      <c r="AR3480" s="782">
        <v>12047514</v>
      </c>
      <c r="AS3480" s="782">
        <v>12047515</v>
      </c>
      <c r="AT3480" s="782"/>
      <c r="AU3480" s="782">
        <v>12026902</v>
      </c>
      <c r="AV3480" s="782">
        <v>12098136</v>
      </c>
      <c r="AW3480" s="782">
        <v>12026904</v>
      </c>
      <c r="AX3480" s="782"/>
      <c r="AY3480" s="782">
        <v>12094111</v>
      </c>
      <c r="AZ3480" s="782">
        <v>12094113</v>
      </c>
      <c r="BA3480" s="782">
        <v>12094114</v>
      </c>
    </row>
    <row r="3481" spans="1:54" ht="24.75" customHeight="1">
      <c r="B3481" s="295">
        <v>46189</v>
      </c>
      <c r="C3481" s="771" t="s">
        <v>2849</v>
      </c>
      <c r="D3481" s="185">
        <f t="shared" si="1660"/>
        <v>2026</v>
      </c>
      <c r="E3481" s="296" t="e">
        <f>VLOOKUP($B3481,Week!$A$1:$C$1462,2,0)</f>
        <v>#N/A</v>
      </c>
      <c r="F3481" s="297" t="str">
        <f t="shared" si="1661"/>
        <v>Jun</v>
      </c>
      <c r="G3481" s="648" t="s">
        <v>47</v>
      </c>
      <c r="H3481" s="298" t="s">
        <v>260</v>
      </c>
      <c r="I3481" s="298" t="s">
        <v>2702</v>
      </c>
      <c r="J3481" s="307" t="s">
        <v>2240</v>
      </c>
      <c r="K3481" s="300" t="s">
        <v>176</v>
      </c>
      <c r="L3481" s="300" t="s">
        <v>2167</v>
      </c>
      <c r="M3481" s="299" t="s">
        <v>2338</v>
      </c>
      <c r="N3481" s="298" t="s">
        <v>350</v>
      </c>
      <c r="O3481" s="298" t="s">
        <v>351</v>
      </c>
      <c r="P3481" s="301">
        <v>24</v>
      </c>
      <c r="Q3481" s="301">
        <v>5</v>
      </c>
      <c r="R3481" s="302">
        <v>6.1999999999999998E-3</v>
      </c>
      <c r="S3481" s="298" t="s">
        <v>352</v>
      </c>
      <c r="T3481" s="298" t="s">
        <v>56</v>
      </c>
      <c r="U3481" s="298" t="s">
        <v>57</v>
      </c>
      <c r="V3481" s="303">
        <f>8334-2464-1867-3858</f>
        <v>145</v>
      </c>
      <c r="W3481" s="303">
        <f>1+144</f>
        <v>145</v>
      </c>
      <c r="X3481" s="304"/>
      <c r="Y3481" s="305">
        <f t="shared" si="1665"/>
        <v>0</v>
      </c>
      <c r="Z3481" s="306">
        <f t="shared" si="1666"/>
        <v>0</v>
      </c>
      <c r="AA3481" s="306">
        <f t="shared" si="1662"/>
        <v>0</v>
      </c>
      <c r="AB3481" s="814">
        <v>7.4999999999999997E-3</v>
      </c>
      <c r="AC3481" s="303">
        <f t="shared" si="1671"/>
        <v>0</v>
      </c>
      <c r="AD3481" s="443"/>
      <c r="AE3481" s="210">
        <f t="shared" si="1667"/>
        <v>0</v>
      </c>
      <c r="AF3481" s="210">
        <f t="shared" si="1668"/>
        <v>0</v>
      </c>
      <c r="AG3481" s="211">
        <f t="shared" si="1669"/>
        <v>0.13</v>
      </c>
      <c r="AH3481" s="157">
        <f t="shared" si="1672"/>
        <v>0</v>
      </c>
      <c r="AI3481" s="152">
        <f t="shared" si="1670"/>
        <v>3480</v>
      </c>
      <c r="AK3481" s="156" t="s">
        <v>691</v>
      </c>
      <c r="AL3481" s="574" t="s">
        <v>690</v>
      </c>
      <c r="AM3481" s="198">
        <f t="shared" si="1663"/>
        <v>0</v>
      </c>
      <c r="AN3481" s="199">
        <f t="shared" si="1664"/>
        <v>46189</v>
      </c>
      <c r="AO3481" s="159" t="s">
        <v>692</v>
      </c>
      <c r="AP3481" s="783" t="s">
        <v>622</v>
      </c>
      <c r="AQ3481" s="782">
        <v>12071839</v>
      </c>
      <c r="AR3481" s="782">
        <v>12094356</v>
      </c>
      <c r="AS3481" s="782">
        <v>12068233</v>
      </c>
      <c r="AT3481" s="781"/>
      <c r="AU3481" s="781"/>
      <c r="AV3481" s="782">
        <v>12062075</v>
      </c>
      <c r="AW3481" s="781"/>
      <c r="AX3481" s="781"/>
      <c r="AY3481" s="782">
        <v>12094357</v>
      </c>
      <c r="AZ3481" s="782"/>
      <c r="BA3481" s="781"/>
      <c r="BB3481" s="209">
        <v>23053184</v>
      </c>
    </row>
    <row r="3482" spans="1:54" ht="24.75" customHeight="1">
      <c r="B3482" s="295">
        <v>46189</v>
      </c>
      <c r="C3482" s="771" t="s">
        <v>2849</v>
      </c>
      <c r="D3482" s="185">
        <f t="shared" si="1660"/>
        <v>2026</v>
      </c>
      <c r="E3482" s="296" t="e">
        <f>VLOOKUP($B3482,Week!$A$1:$C$1462,2,0)</f>
        <v>#N/A</v>
      </c>
      <c r="F3482" s="297" t="str">
        <f t="shared" si="1661"/>
        <v>Jun</v>
      </c>
      <c r="G3482" s="648" t="s">
        <v>47</v>
      </c>
      <c r="H3482" s="298" t="s">
        <v>260</v>
      </c>
      <c r="I3482" s="298" t="s">
        <v>2702</v>
      </c>
      <c r="J3482" s="307" t="s">
        <v>2240</v>
      </c>
      <c r="K3482" s="300" t="s">
        <v>176</v>
      </c>
      <c r="L3482" s="300" t="s">
        <v>2167</v>
      </c>
      <c r="M3482" s="299" t="s">
        <v>2338</v>
      </c>
      <c r="N3482" s="298" t="s">
        <v>350</v>
      </c>
      <c r="O3482" s="298" t="s">
        <v>351</v>
      </c>
      <c r="P3482" s="301">
        <v>24</v>
      </c>
      <c r="Q3482" s="301">
        <v>5</v>
      </c>
      <c r="R3482" s="302">
        <v>6.1999999999999998E-3</v>
      </c>
      <c r="S3482" s="298" t="s">
        <v>352</v>
      </c>
      <c r="T3482" s="298" t="s">
        <v>56</v>
      </c>
      <c r="U3482" s="298" t="s">
        <v>57</v>
      </c>
      <c r="V3482" s="303">
        <f>1243</f>
        <v>1243</v>
      </c>
      <c r="W3482" s="303">
        <f>1387-144</f>
        <v>1243</v>
      </c>
      <c r="X3482" s="304"/>
      <c r="Y3482" s="305">
        <f t="shared" si="1665"/>
        <v>0</v>
      </c>
      <c r="Z3482" s="306">
        <f t="shared" si="1666"/>
        <v>0</v>
      </c>
      <c r="AA3482" s="306">
        <f t="shared" si="1662"/>
        <v>0</v>
      </c>
      <c r="AB3482" s="814">
        <v>7.4999999999999997E-3</v>
      </c>
      <c r="AC3482" s="303">
        <f t="shared" si="1671"/>
        <v>0</v>
      </c>
      <c r="AD3482" s="443"/>
      <c r="AE3482" s="210">
        <f t="shared" si="1667"/>
        <v>0</v>
      </c>
      <c r="AF3482" s="210">
        <f t="shared" si="1668"/>
        <v>0</v>
      </c>
      <c r="AG3482" s="211">
        <f t="shared" si="1669"/>
        <v>0.13</v>
      </c>
      <c r="AH3482" s="157">
        <f t="shared" si="1672"/>
        <v>0</v>
      </c>
      <c r="AI3482" s="152">
        <f t="shared" si="1670"/>
        <v>29832</v>
      </c>
      <c r="AK3482" s="156" t="s">
        <v>691</v>
      </c>
      <c r="AL3482" s="574" t="s">
        <v>690</v>
      </c>
      <c r="AM3482" s="198">
        <f t="shared" si="1663"/>
        <v>0</v>
      </c>
      <c r="AN3482" s="199">
        <f t="shared" si="1664"/>
        <v>46189</v>
      </c>
      <c r="AO3482" s="159" t="s">
        <v>692</v>
      </c>
      <c r="AP3482" s="783" t="s">
        <v>622</v>
      </c>
      <c r="AQ3482" s="782">
        <v>12071839</v>
      </c>
      <c r="AR3482" s="782">
        <v>12094356</v>
      </c>
      <c r="AS3482" s="782">
        <v>12068233</v>
      </c>
      <c r="AT3482" s="781"/>
      <c r="AU3482" s="781"/>
      <c r="AV3482" s="782">
        <v>12062075</v>
      </c>
      <c r="AW3482" s="781"/>
      <c r="AX3482" s="781"/>
      <c r="AY3482" s="782">
        <v>12094357</v>
      </c>
      <c r="AZ3482" s="782"/>
      <c r="BA3482" s="781"/>
      <c r="BB3482" s="209">
        <v>23053184</v>
      </c>
    </row>
    <row r="3483" spans="1:54" ht="25" customHeight="1">
      <c r="A3483" s="142" t="s">
        <v>120</v>
      </c>
      <c r="B3483" s="383">
        <v>46190</v>
      </c>
      <c r="C3483" s="224">
        <v>46210</v>
      </c>
      <c r="D3483" s="225">
        <f t="shared" si="1660"/>
        <v>2026</v>
      </c>
      <c r="E3483" s="225" t="e">
        <f>VLOOKUP($B3483,Week!$A$1:$C$1462,2,0)</f>
        <v>#N/A</v>
      </c>
      <c r="F3483" s="226" t="str">
        <f t="shared" si="1661"/>
        <v>Jun</v>
      </c>
      <c r="G3483" s="225" t="s">
        <v>3029</v>
      </c>
      <c r="H3483" s="225" t="s">
        <v>392</v>
      </c>
      <c r="I3483" s="225" t="s">
        <v>2772</v>
      </c>
      <c r="J3483" s="227" t="s">
        <v>393</v>
      </c>
      <c r="K3483" s="228" t="s">
        <v>153</v>
      </c>
      <c r="L3483" s="228" t="s">
        <v>2166</v>
      </c>
      <c r="M3483" s="227" t="s">
        <v>2363</v>
      </c>
      <c r="N3483" s="225" t="s">
        <v>2886</v>
      </c>
      <c r="O3483" s="225" t="s">
        <v>2365</v>
      </c>
      <c r="P3483" s="229">
        <v>18</v>
      </c>
      <c r="Q3483" s="229">
        <v>8</v>
      </c>
      <c r="R3483" s="230">
        <v>6.8100000000000001E-3</v>
      </c>
      <c r="S3483" s="225" t="s">
        <v>76</v>
      </c>
      <c r="T3483" s="225" t="s">
        <v>56</v>
      </c>
      <c r="U3483" s="917" t="s">
        <v>499</v>
      </c>
      <c r="V3483" s="231">
        <f>150</f>
        <v>150</v>
      </c>
      <c r="W3483" s="231">
        <v>150</v>
      </c>
      <c r="X3483" s="232"/>
      <c r="Y3483" s="233">
        <f t="shared" si="1665"/>
        <v>0</v>
      </c>
      <c r="Z3483" s="234">
        <f t="shared" si="1666"/>
        <v>0</v>
      </c>
      <c r="AA3483" s="234">
        <f t="shared" si="1662"/>
        <v>0</v>
      </c>
      <c r="AB3483" s="822">
        <v>1</v>
      </c>
      <c r="AC3483" s="231">
        <f t="shared" ref="AC3483:AC3515" si="1673">Z3483*AB3483</f>
        <v>0</v>
      </c>
      <c r="AD3483" s="772" t="s">
        <v>2614</v>
      </c>
      <c r="AE3483" s="210">
        <f t="shared" si="1667"/>
        <v>0</v>
      </c>
      <c r="AF3483" s="210">
        <f t="shared" si="1668"/>
        <v>0</v>
      </c>
      <c r="AG3483" s="211">
        <f>MID(O3483,1,2)/1000</f>
        <v>1.2E-2</v>
      </c>
      <c r="AH3483" s="157">
        <f t="shared" si="1672"/>
        <v>0</v>
      </c>
      <c r="AI3483" s="152">
        <f t="shared" si="1670"/>
        <v>2700</v>
      </c>
      <c r="AK3483" s="156" t="s">
        <v>691</v>
      </c>
      <c r="AL3483" s="156" t="s">
        <v>689</v>
      </c>
      <c r="AM3483" s="198">
        <f t="shared" si="1663"/>
        <v>0</v>
      </c>
      <c r="AN3483" s="199">
        <f t="shared" si="1664"/>
        <v>46190</v>
      </c>
      <c r="AO3483" s="159" t="s">
        <v>692</v>
      </c>
      <c r="AP3483" s="783"/>
      <c r="AQ3483" s="783" t="s">
        <v>631</v>
      </c>
      <c r="AR3483" s="796">
        <v>12038019</v>
      </c>
      <c r="AS3483" s="782"/>
      <c r="AT3483" s="782">
        <v>12098299</v>
      </c>
      <c r="AU3483" s="782"/>
      <c r="AV3483" s="782">
        <v>12098340</v>
      </c>
      <c r="AW3483" s="782"/>
      <c r="AX3483" s="781" t="s">
        <v>162</v>
      </c>
      <c r="AY3483" s="782"/>
      <c r="AZ3483" s="782"/>
      <c r="BA3483" s="781"/>
      <c r="BB3483" s="209">
        <v>23053184</v>
      </c>
    </row>
    <row r="3484" spans="1:54" ht="25.9" customHeight="1">
      <c r="A3484" s="142" t="s">
        <v>120</v>
      </c>
      <c r="B3484" s="235">
        <v>46190</v>
      </c>
      <c r="C3484" s="235">
        <v>46210</v>
      </c>
      <c r="D3484" s="185">
        <f t="shared" si="1660"/>
        <v>2026</v>
      </c>
      <c r="E3484" s="236" t="e">
        <f>VLOOKUP($B3484,Week!$A$1:$C$1462,2,0)</f>
        <v>#N/A</v>
      </c>
      <c r="F3484" s="237" t="str">
        <f t="shared" si="1661"/>
        <v>Jun</v>
      </c>
      <c r="G3484" s="236" t="s">
        <v>3029</v>
      </c>
      <c r="H3484" s="236" t="s">
        <v>392</v>
      </c>
      <c r="I3484" s="236" t="s">
        <v>2772</v>
      </c>
      <c r="J3484" s="238" t="s">
        <v>393</v>
      </c>
      <c r="K3484" s="239" t="s">
        <v>153</v>
      </c>
      <c r="L3484" s="390" t="s">
        <v>2166</v>
      </c>
      <c r="M3484" s="238" t="s">
        <v>165</v>
      </c>
      <c r="N3484" s="236" t="s">
        <v>685</v>
      </c>
      <c r="O3484" s="236" t="s">
        <v>167</v>
      </c>
      <c r="P3484" s="240">
        <v>20</v>
      </c>
      <c r="Q3484" s="240">
        <v>12</v>
      </c>
      <c r="R3484" s="241">
        <v>6.8100000000000001E-3</v>
      </c>
      <c r="S3484" s="236" t="s">
        <v>76</v>
      </c>
      <c r="T3484" s="236" t="s">
        <v>56</v>
      </c>
      <c r="U3484" s="236" t="s">
        <v>89</v>
      </c>
      <c r="V3484" s="242">
        <f>150</f>
        <v>150</v>
      </c>
      <c r="W3484" s="242">
        <v>150</v>
      </c>
      <c r="X3484" s="243"/>
      <c r="Y3484" s="244">
        <f t="shared" si="1665"/>
        <v>0</v>
      </c>
      <c r="Z3484" s="245">
        <f t="shared" si="1666"/>
        <v>0</v>
      </c>
      <c r="AA3484" s="245">
        <f t="shared" si="1662"/>
        <v>0</v>
      </c>
      <c r="AB3484" s="809">
        <v>2</v>
      </c>
      <c r="AC3484" s="242">
        <f t="shared" si="1673"/>
        <v>0</v>
      </c>
      <c r="AD3484" s="772" t="s">
        <v>2614</v>
      </c>
      <c r="AE3484" s="210">
        <f t="shared" si="1667"/>
        <v>0</v>
      </c>
      <c r="AF3484" s="210">
        <f t="shared" si="1668"/>
        <v>0</v>
      </c>
      <c r="AG3484" s="211">
        <f t="shared" ref="AG3484:AG3506" si="1674">MID(O3484,1,3)/1000</f>
        <v>0.154</v>
      </c>
      <c r="AH3484" s="157">
        <f t="shared" si="1672"/>
        <v>0</v>
      </c>
      <c r="AI3484" s="152">
        <f t="shared" si="1670"/>
        <v>3000</v>
      </c>
      <c r="AK3484" s="156" t="s">
        <v>691</v>
      </c>
      <c r="AL3484" s="156" t="s">
        <v>689</v>
      </c>
      <c r="AM3484" s="198">
        <f t="shared" si="1663"/>
        <v>0</v>
      </c>
      <c r="AN3484" s="199">
        <f t="shared" si="1664"/>
        <v>46190</v>
      </c>
      <c r="AO3484" s="159" t="s">
        <v>692</v>
      </c>
      <c r="AP3484" s="783" t="s">
        <v>622</v>
      </c>
      <c r="AQ3484" s="783" t="s">
        <v>631</v>
      </c>
      <c r="AR3484" s="783" t="s">
        <v>523</v>
      </c>
      <c r="AS3484" s="781"/>
      <c r="AT3484" s="783" t="s">
        <v>2982</v>
      </c>
      <c r="AU3484" s="781"/>
      <c r="AV3484" s="783" t="s">
        <v>2987</v>
      </c>
      <c r="AW3484" s="781"/>
      <c r="AX3484" s="781" t="s">
        <v>398</v>
      </c>
      <c r="AY3484" s="781"/>
      <c r="AZ3484" s="782"/>
      <c r="BA3484" s="781"/>
      <c r="BB3484" s="209">
        <v>23053184</v>
      </c>
    </row>
    <row r="3485" spans="1:54" ht="25" customHeight="1">
      <c r="A3485" s="142" t="s">
        <v>120</v>
      </c>
      <c r="B3485" s="271">
        <v>46190</v>
      </c>
      <c r="C3485" s="272">
        <v>46209</v>
      </c>
      <c r="D3485" s="185">
        <f t="shared" si="1660"/>
        <v>2026</v>
      </c>
      <c r="E3485" s="272" t="e">
        <f>VLOOKUP($B3485,Week!$A$1:$C$1462,2,0)</f>
        <v>#N/A</v>
      </c>
      <c r="F3485" s="273" t="str">
        <f t="shared" si="1661"/>
        <v>Jun</v>
      </c>
      <c r="G3485" s="274" t="s">
        <v>2964</v>
      </c>
      <c r="H3485" s="274" t="s">
        <v>500</v>
      </c>
      <c r="I3485" s="274" t="s">
        <v>2772</v>
      </c>
      <c r="J3485" s="275" t="s">
        <v>285</v>
      </c>
      <c r="K3485" s="276" t="s">
        <v>153</v>
      </c>
      <c r="L3485" s="390" t="s">
        <v>2166</v>
      </c>
      <c r="M3485" s="275" t="s">
        <v>86</v>
      </c>
      <c r="N3485" s="274" t="s">
        <v>547</v>
      </c>
      <c r="O3485" s="274" t="s">
        <v>548</v>
      </c>
      <c r="P3485" s="277">
        <v>10</v>
      </c>
      <c r="Q3485" s="277">
        <v>50</v>
      </c>
      <c r="R3485" s="278">
        <v>6.8100000000000001E-3</v>
      </c>
      <c r="S3485" s="274" t="s">
        <v>76</v>
      </c>
      <c r="T3485" s="274" t="s">
        <v>56</v>
      </c>
      <c r="U3485" s="274" t="s">
        <v>89</v>
      </c>
      <c r="V3485" s="279">
        <f>564</f>
        <v>564</v>
      </c>
      <c r="W3485" s="279">
        <f>39+525</f>
        <v>564</v>
      </c>
      <c r="X3485" s="280"/>
      <c r="Y3485" s="281">
        <f t="shared" si="1665"/>
        <v>0</v>
      </c>
      <c r="Z3485" s="282">
        <f t="shared" si="1666"/>
        <v>0</v>
      </c>
      <c r="AA3485" s="282">
        <f t="shared" si="1662"/>
        <v>0</v>
      </c>
      <c r="AB3485" s="812">
        <v>6</v>
      </c>
      <c r="AC3485" s="279">
        <f t="shared" si="1673"/>
        <v>0</v>
      </c>
      <c r="AD3485" s="209"/>
      <c r="AE3485" s="210">
        <f t="shared" si="1667"/>
        <v>0</v>
      </c>
      <c r="AF3485" s="210">
        <f t="shared" si="1668"/>
        <v>0</v>
      </c>
      <c r="AG3485" s="211">
        <f t="shared" si="1674"/>
        <v>0.63</v>
      </c>
      <c r="AH3485" s="157">
        <f t="shared" si="1672"/>
        <v>0</v>
      </c>
      <c r="AI3485" s="152">
        <f t="shared" si="1670"/>
        <v>5640</v>
      </c>
      <c r="AK3485" s="156" t="s">
        <v>691</v>
      </c>
      <c r="AL3485" s="156" t="s">
        <v>689</v>
      </c>
      <c r="AM3485" s="198">
        <f t="shared" si="1663"/>
        <v>0</v>
      </c>
      <c r="AN3485" s="199">
        <f t="shared" si="1664"/>
        <v>46190</v>
      </c>
      <c r="AO3485" s="159" t="s">
        <v>692</v>
      </c>
      <c r="AP3485" s="783" t="s">
        <v>620</v>
      </c>
      <c r="AQ3485" s="796" t="s">
        <v>422</v>
      </c>
      <c r="AR3485" s="782">
        <v>12055234</v>
      </c>
      <c r="AS3485" s="781"/>
      <c r="AT3485" s="782"/>
      <c r="AU3485" s="782"/>
      <c r="AV3485" s="782">
        <v>12062809</v>
      </c>
      <c r="AW3485" s="782"/>
      <c r="AX3485" s="782" t="s">
        <v>619</v>
      </c>
      <c r="AY3485" s="781"/>
      <c r="AZ3485" s="781"/>
      <c r="BA3485" s="781"/>
      <c r="BB3485" s="209">
        <v>23053184</v>
      </c>
    </row>
    <row r="3486" spans="1:54" ht="24.75" customHeight="1">
      <c r="B3486" s="295">
        <v>46190</v>
      </c>
      <c r="C3486" s="771" t="s">
        <v>2849</v>
      </c>
      <c r="D3486" s="185">
        <f t="shared" si="1660"/>
        <v>2026</v>
      </c>
      <c r="E3486" s="296" t="e">
        <f>VLOOKUP($B3486,Week!$A$1:$C$1462,2,0)</f>
        <v>#N/A</v>
      </c>
      <c r="F3486" s="297" t="str">
        <f t="shared" si="1661"/>
        <v>Jun</v>
      </c>
      <c r="G3486" s="648" t="s">
        <v>47</v>
      </c>
      <c r="H3486" s="298" t="s">
        <v>260</v>
      </c>
      <c r="I3486" s="298" t="s">
        <v>2702</v>
      </c>
      <c r="J3486" s="307" t="s">
        <v>2240</v>
      </c>
      <c r="K3486" s="300" t="s">
        <v>176</v>
      </c>
      <c r="L3486" s="300" t="s">
        <v>2167</v>
      </c>
      <c r="M3486" s="299" t="s">
        <v>2338</v>
      </c>
      <c r="N3486" s="298" t="s">
        <v>350</v>
      </c>
      <c r="O3486" s="298" t="s">
        <v>351</v>
      </c>
      <c r="P3486" s="301">
        <v>24</v>
      </c>
      <c r="Q3486" s="301">
        <v>5</v>
      </c>
      <c r="R3486" s="302">
        <v>6.1999999999999998E-3</v>
      </c>
      <c r="S3486" s="298" t="s">
        <v>352</v>
      </c>
      <c r="T3486" s="298" t="s">
        <v>56</v>
      </c>
      <c r="U3486" s="298" t="s">
        <v>57</v>
      </c>
      <c r="V3486" s="303">
        <v>835</v>
      </c>
      <c r="W3486" s="303">
        <f>826+1+8</f>
        <v>835</v>
      </c>
      <c r="X3486" s="304"/>
      <c r="Y3486" s="305">
        <f t="shared" si="1665"/>
        <v>0</v>
      </c>
      <c r="Z3486" s="306">
        <f t="shared" si="1666"/>
        <v>0</v>
      </c>
      <c r="AA3486" s="306">
        <f t="shared" si="1662"/>
        <v>0</v>
      </c>
      <c r="AB3486" s="814">
        <v>7.4999999999999997E-3</v>
      </c>
      <c r="AC3486" s="303">
        <f t="shared" si="1673"/>
        <v>0</v>
      </c>
      <c r="AD3486" s="443"/>
      <c r="AE3486" s="210">
        <f t="shared" si="1667"/>
        <v>0</v>
      </c>
      <c r="AF3486" s="210">
        <f t="shared" si="1668"/>
        <v>0</v>
      </c>
      <c r="AG3486" s="211">
        <f t="shared" si="1674"/>
        <v>0.13</v>
      </c>
      <c r="AH3486" s="157">
        <f t="shared" si="1672"/>
        <v>0</v>
      </c>
      <c r="AI3486" s="152">
        <f t="shared" si="1670"/>
        <v>20040</v>
      </c>
      <c r="AK3486" s="156" t="s">
        <v>691</v>
      </c>
      <c r="AL3486" s="574" t="s">
        <v>690</v>
      </c>
      <c r="AM3486" s="198">
        <f t="shared" si="1663"/>
        <v>0</v>
      </c>
      <c r="AN3486" s="199">
        <f t="shared" si="1664"/>
        <v>46190</v>
      </c>
      <c r="AO3486" s="159" t="s">
        <v>692</v>
      </c>
      <c r="AP3486" s="783" t="s">
        <v>622</v>
      </c>
      <c r="AQ3486" s="782">
        <v>12071839</v>
      </c>
      <c r="AR3486" s="782">
        <v>12094356</v>
      </c>
      <c r="AS3486" s="782">
        <v>12068233</v>
      </c>
      <c r="AT3486" s="781"/>
      <c r="AU3486" s="781"/>
      <c r="AV3486" s="782">
        <v>12062075</v>
      </c>
      <c r="AW3486" s="781"/>
      <c r="AX3486" s="781"/>
      <c r="AY3486" s="782">
        <v>12094357</v>
      </c>
      <c r="AZ3486" s="782"/>
      <c r="BA3486" s="781"/>
      <c r="BB3486" s="209">
        <v>23053184</v>
      </c>
    </row>
    <row r="3487" spans="1:54" ht="24.75" customHeight="1">
      <c r="A3487" s="947" t="s">
        <v>3113</v>
      </c>
      <c r="B3487" s="535">
        <v>46190</v>
      </c>
      <c r="C3487" s="535">
        <v>46230</v>
      </c>
      <c r="D3487" s="537">
        <f t="shared" si="1660"/>
        <v>2026</v>
      </c>
      <c r="E3487" s="537" t="e">
        <f>VLOOKUP($B3487,Week!$A$1:$C$1462,2,0)</f>
        <v>#N/A</v>
      </c>
      <c r="F3487" s="536" t="str">
        <f t="shared" si="1661"/>
        <v>Jun</v>
      </c>
      <c r="G3487" s="537" t="s">
        <v>3008</v>
      </c>
      <c r="H3487" s="537" t="s">
        <v>424</v>
      </c>
      <c r="I3487" s="537" t="s">
        <v>2772</v>
      </c>
      <c r="J3487" s="538" t="s">
        <v>535</v>
      </c>
      <c r="K3487" s="539" t="s">
        <v>1648</v>
      </c>
      <c r="L3487" s="539" t="s">
        <v>2167</v>
      </c>
      <c r="M3487" s="935" t="s">
        <v>2725</v>
      </c>
      <c r="N3487" s="537" t="s">
        <v>2726</v>
      </c>
      <c r="O3487" s="537" t="s">
        <v>2253</v>
      </c>
      <c r="P3487" s="540">
        <v>8</v>
      </c>
      <c r="Q3487" s="540">
        <v>5</v>
      </c>
      <c r="R3487" s="541">
        <v>6.8100000000000001E-3</v>
      </c>
      <c r="S3487" s="537" t="s">
        <v>40</v>
      </c>
      <c r="T3487" s="537" t="s">
        <v>112</v>
      </c>
      <c r="U3487" s="843" t="s">
        <v>1894</v>
      </c>
      <c r="V3487" s="542">
        <f>600</f>
        <v>600</v>
      </c>
      <c r="W3487" s="542"/>
      <c r="X3487" s="543">
        <f>(587+4689)/8</f>
        <v>659.5</v>
      </c>
      <c r="Y3487" s="544">
        <f t="shared" si="1665"/>
        <v>59.5</v>
      </c>
      <c r="Z3487" s="545">
        <f t="shared" si="1666"/>
        <v>0</v>
      </c>
      <c r="AA3487" s="545">
        <f t="shared" si="1662"/>
        <v>0</v>
      </c>
      <c r="AB3487" s="936">
        <v>7.4999999999999997E-3</v>
      </c>
      <c r="AC3487" s="542">
        <f t="shared" si="1673"/>
        <v>0</v>
      </c>
      <c r="AD3487" s="307" t="s">
        <v>2354</v>
      </c>
      <c r="AE3487" s="210">
        <f t="shared" si="1667"/>
        <v>0</v>
      </c>
      <c r="AF3487" s="210">
        <f t="shared" si="1668"/>
        <v>0</v>
      </c>
      <c r="AG3487" s="211">
        <f t="shared" si="1674"/>
        <v>0.14699999999999999</v>
      </c>
      <c r="AH3487" s="157">
        <f t="shared" si="1672"/>
        <v>0</v>
      </c>
      <c r="AI3487" s="152">
        <f t="shared" si="1670"/>
        <v>4800</v>
      </c>
      <c r="AK3487" s="156" t="s">
        <v>691</v>
      </c>
      <c r="AL3487" s="574" t="s">
        <v>690</v>
      </c>
      <c r="AM3487" s="198">
        <f t="shared" si="1663"/>
        <v>0</v>
      </c>
      <c r="AN3487" s="199">
        <f t="shared" si="1664"/>
        <v>46190</v>
      </c>
      <c r="AO3487" s="159" t="s">
        <v>692</v>
      </c>
      <c r="AP3487" s="781"/>
      <c r="AQ3487" s="782">
        <v>12071839</v>
      </c>
      <c r="AR3487" s="782">
        <v>12080260</v>
      </c>
      <c r="AS3487" s="782">
        <v>12080259</v>
      </c>
      <c r="AT3487" s="782">
        <v>12097454</v>
      </c>
      <c r="AU3487" s="781"/>
      <c r="AV3487" s="782">
        <v>12097455</v>
      </c>
      <c r="AW3487" s="782"/>
      <c r="AX3487" s="782"/>
      <c r="AY3487" s="782"/>
      <c r="AZ3487" s="782"/>
      <c r="BA3487" s="781"/>
      <c r="BB3487" s="209">
        <v>23053185</v>
      </c>
    </row>
    <row r="3488" spans="1:54" ht="25.15" customHeight="1">
      <c r="B3488" s="546">
        <v>46190</v>
      </c>
      <c r="C3488" s="547">
        <v>46207</v>
      </c>
      <c r="D3488" s="549">
        <f t="shared" si="1660"/>
        <v>2026</v>
      </c>
      <c r="E3488" s="549" t="e">
        <f>VLOOKUP($B3488,Week!$A$1:$C$1462,2,0)</f>
        <v>#N/A</v>
      </c>
      <c r="F3488" s="548" t="str">
        <f t="shared" si="1661"/>
        <v>Jun</v>
      </c>
      <c r="G3488" s="549" t="s">
        <v>2958</v>
      </c>
      <c r="H3488" s="549" t="s">
        <v>424</v>
      </c>
      <c r="I3488" s="549" t="s">
        <v>2772</v>
      </c>
      <c r="J3488" s="772" t="s">
        <v>425</v>
      </c>
      <c r="K3488" s="551" t="s">
        <v>1643</v>
      </c>
      <c r="L3488" s="551" t="s">
        <v>2167</v>
      </c>
      <c r="M3488" s="550" t="s">
        <v>2418</v>
      </c>
      <c r="N3488" s="549" t="s">
        <v>2255</v>
      </c>
      <c r="O3488" s="549" t="s">
        <v>2253</v>
      </c>
      <c r="P3488" s="552">
        <v>8</v>
      </c>
      <c r="Q3488" s="552">
        <v>5</v>
      </c>
      <c r="R3488" s="553">
        <v>7.4999999999999997E-3</v>
      </c>
      <c r="S3488" s="549" t="s">
        <v>40</v>
      </c>
      <c r="T3488" s="549" t="s">
        <v>112</v>
      </c>
      <c r="U3488" s="618" t="s">
        <v>1894</v>
      </c>
      <c r="V3488" s="554">
        <f>5148</f>
        <v>5148</v>
      </c>
      <c r="W3488" s="554"/>
      <c r="X3488" s="555">
        <f>(168+40956+60)/8</f>
        <v>5148</v>
      </c>
      <c r="Y3488" s="556">
        <f t="shared" si="1665"/>
        <v>0</v>
      </c>
      <c r="Z3488" s="557">
        <f t="shared" si="1666"/>
        <v>0</v>
      </c>
      <c r="AA3488" s="554">
        <f t="shared" si="1662"/>
        <v>0</v>
      </c>
      <c r="AB3488" s="833">
        <v>7.4999999999999997E-3</v>
      </c>
      <c r="AC3488" s="554">
        <f t="shared" si="1673"/>
        <v>0</v>
      </c>
      <c r="AD3488" s="443" t="s">
        <v>3077</v>
      </c>
      <c r="AE3488" s="210">
        <f t="shared" si="1667"/>
        <v>0</v>
      </c>
      <c r="AF3488" s="210">
        <f t="shared" si="1668"/>
        <v>0</v>
      </c>
      <c r="AG3488" s="211">
        <f t="shared" si="1674"/>
        <v>0.14699999999999999</v>
      </c>
      <c r="AH3488" s="157">
        <f t="shared" si="1672"/>
        <v>0</v>
      </c>
      <c r="AI3488" s="152">
        <f t="shared" si="1670"/>
        <v>41184</v>
      </c>
      <c r="AK3488" s="156" t="s">
        <v>691</v>
      </c>
      <c r="AL3488" s="574" t="s">
        <v>690</v>
      </c>
      <c r="AM3488" s="198">
        <f t="shared" si="1663"/>
        <v>0</v>
      </c>
      <c r="AN3488" s="199">
        <f t="shared" si="1664"/>
        <v>46190</v>
      </c>
      <c r="AO3488" s="159" t="s">
        <v>692</v>
      </c>
      <c r="AP3488" s="783" t="s">
        <v>609</v>
      </c>
      <c r="AQ3488" s="782">
        <v>12071839</v>
      </c>
      <c r="AR3488" s="782">
        <v>12080260</v>
      </c>
      <c r="AS3488" s="782">
        <v>12080259</v>
      </c>
      <c r="AT3488" s="798" t="s">
        <v>2378</v>
      </c>
      <c r="AU3488" s="782"/>
      <c r="AV3488" s="782">
        <v>12096148</v>
      </c>
      <c r="AW3488" s="782"/>
      <c r="AX3488" s="781"/>
      <c r="AY3488" s="782"/>
      <c r="AZ3488" s="782"/>
      <c r="BA3488" s="781"/>
      <c r="BB3488" s="209">
        <v>23053185</v>
      </c>
    </row>
    <row r="3489" spans="1:54" ht="24.75" customHeight="1">
      <c r="B3489" s="358">
        <v>46190</v>
      </c>
      <c r="C3489" s="358">
        <v>46230</v>
      </c>
      <c r="D3489" s="359">
        <f t="shared" si="1660"/>
        <v>2026</v>
      </c>
      <c r="E3489" s="359" t="e">
        <f>VLOOKUP($B3489,Week!$A$1:$C$1462,2,0)</f>
        <v>#N/A</v>
      </c>
      <c r="F3489" s="360" t="str">
        <f t="shared" si="1661"/>
        <v>Jun</v>
      </c>
      <c r="G3489" s="359" t="s">
        <v>3008</v>
      </c>
      <c r="H3489" s="359" t="s">
        <v>424</v>
      </c>
      <c r="I3489" s="359" t="s">
        <v>2772</v>
      </c>
      <c r="J3489" s="361" t="s">
        <v>535</v>
      </c>
      <c r="K3489" s="362" t="s">
        <v>2721</v>
      </c>
      <c r="L3489" s="362" t="s">
        <v>2167</v>
      </c>
      <c r="M3489" s="361" t="s">
        <v>2722</v>
      </c>
      <c r="N3489" s="359" t="s">
        <v>2723</v>
      </c>
      <c r="O3489" s="359" t="s">
        <v>2724</v>
      </c>
      <c r="P3489" s="363">
        <v>8</v>
      </c>
      <c r="Q3489" s="363">
        <v>5</v>
      </c>
      <c r="R3489" s="364">
        <v>6.8100000000000001E-3</v>
      </c>
      <c r="S3489" s="359" t="s">
        <v>40</v>
      </c>
      <c r="T3489" s="359" t="s">
        <v>112</v>
      </c>
      <c r="U3489" s="436" t="s">
        <v>1894</v>
      </c>
      <c r="V3489" s="365">
        <f>650</f>
        <v>650</v>
      </c>
      <c r="W3489" s="365"/>
      <c r="X3489" s="366">
        <f>(555+5633)/8</f>
        <v>773.5</v>
      </c>
      <c r="Y3489" s="367">
        <f t="shared" si="1665"/>
        <v>123.5</v>
      </c>
      <c r="Z3489" s="368">
        <f t="shared" si="1666"/>
        <v>0</v>
      </c>
      <c r="AA3489" s="368">
        <f t="shared" si="1662"/>
        <v>0</v>
      </c>
      <c r="AB3489" s="903">
        <v>3.8699999999999998E-2</v>
      </c>
      <c r="AC3489" s="365">
        <f t="shared" si="1673"/>
        <v>0</v>
      </c>
      <c r="AD3489" s="307" t="s">
        <v>2354</v>
      </c>
      <c r="AE3489" s="210">
        <f t="shared" si="1667"/>
        <v>0</v>
      </c>
      <c r="AF3489" s="210">
        <f t="shared" si="1668"/>
        <v>0</v>
      </c>
      <c r="AG3489" s="211">
        <f t="shared" si="1674"/>
        <v>0.307</v>
      </c>
      <c r="AH3489" s="157">
        <f t="shared" si="1672"/>
        <v>0</v>
      </c>
      <c r="AI3489" s="152">
        <f t="shared" si="1670"/>
        <v>5200</v>
      </c>
      <c r="AK3489" s="156" t="s">
        <v>691</v>
      </c>
      <c r="AL3489" s="574" t="s">
        <v>690</v>
      </c>
      <c r="AM3489" s="198">
        <f t="shared" si="1663"/>
        <v>0</v>
      </c>
      <c r="AN3489" s="199">
        <f t="shared" si="1664"/>
        <v>46190</v>
      </c>
      <c r="AO3489" s="159" t="s">
        <v>692</v>
      </c>
      <c r="AP3489" s="781"/>
      <c r="AQ3489" s="782">
        <v>12063755</v>
      </c>
      <c r="AR3489" s="782">
        <v>12081257</v>
      </c>
      <c r="AS3489" s="782">
        <v>12081260</v>
      </c>
      <c r="AT3489" s="782">
        <v>12097456</v>
      </c>
      <c r="AU3489" s="781"/>
      <c r="AV3489" s="782">
        <v>12097457</v>
      </c>
      <c r="AW3489" s="782"/>
      <c r="AX3489" s="782"/>
      <c r="AY3489" s="782"/>
      <c r="AZ3489" s="782"/>
      <c r="BA3489" s="781"/>
      <c r="BB3489" s="209">
        <v>23053185</v>
      </c>
    </row>
    <row r="3490" spans="1:54" ht="25" customHeight="1">
      <c r="A3490" s="623"/>
      <c r="B3490" s="498">
        <v>46190</v>
      </c>
      <c r="C3490" s="499">
        <v>46219</v>
      </c>
      <c r="D3490" s="185">
        <f t="shared" si="1660"/>
        <v>2026</v>
      </c>
      <c r="E3490" s="499" t="e">
        <f>VLOOKUP($B3490,Week!$A$1:$C$1462,2,0)</f>
        <v>#N/A</v>
      </c>
      <c r="F3490" s="500" t="str">
        <f t="shared" si="1661"/>
        <v>Jun</v>
      </c>
      <c r="G3490" s="501" t="s">
        <v>3014</v>
      </c>
      <c r="H3490" s="501" t="s">
        <v>311</v>
      </c>
      <c r="I3490" s="501" t="s">
        <v>2772</v>
      </c>
      <c r="J3490" s="502" t="s">
        <v>738</v>
      </c>
      <c r="K3490" s="503" t="s">
        <v>1646</v>
      </c>
      <c r="L3490" s="300" t="s">
        <v>2167</v>
      </c>
      <c r="M3490" s="502" t="s">
        <v>654</v>
      </c>
      <c r="N3490" s="501" t="s">
        <v>726</v>
      </c>
      <c r="O3490" s="501" t="s">
        <v>655</v>
      </c>
      <c r="P3490" s="504">
        <v>24</v>
      </c>
      <c r="Q3490" s="504">
        <v>5</v>
      </c>
      <c r="R3490" s="505">
        <v>7.4999999999999997E-3</v>
      </c>
      <c r="S3490" s="501" t="s">
        <v>40</v>
      </c>
      <c r="T3490" s="501" t="s">
        <v>112</v>
      </c>
      <c r="U3490" s="506" t="s">
        <v>1894</v>
      </c>
      <c r="V3490" s="507">
        <f>390</f>
        <v>390</v>
      </c>
      <c r="W3490" s="507">
        <f>34+356</f>
        <v>390</v>
      </c>
      <c r="X3490" s="508"/>
      <c r="Y3490" s="509">
        <f t="shared" si="1665"/>
        <v>0</v>
      </c>
      <c r="Z3490" s="510">
        <f t="shared" si="1666"/>
        <v>0</v>
      </c>
      <c r="AA3490" s="510">
        <f t="shared" si="1662"/>
        <v>0</v>
      </c>
      <c r="AB3490" s="830">
        <v>3.8699999999999998E-2</v>
      </c>
      <c r="AC3490" s="507">
        <f t="shared" si="1673"/>
        <v>0</v>
      </c>
      <c r="AD3490" s="209"/>
      <c r="AE3490" s="210">
        <f t="shared" si="1667"/>
        <v>0</v>
      </c>
      <c r="AF3490" s="210">
        <f t="shared" si="1668"/>
        <v>0</v>
      </c>
      <c r="AG3490" s="211">
        <f t="shared" si="1674"/>
        <v>0.307</v>
      </c>
      <c r="AH3490" s="157">
        <f t="shared" si="1672"/>
        <v>0</v>
      </c>
      <c r="AI3490" s="152">
        <f t="shared" si="1670"/>
        <v>9360</v>
      </c>
      <c r="AK3490" s="156" t="s">
        <v>691</v>
      </c>
      <c r="AL3490" s="212" t="s">
        <v>690</v>
      </c>
      <c r="AM3490" s="198">
        <f t="shared" si="1663"/>
        <v>0</v>
      </c>
      <c r="AN3490" s="199">
        <f t="shared" si="1664"/>
        <v>46190</v>
      </c>
      <c r="AO3490" s="159" t="s">
        <v>692</v>
      </c>
      <c r="AP3490" s="781" t="s">
        <v>642</v>
      </c>
      <c r="AQ3490" s="782">
        <v>12063755</v>
      </c>
      <c r="AR3490" s="782">
        <v>12061353</v>
      </c>
      <c r="AS3490" s="782">
        <v>12061354</v>
      </c>
      <c r="AT3490" s="782">
        <v>12089274</v>
      </c>
      <c r="AU3490" s="781"/>
      <c r="AV3490" s="782">
        <v>12089275</v>
      </c>
      <c r="AW3490" s="782">
        <v>12068154</v>
      </c>
      <c r="AX3490" s="782"/>
      <c r="AY3490" s="782">
        <v>12094140</v>
      </c>
      <c r="AZ3490" s="782"/>
      <c r="BA3490" s="781"/>
      <c r="BB3490" s="209">
        <v>23105470</v>
      </c>
    </row>
    <row r="3491" spans="1:54" ht="25" customHeight="1">
      <c r="B3491" s="332">
        <v>46190</v>
      </c>
      <c r="C3491" s="333">
        <v>46203</v>
      </c>
      <c r="D3491" s="185">
        <f t="shared" si="1660"/>
        <v>2026</v>
      </c>
      <c r="E3491" s="333" t="e">
        <f>VLOOKUP($B3491,Week!$A$1:$C$1462,2,0)</f>
        <v>#N/A</v>
      </c>
      <c r="F3491" s="334" t="str">
        <f t="shared" si="1661"/>
        <v>Jun</v>
      </c>
      <c r="G3491" s="335" t="s">
        <v>3039</v>
      </c>
      <c r="H3491" s="335" t="s">
        <v>311</v>
      </c>
      <c r="I3491" s="335" t="s">
        <v>2772</v>
      </c>
      <c r="J3491" s="336" t="s">
        <v>738</v>
      </c>
      <c r="K3491" s="337" t="s">
        <v>1649</v>
      </c>
      <c r="L3491" s="300" t="s">
        <v>2167</v>
      </c>
      <c r="M3491" s="336" t="s">
        <v>603</v>
      </c>
      <c r="N3491" s="335" t="s">
        <v>605</v>
      </c>
      <c r="O3491" s="335" t="s">
        <v>602</v>
      </c>
      <c r="P3491" s="338">
        <v>8</v>
      </c>
      <c r="Q3491" s="338">
        <v>3</v>
      </c>
      <c r="R3491" s="339">
        <v>6.0000000000000001E-3</v>
      </c>
      <c r="S3491" s="335" t="s">
        <v>55</v>
      </c>
      <c r="T3491" s="335" t="s">
        <v>112</v>
      </c>
      <c r="U3491" s="340" t="s">
        <v>1894</v>
      </c>
      <c r="V3491" s="341">
        <f>400</f>
        <v>400</v>
      </c>
      <c r="W3491" s="341"/>
      <c r="X3491" s="342">
        <f>(193+3200)/8</f>
        <v>424.125</v>
      </c>
      <c r="Y3491" s="343">
        <f t="shared" si="1665"/>
        <v>24.125</v>
      </c>
      <c r="Z3491" s="344">
        <f t="shared" si="1666"/>
        <v>0</v>
      </c>
      <c r="AA3491" s="344">
        <f t="shared" si="1662"/>
        <v>0</v>
      </c>
      <c r="AB3491" s="817">
        <v>3.8699999999999998E-2</v>
      </c>
      <c r="AC3491" s="341">
        <f t="shared" si="1673"/>
        <v>0</v>
      </c>
      <c r="AD3491" s="307" t="s">
        <v>2902</v>
      </c>
      <c r="AE3491" s="210">
        <f t="shared" si="1667"/>
        <v>0</v>
      </c>
      <c r="AF3491" s="210">
        <f t="shared" si="1668"/>
        <v>0</v>
      </c>
      <c r="AG3491" s="211">
        <f t="shared" si="1674"/>
        <v>0.30199999999999999</v>
      </c>
      <c r="AH3491" s="157">
        <v>0.26621999999999996</v>
      </c>
      <c r="AI3491" s="152">
        <f t="shared" si="1670"/>
        <v>3200</v>
      </c>
      <c r="AK3491" s="156" t="s">
        <v>691</v>
      </c>
      <c r="AL3491" s="156" t="s">
        <v>690</v>
      </c>
      <c r="AM3491" s="198">
        <f t="shared" si="1663"/>
        <v>0</v>
      </c>
      <c r="AN3491" s="199">
        <f t="shared" si="1664"/>
        <v>46190</v>
      </c>
      <c r="AO3491" s="159" t="s">
        <v>692</v>
      </c>
      <c r="AP3491" s="781" t="s">
        <v>642</v>
      </c>
      <c r="AQ3491" s="782">
        <v>12063755</v>
      </c>
      <c r="AR3491" s="782">
        <v>12061353</v>
      </c>
      <c r="AS3491" s="782">
        <v>12061354</v>
      </c>
      <c r="AT3491" s="782">
        <v>12097662</v>
      </c>
      <c r="AU3491" s="781"/>
      <c r="AV3491" s="782">
        <v>12097663</v>
      </c>
      <c r="AW3491" s="781"/>
      <c r="AX3491" s="781"/>
      <c r="AY3491" s="781"/>
      <c r="AZ3491" s="782"/>
      <c r="BA3491" s="781"/>
      <c r="BB3491" s="209">
        <v>23105470</v>
      </c>
    </row>
    <row r="3492" spans="1:54" ht="25" customHeight="1">
      <c r="B3492" s="332">
        <v>46190</v>
      </c>
      <c r="C3492" s="333">
        <v>46233</v>
      </c>
      <c r="D3492" s="185">
        <f t="shared" si="1660"/>
        <v>2026</v>
      </c>
      <c r="E3492" s="333" t="e">
        <f>VLOOKUP($B3492,Week!$A$1:$C$1462,2,0)</f>
        <v>#N/A</v>
      </c>
      <c r="F3492" s="334" t="str">
        <f t="shared" si="1661"/>
        <v>Jun</v>
      </c>
      <c r="G3492" s="335" t="s">
        <v>3066</v>
      </c>
      <c r="H3492" s="335" t="s">
        <v>675</v>
      </c>
      <c r="I3492" s="335" t="s">
        <v>2772</v>
      </c>
      <c r="J3492" s="336" t="s">
        <v>2906</v>
      </c>
      <c r="K3492" s="337" t="s">
        <v>1649</v>
      </c>
      <c r="L3492" s="300" t="s">
        <v>2167</v>
      </c>
      <c r="M3492" s="336" t="s">
        <v>603</v>
      </c>
      <c r="N3492" s="530" t="s">
        <v>711</v>
      </c>
      <c r="O3492" s="335" t="s">
        <v>602</v>
      </c>
      <c r="P3492" s="338">
        <v>8</v>
      </c>
      <c r="Q3492" s="338">
        <v>3</v>
      </c>
      <c r="R3492" s="339">
        <v>6.0000000000000001E-3</v>
      </c>
      <c r="S3492" s="335" t="s">
        <v>55</v>
      </c>
      <c r="T3492" s="335" t="s">
        <v>112</v>
      </c>
      <c r="U3492" s="340" t="s">
        <v>1894</v>
      </c>
      <c r="V3492" s="341">
        <f>80</f>
        <v>80</v>
      </c>
      <c r="W3492" s="341"/>
      <c r="X3492" s="342">
        <f>(432+188+20)/8</f>
        <v>80</v>
      </c>
      <c r="Y3492" s="343">
        <f t="shared" si="1665"/>
        <v>0</v>
      </c>
      <c r="Z3492" s="344">
        <f t="shared" si="1666"/>
        <v>0</v>
      </c>
      <c r="AA3492" s="344">
        <f t="shared" si="1662"/>
        <v>0</v>
      </c>
      <c r="AB3492" s="817">
        <v>3.8699999999999998E-2</v>
      </c>
      <c r="AC3492" s="341">
        <f t="shared" si="1673"/>
        <v>0</v>
      </c>
      <c r="AD3492" s="443"/>
      <c r="AE3492" s="210">
        <f t="shared" si="1667"/>
        <v>0</v>
      </c>
      <c r="AF3492" s="210">
        <f t="shared" si="1668"/>
        <v>0</v>
      </c>
      <c r="AG3492" s="211">
        <f t="shared" si="1674"/>
        <v>0.30199999999999999</v>
      </c>
      <c r="AH3492" s="157">
        <v>0.26621999999999996</v>
      </c>
      <c r="AI3492" s="152">
        <f t="shared" si="1670"/>
        <v>640</v>
      </c>
      <c r="AK3492" s="156" t="s">
        <v>691</v>
      </c>
      <c r="AL3492" s="212" t="s">
        <v>690</v>
      </c>
      <c r="AM3492" s="198">
        <f t="shared" si="1663"/>
        <v>0</v>
      </c>
      <c r="AN3492" s="199">
        <f t="shared" si="1664"/>
        <v>46190</v>
      </c>
      <c r="AO3492" s="159" t="s">
        <v>692</v>
      </c>
      <c r="AP3492" s="781" t="s">
        <v>642</v>
      </c>
      <c r="AQ3492" s="782">
        <v>12063755</v>
      </c>
      <c r="AR3492" s="782">
        <v>12061353</v>
      </c>
      <c r="AS3492" s="782">
        <v>12061354</v>
      </c>
      <c r="AT3492" s="782">
        <v>12089988</v>
      </c>
      <c r="AU3492" s="781"/>
      <c r="AV3492" s="782">
        <v>12089985</v>
      </c>
      <c r="AW3492" s="781"/>
      <c r="AX3492" s="781"/>
      <c r="AY3492" s="781" t="s">
        <v>2713</v>
      </c>
      <c r="AZ3492" s="781" t="s">
        <v>2714</v>
      </c>
      <c r="BA3492" s="781"/>
      <c r="BB3492" s="209">
        <v>23105470</v>
      </c>
    </row>
    <row r="3493" spans="1:54" ht="25" customHeight="1">
      <c r="A3493" s="142" t="s">
        <v>120</v>
      </c>
      <c r="B3493" s="271">
        <v>46191</v>
      </c>
      <c r="C3493" s="272">
        <v>46209</v>
      </c>
      <c r="D3493" s="185">
        <f t="shared" si="1660"/>
        <v>2026</v>
      </c>
      <c r="E3493" s="272" t="e">
        <f>VLOOKUP($B3493,Week!$A$1:$C$1462,2,0)</f>
        <v>#N/A</v>
      </c>
      <c r="F3493" s="273" t="str">
        <f t="shared" si="1661"/>
        <v>Jun</v>
      </c>
      <c r="G3493" s="274" t="s">
        <v>2964</v>
      </c>
      <c r="H3493" s="274" t="s">
        <v>500</v>
      </c>
      <c r="I3493" s="274" t="s">
        <v>2772</v>
      </c>
      <c r="J3493" s="275" t="s">
        <v>285</v>
      </c>
      <c r="K3493" s="276" t="s">
        <v>153</v>
      </c>
      <c r="L3493" s="390" t="s">
        <v>2166</v>
      </c>
      <c r="M3493" s="275" t="s">
        <v>86</v>
      </c>
      <c r="N3493" s="274" t="s">
        <v>547</v>
      </c>
      <c r="O3493" s="274" t="s">
        <v>548</v>
      </c>
      <c r="P3493" s="277">
        <v>10</v>
      </c>
      <c r="Q3493" s="277">
        <v>50</v>
      </c>
      <c r="R3493" s="278">
        <v>6.8100000000000001E-3</v>
      </c>
      <c r="S3493" s="274" t="s">
        <v>76</v>
      </c>
      <c r="T3493" s="274" t="s">
        <v>56</v>
      </c>
      <c r="U3493" s="274" t="s">
        <v>89</v>
      </c>
      <c r="V3493" s="279">
        <f>646</f>
        <v>646</v>
      </c>
      <c r="W3493" s="279">
        <f>646</f>
        <v>646</v>
      </c>
      <c r="X3493" s="280"/>
      <c r="Y3493" s="281">
        <f t="shared" si="1665"/>
        <v>0</v>
      </c>
      <c r="Z3493" s="282">
        <f t="shared" si="1666"/>
        <v>0</v>
      </c>
      <c r="AA3493" s="282">
        <f t="shared" si="1662"/>
        <v>0</v>
      </c>
      <c r="AB3493" s="812">
        <v>6</v>
      </c>
      <c r="AC3493" s="279">
        <f t="shared" si="1673"/>
        <v>0</v>
      </c>
      <c r="AD3493" s="209"/>
      <c r="AE3493" s="210">
        <f t="shared" si="1667"/>
        <v>0</v>
      </c>
      <c r="AF3493" s="210">
        <f t="shared" si="1668"/>
        <v>0</v>
      </c>
      <c r="AG3493" s="211">
        <f t="shared" si="1674"/>
        <v>0.63</v>
      </c>
      <c r="AH3493" s="157">
        <f t="shared" ref="AH3493:AH3498" si="1675">(Z3493*AG3493)/1000</f>
        <v>0</v>
      </c>
      <c r="AI3493" s="152">
        <f t="shared" si="1670"/>
        <v>6460</v>
      </c>
      <c r="AK3493" s="156" t="s">
        <v>691</v>
      </c>
      <c r="AL3493" s="156" t="s">
        <v>689</v>
      </c>
      <c r="AM3493" s="198">
        <f t="shared" si="1663"/>
        <v>0</v>
      </c>
      <c r="AN3493" s="199">
        <f t="shared" si="1664"/>
        <v>46191</v>
      </c>
      <c r="AO3493" s="159" t="s">
        <v>692</v>
      </c>
      <c r="AP3493" s="783" t="s">
        <v>620</v>
      </c>
      <c r="AQ3493" s="796" t="s">
        <v>422</v>
      </c>
      <c r="AR3493" s="782">
        <v>12055234</v>
      </c>
      <c r="AS3493" s="781"/>
      <c r="AT3493" s="782"/>
      <c r="AU3493" s="782"/>
      <c r="AV3493" s="782">
        <v>12062809</v>
      </c>
      <c r="AW3493" s="782"/>
      <c r="AX3493" s="782" t="s">
        <v>619</v>
      </c>
      <c r="AY3493" s="781"/>
      <c r="AZ3493" s="781"/>
      <c r="BA3493" s="781"/>
      <c r="BB3493" s="209">
        <v>23053184</v>
      </c>
    </row>
    <row r="3494" spans="1:54" ht="25" customHeight="1">
      <c r="B3494" s="357">
        <v>46191</v>
      </c>
      <c r="C3494" s="358">
        <v>46204</v>
      </c>
      <c r="D3494" s="185">
        <f t="shared" si="1660"/>
        <v>2026</v>
      </c>
      <c r="E3494" s="358" t="e">
        <f>VLOOKUP($B3494,Week!$A$1:$C$1462,2,0)</f>
        <v>#N/A</v>
      </c>
      <c r="F3494" s="360" t="str">
        <f t="shared" si="1661"/>
        <v>Jun</v>
      </c>
      <c r="G3494" s="436" t="s">
        <v>3015</v>
      </c>
      <c r="H3494" s="359" t="s">
        <v>225</v>
      </c>
      <c r="I3494" s="359" t="s">
        <v>2773</v>
      </c>
      <c r="J3494" s="361" t="s">
        <v>650</v>
      </c>
      <c r="K3494" s="362" t="s">
        <v>593</v>
      </c>
      <c r="L3494" s="300" t="s">
        <v>2167</v>
      </c>
      <c r="M3494" s="361" t="s">
        <v>717</v>
      </c>
      <c r="N3494" s="359" t="s">
        <v>719</v>
      </c>
      <c r="O3494" s="359" t="s">
        <v>230</v>
      </c>
      <c r="P3494" s="363">
        <v>12</v>
      </c>
      <c r="Q3494" s="363">
        <v>5</v>
      </c>
      <c r="R3494" s="364">
        <v>6.0000000000000001E-3</v>
      </c>
      <c r="S3494" s="359" t="s">
        <v>55</v>
      </c>
      <c r="T3494" s="359" t="s">
        <v>112</v>
      </c>
      <c r="U3494" s="359" t="s">
        <v>57</v>
      </c>
      <c r="V3494" s="365">
        <v>2600</v>
      </c>
      <c r="W3494" s="365"/>
      <c r="X3494" s="366">
        <f>(1040+30160)/12</f>
        <v>2600</v>
      </c>
      <c r="Y3494" s="367">
        <f t="shared" si="1665"/>
        <v>0</v>
      </c>
      <c r="Z3494" s="368">
        <f t="shared" si="1666"/>
        <v>0</v>
      </c>
      <c r="AA3494" s="368">
        <f t="shared" si="1662"/>
        <v>0</v>
      </c>
      <c r="AB3494" s="819">
        <v>7.4999999999999997E-3</v>
      </c>
      <c r="AC3494" s="365">
        <f t="shared" si="1673"/>
        <v>0</v>
      </c>
      <c r="AD3494" s="307" t="s">
        <v>2421</v>
      </c>
      <c r="AE3494" s="210">
        <f t="shared" si="1667"/>
        <v>0</v>
      </c>
      <c r="AF3494" s="210">
        <f t="shared" si="1668"/>
        <v>0</v>
      </c>
      <c r="AG3494" s="211">
        <f t="shared" si="1674"/>
        <v>0.25800000000000001</v>
      </c>
      <c r="AH3494" s="157">
        <f t="shared" si="1675"/>
        <v>0</v>
      </c>
      <c r="AI3494" s="152">
        <f t="shared" si="1670"/>
        <v>31200</v>
      </c>
      <c r="AK3494" s="156" t="s">
        <v>691</v>
      </c>
      <c r="AL3494" s="574" t="s">
        <v>690</v>
      </c>
      <c r="AM3494" s="198">
        <f t="shared" si="1663"/>
        <v>0</v>
      </c>
      <c r="AN3494" s="199">
        <f t="shared" si="1664"/>
        <v>46191</v>
      </c>
      <c r="AO3494" s="159" t="s">
        <v>692</v>
      </c>
      <c r="AP3494" s="783" t="s">
        <v>612</v>
      </c>
      <c r="AQ3494" s="782">
        <v>12071839</v>
      </c>
      <c r="AR3494" s="782">
        <v>12042650</v>
      </c>
      <c r="AS3494" s="782">
        <v>12042649</v>
      </c>
      <c r="AT3494" s="782">
        <v>12096387</v>
      </c>
      <c r="AU3494" s="781"/>
      <c r="AV3494" s="782">
        <v>12088422</v>
      </c>
      <c r="AW3494" s="782"/>
      <c r="AX3494" s="782"/>
      <c r="AY3494" s="782"/>
      <c r="AZ3494" s="782"/>
      <c r="BA3494" s="781"/>
      <c r="BB3494" s="209">
        <v>23053185</v>
      </c>
    </row>
    <row r="3495" spans="1:54" ht="25" customHeight="1">
      <c r="B3495" s="320">
        <v>46191</v>
      </c>
      <c r="C3495" s="844" t="s">
        <v>2996</v>
      </c>
      <c r="D3495" s="185">
        <f t="shared" si="1660"/>
        <v>2026</v>
      </c>
      <c r="E3495" s="321" t="e">
        <f>VLOOKUP($B3495,Week!$A$1:$C$1462,2,0)</f>
        <v>#N/A</v>
      </c>
      <c r="F3495" s="322" t="str">
        <f t="shared" si="1661"/>
        <v>Jun</v>
      </c>
      <c r="G3495" s="323" t="s">
        <v>47</v>
      </c>
      <c r="H3495" s="323" t="s">
        <v>518</v>
      </c>
      <c r="I3495" s="323" t="s">
        <v>2702</v>
      </c>
      <c r="J3495" s="324" t="s">
        <v>70</v>
      </c>
      <c r="K3495" s="325" t="s">
        <v>564</v>
      </c>
      <c r="L3495" s="300" t="s">
        <v>2167</v>
      </c>
      <c r="M3495" s="324" t="s">
        <v>2343</v>
      </c>
      <c r="N3495" s="323" t="s">
        <v>559</v>
      </c>
      <c r="O3495" s="323" t="s">
        <v>560</v>
      </c>
      <c r="P3495" s="326">
        <v>12</v>
      </c>
      <c r="Q3495" s="326">
        <v>3</v>
      </c>
      <c r="R3495" s="327">
        <v>8.0000000000000002E-3</v>
      </c>
      <c r="S3495" s="323" t="s">
        <v>40</v>
      </c>
      <c r="T3495" s="323" t="s">
        <v>56</v>
      </c>
      <c r="U3495" s="323" t="s">
        <v>57</v>
      </c>
      <c r="V3495" s="397">
        <f>500</f>
        <v>500</v>
      </c>
      <c r="W3495" s="328">
        <f>3+497</f>
        <v>500</v>
      </c>
      <c r="X3495" s="329"/>
      <c r="Y3495" s="330">
        <f t="shared" si="1665"/>
        <v>0</v>
      </c>
      <c r="Z3495" s="331">
        <f t="shared" si="1666"/>
        <v>0</v>
      </c>
      <c r="AA3495" s="331">
        <f t="shared" si="1662"/>
        <v>0</v>
      </c>
      <c r="AB3495" s="816">
        <v>7.4999999999999997E-3</v>
      </c>
      <c r="AC3495" s="328">
        <f t="shared" si="1673"/>
        <v>0</v>
      </c>
      <c r="AD3495" s="209"/>
      <c r="AE3495" s="210">
        <f t="shared" si="1667"/>
        <v>0</v>
      </c>
      <c r="AF3495" s="210">
        <f t="shared" si="1668"/>
        <v>0</v>
      </c>
      <c r="AG3495" s="211">
        <f t="shared" si="1674"/>
        <v>0.22600000000000001</v>
      </c>
      <c r="AH3495" s="157">
        <f t="shared" si="1675"/>
        <v>0</v>
      </c>
      <c r="AI3495" s="152">
        <f t="shared" si="1670"/>
        <v>6000</v>
      </c>
      <c r="AK3495" s="156" t="s">
        <v>691</v>
      </c>
      <c r="AL3495" s="212" t="s">
        <v>690</v>
      </c>
      <c r="AM3495" s="198">
        <f t="shared" si="1663"/>
        <v>0</v>
      </c>
      <c r="AN3495" s="199">
        <f t="shared" si="1664"/>
        <v>46191</v>
      </c>
      <c r="AO3495" s="159" t="s">
        <v>692</v>
      </c>
      <c r="AP3495" s="783" t="s">
        <v>623</v>
      </c>
      <c r="AQ3495" s="782">
        <v>12071839</v>
      </c>
      <c r="AR3495" s="782">
        <v>12042650</v>
      </c>
      <c r="AS3495" s="782">
        <v>12042649</v>
      </c>
      <c r="AT3495" s="782"/>
      <c r="AU3495" s="781"/>
      <c r="AV3495" s="782">
        <v>12083156</v>
      </c>
      <c r="AW3495" s="782"/>
      <c r="AX3495" s="782"/>
      <c r="AY3495" s="782">
        <v>12094235</v>
      </c>
      <c r="AZ3495" s="782">
        <v>12094236</v>
      </c>
      <c r="BA3495" s="781"/>
      <c r="BB3495" s="209">
        <v>23053185</v>
      </c>
    </row>
    <row r="3496" spans="1:54" ht="25" customHeight="1">
      <c r="A3496" s="440"/>
      <c r="B3496" s="332">
        <v>46191</v>
      </c>
      <c r="C3496" s="646" t="s">
        <v>2849</v>
      </c>
      <c r="D3496" s="185">
        <f t="shared" si="1660"/>
        <v>2026</v>
      </c>
      <c r="E3496" s="333" t="e">
        <f>VLOOKUP($B3496,Week!$A$1:$C$1462,2,0)</f>
        <v>#N/A</v>
      </c>
      <c r="F3496" s="334" t="str">
        <f t="shared" si="1661"/>
        <v>Jun</v>
      </c>
      <c r="G3496" s="335" t="s">
        <v>47</v>
      </c>
      <c r="H3496" s="335" t="s">
        <v>518</v>
      </c>
      <c r="I3496" s="335" t="s">
        <v>2702</v>
      </c>
      <c r="J3496" s="336" t="s">
        <v>70</v>
      </c>
      <c r="K3496" s="337" t="s">
        <v>582</v>
      </c>
      <c r="L3496" s="300" t="s">
        <v>2167</v>
      </c>
      <c r="M3496" s="336" t="s">
        <v>534</v>
      </c>
      <c r="N3496" s="530" t="s">
        <v>578</v>
      </c>
      <c r="O3496" s="335" t="s">
        <v>583</v>
      </c>
      <c r="P3496" s="338">
        <v>12</v>
      </c>
      <c r="Q3496" s="338">
        <v>3</v>
      </c>
      <c r="R3496" s="339">
        <v>6.0000000000000001E-3</v>
      </c>
      <c r="S3496" s="335" t="s">
        <v>55</v>
      </c>
      <c r="T3496" s="335" t="s">
        <v>56</v>
      </c>
      <c r="U3496" s="335" t="s">
        <v>57</v>
      </c>
      <c r="V3496" s="341">
        <f>250</f>
        <v>250</v>
      </c>
      <c r="W3496" s="341">
        <f>1+249</f>
        <v>250</v>
      </c>
      <c r="X3496" s="342"/>
      <c r="Y3496" s="343">
        <f t="shared" si="1665"/>
        <v>0</v>
      </c>
      <c r="Z3496" s="344">
        <f t="shared" si="1666"/>
        <v>0</v>
      </c>
      <c r="AA3496" s="344">
        <f t="shared" si="1662"/>
        <v>0</v>
      </c>
      <c r="AB3496" s="817">
        <v>7.4999999999999997E-3</v>
      </c>
      <c r="AC3496" s="341">
        <f t="shared" si="1673"/>
        <v>0</v>
      </c>
      <c r="AD3496" s="209"/>
      <c r="AE3496" s="210">
        <f t="shared" si="1667"/>
        <v>0</v>
      </c>
      <c r="AF3496" s="210">
        <f t="shared" si="1668"/>
        <v>0</v>
      </c>
      <c r="AG3496" s="211">
        <f t="shared" si="1674"/>
        <v>0.191</v>
      </c>
      <c r="AH3496" s="157">
        <f t="shared" si="1675"/>
        <v>0</v>
      </c>
      <c r="AI3496" s="152">
        <f t="shared" si="1670"/>
        <v>3000</v>
      </c>
      <c r="AK3496" s="156" t="s">
        <v>691</v>
      </c>
      <c r="AL3496" s="212" t="s">
        <v>690</v>
      </c>
      <c r="AM3496" s="198">
        <f t="shared" si="1663"/>
        <v>0</v>
      </c>
      <c r="AN3496" s="199">
        <f t="shared" si="1664"/>
        <v>46191</v>
      </c>
      <c r="AO3496" s="159" t="s">
        <v>692</v>
      </c>
      <c r="AP3496" s="781"/>
      <c r="AQ3496" s="782">
        <v>12071839</v>
      </c>
      <c r="AR3496" s="782">
        <v>12042650</v>
      </c>
      <c r="AS3496" s="782">
        <v>12042649</v>
      </c>
      <c r="AT3496" s="782"/>
      <c r="AU3496" s="781"/>
      <c r="AV3496" s="782">
        <v>12083313</v>
      </c>
      <c r="AW3496" s="782"/>
      <c r="AX3496" s="782"/>
      <c r="AY3496" s="782">
        <v>12094233</v>
      </c>
      <c r="AZ3496" s="782">
        <v>12094234</v>
      </c>
      <c r="BA3496" s="781"/>
      <c r="BB3496" s="209">
        <v>23053185</v>
      </c>
    </row>
    <row r="3497" spans="1:54" ht="25" customHeight="1">
      <c r="A3497" s="440"/>
      <c r="B3497" s="332">
        <v>46191</v>
      </c>
      <c r="C3497" s="646" t="s">
        <v>2996</v>
      </c>
      <c r="D3497" s="185">
        <f t="shared" si="1660"/>
        <v>2026</v>
      </c>
      <c r="E3497" s="333" t="e">
        <f>VLOOKUP($B3497,Week!$A$1:$C$1462,2,0)</f>
        <v>#N/A</v>
      </c>
      <c r="F3497" s="334" t="str">
        <f t="shared" si="1661"/>
        <v>Jun</v>
      </c>
      <c r="G3497" s="335" t="s">
        <v>47</v>
      </c>
      <c r="H3497" s="335" t="s">
        <v>518</v>
      </c>
      <c r="I3497" s="335" t="s">
        <v>2702</v>
      </c>
      <c r="J3497" s="336" t="s">
        <v>70</v>
      </c>
      <c r="K3497" s="337" t="s">
        <v>582</v>
      </c>
      <c r="L3497" s="300" t="s">
        <v>2167</v>
      </c>
      <c r="M3497" s="336" t="s">
        <v>534</v>
      </c>
      <c r="N3497" s="530" t="s">
        <v>578</v>
      </c>
      <c r="O3497" s="335" t="s">
        <v>583</v>
      </c>
      <c r="P3497" s="338">
        <v>12</v>
      </c>
      <c r="Q3497" s="338">
        <v>3</v>
      </c>
      <c r="R3497" s="339">
        <v>6.0000000000000001E-3</v>
      </c>
      <c r="S3497" s="335" t="s">
        <v>55</v>
      </c>
      <c r="T3497" s="335" t="s">
        <v>56</v>
      </c>
      <c r="U3497" s="335" t="s">
        <v>57</v>
      </c>
      <c r="V3497" s="341">
        <f>200</f>
        <v>200</v>
      </c>
      <c r="W3497" s="341">
        <f>449-249</f>
        <v>200</v>
      </c>
      <c r="X3497" s="342"/>
      <c r="Y3497" s="343">
        <f t="shared" si="1665"/>
        <v>0</v>
      </c>
      <c r="Z3497" s="344">
        <f t="shared" si="1666"/>
        <v>0</v>
      </c>
      <c r="AA3497" s="344">
        <f t="shared" si="1662"/>
        <v>0</v>
      </c>
      <c r="AB3497" s="817">
        <v>7.4999999999999997E-3</v>
      </c>
      <c r="AC3497" s="341">
        <f t="shared" si="1673"/>
        <v>0</v>
      </c>
      <c r="AD3497" s="209"/>
      <c r="AE3497" s="210">
        <f t="shared" si="1667"/>
        <v>0</v>
      </c>
      <c r="AF3497" s="210">
        <f t="shared" si="1668"/>
        <v>0</v>
      </c>
      <c r="AG3497" s="211">
        <f t="shared" si="1674"/>
        <v>0.191</v>
      </c>
      <c r="AH3497" s="157">
        <f t="shared" si="1675"/>
        <v>0</v>
      </c>
      <c r="AI3497" s="152">
        <f t="shared" si="1670"/>
        <v>2400</v>
      </c>
      <c r="AK3497" s="156" t="s">
        <v>691</v>
      </c>
      <c r="AL3497" s="212" t="s">
        <v>690</v>
      </c>
      <c r="AM3497" s="198">
        <f t="shared" si="1663"/>
        <v>0</v>
      </c>
      <c r="AN3497" s="199">
        <f t="shared" si="1664"/>
        <v>46191</v>
      </c>
      <c r="AO3497" s="159" t="s">
        <v>692</v>
      </c>
      <c r="AP3497" s="781"/>
      <c r="AQ3497" s="782">
        <v>12071839</v>
      </c>
      <c r="AR3497" s="782">
        <v>12042650</v>
      </c>
      <c r="AS3497" s="782">
        <v>12042649</v>
      </c>
      <c r="AT3497" s="782"/>
      <c r="AU3497" s="781"/>
      <c r="AV3497" s="782">
        <v>12083313</v>
      </c>
      <c r="AW3497" s="782"/>
      <c r="AX3497" s="782"/>
      <c r="AY3497" s="782">
        <v>12094233</v>
      </c>
      <c r="AZ3497" s="782">
        <v>12094234</v>
      </c>
      <c r="BA3497" s="781"/>
      <c r="BB3497" s="209">
        <v>23053185</v>
      </c>
    </row>
    <row r="3498" spans="1:54" ht="25" customHeight="1">
      <c r="A3498" s="440"/>
      <c r="B3498" s="332">
        <v>46191</v>
      </c>
      <c r="C3498" s="646" t="s">
        <v>3055</v>
      </c>
      <c r="D3498" s="185">
        <f t="shared" si="1660"/>
        <v>2026</v>
      </c>
      <c r="E3498" s="333" t="e">
        <f>VLOOKUP($B3498,Week!$A$1:$C$1462,2,0)</f>
        <v>#N/A</v>
      </c>
      <c r="F3498" s="334" t="str">
        <f t="shared" si="1661"/>
        <v>Jun</v>
      </c>
      <c r="G3498" s="335" t="s">
        <v>47</v>
      </c>
      <c r="H3498" s="335" t="s">
        <v>518</v>
      </c>
      <c r="I3498" s="335" t="s">
        <v>2702</v>
      </c>
      <c r="J3498" s="336" t="s">
        <v>70</v>
      </c>
      <c r="K3498" s="337" t="s">
        <v>582</v>
      </c>
      <c r="L3498" s="300" t="s">
        <v>2167</v>
      </c>
      <c r="M3498" s="336" t="s">
        <v>534</v>
      </c>
      <c r="N3498" s="530" t="s">
        <v>578</v>
      </c>
      <c r="O3498" s="335" t="s">
        <v>583</v>
      </c>
      <c r="P3498" s="338">
        <v>12</v>
      </c>
      <c r="Q3498" s="338">
        <v>3</v>
      </c>
      <c r="R3498" s="339">
        <v>6.0000000000000001E-3</v>
      </c>
      <c r="S3498" s="335" t="s">
        <v>55</v>
      </c>
      <c r="T3498" s="335" t="s">
        <v>56</v>
      </c>
      <c r="U3498" s="335" t="s">
        <v>57</v>
      </c>
      <c r="V3498" s="341">
        <v>32</v>
      </c>
      <c r="W3498" s="341"/>
      <c r="X3498" s="342">
        <f>(393)/12</f>
        <v>32.75</v>
      </c>
      <c r="Y3498" s="343">
        <f t="shared" si="1665"/>
        <v>0.75</v>
      </c>
      <c r="Z3498" s="344">
        <f t="shared" si="1666"/>
        <v>0</v>
      </c>
      <c r="AA3498" s="344">
        <f t="shared" si="1662"/>
        <v>0</v>
      </c>
      <c r="AB3498" s="817">
        <v>7.4999999999999997E-3</v>
      </c>
      <c r="AC3498" s="341">
        <f t="shared" si="1673"/>
        <v>0</v>
      </c>
      <c r="AD3498" s="908" t="s">
        <v>3109</v>
      </c>
      <c r="AE3498" s="210">
        <f t="shared" si="1667"/>
        <v>0</v>
      </c>
      <c r="AF3498" s="210">
        <f t="shared" si="1668"/>
        <v>0</v>
      </c>
      <c r="AG3498" s="211">
        <f t="shared" si="1674"/>
        <v>0.191</v>
      </c>
      <c r="AH3498" s="157">
        <f t="shared" si="1675"/>
        <v>0</v>
      </c>
      <c r="AI3498" s="152">
        <f t="shared" si="1670"/>
        <v>384</v>
      </c>
      <c r="AK3498" s="156" t="s">
        <v>691</v>
      </c>
      <c r="AL3498" s="212" t="s">
        <v>690</v>
      </c>
      <c r="AM3498" s="198">
        <f t="shared" si="1663"/>
        <v>0</v>
      </c>
      <c r="AN3498" s="199">
        <f t="shared" si="1664"/>
        <v>46191</v>
      </c>
      <c r="AO3498" s="159" t="s">
        <v>692</v>
      </c>
      <c r="AP3498" s="781"/>
      <c r="AQ3498" s="782">
        <v>12071839</v>
      </c>
      <c r="AR3498" s="782">
        <v>12042650</v>
      </c>
      <c r="AS3498" s="782">
        <v>12042649</v>
      </c>
      <c r="AT3498" s="782"/>
      <c r="AU3498" s="781"/>
      <c r="AV3498" s="782">
        <v>12083313</v>
      </c>
      <c r="AW3498" s="782"/>
      <c r="AX3498" s="782"/>
      <c r="AY3498" s="782">
        <v>12094233</v>
      </c>
      <c r="AZ3498" s="782">
        <v>12094234</v>
      </c>
      <c r="BA3498" s="781"/>
      <c r="BB3498" s="209">
        <v>23053185</v>
      </c>
    </row>
    <row r="3499" spans="1:54" ht="25" customHeight="1">
      <c r="B3499" s="213">
        <v>46191</v>
      </c>
      <c r="C3499" s="902" t="s">
        <v>2849</v>
      </c>
      <c r="D3499" s="215">
        <f t="shared" si="1660"/>
        <v>2026</v>
      </c>
      <c r="E3499" s="214" t="e">
        <f>VLOOKUP($B3499,Week!$A$1:$C$1462,2,0)</f>
        <v>#N/A</v>
      </c>
      <c r="F3499" s="216" t="str">
        <f t="shared" si="1661"/>
        <v>Jun</v>
      </c>
      <c r="G3499" s="215" t="s">
        <v>47</v>
      </c>
      <c r="H3499" s="215" t="s">
        <v>518</v>
      </c>
      <c r="I3499" s="215" t="s">
        <v>2702</v>
      </c>
      <c r="J3499" s="209" t="s">
        <v>2702</v>
      </c>
      <c r="K3499" s="217" t="s">
        <v>2703</v>
      </c>
      <c r="L3499" s="217" t="s">
        <v>2167</v>
      </c>
      <c r="M3499" s="209" t="s">
        <v>2898</v>
      </c>
      <c r="N3499" s="480" t="s">
        <v>2900</v>
      </c>
      <c r="O3499" s="215" t="s">
        <v>2897</v>
      </c>
      <c r="P3499" s="218">
        <v>12</v>
      </c>
      <c r="Q3499" s="218">
        <v>3</v>
      </c>
      <c r="R3499" s="219">
        <v>6.1999999999999998E-3</v>
      </c>
      <c r="S3499" s="215" t="s">
        <v>352</v>
      </c>
      <c r="T3499" s="215" t="s">
        <v>56</v>
      </c>
      <c r="U3499" s="852" t="s">
        <v>739</v>
      </c>
      <c r="V3499" s="220">
        <f>1000</f>
        <v>1000</v>
      </c>
      <c r="W3499" s="220">
        <f>65+935</f>
        <v>1000</v>
      </c>
      <c r="X3499" s="221"/>
      <c r="Y3499" s="222">
        <f t="shared" si="1665"/>
        <v>0</v>
      </c>
      <c r="Z3499" s="223">
        <f t="shared" si="1666"/>
        <v>0</v>
      </c>
      <c r="AA3499" s="223">
        <f t="shared" si="1662"/>
        <v>0</v>
      </c>
      <c r="AB3499" s="807">
        <v>1.83E-2</v>
      </c>
      <c r="AC3499" s="220">
        <f t="shared" si="1673"/>
        <v>0</v>
      </c>
      <c r="AD3499" s="443"/>
      <c r="AE3499" s="210">
        <f t="shared" si="1667"/>
        <v>0</v>
      </c>
      <c r="AF3499" s="210">
        <f t="shared" si="1668"/>
        <v>0</v>
      </c>
      <c r="AG3499" s="211">
        <f t="shared" si="1674"/>
        <v>0.25</v>
      </c>
      <c r="AH3499" s="157">
        <v>0.26621999999999996</v>
      </c>
      <c r="AI3499" s="152">
        <f t="shared" si="1670"/>
        <v>12000</v>
      </c>
      <c r="AK3499" s="156" t="s">
        <v>691</v>
      </c>
      <c r="AL3499" s="574" t="s">
        <v>690</v>
      </c>
      <c r="AM3499" s="198">
        <f t="shared" si="1663"/>
        <v>0</v>
      </c>
      <c r="AN3499" s="199">
        <f t="shared" si="1664"/>
        <v>46191</v>
      </c>
      <c r="AO3499" s="159" t="s">
        <v>692</v>
      </c>
      <c r="AP3499" s="781" t="s">
        <v>642</v>
      </c>
      <c r="AQ3499" s="782">
        <v>12063755</v>
      </c>
      <c r="AR3499" s="782">
        <v>12042650</v>
      </c>
      <c r="AS3499" s="782">
        <v>12042649</v>
      </c>
      <c r="AT3499" s="782"/>
      <c r="AU3499" s="783"/>
      <c r="AV3499" s="782">
        <v>12097895</v>
      </c>
      <c r="AW3499" s="783"/>
      <c r="AX3499" s="781"/>
      <c r="AY3499" s="796">
        <v>12097893</v>
      </c>
      <c r="AZ3499" s="796">
        <v>12097894</v>
      </c>
      <c r="BA3499" s="796" t="s">
        <v>2462</v>
      </c>
      <c r="BB3499" s="209">
        <v>23099860</v>
      </c>
    </row>
    <row r="3500" spans="1:54" ht="25" customHeight="1">
      <c r="B3500" s="213">
        <v>46191</v>
      </c>
      <c r="C3500" s="902" t="s">
        <v>2849</v>
      </c>
      <c r="D3500" s="215">
        <f t="shared" si="1660"/>
        <v>2026</v>
      </c>
      <c r="E3500" s="214" t="e">
        <f>VLOOKUP($B3500,Week!$A$1:$C$1462,2,0)</f>
        <v>#N/A</v>
      </c>
      <c r="F3500" s="216" t="str">
        <f t="shared" si="1661"/>
        <v>Jun</v>
      </c>
      <c r="G3500" s="215" t="s">
        <v>47</v>
      </c>
      <c r="H3500" s="215" t="s">
        <v>518</v>
      </c>
      <c r="I3500" s="215" t="s">
        <v>2702</v>
      </c>
      <c r="J3500" s="209" t="s">
        <v>2702</v>
      </c>
      <c r="K3500" s="217" t="s">
        <v>2703</v>
      </c>
      <c r="L3500" s="217" t="s">
        <v>2167</v>
      </c>
      <c r="M3500" s="209" t="s">
        <v>2898</v>
      </c>
      <c r="N3500" s="480" t="s">
        <v>2900</v>
      </c>
      <c r="O3500" s="215" t="s">
        <v>2897</v>
      </c>
      <c r="P3500" s="218">
        <v>12</v>
      </c>
      <c r="Q3500" s="218">
        <v>3</v>
      </c>
      <c r="R3500" s="219">
        <v>6.1999999999999998E-3</v>
      </c>
      <c r="S3500" s="215" t="s">
        <v>352</v>
      </c>
      <c r="T3500" s="215" t="s">
        <v>56</v>
      </c>
      <c r="U3500" s="852" t="s">
        <v>739</v>
      </c>
      <c r="V3500" s="220">
        <f>500</f>
        <v>500</v>
      </c>
      <c r="W3500" s="220">
        <f>1435-935</f>
        <v>500</v>
      </c>
      <c r="X3500" s="221"/>
      <c r="Y3500" s="222">
        <f t="shared" si="1665"/>
        <v>0</v>
      </c>
      <c r="Z3500" s="223">
        <f t="shared" si="1666"/>
        <v>0</v>
      </c>
      <c r="AA3500" s="223">
        <f t="shared" ref="AA3500:AA3531" si="1676">Q3500*Z3500</f>
        <v>0</v>
      </c>
      <c r="AB3500" s="807">
        <v>1.83E-2</v>
      </c>
      <c r="AC3500" s="220">
        <f t="shared" si="1673"/>
        <v>0</v>
      </c>
      <c r="AD3500" s="443"/>
      <c r="AE3500" s="210">
        <f t="shared" si="1667"/>
        <v>0</v>
      </c>
      <c r="AF3500" s="210">
        <f t="shared" si="1668"/>
        <v>0</v>
      </c>
      <c r="AG3500" s="211">
        <f t="shared" si="1674"/>
        <v>0.25</v>
      </c>
      <c r="AH3500" s="157">
        <v>0.26621999999999996</v>
      </c>
      <c r="AI3500" s="152">
        <f t="shared" si="1670"/>
        <v>6000</v>
      </c>
      <c r="AK3500" s="156" t="s">
        <v>691</v>
      </c>
      <c r="AL3500" s="574" t="s">
        <v>690</v>
      </c>
      <c r="AM3500" s="198">
        <f t="shared" ref="AM3500:AM3531" si="1677">AG3500*Z3500</f>
        <v>0</v>
      </c>
      <c r="AN3500" s="199">
        <f t="shared" ref="AN3500:AN3531" si="1678">B3500</f>
        <v>46191</v>
      </c>
      <c r="AO3500" s="159" t="s">
        <v>692</v>
      </c>
      <c r="AP3500" s="781" t="s">
        <v>642</v>
      </c>
      <c r="AQ3500" s="782">
        <v>12063755</v>
      </c>
      <c r="AR3500" s="782">
        <v>12042650</v>
      </c>
      <c r="AS3500" s="782">
        <v>12042649</v>
      </c>
      <c r="AT3500" s="782"/>
      <c r="AU3500" s="783"/>
      <c r="AV3500" s="782">
        <v>12097895</v>
      </c>
      <c r="AW3500" s="783"/>
      <c r="AX3500" s="781"/>
      <c r="AY3500" s="796">
        <v>12097893</v>
      </c>
      <c r="AZ3500" s="796">
        <v>12097894</v>
      </c>
      <c r="BA3500" s="796" t="s">
        <v>2462</v>
      </c>
      <c r="BB3500" s="209">
        <v>23099860</v>
      </c>
    </row>
    <row r="3501" spans="1:54" ht="25" customHeight="1">
      <c r="B3501" s="950">
        <v>46191</v>
      </c>
      <c r="C3501" s="951" t="s">
        <v>2996</v>
      </c>
      <c r="D3501" s="215">
        <f t="shared" si="1660"/>
        <v>2026</v>
      </c>
      <c r="E3501" s="214" t="e">
        <f>VLOOKUP($B3501,Week!$A$1:$C$1462,2,0)</f>
        <v>#N/A</v>
      </c>
      <c r="F3501" s="216" t="str">
        <f t="shared" si="1661"/>
        <v>Jun</v>
      </c>
      <c r="G3501" s="952" t="s">
        <v>47</v>
      </c>
      <c r="H3501" s="952" t="s">
        <v>260</v>
      </c>
      <c r="I3501" s="215" t="s">
        <v>2702</v>
      </c>
      <c r="J3501" s="953" t="s">
        <v>2702</v>
      </c>
      <c r="K3501" s="954" t="s">
        <v>2703</v>
      </c>
      <c r="L3501" s="217" t="s">
        <v>2167</v>
      </c>
      <c r="M3501" s="953" t="s">
        <v>2899</v>
      </c>
      <c r="N3501" s="955" t="s">
        <v>2704</v>
      </c>
      <c r="O3501" s="952" t="s">
        <v>1635</v>
      </c>
      <c r="P3501" s="956">
        <v>24</v>
      </c>
      <c r="Q3501" s="956">
        <v>3</v>
      </c>
      <c r="R3501" s="957">
        <v>6.1999999999999998E-3</v>
      </c>
      <c r="S3501" s="952" t="s">
        <v>352</v>
      </c>
      <c r="T3501" s="952" t="s">
        <v>56</v>
      </c>
      <c r="U3501" s="958" t="s">
        <v>739</v>
      </c>
      <c r="V3501" s="959">
        <v>405</v>
      </c>
      <c r="W3501" s="959">
        <f>2392-2287+1+299</f>
        <v>405</v>
      </c>
      <c r="X3501" s="960"/>
      <c r="Y3501" s="961">
        <f t="shared" si="1665"/>
        <v>0</v>
      </c>
      <c r="Z3501" s="962">
        <f t="shared" si="1666"/>
        <v>0</v>
      </c>
      <c r="AA3501" s="962">
        <f t="shared" si="1676"/>
        <v>0</v>
      </c>
      <c r="AB3501" s="963">
        <v>1.83E-2</v>
      </c>
      <c r="AC3501" s="959">
        <f t="shared" si="1673"/>
        <v>0</v>
      </c>
      <c r="AD3501" s="443"/>
      <c r="AE3501" s="210">
        <f t="shared" si="1667"/>
        <v>0</v>
      </c>
      <c r="AF3501" s="210">
        <f t="shared" si="1668"/>
        <v>0</v>
      </c>
      <c r="AG3501" s="211">
        <f t="shared" si="1674"/>
        <v>0.25</v>
      </c>
      <c r="AH3501" s="157">
        <v>0.26621999999999996</v>
      </c>
      <c r="AI3501" s="152">
        <f t="shared" si="1670"/>
        <v>9720</v>
      </c>
      <c r="AK3501" s="156" t="s">
        <v>691</v>
      </c>
      <c r="AL3501" s="574" t="s">
        <v>690</v>
      </c>
      <c r="AM3501" s="198">
        <f t="shared" si="1677"/>
        <v>0</v>
      </c>
      <c r="AN3501" s="199">
        <f t="shared" si="1678"/>
        <v>46191</v>
      </c>
      <c r="AO3501" s="159" t="s">
        <v>692</v>
      </c>
      <c r="AP3501" s="781" t="s">
        <v>642</v>
      </c>
      <c r="AQ3501" s="782">
        <v>12071839</v>
      </c>
      <c r="AR3501" s="782">
        <v>12042650</v>
      </c>
      <c r="AS3501" s="782">
        <v>12042649</v>
      </c>
      <c r="AT3501" s="782"/>
      <c r="AU3501" s="783"/>
      <c r="AV3501" s="782">
        <v>12097895</v>
      </c>
      <c r="AW3501" s="783"/>
      <c r="AX3501" s="781"/>
      <c r="AY3501" s="796">
        <v>12097893</v>
      </c>
      <c r="AZ3501" s="796">
        <v>12097894</v>
      </c>
      <c r="BA3501" s="796" t="s">
        <v>2462</v>
      </c>
      <c r="BB3501" s="209">
        <v>23099860</v>
      </c>
    </row>
    <row r="3502" spans="1:54" ht="25" customHeight="1">
      <c r="A3502" s="142" t="s">
        <v>120</v>
      </c>
      <c r="B3502" s="271">
        <v>46192</v>
      </c>
      <c r="C3502" s="272">
        <v>46209</v>
      </c>
      <c r="D3502" s="185">
        <f t="shared" si="1660"/>
        <v>2026</v>
      </c>
      <c r="E3502" s="272" t="e">
        <f>VLOOKUP($B3502,Week!$A$1:$C$1462,2,0)</f>
        <v>#N/A</v>
      </c>
      <c r="F3502" s="273" t="str">
        <f t="shared" si="1661"/>
        <v>Jun</v>
      </c>
      <c r="G3502" s="274" t="s">
        <v>2964</v>
      </c>
      <c r="H3502" s="274" t="s">
        <v>500</v>
      </c>
      <c r="I3502" s="274" t="s">
        <v>2772</v>
      </c>
      <c r="J3502" s="275" t="s">
        <v>285</v>
      </c>
      <c r="K3502" s="276" t="s">
        <v>153</v>
      </c>
      <c r="L3502" s="390" t="s">
        <v>2166</v>
      </c>
      <c r="M3502" s="275" t="s">
        <v>86</v>
      </c>
      <c r="N3502" s="274" t="s">
        <v>547</v>
      </c>
      <c r="O3502" s="274" t="s">
        <v>548</v>
      </c>
      <c r="P3502" s="277">
        <v>10</v>
      </c>
      <c r="Q3502" s="277">
        <v>50</v>
      </c>
      <c r="R3502" s="278">
        <v>6.8100000000000001E-3</v>
      </c>
      <c r="S3502" s="274" t="s">
        <v>76</v>
      </c>
      <c r="T3502" s="274" t="s">
        <v>56</v>
      </c>
      <c r="U3502" s="274" t="s">
        <v>89</v>
      </c>
      <c r="V3502" s="279">
        <v>626</v>
      </c>
      <c r="W3502" s="279">
        <v>626</v>
      </c>
      <c r="X3502" s="280"/>
      <c r="Y3502" s="281">
        <f t="shared" si="1665"/>
        <v>0</v>
      </c>
      <c r="Z3502" s="282">
        <f t="shared" si="1666"/>
        <v>0</v>
      </c>
      <c r="AA3502" s="282">
        <f t="shared" si="1676"/>
        <v>0</v>
      </c>
      <c r="AB3502" s="812">
        <v>6</v>
      </c>
      <c r="AC3502" s="279">
        <f t="shared" si="1673"/>
        <v>0</v>
      </c>
      <c r="AD3502" s="209"/>
      <c r="AE3502" s="210">
        <f t="shared" si="1667"/>
        <v>0</v>
      </c>
      <c r="AF3502" s="210">
        <f t="shared" si="1668"/>
        <v>0</v>
      </c>
      <c r="AG3502" s="211">
        <f t="shared" si="1674"/>
        <v>0.63</v>
      </c>
      <c r="AH3502" s="157">
        <f t="shared" ref="AH3502:AH3512" si="1679">(Z3502*AG3502)/1000</f>
        <v>0</v>
      </c>
      <c r="AI3502" s="152">
        <f t="shared" si="1670"/>
        <v>6260</v>
      </c>
      <c r="AK3502" s="156" t="s">
        <v>691</v>
      </c>
      <c r="AL3502" s="156" t="s">
        <v>689</v>
      </c>
      <c r="AM3502" s="198">
        <f t="shared" si="1677"/>
        <v>0</v>
      </c>
      <c r="AN3502" s="199">
        <f t="shared" si="1678"/>
        <v>46192</v>
      </c>
      <c r="AO3502" s="159" t="s">
        <v>692</v>
      </c>
      <c r="AP3502" s="783" t="s">
        <v>620</v>
      </c>
      <c r="AQ3502" s="796" t="s">
        <v>422</v>
      </c>
      <c r="AR3502" s="782">
        <v>12055234</v>
      </c>
      <c r="AS3502" s="781"/>
      <c r="AT3502" s="782"/>
      <c r="AU3502" s="782"/>
      <c r="AV3502" s="782">
        <v>12062809</v>
      </c>
      <c r="AW3502" s="782"/>
      <c r="AX3502" s="782" t="s">
        <v>619</v>
      </c>
      <c r="AY3502" s="781"/>
      <c r="AZ3502" s="781"/>
      <c r="BA3502" s="781"/>
      <c r="BB3502" s="209">
        <v>23053184</v>
      </c>
    </row>
    <row r="3503" spans="1:54" ht="25" customHeight="1">
      <c r="B3503" s="357">
        <v>46192</v>
      </c>
      <c r="C3503" s="358">
        <v>46209</v>
      </c>
      <c r="D3503" s="185">
        <f t="shared" si="1660"/>
        <v>2026</v>
      </c>
      <c r="E3503" s="358" t="e">
        <f>VLOOKUP($B3503,Week!$A$1:$C$1462,2,0)</f>
        <v>#N/A</v>
      </c>
      <c r="F3503" s="360" t="str">
        <f t="shared" si="1661"/>
        <v>Jun</v>
      </c>
      <c r="G3503" s="436" t="s">
        <v>2911</v>
      </c>
      <c r="H3503" s="359" t="s">
        <v>225</v>
      </c>
      <c r="I3503" s="359" t="s">
        <v>2773</v>
      </c>
      <c r="J3503" s="361" t="s">
        <v>650</v>
      </c>
      <c r="K3503" s="362" t="s">
        <v>593</v>
      </c>
      <c r="L3503" s="300" t="s">
        <v>2167</v>
      </c>
      <c r="M3503" s="361" t="s">
        <v>717</v>
      </c>
      <c r="N3503" s="359" t="s">
        <v>719</v>
      </c>
      <c r="O3503" s="359" t="s">
        <v>230</v>
      </c>
      <c r="P3503" s="363">
        <v>12</v>
      </c>
      <c r="Q3503" s="363">
        <v>5</v>
      </c>
      <c r="R3503" s="364">
        <v>6.0000000000000001E-3</v>
      </c>
      <c r="S3503" s="359" t="s">
        <v>55</v>
      </c>
      <c r="T3503" s="359" t="s">
        <v>112</v>
      </c>
      <c r="U3503" s="359" t="s">
        <v>57</v>
      </c>
      <c r="V3503" s="365">
        <v>2600</v>
      </c>
      <c r="W3503" s="365"/>
      <c r="X3503" s="366">
        <f>(551+30649)/12</f>
        <v>2600</v>
      </c>
      <c r="Y3503" s="367">
        <f t="shared" si="1665"/>
        <v>0</v>
      </c>
      <c r="Z3503" s="368">
        <f t="shared" si="1666"/>
        <v>0</v>
      </c>
      <c r="AA3503" s="368">
        <f t="shared" si="1676"/>
        <v>0</v>
      </c>
      <c r="AB3503" s="819">
        <v>7.4999999999999997E-3</v>
      </c>
      <c r="AC3503" s="365">
        <f t="shared" si="1673"/>
        <v>0</v>
      </c>
      <c r="AD3503" s="307" t="s">
        <v>2421</v>
      </c>
      <c r="AE3503" s="210">
        <f t="shared" si="1667"/>
        <v>0</v>
      </c>
      <c r="AF3503" s="210">
        <f t="shared" si="1668"/>
        <v>0</v>
      </c>
      <c r="AG3503" s="211">
        <f t="shared" si="1674"/>
        <v>0.25800000000000001</v>
      </c>
      <c r="AH3503" s="157">
        <f t="shared" si="1679"/>
        <v>0</v>
      </c>
      <c r="AI3503" s="152">
        <f t="shared" si="1670"/>
        <v>31200</v>
      </c>
      <c r="AK3503" s="156" t="s">
        <v>691</v>
      </c>
      <c r="AL3503" s="574" t="s">
        <v>690</v>
      </c>
      <c r="AM3503" s="198">
        <f t="shared" si="1677"/>
        <v>0</v>
      </c>
      <c r="AN3503" s="199">
        <f t="shared" si="1678"/>
        <v>46192</v>
      </c>
      <c r="AO3503" s="159" t="s">
        <v>692</v>
      </c>
      <c r="AP3503" s="783" t="s">
        <v>612</v>
      </c>
      <c r="AQ3503" s="782">
        <v>12071839</v>
      </c>
      <c r="AR3503" s="782">
        <v>12042650</v>
      </c>
      <c r="AS3503" s="782">
        <v>12042649</v>
      </c>
      <c r="AT3503" s="782">
        <v>12096387</v>
      </c>
      <c r="AU3503" s="781"/>
      <c r="AV3503" s="782">
        <v>12088422</v>
      </c>
      <c r="AW3503" s="782"/>
      <c r="AX3503" s="782"/>
      <c r="AY3503" s="782"/>
      <c r="AZ3503" s="782"/>
      <c r="BA3503" s="781"/>
      <c r="BB3503" s="209">
        <v>23053185</v>
      </c>
    </row>
    <row r="3504" spans="1:54" ht="25" customHeight="1">
      <c r="B3504" s="357">
        <v>46192</v>
      </c>
      <c r="C3504" s="358">
        <v>46223</v>
      </c>
      <c r="D3504" s="185">
        <f t="shared" si="1660"/>
        <v>2026</v>
      </c>
      <c r="E3504" s="358" t="e">
        <f>VLOOKUP($B3504,Week!$A$1:$C$1462,2,0)</f>
        <v>#N/A</v>
      </c>
      <c r="F3504" s="360" t="str">
        <f t="shared" si="1661"/>
        <v>Jun</v>
      </c>
      <c r="G3504" s="436" t="s">
        <v>3016</v>
      </c>
      <c r="H3504" s="359" t="s">
        <v>225</v>
      </c>
      <c r="I3504" s="359" t="s">
        <v>2773</v>
      </c>
      <c r="J3504" s="361" t="s">
        <v>650</v>
      </c>
      <c r="K3504" s="362" t="s">
        <v>593</v>
      </c>
      <c r="L3504" s="300" t="s">
        <v>2167</v>
      </c>
      <c r="M3504" s="361" t="s">
        <v>717</v>
      </c>
      <c r="N3504" s="359" t="s">
        <v>719</v>
      </c>
      <c r="O3504" s="359" t="s">
        <v>230</v>
      </c>
      <c r="P3504" s="363">
        <v>12</v>
      </c>
      <c r="Q3504" s="363">
        <v>5</v>
      </c>
      <c r="R3504" s="364">
        <v>6.0000000000000001E-3</v>
      </c>
      <c r="S3504" s="359" t="s">
        <v>55</v>
      </c>
      <c r="T3504" s="359" t="s">
        <v>112</v>
      </c>
      <c r="U3504" s="359" t="s">
        <v>57</v>
      </c>
      <c r="V3504" s="365">
        <f>(24294)/12</f>
        <v>2024.5</v>
      </c>
      <c r="W3504" s="365"/>
      <c r="X3504" s="366">
        <f>(24294)/12</f>
        <v>2024.5</v>
      </c>
      <c r="Y3504" s="367">
        <f t="shared" si="1665"/>
        <v>0</v>
      </c>
      <c r="Z3504" s="368">
        <f t="shared" si="1666"/>
        <v>0</v>
      </c>
      <c r="AA3504" s="368">
        <f t="shared" si="1676"/>
        <v>0</v>
      </c>
      <c r="AB3504" s="819">
        <v>7.4999999999999997E-3</v>
      </c>
      <c r="AC3504" s="365">
        <f t="shared" si="1673"/>
        <v>0</v>
      </c>
      <c r="AD3504" s="307" t="s">
        <v>2421</v>
      </c>
      <c r="AE3504" s="210">
        <f t="shared" si="1667"/>
        <v>0</v>
      </c>
      <c r="AF3504" s="210">
        <f t="shared" si="1668"/>
        <v>0</v>
      </c>
      <c r="AG3504" s="211">
        <f t="shared" si="1674"/>
        <v>0.25800000000000001</v>
      </c>
      <c r="AH3504" s="157">
        <f t="shared" si="1679"/>
        <v>0</v>
      </c>
      <c r="AI3504" s="152">
        <f t="shared" si="1670"/>
        <v>24294</v>
      </c>
      <c r="AK3504" s="156" t="s">
        <v>691</v>
      </c>
      <c r="AL3504" s="574" t="s">
        <v>690</v>
      </c>
      <c r="AM3504" s="198">
        <f t="shared" si="1677"/>
        <v>0</v>
      </c>
      <c r="AN3504" s="199">
        <f t="shared" si="1678"/>
        <v>46192</v>
      </c>
      <c r="AO3504" s="159" t="s">
        <v>692</v>
      </c>
      <c r="AP3504" s="783" t="s">
        <v>612</v>
      </c>
      <c r="AQ3504" s="782">
        <v>12071839</v>
      </c>
      <c r="AR3504" s="782">
        <v>12042650</v>
      </c>
      <c r="AS3504" s="782">
        <v>12042649</v>
      </c>
      <c r="AT3504" s="782">
        <v>12096387</v>
      </c>
      <c r="AU3504" s="781"/>
      <c r="AV3504" s="782">
        <v>12088422</v>
      </c>
      <c r="AW3504" s="782"/>
      <c r="AX3504" s="782"/>
      <c r="AY3504" s="782"/>
      <c r="AZ3504" s="782"/>
      <c r="BA3504" s="781"/>
      <c r="BB3504" s="209">
        <v>23053185</v>
      </c>
    </row>
    <row r="3505" spans="1:54" ht="24.75" customHeight="1">
      <c r="B3505" s="358">
        <v>46192</v>
      </c>
      <c r="C3505" s="358">
        <v>46230</v>
      </c>
      <c r="D3505" s="359">
        <f t="shared" si="1660"/>
        <v>2026</v>
      </c>
      <c r="E3505" s="359" t="e">
        <f>VLOOKUP($B3505,Week!$A$1:$C$1462,2,0)</f>
        <v>#N/A</v>
      </c>
      <c r="F3505" s="360" t="str">
        <f t="shared" si="1661"/>
        <v>Jun</v>
      </c>
      <c r="G3505" s="359" t="s">
        <v>3008</v>
      </c>
      <c r="H3505" s="359" t="s">
        <v>424</v>
      </c>
      <c r="I3505" s="359" t="s">
        <v>2772</v>
      </c>
      <c r="J3505" s="361" t="s">
        <v>535</v>
      </c>
      <c r="K3505" s="362" t="s">
        <v>2759</v>
      </c>
      <c r="L3505" s="362" t="s">
        <v>2167</v>
      </c>
      <c r="M3505" s="361" t="s">
        <v>2758</v>
      </c>
      <c r="N3505" s="359" t="s">
        <v>2732</v>
      </c>
      <c r="O3505" s="359" t="s">
        <v>2731</v>
      </c>
      <c r="P3505" s="363">
        <v>8</v>
      </c>
      <c r="Q3505" s="363">
        <v>3</v>
      </c>
      <c r="R3505" s="364">
        <v>6.0000000000000001E-3</v>
      </c>
      <c r="S3505" s="359" t="s">
        <v>55</v>
      </c>
      <c r="T3505" s="359" t="s">
        <v>112</v>
      </c>
      <c r="U3505" s="905" t="s">
        <v>2730</v>
      </c>
      <c r="V3505" s="365">
        <f>400</f>
        <v>400</v>
      </c>
      <c r="W3505" s="365"/>
      <c r="X3505" s="366">
        <f>(598+2873)/8</f>
        <v>433.875</v>
      </c>
      <c r="Y3505" s="367">
        <f t="shared" si="1665"/>
        <v>33.875</v>
      </c>
      <c r="Z3505" s="368">
        <f t="shared" si="1666"/>
        <v>0</v>
      </c>
      <c r="AA3505" s="368">
        <f t="shared" si="1676"/>
        <v>0</v>
      </c>
      <c r="AB3505" s="903">
        <v>3.8699999999999998E-2</v>
      </c>
      <c r="AC3505" s="365">
        <f t="shared" si="1673"/>
        <v>0</v>
      </c>
      <c r="AD3505" s="307" t="s">
        <v>2354</v>
      </c>
      <c r="AE3505" s="210">
        <f t="shared" si="1667"/>
        <v>0</v>
      </c>
      <c r="AF3505" s="210">
        <f t="shared" si="1668"/>
        <v>0</v>
      </c>
      <c r="AG3505" s="211">
        <f t="shared" si="1674"/>
        <v>0.315</v>
      </c>
      <c r="AH3505" s="157">
        <f t="shared" si="1679"/>
        <v>0</v>
      </c>
      <c r="AI3505" s="152">
        <f t="shared" si="1670"/>
        <v>3200</v>
      </c>
      <c r="AK3505" s="156" t="s">
        <v>691</v>
      </c>
      <c r="AL3505" s="574" t="s">
        <v>690</v>
      </c>
      <c r="AM3505" s="198">
        <f t="shared" si="1677"/>
        <v>0</v>
      </c>
      <c r="AN3505" s="199">
        <f t="shared" si="1678"/>
        <v>46192</v>
      </c>
      <c r="AO3505" s="159" t="s">
        <v>692</v>
      </c>
      <c r="AP3505" s="781"/>
      <c r="AQ3505" s="782">
        <v>12063755</v>
      </c>
      <c r="AR3505" s="782">
        <v>12081257</v>
      </c>
      <c r="AS3505" s="782">
        <v>12081260</v>
      </c>
      <c r="AT3505" s="782">
        <v>12097452</v>
      </c>
      <c r="AU3505" s="781"/>
      <c r="AV3505" s="782">
        <v>12097453</v>
      </c>
      <c r="AW3505" s="782"/>
      <c r="AX3505" s="782"/>
      <c r="AY3505" s="782"/>
      <c r="AZ3505" s="782"/>
      <c r="BA3505" s="781"/>
      <c r="BB3505" s="209">
        <v>23053185</v>
      </c>
    </row>
    <row r="3506" spans="1:54" ht="24.75" customHeight="1">
      <c r="A3506" s="948" t="s">
        <v>3114</v>
      </c>
      <c r="B3506" s="535">
        <v>46192</v>
      </c>
      <c r="C3506" s="535">
        <v>46230</v>
      </c>
      <c r="D3506" s="537">
        <f t="shared" si="1660"/>
        <v>2026</v>
      </c>
      <c r="E3506" s="537" t="e">
        <f>VLOOKUP($B3506,Week!$A$1:$C$1462,2,0)</f>
        <v>#N/A</v>
      </c>
      <c r="F3506" s="536" t="str">
        <f t="shared" si="1661"/>
        <v>Jun</v>
      </c>
      <c r="G3506" s="537" t="s">
        <v>3008</v>
      </c>
      <c r="H3506" s="537" t="s">
        <v>424</v>
      </c>
      <c r="I3506" s="537" t="s">
        <v>2772</v>
      </c>
      <c r="J3506" s="538" t="s">
        <v>535</v>
      </c>
      <c r="K3506" s="539" t="s">
        <v>2727</v>
      </c>
      <c r="L3506" s="539" t="s">
        <v>2167</v>
      </c>
      <c r="M3506" s="935" t="s">
        <v>2728</v>
      </c>
      <c r="N3506" s="537" t="s">
        <v>2729</v>
      </c>
      <c r="O3506" s="537" t="s">
        <v>2253</v>
      </c>
      <c r="P3506" s="540">
        <v>8</v>
      </c>
      <c r="Q3506" s="540">
        <v>5</v>
      </c>
      <c r="R3506" s="541">
        <v>6.8100000000000001E-3</v>
      </c>
      <c r="S3506" s="537" t="s">
        <v>40</v>
      </c>
      <c r="T3506" s="537" t="s">
        <v>112</v>
      </c>
      <c r="U3506" s="937" t="s">
        <v>2730</v>
      </c>
      <c r="V3506" s="542">
        <f>400</f>
        <v>400</v>
      </c>
      <c r="W3506" s="542"/>
      <c r="X3506" s="543">
        <f>(381+3360)/8</f>
        <v>467.625</v>
      </c>
      <c r="Y3506" s="544">
        <f t="shared" si="1665"/>
        <v>67.625</v>
      </c>
      <c r="Z3506" s="545">
        <f t="shared" si="1666"/>
        <v>0</v>
      </c>
      <c r="AA3506" s="545">
        <f t="shared" si="1676"/>
        <v>0</v>
      </c>
      <c r="AB3506" s="936">
        <v>7.4999999999999997E-3</v>
      </c>
      <c r="AC3506" s="542">
        <f t="shared" si="1673"/>
        <v>0</v>
      </c>
      <c r="AD3506" s="307" t="s">
        <v>2354</v>
      </c>
      <c r="AE3506" s="210">
        <f t="shared" si="1667"/>
        <v>0</v>
      </c>
      <c r="AF3506" s="210">
        <f t="shared" si="1668"/>
        <v>0</v>
      </c>
      <c r="AG3506" s="211">
        <f t="shared" si="1674"/>
        <v>0.14699999999999999</v>
      </c>
      <c r="AH3506" s="157">
        <f t="shared" si="1679"/>
        <v>0</v>
      </c>
      <c r="AI3506" s="152">
        <f t="shared" si="1670"/>
        <v>3200</v>
      </c>
      <c r="AK3506" s="156" t="s">
        <v>691</v>
      </c>
      <c r="AL3506" s="574" t="s">
        <v>690</v>
      </c>
      <c r="AM3506" s="198">
        <f t="shared" si="1677"/>
        <v>0</v>
      </c>
      <c r="AN3506" s="199">
        <f t="shared" si="1678"/>
        <v>46192</v>
      </c>
      <c r="AO3506" s="159" t="s">
        <v>692</v>
      </c>
      <c r="AP3506" s="781"/>
      <c r="AQ3506" s="782">
        <v>12071839</v>
      </c>
      <c r="AR3506" s="782">
        <v>12080260</v>
      </c>
      <c r="AS3506" s="782">
        <v>12080259</v>
      </c>
      <c r="AT3506" s="782">
        <v>12097450</v>
      </c>
      <c r="AU3506" s="781"/>
      <c r="AV3506" s="782">
        <v>12097451</v>
      </c>
      <c r="AW3506" s="782"/>
      <c r="AX3506" s="782"/>
      <c r="AY3506" s="782"/>
      <c r="AZ3506" s="782"/>
      <c r="BA3506" s="781"/>
      <c r="BB3506" s="209">
        <v>23053185</v>
      </c>
    </row>
    <row r="3507" spans="1:54" ht="25" customHeight="1">
      <c r="A3507" s="945" t="s">
        <v>3110</v>
      </c>
      <c r="B3507" s="546">
        <v>46193</v>
      </c>
      <c r="C3507" s="547">
        <v>46230</v>
      </c>
      <c r="D3507" s="185">
        <f t="shared" si="1660"/>
        <v>2026</v>
      </c>
      <c r="E3507" s="547" t="e">
        <f>VLOOKUP($B3507,Week!$A$1:$C$1462,2,0)</f>
        <v>#N/A</v>
      </c>
      <c r="F3507" s="548" t="str">
        <f t="shared" si="1661"/>
        <v>Jun</v>
      </c>
      <c r="G3507" s="575" t="s">
        <v>3008</v>
      </c>
      <c r="H3507" s="575" t="s">
        <v>424</v>
      </c>
      <c r="I3507" s="575" t="s">
        <v>2772</v>
      </c>
      <c r="J3507" s="576" t="s">
        <v>535</v>
      </c>
      <c r="K3507" s="577" t="s">
        <v>176</v>
      </c>
      <c r="L3507" s="300" t="s">
        <v>2167</v>
      </c>
      <c r="M3507" s="576" t="s">
        <v>3087</v>
      </c>
      <c r="N3507" s="575" t="s">
        <v>537</v>
      </c>
      <c r="O3507" s="575" t="s">
        <v>187</v>
      </c>
      <c r="P3507" s="552">
        <v>8</v>
      </c>
      <c r="Q3507" s="552">
        <v>5</v>
      </c>
      <c r="R3507" s="553">
        <v>7.4999999999999997E-3</v>
      </c>
      <c r="S3507" s="575" t="s">
        <v>111</v>
      </c>
      <c r="T3507" s="575" t="s">
        <v>112</v>
      </c>
      <c r="U3507" s="575" t="s">
        <v>57</v>
      </c>
      <c r="V3507" s="554">
        <f>900</f>
        <v>900</v>
      </c>
      <c r="W3507" s="554"/>
      <c r="X3507" s="555">
        <f>(7570)/8</f>
        <v>946.25</v>
      </c>
      <c r="Y3507" s="556">
        <f t="shared" si="1665"/>
        <v>46.25</v>
      </c>
      <c r="Z3507" s="557">
        <f t="shared" si="1666"/>
        <v>0</v>
      </c>
      <c r="AA3507" s="557">
        <f t="shared" si="1676"/>
        <v>0</v>
      </c>
      <c r="AB3507" s="833">
        <v>7.4999999999999997E-3</v>
      </c>
      <c r="AC3507" s="554">
        <f t="shared" si="1673"/>
        <v>0</v>
      </c>
      <c r="AD3507" s="307" t="s">
        <v>2354</v>
      </c>
      <c r="AE3507" s="210"/>
      <c r="AF3507" s="210"/>
      <c r="AG3507" s="211">
        <v>0.14499999999999999</v>
      </c>
      <c r="AH3507" s="157">
        <f t="shared" si="1679"/>
        <v>0</v>
      </c>
      <c r="AI3507" s="152">
        <v>19800</v>
      </c>
      <c r="AK3507" s="156" t="s">
        <v>691</v>
      </c>
      <c r="AL3507" s="212" t="s">
        <v>690</v>
      </c>
      <c r="AM3507" s="198">
        <f t="shared" si="1677"/>
        <v>0</v>
      </c>
      <c r="AN3507" s="199">
        <f t="shared" si="1678"/>
        <v>46193</v>
      </c>
      <c r="AO3507" s="159" t="s">
        <v>692</v>
      </c>
      <c r="AP3507" s="781"/>
      <c r="AQ3507" s="782">
        <v>12071839</v>
      </c>
      <c r="AR3507" s="782">
        <v>12080260</v>
      </c>
      <c r="AS3507" s="782">
        <v>12080259</v>
      </c>
      <c r="AT3507" s="782">
        <v>12096465</v>
      </c>
      <c r="AU3507" s="782"/>
      <c r="AV3507" s="782">
        <v>12098093</v>
      </c>
      <c r="AW3507" s="781"/>
      <c r="AX3507" s="781"/>
      <c r="AY3507" s="782">
        <v>12054938</v>
      </c>
      <c r="AZ3507" s="781"/>
      <c r="BA3507" s="781"/>
    </row>
    <row r="3508" spans="1:54" ht="24.65" customHeight="1">
      <c r="B3508" s="224">
        <v>46193</v>
      </c>
      <c r="C3508" s="224">
        <v>46210</v>
      </c>
      <c r="D3508" s="185">
        <f t="shared" si="1660"/>
        <v>2026</v>
      </c>
      <c r="E3508" s="225" t="e">
        <f>VLOOKUP($B3508,Week!$A$1:$C$1462,2,0)</f>
        <v>#N/A</v>
      </c>
      <c r="F3508" s="226" t="str">
        <f t="shared" si="1661"/>
        <v>Jun</v>
      </c>
      <c r="G3508" s="225" t="s">
        <v>3029</v>
      </c>
      <c r="H3508" s="225" t="s">
        <v>392</v>
      </c>
      <c r="I3508" s="225" t="s">
        <v>2772</v>
      </c>
      <c r="J3508" s="227" t="s">
        <v>393</v>
      </c>
      <c r="K3508" s="228" t="s">
        <v>176</v>
      </c>
      <c r="L3508" s="300" t="s">
        <v>2167</v>
      </c>
      <c r="M3508" s="228" t="s">
        <v>399</v>
      </c>
      <c r="N3508" s="225" t="s">
        <v>400</v>
      </c>
      <c r="O3508" s="225" t="s">
        <v>195</v>
      </c>
      <c r="P3508" s="229">
        <v>24</v>
      </c>
      <c r="Q3508" s="229">
        <v>5</v>
      </c>
      <c r="R3508" s="230">
        <v>8.0000000000000002E-3</v>
      </c>
      <c r="S3508" s="225" t="s">
        <v>40</v>
      </c>
      <c r="T3508" s="225" t="s">
        <v>56</v>
      </c>
      <c r="U3508" s="225" t="s">
        <v>57</v>
      </c>
      <c r="V3508" s="231">
        <f>850-50</f>
        <v>800</v>
      </c>
      <c r="W3508" s="231">
        <f>5+795</f>
        <v>800</v>
      </c>
      <c r="X3508" s="232"/>
      <c r="Y3508" s="233">
        <f t="shared" si="1665"/>
        <v>0</v>
      </c>
      <c r="Z3508" s="234">
        <f t="shared" si="1666"/>
        <v>0</v>
      </c>
      <c r="AA3508" s="234">
        <f t="shared" si="1676"/>
        <v>0</v>
      </c>
      <c r="AB3508" s="808">
        <v>7.4999999999999997E-3</v>
      </c>
      <c r="AC3508" s="231">
        <f t="shared" si="1673"/>
        <v>0</v>
      </c>
      <c r="AD3508" s="557" t="s">
        <v>2614</v>
      </c>
      <c r="AE3508" s="210">
        <f t="shared" ref="AE3508:AE3515" si="1680">SUM(Q3508*R3508*Z3508)/1000</f>
        <v>0</v>
      </c>
      <c r="AF3508" s="210">
        <f t="shared" ref="AF3508:AF3515" si="1681">AE3508/0.54</f>
        <v>0</v>
      </c>
      <c r="AG3508" s="211">
        <f t="shared" ref="AG3508:AG3515" si="1682">MID(O3508,1,3)/1000</f>
        <v>0.14499999999999999</v>
      </c>
      <c r="AH3508" s="157">
        <f t="shared" si="1679"/>
        <v>0</v>
      </c>
      <c r="AI3508" s="152">
        <f t="shared" ref="AI3508:AI3515" si="1683">V3508*P3508</f>
        <v>19200</v>
      </c>
      <c r="AK3508" s="156" t="s">
        <v>691</v>
      </c>
      <c r="AL3508" s="574" t="s">
        <v>690</v>
      </c>
      <c r="AM3508" s="198">
        <f t="shared" si="1677"/>
        <v>0</v>
      </c>
      <c r="AN3508" s="199">
        <f t="shared" si="1678"/>
        <v>46193</v>
      </c>
      <c r="AO3508" s="159" t="s">
        <v>692</v>
      </c>
      <c r="AP3508" s="783" t="s">
        <v>638</v>
      </c>
      <c r="AQ3508" s="783" t="s">
        <v>631</v>
      </c>
      <c r="AR3508" s="783" t="s">
        <v>632</v>
      </c>
      <c r="AS3508" s="783" t="s">
        <v>633</v>
      </c>
      <c r="AT3508" s="781"/>
      <c r="AU3508" s="782">
        <v>12026902</v>
      </c>
      <c r="AV3508" s="783" t="s">
        <v>2981</v>
      </c>
      <c r="AW3508" s="782">
        <v>12026904</v>
      </c>
      <c r="AX3508" s="781"/>
      <c r="AY3508" s="783" t="s">
        <v>2463</v>
      </c>
      <c r="AZ3508" s="783" t="s">
        <v>2464</v>
      </c>
      <c r="BA3508" s="783" t="s">
        <v>2465</v>
      </c>
      <c r="BB3508" s="209">
        <v>23053185</v>
      </c>
    </row>
    <row r="3509" spans="1:54" ht="24.75" customHeight="1">
      <c r="B3509" s="320">
        <v>46193</v>
      </c>
      <c r="C3509" s="321">
        <v>46203</v>
      </c>
      <c r="D3509" s="185">
        <f t="shared" si="1660"/>
        <v>2026</v>
      </c>
      <c r="E3509" s="321" t="e">
        <f>VLOOKUP($B3509,Week!$A$1:$C$1462,2,0)</f>
        <v>#N/A</v>
      </c>
      <c r="F3509" s="322" t="str">
        <f t="shared" si="1661"/>
        <v>Jun</v>
      </c>
      <c r="G3509" s="323" t="s">
        <v>3039</v>
      </c>
      <c r="H3509" s="323" t="s">
        <v>311</v>
      </c>
      <c r="I3509" s="323" t="s">
        <v>2772</v>
      </c>
      <c r="J3509" s="324" t="s">
        <v>738</v>
      </c>
      <c r="K3509" s="325" t="s">
        <v>107</v>
      </c>
      <c r="L3509" s="300" t="s">
        <v>2167</v>
      </c>
      <c r="M3509" s="324" t="s">
        <v>313</v>
      </c>
      <c r="N3509" s="323" t="s">
        <v>591</v>
      </c>
      <c r="O3509" s="323" t="s">
        <v>592</v>
      </c>
      <c r="P3509" s="326">
        <v>8</v>
      </c>
      <c r="Q3509" s="326">
        <v>4</v>
      </c>
      <c r="R3509" s="327">
        <v>7.4999999999999997E-3</v>
      </c>
      <c r="S3509" s="323" t="s">
        <v>111</v>
      </c>
      <c r="T3509" s="323" t="s">
        <v>112</v>
      </c>
      <c r="U3509" s="323" t="s">
        <v>57</v>
      </c>
      <c r="V3509" s="328">
        <f>800</f>
        <v>800</v>
      </c>
      <c r="W3509" s="328"/>
      <c r="X3509" s="329">
        <f>7100/8</f>
        <v>887.5</v>
      </c>
      <c r="Y3509" s="330">
        <f t="shared" si="1665"/>
        <v>87.5</v>
      </c>
      <c r="Z3509" s="331">
        <f t="shared" si="1666"/>
        <v>0</v>
      </c>
      <c r="AA3509" s="331">
        <f t="shared" si="1676"/>
        <v>0</v>
      </c>
      <c r="AB3509" s="816">
        <v>7.4999999999999997E-3</v>
      </c>
      <c r="AC3509" s="328">
        <f t="shared" si="1673"/>
        <v>0</v>
      </c>
      <c r="AD3509" s="443"/>
      <c r="AE3509" s="210">
        <f t="shared" si="1680"/>
        <v>0</v>
      </c>
      <c r="AF3509" s="210">
        <f t="shared" si="1681"/>
        <v>0</v>
      </c>
      <c r="AG3509" s="211">
        <f t="shared" si="1682"/>
        <v>0.30499999999999999</v>
      </c>
      <c r="AH3509" s="157">
        <f t="shared" si="1679"/>
        <v>0</v>
      </c>
      <c r="AI3509" s="152">
        <f t="shared" si="1683"/>
        <v>6400</v>
      </c>
      <c r="AK3509" s="156" t="s">
        <v>691</v>
      </c>
      <c r="AL3509" s="212" t="s">
        <v>690</v>
      </c>
      <c r="AM3509" s="198">
        <f t="shared" si="1677"/>
        <v>0</v>
      </c>
      <c r="AN3509" s="199">
        <f t="shared" si="1678"/>
        <v>46193</v>
      </c>
      <c r="AO3509" s="159" t="s">
        <v>692</v>
      </c>
      <c r="AP3509" s="783" t="s">
        <v>643</v>
      </c>
      <c r="AQ3509" s="782">
        <v>12063755</v>
      </c>
      <c r="AR3509" s="782">
        <v>12061353</v>
      </c>
      <c r="AS3509" s="782">
        <v>12061354</v>
      </c>
      <c r="AT3509" s="782">
        <v>12097462</v>
      </c>
      <c r="AU3509" s="781"/>
      <c r="AV3509" s="782">
        <v>12097463</v>
      </c>
      <c r="AW3509" s="782"/>
      <c r="AX3509" s="782"/>
      <c r="AY3509" s="782"/>
      <c r="AZ3509" s="782"/>
      <c r="BA3509" s="781"/>
      <c r="BB3509" s="209">
        <v>23053185</v>
      </c>
    </row>
    <row r="3510" spans="1:54" ht="24.75" customHeight="1">
      <c r="B3510" s="320">
        <v>46193</v>
      </c>
      <c r="C3510" s="321">
        <v>46233</v>
      </c>
      <c r="D3510" s="185">
        <f t="shared" si="1660"/>
        <v>2026</v>
      </c>
      <c r="E3510" s="321" t="e">
        <f>VLOOKUP($B3510,Week!$A$1:$C$1462,2,0)</f>
        <v>#N/A</v>
      </c>
      <c r="F3510" s="322" t="str">
        <f t="shared" si="1661"/>
        <v>Jun</v>
      </c>
      <c r="G3510" s="323" t="s">
        <v>3066</v>
      </c>
      <c r="H3510" s="323" t="s">
        <v>675</v>
      </c>
      <c r="I3510" s="323" t="s">
        <v>2772</v>
      </c>
      <c r="J3510" s="324" t="s">
        <v>2906</v>
      </c>
      <c r="K3510" s="325" t="s">
        <v>107</v>
      </c>
      <c r="L3510" s="300" t="s">
        <v>2167</v>
      </c>
      <c r="M3510" s="324" t="s">
        <v>313</v>
      </c>
      <c r="N3510" s="596" t="s">
        <v>710</v>
      </c>
      <c r="O3510" s="323" t="s">
        <v>592</v>
      </c>
      <c r="P3510" s="326">
        <v>8</v>
      </c>
      <c r="Q3510" s="326">
        <v>4</v>
      </c>
      <c r="R3510" s="327">
        <v>7.4999999999999997E-3</v>
      </c>
      <c r="S3510" s="323" t="s">
        <v>111</v>
      </c>
      <c r="T3510" s="323" t="s">
        <v>112</v>
      </c>
      <c r="U3510" s="323" t="s">
        <v>57</v>
      </c>
      <c r="V3510" s="328">
        <f>918+38</f>
        <v>956</v>
      </c>
      <c r="W3510" s="328"/>
      <c r="X3510" s="329">
        <f>(85+7563)/8</f>
        <v>956</v>
      </c>
      <c r="Y3510" s="330">
        <f t="shared" si="1665"/>
        <v>0</v>
      </c>
      <c r="Z3510" s="331">
        <f t="shared" si="1666"/>
        <v>0</v>
      </c>
      <c r="AA3510" s="331">
        <f t="shared" si="1676"/>
        <v>0</v>
      </c>
      <c r="AB3510" s="816">
        <v>7.4999999999999997E-3</v>
      </c>
      <c r="AC3510" s="328">
        <f t="shared" si="1673"/>
        <v>0</v>
      </c>
      <c r="AD3510" s="443"/>
      <c r="AE3510" s="210">
        <f t="shared" si="1680"/>
        <v>0</v>
      </c>
      <c r="AF3510" s="210">
        <f t="shared" si="1681"/>
        <v>0</v>
      </c>
      <c r="AG3510" s="211">
        <f t="shared" si="1682"/>
        <v>0.30499999999999999</v>
      </c>
      <c r="AH3510" s="157">
        <f t="shared" si="1679"/>
        <v>0</v>
      </c>
      <c r="AI3510" s="152">
        <f t="shared" si="1683"/>
        <v>7648</v>
      </c>
      <c r="AK3510" s="156" t="s">
        <v>691</v>
      </c>
      <c r="AL3510" s="212" t="s">
        <v>690</v>
      </c>
      <c r="AM3510" s="198">
        <f t="shared" si="1677"/>
        <v>0</v>
      </c>
      <c r="AN3510" s="199">
        <f t="shared" si="1678"/>
        <v>46193</v>
      </c>
      <c r="AO3510" s="159" t="s">
        <v>692</v>
      </c>
      <c r="AP3510" s="783" t="s">
        <v>643</v>
      </c>
      <c r="AQ3510" s="782">
        <v>12063755</v>
      </c>
      <c r="AR3510" s="782">
        <v>12061353</v>
      </c>
      <c r="AS3510" s="782">
        <v>12061354</v>
      </c>
      <c r="AT3510" s="782">
        <v>12089987</v>
      </c>
      <c r="AU3510" s="781"/>
      <c r="AV3510" s="782">
        <v>12089986</v>
      </c>
      <c r="AW3510" s="782"/>
      <c r="AX3510" s="782"/>
      <c r="AY3510" s="781" t="s">
        <v>2713</v>
      </c>
      <c r="AZ3510" s="781" t="s">
        <v>2714</v>
      </c>
      <c r="BA3510" s="781"/>
      <c r="BB3510" s="209">
        <v>23053185</v>
      </c>
    </row>
    <row r="3511" spans="1:54" ht="25" customHeight="1">
      <c r="B3511" s="308">
        <v>46193</v>
      </c>
      <c r="C3511" s="309">
        <v>46203</v>
      </c>
      <c r="D3511" s="185">
        <f t="shared" si="1660"/>
        <v>2026</v>
      </c>
      <c r="E3511" s="309" t="e">
        <f>VLOOKUP($B3511,Week!$A$1:$C$1462,2,0)</f>
        <v>#N/A</v>
      </c>
      <c r="F3511" s="310" t="str">
        <f t="shared" si="1661"/>
        <v>Jun</v>
      </c>
      <c r="G3511" s="311" t="s">
        <v>2993</v>
      </c>
      <c r="H3511" s="311" t="s">
        <v>431</v>
      </c>
      <c r="I3511" s="311" t="s">
        <v>2772</v>
      </c>
      <c r="J3511" s="312" t="s">
        <v>432</v>
      </c>
      <c r="K3511" s="313" t="s">
        <v>107</v>
      </c>
      <c r="L3511" s="300" t="s">
        <v>2167</v>
      </c>
      <c r="M3511" s="312" t="s">
        <v>136</v>
      </c>
      <c r="N3511" s="311" t="s">
        <v>542</v>
      </c>
      <c r="O3511" s="311" t="s">
        <v>543</v>
      </c>
      <c r="P3511" s="314">
        <v>8</v>
      </c>
      <c r="Q3511" s="314">
        <v>3</v>
      </c>
      <c r="R3511" s="315">
        <v>7.4999999999999997E-3</v>
      </c>
      <c r="S3511" s="311" t="s">
        <v>111</v>
      </c>
      <c r="T3511" s="311" t="s">
        <v>112</v>
      </c>
      <c r="U3511" s="311" t="s">
        <v>57</v>
      </c>
      <c r="V3511" s="316">
        <f>1200</f>
        <v>1200</v>
      </c>
      <c r="W3511" s="316"/>
      <c r="X3511" s="317">
        <f>(11085)/8</f>
        <v>1385.625</v>
      </c>
      <c r="Y3511" s="318">
        <f t="shared" si="1665"/>
        <v>185.625</v>
      </c>
      <c r="Z3511" s="319">
        <f t="shared" si="1666"/>
        <v>0</v>
      </c>
      <c r="AA3511" s="319">
        <f t="shared" si="1676"/>
        <v>0</v>
      </c>
      <c r="AB3511" s="815">
        <v>7.4999999999999997E-3</v>
      </c>
      <c r="AC3511" s="316">
        <f t="shared" si="1673"/>
        <v>0</v>
      </c>
      <c r="AD3511" s="209"/>
      <c r="AE3511" s="210">
        <f t="shared" si="1680"/>
        <v>0</v>
      </c>
      <c r="AF3511" s="210">
        <f t="shared" si="1681"/>
        <v>0</v>
      </c>
      <c r="AG3511" s="211">
        <f t="shared" si="1682"/>
        <v>0.309</v>
      </c>
      <c r="AH3511" s="157">
        <f t="shared" si="1679"/>
        <v>0</v>
      </c>
      <c r="AI3511" s="152">
        <f t="shared" si="1683"/>
        <v>9600</v>
      </c>
      <c r="AK3511" s="156" t="s">
        <v>691</v>
      </c>
      <c r="AL3511" s="212" t="s">
        <v>690</v>
      </c>
      <c r="AM3511" s="198">
        <f t="shared" si="1677"/>
        <v>0</v>
      </c>
      <c r="AN3511" s="199">
        <f t="shared" si="1678"/>
        <v>46193</v>
      </c>
      <c r="AO3511" s="159" t="s">
        <v>692</v>
      </c>
      <c r="AP3511" s="781"/>
      <c r="AQ3511" s="782">
        <v>12063755</v>
      </c>
      <c r="AR3511" s="782">
        <v>12061353</v>
      </c>
      <c r="AS3511" s="782">
        <v>12061354</v>
      </c>
      <c r="AT3511" s="782">
        <v>12083615</v>
      </c>
      <c r="AU3511" s="781"/>
      <c r="AV3511" s="782">
        <v>12062186</v>
      </c>
      <c r="AW3511" s="782"/>
      <c r="AX3511" s="782"/>
      <c r="AY3511" s="782"/>
      <c r="AZ3511" s="782"/>
      <c r="BA3511" s="781"/>
    </row>
    <row r="3512" spans="1:54" ht="25" customHeight="1">
      <c r="B3512" s="487">
        <v>46193</v>
      </c>
      <c r="C3512" s="487">
        <v>46203</v>
      </c>
      <c r="D3512" s="185">
        <f t="shared" si="1660"/>
        <v>2026</v>
      </c>
      <c r="E3512" s="488" t="e">
        <f>VLOOKUP($B3512,Week!$A$1:$C$1462,2,0)</f>
        <v>#N/A</v>
      </c>
      <c r="F3512" s="489" t="str">
        <f t="shared" si="1661"/>
        <v>Jun</v>
      </c>
      <c r="G3512" s="444" t="s">
        <v>3009</v>
      </c>
      <c r="H3512" s="444" t="s">
        <v>571</v>
      </c>
      <c r="I3512" s="444" t="s">
        <v>2772</v>
      </c>
      <c r="J3512" s="490" t="s">
        <v>663</v>
      </c>
      <c r="K3512" s="491" t="s">
        <v>107</v>
      </c>
      <c r="L3512" s="300" t="s">
        <v>2167</v>
      </c>
      <c r="M3512" s="490" t="s">
        <v>136</v>
      </c>
      <c r="N3512" s="444" t="s">
        <v>2204</v>
      </c>
      <c r="O3512" s="444" t="s">
        <v>270</v>
      </c>
      <c r="P3512" s="492">
        <v>12</v>
      </c>
      <c r="Q3512" s="492">
        <v>3</v>
      </c>
      <c r="R3512" s="493">
        <v>6.8100000000000001E-3</v>
      </c>
      <c r="S3512" s="444" t="s">
        <v>76</v>
      </c>
      <c r="T3512" s="444" t="s">
        <v>112</v>
      </c>
      <c r="U3512" s="444" t="s">
        <v>57</v>
      </c>
      <c r="V3512" s="494">
        <v>2278</v>
      </c>
      <c r="W3512" s="494"/>
      <c r="X3512" s="495">
        <f>(1078+26501)/12</f>
        <v>2298.25</v>
      </c>
      <c r="Y3512" s="496">
        <f t="shared" si="1665"/>
        <v>20.25</v>
      </c>
      <c r="Z3512" s="497">
        <f t="shared" si="1666"/>
        <v>0</v>
      </c>
      <c r="AA3512" s="497">
        <f t="shared" si="1676"/>
        <v>0</v>
      </c>
      <c r="AB3512" s="829">
        <v>9.7000000000000003E-3</v>
      </c>
      <c r="AC3512" s="494">
        <f t="shared" si="1673"/>
        <v>0</v>
      </c>
      <c r="AD3512" s="627"/>
      <c r="AE3512" s="210">
        <f t="shared" si="1680"/>
        <v>0</v>
      </c>
      <c r="AF3512" s="210">
        <f t="shared" si="1681"/>
        <v>0</v>
      </c>
      <c r="AG3512" s="211">
        <f t="shared" si="1682"/>
        <v>0.309</v>
      </c>
      <c r="AH3512" s="157">
        <f t="shared" si="1679"/>
        <v>0</v>
      </c>
      <c r="AI3512" s="152">
        <f t="shared" si="1683"/>
        <v>27336</v>
      </c>
      <c r="AK3512" s="156" t="s">
        <v>691</v>
      </c>
      <c r="AL3512" s="212" t="s">
        <v>690</v>
      </c>
      <c r="AM3512" s="198">
        <f t="shared" si="1677"/>
        <v>0</v>
      </c>
      <c r="AN3512" s="199">
        <f t="shared" si="1678"/>
        <v>46193</v>
      </c>
      <c r="AO3512" s="159" t="s">
        <v>692</v>
      </c>
      <c r="AP3512" s="781"/>
      <c r="AQ3512" s="782">
        <v>12063755</v>
      </c>
      <c r="AR3512" s="782">
        <v>12061353</v>
      </c>
      <c r="AS3512" s="782">
        <v>12061354</v>
      </c>
      <c r="AT3512" s="782">
        <v>12090252</v>
      </c>
      <c r="AU3512" s="781"/>
      <c r="AV3512" s="782">
        <v>12090250</v>
      </c>
      <c r="AW3512" s="782"/>
      <c r="AX3512" s="782"/>
      <c r="AY3512" s="782" t="s">
        <v>2319</v>
      </c>
      <c r="AZ3512" s="782"/>
      <c r="BA3512" s="782"/>
    </row>
    <row r="3513" spans="1:54" ht="25" customHeight="1">
      <c r="A3513" s="623"/>
      <c r="B3513" s="332">
        <v>46193</v>
      </c>
      <c r="C3513" s="333">
        <v>46203</v>
      </c>
      <c r="D3513" s="185">
        <f t="shared" si="1660"/>
        <v>2026</v>
      </c>
      <c r="E3513" s="333" t="e">
        <f>VLOOKUP($B3513,Week!$A$1:$C$1462,2,0)</f>
        <v>#N/A</v>
      </c>
      <c r="F3513" s="334" t="str">
        <f t="shared" si="1661"/>
        <v>Jun</v>
      </c>
      <c r="G3513" s="335" t="s">
        <v>3039</v>
      </c>
      <c r="H3513" s="335" t="s">
        <v>311</v>
      </c>
      <c r="I3513" s="335" t="s">
        <v>2772</v>
      </c>
      <c r="J3513" s="336" t="s">
        <v>738</v>
      </c>
      <c r="K3513" s="337" t="s">
        <v>1652</v>
      </c>
      <c r="L3513" s="300" t="s">
        <v>2167</v>
      </c>
      <c r="M3513" s="336" t="s">
        <v>682</v>
      </c>
      <c r="N3513" s="335" t="s">
        <v>693</v>
      </c>
      <c r="O3513" s="335" t="s">
        <v>602</v>
      </c>
      <c r="P3513" s="338">
        <v>8</v>
      </c>
      <c r="Q3513" s="338">
        <v>3</v>
      </c>
      <c r="R3513" s="339">
        <v>6.0000000000000001E-3</v>
      </c>
      <c r="S3513" s="335" t="s">
        <v>55</v>
      </c>
      <c r="T3513" s="335" t="s">
        <v>112</v>
      </c>
      <c r="U3513" s="340" t="s">
        <v>724</v>
      </c>
      <c r="V3513" s="341">
        <f>250</f>
        <v>250</v>
      </c>
      <c r="W3513" s="341"/>
      <c r="X3513" s="342">
        <f>(2451)/8</f>
        <v>306.375</v>
      </c>
      <c r="Y3513" s="343">
        <f t="shared" si="1665"/>
        <v>56.375</v>
      </c>
      <c r="Z3513" s="344">
        <f t="shared" si="1666"/>
        <v>0</v>
      </c>
      <c r="AA3513" s="344">
        <f t="shared" si="1676"/>
        <v>0</v>
      </c>
      <c r="AB3513" s="817">
        <v>5.8823E-2</v>
      </c>
      <c r="AC3513" s="341">
        <f t="shared" si="1673"/>
        <v>0</v>
      </c>
      <c r="AD3513" s="443"/>
      <c r="AE3513" s="210">
        <f t="shared" si="1680"/>
        <v>0</v>
      </c>
      <c r="AF3513" s="210">
        <f t="shared" si="1681"/>
        <v>0</v>
      </c>
      <c r="AG3513" s="211">
        <f t="shared" si="1682"/>
        <v>0.30199999999999999</v>
      </c>
      <c r="AH3513" s="157">
        <v>0.26621999999999996</v>
      </c>
      <c r="AI3513" s="152">
        <f t="shared" si="1683"/>
        <v>2000</v>
      </c>
      <c r="AK3513" s="156" t="s">
        <v>691</v>
      </c>
      <c r="AL3513" s="574" t="s">
        <v>690</v>
      </c>
      <c r="AM3513" s="198">
        <f t="shared" si="1677"/>
        <v>0</v>
      </c>
      <c r="AN3513" s="199">
        <f t="shared" si="1678"/>
        <v>46193</v>
      </c>
      <c r="AO3513" s="159" t="s">
        <v>692</v>
      </c>
      <c r="AP3513" s="781" t="s">
        <v>642</v>
      </c>
      <c r="AQ3513" s="782">
        <v>12063755</v>
      </c>
      <c r="AR3513" s="782">
        <v>12061353</v>
      </c>
      <c r="AS3513" s="782">
        <v>12061354</v>
      </c>
      <c r="AT3513" s="782">
        <v>12097660</v>
      </c>
      <c r="AU3513" s="781"/>
      <c r="AV3513" s="782">
        <v>12097661</v>
      </c>
      <c r="AW3513" s="781"/>
      <c r="AX3513" s="781"/>
      <c r="AY3513" s="781"/>
      <c r="AZ3513" s="782"/>
      <c r="BA3513" s="781"/>
      <c r="BB3513" s="209">
        <v>23099860</v>
      </c>
    </row>
    <row r="3514" spans="1:54" ht="25" customHeight="1">
      <c r="B3514" s="332">
        <v>46193</v>
      </c>
      <c r="C3514" s="333">
        <v>46233</v>
      </c>
      <c r="D3514" s="185">
        <f t="shared" si="1660"/>
        <v>2026</v>
      </c>
      <c r="E3514" s="333" t="e">
        <f>VLOOKUP($B3514,Week!$A$1:$C$1462,2,0)</f>
        <v>#N/A</v>
      </c>
      <c r="F3514" s="334" t="str">
        <f t="shared" si="1661"/>
        <v>Jun</v>
      </c>
      <c r="G3514" s="335" t="s">
        <v>3066</v>
      </c>
      <c r="H3514" s="335" t="s">
        <v>675</v>
      </c>
      <c r="I3514" s="335" t="s">
        <v>2772</v>
      </c>
      <c r="J3514" s="336" t="s">
        <v>2906</v>
      </c>
      <c r="K3514" s="337" t="s">
        <v>1652</v>
      </c>
      <c r="L3514" s="300" t="s">
        <v>2167</v>
      </c>
      <c r="M3514" s="336" t="s">
        <v>682</v>
      </c>
      <c r="N3514" s="530" t="s">
        <v>712</v>
      </c>
      <c r="O3514" s="335" t="s">
        <v>602</v>
      </c>
      <c r="P3514" s="338">
        <v>8</v>
      </c>
      <c r="Q3514" s="338">
        <v>3</v>
      </c>
      <c r="R3514" s="339">
        <v>6.0000000000000001E-3</v>
      </c>
      <c r="S3514" s="335" t="s">
        <v>55</v>
      </c>
      <c r="T3514" s="335" t="s">
        <v>112</v>
      </c>
      <c r="U3514" s="340" t="s">
        <v>724</v>
      </c>
      <c r="V3514" s="341">
        <f>420</f>
        <v>420</v>
      </c>
      <c r="W3514" s="341"/>
      <c r="X3514" s="342">
        <f>(3360)/8</f>
        <v>420</v>
      </c>
      <c r="Y3514" s="343">
        <f t="shared" si="1665"/>
        <v>0</v>
      </c>
      <c r="Z3514" s="344">
        <f t="shared" si="1666"/>
        <v>0</v>
      </c>
      <c r="AA3514" s="344">
        <f t="shared" si="1676"/>
        <v>0</v>
      </c>
      <c r="AB3514" s="817">
        <v>5.8823E-2</v>
      </c>
      <c r="AC3514" s="341">
        <f t="shared" si="1673"/>
        <v>0</v>
      </c>
      <c r="AD3514" s="515"/>
      <c r="AE3514" s="210">
        <f t="shared" si="1680"/>
        <v>0</v>
      </c>
      <c r="AF3514" s="210">
        <f t="shared" si="1681"/>
        <v>0</v>
      </c>
      <c r="AG3514" s="211">
        <f t="shared" si="1682"/>
        <v>0.30199999999999999</v>
      </c>
      <c r="AH3514" s="157">
        <v>0.26621999999999996</v>
      </c>
      <c r="AI3514" s="152">
        <f t="shared" si="1683"/>
        <v>3360</v>
      </c>
      <c r="AK3514" s="156" t="s">
        <v>691</v>
      </c>
      <c r="AL3514" s="574" t="s">
        <v>690</v>
      </c>
      <c r="AM3514" s="198">
        <f t="shared" si="1677"/>
        <v>0</v>
      </c>
      <c r="AN3514" s="199">
        <f t="shared" si="1678"/>
        <v>46193</v>
      </c>
      <c r="AO3514" s="159" t="s">
        <v>692</v>
      </c>
      <c r="AP3514" s="781" t="s">
        <v>642</v>
      </c>
      <c r="AQ3514" s="782">
        <v>12063755</v>
      </c>
      <c r="AR3514" s="782">
        <v>12061353</v>
      </c>
      <c r="AS3514" s="782">
        <v>12061354</v>
      </c>
      <c r="AT3514" s="782">
        <v>12090030</v>
      </c>
      <c r="AU3514" s="781"/>
      <c r="AV3514" s="782">
        <v>12089992</v>
      </c>
      <c r="AW3514" s="781"/>
      <c r="AX3514" s="781"/>
      <c r="AY3514" s="781"/>
      <c r="AZ3514" s="782"/>
      <c r="BA3514" s="781"/>
      <c r="BB3514" s="209">
        <v>23099860</v>
      </c>
    </row>
    <row r="3515" spans="1:54" ht="25" customHeight="1">
      <c r="B3515" s="743">
        <v>46193</v>
      </c>
      <c r="C3515" s="744">
        <v>46210</v>
      </c>
      <c r="D3515" s="746">
        <f t="shared" si="1660"/>
        <v>2026</v>
      </c>
      <c r="E3515" s="744" t="e">
        <f>VLOOKUP($B3515,Week!$A$1:$C$1462,2,0)</f>
        <v>#N/A</v>
      </c>
      <c r="F3515" s="745" t="str">
        <f t="shared" si="1661"/>
        <v>Jun</v>
      </c>
      <c r="G3515" s="746" t="s">
        <v>3010</v>
      </c>
      <c r="H3515" s="746" t="s">
        <v>600</v>
      </c>
      <c r="I3515" s="746" t="s">
        <v>2772</v>
      </c>
      <c r="J3515" s="747" t="s">
        <v>708</v>
      </c>
      <c r="K3515" s="748" t="s">
        <v>1652</v>
      </c>
      <c r="L3515" s="748" t="s">
        <v>2167</v>
      </c>
      <c r="M3515" s="747" t="s">
        <v>2928</v>
      </c>
      <c r="N3515" s="915" t="s">
        <v>2922</v>
      </c>
      <c r="O3515" s="746" t="s">
        <v>2917</v>
      </c>
      <c r="P3515" s="749">
        <v>12</v>
      </c>
      <c r="Q3515" s="749">
        <v>3</v>
      </c>
      <c r="R3515" s="849">
        <v>6.1999999999999998E-3</v>
      </c>
      <c r="S3515" s="746" t="s">
        <v>55</v>
      </c>
      <c r="T3515" s="746" t="s">
        <v>112</v>
      </c>
      <c r="U3515" s="860" t="s">
        <v>724</v>
      </c>
      <c r="V3515" s="750">
        <f>2660</f>
        <v>2660</v>
      </c>
      <c r="W3515" s="750"/>
      <c r="X3515" s="751">
        <f>(2883+29037)/12</f>
        <v>2660</v>
      </c>
      <c r="Y3515" s="752">
        <f t="shared" si="1665"/>
        <v>0</v>
      </c>
      <c r="Z3515" s="753">
        <f t="shared" si="1666"/>
        <v>0</v>
      </c>
      <c r="AA3515" s="753">
        <f t="shared" si="1676"/>
        <v>0</v>
      </c>
      <c r="AB3515" s="838">
        <v>5.8823E-2</v>
      </c>
      <c r="AC3515" s="750">
        <f t="shared" si="1673"/>
        <v>0</v>
      </c>
      <c r="AD3515" s="443" t="s">
        <v>2779</v>
      </c>
      <c r="AE3515" s="210">
        <f t="shared" si="1680"/>
        <v>0</v>
      </c>
      <c r="AF3515" s="210">
        <f t="shared" si="1681"/>
        <v>0</v>
      </c>
      <c r="AG3515" s="211">
        <f t="shared" si="1682"/>
        <v>0.24</v>
      </c>
      <c r="AH3515" s="157">
        <v>0.26621999999999996</v>
      </c>
      <c r="AI3515" s="152">
        <f t="shared" si="1683"/>
        <v>31920</v>
      </c>
      <c r="AK3515" s="156" t="s">
        <v>691</v>
      </c>
      <c r="AL3515" s="574" t="s">
        <v>690</v>
      </c>
      <c r="AM3515" s="198">
        <f t="shared" si="1677"/>
        <v>0</v>
      </c>
      <c r="AN3515" s="199">
        <f t="shared" si="1678"/>
        <v>46193</v>
      </c>
      <c r="AO3515" s="159" t="s">
        <v>692</v>
      </c>
      <c r="AP3515" s="781"/>
      <c r="AQ3515" s="782">
        <v>12071839</v>
      </c>
      <c r="AR3515" s="782">
        <v>12095778</v>
      </c>
      <c r="AS3515" s="782">
        <v>12095777</v>
      </c>
      <c r="AT3515" s="798" t="s">
        <v>3018</v>
      </c>
      <c r="AU3515" s="781"/>
      <c r="AV3515" s="782">
        <v>12098859</v>
      </c>
      <c r="AW3515" s="781"/>
      <c r="AX3515" s="781"/>
      <c r="AY3515" s="781"/>
      <c r="AZ3515" s="782"/>
      <c r="BA3515" s="781"/>
      <c r="BB3515" s="209">
        <v>23099860</v>
      </c>
    </row>
    <row r="3516" spans="1:54" ht="25" customHeight="1">
      <c r="B3516" s="183">
        <v>46194</v>
      </c>
      <c r="C3516" s="184"/>
      <c r="D3516" s="185">
        <f t="shared" si="1660"/>
        <v>2026</v>
      </c>
      <c r="E3516" s="185" t="e">
        <f>VLOOKUP($B3516,Week!$A$1:$C$1462,2,0)</f>
        <v>#N/A</v>
      </c>
      <c r="F3516" s="186" t="str">
        <f t="shared" si="1661"/>
        <v>Jun</v>
      </c>
      <c r="G3516" s="481"/>
      <c r="H3516" s="185"/>
      <c r="I3516" s="185"/>
      <c r="J3516" s="187"/>
      <c r="K3516" s="188"/>
      <c r="L3516" s="188"/>
      <c r="M3516" s="187"/>
      <c r="N3516" s="185"/>
      <c r="O3516" s="185"/>
      <c r="P3516" s="189"/>
      <c r="Q3516" s="189"/>
      <c r="R3516" s="190"/>
      <c r="S3516" s="185"/>
      <c r="T3516" s="185"/>
      <c r="U3516" s="185"/>
      <c r="V3516" s="191"/>
      <c r="W3516" s="191"/>
      <c r="X3516" s="192"/>
      <c r="Y3516" s="193"/>
      <c r="Z3516" s="194"/>
      <c r="AA3516" s="194">
        <f t="shared" si="1676"/>
        <v>0</v>
      </c>
      <c r="AB3516" s="805"/>
      <c r="AC3516" s="191"/>
      <c r="AD3516" s="187"/>
      <c r="AE3516" s="195"/>
      <c r="AF3516" s="195"/>
      <c r="AG3516" s="196"/>
      <c r="AH3516" s="197"/>
      <c r="AK3516" s="156" t="s">
        <v>691</v>
      </c>
      <c r="AM3516" s="198">
        <f t="shared" si="1677"/>
        <v>0</v>
      </c>
      <c r="AN3516" s="199">
        <f t="shared" si="1678"/>
        <v>46194</v>
      </c>
      <c r="AO3516" s="159" t="s">
        <v>692</v>
      </c>
      <c r="AP3516" s="781"/>
      <c r="AQ3516" s="782"/>
      <c r="AR3516" s="782"/>
      <c r="AS3516" s="782"/>
      <c r="AT3516" s="782"/>
      <c r="AU3516" s="781"/>
      <c r="AV3516" s="782"/>
      <c r="AW3516" s="782"/>
      <c r="AX3516" s="782"/>
      <c r="AY3516" s="782"/>
      <c r="AZ3516" s="782"/>
      <c r="BA3516" s="781"/>
      <c r="BB3516" s="209"/>
    </row>
    <row r="3517" spans="1:54" ht="25" customHeight="1">
      <c r="A3517" s="142" t="s">
        <v>120</v>
      </c>
      <c r="B3517" s="271">
        <v>46195</v>
      </c>
      <c r="C3517" s="272">
        <v>46209</v>
      </c>
      <c r="D3517" s="185">
        <f t="shared" si="1660"/>
        <v>2026</v>
      </c>
      <c r="E3517" s="272" t="e">
        <f>VLOOKUP($B3517,Week!$A$1:$C$1462,2,0)</f>
        <v>#N/A</v>
      </c>
      <c r="F3517" s="273" t="str">
        <f t="shared" si="1661"/>
        <v>Jun</v>
      </c>
      <c r="G3517" s="274" t="s">
        <v>2964</v>
      </c>
      <c r="H3517" s="274" t="s">
        <v>500</v>
      </c>
      <c r="I3517" s="274" t="s">
        <v>2772</v>
      </c>
      <c r="J3517" s="275" t="s">
        <v>285</v>
      </c>
      <c r="K3517" s="276" t="s">
        <v>153</v>
      </c>
      <c r="L3517" s="390" t="s">
        <v>2166</v>
      </c>
      <c r="M3517" s="275" t="s">
        <v>86</v>
      </c>
      <c r="N3517" s="274" t="s">
        <v>547</v>
      </c>
      <c r="O3517" s="274" t="s">
        <v>548</v>
      </c>
      <c r="P3517" s="277">
        <v>10</v>
      </c>
      <c r="Q3517" s="277">
        <v>50</v>
      </c>
      <c r="R3517" s="278">
        <v>6.8100000000000001E-3</v>
      </c>
      <c r="S3517" s="274" t="s">
        <v>76</v>
      </c>
      <c r="T3517" s="274" t="s">
        <v>56</v>
      </c>
      <c r="U3517" s="274" t="s">
        <v>89</v>
      </c>
      <c r="V3517" s="279">
        <f>2056-564-646-626</f>
        <v>220</v>
      </c>
      <c r="W3517" s="279">
        <f>220</f>
        <v>220</v>
      </c>
      <c r="X3517" s="280"/>
      <c r="Y3517" s="281">
        <f t="shared" ref="Y3517:Y3543" si="1684">(W3517+X3517)-V3517</f>
        <v>0</v>
      </c>
      <c r="Z3517" s="282">
        <f t="shared" ref="Z3517:Z3543" si="1685">IF(Y3517&lt;0,((V3517*P3517)-((W3517+X3517)*P3517)),0)</f>
        <v>0</v>
      </c>
      <c r="AA3517" s="282">
        <f t="shared" si="1676"/>
        <v>0</v>
      </c>
      <c r="AB3517" s="812">
        <v>6</v>
      </c>
      <c r="AC3517" s="279">
        <f t="shared" ref="AC3517:AC3530" si="1686">Z3517*AB3517</f>
        <v>0</v>
      </c>
      <c r="AD3517" s="209"/>
      <c r="AE3517" s="210">
        <f t="shared" ref="AE3517:AE3530" si="1687">SUM(Q3517*R3517*Z3517)/1000</f>
        <v>0</v>
      </c>
      <c r="AF3517" s="210">
        <f t="shared" ref="AF3517:AF3530" si="1688">AE3517/0.54</f>
        <v>0</v>
      </c>
      <c r="AG3517" s="211">
        <f t="shared" ref="AG3517:AG3522" si="1689">MID(O3517,1,3)/1000</f>
        <v>0.63</v>
      </c>
      <c r="AH3517" s="157">
        <f t="shared" ref="AH3517:AH3530" si="1690">(Z3517*AG3517)/1000</f>
        <v>0</v>
      </c>
      <c r="AI3517" s="152">
        <f t="shared" ref="AI3517:AI3522" si="1691">V3517*P3517</f>
        <v>2200</v>
      </c>
      <c r="AK3517" s="156" t="s">
        <v>691</v>
      </c>
      <c r="AL3517" s="156" t="s">
        <v>689</v>
      </c>
      <c r="AM3517" s="198">
        <f t="shared" si="1677"/>
        <v>0</v>
      </c>
      <c r="AN3517" s="199">
        <f t="shared" si="1678"/>
        <v>46195</v>
      </c>
      <c r="AO3517" s="159" t="s">
        <v>692</v>
      </c>
      <c r="AP3517" s="783" t="s">
        <v>620</v>
      </c>
      <c r="AQ3517" s="796" t="s">
        <v>422</v>
      </c>
      <c r="AR3517" s="782">
        <v>12055234</v>
      </c>
      <c r="AS3517" s="781"/>
      <c r="AT3517" s="782"/>
      <c r="AU3517" s="782"/>
      <c r="AV3517" s="782">
        <v>12062809</v>
      </c>
      <c r="AW3517" s="782"/>
      <c r="AX3517" s="782" t="s">
        <v>619</v>
      </c>
      <c r="AY3517" s="781"/>
      <c r="AZ3517" s="781"/>
      <c r="BA3517" s="781"/>
      <c r="BB3517" s="209">
        <v>23053184</v>
      </c>
    </row>
    <row r="3518" spans="1:54" ht="25" customHeight="1">
      <c r="A3518" s="142" t="s">
        <v>120</v>
      </c>
      <c r="B3518" s="271">
        <v>46195</v>
      </c>
      <c r="C3518" s="272">
        <v>46216</v>
      </c>
      <c r="D3518" s="185">
        <f t="shared" si="1660"/>
        <v>2026</v>
      </c>
      <c r="E3518" s="272" t="e">
        <f>VLOOKUP($B3518,Week!$A$1:$C$1462,2,0)</f>
        <v>#N/A</v>
      </c>
      <c r="F3518" s="273" t="str">
        <f t="shared" si="1661"/>
        <v>Jun</v>
      </c>
      <c r="G3518" s="274" t="s">
        <v>3051</v>
      </c>
      <c r="H3518" s="274" t="s">
        <v>500</v>
      </c>
      <c r="I3518" s="274" t="s">
        <v>2772</v>
      </c>
      <c r="J3518" s="275" t="s">
        <v>285</v>
      </c>
      <c r="K3518" s="276" t="s">
        <v>153</v>
      </c>
      <c r="L3518" s="390" t="s">
        <v>2166</v>
      </c>
      <c r="M3518" s="275" t="s">
        <v>86</v>
      </c>
      <c r="N3518" s="274" t="s">
        <v>547</v>
      </c>
      <c r="O3518" s="274" t="s">
        <v>548</v>
      </c>
      <c r="P3518" s="277">
        <v>10</v>
      </c>
      <c r="Q3518" s="277">
        <v>50</v>
      </c>
      <c r="R3518" s="278">
        <v>6.8100000000000001E-3</v>
      </c>
      <c r="S3518" s="274" t="s">
        <v>76</v>
      </c>
      <c r="T3518" s="274" t="s">
        <v>56</v>
      </c>
      <c r="U3518" s="274" t="s">
        <v>89</v>
      </c>
      <c r="V3518" s="279">
        <v>404</v>
      </c>
      <c r="W3518" s="279">
        <f>404</f>
        <v>404</v>
      </c>
      <c r="X3518" s="280"/>
      <c r="Y3518" s="281">
        <f t="shared" si="1684"/>
        <v>0</v>
      </c>
      <c r="Z3518" s="282">
        <f t="shared" si="1685"/>
        <v>0</v>
      </c>
      <c r="AA3518" s="282">
        <f t="shared" si="1676"/>
        <v>0</v>
      </c>
      <c r="AB3518" s="812">
        <v>6</v>
      </c>
      <c r="AC3518" s="279">
        <f t="shared" si="1686"/>
        <v>0</v>
      </c>
      <c r="AD3518" s="209"/>
      <c r="AE3518" s="210">
        <f t="shared" si="1687"/>
        <v>0</v>
      </c>
      <c r="AF3518" s="210">
        <f t="shared" si="1688"/>
        <v>0</v>
      </c>
      <c r="AG3518" s="211">
        <f t="shared" si="1689"/>
        <v>0.63</v>
      </c>
      <c r="AH3518" s="157">
        <f t="shared" si="1690"/>
        <v>0</v>
      </c>
      <c r="AI3518" s="152">
        <f t="shared" si="1691"/>
        <v>4040</v>
      </c>
      <c r="AK3518" s="156" t="s">
        <v>691</v>
      </c>
      <c r="AL3518" s="156" t="s">
        <v>689</v>
      </c>
      <c r="AM3518" s="198">
        <f t="shared" si="1677"/>
        <v>0</v>
      </c>
      <c r="AN3518" s="199">
        <f t="shared" si="1678"/>
        <v>46195</v>
      </c>
      <c r="AO3518" s="159" t="s">
        <v>692</v>
      </c>
      <c r="AP3518" s="783" t="s">
        <v>620</v>
      </c>
      <c r="AQ3518" s="796" t="s">
        <v>422</v>
      </c>
      <c r="AR3518" s="782">
        <v>12055234</v>
      </c>
      <c r="AS3518" s="781"/>
      <c r="AT3518" s="782"/>
      <c r="AU3518" s="782"/>
      <c r="AV3518" s="782">
        <v>12062809</v>
      </c>
      <c r="AW3518" s="782"/>
      <c r="AX3518" s="782" t="s">
        <v>619</v>
      </c>
      <c r="AY3518" s="781"/>
      <c r="AZ3518" s="781"/>
      <c r="BA3518" s="781"/>
      <c r="BB3518" s="209">
        <v>23053184</v>
      </c>
    </row>
    <row r="3519" spans="1:54" ht="25.15" customHeight="1">
      <c r="A3519" s="945" t="s">
        <v>3110</v>
      </c>
      <c r="B3519" s="345">
        <v>46195</v>
      </c>
      <c r="C3519" s="346">
        <v>46209</v>
      </c>
      <c r="D3519" s="185">
        <f t="shared" si="1660"/>
        <v>2026</v>
      </c>
      <c r="E3519" s="347" t="e">
        <f>VLOOKUP($B3519,Week!$A$1:$C$1462,2,0)</f>
        <v>#N/A</v>
      </c>
      <c r="F3519" s="348" t="str">
        <f t="shared" si="1661"/>
        <v>Jun</v>
      </c>
      <c r="G3519" s="347" t="s">
        <v>2802</v>
      </c>
      <c r="H3519" s="347" t="s">
        <v>697</v>
      </c>
      <c r="I3519" s="347" t="s">
        <v>2772</v>
      </c>
      <c r="J3519" s="438" t="s">
        <v>425</v>
      </c>
      <c r="K3519" s="350" t="s">
        <v>176</v>
      </c>
      <c r="L3519" s="350" t="s">
        <v>2167</v>
      </c>
      <c r="M3519" s="349" t="s">
        <v>426</v>
      </c>
      <c r="N3519" s="347" t="s">
        <v>427</v>
      </c>
      <c r="O3519" s="347" t="s">
        <v>599</v>
      </c>
      <c r="P3519" s="351">
        <v>36</v>
      </c>
      <c r="Q3519" s="351">
        <v>5</v>
      </c>
      <c r="R3519" s="352">
        <v>7.4999999999999997E-3</v>
      </c>
      <c r="S3519" s="347" t="s">
        <v>111</v>
      </c>
      <c r="T3519" s="347" t="s">
        <v>112</v>
      </c>
      <c r="U3519" s="347" t="s">
        <v>57</v>
      </c>
      <c r="V3519" s="353">
        <v>1288</v>
      </c>
      <c r="W3519" s="353">
        <f>3+1285</f>
        <v>1288</v>
      </c>
      <c r="X3519" s="354"/>
      <c r="Y3519" s="355">
        <f t="shared" si="1684"/>
        <v>0</v>
      </c>
      <c r="Z3519" s="356">
        <f t="shared" si="1685"/>
        <v>0</v>
      </c>
      <c r="AA3519" s="353">
        <f t="shared" si="1676"/>
        <v>0</v>
      </c>
      <c r="AB3519" s="818">
        <v>7.4999999999999997E-3</v>
      </c>
      <c r="AC3519" s="353">
        <f t="shared" si="1686"/>
        <v>0</v>
      </c>
      <c r="AD3519" s="307" t="s">
        <v>2448</v>
      </c>
      <c r="AE3519" s="210">
        <f t="shared" si="1687"/>
        <v>0</v>
      </c>
      <c r="AF3519" s="210">
        <f t="shared" si="1688"/>
        <v>0</v>
      </c>
      <c r="AG3519" s="211">
        <f t="shared" si="1689"/>
        <v>0.14799999999999999</v>
      </c>
      <c r="AH3519" s="157">
        <f t="shared" si="1690"/>
        <v>0</v>
      </c>
      <c r="AI3519" s="152">
        <f t="shared" si="1691"/>
        <v>46368</v>
      </c>
      <c r="AK3519" s="156" t="s">
        <v>691</v>
      </c>
      <c r="AL3519" s="574" t="s">
        <v>690</v>
      </c>
      <c r="AM3519" s="198">
        <f t="shared" si="1677"/>
        <v>0</v>
      </c>
      <c r="AN3519" s="199">
        <f t="shared" si="1678"/>
        <v>46195</v>
      </c>
      <c r="AO3519" s="159" t="s">
        <v>692</v>
      </c>
      <c r="AP3519" s="783" t="s">
        <v>609</v>
      </c>
      <c r="AQ3519" s="782">
        <v>12071839</v>
      </c>
      <c r="AR3519" s="782">
        <v>12080260</v>
      </c>
      <c r="AS3519" s="782">
        <v>12080259</v>
      </c>
      <c r="AT3519" s="782">
        <v>12096006</v>
      </c>
      <c r="AU3519" s="782"/>
      <c r="AV3519" s="782">
        <v>12096007</v>
      </c>
      <c r="AW3519" s="782">
        <v>12024404</v>
      </c>
      <c r="AX3519" s="781"/>
      <c r="AY3519" s="782">
        <v>12096022</v>
      </c>
      <c r="AZ3519" s="782"/>
      <c r="BA3519" s="781"/>
      <c r="BB3519" s="209">
        <v>23053185</v>
      </c>
    </row>
    <row r="3520" spans="1:54" ht="26.25" customHeight="1">
      <c r="B3520" s="235">
        <v>46195</v>
      </c>
      <c r="C3520" s="235">
        <v>46210</v>
      </c>
      <c r="D3520" s="185">
        <f t="shared" si="1660"/>
        <v>2026</v>
      </c>
      <c r="E3520" s="236" t="e">
        <f>VLOOKUP($B3520,Week!$A$1:$C$1462,2,0)</f>
        <v>#N/A</v>
      </c>
      <c r="F3520" s="237" t="str">
        <f t="shared" si="1661"/>
        <v>Jun</v>
      </c>
      <c r="G3520" s="236" t="s">
        <v>3029</v>
      </c>
      <c r="H3520" s="236" t="s">
        <v>392</v>
      </c>
      <c r="I3520" s="236" t="s">
        <v>2772</v>
      </c>
      <c r="J3520" s="238" t="s">
        <v>393</v>
      </c>
      <c r="K3520" s="239" t="s">
        <v>1643</v>
      </c>
      <c r="L3520" s="300" t="s">
        <v>2167</v>
      </c>
      <c r="M3520" s="238" t="s">
        <v>2385</v>
      </c>
      <c r="N3520" s="236" t="s">
        <v>407</v>
      </c>
      <c r="O3520" s="236" t="s">
        <v>206</v>
      </c>
      <c r="P3520" s="240">
        <v>24</v>
      </c>
      <c r="Q3520" s="240">
        <v>5</v>
      </c>
      <c r="R3520" s="241">
        <v>8.0000000000000002E-3</v>
      </c>
      <c r="S3520" s="236" t="s">
        <v>40</v>
      </c>
      <c r="T3520" s="236" t="s">
        <v>56</v>
      </c>
      <c r="U3520" s="640" t="s">
        <v>499</v>
      </c>
      <c r="V3520" s="242">
        <f>1000-50</f>
        <v>950</v>
      </c>
      <c r="W3520" s="242">
        <f>4+946</f>
        <v>950</v>
      </c>
      <c r="X3520" s="243"/>
      <c r="Y3520" s="244">
        <f t="shared" si="1684"/>
        <v>0</v>
      </c>
      <c r="Z3520" s="245">
        <f t="shared" si="1685"/>
        <v>0</v>
      </c>
      <c r="AA3520" s="245">
        <f t="shared" si="1676"/>
        <v>0</v>
      </c>
      <c r="AB3520" s="809">
        <v>1</v>
      </c>
      <c r="AC3520" s="242">
        <f t="shared" si="1686"/>
        <v>0</v>
      </c>
      <c r="AD3520" s="772"/>
      <c r="AE3520" s="210">
        <f t="shared" si="1687"/>
        <v>0</v>
      </c>
      <c r="AF3520" s="210">
        <f t="shared" si="1688"/>
        <v>0</v>
      </c>
      <c r="AG3520" s="211">
        <f t="shared" si="1689"/>
        <v>0.115</v>
      </c>
      <c r="AH3520" s="157">
        <f t="shared" si="1690"/>
        <v>0</v>
      </c>
      <c r="AI3520" s="152">
        <f t="shared" si="1691"/>
        <v>22800</v>
      </c>
      <c r="AK3520" s="156" t="s">
        <v>691</v>
      </c>
      <c r="AL3520" s="574" t="s">
        <v>690</v>
      </c>
      <c r="AM3520" s="198">
        <f t="shared" si="1677"/>
        <v>0</v>
      </c>
      <c r="AN3520" s="199">
        <f t="shared" si="1678"/>
        <v>46195</v>
      </c>
      <c r="AO3520" s="159" t="s">
        <v>692</v>
      </c>
      <c r="AP3520" s="783" t="s">
        <v>608</v>
      </c>
      <c r="AQ3520" s="782">
        <v>12071839</v>
      </c>
      <c r="AR3520" s="782">
        <v>12047514</v>
      </c>
      <c r="AS3520" s="782">
        <v>12047515</v>
      </c>
      <c r="AT3520" s="781"/>
      <c r="AU3520" s="782">
        <v>12026902</v>
      </c>
      <c r="AV3520" s="782">
        <v>12098047</v>
      </c>
      <c r="AW3520" s="782">
        <v>12026904</v>
      </c>
      <c r="AX3520" s="781"/>
      <c r="AY3520" s="783" t="s">
        <v>2403</v>
      </c>
      <c r="AZ3520" s="783" t="s">
        <v>2404</v>
      </c>
      <c r="BA3520" s="783" t="s">
        <v>2405</v>
      </c>
      <c r="BB3520" s="209">
        <v>23052995</v>
      </c>
    </row>
    <row r="3521" spans="1:54" ht="25" customHeight="1">
      <c r="A3521" s="142" t="s">
        <v>120</v>
      </c>
      <c r="B3521" s="271">
        <v>46196</v>
      </c>
      <c r="C3521" s="272">
        <v>46216</v>
      </c>
      <c r="D3521" s="185">
        <f t="shared" si="1660"/>
        <v>2026</v>
      </c>
      <c r="E3521" s="272" t="e">
        <f>VLOOKUP($B3521,Week!$A$1:$C$1462,2,0)</f>
        <v>#N/A</v>
      </c>
      <c r="F3521" s="273" t="str">
        <f t="shared" si="1661"/>
        <v>Jun</v>
      </c>
      <c r="G3521" s="274" t="s">
        <v>3051</v>
      </c>
      <c r="H3521" s="274" t="s">
        <v>500</v>
      </c>
      <c r="I3521" s="274" t="s">
        <v>2772</v>
      </c>
      <c r="J3521" s="275" t="s">
        <v>285</v>
      </c>
      <c r="K3521" s="276" t="s">
        <v>153</v>
      </c>
      <c r="L3521" s="390" t="s">
        <v>2166</v>
      </c>
      <c r="M3521" s="275" t="s">
        <v>86</v>
      </c>
      <c r="N3521" s="274" t="s">
        <v>547</v>
      </c>
      <c r="O3521" s="274" t="s">
        <v>548</v>
      </c>
      <c r="P3521" s="277">
        <v>10</v>
      </c>
      <c r="Q3521" s="277">
        <v>50</v>
      </c>
      <c r="R3521" s="278">
        <v>6.8100000000000001E-3</v>
      </c>
      <c r="S3521" s="274" t="s">
        <v>76</v>
      </c>
      <c r="T3521" s="274" t="s">
        <v>56</v>
      </c>
      <c r="U3521" s="274" t="s">
        <v>89</v>
      </c>
      <c r="V3521" s="279">
        <v>632</v>
      </c>
      <c r="W3521" s="279">
        <v>632</v>
      </c>
      <c r="X3521" s="280"/>
      <c r="Y3521" s="281">
        <f t="shared" si="1684"/>
        <v>0</v>
      </c>
      <c r="Z3521" s="282">
        <f t="shared" si="1685"/>
        <v>0</v>
      </c>
      <c r="AA3521" s="282">
        <f t="shared" si="1676"/>
        <v>0</v>
      </c>
      <c r="AB3521" s="812">
        <v>6</v>
      </c>
      <c r="AC3521" s="279">
        <f t="shared" si="1686"/>
        <v>0</v>
      </c>
      <c r="AD3521" s="209"/>
      <c r="AE3521" s="210">
        <f t="shared" si="1687"/>
        <v>0</v>
      </c>
      <c r="AF3521" s="210">
        <f t="shared" si="1688"/>
        <v>0</v>
      </c>
      <c r="AG3521" s="211">
        <f t="shared" si="1689"/>
        <v>0.63</v>
      </c>
      <c r="AH3521" s="157">
        <f t="shared" si="1690"/>
        <v>0</v>
      </c>
      <c r="AI3521" s="152">
        <f t="shared" si="1691"/>
        <v>6320</v>
      </c>
      <c r="AK3521" s="156" t="s">
        <v>691</v>
      </c>
      <c r="AL3521" s="156" t="s">
        <v>689</v>
      </c>
      <c r="AM3521" s="198">
        <f t="shared" si="1677"/>
        <v>0</v>
      </c>
      <c r="AN3521" s="199">
        <f t="shared" si="1678"/>
        <v>46196</v>
      </c>
      <c r="AO3521" s="159" t="s">
        <v>692</v>
      </c>
      <c r="AP3521" s="783" t="s">
        <v>620</v>
      </c>
      <c r="AQ3521" s="796" t="s">
        <v>422</v>
      </c>
      <c r="AR3521" s="782">
        <v>12055234</v>
      </c>
      <c r="AS3521" s="781"/>
      <c r="AT3521" s="782"/>
      <c r="AU3521" s="782"/>
      <c r="AV3521" s="782">
        <v>12062809</v>
      </c>
      <c r="AW3521" s="782"/>
      <c r="AX3521" s="782" t="s">
        <v>619</v>
      </c>
      <c r="AY3521" s="781"/>
      <c r="AZ3521" s="781"/>
      <c r="BA3521" s="781"/>
      <c r="BB3521" s="209">
        <v>23053184</v>
      </c>
    </row>
    <row r="3522" spans="1:54" ht="25.15" customHeight="1">
      <c r="A3522" s="945" t="s">
        <v>3110</v>
      </c>
      <c r="B3522" s="345">
        <v>46196</v>
      </c>
      <c r="C3522" s="346">
        <v>46230</v>
      </c>
      <c r="D3522" s="185">
        <f t="shared" si="1660"/>
        <v>2026</v>
      </c>
      <c r="E3522" s="347" t="e">
        <f>VLOOKUP($B3522,Week!$A$1:$C$1462,2,0)</f>
        <v>#N/A</v>
      </c>
      <c r="F3522" s="348" t="str">
        <f t="shared" si="1661"/>
        <v>Jun</v>
      </c>
      <c r="G3522" s="347" t="s">
        <v>2803</v>
      </c>
      <c r="H3522" s="347" t="s">
        <v>424</v>
      </c>
      <c r="I3522" s="347" t="s">
        <v>2772</v>
      </c>
      <c r="J3522" s="438" t="s">
        <v>425</v>
      </c>
      <c r="K3522" s="350" t="s">
        <v>176</v>
      </c>
      <c r="L3522" s="350" t="s">
        <v>2167</v>
      </c>
      <c r="M3522" s="349" t="s">
        <v>426</v>
      </c>
      <c r="N3522" s="347" t="s">
        <v>427</v>
      </c>
      <c r="O3522" s="347" t="s">
        <v>599</v>
      </c>
      <c r="P3522" s="351">
        <v>36</v>
      </c>
      <c r="Q3522" s="351">
        <v>5</v>
      </c>
      <c r="R3522" s="352">
        <v>7.4999999999999997E-3</v>
      </c>
      <c r="S3522" s="347" t="s">
        <v>111</v>
      </c>
      <c r="T3522" s="347" t="s">
        <v>112</v>
      </c>
      <c r="U3522" s="347" t="s">
        <v>57</v>
      </c>
      <c r="V3522" s="353">
        <v>1288</v>
      </c>
      <c r="W3522" s="353">
        <f>1282</f>
        <v>1282</v>
      </c>
      <c r="X3522" s="354">
        <f>216/36</f>
        <v>6</v>
      </c>
      <c r="Y3522" s="355">
        <f t="shared" si="1684"/>
        <v>0</v>
      </c>
      <c r="Z3522" s="356">
        <f t="shared" si="1685"/>
        <v>0</v>
      </c>
      <c r="AA3522" s="353">
        <f t="shared" si="1676"/>
        <v>0</v>
      </c>
      <c r="AB3522" s="818">
        <v>7.4999999999999997E-3</v>
      </c>
      <c r="AC3522" s="353">
        <f t="shared" si="1686"/>
        <v>0</v>
      </c>
      <c r="AD3522" s="307" t="s">
        <v>2448</v>
      </c>
      <c r="AE3522" s="210">
        <f t="shared" si="1687"/>
        <v>0</v>
      </c>
      <c r="AF3522" s="210">
        <f t="shared" si="1688"/>
        <v>0</v>
      </c>
      <c r="AG3522" s="211">
        <f t="shared" si="1689"/>
        <v>0.14799999999999999</v>
      </c>
      <c r="AH3522" s="157">
        <f t="shared" si="1690"/>
        <v>0</v>
      </c>
      <c r="AI3522" s="152">
        <f t="shared" si="1691"/>
        <v>46368</v>
      </c>
      <c r="AK3522" s="156" t="s">
        <v>691</v>
      </c>
      <c r="AL3522" s="574" t="s">
        <v>690</v>
      </c>
      <c r="AM3522" s="198">
        <f t="shared" si="1677"/>
        <v>0</v>
      </c>
      <c r="AN3522" s="199">
        <f t="shared" si="1678"/>
        <v>46196</v>
      </c>
      <c r="AO3522" s="159" t="s">
        <v>692</v>
      </c>
      <c r="AP3522" s="783" t="s">
        <v>609</v>
      </c>
      <c r="AQ3522" s="782">
        <v>12071839</v>
      </c>
      <c r="AR3522" s="782">
        <v>12080260</v>
      </c>
      <c r="AS3522" s="782">
        <v>12080259</v>
      </c>
      <c r="AT3522" s="782">
        <v>12096006</v>
      </c>
      <c r="AU3522" s="782"/>
      <c r="AV3522" s="782">
        <v>12096007</v>
      </c>
      <c r="AW3522" s="782">
        <v>12024404</v>
      </c>
      <c r="AX3522" s="781"/>
      <c r="AY3522" s="782">
        <v>12096022</v>
      </c>
      <c r="AZ3522" s="782"/>
      <c r="BA3522" s="781"/>
      <c r="BB3522" s="209">
        <v>23053185</v>
      </c>
    </row>
    <row r="3523" spans="1:54" ht="24.65" customHeight="1">
      <c r="B3523" s="283">
        <v>46196</v>
      </c>
      <c r="C3523" s="284">
        <v>46225</v>
      </c>
      <c r="D3523" s="185">
        <f t="shared" si="1660"/>
        <v>2026</v>
      </c>
      <c r="E3523" s="284" t="e">
        <f>VLOOKUP($B3523,Week!$A$1:$C$1462,2,0)</f>
        <v>#N/A</v>
      </c>
      <c r="F3523" s="285" t="str">
        <f t="shared" si="1661"/>
        <v>Jun</v>
      </c>
      <c r="G3523" s="631" t="s">
        <v>3038</v>
      </c>
      <c r="H3523" s="624" t="s">
        <v>104</v>
      </c>
      <c r="I3523" s="624" t="s">
        <v>2772</v>
      </c>
      <c r="J3523" s="625" t="s">
        <v>105</v>
      </c>
      <c r="K3523" s="288" t="s">
        <v>51</v>
      </c>
      <c r="L3523" s="300" t="s">
        <v>2167</v>
      </c>
      <c r="M3523" s="287" t="s">
        <v>595</v>
      </c>
      <c r="N3523" s="286" t="s">
        <v>597</v>
      </c>
      <c r="O3523" s="286" t="s">
        <v>187</v>
      </c>
      <c r="P3523" s="289">
        <v>8</v>
      </c>
      <c r="Q3523" s="289">
        <v>5</v>
      </c>
      <c r="R3523" s="290">
        <v>6.0000000000000001E-3</v>
      </c>
      <c r="S3523" s="286" t="s">
        <v>55</v>
      </c>
      <c r="T3523" s="286" t="s">
        <v>112</v>
      </c>
      <c r="U3523" s="286" t="s">
        <v>57</v>
      </c>
      <c r="V3523" s="291">
        <f>4200</f>
        <v>4200</v>
      </c>
      <c r="W3523" s="291"/>
      <c r="X3523" s="292">
        <f>(910+32690)/8</f>
        <v>4200</v>
      </c>
      <c r="Y3523" s="293">
        <f t="shared" si="1684"/>
        <v>0</v>
      </c>
      <c r="Z3523" s="294">
        <f t="shared" si="1685"/>
        <v>0</v>
      </c>
      <c r="AA3523" s="294">
        <f t="shared" si="1676"/>
        <v>0</v>
      </c>
      <c r="AB3523" s="813">
        <v>7.4999999999999997E-3</v>
      </c>
      <c r="AC3523" s="291">
        <f t="shared" si="1686"/>
        <v>0</v>
      </c>
      <c r="AD3523" s="918" t="s">
        <v>2895</v>
      </c>
      <c r="AE3523" s="210">
        <f t="shared" si="1687"/>
        <v>0</v>
      </c>
      <c r="AF3523" s="210">
        <f t="shared" si="1688"/>
        <v>0</v>
      </c>
      <c r="AG3523" s="211">
        <v>0.14499999999999999</v>
      </c>
      <c r="AH3523" s="157">
        <f t="shared" si="1690"/>
        <v>0</v>
      </c>
      <c r="AI3523" s="152">
        <v>19800</v>
      </c>
      <c r="AK3523" s="156" t="s">
        <v>691</v>
      </c>
      <c r="AL3523" s="212" t="s">
        <v>690</v>
      </c>
      <c r="AM3523" s="198">
        <f t="shared" si="1677"/>
        <v>0</v>
      </c>
      <c r="AN3523" s="199">
        <f t="shared" si="1678"/>
        <v>46196</v>
      </c>
      <c r="AO3523" s="159" t="s">
        <v>692</v>
      </c>
      <c r="AP3523" s="781"/>
      <c r="AQ3523" s="782">
        <v>12071839</v>
      </c>
      <c r="AR3523" s="782">
        <v>12047514</v>
      </c>
      <c r="AS3523" s="782">
        <v>12047515</v>
      </c>
      <c r="AT3523" s="782">
        <v>12098748</v>
      </c>
      <c r="AU3523" s="781"/>
      <c r="AV3523" s="782">
        <v>12098749</v>
      </c>
      <c r="AW3523" s="782"/>
      <c r="AX3523" s="782"/>
      <c r="AY3523" s="782"/>
      <c r="AZ3523" s="782"/>
      <c r="BA3523" s="781"/>
      <c r="BB3523" s="209">
        <v>23053185</v>
      </c>
    </row>
    <row r="3524" spans="1:54" ht="24.65" customHeight="1">
      <c r="B3524" s="283">
        <v>46196</v>
      </c>
      <c r="C3524" s="284">
        <v>46211</v>
      </c>
      <c r="D3524" s="185">
        <f t="shared" si="1660"/>
        <v>2026</v>
      </c>
      <c r="E3524" s="284" t="e">
        <f>VLOOKUP($B3524,Week!$A$1:$C$1462,2,0)</f>
        <v>#N/A</v>
      </c>
      <c r="F3524" s="285" t="str">
        <f t="shared" si="1661"/>
        <v>Jun</v>
      </c>
      <c r="G3524" s="631" t="s">
        <v>3069</v>
      </c>
      <c r="H3524" s="624" t="s">
        <v>104</v>
      </c>
      <c r="I3524" s="624" t="s">
        <v>2772</v>
      </c>
      <c r="J3524" s="625" t="s">
        <v>105</v>
      </c>
      <c r="K3524" s="288" t="s">
        <v>51</v>
      </c>
      <c r="L3524" s="300" t="s">
        <v>2167</v>
      </c>
      <c r="M3524" s="287" t="s">
        <v>595</v>
      </c>
      <c r="N3524" s="286" t="s">
        <v>597</v>
      </c>
      <c r="O3524" s="286" t="s">
        <v>187</v>
      </c>
      <c r="P3524" s="289">
        <v>8</v>
      </c>
      <c r="Q3524" s="289">
        <v>5</v>
      </c>
      <c r="R3524" s="290">
        <v>6.0000000000000001E-3</v>
      </c>
      <c r="S3524" s="286" t="s">
        <v>55</v>
      </c>
      <c r="T3524" s="286" t="s">
        <v>112</v>
      </c>
      <c r="U3524" s="286" t="s">
        <v>57</v>
      </c>
      <c r="V3524" s="291">
        <f>400</f>
        <v>400</v>
      </c>
      <c r="W3524" s="291"/>
      <c r="X3524" s="292">
        <f>400</f>
        <v>400</v>
      </c>
      <c r="Y3524" s="293">
        <f t="shared" si="1684"/>
        <v>0</v>
      </c>
      <c r="Z3524" s="294">
        <f t="shared" si="1685"/>
        <v>0</v>
      </c>
      <c r="AA3524" s="294">
        <f t="shared" si="1676"/>
        <v>0</v>
      </c>
      <c r="AB3524" s="813">
        <v>7.4999999999999997E-3</v>
      </c>
      <c r="AC3524" s="291">
        <f t="shared" si="1686"/>
        <v>0</v>
      </c>
      <c r="AD3524" s="918" t="s">
        <v>2895</v>
      </c>
      <c r="AE3524" s="210">
        <f t="shared" si="1687"/>
        <v>0</v>
      </c>
      <c r="AF3524" s="210">
        <f t="shared" si="1688"/>
        <v>0</v>
      </c>
      <c r="AG3524" s="211">
        <v>0.14499999999999999</v>
      </c>
      <c r="AH3524" s="157">
        <f t="shared" si="1690"/>
        <v>0</v>
      </c>
      <c r="AI3524" s="152">
        <v>19800</v>
      </c>
      <c r="AK3524" s="156" t="s">
        <v>691</v>
      </c>
      <c r="AL3524" s="212" t="s">
        <v>690</v>
      </c>
      <c r="AM3524" s="198">
        <f t="shared" si="1677"/>
        <v>0</v>
      </c>
      <c r="AN3524" s="199">
        <f t="shared" si="1678"/>
        <v>46196</v>
      </c>
      <c r="AO3524" s="159" t="s">
        <v>692</v>
      </c>
      <c r="AP3524" s="781"/>
      <c r="AQ3524" s="782">
        <v>12071839</v>
      </c>
      <c r="AR3524" s="782">
        <v>12047514</v>
      </c>
      <c r="AS3524" s="782">
        <v>12047515</v>
      </c>
      <c r="AT3524" s="782">
        <v>12098748</v>
      </c>
      <c r="AU3524" s="781"/>
      <c r="AV3524" s="782">
        <v>12098749</v>
      </c>
      <c r="AW3524" s="782"/>
      <c r="AX3524" s="782"/>
      <c r="AY3524" s="782"/>
      <c r="AZ3524" s="782"/>
      <c r="BA3524" s="781"/>
      <c r="BB3524" s="209">
        <v>23053185</v>
      </c>
    </row>
    <row r="3525" spans="1:54" ht="24.65" customHeight="1">
      <c r="B3525" s="283">
        <v>46196</v>
      </c>
      <c r="C3525" s="284">
        <v>46238</v>
      </c>
      <c r="D3525" s="185">
        <f t="shared" si="1660"/>
        <v>2026</v>
      </c>
      <c r="E3525" s="284" t="e">
        <f>VLOOKUP($B3525,Week!$A$1:$C$1462,2,0)</f>
        <v>#N/A</v>
      </c>
      <c r="F3525" s="285" t="str">
        <f t="shared" si="1661"/>
        <v>Jun</v>
      </c>
      <c r="G3525" s="631" t="s">
        <v>3070</v>
      </c>
      <c r="H3525" s="624" t="s">
        <v>104</v>
      </c>
      <c r="I3525" s="624" t="s">
        <v>2772</v>
      </c>
      <c r="J3525" s="625" t="s">
        <v>105</v>
      </c>
      <c r="K3525" s="288" t="s">
        <v>51</v>
      </c>
      <c r="L3525" s="300" t="s">
        <v>2167</v>
      </c>
      <c r="M3525" s="287" t="s">
        <v>595</v>
      </c>
      <c r="N3525" s="286" t="s">
        <v>597</v>
      </c>
      <c r="O3525" s="286" t="s">
        <v>187</v>
      </c>
      <c r="P3525" s="289">
        <v>8</v>
      </c>
      <c r="Q3525" s="289">
        <v>5</v>
      </c>
      <c r="R3525" s="290">
        <v>6.0000000000000001E-3</v>
      </c>
      <c r="S3525" s="286" t="s">
        <v>55</v>
      </c>
      <c r="T3525" s="286" t="s">
        <v>112</v>
      </c>
      <c r="U3525" s="286" t="s">
        <v>57</v>
      </c>
      <c r="V3525" s="291">
        <f>300</f>
        <v>300</v>
      </c>
      <c r="W3525" s="291"/>
      <c r="X3525" s="292">
        <f>(3510)/8</f>
        <v>438.75</v>
      </c>
      <c r="Y3525" s="293">
        <f t="shared" si="1684"/>
        <v>138.75</v>
      </c>
      <c r="Z3525" s="294">
        <f t="shared" si="1685"/>
        <v>0</v>
      </c>
      <c r="AA3525" s="294">
        <f t="shared" si="1676"/>
        <v>0</v>
      </c>
      <c r="AB3525" s="813">
        <v>7.4999999999999997E-3</v>
      </c>
      <c r="AC3525" s="291">
        <f t="shared" si="1686"/>
        <v>0</v>
      </c>
      <c r="AD3525" s="918" t="s">
        <v>2895</v>
      </c>
      <c r="AE3525" s="210">
        <f t="shared" si="1687"/>
        <v>0</v>
      </c>
      <c r="AF3525" s="210">
        <f t="shared" si="1688"/>
        <v>0</v>
      </c>
      <c r="AG3525" s="211">
        <v>0.14499999999999999</v>
      </c>
      <c r="AH3525" s="157">
        <f t="shared" si="1690"/>
        <v>0</v>
      </c>
      <c r="AI3525" s="152">
        <v>19800</v>
      </c>
      <c r="AK3525" s="156" t="s">
        <v>691</v>
      </c>
      <c r="AL3525" s="212" t="s">
        <v>690</v>
      </c>
      <c r="AM3525" s="198">
        <f t="shared" si="1677"/>
        <v>0</v>
      </c>
      <c r="AN3525" s="199">
        <f t="shared" si="1678"/>
        <v>46196</v>
      </c>
      <c r="AO3525" s="159" t="s">
        <v>692</v>
      </c>
      <c r="AP3525" s="781"/>
      <c r="AQ3525" s="782">
        <v>12071839</v>
      </c>
      <c r="AR3525" s="782">
        <v>12047514</v>
      </c>
      <c r="AS3525" s="782">
        <v>12047515</v>
      </c>
      <c r="AT3525" s="782">
        <v>12098748</v>
      </c>
      <c r="AU3525" s="781"/>
      <c r="AV3525" s="782">
        <v>12098749</v>
      </c>
      <c r="AW3525" s="782"/>
      <c r="AX3525" s="782"/>
      <c r="AY3525" s="782"/>
      <c r="AZ3525" s="782"/>
      <c r="BA3525" s="781"/>
      <c r="BB3525" s="209">
        <v>23053185</v>
      </c>
    </row>
    <row r="3526" spans="1:54" ht="25" customHeight="1">
      <c r="A3526" s="142" t="s">
        <v>120</v>
      </c>
      <c r="B3526" s="271">
        <v>46197</v>
      </c>
      <c r="C3526" s="272">
        <v>46216</v>
      </c>
      <c r="D3526" s="185">
        <f t="shared" si="1660"/>
        <v>2026</v>
      </c>
      <c r="E3526" s="272" t="e">
        <f>VLOOKUP($B3526,Week!$A$1:$C$1462,2,0)</f>
        <v>#N/A</v>
      </c>
      <c r="F3526" s="273" t="str">
        <f t="shared" si="1661"/>
        <v>Jun</v>
      </c>
      <c r="G3526" s="274" t="s">
        <v>3051</v>
      </c>
      <c r="H3526" s="274" t="s">
        <v>500</v>
      </c>
      <c r="I3526" s="274" t="s">
        <v>2772</v>
      </c>
      <c r="J3526" s="275" t="s">
        <v>285</v>
      </c>
      <c r="K3526" s="276" t="s">
        <v>153</v>
      </c>
      <c r="L3526" s="390" t="s">
        <v>2166</v>
      </c>
      <c r="M3526" s="275" t="s">
        <v>86</v>
      </c>
      <c r="N3526" s="274" t="s">
        <v>547</v>
      </c>
      <c r="O3526" s="274" t="s">
        <v>548</v>
      </c>
      <c r="P3526" s="277">
        <v>10</v>
      </c>
      <c r="Q3526" s="277">
        <v>50</v>
      </c>
      <c r="R3526" s="278">
        <v>6.8100000000000001E-3</v>
      </c>
      <c r="S3526" s="274" t="s">
        <v>76</v>
      </c>
      <c r="T3526" s="274" t="s">
        <v>56</v>
      </c>
      <c r="U3526" s="274" t="s">
        <v>89</v>
      </c>
      <c r="V3526" s="279">
        <v>638</v>
      </c>
      <c r="W3526" s="279">
        <f>638</f>
        <v>638</v>
      </c>
      <c r="X3526" s="280"/>
      <c r="Y3526" s="281">
        <f t="shared" si="1684"/>
        <v>0</v>
      </c>
      <c r="Z3526" s="282">
        <f t="shared" si="1685"/>
        <v>0</v>
      </c>
      <c r="AA3526" s="282">
        <f t="shared" si="1676"/>
        <v>0</v>
      </c>
      <c r="AB3526" s="812">
        <v>6</v>
      </c>
      <c r="AC3526" s="279">
        <f t="shared" si="1686"/>
        <v>0</v>
      </c>
      <c r="AD3526" s="209"/>
      <c r="AE3526" s="210">
        <f t="shared" si="1687"/>
        <v>0</v>
      </c>
      <c r="AF3526" s="210">
        <f t="shared" si="1688"/>
        <v>0</v>
      </c>
      <c r="AG3526" s="211">
        <f t="shared" ref="AG3526:AG3536" si="1692">MID(O3526,1,3)/1000</f>
        <v>0.63</v>
      </c>
      <c r="AH3526" s="157">
        <f t="shared" si="1690"/>
        <v>0</v>
      </c>
      <c r="AI3526" s="152">
        <f>V3526*P3526</f>
        <v>6380</v>
      </c>
      <c r="AK3526" s="156" t="s">
        <v>691</v>
      </c>
      <c r="AL3526" s="156" t="s">
        <v>689</v>
      </c>
      <c r="AM3526" s="198">
        <f t="shared" si="1677"/>
        <v>0</v>
      </c>
      <c r="AN3526" s="199">
        <f t="shared" si="1678"/>
        <v>46197</v>
      </c>
      <c r="AO3526" s="159" t="s">
        <v>692</v>
      </c>
      <c r="AP3526" s="783" t="s">
        <v>620</v>
      </c>
      <c r="AQ3526" s="796" t="s">
        <v>422</v>
      </c>
      <c r="AR3526" s="782">
        <v>12055234</v>
      </c>
      <c r="AS3526" s="781"/>
      <c r="AT3526" s="782"/>
      <c r="AU3526" s="782"/>
      <c r="AV3526" s="782">
        <v>12062809</v>
      </c>
      <c r="AW3526" s="782"/>
      <c r="AX3526" s="782" t="s">
        <v>619</v>
      </c>
      <c r="AY3526" s="781"/>
      <c r="AZ3526" s="781"/>
      <c r="BA3526" s="781"/>
      <c r="BB3526" s="209">
        <v>23053184</v>
      </c>
    </row>
    <row r="3527" spans="1:54" ht="24.65" customHeight="1">
      <c r="A3527" s="529" t="s">
        <v>3040</v>
      </c>
      <c r="B3527" s="308">
        <v>46197</v>
      </c>
      <c r="C3527" s="309">
        <v>46226</v>
      </c>
      <c r="D3527" s="185">
        <f t="shared" si="1660"/>
        <v>2026</v>
      </c>
      <c r="E3527" s="309" t="e">
        <f>VLOOKUP($B3527,Week!$A$1:$C$1462,2,0)</f>
        <v>#N/A</v>
      </c>
      <c r="F3527" s="310" t="str">
        <f t="shared" si="1661"/>
        <v>Jun</v>
      </c>
      <c r="G3527" s="311" t="s">
        <v>3004</v>
      </c>
      <c r="H3527" s="311" t="s">
        <v>311</v>
      </c>
      <c r="I3527" s="311" t="s">
        <v>2772</v>
      </c>
      <c r="J3527" s="312" t="s">
        <v>738</v>
      </c>
      <c r="K3527" s="313" t="s">
        <v>107</v>
      </c>
      <c r="L3527" s="300" t="s">
        <v>2167</v>
      </c>
      <c r="M3527" s="312" t="s">
        <v>313</v>
      </c>
      <c r="N3527" s="311" t="s">
        <v>314</v>
      </c>
      <c r="O3527" s="311" t="s">
        <v>110</v>
      </c>
      <c r="P3527" s="314">
        <v>36</v>
      </c>
      <c r="Q3527" s="314">
        <v>5</v>
      </c>
      <c r="R3527" s="315">
        <v>7.4999999999999997E-3</v>
      </c>
      <c r="S3527" s="311" t="s">
        <v>111</v>
      </c>
      <c r="T3527" s="311" t="s">
        <v>112</v>
      </c>
      <c r="U3527" s="311" t="s">
        <v>57</v>
      </c>
      <c r="V3527" s="316">
        <v>792</v>
      </c>
      <c r="W3527" s="316">
        <v>792</v>
      </c>
      <c r="X3527" s="317"/>
      <c r="Y3527" s="318">
        <f t="shared" si="1684"/>
        <v>0</v>
      </c>
      <c r="Z3527" s="319">
        <f t="shared" si="1685"/>
        <v>0</v>
      </c>
      <c r="AA3527" s="319">
        <f t="shared" si="1676"/>
        <v>0</v>
      </c>
      <c r="AB3527" s="815">
        <v>7.4999999999999997E-3</v>
      </c>
      <c r="AC3527" s="316">
        <f t="shared" si="1686"/>
        <v>0</v>
      </c>
      <c r="AD3527" s="209"/>
      <c r="AE3527" s="210">
        <f t="shared" si="1687"/>
        <v>0</v>
      </c>
      <c r="AF3527" s="210">
        <f t="shared" si="1688"/>
        <v>0</v>
      </c>
      <c r="AG3527" s="211">
        <f t="shared" si="1692"/>
        <v>0.308</v>
      </c>
      <c r="AH3527" s="157">
        <f t="shared" si="1690"/>
        <v>0</v>
      </c>
      <c r="AI3527" s="152">
        <f>V3527*P3527</f>
        <v>28512</v>
      </c>
      <c r="AK3527" s="156" t="s">
        <v>691</v>
      </c>
      <c r="AL3527" s="212" t="s">
        <v>690</v>
      </c>
      <c r="AM3527" s="198">
        <f t="shared" si="1677"/>
        <v>0</v>
      </c>
      <c r="AN3527" s="199">
        <f t="shared" si="1678"/>
        <v>46197</v>
      </c>
      <c r="AO3527" s="159" t="s">
        <v>692</v>
      </c>
      <c r="AP3527" s="783" t="s">
        <v>644</v>
      </c>
      <c r="AQ3527" s="782">
        <v>12063755</v>
      </c>
      <c r="AR3527" s="782">
        <v>12081257</v>
      </c>
      <c r="AS3527" s="782">
        <v>12081260</v>
      </c>
      <c r="AT3527" s="782">
        <v>12098623</v>
      </c>
      <c r="AU3527" s="781"/>
      <c r="AV3527" s="782">
        <v>12098706</v>
      </c>
      <c r="AW3527" s="782">
        <v>12088207</v>
      </c>
      <c r="AX3527" s="782"/>
      <c r="AY3527" s="782">
        <v>12094237</v>
      </c>
      <c r="AZ3527" s="782"/>
      <c r="BA3527" s="781"/>
      <c r="BB3527" s="209">
        <v>23053185</v>
      </c>
    </row>
    <row r="3528" spans="1:54" ht="24.65" customHeight="1">
      <c r="A3528" s="529" t="s">
        <v>3040</v>
      </c>
      <c r="B3528" s="308">
        <v>46197</v>
      </c>
      <c r="C3528" s="309">
        <v>46233</v>
      </c>
      <c r="D3528" s="185">
        <f t="shared" si="1660"/>
        <v>2026</v>
      </c>
      <c r="E3528" s="309" t="e">
        <f>VLOOKUP($B3528,Week!$A$1:$C$1462,2,0)</f>
        <v>#N/A</v>
      </c>
      <c r="F3528" s="310" t="str">
        <f t="shared" si="1661"/>
        <v>Jun</v>
      </c>
      <c r="G3528" s="311" t="s">
        <v>3005</v>
      </c>
      <c r="H3528" s="311" t="s">
        <v>311</v>
      </c>
      <c r="I3528" s="311" t="s">
        <v>2772</v>
      </c>
      <c r="J3528" s="312" t="s">
        <v>738</v>
      </c>
      <c r="K3528" s="313" t="s">
        <v>107</v>
      </c>
      <c r="L3528" s="300" t="s">
        <v>2167</v>
      </c>
      <c r="M3528" s="312" t="s">
        <v>313</v>
      </c>
      <c r="N3528" s="311" t="s">
        <v>314</v>
      </c>
      <c r="O3528" s="311" t="s">
        <v>110</v>
      </c>
      <c r="P3528" s="314">
        <v>36</v>
      </c>
      <c r="Q3528" s="314">
        <v>5</v>
      </c>
      <c r="R3528" s="315">
        <v>7.4999999999999997E-3</v>
      </c>
      <c r="S3528" s="311" t="s">
        <v>111</v>
      </c>
      <c r="T3528" s="311" t="s">
        <v>112</v>
      </c>
      <c r="U3528" s="311" t="s">
        <v>57</v>
      </c>
      <c r="V3528" s="316">
        <v>792</v>
      </c>
      <c r="W3528" s="316">
        <f>1584-792</f>
        <v>792</v>
      </c>
      <c r="X3528" s="317"/>
      <c r="Y3528" s="318">
        <f t="shared" si="1684"/>
        <v>0</v>
      </c>
      <c r="Z3528" s="319">
        <f t="shared" si="1685"/>
        <v>0</v>
      </c>
      <c r="AA3528" s="319">
        <f t="shared" si="1676"/>
        <v>0</v>
      </c>
      <c r="AB3528" s="815">
        <v>7.4999999999999997E-3</v>
      </c>
      <c r="AC3528" s="316">
        <f t="shared" si="1686"/>
        <v>0</v>
      </c>
      <c r="AD3528" s="209"/>
      <c r="AE3528" s="210">
        <f t="shared" si="1687"/>
        <v>0</v>
      </c>
      <c r="AF3528" s="210">
        <f t="shared" si="1688"/>
        <v>0</v>
      </c>
      <c r="AG3528" s="211">
        <f t="shared" si="1692"/>
        <v>0.308</v>
      </c>
      <c r="AH3528" s="157">
        <f t="shared" si="1690"/>
        <v>0</v>
      </c>
      <c r="AI3528" s="152">
        <f>V3528*P3528</f>
        <v>28512</v>
      </c>
      <c r="AK3528" s="156" t="s">
        <v>691</v>
      </c>
      <c r="AL3528" s="212" t="s">
        <v>690</v>
      </c>
      <c r="AM3528" s="198">
        <f t="shared" si="1677"/>
        <v>0</v>
      </c>
      <c r="AN3528" s="199">
        <f t="shared" si="1678"/>
        <v>46197</v>
      </c>
      <c r="AO3528" s="159" t="s">
        <v>692</v>
      </c>
      <c r="AP3528" s="783" t="s">
        <v>644</v>
      </c>
      <c r="AQ3528" s="782">
        <v>12063755</v>
      </c>
      <c r="AR3528" s="782">
        <v>12081257</v>
      </c>
      <c r="AS3528" s="782">
        <v>12081260</v>
      </c>
      <c r="AT3528" s="782">
        <v>12098623</v>
      </c>
      <c r="AU3528" s="781"/>
      <c r="AV3528" s="782">
        <v>12098706</v>
      </c>
      <c r="AW3528" s="782">
        <v>12088207</v>
      </c>
      <c r="AX3528" s="782"/>
      <c r="AY3528" s="782">
        <v>12094237</v>
      </c>
      <c r="AZ3528" s="782"/>
      <c r="BA3528" s="781"/>
      <c r="BB3528" s="209">
        <v>23053185</v>
      </c>
    </row>
    <row r="3529" spans="1:54" ht="25" customHeight="1">
      <c r="A3529" s="529" t="s">
        <v>3040</v>
      </c>
      <c r="B3529" s="345">
        <v>46197</v>
      </c>
      <c r="C3529" s="464">
        <v>46210</v>
      </c>
      <c r="D3529" s="185">
        <f t="shared" si="1660"/>
        <v>2026</v>
      </c>
      <c r="E3529" s="464" t="e">
        <f>VLOOKUP($B3529,Week!$A$1:$C$1462,2,0)</f>
        <v>#N/A</v>
      </c>
      <c r="F3529" s="465" t="str">
        <f t="shared" si="1661"/>
        <v>Jun</v>
      </c>
      <c r="G3529" s="347" t="s">
        <v>2970</v>
      </c>
      <c r="H3529" s="347" t="s">
        <v>134</v>
      </c>
      <c r="I3529" s="347" t="s">
        <v>2772</v>
      </c>
      <c r="J3529" s="349" t="s">
        <v>2932</v>
      </c>
      <c r="K3529" s="350" t="s">
        <v>107</v>
      </c>
      <c r="L3529" s="300" t="s">
        <v>2167</v>
      </c>
      <c r="M3529" s="349" t="s">
        <v>136</v>
      </c>
      <c r="N3529" s="347" t="s">
        <v>137</v>
      </c>
      <c r="O3529" s="347" t="s">
        <v>138</v>
      </c>
      <c r="P3529" s="351">
        <v>24</v>
      </c>
      <c r="Q3529" s="351">
        <v>3</v>
      </c>
      <c r="R3529" s="352">
        <v>7.4999999999999997E-3</v>
      </c>
      <c r="S3529" s="347" t="s">
        <v>111</v>
      </c>
      <c r="T3529" s="347" t="s">
        <v>56</v>
      </c>
      <c r="U3529" s="347" t="s">
        <v>572</v>
      </c>
      <c r="V3529" s="353">
        <f>250</f>
        <v>250</v>
      </c>
      <c r="W3529" s="353">
        <f>3+247</f>
        <v>250</v>
      </c>
      <c r="X3529" s="354"/>
      <c r="Y3529" s="355">
        <f t="shared" si="1684"/>
        <v>0</v>
      </c>
      <c r="Z3529" s="356">
        <f t="shared" si="1685"/>
        <v>0</v>
      </c>
      <c r="AA3529" s="356">
        <f t="shared" si="1676"/>
        <v>0</v>
      </c>
      <c r="AB3529" s="818">
        <v>1</v>
      </c>
      <c r="AC3529" s="353">
        <f t="shared" si="1686"/>
        <v>0</v>
      </c>
      <c r="AD3529" s="443"/>
      <c r="AE3529" s="210">
        <f t="shared" si="1687"/>
        <v>0</v>
      </c>
      <c r="AF3529" s="210">
        <f t="shared" si="1688"/>
        <v>0</v>
      </c>
      <c r="AG3529" s="211">
        <f t="shared" si="1692"/>
        <v>0.219</v>
      </c>
      <c r="AH3529" s="157">
        <f t="shared" si="1690"/>
        <v>0</v>
      </c>
      <c r="AI3529" s="152">
        <f>V3529*P3529</f>
        <v>6000</v>
      </c>
      <c r="AK3529" s="156" t="s">
        <v>691</v>
      </c>
      <c r="AL3529" s="212" t="s">
        <v>690</v>
      </c>
      <c r="AM3529" s="198">
        <f t="shared" si="1677"/>
        <v>0</v>
      </c>
      <c r="AN3529" s="199">
        <f t="shared" si="1678"/>
        <v>46197</v>
      </c>
      <c r="AO3529" s="159" t="s">
        <v>692</v>
      </c>
      <c r="AP3529" s="783" t="s">
        <v>610</v>
      </c>
      <c r="AQ3529" s="796" t="s">
        <v>1500</v>
      </c>
      <c r="AR3529" s="782" t="s">
        <v>140</v>
      </c>
      <c r="AS3529" s="782" t="s">
        <v>141</v>
      </c>
      <c r="AT3529" s="782"/>
      <c r="AU3529" s="783" t="s">
        <v>568</v>
      </c>
      <c r="AV3529" s="796" t="s">
        <v>2983</v>
      </c>
      <c r="AW3529" s="796" t="s">
        <v>570</v>
      </c>
      <c r="AX3529" s="782"/>
      <c r="AY3529" s="782">
        <v>12095878</v>
      </c>
      <c r="AZ3529" s="782">
        <v>12095879</v>
      </c>
      <c r="BA3529" s="782">
        <v>12095880</v>
      </c>
    </row>
    <row r="3530" spans="1:54" ht="25" customHeight="1">
      <c r="A3530" s="142" t="s">
        <v>120</v>
      </c>
      <c r="B3530" s="271">
        <v>46198</v>
      </c>
      <c r="C3530" s="272">
        <v>46216</v>
      </c>
      <c r="D3530" s="185">
        <f t="shared" si="1660"/>
        <v>2026</v>
      </c>
      <c r="E3530" s="272" t="e">
        <f>VLOOKUP($B3530,Week!$A$1:$C$1462,2,0)</f>
        <v>#N/A</v>
      </c>
      <c r="F3530" s="273" t="str">
        <f t="shared" si="1661"/>
        <v>Jun</v>
      </c>
      <c r="G3530" s="274" t="s">
        <v>3051</v>
      </c>
      <c r="H3530" s="274" t="s">
        <v>500</v>
      </c>
      <c r="I3530" s="274" t="s">
        <v>2772</v>
      </c>
      <c r="J3530" s="275" t="s">
        <v>285</v>
      </c>
      <c r="K3530" s="276" t="s">
        <v>153</v>
      </c>
      <c r="L3530" s="390" t="s">
        <v>2166</v>
      </c>
      <c r="M3530" s="275" t="s">
        <v>86</v>
      </c>
      <c r="N3530" s="274" t="s">
        <v>547</v>
      </c>
      <c r="O3530" s="274" t="s">
        <v>548</v>
      </c>
      <c r="P3530" s="277">
        <v>10</v>
      </c>
      <c r="Q3530" s="277">
        <v>50</v>
      </c>
      <c r="R3530" s="278">
        <v>6.8100000000000001E-3</v>
      </c>
      <c r="S3530" s="274" t="s">
        <v>76</v>
      </c>
      <c r="T3530" s="274" t="s">
        <v>56</v>
      </c>
      <c r="U3530" s="274" t="s">
        <v>89</v>
      </c>
      <c r="V3530" s="279">
        <f>2056-404-632-638</f>
        <v>382</v>
      </c>
      <c r="W3530" s="279">
        <v>382</v>
      </c>
      <c r="X3530" s="280"/>
      <c r="Y3530" s="281">
        <f t="shared" si="1684"/>
        <v>0</v>
      </c>
      <c r="Z3530" s="282">
        <f t="shared" si="1685"/>
        <v>0</v>
      </c>
      <c r="AA3530" s="282">
        <f t="shared" si="1676"/>
        <v>0</v>
      </c>
      <c r="AB3530" s="812">
        <v>6</v>
      </c>
      <c r="AC3530" s="279">
        <f t="shared" si="1686"/>
        <v>0</v>
      </c>
      <c r="AD3530" s="209"/>
      <c r="AE3530" s="210">
        <f t="shared" si="1687"/>
        <v>0</v>
      </c>
      <c r="AF3530" s="210">
        <f t="shared" si="1688"/>
        <v>0</v>
      </c>
      <c r="AG3530" s="211">
        <f t="shared" si="1692"/>
        <v>0.63</v>
      </c>
      <c r="AH3530" s="157">
        <f t="shared" si="1690"/>
        <v>0</v>
      </c>
      <c r="AI3530" s="152">
        <f>V3530*P3530</f>
        <v>3820</v>
      </c>
      <c r="AK3530" s="156" t="s">
        <v>691</v>
      </c>
      <c r="AL3530" s="156" t="s">
        <v>689</v>
      </c>
      <c r="AM3530" s="198">
        <f t="shared" si="1677"/>
        <v>0</v>
      </c>
      <c r="AN3530" s="199">
        <f t="shared" si="1678"/>
        <v>46198</v>
      </c>
      <c r="AO3530" s="159" t="s">
        <v>692</v>
      </c>
      <c r="AP3530" s="783" t="s">
        <v>620</v>
      </c>
      <c r="AQ3530" s="796" t="s">
        <v>422</v>
      </c>
      <c r="AR3530" s="782">
        <v>12055234</v>
      </c>
      <c r="AS3530" s="781"/>
      <c r="AT3530" s="782"/>
      <c r="AU3530" s="782"/>
      <c r="AV3530" s="782">
        <v>12062809</v>
      </c>
      <c r="AW3530" s="782"/>
      <c r="AX3530" s="782" t="s">
        <v>619</v>
      </c>
      <c r="AY3530" s="781"/>
      <c r="AZ3530" s="781"/>
      <c r="BA3530" s="781"/>
      <c r="BB3530" s="209">
        <v>23053184</v>
      </c>
    </row>
    <row r="3531" spans="1:54" ht="25" customHeight="1">
      <c r="B3531" s="258">
        <v>46198</v>
      </c>
      <c r="C3531" s="259">
        <v>46204</v>
      </c>
      <c r="D3531" s="185">
        <f t="shared" si="1660"/>
        <v>2026</v>
      </c>
      <c r="E3531" s="260" t="e">
        <f>VLOOKUP($B3531,Week!$A$1:$C$1462,2,0)</f>
        <v>#N/A</v>
      </c>
      <c r="F3531" s="261" t="str">
        <f t="shared" si="1661"/>
        <v>Jun</v>
      </c>
      <c r="G3531" s="260" t="s">
        <v>47</v>
      </c>
      <c r="H3531" s="260" t="s">
        <v>554</v>
      </c>
      <c r="I3531" s="260" t="s">
        <v>554</v>
      </c>
      <c r="J3531" s="263" t="s">
        <v>2630</v>
      </c>
      <c r="K3531" s="264" t="s">
        <v>72</v>
      </c>
      <c r="L3531" s="300" t="s">
        <v>2167</v>
      </c>
      <c r="M3531" s="263" t="s">
        <v>73</v>
      </c>
      <c r="N3531" s="260" t="s">
        <v>74</v>
      </c>
      <c r="O3531" s="260" t="s">
        <v>75</v>
      </c>
      <c r="P3531" s="265">
        <v>64</v>
      </c>
      <c r="Q3531" s="265">
        <v>5</v>
      </c>
      <c r="R3531" s="266">
        <v>7.0000000000000001E-3</v>
      </c>
      <c r="S3531" s="260" t="s">
        <v>76</v>
      </c>
      <c r="T3531" s="260" t="s">
        <v>56</v>
      </c>
      <c r="U3531" s="260"/>
      <c r="V3531" s="267">
        <f>92</f>
        <v>92</v>
      </c>
      <c r="W3531" s="267">
        <f>4+88</f>
        <v>92</v>
      </c>
      <c r="X3531" s="268"/>
      <c r="Y3531" s="269">
        <f t="shared" si="1684"/>
        <v>0</v>
      </c>
      <c r="Z3531" s="270">
        <f t="shared" si="1685"/>
        <v>0</v>
      </c>
      <c r="AA3531" s="270">
        <f t="shared" si="1676"/>
        <v>0</v>
      </c>
      <c r="AB3531" s="811"/>
      <c r="AC3531" s="267"/>
      <c r="AD3531" s="263"/>
      <c r="AE3531" s="461"/>
      <c r="AF3531" s="461"/>
      <c r="AG3531" s="211">
        <f t="shared" si="1692"/>
        <v>0.02</v>
      </c>
      <c r="AK3531" s="156" t="s">
        <v>691</v>
      </c>
      <c r="AM3531" s="198">
        <f t="shared" si="1677"/>
        <v>0</v>
      </c>
      <c r="AN3531" s="199">
        <f t="shared" si="1678"/>
        <v>46198</v>
      </c>
      <c r="AO3531" s="159" t="s">
        <v>692</v>
      </c>
      <c r="AP3531" s="781"/>
      <c r="AQ3531" s="782"/>
      <c r="AR3531" s="782"/>
      <c r="AS3531" s="782"/>
      <c r="AT3531" s="782"/>
      <c r="AU3531" s="781"/>
      <c r="AV3531" s="782">
        <v>12054050</v>
      </c>
      <c r="AW3531" s="782"/>
      <c r="AX3531" s="782" t="s">
        <v>79</v>
      </c>
      <c r="AY3531" s="782">
        <v>12054140</v>
      </c>
      <c r="AZ3531" s="782"/>
      <c r="BA3531" s="781"/>
    </row>
    <row r="3532" spans="1:54" ht="24.65" customHeight="1">
      <c r="A3532" s="529" t="s">
        <v>3040</v>
      </c>
      <c r="B3532" s="411">
        <v>46198</v>
      </c>
      <c r="C3532" s="645" t="s">
        <v>2849</v>
      </c>
      <c r="D3532" s="185">
        <f t="shared" ref="D3532:D3595" si="1693">IF(B3532="","",YEAR(B3532))</f>
        <v>2026</v>
      </c>
      <c r="E3532" s="412" t="e">
        <f>VLOOKUP($B3532,Week!$A$1:$C$1462,2,0)</f>
        <v>#N/A</v>
      </c>
      <c r="F3532" s="413" t="str">
        <f t="shared" ref="F3532:F3595" si="1694">IF(B3532="","",TEXT(B3532,"[$-409]mmm"))</f>
        <v>Jun</v>
      </c>
      <c r="G3532" s="414" t="s">
        <v>47</v>
      </c>
      <c r="H3532" s="414" t="s">
        <v>260</v>
      </c>
      <c r="I3532" s="414" t="s">
        <v>2702</v>
      </c>
      <c r="J3532" s="415" t="s">
        <v>261</v>
      </c>
      <c r="K3532" s="416" t="s">
        <v>94</v>
      </c>
      <c r="L3532" s="300" t="s">
        <v>2167</v>
      </c>
      <c r="M3532" s="415" t="s">
        <v>2339</v>
      </c>
      <c r="N3532" s="414" t="s">
        <v>263</v>
      </c>
      <c r="O3532" s="414" t="s">
        <v>195</v>
      </c>
      <c r="P3532" s="417">
        <v>24</v>
      </c>
      <c r="Q3532" s="417">
        <v>5</v>
      </c>
      <c r="R3532" s="418">
        <v>8.0000000000000002E-3</v>
      </c>
      <c r="S3532" s="414" t="s">
        <v>40</v>
      </c>
      <c r="T3532" s="414" t="s">
        <v>56</v>
      </c>
      <c r="U3532" s="414" t="s">
        <v>57</v>
      </c>
      <c r="V3532" s="419">
        <f>1250-65</f>
        <v>1185</v>
      </c>
      <c r="W3532" s="419">
        <f>1+1184</f>
        <v>1185</v>
      </c>
      <c r="X3532" s="420"/>
      <c r="Y3532" s="421">
        <f t="shared" si="1684"/>
        <v>0</v>
      </c>
      <c r="Z3532" s="422">
        <f t="shared" si="1685"/>
        <v>0</v>
      </c>
      <c r="AA3532" s="422">
        <f t="shared" ref="AA3532:AA3563" si="1695">Q3532*Z3532</f>
        <v>0</v>
      </c>
      <c r="AB3532" s="825">
        <v>7.4999999999999997E-3</v>
      </c>
      <c r="AC3532" s="419">
        <f t="shared" ref="AC3532:AC3543" si="1696">Z3532*AB3532</f>
        <v>0</v>
      </c>
      <c r="AD3532" s="209"/>
      <c r="AE3532" s="210">
        <f t="shared" ref="AE3532:AE3543" si="1697">SUM(Q3532*R3532*Z3532)/1000</f>
        <v>0</v>
      </c>
      <c r="AF3532" s="210">
        <f t="shared" ref="AF3532:AF3543" si="1698">AE3532/0.54</f>
        <v>0</v>
      </c>
      <c r="AG3532" s="211">
        <f t="shared" si="1692"/>
        <v>0.14499999999999999</v>
      </c>
      <c r="AH3532" s="157">
        <f t="shared" ref="AH3532:AH3543" si="1699">(Z3532*AG3532)/1000</f>
        <v>0</v>
      </c>
      <c r="AI3532" s="152">
        <f t="shared" ref="AI3532:AI3543" si="1700">V3532*P3532</f>
        <v>28440</v>
      </c>
      <c r="AK3532" s="156" t="s">
        <v>691</v>
      </c>
      <c r="AL3532" s="212" t="s">
        <v>690</v>
      </c>
      <c r="AM3532" s="198">
        <f t="shared" ref="AM3532:AM3563" si="1701">AG3532*Z3532</f>
        <v>0</v>
      </c>
      <c r="AN3532" s="199">
        <f t="shared" ref="AN3532:AN3563" si="1702">B3532</f>
        <v>46198</v>
      </c>
      <c r="AO3532" s="159" t="s">
        <v>692</v>
      </c>
      <c r="AP3532" s="783" t="s">
        <v>609</v>
      </c>
      <c r="AQ3532" s="782">
        <v>12071839</v>
      </c>
      <c r="AR3532" s="782">
        <v>12047514</v>
      </c>
      <c r="AS3532" s="782">
        <v>12047515</v>
      </c>
      <c r="AT3532" s="781"/>
      <c r="AU3532" s="781"/>
      <c r="AV3532" s="782">
        <v>12080613</v>
      </c>
      <c r="AW3532" s="781"/>
      <c r="AX3532" s="781"/>
      <c r="AY3532" s="782">
        <v>12094241</v>
      </c>
      <c r="AZ3532" s="782">
        <v>12094242</v>
      </c>
      <c r="BA3532" s="781"/>
      <c r="BB3532" s="209">
        <v>23053185</v>
      </c>
    </row>
    <row r="3533" spans="1:54" ht="24.65" customHeight="1">
      <c r="A3533" s="529" t="s">
        <v>3040</v>
      </c>
      <c r="B3533" s="411">
        <v>46198</v>
      </c>
      <c r="C3533" s="645" t="s">
        <v>2996</v>
      </c>
      <c r="D3533" s="185">
        <f t="shared" si="1693"/>
        <v>2026</v>
      </c>
      <c r="E3533" s="412" t="e">
        <f>VLOOKUP($B3533,Week!$A$1:$C$1462,2,0)</f>
        <v>#N/A</v>
      </c>
      <c r="F3533" s="413" t="str">
        <f t="shared" si="1694"/>
        <v>Jun</v>
      </c>
      <c r="G3533" s="414" t="s">
        <v>47</v>
      </c>
      <c r="H3533" s="414" t="s">
        <v>260</v>
      </c>
      <c r="I3533" s="414" t="s">
        <v>2702</v>
      </c>
      <c r="J3533" s="415" t="s">
        <v>261</v>
      </c>
      <c r="K3533" s="416" t="s">
        <v>94</v>
      </c>
      <c r="L3533" s="300" t="s">
        <v>2167</v>
      </c>
      <c r="M3533" s="415" t="s">
        <v>2339</v>
      </c>
      <c r="N3533" s="414" t="s">
        <v>263</v>
      </c>
      <c r="O3533" s="414" t="s">
        <v>195</v>
      </c>
      <c r="P3533" s="417">
        <v>24</v>
      </c>
      <c r="Q3533" s="417">
        <v>5</v>
      </c>
      <c r="R3533" s="418">
        <v>8.0000000000000002E-3</v>
      </c>
      <c r="S3533" s="414" t="s">
        <v>40</v>
      </c>
      <c r="T3533" s="414" t="s">
        <v>56</v>
      </c>
      <c r="U3533" s="414" t="s">
        <v>57</v>
      </c>
      <c r="V3533" s="419">
        <f>3106</f>
        <v>3106</v>
      </c>
      <c r="W3533" s="419">
        <f>4290-1184</f>
        <v>3106</v>
      </c>
      <c r="X3533" s="420"/>
      <c r="Y3533" s="421">
        <f t="shared" si="1684"/>
        <v>0</v>
      </c>
      <c r="Z3533" s="422">
        <f t="shared" si="1685"/>
        <v>0</v>
      </c>
      <c r="AA3533" s="422">
        <f t="shared" si="1695"/>
        <v>0</v>
      </c>
      <c r="AB3533" s="825">
        <v>7.4999999999999997E-3</v>
      </c>
      <c r="AC3533" s="419">
        <f t="shared" si="1696"/>
        <v>0</v>
      </c>
      <c r="AD3533" s="209"/>
      <c r="AE3533" s="210">
        <f t="shared" si="1697"/>
        <v>0</v>
      </c>
      <c r="AF3533" s="210">
        <f t="shared" si="1698"/>
        <v>0</v>
      </c>
      <c r="AG3533" s="211">
        <f t="shared" si="1692"/>
        <v>0.14499999999999999</v>
      </c>
      <c r="AH3533" s="157">
        <f t="shared" si="1699"/>
        <v>0</v>
      </c>
      <c r="AI3533" s="152">
        <f t="shared" si="1700"/>
        <v>74544</v>
      </c>
      <c r="AK3533" s="156" t="s">
        <v>691</v>
      </c>
      <c r="AL3533" s="212" t="s">
        <v>690</v>
      </c>
      <c r="AM3533" s="198">
        <f t="shared" si="1701"/>
        <v>0</v>
      </c>
      <c r="AN3533" s="199">
        <f t="shared" si="1702"/>
        <v>46198</v>
      </c>
      <c r="AO3533" s="159" t="s">
        <v>692</v>
      </c>
      <c r="AP3533" s="783" t="s">
        <v>609</v>
      </c>
      <c r="AQ3533" s="782">
        <v>12071839</v>
      </c>
      <c r="AR3533" s="782">
        <v>12047514</v>
      </c>
      <c r="AS3533" s="782">
        <v>12047515</v>
      </c>
      <c r="AT3533" s="781"/>
      <c r="AU3533" s="781"/>
      <c r="AV3533" s="782">
        <v>12080613</v>
      </c>
      <c r="AW3533" s="781"/>
      <c r="AX3533" s="781"/>
      <c r="AY3533" s="782">
        <v>12094241</v>
      </c>
      <c r="AZ3533" s="782">
        <v>12094242</v>
      </c>
      <c r="BA3533" s="781"/>
      <c r="BB3533" s="209">
        <v>23053185</v>
      </c>
    </row>
    <row r="3534" spans="1:54" ht="25" customHeight="1">
      <c r="A3534" s="529" t="s">
        <v>1937</v>
      </c>
      <c r="B3534" s="357">
        <v>46199</v>
      </c>
      <c r="C3534" s="776" t="s">
        <v>2996</v>
      </c>
      <c r="D3534" s="185">
        <f t="shared" si="1693"/>
        <v>2026</v>
      </c>
      <c r="E3534" s="358" t="e">
        <f>VLOOKUP($B3534,Week!$A$1:$C$1462,2,0)</f>
        <v>#N/A</v>
      </c>
      <c r="F3534" s="360" t="str">
        <f t="shared" si="1694"/>
        <v>Jun</v>
      </c>
      <c r="G3534" s="359" t="s">
        <v>47</v>
      </c>
      <c r="H3534" s="359" t="s">
        <v>518</v>
      </c>
      <c r="I3534" s="359" t="s">
        <v>2702</v>
      </c>
      <c r="J3534" s="361" t="s">
        <v>70</v>
      </c>
      <c r="K3534" s="362" t="s">
        <v>94</v>
      </c>
      <c r="L3534" s="362" t="s">
        <v>2167</v>
      </c>
      <c r="M3534" s="361" t="s">
        <v>2341</v>
      </c>
      <c r="N3534" s="436" t="s">
        <v>648</v>
      </c>
      <c r="O3534" s="359" t="s">
        <v>97</v>
      </c>
      <c r="P3534" s="363">
        <v>12</v>
      </c>
      <c r="Q3534" s="363">
        <v>5</v>
      </c>
      <c r="R3534" s="364">
        <v>8.0000000000000002E-3</v>
      </c>
      <c r="S3534" s="359" t="s">
        <v>40</v>
      </c>
      <c r="T3534" s="359" t="s">
        <v>56</v>
      </c>
      <c r="U3534" s="359" t="s">
        <v>57</v>
      </c>
      <c r="V3534" s="365">
        <v>12</v>
      </c>
      <c r="W3534" s="365">
        <f>144/12</f>
        <v>12</v>
      </c>
      <c r="X3534" s="366"/>
      <c r="Y3534" s="367">
        <f t="shared" si="1684"/>
        <v>0</v>
      </c>
      <c r="Z3534" s="368">
        <f t="shared" si="1685"/>
        <v>0</v>
      </c>
      <c r="AA3534" s="368">
        <f t="shared" si="1695"/>
        <v>0</v>
      </c>
      <c r="AB3534" s="819">
        <v>7.4999999999999997E-3</v>
      </c>
      <c r="AC3534" s="365">
        <f t="shared" si="1696"/>
        <v>0</v>
      </c>
      <c r="AD3534" s="209"/>
      <c r="AE3534" s="210">
        <f t="shared" si="1697"/>
        <v>0</v>
      </c>
      <c r="AF3534" s="210">
        <f t="shared" si="1698"/>
        <v>0</v>
      </c>
      <c r="AG3534" s="211">
        <f t="shared" si="1692"/>
        <v>0.14499999999999999</v>
      </c>
      <c r="AH3534" s="157">
        <f t="shared" si="1699"/>
        <v>0</v>
      </c>
      <c r="AI3534" s="152">
        <f t="shared" si="1700"/>
        <v>144</v>
      </c>
      <c r="AK3534" s="156" t="s">
        <v>691</v>
      </c>
      <c r="AL3534" s="574" t="s">
        <v>690</v>
      </c>
      <c r="AM3534" s="198">
        <f t="shared" si="1701"/>
        <v>0</v>
      </c>
      <c r="AN3534" s="199">
        <f t="shared" si="1702"/>
        <v>46199</v>
      </c>
      <c r="AO3534" s="159" t="s">
        <v>692</v>
      </c>
      <c r="AP3534" s="783" t="s">
        <v>628</v>
      </c>
      <c r="AQ3534" s="782">
        <v>12071839</v>
      </c>
      <c r="AR3534" s="782">
        <v>12047514</v>
      </c>
      <c r="AS3534" s="782">
        <v>12047515</v>
      </c>
      <c r="AT3534" s="782"/>
      <c r="AU3534" s="781"/>
      <c r="AV3534" s="782">
        <v>12080617</v>
      </c>
      <c r="AW3534" s="782"/>
      <c r="AX3534" s="782"/>
      <c r="AY3534" s="782">
        <v>12094231</v>
      </c>
      <c r="AZ3534" s="782">
        <v>1209232</v>
      </c>
      <c r="BA3534" s="781"/>
      <c r="BB3534" s="209"/>
    </row>
    <row r="3535" spans="1:54" ht="25" customHeight="1">
      <c r="B3535" s="357">
        <v>46199</v>
      </c>
      <c r="C3535" s="776" t="s">
        <v>2996</v>
      </c>
      <c r="D3535" s="185">
        <f t="shared" si="1693"/>
        <v>2026</v>
      </c>
      <c r="E3535" s="358" t="e">
        <f>VLOOKUP($B3535,Week!$A$1:$C$1462,2,0)</f>
        <v>#N/A</v>
      </c>
      <c r="F3535" s="360" t="str">
        <f t="shared" si="1694"/>
        <v>Jun</v>
      </c>
      <c r="G3535" s="359" t="s">
        <v>47</v>
      </c>
      <c r="H3535" s="359" t="s">
        <v>518</v>
      </c>
      <c r="I3535" s="359" t="s">
        <v>2702</v>
      </c>
      <c r="J3535" s="361" t="s">
        <v>70</v>
      </c>
      <c r="K3535" s="362" t="s">
        <v>94</v>
      </c>
      <c r="L3535" s="300" t="s">
        <v>2167</v>
      </c>
      <c r="M3535" s="361" t="s">
        <v>2341</v>
      </c>
      <c r="N3535" s="359" t="s">
        <v>589</v>
      </c>
      <c r="O3535" s="359" t="s">
        <v>97</v>
      </c>
      <c r="P3535" s="363">
        <v>12</v>
      </c>
      <c r="Q3535" s="363">
        <v>5</v>
      </c>
      <c r="R3535" s="364">
        <v>8.0000000000000002E-3</v>
      </c>
      <c r="S3535" s="359" t="s">
        <v>40</v>
      </c>
      <c r="T3535" s="359" t="s">
        <v>56</v>
      </c>
      <c r="U3535" s="359" t="s">
        <v>57</v>
      </c>
      <c r="V3535" s="365">
        <f>2300+200</f>
        <v>2500</v>
      </c>
      <c r="W3535" s="365">
        <f>65+1+2434</f>
        <v>2500</v>
      </c>
      <c r="X3535" s="366"/>
      <c r="Y3535" s="367">
        <f t="shared" si="1684"/>
        <v>0</v>
      </c>
      <c r="Z3535" s="368">
        <f t="shared" si="1685"/>
        <v>0</v>
      </c>
      <c r="AA3535" s="368">
        <f t="shared" si="1695"/>
        <v>0</v>
      </c>
      <c r="AB3535" s="819">
        <v>7.4999999999999997E-3</v>
      </c>
      <c r="AC3535" s="365">
        <f t="shared" si="1696"/>
        <v>0</v>
      </c>
      <c r="AD3535" s="209"/>
      <c r="AE3535" s="210">
        <f t="shared" si="1697"/>
        <v>0</v>
      </c>
      <c r="AF3535" s="210">
        <f t="shared" si="1698"/>
        <v>0</v>
      </c>
      <c r="AG3535" s="211">
        <f t="shared" si="1692"/>
        <v>0.14499999999999999</v>
      </c>
      <c r="AH3535" s="157">
        <f t="shared" si="1699"/>
        <v>0</v>
      </c>
      <c r="AI3535" s="152">
        <f t="shared" si="1700"/>
        <v>30000</v>
      </c>
      <c r="AK3535" s="156" t="s">
        <v>691</v>
      </c>
      <c r="AL3535" s="574" t="s">
        <v>690</v>
      </c>
      <c r="AM3535" s="198">
        <f t="shared" si="1701"/>
        <v>0</v>
      </c>
      <c r="AN3535" s="199">
        <f t="shared" si="1702"/>
        <v>46199</v>
      </c>
      <c r="AO3535" s="159" t="s">
        <v>692</v>
      </c>
      <c r="AP3535" s="783" t="s">
        <v>628</v>
      </c>
      <c r="AQ3535" s="782">
        <v>12071839</v>
      </c>
      <c r="AR3535" s="782">
        <v>12047514</v>
      </c>
      <c r="AS3535" s="782">
        <v>12047515</v>
      </c>
      <c r="AT3535" s="782"/>
      <c r="AU3535" s="781"/>
      <c r="AV3535" s="782">
        <v>12080617</v>
      </c>
      <c r="AW3535" s="782"/>
      <c r="AX3535" s="782"/>
      <c r="AY3535" s="782">
        <v>12094231</v>
      </c>
      <c r="AZ3535" s="782">
        <v>1209232</v>
      </c>
      <c r="BA3535" s="781"/>
      <c r="BB3535" s="209">
        <v>23053185</v>
      </c>
    </row>
    <row r="3536" spans="1:54" ht="24.65" customHeight="1">
      <c r="B3536" s="411">
        <v>46199</v>
      </c>
      <c r="C3536" s="645" t="s">
        <v>2996</v>
      </c>
      <c r="D3536" s="185">
        <f t="shared" si="1693"/>
        <v>2026</v>
      </c>
      <c r="E3536" s="412" t="e">
        <f>VLOOKUP($B3536,Week!$A$1:$C$1462,2,0)</f>
        <v>#N/A</v>
      </c>
      <c r="F3536" s="413" t="str">
        <f t="shared" si="1694"/>
        <v>Jun</v>
      </c>
      <c r="G3536" s="414" t="s">
        <v>47</v>
      </c>
      <c r="H3536" s="414" t="s">
        <v>260</v>
      </c>
      <c r="I3536" s="414" t="s">
        <v>2702</v>
      </c>
      <c r="J3536" s="415" t="s">
        <v>261</v>
      </c>
      <c r="K3536" s="416" t="s">
        <v>94</v>
      </c>
      <c r="L3536" s="300" t="s">
        <v>2167</v>
      </c>
      <c r="M3536" s="415" t="s">
        <v>2339</v>
      </c>
      <c r="N3536" s="414" t="s">
        <v>263</v>
      </c>
      <c r="O3536" s="414" t="s">
        <v>195</v>
      </c>
      <c r="P3536" s="417">
        <v>24</v>
      </c>
      <c r="Q3536" s="417">
        <v>5</v>
      </c>
      <c r="R3536" s="418">
        <v>8.0000000000000002E-3</v>
      </c>
      <c r="S3536" s="414" t="s">
        <v>40</v>
      </c>
      <c r="T3536" s="414" t="s">
        <v>56</v>
      </c>
      <c r="U3536" s="414" t="s">
        <v>57</v>
      </c>
      <c r="V3536" s="419">
        <v>1631</v>
      </c>
      <c r="W3536" s="419">
        <f>1631</f>
        <v>1631</v>
      </c>
      <c r="X3536" s="420"/>
      <c r="Y3536" s="421">
        <f t="shared" si="1684"/>
        <v>0</v>
      </c>
      <c r="Z3536" s="422">
        <f t="shared" si="1685"/>
        <v>0</v>
      </c>
      <c r="AA3536" s="422">
        <f t="shared" si="1695"/>
        <v>0</v>
      </c>
      <c r="AB3536" s="825">
        <v>7.4999999999999997E-3</v>
      </c>
      <c r="AC3536" s="419">
        <f t="shared" si="1696"/>
        <v>0</v>
      </c>
      <c r="AD3536" s="209"/>
      <c r="AE3536" s="210">
        <f t="shared" si="1697"/>
        <v>0</v>
      </c>
      <c r="AF3536" s="210">
        <f t="shared" si="1698"/>
        <v>0</v>
      </c>
      <c r="AG3536" s="211">
        <f t="shared" si="1692"/>
        <v>0.14499999999999999</v>
      </c>
      <c r="AH3536" s="157">
        <f t="shared" si="1699"/>
        <v>0</v>
      </c>
      <c r="AI3536" s="152">
        <f t="shared" si="1700"/>
        <v>39144</v>
      </c>
      <c r="AK3536" s="156" t="s">
        <v>691</v>
      </c>
      <c r="AL3536" s="212" t="s">
        <v>690</v>
      </c>
      <c r="AM3536" s="198">
        <f t="shared" si="1701"/>
        <v>0</v>
      </c>
      <c r="AN3536" s="199">
        <f t="shared" si="1702"/>
        <v>46199</v>
      </c>
      <c r="AO3536" s="159" t="s">
        <v>692</v>
      </c>
      <c r="AP3536" s="783" t="s">
        <v>609</v>
      </c>
      <c r="AQ3536" s="782">
        <v>12071839</v>
      </c>
      <c r="AR3536" s="782">
        <v>12047514</v>
      </c>
      <c r="AS3536" s="782">
        <v>12047515</v>
      </c>
      <c r="AT3536" s="781"/>
      <c r="AU3536" s="781"/>
      <c r="AV3536" s="782">
        <v>12080613</v>
      </c>
      <c r="AW3536" s="781"/>
      <c r="AX3536" s="781"/>
      <c r="AY3536" s="782">
        <v>12094241</v>
      </c>
      <c r="AZ3536" s="782">
        <v>12094242</v>
      </c>
      <c r="BA3536" s="781"/>
      <c r="BB3536" s="209">
        <v>23053185</v>
      </c>
    </row>
    <row r="3537" spans="1:54" ht="25" customHeight="1">
      <c r="B3537" s="424">
        <v>46199</v>
      </c>
      <c r="C3537" s="647" t="s">
        <v>2996</v>
      </c>
      <c r="D3537" s="185">
        <f t="shared" si="1693"/>
        <v>2026</v>
      </c>
      <c r="E3537" s="425" t="e">
        <f>VLOOKUP($B3537,Week!$A$1:$C$1462,2,0)</f>
        <v>#N/A</v>
      </c>
      <c r="F3537" s="426" t="str">
        <f t="shared" si="1694"/>
        <v>Jun</v>
      </c>
      <c r="G3537" s="427" t="s">
        <v>47</v>
      </c>
      <c r="H3537" s="427" t="s">
        <v>518</v>
      </c>
      <c r="I3537" s="427" t="s">
        <v>2702</v>
      </c>
      <c r="J3537" s="428" t="s">
        <v>70</v>
      </c>
      <c r="K3537" s="429" t="s">
        <v>94</v>
      </c>
      <c r="L3537" s="300" t="s">
        <v>2167</v>
      </c>
      <c r="M3537" s="428" t="s">
        <v>2342</v>
      </c>
      <c r="N3537" s="427" t="s">
        <v>587</v>
      </c>
      <c r="O3537" s="427" t="s">
        <v>3198</v>
      </c>
      <c r="P3537" s="430">
        <v>18</v>
      </c>
      <c r="Q3537" s="430">
        <v>5</v>
      </c>
      <c r="R3537" s="431">
        <v>8.0000000000000002E-3</v>
      </c>
      <c r="S3537" s="427" t="s">
        <v>40</v>
      </c>
      <c r="T3537" s="427" t="s">
        <v>56</v>
      </c>
      <c r="U3537" s="427" t="s">
        <v>89</v>
      </c>
      <c r="V3537" s="432">
        <v>1000</v>
      </c>
      <c r="W3537" s="432">
        <f>180+544+276</f>
        <v>1000</v>
      </c>
      <c r="X3537" s="433"/>
      <c r="Y3537" s="434">
        <f t="shared" si="1684"/>
        <v>0</v>
      </c>
      <c r="Z3537" s="435">
        <f t="shared" si="1685"/>
        <v>0</v>
      </c>
      <c r="AA3537" s="435">
        <f t="shared" si="1695"/>
        <v>0</v>
      </c>
      <c r="AB3537" s="826">
        <v>1</v>
      </c>
      <c r="AC3537" s="432">
        <f t="shared" si="1696"/>
        <v>0</v>
      </c>
      <c r="AD3537" s="209" t="s">
        <v>3112</v>
      </c>
      <c r="AE3537" s="210">
        <f t="shared" si="1697"/>
        <v>0</v>
      </c>
      <c r="AF3537" s="210">
        <f t="shared" si="1698"/>
        <v>0</v>
      </c>
      <c r="AG3537" s="211" t="e">
        <f>(MID(O3537,1,3)/1000)/3</f>
        <v>#VALUE!</v>
      </c>
      <c r="AH3537" s="157" t="e">
        <f t="shared" si="1699"/>
        <v>#VALUE!</v>
      </c>
      <c r="AI3537" s="152">
        <f t="shared" si="1700"/>
        <v>18000</v>
      </c>
      <c r="AK3537" s="156" t="s">
        <v>691</v>
      </c>
      <c r="AL3537" s="212" t="s">
        <v>690</v>
      </c>
      <c r="AM3537" s="198" t="e">
        <f t="shared" si="1701"/>
        <v>#VALUE!</v>
      </c>
      <c r="AN3537" s="199">
        <f t="shared" si="1702"/>
        <v>46199</v>
      </c>
      <c r="AO3537" s="159" t="s">
        <v>692</v>
      </c>
      <c r="AP3537" s="783" t="s">
        <v>628</v>
      </c>
      <c r="AQ3537" s="782"/>
      <c r="AR3537" s="782"/>
      <c r="AS3537" s="782"/>
      <c r="AT3537" s="782"/>
      <c r="AU3537" s="781"/>
      <c r="AV3537" s="782">
        <v>12080791</v>
      </c>
      <c r="AW3537" s="782" t="s">
        <v>641</v>
      </c>
      <c r="AX3537" s="782" t="s">
        <v>533</v>
      </c>
      <c r="AY3537" s="782"/>
      <c r="AZ3537" s="782"/>
      <c r="BA3537" s="781"/>
      <c r="BB3537" s="209">
        <v>23053184</v>
      </c>
    </row>
    <row r="3538" spans="1:54" ht="25" customHeight="1">
      <c r="B3538" s="424">
        <v>46199</v>
      </c>
      <c r="C3538" s="647" t="s">
        <v>2996</v>
      </c>
      <c r="D3538" s="185">
        <f t="shared" si="1693"/>
        <v>2026</v>
      </c>
      <c r="E3538" s="425" t="e">
        <f>VLOOKUP($B3538,Week!$A$1:$C$1462,2,0)</f>
        <v>#N/A</v>
      </c>
      <c r="F3538" s="426" t="str">
        <f t="shared" si="1694"/>
        <v>Jun</v>
      </c>
      <c r="G3538" s="427" t="s">
        <v>47</v>
      </c>
      <c r="H3538" s="427" t="s">
        <v>518</v>
      </c>
      <c r="I3538" s="427" t="s">
        <v>2702</v>
      </c>
      <c r="J3538" s="428" t="s">
        <v>70</v>
      </c>
      <c r="K3538" s="429" t="s">
        <v>94</v>
      </c>
      <c r="L3538" s="300" t="s">
        <v>2167</v>
      </c>
      <c r="M3538" s="428" t="s">
        <v>2342</v>
      </c>
      <c r="N3538" s="427" t="s">
        <v>587</v>
      </c>
      <c r="O3538" s="427" t="s">
        <v>3198</v>
      </c>
      <c r="P3538" s="430">
        <v>18</v>
      </c>
      <c r="Q3538" s="430">
        <v>5</v>
      </c>
      <c r="R3538" s="431">
        <v>8.0000000000000002E-3</v>
      </c>
      <c r="S3538" s="427" t="s">
        <v>40</v>
      </c>
      <c r="T3538" s="427" t="s">
        <v>56</v>
      </c>
      <c r="U3538" s="427" t="s">
        <v>89</v>
      </c>
      <c r="V3538" s="432">
        <f>1000</f>
        <v>1000</v>
      </c>
      <c r="W3538" s="432">
        <f>363+481+156</f>
        <v>1000</v>
      </c>
      <c r="X3538" s="433"/>
      <c r="Y3538" s="434">
        <f t="shared" si="1684"/>
        <v>0</v>
      </c>
      <c r="Z3538" s="435">
        <f t="shared" si="1685"/>
        <v>0</v>
      </c>
      <c r="AA3538" s="435">
        <f t="shared" si="1695"/>
        <v>0</v>
      </c>
      <c r="AB3538" s="826">
        <v>1</v>
      </c>
      <c r="AC3538" s="432">
        <f t="shared" si="1696"/>
        <v>0</v>
      </c>
      <c r="AD3538" s="209" t="s">
        <v>3112</v>
      </c>
      <c r="AE3538" s="210">
        <f t="shared" si="1697"/>
        <v>0</v>
      </c>
      <c r="AF3538" s="210">
        <f t="shared" si="1698"/>
        <v>0</v>
      </c>
      <c r="AG3538" s="211" t="e">
        <f>(MID(O3538,1,3)/1000)/3</f>
        <v>#VALUE!</v>
      </c>
      <c r="AH3538" s="157" t="e">
        <f t="shared" si="1699"/>
        <v>#VALUE!</v>
      </c>
      <c r="AI3538" s="152">
        <f t="shared" si="1700"/>
        <v>18000</v>
      </c>
      <c r="AK3538" s="156" t="s">
        <v>691</v>
      </c>
      <c r="AL3538" s="212" t="s">
        <v>690</v>
      </c>
      <c r="AM3538" s="198" t="e">
        <f t="shared" si="1701"/>
        <v>#VALUE!</v>
      </c>
      <c r="AN3538" s="199">
        <f t="shared" si="1702"/>
        <v>46199</v>
      </c>
      <c r="AO3538" s="159" t="s">
        <v>692</v>
      </c>
      <c r="AP3538" s="783" t="s">
        <v>628</v>
      </c>
      <c r="AQ3538" s="782"/>
      <c r="AR3538" s="782"/>
      <c r="AS3538" s="782"/>
      <c r="AT3538" s="782"/>
      <c r="AU3538" s="781"/>
      <c r="AV3538" s="782">
        <v>12080791</v>
      </c>
      <c r="AW3538" s="782" t="s">
        <v>641</v>
      </c>
      <c r="AX3538" s="782" t="s">
        <v>533</v>
      </c>
      <c r="AY3538" s="782"/>
      <c r="AZ3538" s="782"/>
      <c r="BA3538" s="781"/>
      <c r="BB3538" s="209">
        <v>23053184</v>
      </c>
    </row>
    <row r="3539" spans="1:54" ht="25" customHeight="1">
      <c r="B3539" s="424">
        <v>46199</v>
      </c>
      <c r="C3539" s="647" t="s">
        <v>2996</v>
      </c>
      <c r="D3539" s="185">
        <f t="shared" si="1693"/>
        <v>2026</v>
      </c>
      <c r="E3539" s="425" t="e">
        <f>VLOOKUP($B3539,Week!$A$1:$C$1462,2,0)</f>
        <v>#N/A</v>
      </c>
      <c r="F3539" s="426" t="str">
        <f t="shared" si="1694"/>
        <v>Jun</v>
      </c>
      <c r="G3539" s="427" t="s">
        <v>47</v>
      </c>
      <c r="H3539" s="427" t="s">
        <v>518</v>
      </c>
      <c r="I3539" s="427" t="s">
        <v>2702</v>
      </c>
      <c r="J3539" s="428" t="s">
        <v>70</v>
      </c>
      <c r="K3539" s="429" t="s">
        <v>94</v>
      </c>
      <c r="L3539" s="300" t="s">
        <v>2167</v>
      </c>
      <c r="M3539" s="428" t="s">
        <v>2342</v>
      </c>
      <c r="N3539" s="427" t="s">
        <v>587</v>
      </c>
      <c r="O3539" s="427" t="s">
        <v>3198</v>
      </c>
      <c r="P3539" s="430">
        <v>18</v>
      </c>
      <c r="Q3539" s="430">
        <v>5</v>
      </c>
      <c r="R3539" s="431">
        <v>8.0000000000000002E-3</v>
      </c>
      <c r="S3539" s="427" t="s">
        <v>40</v>
      </c>
      <c r="T3539" s="427" t="s">
        <v>56</v>
      </c>
      <c r="U3539" s="427" t="s">
        <v>89</v>
      </c>
      <c r="V3539" s="432">
        <v>444</v>
      </c>
      <c r="W3539" s="432">
        <f>238-156+247+115</f>
        <v>444</v>
      </c>
      <c r="X3539" s="433"/>
      <c r="Y3539" s="434">
        <f t="shared" si="1684"/>
        <v>0</v>
      </c>
      <c r="Z3539" s="435">
        <f t="shared" si="1685"/>
        <v>0</v>
      </c>
      <c r="AA3539" s="435">
        <f t="shared" si="1695"/>
        <v>0</v>
      </c>
      <c r="AB3539" s="826">
        <v>1</v>
      </c>
      <c r="AC3539" s="432">
        <f t="shared" si="1696"/>
        <v>0</v>
      </c>
      <c r="AD3539" s="209" t="s">
        <v>3112</v>
      </c>
      <c r="AE3539" s="210">
        <f t="shared" si="1697"/>
        <v>0</v>
      </c>
      <c r="AF3539" s="210">
        <f t="shared" si="1698"/>
        <v>0</v>
      </c>
      <c r="AG3539" s="211" t="e">
        <f>(MID(O3539,1,3)/1000)/3</f>
        <v>#VALUE!</v>
      </c>
      <c r="AH3539" s="157" t="e">
        <f t="shared" si="1699"/>
        <v>#VALUE!</v>
      </c>
      <c r="AI3539" s="152">
        <f t="shared" si="1700"/>
        <v>7992</v>
      </c>
      <c r="AK3539" s="156" t="s">
        <v>691</v>
      </c>
      <c r="AL3539" s="212" t="s">
        <v>690</v>
      </c>
      <c r="AM3539" s="198" t="e">
        <f t="shared" si="1701"/>
        <v>#VALUE!</v>
      </c>
      <c r="AN3539" s="199">
        <f t="shared" si="1702"/>
        <v>46199</v>
      </c>
      <c r="AO3539" s="159" t="s">
        <v>692</v>
      </c>
      <c r="AP3539" s="783" t="s">
        <v>628</v>
      </c>
      <c r="AQ3539" s="782"/>
      <c r="AR3539" s="782"/>
      <c r="AS3539" s="782"/>
      <c r="AT3539" s="782"/>
      <c r="AU3539" s="781"/>
      <c r="AV3539" s="782">
        <v>12080791</v>
      </c>
      <c r="AW3539" s="782" t="s">
        <v>641</v>
      </c>
      <c r="AX3539" s="782" t="s">
        <v>533</v>
      </c>
      <c r="AY3539" s="782"/>
      <c r="AZ3539" s="782"/>
      <c r="BA3539" s="781"/>
      <c r="BB3539" s="209">
        <v>23053184</v>
      </c>
    </row>
    <row r="3540" spans="1:54" ht="25" customHeight="1">
      <c r="B3540" s="271">
        <v>46200</v>
      </c>
      <c r="C3540" s="441">
        <v>46212</v>
      </c>
      <c r="D3540" s="274">
        <f t="shared" si="1693"/>
        <v>2026</v>
      </c>
      <c r="E3540" s="274" t="e">
        <f>VLOOKUP($B3540,Week!$A$1:$C$1462,2,0)</f>
        <v>#N/A</v>
      </c>
      <c r="F3540" s="273" t="str">
        <f t="shared" si="1694"/>
        <v>Jun</v>
      </c>
      <c r="G3540" s="274" t="s">
        <v>3061</v>
      </c>
      <c r="H3540" s="274" t="s">
        <v>225</v>
      </c>
      <c r="I3540" s="274" t="s">
        <v>2773</v>
      </c>
      <c r="J3540" s="275" t="s">
        <v>650</v>
      </c>
      <c r="K3540" s="276" t="s">
        <v>2256</v>
      </c>
      <c r="L3540" s="276" t="s">
        <v>2167</v>
      </c>
      <c r="M3540" s="275" t="s">
        <v>2258</v>
      </c>
      <c r="N3540" s="274" t="s">
        <v>2259</v>
      </c>
      <c r="O3540" s="274" t="s">
        <v>110</v>
      </c>
      <c r="P3540" s="277">
        <v>36</v>
      </c>
      <c r="Q3540" s="277">
        <v>5</v>
      </c>
      <c r="R3540" s="278">
        <v>7.4999999999999997E-3</v>
      </c>
      <c r="S3540" s="274" t="s">
        <v>111</v>
      </c>
      <c r="T3540" s="274" t="s">
        <v>112</v>
      </c>
      <c r="U3540" s="274" t="s">
        <v>113</v>
      </c>
      <c r="V3540" s="279">
        <v>792</v>
      </c>
      <c r="W3540" s="279">
        <f>766</f>
        <v>766</v>
      </c>
      <c r="X3540" s="280">
        <f>(28+936)/36</f>
        <v>26.777777777777779</v>
      </c>
      <c r="Y3540" s="281">
        <f t="shared" si="1684"/>
        <v>0.77777777777782831</v>
      </c>
      <c r="Z3540" s="282">
        <f t="shared" si="1685"/>
        <v>0</v>
      </c>
      <c r="AA3540" s="282">
        <f t="shared" si="1695"/>
        <v>0</v>
      </c>
      <c r="AB3540" s="812">
        <v>9.7000000000000003E-3</v>
      </c>
      <c r="AC3540" s="279">
        <f t="shared" si="1696"/>
        <v>0</v>
      </c>
      <c r="AD3540" s="209"/>
      <c r="AE3540" s="210">
        <f t="shared" si="1697"/>
        <v>0</v>
      </c>
      <c r="AF3540" s="210">
        <f t="shared" si="1698"/>
        <v>0</v>
      </c>
      <c r="AG3540" s="211">
        <f>MID(O3540,1,3)/1000</f>
        <v>0.308</v>
      </c>
      <c r="AH3540" s="157">
        <f t="shared" si="1699"/>
        <v>0</v>
      </c>
      <c r="AI3540" s="152">
        <f t="shared" si="1700"/>
        <v>28512</v>
      </c>
      <c r="AK3540" s="156" t="s">
        <v>691</v>
      </c>
      <c r="AL3540" s="574" t="s">
        <v>690</v>
      </c>
      <c r="AM3540" s="198">
        <f t="shared" si="1701"/>
        <v>0</v>
      </c>
      <c r="AN3540" s="199">
        <f t="shared" si="1702"/>
        <v>46200</v>
      </c>
      <c r="AO3540" s="159" t="s">
        <v>692</v>
      </c>
      <c r="AP3540" s="781"/>
      <c r="AQ3540" s="782">
        <v>12063755</v>
      </c>
      <c r="AR3540" s="782">
        <v>12061353</v>
      </c>
      <c r="AS3540" s="782">
        <v>12061354</v>
      </c>
      <c r="AT3540" s="782">
        <v>12095367</v>
      </c>
      <c r="AU3540" s="781"/>
      <c r="AV3540" s="782">
        <v>12095366</v>
      </c>
      <c r="AW3540" s="782">
        <v>12088207</v>
      </c>
      <c r="AX3540" s="782"/>
      <c r="AY3540" s="782">
        <v>12095368</v>
      </c>
      <c r="AZ3540" s="782"/>
      <c r="BA3540" s="781"/>
      <c r="BB3540" s="209">
        <v>23054743</v>
      </c>
    </row>
    <row r="3541" spans="1:54" ht="25" customHeight="1">
      <c r="B3541" s="271">
        <v>46200</v>
      </c>
      <c r="C3541" s="441">
        <v>46212</v>
      </c>
      <c r="D3541" s="274">
        <f t="shared" si="1693"/>
        <v>2026</v>
      </c>
      <c r="E3541" s="274" t="e">
        <f>VLOOKUP($B3541,Week!$A$1:$C$1462,2,0)</f>
        <v>#N/A</v>
      </c>
      <c r="F3541" s="273" t="str">
        <f t="shared" si="1694"/>
        <v>Jun</v>
      </c>
      <c r="G3541" s="274" t="s">
        <v>3062</v>
      </c>
      <c r="H3541" s="274" t="s">
        <v>225</v>
      </c>
      <c r="I3541" s="274" t="s">
        <v>2773</v>
      </c>
      <c r="J3541" s="275" t="s">
        <v>650</v>
      </c>
      <c r="K3541" s="276" t="s">
        <v>2256</v>
      </c>
      <c r="L3541" s="276" t="s">
        <v>2167</v>
      </c>
      <c r="M3541" s="275" t="s">
        <v>2258</v>
      </c>
      <c r="N3541" s="274" t="s">
        <v>2259</v>
      </c>
      <c r="O3541" s="274" t="s">
        <v>110</v>
      </c>
      <c r="P3541" s="277">
        <v>36</v>
      </c>
      <c r="Q3541" s="277">
        <v>5</v>
      </c>
      <c r="R3541" s="278">
        <v>7.4999999999999997E-3</v>
      </c>
      <c r="S3541" s="274" t="s">
        <v>111</v>
      </c>
      <c r="T3541" s="274" t="s">
        <v>112</v>
      </c>
      <c r="U3541" s="274" t="s">
        <v>113</v>
      </c>
      <c r="V3541" s="279">
        <v>792</v>
      </c>
      <c r="W3541" s="279">
        <v>792</v>
      </c>
      <c r="X3541" s="280"/>
      <c r="Y3541" s="281">
        <f t="shared" si="1684"/>
        <v>0</v>
      </c>
      <c r="Z3541" s="282">
        <f t="shared" si="1685"/>
        <v>0</v>
      </c>
      <c r="AA3541" s="282">
        <f t="shared" si="1695"/>
        <v>0</v>
      </c>
      <c r="AB3541" s="812">
        <v>9.7000000000000003E-3</v>
      </c>
      <c r="AC3541" s="279">
        <f t="shared" si="1696"/>
        <v>0</v>
      </c>
      <c r="AD3541" s="209"/>
      <c r="AE3541" s="210">
        <f t="shared" si="1697"/>
        <v>0</v>
      </c>
      <c r="AF3541" s="210">
        <f t="shared" si="1698"/>
        <v>0</v>
      </c>
      <c r="AG3541" s="211">
        <f>MID(O3541,1,3)/1000</f>
        <v>0.308</v>
      </c>
      <c r="AH3541" s="157">
        <f t="shared" si="1699"/>
        <v>0</v>
      </c>
      <c r="AI3541" s="152">
        <f t="shared" si="1700"/>
        <v>28512</v>
      </c>
      <c r="AK3541" s="156" t="s">
        <v>691</v>
      </c>
      <c r="AL3541" s="574" t="s">
        <v>690</v>
      </c>
      <c r="AM3541" s="198">
        <f t="shared" si="1701"/>
        <v>0</v>
      </c>
      <c r="AN3541" s="199">
        <f t="shared" si="1702"/>
        <v>46200</v>
      </c>
      <c r="AO3541" s="159" t="s">
        <v>692</v>
      </c>
      <c r="AP3541" s="781"/>
      <c r="AQ3541" s="782">
        <v>12063755</v>
      </c>
      <c r="AR3541" s="782">
        <v>12061353</v>
      </c>
      <c r="AS3541" s="782">
        <v>12061354</v>
      </c>
      <c r="AT3541" s="782">
        <v>12095367</v>
      </c>
      <c r="AU3541" s="781"/>
      <c r="AV3541" s="782">
        <v>12095366</v>
      </c>
      <c r="AW3541" s="782">
        <v>12088207</v>
      </c>
      <c r="AX3541" s="782"/>
      <c r="AY3541" s="782">
        <v>12095368</v>
      </c>
      <c r="AZ3541" s="782"/>
      <c r="BA3541" s="781"/>
      <c r="BB3541" s="209">
        <v>23054743</v>
      </c>
    </row>
    <row r="3542" spans="1:54" ht="25" customHeight="1">
      <c r="B3542" s="271">
        <v>46200</v>
      </c>
      <c r="C3542" s="441">
        <v>46212</v>
      </c>
      <c r="D3542" s="274">
        <f t="shared" si="1693"/>
        <v>2026</v>
      </c>
      <c r="E3542" s="274" t="e">
        <f>VLOOKUP($B3542,Week!$A$1:$C$1462,2,0)</f>
        <v>#N/A</v>
      </c>
      <c r="F3542" s="273" t="str">
        <f t="shared" si="1694"/>
        <v>Jun</v>
      </c>
      <c r="G3542" s="274" t="s">
        <v>3063</v>
      </c>
      <c r="H3542" s="274" t="s">
        <v>225</v>
      </c>
      <c r="I3542" s="274" t="s">
        <v>2773</v>
      </c>
      <c r="J3542" s="275" t="s">
        <v>650</v>
      </c>
      <c r="K3542" s="276" t="s">
        <v>2256</v>
      </c>
      <c r="L3542" s="276" t="s">
        <v>2167</v>
      </c>
      <c r="M3542" s="275" t="s">
        <v>2258</v>
      </c>
      <c r="N3542" s="274" t="s">
        <v>2259</v>
      </c>
      <c r="O3542" s="274" t="s">
        <v>110</v>
      </c>
      <c r="P3542" s="277">
        <v>36</v>
      </c>
      <c r="Q3542" s="277">
        <v>5</v>
      </c>
      <c r="R3542" s="278">
        <v>7.4999999999999997E-3</v>
      </c>
      <c r="S3542" s="274" t="s">
        <v>111</v>
      </c>
      <c r="T3542" s="274" t="s">
        <v>112</v>
      </c>
      <c r="U3542" s="274" t="s">
        <v>113</v>
      </c>
      <c r="V3542" s="279">
        <v>792</v>
      </c>
      <c r="W3542" s="279">
        <v>792</v>
      </c>
      <c r="X3542" s="280"/>
      <c r="Y3542" s="281">
        <f t="shared" si="1684"/>
        <v>0</v>
      </c>
      <c r="Z3542" s="282">
        <f t="shared" si="1685"/>
        <v>0</v>
      </c>
      <c r="AA3542" s="282">
        <f t="shared" si="1695"/>
        <v>0</v>
      </c>
      <c r="AB3542" s="812">
        <v>9.7000000000000003E-3</v>
      </c>
      <c r="AC3542" s="279">
        <f t="shared" si="1696"/>
        <v>0</v>
      </c>
      <c r="AD3542" s="209"/>
      <c r="AE3542" s="210">
        <f t="shared" si="1697"/>
        <v>0</v>
      </c>
      <c r="AF3542" s="210">
        <f t="shared" si="1698"/>
        <v>0</v>
      </c>
      <c r="AG3542" s="211">
        <f>MID(O3542,1,3)/1000</f>
        <v>0.308</v>
      </c>
      <c r="AH3542" s="157">
        <f t="shared" si="1699"/>
        <v>0</v>
      </c>
      <c r="AI3542" s="152">
        <f t="shared" si="1700"/>
        <v>28512</v>
      </c>
      <c r="AK3542" s="156" t="s">
        <v>691</v>
      </c>
      <c r="AL3542" s="574" t="s">
        <v>690</v>
      </c>
      <c r="AM3542" s="198">
        <f t="shared" si="1701"/>
        <v>0</v>
      </c>
      <c r="AN3542" s="199">
        <f t="shared" si="1702"/>
        <v>46200</v>
      </c>
      <c r="AO3542" s="159" t="s">
        <v>692</v>
      </c>
      <c r="AP3542" s="781"/>
      <c r="AQ3542" s="782">
        <v>12063755</v>
      </c>
      <c r="AR3542" s="782">
        <v>12061353</v>
      </c>
      <c r="AS3542" s="782">
        <v>12061354</v>
      </c>
      <c r="AT3542" s="782">
        <v>12095367</v>
      </c>
      <c r="AU3542" s="781"/>
      <c r="AV3542" s="782">
        <v>12095366</v>
      </c>
      <c r="AW3542" s="782">
        <v>12088207</v>
      </c>
      <c r="AX3542" s="782"/>
      <c r="AY3542" s="782">
        <v>12095368</v>
      </c>
      <c r="AZ3542" s="782"/>
      <c r="BA3542" s="781"/>
      <c r="BB3542" s="209">
        <v>23054743</v>
      </c>
    </row>
    <row r="3543" spans="1:54" ht="25" customHeight="1">
      <c r="B3543" s="271">
        <v>46200</v>
      </c>
      <c r="C3543" s="441">
        <v>46212</v>
      </c>
      <c r="D3543" s="274">
        <f t="shared" si="1693"/>
        <v>2026</v>
      </c>
      <c r="E3543" s="274" t="e">
        <f>VLOOKUP($B3543,Week!$A$1:$C$1462,2,0)</f>
        <v>#N/A</v>
      </c>
      <c r="F3543" s="273" t="str">
        <f t="shared" si="1694"/>
        <v>Jun</v>
      </c>
      <c r="G3543" s="274" t="s">
        <v>3064</v>
      </c>
      <c r="H3543" s="274" t="s">
        <v>225</v>
      </c>
      <c r="I3543" s="274" t="s">
        <v>2773</v>
      </c>
      <c r="J3543" s="275" t="s">
        <v>650</v>
      </c>
      <c r="K3543" s="276" t="s">
        <v>2256</v>
      </c>
      <c r="L3543" s="276" t="s">
        <v>2167</v>
      </c>
      <c r="M3543" s="275" t="s">
        <v>2258</v>
      </c>
      <c r="N3543" s="274" t="s">
        <v>2259</v>
      </c>
      <c r="O3543" s="274" t="s">
        <v>110</v>
      </c>
      <c r="P3543" s="277">
        <v>36</v>
      </c>
      <c r="Q3543" s="277">
        <v>5</v>
      </c>
      <c r="R3543" s="278">
        <v>7.4999999999999997E-3</v>
      </c>
      <c r="S3543" s="274" t="s">
        <v>111</v>
      </c>
      <c r="T3543" s="274" t="s">
        <v>112</v>
      </c>
      <c r="U3543" s="274" t="s">
        <v>113</v>
      </c>
      <c r="V3543" s="279">
        <f>287</f>
        <v>287</v>
      </c>
      <c r="W3543" s="279">
        <f>2636-765-792-792</f>
        <v>287</v>
      </c>
      <c r="X3543" s="280"/>
      <c r="Y3543" s="281">
        <f t="shared" si="1684"/>
        <v>0</v>
      </c>
      <c r="Z3543" s="282">
        <f t="shared" si="1685"/>
        <v>0</v>
      </c>
      <c r="AA3543" s="282">
        <f t="shared" si="1695"/>
        <v>0</v>
      </c>
      <c r="AB3543" s="812">
        <v>9.7000000000000003E-3</v>
      </c>
      <c r="AC3543" s="279">
        <f t="shared" si="1696"/>
        <v>0</v>
      </c>
      <c r="AD3543" s="209"/>
      <c r="AE3543" s="210">
        <f t="shared" si="1697"/>
        <v>0</v>
      </c>
      <c r="AF3543" s="210">
        <f t="shared" si="1698"/>
        <v>0</v>
      </c>
      <c r="AG3543" s="211">
        <f>MID(O3543,1,3)/1000</f>
        <v>0.308</v>
      </c>
      <c r="AH3543" s="157">
        <f t="shared" si="1699"/>
        <v>0</v>
      </c>
      <c r="AI3543" s="152">
        <f t="shared" si="1700"/>
        <v>10332</v>
      </c>
      <c r="AK3543" s="156" t="s">
        <v>691</v>
      </c>
      <c r="AL3543" s="574" t="s">
        <v>690</v>
      </c>
      <c r="AM3543" s="198">
        <f t="shared" si="1701"/>
        <v>0</v>
      </c>
      <c r="AN3543" s="199">
        <f t="shared" si="1702"/>
        <v>46200</v>
      </c>
      <c r="AO3543" s="159" t="s">
        <v>692</v>
      </c>
      <c r="AP3543" s="781"/>
      <c r="AQ3543" s="782">
        <v>12063755</v>
      </c>
      <c r="AR3543" s="782">
        <v>12061353</v>
      </c>
      <c r="AS3543" s="782">
        <v>12061354</v>
      </c>
      <c r="AT3543" s="782">
        <v>12095367</v>
      </c>
      <c r="AU3543" s="781"/>
      <c r="AV3543" s="782">
        <v>12095366</v>
      </c>
      <c r="AW3543" s="782">
        <v>12088207</v>
      </c>
      <c r="AX3543" s="782"/>
      <c r="AY3543" s="782">
        <v>12095368</v>
      </c>
      <c r="AZ3543" s="782"/>
      <c r="BA3543" s="781"/>
      <c r="BB3543" s="209">
        <v>23054743</v>
      </c>
    </row>
    <row r="3544" spans="1:54" ht="25" customHeight="1">
      <c r="B3544" s="183">
        <v>46201</v>
      </c>
      <c r="C3544" s="184"/>
      <c r="D3544" s="185">
        <f t="shared" si="1693"/>
        <v>2026</v>
      </c>
      <c r="E3544" s="185" t="e">
        <f>VLOOKUP($B3544,Week!$A$1:$C$1462,2,0)</f>
        <v>#N/A</v>
      </c>
      <c r="F3544" s="186" t="str">
        <f t="shared" si="1694"/>
        <v>Jun</v>
      </c>
      <c r="G3544" s="481"/>
      <c r="H3544" s="185"/>
      <c r="I3544" s="185"/>
      <c r="J3544" s="187"/>
      <c r="K3544" s="188"/>
      <c r="L3544" s="188"/>
      <c r="M3544" s="187"/>
      <c r="N3544" s="185"/>
      <c r="O3544" s="185"/>
      <c r="P3544" s="189"/>
      <c r="Q3544" s="189"/>
      <c r="R3544" s="190"/>
      <c r="S3544" s="185"/>
      <c r="T3544" s="185"/>
      <c r="U3544" s="185"/>
      <c r="V3544" s="191"/>
      <c r="W3544" s="191"/>
      <c r="X3544" s="192"/>
      <c r="Y3544" s="193"/>
      <c r="Z3544" s="194"/>
      <c r="AA3544" s="194">
        <f t="shared" si="1695"/>
        <v>0</v>
      </c>
      <c r="AB3544" s="805"/>
      <c r="AC3544" s="191"/>
      <c r="AD3544" s="187"/>
      <c r="AE3544" s="195"/>
      <c r="AF3544" s="195"/>
      <c r="AG3544" s="196"/>
      <c r="AH3544" s="197"/>
      <c r="AK3544" s="156" t="s">
        <v>691</v>
      </c>
      <c r="AM3544" s="198">
        <f t="shared" si="1701"/>
        <v>0</v>
      </c>
      <c r="AN3544" s="199">
        <f t="shared" si="1702"/>
        <v>46201</v>
      </c>
      <c r="AO3544" s="159" t="s">
        <v>692</v>
      </c>
      <c r="AP3544" s="781"/>
      <c r="AQ3544" s="782"/>
      <c r="AR3544" s="782"/>
      <c r="AS3544" s="782"/>
      <c r="AT3544" s="782"/>
      <c r="AU3544" s="781"/>
      <c r="AV3544" s="782"/>
      <c r="AW3544" s="782"/>
      <c r="AX3544" s="782"/>
      <c r="AY3544" s="782"/>
      <c r="AZ3544" s="782"/>
      <c r="BA3544" s="781"/>
      <c r="BB3544" s="209"/>
    </row>
    <row r="3545" spans="1:54" ht="25" customHeight="1">
      <c r="A3545" s="142" t="s">
        <v>120</v>
      </c>
      <c r="B3545" s="271">
        <v>46202</v>
      </c>
      <c r="C3545" s="272">
        <v>46237</v>
      </c>
      <c r="D3545" s="185">
        <f t="shared" si="1693"/>
        <v>2026</v>
      </c>
      <c r="E3545" s="272" t="e">
        <f>VLOOKUP($B3545,Week!$A$1:$C$1462,2,0)</f>
        <v>#N/A</v>
      </c>
      <c r="F3545" s="273" t="str">
        <f t="shared" si="1694"/>
        <v>Jun</v>
      </c>
      <c r="G3545" s="274" t="s">
        <v>2965</v>
      </c>
      <c r="H3545" s="274" t="s">
        <v>500</v>
      </c>
      <c r="I3545" s="274" t="s">
        <v>2772</v>
      </c>
      <c r="J3545" s="275" t="s">
        <v>285</v>
      </c>
      <c r="K3545" s="276" t="s">
        <v>153</v>
      </c>
      <c r="L3545" s="390" t="s">
        <v>2166</v>
      </c>
      <c r="M3545" s="275" t="s">
        <v>86</v>
      </c>
      <c r="N3545" s="274" t="s">
        <v>547</v>
      </c>
      <c r="O3545" s="274" t="s">
        <v>548</v>
      </c>
      <c r="P3545" s="277">
        <v>10</v>
      </c>
      <c r="Q3545" s="277">
        <v>50</v>
      </c>
      <c r="R3545" s="278">
        <v>6.8100000000000001E-3</v>
      </c>
      <c r="S3545" s="274" t="s">
        <v>76</v>
      </c>
      <c r="T3545" s="274" t="s">
        <v>56</v>
      </c>
      <c r="U3545" s="274" t="s">
        <v>89</v>
      </c>
      <c r="V3545" s="279">
        <v>1261</v>
      </c>
      <c r="W3545" s="279">
        <f>1220</f>
        <v>1220</v>
      </c>
      <c r="X3545" s="280">
        <f>(410)/10</f>
        <v>41</v>
      </c>
      <c r="Y3545" s="281">
        <f t="shared" ref="Y3545:Y3552" si="1703">(W3545+X3545)-V3545</f>
        <v>0</v>
      </c>
      <c r="Z3545" s="282">
        <f t="shared" ref="Z3545:Z3552" si="1704">IF(Y3545&lt;0,((V3545*P3545)-((W3545+X3545)*P3545)),0)</f>
        <v>0</v>
      </c>
      <c r="AA3545" s="282">
        <f t="shared" si="1695"/>
        <v>0</v>
      </c>
      <c r="AB3545" s="812">
        <v>6</v>
      </c>
      <c r="AC3545" s="279">
        <f t="shared" ref="AC3545:AC3552" si="1705">Z3545*AB3545</f>
        <v>0</v>
      </c>
      <c r="AD3545" s="209"/>
      <c r="AE3545" s="210">
        <f t="shared" ref="AE3545:AE3560" si="1706">SUM(Q3545*R3545*Z3545)/1000</f>
        <v>0</v>
      </c>
      <c r="AF3545" s="210">
        <f t="shared" ref="AF3545:AF3552" si="1707">AE3545/0.54</f>
        <v>0</v>
      </c>
      <c r="AG3545" s="211">
        <f t="shared" ref="AG3545:AG3552" si="1708">MID(O3545,1,3)/1000</f>
        <v>0.63</v>
      </c>
      <c r="AH3545" s="157">
        <f t="shared" ref="AH3545:AH3552" si="1709">(Z3545*AG3545)/1000</f>
        <v>0</v>
      </c>
      <c r="AI3545" s="152">
        <f t="shared" ref="AI3545:AI3552" si="1710">V3545*P3545</f>
        <v>12610</v>
      </c>
      <c r="AK3545" s="156" t="s">
        <v>691</v>
      </c>
      <c r="AL3545" s="156" t="s">
        <v>689</v>
      </c>
      <c r="AM3545" s="198">
        <f t="shared" si="1701"/>
        <v>0</v>
      </c>
      <c r="AN3545" s="199">
        <f t="shared" si="1702"/>
        <v>46202</v>
      </c>
      <c r="AO3545" s="159" t="s">
        <v>692</v>
      </c>
      <c r="AP3545" s="783" t="s">
        <v>620</v>
      </c>
      <c r="AQ3545" s="796" t="s">
        <v>422</v>
      </c>
      <c r="AR3545" s="782">
        <v>12055234</v>
      </c>
      <c r="AS3545" s="781"/>
      <c r="AT3545" s="782"/>
      <c r="AU3545" s="782"/>
      <c r="AV3545" s="782">
        <v>12062809</v>
      </c>
      <c r="AW3545" s="782"/>
      <c r="AX3545" s="782" t="s">
        <v>619</v>
      </c>
      <c r="AY3545" s="781"/>
      <c r="AZ3545" s="781"/>
      <c r="BA3545" s="781"/>
      <c r="BB3545" s="209">
        <v>23053184</v>
      </c>
    </row>
    <row r="3546" spans="1:54" ht="25" customHeight="1">
      <c r="A3546" s="142" t="s">
        <v>120</v>
      </c>
      <c r="B3546" s="308">
        <v>46203</v>
      </c>
      <c r="C3546" s="309">
        <v>46211</v>
      </c>
      <c r="D3546" s="185">
        <f t="shared" si="1693"/>
        <v>2026</v>
      </c>
      <c r="E3546" s="309" t="e">
        <f>VLOOKUP($B3546,Week!$A$1:$C$1462,2,0)</f>
        <v>#N/A</v>
      </c>
      <c r="F3546" s="310" t="str">
        <f t="shared" si="1694"/>
        <v>Jun</v>
      </c>
      <c r="G3546" s="579" t="s">
        <v>3069</v>
      </c>
      <c r="H3546" s="311" t="s">
        <v>104</v>
      </c>
      <c r="I3546" s="311" t="s">
        <v>2772</v>
      </c>
      <c r="J3546" s="312" t="s">
        <v>105</v>
      </c>
      <c r="K3546" s="313" t="s">
        <v>85</v>
      </c>
      <c r="L3546" s="390" t="s">
        <v>2166</v>
      </c>
      <c r="M3546" s="312" t="s">
        <v>86</v>
      </c>
      <c r="N3546" s="311" t="s">
        <v>421</v>
      </c>
      <c r="O3546" s="311" t="s">
        <v>506</v>
      </c>
      <c r="P3546" s="314">
        <v>10</v>
      </c>
      <c r="Q3546" s="314">
        <v>50</v>
      </c>
      <c r="R3546" s="315">
        <v>6.8100000000000001E-3</v>
      </c>
      <c r="S3546" s="311" t="s">
        <v>76</v>
      </c>
      <c r="T3546" s="311" t="s">
        <v>112</v>
      </c>
      <c r="U3546" s="311" t="s">
        <v>89</v>
      </c>
      <c r="V3546" s="316">
        <f>100</f>
        <v>100</v>
      </c>
      <c r="W3546" s="316">
        <f>12+88</f>
        <v>100</v>
      </c>
      <c r="X3546" s="317"/>
      <c r="Y3546" s="318">
        <f t="shared" si="1703"/>
        <v>0</v>
      </c>
      <c r="Z3546" s="319">
        <f t="shared" si="1704"/>
        <v>0</v>
      </c>
      <c r="AA3546" s="319">
        <f t="shared" si="1695"/>
        <v>0</v>
      </c>
      <c r="AB3546" s="815">
        <v>6</v>
      </c>
      <c r="AC3546" s="316">
        <f t="shared" si="1705"/>
        <v>0</v>
      </c>
      <c r="AD3546" s="381"/>
      <c r="AE3546" s="210">
        <f t="shared" si="1706"/>
        <v>0</v>
      </c>
      <c r="AF3546" s="210">
        <f t="shared" si="1707"/>
        <v>0</v>
      </c>
      <c r="AG3546" s="211">
        <f t="shared" si="1708"/>
        <v>0.57999999999999996</v>
      </c>
      <c r="AH3546" s="157">
        <f t="shared" si="1709"/>
        <v>0</v>
      </c>
      <c r="AI3546" s="152">
        <f t="shared" si="1710"/>
        <v>1000</v>
      </c>
      <c r="AJ3546" s="156">
        <f>AI3546*Q3546</f>
        <v>50000</v>
      </c>
      <c r="AK3546" s="156" t="s">
        <v>691</v>
      </c>
      <c r="AL3546" s="156" t="s">
        <v>689</v>
      </c>
      <c r="AM3546" s="198">
        <f t="shared" si="1701"/>
        <v>0</v>
      </c>
      <c r="AN3546" s="199">
        <f t="shared" si="1702"/>
        <v>46203</v>
      </c>
      <c r="AO3546" s="159" t="s">
        <v>692</v>
      </c>
      <c r="AP3546" s="781" t="s">
        <v>423</v>
      </c>
      <c r="AQ3546" s="781" t="s">
        <v>422</v>
      </c>
      <c r="AR3546" s="782">
        <v>12055234</v>
      </c>
      <c r="AS3546" s="781"/>
      <c r="AT3546" s="782">
        <v>12069432</v>
      </c>
      <c r="AU3546" s="781"/>
      <c r="AV3546" s="782">
        <v>12069433</v>
      </c>
      <c r="AW3546" s="781"/>
      <c r="AX3546" s="781" t="s">
        <v>93</v>
      </c>
      <c r="AY3546" s="781"/>
      <c r="AZ3546" s="782"/>
      <c r="BA3546" s="781"/>
      <c r="BB3546" s="209">
        <v>23053184</v>
      </c>
    </row>
    <row r="3547" spans="1:54" ht="25" customHeight="1">
      <c r="A3547" s="142" t="s">
        <v>120</v>
      </c>
      <c r="B3547" s="308">
        <v>46203</v>
      </c>
      <c r="C3547" s="309">
        <v>46238</v>
      </c>
      <c r="D3547" s="185">
        <f t="shared" si="1693"/>
        <v>2026</v>
      </c>
      <c r="E3547" s="309" t="e">
        <f>VLOOKUP($B3547,Week!$A$1:$C$1462,2,0)</f>
        <v>#N/A</v>
      </c>
      <c r="F3547" s="310" t="str">
        <f t="shared" si="1694"/>
        <v>Jun</v>
      </c>
      <c r="G3547" s="579" t="s">
        <v>3070</v>
      </c>
      <c r="H3547" s="311" t="s">
        <v>104</v>
      </c>
      <c r="I3547" s="311" t="s">
        <v>2772</v>
      </c>
      <c r="J3547" s="312" t="s">
        <v>105</v>
      </c>
      <c r="K3547" s="313" t="s">
        <v>85</v>
      </c>
      <c r="L3547" s="390" t="s">
        <v>2166</v>
      </c>
      <c r="M3547" s="312" t="s">
        <v>86</v>
      </c>
      <c r="N3547" s="311" t="s">
        <v>421</v>
      </c>
      <c r="O3547" s="311" t="s">
        <v>506</v>
      </c>
      <c r="P3547" s="314">
        <v>10</v>
      </c>
      <c r="Q3547" s="314">
        <v>50</v>
      </c>
      <c r="R3547" s="315">
        <v>6.8100000000000001E-3</v>
      </c>
      <c r="S3547" s="311" t="s">
        <v>76</v>
      </c>
      <c r="T3547" s="311" t="s">
        <v>112</v>
      </c>
      <c r="U3547" s="311" t="s">
        <v>89</v>
      </c>
      <c r="V3547" s="316">
        <f>100</f>
        <v>100</v>
      </c>
      <c r="W3547" s="316">
        <f>188-88</f>
        <v>100</v>
      </c>
      <c r="X3547" s="317"/>
      <c r="Y3547" s="318">
        <f t="shared" si="1703"/>
        <v>0</v>
      </c>
      <c r="Z3547" s="319">
        <f t="shared" si="1704"/>
        <v>0</v>
      </c>
      <c r="AA3547" s="319">
        <f t="shared" si="1695"/>
        <v>0</v>
      </c>
      <c r="AB3547" s="815">
        <v>6</v>
      </c>
      <c r="AC3547" s="316">
        <f t="shared" si="1705"/>
        <v>0</v>
      </c>
      <c r="AD3547" s="381"/>
      <c r="AE3547" s="210">
        <f t="shared" si="1706"/>
        <v>0</v>
      </c>
      <c r="AF3547" s="210">
        <f t="shared" si="1707"/>
        <v>0</v>
      </c>
      <c r="AG3547" s="211">
        <f t="shared" si="1708"/>
        <v>0.57999999999999996</v>
      </c>
      <c r="AH3547" s="157">
        <f t="shared" si="1709"/>
        <v>0</v>
      </c>
      <c r="AI3547" s="152">
        <f t="shared" si="1710"/>
        <v>1000</v>
      </c>
      <c r="AJ3547" s="156">
        <f>AI3547*Q3547</f>
        <v>50000</v>
      </c>
      <c r="AK3547" s="156" t="s">
        <v>691</v>
      </c>
      <c r="AL3547" s="156" t="s">
        <v>689</v>
      </c>
      <c r="AM3547" s="198">
        <f t="shared" si="1701"/>
        <v>0</v>
      </c>
      <c r="AN3547" s="199">
        <f t="shared" si="1702"/>
        <v>46203</v>
      </c>
      <c r="AO3547" s="159" t="s">
        <v>692</v>
      </c>
      <c r="AP3547" s="781" t="s">
        <v>423</v>
      </c>
      <c r="AQ3547" s="781" t="s">
        <v>422</v>
      </c>
      <c r="AR3547" s="782">
        <v>12055234</v>
      </c>
      <c r="AS3547" s="781"/>
      <c r="AT3547" s="782">
        <v>12069432</v>
      </c>
      <c r="AU3547" s="781"/>
      <c r="AV3547" s="782">
        <v>12069433</v>
      </c>
      <c r="AW3547" s="781"/>
      <c r="AX3547" s="781" t="s">
        <v>93</v>
      </c>
      <c r="AY3547" s="781"/>
      <c r="AZ3547" s="782"/>
      <c r="BA3547" s="781"/>
      <c r="BB3547" s="209">
        <v>23053184</v>
      </c>
    </row>
    <row r="3548" spans="1:54" ht="25" customHeight="1">
      <c r="A3548" s="142" t="s">
        <v>120</v>
      </c>
      <c r="B3548" s="271">
        <v>46203</v>
      </c>
      <c r="C3548" s="272">
        <v>46237</v>
      </c>
      <c r="D3548" s="185">
        <f t="shared" si="1693"/>
        <v>2026</v>
      </c>
      <c r="E3548" s="272" t="e">
        <f>VLOOKUP($B3548,Week!$A$1:$C$1462,2,0)</f>
        <v>#N/A</v>
      </c>
      <c r="F3548" s="273" t="str">
        <f t="shared" si="1694"/>
        <v>Jun</v>
      </c>
      <c r="G3548" s="274" t="s">
        <v>2965</v>
      </c>
      <c r="H3548" s="274" t="s">
        <v>500</v>
      </c>
      <c r="I3548" s="274" t="s">
        <v>2772</v>
      </c>
      <c r="J3548" s="275" t="s">
        <v>285</v>
      </c>
      <c r="K3548" s="276" t="s">
        <v>153</v>
      </c>
      <c r="L3548" s="390" t="s">
        <v>2166</v>
      </c>
      <c r="M3548" s="275" t="s">
        <v>86</v>
      </c>
      <c r="N3548" s="274" t="s">
        <v>547</v>
      </c>
      <c r="O3548" s="274" t="s">
        <v>548</v>
      </c>
      <c r="P3548" s="277">
        <v>10</v>
      </c>
      <c r="Q3548" s="277">
        <v>50</v>
      </c>
      <c r="R3548" s="278">
        <v>6.8100000000000001E-3</v>
      </c>
      <c r="S3548" s="274" t="s">
        <v>76</v>
      </c>
      <c r="T3548" s="274" t="s">
        <v>56</v>
      </c>
      <c r="U3548" s="274" t="s">
        <v>89</v>
      </c>
      <c r="V3548" s="279">
        <f>2056-1261</f>
        <v>795</v>
      </c>
      <c r="W3548" s="279">
        <v>795</v>
      </c>
      <c r="X3548" s="280"/>
      <c r="Y3548" s="281">
        <f t="shared" si="1703"/>
        <v>0</v>
      </c>
      <c r="Z3548" s="282">
        <f t="shared" si="1704"/>
        <v>0</v>
      </c>
      <c r="AA3548" s="282">
        <f t="shared" si="1695"/>
        <v>0</v>
      </c>
      <c r="AB3548" s="812">
        <v>6</v>
      </c>
      <c r="AC3548" s="279">
        <f t="shared" si="1705"/>
        <v>0</v>
      </c>
      <c r="AD3548" s="209"/>
      <c r="AE3548" s="210">
        <f t="shared" si="1706"/>
        <v>0</v>
      </c>
      <c r="AF3548" s="210">
        <f t="shared" si="1707"/>
        <v>0</v>
      </c>
      <c r="AG3548" s="211">
        <f t="shared" si="1708"/>
        <v>0.63</v>
      </c>
      <c r="AH3548" s="157">
        <f t="shared" si="1709"/>
        <v>0</v>
      </c>
      <c r="AI3548" s="152">
        <f t="shared" si="1710"/>
        <v>7950</v>
      </c>
      <c r="AK3548" s="156" t="s">
        <v>691</v>
      </c>
      <c r="AL3548" s="156" t="s">
        <v>689</v>
      </c>
      <c r="AM3548" s="198">
        <f t="shared" si="1701"/>
        <v>0</v>
      </c>
      <c r="AN3548" s="199">
        <f t="shared" si="1702"/>
        <v>46203</v>
      </c>
      <c r="AO3548" s="159" t="s">
        <v>692</v>
      </c>
      <c r="AP3548" s="783" t="s">
        <v>620</v>
      </c>
      <c r="AQ3548" s="796" t="s">
        <v>422</v>
      </c>
      <c r="AR3548" s="782">
        <v>12055234</v>
      </c>
      <c r="AS3548" s="781"/>
      <c r="AT3548" s="782"/>
      <c r="AU3548" s="782"/>
      <c r="AV3548" s="782">
        <v>12062809</v>
      </c>
      <c r="AW3548" s="782"/>
      <c r="AX3548" s="782" t="s">
        <v>619</v>
      </c>
      <c r="AY3548" s="781"/>
      <c r="AZ3548" s="781"/>
      <c r="BA3548" s="781"/>
      <c r="BB3548" s="209">
        <v>23053184</v>
      </c>
    </row>
    <row r="3549" spans="1:54" ht="24.65" customHeight="1">
      <c r="B3549" s="369">
        <v>46204</v>
      </c>
      <c r="C3549" s="370">
        <v>46211</v>
      </c>
      <c r="D3549" s="185">
        <f t="shared" si="1693"/>
        <v>2026</v>
      </c>
      <c r="E3549" s="370" t="e">
        <f>VLOOKUP($B3549,Week!$A$1:$C$1462,2,0)</f>
        <v>#N/A</v>
      </c>
      <c r="F3549" s="372" t="str">
        <f t="shared" si="1694"/>
        <v>Jul</v>
      </c>
      <c r="G3549" s="439" t="s">
        <v>3069</v>
      </c>
      <c r="H3549" s="371" t="s">
        <v>104</v>
      </c>
      <c r="I3549" s="371" t="s">
        <v>2772</v>
      </c>
      <c r="J3549" s="373" t="s">
        <v>105</v>
      </c>
      <c r="K3549" s="374" t="s">
        <v>593</v>
      </c>
      <c r="L3549" s="300" t="s">
        <v>2167</v>
      </c>
      <c r="M3549" s="373" t="s">
        <v>594</v>
      </c>
      <c r="N3549" s="371" t="s">
        <v>687</v>
      </c>
      <c r="O3549" s="371" t="s">
        <v>415</v>
      </c>
      <c r="P3549" s="375">
        <v>24</v>
      </c>
      <c r="Q3549" s="375">
        <v>5</v>
      </c>
      <c r="R3549" s="376">
        <v>6.0000000000000001E-3</v>
      </c>
      <c r="S3549" s="371" t="s">
        <v>55</v>
      </c>
      <c r="T3549" s="371" t="s">
        <v>112</v>
      </c>
      <c r="U3549" s="371" t="s">
        <v>57</v>
      </c>
      <c r="V3549" s="377">
        <f>945</f>
        <v>945</v>
      </c>
      <c r="W3549" s="377">
        <f>945</f>
        <v>945</v>
      </c>
      <c r="X3549" s="378"/>
      <c r="Y3549" s="379">
        <f t="shared" si="1703"/>
        <v>0</v>
      </c>
      <c r="Z3549" s="380">
        <f t="shared" si="1704"/>
        <v>0</v>
      </c>
      <c r="AA3549" s="380">
        <f t="shared" si="1695"/>
        <v>0</v>
      </c>
      <c r="AB3549" s="820">
        <v>7.4999999999999997E-3</v>
      </c>
      <c r="AC3549" s="377">
        <f t="shared" si="1705"/>
        <v>0</v>
      </c>
      <c r="AD3549" s="486" t="s">
        <v>2905</v>
      </c>
      <c r="AE3549" s="210">
        <f t="shared" si="1706"/>
        <v>0</v>
      </c>
      <c r="AF3549" s="210">
        <f t="shared" si="1707"/>
        <v>0</v>
      </c>
      <c r="AG3549" s="211">
        <f t="shared" si="1708"/>
        <v>0.25800000000000001</v>
      </c>
      <c r="AH3549" s="157">
        <f t="shared" si="1709"/>
        <v>0</v>
      </c>
      <c r="AI3549" s="152">
        <f t="shared" si="1710"/>
        <v>22680</v>
      </c>
      <c r="AK3549" s="156" t="s">
        <v>691</v>
      </c>
      <c r="AL3549" s="212" t="s">
        <v>690</v>
      </c>
      <c r="AM3549" s="198">
        <f t="shared" si="1701"/>
        <v>0</v>
      </c>
      <c r="AN3549" s="199">
        <f t="shared" si="1702"/>
        <v>46204</v>
      </c>
      <c r="AO3549" s="159" t="s">
        <v>692</v>
      </c>
      <c r="AP3549" s="783"/>
      <c r="AQ3549" s="782">
        <v>12071839</v>
      </c>
      <c r="AR3549" s="782">
        <v>12042650</v>
      </c>
      <c r="AS3549" s="782">
        <v>12042649</v>
      </c>
      <c r="AT3549" s="782">
        <v>12085742</v>
      </c>
      <c r="AU3549" s="781"/>
      <c r="AV3549" s="782">
        <v>12085744</v>
      </c>
      <c r="AW3549" s="782">
        <v>12049607</v>
      </c>
      <c r="AX3549" s="782"/>
      <c r="AY3549" s="782">
        <v>12094129</v>
      </c>
      <c r="AZ3549" s="782"/>
      <c r="BA3549" s="781"/>
      <c r="BB3549" s="209">
        <v>23053185</v>
      </c>
    </row>
    <row r="3550" spans="1:54" ht="24.65" customHeight="1">
      <c r="B3550" s="369">
        <v>46204</v>
      </c>
      <c r="C3550" s="370">
        <v>46238</v>
      </c>
      <c r="D3550" s="185">
        <f t="shared" si="1693"/>
        <v>2026</v>
      </c>
      <c r="E3550" s="370" t="e">
        <f>VLOOKUP($B3550,Week!$A$1:$C$1462,2,0)</f>
        <v>#N/A</v>
      </c>
      <c r="F3550" s="372" t="str">
        <f t="shared" si="1694"/>
        <v>Jul</v>
      </c>
      <c r="G3550" s="439" t="s">
        <v>3070</v>
      </c>
      <c r="H3550" s="371" t="s">
        <v>104</v>
      </c>
      <c r="I3550" s="371" t="s">
        <v>2772</v>
      </c>
      <c r="J3550" s="373" t="s">
        <v>105</v>
      </c>
      <c r="K3550" s="374" t="s">
        <v>593</v>
      </c>
      <c r="L3550" s="300" t="s">
        <v>2167</v>
      </c>
      <c r="M3550" s="373" t="s">
        <v>594</v>
      </c>
      <c r="N3550" s="371" t="s">
        <v>687</v>
      </c>
      <c r="O3550" s="371" t="s">
        <v>415</v>
      </c>
      <c r="P3550" s="375">
        <v>24</v>
      </c>
      <c r="Q3550" s="375">
        <v>5</v>
      </c>
      <c r="R3550" s="376">
        <v>6.0000000000000001E-3</v>
      </c>
      <c r="S3550" s="371" t="s">
        <v>55</v>
      </c>
      <c r="T3550" s="371" t="s">
        <v>112</v>
      </c>
      <c r="U3550" s="371" t="s">
        <v>57</v>
      </c>
      <c r="V3550" s="377">
        <f>1000</f>
        <v>1000</v>
      </c>
      <c r="W3550" s="377">
        <f>1829-945+68</f>
        <v>952</v>
      </c>
      <c r="X3550" s="378">
        <f>(439+835+100)/24</f>
        <v>57.25</v>
      </c>
      <c r="Y3550" s="379">
        <f t="shared" si="1703"/>
        <v>9.25</v>
      </c>
      <c r="Z3550" s="380">
        <f t="shared" si="1704"/>
        <v>0</v>
      </c>
      <c r="AA3550" s="380">
        <f t="shared" si="1695"/>
        <v>0</v>
      </c>
      <c r="AB3550" s="820">
        <v>7.4999999999999997E-3</v>
      </c>
      <c r="AC3550" s="377">
        <f t="shared" si="1705"/>
        <v>0</v>
      </c>
      <c r="AD3550" s="486" t="s">
        <v>2905</v>
      </c>
      <c r="AE3550" s="210">
        <f t="shared" si="1706"/>
        <v>0</v>
      </c>
      <c r="AF3550" s="210">
        <f t="shared" si="1707"/>
        <v>0</v>
      </c>
      <c r="AG3550" s="211">
        <f t="shared" si="1708"/>
        <v>0.25800000000000001</v>
      </c>
      <c r="AH3550" s="157">
        <f t="shared" si="1709"/>
        <v>0</v>
      </c>
      <c r="AI3550" s="152">
        <f t="shared" si="1710"/>
        <v>24000</v>
      </c>
      <c r="AK3550" s="156" t="s">
        <v>691</v>
      </c>
      <c r="AL3550" s="212" t="s">
        <v>690</v>
      </c>
      <c r="AM3550" s="198">
        <f t="shared" si="1701"/>
        <v>0</v>
      </c>
      <c r="AN3550" s="199">
        <f t="shared" si="1702"/>
        <v>46204</v>
      </c>
      <c r="AO3550" s="159" t="s">
        <v>692</v>
      </c>
      <c r="AP3550" s="783"/>
      <c r="AQ3550" s="782">
        <v>12071839</v>
      </c>
      <c r="AR3550" s="782">
        <v>12042650</v>
      </c>
      <c r="AS3550" s="782">
        <v>12042649</v>
      </c>
      <c r="AT3550" s="782">
        <v>12085742</v>
      </c>
      <c r="AU3550" s="781"/>
      <c r="AV3550" s="782">
        <v>12085744</v>
      </c>
      <c r="AW3550" s="782">
        <v>12049607</v>
      </c>
      <c r="AX3550" s="782"/>
      <c r="AY3550" s="782">
        <v>12094129</v>
      </c>
      <c r="AZ3550" s="782"/>
      <c r="BA3550" s="781"/>
      <c r="BB3550" s="209">
        <v>23053185</v>
      </c>
    </row>
    <row r="3551" spans="1:54" ht="25" customHeight="1">
      <c r="B3551" s="357">
        <v>46204</v>
      </c>
      <c r="C3551" s="358">
        <v>46223</v>
      </c>
      <c r="D3551" s="185">
        <f t="shared" si="1693"/>
        <v>2026</v>
      </c>
      <c r="E3551" s="358" t="e">
        <f>VLOOKUP($B3551,Week!$A$1:$C$1462,2,0)</f>
        <v>#N/A</v>
      </c>
      <c r="F3551" s="360" t="str">
        <f t="shared" si="1694"/>
        <v>Jul</v>
      </c>
      <c r="G3551" s="436" t="s">
        <v>3016</v>
      </c>
      <c r="H3551" s="359" t="s">
        <v>225</v>
      </c>
      <c r="I3551" s="359" t="s">
        <v>2773</v>
      </c>
      <c r="J3551" s="361" t="s">
        <v>650</v>
      </c>
      <c r="K3551" s="362" t="s">
        <v>593</v>
      </c>
      <c r="L3551" s="300" t="s">
        <v>2167</v>
      </c>
      <c r="M3551" s="361" t="s">
        <v>717</v>
      </c>
      <c r="N3551" s="359" t="s">
        <v>719</v>
      </c>
      <c r="O3551" s="359" t="s">
        <v>230</v>
      </c>
      <c r="P3551" s="363">
        <v>12</v>
      </c>
      <c r="Q3551" s="363">
        <v>5</v>
      </c>
      <c r="R3551" s="364">
        <v>6.0000000000000001E-3</v>
      </c>
      <c r="S3551" s="359" t="s">
        <v>55</v>
      </c>
      <c r="T3551" s="359" t="s">
        <v>112</v>
      </c>
      <c r="U3551" s="359" t="s">
        <v>57</v>
      </c>
      <c r="V3551" s="365">
        <f>6906/12</f>
        <v>575.5</v>
      </c>
      <c r="W3551" s="365"/>
      <c r="X3551" s="366">
        <f>6906/12</f>
        <v>575.5</v>
      </c>
      <c r="Y3551" s="367">
        <f t="shared" si="1703"/>
        <v>0</v>
      </c>
      <c r="Z3551" s="368">
        <f t="shared" si="1704"/>
        <v>0</v>
      </c>
      <c r="AA3551" s="368">
        <f t="shared" si="1695"/>
        <v>0</v>
      </c>
      <c r="AB3551" s="819">
        <v>7.4999999999999997E-3</v>
      </c>
      <c r="AC3551" s="365">
        <f t="shared" si="1705"/>
        <v>0</v>
      </c>
      <c r="AD3551" s="307" t="s">
        <v>2421</v>
      </c>
      <c r="AE3551" s="210">
        <f t="shared" si="1706"/>
        <v>0</v>
      </c>
      <c r="AF3551" s="210">
        <f t="shared" si="1707"/>
        <v>0</v>
      </c>
      <c r="AG3551" s="211">
        <f t="shared" si="1708"/>
        <v>0.25800000000000001</v>
      </c>
      <c r="AH3551" s="157">
        <f t="shared" si="1709"/>
        <v>0</v>
      </c>
      <c r="AI3551" s="152">
        <f t="shared" si="1710"/>
        <v>6906</v>
      </c>
      <c r="AK3551" s="156" t="s">
        <v>691</v>
      </c>
      <c r="AL3551" s="574" t="s">
        <v>690</v>
      </c>
      <c r="AM3551" s="198">
        <f t="shared" si="1701"/>
        <v>0</v>
      </c>
      <c r="AN3551" s="199">
        <f t="shared" si="1702"/>
        <v>46204</v>
      </c>
      <c r="AO3551" s="159" t="s">
        <v>692</v>
      </c>
      <c r="AP3551" s="783" t="s">
        <v>612</v>
      </c>
      <c r="AQ3551" s="782">
        <v>12071839</v>
      </c>
      <c r="AR3551" s="782">
        <v>12042650</v>
      </c>
      <c r="AS3551" s="782">
        <v>12042649</v>
      </c>
      <c r="AT3551" s="782">
        <v>12096387</v>
      </c>
      <c r="AU3551" s="781"/>
      <c r="AV3551" s="782">
        <v>12088422</v>
      </c>
      <c r="AW3551" s="782"/>
      <c r="AX3551" s="782"/>
      <c r="AY3551" s="782"/>
      <c r="AZ3551" s="782"/>
      <c r="BA3551" s="781"/>
      <c r="BB3551" s="209">
        <v>23053185</v>
      </c>
    </row>
    <row r="3552" spans="1:54" ht="25" customHeight="1">
      <c r="B3552" s="213">
        <v>46204</v>
      </c>
      <c r="C3552" s="214">
        <v>46210</v>
      </c>
      <c r="D3552" s="185">
        <f t="shared" si="1693"/>
        <v>2026</v>
      </c>
      <c r="E3552" s="215" t="e">
        <f>VLOOKUP($B3552,Week!$A$1:$C$1462,2,0)</f>
        <v>#N/A</v>
      </c>
      <c r="F3552" s="216" t="str">
        <f t="shared" si="1694"/>
        <v>Jul</v>
      </c>
      <c r="G3552" s="215" t="s">
        <v>2847</v>
      </c>
      <c r="H3552" s="215" t="s">
        <v>134</v>
      </c>
      <c r="I3552" s="215" t="s">
        <v>2772</v>
      </c>
      <c r="J3552" s="209" t="s">
        <v>2932</v>
      </c>
      <c r="K3552" s="217" t="s">
        <v>176</v>
      </c>
      <c r="L3552" s="300" t="s">
        <v>2167</v>
      </c>
      <c r="M3552" s="209" t="s">
        <v>193</v>
      </c>
      <c r="N3552" s="215" t="s">
        <v>194</v>
      </c>
      <c r="O3552" s="215" t="s">
        <v>195</v>
      </c>
      <c r="P3552" s="218">
        <v>24</v>
      </c>
      <c r="Q3552" s="218">
        <v>5</v>
      </c>
      <c r="R3552" s="219">
        <v>8.0000000000000002E-3</v>
      </c>
      <c r="S3552" s="215" t="s">
        <v>40</v>
      </c>
      <c r="T3552" s="215" t="s">
        <v>56</v>
      </c>
      <c r="U3552" s="215" t="s">
        <v>57</v>
      </c>
      <c r="V3552" s="220">
        <f>250</f>
        <v>250</v>
      </c>
      <c r="W3552" s="220">
        <f>15+224+9</f>
        <v>248</v>
      </c>
      <c r="X3552" s="221">
        <f>(51)/24</f>
        <v>2.125</v>
      </c>
      <c r="Y3552" s="222">
        <f t="shared" si="1703"/>
        <v>0.125</v>
      </c>
      <c r="Z3552" s="223">
        <f t="shared" si="1704"/>
        <v>0</v>
      </c>
      <c r="AA3552" s="220">
        <f t="shared" si="1695"/>
        <v>0</v>
      </c>
      <c r="AB3552" s="807">
        <v>1</v>
      </c>
      <c r="AC3552" s="220">
        <f t="shared" si="1705"/>
        <v>0</v>
      </c>
      <c r="AD3552" s="381"/>
      <c r="AE3552" s="210">
        <f t="shared" si="1706"/>
        <v>0</v>
      </c>
      <c r="AF3552" s="210">
        <f t="shared" si="1707"/>
        <v>0</v>
      </c>
      <c r="AG3552" s="211">
        <f t="shared" si="1708"/>
        <v>0.14499999999999999</v>
      </c>
      <c r="AH3552" s="157">
        <f t="shared" si="1709"/>
        <v>0</v>
      </c>
      <c r="AI3552" s="152">
        <f t="shared" si="1710"/>
        <v>6000</v>
      </c>
      <c r="AK3552" s="156" t="s">
        <v>691</v>
      </c>
      <c r="AL3552" s="212" t="s">
        <v>690</v>
      </c>
      <c r="AM3552" s="198">
        <f t="shared" si="1701"/>
        <v>0</v>
      </c>
      <c r="AN3552" s="199">
        <f t="shared" si="1702"/>
        <v>46204</v>
      </c>
      <c r="AO3552" s="159" t="s">
        <v>692</v>
      </c>
      <c r="AP3552" s="783" t="s">
        <v>610</v>
      </c>
      <c r="AQ3552" s="782">
        <v>12071839</v>
      </c>
      <c r="AR3552" s="782">
        <v>12047514</v>
      </c>
      <c r="AS3552" s="782">
        <v>12047515</v>
      </c>
      <c r="AT3552" s="782"/>
      <c r="AU3552" s="782">
        <v>12026902</v>
      </c>
      <c r="AV3552" s="796" t="s">
        <v>2980</v>
      </c>
      <c r="AW3552" s="782">
        <v>12026904</v>
      </c>
      <c r="AX3552" s="782"/>
      <c r="AY3552" s="782">
        <v>12094406</v>
      </c>
      <c r="AZ3552" s="782">
        <v>12094407</v>
      </c>
      <c r="BA3552" s="782">
        <v>12094408</v>
      </c>
    </row>
    <row r="3553" spans="1:54" ht="24.75" customHeight="1">
      <c r="A3553" s="946" t="s">
        <v>651</v>
      </c>
      <c r="B3553" s="535">
        <v>46204</v>
      </c>
      <c r="C3553" s="535">
        <v>46230</v>
      </c>
      <c r="D3553" s="537">
        <f t="shared" si="1693"/>
        <v>2026</v>
      </c>
      <c r="E3553" s="537" t="e">
        <f>VLOOKUP($B3553,Week!$A$1:$C$1462,2,0)</f>
        <v>#N/A</v>
      </c>
      <c r="F3553" s="536" t="str">
        <f t="shared" si="1694"/>
        <v>Jul</v>
      </c>
      <c r="G3553" s="537" t="s">
        <v>3008</v>
      </c>
      <c r="H3553" s="537" t="s">
        <v>424</v>
      </c>
      <c r="I3553" s="537" t="s">
        <v>2772</v>
      </c>
      <c r="J3553" s="538" t="s">
        <v>535</v>
      </c>
      <c r="K3553" s="539" t="s">
        <v>2727</v>
      </c>
      <c r="L3553" s="539" t="s">
        <v>2167</v>
      </c>
      <c r="M3553" s="935" t="s">
        <v>2728</v>
      </c>
      <c r="N3553" s="537" t="s">
        <v>2729</v>
      </c>
      <c r="O3553" s="537" t="s">
        <v>2253</v>
      </c>
      <c r="P3553" s="540">
        <v>8</v>
      </c>
      <c r="Q3553" s="540">
        <v>5</v>
      </c>
      <c r="R3553" s="541">
        <v>6.8100000000000001E-3</v>
      </c>
      <c r="S3553" s="537" t="s">
        <v>40</v>
      </c>
      <c r="T3553" s="537" t="s">
        <v>112</v>
      </c>
      <c r="U3553" s="937" t="s">
        <v>2730</v>
      </c>
      <c r="V3553" s="542">
        <f>400</f>
        <v>400</v>
      </c>
      <c r="W3553" s="542"/>
      <c r="X3553" s="543">
        <f>(3253)/8</f>
        <v>406.625</v>
      </c>
      <c r="Y3553" s="544">
        <f t="shared" ref="Y3553:Y3558" si="1711">(W3553+X3553)-V3553</f>
        <v>6.625</v>
      </c>
      <c r="Z3553" s="545">
        <f t="shared" ref="Z3553:Z3558" si="1712">IF(Y3553&lt;0,((V3553*P3553)-((W3553+X3553)*P3553)),0)</f>
        <v>0</v>
      </c>
      <c r="AA3553" s="545">
        <f t="shared" si="1695"/>
        <v>0</v>
      </c>
      <c r="AB3553" s="936">
        <v>7.4999999999999997E-3</v>
      </c>
      <c r="AC3553" s="542">
        <f t="shared" ref="AC3553:AC3558" si="1713">Z3553*AB3553</f>
        <v>0</v>
      </c>
      <c r="AD3553" s="307" t="s">
        <v>2354</v>
      </c>
      <c r="AE3553" s="210">
        <f t="shared" si="1706"/>
        <v>0</v>
      </c>
      <c r="AF3553" s="210">
        <f t="shared" ref="AF3553:AF3558" si="1714">AE3553/0.54</f>
        <v>0</v>
      </c>
      <c r="AG3553" s="211">
        <f t="shared" ref="AG3553:AG3558" si="1715">MID(O3553,1,3)/1000</f>
        <v>0.14699999999999999</v>
      </c>
      <c r="AH3553" s="157">
        <f t="shared" ref="AH3553:AH3558" si="1716">(Z3553*AG3553)/1000</f>
        <v>0</v>
      </c>
      <c r="AI3553" s="152">
        <f t="shared" ref="AI3553:AI3558" si="1717">V3553*P3553</f>
        <v>3200</v>
      </c>
      <c r="AK3553" s="156" t="s">
        <v>691</v>
      </c>
      <c r="AL3553" s="574" t="s">
        <v>690</v>
      </c>
      <c r="AM3553" s="198">
        <f t="shared" si="1701"/>
        <v>0</v>
      </c>
      <c r="AN3553" s="199">
        <f t="shared" si="1702"/>
        <v>46204</v>
      </c>
      <c r="AO3553" s="159" t="s">
        <v>692</v>
      </c>
      <c r="AP3553" s="781"/>
      <c r="AQ3553" s="782">
        <v>12071839</v>
      </c>
      <c r="AR3553" s="782">
        <v>12080260</v>
      </c>
      <c r="AS3553" s="782">
        <v>12080259</v>
      </c>
      <c r="AT3553" s="782">
        <v>12097450</v>
      </c>
      <c r="AU3553" s="781"/>
      <c r="AV3553" s="782">
        <v>12097451</v>
      </c>
      <c r="AW3553" s="782"/>
      <c r="AX3553" s="782"/>
      <c r="AY3553" s="782"/>
      <c r="AZ3553" s="782"/>
      <c r="BA3553" s="781"/>
      <c r="BB3553" s="209">
        <v>23053185</v>
      </c>
    </row>
    <row r="3554" spans="1:54" ht="24.65" customHeight="1">
      <c r="A3554" s="142" t="s">
        <v>120</v>
      </c>
      <c r="B3554" s="258">
        <v>46205</v>
      </c>
      <c r="C3554" s="259">
        <v>46241</v>
      </c>
      <c r="D3554" s="185">
        <f t="shared" si="1693"/>
        <v>2026</v>
      </c>
      <c r="E3554" s="260" t="e">
        <f>VLOOKUP($B3554,Week!$A$1:$C$1462,2,0)</f>
        <v>#N/A</v>
      </c>
      <c r="F3554" s="261" t="str">
        <f t="shared" si="1694"/>
        <v>Jul</v>
      </c>
      <c r="G3554" s="262" t="s">
        <v>2969</v>
      </c>
      <c r="H3554" s="260" t="s">
        <v>134</v>
      </c>
      <c r="I3554" s="260" t="s">
        <v>2772</v>
      </c>
      <c r="J3554" s="263" t="s">
        <v>2932</v>
      </c>
      <c r="K3554" s="264" t="s">
        <v>153</v>
      </c>
      <c r="L3554" s="390" t="s">
        <v>2166</v>
      </c>
      <c r="M3554" s="263" t="s">
        <v>165</v>
      </c>
      <c r="N3554" s="260" t="s">
        <v>166</v>
      </c>
      <c r="O3554" s="260" t="s">
        <v>502</v>
      </c>
      <c r="P3554" s="265">
        <v>20</v>
      </c>
      <c r="Q3554" s="265">
        <v>12</v>
      </c>
      <c r="R3554" s="266">
        <v>6.8100000000000001E-3</v>
      </c>
      <c r="S3554" s="260" t="s">
        <v>76</v>
      </c>
      <c r="T3554" s="260" t="s">
        <v>56</v>
      </c>
      <c r="U3554" s="260" t="s">
        <v>89</v>
      </c>
      <c r="V3554" s="267">
        <f>1200</f>
        <v>1200</v>
      </c>
      <c r="W3554" s="267">
        <f>664</f>
        <v>664</v>
      </c>
      <c r="X3554" s="268">
        <f>(1080+3220+6420)/20</f>
        <v>536</v>
      </c>
      <c r="Y3554" s="269">
        <f t="shared" si="1711"/>
        <v>0</v>
      </c>
      <c r="Z3554" s="270">
        <f t="shared" si="1712"/>
        <v>0</v>
      </c>
      <c r="AA3554" s="270">
        <f t="shared" si="1695"/>
        <v>0</v>
      </c>
      <c r="AB3554" s="811">
        <v>2</v>
      </c>
      <c r="AC3554" s="267">
        <f t="shared" si="1713"/>
        <v>0</v>
      </c>
      <c r="AD3554" s="209" t="s">
        <v>168</v>
      </c>
      <c r="AE3554" s="210">
        <f t="shared" si="1706"/>
        <v>0</v>
      </c>
      <c r="AF3554" s="210">
        <f t="shared" si="1714"/>
        <v>0</v>
      </c>
      <c r="AG3554" s="211">
        <f t="shared" si="1715"/>
        <v>0.154</v>
      </c>
      <c r="AH3554" s="157">
        <f t="shared" si="1716"/>
        <v>0</v>
      </c>
      <c r="AI3554" s="152">
        <f t="shared" si="1717"/>
        <v>24000</v>
      </c>
      <c r="AK3554" s="156" t="s">
        <v>691</v>
      </c>
      <c r="AL3554" s="156" t="s">
        <v>689</v>
      </c>
      <c r="AM3554" s="198">
        <f t="shared" si="1701"/>
        <v>0</v>
      </c>
      <c r="AN3554" s="199">
        <f t="shared" si="1702"/>
        <v>46205</v>
      </c>
      <c r="AO3554" s="159" t="s">
        <v>692</v>
      </c>
      <c r="AP3554" s="783" t="s">
        <v>610</v>
      </c>
      <c r="AQ3554" s="783" t="s">
        <v>631</v>
      </c>
      <c r="AR3554" s="783" t="s">
        <v>523</v>
      </c>
      <c r="AS3554" s="781"/>
      <c r="AT3554" s="782">
        <v>12096524</v>
      </c>
      <c r="AU3554" s="781"/>
      <c r="AV3554" s="783" t="s">
        <v>2507</v>
      </c>
      <c r="AW3554" s="781"/>
      <c r="AX3554" s="782" t="s">
        <v>398</v>
      </c>
      <c r="AY3554" s="781"/>
      <c r="AZ3554" s="781"/>
      <c r="BA3554" s="781"/>
      <c r="BB3554" s="209">
        <v>23053184</v>
      </c>
    </row>
    <row r="3555" spans="1:54" ht="25" customHeight="1">
      <c r="B3555" s="271">
        <v>46205</v>
      </c>
      <c r="C3555" s="441">
        <v>46212</v>
      </c>
      <c r="D3555" s="274">
        <f t="shared" si="1693"/>
        <v>2026</v>
      </c>
      <c r="E3555" s="274" t="e">
        <f>VLOOKUP($B3555,Week!$A$1:$C$1462,2,0)</f>
        <v>#N/A</v>
      </c>
      <c r="F3555" s="273" t="str">
        <f t="shared" si="1694"/>
        <v>Jul</v>
      </c>
      <c r="G3555" s="274" t="s">
        <v>3064</v>
      </c>
      <c r="H3555" s="274" t="s">
        <v>225</v>
      </c>
      <c r="I3555" s="274" t="s">
        <v>2773</v>
      </c>
      <c r="J3555" s="275" t="s">
        <v>650</v>
      </c>
      <c r="K3555" s="276" t="s">
        <v>2256</v>
      </c>
      <c r="L3555" s="276" t="s">
        <v>2167</v>
      </c>
      <c r="M3555" s="275" t="s">
        <v>2258</v>
      </c>
      <c r="N3555" s="274" t="s">
        <v>2259</v>
      </c>
      <c r="O3555" s="274" t="s">
        <v>110</v>
      </c>
      <c r="P3555" s="277">
        <v>36</v>
      </c>
      <c r="Q3555" s="277">
        <v>5</v>
      </c>
      <c r="R3555" s="278">
        <v>7.4999999999999997E-3</v>
      </c>
      <c r="S3555" s="274" t="s">
        <v>111</v>
      </c>
      <c r="T3555" s="274" t="s">
        <v>112</v>
      </c>
      <c r="U3555" s="274" t="s">
        <v>113</v>
      </c>
      <c r="V3555" s="279">
        <f>792-287</f>
        <v>505</v>
      </c>
      <c r="W3555" s="279">
        <f>396</f>
        <v>396</v>
      </c>
      <c r="X3555" s="280">
        <f>(3924)/36</f>
        <v>109</v>
      </c>
      <c r="Y3555" s="281">
        <f t="shared" si="1711"/>
        <v>0</v>
      </c>
      <c r="Z3555" s="282">
        <f t="shared" si="1712"/>
        <v>0</v>
      </c>
      <c r="AA3555" s="282">
        <f t="shared" si="1695"/>
        <v>0</v>
      </c>
      <c r="AB3555" s="812">
        <v>9.7000000000000003E-3</v>
      </c>
      <c r="AC3555" s="279">
        <f t="shared" si="1713"/>
        <v>0</v>
      </c>
      <c r="AD3555" s="209"/>
      <c r="AE3555" s="210">
        <f t="shared" si="1706"/>
        <v>0</v>
      </c>
      <c r="AF3555" s="210">
        <f t="shared" si="1714"/>
        <v>0</v>
      </c>
      <c r="AG3555" s="211">
        <f t="shared" si="1715"/>
        <v>0.308</v>
      </c>
      <c r="AH3555" s="157">
        <f t="shared" si="1716"/>
        <v>0</v>
      </c>
      <c r="AI3555" s="152">
        <f t="shared" si="1717"/>
        <v>18180</v>
      </c>
      <c r="AK3555" s="156" t="s">
        <v>691</v>
      </c>
      <c r="AL3555" s="574" t="s">
        <v>690</v>
      </c>
      <c r="AM3555" s="198">
        <f t="shared" si="1701"/>
        <v>0</v>
      </c>
      <c r="AN3555" s="199">
        <f t="shared" si="1702"/>
        <v>46205</v>
      </c>
      <c r="AO3555" s="159" t="s">
        <v>692</v>
      </c>
      <c r="AP3555" s="781"/>
      <c r="AQ3555" s="782">
        <v>12063755</v>
      </c>
      <c r="AR3555" s="782">
        <v>12061353</v>
      </c>
      <c r="AS3555" s="782">
        <v>12061354</v>
      </c>
      <c r="AT3555" s="782">
        <v>12095367</v>
      </c>
      <c r="AU3555" s="781"/>
      <c r="AV3555" s="782">
        <v>12095366</v>
      </c>
      <c r="AW3555" s="782">
        <v>12088207</v>
      </c>
      <c r="AX3555" s="782"/>
      <c r="AY3555" s="782">
        <v>12095368</v>
      </c>
      <c r="AZ3555" s="782"/>
      <c r="BA3555" s="781"/>
      <c r="BB3555" s="209">
        <v>23054743</v>
      </c>
    </row>
    <row r="3556" spans="1:54" ht="25" customHeight="1">
      <c r="B3556" s="357">
        <v>46205</v>
      </c>
      <c r="C3556" s="358">
        <v>46247</v>
      </c>
      <c r="D3556" s="185">
        <f t="shared" si="1693"/>
        <v>2026</v>
      </c>
      <c r="E3556" s="358" t="e">
        <f>VLOOKUP($B3556,Week!$A$1:$C$1462,2,0)</f>
        <v>#N/A</v>
      </c>
      <c r="F3556" s="360" t="str">
        <f t="shared" si="1694"/>
        <v>Jul</v>
      </c>
      <c r="G3556" s="436" t="s">
        <v>3076</v>
      </c>
      <c r="H3556" s="359" t="s">
        <v>225</v>
      </c>
      <c r="I3556" s="359" t="s">
        <v>2773</v>
      </c>
      <c r="J3556" s="361" t="s">
        <v>650</v>
      </c>
      <c r="K3556" s="362" t="s">
        <v>593</v>
      </c>
      <c r="L3556" s="300" t="s">
        <v>2167</v>
      </c>
      <c r="M3556" s="361" t="s">
        <v>717</v>
      </c>
      <c r="N3556" s="359" t="s">
        <v>719</v>
      </c>
      <c r="O3556" s="359" t="s">
        <v>230</v>
      </c>
      <c r="P3556" s="363">
        <v>12</v>
      </c>
      <c r="Q3556" s="363">
        <v>5</v>
      </c>
      <c r="R3556" s="364">
        <v>6.0000000000000001E-3</v>
      </c>
      <c r="S3556" s="359" t="s">
        <v>55</v>
      </c>
      <c r="T3556" s="359" t="s">
        <v>112</v>
      </c>
      <c r="U3556" s="359" t="s">
        <v>57</v>
      </c>
      <c r="V3556" s="365">
        <v>2600</v>
      </c>
      <c r="W3556" s="365"/>
      <c r="X3556" s="366">
        <f>(1838+28842+520)/12</f>
        <v>2600</v>
      </c>
      <c r="Y3556" s="367">
        <f t="shared" si="1711"/>
        <v>0</v>
      </c>
      <c r="Z3556" s="368">
        <f t="shared" si="1712"/>
        <v>0</v>
      </c>
      <c r="AA3556" s="368">
        <f t="shared" si="1695"/>
        <v>0</v>
      </c>
      <c r="AB3556" s="819">
        <v>7.4999999999999997E-3</v>
      </c>
      <c r="AC3556" s="365">
        <f t="shared" si="1713"/>
        <v>0</v>
      </c>
      <c r="AD3556" s="443"/>
      <c r="AE3556" s="210">
        <f t="shared" si="1706"/>
        <v>0</v>
      </c>
      <c r="AF3556" s="210">
        <f t="shared" si="1714"/>
        <v>0</v>
      </c>
      <c r="AG3556" s="211">
        <f t="shared" si="1715"/>
        <v>0.25800000000000001</v>
      </c>
      <c r="AH3556" s="157">
        <f t="shared" si="1716"/>
        <v>0</v>
      </c>
      <c r="AI3556" s="152">
        <f t="shared" si="1717"/>
        <v>31200</v>
      </c>
      <c r="AK3556" s="156" t="s">
        <v>691</v>
      </c>
      <c r="AL3556" s="574" t="s">
        <v>690</v>
      </c>
      <c r="AM3556" s="198">
        <f t="shared" si="1701"/>
        <v>0</v>
      </c>
      <c r="AN3556" s="199">
        <f t="shared" si="1702"/>
        <v>46205</v>
      </c>
      <c r="AO3556" s="159" t="s">
        <v>692</v>
      </c>
      <c r="AP3556" s="783" t="s">
        <v>612</v>
      </c>
      <c r="AQ3556" s="782">
        <v>12071839</v>
      </c>
      <c r="AR3556" s="782">
        <v>12042650</v>
      </c>
      <c r="AS3556" s="782">
        <v>12042649</v>
      </c>
      <c r="AT3556" s="782">
        <v>12096387</v>
      </c>
      <c r="AU3556" s="781"/>
      <c r="AV3556" s="782">
        <v>12088422</v>
      </c>
      <c r="AW3556" s="782"/>
      <c r="AX3556" s="782"/>
      <c r="AY3556" s="782"/>
      <c r="AZ3556" s="782"/>
      <c r="BA3556" s="781"/>
      <c r="BB3556" s="209">
        <v>23053185</v>
      </c>
    </row>
    <row r="3557" spans="1:54" ht="25" customHeight="1">
      <c r="B3557" s="332">
        <v>46205</v>
      </c>
      <c r="C3557" s="333">
        <v>46217</v>
      </c>
      <c r="D3557" s="185">
        <f t="shared" si="1693"/>
        <v>2026</v>
      </c>
      <c r="E3557" s="333" t="e">
        <f>VLOOKUP($B3557,Week!$A$1:$C$1462,2,0)</f>
        <v>#N/A</v>
      </c>
      <c r="F3557" s="334" t="str">
        <f t="shared" si="1694"/>
        <v>Jul</v>
      </c>
      <c r="G3557" s="335" t="s">
        <v>3011</v>
      </c>
      <c r="H3557" s="335" t="s">
        <v>600</v>
      </c>
      <c r="I3557" s="335" t="s">
        <v>2772</v>
      </c>
      <c r="J3557" s="336" t="s">
        <v>708</v>
      </c>
      <c r="K3557" s="337" t="s">
        <v>1649</v>
      </c>
      <c r="L3557" s="300" t="s">
        <v>2167</v>
      </c>
      <c r="M3557" s="336" t="s">
        <v>2927</v>
      </c>
      <c r="N3557" s="335" t="s">
        <v>2921</v>
      </c>
      <c r="O3557" s="335" t="s">
        <v>2917</v>
      </c>
      <c r="P3557" s="338">
        <v>12</v>
      </c>
      <c r="Q3557" s="338">
        <v>3</v>
      </c>
      <c r="R3557" s="339">
        <v>6.1999999999999998E-3</v>
      </c>
      <c r="S3557" s="335" t="s">
        <v>55</v>
      </c>
      <c r="T3557" s="335" t="s">
        <v>112</v>
      </c>
      <c r="U3557" s="340" t="s">
        <v>1893</v>
      </c>
      <c r="V3557" s="341">
        <f>2660</f>
        <v>2660</v>
      </c>
      <c r="W3557" s="341"/>
      <c r="X3557" s="342">
        <f>(1773+30147)/12</f>
        <v>2660</v>
      </c>
      <c r="Y3557" s="343">
        <f t="shared" si="1711"/>
        <v>0</v>
      </c>
      <c r="Z3557" s="344">
        <f t="shared" si="1712"/>
        <v>0</v>
      </c>
      <c r="AA3557" s="344">
        <f t="shared" si="1695"/>
        <v>0</v>
      </c>
      <c r="AB3557" s="817">
        <v>3.85E-2</v>
      </c>
      <c r="AC3557" s="341">
        <f t="shared" si="1713"/>
        <v>0</v>
      </c>
      <c r="AD3557" s="443" t="s">
        <v>2779</v>
      </c>
      <c r="AE3557" s="210">
        <f t="shared" si="1706"/>
        <v>0</v>
      </c>
      <c r="AF3557" s="210">
        <f t="shared" si="1714"/>
        <v>0</v>
      </c>
      <c r="AG3557" s="211">
        <f t="shared" si="1715"/>
        <v>0.24</v>
      </c>
      <c r="AH3557" s="157">
        <f t="shared" si="1716"/>
        <v>0</v>
      </c>
      <c r="AI3557" s="152">
        <f t="shared" si="1717"/>
        <v>31920</v>
      </c>
      <c r="AK3557" s="156" t="s">
        <v>691</v>
      </c>
      <c r="AL3557" s="574" t="s">
        <v>690</v>
      </c>
      <c r="AM3557" s="198">
        <f t="shared" si="1701"/>
        <v>0</v>
      </c>
      <c r="AN3557" s="199">
        <f t="shared" si="1702"/>
        <v>46205</v>
      </c>
      <c r="AO3557" s="159" t="s">
        <v>692</v>
      </c>
      <c r="AP3557" s="783"/>
      <c r="AQ3557" s="782">
        <v>12071839</v>
      </c>
      <c r="AR3557" s="782">
        <v>12095778</v>
      </c>
      <c r="AS3557" s="782">
        <v>12095777</v>
      </c>
      <c r="AT3557" s="798" t="s">
        <v>3019</v>
      </c>
      <c r="AU3557" s="781"/>
      <c r="AV3557" s="782">
        <v>12098861</v>
      </c>
      <c r="AW3557" s="781"/>
      <c r="AX3557" s="781"/>
      <c r="AY3557" s="782"/>
      <c r="AZ3557" s="781"/>
      <c r="BA3557" s="781"/>
      <c r="BB3557" s="209">
        <v>23053185</v>
      </c>
    </row>
    <row r="3558" spans="1:54" ht="24.75" customHeight="1">
      <c r="B3558" s="602">
        <v>46206</v>
      </c>
      <c r="C3558" s="861" t="s">
        <v>2996</v>
      </c>
      <c r="D3558" s="604">
        <f t="shared" si="1693"/>
        <v>2026</v>
      </c>
      <c r="E3558" s="603" t="e">
        <f>VLOOKUP($B3558,Week!$A$1:$C$1462,2,0)</f>
        <v>#N/A</v>
      </c>
      <c r="F3558" s="605" t="str">
        <f t="shared" si="1694"/>
        <v>Jul</v>
      </c>
      <c r="G3558" s="938" t="s">
        <v>47</v>
      </c>
      <c r="H3558" s="604" t="s">
        <v>260</v>
      </c>
      <c r="I3558" s="604" t="s">
        <v>2702</v>
      </c>
      <c r="J3558" s="939" t="s">
        <v>2240</v>
      </c>
      <c r="K3558" s="607" t="s">
        <v>94</v>
      </c>
      <c r="L3558" s="607" t="s">
        <v>2167</v>
      </c>
      <c r="M3558" s="606" t="s">
        <v>2338</v>
      </c>
      <c r="N3558" s="604" t="s">
        <v>2997</v>
      </c>
      <c r="O3558" s="604" t="s">
        <v>54</v>
      </c>
      <c r="P3558" s="608">
        <v>24</v>
      </c>
      <c r="Q3558" s="608">
        <v>5</v>
      </c>
      <c r="R3558" s="609">
        <v>6.1999999999999998E-3</v>
      </c>
      <c r="S3558" s="604" t="s">
        <v>352</v>
      </c>
      <c r="T3558" s="604" t="s">
        <v>56</v>
      </c>
      <c r="U3558" s="604" t="s">
        <v>57</v>
      </c>
      <c r="V3558" s="610">
        <f>5182</f>
        <v>5182</v>
      </c>
      <c r="W3558" s="610">
        <f>5182</f>
        <v>5182</v>
      </c>
      <c r="X3558" s="611"/>
      <c r="Y3558" s="612">
        <f t="shared" si="1711"/>
        <v>0</v>
      </c>
      <c r="Z3558" s="613">
        <f t="shared" si="1712"/>
        <v>0</v>
      </c>
      <c r="AA3558" s="613">
        <f t="shared" si="1695"/>
        <v>0</v>
      </c>
      <c r="AB3558" s="836">
        <v>7.4999999999999997E-3</v>
      </c>
      <c r="AC3558" s="610">
        <f t="shared" si="1713"/>
        <v>0</v>
      </c>
      <c r="AD3558" s="443"/>
      <c r="AE3558" s="210">
        <f t="shared" si="1706"/>
        <v>0</v>
      </c>
      <c r="AF3558" s="210">
        <f t="shared" si="1714"/>
        <v>0</v>
      </c>
      <c r="AG3558" s="211">
        <f t="shared" si="1715"/>
        <v>0.13500000000000001</v>
      </c>
      <c r="AH3558" s="157">
        <f t="shared" si="1716"/>
        <v>0</v>
      </c>
      <c r="AI3558" s="152">
        <f t="shared" si="1717"/>
        <v>124368</v>
      </c>
      <c r="AK3558" s="156" t="s">
        <v>691</v>
      </c>
      <c r="AL3558" s="574" t="s">
        <v>690</v>
      </c>
      <c r="AM3558" s="198">
        <f t="shared" si="1701"/>
        <v>0</v>
      </c>
      <c r="AN3558" s="199">
        <f t="shared" si="1702"/>
        <v>46206</v>
      </c>
      <c r="AO3558" s="159" t="s">
        <v>692</v>
      </c>
      <c r="AP3558" s="783" t="s">
        <v>622</v>
      </c>
      <c r="AQ3558" s="782">
        <v>12071839</v>
      </c>
      <c r="AR3558" s="782">
        <v>12099098</v>
      </c>
      <c r="AS3558" s="782">
        <v>12068233</v>
      </c>
      <c r="AT3558" s="781"/>
      <c r="AU3558" s="781"/>
      <c r="AV3558" s="782">
        <v>12099466</v>
      </c>
      <c r="AW3558" s="781"/>
      <c r="AX3558" s="781"/>
      <c r="AY3558" s="782">
        <v>12099097</v>
      </c>
      <c r="AZ3558" s="782"/>
      <c r="BA3558" s="781"/>
      <c r="BB3558" s="209">
        <v>23053184</v>
      </c>
    </row>
    <row r="3559" spans="1:54" ht="24.75" customHeight="1">
      <c r="B3559" s="602">
        <v>46207</v>
      </c>
      <c r="C3559" s="861" t="s">
        <v>2996</v>
      </c>
      <c r="D3559" s="604">
        <f t="shared" si="1693"/>
        <v>2026</v>
      </c>
      <c r="E3559" s="603" t="e">
        <f>VLOOKUP($B3559,Week!$A$1:$C$1462,2,0)</f>
        <v>#N/A</v>
      </c>
      <c r="F3559" s="605" t="str">
        <f t="shared" si="1694"/>
        <v>Jul</v>
      </c>
      <c r="G3559" s="938" t="s">
        <v>47</v>
      </c>
      <c r="H3559" s="604" t="s">
        <v>260</v>
      </c>
      <c r="I3559" s="604" t="s">
        <v>2702</v>
      </c>
      <c r="J3559" s="939" t="s">
        <v>2240</v>
      </c>
      <c r="K3559" s="607" t="s">
        <v>94</v>
      </c>
      <c r="L3559" s="607" t="s">
        <v>2167</v>
      </c>
      <c r="M3559" s="606" t="s">
        <v>2338</v>
      </c>
      <c r="N3559" s="604" t="s">
        <v>2997</v>
      </c>
      <c r="O3559" s="604" t="s">
        <v>54</v>
      </c>
      <c r="P3559" s="608">
        <v>24</v>
      </c>
      <c r="Q3559" s="608">
        <v>5</v>
      </c>
      <c r="R3559" s="609">
        <v>6.1999999999999998E-3</v>
      </c>
      <c r="S3559" s="604" t="s">
        <v>352</v>
      </c>
      <c r="T3559" s="604" t="s">
        <v>56</v>
      </c>
      <c r="U3559" s="604" t="s">
        <v>57</v>
      </c>
      <c r="V3559" s="610">
        <v>3612</v>
      </c>
      <c r="W3559" s="610">
        <f>3612</f>
        <v>3612</v>
      </c>
      <c r="X3559" s="611"/>
      <c r="Y3559" s="612">
        <f>(W3559+X3559)-V3559</f>
        <v>0</v>
      </c>
      <c r="Z3559" s="613">
        <f>IF(Y3559&lt;0,((V3559*P3559)-((W3559+X3559)*P3559)),0)</f>
        <v>0</v>
      </c>
      <c r="AA3559" s="613">
        <f t="shared" si="1695"/>
        <v>0</v>
      </c>
      <c r="AB3559" s="836">
        <v>7.4999999999999997E-3</v>
      </c>
      <c r="AC3559" s="610">
        <f>Z3559*AB3559</f>
        <v>0</v>
      </c>
      <c r="AD3559" s="443"/>
      <c r="AE3559" s="210">
        <f t="shared" si="1706"/>
        <v>0</v>
      </c>
      <c r="AF3559" s="210">
        <f>AE3559/0.54</f>
        <v>0</v>
      </c>
      <c r="AG3559" s="211">
        <f>MID(O3559,1,3)/1000</f>
        <v>0.13500000000000001</v>
      </c>
      <c r="AH3559" s="157">
        <f>(Z3559*AG3559)/1000</f>
        <v>0</v>
      </c>
      <c r="AI3559" s="152">
        <f>V3559*P3559</f>
        <v>86688</v>
      </c>
      <c r="AK3559" s="156" t="s">
        <v>691</v>
      </c>
      <c r="AL3559" s="574" t="s">
        <v>690</v>
      </c>
      <c r="AM3559" s="198">
        <f t="shared" si="1701"/>
        <v>0</v>
      </c>
      <c r="AN3559" s="199">
        <f t="shared" si="1702"/>
        <v>46207</v>
      </c>
      <c r="AO3559" s="159" t="s">
        <v>692</v>
      </c>
      <c r="AP3559" s="783" t="s">
        <v>622</v>
      </c>
      <c r="AQ3559" s="782">
        <v>12071839</v>
      </c>
      <c r="AR3559" s="782">
        <v>12099098</v>
      </c>
      <c r="AS3559" s="782">
        <v>12068233</v>
      </c>
      <c r="AT3559" s="781"/>
      <c r="AU3559" s="781"/>
      <c r="AV3559" s="782">
        <v>12099466</v>
      </c>
      <c r="AW3559" s="781"/>
      <c r="AX3559" s="781"/>
      <c r="AY3559" s="782">
        <v>12099097</v>
      </c>
      <c r="AZ3559" s="782"/>
      <c r="BA3559" s="781"/>
      <c r="BB3559" s="209">
        <v>23053184</v>
      </c>
    </row>
    <row r="3560" spans="1:54" ht="25" customHeight="1">
      <c r="B3560" s="950">
        <v>46207</v>
      </c>
      <c r="C3560" s="951" t="s">
        <v>2996</v>
      </c>
      <c r="D3560" s="215">
        <f t="shared" si="1693"/>
        <v>2026</v>
      </c>
      <c r="E3560" s="214" t="e">
        <f>VLOOKUP($B3560,Week!$A$1:$C$1462,2,0)</f>
        <v>#N/A</v>
      </c>
      <c r="F3560" s="216" t="str">
        <f t="shared" si="1694"/>
        <v>Jul</v>
      </c>
      <c r="G3560" s="952" t="s">
        <v>47</v>
      </c>
      <c r="H3560" s="952" t="s">
        <v>260</v>
      </c>
      <c r="I3560" s="215" t="s">
        <v>2702</v>
      </c>
      <c r="J3560" s="953" t="s">
        <v>2702</v>
      </c>
      <c r="K3560" s="954" t="s">
        <v>2703</v>
      </c>
      <c r="L3560" s="217" t="s">
        <v>2167</v>
      </c>
      <c r="M3560" s="953" t="s">
        <v>2899</v>
      </c>
      <c r="N3560" s="955" t="s">
        <v>2704</v>
      </c>
      <c r="O3560" s="952" t="s">
        <v>1635</v>
      </c>
      <c r="P3560" s="956">
        <v>24</v>
      </c>
      <c r="Q3560" s="956">
        <v>3</v>
      </c>
      <c r="R3560" s="957">
        <v>6.1999999999999998E-3</v>
      </c>
      <c r="S3560" s="952" t="s">
        <v>352</v>
      </c>
      <c r="T3560" s="952" t="s">
        <v>56</v>
      </c>
      <c r="U3560" s="958" t="s">
        <v>739</v>
      </c>
      <c r="V3560" s="959">
        <f>2400-405</f>
        <v>1995</v>
      </c>
      <c r="W3560" s="959">
        <f>56+1812+127</f>
        <v>1995</v>
      </c>
      <c r="X3560" s="960"/>
      <c r="Y3560" s="961">
        <f>(W3560+X3560)-V3560</f>
        <v>0</v>
      </c>
      <c r="Z3560" s="962">
        <f>IF(Y3560&lt;0,((V3560*P3560)-((W3560+X3560)*P3560)),0)</f>
        <v>0</v>
      </c>
      <c r="AA3560" s="962">
        <f t="shared" si="1695"/>
        <v>0</v>
      </c>
      <c r="AB3560" s="963">
        <v>1.83E-2</v>
      </c>
      <c r="AC3560" s="959">
        <f>Z3560*AB3560</f>
        <v>0</v>
      </c>
      <c r="AD3560" s="443"/>
      <c r="AE3560" s="210">
        <f t="shared" si="1706"/>
        <v>0</v>
      </c>
      <c r="AF3560" s="210">
        <f>AE3560/0.54</f>
        <v>0</v>
      </c>
      <c r="AG3560" s="211">
        <f>MID(O3560,1,3)/1000</f>
        <v>0.25</v>
      </c>
      <c r="AH3560" s="157">
        <v>0.26621999999999996</v>
      </c>
      <c r="AI3560" s="152">
        <f>V3560*P3560</f>
        <v>47880</v>
      </c>
      <c r="AK3560" s="156" t="s">
        <v>691</v>
      </c>
      <c r="AL3560" s="574" t="s">
        <v>690</v>
      </c>
      <c r="AM3560" s="198">
        <f t="shared" si="1701"/>
        <v>0</v>
      </c>
      <c r="AN3560" s="199">
        <f t="shared" si="1702"/>
        <v>46207</v>
      </c>
      <c r="AO3560" s="159" t="s">
        <v>692</v>
      </c>
      <c r="AP3560" s="781" t="s">
        <v>642</v>
      </c>
      <c r="AQ3560" s="782">
        <v>12071839</v>
      </c>
      <c r="AR3560" s="782">
        <v>12042650</v>
      </c>
      <c r="AS3560" s="782">
        <v>12042649</v>
      </c>
      <c r="AT3560" s="782"/>
      <c r="AU3560" s="783"/>
      <c r="AV3560" s="782">
        <v>12097895</v>
      </c>
      <c r="AW3560" s="783"/>
      <c r="AX3560" s="781"/>
      <c r="AY3560" s="796">
        <v>12097893</v>
      </c>
      <c r="AZ3560" s="796">
        <v>12097894</v>
      </c>
      <c r="BA3560" s="796" t="s">
        <v>2462</v>
      </c>
      <c r="BB3560" s="209">
        <v>23099860</v>
      </c>
    </row>
    <row r="3561" spans="1:54" ht="25" customHeight="1">
      <c r="B3561" s="183">
        <v>46208</v>
      </c>
      <c r="C3561" s="184"/>
      <c r="D3561" s="185">
        <f t="shared" si="1693"/>
        <v>2026</v>
      </c>
      <c r="E3561" s="185" t="e">
        <f>VLOOKUP($B3561,Week!$A$1:$C$1462,2,0)</f>
        <v>#N/A</v>
      </c>
      <c r="F3561" s="186" t="str">
        <f t="shared" si="1694"/>
        <v>Jul</v>
      </c>
      <c r="G3561" s="481"/>
      <c r="H3561" s="185"/>
      <c r="I3561" s="185"/>
      <c r="J3561" s="187"/>
      <c r="K3561" s="188"/>
      <c r="L3561" s="188"/>
      <c r="M3561" s="187"/>
      <c r="N3561" s="185"/>
      <c r="O3561" s="185"/>
      <c r="P3561" s="189"/>
      <c r="Q3561" s="189"/>
      <c r="R3561" s="190"/>
      <c r="S3561" s="185"/>
      <c r="T3561" s="185"/>
      <c r="U3561" s="185"/>
      <c r="V3561" s="191"/>
      <c r="W3561" s="191"/>
      <c r="X3561" s="192"/>
      <c r="Y3561" s="193"/>
      <c r="Z3561" s="194"/>
      <c r="AA3561" s="194">
        <f t="shared" si="1695"/>
        <v>0</v>
      </c>
      <c r="AB3561" s="805"/>
      <c r="AC3561" s="191"/>
      <c r="AD3561" s="187"/>
      <c r="AE3561" s="195"/>
      <c r="AF3561" s="195"/>
      <c r="AG3561" s="196"/>
      <c r="AH3561" s="197"/>
      <c r="AK3561" s="156" t="s">
        <v>691</v>
      </c>
      <c r="AM3561" s="198">
        <f t="shared" si="1701"/>
        <v>0</v>
      </c>
      <c r="AN3561" s="199">
        <f t="shared" si="1702"/>
        <v>46208</v>
      </c>
      <c r="AO3561" s="159" t="s">
        <v>692</v>
      </c>
      <c r="AP3561" s="781"/>
      <c r="AQ3561" s="782"/>
      <c r="AR3561" s="782"/>
      <c r="AS3561" s="782"/>
      <c r="AT3561" s="782"/>
      <c r="AU3561" s="781"/>
      <c r="AV3561" s="782"/>
      <c r="AW3561" s="782"/>
      <c r="AX3561" s="782"/>
      <c r="AY3561" s="782"/>
      <c r="AZ3561" s="782"/>
      <c r="BA3561" s="781"/>
      <c r="BB3561" s="209"/>
    </row>
    <row r="3562" spans="1:54" ht="25" customHeight="1">
      <c r="A3562" s="142" t="s">
        <v>120</v>
      </c>
      <c r="B3562" s="559">
        <v>46209</v>
      </c>
      <c r="C3562" s="560">
        <v>46241</v>
      </c>
      <c r="D3562" s="185">
        <f t="shared" si="1693"/>
        <v>2026</v>
      </c>
      <c r="E3562" s="561" t="e">
        <f>VLOOKUP($B3562,Week!$A$1:$C$1462,2,0)</f>
        <v>#N/A</v>
      </c>
      <c r="F3562" s="562" t="str">
        <f t="shared" si="1694"/>
        <v>Jul</v>
      </c>
      <c r="G3562" s="561" t="s">
        <v>2969</v>
      </c>
      <c r="H3562" s="561" t="s">
        <v>134</v>
      </c>
      <c r="I3562" s="561" t="s">
        <v>2772</v>
      </c>
      <c r="J3562" s="563" t="s">
        <v>2932</v>
      </c>
      <c r="K3562" s="564" t="s">
        <v>355</v>
      </c>
      <c r="L3562" s="390" t="s">
        <v>2166</v>
      </c>
      <c r="M3562" s="563" t="s">
        <v>356</v>
      </c>
      <c r="N3562" s="561" t="s">
        <v>652</v>
      </c>
      <c r="O3562" s="561" t="s">
        <v>508</v>
      </c>
      <c r="P3562" s="565">
        <v>18</v>
      </c>
      <c r="Q3562" s="565">
        <v>8</v>
      </c>
      <c r="R3562" s="566">
        <v>6.0000000000000001E-3</v>
      </c>
      <c r="S3562" s="561" t="s">
        <v>55</v>
      </c>
      <c r="T3562" s="561" t="s">
        <v>56</v>
      </c>
      <c r="U3562" s="561" t="s">
        <v>89</v>
      </c>
      <c r="V3562" s="567">
        <f>500</f>
        <v>500</v>
      </c>
      <c r="W3562" s="567">
        <f>76</f>
        <v>76</v>
      </c>
      <c r="X3562" s="568">
        <f>(900+6732)/18</f>
        <v>424</v>
      </c>
      <c r="Y3562" s="569">
        <f t="shared" ref="Y3562:Y3576" si="1718">(W3562+X3562)-V3562</f>
        <v>0</v>
      </c>
      <c r="Z3562" s="570">
        <f t="shared" ref="Z3562:Z3576" si="1719">IF(Y3562&lt;0,((V3562*P3562)-((W3562+X3562)*P3562)),0)</f>
        <v>0</v>
      </c>
      <c r="AA3562" s="570">
        <f t="shared" si="1695"/>
        <v>0</v>
      </c>
      <c r="AB3562" s="834">
        <v>2</v>
      </c>
      <c r="AC3562" s="567">
        <f t="shared" ref="AC3562:AC3576" si="1720">Z3562*AB3562</f>
        <v>0</v>
      </c>
      <c r="AD3562" s="443" t="s">
        <v>2614</v>
      </c>
      <c r="AE3562" s="210">
        <f t="shared" ref="AE3562:AE3576" si="1721">SUM(Q3562*R3562*Z3562)/1000</f>
        <v>0</v>
      </c>
      <c r="AF3562" s="210">
        <f t="shared" ref="AF3562:AF3576" si="1722">AE3562/0.54</f>
        <v>0</v>
      </c>
      <c r="AG3562" s="211">
        <f>MID(O3562,1,2)/1000</f>
        <v>0.09</v>
      </c>
      <c r="AH3562" s="157">
        <f t="shared" ref="AH3562:AH3576" si="1723">(Z3562*AG3562)/1000</f>
        <v>0</v>
      </c>
      <c r="AI3562" s="152">
        <f t="shared" ref="AI3562:AI3576" si="1724">V3562*P3562</f>
        <v>9000</v>
      </c>
      <c r="AK3562" s="156" t="s">
        <v>691</v>
      </c>
      <c r="AL3562" s="156" t="s">
        <v>689</v>
      </c>
      <c r="AM3562" s="198">
        <f t="shared" si="1701"/>
        <v>0</v>
      </c>
      <c r="AN3562" s="199">
        <f t="shared" si="1702"/>
        <v>46209</v>
      </c>
      <c r="AO3562" s="159" t="s">
        <v>692</v>
      </c>
      <c r="AP3562" s="783"/>
      <c r="AQ3562" s="782"/>
      <c r="AR3562" s="782" t="s">
        <v>531</v>
      </c>
      <c r="AS3562" s="782"/>
      <c r="AT3562" s="782"/>
      <c r="AU3562" s="782">
        <v>12054219</v>
      </c>
      <c r="AV3562" s="782">
        <v>12097195</v>
      </c>
      <c r="AW3562" s="782"/>
      <c r="AX3562" s="782" t="s">
        <v>2519</v>
      </c>
      <c r="AY3562" s="782"/>
      <c r="AZ3562" s="782"/>
      <c r="BA3562" s="781"/>
      <c r="BB3562" s="209">
        <v>23053184</v>
      </c>
    </row>
    <row r="3563" spans="1:54" ht="25" customHeight="1">
      <c r="A3563" s="142" t="s">
        <v>120</v>
      </c>
      <c r="B3563" s="271">
        <v>46209</v>
      </c>
      <c r="C3563" s="272">
        <v>46244</v>
      </c>
      <c r="D3563" s="185">
        <f t="shared" si="1693"/>
        <v>2026</v>
      </c>
      <c r="E3563" s="272" t="e">
        <f>VLOOKUP($B3563,Week!$A$1:$C$1462,2,0)</f>
        <v>#N/A</v>
      </c>
      <c r="F3563" s="273" t="str">
        <f t="shared" si="1694"/>
        <v>Jul</v>
      </c>
      <c r="G3563" s="274" t="s">
        <v>3052</v>
      </c>
      <c r="H3563" s="274" t="s">
        <v>500</v>
      </c>
      <c r="I3563" s="274" t="s">
        <v>2772</v>
      </c>
      <c r="J3563" s="275" t="s">
        <v>285</v>
      </c>
      <c r="K3563" s="276" t="s">
        <v>153</v>
      </c>
      <c r="L3563" s="390" t="s">
        <v>2166</v>
      </c>
      <c r="M3563" s="275" t="s">
        <v>86</v>
      </c>
      <c r="N3563" s="274" t="s">
        <v>547</v>
      </c>
      <c r="O3563" s="274" t="s">
        <v>548</v>
      </c>
      <c r="P3563" s="277">
        <v>10</v>
      </c>
      <c r="Q3563" s="277">
        <v>50</v>
      </c>
      <c r="R3563" s="278">
        <v>6.8100000000000001E-3</v>
      </c>
      <c r="S3563" s="274" t="s">
        <v>76</v>
      </c>
      <c r="T3563" s="274" t="s">
        <v>56</v>
      </c>
      <c r="U3563" s="274" t="s">
        <v>89</v>
      </c>
      <c r="V3563" s="279">
        <f>903</f>
        <v>903</v>
      </c>
      <c r="W3563" s="279">
        <f>872</f>
        <v>872</v>
      </c>
      <c r="X3563" s="280">
        <f>(310)/10</f>
        <v>31</v>
      </c>
      <c r="Y3563" s="281">
        <f t="shared" si="1718"/>
        <v>0</v>
      </c>
      <c r="Z3563" s="282">
        <f t="shared" si="1719"/>
        <v>0</v>
      </c>
      <c r="AA3563" s="282">
        <f t="shared" si="1695"/>
        <v>0</v>
      </c>
      <c r="AB3563" s="812">
        <v>6</v>
      </c>
      <c r="AC3563" s="279">
        <f t="shared" si="1720"/>
        <v>0</v>
      </c>
      <c r="AD3563" s="209"/>
      <c r="AE3563" s="210">
        <f t="shared" si="1721"/>
        <v>0</v>
      </c>
      <c r="AF3563" s="210">
        <f t="shared" si="1722"/>
        <v>0</v>
      </c>
      <c r="AG3563" s="211">
        <f t="shared" ref="AG3563:AG3576" si="1725">MID(O3563,1,3)/1000</f>
        <v>0.63</v>
      </c>
      <c r="AH3563" s="157">
        <f t="shared" si="1723"/>
        <v>0</v>
      </c>
      <c r="AI3563" s="152">
        <f t="shared" si="1724"/>
        <v>9030</v>
      </c>
      <c r="AK3563" s="156" t="s">
        <v>691</v>
      </c>
      <c r="AL3563" s="156" t="s">
        <v>689</v>
      </c>
      <c r="AM3563" s="198">
        <f t="shared" si="1701"/>
        <v>0</v>
      </c>
      <c r="AN3563" s="199">
        <f t="shared" si="1702"/>
        <v>46209</v>
      </c>
      <c r="AO3563" s="159" t="s">
        <v>692</v>
      </c>
      <c r="AP3563" s="783" t="s">
        <v>620</v>
      </c>
      <c r="AQ3563" s="796" t="s">
        <v>422</v>
      </c>
      <c r="AR3563" s="782">
        <v>12055234</v>
      </c>
      <c r="AS3563" s="781"/>
      <c r="AT3563" s="782"/>
      <c r="AU3563" s="782"/>
      <c r="AV3563" s="782">
        <v>12062809</v>
      </c>
      <c r="AW3563" s="782"/>
      <c r="AX3563" s="782" t="s">
        <v>619</v>
      </c>
      <c r="AY3563" s="781"/>
      <c r="AZ3563" s="781"/>
      <c r="BA3563" s="781"/>
      <c r="BB3563" s="209">
        <v>23053184</v>
      </c>
    </row>
    <row r="3564" spans="1:54" ht="25" customHeight="1">
      <c r="A3564" s="142" t="s">
        <v>120</v>
      </c>
      <c r="B3564" s="283">
        <v>46209</v>
      </c>
      <c r="C3564" s="284">
        <v>46241</v>
      </c>
      <c r="D3564" s="185">
        <f t="shared" si="1693"/>
        <v>2026</v>
      </c>
      <c r="E3564" s="286" t="e">
        <f>VLOOKUP($B3564,Week!$A$1:$C$1462,2,0)</f>
        <v>#N/A</v>
      </c>
      <c r="F3564" s="285" t="str">
        <f t="shared" si="1694"/>
        <v>Jul</v>
      </c>
      <c r="G3564" s="286" t="s">
        <v>2969</v>
      </c>
      <c r="H3564" s="286" t="s">
        <v>134</v>
      </c>
      <c r="I3564" s="286" t="s">
        <v>2772</v>
      </c>
      <c r="J3564" s="287" t="s">
        <v>2932</v>
      </c>
      <c r="K3564" s="288" t="s">
        <v>153</v>
      </c>
      <c r="L3564" s="390" t="s">
        <v>2166</v>
      </c>
      <c r="M3564" s="287" t="s">
        <v>214</v>
      </c>
      <c r="N3564" s="286" t="s">
        <v>215</v>
      </c>
      <c r="O3564" s="286" t="s">
        <v>504</v>
      </c>
      <c r="P3564" s="289">
        <v>20</v>
      </c>
      <c r="Q3564" s="289">
        <v>8</v>
      </c>
      <c r="R3564" s="290">
        <v>1.4999999999999999E-2</v>
      </c>
      <c r="S3564" s="286" t="s">
        <v>217</v>
      </c>
      <c r="T3564" s="286" t="s">
        <v>56</v>
      </c>
      <c r="U3564" s="286" t="s">
        <v>89</v>
      </c>
      <c r="V3564" s="291">
        <f>250</f>
        <v>250</v>
      </c>
      <c r="W3564" s="291">
        <f>16+226+8</f>
        <v>250</v>
      </c>
      <c r="X3564" s="292"/>
      <c r="Y3564" s="293">
        <f t="shared" si="1718"/>
        <v>0</v>
      </c>
      <c r="Z3564" s="294">
        <f t="shared" si="1719"/>
        <v>0</v>
      </c>
      <c r="AA3564" s="291">
        <f t="shared" ref="AA3564:AA3595" si="1726">Q3564*Z3564</f>
        <v>0</v>
      </c>
      <c r="AB3564" s="813">
        <v>2</v>
      </c>
      <c r="AC3564" s="291">
        <f t="shared" si="1720"/>
        <v>0</v>
      </c>
      <c r="AD3564" s="209" t="s">
        <v>218</v>
      </c>
      <c r="AE3564" s="210">
        <f t="shared" si="1721"/>
        <v>0</v>
      </c>
      <c r="AF3564" s="210">
        <f t="shared" si="1722"/>
        <v>0</v>
      </c>
      <c r="AG3564" s="211">
        <f t="shared" si="1725"/>
        <v>0.19400000000000001</v>
      </c>
      <c r="AH3564" s="157">
        <f t="shared" si="1723"/>
        <v>0</v>
      </c>
      <c r="AI3564" s="152">
        <f t="shared" si="1724"/>
        <v>5000</v>
      </c>
      <c r="AK3564" s="156" t="s">
        <v>691</v>
      </c>
      <c r="AL3564" s="156" t="s">
        <v>689</v>
      </c>
      <c r="AM3564" s="198">
        <f t="shared" ref="AM3564:AM3595" si="1727">AG3564*Z3564</f>
        <v>0</v>
      </c>
      <c r="AN3564" s="199">
        <f t="shared" ref="AN3564:AN3595" si="1728">B3564</f>
        <v>46209</v>
      </c>
      <c r="AO3564" s="159" t="s">
        <v>692</v>
      </c>
      <c r="AP3564" s="783" t="s">
        <v>610</v>
      </c>
      <c r="AQ3564" s="782">
        <v>12071839</v>
      </c>
      <c r="AR3564" s="782">
        <v>12064528</v>
      </c>
      <c r="AS3564" s="782"/>
      <c r="AT3564" s="782">
        <v>12096526</v>
      </c>
      <c r="AU3564" s="781"/>
      <c r="AV3564" s="782">
        <v>12096527</v>
      </c>
      <c r="AW3564" s="782"/>
      <c r="AX3564" s="782" t="s">
        <v>545</v>
      </c>
      <c r="AY3564" s="782"/>
      <c r="AZ3564" s="782"/>
      <c r="BA3564" s="781"/>
      <c r="BB3564" s="209">
        <v>23053184</v>
      </c>
    </row>
    <row r="3565" spans="1:54" ht="25" customHeight="1">
      <c r="A3565" s="142" t="s">
        <v>120</v>
      </c>
      <c r="B3565" s="271">
        <v>46210</v>
      </c>
      <c r="C3565" s="272">
        <v>46244</v>
      </c>
      <c r="D3565" s="185">
        <f t="shared" si="1693"/>
        <v>2026</v>
      </c>
      <c r="E3565" s="272" t="e">
        <f>VLOOKUP($B3565,Week!$A$1:$C$1462,2,0)</f>
        <v>#N/A</v>
      </c>
      <c r="F3565" s="273" t="str">
        <f t="shared" si="1694"/>
        <v>Jul</v>
      </c>
      <c r="G3565" s="274" t="s">
        <v>3052</v>
      </c>
      <c r="H3565" s="274" t="s">
        <v>500</v>
      </c>
      <c r="I3565" s="274" t="s">
        <v>2772</v>
      </c>
      <c r="J3565" s="275" t="s">
        <v>285</v>
      </c>
      <c r="K3565" s="276" t="s">
        <v>153</v>
      </c>
      <c r="L3565" s="390" t="s">
        <v>2166</v>
      </c>
      <c r="M3565" s="275" t="s">
        <v>86</v>
      </c>
      <c r="N3565" s="274" t="s">
        <v>547</v>
      </c>
      <c r="O3565" s="274" t="s">
        <v>548</v>
      </c>
      <c r="P3565" s="277">
        <v>10</v>
      </c>
      <c r="Q3565" s="277">
        <v>50</v>
      </c>
      <c r="R3565" s="278">
        <v>6.8100000000000001E-3</v>
      </c>
      <c r="S3565" s="274" t="s">
        <v>76</v>
      </c>
      <c r="T3565" s="274" t="s">
        <v>56</v>
      </c>
      <c r="U3565" s="274" t="s">
        <v>89</v>
      </c>
      <c r="V3565" s="279">
        <f>2056-903</f>
        <v>1153</v>
      </c>
      <c r="W3565" s="279">
        <f>1153</f>
        <v>1153</v>
      </c>
      <c r="X3565" s="280"/>
      <c r="Y3565" s="281">
        <f t="shared" si="1718"/>
        <v>0</v>
      </c>
      <c r="Z3565" s="282">
        <f t="shared" si="1719"/>
        <v>0</v>
      </c>
      <c r="AA3565" s="282">
        <f t="shared" si="1726"/>
        <v>0</v>
      </c>
      <c r="AB3565" s="812">
        <v>6</v>
      </c>
      <c r="AC3565" s="279">
        <f t="shared" si="1720"/>
        <v>0</v>
      </c>
      <c r="AD3565" s="209"/>
      <c r="AE3565" s="210">
        <f t="shared" si="1721"/>
        <v>0</v>
      </c>
      <c r="AF3565" s="210">
        <f t="shared" si="1722"/>
        <v>0</v>
      </c>
      <c r="AG3565" s="211">
        <f t="shared" si="1725"/>
        <v>0.63</v>
      </c>
      <c r="AH3565" s="157">
        <f t="shared" si="1723"/>
        <v>0</v>
      </c>
      <c r="AI3565" s="152">
        <f t="shared" si="1724"/>
        <v>11530</v>
      </c>
      <c r="AK3565" s="156" t="s">
        <v>691</v>
      </c>
      <c r="AL3565" s="156" t="s">
        <v>689</v>
      </c>
      <c r="AM3565" s="198">
        <f t="shared" si="1727"/>
        <v>0</v>
      </c>
      <c r="AN3565" s="199">
        <f t="shared" si="1728"/>
        <v>46210</v>
      </c>
      <c r="AO3565" s="159" t="s">
        <v>692</v>
      </c>
      <c r="AP3565" s="783" t="s">
        <v>620</v>
      </c>
      <c r="AQ3565" s="796" t="s">
        <v>422</v>
      </c>
      <c r="AR3565" s="782">
        <v>12055234</v>
      </c>
      <c r="AS3565" s="781"/>
      <c r="AT3565" s="782"/>
      <c r="AU3565" s="782"/>
      <c r="AV3565" s="782">
        <v>12062809</v>
      </c>
      <c r="AW3565" s="782"/>
      <c r="AX3565" s="782" t="s">
        <v>619</v>
      </c>
      <c r="AY3565" s="781"/>
      <c r="AZ3565" s="781"/>
      <c r="BA3565" s="781"/>
      <c r="BB3565" s="209">
        <v>23053184</v>
      </c>
    </row>
    <row r="3566" spans="1:54" ht="25" customHeight="1">
      <c r="A3566" s="946" t="s">
        <v>651</v>
      </c>
      <c r="B3566" s="271">
        <v>46211</v>
      </c>
      <c r="C3566" s="441">
        <v>46212</v>
      </c>
      <c r="D3566" s="274">
        <f t="shared" si="1693"/>
        <v>2026</v>
      </c>
      <c r="E3566" s="274" t="e">
        <f>VLOOKUP($B3566,Week!$A$1:$C$1462,2,0)</f>
        <v>#N/A</v>
      </c>
      <c r="F3566" s="273" t="str">
        <f t="shared" si="1694"/>
        <v>Jul</v>
      </c>
      <c r="G3566" s="274" t="s">
        <v>3064</v>
      </c>
      <c r="H3566" s="274" t="s">
        <v>225</v>
      </c>
      <c r="I3566" s="274" t="s">
        <v>2773</v>
      </c>
      <c r="J3566" s="275" t="s">
        <v>650</v>
      </c>
      <c r="K3566" s="276" t="s">
        <v>2256</v>
      </c>
      <c r="L3566" s="276" t="s">
        <v>2167</v>
      </c>
      <c r="M3566" s="275" t="s">
        <v>2258</v>
      </c>
      <c r="N3566" s="274" t="s">
        <v>2259</v>
      </c>
      <c r="O3566" s="274" t="s">
        <v>110</v>
      </c>
      <c r="P3566" s="277">
        <v>36</v>
      </c>
      <c r="Q3566" s="277">
        <v>5</v>
      </c>
      <c r="R3566" s="278">
        <v>7.4999999999999997E-3</v>
      </c>
      <c r="S3566" s="274" t="s">
        <v>111</v>
      </c>
      <c r="T3566" s="274" t="s">
        <v>112</v>
      </c>
      <c r="U3566" s="274" t="s">
        <v>113</v>
      </c>
      <c r="V3566" s="279">
        <f>(6206)/36</f>
        <v>172.38888888888889</v>
      </c>
      <c r="W3566" s="279"/>
      <c r="X3566" s="280">
        <f>(6206)/36</f>
        <v>172.38888888888889</v>
      </c>
      <c r="Y3566" s="281">
        <f t="shared" si="1718"/>
        <v>0</v>
      </c>
      <c r="Z3566" s="282">
        <f t="shared" si="1719"/>
        <v>0</v>
      </c>
      <c r="AA3566" s="282">
        <f t="shared" si="1726"/>
        <v>0</v>
      </c>
      <c r="AB3566" s="812">
        <v>9.7000000000000003E-3</v>
      </c>
      <c r="AC3566" s="279">
        <f t="shared" si="1720"/>
        <v>0</v>
      </c>
      <c r="AD3566" s="209"/>
      <c r="AE3566" s="210">
        <f t="shared" si="1721"/>
        <v>0</v>
      </c>
      <c r="AF3566" s="210">
        <f t="shared" si="1722"/>
        <v>0</v>
      </c>
      <c r="AG3566" s="211">
        <f t="shared" si="1725"/>
        <v>0.308</v>
      </c>
      <c r="AH3566" s="157">
        <f t="shared" si="1723"/>
        <v>0</v>
      </c>
      <c r="AI3566" s="152">
        <f t="shared" si="1724"/>
        <v>6206</v>
      </c>
      <c r="AK3566" s="156" t="s">
        <v>691</v>
      </c>
      <c r="AL3566" s="574" t="s">
        <v>690</v>
      </c>
      <c r="AM3566" s="198">
        <f t="shared" si="1727"/>
        <v>0</v>
      </c>
      <c r="AN3566" s="199">
        <f t="shared" si="1728"/>
        <v>46211</v>
      </c>
      <c r="AO3566" s="159" t="s">
        <v>692</v>
      </c>
      <c r="AP3566" s="781"/>
      <c r="AQ3566" s="782">
        <v>12063755</v>
      </c>
      <c r="AR3566" s="782">
        <v>12061353</v>
      </c>
      <c r="AS3566" s="782">
        <v>12061354</v>
      </c>
      <c r="AT3566" s="782">
        <v>12095367</v>
      </c>
      <c r="AU3566" s="781"/>
      <c r="AV3566" s="782">
        <v>12095366</v>
      </c>
      <c r="AW3566" s="782">
        <v>12088207</v>
      </c>
      <c r="AX3566" s="782"/>
      <c r="AY3566" s="782">
        <v>12095368</v>
      </c>
      <c r="AZ3566" s="782"/>
      <c r="BA3566" s="781"/>
      <c r="BB3566" s="209">
        <v>23054743</v>
      </c>
    </row>
    <row r="3567" spans="1:54" ht="25" customHeight="1">
      <c r="A3567" s="440"/>
      <c r="B3567" s="743">
        <v>46211</v>
      </c>
      <c r="C3567" s="743">
        <v>46238</v>
      </c>
      <c r="D3567" s="746">
        <f t="shared" si="1693"/>
        <v>2026</v>
      </c>
      <c r="E3567" s="858" t="e">
        <f>VLOOKUP($B3567,Week!$A$1:$C$1462,2,0)</f>
        <v>#N/A</v>
      </c>
      <c r="F3567" s="859" t="str">
        <f t="shared" si="1694"/>
        <v>Jul</v>
      </c>
      <c r="G3567" s="746" t="s">
        <v>3030</v>
      </c>
      <c r="H3567" s="746" t="s">
        <v>424</v>
      </c>
      <c r="I3567" s="746" t="s">
        <v>2772</v>
      </c>
      <c r="J3567" s="747" t="s">
        <v>425</v>
      </c>
      <c r="K3567" s="748" t="s">
        <v>1651</v>
      </c>
      <c r="L3567" s="748" t="s">
        <v>2167</v>
      </c>
      <c r="M3567" s="747" t="s">
        <v>2260</v>
      </c>
      <c r="N3567" s="746" t="s">
        <v>2257</v>
      </c>
      <c r="O3567" s="746" t="s">
        <v>2254</v>
      </c>
      <c r="P3567" s="749">
        <v>6</v>
      </c>
      <c r="Q3567" s="749">
        <v>3</v>
      </c>
      <c r="R3567" s="849">
        <v>6.1999999999999998E-3</v>
      </c>
      <c r="S3567" s="746" t="s">
        <v>55</v>
      </c>
      <c r="T3567" s="746" t="s">
        <v>112</v>
      </c>
      <c r="U3567" s="860" t="s">
        <v>1633</v>
      </c>
      <c r="V3567" s="750">
        <f>2975</f>
        <v>2975</v>
      </c>
      <c r="W3567" s="750"/>
      <c r="X3567" s="751">
        <f>(1218+16637)/6</f>
        <v>2975.8333333333335</v>
      </c>
      <c r="Y3567" s="752">
        <f t="shared" si="1718"/>
        <v>0.83333333333348492</v>
      </c>
      <c r="Z3567" s="753">
        <f t="shared" si="1719"/>
        <v>0</v>
      </c>
      <c r="AA3567" s="753">
        <f t="shared" si="1726"/>
        <v>0</v>
      </c>
      <c r="AB3567" s="838">
        <v>6.5000000000000002E-2</v>
      </c>
      <c r="AC3567" s="750">
        <f t="shared" si="1720"/>
        <v>0</v>
      </c>
      <c r="AD3567" s="209"/>
      <c r="AE3567" s="210">
        <f t="shared" si="1721"/>
        <v>0</v>
      </c>
      <c r="AF3567" s="210">
        <f t="shared" si="1722"/>
        <v>0</v>
      </c>
      <c r="AG3567" s="211">
        <f t="shared" si="1725"/>
        <v>0.3</v>
      </c>
      <c r="AH3567" s="157">
        <f t="shared" si="1723"/>
        <v>0</v>
      </c>
      <c r="AI3567" s="152">
        <f t="shared" si="1724"/>
        <v>17850</v>
      </c>
      <c r="AK3567" s="156" t="s">
        <v>691</v>
      </c>
      <c r="AL3567" s="212" t="s">
        <v>690</v>
      </c>
      <c r="AM3567" s="198">
        <f t="shared" si="1727"/>
        <v>0</v>
      </c>
      <c r="AN3567" s="199">
        <f t="shared" si="1728"/>
        <v>46211</v>
      </c>
      <c r="AO3567" s="159" t="s">
        <v>692</v>
      </c>
      <c r="AP3567" s="781"/>
      <c r="AQ3567" s="782"/>
      <c r="AR3567" s="782" t="s">
        <v>2379</v>
      </c>
      <c r="AS3567" s="782"/>
      <c r="AT3567" s="782">
        <v>12095581</v>
      </c>
      <c r="AU3567" s="783"/>
      <c r="AV3567" s="782">
        <v>12096149</v>
      </c>
      <c r="AW3567" s="782"/>
      <c r="AX3567" s="782"/>
      <c r="AY3567" s="782"/>
      <c r="AZ3567" s="782"/>
      <c r="BA3567" s="782"/>
      <c r="BB3567" s="209">
        <v>23105543</v>
      </c>
    </row>
    <row r="3568" spans="1:54" ht="24.75" customHeight="1">
      <c r="B3568" s="602">
        <v>46211</v>
      </c>
      <c r="C3568" s="861" t="s">
        <v>2996</v>
      </c>
      <c r="D3568" s="604">
        <f t="shared" si="1693"/>
        <v>2026</v>
      </c>
      <c r="E3568" s="603" t="e">
        <f>VLOOKUP($B3568,Week!$A$1:$C$1462,2,0)</f>
        <v>#N/A</v>
      </c>
      <c r="F3568" s="605" t="str">
        <f t="shared" si="1694"/>
        <v>Jul</v>
      </c>
      <c r="G3568" s="938" t="s">
        <v>47</v>
      </c>
      <c r="H3568" s="604" t="s">
        <v>260</v>
      </c>
      <c r="I3568" s="604" t="s">
        <v>2702</v>
      </c>
      <c r="J3568" s="939" t="s">
        <v>2240</v>
      </c>
      <c r="K3568" s="607" t="s">
        <v>94</v>
      </c>
      <c r="L3568" s="607" t="s">
        <v>2167</v>
      </c>
      <c r="M3568" s="606" t="s">
        <v>2338</v>
      </c>
      <c r="N3568" s="604" t="s">
        <v>2997</v>
      </c>
      <c r="O3568" s="604" t="s">
        <v>54</v>
      </c>
      <c r="P3568" s="608">
        <v>24</v>
      </c>
      <c r="Q3568" s="608">
        <v>5</v>
      </c>
      <c r="R3568" s="609">
        <v>6.1999999999999998E-3</v>
      </c>
      <c r="S3568" s="604" t="s">
        <v>352</v>
      </c>
      <c r="T3568" s="604" t="s">
        <v>56</v>
      </c>
      <c r="U3568" s="604" t="s">
        <v>57</v>
      </c>
      <c r="V3568" s="610">
        <v>2665</v>
      </c>
      <c r="W3568" s="610">
        <f>2665</f>
        <v>2665</v>
      </c>
      <c r="X3568" s="611"/>
      <c r="Y3568" s="612">
        <f t="shared" si="1718"/>
        <v>0</v>
      </c>
      <c r="Z3568" s="613">
        <f t="shared" si="1719"/>
        <v>0</v>
      </c>
      <c r="AA3568" s="613">
        <f t="shared" si="1726"/>
        <v>0</v>
      </c>
      <c r="AB3568" s="836">
        <v>7.4999999999999997E-3</v>
      </c>
      <c r="AC3568" s="610">
        <f t="shared" si="1720"/>
        <v>0</v>
      </c>
      <c r="AD3568" s="443"/>
      <c r="AE3568" s="210">
        <f t="shared" si="1721"/>
        <v>0</v>
      </c>
      <c r="AF3568" s="210">
        <f t="shared" si="1722"/>
        <v>0</v>
      </c>
      <c r="AG3568" s="211">
        <f t="shared" si="1725"/>
        <v>0.13500000000000001</v>
      </c>
      <c r="AH3568" s="157">
        <f t="shared" si="1723"/>
        <v>0</v>
      </c>
      <c r="AI3568" s="152">
        <f t="shared" si="1724"/>
        <v>63960</v>
      </c>
      <c r="AK3568" s="156" t="s">
        <v>691</v>
      </c>
      <c r="AL3568" s="574" t="s">
        <v>690</v>
      </c>
      <c r="AM3568" s="198">
        <f t="shared" si="1727"/>
        <v>0</v>
      </c>
      <c r="AN3568" s="199">
        <f t="shared" si="1728"/>
        <v>46211</v>
      </c>
      <c r="AO3568" s="159" t="s">
        <v>692</v>
      </c>
      <c r="AP3568" s="783" t="s">
        <v>622</v>
      </c>
      <c r="AQ3568" s="782">
        <v>12071839</v>
      </c>
      <c r="AR3568" s="782">
        <v>12099098</v>
      </c>
      <c r="AS3568" s="782">
        <v>12068233</v>
      </c>
      <c r="AT3568" s="781"/>
      <c r="AU3568" s="781"/>
      <c r="AV3568" s="782">
        <v>12099466</v>
      </c>
      <c r="AW3568" s="781"/>
      <c r="AX3568" s="781"/>
      <c r="AY3568" s="782">
        <v>12099097</v>
      </c>
      <c r="AZ3568" s="782"/>
      <c r="BA3568" s="781"/>
      <c r="BB3568" s="209">
        <v>23053184</v>
      </c>
    </row>
    <row r="3569" spans="1:54" ht="25" customHeight="1">
      <c r="A3569" s="440"/>
      <c r="B3569" s="743">
        <v>46212</v>
      </c>
      <c r="C3569" s="743">
        <v>46238</v>
      </c>
      <c r="D3569" s="746">
        <f t="shared" si="1693"/>
        <v>2026</v>
      </c>
      <c r="E3569" s="858" t="e">
        <f>VLOOKUP($B3569,Week!$A$1:$C$1462,2,0)</f>
        <v>#N/A</v>
      </c>
      <c r="F3569" s="859" t="str">
        <f t="shared" si="1694"/>
        <v>Jul</v>
      </c>
      <c r="G3569" s="746" t="s">
        <v>3030</v>
      </c>
      <c r="H3569" s="746" t="s">
        <v>424</v>
      </c>
      <c r="I3569" s="746" t="s">
        <v>2772</v>
      </c>
      <c r="J3569" s="747" t="s">
        <v>425</v>
      </c>
      <c r="K3569" s="748" t="s">
        <v>1651</v>
      </c>
      <c r="L3569" s="748" t="s">
        <v>2167</v>
      </c>
      <c r="M3569" s="747" t="s">
        <v>2260</v>
      </c>
      <c r="N3569" s="746" t="s">
        <v>2257</v>
      </c>
      <c r="O3569" s="746" t="s">
        <v>2254</v>
      </c>
      <c r="P3569" s="749">
        <v>6</v>
      </c>
      <c r="Q3569" s="749">
        <v>3</v>
      </c>
      <c r="R3569" s="849">
        <v>6.1999999999999998E-3</v>
      </c>
      <c r="S3569" s="746" t="s">
        <v>55</v>
      </c>
      <c r="T3569" s="746" t="s">
        <v>112</v>
      </c>
      <c r="U3569" s="860" t="s">
        <v>1633</v>
      </c>
      <c r="V3569" s="750">
        <v>2695</v>
      </c>
      <c r="W3569" s="750"/>
      <c r="X3569" s="751">
        <f>16175/6</f>
        <v>2695.8333333333335</v>
      </c>
      <c r="Y3569" s="752">
        <f t="shared" si="1718"/>
        <v>0.83333333333348492</v>
      </c>
      <c r="Z3569" s="753">
        <f t="shared" si="1719"/>
        <v>0</v>
      </c>
      <c r="AA3569" s="753">
        <f t="shared" si="1726"/>
        <v>0</v>
      </c>
      <c r="AB3569" s="838">
        <v>6.5000000000000002E-2</v>
      </c>
      <c r="AC3569" s="750">
        <f t="shared" si="1720"/>
        <v>0</v>
      </c>
      <c r="AD3569" s="209"/>
      <c r="AE3569" s="210">
        <f t="shared" si="1721"/>
        <v>0</v>
      </c>
      <c r="AF3569" s="210">
        <f t="shared" si="1722"/>
        <v>0</v>
      </c>
      <c r="AG3569" s="211">
        <f t="shared" si="1725"/>
        <v>0.3</v>
      </c>
      <c r="AH3569" s="157">
        <f t="shared" si="1723"/>
        <v>0</v>
      </c>
      <c r="AI3569" s="152">
        <f t="shared" si="1724"/>
        <v>16170</v>
      </c>
      <c r="AK3569" s="156" t="s">
        <v>691</v>
      </c>
      <c r="AL3569" s="212" t="s">
        <v>690</v>
      </c>
      <c r="AM3569" s="198">
        <f t="shared" si="1727"/>
        <v>0</v>
      </c>
      <c r="AN3569" s="199">
        <f t="shared" si="1728"/>
        <v>46212</v>
      </c>
      <c r="AO3569" s="159" t="s">
        <v>692</v>
      </c>
      <c r="AP3569" s="781"/>
      <c r="AQ3569" s="782"/>
      <c r="AR3569" s="782" t="s">
        <v>2379</v>
      </c>
      <c r="AS3569" s="782"/>
      <c r="AT3569" s="782">
        <v>12095581</v>
      </c>
      <c r="AU3569" s="783"/>
      <c r="AV3569" s="782">
        <v>12096149</v>
      </c>
      <c r="AW3569" s="782"/>
      <c r="AX3569" s="782"/>
      <c r="AY3569" s="782"/>
      <c r="AZ3569" s="782"/>
      <c r="BA3569" s="782"/>
      <c r="BB3569" s="209">
        <v>23105543</v>
      </c>
    </row>
    <row r="3570" spans="1:54" ht="24.75" customHeight="1">
      <c r="B3570" s="602">
        <v>46212</v>
      </c>
      <c r="C3570" s="861" t="s">
        <v>2996</v>
      </c>
      <c r="D3570" s="604">
        <f t="shared" si="1693"/>
        <v>2026</v>
      </c>
      <c r="E3570" s="603" t="e">
        <f>VLOOKUP($B3570,Week!$A$1:$C$1462,2,0)</f>
        <v>#N/A</v>
      </c>
      <c r="F3570" s="605" t="str">
        <f t="shared" si="1694"/>
        <v>Jul</v>
      </c>
      <c r="G3570" s="938" t="s">
        <v>47</v>
      </c>
      <c r="H3570" s="604" t="s">
        <v>260</v>
      </c>
      <c r="I3570" s="604" t="s">
        <v>2702</v>
      </c>
      <c r="J3570" s="939" t="s">
        <v>2240</v>
      </c>
      <c r="K3570" s="607" t="s">
        <v>94</v>
      </c>
      <c r="L3570" s="607" t="s">
        <v>2167</v>
      </c>
      <c r="M3570" s="606" t="s">
        <v>2338</v>
      </c>
      <c r="N3570" s="604" t="s">
        <v>2997</v>
      </c>
      <c r="O3570" s="604" t="s">
        <v>54</v>
      </c>
      <c r="P3570" s="608">
        <v>24</v>
      </c>
      <c r="Q3570" s="608">
        <v>5</v>
      </c>
      <c r="R3570" s="609">
        <v>6.1999999999999998E-3</v>
      </c>
      <c r="S3570" s="604" t="s">
        <v>352</v>
      </c>
      <c r="T3570" s="604" t="s">
        <v>56</v>
      </c>
      <c r="U3570" s="604" t="s">
        <v>57</v>
      </c>
      <c r="V3570" s="610">
        <v>2530</v>
      </c>
      <c r="W3570" s="610">
        <f>2530</f>
        <v>2530</v>
      </c>
      <c r="X3570" s="611"/>
      <c r="Y3570" s="612">
        <f t="shared" si="1718"/>
        <v>0</v>
      </c>
      <c r="Z3570" s="613">
        <f t="shared" si="1719"/>
        <v>0</v>
      </c>
      <c r="AA3570" s="613">
        <f t="shared" si="1726"/>
        <v>0</v>
      </c>
      <c r="AB3570" s="836">
        <v>7.4999999999999997E-3</v>
      </c>
      <c r="AC3570" s="610">
        <f t="shared" si="1720"/>
        <v>0</v>
      </c>
      <c r="AD3570" s="443"/>
      <c r="AE3570" s="210">
        <f t="shared" si="1721"/>
        <v>0</v>
      </c>
      <c r="AF3570" s="210">
        <f t="shared" si="1722"/>
        <v>0</v>
      </c>
      <c r="AG3570" s="211">
        <f t="shared" si="1725"/>
        <v>0.13500000000000001</v>
      </c>
      <c r="AH3570" s="157">
        <f t="shared" si="1723"/>
        <v>0</v>
      </c>
      <c r="AI3570" s="152">
        <f t="shared" si="1724"/>
        <v>60720</v>
      </c>
      <c r="AK3570" s="156" t="s">
        <v>691</v>
      </c>
      <c r="AL3570" s="574" t="s">
        <v>690</v>
      </c>
      <c r="AM3570" s="198">
        <f t="shared" si="1727"/>
        <v>0</v>
      </c>
      <c r="AN3570" s="199">
        <f t="shared" si="1728"/>
        <v>46212</v>
      </c>
      <c r="AO3570" s="159" t="s">
        <v>692</v>
      </c>
      <c r="AP3570" s="783" t="s">
        <v>622</v>
      </c>
      <c r="AQ3570" s="782">
        <v>12071839</v>
      </c>
      <c r="AR3570" s="782">
        <v>12099098</v>
      </c>
      <c r="AS3570" s="782">
        <v>12068233</v>
      </c>
      <c r="AT3570" s="781"/>
      <c r="AU3570" s="781"/>
      <c r="AV3570" s="782">
        <v>12099466</v>
      </c>
      <c r="AW3570" s="781"/>
      <c r="AX3570" s="781"/>
      <c r="AY3570" s="782">
        <v>12099097</v>
      </c>
      <c r="AZ3570" s="782"/>
      <c r="BA3570" s="781"/>
      <c r="BB3570" s="209">
        <v>23053184</v>
      </c>
    </row>
    <row r="3571" spans="1:54" ht="25" customHeight="1">
      <c r="A3571" s="440"/>
      <c r="B3571" s="743">
        <v>46213</v>
      </c>
      <c r="C3571" s="743">
        <v>46238</v>
      </c>
      <c r="D3571" s="746">
        <f t="shared" si="1693"/>
        <v>2026</v>
      </c>
      <c r="E3571" s="858" t="e">
        <f>VLOOKUP($B3571,Week!$A$1:$C$1462,2,0)</f>
        <v>#N/A</v>
      </c>
      <c r="F3571" s="859" t="str">
        <f t="shared" si="1694"/>
        <v>Jul</v>
      </c>
      <c r="G3571" s="746" t="s">
        <v>3030</v>
      </c>
      <c r="H3571" s="746" t="s">
        <v>424</v>
      </c>
      <c r="I3571" s="746" t="s">
        <v>2772</v>
      </c>
      <c r="J3571" s="747" t="s">
        <v>425</v>
      </c>
      <c r="K3571" s="748" t="s">
        <v>1651</v>
      </c>
      <c r="L3571" s="748" t="s">
        <v>2167</v>
      </c>
      <c r="M3571" s="747" t="s">
        <v>2260</v>
      </c>
      <c r="N3571" s="746" t="s">
        <v>2257</v>
      </c>
      <c r="O3571" s="746" t="s">
        <v>2254</v>
      </c>
      <c r="P3571" s="749">
        <v>6</v>
      </c>
      <c r="Q3571" s="749">
        <v>3</v>
      </c>
      <c r="R3571" s="849">
        <v>6.1999999999999998E-3</v>
      </c>
      <c r="S3571" s="746" t="s">
        <v>55</v>
      </c>
      <c r="T3571" s="746" t="s">
        <v>112</v>
      </c>
      <c r="U3571" s="860" t="s">
        <v>1633</v>
      </c>
      <c r="V3571" s="750">
        <f>8000-2975-2695</f>
        <v>2330</v>
      </c>
      <c r="W3571" s="750"/>
      <c r="X3571" s="751">
        <f>13980/6</f>
        <v>2330</v>
      </c>
      <c r="Y3571" s="752">
        <f t="shared" si="1718"/>
        <v>0</v>
      </c>
      <c r="Z3571" s="753">
        <f t="shared" si="1719"/>
        <v>0</v>
      </c>
      <c r="AA3571" s="753">
        <f t="shared" si="1726"/>
        <v>0</v>
      </c>
      <c r="AB3571" s="838">
        <v>6.5000000000000002E-2</v>
      </c>
      <c r="AC3571" s="750">
        <f t="shared" si="1720"/>
        <v>0</v>
      </c>
      <c r="AD3571" s="209"/>
      <c r="AE3571" s="210">
        <f t="shared" si="1721"/>
        <v>0</v>
      </c>
      <c r="AF3571" s="210">
        <f t="shared" si="1722"/>
        <v>0</v>
      </c>
      <c r="AG3571" s="211">
        <f t="shared" si="1725"/>
        <v>0.3</v>
      </c>
      <c r="AH3571" s="157">
        <f t="shared" si="1723"/>
        <v>0</v>
      </c>
      <c r="AI3571" s="152">
        <f t="shared" si="1724"/>
        <v>13980</v>
      </c>
      <c r="AK3571" s="156" t="s">
        <v>691</v>
      </c>
      <c r="AL3571" s="212" t="s">
        <v>690</v>
      </c>
      <c r="AM3571" s="198">
        <f t="shared" si="1727"/>
        <v>0</v>
      </c>
      <c r="AN3571" s="199">
        <f t="shared" si="1728"/>
        <v>46213</v>
      </c>
      <c r="AO3571" s="159" t="s">
        <v>692</v>
      </c>
      <c r="AP3571" s="781"/>
      <c r="AQ3571" s="782"/>
      <c r="AR3571" s="782" t="s">
        <v>2379</v>
      </c>
      <c r="AS3571" s="782"/>
      <c r="AT3571" s="782">
        <v>12095581</v>
      </c>
      <c r="AU3571" s="783"/>
      <c r="AV3571" s="782">
        <v>12096149</v>
      </c>
      <c r="AW3571" s="782"/>
      <c r="AX3571" s="782"/>
      <c r="AY3571" s="782"/>
      <c r="AZ3571" s="782"/>
      <c r="BA3571" s="782"/>
      <c r="BB3571" s="209">
        <v>23105543</v>
      </c>
    </row>
    <row r="3572" spans="1:54" ht="24.75" customHeight="1">
      <c r="B3572" s="602">
        <v>46213</v>
      </c>
      <c r="C3572" s="861" t="s">
        <v>2996</v>
      </c>
      <c r="D3572" s="604">
        <f t="shared" si="1693"/>
        <v>2026</v>
      </c>
      <c r="E3572" s="603" t="e">
        <f>VLOOKUP($B3572,Week!$A$1:$C$1462,2,0)</f>
        <v>#N/A</v>
      </c>
      <c r="F3572" s="605" t="str">
        <f t="shared" si="1694"/>
        <v>Jul</v>
      </c>
      <c r="G3572" s="938" t="s">
        <v>47</v>
      </c>
      <c r="H3572" s="604" t="s">
        <v>260</v>
      </c>
      <c r="I3572" s="604" t="s">
        <v>2702</v>
      </c>
      <c r="J3572" s="939" t="s">
        <v>2240</v>
      </c>
      <c r="K3572" s="607" t="s">
        <v>94</v>
      </c>
      <c r="L3572" s="607" t="s">
        <v>2167</v>
      </c>
      <c r="M3572" s="606" t="s">
        <v>2338</v>
      </c>
      <c r="N3572" s="604" t="s">
        <v>2997</v>
      </c>
      <c r="O3572" s="604" t="s">
        <v>54</v>
      </c>
      <c r="P3572" s="608">
        <v>24</v>
      </c>
      <c r="Q3572" s="608">
        <v>5</v>
      </c>
      <c r="R3572" s="609">
        <v>6.1999999999999998E-3</v>
      </c>
      <c r="S3572" s="604" t="s">
        <v>352</v>
      </c>
      <c r="T3572" s="604" t="s">
        <v>56</v>
      </c>
      <c r="U3572" s="604" t="s">
        <v>57</v>
      </c>
      <c r="V3572" s="610">
        <v>1296</v>
      </c>
      <c r="W3572" s="610">
        <v>1296</v>
      </c>
      <c r="X3572" s="611"/>
      <c r="Y3572" s="612">
        <f t="shared" si="1718"/>
        <v>0</v>
      </c>
      <c r="Z3572" s="613">
        <f t="shared" si="1719"/>
        <v>0</v>
      </c>
      <c r="AA3572" s="613">
        <f t="shared" si="1726"/>
        <v>0</v>
      </c>
      <c r="AB3572" s="836">
        <v>7.4999999999999997E-3</v>
      </c>
      <c r="AC3572" s="610">
        <f t="shared" si="1720"/>
        <v>0</v>
      </c>
      <c r="AD3572" s="443"/>
      <c r="AE3572" s="210">
        <f t="shared" si="1721"/>
        <v>0</v>
      </c>
      <c r="AF3572" s="210">
        <f t="shared" si="1722"/>
        <v>0</v>
      </c>
      <c r="AG3572" s="211">
        <f t="shared" si="1725"/>
        <v>0.13500000000000001</v>
      </c>
      <c r="AH3572" s="157">
        <f t="shared" si="1723"/>
        <v>0</v>
      </c>
      <c r="AI3572" s="152">
        <f t="shared" si="1724"/>
        <v>31104</v>
      </c>
      <c r="AK3572" s="156" t="s">
        <v>691</v>
      </c>
      <c r="AL3572" s="574" t="s">
        <v>690</v>
      </c>
      <c r="AM3572" s="198">
        <f t="shared" si="1727"/>
        <v>0</v>
      </c>
      <c r="AN3572" s="199">
        <f t="shared" si="1728"/>
        <v>46213</v>
      </c>
      <c r="AO3572" s="159" t="s">
        <v>692</v>
      </c>
      <c r="AP3572" s="783" t="s">
        <v>622</v>
      </c>
      <c r="AQ3572" s="782">
        <v>12071839</v>
      </c>
      <c r="AR3572" s="782">
        <v>12099098</v>
      </c>
      <c r="AS3572" s="782">
        <v>12068233</v>
      </c>
      <c r="AT3572" s="781"/>
      <c r="AU3572" s="781"/>
      <c r="AV3572" s="782">
        <v>12099466</v>
      </c>
      <c r="AW3572" s="781"/>
      <c r="AX3572" s="781"/>
      <c r="AY3572" s="782">
        <v>12099097</v>
      </c>
      <c r="AZ3572" s="782"/>
      <c r="BA3572" s="781"/>
      <c r="BB3572" s="209">
        <v>23053184</v>
      </c>
    </row>
    <row r="3573" spans="1:54" ht="24.65" customHeight="1">
      <c r="B3573" s="757">
        <v>46214</v>
      </c>
      <c r="C3573" s="758">
        <v>46227</v>
      </c>
      <c r="D3573" s="185">
        <f t="shared" si="1693"/>
        <v>2026</v>
      </c>
      <c r="E3573" s="758" t="e">
        <f>VLOOKUP($B3573,Week!$A$1:$C$1462,2,0)</f>
        <v>#N/A</v>
      </c>
      <c r="F3573" s="759" t="str">
        <f t="shared" si="1694"/>
        <v>Jul</v>
      </c>
      <c r="G3573" s="863" t="s">
        <v>3057</v>
      </c>
      <c r="H3573" s="761" t="s">
        <v>424</v>
      </c>
      <c r="I3573" s="761" t="s">
        <v>2772</v>
      </c>
      <c r="J3573" s="762" t="s">
        <v>425</v>
      </c>
      <c r="K3573" s="763" t="s">
        <v>3059</v>
      </c>
      <c r="L3573" s="300" t="s">
        <v>2167</v>
      </c>
      <c r="M3573" s="762" t="s">
        <v>3060</v>
      </c>
      <c r="N3573" s="761" t="s">
        <v>3058</v>
      </c>
      <c r="O3573" s="761" t="s">
        <v>230</v>
      </c>
      <c r="P3573" s="764">
        <v>12</v>
      </c>
      <c r="Q3573" s="764">
        <v>5</v>
      </c>
      <c r="R3573" s="765">
        <v>6.0000000000000001E-3</v>
      </c>
      <c r="S3573" s="761" t="s">
        <v>55</v>
      </c>
      <c r="T3573" s="761" t="s">
        <v>112</v>
      </c>
      <c r="U3573" s="761" t="s">
        <v>57</v>
      </c>
      <c r="V3573" s="766">
        <f>2600</f>
        <v>2600</v>
      </c>
      <c r="W3573" s="766"/>
      <c r="X3573" s="767">
        <f>(29970+4511)/12</f>
        <v>2873.4166666666665</v>
      </c>
      <c r="Y3573" s="768">
        <f t="shared" si="1718"/>
        <v>273.41666666666652</v>
      </c>
      <c r="Z3573" s="769">
        <f t="shared" si="1719"/>
        <v>0</v>
      </c>
      <c r="AA3573" s="769">
        <f t="shared" si="1726"/>
        <v>0</v>
      </c>
      <c r="AB3573" s="837">
        <v>7.4999999999999997E-3</v>
      </c>
      <c r="AC3573" s="766">
        <f t="shared" si="1720"/>
        <v>0</v>
      </c>
      <c r="AD3573" s="485" t="s">
        <v>2779</v>
      </c>
      <c r="AE3573" s="210">
        <f t="shared" si="1721"/>
        <v>0</v>
      </c>
      <c r="AF3573" s="210">
        <f t="shared" si="1722"/>
        <v>0</v>
      </c>
      <c r="AG3573" s="211">
        <f t="shared" si="1725"/>
        <v>0.25800000000000001</v>
      </c>
      <c r="AH3573" s="157">
        <f t="shared" si="1723"/>
        <v>0</v>
      </c>
      <c r="AI3573" s="152">
        <f t="shared" si="1724"/>
        <v>31200</v>
      </c>
      <c r="AK3573" s="156" t="s">
        <v>691</v>
      </c>
      <c r="AL3573" s="212" t="s">
        <v>690</v>
      </c>
      <c r="AM3573" s="198">
        <f t="shared" si="1727"/>
        <v>0</v>
      </c>
      <c r="AN3573" s="199">
        <f t="shared" si="1728"/>
        <v>46214</v>
      </c>
      <c r="AO3573" s="159" t="s">
        <v>692</v>
      </c>
      <c r="AP3573" s="783" t="s">
        <v>609</v>
      </c>
      <c r="AQ3573" s="782">
        <v>12071839</v>
      </c>
      <c r="AR3573" s="782">
        <v>12095778</v>
      </c>
      <c r="AS3573" s="782">
        <v>12095777</v>
      </c>
      <c r="AT3573" s="782" t="s">
        <v>3102</v>
      </c>
      <c r="AU3573" s="782"/>
      <c r="AV3573" s="782">
        <v>12099364</v>
      </c>
      <c r="AW3573" s="782"/>
      <c r="AX3573" s="781"/>
      <c r="AY3573" s="782"/>
      <c r="AZ3573" s="782"/>
      <c r="BA3573" s="781"/>
      <c r="BB3573" s="209">
        <v>23053185</v>
      </c>
    </row>
    <row r="3574" spans="1:54" ht="25" customHeight="1">
      <c r="B3574" s="271">
        <v>46214</v>
      </c>
      <c r="C3574" s="441">
        <v>46226</v>
      </c>
      <c r="D3574" s="274">
        <f t="shared" si="1693"/>
        <v>2026</v>
      </c>
      <c r="E3574" s="274" t="e">
        <f>VLOOKUP($B3574,Week!$A$1:$C$1462,2,0)</f>
        <v>#N/A</v>
      </c>
      <c r="F3574" s="273" t="str">
        <f t="shared" si="1694"/>
        <v>Jul</v>
      </c>
      <c r="G3574" s="274" t="s">
        <v>3096</v>
      </c>
      <c r="H3574" s="274" t="s">
        <v>225</v>
      </c>
      <c r="I3574" s="274" t="s">
        <v>2773</v>
      </c>
      <c r="J3574" s="275" t="s">
        <v>650</v>
      </c>
      <c r="K3574" s="276" t="s">
        <v>2256</v>
      </c>
      <c r="L3574" s="276" t="s">
        <v>2167</v>
      </c>
      <c r="M3574" s="275" t="s">
        <v>2258</v>
      </c>
      <c r="N3574" s="274" t="s">
        <v>2259</v>
      </c>
      <c r="O3574" s="274" t="s">
        <v>110</v>
      </c>
      <c r="P3574" s="277">
        <v>36</v>
      </c>
      <c r="Q3574" s="277">
        <v>5</v>
      </c>
      <c r="R3574" s="278">
        <v>7.4999999999999997E-3</v>
      </c>
      <c r="S3574" s="274" t="s">
        <v>111</v>
      </c>
      <c r="T3574" s="274" t="s">
        <v>112</v>
      </c>
      <c r="U3574" s="274" t="s">
        <v>113</v>
      </c>
      <c r="V3574" s="279">
        <v>792</v>
      </c>
      <c r="W3574" s="279">
        <f>112+680</f>
        <v>792</v>
      </c>
      <c r="X3574" s="280"/>
      <c r="Y3574" s="281">
        <f t="shared" si="1718"/>
        <v>0</v>
      </c>
      <c r="Z3574" s="282">
        <f t="shared" si="1719"/>
        <v>0</v>
      </c>
      <c r="AA3574" s="282">
        <f t="shared" si="1726"/>
        <v>0</v>
      </c>
      <c r="AB3574" s="812">
        <v>9.7000000000000003E-3</v>
      </c>
      <c r="AC3574" s="279">
        <f t="shared" si="1720"/>
        <v>0</v>
      </c>
      <c r="AD3574" s="209"/>
      <c r="AE3574" s="210">
        <f t="shared" si="1721"/>
        <v>0</v>
      </c>
      <c r="AF3574" s="210">
        <f t="shared" si="1722"/>
        <v>0</v>
      </c>
      <c r="AG3574" s="211">
        <f t="shared" si="1725"/>
        <v>0.308</v>
      </c>
      <c r="AH3574" s="157">
        <f t="shared" si="1723"/>
        <v>0</v>
      </c>
      <c r="AI3574" s="152">
        <f t="shared" si="1724"/>
        <v>28512</v>
      </c>
      <c r="AK3574" s="156" t="s">
        <v>691</v>
      </c>
      <c r="AL3574" s="574" t="s">
        <v>690</v>
      </c>
      <c r="AM3574" s="198">
        <f t="shared" si="1727"/>
        <v>0</v>
      </c>
      <c r="AN3574" s="199">
        <f t="shared" si="1728"/>
        <v>46214</v>
      </c>
      <c r="AO3574" s="159" t="s">
        <v>692</v>
      </c>
      <c r="AP3574" s="781"/>
      <c r="AQ3574" s="782">
        <v>12063755</v>
      </c>
      <c r="AR3574" s="782">
        <v>12061353</v>
      </c>
      <c r="AS3574" s="782">
        <v>12061354</v>
      </c>
      <c r="AT3574" s="782">
        <v>12095367</v>
      </c>
      <c r="AU3574" s="781"/>
      <c r="AV3574" s="782">
        <v>12095366</v>
      </c>
      <c r="AW3574" s="782">
        <v>12088207</v>
      </c>
      <c r="AX3574" s="782"/>
      <c r="AY3574" s="782">
        <v>12095368</v>
      </c>
      <c r="AZ3574" s="782"/>
      <c r="BA3574" s="781"/>
      <c r="BB3574" s="209">
        <v>23054743</v>
      </c>
    </row>
    <row r="3575" spans="1:54" ht="25" customHeight="1">
      <c r="B3575" s="271">
        <v>46214</v>
      </c>
      <c r="C3575" s="441">
        <v>46233</v>
      </c>
      <c r="D3575" s="274">
        <f t="shared" si="1693"/>
        <v>2026</v>
      </c>
      <c r="E3575" s="274" t="e">
        <f>VLOOKUP($B3575,Week!$A$1:$C$1462,2,0)</f>
        <v>#N/A</v>
      </c>
      <c r="F3575" s="273" t="str">
        <f t="shared" si="1694"/>
        <v>Jul</v>
      </c>
      <c r="G3575" s="274" t="s">
        <v>3097</v>
      </c>
      <c r="H3575" s="274" t="s">
        <v>225</v>
      </c>
      <c r="I3575" s="274" t="s">
        <v>2773</v>
      </c>
      <c r="J3575" s="275" t="s">
        <v>650</v>
      </c>
      <c r="K3575" s="276" t="s">
        <v>2256</v>
      </c>
      <c r="L3575" s="276" t="s">
        <v>2167</v>
      </c>
      <c r="M3575" s="275" t="s">
        <v>2258</v>
      </c>
      <c r="N3575" s="274" t="s">
        <v>2259</v>
      </c>
      <c r="O3575" s="274" t="s">
        <v>110</v>
      </c>
      <c r="P3575" s="277">
        <v>36</v>
      </c>
      <c r="Q3575" s="277">
        <v>5</v>
      </c>
      <c r="R3575" s="278">
        <v>7.4999999999999997E-3</v>
      </c>
      <c r="S3575" s="274" t="s">
        <v>111</v>
      </c>
      <c r="T3575" s="274" t="s">
        <v>112</v>
      </c>
      <c r="U3575" s="274" t="s">
        <v>113</v>
      </c>
      <c r="V3575" s="279">
        <v>792</v>
      </c>
      <c r="W3575" s="279">
        <v>792</v>
      </c>
      <c r="X3575" s="280"/>
      <c r="Y3575" s="281">
        <f t="shared" si="1718"/>
        <v>0</v>
      </c>
      <c r="Z3575" s="282">
        <f t="shared" si="1719"/>
        <v>0</v>
      </c>
      <c r="AA3575" s="282">
        <f t="shared" si="1726"/>
        <v>0</v>
      </c>
      <c r="AB3575" s="812">
        <v>9.7000000000000003E-3</v>
      </c>
      <c r="AC3575" s="279">
        <f t="shared" si="1720"/>
        <v>0</v>
      </c>
      <c r="AD3575" s="209"/>
      <c r="AE3575" s="210">
        <f t="shared" si="1721"/>
        <v>0</v>
      </c>
      <c r="AF3575" s="210">
        <f t="shared" si="1722"/>
        <v>0</v>
      </c>
      <c r="AG3575" s="211">
        <f t="shared" si="1725"/>
        <v>0.308</v>
      </c>
      <c r="AH3575" s="157">
        <f t="shared" si="1723"/>
        <v>0</v>
      </c>
      <c r="AI3575" s="152">
        <f t="shared" si="1724"/>
        <v>28512</v>
      </c>
      <c r="AK3575" s="156" t="s">
        <v>691</v>
      </c>
      <c r="AL3575" s="574" t="s">
        <v>690</v>
      </c>
      <c r="AM3575" s="198">
        <f t="shared" si="1727"/>
        <v>0</v>
      </c>
      <c r="AN3575" s="199">
        <f t="shared" si="1728"/>
        <v>46214</v>
      </c>
      <c r="AO3575" s="159" t="s">
        <v>692</v>
      </c>
      <c r="AP3575" s="781"/>
      <c r="AQ3575" s="782">
        <v>12063755</v>
      </c>
      <c r="AR3575" s="782">
        <v>12061353</v>
      </c>
      <c r="AS3575" s="782">
        <v>12061354</v>
      </c>
      <c r="AT3575" s="782">
        <v>12095367</v>
      </c>
      <c r="AU3575" s="781"/>
      <c r="AV3575" s="782">
        <v>12095366</v>
      </c>
      <c r="AW3575" s="782">
        <v>12088207</v>
      </c>
      <c r="AX3575" s="782"/>
      <c r="AY3575" s="782">
        <v>12095368</v>
      </c>
      <c r="AZ3575" s="782"/>
      <c r="BA3575" s="781"/>
      <c r="BB3575" s="209">
        <v>23054743</v>
      </c>
    </row>
    <row r="3576" spans="1:54" ht="25" customHeight="1">
      <c r="B3576" s="271">
        <v>46214</v>
      </c>
      <c r="C3576" s="441">
        <v>46254</v>
      </c>
      <c r="D3576" s="274">
        <f t="shared" si="1693"/>
        <v>2026</v>
      </c>
      <c r="E3576" s="274" t="e">
        <f>VLOOKUP($B3576,Week!$A$1:$C$1462,2,0)</f>
        <v>#N/A</v>
      </c>
      <c r="F3576" s="273" t="str">
        <f t="shared" si="1694"/>
        <v>Jul</v>
      </c>
      <c r="G3576" s="274" t="s">
        <v>3098</v>
      </c>
      <c r="H3576" s="274" t="s">
        <v>225</v>
      </c>
      <c r="I3576" s="274" t="s">
        <v>2773</v>
      </c>
      <c r="J3576" s="275" t="s">
        <v>650</v>
      </c>
      <c r="K3576" s="276" t="s">
        <v>2256</v>
      </c>
      <c r="L3576" s="276" t="s">
        <v>2167</v>
      </c>
      <c r="M3576" s="275" t="s">
        <v>2258</v>
      </c>
      <c r="N3576" s="274" t="s">
        <v>2259</v>
      </c>
      <c r="O3576" s="274" t="s">
        <v>110</v>
      </c>
      <c r="P3576" s="277">
        <v>36</v>
      </c>
      <c r="Q3576" s="277">
        <v>5</v>
      </c>
      <c r="R3576" s="278">
        <v>7.4999999999999997E-3</v>
      </c>
      <c r="S3576" s="274" t="s">
        <v>111</v>
      </c>
      <c r="T3576" s="274" t="s">
        <v>112</v>
      </c>
      <c r="U3576" s="274" t="s">
        <v>113</v>
      </c>
      <c r="V3576" s="279">
        <v>129</v>
      </c>
      <c r="W3576" s="279">
        <f>1601-680-792</f>
        <v>129</v>
      </c>
      <c r="X3576" s="280"/>
      <c r="Y3576" s="281">
        <f t="shared" si="1718"/>
        <v>0</v>
      </c>
      <c r="Z3576" s="282">
        <f t="shared" si="1719"/>
        <v>0</v>
      </c>
      <c r="AA3576" s="282">
        <f t="shared" si="1726"/>
        <v>0</v>
      </c>
      <c r="AB3576" s="812">
        <v>9.7000000000000003E-3</v>
      </c>
      <c r="AC3576" s="279">
        <f t="shared" si="1720"/>
        <v>0</v>
      </c>
      <c r="AD3576" s="209"/>
      <c r="AE3576" s="210">
        <f t="shared" si="1721"/>
        <v>0</v>
      </c>
      <c r="AF3576" s="210">
        <f t="shared" si="1722"/>
        <v>0</v>
      </c>
      <c r="AG3576" s="211">
        <f t="shared" si="1725"/>
        <v>0.308</v>
      </c>
      <c r="AH3576" s="157">
        <f t="shared" si="1723"/>
        <v>0</v>
      </c>
      <c r="AI3576" s="152">
        <f t="shared" si="1724"/>
        <v>4644</v>
      </c>
      <c r="AK3576" s="156" t="s">
        <v>691</v>
      </c>
      <c r="AL3576" s="574" t="s">
        <v>690</v>
      </c>
      <c r="AM3576" s="198">
        <f t="shared" si="1727"/>
        <v>0</v>
      </c>
      <c r="AN3576" s="199">
        <f t="shared" si="1728"/>
        <v>46214</v>
      </c>
      <c r="AO3576" s="159" t="s">
        <v>692</v>
      </c>
      <c r="AP3576" s="781"/>
      <c r="AQ3576" s="782">
        <v>12063755</v>
      </c>
      <c r="AR3576" s="782">
        <v>12061353</v>
      </c>
      <c r="AS3576" s="782">
        <v>12061354</v>
      </c>
      <c r="AT3576" s="782">
        <v>12095367</v>
      </c>
      <c r="AU3576" s="781"/>
      <c r="AV3576" s="782">
        <v>12095366</v>
      </c>
      <c r="AW3576" s="782">
        <v>12088207</v>
      </c>
      <c r="AX3576" s="782"/>
      <c r="AY3576" s="782">
        <v>12095368</v>
      </c>
      <c r="AZ3576" s="782"/>
      <c r="BA3576" s="781"/>
      <c r="BB3576" s="209">
        <v>23054743</v>
      </c>
    </row>
    <row r="3577" spans="1:54" ht="25" customHeight="1">
      <c r="B3577" s="183">
        <v>46215</v>
      </c>
      <c r="C3577" s="184"/>
      <c r="D3577" s="185">
        <f t="shared" si="1693"/>
        <v>2026</v>
      </c>
      <c r="E3577" s="185" t="e">
        <f>VLOOKUP($B3577,Week!$A$1:$C$1462,2,0)</f>
        <v>#N/A</v>
      </c>
      <c r="F3577" s="186" t="str">
        <f t="shared" si="1694"/>
        <v>Jul</v>
      </c>
      <c r="G3577" s="481"/>
      <c r="H3577" s="185"/>
      <c r="I3577" s="185"/>
      <c r="J3577" s="187"/>
      <c r="K3577" s="188"/>
      <c r="L3577" s="188"/>
      <c r="M3577" s="187"/>
      <c r="N3577" s="185"/>
      <c r="O3577" s="185"/>
      <c r="P3577" s="189"/>
      <c r="Q3577" s="189"/>
      <c r="R3577" s="190"/>
      <c r="S3577" s="185"/>
      <c r="T3577" s="185"/>
      <c r="U3577" s="185"/>
      <c r="V3577" s="191"/>
      <c r="W3577" s="191"/>
      <c r="X3577" s="192"/>
      <c r="Y3577" s="193"/>
      <c r="Z3577" s="194"/>
      <c r="AA3577" s="194">
        <f t="shared" si="1726"/>
        <v>0</v>
      </c>
      <c r="AB3577" s="805"/>
      <c r="AC3577" s="191"/>
      <c r="AD3577" s="187"/>
      <c r="AE3577" s="195"/>
      <c r="AF3577" s="195"/>
      <c r="AG3577" s="196"/>
      <c r="AH3577" s="197"/>
      <c r="AK3577" s="156" t="s">
        <v>691</v>
      </c>
      <c r="AM3577" s="198">
        <f t="shared" si="1727"/>
        <v>0</v>
      </c>
      <c r="AN3577" s="199">
        <f t="shared" si="1728"/>
        <v>46215</v>
      </c>
      <c r="AO3577" s="159" t="s">
        <v>692</v>
      </c>
      <c r="AP3577" s="781"/>
      <c r="AQ3577" s="782"/>
      <c r="AR3577" s="782"/>
      <c r="AS3577" s="782"/>
      <c r="AT3577" s="782"/>
      <c r="AU3577" s="781"/>
      <c r="AV3577" s="782"/>
      <c r="AW3577" s="782"/>
      <c r="AX3577" s="782"/>
      <c r="AY3577" s="782"/>
      <c r="AZ3577" s="782"/>
      <c r="BA3577" s="781"/>
      <c r="BB3577" s="209"/>
    </row>
    <row r="3578" spans="1:54" ht="25.15" customHeight="1">
      <c r="A3578" s="946" t="s">
        <v>651</v>
      </c>
      <c r="B3578" s="345">
        <v>46216</v>
      </c>
      <c r="C3578" s="346">
        <v>46224</v>
      </c>
      <c r="D3578" s="185">
        <f t="shared" si="1693"/>
        <v>2026</v>
      </c>
      <c r="E3578" s="347" t="e">
        <f>VLOOKUP($B3578,Week!$A$1:$C$1462,2,0)</f>
        <v>#N/A</v>
      </c>
      <c r="F3578" s="348" t="str">
        <f t="shared" si="1694"/>
        <v>Jul</v>
      </c>
      <c r="G3578" s="347" t="s">
        <v>2802</v>
      </c>
      <c r="H3578" s="347" t="s">
        <v>697</v>
      </c>
      <c r="I3578" s="347" t="s">
        <v>2772</v>
      </c>
      <c r="J3578" s="438" t="s">
        <v>425</v>
      </c>
      <c r="K3578" s="350" t="s">
        <v>176</v>
      </c>
      <c r="L3578" s="350" t="s">
        <v>2167</v>
      </c>
      <c r="M3578" s="349" t="s">
        <v>426</v>
      </c>
      <c r="N3578" s="347" t="s">
        <v>427</v>
      </c>
      <c r="O3578" s="347" t="s">
        <v>599</v>
      </c>
      <c r="P3578" s="351">
        <v>36</v>
      </c>
      <c r="Q3578" s="351">
        <v>5</v>
      </c>
      <c r="R3578" s="352">
        <v>7.4999999999999997E-3</v>
      </c>
      <c r="S3578" s="347" t="s">
        <v>111</v>
      </c>
      <c r="T3578" s="347" t="s">
        <v>112</v>
      </c>
      <c r="U3578" s="347" t="s">
        <v>57</v>
      </c>
      <c r="V3578" s="353">
        <v>1288</v>
      </c>
      <c r="W3578" s="353">
        <f>1288</f>
        <v>1288</v>
      </c>
      <c r="X3578" s="354"/>
      <c r="Y3578" s="355">
        <f t="shared" ref="Y3578:Y3601" si="1729">(W3578+X3578)-V3578</f>
        <v>0</v>
      </c>
      <c r="Z3578" s="356">
        <f t="shared" ref="Z3578:Z3601" si="1730">IF(Y3578&lt;0,((V3578*P3578)-((W3578+X3578)*P3578)),0)</f>
        <v>0</v>
      </c>
      <c r="AA3578" s="353">
        <f t="shared" si="1726"/>
        <v>0</v>
      </c>
      <c r="AB3578" s="818">
        <v>7.4999999999999997E-3</v>
      </c>
      <c r="AC3578" s="353">
        <f t="shared" ref="AC3578:AC3601" si="1731">Z3578*AB3578</f>
        <v>0</v>
      </c>
      <c r="AD3578" s="307" t="s">
        <v>2448</v>
      </c>
      <c r="AE3578" s="210">
        <f>SUM(Q3578*R3578*Z3578)/1000</f>
        <v>0</v>
      </c>
      <c r="AF3578" s="210">
        <f>AE3578/0.54</f>
        <v>0</v>
      </c>
      <c r="AG3578" s="211">
        <f>MID(O3578,1,3)/1000</f>
        <v>0.14799999999999999</v>
      </c>
      <c r="AH3578" s="157">
        <f t="shared" ref="AH3578:AH3594" si="1732">(Z3578*AG3578)/1000</f>
        <v>0</v>
      </c>
      <c r="AI3578" s="152">
        <f>V3578*P3578</f>
        <v>46368</v>
      </c>
      <c r="AK3578" s="156" t="s">
        <v>691</v>
      </c>
      <c r="AL3578" s="574" t="s">
        <v>690</v>
      </c>
      <c r="AM3578" s="198">
        <f t="shared" si="1727"/>
        <v>0</v>
      </c>
      <c r="AN3578" s="199">
        <f t="shared" si="1728"/>
        <v>46216</v>
      </c>
      <c r="AO3578" s="159" t="s">
        <v>692</v>
      </c>
      <c r="AP3578" s="783" t="s">
        <v>609</v>
      </c>
      <c r="AQ3578" s="782">
        <v>12071839</v>
      </c>
      <c r="AR3578" s="782">
        <v>12080260</v>
      </c>
      <c r="AS3578" s="782">
        <v>12080259</v>
      </c>
      <c r="AT3578" s="782">
        <v>12096006</v>
      </c>
      <c r="AU3578" s="782"/>
      <c r="AV3578" s="782">
        <v>12096007</v>
      </c>
      <c r="AW3578" s="782">
        <v>12024404</v>
      </c>
      <c r="AX3578" s="781"/>
      <c r="AY3578" s="782">
        <v>12096022</v>
      </c>
      <c r="AZ3578" s="782"/>
      <c r="BA3578" s="781"/>
      <c r="BB3578" s="209">
        <v>23053185</v>
      </c>
    </row>
    <row r="3579" spans="1:54" ht="25.15" customHeight="1">
      <c r="A3579" s="946" t="s">
        <v>651</v>
      </c>
      <c r="B3579" s="345">
        <v>46216</v>
      </c>
      <c r="C3579" s="346">
        <v>46230</v>
      </c>
      <c r="D3579" s="185">
        <f t="shared" si="1693"/>
        <v>2026</v>
      </c>
      <c r="E3579" s="347" t="e">
        <f>VLOOKUP($B3579,Week!$A$1:$C$1462,2,0)</f>
        <v>#N/A</v>
      </c>
      <c r="F3579" s="348" t="str">
        <f t="shared" si="1694"/>
        <v>Jul</v>
      </c>
      <c r="G3579" s="347" t="s">
        <v>2803</v>
      </c>
      <c r="H3579" s="347" t="s">
        <v>424</v>
      </c>
      <c r="I3579" s="347" t="s">
        <v>2772</v>
      </c>
      <c r="J3579" s="438" t="s">
        <v>425</v>
      </c>
      <c r="K3579" s="350" t="s">
        <v>176</v>
      </c>
      <c r="L3579" s="350" t="s">
        <v>2167</v>
      </c>
      <c r="M3579" s="349" t="s">
        <v>426</v>
      </c>
      <c r="N3579" s="347" t="s">
        <v>427</v>
      </c>
      <c r="O3579" s="347" t="s">
        <v>599</v>
      </c>
      <c r="P3579" s="351">
        <v>36</v>
      </c>
      <c r="Q3579" s="351">
        <v>5</v>
      </c>
      <c r="R3579" s="352">
        <v>7.4999999999999997E-3</v>
      </c>
      <c r="S3579" s="347" t="s">
        <v>111</v>
      </c>
      <c r="T3579" s="347" t="s">
        <v>112</v>
      </c>
      <c r="U3579" s="347" t="s">
        <v>57</v>
      </c>
      <c r="V3579" s="353">
        <v>1288</v>
      </c>
      <c r="W3579" s="353">
        <f>1208+80</f>
        <v>1288</v>
      </c>
      <c r="X3579" s="354"/>
      <c r="Y3579" s="355">
        <f t="shared" si="1729"/>
        <v>0</v>
      </c>
      <c r="Z3579" s="356">
        <f t="shared" si="1730"/>
        <v>0</v>
      </c>
      <c r="AA3579" s="353">
        <f t="shared" si="1726"/>
        <v>0</v>
      </c>
      <c r="AB3579" s="818">
        <v>7.4999999999999997E-3</v>
      </c>
      <c r="AC3579" s="353">
        <f t="shared" si="1731"/>
        <v>0</v>
      </c>
      <c r="AD3579" s="307" t="s">
        <v>2448</v>
      </c>
      <c r="AE3579" s="210">
        <f>SUM(Q3579*R3579*Z3579)/1000</f>
        <v>0</v>
      </c>
      <c r="AF3579" s="210">
        <f>AE3579/0.54</f>
        <v>0</v>
      </c>
      <c r="AG3579" s="211">
        <f>MID(O3579,1,3)/1000</f>
        <v>0.14799999999999999</v>
      </c>
      <c r="AH3579" s="157">
        <f t="shared" si="1732"/>
        <v>0</v>
      </c>
      <c r="AI3579" s="152">
        <f>V3579*P3579</f>
        <v>46368</v>
      </c>
      <c r="AK3579" s="156" t="s">
        <v>691</v>
      </c>
      <c r="AL3579" s="574" t="s">
        <v>690</v>
      </c>
      <c r="AM3579" s="198">
        <f t="shared" si="1727"/>
        <v>0</v>
      </c>
      <c r="AN3579" s="199">
        <f t="shared" si="1728"/>
        <v>46216</v>
      </c>
      <c r="AO3579" s="159" t="s">
        <v>692</v>
      </c>
      <c r="AP3579" s="783" t="s">
        <v>609</v>
      </c>
      <c r="AQ3579" s="782">
        <v>12071839</v>
      </c>
      <c r="AR3579" s="782">
        <v>12080260</v>
      </c>
      <c r="AS3579" s="782">
        <v>12080259</v>
      </c>
      <c r="AT3579" s="782">
        <v>12096006</v>
      </c>
      <c r="AU3579" s="782"/>
      <c r="AV3579" s="782">
        <v>12096007</v>
      </c>
      <c r="AW3579" s="782">
        <v>12024404</v>
      </c>
      <c r="AX3579" s="781"/>
      <c r="AY3579" s="782">
        <v>12096022</v>
      </c>
      <c r="AZ3579" s="782"/>
      <c r="BA3579" s="781"/>
      <c r="BB3579" s="209">
        <v>23053185</v>
      </c>
    </row>
    <row r="3580" spans="1:54" ht="25" customHeight="1">
      <c r="A3580" s="946" t="s">
        <v>651</v>
      </c>
      <c r="B3580" s="546">
        <v>46216</v>
      </c>
      <c r="C3580" s="547">
        <v>46230</v>
      </c>
      <c r="D3580" s="185">
        <f t="shared" si="1693"/>
        <v>2026</v>
      </c>
      <c r="E3580" s="547" t="e">
        <f>VLOOKUP($B3580,Week!$A$1:$C$1462,2,0)</f>
        <v>#N/A</v>
      </c>
      <c r="F3580" s="548" t="str">
        <f t="shared" si="1694"/>
        <v>Jul</v>
      </c>
      <c r="G3580" s="575" t="s">
        <v>3008</v>
      </c>
      <c r="H3580" s="575" t="s">
        <v>424</v>
      </c>
      <c r="I3580" s="575" t="s">
        <v>2772</v>
      </c>
      <c r="J3580" s="576" t="s">
        <v>535</v>
      </c>
      <c r="K3580" s="577" t="s">
        <v>176</v>
      </c>
      <c r="L3580" s="300" t="s">
        <v>2167</v>
      </c>
      <c r="M3580" s="576" t="s">
        <v>3087</v>
      </c>
      <c r="N3580" s="575" t="s">
        <v>537</v>
      </c>
      <c r="O3580" s="575" t="s">
        <v>187</v>
      </c>
      <c r="P3580" s="552">
        <v>8</v>
      </c>
      <c r="Q3580" s="552">
        <v>5</v>
      </c>
      <c r="R3580" s="553">
        <v>7.4999999999999997E-3</v>
      </c>
      <c r="S3580" s="575" t="s">
        <v>111</v>
      </c>
      <c r="T3580" s="575" t="s">
        <v>112</v>
      </c>
      <c r="U3580" s="575" t="s">
        <v>57</v>
      </c>
      <c r="V3580" s="554">
        <f>900</f>
        <v>900</v>
      </c>
      <c r="W3580" s="554"/>
      <c r="X3580" s="555">
        <f>(7080+250)/8</f>
        <v>916.25</v>
      </c>
      <c r="Y3580" s="556">
        <f t="shared" si="1729"/>
        <v>16.25</v>
      </c>
      <c r="Z3580" s="557">
        <f t="shared" si="1730"/>
        <v>0</v>
      </c>
      <c r="AA3580" s="557">
        <f t="shared" si="1726"/>
        <v>0</v>
      </c>
      <c r="AB3580" s="833">
        <v>7.4999999999999997E-3</v>
      </c>
      <c r="AC3580" s="554">
        <f t="shared" si="1731"/>
        <v>0</v>
      </c>
      <c r="AD3580" s="307" t="s">
        <v>2354</v>
      </c>
      <c r="AE3580" s="210"/>
      <c r="AF3580" s="210"/>
      <c r="AG3580" s="211">
        <v>0.14499999999999999</v>
      </c>
      <c r="AH3580" s="157">
        <f t="shared" si="1732"/>
        <v>0</v>
      </c>
      <c r="AI3580" s="152">
        <v>19800</v>
      </c>
      <c r="AK3580" s="156" t="s">
        <v>691</v>
      </c>
      <c r="AL3580" s="212" t="s">
        <v>690</v>
      </c>
      <c r="AM3580" s="198">
        <f t="shared" si="1727"/>
        <v>0</v>
      </c>
      <c r="AN3580" s="199">
        <f t="shared" si="1728"/>
        <v>46216</v>
      </c>
      <c r="AO3580" s="159" t="s">
        <v>692</v>
      </c>
      <c r="AP3580" s="781"/>
      <c r="AQ3580" s="782">
        <v>12071839</v>
      </c>
      <c r="AR3580" s="782">
        <v>12080260</v>
      </c>
      <c r="AS3580" s="782">
        <v>12080259</v>
      </c>
      <c r="AT3580" s="782">
        <v>12096465</v>
      </c>
      <c r="AU3580" s="782"/>
      <c r="AV3580" s="782">
        <v>12098093</v>
      </c>
      <c r="AW3580" s="781"/>
      <c r="AX3580" s="781"/>
      <c r="AY3580" s="782">
        <v>12054938</v>
      </c>
      <c r="AZ3580" s="781"/>
      <c r="BA3580" s="781"/>
    </row>
    <row r="3581" spans="1:54" ht="24.65" customHeight="1">
      <c r="B3581" s="224">
        <v>46216</v>
      </c>
      <c r="C3581" s="224">
        <v>46238</v>
      </c>
      <c r="D3581" s="185">
        <f t="shared" si="1693"/>
        <v>2026</v>
      </c>
      <c r="E3581" s="225" t="e">
        <f>VLOOKUP($B3581,Week!$A$1:$C$1462,2,0)</f>
        <v>#N/A</v>
      </c>
      <c r="F3581" s="226" t="str">
        <f t="shared" si="1694"/>
        <v>Jul</v>
      </c>
      <c r="G3581" s="225" t="s">
        <v>3067</v>
      </c>
      <c r="H3581" s="225" t="s">
        <v>392</v>
      </c>
      <c r="I3581" s="225" t="s">
        <v>2772</v>
      </c>
      <c r="J3581" s="227" t="s">
        <v>393</v>
      </c>
      <c r="K3581" s="228" t="s">
        <v>176</v>
      </c>
      <c r="L3581" s="300" t="s">
        <v>2167</v>
      </c>
      <c r="M3581" s="228" t="s">
        <v>399</v>
      </c>
      <c r="N3581" s="225" t="s">
        <v>400</v>
      </c>
      <c r="O3581" s="225" t="s">
        <v>195</v>
      </c>
      <c r="P3581" s="229">
        <v>24</v>
      </c>
      <c r="Q3581" s="229">
        <v>5</v>
      </c>
      <c r="R3581" s="230">
        <v>8.0000000000000002E-3</v>
      </c>
      <c r="S3581" s="225" t="s">
        <v>40</v>
      </c>
      <c r="T3581" s="225" t="s">
        <v>56</v>
      </c>
      <c r="U3581" s="225" t="s">
        <v>57</v>
      </c>
      <c r="V3581" s="231">
        <f>1050</f>
        <v>1050</v>
      </c>
      <c r="W3581" s="231">
        <f>9+1038</f>
        <v>1047</v>
      </c>
      <c r="X3581" s="232">
        <f>(72)/24</f>
        <v>3</v>
      </c>
      <c r="Y3581" s="233">
        <f t="shared" si="1729"/>
        <v>0</v>
      </c>
      <c r="Z3581" s="234">
        <f t="shared" si="1730"/>
        <v>0</v>
      </c>
      <c r="AA3581" s="234">
        <f t="shared" si="1726"/>
        <v>0</v>
      </c>
      <c r="AB3581" s="808">
        <v>7.4999999999999997E-3</v>
      </c>
      <c r="AC3581" s="231">
        <f t="shared" si="1731"/>
        <v>0</v>
      </c>
      <c r="AD3581" s="557" t="s">
        <v>2614</v>
      </c>
      <c r="AE3581" s="210">
        <f t="shared" ref="AE3581:AE3601" si="1733">SUM(Q3581*R3581*Z3581)/1000</f>
        <v>0</v>
      </c>
      <c r="AF3581" s="210">
        <f t="shared" ref="AF3581:AF3601" si="1734">AE3581/0.54</f>
        <v>0</v>
      </c>
      <c r="AG3581" s="211">
        <f t="shared" ref="AG3581:AG3601" si="1735">MID(O3581,1,3)/1000</f>
        <v>0.14499999999999999</v>
      </c>
      <c r="AH3581" s="157">
        <f t="shared" si="1732"/>
        <v>0</v>
      </c>
      <c r="AI3581" s="152">
        <f t="shared" ref="AI3581:AI3601" si="1736">V3581*P3581</f>
        <v>25200</v>
      </c>
      <c r="AK3581" s="156" t="s">
        <v>691</v>
      </c>
      <c r="AL3581" s="574" t="s">
        <v>690</v>
      </c>
      <c r="AM3581" s="198">
        <f t="shared" si="1727"/>
        <v>0</v>
      </c>
      <c r="AN3581" s="199">
        <f t="shared" si="1728"/>
        <v>46216</v>
      </c>
      <c r="AO3581" s="159" t="s">
        <v>692</v>
      </c>
      <c r="AP3581" s="783" t="s">
        <v>638</v>
      </c>
      <c r="AQ3581" s="783" t="s">
        <v>631</v>
      </c>
      <c r="AR3581" s="783" t="s">
        <v>632</v>
      </c>
      <c r="AS3581" s="783" t="s">
        <v>633</v>
      </c>
      <c r="AT3581" s="781"/>
      <c r="AU3581" s="782">
        <v>12026902</v>
      </c>
      <c r="AV3581" s="783" t="s">
        <v>2981</v>
      </c>
      <c r="AW3581" s="782">
        <v>12026904</v>
      </c>
      <c r="AX3581" s="781"/>
      <c r="AY3581" s="783" t="s">
        <v>2463</v>
      </c>
      <c r="AZ3581" s="783" t="s">
        <v>2464</v>
      </c>
      <c r="BA3581" s="783" t="s">
        <v>2465</v>
      </c>
      <c r="BB3581" s="209">
        <v>23053185</v>
      </c>
    </row>
    <row r="3582" spans="1:54" ht="24.75" customHeight="1">
      <c r="B3582" s="320">
        <v>46217</v>
      </c>
      <c r="C3582" s="321">
        <v>46240</v>
      </c>
      <c r="D3582" s="185">
        <f t="shared" si="1693"/>
        <v>2026</v>
      </c>
      <c r="E3582" s="321" t="e">
        <f>VLOOKUP($B3582,Week!$A$1:$C$1462,2,0)</f>
        <v>#N/A</v>
      </c>
      <c r="F3582" s="322" t="str">
        <f t="shared" si="1694"/>
        <v>Jul</v>
      </c>
      <c r="G3582" s="323" t="s">
        <v>2998</v>
      </c>
      <c r="H3582" s="323" t="s">
        <v>311</v>
      </c>
      <c r="I3582" s="323" t="s">
        <v>2772</v>
      </c>
      <c r="J3582" s="324" t="s">
        <v>2913</v>
      </c>
      <c r="K3582" s="325" t="s">
        <v>107</v>
      </c>
      <c r="L3582" s="300" t="s">
        <v>2167</v>
      </c>
      <c r="M3582" s="324" t="s">
        <v>313</v>
      </c>
      <c r="N3582" s="596" t="s">
        <v>2853</v>
      </c>
      <c r="O3582" s="323" t="s">
        <v>2747</v>
      </c>
      <c r="P3582" s="326">
        <v>5</v>
      </c>
      <c r="Q3582" s="326">
        <v>4</v>
      </c>
      <c r="R3582" s="327">
        <v>7.4999999999999997E-3</v>
      </c>
      <c r="S3582" s="323" t="s">
        <v>111</v>
      </c>
      <c r="T3582" s="323" t="s">
        <v>112</v>
      </c>
      <c r="U3582" s="323" t="s">
        <v>57</v>
      </c>
      <c r="V3582" s="328">
        <f>5000+76</f>
        <v>5076</v>
      </c>
      <c r="W3582" s="328"/>
      <c r="X3582" s="329">
        <f>(216+25164)/5</f>
        <v>5076</v>
      </c>
      <c r="Y3582" s="330">
        <f t="shared" si="1729"/>
        <v>0</v>
      </c>
      <c r="Z3582" s="331">
        <f t="shared" si="1730"/>
        <v>0</v>
      </c>
      <c r="AA3582" s="331">
        <f t="shared" si="1726"/>
        <v>0</v>
      </c>
      <c r="AB3582" s="816">
        <v>7.4999999999999997E-3</v>
      </c>
      <c r="AC3582" s="328">
        <f t="shared" si="1731"/>
        <v>0</v>
      </c>
      <c r="AD3582" s="307" t="s">
        <v>2354</v>
      </c>
      <c r="AE3582" s="210">
        <f t="shared" si="1733"/>
        <v>0</v>
      </c>
      <c r="AF3582" s="210">
        <f t="shared" si="1734"/>
        <v>0</v>
      </c>
      <c r="AG3582" s="211">
        <f t="shared" si="1735"/>
        <v>0.30499999999999999</v>
      </c>
      <c r="AH3582" s="157">
        <f t="shared" si="1732"/>
        <v>0</v>
      </c>
      <c r="AI3582" s="152">
        <f t="shared" si="1736"/>
        <v>25380</v>
      </c>
      <c r="AK3582" s="156" t="s">
        <v>691</v>
      </c>
      <c r="AL3582" s="212" t="s">
        <v>690</v>
      </c>
      <c r="AM3582" s="198">
        <f t="shared" si="1727"/>
        <v>0</v>
      </c>
      <c r="AN3582" s="199">
        <f t="shared" si="1728"/>
        <v>46217</v>
      </c>
      <c r="AO3582" s="159" t="s">
        <v>692</v>
      </c>
      <c r="AP3582" s="783" t="s">
        <v>643</v>
      </c>
      <c r="AQ3582" s="782">
        <v>12063755</v>
      </c>
      <c r="AR3582" s="782">
        <v>12081257</v>
      </c>
      <c r="AS3582" s="782">
        <v>12081260</v>
      </c>
      <c r="AT3582" s="782">
        <v>12098252</v>
      </c>
      <c r="AU3582" s="781"/>
      <c r="AV3582" s="782">
        <v>12098251</v>
      </c>
      <c r="AW3582" s="782"/>
      <c r="AX3582" s="782"/>
      <c r="AY3582" s="781"/>
      <c r="AZ3582" s="781"/>
      <c r="BA3582" s="781"/>
      <c r="BB3582" s="209">
        <v>23053185</v>
      </c>
    </row>
    <row r="3583" spans="1:54" ht="24.75" customHeight="1">
      <c r="B3583" s="320">
        <v>46217</v>
      </c>
      <c r="C3583" s="321">
        <v>46254</v>
      </c>
      <c r="D3583" s="185">
        <f t="shared" si="1693"/>
        <v>2026</v>
      </c>
      <c r="E3583" s="321" t="e">
        <f>VLOOKUP($B3583,Week!$A$1:$C$1462,2,0)</f>
        <v>#N/A</v>
      </c>
      <c r="F3583" s="322" t="str">
        <f t="shared" si="1694"/>
        <v>Jul</v>
      </c>
      <c r="G3583" s="323" t="s">
        <v>3093</v>
      </c>
      <c r="H3583" s="323" t="s">
        <v>675</v>
      </c>
      <c r="I3583" s="323" t="s">
        <v>2772</v>
      </c>
      <c r="J3583" s="324" t="s">
        <v>2906</v>
      </c>
      <c r="K3583" s="325" t="s">
        <v>107</v>
      </c>
      <c r="L3583" s="300" t="s">
        <v>2167</v>
      </c>
      <c r="M3583" s="324" t="s">
        <v>313</v>
      </c>
      <c r="N3583" s="596" t="s">
        <v>710</v>
      </c>
      <c r="O3583" s="323" t="s">
        <v>592</v>
      </c>
      <c r="P3583" s="326">
        <v>8</v>
      </c>
      <c r="Q3583" s="326">
        <v>4</v>
      </c>
      <c r="R3583" s="327">
        <v>7.4999999999999997E-3</v>
      </c>
      <c r="S3583" s="323" t="s">
        <v>111</v>
      </c>
      <c r="T3583" s="323" t="s">
        <v>112</v>
      </c>
      <c r="U3583" s="323" t="s">
        <v>57</v>
      </c>
      <c r="V3583" s="328">
        <f>796</f>
        <v>796</v>
      </c>
      <c r="W3583" s="328"/>
      <c r="X3583" s="329">
        <f>(383+6408)/8</f>
        <v>848.875</v>
      </c>
      <c r="Y3583" s="330">
        <f t="shared" si="1729"/>
        <v>52.875</v>
      </c>
      <c r="Z3583" s="331">
        <f t="shared" si="1730"/>
        <v>0</v>
      </c>
      <c r="AA3583" s="331">
        <f t="shared" si="1726"/>
        <v>0</v>
      </c>
      <c r="AB3583" s="816">
        <v>7.4999999999999997E-3</v>
      </c>
      <c r="AC3583" s="328">
        <f t="shared" si="1731"/>
        <v>0</v>
      </c>
      <c r="AD3583" s="443"/>
      <c r="AE3583" s="210">
        <f t="shared" si="1733"/>
        <v>0</v>
      </c>
      <c r="AF3583" s="210">
        <f t="shared" si="1734"/>
        <v>0</v>
      </c>
      <c r="AG3583" s="211">
        <f t="shared" si="1735"/>
        <v>0.30499999999999999</v>
      </c>
      <c r="AH3583" s="157">
        <f t="shared" si="1732"/>
        <v>0</v>
      </c>
      <c r="AI3583" s="152">
        <f t="shared" si="1736"/>
        <v>6368</v>
      </c>
      <c r="AK3583" s="156" t="s">
        <v>691</v>
      </c>
      <c r="AL3583" s="212" t="s">
        <v>690</v>
      </c>
      <c r="AM3583" s="198">
        <f t="shared" si="1727"/>
        <v>0</v>
      </c>
      <c r="AN3583" s="199">
        <f t="shared" si="1728"/>
        <v>46217</v>
      </c>
      <c r="AO3583" s="159" t="s">
        <v>692</v>
      </c>
      <c r="AP3583" s="783" t="s">
        <v>643</v>
      </c>
      <c r="AQ3583" s="782">
        <v>12063755</v>
      </c>
      <c r="AR3583" s="782">
        <v>12061353</v>
      </c>
      <c r="AS3583" s="782">
        <v>12061354</v>
      </c>
      <c r="AT3583" s="782">
        <v>12089987</v>
      </c>
      <c r="AU3583" s="781"/>
      <c r="AV3583" s="782">
        <v>12089986</v>
      </c>
      <c r="AW3583" s="782"/>
      <c r="AX3583" s="782"/>
      <c r="AY3583" s="781" t="s">
        <v>2713</v>
      </c>
      <c r="AZ3583" s="781" t="s">
        <v>2714</v>
      </c>
      <c r="BA3583" s="781"/>
      <c r="BB3583" s="209">
        <v>23053185</v>
      </c>
    </row>
    <row r="3584" spans="1:54" ht="24.65" customHeight="1">
      <c r="B3584" s="308">
        <v>46217</v>
      </c>
      <c r="C3584" s="309">
        <v>46240</v>
      </c>
      <c r="D3584" s="185">
        <f t="shared" si="1693"/>
        <v>2026</v>
      </c>
      <c r="E3584" s="309" t="e">
        <f>VLOOKUP($B3584,Week!$A$1:$C$1462,2,0)</f>
        <v>#N/A</v>
      </c>
      <c r="F3584" s="310" t="str">
        <f t="shared" si="1694"/>
        <v>Jul</v>
      </c>
      <c r="G3584" s="311" t="s">
        <v>3012</v>
      </c>
      <c r="H3584" s="311" t="s">
        <v>311</v>
      </c>
      <c r="I3584" s="311" t="s">
        <v>2772</v>
      </c>
      <c r="J3584" s="312" t="s">
        <v>738</v>
      </c>
      <c r="K3584" s="313" t="s">
        <v>107</v>
      </c>
      <c r="L3584" s="300" t="s">
        <v>2167</v>
      </c>
      <c r="M3584" s="312" t="s">
        <v>313</v>
      </c>
      <c r="N3584" s="311" t="s">
        <v>314</v>
      </c>
      <c r="O3584" s="311" t="s">
        <v>110</v>
      </c>
      <c r="P3584" s="314">
        <v>36</v>
      </c>
      <c r="Q3584" s="314">
        <v>5</v>
      </c>
      <c r="R3584" s="315">
        <v>7.4999999999999997E-3</v>
      </c>
      <c r="S3584" s="311" t="s">
        <v>111</v>
      </c>
      <c r="T3584" s="311" t="s">
        <v>112</v>
      </c>
      <c r="U3584" s="311" t="s">
        <v>57</v>
      </c>
      <c r="V3584" s="316">
        <v>792</v>
      </c>
      <c r="W3584" s="316">
        <f>71+721</f>
        <v>792</v>
      </c>
      <c r="X3584" s="317"/>
      <c r="Y3584" s="318">
        <f t="shared" si="1729"/>
        <v>0</v>
      </c>
      <c r="Z3584" s="319">
        <f t="shared" si="1730"/>
        <v>0</v>
      </c>
      <c r="AA3584" s="319">
        <f t="shared" si="1726"/>
        <v>0</v>
      </c>
      <c r="AB3584" s="815">
        <v>7.4999999999999997E-3</v>
      </c>
      <c r="AC3584" s="316">
        <f t="shared" si="1731"/>
        <v>0</v>
      </c>
      <c r="AD3584" s="209"/>
      <c r="AE3584" s="210">
        <f t="shared" si="1733"/>
        <v>0</v>
      </c>
      <c r="AF3584" s="210">
        <f t="shared" si="1734"/>
        <v>0</v>
      </c>
      <c r="AG3584" s="211">
        <f t="shared" si="1735"/>
        <v>0.308</v>
      </c>
      <c r="AH3584" s="157">
        <f t="shared" si="1732"/>
        <v>0</v>
      </c>
      <c r="AI3584" s="152">
        <f t="shared" si="1736"/>
        <v>28512</v>
      </c>
      <c r="AK3584" s="156" t="s">
        <v>691</v>
      </c>
      <c r="AL3584" s="212" t="s">
        <v>690</v>
      </c>
      <c r="AM3584" s="198">
        <f t="shared" si="1727"/>
        <v>0</v>
      </c>
      <c r="AN3584" s="199">
        <f t="shared" si="1728"/>
        <v>46217</v>
      </c>
      <c r="AO3584" s="159" t="s">
        <v>692</v>
      </c>
      <c r="AP3584" s="783" t="s">
        <v>644</v>
      </c>
      <c r="AQ3584" s="782">
        <v>12063755</v>
      </c>
      <c r="AR3584" s="782">
        <v>12081257</v>
      </c>
      <c r="AS3584" s="782">
        <v>12081260</v>
      </c>
      <c r="AT3584" s="782">
        <v>12098623</v>
      </c>
      <c r="AU3584" s="781"/>
      <c r="AV3584" s="782">
        <v>12098706</v>
      </c>
      <c r="AW3584" s="782">
        <v>12088207</v>
      </c>
      <c r="AX3584" s="782"/>
      <c r="AY3584" s="782">
        <v>12094237</v>
      </c>
      <c r="AZ3584" s="782"/>
      <c r="BA3584" s="781"/>
      <c r="BB3584" s="209">
        <v>23053185</v>
      </c>
    </row>
    <row r="3585" spans="1:54" ht="24.65" customHeight="1">
      <c r="B3585" s="308">
        <v>46217</v>
      </c>
      <c r="C3585" s="309">
        <v>46247</v>
      </c>
      <c r="D3585" s="185">
        <f t="shared" si="1693"/>
        <v>2026</v>
      </c>
      <c r="E3585" s="309" t="e">
        <f>VLOOKUP($B3585,Week!$A$1:$C$1462,2,0)</f>
        <v>#N/A</v>
      </c>
      <c r="F3585" s="310" t="str">
        <f t="shared" si="1694"/>
        <v>Jul</v>
      </c>
      <c r="G3585" s="311" t="s">
        <v>3013</v>
      </c>
      <c r="H3585" s="311" t="s">
        <v>311</v>
      </c>
      <c r="I3585" s="311" t="s">
        <v>2772</v>
      </c>
      <c r="J3585" s="312" t="s">
        <v>738</v>
      </c>
      <c r="K3585" s="313" t="s">
        <v>107</v>
      </c>
      <c r="L3585" s="300" t="s">
        <v>2167</v>
      </c>
      <c r="M3585" s="312" t="s">
        <v>313</v>
      </c>
      <c r="N3585" s="311" t="s">
        <v>314</v>
      </c>
      <c r="O3585" s="311" t="s">
        <v>110</v>
      </c>
      <c r="P3585" s="314">
        <v>36</v>
      </c>
      <c r="Q3585" s="314">
        <v>5</v>
      </c>
      <c r="R3585" s="315">
        <v>7.4999999999999997E-3</v>
      </c>
      <c r="S3585" s="311" t="s">
        <v>111</v>
      </c>
      <c r="T3585" s="311" t="s">
        <v>112</v>
      </c>
      <c r="U3585" s="311" t="s">
        <v>57</v>
      </c>
      <c r="V3585" s="316">
        <f>480</f>
        <v>480</v>
      </c>
      <c r="W3585" s="316">
        <f>1201-721</f>
        <v>480</v>
      </c>
      <c r="X3585" s="317"/>
      <c r="Y3585" s="318">
        <f t="shared" si="1729"/>
        <v>0</v>
      </c>
      <c r="Z3585" s="319">
        <f t="shared" si="1730"/>
        <v>0</v>
      </c>
      <c r="AA3585" s="319">
        <f t="shared" si="1726"/>
        <v>0</v>
      </c>
      <c r="AB3585" s="815">
        <v>7.4999999999999997E-3</v>
      </c>
      <c r="AC3585" s="316">
        <f t="shared" si="1731"/>
        <v>0</v>
      </c>
      <c r="AD3585" s="209"/>
      <c r="AE3585" s="210">
        <f t="shared" si="1733"/>
        <v>0</v>
      </c>
      <c r="AF3585" s="210">
        <f t="shared" si="1734"/>
        <v>0</v>
      </c>
      <c r="AG3585" s="211">
        <f t="shared" si="1735"/>
        <v>0.308</v>
      </c>
      <c r="AH3585" s="157">
        <f t="shared" si="1732"/>
        <v>0</v>
      </c>
      <c r="AI3585" s="152">
        <f t="shared" si="1736"/>
        <v>17280</v>
      </c>
      <c r="AK3585" s="156" t="s">
        <v>691</v>
      </c>
      <c r="AL3585" s="212" t="s">
        <v>690</v>
      </c>
      <c r="AM3585" s="198">
        <f t="shared" si="1727"/>
        <v>0</v>
      </c>
      <c r="AN3585" s="199">
        <f t="shared" si="1728"/>
        <v>46217</v>
      </c>
      <c r="AO3585" s="159" t="s">
        <v>692</v>
      </c>
      <c r="AP3585" s="783" t="s">
        <v>644</v>
      </c>
      <c r="AQ3585" s="782">
        <v>12063755</v>
      </c>
      <c r="AR3585" s="782">
        <v>12081257</v>
      </c>
      <c r="AS3585" s="782">
        <v>12081260</v>
      </c>
      <c r="AT3585" s="782">
        <v>12098623</v>
      </c>
      <c r="AU3585" s="781"/>
      <c r="AV3585" s="782">
        <v>12098706</v>
      </c>
      <c r="AW3585" s="782">
        <v>12088207</v>
      </c>
      <c r="AX3585" s="782"/>
      <c r="AY3585" s="782">
        <v>12094237</v>
      </c>
      <c r="AZ3585" s="782"/>
      <c r="BA3585" s="781"/>
      <c r="BB3585" s="209">
        <v>23053185</v>
      </c>
    </row>
    <row r="3586" spans="1:54" ht="25" customHeight="1">
      <c r="B3586" s="602">
        <v>46217</v>
      </c>
      <c r="C3586" s="861" t="s">
        <v>2849</v>
      </c>
      <c r="D3586" s="604">
        <f t="shared" si="1693"/>
        <v>2026</v>
      </c>
      <c r="E3586" s="603" t="e">
        <f>VLOOKUP($B3586,Week!$A$1:$C$1462,2,0)</f>
        <v>#N/A</v>
      </c>
      <c r="F3586" s="605" t="str">
        <f t="shared" si="1694"/>
        <v>Jul</v>
      </c>
      <c r="G3586" s="604" t="s">
        <v>47</v>
      </c>
      <c r="H3586" s="604" t="s">
        <v>518</v>
      </c>
      <c r="I3586" s="604" t="s">
        <v>2702</v>
      </c>
      <c r="J3586" s="606" t="s">
        <v>70</v>
      </c>
      <c r="K3586" s="607" t="s">
        <v>227</v>
      </c>
      <c r="L3586" s="607" t="s">
        <v>2167</v>
      </c>
      <c r="M3586" s="606" t="s">
        <v>2554</v>
      </c>
      <c r="N3586" s="604" t="s">
        <v>2334</v>
      </c>
      <c r="O3586" s="604" t="s">
        <v>2005</v>
      </c>
      <c r="P3586" s="608">
        <v>12</v>
      </c>
      <c r="Q3586" s="608">
        <v>3</v>
      </c>
      <c r="R3586" s="609">
        <v>8.0000000000000002E-3</v>
      </c>
      <c r="S3586" s="604" t="s">
        <v>352</v>
      </c>
      <c r="T3586" s="604" t="s">
        <v>56</v>
      </c>
      <c r="U3586" s="604" t="s">
        <v>2007</v>
      </c>
      <c r="V3586" s="862">
        <f>2500-2432</f>
        <v>68</v>
      </c>
      <c r="W3586" s="610">
        <v>68</v>
      </c>
      <c r="X3586" s="611"/>
      <c r="Y3586" s="612">
        <f t="shared" si="1729"/>
        <v>0</v>
      </c>
      <c r="Z3586" s="613">
        <f t="shared" si="1730"/>
        <v>0</v>
      </c>
      <c r="AA3586" s="613">
        <f t="shared" si="1726"/>
        <v>0</v>
      </c>
      <c r="AB3586" s="836">
        <v>0.05</v>
      </c>
      <c r="AC3586" s="610">
        <f t="shared" si="1731"/>
        <v>0</v>
      </c>
      <c r="AD3586" s="307" t="s">
        <v>2344</v>
      </c>
      <c r="AE3586" s="210">
        <f t="shared" si="1733"/>
        <v>0</v>
      </c>
      <c r="AF3586" s="210">
        <f t="shared" si="1734"/>
        <v>0</v>
      </c>
      <c r="AG3586" s="211">
        <f t="shared" si="1735"/>
        <v>0.22700000000000001</v>
      </c>
      <c r="AH3586" s="157">
        <f t="shared" si="1732"/>
        <v>0</v>
      </c>
      <c r="AI3586" s="152">
        <f t="shared" si="1736"/>
        <v>816</v>
      </c>
      <c r="AK3586" s="156" t="s">
        <v>691</v>
      </c>
      <c r="AL3586" s="212" t="s">
        <v>690</v>
      </c>
      <c r="AM3586" s="198">
        <f t="shared" si="1727"/>
        <v>0</v>
      </c>
      <c r="AN3586" s="199">
        <f t="shared" si="1728"/>
        <v>46217</v>
      </c>
      <c r="AO3586" s="159" t="s">
        <v>692</v>
      </c>
      <c r="AP3586" s="783" t="s">
        <v>623</v>
      </c>
      <c r="AQ3586" s="782">
        <v>12071839</v>
      </c>
      <c r="AR3586" s="782">
        <v>12042650</v>
      </c>
      <c r="AS3586" s="782">
        <v>12042649</v>
      </c>
      <c r="AT3586" s="782"/>
      <c r="AU3586" s="781"/>
      <c r="AV3586" s="782">
        <v>12094036</v>
      </c>
      <c r="AW3586" s="782"/>
      <c r="AX3586" s="782"/>
      <c r="AY3586" s="782">
        <v>12094035</v>
      </c>
      <c r="AZ3586" s="782">
        <v>12094041</v>
      </c>
      <c r="BA3586" s="781"/>
      <c r="BB3586" s="209">
        <v>11044165</v>
      </c>
    </row>
    <row r="3587" spans="1:54" ht="25" customHeight="1">
      <c r="B3587" s="602">
        <v>46217</v>
      </c>
      <c r="C3587" s="861" t="s">
        <v>2996</v>
      </c>
      <c r="D3587" s="604">
        <f t="shared" si="1693"/>
        <v>2026</v>
      </c>
      <c r="E3587" s="603" t="e">
        <f>VLOOKUP($B3587,Week!$A$1:$C$1462,2,0)</f>
        <v>#N/A</v>
      </c>
      <c r="F3587" s="605" t="str">
        <f t="shared" si="1694"/>
        <v>Jul</v>
      </c>
      <c r="G3587" s="604" t="s">
        <v>47</v>
      </c>
      <c r="H3587" s="604" t="s">
        <v>518</v>
      </c>
      <c r="I3587" s="604" t="s">
        <v>2702</v>
      </c>
      <c r="J3587" s="606" t="s">
        <v>70</v>
      </c>
      <c r="K3587" s="607" t="s">
        <v>227</v>
      </c>
      <c r="L3587" s="607" t="s">
        <v>2167</v>
      </c>
      <c r="M3587" s="606" t="s">
        <v>2554</v>
      </c>
      <c r="N3587" s="604" t="s">
        <v>2334</v>
      </c>
      <c r="O3587" s="604" t="s">
        <v>2005</v>
      </c>
      <c r="P3587" s="608">
        <v>12</v>
      </c>
      <c r="Q3587" s="608">
        <v>3</v>
      </c>
      <c r="R3587" s="609">
        <v>8.0000000000000002E-3</v>
      </c>
      <c r="S3587" s="604" t="s">
        <v>352</v>
      </c>
      <c r="T3587" s="604" t="s">
        <v>56</v>
      </c>
      <c r="U3587" s="604" t="s">
        <v>2007</v>
      </c>
      <c r="V3587" s="862">
        <f>2500</f>
        <v>2500</v>
      </c>
      <c r="W3587" s="610">
        <f>2467-68+7+99</f>
        <v>2505</v>
      </c>
      <c r="X3587" s="611"/>
      <c r="Y3587" s="612">
        <f t="shared" si="1729"/>
        <v>5</v>
      </c>
      <c r="Z3587" s="613">
        <f t="shared" si="1730"/>
        <v>0</v>
      </c>
      <c r="AA3587" s="613">
        <f t="shared" si="1726"/>
        <v>0</v>
      </c>
      <c r="AB3587" s="836">
        <v>0.05</v>
      </c>
      <c r="AC3587" s="610">
        <f t="shared" si="1731"/>
        <v>0</v>
      </c>
      <c r="AD3587" s="307" t="s">
        <v>2344</v>
      </c>
      <c r="AE3587" s="210">
        <f t="shared" si="1733"/>
        <v>0</v>
      </c>
      <c r="AF3587" s="210">
        <f t="shared" si="1734"/>
        <v>0</v>
      </c>
      <c r="AG3587" s="211">
        <f t="shared" si="1735"/>
        <v>0.22700000000000001</v>
      </c>
      <c r="AH3587" s="157">
        <f t="shared" si="1732"/>
        <v>0</v>
      </c>
      <c r="AI3587" s="152">
        <f t="shared" si="1736"/>
        <v>30000</v>
      </c>
      <c r="AK3587" s="156" t="s">
        <v>691</v>
      </c>
      <c r="AL3587" s="212" t="s">
        <v>690</v>
      </c>
      <c r="AM3587" s="198">
        <f t="shared" si="1727"/>
        <v>0</v>
      </c>
      <c r="AN3587" s="199">
        <f t="shared" si="1728"/>
        <v>46217</v>
      </c>
      <c r="AO3587" s="159" t="s">
        <v>692</v>
      </c>
      <c r="AP3587" s="783" t="s">
        <v>623</v>
      </c>
      <c r="AQ3587" s="782">
        <v>12071839</v>
      </c>
      <c r="AR3587" s="782">
        <v>12042650</v>
      </c>
      <c r="AS3587" s="782">
        <v>12042649</v>
      </c>
      <c r="AT3587" s="782"/>
      <c r="AU3587" s="781"/>
      <c r="AV3587" s="782">
        <v>12094036</v>
      </c>
      <c r="AW3587" s="782"/>
      <c r="AX3587" s="782"/>
      <c r="AY3587" s="782">
        <v>12094035</v>
      </c>
      <c r="AZ3587" s="782">
        <v>12094041</v>
      </c>
      <c r="BA3587" s="781"/>
      <c r="BB3587" s="209">
        <v>11044165</v>
      </c>
    </row>
    <row r="3588" spans="1:54" ht="24.65" customHeight="1">
      <c r="B3588" s="411">
        <v>46218</v>
      </c>
      <c r="C3588" s="645" t="s">
        <v>2996</v>
      </c>
      <c r="D3588" s="185">
        <f t="shared" si="1693"/>
        <v>2026</v>
      </c>
      <c r="E3588" s="412" t="e">
        <f>VLOOKUP($B3588,Week!$A$1:$C$1462,2,0)</f>
        <v>#N/A</v>
      </c>
      <c r="F3588" s="413" t="str">
        <f t="shared" si="1694"/>
        <v>Jul</v>
      </c>
      <c r="G3588" s="414" t="s">
        <v>47</v>
      </c>
      <c r="H3588" s="414" t="s">
        <v>260</v>
      </c>
      <c r="I3588" s="414" t="s">
        <v>2702</v>
      </c>
      <c r="J3588" s="415" t="s">
        <v>261</v>
      </c>
      <c r="K3588" s="416" t="s">
        <v>94</v>
      </c>
      <c r="L3588" s="300" t="s">
        <v>2167</v>
      </c>
      <c r="M3588" s="415" t="s">
        <v>2339</v>
      </c>
      <c r="N3588" s="414" t="s">
        <v>263</v>
      </c>
      <c r="O3588" s="414" t="s">
        <v>195</v>
      </c>
      <c r="P3588" s="417">
        <v>24</v>
      </c>
      <c r="Q3588" s="417">
        <v>5</v>
      </c>
      <c r="R3588" s="418">
        <v>8.0000000000000002E-3</v>
      </c>
      <c r="S3588" s="414" t="s">
        <v>40</v>
      </c>
      <c r="T3588" s="414" t="s">
        <v>56</v>
      </c>
      <c r="U3588" s="414" t="s">
        <v>57</v>
      </c>
      <c r="V3588" s="419">
        <f>5000-3106-1631</f>
        <v>263</v>
      </c>
      <c r="W3588" s="419">
        <f>1+262</f>
        <v>263</v>
      </c>
      <c r="X3588" s="420"/>
      <c r="Y3588" s="421">
        <f t="shared" si="1729"/>
        <v>0</v>
      </c>
      <c r="Z3588" s="422">
        <f t="shared" si="1730"/>
        <v>0</v>
      </c>
      <c r="AA3588" s="422">
        <f t="shared" si="1726"/>
        <v>0</v>
      </c>
      <c r="AB3588" s="825">
        <v>7.4999999999999997E-3</v>
      </c>
      <c r="AC3588" s="419">
        <f t="shared" si="1731"/>
        <v>0</v>
      </c>
      <c r="AD3588" s="209" t="s">
        <v>3136</v>
      </c>
      <c r="AE3588" s="210">
        <f t="shared" si="1733"/>
        <v>0</v>
      </c>
      <c r="AF3588" s="210">
        <f t="shared" si="1734"/>
        <v>0</v>
      </c>
      <c r="AG3588" s="211">
        <f t="shared" si="1735"/>
        <v>0.14499999999999999</v>
      </c>
      <c r="AH3588" s="157">
        <f t="shared" si="1732"/>
        <v>0</v>
      </c>
      <c r="AI3588" s="152">
        <f t="shared" si="1736"/>
        <v>6312</v>
      </c>
      <c r="AK3588" s="156" t="s">
        <v>691</v>
      </c>
      <c r="AL3588" s="212" t="s">
        <v>690</v>
      </c>
      <c r="AM3588" s="198">
        <f t="shared" si="1727"/>
        <v>0</v>
      </c>
      <c r="AN3588" s="199">
        <f t="shared" si="1728"/>
        <v>46218</v>
      </c>
      <c r="AO3588" s="159" t="s">
        <v>692</v>
      </c>
      <c r="AP3588" s="783" t="s">
        <v>609</v>
      </c>
      <c r="AQ3588" s="782">
        <v>12071839</v>
      </c>
      <c r="AR3588" s="782">
        <v>12047514</v>
      </c>
      <c r="AS3588" s="782">
        <v>12047515</v>
      </c>
      <c r="AT3588" s="781"/>
      <c r="AU3588" s="781"/>
      <c r="AV3588" s="782">
        <v>12080613</v>
      </c>
      <c r="AW3588" s="781"/>
      <c r="AX3588" s="781"/>
      <c r="AY3588" s="782">
        <v>12094241</v>
      </c>
      <c r="AZ3588" s="782">
        <v>12094242</v>
      </c>
      <c r="BA3588" s="781"/>
      <c r="BB3588" s="209">
        <v>23053185</v>
      </c>
    </row>
    <row r="3589" spans="1:54" ht="24.65" customHeight="1">
      <c r="B3589" s="411">
        <v>46218</v>
      </c>
      <c r="C3589" s="645" t="s">
        <v>3055</v>
      </c>
      <c r="D3589" s="185">
        <f t="shared" si="1693"/>
        <v>2026</v>
      </c>
      <c r="E3589" s="412" t="e">
        <f>VLOOKUP($B3589,Week!$A$1:$C$1462,2,0)</f>
        <v>#N/A</v>
      </c>
      <c r="F3589" s="413" t="str">
        <f t="shared" si="1694"/>
        <v>Jul</v>
      </c>
      <c r="G3589" s="414" t="s">
        <v>47</v>
      </c>
      <c r="H3589" s="414" t="s">
        <v>260</v>
      </c>
      <c r="I3589" s="414" t="s">
        <v>2702</v>
      </c>
      <c r="J3589" s="415" t="s">
        <v>261</v>
      </c>
      <c r="K3589" s="416" t="s">
        <v>94</v>
      </c>
      <c r="L3589" s="300" t="s">
        <v>2167</v>
      </c>
      <c r="M3589" s="415" t="s">
        <v>2339</v>
      </c>
      <c r="N3589" s="414" t="s">
        <v>263</v>
      </c>
      <c r="O3589" s="414" t="s">
        <v>195</v>
      </c>
      <c r="P3589" s="417">
        <v>24</v>
      </c>
      <c r="Q3589" s="417">
        <v>5</v>
      </c>
      <c r="R3589" s="418">
        <v>8.0000000000000002E-3</v>
      </c>
      <c r="S3589" s="414" t="s">
        <v>40</v>
      </c>
      <c r="T3589" s="414" t="s">
        <v>56</v>
      </c>
      <c r="U3589" s="414" t="s">
        <v>57</v>
      </c>
      <c r="V3589" s="419">
        <v>4438</v>
      </c>
      <c r="W3589" s="419">
        <f>4700-262</f>
        <v>4438</v>
      </c>
      <c r="X3589" s="420"/>
      <c r="Y3589" s="421">
        <f t="shared" si="1729"/>
        <v>0</v>
      </c>
      <c r="Z3589" s="422">
        <f t="shared" si="1730"/>
        <v>0</v>
      </c>
      <c r="AA3589" s="422">
        <f t="shared" si="1726"/>
        <v>0</v>
      </c>
      <c r="AB3589" s="825">
        <v>7.4999999999999997E-3</v>
      </c>
      <c r="AC3589" s="419">
        <f t="shared" si="1731"/>
        <v>0</v>
      </c>
      <c r="AD3589" s="209" t="s">
        <v>3136</v>
      </c>
      <c r="AE3589" s="210">
        <f t="shared" si="1733"/>
        <v>0</v>
      </c>
      <c r="AF3589" s="210">
        <f t="shared" si="1734"/>
        <v>0</v>
      </c>
      <c r="AG3589" s="211">
        <f t="shared" si="1735"/>
        <v>0.14499999999999999</v>
      </c>
      <c r="AH3589" s="157">
        <f t="shared" si="1732"/>
        <v>0</v>
      </c>
      <c r="AI3589" s="152">
        <f t="shared" si="1736"/>
        <v>106512</v>
      </c>
      <c r="AK3589" s="156" t="s">
        <v>691</v>
      </c>
      <c r="AL3589" s="212" t="s">
        <v>690</v>
      </c>
      <c r="AM3589" s="198">
        <f t="shared" si="1727"/>
        <v>0</v>
      </c>
      <c r="AN3589" s="199">
        <f t="shared" si="1728"/>
        <v>46218</v>
      </c>
      <c r="AO3589" s="159" t="s">
        <v>692</v>
      </c>
      <c r="AP3589" s="783" t="s">
        <v>609</v>
      </c>
      <c r="AQ3589" s="782">
        <v>12071839</v>
      </c>
      <c r="AR3589" s="782">
        <v>12047514</v>
      </c>
      <c r="AS3589" s="782">
        <v>12047515</v>
      </c>
      <c r="AT3589" s="781"/>
      <c r="AU3589" s="781"/>
      <c r="AV3589" s="782">
        <v>12080613</v>
      </c>
      <c r="AW3589" s="781"/>
      <c r="AX3589" s="781"/>
      <c r="AY3589" s="782">
        <v>12094241</v>
      </c>
      <c r="AZ3589" s="782">
        <v>12094242</v>
      </c>
      <c r="BA3589" s="781"/>
      <c r="BB3589" s="209">
        <v>23053185</v>
      </c>
    </row>
    <row r="3590" spans="1:54" ht="24.65" customHeight="1">
      <c r="A3590" s="529" t="s">
        <v>1812</v>
      </c>
      <c r="B3590" s="357">
        <v>46219</v>
      </c>
      <c r="C3590" s="776">
        <v>46237</v>
      </c>
      <c r="D3590" s="185">
        <f t="shared" si="1693"/>
        <v>2026</v>
      </c>
      <c r="E3590" s="358" t="e">
        <f>VLOOKUP($B3590,Week!$A$1:$C$1462,2,0)</f>
        <v>#N/A</v>
      </c>
      <c r="F3590" s="360" t="str">
        <f t="shared" si="1694"/>
        <v>Jul</v>
      </c>
      <c r="G3590" s="359" t="s">
        <v>3101</v>
      </c>
      <c r="H3590" s="436" t="s">
        <v>1820</v>
      </c>
      <c r="I3590" s="436" t="s">
        <v>1820</v>
      </c>
      <c r="J3590" s="437" t="s">
        <v>1821</v>
      </c>
      <c r="K3590" s="362" t="s">
        <v>94</v>
      </c>
      <c r="L3590" s="300" t="s">
        <v>2167</v>
      </c>
      <c r="M3590" s="361" t="s">
        <v>1823</v>
      </c>
      <c r="N3590" s="436" t="s">
        <v>1818</v>
      </c>
      <c r="O3590" s="359" t="s">
        <v>97</v>
      </c>
      <c r="P3590" s="363">
        <v>12</v>
      </c>
      <c r="Q3590" s="363">
        <v>5</v>
      </c>
      <c r="R3590" s="364">
        <v>8.0000000000000002E-3</v>
      </c>
      <c r="S3590" s="359" t="s">
        <v>40</v>
      </c>
      <c r="T3590" s="359" t="s">
        <v>56</v>
      </c>
      <c r="U3590" s="359" t="s">
        <v>57</v>
      </c>
      <c r="V3590" s="365">
        <f>200</f>
        <v>200</v>
      </c>
      <c r="W3590" s="365">
        <f>4+196</f>
        <v>200</v>
      </c>
      <c r="X3590" s="366"/>
      <c r="Y3590" s="367">
        <f t="shared" si="1729"/>
        <v>0</v>
      </c>
      <c r="Z3590" s="368">
        <f t="shared" si="1730"/>
        <v>0</v>
      </c>
      <c r="AA3590" s="368">
        <f t="shared" si="1726"/>
        <v>0</v>
      </c>
      <c r="AB3590" s="819">
        <v>7.4999999999999997E-3</v>
      </c>
      <c r="AC3590" s="365">
        <f t="shared" si="1731"/>
        <v>0</v>
      </c>
      <c r="AD3590" s="209" t="s">
        <v>3136</v>
      </c>
      <c r="AE3590" s="210">
        <f t="shared" si="1733"/>
        <v>0</v>
      </c>
      <c r="AF3590" s="210">
        <f t="shared" si="1734"/>
        <v>0</v>
      </c>
      <c r="AG3590" s="211">
        <f t="shared" si="1735"/>
        <v>0.14499999999999999</v>
      </c>
      <c r="AH3590" s="157">
        <f t="shared" si="1732"/>
        <v>0</v>
      </c>
      <c r="AI3590" s="152">
        <f t="shared" si="1736"/>
        <v>2400</v>
      </c>
      <c r="AK3590" s="156" t="s">
        <v>691</v>
      </c>
      <c r="AL3590" s="574" t="s">
        <v>690</v>
      </c>
      <c r="AM3590" s="198">
        <f t="shared" si="1727"/>
        <v>0</v>
      </c>
      <c r="AN3590" s="199">
        <f t="shared" si="1728"/>
        <v>46219</v>
      </c>
      <c r="AO3590" s="159" t="s">
        <v>692</v>
      </c>
      <c r="AP3590" s="783" t="s">
        <v>628</v>
      </c>
      <c r="AQ3590" s="782">
        <v>12071839</v>
      </c>
      <c r="AR3590" s="782">
        <v>12047514</v>
      </c>
      <c r="AS3590" s="782">
        <v>12047515</v>
      </c>
      <c r="AT3590" s="782"/>
      <c r="AU3590" s="781"/>
      <c r="AV3590" s="782">
        <v>12080617</v>
      </c>
      <c r="AW3590" s="782"/>
      <c r="AX3590" s="782" t="s">
        <v>2986</v>
      </c>
      <c r="AY3590" s="782">
        <v>12094231</v>
      </c>
      <c r="AZ3590" s="782">
        <v>1209232</v>
      </c>
      <c r="BA3590" s="781"/>
      <c r="BB3590" s="209">
        <v>23053185</v>
      </c>
    </row>
    <row r="3591" spans="1:54" ht="25" customHeight="1">
      <c r="B3591" s="357">
        <v>46219</v>
      </c>
      <c r="C3591" s="776" t="s">
        <v>3055</v>
      </c>
      <c r="D3591" s="185">
        <f t="shared" si="1693"/>
        <v>2026</v>
      </c>
      <c r="E3591" s="358" t="e">
        <f>VLOOKUP($B3591,Week!$A$1:$C$1462,2,0)</f>
        <v>#N/A</v>
      </c>
      <c r="F3591" s="360" t="str">
        <f t="shared" si="1694"/>
        <v>Jul</v>
      </c>
      <c r="G3591" s="359" t="s">
        <v>47</v>
      </c>
      <c r="H3591" s="359" t="s">
        <v>518</v>
      </c>
      <c r="I3591" s="359" t="s">
        <v>2702</v>
      </c>
      <c r="J3591" s="361" t="s">
        <v>70</v>
      </c>
      <c r="K3591" s="362" t="s">
        <v>94</v>
      </c>
      <c r="L3591" s="300" t="s">
        <v>2167</v>
      </c>
      <c r="M3591" s="361" t="s">
        <v>2341</v>
      </c>
      <c r="N3591" s="359" t="s">
        <v>589</v>
      </c>
      <c r="O3591" s="359" t="s">
        <v>97</v>
      </c>
      <c r="P3591" s="363">
        <v>12</v>
      </c>
      <c r="Q3591" s="363">
        <v>5</v>
      </c>
      <c r="R3591" s="364">
        <v>8.0000000000000002E-3</v>
      </c>
      <c r="S3591" s="359" t="s">
        <v>40</v>
      </c>
      <c r="T3591" s="359" t="s">
        <v>56</v>
      </c>
      <c r="U3591" s="359" t="s">
        <v>57</v>
      </c>
      <c r="V3591" s="365">
        <f>1420+53</f>
        <v>1473</v>
      </c>
      <c r="W3591" s="365">
        <f>2487-2434+1420</f>
        <v>1473</v>
      </c>
      <c r="X3591" s="366"/>
      <c r="Y3591" s="367">
        <f t="shared" si="1729"/>
        <v>0</v>
      </c>
      <c r="Z3591" s="368">
        <f t="shared" si="1730"/>
        <v>0</v>
      </c>
      <c r="AA3591" s="368">
        <f t="shared" si="1726"/>
        <v>0</v>
      </c>
      <c r="AB3591" s="819">
        <v>7.4999999999999997E-3</v>
      </c>
      <c r="AC3591" s="365">
        <f t="shared" si="1731"/>
        <v>0</v>
      </c>
      <c r="AD3591" s="209" t="s">
        <v>3136</v>
      </c>
      <c r="AE3591" s="210">
        <f t="shared" si="1733"/>
        <v>0</v>
      </c>
      <c r="AF3591" s="210">
        <f t="shared" si="1734"/>
        <v>0</v>
      </c>
      <c r="AG3591" s="211">
        <f t="shared" si="1735"/>
        <v>0.14499999999999999</v>
      </c>
      <c r="AH3591" s="157">
        <f t="shared" si="1732"/>
        <v>0</v>
      </c>
      <c r="AI3591" s="152">
        <f t="shared" si="1736"/>
        <v>17676</v>
      </c>
      <c r="AK3591" s="156" t="s">
        <v>691</v>
      </c>
      <c r="AL3591" s="574" t="s">
        <v>690</v>
      </c>
      <c r="AM3591" s="198">
        <f t="shared" si="1727"/>
        <v>0</v>
      </c>
      <c r="AN3591" s="199">
        <f t="shared" si="1728"/>
        <v>46219</v>
      </c>
      <c r="AO3591" s="159" t="s">
        <v>692</v>
      </c>
      <c r="AP3591" s="783" t="s">
        <v>628</v>
      </c>
      <c r="AQ3591" s="782">
        <v>12071839</v>
      </c>
      <c r="AR3591" s="782">
        <v>12047514</v>
      </c>
      <c r="AS3591" s="782">
        <v>12047515</v>
      </c>
      <c r="AT3591" s="782"/>
      <c r="AU3591" s="781"/>
      <c r="AV3591" s="782">
        <v>12080617</v>
      </c>
      <c r="AW3591" s="782"/>
      <c r="AX3591" s="782"/>
      <c r="AY3591" s="782">
        <v>12094231</v>
      </c>
      <c r="AZ3591" s="782">
        <v>1209232</v>
      </c>
      <c r="BA3591" s="781"/>
      <c r="BB3591" s="209">
        <v>23053185</v>
      </c>
    </row>
    <row r="3592" spans="1:54" ht="24.65" customHeight="1">
      <c r="B3592" s="411">
        <v>46219</v>
      </c>
      <c r="C3592" s="645" t="s">
        <v>3055</v>
      </c>
      <c r="D3592" s="185">
        <f t="shared" si="1693"/>
        <v>2026</v>
      </c>
      <c r="E3592" s="412" t="e">
        <f>VLOOKUP($B3592,Week!$A$1:$C$1462,2,0)</f>
        <v>#N/A</v>
      </c>
      <c r="F3592" s="413" t="str">
        <f t="shared" si="1694"/>
        <v>Jul</v>
      </c>
      <c r="G3592" s="414" t="s">
        <v>47</v>
      </c>
      <c r="H3592" s="414" t="s">
        <v>260</v>
      </c>
      <c r="I3592" s="414" t="s">
        <v>2702</v>
      </c>
      <c r="J3592" s="415" t="s">
        <v>261</v>
      </c>
      <c r="K3592" s="416" t="s">
        <v>94</v>
      </c>
      <c r="L3592" s="300" t="s">
        <v>2167</v>
      </c>
      <c r="M3592" s="415" t="s">
        <v>2339</v>
      </c>
      <c r="N3592" s="414" t="s">
        <v>263</v>
      </c>
      <c r="O3592" s="414" t="s">
        <v>195</v>
      </c>
      <c r="P3592" s="417">
        <v>24</v>
      </c>
      <c r="Q3592" s="417">
        <v>5</v>
      </c>
      <c r="R3592" s="418">
        <v>8.0000000000000002E-3</v>
      </c>
      <c r="S3592" s="414" t="s">
        <v>40</v>
      </c>
      <c r="T3592" s="414" t="s">
        <v>56</v>
      </c>
      <c r="U3592" s="414" t="s">
        <v>57</v>
      </c>
      <c r="V3592" s="419">
        <f>1181</f>
        <v>1181</v>
      </c>
      <c r="W3592" s="419">
        <f>1196-15</f>
        <v>1181</v>
      </c>
      <c r="X3592" s="420"/>
      <c r="Y3592" s="421">
        <f t="shared" si="1729"/>
        <v>0</v>
      </c>
      <c r="Z3592" s="422">
        <f t="shared" si="1730"/>
        <v>0</v>
      </c>
      <c r="AA3592" s="422">
        <f t="shared" si="1726"/>
        <v>0</v>
      </c>
      <c r="AB3592" s="825">
        <v>7.4999999999999997E-3</v>
      </c>
      <c r="AC3592" s="419">
        <f t="shared" si="1731"/>
        <v>0</v>
      </c>
      <c r="AD3592" s="209" t="s">
        <v>3136</v>
      </c>
      <c r="AE3592" s="210">
        <f t="shared" si="1733"/>
        <v>0</v>
      </c>
      <c r="AF3592" s="210">
        <f t="shared" si="1734"/>
        <v>0</v>
      </c>
      <c r="AG3592" s="211">
        <f t="shared" si="1735"/>
        <v>0.14499999999999999</v>
      </c>
      <c r="AH3592" s="157">
        <f t="shared" si="1732"/>
        <v>0</v>
      </c>
      <c r="AI3592" s="152">
        <f t="shared" si="1736"/>
        <v>28344</v>
      </c>
      <c r="AK3592" s="156" t="s">
        <v>691</v>
      </c>
      <c r="AL3592" s="212" t="s">
        <v>690</v>
      </c>
      <c r="AM3592" s="198">
        <f t="shared" si="1727"/>
        <v>0</v>
      </c>
      <c r="AN3592" s="199">
        <f t="shared" si="1728"/>
        <v>46219</v>
      </c>
      <c r="AO3592" s="159" t="s">
        <v>692</v>
      </c>
      <c r="AP3592" s="783" t="s">
        <v>609</v>
      </c>
      <c r="AQ3592" s="782">
        <v>12071839</v>
      </c>
      <c r="AR3592" s="782">
        <v>12047514</v>
      </c>
      <c r="AS3592" s="782">
        <v>12047515</v>
      </c>
      <c r="AT3592" s="781"/>
      <c r="AU3592" s="781"/>
      <c r="AV3592" s="782">
        <v>12080613</v>
      </c>
      <c r="AW3592" s="781"/>
      <c r="AX3592" s="781"/>
      <c r="AY3592" s="782">
        <v>12094241</v>
      </c>
      <c r="AZ3592" s="782">
        <v>12094242</v>
      </c>
      <c r="BA3592" s="781"/>
      <c r="BB3592" s="209">
        <v>23053185</v>
      </c>
    </row>
    <row r="3593" spans="1:54" ht="24.75" customHeight="1">
      <c r="B3593" s="602">
        <v>46219</v>
      </c>
      <c r="C3593" s="861" t="s">
        <v>2996</v>
      </c>
      <c r="D3593" s="604">
        <f t="shared" si="1693"/>
        <v>2026</v>
      </c>
      <c r="E3593" s="603" t="e">
        <f>VLOOKUP($B3593,Week!$A$1:$C$1462,2,0)</f>
        <v>#N/A</v>
      </c>
      <c r="F3593" s="605" t="str">
        <f t="shared" si="1694"/>
        <v>Jul</v>
      </c>
      <c r="G3593" s="938" t="s">
        <v>47</v>
      </c>
      <c r="H3593" s="604" t="s">
        <v>260</v>
      </c>
      <c r="I3593" s="604" t="s">
        <v>2702</v>
      </c>
      <c r="J3593" s="939" t="s">
        <v>2240</v>
      </c>
      <c r="K3593" s="607" t="s">
        <v>94</v>
      </c>
      <c r="L3593" s="607" t="s">
        <v>2167</v>
      </c>
      <c r="M3593" s="606" t="s">
        <v>2338</v>
      </c>
      <c r="N3593" s="604" t="s">
        <v>2997</v>
      </c>
      <c r="O3593" s="604" t="s">
        <v>54</v>
      </c>
      <c r="P3593" s="608">
        <v>24</v>
      </c>
      <c r="Q3593" s="608">
        <v>5</v>
      </c>
      <c r="R3593" s="609">
        <v>6.1999999999999998E-3</v>
      </c>
      <c r="S3593" s="604" t="s">
        <v>352</v>
      </c>
      <c r="T3593" s="604" t="s">
        <v>56</v>
      </c>
      <c r="U3593" s="604" t="s">
        <v>57</v>
      </c>
      <c r="V3593" s="610">
        <v>3359</v>
      </c>
      <c r="W3593" s="610">
        <f>1+3358</f>
        <v>3359</v>
      </c>
      <c r="X3593" s="611"/>
      <c r="Y3593" s="612">
        <f t="shared" si="1729"/>
        <v>0</v>
      </c>
      <c r="Z3593" s="613">
        <f t="shared" si="1730"/>
        <v>0</v>
      </c>
      <c r="AA3593" s="613">
        <f t="shared" si="1726"/>
        <v>0</v>
      </c>
      <c r="AB3593" s="836">
        <v>7.4999999999999997E-3</v>
      </c>
      <c r="AC3593" s="610">
        <f t="shared" si="1731"/>
        <v>0</v>
      </c>
      <c r="AD3593" s="443"/>
      <c r="AE3593" s="210">
        <f t="shared" si="1733"/>
        <v>0</v>
      </c>
      <c r="AF3593" s="210">
        <f t="shared" si="1734"/>
        <v>0</v>
      </c>
      <c r="AG3593" s="211">
        <f t="shared" si="1735"/>
        <v>0.13500000000000001</v>
      </c>
      <c r="AH3593" s="157">
        <f t="shared" si="1732"/>
        <v>0</v>
      </c>
      <c r="AI3593" s="152">
        <f t="shared" si="1736"/>
        <v>80616</v>
      </c>
      <c r="AK3593" s="156" t="s">
        <v>691</v>
      </c>
      <c r="AL3593" s="574" t="s">
        <v>690</v>
      </c>
      <c r="AM3593" s="198">
        <f t="shared" si="1727"/>
        <v>0</v>
      </c>
      <c r="AN3593" s="199">
        <f t="shared" si="1728"/>
        <v>46219</v>
      </c>
      <c r="AO3593" s="159" t="s">
        <v>692</v>
      </c>
      <c r="AP3593" s="783" t="s">
        <v>622</v>
      </c>
      <c r="AQ3593" s="782">
        <v>12071839</v>
      </c>
      <c r="AR3593" s="782">
        <v>12099098</v>
      </c>
      <c r="AS3593" s="782">
        <v>12068233</v>
      </c>
      <c r="AT3593" s="781"/>
      <c r="AU3593" s="781"/>
      <c r="AV3593" s="782">
        <v>12099466</v>
      </c>
      <c r="AW3593" s="781"/>
      <c r="AX3593" s="781"/>
      <c r="AY3593" s="782">
        <v>12099097</v>
      </c>
      <c r="AZ3593" s="782"/>
      <c r="BA3593" s="781"/>
      <c r="BB3593" s="209">
        <v>23053184</v>
      </c>
    </row>
    <row r="3594" spans="1:54" ht="25" customHeight="1">
      <c r="B3594" s="571">
        <v>46220</v>
      </c>
      <c r="C3594" s="235">
        <v>46251</v>
      </c>
      <c r="D3594" s="236">
        <f t="shared" si="1693"/>
        <v>2026</v>
      </c>
      <c r="E3594" s="235" t="e">
        <f>VLOOKUP($B3594,Week!$A$1:$C$1462,2,0)</f>
        <v>#N/A</v>
      </c>
      <c r="F3594" s="237" t="str">
        <f t="shared" si="1694"/>
        <v>Jul</v>
      </c>
      <c r="G3594" s="756" t="s">
        <v>3071</v>
      </c>
      <c r="H3594" s="236" t="s">
        <v>500</v>
      </c>
      <c r="I3594" s="236" t="s">
        <v>2772</v>
      </c>
      <c r="J3594" s="238" t="s">
        <v>285</v>
      </c>
      <c r="K3594" s="239" t="s">
        <v>593</v>
      </c>
      <c r="L3594" s="239" t="s">
        <v>2167</v>
      </c>
      <c r="M3594" s="238" t="s">
        <v>2556</v>
      </c>
      <c r="N3594" s="236" t="s">
        <v>2558</v>
      </c>
      <c r="O3594" s="236" t="s">
        <v>2555</v>
      </c>
      <c r="P3594" s="240">
        <v>12</v>
      </c>
      <c r="Q3594" s="240">
        <v>4</v>
      </c>
      <c r="R3594" s="241">
        <v>6.0000000000000001E-3</v>
      </c>
      <c r="S3594" s="236" t="s">
        <v>55</v>
      </c>
      <c r="T3594" s="236" t="s">
        <v>112</v>
      </c>
      <c r="U3594" s="236" t="s">
        <v>57</v>
      </c>
      <c r="V3594" s="242">
        <v>2500</v>
      </c>
      <c r="W3594" s="242">
        <f>21+2479</f>
        <v>2500</v>
      </c>
      <c r="X3594" s="243">
        <f>(383)/12</f>
        <v>31.916666666666668</v>
      </c>
      <c r="Y3594" s="244">
        <f t="shared" si="1729"/>
        <v>31.916666666666515</v>
      </c>
      <c r="Z3594" s="245">
        <f t="shared" si="1730"/>
        <v>0</v>
      </c>
      <c r="AA3594" s="245">
        <f t="shared" si="1726"/>
        <v>0</v>
      </c>
      <c r="AB3594" s="809">
        <v>7.4999999999999997E-3</v>
      </c>
      <c r="AC3594" s="242">
        <f t="shared" si="1731"/>
        <v>0</v>
      </c>
      <c r="AD3594" s="443"/>
      <c r="AE3594" s="210">
        <f t="shared" si="1733"/>
        <v>0</v>
      </c>
      <c r="AF3594" s="210">
        <f t="shared" si="1734"/>
        <v>0</v>
      </c>
      <c r="AG3594" s="211">
        <f t="shared" si="1735"/>
        <v>0.23100000000000001</v>
      </c>
      <c r="AH3594" s="157">
        <f t="shared" si="1732"/>
        <v>0</v>
      </c>
      <c r="AI3594" s="152">
        <f t="shared" si="1736"/>
        <v>30000</v>
      </c>
      <c r="AK3594" s="156" t="s">
        <v>691</v>
      </c>
      <c r="AL3594" s="574" t="s">
        <v>690</v>
      </c>
      <c r="AM3594" s="198">
        <f t="shared" si="1727"/>
        <v>0</v>
      </c>
      <c r="AN3594" s="199">
        <f t="shared" si="1728"/>
        <v>46220</v>
      </c>
      <c r="AO3594" s="159" t="s">
        <v>692</v>
      </c>
      <c r="AP3594" s="783"/>
      <c r="AQ3594" s="782">
        <v>12063755</v>
      </c>
      <c r="AR3594" s="782">
        <v>12061353</v>
      </c>
      <c r="AS3594" s="782">
        <v>12061354</v>
      </c>
      <c r="AT3594" s="782"/>
      <c r="AU3594" s="781"/>
      <c r="AV3594" s="782">
        <v>12096898</v>
      </c>
      <c r="AW3594" s="782"/>
      <c r="AX3594" s="782"/>
      <c r="AY3594" s="782">
        <v>12096895</v>
      </c>
      <c r="AZ3594" s="782">
        <v>12096896</v>
      </c>
      <c r="BA3594" s="782">
        <v>12096897</v>
      </c>
      <c r="BB3594" s="209">
        <v>23053185</v>
      </c>
    </row>
    <row r="3595" spans="1:54" ht="25" customHeight="1">
      <c r="B3595" s="743">
        <v>46220</v>
      </c>
      <c r="C3595" s="744">
        <v>46238</v>
      </c>
      <c r="D3595" s="746">
        <f t="shared" si="1693"/>
        <v>2026</v>
      </c>
      <c r="E3595" s="744" t="e">
        <f>VLOOKUP($B3595,Week!$A$1:$C$1462,2,0)</f>
        <v>#N/A</v>
      </c>
      <c r="F3595" s="745" t="str">
        <f t="shared" si="1694"/>
        <v>Jul</v>
      </c>
      <c r="G3595" s="746" t="s">
        <v>3073</v>
      </c>
      <c r="H3595" s="746" t="s">
        <v>600</v>
      </c>
      <c r="I3595" s="746" t="s">
        <v>2772</v>
      </c>
      <c r="J3595" s="747" t="s">
        <v>708</v>
      </c>
      <c r="K3595" s="748" t="s">
        <v>2915</v>
      </c>
      <c r="L3595" s="748" t="s">
        <v>2167</v>
      </c>
      <c r="M3595" s="747" t="s">
        <v>2925</v>
      </c>
      <c r="N3595" s="915" t="s">
        <v>2919</v>
      </c>
      <c r="O3595" s="746" t="s">
        <v>2916</v>
      </c>
      <c r="P3595" s="749">
        <v>12</v>
      </c>
      <c r="Q3595" s="749">
        <v>1</v>
      </c>
      <c r="R3595" s="849">
        <v>6.1999999999999998E-3</v>
      </c>
      <c r="S3595" s="746" t="s">
        <v>55</v>
      </c>
      <c r="T3595" s="746" t="s">
        <v>112</v>
      </c>
      <c r="U3595" s="860" t="s">
        <v>724</v>
      </c>
      <c r="V3595" s="750">
        <f>4352</f>
        <v>4352</v>
      </c>
      <c r="W3595" s="750">
        <f>3551+191+283</f>
        <v>4025</v>
      </c>
      <c r="X3595" s="751">
        <f>(143+3830)/12</f>
        <v>331.08333333333331</v>
      </c>
      <c r="Y3595" s="752">
        <f t="shared" si="1729"/>
        <v>4.0833333333330302</v>
      </c>
      <c r="Z3595" s="753">
        <f t="shared" si="1730"/>
        <v>0</v>
      </c>
      <c r="AA3595" s="753">
        <f t="shared" si="1726"/>
        <v>0</v>
      </c>
      <c r="AB3595" s="838">
        <v>5.8823E-2</v>
      </c>
      <c r="AC3595" s="750">
        <f t="shared" si="1731"/>
        <v>0</v>
      </c>
      <c r="AD3595" s="443" t="s">
        <v>2779</v>
      </c>
      <c r="AE3595" s="210">
        <f t="shared" si="1733"/>
        <v>0</v>
      </c>
      <c r="AF3595" s="210">
        <f t="shared" si="1734"/>
        <v>0</v>
      </c>
      <c r="AG3595" s="211">
        <f t="shared" si="1735"/>
        <v>0.13</v>
      </c>
      <c r="AH3595" s="157">
        <v>0.26621999999999996</v>
      </c>
      <c r="AI3595" s="152">
        <f t="shared" si="1736"/>
        <v>52224</v>
      </c>
      <c r="AK3595" s="156" t="s">
        <v>691</v>
      </c>
      <c r="AL3595" s="574" t="s">
        <v>690</v>
      </c>
      <c r="AM3595" s="198">
        <f t="shared" si="1727"/>
        <v>0</v>
      </c>
      <c r="AN3595" s="199">
        <f t="shared" si="1728"/>
        <v>46220</v>
      </c>
      <c r="AO3595" s="159" t="s">
        <v>692</v>
      </c>
      <c r="AP3595" s="781"/>
      <c r="AQ3595" s="782">
        <v>12071839</v>
      </c>
      <c r="AR3595" s="782">
        <v>12080260</v>
      </c>
      <c r="AS3595" s="782">
        <v>12080259</v>
      </c>
      <c r="AT3595" s="782"/>
      <c r="AU3595" s="781"/>
      <c r="AV3595" s="782">
        <v>12098845</v>
      </c>
      <c r="AW3595" s="781"/>
      <c r="AX3595" s="781"/>
      <c r="AY3595" s="783" t="s">
        <v>2988</v>
      </c>
      <c r="AZ3595" s="796" t="s">
        <v>2989</v>
      </c>
      <c r="BA3595" s="783" t="s">
        <v>2990</v>
      </c>
      <c r="BB3595" s="209">
        <v>23099860</v>
      </c>
    </row>
    <row r="3596" spans="1:54" ht="25" customHeight="1">
      <c r="B3596" s="743">
        <v>46220</v>
      </c>
      <c r="C3596" s="744">
        <v>46245</v>
      </c>
      <c r="D3596" s="746">
        <f t="shared" ref="D3596:D3657" si="1737">IF(B3596="","",YEAR(B3596))</f>
        <v>2026</v>
      </c>
      <c r="E3596" s="744" t="e">
        <f>VLOOKUP($B3596,Week!$A$1:$C$1462,2,0)</f>
        <v>#N/A</v>
      </c>
      <c r="F3596" s="745" t="str">
        <f t="shared" ref="F3596:F3657" si="1738">IF(B3596="","",TEXT(B3596,"[$-409]mmm"))</f>
        <v>Jul</v>
      </c>
      <c r="G3596" s="746" t="s">
        <v>3089</v>
      </c>
      <c r="H3596" s="746" t="s">
        <v>600</v>
      </c>
      <c r="I3596" s="746" t="s">
        <v>2772</v>
      </c>
      <c r="J3596" s="747" t="s">
        <v>708</v>
      </c>
      <c r="K3596" s="748" t="s">
        <v>1652</v>
      </c>
      <c r="L3596" s="748" t="s">
        <v>2167</v>
      </c>
      <c r="M3596" s="747" t="s">
        <v>2928</v>
      </c>
      <c r="N3596" s="915" t="s">
        <v>2922</v>
      </c>
      <c r="O3596" s="746" t="s">
        <v>2917</v>
      </c>
      <c r="P3596" s="749">
        <v>12</v>
      </c>
      <c r="Q3596" s="749">
        <v>3</v>
      </c>
      <c r="R3596" s="849">
        <v>6.1999999999999998E-3</v>
      </c>
      <c r="S3596" s="746" t="s">
        <v>55</v>
      </c>
      <c r="T3596" s="746" t="s">
        <v>112</v>
      </c>
      <c r="U3596" s="860" t="s">
        <v>724</v>
      </c>
      <c r="V3596" s="750">
        <f>2660</f>
        <v>2660</v>
      </c>
      <c r="W3596" s="750"/>
      <c r="X3596" s="751">
        <f>(655+31561)/12</f>
        <v>2684.6666666666665</v>
      </c>
      <c r="Y3596" s="752">
        <f t="shared" si="1729"/>
        <v>24.666666666666515</v>
      </c>
      <c r="Z3596" s="753">
        <f t="shared" si="1730"/>
        <v>0</v>
      </c>
      <c r="AA3596" s="753">
        <f t="shared" ref="AA3596:AA3617" si="1739">Q3596*Z3596</f>
        <v>0</v>
      </c>
      <c r="AB3596" s="838">
        <v>5.8823E-2</v>
      </c>
      <c r="AC3596" s="750">
        <f t="shared" si="1731"/>
        <v>0</v>
      </c>
      <c r="AD3596" s="443" t="s">
        <v>2779</v>
      </c>
      <c r="AE3596" s="210">
        <f t="shared" si="1733"/>
        <v>0</v>
      </c>
      <c r="AF3596" s="210">
        <f t="shared" si="1734"/>
        <v>0</v>
      </c>
      <c r="AG3596" s="211">
        <f t="shared" si="1735"/>
        <v>0.24</v>
      </c>
      <c r="AH3596" s="157">
        <v>0.26621999999999996</v>
      </c>
      <c r="AI3596" s="152">
        <f t="shared" si="1736"/>
        <v>31920</v>
      </c>
      <c r="AK3596" s="156" t="s">
        <v>691</v>
      </c>
      <c r="AL3596" s="574" t="s">
        <v>690</v>
      </c>
      <c r="AM3596" s="198">
        <f t="shared" ref="AM3596:AM3617" si="1740">AG3596*Z3596</f>
        <v>0</v>
      </c>
      <c r="AN3596" s="199">
        <f t="shared" ref="AN3596:AN3617" si="1741">B3596</f>
        <v>46220</v>
      </c>
      <c r="AO3596" s="159" t="s">
        <v>692</v>
      </c>
      <c r="AP3596" s="781"/>
      <c r="AQ3596" s="782">
        <v>12071839</v>
      </c>
      <c r="AR3596" s="782">
        <v>12095778</v>
      </c>
      <c r="AS3596" s="782">
        <v>12095777</v>
      </c>
      <c r="AT3596" s="798" t="s">
        <v>3018</v>
      </c>
      <c r="AU3596" s="781"/>
      <c r="AV3596" s="782">
        <v>12098859</v>
      </c>
      <c r="AW3596" s="781"/>
      <c r="AX3596" s="781"/>
      <c r="AY3596" s="781"/>
      <c r="AZ3596" s="782"/>
      <c r="BA3596" s="781"/>
      <c r="BB3596" s="209">
        <v>23099860</v>
      </c>
    </row>
    <row r="3597" spans="1:54" ht="25" customHeight="1">
      <c r="B3597" s="332">
        <v>46220</v>
      </c>
      <c r="C3597" s="333">
        <v>46254</v>
      </c>
      <c r="D3597" s="185">
        <f t="shared" si="1737"/>
        <v>2026</v>
      </c>
      <c r="E3597" s="333" t="e">
        <f>VLOOKUP($B3597,Week!$A$1:$C$1462,2,0)</f>
        <v>#N/A</v>
      </c>
      <c r="F3597" s="334" t="str">
        <f t="shared" si="1738"/>
        <v>Jul</v>
      </c>
      <c r="G3597" s="335" t="s">
        <v>3093</v>
      </c>
      <c r="H3597" s="335" t="s">
        <v>675</v>
      </c>
      <c r="I3597" s="335" t="s">
        <v>2772</v>
      </c>
      <c r="J3597" s="336" t="s">
        <v>2906</v>
      </c>
      <c r="K3597" s="337" t="s">
        <v>1652</v>
      </c>
      <c r="L3597" s="300" t="s">
        <v>2167</v>
      </c>
      <c r="M3597" s="336" t="s">
        <v>682</v>
      </c>
      <c r="N3597" s="530" t="s">
        <v>712</v>
      </c>
      <c r="O3597" s="335" t="s">
        <v>602</v>
      </c>
      <c r="P3597" s="338">
        <v>8</v>
      </c>
      <c r="Q3597" s="338">
        <v>3</v>
      </c>
      <c r="R3597" s="339">
        <v>6.0000000000000001E-3</v>
      </c>
      <c r="S3597" s="335" t="s">
        <v>55</v>
      </c>
      <c r="T3597" s="335" t="s">
        <v>112</v>
      </c>
      <c r="U3597" s="340" t="s">
        <v>724</v>
      </c>
      <c r="V3597" s="341">
        <f>500</f>
        <v>500</v>
      </c>
      <c r="W3597" s="341"/>
      <c r="X3597" s="342">
        <f>4000/8</f>
        <v>500</v>
      </c>
      <c r="Y3597" s="343">
        <f t="shared" si="1729"/>
        <v>0</v>
      </c>
      <c r="Z3597" s="344">
        <f t="shared" si="1730"/>
        <v>0</v>
      </c>
      <c r="AA3597" s="344">
        <f t="shared" si="1739"/>
        <v>0</v>
      </c>
      <c r="AB3597" s="817">
        <v>5.8823E-2</v>
      </c>
      <c r="AC3597" s="341">
        <f t="shared" si="1731"/>
        <v>0</v>
      </c>
      <c r="AD3597" s="515"/>
      <c r="AE3597" s="210">
        <f t="shared" si="1733"/>
        <v>0</v>
      </c>
      <c r="AF3597" s="210">
        <f t="shared" si="1734"/>
        <v>0</v>
      </c>
      <c r="AG3597" s="211">
        <f t="shared" si="1735"/>
        <v>0.30199999999999999</v>
      </c>
      <c r="AH3597" s="157">
        <v>0.26621999999999996</v>
      </c>
      <c r="AI3597" s="152">
        <f t="shared" si="1736"/>
        <v>4000</v>
      </c>
      <c r="AK3597" s="156" t="s">
        <v>691</v>
      </c>
      <c r="AL3597" s="574" t="s">
        <v>690</v>
      </c>
      <c r="AM3597" s="198">
        <f t="shared" si="1740"/>
        <v>0</v>
      </c>
      <c r="AN3597" s="199">
        <f t="shared" si="1741"/>
        <v>46220</v>
      </c>
      <c r="AO3597" s="159" t="s">
        <v>692</v>
      </c>
      <c r="AP3597" s="781" t="s">
        <v>642</v>
      </c>
      <c r="AQ3597" s="782">
        <v>12063755</v>
      </c>
      <c r="AR3597" s="782">
        <v>12061353</v>
      </c>
      <c r="AS3597" s="782">
        <v>12061354</v>
      </c>
      <c r="AT3597" s="782">
        <v>12090030</v>
      </c>
      <c r="AU3597" s="781"/>
      <c r="AV3597" s="782">
        <v>12089992</v>
      </c>
      <c r="AW3597" s="781"/>
      <c r="AX3597" s="781"/>
      <c r="AY3597" s="781"/>
      <c r="AZ3597" s="782"/>
      <c r="BA3597" s="781"/>
      <c r="BB3597" s="209">
        <v>23099860</v>
      </c>
    </row>
    <row r="3598" spans="1:54" ht="26.25" customHeight="1">
      <c r="B3598" s="235">
        <v>46221</v>
      </c>
      <c r="C3598" s="235">
        <v>46238</v>
      </c>
      <c r="D3598" s="185">
        <f t="shared" si="1737"/>
        <v>2026</v>
      </c>
      <c r="E3598" s="236" t="e">
        <f>VLOOKUP($B3598,Week!$A$1:$C$1462,2,0)</f>
        <v>#N/A</v>
      </c>
      <c r="F3598" s="237" t="str">
        <f t="shared" si="1738"/>
        <v>Jul</v>
      </c>
      <c r="G3598" s="236" t="s">
        <v>3067</v>
      </c>
      <c r="H3598" s="236" t="s">
        <v>392</v>
      </c>
      <c r="I3598" s="236" t="s">
        <v>2772</v>
      </c>
      <c r="J3598" s="238" t="s">
        <v>393</v>
      </c>
      <c r="K3598" s="239" t="s">
        <v>1643</v>
      </c>
      <c r="L3598" s="300" t="s">
        <v>2167</v>
      </c>
      <c r="M3598" s="238" t="s">
        <v>2385</v>
      </c>
      <c r="N3598" s="236" t="s">
        <v>407</v>
      </c>
      <c r="O3598" s="236" t="s">
        <v>206</v>
      </c>
      <c r="P3598" s="240">
        <v>24</v>
      </c>
      <c r="Q3598" s="240">
        <v>5</v>
      </c>
      <c r="R3598" s="241">
        <v>8.0000000000000002E-3</v>
      </c>
      <c r="S3598" s="236" t="s">
        <v>40</v>
      </c>
      <c r="T3598" s="236" t="s">
        <v>56</v>
      </c>
      <c r="U3598" s="640" t="s">
        <v>499</v>
      </c>
      <c r="V3598" s="242">
        <f>1050</f>
        <v>1050</v>
      </c>
      <c r="W3598" s="242">
        <f>15+1035</f>
        <v>1050</v>
      </c>
      <c r="X3598" s="243"/>
      <c r="Y3598" s="244">
        <f t="shared" si="1729"/>
        <v>0</v>
      </c>
      <c r="Z3598" s="245">
        <f t="shared" si="1730"/>
        <v>0</v>
      </c>
      <c r="AA3598" s="245">
        <f t="shared" si="1739"/>
        <v>0</v>
      </c>
      <c r="AB3598" s="809">
        <v>1</v>
      </c>
      <c r="AC3598" s="242">
        <f t="shared" si="1731"/>
        <v>0</v>
      </c>
      <c r="AD3598" s="772" t="s">
        <v>2614</v>
      </c>
      <c r="AE3598" s="210">
        <f t="shared" si="1733"/>
        <v>0</v>
      </c>
      <c r="AF3598" s="210">
        <f t="shared" si="1734"/>
        <v>0</v>
      </c>
      <c r="AG3598" s="211">
        <f t="shared" si="1735"/>
        <v>0.115</v>
      </c>
      <c r="AH3598" s="157">
        <f>(Z3598*AG3598)/1000</f>
        <v>0</v>
      </c>
      <c r="AI3598" s="152">
        <f t="shared" si="1736"/>
        <v>25200</v>
      </c>
      <c r="AK3598" s="156" t="s">
        <v>691</v>
      </c>
      <c r="AL3598" s="574" t="s">
        <v>690</v>
      </c>
      <c r="AM3598" s="198">
        <f t="shared" si="1740"/>
        <v>0</v>
      </c>
      <c r="AN3598" s="199">
        <f t="shared" si="1741"/>
        <v>46221</v>
      </c>
      <c r="AO3598" s="159" t="s">
        <v>692</v>
      </c>
      <c r="AP3598" s="783" t="s">
        <v>608</v>
      </c>
      <c r="AQ3598" s="782">
        <v>12071839</v>
      </c>
      <c r="AR3598" s="782">
        <v>12047514</v>
      </c>
      <c r="AS3598" s="782">
        <v>12047515</v>
      </c>
      <c r="AT3598" s="781"/>
      <c r="AU3598" s="782">
        <v>12026902</v>
      </c>
      <c r="AV3598" s="782">
        <v>12098047</v>
      </c>
      <c r="AW3598" s="782">
        <v>12026904</v>
      </c>
      <c r="AX3598" s="781"/>
      <c r="AY3598" s="783" t="s">
        <v>2403</v>
      </c>
      <c r="AZ3598" s="783" t="s">
        <v>2404</v>
      </c>
      <c r="BA3598" s="783" t="s">
        <v>2405</v>
      </c>
      <c r="BB3598" s="209">
        <v>23052995</v>
      </c>
    </row>
    <row r="3599" spans="1:54" ht="25" customHeight="1">
      <c r="B3599" s="213">
        <v>46221</v>
      </c>
      <c r="C3599" s="214">
        <v>46241</v>
      </c>
      <c r="D3599" s="185">
        <f t="shared" si="1737"/>
        <v>2026</v>
      </c>
      <c r="E3599" s="215" t="e">
        <f>VLOOKUP($B3599,Week!$A$1:$C$1462,2,0)</f>
        <v>#N/A</v>
      </c>
      <c r="F3599" s="216" t="str">
        <f t="shared" si="1738"/>
        <v>Jul</v>
      </c>
      <c r="G3599" s="215" t="s">
        <v>2970</v>
      </c>
      <c r="H3599" s="215" t="s">
        <v>134</v>
      </c>
      <c r="I3599" s="215" t="s">
        <v>2772</v>
      </c>
      <c r="J3599" s="209" t="s">
        <v>2932</v>
      </c>
      <c r="K3599" s="217" t="s">
        <v>1648</v>
      </c>
      <c r="L3599" s="300" t="s">
        <v>2167</v>
      </c>
      <c r="M3599" s="209" t="s">
        <v>193</v>
      </c>
      <c r="N3599" s="215" t="s">
        <v>205</v>
      </c>
      <c r="O3599" s="215" t="s">
        <v>206</v>
      </c>
      <c r="P3599" s="218">
        <v>24</v>
      </c>
      <c r="Q3599" s="218">
        <v>5</v>
      </c>
      <c r="R3599" s="219">
        <v>8.0000000000000002E-3</v>
      </c>
      <c r="S3599" s="215" t="s">
        <v>40</v>
      </c>
      <c r="T3599" s="215" t="s">
        <v>56</v>
      </c>
      <c r="U3599" s="480" t="s">
        <v>499</v>
      </c>
      <c r="V3599" s="220">
        <f>250</f>
        <v>250</v>
      </c>
      <c r="W3599" s="220">
        <f>14+166+1+69</f>
        <v>250</v>
      </c>
      <c r="X3599" s="221"/>
      <c r="Y3599" s="222">
        <f t="shared" si="1729"/>
        <v>0</v>
      </c>
      <c r="Z3599" s="223">
        <f t="shared" si="1730"/>
        <v>0</v>
      </c>
      <c r="AA3599" s="220">
        <f t="shared" si="1739"/>
        <v>0</v>
      </c>
      <c r="AB3599" s="807">
        <v>1</v>
      </c>
      <c r="AC3599" s="220">
        <f t="shared" si="1731"/>
        <v>0</v>
      </c>
      <c r="AD3599" s="381"/>
      <c r="AE3599" s="210">
        <f t="shared" si="1733"/>
        <v>0</v>
      </c>
      <c r="AF3599" s="210">
        <f t="shared" si="1734"/>
        <v>0</v>
      </c>
      <c r="AG3599" s="211">
        <f t="shared" si="1735"/>
        <v>0.115</v>
      </c>
      <c r="AH3599" s="157">
        <f>(Z3599*AG3599)/1000</f>
        <v>0</v>
      </c>
      <c r="AI3599" s="152">
        <f t="shared" si="1736"/>
        <v>6000</v>
      </c>
      <c r="AK3599" s="156" t="s">
        <v>691</v>
      </c>
      <c r="AL3599" s="212" t="s">
        <v>690</v>
      </c>
      <c r="AM3599" s="198">
        <f t="shared" si="1740"/>
        <v>0</v>
      </c>
      <c r="AN3599" s="199">
        <f t="shared" si="1741"/>
        <v>46221</v>
      </c>
      <c r="AO3599" s="159" t="s">
        <v>692</v>
      </c>
      <c r="AP3599" s="783" t="s">
        <v>610</v>
      </c>
      <c r="AQ3599" s="782">
        <v>12071839</v>
      </c>
      <c r="AR3599" s="782">
        <v>12047514</v>
      </c>
      <c r="AS3599" s="782">
        <v>12047515</v>
      </c>
      <c r="AT3599" s="782"/>
      <c r="AU3599" s="782">
        <v>12026902</v>
      </c>
      <c r="AV3599" s="782">
        <v>12098136</v>
      </c>
      <c r="AW3599" s="782">
        <v>12026904</v>
      </c>
      <c r="AX3599" s="782"/>
      <c r="AY3599" s="782">
        <v>12094111</v>
      </c>
      <c r="AZ3599" s="782">
        <v>12094113</v>
      </c>
      <c r="BA3599" s="782">
        <v>12094114</v>
      </c>
    </row>
    <row r="3600" spans="1:54" ht="24.65" customHeight="1">
      <c r="B3600" s="308">
        <v>46221</v>
      </c>
      <c r="C3600" s="309">
        <v>46247</v>
      </c>
      <c r="D3600" s="185">
        <f t="shared" si="1737"/>
        <v>2026</v>
      </c>
      <c r="E3600" s="309" t="e">
        <f>VLOOKUP($B3600,Week!$A$1:$C$1462,2,0)</f>
        <v>#N/A</v>
      </c>
      <c r="F3600" s="310" t="str">
        <f t="shared" si="1738"/>
        <v>Jul</v>
      </c>
      <c r="G3600" s="311" t="s">
        <v>3013</v>
      </c>
      <c r="H3600" s="311" t="s">
        <v>311</v>
      </c>
      <c r="I3600" s="311" t="s">
        <v>2772</v>
      </c>
      <c r="J3600" s="312" t="s">
        <v>738</v>
      </c>
      <c r="K3600" s="313" t="s">
        <v>107</v>
      </c>
      <c r="L3600" s="300" t="s">
        <v>2167</v>
      </c>
      <c r="M3600" s="312" t="s">
        <v>313</v>
      </c>
      <c r="N3600" s="311" t="s">
        <v>314</v>
      </c>
      <c r="O3600" s="311" t="s">
        <v>110</v>
      </c>
      <c r="P3600" s="314">
        <v>36</v>
      </c>
      <c r="Q3600" s="314">
        <v>5</v>
      </c>
      <c r="R3600" s="315">
        <v>7.4999999999999997E-3</v>
      </c>
      <c r="S3600" s="311" t="s">
        <v>111</v>
      </c>
      <c r="T3600" s="311" t="s">
        <v>112</v>
      </c>
      <c r="U3600" s="311" t="s">
        <v>57</v>
      </c>
      <c r="V3600" s="316">
        <f>792-480</f>
        <v>312</v>
      </c>
      <c r="W3600" s="316">
        <f>1+311</f>
        <v>312</v>
      </c>
      <c r="X3600" s="317"/>
      <c r="Y3600" s="318">
        <f t="shared" si="1729"/>
        <v>0</v>
      </c>
      <c r="Z3600" s="319">
        <f t="shared" si="1730"/>
        <v>0</v>
      </c>
      <c r="AA3600" s="319">
        <f t="shared" si="1739"/>
        <v>0</v>
      </c>
      <c r="AB3600" s="815">
        <v>7.4999999999999997E-3</v>
      </c>
      <c r="AC3600" s="316">
        <f t="shared" si="1731"/>
        <v>0</v>
      </c>
      <c r="AD3600" s="209"/>
      <c r="AE3600" s="210">
        <f t="shared" si="1733"/>
        <v>0</v>
      </c>
      <c r="AF3600" s="210">
        <f t="shared" si="1734"/>
        <v>0</v>
      </c>
      <c r="AG3600" s="211">
        <f t="shared" si="1735"/>
        <v>0.308</v>
      </c>
      <c r="AH3600" s="157">
        <f>(Z3600*AG3600)/1000</f>
        <v>0</v>
      </c>
      <c r="AI3600" s="152">
        <f t="shared" si="1736"/>
        <v>11232</v>
      </c>
      <c r="AK3600" s="156" t="s">
        <v>691</v>
      </c>
      <c r="AL3600" s="212" t="s">
        <v>690</v>
      </c>
      <c r="AM3600" s="198">
        <f t="shared" si="1740"/>
        <v>0</v>
      </c>
      <c r="AN3600" s="199">
        <f t="shared" si="1741"/>
        <v>46221</v>
      </c>
      <c r="AO3600" s="159" t="s">
        <v>692</v>
      </c>
      <c r="AP3600" s="783" t="s">
        <v>644</v>
      </c>
      <c r="AQ3600" s="782">
        <v>12063755</v>
      </c>
      <c r="AR3600" s="782">
        <v>12081257</v>
      </c>
      <c r="AS3600" s="782">
        <v>12081260</v>
      </c>
      <c r="AT3600" s="782">
        <v>12098623</v>
      </c>
      <c r="AU3600" s="781"/>
      <c r="AV3600" s="782">
        <v>12098706</v>
      </c>
      <c r="AW3600" s="782">
        <v>12088207</v>
      </c>
      <c r="AX3600" s="782"/>
      <c r="AY3600" s="782">
        <v>12094237</v>
      </c>
      <c r="AZ3600" s="782"/>
      <c r="BA3600" s="781"/>
      <c r="BB3600" s="209">
        <v>23053185</v>
      </c>
    </row>
    <row r="3601" spans="1:54" ht="25" customHeight="1">
      <c r="B3601" s="425">
        <v>46221</v>
      </c>
      <c r="C3601" s="425">
        <v>46238</v>
      </c>
      <c r="D3601" s="185">
        <f t="shared" si="1737"/>
        <v>2026</v>
      </c>
      <c r="E3601" s="425" t="e">
        <f>VLOOKUP($B3601,Week!$A$1:$C$1462,2,0)</f>
        <v>#N/A</v>
      </c>
      <c r="F3601" s="426" t="str">
        <f t="shared" si="1738"/>
        <v>Jul</v>
      </c>
      <c r="G3601" s="427" t="s">
        <v>3074</v>
      </c>
      <c r="H3601" s="427" t="s">
        <v>600</v>
      </c>
      <c r="I3601" s="427" t="s">
        <v>2772</v>
      </c>
      <c r="J3601" s="428" t="s">
        <v>708</v>
      </c>
      <c r="K3601" s="429" t="s">
        <v>1650</v>
      </c>
      <c r="L3601" s="300" t="s">
        <v>2167</v>
      </c>
      <c r="M3601" s="428" t="s">
        <v>603</v>
      </c>
      <c r="N3601" s="427" t="s">
        <v>1256</v>
      </c>
      <c r="O3601" s="427" t="s">
        <v>659</v>
      </c>
      <c r="P3601" s="430">
        <v>12</v>
      </c>
      <c r="Q3601" s="430">
        <v>3</v>
      </c>
      <c r="R3601" s="431">
        <v>6.0000000000000001E-3</v>
      </c>
      <c r="S3601" s="427" t="s">
        <v>55</v>
      </c>
      <c r="T3601" s="427" t="s">
        <v>112</v>
      </c>
      <c r="U3601" s="632" t="s">
        <v>1894</v>
      </c>
      <c r="V3601" s="432">
        <f>2520</f>
        <v>2520</v>
      </c>
      <c r="W3601" s="432">
        <f>2372</f>
        <v>2372</v>
      </c>
      <c r="X3601" s="433">
        <f>(1776)/12</f>
        <v>148</v>
      </c>
      <c r="Y3601" s="434">
        <f t="shared" si="1729"/>
        <v>0</v>
      </c>
      <c r="Z3601" s="435">
        <f t="shared" si="1730"/>
        <v>0</v>
      </c>
      <c r="AA3601" s="435">
        <f t="shared" si="1739"/>
        <v>0</v>
      </c>
      <c r="AB3601" s="826">
        <v>3.8699999999999998E-2</v>
      </c>
      <c r="AC3601" s="432">
        <f t="shared" si="1731"/>
        <v>0</v>
      </c>
      <c r="AD3601" s="443" t="s">
        <v>3134</v>
      </c>
      <c r="AE3601" s="210">
        <f t="shared" si="1733"/>
        <v>0</v>
      </c>
      <c r="AF3601" s="210">
        <f t="shared" si="1734"/>
        <v>0</v>
      </c>
      <c r="AG3601" s="211">
        <f t="shared" si="1735"/>
        <v>0.30199999999999999</v>
      </c>
      <c r="AH3601" s="157">
        <v>0.26621999999999996</v>
      </c>
      <c r="AI3601" s="152">
        <f t="shared" si="1736"/>
        <v>30240</v>
      </c>
      <c r="AK3601" s="156" t="s">
        <v>691</v>
      </c>
      <c r="AL3601" s="212" t="s">
        <v>690</v>
      </c>
      <c r="AM3601" s="198">
        <f t="shared" si="1740"/>
        <v>0</v>
      </c>
      <c r="AN3601" s="199">
        <f t="shared" si="1741"/>
        <v>46221</v>
      </c>
      <c r="AO3601" s="159" t="s">
        <v>692</v>
      </c>
      <c r="AP3601" s="783" t="s">
        <v>629</v>
      </c>
      <c r="AQ3601" s="782">
        <v>12063755</v>
      </c>
      <c r="AR3601" s="782">
        <v>12061353</v>
      </c>
      <c r="AS3601" s="782">
        <v>12061354</v>
      </c>
      <c r="AT3601" s="782"/>
      <c r="AU3601" s="781"/>
      <c r="AV3601" s="867">
        <v>12095907</v>
      </c>
      <c r="AW3601" s="781"/>
      <c r="AX3601" s="782"/>
      <c r="AY3601" s="782">
        <v>12094276</v>
      </c>
      <c r="AZ3601" s="782">
        <v>12094277</v>
      </c>
      <c r="BA3601" s="783" t="s">
        <v>2229</v>
      </c>
      <c r="BB3601" s="209">
        <v>23053185</v>
      </c>
    </row>
    <row r="3602" spans="1:54" ht="25" customHeight="1">
      <c r="B3602" s="183">
        <v>46222</v>
      </c>
      <c r="C3602" s="184"/>
      <c r="D3602" s="185">
        <f t="shared" si="1737"/>
        <v>2026</v>
      </c>
      <c r="E3602" s="185" t="e">
        <f>VLOOKUP($B3602,Week!$A$1:$C$1462,2,0)</f>
        <v>#N/A</v>
      </c>
      <c r="F3602" s="186" t="str">
        <f t="shared" si="1738"/>
        <v>Jul</v>
      </c>
      <c r="G3602" s="481"/>
      <c r="H3602" s="185"/>
      <c r="I3602" s="185"/>
      <c r="J3602" s="187"/>
      <c r="K3602" s="188"/>
      <c r="L3602" s="188"/>
      <c r="M3602" s="187"/>
      <c r="N3602" s="185"/>
      <c r="O3602" s="185"/>
      <c r="P3602" s="189"/>
      <c r="Q3602" s="189"/>
      <c r="R3602" s="190"/>
      <c r="S3602" s="185"/>
      <c r="T3602" s="185"/>
      <c r="U3602" s="185"/>
      <c r="V3602" s="191"/>
      <c r="W3602" s="191"/>
      <c r="X3602" s="192"/>
      <c r="Y3602" s="193"/>
      <c r="Z3602" s="194"/>
      <c r="AA3602" s="194">
        <f t="shared" si="1739"/>
        <v>0</v>
      </c>
      <c r="AB3602" s="805"/>
      <c r="AC3602" s="191"/>
      <c r="AD3602" s="187"/>
      <c r="AE3602" s="195"/>
      <c r="AF3602" s="195"/>
      <c r="AG3602" s="196"/>
      <c r="AH3602" s="197"/>
      <c r="AK3602" s="156" t="s">
        <v>691</v>
      </c>
      <c r="AM3602" s="198">
        <f t="shared" si="1740"/>
        <v>0</v>
      </c>
      <c r="AN3602" s="199">
        <f t="shared" si="1741"/>
        <v>46222</v>
      </c>
      <c r="AO3602" s="159" t="s">
        <v>692</v>
      </c>
      <c r="AP3602" s="781"/>
      <c r="AQ3602" s="782"/>
      <c r="AR3602" s="782"/>
      <c r="AS3602" s="782"/>
      <c r="AT3602" s="782"/>
      <c r="AU3602" s="781"/>
      <c r="AV3602" s="782"/>
      <c r="AW3602" s="782"/>
      <c r="AX3602" s="782"/>
      <c r="AY3602" s="782"/>
      <c r="AZ3602" s="782"/>
      <c r="BA3602" s="781"/>
      <c r="BB3602" s="209"/>
    </row>
    <row r="3603" spans="1:54" ht="25.15" customHeight="1">
      <c r="B3603" s="345">
        <v>46223</v>
      </c>
      <c r="C3603" s="346">
        <v>46245</v>
      </c>
      <c r="D3603" s="185">
        <f t="shared" si="1737"/>
        <v>2026</v>
      </c>
      <c r="E3603" s="347" t="e">
        <f>VLOOKUP($B3603,Week!$A$1:$C$1462,2,0)</f>
        <v>#N/A</v>
      </c>
      <c r="F3603" s="348" t="str">
        <f t="shared" si="1738"/>
        <v>Jul</v>
      </c>
      <c r="G3603" s="347" t="s">
        <v>2804</v>
      </c>
      <c r="H3603" s="347" t="s">
        <v>424</v>
      </c>
      <c r="I3603" s="347" t="s">
        <v>2772</v>
      </c>
      <c r="J3603" s="438" t="s">
        <v>425</v>
      </c>
      <c r="K3603" s="350" t="s">
        <v>176</v>
      </c>
      <c r="L3603" s="350" t="s">
        <v>2167</v>
      </c>
      <c r="M3603" s="349" t="s">
        <v>426</v>
      </c>
      <c r="N3603" s="347" t="s">
        <v>427</v>
      </c>
      <c r="O3603" s="347" t="s">
        <v>599</v>
      </c>
      <c r="P3603" s="351">
        <v>36</v>
      </c>
      <c r="Q3603" s="351">
        <v>5</v>
      </c>
      <c r="R3603" s="352">
        <v>7.4999999999999997E-3</v>
      </c>
      <c r="S3603" s="347" t="s">
        <v>111</v>
      </c>
      <c r="T3603" s="347" t="s">
        <v>112</v>
      </c>
      <c r="U3603" s="347" t="s">
        <v>57</v>
      </c>
      <c r="V3603" s="353">
        <v>1288</v>
      </c>
      <c r="W3603" s="353">
        <f>1364-80+4</f>
        <v>1288</v>
      </c>
      <c r="X3603" s="354"/>
      <c r="Y3603" s="355">
        <f t="shared" ref="Y3603:Y3614" si="1742">(W3603+X3603)-V3603</f>
        <v>0</v>
      </c>
      <c r="Z3603" s="356">
        <f t="shared" ref="Z3603:Z3614" si="1743">IF(Y3603&lt;0,((V3603*P3603)-((W3603+X3603)*P3603)),0)</f>
        <v>0</v>
      </c>
      <c r="AA3603" s="353">
        <f t="shared" si="1739"/>
        <v>0</v>
      </c>
      <c r="AB3603" s="818">
        <v>7.4999999999999997E-3</v>
      </c>
      <c r="AC3603" s="353">
        <f t="shared" ref="AC3603:AC3614" si="1744">Z3603*AB3603</f>
        <v>0</v>
      </c>
      <c r="AD3603" s="307" t="s">
        <v>2448</v>
      </c>
      <c r="AE3603" s="210">
        <f t="shared" ref="AE3603:AE3615" si="1745">SUM(Q3603*R3603*Z3603)/1000</f>
        <v>0</v>
      </c>
      <c r="AF3603" s="210">
        <f t="shared" ref="AF3603:AF3609" si="1746">AE3603/0.54</f>
        <v>0</v>
      </c>
      <c r="AG3603" s="211">
        <f t="shared" ref="AG3603:AG3609" si="1747">MID(O3603,1,3)/1000</f>
        <v>0.14799999999999999</v>
      </c>
      <c r="AH3603" s="157">
        <f t="shared" ref="AH3603:AH3614" si="1748">(Z3603*AG3603)/1000</f>
        <v>0</v>
      </c>
      <c r="AI3603" s="152">
        <f t="shared" ref="AI3603:AI3609" si="1749">V3603*P3603</f>
        <v>46368</v>
      </c>
      <c r="AK3603" s="156" t="s">
        <v>691</v>
      </c>
      <c r="AL3603" s="574" t="s">
        <v>690</v>
      </c>
      <c r="AM3603" s="198">
        <f t="shared" si="1740"/>
        <v>0</v>
      </c>
      <c r="AN3603" s="199">
        <f t="shared" si="1741"/>
        <v>46223</v>
      </c>
      <c r="AO3603" s="159" t="s">
        <v>692</v>
      </c>
      <c r="AP3603" s="783" t="s">
        <v>609</v>
      </c>
      <c r="AQ3603" s="782">
        <v>12071839</v>
      </c>
      <c r="AR3603" s="782">
        <v>12080260</v>
      </c>
      <c r="AS3603" s="782">
        <v>12080259</v>
      </c>
      <c r="AT3603" s="782">
        <v>12096006</v>
      </c>
      <c r="AU3603" s="782"/>
      <c r="AV3603" s="782">
        <v>12096007</v>
      </c>
      <c r="AW3603" s="782">
        <v>12024404</v>
      </c>
      <c r="AX3603" s="781"/>
      <c r="AY3603" s="782">
        <v>12096022</v>
      </c>
      <c r="AZ3603" s="782"/>
      <c r="BA3603" s="781"/>
      <c r="BB3603" s="209">
        <v>23053185</v>
      </c>
    </row>
    <row r="3604" spans="1:54" ht="24.65" customHeight="1">
      <c r="B3604" s="411">
        <v>46223</v>
      </c>
      <c r="C3604" s="645" t="s">
        <v>3055</v>
      </c>
      <c r="D3604" s="185">
        <f t="shared" si="1737"/>
        <v>2026</v>
      </c>
      <c r="E3604" s="412" t="e">
        <f>VLOOKUP($B3604,Week!$A$1:$C$1462,2,0)</f>
        <v>#N/A</v>
      </c>
      <c r="F3604" s="413" t="str">
        <f t="shared" si="1738"/>
        <v>Jul</v>
      </c>
      <c r="G3604" s="414" t="s">
        <v>47</v>
      </c>
      <c r="H3604" s="414" t="s">
        <v>260</v>
      </c>
      <c r="I3604" s="414" t="s">
        <v>2702</v>
      </c>
      <c r="J3604" s="415" t="s">
        <v>261</v>
      </c>
      <c r="K3604" s="416" t="s">
        <v>94</v>
      </c>
      <c r="L3604" s="300" t="s">
        <v>2167</v>
      </c>
      <c r="M3604" s="415" t="s">
        <v>2339</v>
      </c>
      <c r="N3604" s="414" t="s">
        <v>263</v>
      </c>
      <c r="O3604" s="414" t="s">
        <v>195</v>
      </c>
      <c r="P3604" s="417">
        <v>24</v>
      </c>
      <c r="Q3604" s="417">
        <v>5</v>
      </c>
      <c r="R3604" s="418">
        <v>8.0000000000000002E-3</v>
      </c>
      <c r="S3604" s="414" t="s">
        <v>40</v>
      </c>
      <c r="T3604" s="414" t="s">
        <v>56</v>
      </c>
      <c r="U3604" s="414" t="s">
        <v>57</v>
      </c>
      <c r="V3604" s="419">
        <f>7500-4438-1181</f>
        <v>1881</v>
      </c>
      <c r="W3604" s="419">
        <f>1+1849+31</f>
        <v>1881</v>
      </c>
      <c r="X3604" s="420"/>
      <c r="Y3604" s="421">
        <f t="shared" si="1742"/>
        <v>0</v>
      </c>
      <c r="Z3604" s="422">
        <f t="shared" si="1743"/>
        <v>0</v>
      </c>
      <c r="AA3604" s="422">
        <f t="shared" si="1739"/>
        <v>0</v>
      </c>
      <c r="AB3604" s="825">
        <v>7.4999999999999997E-3</v>
      </c>
      <c r="AC3604" s="419">
        <f t="shared" si="1744"/>
        <v>0</v>
      </c>
      <c r="AD3604" s="949" t="s">
        <v>3109</v>
      </c>
      <c r="AE3604" s="210">
        <f t="shared" si="1745"/>
        <v>0</v>
      </c>
      <c r="AF3604" s="210">
        <f t="shared" si="1746"/>
        <v>0</v>
      </c>
      <c r="AG3604" s="211">
        <f t="shared" si="1747"/>
        <v>0.14499999999999999</v>
      </c>
      <c r="AH3604" s="157">
        <f t="shared" si="1748"/>
        <v>0</v>
      </c>
      <c r="AI3604" s="152">
        <f t="shared" si="1749"/>
        <v>45144</v>
      </c>
      <c r="AK3604" s="156" t="s">
        <v>691</v>
      </c>
      <c r="AL3604" s="212" t="s">
        <v>690</v>
      </c>
      <c r="AM3604" s="198">
        <f t="shared" si="1740"/>
        <v>0</v>
      </c>
      <c r="AN3604" s="199">
        <f t="shared" si="1741"/>
        <v>46223</v>
      </c>
      <c r="AO3604" s="159" t="s">
        <v>692</v>
      </c>
      <c r="AP3604" s="783" t="s">
        <v>609</v>
      </c>
      <c r="AQ3604" s="782">
        <v>12071839</v>
      </c>
      <c r="AR3604" s="782">
        <v>12047514</v>
      </c>
      <c r="AS3604" s="782">
        <v>12047515</v>
      </c>
      <c r="AT3604" s="781"/>
      <c r="AU3604" s="781"/>
      <c r="AV3604" s="782">
        <v>12080613</v>
      </c>
      <c r="AW3604" s="781"/>
      <c r="AX3604" s="781"/>
      <c r="AY3604" s="782">
        <v>12094241</v>
      </c>
      <c r="AZ3604" s="782">
        <v>12094242</v>
      </c>
      <c r="BA3604" s="781"/>
      <c r="BB3604" s="209">
        <v>23053185</v>
      </c>
    </row>
    <row r="3605" spans="1:54" ht="24.65" customHeight="1">
      <c r="B3605" s="411">
        <v>46223</v>
      </c>
      <c r="C3605" s="645" t="s">
        <v>3075</v>
      </c>
      <c r="D3605" s="185">
        <f t="shared" si="1737"/>
        <v>2026</v>
      </c>
      <c r="E3605" s="412" t="e">
        <f>VLOOKUP($B3605,Week!$A$1:$C$1462,2,0)</f>
        <v>#N/A</v>
      </c>
      <c r="F3605" s="413" t="str">
        <f t="shared" si="1738"/>
        <v>Jul</v>
      </c>
      <c r="G3605" s="414" t="s">
        <v>47</v>
      </c>
      <c r="H3605" s="414" t="s">
        <v>260</v>
      </c>
      <c r="I3605" s="414" t="s">
        <v>2702</v>
      </c>
      <c r="J3605" s="415" t="s">
        <v>261</v>
      </c>
      <c r="K3605" s="416" t="s">
        <v>94</v>
      </c>
      <c r="L3605" s="300" t="s">
        <v>2167</v>
      </c>
      <c r="M3605" s="415" t="s">
        <v>2339</v>
      </c>
      <c r="N3605" s="414" t="s">
        <v>263</v>
      </c>
      <c r="O3605" s="414" t="s">
        <v>195</v>
      </c>
      <c r="P3605" s="417">
        <v>24</v>
      </c>
      <c r="Q3605" s="417">
        <v>5</v>
      </c>
      <c r="R3605" s="418">
        <v>8.0000000000000002E-3</v>
      </c>
      <c r="S3605" s="414" t="s">
        <v>40</v>
      </c>
      <c r="T3605" s="414" t="s">
        <v>56</v>
      </c>
      <c r="U3605" s="414" t="s">
        <v>57</v>
      </c>
      <c r="V3605" s="419">
        <v>33</v>
      </c>
      <c r="W3605" s="419">
        <v>33</v>
      </c>
      <c r="X3605" s="420"/>
      <c r="Y3605" s="421">
        <f t="shared" si="1742"/>
        <v>0</v>
      </c>
      <c r="Z3605" s="422">
        <f t="shared" si="1743"/>
        <v>0</v>
      </c>
      <c r="AA3605" s="422">
        <f t="shared" si="1739"/>
        <v>0</v>
      </c>
      <c r="AB3605" s="825">
        <v>7.4999999999999997E-3</v>
      </c>
      <c r="AC3605" s="419">
        <f t="shared" si="1744"/>
        <v>0</v>
      </c>
      <c r="AD3605" s="949" t="s">
        <v>3109</v>
      </c>
      <c r="AE3605" s="210">
        <f t="shared" si="1745"/>
        <v>0</v>
      </c>
      <c r="AF3605" s="210">
        <f t="shared" si="1746"/>
        <v>0</v>
      </c>
      <c r="AG3605" s="211">
        <f t="shared" si="1747"/>
        <v>0.14499999999999999</v>
      </c>
      <c r="AH3605" s="157">
        <f t="shared" si="1748"/>
        <v>0</v>
      </c>
      <c r="AI3605" s="152">
        <f t="shared" si="1749"/>
        <v>792</v>
      </c>
      <c r="AK3605" s="156" t="s">
        <v>691</v>
      </c>
      <c r="AL3605" s="212" t="s">
        <v>690</v>
      </c>
      <c r="AM3605" s="198">
        <f t="shared" si="1740"/>
        <v>0</v>
      </c>
      <c r="AN3605" s="199">
        <f t="shared" si="1741"/>
        <v>46223</v>
      </c>
      <c r="AO3605" s="159" t="s">
        <v>692</v>
      </c>
      <c r="AP3605" s="783" t="s">
        <v>609</v>
      </c>
      <c r="AQ3605" s="782">
        <v>12071839</v>
      </c>
      <c r="AR3605" s="782">
        <v>12047514</v>
      </c>
      <c r="AS3605" s="782">
        <v>12047515</v>
      </c>
      <c r="AT3605" s="781"/>
      <c r="AU3605" s="781"/>
      <c r="AV3605" s="782">
        <v>12080613</v>
      </c>
      <c r="AW3605" s="781"/>
      <c r="AX3605" s="781"/>
      <c r="AY3605" s="782">
        <v>12094241</v>
      </c>
      <c r="AZ3605" s="782">
        <v>12094242</v>
      </c>
      <c r="BA3605" s="781"/>
      <c r="BB3605" s="209">
        <v>23053185</v>
      </c>
    </row>
    <row r="3606" spans="1:54" ht="25" customHeight="1">
      <c r="A3606" s="529" t="s">
        <v>1937</v>
      </c>
      <c r="B3606" s="357">
        <v>46223</v>
      </c>
      <c r="C3606" s="776" t="s">
        <v>3055</v>
      </c>
      <c r="D3606" s="185">
        <f t="shared" si="1737"/>
        <v>2026</v>
      </c>
      <c r="E3606" s="358" t="e">
        <f>VLOOKUP($B3606,Week!$A$1:$C$1462,2,0)</f>
        <v>#N/A</v>
      </c>
      <c r="F3606" s="360" t="str">
        <f t="shared" si="1738"/>
        <v>Jul</v>
      </c>
      <c r="G3606" s="359" t="s">
        <v>47</v>
      </c>
      <c r="H3606" s="359" t="s">
        <v>518</v>
      </c>
      <c r="I3606" s="359" t="s">
        <v>2702</v>
      </c>
      <c r="J3606" s="361" t="s">
        <v>70</v>
      </c>
      <c r="K3606" s="362" t="s">
        <v>94</v>
      </c>
      <c r="L3606" s="362" t="s">
        <v>2167</v>
      </c>
      <c r="M3606" s="361" t="s">
        <v>2341</v>
      </c>
      <c r="N3606" s="436" t="s">
        <v>648</v>
      </c>
      <c r="O3606" s="359" t="s">
        <v>97</v>
      </c>
      <c r="P3606" s="363">
        <v>12</v>
      </c>
      <c r="Q3606" s="363">
        <v>5</v>
      </c>
      <c r="R3606" s="364">
        <v>8.0000000000000002E-3</v>
      </c>
      <c r="S3606" s="359" t="s">
        <v>40</v>
      </c>
      <c r="T3606" s="359" t="s">
        <v>56</v>
      </c>
      <c r="U3606" s="359" t="s">
        <v>57</v>
      </c>
      <c r="V3606" s="365">
        <v>12</v>
      </c>
      <c r="W3606" s="365">
        <v>12</v>
      </c>
      <c r="X3606" s="366"/>
      <c r="Y3606" s="367">
        <f t="shared" si="1742"/>
        <v>0</v>
      </c>
      <c r="Z3606" s="368">
        <f t="shared" si="1743"/>
        <v>0</v>
      </c>
      <c r="AA3606" s="368">
        <f t="shared" si="1739"/>
        <v>0</v>
      </c>
      <c r="AB3606" s="819">
        <v>7.4999999999999997E-3</v>
      </c>
      <c r="AC3606" s="365">
        <f t="shared" si="1744"/>
        <v>0</v>
      </c>
      <c r="AD3606" s="949" t="s">
        <v>3109</v>
      </c>
      <c r="AE3606" s="210">
        <f t="shared" si="1745"/>
        <v>0</v>
      </c>
      <c r="AF3606" s="210">
        <f t="shared" si="1746"/>
        <v>0</v>
      </c>
      <c r="AG3606" s="211">
        <f t="shared" si="1747"/>
        <v>0.14499999999999999</v>
      </c>
      <c r="AH3606" s="157">
        <f t="shared" si="1748"/>
        <v>0</v>
      </c>
      <c r="AI3606" s="152">
        <f t="shared" si="1749"/>
        <v>144</v>
      </c>
      <c r="AK3606" s="156" t="s">
        <v>691</v>
      </c>
      <c r="AL3606" s="574" t="s">
        <v>690</v>
      </c>
      <c r="AM3606" s="198">
        <f t="shared" si="1740"/>
        <v>0</v>
      </c>
      <c r="AN3606" s="199">
        <f t="shared" si="1741"/>
        <v>46223</v>
      </c>
      <c r="AO3606" s="159" t="s">
        <v>692</v>
      </c>
      <c r="AP3606" s="783" t="s">
        <v>628</v>
      </c>
      <c r="AQ3606" s="782">
        <v>12071839</v>
      </c>
      <c r="AR3606" s="782">
        <v>12047514</v>
      </c>
      <c r="AS3606" s="782">
        <v>12047515</v>
      </c>
      <c r="AT3606" s="782"/>
      <c r="AU3606" s="781"/>
      <c r="AV3606" s="782">
        <v>12080617</v>
      </c>
      <c r="AW3606" s="782"/>
      <c r="AX3606" s="782"/>
      <c r="AY3606" s="782">
        <v>12094231</v>
      </c>
      <c r="AZ3606" s="782">
        <v>1209232</v>
      </c>
      <c r="BA3606" s="781"/>
      <c r="BB3606" s="209"/>
    </row>
    <row r="3607" spans="1:54" ht="25" customHeight="1">
      <c r="B3607" s="357">
        <v>46223</v>
      </c>
      <c r="C3607" s="776" t="s">
        <v>3055</v>
      </c>
      <c r="D3607" s="185">
        <f t="shared" si="1737"/>
        <v>2026</v>
      </c>
      <c r="E3607" s="358" t="e">
        <f>VLOOKUP($B3607,Week!$A$1:$C$1462,2,0)</f>
        <v>#N/A</v>
      </c>
      <c r="F3607" s="360" t="str">
        <f t="shared" si="1738"/>
        <v>Jul</v>
      </c>
      <c r="G3607" s="359" t="s">
        <v>47</v>
      </c>
      <c r="H3607" s="359" t="s">
        <v>518</v>
      </c>
      <c r="I3607" s="359" t="s">
        <v>2702</v>
      </c>
      <c r="J3607" s="361" t="s">
        <v>70</v>
      </c>
      <c r="K3607" s="362" t="s">
        <v>94</v>
      </c>
      <c r="L3607" s="300" t="s">
        <v>2167</v>
      </c>
      <c r="M3607" s="361" t="s">
        <v>2341</v>
      </c>
      <c r="N3607" s="359" t="s">
        <v>589</v>
      </c>
      <c r="O3607" s="359" t="s">
        <v>97</v>
      </c>
      <c r="P3607" s="363">
        <v>12</v>
      </c>
      <c r="Q3607" s="363">
        <v>5</v>
      </c>
      <c r="R3607" s="364">
        <v>8.0000000000000002E-3</v>
      </c>
      <c r="S3607" s="359" t="s">
        <v>40</v>
      </c>
      <c r="T3607" s="359" t="s">
        <v>56</v>
      </c>
      <c r="U3607" s="359" t="s">
        <v>57</v>
      </c>
      <c r="V3607" s="365">
        <f>2500-1473</f>
        <v>1027</v>
      </c>
      <c r="W3607" s="365">
        <f>24+1003</f>
        <v>1027</v>
      </c>
      <c r="X3607" s="366"/>
      <c r="Y3607" s="367">
        <f t="shared" si="1742"/>
        <v>0</v>
      </c>
      <c r="Z3607" s="368">
        <f t="shared" si="1743"/>
        <v>0</v>
      </c>
      <c r="AA3607" s="368">
        <f t="shared" si="1739"/>
        <v>0</v>
      </c>
      <c r="AB3607" s="819">
        <v>7.4999999999999997E-3</v>
      </c>
      <c r="AC3607" s="365">
        <f t="shared" si="1744"/>
        <v>0</v>
      </c>
      <c r="AD3607" s="949" t="s">
        <v>3109</v>
      </c>
      <c r="AE3607" s="210">
        <f t="shared" si="1745"/>
        <v>0</v>
      </c>
      <c r="AF3607" s="210">
        <f t="shared" si="1746"/>
        <v>0</v>
      </c>
      <c r="AG3607" s="211">
        <f t="shared" si="1747"/>
        <v>0.14499999999999999</v>
      </c>
      <c r="AH3607" s="157">
        <f t="shared" si="1748"/>
        <v>0</v>
      </c>
      <c r="AI3607" s="152">
        <f t="shared" si="1749"/>
        <v>12324</v>
      </c>
      <c r="AK3607" s="156" t="s">
        <v>691</v>
      </c>
      <c r="AL3607" s="574" t="s">
        <v>690</v>
      </c>
      <c r="AM3607" s="198">
        <f t="shared" si="1740"/>
        <v>0</v>
      </c>
      <c r="AN3607" s="199">
        <f t="shared" si="1741"/>
        <v>46223</v>
      </c>
      <c r="AO3607" s="159" t="s">
        <v>692</v>
      </c>
      <c r="AP3607" s="783" t="s">
        <v>628</v>
      </c>
      <c r="AQ3607" s="782">
        <v>12071839</v>
      </c>
      <c r="AR3607" s="782">
        <v>12047514</v>
      </c>
      <c r="AS3607" s="782">
        <v>12047515</v>
      </c>
      <c r="AT3607" s="782"/>
      <c r="AU3607" s="781"/>
      <c r="AV3607" s="782">
        <v>12080617</v>
      </c>
      <c r="AW3607" s="782"/>
      <c r="AX3607" s="782"/>
      <c r="AY3607" s="782">
        <v>12094231</v>
      </c>
      <c r="AZ3607" s="782">
        <v>1209232</v>
      </c>
      <c r="BA3607" s="781"/>
      <c r="BB3607" s="209">
        <v>23053185</v>
      </c>
    </row>
    <row r="3608" spans="1:54" ht="25" customHeight="1">
      <c r="B3608" s="398">
        <v>46223</v>
      </c>
      <c r="C3608" s="879" t="s">
        <v>3055</v>
      </c>
      <c r="D3608" s="185">
        <f t="shared" si="1737"/>
        <v>2026</v>
      </c>
      <c r="E3608" s="399" t="e">
        <f>VLOOKUP($B3608,Week!$A$1:$C$1462,2,0)</f>
        <v>#N/A</v>
      </c>
      <c r="F3608" s="400" t="str">
        <f t="shared" si="1738"/>
        <v>Jul</v>
      </c>
      <c r="G3608" s="401" t="s">
        <v>47</v>
      </c>
      <c r="H3608" s="401" t="s">
        <v>518</v>
      </c>
      <c r="I3608" s="401" t="s">
        <v>2702</v>
      </c>
      <c r="J3608" s="402" t="s">
        <v>70</v>
      </c>
      <c r="K3608" s="403" t="s">
        <v>1645</v>
      </c>
      <c r="L3608" s="300" t="s">
        <v>2167</v>
      </c>
      <c r="M3608" s="402" t="s">
        <v>2567</v>
      </c>
      <c r="N3608" s="404" t="s">
        <v>2520</v>
      </c>
      <c r="O3608" s="401" t="s">
        <v>747</v>
      </c>
      <c r="P3608" s="405">
        <v>12</v>
      </c>
      <c r="Q3608" s="405">
        <v>5</v>
      </c>
      <c r="R3608" s="406">
        <v>8.0000000000000002E-3</v>
      </c>
      <c r="S3608" s="401" t="s">
        <v>352</v>
      </c>
      <c r="T3608" s="401" t="s">
        <v>56</v>
      </c>
      <c r="U3608" s="770" t="s">
        <v>669</v>
      </c>
      <c r="V3608" s="407">
        <f>300</f>
        <v>300</v>
      </c>
      <c r="W3608" s="407">
        <v>300</v>
      </c>
      <c r="X3608" s="408"/>
      <c r="Y3608" s="409">
        <f t="shared" si="1742"/>
        <v>0</v>
      </c>
      <c r="Z3608" s="410">
        <f t="shared" si="1743"/>
        <v>0</v>
      </c>
      <c r="AA3608" s="410">
        <f t="shared" si="1739"/>
        <v>0</v>
      </c>
      <c r="AB3608" s="824">
        <v>8.9999999999999993E-3</v>
      </c>
      <c r="AC3608" s="407">
        <f t="shared" si="1744"/>
        <v>0</v>
      </c>
      <c r="AD3608" s="443"/>
      <c r="AE3608" s="210">
        <f t="shared" si="1745"/>
        <v>0</v>
      </c>
      <c r="AF3608" s="210">
        <f t="shared" si="1746"/>
        <v>0</v>
      </c>
      <c r="AG3608" s="211">
        <f t="shared" si="1747"/>
        <v>0.14299999999999999</v>
      </c>
      <c r="AH3608" s="157">
        <f t="shared" si="1748"/>
        <v>0</v>
      </c>
      <c r="AI3608" s="152">
        <f t="shared" si="1749"/>
        <v>3600</v>
      </c>
      <c r="AK3608" s="156" t="s">
        <v>691</v>
      </c>
      <c r="AL3608" s="212" t="s">
        <v>690</v>
      </c>
      <c r="AM3608" s="198">
        <f t="shared" si="1740"/>
        <v>0</v>
      </c>
      <c r="AN3608" s="199">
        <f t="shared" si="1741"/>
        <v>46223</v>
      </c>
      <c r="AO3608" s="159" t="s">
        <v>692</v>
      </c>
      <c r="AP3608" s="783" t="s">
        <v>623</v>
      </c>
      <c r="AQ3608" s="782">
        <v>12071839</v>
      </c>
      <c r="AR3608" s="782">
        <v>12047514</v>
      </c>
      <c r="AS3608" s="782">
        <v>12047515</v>
      </c>
      <c r="AT3608" s="782"/>
      <c r="AU3608" s="781"/>
      <c r="AV3608" s="782">
        <v>12096536</v>
      </c>
      <c r="AW3608" s="782"/>
      <c r="AX3608" s="782"/>
      <c r="AY3608" s="782">
        <v>12096534</v>
      </c>
      <c r="AZ3608" s="782">
        <v>12096535</v>
      </c>
      <c r="BA3608" s="781"/>
      <c r="BB3608" s="209">
        <v>23098853</v>
      </c>
    </row>
    <row r="3609" spans="1:54" ht="25" customHeight="1">
      <c r="B3609" s="398">
        <v>46223</v>
      </c>
      <c r="C3609" s="879" t="s">
        <v>3055</v>
      </c>
      <c r="D3609" s="185">
        <f t="shared" si="1737"/>
        <v>2026</v>
      </c>
      <c r="E3609" s="399" t="e">
        <f>VLOOKUP($B3609,Week!$A$1:$C$1462,2,0)</f>
        <v>#N/A</v>
      </c>
      <c r="F3609" s="400" t="str">
        <f t="shared" si="1738"/>
        <v>Jul</v>
      </c>
      <c r="G3609" s="401" t="s">
        <v>47</v>
      </c>
      <c r="H3609" s="401" t="s">
        <v>518</v>
      </c>
      <c r="I3609" s="401" t="s">
        <v>2702</v>
      </c>
      <c r="J3609" s="402" t="s">
        <v>70</v>
      </c>
      <c r="K3609" s="403" t="s">
        <v>1645</v>
      </c>
      <c r="L3609" s="300" t="s">
        <v>2167</v>
      </c>
      <c r="M3609" s="402" t="s">
        <v>2567</v>
      </c>
      <c r="N3609" s="404" t="s">
        <v>2520</v>
      </c>
      <c r="O3609" s="401" t="s">
        <v>747</v>
      </c>
      <c r="P3609" s="405">
        <v>12</v>
      </c>
      <c r="Q3609" s="405">
        <v>5</v>
      </c>
      <c r="R3609" s="406">
        <v>8.0000000000000002E-3</v>
      </c>
      <c r="S3609" s="401" t="s">
        <v>352</v>
      </c>
      <c r="T3609" s="401" t="s">
        <v>56</v>
      </c>
      <c r="U3609" s="770" t="s">
        <v>669</v>
      </c>
      <c r="V3609" s="407">
        <f>300+9</f>
        <v>309</v>
      </c>
      <c r="W3609" s="407">
        <f>300+9</f>
        <v>309</v>
      </c>
      <c r="X3609" s="408"/>
      <c r="Y3609" s="409">
        <f t="shared" si="1742"/>
        <v>0</v>
      </c>
      <c r="Z3609" s="410">
        <f t="shared" si="1743"/>
        <v>0</v>
      </c>
      <c r="AA3609" s="410">
        <f t="shared" si="1739"/>
        <v>0</v>
      </c>
      <c r="AB3609" s="824">
        <v>8.9999999999999993E-3</v>
      </c>
      <c r="AC3609" s="407">
        <f t="shared" si="1744"/>
        <v>0</v>
      </c>
      <c r="AD3609" s="443"/>
      <c r="AE3609" s="210">
        <f t="shared" si="1745"/>
        <v>0</v>
      </c>
      <c r="AF3609" s="210">
        <f t="shared" si="1746"/>
        <v>0</v>
      </c>
      <c r="AG3609" s="211">
        <f t="shared" si="1747"/>
        <v>0.14299999999999999</v>
      </c>
      <c r="AH3609" s="157">
        <f t="shared" si="1748"/>
        <v>0</v>
      </c>
      <c r="AI3609" s="152">
        <f t="shared" si="1749"/>
        <v>3708</v>
      </c>
      <c r="AK3609" s="156" t="s">
        <v>691</v>
      </c>
      <c r="AL3609" s="212" t="s">
        <v>690</v>
      </c>
      <c r="AM3609" s="198">
        <f t="shared" si="1740"/>
        <v>0</v>
      </c>
      <c r="AN3609" s="199">
        <f t="shared" si="1741"/>
        <v>46223</v>
      </c>
      <c r="AO3609" s="159" t="s">
        <v>692</v>
      </c>
      <c r="AP3609" s="783" t="s">
        <v>623</v>
      </c>
      <c r="AQ3609" s="782">
        <v>12071839</v>
      </c>
      <c r="AR3609" s="782">
        <v>12047514</v>
      </c>
      <c r="AS3609" s="782">
        <v>12047515</v>
      </c>
      <c r="AT3609" s="782"/>
      <c r="AU3609" s="781"/>
      <c r="AV3609" s="782">
        <v>12096536</v>
      </c>
      <c r="AW3609" s="782"/>
      <c r="AX3609" s="782"/>
      <c r="AY3609" s="782">
        <v>12096534</v>
      </c>
      <c r="AZ3609" s="782">
        <v>12096535</v>
      </c>
      <c r="BA3609" s="781"/>
      <c r="BB3609" s="209">
        <v>23098853</v>
      </c>
    </row>
    <row r="3610" spans="1:54" ht="25" customHeight="1">
      <c r="B3610" s="424">
        <v>46224</v>
      </c>
      <c r="C3610" s="647" t="s">
        <v>2996</v>
      </c>
      <c r="D3610" s="185">
        <f t="shared" si="1737"/>
        <v>2026</v>
      </c>
      <c r="E3610" s="425" t="e">
        <f>VLOOKUP($B3610,Week!$A$1:$C$1462,2,0)</f>
        <v>#N/A</v>
      </c>
      <c r="F3610" s="426" t="str">
        <f t="shared" si="1738"/>
        <v>Jul</v>
      </c>
      <c r="G3610" s="427" t="s">
        <v>47</v>
      </c>
      <c r="H3610" s="427" t="s">
        <v>518</v>
      </c>
      <c r="I3610" s="427" t="s">
        <v>2702</v>
      </c>
      <c r="J3610" s="428" t="s">
        <v>70</v>
      </c>
      <c r="K3610" s="429" t="s">
        <v>94</v>
      </c>
      <c r="L3610" s="300" t="s">
        <v>2167</v>
      </c>
      <c r="M3610" s="428" t="s">
        <v>2342</v>
      </c>
      <c r="N3610" s="427" t="s">
        <v>587</v>
      </c>
      <c r="O3610" s="427" t="s">
        <v>3198</v>
      </c>
      <c r="P3610" s="430">
        <v>18</v>
      </c>
      <c r="Q3610" s="430">
        <v>5</v>
      </c>
      <c r="R3610" s="431">
        <v>8.0000000000000002E-3</v>
      </c>
      <c r="S3610" s="427" t="s">
        <v>40</v>
      </c>
      <c r="T3610" s="427" t="s">
        <v>56</v>
      </c>
      <c r="U3610" s="427" t="s">
        <v>89</v>
      </c>
      <c r="V3610" s="432">
        <f>1000-444</f>
        <v>556</v>
      </c>
      <c r="W3610" s="432">
        <v>556</v>
      </c>
      <c r="X3610" s="433"/>
      <c r="Y3610" s="434">
        <f t="shared" si="1742"/>
        <v>0</v>
      </c>
      <c r="Z3610" s="435">
        <f t="shared" si="1743"/>
        <v>0</v>
      </c>
      <c r="AA3610" s="435">
        <f t="shared" si="1739"/>
        <v>0</v>
      </c>
      <c r="AB3610" s="826">
        <v>1</v>
      </c>
      <c r="AC3610" s="432">
        <f t="shared" si="1744"/>
        <v>0</v>
      </c>
      <c r="AD3610" s="209" t="s">
        <v>3136</v>
      </c>
      <c r="AE3610" s="210">
        <f t="shared" si="1745"/>
        <v>0</v>
      </c>
      <c r="AF3610" s="210">
        <f t="shared" ref="AF3610:AF3617" si="1750">AE3610/0.54</f>
        <v>0</v>
      </c>
      <c r="AG3610" s="211" t="e">
        <f>(MID(O3610,1,3)/1000)/3</f>
        <v>#VALUE!</v>
      </c>
      <c r="AH3610" s="157" t="e">
        <f t="shared" si="1748"/>
        <v>#VALUE!</v>
      </c>
      <c r="AI3610" s="152">
        <f t="shared" ref="AI3610:AI3617" si="1751">V3610*P3610</f>
        <v>10008</v>
      </c>
      <c r="AK3610" s="156" t="s">
        <v>691</v>
      </c>
      <c r="AL3610" s="212" t="s">
        <v>690</v>
      </c>
      <c r="AM3610" s="198" t="e">
        <f t="shared" si="1740"/>
        <v>#VALUE!</v>
      </c>
      <c r="AN3610" s="199">
        <f t="shared" si="1741"/>
        <v>46224</v>
      </c>
      <c r="AO3610" s="159" t="s">
        <v>692</v>
      </c>
      <c r="AP3610" s="783" t="s">
        <v>628</v>
      </c>
      <c r="AQ3610" s="782"/>
      <c r="AR3610" s="782"/>
      <c r="AS3610" s="782"/>
      <c r="AT3610" s="782"/>
      <c r="AU3610" s="781"/>
      <c r="AV3610" s="782">
        <v>12080791</v>
      </c>
      <c r="AW3610" s="782" t="s">
        <v>641</v>
      </c>
      <c r="AX3610" s="782" t="s">
        <v>533</v>
      </c>
      <c r="AY3610" s="782"/>
      <c r="AZ3610" s="782"/>
      <c r="BA3610" s="781"/>
      <c r="BB3610" s="209">
        <v>23053184</v>
      </c>
    </row>
    <row r="3611" spans="1:54" ht="25" customHeight="1">
      <c r="B3611" s="424">
        <v>46224</v>
      </c>
      <c r="C3611" s="647" t="s">
        <v>3055</v>
      </c>
      <c r="D3611" s="185">
        <f t="shared" si="1737"/>
        <v>2026</v>
      </c>
      <c r="E3611" s="425" t="e">
        <f>VLOOKUP($B3611,Week!$A$1:$C$1462,2,0)</f>
        <v>#N/A</v>
      </c>
      <c r="F3611" s="426" t="str">
        <f t="shared" si="1738"/>
        <v>Jul</v>
      </c>
      <c r="G3611" s="427" t="s">
        <v>47</v>
      </c>
      <c r="H3611" s="427" t="s">
        <v>518</v>
      </c>
      <c r="I3611" s="427" t="s">
        <v>2702</v>
      </c>
      <c r="J3611" s="428" t="s">
        <v>70</v>
      </c>
      <c r="K3611" s="429" t="s">
        <v>94</v>
      </c>
      <c r="L3611" s="300" t="s">
        <v>2167</v>
      </c>
      <c r="M3611" s="428" t="s">
        <v>2342</v>
      </c>
      <c r="N3611" s="427" t="s">
        <v>587</v>
      </c>
      <c r="O3611" s="427" t="s">
        <v>3198</v>
      </c>
      <c r="P3611" s="430">
        <v>18</v>
      </c>
      <c r="Q3611" s="430">
        <v>5</v>
      </c>
      <c r="R3611" s="431">
        <v>8.0000000000000002E-3</v>
      </c>
      <c r="S3611" s="427" t="s">
        <v>40</v>
      </c>
      <c r="T3611" s="427" t="s">
        <v>56</v>
      </c>
      <c r="U3611" s="427" t="s">
        <v>89</v>
      </c>
      <c r="V3611" s="432">
        <f>800</f>
        <v>800</v>
      </c>
      <c r="W3611" s="432">
        <f>603-556+452+311</f>
        <v>810</v>
      </c>
      <c r="X3611" s="433">
        <f>67/6</f>
        <v>11.166666666666666</v>
      </c>
      <c r="Y3611" s="434">
        <f t="shared" si="1742"/>
        <v>21.166666666666629</v>
      </c>
      <c r="Z3611" s="435">
        <f t="shared" si="1743"/>
        <v>0</v>
      </c>
      <c r="AA3611" s="435">
        <f t="shared" si="1739"/>
        <v>0</v>
      </c>
      <c r="AB3611" s="826">
        <v>1</v>
      </c>
      <c r="AC3611" s="432">
        <f t="shared" si="1744"/>
        <v>0</v>
      </c>
      <c r="AD3611" s="209" t="s">
        <v>3136</v>
      </c>
      <c r="AE3611" s="210">
        <f t="shared" si="1745"/>
        <v>0</v>
      </c>
      <c r="AF3611" s="210">
        <f t="shared" si="1750"/>
        <v>0</v>
      </c>
      <c r="AG3611" s="211" t="e">
        <f>(MID(O3611,1,3)/1000)/3</f>
        <v>#VALUE!</v>
      </c>
      <c r="AH3611" s="157" t="e">
        <f t="shared" si="1748"/>
        <v>#VALUE!</v>
      </c>
      <c r="AI3611" s="152">
        <f t="shared" si="1751"/>
        <v>14400</v>
      </c>
      <c r="AK3611" s="156" t="s">
        <v>691</v>
      </c>
      <c r="AL3611" s="212" t="s">
        <v>690</v>
      </c>
      <c r="AM3611" s="198" t="e">
        <f t="shared" si="1740"/>
        <v>#VALUE!</v>
      </c>
      <c r="AN3611" s="199">
        <f t="shared" si="1741"/>
        <v>46224</v>
      </c>
      <c r="AO3611" s="159" t="s">
        <v>692</v>
      </c>
      <c r="AP3611" s="783" t="s">
        <v>628</v>
      </c>
      <c r="AQ3611" s="782"/>
      <c r="AR3611" s="782"/>
      <c r="AS3611" s="782"/>
      <c r="AT3611" s="782"/>
      <c r="AU3611" s="781"/>
      <c r="AV3611" s="782">
        <v>12080791</v>
      </c>
      <c r="AW3611" s="782" t="s">
        <v>641</v>
      </c>
      <c r="AX3611" s="782" t="s">
        <v>533</v>
      </c>
      <c r="AY3611" s="782"/>
      <c r="AZ3611" s="782"/>
      <c r="BA3611" s="781"/>
      <c r="BB3611" s="209">
        <v>23053184</v>
      </c>
    </row>
    <row r="3612" spans="1:54" ht="24.75" customHeight="1">
      <c r="B3612" s="602">
        <v>46224</v>
      </c>
      <c r="C3612" s="861" t="s">
        <v>2996</v>
      </c>
      <c r="D3612" s="604">
        <f t="shared" si="1737"/>
        <v>2026</v>
      </c>
      <c r="E3612" s="603" t="e">
        <f>VLOOKUP($B3612,Week!$A$1:$C$1462,2,0)</f>
        <v>#N/A</v>
      </c>
      <c r="F3612" s="605" t="str">
        <f t="shared" si="1738"/>
        <v>Jul</v>
      </c>
      <c r="G3612" s="938" t="s">
        <v>47</v>
      </c>
      <c r="H3612" s="604" t="s">
        <v>260</v>
      </c>
      <c r="I3612" s="604" t="s">
        <v>2702</v>
      </c>
      <c r="J3612" s="939" t="s">
        <v>2240</v>
      </c>
      <c r="K3612" s="607" t="s">
        <v>94</v>
      </c>
      <c r="L3612" s="607" t="s">
        <v>2167</v>
      </c>
      <c r="M3612" s="606" t="s">
        <v>2338</v>
      </c>
      <c r="N3612" s="604" t="s">
        <v>2997</v>
      </c>
      <c r="O3612" s="604" t="s">
        <v>54</v>
      </c>
      <c r="P3612" s="608">
        <v>24</v>
      </c>
      <c r="Q3612" s="608">
        <v>5</v>
      </c>
      <c r="R3612" s="609">
        <v>6.1999999999999998E-3</v>
      </c>
      <c r="S3612" s="604" t="s">
        <v>352</v>
      </c>
      <c r="T3612" s="604" t="s">
        <v>56</v>
      </c>
      <c r="U3612" s="604" t="s">
        <v>57</v>
      </c>
      <c r="V3612" s="610">
        <f>20000-5182-3612-2665-2530-1296-3359</f>
        <v>1356</v>
      </c>
      <c r="W3612" s="610">
        <f>1+1355</f>
        <v>1356</v>
      </c>
      <c r="X3612" s="611"/>
      <c r="Y3612" s="612">
        <f t="shared" si="1742"/>
        <v>0</v>
      </c>
      <c r="Z3612" s="613">
        <f t="shared" si="1743"/>
        <v>0</v>
      </c>
      <c r="AA3612" s="613">
        <f t="shared" si="1739"/>
        <v>0</v>
      </c>
      <c r="AB3612" s="836">
        <v>7.4999999999999997E-3</v>
      </c>
      <c r="AC3612" s="610">
        <f t="shared" si="1744"/>
        <v>0</v>
      </c>
      <c r="AD3612" s="443"/>
      <c r="AE3612" s="210">
        <f t="shared" si="1745"/>
        <v>0</v>
      </c>
      <c r="AF3612" s="210">
        <f>AE3612/0.54</f>
        <v>0</v>
      </c>
      <c r="AG3612" s="211">
        <f t="shared" ref="AG3612:AG3621" si="1752">MID(O3612,1,3)/1000</f>
        <v>0.13500000000000001</v>
      </c>
      <c r="AH3612" s="157">
        <f t="shared" si="1748"/>
        <v>0</v>
      </c>
      <c r="AI3612" s="152">
        <f>V3612*P3612</f>
        <v>32544</v>
      </c>
      <c r="AK3612" s="156" t="s">
        <v>691</v>
      </c>
      <c r="AL3612" s="574" t="s">
        <v>690</v>
      </c>
      <c r="AM3612" s="198">
        <f t="shared" si="1740"/>
        <v>0</v>
      </c>
      <c r="AN3612" s="199">
        <f t="shared" si="1741"/>
        <v>46224</v>
      </c>
      <c r="AO3612" s="159" t="s">
        <v>692</v>
      </c>
      <c r="AP3612" s="783" t="s">
        <v>622</v>
      </c>
      <c r="AQ3612" s="782">
        <v>12071839</v>
      </c>
      <c r="AR3612" s="782">
        <v>12099098</v>
      </c>
      <c r="AS3612" s="782">
        <v>12068233</v>
      </c>
      <c r="AT3612" s="781"/>
      <c r="AU3612" s="781"/>
      <c r="AV3612" s="782">
        <v>12099466</v>
      </c>
      <c r="AW3612" s="781"/>
      <c r="AX3612" s="781"/>
      <c r="AY3612" s="782">
        <v>12099097</v>
      </c>
      <c r="AZ3612" s="782"/>
      <c r="BA3612" s="781"/>
      <c r="BB3612" s="209">
        <v>23053184</v>
      </c>
    </row>
    <row r="3613" spans="1:54" ht="24.75" customHeight="1">
      <c r="B3613" s="602">
        <v>46224</v>
      </c>
      <c r="C3613" s="861" t="s">
        <v>3055</v>
      </c>
      <c r="D3613" s="604">
        <f t="shared" si="1737"/>
        <v>2026</v>
      </c>
      <c r="E3613" s="603" t="e">
        <f>VLOOKUP($B3613,Week!$A$1:$C$1462,2,0)</f>
        <v>#N/A</v>
      </c>
      <c r="F3613" s="605" t="str">
        <f t="shared" si="1738"/>
        <v>Jul</v>
      </c>
      <c r="G3613" s="938" t="s">
        <v>47</v>
      </c>
      <c r="H3613" s="604" t="s">
        <v>260</v>
      </c>
      <c r="I3613" s="604" t="s">
        <v>2702</v>
      </c>
      <c r="J3613" s="939" t="s">
        <v>2240</v>
      </c>
      <c r="K3613" s="607" t="s">
        <v>94</v>
      </c>
      <c r="L3613" s="607" t="s">
        <v>2167</v>
      </c>
      <c r="M3613" s="606" t="s">
        <v>2338</v>
      </c>
      <c r="N3613" s="604" t="s">
        <v>2997</v>
      </c>
      <c r="O3613" s="604" t="s">
        <v>54</v>
      </c>
      <c r="P3613" s="608">
        <v>24</v>
      </c>
      <c r="Q3613" s="608">
        <v>5</v>
      </c>
      <c r="R3613" s="609">
        <v>6.1999999999999998E-3</v>
      </c>
      <c r="S3613" s="604" t="s">
        <v>352</v>
      </c>
      <c r="T3613" s="604" t="s">
        <v>56</v>
      </c>
      <c r="U3613" s="604" t="s">
        <v>57</v>
      </c>
      <c r="V3613" s="610">
        <v>3089</v>
      </c>
      <c r="W3613" s="610">
        <f>4444-1355</f>
        <v>3089</v>
      </c>
      <c r="X3613" s="611"/>
      <c r="Y3613" s="612">
        <f t="shared" si="1742"/>
        <v>0</v>
      </c>
      <c r="Z3613" s="613">
        <f t="shared" si="1743"/>
        <v>0</v>
      </c>
      <c r="AA3613" s="613">
        <f t="shared" si="1739"/>
        <v>0</v>
      </c>
      <c r="AB3613" s="836">
        <v>7.4999999999999997E-3</v>
      </c>
      <c r="AC3613" s="610">
        <f t="shared" si="1744"/>
        <v>0</v>
      </c>
      <c r="AD3613" s="443"/>
      <c r="AE3613" s="210">
        <f t="shared" si="1745"/>
        <v>0</v>
      </c>
      <c r="AF3613" s="210">
        <f t="shared" si="1750"/>
        <v>0</v>
      </c>
      <c r="AG3613" s="211">
        <f t="shared" si="1752"/>
        <v>0.13500000000000001</v>
      </c>
      <c r="AH3613" s="157">
        <f t="shared" si="1748"/>
        <v>0</v>
      </c>
      <c r="AI3613" s="152">
        <f t="shared" si="1751"/>
        <v>74136</v>
      </c>
      <c r="AK3613" s="156" t="s">
        <v>691</v>
      </c>
      <c r="AL3613" s="574" t="s">
        <v>690</v>
      </c>
      <c r="AM3613" s="198">
        <f t="shared" si="1740"/>
        <v>0</v>
      </c>
      <c r="AN3613" s="199">
        <f t="shared" si="1741"/>
        <v>46224</v>
      </c>
      <c r="AO3613" s="159" t="s">
        <v>692</v>
      </c>
      <c r="AP3613" s="783" t="s">
        <v>622</v>
      </c>
      <c r="AQ3613" s="782">
        <v>12071839</v>
      </c>
      <c r="AR3613" s="782">
        <v>12099098</v>
      </c>
      <c r="AS3613" s="782">
        <v>12068233</v>
      </c>
      <c r="AT3613" s="781"/>
      <c r="AU3613" s="781"/>
      <c r="AV3613" s="782">
        <v>12099466</v>
      </c>
      <c r="AW3613" s="781"/>
      <c r="AX3613" s="781"/>
      <c r="AY3613" s="782">
        <v>12099097</v>
      </c>
      <c r="AZ3613" s="782"/>
      <c r="BA3613" s="781"/>
      <c r="BB3613" s="209">
        <v>23053184</v>
      </c>
    </row>
    <row r="3614" spans="1:54" ht="24.75" customHeight="1">
      <c r="B3614" s="602">
        <v>46225</v>
      </c>
      <c r="C3614" s="861" t="s">
        <v>3055</v>
      </c>
      <c r="D3614" s="604">
        <f t="shared" si="1737"/>
        <v>2026</v>
      </c>
      <c r="E3614" s="603" t="e">
        <f>VLOOKUP($B3614,Week!$A$1:$C$1462,2,0)</f>
        <v>#N/A</v>
      </c>
      <c r="F3614" s="605" t="str">
        <f t="shared" si="1738"/>
        <v>Jul</v>
      </c>
      <c r="G3614" s="938" t="s">
        <v>47</v>
      </c>
      <c r="H3614" s="604" t="s">
        <v>260</v>
      </c>
      <c r="I3614" s="604" t="s">
        <v>2702</v>
      </c>
      <c r="J3614" s="939" t="s">
        <v>2240</v>
      </c>
      <c r="K3614" s="607" t="s">
        <v>94</v>
      </c>
      <c r="L3614" s="607" t="s">
        <v>2167</v>
      </c>
      <c r="M3614" s="606" t="s">
        <v>2338</v>
      </c>
      <c r="N3614" s="604" t="s">
        <v>2997</v>
      </c>
      <c r="O3614" s="604" t="s">
        <v>54</v>
      </c>
      <c r="P3614" s="608">
        <v>24</v>
      </c>
      <c r="Q3614" s="608">
        <v>5</v>
      </c>
      <c r="R3614" s="609">
        <v>6.1999999999999998E-3</v>
      </c>
      <c r="S3614" s="604" t="s">
        <v>352</v>
      </c>
      <c r="T3614" s="604" t="s">
        <v>56</v>
      </c>
      <c r="U3614" s="604" t="s">
        <v>57</v>
      </c>
      <c r="V3614" s="610">
        <v>3602</v>
      </c>
      <c r="W3614" s="610">
        <f>3602</f>
        <v>3602</v>
      </c>
      <c r="X3614" s="611"/>
      <c r="Y3614" s="612">
        <f t="shared" si="1742"/>
        <v>0</v>
      </c>
      <c r="Z3614" s="613">
        <f t="shared" si="1743"/>
        <v>0</v>
      </c>
      <c r="AA3614" s="613">
        <f t="shared" si="1739"/>
        <v>0</v>
      </c>
      <c r="AB3614" s="836">
        <v>7.4999999999999997E-3</v>
      </c>
      <c r="AC3614" s="610">
        <f t="shared" si="1744"/>
        <v>0</v>
      </c>
      <c r="AD3614" s="443"/>
      <c r="AE3614" s="210">
        <f t="shared" si="1745"/>
        <v>0</v>
      </c>
      <c r="AF3614" s="210">
        <f t="shared" si="1750"/>
        <v>0</v>
      </c>
      <c r="AG3614" s="211">
        <f t="shared" si="1752"/>
        <v>0.13500000000000001</v>
      </c>
      <c r="AH3614" s="157">
        <f t="shared" si="1748"/>
        <v>0</v>
      </c>
      <c r="AI3614" s="152">
        <f t="shared" si="1751"/>
        <v>86448</v>
      </c>
      <c r="AK3614" s="156" t="s">
        <v>691</v>
      </c>
      <c r="AL3614" s="574" t="s">
        <v>690</v>
      </c>
      <c r="AM3614" s="198">
        <f t="shared" si="1740"/>
        <v>0</v>
      </c>
      <c r="AN3614" s="199">
        <f t="shared" si="1741"/>
        <v>46225</v>
      </c>
      <c r="AO3614" s="159" t="s">
        <v>692</v>
      </c>
      <c r="AP3614" s="783" t="s">
        <v>622</v>
      </c>
      <c r="AQ3614" s="782">
        <v>12071839</v>
      </c>
      <c r="AR3614" s="782">
        <v>12099098</v>
      </c>
      <c r="AS3614" s="782">
        <v>12068233</v>
      </c>
      <c r="AT3614" s="781"/>
      <c r="AU3614" s="781"/>
      <c r="AV3614" s="782">
        <v>12099466</v>
      </c>
      <c r="AW3614" s="781"/>
      <c r="AX3614" s="781"/>
      <c r="AY3614" s="782">
        <v>12099097</v>
      </c>
      <c r="AZ3614" s="782"/>
      <c r="BA3614" s="781"/>
      <c r="BB3614" s="209">
        <v>23053184</v>
      </c>
    </row>
    <row r="3615" spans="1:54" ht="25" customHeight="1">
      <c r="B3615" s="950">
        <v>46225</v>
      </c>
      <c r="C3615" s="951" t="s">
        <v>2996</v>
      </c>
      <c r="D3615" s="215">
        <f t="shared" si="1737"/>
        <v>2026</v>
      </c>
      <c r="E3615" s="214" t="e">
        <f>VLOOKUP($B3615,Week!$A$1:$C$1462,2,0)</f>
        <v>#N/A</v>
      </c>
      <c r="F3615" s="216" t="str">
        <f t="shared" si="1738"/>
        <v>Jul</v>
      </c>
      <c r="G3615" s="952" t="s">
        <v>47</v>
      </c>
      <c r="H3615" s="952" t="s">
        <v>260</v>
      </c>
      <c r="I3615" s="215" t="s">
        <v>2702</v>
      </c>
      <c r="J3615" s="953" t="s">
        <v>2702</v>
      </c>
      <c r="K3615" s="954" t="s">
        <v>2703</v>
      </c>
      <c r="L3615" s="217" t="s">
        <v>2167</v>
      </c>
      <c r="M3615" s="953" t="s">
        <v>2899</v>
      </c>
      <c r="N3615" s="955" t="s">
        <v>2704</v>
      </c>
      <c r="O3615" s="952" t="s">
        <v>1635</v>
      </c>
      <c r="P3615" s="956">
        <v>24</v>
      </c>
      <c r="Q3615" s="956">
        <v>3</v>
      </c>
      <c r="R3615" s="957">
        <v>6.1999999999999998E-3</v>
      </c>
      <c r="S3615" s="952" t="s">
        <v>352</v>
      </c>
      <c r="T3615" s="952" t="s">
        <v>56</v>
      </c>
      <c r="U3615" s="958" t="s">
        <v>739</v>
      </c>
      <c r="V3615" s="959">
        <f>2400-405-1868</f>
        <v>127</v>
      </c>
      <c r="W3615" s="959">
        <v>127</v>
      </c>
      <c r="X3615" s="960"/>
      <c r="Y3615" s="961">
        <f t="shared" ref="Y3615:Y3621" si="1753">(W3615+X3615)-V3615</f>
        <v>0</v>
      </c>
      <c r="Z3615" s="962">
        <f t="shared" ref="Z3615:Z3621" si="1754">IF(Y3615&lt;0,((V3615*P3615)-((W3615+X3615)*P3615)),0)</f>
        <v>0</v>
      </c>
      <c r="AA3615" s="962">
        <f t="shared" si="1739"/>
        <v>0</v>
      </c>
      <c r="AB3615" s="963">
        <v>1.83E-2</v>
      </c>
      <c r="AC3615" s="959">
        <f t="shared" ref="AC3615:AC3621" si="1755">Z3615*AB3615</f>
        <v>0</v>
      </c>
      <c r="AD3615" s="443"/>
      <c r="AE3615" s="210">
        <f t="shared" si="1745"/>
        <v>0</v>
      </c>
      <c r="AF3615" s="210">
        <f t="shared" si="1750"/>
        <v>0</v>
      </c>
      <c r="AG3615" s="211">
        <f t="shared" si="1752"/>
        <v>0.25</v>
      </c>
      <c r="AH3615" s="157">
        <v>0.26621999999999996</v>
      </c>
      <c r="AI3615" s="152">
        <f t="shared" si="1751"/>
        <v>3048</v>
      </c>
      <c r="AK3615" s="156" t="s">
        <v>691</v>
      </c>
      <c r="AL3615" s="574" t="s">
        <v>690</v>
      </c>
      <c r="AM3615" s="198">
        <f t="shared" si="1740"/>
        <v>0</v>
      </c>
      <c r="AN3615" s="199">
        <f t="shared" si="1741"/>
        <v>46225</v>
      </c>
      <c r="AO3615" s="159" t="s">
        <v>692</v>
      </c>
      <c r="AP3615" s="781" t="s">
        <v>642</v>
      </c>
      <c r="AQ3615" s="782">
        <v>12071839</v>
      </c>
      <c r="AR3615" s="782">
        <v>12042650</v>
      </c>
      <c r="AS3615" s="782">
        <v>12042649</v>
      </c>
      <c r="AT3615" s="782"/>
      <c r="AU3615" s="783"/>
      <c r="AV3615" s="782">
        <v>12097895</v>
      </c>
      <c r="AW3615" s="783"/>
      <c r="AX3615" s="781"/>
      <c r="AY3615" s="796">
        <v>12097893</v>
      </c>
      <c r="AZ3615" s="796">
        <v>12097894</v>
      </c>
      <c r="BA3615" s="796" t="s">
        <v>2462</v>
      </c>
      <c r="BB3615" s="209">
        <v>23099860</v>
      </c>
    </row>
    <row r="3616" spans="1:54" ht="25" customHeight="1">
      <c r="B3616" s="950">
        <v>46225</v>
      </c>
      <c r="C3616" s="951" t="s">
        <v>3075</v>
      </c>
      <c r="D3616" s="215">
        <f t="shared" si="1737"/>
        <v>2026</v>
      </c>
      <c r="E3616" s="214" t="e">
        <f>VLOOKUP($B3616,Week!$A$1:$C$1462,2,0)</f>
        <v>#N/A</v>
      </c>
      <c r="F3616" s="216" t="str">
        <f t="shared" si="1738"/>
        <v>Jul</v>
      </c>
      <c r="G3616" s="952" t="s">
        <v>47</v>
      </c>
      <c r="H3616" s="952" t="s">
        <v>260</v>
      </c>
      <c r="I3616" s="215" t="s">
        <v>2702</v>
      </c>
      <c r="J3616" s="953" t="s">
        <v>2702</v>
      </c>
      <c r="K3616" s="954" t="s">
        <v>2703</v>
      </c>
      <c r="L3616" s="217" t="s">
        <v>2167</v>
      </c>
      <c r="M3616" s="953" t="s">
        <v>2899</v>
      </c>
      <c r="N3616" s="955" t="s">
        <v>2704</v>
      </c>
      <c r="O3616" s="952" t="s">
        <v>1635</v>
      </c>
      <c r="P3616" s="956">
        <v>24</v>
      </c>
      <c r="Q3616" s="956">
        <v>3</v>
      </c>
      <c r="R3616" s="957">
        <v>6.1999999999999998E-3</v>
      </c>
      <c r="S3616" s="952" t="s">
        <v>352</v>
      </c>
      <c r="T3616" s="952" t="s">
        <v>56</v>
      </c>
      <c r="U3616" s="958" t="s">
        <v>739</v>
      </c>
      <c r="V3616" s="959">
        <v>1200</v>
      </c>
      <c r="W3616" s="959">
        <f>1216-127</f>
        <v>1089</v>
      </c>
      <c r="X3616" s="960">
        <f>(2664)/24</f>
        <v>111</v>
      </c>
      <c r="Y3616" s="961">
        <f t="shared" si="1753"/>
        <v>0</v>
      </c>
      <c r="Z3616" s="962">
        <f t="shared" si="1754"/>
        <v>0</v>
      </c>
      <c r="AA3616" s="962">
        <f t="shared" si="1739"/>
        <v>0</v>
      </c>
      <c r="AB3616" s="963">
        <v>1.83E-2</v>
      </c>
      <c r="AC3616" s="959">
        <f t="shared" si="1755"/>
        <v>0</v>
      </c>
      <c r="AD3616" s="443"/>
      <c r="AE3616" s="210">
        <f t="shared" ref="AE3616:AE3621" si="1756">SUM(Q3616*R3616*Z3616)/1000</f>
        <v>0</v>
      </c>
      <c r="AF3616" s="210">
        <f t="shared" si="1750"/>
        <v>0</v>
      </c>
      <c r="AG3616" s="211">
        <f t="shared" si="1752"/>
        <v>0.25</v>
      </c>
      <c r="AH3616" s="157">
        <v>0.26621999999999996</v>
      </c>
      <c r="AI3616" s="152">
        <f t="shared" si="1751"/>
        <v>28800</v>
      </c>
      <c r="AK3616" s="156" t="s">
        <v>691</v>
      </c>
      <c r="AL3616" s="574" t="s">
        <v>690</v>
      </c>
      <c r="AM3616" s="198">
        <f t="shared" si="1740"/>
        <v>0</v>
      </c>
      <c r="AN3616" s="199">
        <f t="shared" si="1741"/>
        <v>46225</v>
      </c>
      <c r="AO3616" s="159" t="s">
        <v>692</v>
      </c>
      <c r="AP3616" s="781" t="s">
        <v>642</v>
      </c>
      <c r="AQ3616" s="782">
        <v>12071839</v>
      </c>
      <c r="AR3616" s="782">
        <v>12042650</v>
      </c>
      <c r="AS3616" s="782">
        <v>12042649</v>
      </c>
      <c r="AT3616" s="782"/>
      <c r="AU3616" s="783"/>
      <c r="AV3616" s="782">
        <v>12097895</v>
      </c>
      <c r="AW3616" s="783"/>
      <c r="AX3616" s="781"/>
      <c r="AY3616" s="796">
        <v>12097893</v>
      </c>
      <c r="AZ3616" s="796">
        <v>12097894</v>
      </c>
      <c r="BA3616" s="796" t="s">
        <v>2462</v>
      </c>
      <c r="BB3616" s="209">
        <v>23099860</v>
      </c>
    </row>
    <row r="3617" spans="1:54" ht="24.65" customHeight="1">
      <c r="A3617" s="946" t="s">
        <v>651</v>
      </c>
      <c r="B3617" s="757">
        <v>46226</v>
      </c>
      <c r="C3617" s="758">
        <v>46227</v>
      </c>
      <c r="D3617" s="185">
        <f t="shared" si="1737"/>
        <v>2026</v>
      </c>
      <c r="E3617" s="758" t="e">
        <f>VLOOKUP($B3617,Week!$A$1:$C$1462,2,0)</f>
        <v>#N/A</v>
      </c>
      <c r="F3617" s="759" t="str">
        <f t="shared" si="1738"/>
        <v>Jul</v>
      </c>
      <c r="G3617" s="863" t="s">
        <v>3057</v>
      </c>
      <c r="H3617" s="761" t="s">
        <v>424</v>
      </c>
      <c r="I3617" s="761" t="s">
        <v>2772</v>
      </c>
      <c r="J3617" s="762" t="s">
        <v>425</v>
      </c>
      <c r="K3617" s="763" t="s">
        <v>3059</v>
      </c>
      <c r="L3617" s="300" t="s">
        <v>2167</v>
      </c>
      <c r="M3617" s="762" t="s">
        <v>3060</v>
      </c>
      <c r="N3617" s="761" t="s">
        <v>3058</v>
      </c>
      <c r="O3617" s="761" t="s">
        <v>230</v>
      </c>
      <c r="P3617" s="764">
        <v>12</v>
      </c>
      <c r="Q3617" s="764">
        <v>5</v>
      </c>
      <c r="R3617" s="765">
        <v>6.0000000000000001E-3</v>
      </c>
      <c r="S3617" s="761" t="s">
        <v>55</v>
      </c>
      <c r="T3617" s="761" t="s">
        <v>112</v>
      </c>
      <c r="U3617" s="761" t="s">
        <v>57</v>
      </c>
      <c r="V3617" s="766">
        <f>2600</f>
        <v>2600</v>
      </c>
      <c r="W3617" s="766"/>
      <c r="X3617" s="767">
        <f>(4511+28922)/12</f>
        <v>2786.0833333333335</v>
      </c>
      <c r="Y3617" s="768">
        <f t="shared" si="1753"/>
        <v>186.08333333333348</v>
      </c>
      <c r="Z3617" s="769">
        <f t="shared" si="1754"/>
        <v>0</v>
      </c>
      <c r="AA3617" s="769">
        <f t="shared" si="1739"/>
        <v>0</v>
      </c>
      <c r="AB3617" s="837">
        <v>7.4999999999999997E-3</v>
      </c>
      <c r="AC3617" s="766">
        <f t="shared" si="1755"/>
        <v>0</v>
      </c>
      <c r="AD3617" s="485" t="s">
        <v>2779</v>
      </c>
      <c r="AE3617" s="210">
        <f t="shared" ref="AE3617" si="1757">SUM(Q3617*R3617*Z3617)/1000</f>
        <v>0</v>
      </c>
      <c r="AF3617" s="210">
        <f t="shared" si="1750"/>
        <v>0</v>
      </c>
      <c r="AG3617" s="211">
        <f t="shared" si="1752"/>
        <v>0.25800000000000001</v>
      </c>
      <c r="AH3617" s="157">
        <f t="shared" ref="AH3617" si="1758">(Z3617*AG3617)/1000</f>
        <v>0</v>
      </c>
      <c r="AI3617" s="152">
        <f t="shared" si="1751"/>
        <v>31200</v>
      </c>
      <c r="AK3617" s="156" t="s">
        <v>691</v>
      </c>
      <c r="AL3617" s="212" t="s">
        <v>690</v>
      </c>
      <c r="AM3617" s="198">
        <f t="shared" si="1740"/>
        <v>0</v>
      </c>
      <c r="AN3617" s="199">
        <f t="shared" si="1741"/>
        <v>46226</v>
      </c>
      <c r="AO3617" s="159" t="s">
        <v>692</v>
      </c>
      <c r="AP3617" s="783" t="s">
        <v>609</v>
      </c>
      <c r="AQ3617" s="782">
        <v>12071839</v>
      </c>
      <c r="AR3617" s="782">
        <v>12095778</v>
      </c>
      <c r="AS3617" s="782">
        <v>12095777</v>
      </c>
      <c r="AT3617" s="782" t="s">
        <v>3102</v>
      </c>
      <c r="AU3617" s="782"/>
      <c r="AV3617" s="782">
        <v>12099364</v>
      </c>
      <c r="AW3617" s="782"/>
      <c r="AX3617" s="781"/>
      <c r="AY3617" s="782"/>
      <c r="AZ3617" s="782"/>
      <c r="BA3617" s="781"/>
      <c r="BB3617" s="209">
        <v>23053185</v>
      </c>
    </row>
    <row r="3618" spans="1:54" ht="25" customHeight="1">
      <c r="B3618" s="332">
        <v>46226</v>
      </c>
      <c r="C3618" s="333">
        <v>46238</v>
      </c>
      <c r="D3618" s="185">
        <f>IF(B3618="","",YEAR(B3618))</f>
        <v>2026</v>
      </c>
      <c r="E3618" s="333" t="e">
        <f>VLOOKUP($B3618,Week!$A$1:$C$1462,2,0)</f>
        <v>#N/A</v>
      </c>
      <c r="F3618" s="334" t="str">
        <f>IF(B3618="","",TEXT(B3618,"[$-409]mmm"))</f>
        <v>Jul</v>
      </c>
      <c r="G3618" s="335" t="s">
        <v>3072</v>
      </c>
      <c r="H3618" s="335" t="s">
        <v>600</v>
      </c>
      <c r="I3618" s="335" t="s">
        <v>2772</v>
      </c>
      <c r="J3618" s="336" t="s">
        <v>708</v>
      </c>
      <c r="K3618" s="337" t="s">
        <v>2929</v>
      </c>
      <c r="L3618" s="300" t="s">
        <v>2167</v>
      </c>
      <c r="M3618" s="336" t="s">
        <v>2924</v>
      </c>
      <c r="N3618" s="335" t="s">
        <v>2918</v>
      </c>
      <c r="O3618" s="335" t="s">
        <v>2916</v>
      </c>
      <c r="P3618" s="338">
        <v>12</v>
      </c>
      <c r="Q3618" s="338">
        <v>1</v>
      </c>
      <c r="R3618" s="339">
        <v>6.1999999999999998E-3</v>
      </c>
      <c r="S3618" s="335" t="s">
        <v>55</v>
      </c>
      <c r="T3618" s="335" t="s">
        <v>112</v>
      </c>
      <c r="U3618" s="340" t="s">
        <v>1893</v>
      </c>
      <c r="V3618" s="341">
        <f>4352</f>
        <v>4352</v>
      </c>
      <c r="W3618" s="341">
        <f>9+4269+38</f>
        <v>4316</v>
      </c>
      <c r="X3618" s="342">
        <f>(16+468)/12</f>
        <v>40.333333333333336</v>
      </c>
      <c r="Y3618" s="343">
        <f>(W3618+X3618)-V3618</f>
        <v>4.3333333333330302</v>
      </c>
      <c r="Z3618" s="344">
        <f>IF(Y3618&lt;0,((V3618*P3618)-((W3618+X3618)*P3618)),0)</f>
        <v>0</v>
      </c>
      <c r="AA3618" s="344">
        <f>Q3618*Z3618</f>
        <v>0</v>
      </c>
      <c r="AB3618" s="817">
        <v>3.85E-2</v>
      </c>
      <c r="AC3618" s="341">
        <f>Z3618*AB3618</f>
        <v>0</v>
      </c>
      <c r="AD3618" s="443" t="s">
        <v>2779</v>
      </c>
      <c r="AE3618" s="210">
        <f>SUM(Q3618*R3618*Z3618)/1000</f>
        <v>0</v>
      </c>
      <c r="AF3618" s="210">
        <f>AE3618/0.54</f>
        <v>0</v>
      </c>
      <c r="AG3618" s="211">
        <f>MID(O3618,1,3)/1000</f>
        <v>0.13</v>
      </c>
      <c r="AH3618" s="157">
        <f>(Z3618*AG3618)/1000</f>
        <v>0</v>
      </c>
      <c r="AI3618" s="152">
        <f>V3618*P3618</f>
        <v>52224</v>
      </c>
      <c r="AK3618" s="156" t="s">
        <v>691</v>
      </c>
      <c r="AL3618" s="574" t="s">
        <v>690</v>
      </c>
      <c r="AM3618" s="198">
        <f>AG3618*Z3618</f>
        <v>0</v>
      </c>
      <c r="AN3618" s="199">
        <f>B3618</f>
        <v>46226</v>
      </c>
      <c r="AO3618" s="159" t="s">
        <v>692</v>
      </c>
      <c r="AP3618" s="783"/>
      <c r="AQ3618" s="782">
        <v>12071839</v>
      </c>
      <c r="AR3618" s="782">
        <v>12080260</v>
      </c>
      <c r="AS3618" s="782">
        <v>12080259</v>
      </c>
      <c r="AT3618" s="782"/>
      <c r="AU3618" s="781"/>
      <c r="AV3618" s="782">
        <v>12098849</v>
      </c>
      <c r="AW3618" s="781"/>
      <c r="AX3618" s="781"/>
      <c r="AY3618" s="782">
        <v>12098846</v>
      </c>
      <c r="AZ3618" s="783" t="s">
        <v>2991</v>
      </c>
      <c r="BA3618" s="783" t="s">
        <v>2992</v>
      </c>
      <c r="BB3618" s="209">
        <v>23053185</v>
      </c>
    </row>
    <row r="3619" spans="1:54" ht="25" customHeight="1">
      <c r="B3619" s="332">
        <v>46226</v>
      </c>
      <c r="C3619" s="333">
        <v>46245</v>
      </c>
      <c r="D3619" s="185">
        <f>IF(B3619="","",YEAR(B3619))</f>
        <v>2026</v>
      </c>
      <c r="E3619" s="333" t="e">
        <f>VLOOKUP($B3619,Week!$A$1:$C$1462,2,0)</f>
        <v>#N/A</v>
      </c>
      <c r="F3619" s="334" t="str">
        <f>IF(B3619="","",TEXT(B3619,"[$-409]mmm"))</f>
        <v>Jul</v>
      </c>
      <c r="G3619" s="335" t="s">
        <v>3088</v>
      </c>
      <c r="H3619" s="335" t="s">
        <v>600</v>
      </c>
      <c r="I3619" s="335" t="s">
        <v>2772</v>
      </c>
      <c r="J3619" s="336" t="s">
        <v>708</v>
      </c>
      <c r="K3619" s="337" t="s">
        <v>1649</v>
      </c>
      <c r="L3619" s="300" t="s">
        <v>2167</v>
      </c>
      <c r="M3619" s="336" t="s">
        <v>2927</v>
      </c>
      <c r="N3619" s="335" t="s">
        <v>2921</v>
      </c>
      <c r="O3619" s="335" t="s">
        <v>2917</v>
      </c>
      <c r="P3619" s="338">
        <v>12</v>
      </c>
      <c r="Q3619" s="338">
        <v>3</v>
      </c>
      <c r="R3619" s="339">
        <v>6.1999999999999998E-3</v>
      </c>
      <c r="S3619" s="335" t="s">
        <v>55</v>
      </c>
      <c r="T3619" s="335" t="s">
        <v>112</v>
      </c>
      <c r="U3619" s="340" t="s">
        <v>1893</v>
      </c>
      <c r="V3619" s="341">
        <f>2660</f>
        <v>2660</v>
      </c>
      <c r="W3619" s="341"/>
      <c r="X3619" s="342">
        <f>(330+32217)/12</f>
        <v>2712.25</v>
      </c>
      <c r="Y3619" s="343">
        <f>(W3619+X3619)-V3619</f>
        <v>52.25</v>
      </c>
      <c r="Z3619" s="344">
        <f>IF(Y3619&lt;0,((V3619*P3619)-((W3619+X3619)*P3619)),0)</f>
        <v>0</v>
      </c>
      <c r="AA3619" s="344">
        <f>Q3619*Z3619</f>
        <v>0</v>
      </c>
      <c r="AB3619" s="817">
        <v>3.85E-2</v>
      </c>
      <c r="AC3619" s="341">
        <f>Z3619*AB3619</f>
        <v>0</v>
      </c>
      <c r="AD3619" s="443" t="s">
        <v>2779</v>
      </c>
      <c r="AE3619" s="210">
        <f>SUM(Q3619*R3619*Z3619)/1000</f>
        <v>0</v>
      </c>
      <c r="AF3619" s="210">
        <f>AE3619/0.54</f>
        <v>0</v>
      </c>
      <c r="AG3619" s="211">
        <f>MID(O3619,1,3)/1000</f>
        <v>0.24</v>
      </c>
      <c r="AH3619" s="157">
        <f>(Z3619*AG3619)/1000</f>
        <v>0</v>
      </c>
      <c r="AI3619" s="152">
        <f>V3619*P3619</f>
        <v>31920</v>
      </c>
      <c r="AK3619" s="156" t="s">
        <v>691</v>
      </c>
      <c r="AL3619" s="574" t="s">
        <v>690</v>
      </c>
      <c r="AM3619" s="198">
        <f>AG3619*Z3619</f>
        <v>0</v>
      </c>
      <c r="AN3619" s="199">
        <f>B3619</f>
        <v>46226</v>
      </c>
      <c r="AO3619" s="159" t="s">
        <v>692</v>
      </c>
      <c r="AP3619" s="783"/>
      <c r="AQ3619" s="782">
        <v>12071839</v>
      </c>
      <c r="AR3619" s="782">
        <v>12095778</v>
      </c>
      <c r="AS3619" s="782">
        <v>12095777</v>
      </c>
      <c r="AT3619" s="798" t="s">
        <v>3019</v>
      </c>
      <c r="AU3619" s="781"/>
      <c r="AV3619" s="782">
        <v>12098861</v>
      </c>
      <c r="AW3619" s="781"/>
      <c r="AX3619" s="781"/>
      <c r="AY3619" s="782"/>
      <c r="AZ3619" s="781"/>
      <c r="BA3619" s="781"/>
      <c r="BB3619" s="209">
        <v>23053185</v>
      </c>
    </row>
    <row r="3620" spans="1:54" ht="25" customHeight="1">
      <c r="A3620" s="142" t="s">
        <v>120</v>
      </c>
      <c r="B3620" s="332">
        <v>46227</v>
      </c>
      <c r="C3620" s="333">
        <v>46239</v>
      </c>
      <c r="D3620" s="185">
        <f t="shared" si="1737"/>
        <v>2026</v>
      </c>
      <c r="E3620" s="335" t="e">
        <f>VLOOKUP($B3620,Week!$A$1:$C$1462,2,0)</f>
        <v>#N/A</v>
      </c>
      <c r="F3620" s="334" t="str">
        <f t="shared" si="1738"/>
        <v>Jul</v>
      </c>
      <c r="G3620" s="530" t="s">
        <v>3116</v>
      </c>
      <c r="H3620" s="335" t="s">
        <v>82</v>
      </c>
      <c r="I3620" s="335" t="s">
        <v>82</v>
      </c>
      <c r="J3620" s="336" t="s">
        <v>3032</v>
      </c>
      <c r="K3620" s="337" t="s">
        <v>85</v>
      </c>
      <c r="L3620" s="390" t="s">
        <v>2166</v>
      </c>
      <c r="M3620" s="336" t="s">
        <v>86</v>
      </c>
      <c r="N3620" s="335" t="s">
        <v>3115</v>
      </c>
      <c r="O3620" s="335" t="s">
        <v>507</v>
      </c>
      <c r="P3620" s="338">
        <v>8</v>
      </c>
      <c r="Q3620" s="338">
        <v>50</v>
      </c>
      <c r="R3620" s="339">
        <v>6.8100000000000001E-3</v>
      </c>
      <c r="S3620" s="335" t="s">
        <v>76</v>
      </c>
      <c r="T3620" s="335" t="s">
        <v>56</v>
      </c>
      <c r="U3620" s="335" t="s">
        <v>89</v>
      </c>
      <c r="V3620" s="341">
        <f>924</f>
        <v>924</v>
      </c>
      <c r="W3620" s="341">
        <f>7+917</f>
        <v>924</v>
      </c>
      <c r="X3620" s="342">
        <f>174/8</f>
        <v>21.75</v>
      </c>
      <c r="Y3620" s="343">
        <f t="shared" si="1753"/>
        <v>21.75</v>
      </c>
      <c r="Z3620" s="344">
        <f t="shared" si="1754"/>
        <v>0</v>
      </c>
      <c r="AA3620" s="344">
        <f t="shared" ref="AA3620:AA3625" si="1759">Q3620*Z3620</f>
        <v>0</v>
      </c>
      <c r="AB3620" s="817">
        <v>6</v>
      </c>
      <c r="AC3620" s="341">
        <f t="shared" si="1755"/>
        <v>0</v>
      </c>
      <c r="AD3620" s="443"/>
      <c r="AE3620" s="210">
        <f t="shared" si="1756"/>
        <v>0</v>
      </c>
      <c r="AF3620" s="210">
        <f t="shared" ref="AF3620:AF3625" si="1760">AE3620/0.54</f>
        <v>0</v>
      </c>
      <c r="AG3620" s="211">
        <f t="shared" si="1752"/>
        <v>0.63</v>
      </c>
      <c r="AH3620" s="157">
        <f t="shared" ref="AH3620:AH3625" si="1761">(Z3620*AG3620)/1000</f>
        <v>0</v>
      </c>
      <c r="AI3620" s="152">
        <f t="shared" ref="AI3620:AI3625" si="1762">V3620*P3620</f>
        <v>7392</v>
      </c>
      <c r="AK3620" s="156" t="s">
        <v>691</v>
      </c>
      <c r="AL3620" s="156" t="s">
        <v>689</v>
      </c>
      <c r="AM3620" s="198">
        <f t="shared" ref="AM3620:AM3625" si="1763">AG3620*Z3620</f>
        <v>0</v>
      </c>
      <c r="AN3620" s="199">
        <f t="shared" ref="AN3620:AN3625" si="1764">B3620</f>
        <v>46227</v>
      </c>
      <c r="AO3620" s="159" t="s">
        <v>692</v>
      </c>
      <c r="AP3620" s="781"/>
      <c r="AQ3620" s="782">
        <v>12088677</v>
      </c>
      <c r="AR3620" s="782">
        <v>12055234</v>
      </c>
      <c r="AS3620" s="782"/>
      <c r="AT3620" s="782">
        <v>12096754</v>
      </c>
      <c r="AU3620" s="781"/>
      <c r="AV3620" s="782">
        <v>12097083</v>
      </c>
      <c r="AW3620" s="782"/>
      <c r="AX3620" s="782" t="s">
        <v>93</v>
      </c>
      <c r="AY3620" s="782"/>
      <c r="AZ3620" s="782"/>
      <c r="BA3620" s="781"/>
    </row>
    <row r="3621" spans="1:54" ht="24.75" customHeight="1">
      <c r="B3621" s="602">
        <v>46227</v>
      </c>
      <c r="C3621" s="861" t="s">
        <v>3055</v>
      </c>
      <c r="D3621" s="604">
        <f t="shared" si="1737"/>
        <v>2026</v>
      </c>
      <c r="E3621" s="603" t="e">
        <f>VLOOKUP($B3621,Week!$A$1:$C$1462,2,0)</f>
        <v>#N/A</v>
      </c>
      <c r="F3621" s="605" t="str">
        <f t="shared" si="1738"/>
        <v>Jul</v>
      </c>
      <c r="G3621" s="938" t="s">
        <v>47</v>
      </c>
      <c r="H3621" s="604" t="s">
        <v>260</v>
      </c>
      <c r="I3621" s="604" t="s">
        <v>2702</v>
      </c>
      <c r="J3621" s="939" t="s">
        <v>2240</v>
      </c>
      <c r="K3621" s="607" t="s">
        <v>94</v>
      </c>
      <c r="L3621" s="607" t="s">
        <v>2167</v>
      </c>
      <c r="M3621" s="606" t="s">
        <v>2338</v>
      </c>
      <c r="N3621" s="604" t="s">
        <v>2997</v>
      </c>
      <c r="O3621" s="604" t="s">
        <v>54</v>
      </c>
      <c r="P3621" s="608">
        <v>24</v>
      </c>
      <c r="Q3621" s="608">
        <v>5</v>
      </c>
      <c r="R3621" s="609">
        <v>6.1999999999999998E-3</v>
      </c>
      <c r="S3621" s="604" t="s">
        <v>352</v>
      </c>
      <c r="T3621" s="604" t="s">
        <v>56</v>
      </c>
      <c r="U3621" s="604" t="s">
        <v>57</v>
      </c>
      <c r="V3621" s="610">
        <v>2600</v>
      </c>
      <c r="W3621" s="610">
        <f>1+2599</f>
        <v>2600</v>
      </c>
      <c r="X3621" s="611"/>
      <c r="Y3621" s="612">
        <f t="shared" si="1753"/>
        <v>0</v>
      </c>
      <c r="Z3621" s="613">
        <f t="shared" si="1754"/>
        <v>0</v>
      </c>
      <c r="AA3621" s="613">
        <f t="shared" si="1759"/>
        <v>0</v>
      </c>
      <c r="AB3621" s="836">
        <v>7.4999999999999997E-3</v>
      </c>
      <c r="AC3621" s="610">
        <f t="shared" si="1755"/>
        <v>0</v>
      </c>
      <c r="AD3621" s="443"/>
      <c r="AE3621" s="210">
        <f t="shared" si="1756"/>
        <v>0</v>
      </c>
      <c r="AF3621" s="210">
        <f t="shared" si="1760"/>
        <v>0</v>
      </c>
      <c r="AG3621" s="211">
        <f t="shared" si="1752"/>
        <v>0.13500000000000001</v>
      </c>
      <c r="AH3621" s="157">
        <f t="shared" si="1761"/>
        <v>0</v>
      </c>
      <c r="AI3621" s="152">
        <f t="shared" si="1762"/>
        <v>62400</v>
      </c>
      <c r="AK3621" s="156" t="s">
        <v>691</v>
      </c>
      <c r="AL3621" s="574" t="s">
        <v>690</v>
      </c>
      <c r="AM3621" s="198">
        <f t="shared" si="1763"/>
        <v>0</v>
      </c>
      <c r="AN3621" s="199">
        <f t="shared" si="1764"/>
        <v>46227</v>
      </c>
      <c r="AO3621" s="159" t="s">
        <v>692</v>
      </c>
      <c r="AP3621" s="783" t="s">
        <v>622</v>
      </c>
      <c r="AQ3621" s="782">
        <v>12071839</v>
      </c>
      <c r="AR3621" s="782">
        <v>12099098</v>
      </c>
      <c r="AS3621" s="782">
        <v>12068233</v>
      </c>
      <c r="AT3621" s="781"/>
      <c r="AU3621" s="781"/>
      <c r="AV3621" s="782">
        <v>12099466</v>
      </c>
      <c r="AW3621" s="781"/>
      <c r="AX3621" s="781"/>
      <c r="AY3621" s="782">
        <v>12099097</v>
      </c>
      <c r="AZ3621" s="782"/>
      <c r="BA3621" s="781"/>
      <c r="BB3621" s="209">
        <v>23053184</v>
      </c>
    </row>
    <row r="3622" spans="1:54" ht="24.75" customHeight="1">
      <c r="B3622" s="320">
        <v>46228</v>
      </c>
      <c r="C3622" s="321">
        <v>46252</v>
      </c>
      <c r="D3622" s="185">
        <f t="shared" si="1737"/>
        <v>2026</v>
      </c>
      <c r="E3622" s="321" t="e">
        <f>VLOOKUP($B3622,Week!$A$1:$C$1462,2,0)</f>
        <v>#N/A</v>
      </c>
      <c r="F3622" s="322" t="str">
        <f t="shared" si="1738"/>
        <v>Jul</v>
      </c>
      <c r="G3622" s="323" t="s">
        <v>2999</v>
      </c>
      <c r="H3622" s="323" t="s">
        <v>311</v>
      </c>
      <c r="I3622" s="323" t="s">
        <v>2772</v>
      </c>
      <c r="J3622" s="324" t="s">
        <v>2913</v>
      </c>
      <c r="K3622" s="325" t="s">
        <v>107</v>
      </c>
      <c r="L3622" s="300" t="s">
        <v>2167</v>
      </c>
      <c r="M3622" s="324" t="s">
        <v>313</v>
      </c>
      <c r="N3622" s="596" t="s">
        <v>2853</v>
      </c>
      <c r="O3622" s="323" t="s">
        <v>2747</v>
      </c>
      <c r="P3622" s="326">
        <v>5</v>
      </c>
      <c r="Q3622" s="326">
        <v>4</v>
      </c>
      <c r="R3622" s="327">
        <v>7.4999999999999997E-3</v>
      </c>
      <c r="S3622" s="323" t="s">
        <v>111</v>
      </c>
      <c r="T3622" s="323" t="s">
        <v>112</v>
      </c>
      <c r="U3622" s="323" t="s">
        <v>57</v>
      </c>
      <c r="V3622" s="328">
        <f>5000+76</f>
        <v>5076</v>
      </c>
      <c r="W3622" s="328"/>
      <c r="X3622" s="329">
        <f>(184+25196)/5</f>
        <v>5076</v>
      </c>
      <c r="Y3622" s="330">
        <f>(W3622+X3622)-V3622</f>
        <v>0</v>
      </c>
      <c r="Z3622" s="331">
        <f>IF(Y3622&lt;0,((V3622*P3622)-((W3622+X3622)*P3622)),0)</f>
        <v>0</v>
      </c>
      <c r="AA3622" s="331">
        <f t="shared" si="1759"/>
        <v>0</v>
      </c>
      <c r="AB3622" s="816">
        <v>7.4999999999999997E-3</v>
      </c>
      <c r="AC3622" s="328">
        <f>Z3622*AB3622</f>
        <v>0</v>
      </c>
      <c r="AD3622" s="307" t="s">
        <v>2354</v>
      </c>
      <c r="AE3622" s="210">
        <f>SUM(Q3622*R3622*Z3622)/1000</f>
        <v>0</v>
      </c>
      <c r="AF3622" s="210">
        <f t="shared" si="1760"/>
        <v>0</v>
      </c>
      <c r="AG3622" s="211">
        <f>MID(O3622,1,3)/1000</f>
        <v>0.30499999999999999</v>
      </c>
      <c r="AH3622" s="157">
        <f t="shared" si="1761"/>
        <v>0</v>
      </c>
      <c r="AI3622" s="152">
        <f t="shared" si="1762"/>
        <v>25380</v>
      </c>
      <c r="AK3622" s="156" t="s">
        <v>691</v>
      </c>
      <c r="AL3622" s="212" t="s">
        <v>690</v>
      </c>
      <c r="AM3622" s="198">
        <f t="shared" si="1763"/>
        <v>0</v>
      </c>
      <c r="AN3622" s="199">
        <f t="shared" si="1764"/>
        <v>46228</v>
      </c>
      <c r="AO3622" s="159" t="s">
        <v>692</v>
      </c>
      <c r="AP3622" s="783" t="s">
        <v>643</v>
      </c>
      <c r="AQ3622" s="782">
        <v>12063755</v>
      </c>
      <c r="AR3622" s="782">
        <v>12081257</v>
      </c>
      <c r="AS3622" s="782">
        <v>12081260</v>
      </c>
      <c r="AT3622" s="782">
        <v>12098252</v>
      </c>
      <c r="AU3622" s="781"/>
      <c r="AV3622" s="782">
        <v>12098251</v>
      </c>
      <c r="AW3622" s="782"/>
      <c r="AX3622" s="782"/>
      <c r="AY3622" s="781"/>
      <c r="AZ3622" s="781"/>
      <c r="BA3622" s="781"/>
      <c r="BB3622" s="209">
        <v>23053185</v>
      </c>
    </row>
    <row r="3623" spans="1:54" ht="24.65" customHeight="1">
      <c r="B3623" s="308">
        <v>46228</v>
      </c>
      <c r="C3623" s="309">
        <v>46258</v>
      </c>
      <c r="D3623" s="185">
        <f>IF(B3623="","",YEAR(B3623))</f>
        <v>2026</v>
      </c>
      <c r="E3623" s="309" t="e">
        <f>VLOOKUP($B3623,Week!$A$1:$C$1462,2,0)</f>
        <v>#N/A</v>
      </c>
      <c r="F3623" s="310" t="str">
        <f>IF(B3623="","",TEXT(B3623,"[$-409]mmm"))</f>
        <v>Jul</v>
      </c>
      <c r="G3623" s="311" t="s">
        <v>3065</v>
      </c>
      <c r="H3623" s="311" t="s">
        <v>311</v>
      </c>
      <c r="I3623" s="311" t="s">
        <v>2772</v>
      </c>
      <c r="J3623" s="312" t="s">
        <v>738</v>
      </c>
      <c r="K3623" s="313" t="s">
        <v>107</v>
      </c>
      <c r="L3623" s="300" t="s">
        <v>2167</v>
      </c>
      <c r="M3623" s="312" t="s">
        <v>313</v>
      </c>
      <c r="N3623" s="311" t="s">
        <v>314</v>
      </c>
      <c r="O3623" s="311" t="s">
        <v>110</v>
      </c>
      <c r="P3623" s="314">
        <v>36</v>
      </c>
      <c r="Q3623" s="314">
        <v>5</v>
      </c>
      <c r="R3623" s="315">
        <v>7.4999999999999997E-3</v>
      </c>
      <c r="S3623" s="311" t="s">
        <v>111</v>
      </c>
      <c r="T3623" s="311" t="s">
        <v>112</v>
      </c>
      <c r="U3623" s="311" t="s">
        <v>57</v>
      </c>
      <c r="V3623" s="316">
        <v>792</v>
      </c>
      <c r="W3623" s="316">
        <f>22+770</f>
        <v>792</v>
      </c>
      <c r="X3623" s="317"/>
      <c r="Y3623" s="318">
        <f>(W3623+X3623)-V3623</f>
        <v>0</v>
      </c>
      <c r="Z3623" s="319">
        <f>IF(Y3623&lt;0,((V3623*P3623)-((W3623+X3623)*P3623)),0)</f>
        <v>0</v>
      </c>
      <c r="AA3623" s="319">
        <f>Q3623*Z3623</f>
        <v>0</v>
      </c>
      <c r="AB3623" s="815">
        <v>7.4999999999999997E-3</v>
      </c>
      <c r="AC3623" s="316">
        <f>Z3623*AB3623</f>
        <v>0</v>
      </c>
      <c r="AD3623" s="209"/>
      <c r="AE3623" s="210">
        <f>SUM(Q3623*R3623*Z3623)/1000</f>
        <v>0</v>
      </c>
      <c r="AF3623" s="210">
        <f>AE3623/0.54</f>
        <v>0</v>
      </c>
      <c r="AG3623" s="211">
        <f>MID(O3623,1,3)/1000</f>
        <v>0.308</v>
      </c>
      <c r="AH3623" s="157">
        <f>(Z3623*AG3623)/1000</f>
        <v>0</v>
      </c>
      <c r="AI3623" s="152">
        <f t="shared" si="1762"/>
        <v>28512</v>
      </c>
      <c r="AK3623" s="156" t="s">
        <v>691</v>
      </c>
      <c r="AL3623" s="212" t="s">
        <v>690</v>
      </c>
      <c r="AM3623" s="198">
        <f>AG3623*Z3623</f>
        <v>0</v>
      </c>
      <c r="AN3623" s="199">
        <f>B3623</f>
        <v>46228</v>
      </c>
      <c r="AO3623" s="159" t="s">
        <v>692</v>
      </c>
      <c r="AP3623" s="783" t="s">
        <v>644</v>
      </c>
      <c r="AQ3623" s="782">
        <v>12063755</v>
      </c>
      <c r="AR3623" s="782">
        <v>12081257</v>
      </c>
      <c r="AS3623" s="782">
        <v>12081260</v>
      </c>
      <c r="AT3623" s="782">
        <v>12098623</v>
      </c>
      <c r="AU3623" s="781"/>
      <c r="AV3623" s="782">
        <v>12098706</v>
      </c>
      <c r="AW3623" s="782">
        <v>12088207</v>
      </c>
      <c r="AX3623" s="782"/>
      <c r="AY3623" s="782">
        <v>12094237</v>
      </c>
      <c r="AZ3623" s="782"/>
      <c r="BA3623" s="781"/>
      <c r="BB3623" s="209">
        <v>23053185</v>
      </c>
    </row>
    <row r="3624" spans="1:54" ht="24.65" customHeight="1">
      <c r="B3624" s="308">
        <v>46228</v>
      </c>
      <c r="C3624" s="309">
        <v>46265</v>
      </c>
      <c r="D3624" s="185">
        <f t="shared" si="1737"/>
        <v>2026</v>
      </c>
      <c r="E3624" s="309" t="e">
        <f>VLOOKUP($B3624,Week!$A$1:$C$1462,2,0)</f>
        <v>#N/A</v>
      </c>
      <c r="F3624" s="310" t="str">
        <f t="shared" si="1738"/>
        <v>Jul</v>
      </c>
      <c r="G3624" s="311" t="s">
        <v>3068</v>
      </c>
      <c r="H3624" s="311" t="s">
        <v>311</v>
      </c>
      <c r="I3624" s="311" t="s">
        <v>2772</v>
      </c>
      <c r="J3624" s="312" t="s">
        <v>738</v>
      </c>
      <c r="K3624" s="313" t="s">
        <v>107</v>
      </c>
      <c r="L3624" s="300" t="s">
        <v>2167</v>
      </c>
      <c r="M3624" s="312" t="s">
        <v>313</v>
      </c>
      <c r="N3624" s="311" t="s">
        <v>314</v>
      </c>
      <c r="O3624" s="311" t="s">
        <v>110</v>
      </c>
      <c r="P3624" s="314">
        <v>36</v>
      </c>
      <c r="Q3624" s="314">
        <v>5</v>
      </c>
      <c r="R3624" s="315">
        <v>7.4999999999999997E-3</v>
      </c>
      <c r="S3624" s="311" t="s">
        <v>111</v>
      </c>
      <c r="T3624" s="311" t="s">
        <v>112</v>
      </c>
      <c r="U3624" s="311" t="s">
        <v>57</v>
      </c>
      <c r="V3624" s="316">
        <v>792</v>
      </c>
      <c r="W3624" s="316">
        <f>792</f>
        <v>792</v>
      </c>
      <c r="X3624" s="317"/>
      <c r="Y3624" s="318">
        <f>(W3624+X3624)-V3624</f>
        <v>0</v>
      </c>
      <c r="Z3624" s="319">
        <f>IF(Y3624&lt;0,((V3624*P3624)-((W3624+X3624)*P3624)),0)</f>
        <v>0</v>
      </c>
      <c r="AA3624" s="319">
        <f t="shared" si="1759"/>
        <v>0</v>
      </c>
      <c r="AB3624" s="815">
        <v>7.4999999999999997E-3</v>
      </c>
      <c r="AC3624" s="316">
        <f>Z3624*AB3624</f>
        <v>0</v>
      </c>
      <c r="AD3624" s="209"/>
      <c r="AE3624" s="210">
        <f>SUM(Q3624*R3624*Z3624)/1000</f>
        <v>0</v>
      </c>
      <c r="AF3624" s="210">
        <f t="shared" si="1760"/>
        <v>0</v>
      </c>
      <c r="AG3624" s="211">
        <f>MID(O3624,1,3)/1000</f>
        <v>0.308</v>
      </c>
      <c r="AH3624" s="157">
        <f t="shared" si="1761"/>
        <v>0</v>
      </c>
      <c r="AI3624" s="152">
        <f t="shared" si="1762"/>
        <v>28512</v>
      </c>
      <c r="AK3624" s="156" t="s">
        <v>691</v>
      </c>
      <c r="AL3624" s="212" t="s">
        <v>690</v>
      </c>
      <c r="AM3624" s="198">
        <f t="shared" si="1763"/>
        <v>0</v>
      </c>
      <c r="AN3624" s="199">
        <f t="shared" si="1764"/>
        <v>46228</v>
      </c>
      <c r="AO3624" s="159" t="s">
        <v>692</v>
      </c>
      <c r="AP3624" s="783" t="s">
        <v>644</v>
      </c>
      <c r="AQ3624" s="782">
        <v>12063755</v>
      </c>
      <c r="AR3624" s="782">
        <v>12081257</v>
      </c>
      <c r="AS3624" s="782">
        <v>12081260</v>
      </c>
      <c r="AT3624" s="782">
        <v>12098623</v>
      </c>
      <c r="AU3624" s="781"/>
      <c r="AV3624" s="782">
        <v>12098706</v>
      </c>
      <c r="AW3624" s="782">
        <v>12088207</v>
      </c>
      <c r="AX3624" s="782"/>
      <c r="AY3624" s="782">
        <v>12094237</v>
      </c>
      <c r="AZ3624" s="782"/>
      <c r="BA3624" s="781"/>
      <c r="BB3624" s="209">
        <v>23053185</v>
      </c>
    </row>
    <row r="3625" spans="1:54" ht="24.65" customHeight="1">
      <c r="B3625" s="308">
        <v>46228</v>
      </c>
      <c r="C3625" s="309">
        <v>46274</v>
      </c>
      <c r="D3625" s="185">
        <f t="shared" si="1737"/>
        <v>2026</v>
      </c>
      <c r="E3625" s="309" t="e">
        <f>VLOOKUP($B3625,Week!$A$1:$C$1462,2,0)</f>
        <v>#N/A</v>
      </c>
      <c r="F3625" s="310" t="str">
        <f t="shared" si="1738"/>
        <v>Jul</v>
      </c>
      <c r="G3625" s="311" t="s">
        <v>3078</v>
      </c>
      <c r="H3625" s="311" t="s">
        <v>311</v>
      </c>
      <c r="I3625" s="311" t="s">
        <v>2772</v>
      </c>
      <c r="J3625" s="312" t="s">
        <v>738</v>
      </c>
      <c r="K3625" s="313" t="s">
        <v>107</v>
      </c>
      <c r="L3625" s="300" t="s">
        <v>2167</v>
      </c>
      <c r="M3625" s="312" t="s">
        <v>313</v>
      </c>
      <c r="N3625" s="311" t="s">
        <v>314</v>
      </c>
      <c r="O3625" s="311" t="s">
        <v>110</v>
      </c>
      <c r="P3625" s="314">
        <v>36</v>
      </c>
      <c r="Q3625" s="314">
        <v>5</v>
      </c>
      <c r="R3625" s="315">
        <v>7.4999999999999997E-3</v>
      </c>
      <c r="S3625" s="311" t="s">
        <v>111</v>
      </c>
      <c r="T3625" s="311" t="s">
        <v>112</v>
      </c>
      <c r="U3625" s="311" t="s">
        <v>57</v>
      </c>
      <c r="V3625" s="316">
        <v>792</v>
      </c>
      <c r="W3625" s="316">
        <f>2349-770-792</f>
        <v>787</v>
      </c>
      <c r="X3625" s="317">
        <f>180/36</f>
        <v>5</v>
      </c>
      <c r="Y3625" s="318">
        <f>(W3625+X3625)-V3625</f>
        <v>0</v>
      </c>
      <c r="Z3625" s="319">
        <f>IF(Y3625&lt;0,((V3625*P3625)-((W3625+X3625)*P3625)),0)</f>
        <v>0</v>
      </c>
      <c r="AA3625" s="319">
        <f t="shared" si="1759"/>
        <v>0</v>
      </c>
      <c r="AB3625" s="815">
        <v>7.4999999999999997E-3</v>
      </c>
      <c r="AC3625" s="316">
        <f>Z3625*AB3625</f>
        <v>0</v>
      </c>
      <c r="AD3625" s="209"/>
      <c r="AE3625" s="210">
        <f>SUM(Q3625*R3625*Z3625)/1000</f>
        <v>0</v>
      </c>
      <c r="AF3625" s="210">
        <f t="shared" si="1760"/>
        <v>0</v>
      </c>
      <c r="AG3625" s="211">
        <f>MID(O3625,1,3)/1000</f>
        <v>0.308</v>
      </c>
      <c r="AH3625" s="157">
        <f t="shared" si="1761"/>
        <v>0</v>
      </c>
      <c r="AI3625" s="152">
        <f t="shared" si="1762"/>
        <v>28512</v>
      </c>
      <c r="AK3625" s="156" t="s">
        <v>691</v>
      </c>
      <c r="AL3625" s="212" t="s">
        <v>690</v>
      </c>
      <c r="AM3625" s="198">
        <f t="shared" si="1763"/>
        <v>0</v>
      </c>
      <c r="AN3625" s="199">
        <f t="shared" si="1764"/>
        <v>46228</v>
      </c>
      <c r="AO3625" s="159" t="s">
        <v>692</v>
      </c>
      <c r="AP3625" s="783" t="s">
        <v>644</v>
      </c>
      <c r="AQ3625" s="782">
        <v>12063755</v>
      </c>
      <c r="AR3625" s="782">
        <v>12081257</v>
      </c>
      <c r="AS3625" s="782">
        <v>12081260</v>
      </c>
      <c r="AT3625" s="782">
        <v>12098623</v>
      </c>
      <c r="AU3625" s="781"/>
      <c r="AV3625" s="782">
        <v>12098706</v>
      </c>
      <c r="AW3625" s="782">
        <v>12088207</v>
      </c>
      <c r="AX3625" s="782"/>
      <c r="AY3625" s="782">
        <v>12094237</v>
      </c>
      <c r="AZ3625" s="782"/>
      <c r="BA3625" s="781"/>
      <c r="BB3625" s="209">
        <v>23053185</v>
      </c>
    </row>
    <row r="3626" spans="1:54" ht="25" customHeight="1">
      <c r="B3626" s="183">
        <v>46229</v>
      </c>
      <c r="C3626" s="184"/>
      <c r="D3626" s="185">
        <f t="shared" si="1737"/>
        <v>2026</v>
      </c>
      <c r="E3626" s="185" t="e">
        <f>VLOOKUP($B3626,Week!$A$1:$C$1462,2,0)</f>
        <v>#N/A</v>
      </c>
      <c r="F3626" s="186" t="str">
        <f t="shared" si="1738"/>
        <v>Jul</v>
      </c>
      <c r="G3626" s="481"/>
      <c r="H3626" s="185"/>
      <c r="I3626" s="185"/>
      <c r="J3626" s="187"/>
      <c r="K3626" s="188"/>
      <c r="L3626" s="188"/>
      <c r="M3626" s="187"/>
      <c r="N3626" s="185"/>
      <c r="O3626" s="185"/>
      <c r="P3626" s="189"/>
      <c r="Q3626" s="189"/>
      <c r="R3626" s="190"/>
      <c r="S3626" s="185"/>
      <c r="T3626" s="185"/>
      <c r="U3626" s="185"/>
      <c r="V3626" s="191"/>
      <c r="W3626" s="191"/>
      <c r="X3626" s="192"/>
      <c r="Y3626" s="193"/>
      <c r="Z3626" s="194"/>
      <c r="AA3626" s="194">
        <f t="shared" ref="AA3626:AA3677" si="1765">Q3626*Z3626</f>
        <v>0</v>
      </c>
      <c r="AB3626" s="805"/>
      <c r="AC3626" s="191"/>
      <c r="AD3626" s="187"/>
      <c r="AE3626" s="195"/>
      <c r="AF3626" s="195"/>
      <c r="AG3626" s="196"/>
      <c r="AH3626" s="197"/>
      <c r="AK3626" s="156" t="s">
        <v>691</v>
      </c>
      <c r="AM3626" s="198">
        <f t="shared" ref="AM3626:AM3677" si="1766">AG3626*Z3626</f>
        <v>0</v>
      </c>
      <c r="AN3626" s="199">
        <f t="shared" ref="AN3626:AN3677" si="1767">B3626</f>
        <v>46229</v>
      </c>
      <c r="AO3626" s="159" t="s">
        <v>692</v>
      </c>
      <c r="AP3626" s="781"/>
      <c r="AQ3626" s="782"/>
      <c r="AR3626" s="782"/>
      <c r="AS3626" s="782"/>
      <c r="AT3626" s="782"/>
      <c r="AU3626" s="781"/>
      <c r="AV3626" s="782"/>
      <c r="AW3626" s="782"/>
      <c r="AX3626" s="782"/>
      <c r="AY3626" s="782"/>
      <c r="AZ3626" s="782"/>
      <c r="BA3626" s="781"/>
      <c r="BB3626" s="209"/>
    </row>
    <row r="3627" spans="1:54" ht="25" customHeight="1">
      <c r="B3627" s="183">
        <v>46230</v>
      </c>
      <c r="C3627" s="184"/>
      <c r="D3627" s="185">
        <f t="shared" si="1737"/>
        <v>2026</v>
      </c>
      <c r="E3627" s="185" t="e">
        <f>VLOOKUP($B3627,Week!$A$1:$C$1462,2,0)</f>
        <v>#N/A</v>
      </c>
      <c r="F3627" s="186" t="str">
        <f t="shared" si="1738"/>
        <v>Jul</v>
      </c>
      <c r="G3627" s="481"/>
      <c r="H3627" s="185"/>
      <c r="I3627" s="185"/>
      <c r="J3627" s="187"/>
      <c r="K3627" s="188"/>
      <c r="L3627" s="188"/>
      <c r="M3627" s="187"/>
      <c r="N3627" s="185"/>
      <c r="O3627" s="185"/>
      <c r="P3627" s="189"/>
      <c r="Q3627" s="189"/>
      <c r="R3627" s="190"/>
      <c r="S3627" s="185"/>
      <c r="T3627" s="185"/>
      <c r="U3627" s="185"/>
      <c r="V3627" s="191"/>
      <c r="W3627" s="191"/>
      <c r="X3627" s="192"/>
      <c r="Y3627" s="193"/>
      <c r="Z3627" s="194"/>
      <c r="AA3627" s="194">
        <f t="shared" si="1765"/>
        <v>0</v>
      </c>
      <c r="AB3627" s="805"/>
      <c r="AC3627" s="191"/>
      <c r="AD3627" s="187"/>
      <c r="AE3627" s="195"/>
      <c r="AF3627" s="195"/>
      <c r="AG3627" s="196"/>
      <c r="AH3627" s="197"/>
      <c r="AK3627" s="156" t="s">
        <v>691</v>
      </c>
      <c r="AM3627" s="198">
        <f t="shared" si="1766"/>
        <v>0</v>
      </c>
      <c r="AN3627" s="199">
        <f t="shared" si="1767"/>
        <v>46230</v>
      </c>
      <c r="AO3627" s="159" t="s">
        <v>692</v>
      </c>
      <c r="AP3627" s="781"/>
      <c r="AQ3627" s="782"/>
      <c r="AR3627" s="782"/>
      <c r="AS3627" s="782"/>
      <c r="AT3627" s="782"/>
      <c r="AU3627" s="781"/>
      <c r="AV3627" s="782"/>
      <c r="AW3627" s="782"/>
      <c r="AX3627" s="782"/>
      <c r="AY3627" s="782"/>
      <c r="AZ3627" s="782"/>
      <c r="BA3627" s="781"/>
      <c r="BB3627" s="209"/>
    </row>
    <row r="3628" spans="1:54" ht="25" customHeight="1">
      <c r="B3628" s="183">
        <v>46231</v>
      </c>
      <c r="C3628" s="184"/>
      <c r="D3628" s="185">
        <f t="shared" si="1737"/>
        <v>2026</v>
      </c>
      <c r="E3628" s="185" t="e">
        <f>VLOOKUP($B3628,Week!$A$1:$C$1462,2,0)</f>
        <v>#N/A</v>
      </c>
      <c r="F3628" s="186" t="str">
        <f t="shared" si="1738"/>
        <v>Jul</v>
      </c>
      <c r="G3628" s="481"/>
      <c r="H3628" s="185"/>
      <c r="I3628" s="185"/>
      <c r="J3628" s="187"/>
      <c r="K3628" s="188"/>
      <c r="L3628" s="188"/>
      <c r="M3628" s="187"/>
      <c r="N3628" s="185"/>
      <c r="O3628" s="185"/>
      <c r="P3628" s="189"/>
      <c r="Q3628" s="189"/>
      <c r="R3628" s="190"/>
      <c r="S3628" s="185"/>
      <c r="T3628" s="185"/>
      <c r="U3628" s="185"/>
      <c r="V3628" s="191"/>
      <c r="W3628" s="191"/>
      <c r="X3628" s="192"/>
      <c r="Y3628" s="193"/>
      <c r="Z3628" s="194"/>
      <c r="AA3628" s="194">
        <f t="shared" si="1765"/>
        <v>0</v>
      </c>
      <c r="AB3628" s="805"/>
      <c r="AC3628" s="191"/>
      <c r="AD3628" s="187"/>
      <c r="AE3628" s="195"/>
      <c r="AF3628" s="195"/>
      <c r="AG3628" s="196"/>
      <c r="AH3628" s="197"/>
      <c r="AK3628" s="156" t="s">
        <v>691</v>
      </c>
      <c r="AM3628" s="198">
        <f t="shared" si="1766"/>
        <v>0</v>
      </c>
      <c r="AN3628" s="199">
        <f t="shared" si="1767"/>
        <v>46231</v>
      </c>
      <c r="AO3628" s="159" t="s">
        <v>692</v>
      </c>
      <c r="AP3628" s="781"/>
      <c r="AQ3628" s="782"/>
      <c r="AR3628" s="782"/>
      <c r="AS3628" s="782"/>
      <c r="AT3628" s="782"/>
      <c r="AU3628" s="781"/>
      <c r="AV3628" s="782"/>
      <c r="AW3628" s="782"/>
      <c r="AX3628" s="782"/>
      <c r="AY3628" s="782"/>
      <c r="AZ3628" s="782"/>
      <c r="BA3628" s="781"/>
      <c r="BB3628" s="209"/>
    </row>
    <row r="3629" spans="1:54" ht="25" customHeight="1">
      <c r="B3629" s="183">
        <v>46232</v>
      </c>
      <c r="C3629" s="184"/>
      <c r="D3629" s="185">
        <f t="shared" si="1737"/>
        <v>2026</v>
      </c>
      <c r="E3629" s="185" t="e">
        <f>VLOOKUP($B3629,Week!$A$1:$C$1462,2,0)</f>
        <v>#N/A</v>
      </c>
      <c r="F3629" s="186" t="str">
        <f t="shared" si="1738"/>
        <v>Jul</v>
      </c>
      <c r="G3629" s="481"/>
      <c r="H3629" s="185"/>
      <c r="I3629" s="185"/>
      <c r="J3629" s="187"/>
      <c r="K3629" s="188"/>
      <c r="L3629" s="188"/>
      <c r="M3629" s="187"/>
      <c r="N3629" s="185"/>
      <c r="O3629" s="185"/>
      <c r="P3629" s="189"/>
      <c r="Q3629" s="189"/>
      <c r="R3629" s="190"/>
      <c r="S3629" s="185"/>
      <c r="T3629" s="185"/>
      <c r="U3629" s="185"/>
      <c r="V3629" s="191"/>
      <c r="W3629" s="191"/>
      <c r="X3629" s="192"/>
      <c r="Y3629" s="193"/>
      <c r="Z3629" s="194"/>
      <c r="AA3629" s="194">
        <f t="shared" si="1765"/>
        <v>0</v>
      </c>
      <c r="AB3629" s="805"/>
      <c r="AC3629" s="191"/>
      <c r="AD3629" s="187"/>
      <c r="AE3629" s="195"/>
      <c r="AF3629" s="195"/>
      <c r="AG3629" s="196"/>
      <c r="AH3629" s="197"/>
      <c r="AK3629" s="156" t="s">
        <v>691</v>
      </c>
      <c r="AM3629" s="198">
        <f t="shared" si="1766"/>
        <v>0</v>
      </c>
      <c r="AN3629" s="199">
        <f t="shared" si="1767"/>
        <v>46232</v>
      </c>
      <c r="AO3629" s="159" t="s">
        <v>692</v>
      </c>
      <c r="AP3629" s="781"/>
      <c r="AQ3629" s="782"/>
      <c r="AR3629" s="782"/>
      <c r="AS3629" s="782"/>
      <c r="AT3629" s="782"/>
      <c r="AU3629" s="781"/>
      <c r="AV3629" s="782"/>
      <c r="AW3629" s="782"/>
      <c r="AX3629" s="782"/>
      <c r="AY3629" s="782"/>
      <c r="AZ3629" s="782"/>
      <c r="BA3629" s="781"/>
      <c r="BB3629" s="209"/>
    </row>
    <row r="3630" spans="1:54" ht="25" customHeight="1">
      <c r="B3630" s="183">
        <v>46233</v>
      </c>
      <c r="C3630" s="184"/>
      <c r="D3630" s="185">
        <f t="shared" si="1737"/>
        <v>2026</v>
      </c>
      <c r="E3630" s="185" t="e">
        <f>VLOOKUP($B3630,Week!$A$1:$C$1462,2,0)</f>
        <v>#N/A</v>
      </c>
      <c r="F3630" s="186" t="str">
        <f t="shared" si="1738"/>
        <v>Jul</v>
      </c>
      <c r="G3630" s="481"/>
      <c r="H3630" s="185"/>
      <c r="I3630" s="185"/>
      <c r="J3630" s="187"/>
      <c r="K3630" s="188"/>
      <c r="L3630" s="188"/>
      <c r="M3630" s="187"/>
      <c r="N3630" s="185"/>
      <c r="O3630" s="185"/>
      <c r="P3630" s="189"/>
      <c r="Q3630" s="189"/>
      <c r="R3630" s="190"/>
      <c r="S3630" s="185"/>
      <c r="T3630" s="185"/>
      <c r="U3630" s="185"/>
      <c r="V3630" s="191"/>
      <c r="W3630" s="191"/>
      <c r="X3630" s="192"/>
      <c r="Y3630" s="193"/>
      <c r="Z3630" s="194"/>
      <c r="AA3630" s="194">
        <f t="shared" si="1765"/>
        <v>0</v>
      </c>
      <c r="AB3630" s="805"/>
      <c r="AC3630" s="191"/>
      <c r="AD3630" s="187"/>
      <c r="AE3630" s="195"/>
      <c r="AF3630" s="195"/>
      <c r="AG3630" s="196"/>
      <c r="AH3630" s="197"/>
      <c r="AK3630" s="156" t="s">
        <v>691</v>
      </c>
      <c r="AM3630" s="198">
        <f t="shared" si="1766"/>
        <v>0</v>
      </c>
      <c r="AN3630" s="199">
        <f t="shared" si="1767"/>
        <v>46233</v>
      </c>
      <c r="AO3630" s="159" t="s">
        <v>692</v>
      </c>
      <c r="AP3630" s="781"/>
      <c r="AQ3630" s="782"/>
      <c r="AR3630" s="782"/>
      <c r="AS3630" s="782"/>
      <c r="AT3630" s="782"/>
      <c r="AU3630" s="781"/>
      <c r="AV3630" s="782"/>
      <c r="AW3630" s="782"/>
      <c r="AX3630" s="782"/>
      <c r="AY3630" s="782"/>
      <c r="AZ3630" s="782"/>
      <c r="BA3630" s="781"/>
      <c r="BB3630" s="209"/>
    </row>
    <row r="3631" spans="1:54" ht="25" customHeight="1">
      <c r="B3631" s="183">
        <v>46234</v>
      </c>
      <c r="C3631" s="184"/>
      <c r="D3631" s="185">
        <f t="shared" si="1737"/>
        <v>2026</v>
      </c>
      <c r="E3631" s="185" t="e">
        <f>VLOOKUP($B3631,Week!$A$1:$C$1462,2,0)</f>
        <v>#N/A</v>
      </c>
      <c r="F3631" s="186" t="str">
        <f t="shared" si="1738"/>
        <v>Jul</v>
      </c>
      <c r="G3631" s="481"/>
      <c r="H3631" s="185"/>
      <c r="I3631" s="185"/>
      <c r="J3631" s="187"/>
      <c r="K3631" s="188"/>
      <c r="L3631" s="188"/>
      <c r="M3631" s="187"/>
      <c r="N3631" s="185"/>
      <c r="O3631" s="185"/>
      <c r="P3631" s="189"/>
      <c r="Q3631" s="189"/>
      <c r="R3631" s="190"/>
      <c r="S3631" s="185"/>
      <c r="T3631" s="185"/>
      <c r="U3631" s="185"/>
      <c r="V3631" s="191"/>
      <c r="W3631" s="191"/>
      <c r="X3631" s="192"/>
      <c r="Y3631" s="193"/>
      <c r="Z3631" s="194"/>
      <c r="AA3631" s="194">
        <f t="shared" si="1765"/>
        <v>0</v>
      </c>
      <c r="AB3631" s="805"/>
      <c r="AC3631" s="191"/>
      <c r="AD3631" s="187"/>
      <c r="AE3631" s="195"/>
      <c r="AF3631" s="195"/>
      <c r="AG3631" s="196"/>
      <c r="AH3631" s="197"/>
      <c r="AK3631" s="156" t="s">
        <v>691</v>
      </c>
      <c r="AM3631" s="198">
        <f t="shared" si="1766"/>
        <v>0</v>
      </c>
      <c r="AN3631" s="199">
        <f t="shared" si="1767"/>
        <v>46234</v>
      </c>
      <c r="AO3631" s="159" t="s">
        <v>692</v>
      </c>
      <c r="AP3631" s="781"/>
      <c r="AQ3631" s="782"/>
      <c r="AR3631" s="782"/>
      <c r="AS3631" s="782"/>
      <c r="AT3631" s="782"/>
      <c r="AU3631" s="781"/>
      <c r="AV3631" s="782"/>
      <c r="AW3631" s="782"/>
      <c r="AX3631" s="782"/>
      <c r="AY3631" s="782"/>
      <c r="AZ3631" s="782"/>
      <c r="BA3631" s="781"/>
      <c r="BB3631" s="209"/>
    </row>
    <row r="3632" spans="1:54" ht="25" customHeight="1">
      <c r="B3632" s="183">
        <v>46235</v>
      </c>
      <c r="C3632" s="184"/>
      <c r="D3632" s="185">
        <f t="shared" si="1737"/>
        <v>2026</v>
      </c>
      <c r="E3632" s="185" t="e">
        <f>VLOOKUP($B3632,Week!$A$1:$C$1462,2,0)</f>
        <v>#N/A</v>
      </c>
      <c r="F3632" s="186" t="str">
        <f t="shared" si="1738"/>
        <v>Aug</v>
      </c>
      <c r="G3632" s="481"/>
      <c r="H3632" s="185"/>
      <c r="I3632" s="185"/>
      <c r="J3632" s="187"/>
      <c r="K3632" s="188"/>
      <c r="L3632" s="188"/>
      <c r="M3632" s="187"/>
      <c r="N3632" s="185"/>
      <c r="O3632" s="185"/>
      <c r="P3632" s="189"/>
      <c r="Q3632" s="189"/>
      <c r="R3632" s="190"/>
      <c r="S3632" s="185"/>
      <c r="T3632" s="185"/>
      <c r="U3632" s="185"/>
      <c r="V3632" s="191"/>
      <c r="W3632" s="191"/>
      <c r="X3632" s="192"/>
      <c r="Y3632" s="193"/>
      <c r="Z3632" s="194"/>
      <c r="AA3632" s="194">
        <f t="shared" si="1765"/>
        <v>0</v>
      </c>
      <c r="AB3632" s="805"/>
      <c r="AC3632" s="191"/>
      <c r="AD3632" s="187"/>
      <c r="AE3632" s="195"/>
      <c r="AF3632" s="195"/>
      <c r="AG3632" s="196"/>
      <c r="AH3632" s="197"/>
      <c r="AK3632" s="156" t="s">
        <v>691</v>
      </c>
      <c r="AM3632" s="198">
        <f t="shared" si="1766"/>
        <v>0</v>
      </c>
      <c r="AN3632" s="199">
        <f t="shared" si="1767"/>
        <v>46235</v>
      </c>
      <c r="AO3632" s="159" t="s">
        <v>692</v>
      </c>
      <c r="AP3632" s="781"/>
      <c r="AQ3632" s="782"/>
      <c r="AR3632" s="782"/>
      <c r="AS3632" s="782"/>
      <c r="AT3632" s="782"/>
      <c r="AU3632" s="781"/>
      <c r="AV3632" s="782"/>
      <c r="AW3632" s="782"/>
      <c r="AX3632" s="782"/>
      <c r="AY3632" s="782"/>
      <c r="AZ3632" s="782"/>
      <c r="BA3632" s="781"/>
      <c r="BB3632" s="209"/>
    </row>
    <row r="3633" spans="1:54" ht="25" customHeight="1">
      <c r="B3633" s="183">
        <v>46236</v>
      </c>
      <c r="C3633" s="184"/>
      <c r="D3633" s="185">
        <f t="shared" si="1737"/>
        <v>2026</v>
      </c>
      <c r="E3633" s="185" t="e">
        <f>VLOOKUP($B3633,Week!$A$1:$C$1462,2,0)</f>
        <v>#N/A</v>
      </c>
      <c r="F3633" s="186" t="str">
        <f t="shared" si="1738"/>
        <v>Aug</v>
      </c>
      <c r="G3633" s="481"/>
      <c r="H3633" s="185"/>
      <c r="I3633" s="185"/>
      <c r="J3633" s="187"/>
      <c r="K3633" s="188"/>
      <c r="L3633" s="188"/>
      <c r="M3633" s="187"/>
      <c r="N3633" s="185"/>
      <c r="O3633" s="185"/>
      <c r="P3633" s="189"/>
      <c r="Q3633" s="189"/>
      <c r="R3633" s="190"/>
      <c r="S3633" s="185"/>
      <c r="T3633" s="185"/>
      <c r="U3633" s="185"/>
      <c r="V3633" s="191"/>
      <c r="W3633" s="191"/>
      <c r="X3633" s="192"/>
      <c r="Y3633" s="193"/>
      <c r="Z3633" s="194"/>
      <c r="AA3633" s="194">
        <f t="shared" si="1765"/>
        <v>0</v>
      </c>
      <c r="AB3633" s="805"/>
      <c r="AC3633" s="191"/>
      <c r="AD3633" s="187"/>
      <c r="AE3633" s="195"/>
      <c r="AF3633" s="195"/>
      <c r="AG3633" s="196"/>
      <c r="AH3633" s="197"/>
      <c r="AK3633" s="156" t="s">
        <v>691</v>
      </c>
      <c r="AM3633" s="198">
        <f t="shared" si="1766"/>
        <v>0</v>
      </c>
      <c r="AN3633" s="199">
        <f t="shared" si="1767"/>
        <v>46236</v>
      </c>
      <c r="AO3633" s="159" t="s">
        <v>692</v>
      </c>
      <c r="AP3633" s="781"/>
      <c r="AQ3633" s="782"/>
      <c r="AR3633" s="782"/>
      <c r="AS3633" s="782"/>
      <c r="AT3633" s="782"/>
      <c r="AU3633" s="781"/>
      <c r="AV3633" s="782"/>
      <c r="AW3633" s="782"/>
      <c r="AX3633" s="782"/>
      <c r="AY3633" s="782"/>
      <c r="AZ3633" s="782"/>
      <c r="BA3633" s="781"/>
      <c r="BB3633" s="209"/>
    </row>
    <row r="3634" spans="1:54" ht="25" customHeight="1">
      <c r="B3634" s="183">
        <v>46237</v>
      </c>
      <c r="C3634" s="184"/>
      <c r="D3634" s="185">
        <f t="shared" si="1737"/>
        <v>2026</v>
      </c>
      <c r="E3634" s="185" t="e">
        <f>VLOOKUP($B3634,Week!$A$1:$C$1462,2,0)</f>
        <v>#N/A</v>
      </c>
      <c r="F3634" s="186" t="str">
        <f t="shared" si="1738"/>
        <v>Aug</v>
      </c>
      <c r="G3634" s="481"/>
      <c r="H3634" s="185"/>
      <c r="I3634" s="185"/>
      <c r="J3634" s="187"/>
      <c r="K3634" s="188"/>
      <c r="L3634" s="188"/>
      <c r="M3634" s="187"/>
      <c r="N3634" s="185"/>
      <c r="O3634" s="185"/>
      <c r="P3634" s="189"/>
      <c r="Q3634" s="189"/>
      <c r="R3634" s="190"/>
      <c r="S3634" s="185"/>
      <c r="T3634" s="185"/>
      <c r="U3634" s="185"/>
      <c r="V3634" s="191"/>
      <c r="W3634" s="191"/>
      <c r="X3634" s="192"/>
      <c r="Y3634" s="193"/>
      <c r="Z3634" s="194"/>
      <c r="AA3634" s="194">
        <f t="shared" si="1765"/>
        <v>0</v>
      </c>
      <c r="AB3634" s="805"/>
      <c r="AC3634" s="191"/>
      <c r="AD3634" s="187"/>
      <c r="AE3634" s="195"/>
      <c r="AF3634" s="195"/>
      <c r="AG3634" s="196"/>
      <c r="AH3634" s="197"/>
      <c r="AK3634" s="156" t="s">
        <v>691</v>
      </c>
      <c r="AM3634" s="198">
        <f t="shared" si="1766"/>
        <v>0</v>
      </c>
      <c r="AN3634" s="199">
        <f t="shared" si="1767"/>
        <v>46237</v>
      </c>
      <c r="AO3634" s="159" t="s">
        <v>692</v>
      </c>
      <c r="AP3634" s="781"/>
      <c r="AQ3634" s="782"/>
      <c r="AR3634" s="782"/>
      <c r="AS3634" s="782"/>
      <c r="AT3634" s="782"/>
      <c r="AU3634" s="781"/>
      <c r="AV3634" s="782"/>
      <c r="AW3634" s="782"/>
      <c r="AX3634" s="782"/>
      <c r="AY3634" s="782"/>
      <c r="AZ3634" s="782"/>
      <c r="BA3634" s="781"/>
      <c r="BB3634" s="209"/>
    </row>
    <row r="3635" spans="1:54" ht="25" customHeight="1">
      <c r="B3635" s="183">
        <v>46238</v>
      </c>
      <c r="C3635" s="184"/>
      <c r="D3635" s="185">
        <f t="shared" si="1737"/>
        <v>2026</v>
      </c>
      <c r="E3635" s="185" t="e">
        <f>VLOOKUP($B3635,Week!$A$1:$C$1462,2,0)</f>
        <v>#N/A</v>
      </c>
      <c r="F3635" s="186" t="str">
        <f t="shared" si="1738"/>
        <v>Aug</v>
      </c>
      <c r="G3635" s="481"/>
      <c r="H3635" s="185"/>
      <c r="I3635" s="185"/>
      <c r="J3635" s="187"/>
      <c r="K3635" s="188"/>
      <c r="L3635" s="188"/>
      <c r="M3635" s="187"/>
      <c r="N3635" s="185"/>
      <c r="O3635" s="185"/>
      <c r="P3635" s="189"/>
      <c r="Q3635" s="189"/>
      <c r="R3635" s="190"/>
      <c r="S3635" s="185"/>
      <c r="T3635" s="185"/>
      <c r="U3635" s="185"/>
      <c r="V3635" s="191"/>
      <c r="W3635" s="191"/>
      <c r="X3635" s="192"/>
      <c r="Y3635" s="193"/>
      <c r="Z3635" s="194"/>
      <c r="AA3635" s="194">
        <f t="shared" si="1765"/>
        <v>0</v>
      </c>
      <c r="AB3635" s="805"/>
      <c r="AC3635" s="191"/>
      <c r="AD3635" s="187"/>
      <c r="AE3635" s="195"/>
      <c r="AF3635" s="195"/>
      <c r="AG3635" s="196"/>
      <c r="AH3635" s="197"/>
      <c r="AK3635" s="156" t="s">
        <v>691</v>
      </c>
      <c r="AM3635" s="198">
        <f t="shared" si="1766"/>
        <v>0</v>
      </c>
      <c r="AN3635" s="199">
        <f t="shared" si="1767"/>
        <v>46238</v>
      </c>
      <c r="AO3635" s="159" t="s">
        <v>692</v>
      </c>
      <c r="AP3635" s="781"/>
      <c r="AQ3635" s="782"/>
      <c r="AR3635" s="782"/>
      <c r="AS3635" s="782"/>
      <c r="AT3635" s="782"/>
      <c r="AU3635" s="781"/>
      <c r="AV3635" s="782"/>
      <c r="AW3635" s="782"/>
      <c r="AX3635" s="782"/>
      <c r="AY3635" s="782"/>
      <c r="AZ3635" s="782"/>
      <c r="BA3635" s="781"/>
      <c r="BB3635" s="209"/>
    </row>
    <row r="3636" spans="1:54" ht="25" customHeight="1">
      <c r="A3636" s="142" t="s">
        <v>120</v>
      </c>
      <c r="B3636" s="369">
        <v>46239</v>
      </c>
      <c r="C3636" s="370">
        <v>46265</v>
      </c>
      <c r="D3636" s="185">
        <f t="shared" si="1737"/>
        <v>2026</v>
      </c>
      <c r="E3636" s="371" t="e">
        <f>VLOOKUP($B3636,Week!$A$1:$C$1462,2,0)</f>
        <v>#N/A</v>
      </c>
      <c r="F3636" s="372" t="str">
        <f t="shared" si="1738"/>
        <v>Aug</v>
      </c>
      <c r="G3636" s="371" t="s">
        <v>3026</v>
      </c>
      <c r="H3636" s="371" t="s">
        <v>344</v>
      </c>
      <c r="I3636" s="371" t="s">
        <v>2772</v>
      </c>
      <c r="J3636" s="373" t="s">
        <v>345</v>
      </c>
      <c r="K3636" s="374" t="s">
        <v>153</v>
      </c>
      <c r="L3636" s="390" t="s">
        <v>2166</v>
      </c>
      <c r="M3636" s="373" t="s">
        <v>214</v>
      </c>
      <c r="N3636" s="371" t="s">
        <v>346</v>
      </c>
      <c r="O3636" s="371" t="s">
        <v>509</v>
      </c>
      <c r="P3636" s="375">
        <v>18</v>
      </c>
      <c r="Q3636" s="375">
        <v>8</v>
      </c>
      <c r="R3636" s="376">
        <v>6.8100000000000001E-3</v>
      </c>
      <c r="S3636" s="371" t="s">
        <v>76</v>
      </c>
      <c r="T3636" s="371" t="s">
        <v>56</v>
      </c>
      <c r="U3636" s="371" t="s">
        <v>89</v>
      </c>
      <c r="V3636" s="377">
        <v>1342</v>
      </c>
      <c r="W3636" s="377">
        <f>791</f>
        <v>791</v>
      </c>
      <c r="X3636" s="378">
        <f>(44+9880)/18</f>
        <v>551.33333333333337</v>
      </c>
      <c r="Y3636" s="379">
        <f t="shared" ref="Y3636:Y3658" si="1768">(W3636+X3636)-V3636</f>
        <v>0.33333333333348492</v>
      </c>
      <c r="Z3636" s="380">
        <f t="shared" ref="Z3636:Z3658" si="1769">IF(Y3636&lt;0,((V3636*P3636)-((W3636+X3636)*P3636)),0)</f>
        <v>0</v>
      </c>
      <c r="AA3636" s="380">
        <f t="shared" si="1765"/>
        <v>0</v>
      </c>
      <c r="AB3636" s="820">
        <v>1</v>
      </c>
      <c r="AC3636" s="377">
        <f t="shared" ref="AC3636:AC3658" si="1770">Z3636*AB3636</f>
        <v>0</v>
      </c>
      <c r="AD3636" s="443"/>
      <c r="AE3636" s="210">
        <f t="shared" ref="AE3636:AE3658" si="1771">SUM(Q3636*R3636*Z3636)/1000</f>
        <v>0</v>
      </c>
      <c r="AF3636" s="210">
        <f t="shared" ref="AF3636:AF3658" si="1772">AE3636/0.54</f>
        <v>0</v>
      </c>
      <c r="AG3636" s="211">
        <f>MID(O3636,1,3)/1000</f>
        <v>0.10100000000000001</v>
      </c>
      <c r="AH3636" s="157">
        <f t="shared" ref="AH3636:AH3641" si="1773">(Z3636*AG3636)/1000</f>
        <v>0</v>
      </c>
      <c r="AI3636" s="152">
        <f t="shared" ref="AI3636:AI3658" si="1774">V3636*P3636</f>
        <v>24156</v>
      </c>
      <c r="AK3636" s="156" t="s">
        <v>691</v>
      </c>
      <c r="AL3636" s="156" t="s">
        <v>689</v>
      </c>
      <c r="AM3636" s="198">
        <f t="shared" si="1766"/>
        <v>0</v>
      </c>
      <c r="AN3636" s="199">
        <f t="shared" si="1767"/>
        <v>46239</v>
      </c>
      <c r="AO3636" s="159" t="s">
        <v>692</v>
      </c>
      <c r="AP3636" s="781"/>
      <c r="AQ3636" s="783" t="s">
        <v>631</v>
      </c>
      <c r="AR3636" s="782">
        <v>12038019</v>
      </c>
      <c r="AS3636" s="781"/>
      <c r="AT3636" s="800">
        <v>12096586</v>
      </c>
      <c r="AU3636" s="781"/>
      <c r="AV3636" s="800">
        <v>12096585</v>
      </c>
      <c r="AW3636" s="781"/>
      <c r="AX3636" s="781" t="s">
        <v>162</v>
      </c>
      <c r="AY3636" s="781"/>
      <c r="AZ3636" s="781"/>
      <c r="BA3636" s="781"/>
      <c r="BB3636" s="209">
        <v>23053184</v>
      </c>
    </row>
    <row r="3637" spans="1:54" ht="25.15" customHeight="1">
      <c r="B3637" s="345">
        <v>46239</v>
      </c>
      <c r="C3637" s="346">
        <v>46266</v>
      </c>
      <c r="D3637" s="185">
        <f t="shared" si="1737"/>
        <v>2026</v>
      </c>
      <c r="E3637" s="347" t="e">
        <f>VLOOKUP($B3637,Week!$A$1:$C$1462,2,0)</f>
        <v>#N/A</v>
      </c>
      <c r="F3637" s="348" t="str">
        <f t="shared" si="1738"/>
        <v>Aug</v>
      </c>
      <c r="G3637" s="347" t="s">
        <v>2805</v>
      </c>
      <c r="H3637" s="347" t="s">
        <v>424</v>
      </c>
      <c r="I3637" s="347" t="s">
        <v>2772</v>
      </c>
      <c r="J3637" s="438" t="s">
        <v>425</v>
      </c>
      <c r="K3637" s="350" t="s">
        <v>176</v>
      </c>
      <c r="L3637" s="350" t="s">
        <v>2167</v>
      </c>
      <c r="M3637" s="349" t="s">
        <v>426</v>
      </c>
      <c r="N3637" s="347" t="s">
        <v>427</v>
      </c>
      <c r="O3637" s="347" t="s">
        <v>599</v>
      </c>
      <c r="P3637" s="351">
        <v>36</v>
      </c>
      <c r="Q3637" s="351">
        <v>5</v>
      </c>
      <c r="R3637" s="352">
        <v>7.4999999999999997E-3</v>
      </c>
      <c r="S3637" s="347" t="s">
        <v>111</v>
      </c>
      <c r="T3637" s="347" t="s">
        <v>112</v>
      </c>
      <c r="U3637" s="347" t="s">
        <v>57</v>
      </c>
      <c r="V3637" s="353">
        <v>1288</v>
      </c>
      <c r="W3637" s="353">
        <f>7+1281</f>
        <v>1288</v>
      </c>
      <c r="X3637" s="354"/>
      <c r="Y3637" s="355">
        <f t="shared" si="1768"/>
        <v>0</v>
      </c>
      <c r="Z3637" s="356">
        <f t="shared" si="1769"/>
        <v>0</v>
      </c>
      <c r="AA3637" s="353">
        <f t="shared" si="1765"/>
        <v>0</v>
      </c>
      <c r="AB3637" s="818">
        <v>7.4999999999999997E-3</v>
      </c>
      <c r="AC3637" s="353">
        <f t="shared" si="1770"/>
        <v>0</v>
      </c>
      <c r="AD3637" s="307" t="s">
        <v>2448</v>
      </c>
      <c r="AE3637" s="210">
        <f t="shared" si="1771"/>
        <v>0</v>
      </c>
      <c r="AF3637" s="210">
        <f t="shared" si="1772"/>
        <v>0</v>
      </c>
      <c r="AG3637" s="211">
        <f>MID(O3637,1,3)/1000</f>
        <v>0.14799999999999999</v>
      </c>
      <c r="AH3637" s="157">
        <f t="shared" si="1773"/>
        <v>0</v>
      </c>
      <c r="AI3637" s="152">
        <f t="shared" si="1774"/>
        <v>46368</v>
      </c>
      <c r="AK3637" s="156" t="s">
        <v>691</v>
      </c>
      <c r="AL3637" s="574" t="s">
        <v>690</v>
      </c>
      <c r="AM3637" s="198">
        <f t="shared" si="1766"/>
        <v>0</v>
      </c>
      <c r="AN3637" s="199">
        <f t="shared" si="1767"/>
        <v>46239</v>
      </c>
      <c r="AO3637" s="159" t="s">
        <v>692</v>
      </c>
      <c r="AP3637" s="783" t="s">
        <v>609</v>
      </c>
      <c r="AQ3637" s="782">
        <v>12071839</v>
      </c>
      <c r="AR3637" s="782">
        <v>12080260</v>
      </c>
      <c r="AS3637" s="782">
        <v>12080259</v>
      </c>
      <c r="AT3637" s="782">
        <v>12096006</v>
      </c>
      <c r="AU3637" s="782"/>
      <c r="AV3637" s="782">
        <v>12096007</v>
      </c>
      <c r="AW3637" s="782">
        <v>12024404</v>
      </c>
      <c r="AX3637" s="781"/>
      <c r="AY3637" s="782">
        <v>12096022</v>
      </c>
      <c r="AZ3637" s="782"/>
      <c r="BA3637" s="781"/>
      <c r="BB3637" s="209">
        <v>23053185</v>
      </c>
    </row>
    <row r="3638" spans="1:54" ht="25" customHeight="1">
      <c r="B3638" s="213">
        <v>46239</v>
      </c>
      <c r="C3638" s="214">
        <v>46272</v>
      </c>
      <c r="D3638" s="185">
        <f>IF(B3638="","",YEAR(B3638))</f>
        <v>2026</v>
      </c>
      <c r="E3638" s="215" t="e">
        <f>VLOOKUP($B3638,Week!$A$1:$C$1462,2,0)</f>
        <v>#N/A</v>
      </c>
      <c r="F3638" s="216" t="str">
        <f>IF(B3638="","",TEXT(B3638,"[$-409]mmm"))</f>
        <v>Aug</v>
      </c>
      <c r="G3638" s="215" t="s">
        <v>3036</v>
      </c>
      <c r="H3638" s="215" t="s">
        <v>134</v>
      </c>
      <c r="I3638" s="215" t="s">
        <v>2772</v>
      </c>
      <c r="J3638" s="209" t="s">
        <v>2932</v>
      </c>
      <c r="K3638" s="217" t="s">
        <v>1648</v>
      </c>
      <c r="L3638" s="300" t="s">
        <v>2167</v>
      </c>
      <c r="M3638" s="209" t="s">
        <v>193</v>
      </c>
      <c r="N3638" s="215" t="s">
        <v>205</v>
      </c>
      <c r="O3638" s="215" t="s">
        <v>206</v>
      </c>
      <c r="P3638" s="218">
        <v>24</v>
      </c>
      <c r="Q3638" s="218">
        <v>5</v>
      </c>
      <c r="R3638" s="219">
        <v>8.0000000000000002E-3</v>
      </c>
      <c r="S3638" s="215" t="s">
        <v>40</v>
      </c>
      <c r="T3638" s="215" t="s">
        <v>56</v>
      </c>
      <c r="U3638" s="480" t="s">
        <v>499</v>
      </c>
      <c r="V3638" s="220">
        <f>200</f>
        <v>200</v>
      </c>
      <c r="W3638" s="220">
        <f>57+143</f>
        <v>200</v>
      </c>
      <c r="X3638" s="221"/>
      <c r="Y3638" s="222">
        <f>(W3638+X3638)-V3638</f>
        <v>0</v>
      </c>
      <c r="Z3638" s="223">
        <f>IF(Y3638&lt;0,((V3638*P3638)-((W3638+X3638)*P3638)),0)</f>
        <v>0</v>
      </c>
      <c r="AA3638" s="220">
        <f>Q3638*Z3638</f>
        <v>0</v>
      </c>
      <c r="AB3638" s="807">
        <v>1</v>
      </c>
      <c r="AC3638" s="220">
        <f>Z3638*AB3638</f>
        <v>0</v>
      </c>
      <c r="AD3638" s="381"/>
      <c r="AE3638" s="210">
        <f>SUM(Q3638*R3638*Z3638)/1000</f>
        <v>0</v>
      </c>
      <c r="AF3638" s="210">
        <f>AE3638/0.54</f>
        <v>0</v>
      </c>
      <c r="AG3638" s="211">
        <f>MID(O3638,1,3)/1000</f>
        <v>0.115</v>
      </c>
      <c r="AH3638" s="157">
        <f>(Z3638*AG3638)/1000</f>
        <v>0</v>
      </c>
      <c r="AI3638" s="152">
        <f>V3638*P3638</f>
        <v>4800</v>
      </c>
      <c r="AK3638" s="156" t="s">
        <v>691</v>
      </c>
      <c r="AL3638" s="212" t="s">
        <v>690</v>
      </c>
      <c r="AM3638" s="198">
        <f>AG3638*Z3638</f>
        <v>0</v>
      </c>
      <c r="AN3638" s="199">
        <f>B3638</f>
        <v>46239</v>
      </c>
      <c r="AO3638" s="159" t="s">
        <v>692</v>
      </c>
      <c r="AP3638" s="783" t="s">
        <v>610</v>
      </c>
      <c r="AQ3638" s="782">
        <v>12071839</v>
      </c>
      <c r="AR3638" s="782">
        <v>12047514</v>
      </c>
      <c r="AS3638" s="782">
        <v>12047515</v>
      </c>
      <c r="AT3638" s="782"/>
      <c r="AU3638" s="782">
        <v>12026902</v>
      </c>
      <c r="AV3638" s="782">
        <v>12098136</v>
      </c>
      <c r="AW3638" s="782">
        <v>12026904</v>
      </c>
      <c r="AX3638" s="782"/>
      <c r="AY3638" s="782">
        <v>12094111</v>
      </c>
      <c r="AZ3638" s="782">
        <v>12094113</v>
      </c>
      <c r="BA3638" s="782">
        <v>12094114</v>
      </c>
    </row>
    <row r="3639" spans="1:54" ht="25" customHeight="1">
      <c r="A3639" s="142" t="s">
        <v>120</v>
      </c>
      <c r="B3639" s="369">
        <v>46240</v>
      </c>
      <c r="C3639" s="370">
        <v>46265</v>
      </c>
      <c r="D3639" s="185">
        <f t="shared" si="1737"/>
        <v>2026</v>
      </c>
      <c r="E3639" s="371" t="e">
        <f>VLOOKUP($B3639,Week!$A$1:$C$1462,2,0)</f>
        <v>#N/A</v>
      </c>
      <c r="F3639" s="372" t="str">
        <f t="shared" si="1738"/>
        <v>Aug</v>
      </c>
      <c r="G3639" s="371" t="s">
        <v>3026</v>
      </c>
      <c r="H3639" s="371" t="s">
        <v>344</v>
      </c>
      <c r="I3639" s="371" t="s">
        <v>2772</v>
      </c>
      <c r="J3639" s="373" t="s">
        <v>345</v>
      </c>
      <c r="K3639" s="374" t="s">
        <v>153</v>
      </c>
      <c r="L3639" s="390" t="s">
        <v>2166</v>
      </c>
      <c r="M3639" s="373" t="s">
        <v>214</v>
      </c>
      <c r="N3639" s="371" t="s">
        <v>346</v>
      </c>
      <c r="O3639" s="371" t="s">
        <v>509</v>
      </c>
      <c r="P3639" s="375">
        <v>18</v>
      </c>
      <c r="Q3639" s="375">
        <v>8</v>
      </c>
      <c r="R3639" s="376">
        <v>6.8100000000000001E-3</v>
      </c>
      <c r="S3639" s="371" t="s">
        <v>76</v>
      </c>
      <c r="T3639" s="371" t="s">
        <v>56</v>
      </c>
      <c r="U3639" s="371" t="s">
        <v>89</v>
      </c>
      <c r="V3639" s="377">
        <f>1900-1342</f>
        <v>558</v>
      </c>
      <c r="W3639" s="377">
        <v>194</v>
      </c>
      <c r="X3639" s="378">
        <f>6552/18</f>
        <v>364</v>
      </c>
      <c r="Y3639" s="379">
        <f t="shared" si="1768"/>
        <v>0</v>
      </c>
      <c r="Z3639" s="380">
        <f t="shared" si="1769"/>
        <v>0</v>
      </c>
      <c r="AA3639" s="380">
        <f t="shared" si="1765"/>
        <v>0</v>
      </c>
      <c r="AB3639" s="820">
        <v>1</v>
      </c>
      <c r="AC3639" s="377">
        <f t="shared" si="1770"/>
        <v>0</v>
      </c>
      <c r="AD3639" s="443"/>
      <c r="AE3639" s="210">
        <f t="shared" si="1771"/>
        <v>0</v>
      </c>
      <c r="AF3639" s="210">
        <f t="shared" si="1772"/>
        <v>0</v>
      </c>
      <c r="AG3639" s="211">
        <f>MID(O3639,1,3)/1000</f>
        <v>0.10100000000000001</v>
      </c>
      <c r="AH3639" s="157">
        <f t="shared" si="1773"/>
        <v>0</v>
      </c>
      <c r="AI3639" s="152">
        <f t="shared" si="1774"/>
        <v>10044</v>
      </c>
      <c r="AK3639" s="156" t="s">
        <v>691</v>
      </c>
      <c r="AL3639" s="156" t="s">
        <v>689</v>
      </c>
      <c r="AM3639" s="198">
        <f t="shared" si="1766"/>
        <v>0</v>
      </c>
      <c r="AN3639" s="199">
        <f t="shared" si="1767"/>
        <v>46240</v>
      </c>
      <c r="AO3639" s="159" t="s">
        <v>692</v>
      </c>
      <c r="AP3639" s="781"/>
      <c r="AQ3639" s="783" t="s">
        <v>631</v>
      </c>
      <c r="AR3639" s="782">
        <v>12038019</v>
      </c>
      <c r="AS3639" s="781"/>
      <c r="AT3639" s="800">
        <v>12096586</v>
      </c>
      <c r="AU3639" s="781"/>
      <c r="AV3639" s="800">
        <v>12096585</v>
      </c>
      <c r="AW3639" s="781"/>
      <c r="AX3639" s="781" t="s">
        <v>162</v>
      </c>
      <c r="AY3639" s="781"/>
      <c r="AZ3639" s="781"/>
      <c r="BA3639" s="781"/>
      <c r="BB3639" s="209">
        <v>23053184</v>
      </c>
    </row>
    <row r="3640" spans="1:54" ht="25" customHeight="1">
      <c r="A3640" s="142" t="s">
        <v>120</v>
      </c>
      <c r="B3640" s="383">
        <v>46240</v>
      </c>
      <c r="C3640" s="224">
        <v>46266</v>
      </c>
      <c r="D3640" s="225">
        <f t="shared" si="1737"/>
        <v>2026</v>
      </c>
      <c r="E3640" s="225" t="e">
        <f>VLOOKUP($B3640,Week!$A$1:$C$1462,2,0)</f>
        <v>#N/A</v>
      </c>
      <c r="F3640" s="226" t="str">
        <f t="shared" si="1738"/>
        <v>Aug</v>
      </c>
      <c r="G3640" s="225" t="s">
        <v>3100</v>
      </c>
      <c r="H3640" s="225" t="s">
        <v>392</v>
      </c>
      <c r="I3640" s="225" t="s">
        <v>2772</v>
      </c>
      <c r="J3640" s="227" t="s">
        <v>393</v>
      </c>
      <c r="K3640" s="228" t="s">
        <v>153</v>
      </c>
      <c r="L3640" s="228" t="s">
        <v>2166</v>
      </c>
      <c r="M3640" s="227" t="s">
        <v>2363</v>
      </c>
      <c r="N3640" s="225" t="s">
        <v>2886</v>
      </c>
      <c r="O3640" s="225" t="s">
        <v>2365</v>
      </c>
      <c r="P3640" s="229">
        <v>18</v>
      </c>
      <c r="Q3640" s="229">
        <v>8</v>
      </c>
      <c r="R3640" s="230">
        <v>6.8100000000000001E-3</v>
      </c>
      <c r="S3640" s="225" t="s">
        <v>76</v>
      </c>
      <c r="T3640" s="225" t="s">
        <v>56</v>
      </c>
      <c r="U3640" s="917" t="s">
        <v>499</v>
      </c>
      <c r="V3640" s="231">
        <f>150</f>
        <v>150</v>
      </c>
      <c r="W3640" s="231">
        <f>4+146</f>
        <v>150</v>
      </c>
      <c r="X3640" s="232"/>
      <c r="Y3640" s="233">
        <f t="shared" si="1768"/>
        <v>0</v>
      </c>
      <c r="Z3640" s="234">
        <f t="shared" si="1769"/>
        <v>0</v>
      </c>
      <c r="AA3640" s="234">
        <f t="shared" si="1765"/>
        <v>0</v>
      </c>
      <c r="AB3640" s="822">
        <v>1</v>
      </c>
      <c r="AC3640" s="231">
        <f t="shared" si="1770"/>
        <v>0</v>
      </c>
      <c r="AD3640" s="772" t="s">
        <v>2614</v>
      </c>
      <c r="AE3640" s="210">
        <f t="shared" si="1771"/>
        <v>0</v>
      </c>
      <c r="AF3640" s="210">
        <f t="shared" si="1772"/>
        <v>0</v>
      </c>
      <c r="AG3640" s="211">
        <f>MID(O3640,1,2)/1000</f>
        <v>1.2E-2</v>
      </c>
      <c r="AH3640" s="157">
        <f t="shared" si="1773"/>
        <v>0</v>
      </c>
      <c r="AI3640" s="152">
        <f t="shared" si="1774"/>
        <v>2700</v>
      </c>
      <c r="AK3640" s="156" t="s">
        <v>691</v>
      </c>
      <c r="AL3640" s="156" t="s">
        <v>689</v>
      </c>
      <c r="AM3640" s="198">
        <f t="shared" si="1766"/>
        <v>0</v>
      </c>
      <c r="AN3640" s="199">
        <f t="shared" si="1767"/>
        <v>46240</v>
      </c>
      <c r="AO3640" s="159" t="s">
        <v>692</v>
      </c>
      <c r="AP3640" s="783"/>
      <c r="AQ3640" s="783" t="s">
        <v>631</v>
      </c>
      <c r="AR3640" s="796">
        <v>12038019</v>
      </c>
      <c r="AS3640" s="782"/>
      <c r="AT3640" s="782">
        <v>12098299</v>
      </c>
      <c r="AU3640" s="782"/>
      <c r="AV3640" s="782">
        <v>12098340</v>
      </c>
      <c r="AW3640" s="782"/>
      <c r="AX3640" s="781" t="s">
        <v>162</v>
      </c>
      <c r="AY3640" s="782"/>
      <c r="AZ3640" s="782"/>
      <c r="BA3640" s="781"/>
      <c r="BB3640" s="209">
        <v>23053184</v>
      </c>
    </row>
    <row r="3641" spans="1:54" ht="24.65" customHeight="1">
      <c r="A3641" s="142" t="s">
        <v>120</v>
      </c>
      <c r="B3641" s="258">
        <v>46240</v>
      </c>
      <c r="C3641" s="259">
        <v>46272</v>
      </c>
      <c r="D3641" s="185">
        <f t="shared" si="1737"/>
        <v>2026</v>
      </c>
      <c r="E3641" s="260" t="e">
        <f>VLOOKUP($B3641,Week!$A$1:$C$1462,2,0)</f>
        <v>#N/A</v>
      </c>
      <c r="F3641" s="261" t="str">
        <f t="shared" si="1738"/>
        <v>Aug</v>
      </c>
      <c r="G3641" s="262" t="s">
        <v>3036</v>
      </c>
      <c r="H3641" s="260" t="s">
        <v>134</v>
      </c>
      <c r="I3641" s="260" t="s">
        <v>2772</v>
      </c>
      <c r="J3641" s="263" t="s">
        <v>2932</v>
      </c>
      <c r="K3641" s="264" t="s">
        <v>153</v>
      </c>
      <c r="L3641" s="390" t="s">
        <v>2166</v>
      </c>
      <c r="M3641" s="263" t="s">
        <v>165</v>
      </c>
      <c r="N3641" s="260" t="s">
        <v>166</v>
      </c>
      <c r="O3641" s="260" t="s">
        <v>502</v>
      </c>
      <c r="P3641" s="265">
        <v>20</v>
      </c>
      <c r="Q3641" s="265">
        <v>12</v>
      </c>
      <c r="R3641" s="266">
        <v>6.8100000000000001E-3</v>
      </c>
      <c r="S3641" s="260" t="s">
        <v>76</v>
      </c>
      <c r="T3641" s="260" t="s">
        <v>56</v>
      </c>
      <c r="U3641" s="260" t="s">
        <v>89</v>
      </c>
      <c r="V3641" s="267">
        <v>579</v>
      </c>
      <c r="W3641" s="267">
        <f>72</f>
        <v>72</v>
      </c>
      <c r="X3641" s="268">
        <f>(920+9220)/20</f>
        <v>507</v>
      </c>
      <c r="Y3641" s="269">
        <f t="shared" si="1768"/>
        <v>0</v>
      </c>
      <c r="Z3641" s="270">
        <f t="shared" si="1769"/>
        <v>0</v>
      </c>
      <c r="AA3641" s="270">
        <f t="shared" si="1765"/>
        <v>0</v>
      </c>
      <c r="AB3641" s="811">
        <v>2</v>
      </c>
      <c r="AC3641" s="267">
        <f t="shared" si="1770"/>
        <v>0</v>
      </c>
      <c r="AD3641" s="209" t="s">
        <v>168</v>
      </c>
      <c r="AE3641" s="210">
        <f t="shared" si="1771"/>
        <v>0</v>
      </c>
      <c r="AF3641" s="210">
        <f t="shared" si="1772"/>
        <v>0</v>
      </c>
      <c r="AG3641" s="211">
        <f t="shared" ref="AG3641:AG3646" si="1775">MID(O3641,1,3)/1000</f>
        <v>0.154</v>
      </c>
      <c r="AH3641" s="157">
        <f t="shared" si="1773"/>
        <v>0</v>
      </c>
      <c r="AI3641" s="152">
        <f t="shared" si="1774"/>
        <v>11580</v>
      </c>
      <c r="AK3641" s="156" t="s">
        <v>691</v>
      </c>
      <c r="AL3641" s="156" t="s">
        <v>689</v>
      </c>
      <c r="AM3641" s="198">
        <f t="shared" si="1766"/>
        <v>0</v>
      </c>
      <c r="AN3641" s="199">
        <f t="shared" si="1767"/>
        <v>46240</v>
      </c>
      <c r="AO3641" s="159" t="s">
        <v>692</v>
      </c>
      <c r="AP3641" s="783" t="s">
        <v>610</v>
      </c>
      <c r="AQ3641" s="783" t="s">
        <v>631</v>
      </c>
      <c r="AR3641" s="783" t="s">
        <v>523</v>
      </c>
      <c r="AS3641" s="781"/>
      <c r="AT3641" s="782">
        <v>12096524</v>
      </c>
      <c r="AU3641" s="781"/>
      <c r="AV3641" s="783" t="s">
        <v>2507</v>
      </c>
      <c r="AW3641" s="781"/>
      <c r="AX3641" s="782" t="s">
        <v>398</v>
      </c>
      <c r="AY3641" s="781"/>
      <c r="AZ3641" s="781"/>
      <c r="BA3641" s="781"/>
      <c r="BB3641" s="209">
        <v>23053184</v>
      </c>
    </row>
    <row r="3642" spans="1:54" ht="26.25" customHeight="1">
      <c r="B3642" s="235">
        <v>46240</v>
      </c>
      <c r="C3642" s="235">
        <v>46266</v>
      </c>
      <c r="D3642" s="185">
        <f>IF(B3642="","",YEAR(B3642))</f>
        <v>2026</v>
      </c>
      <c r="E3642" s="236" t="e">
        <f>VLOOKUP($B3642,Week!$A$1:$C$1462,2,0)</f>
        <v>#N/A</v>
      </c>
      <c r="F3642" s="237" t="str">
        <f>IF(B3642="","",TEXT(B3642,"[$-409]mmm"))</f>
        <v>Aug</v>
      </c>
      <c r="G3642" s="236" t="s">
        <v>3100</v>
      </c>
      <c r="H3642" s="236" t="s">
        <v>392</v>
      </c>
      <c r="I3642" s="236" t="s">
        <v>2772</v>
      </c>
      <c r="J3642" s="238" t="s">
        <v>393</v>
      </c>
      <c r="K3642" s="239" t="s">
        <v>1643</v>
      </c>
      <c r="L3642" s="300" t="s">
        <v>2167</v>
      </c>
      <c r="M3642" s="238" t="s">
        <v>2385</v>
      </c>
      <c r="N3642" s="236" t="s">
        <v>407</v>
      </c>
      <c r="O3642" s="236" t="s">
        <v>206</v>
      </c>
      <c r="P3642" s="240">
        <v>24</v>
      </c>
      <c r="Q3642" s="240">
        <v>5</v>
      </c>
      <c r="R3642" s="241">
        <v>8.0000000000000002E-3</v>
      </c>
      <c r="S3642" s="236" t="s">
        <v>40</v>
      </c>
      <c r="T3642" s="236" t="s">
        <v>56</v>
      </c>
      <c r="U3642" s="640" t="s">
        <v>499</v>
      </c>
      <c r="V3642" s="242">
        <f>950</f>
        <v>950</v>
      </c>
      <c r="W3642" s="242">
        <f>22+847</f>
        <v>869</v>
      </c>
      <c r="X3642" s="243">
        <f>(2029)/24</f>
        <v>84.541666666666671</v>
      </c>
      <c r="Y3642" s="244">
        <f>(W3642+X3642)-V3642</f>
        <v>3.5416666666666288</v>
      </c>
      <c r="Z3642" s="245">
        <f>IF(Y3642&lt;0,((V3642*P3642)-((W3642+X3642)*P3642)),0)</f>
        <v>0</v>
      </c>
      <c r="AA3642" s="245">
        <f>Q3642*Z3642</f>
        <v>0</v>
      </c>
      <c r="AB3642" s="809">
        <v>1</v>
      </c>
      <c r="AC3642" s="242">
        <f>Z3642*AB3642</f>
        <v>0</v>
      </c>
      <c r="AD3642" s="772" t="s">
        <v>2614</v>
      </c>
      <c r="AE3642" s="210">
        <f>SUM(Q3642*R3642*Z3642)/1000</f>
        <v>0</v>
      </c>
      <c r="AF3642" s="210">
        <f>AE3642/0.54</f>
        <v>0</v>
      </c>
      <c r="AG3642" s="211">
        <f>MID(O3642,1,3)/1000</f>
        <v>0.115</v>
      </c>
      <c r="AH3642" s="157">
        <f>(Z3642*AG3642)/1000</f>
        <v>0</v>
      </c>
      <c r="AI3642" s="152">
        <f>V3642*P3642</f>
        <v>22800</v>
      </c>
      <c r="AK3642" s="156" t="s">
        <v>691</v>
      </c>
      <c r="AL3642" s="574" t="s">
        <v>690</v>
      </c>
      <c r="AM3642" s="198">
        <f>AG3642*Z3642</f>
        <v>0</v>
      </c>
      <c r="AN3642" s="199">
        <f>B3642</f>
        <v>46240</v>
      </c>
      <c r="AO3642" s="159" t="s">
        <v>692</v>
      </c>
      <c r="AP3642" s="783" t="s">
        <v>608</v>
      </c>
      <c r="AQ3642" s="782">
        <v>12071839</v>
      </c>
      <c r="AR3642" s="782">
        <v>12047514</v>
      </c>
      <c r="AS3642" s="782">
        <v>12047515</v>
      </c>
      <c r="AT3642" s="781"/>
      <c r="AU3642" s="782">
        <v>12026902</v>
      </c>
      <c r="AV3642" s="782">
        <v>12098047</v>
      </c>
      <c r="AW3642" s="782">
        <v>12026904</v>
      </c>
      <c r="AX3642" s="781"/>
      <c r="AY3642" s="783" t="s">
        <v>2403</v>
      </c>
      <c r="AZ3642" s="783" t="s">
        <v>2404</v>
      </c>
      <c r="BA3642" s="783" t="s">
        <v>2405</v>
      </c>
      <c r="BB3642" s="209">
        <v>23052995</v>
      </c>
    </row>
    <row r="3643" spans="1:54" ht="24.65" customHeight="1">
      <c r="B3643" s="224">
        <v>46240</v>
      </c>
      <c r="C3643" s="224">
        <v>46266</v>
      </c>
      <c r="D3643" s="185">
        <f>IF(B3643="","",YEAR(B3643))</f>
        <v>2026</v>
      </c>
      <c r="E3643" s="225" t="e">
        <f>VLOOKUP($B3643,Week!$A$1:$C$1462,2,0)</f>
        <v>#N/A</v>
      </c>
      <c r="F3643" s="226" t="str">
        <f>IF(B3643="","",TEXT(B3643,"[$-409]mmm"))</f>
        <v>Aug</v>
      </c>
      <c r="G3643" s="225" t="s">
        <v>3100</v>
      </c>
      <c r="H3643" s="225" t="s">
        <v>392</v>
      </c>
      <c r="I3643" s="225" t="s">
        <v>2772</v>
      </c>
      <c r="J3643" s="227" t="s">
        <v>393</v>
      </c>
      <c r="K3643" s="228" t="s">
        <v>176</v>
      </c>
      <c r="L3643" s="300" t="s">
        <v>2167</v>
      </c>
      <c r="M3643" s="228" t="s">
        <v>399</v>
      </c>
      <c r="N3643" s="225" t="s">
        <v>400</v>
      </c>
      <c r="O3643" s="225" t="s">
        <v>195</v>
      </c>
      <c r="P3643" s="229">
        <v>24</v>
      </c>
      <c r="Q3643" s="229">
        <v>5</v>
      </c>
      <c r="R3643" s="230">
        <v>8.0000000000000002E-3</v>
      </c>
      <c r="S3643" s="225" t="s">
        <v>40</v>
      </c>
      <c r="T3643" s="225" t="s">
        <v>56</v>
      </c>
      <c r="U3643" s="225" t="s">
        <v>57</v>
      </c>
      <c r="V3643" s="231">
        <f>900</f>
        <v>900</v>
      </c>
      <c r="W3643" s="231">
        <f>10+890</f>
        <v>900</v>
      </c>
      <c r="X3643" s="232">
        <f>(280)/24</f>
        <v>11.666666666666666</v>
      </c>
      <c r="Y3643" s="233">
        <f>(W3643+X3643)-V3643</f>
        <v>11.666666666666629</v>
      </c>
      <c r="Z3643" s="234">
        <f>IF(Y3643&lt;0,((V3643*P3643)-((W3643+X3643)*P3643)),0)</f>
        <v>0</v>
      </c>
      <c r="AA3643" s="234">
        <f>Q3643*Z3643</f>
        <v>0</v>
      </c>
      <c r="AB3643" s="808">
        <v>7.4999999999999997E-3</v>
      </c>
      <c r="AC3643" s="231">
        <f>Z3643*AB3643</f>
        <v>0</v>
      </c>
      <c r="AD3643" s="557" t="s">
        <v>2614</v>
      </c>
      <c r="AE3643" s="210">
        <f>SUM(Q3643*R3643*Z3643)/1000</f>
        <v>0</v>
      </c>
      <c r="AF3643" s="210">
        <f>AE3643/0.54</f>
        <v>0</v>
      </c>
      <c r="AG3643" s="211">
        <f>MID(O3643,1,3)/1000</f>
        <v>0.14499999999999999</v>
      </c>
      <c r="AH3643" s="157">
        <f>(Z3643*AG3643)/1000</f>
        <v>0</v>
      </c>
      <c r="AI3643" s="152">
        <f>V3643*P3643</f>
        <v>21600</v>
      </c>
      <c r="AK3643" s="156" t="s">
        <v>691</v>
      </c>
      <c r="AL3643" s="574" t="s">
        <v>690</v>
      </c>
      <c r="AM3643" s="198">
        <f>AG3643*Z3643</f>
        <v>0</v>
      </c>
      <c r="AN3643" s="199">
        <f>B3643</f>
        <v>46240</v>
      </c>
      <c r="AO3643" s="159" t="s">
        <v>692</v>
      </c>
      <c r="AP3643" s="783" t="s">
        <v>638</v>
      </c>
      <c r="AQ3643" s="783" t="s">
        <v>631</v>
      </c>
      <c r="AR3643" s="783" t="s">
        <v>632</v>
      </c>
      <c r="AS3643" s="783" t="s">
        <v>633</v>
      </c>
      <c r="AT3643" s="781"/>
      <c r="AU3643" s="782">
        <v>12026902</v>
      </c>
      <c r="AV3643" s="783" t="s">
        <v>2981</v>
      </c>
      <c r="AW3643" s="782">
        <v>12026904</v>
      </c>
      <c r="AX3643" s="781"/>
      <c r="AY3643" s="783" t="s">
        <v>2463</v>
      </c>
      <c r="AZ3643" s="783" t="s">
        <v>2464</v>
      </c>
      <c r="BA3643" s="783" t="s">
        <v>2465</v>
      </c>
      <c r="BB3643" s="209">
        <v>23053185</v>
      </c>
    </row>
    <row r="3644" spans="1:54" ht="25" customHeight="1">
      <c r="B3644" s="213">
        <v>46240</v>
      </c>
      <c r="C3644" s="214">
        <v>46272</v>
      </c>
      <c r="D3644" s="185">
        <f>IF(B3644="","",YEAR(B3644))</f>
        <v>2026</v>
      </c>
      <c r="E3644" s="215" t="e">
        <f>VLOOKUP($B3644,Week!$A$1:$C$1462,2,0)</f>
        <v>#N/A</v>
      </c>
      <c r="F3644" s="216" t="str">
        <f>IF(B3644="","",TEXT(B3644,"[$-409]mmm"))</f>
        <v>Aug</v>
      </c>
      <c r="G3644" s="215" t="s">
        <v>2970</v>
      </c>
      <c r="H3644" s="215" t="s">
        <v>134</v>
      </c>
      <c r="I3644" s="215" t="s">
        <v>2772</v>
      </c>
      <c r="J3644" s="209" t="s">
        <v>2932</v>
      </c>
      <c r="K3644" s="217" t="s">
        <v>176</v>
      </c>
      <c r="L3644" s="300" t="s">
        <v>2167</v>
      </c>
      <c r="M3644" s="209" t="s">
        <v>193</v>
      </c>
      <c r="N3644" s="215" t="s">
        <v>194</v>
      </c>
      <c r="O3644" s="215" t="s">
        <v>195</v>
      </c>
      <c r="P3644" s="218">
        <v>24</v>
      </c>
      <c r="Q3644" s="218">
        <v>5</v>
      </c>
      <c r="R3644" s="219">
        <v>8.0000000000000002E-3</v>
      </c>
      <c r="S3644" s="215" t="s">
        <v>40</v>
      </c>
      <c r="T3644" s="215" t="s">
        <v>56</v>
      </c>
      <c r="U3644" s="215" t="s">
        <v>57</v>
      </c>
      <c r="V3644" s="220">
        <f>250</f>
        <v>250</v>
      </c>
      <c r="W3644" s="220">
        <f>250</f>
        <v>250</v>
      </c>
      <c r="X3644" s="221"/>
      <c r="Y3644" s="222">
        <f>(W3644+X3644)-V3644</f>
        <v>0</v>
      </c>
      <c r="Z3644" s="223">
        <f>IF(Y3644&lt;0,((V3644*P3644)-((W3644+X3644)*P3644)),0)</f>
        <v>0</v>
      </c>
      <c r="AA3644" s="220">
        <f>Q3644*Z3644</f>
        <v>0</v>
      </c>
      <c r="AB3644" s="807">
        <v>1</v>
      </c>
      <c r="AC3644" s="220">
        <f>Z3644*AB3644</f>
        <v>0</v>
      </c>
      <c r="AD3644" s="381"/>
      <c r="AE3644" s="210">
        <f>SUM(Q3644*R3644*Z3644)/1000</f>
        <v>0</v>
      </c>
      <c r="AF3644" s="210">
        <f>AE3644/0.54</f>
        <v>0</v>
      </c>
      <c r="AG3644" s="211">
        <f>MID(O3644,1,3)/1000</f>
        <v>0.14499999999999999</v>
      </c>
      <c r="AH3644" s="157">
        <f>(Z3644*AG3644)/1000</f>
        <v>0</v>
      </c>
      <c r="AI3644" s="152">
        <f>V3644*P3644</f>
        <v>6000</v>
      </c>
      <c r="AK3644" s="156" t="s">
        <v>691</v>
      </c>
      <c r="AL3644" s="212" t="s">
        <v>690</v>
      </c>
      <c r="AM3644" s="198">
        <f>AG3644*Z3644</f>
        <v>0</v>
      </c>
      <c r="AN3644" s="199">
        <f>B3644</f>
        <v>46240</v>
      </c>
      <c r="AO3644" s="159" t="s">
        <v>692</v>
      </c>
      <c r="AP3644" s="783" t="s">
        <v>610</v>
      </c>
      <c r="AQ3644" s="782">
        <v>12071839</v>
      </c>
      <c r="AR3644" s="782">
        <v>12047514</v>
      </c>
      <c r="AS3644" s="782">
        <v>12047515</v>
      </c>
      <c r="AT3644" s="782"/>
      <c r="AU3644" s="782">
        <v>12026902</v>
      </c>
      <c r="AV3644" s="796" t="s">
        <v>2980</v>
      </c>
      <c r="AW3644" s="782">
        <v>12026904</v>
      </c>
      <c r="AX3644" s="782"/>
      <c r="AY3644" s="782">
        <v>12094406</v>
      </c>
      <c r="AZ3644" s="782">
        <v>12094407</v>
      </c>
      <c r="BA3644" s="782">
        <v>12094408</v>
      </c>
    </row>
    <row r="3645" spans="1:54" ht="24.65" customHeight="1">
      <c r="B3645" s="320">
        <v>46240</v>
      </c>
      <c r="C3645" s="321">
        <v>46258</v>
      </c>
      <c r="D3645" s="323">
        <f>IF(B3645="","",YEAR(B3645))</f>
        <v>2026</v>
      </c>
      <c r="E3645" s="321" t="e">
        <f>VLOOKUP($B3645,Week!$A$1:$C$1462,2,0)</f>
        <v>#N/A</v>
      </c>
      <c r="F3645" s="322" t="str">
        <f>IF(B3645="","",TEXT(B3645,"[$-409]mmm"))</f>
        <v>Aug</v>
      </c>
      <c r="G3645" s="942" t="s">
        <v>3083</v>
      </c>
      <c r="H3645" s="943" t="s">
        <v>500</v>
      </c>
      <c r="I3645" s="943" t="s">
        <v>2772</v>
      </c>
      <c r="J3645" s="944" t="s">
        <v>679</v>
      </c>
      <c r="K3645" s="325" t="s">
        <v>51</v>
      </c>
      <c r="L3645" s="325" t="s">
        <v>2167</v>
      </c>
      <c r="M3645" s="324" t="s">
        <v>3082</v>
      </c>
      <c r="N3645" s="323" t="s">
        <v>3081</v>
      </c>
      <c r="O3645" s="323" t="s">
        <v>3080</v>
      </c>
      <c r="P3645" s="326">
        <v>36</v>
      </c>
      <c r="Q3645" s="326">
        <v>5</v>
      </c>
      <c r="R3645" s="327">
        <v>6.0000000000000001E-3</v>
      </c>
      <c r="S3645" s="323" t="s">
        <v>55</v>
      </c>
      <c r="T3645" s="323" t="s">
        <v>112</v>
      </c>
      <c r="U3645" s="323" t="s">
        <v>57</v>
      </c>
      <c r="V3645" s="328">
        <f>874</f>
        <v>874</v>
      </c>
      <c r="W3645" s="328">
        <v>874</v>
      </c>
      <c r="X3645" s="329"/>
      <c r="Y3645" s="330">
        <f>(W3645+X3645)-V3645</f>
        <v>0</v>
      </c>
      <c r="Z3645" s="331">
        <f>IF(Y3645&lt;0,((V3645*P3645)-((W3645+X3645)*P3645)),0)</f>
        <v>0</v>
      </c>
      <c r="AA3645" s="331">
        <f>Q3645*Z3645</f>
        <v>0</v>
      </c>
      <c r="AB3645" s="816">
        <v>7.4999999999999997E-3</v>
      </c>
      <c r="AC3645" s="328">
        <f>Z3645*AB3645</f>
        <v>0</v>
      </c>
      <c r="AD3645" s="918" t="s">
        <v>3079</v>
      </c>
      <c r="AE3645" s="210">
        <f>SUM(Q3645*R3645*Z3645)/1000</f>
        <v>0</v>
      </c>
      <c r="AF3645" s="210">
        <f>AE3645/0.54</f>
        <v>0</v>
      </c>
      <c r="AG3645" s="211">
        <v>0.14499999999999999</v>
      </c>
      <c r="AH3645" s="157">
        <f>(Z3645*AG3645)/1000</f>
        <v>0</v>
      </c>
      <c r="AI3645" s="152">
        <v>19800</v>
      </c>
      <c r="AK3645" s="156" t="s">
        <v>691</v>
      </c>
      <c r="AL3645" s="212" t="s">
        <v>690</v>
      </c>
      <c r="AM3645" s="198">
        <f>AG3645*Z3645</f>
        <v>0</v>
      </c>
      <c r="AN3645" s="199">
        <f>B3645</f>
        <v>46240</v>
      </c>
      <c r="AO3645" s="159" t="s">
        <v>692</v>
      </c>
      <c r="AP3645" s="781"/>
      <c r="AQ3645" s="782">
        <v>12071839</v>
      </c>
      <c r="AR3645" s="782">
        <v>12042650</v>
      </c>
      <c r="AS3645" s="782">
        <v>12042649</v>
      </c>
      <c r="AT3645" s="782">
        <v>12099566</v>
      </c>
      <c r="AU3645" s="781"/>
      <c r="AV3645" s="782">
        <v>12099567</v>
      </c>
      <c r="AW3645" s="782"/>
      <c r="AX3645" s="782"/>
      <c r="AY3645" s="782"/>
      <c r="AZ3645" s="782"/>
      <c r="BA3645" s="781"/>
      <c r="BB3645" s="209">
        <v>23053185</v>
      </c>
    </row>
    <row r="3646" spans="1:54" ht="24.65" customHeight="1">
      <c r="A3646" s="142" t="s">
        <v>120</v>
      </c>
      <c r="B3646" s="258">
        <v>46241</v>
      </c>
      <c r="C3646" s="259">
        <v>46272</v>
      </c>
      <c r="D3646" s="185">
        <f t="shared" si="1737"/>
        <v>2026</v>
      </c>
      <c r="E3646" s="260" t="e">
        <f>VLOOKUP($B3646,Week!$A$1:$C$1462,2,0)</f>
        <v>#N/A</v>
      </c>
      <c r="F3646" s="261" t="str">
        <f t="shared" si="1738"/>
        <v>Aug</v>
      </c>
      <c r="G3646" s="262" t="s">
        <v>3036</v>
      </c>
      <c r="H3646" s="260" t="s">
        <v>134</v>
      </c>
      <c r="I3646" s="260" t="s">
        <v>2772</v>
      </c>
      <c r="J3646" s="263" t="s">
        <v>2932</v>
      </c>
      <c r="K3646" s="264" t="s">
        <v>153</v>
      </c>
      <c r="L3646" s="390" t="s">
        <v>2166</v>
      </c>
      <c r="M3646" s="263" t="s">
        <v>165</v>
      </c>
      <c r="N3646" s="260" t="s">
        <v>166</v>
      </c>
      <c r="O3646" s="260" t="s">
        <v>502</v>
      </c>
      <c r="P3646" s="265">
        <v>20</v>
      </c>
      <c r="Q3646" s="265">
        <v>12</v>
      </c>
      <c r="R3646" s="266">
        <v>6.8100000000000001E-3</v>
      </c>
      <c r="S3646" s="260" t="s">
        <v>76</v>
      </c>
      <c r="T3646" s="260" t="s">
        <v>56</v>
      </c>
      <c r="U3646" s="260" t="s">
        <v>89</v>
      </c>
      <c r="V3646" s="267">
        <f>1500-579</f>
        <v>921</v>
      </c>
      <c r="W3646" s="267">
        <v>487</v>
      </c>
      <c r="X3646" s="268">
        <f>8680/20</f>
        <v>434</v>
      </c>
      <c r="Y3646" s="269">
        <f t="shared" si="1768"/>
        <v>0</v>
      </c>
      <c r="Z3646" s="270">
        <f t="shared" si="1769"/>
        <v>0</v>
      </c>
      <c r="AA3646" s="270">
        <f t="shared" si="1765"/>
        <v>0</v>
      </c>
      <c r="AB3646" s="811">
        <v>2</v>
      </c>
      <c r="AC3646" s="267">
        <f t="shared" si="1770"/>
        <v>0</v>
      </c>
      <c r="AD3646" s="209" t="s">
        <v>168</v>
      </c>
      <c r="AE3646" s="210">
        <f t="shared" si="1771"/>
        <v>0</v>
      </c>
      <c r="AF3646" s="210">
        <f t="shared" si="1772"/>
        <v>0</v>
      </c>
      <c r="AG3646" s="211">
        <f t="shared" si="1775"/>
        <v>0.154</v>
      </c>
      <c r="AH3646" s="157">
        <f t="shared" ref="AH3646:AH3658" si="1776">(Z3646*AG3646)/1000</f>
        <v>0</v>
      </c>
      <c r="AI3646" s="152">
        <f t="shared" si="1774"/>
        <v>18420</v>
      </c>
      <c r="AK3646" s="156" t="s">
        <v>691</v>
      </c>
      <c r="AL3646" s="156" t="s">
        <v>689</v>
      </c>
      <c r="AM3646" s="198">
        <f t="shared" si="1766"/>
        <v>0</v>
      </c>
      <c r="AN3646" s="199">
        <f t="shared" si="1767"/>
        <v>46241</v>
      </c>
      <c r="AO3646" s="159" t="s">
        <v>692</v>
      </c>
      <c r="AP3646" s="783" t="s">
        <v>610</v>
      </c>
      <c r="AQ3646" s="783" t="s">
        <v>631</v>
      </c>
      <c r="AR3646" s="783" t="s">
        <v>523</v>
      </c>
      <c r="AS3646" s="781"/>
      <c r="AT3646" s="782">
        <v>12096524</v>
      </c>
      <c r="AU3646" s="781"/>
      <c r="AV3646" s="783" t="s">
        <v>2507</v>
      </c>
      <c r="AW3646" s="781"/>
      <c r="AX3646" s="782" t="s">
        <v>398</v>
      </c>
      <c r="AY3646" s="781"/>
      <c r="AZ3646" s="781"/>
      <c r="BA3646" s="781"/>
      <c r="BB3646" s="209">
        <v>23053184</v>
      </c>
    </row>
    <row r="3647" spans="1:54" ht="25" customHeight="1">
      <c r="A3647" s="142" t="s">
        <v>120</v>
      </c>
      <c r="B3647" s="559">
        <v>46241</v>
      </c>
      <c r="C3647" s="560">
        <v>46272</v>
      </c>
      <c r="D3647" s="185">
        <f t="shared" si="1737"/>
        <v>2026</v>
      </c>
      <c r="E3647" s="561" t="e">
        <f>VLOOKUP($B3647,Week!$A$1:$C$1462,2,0)</f>
        <v>#N/A</v>
      </c>
      <c r="F3647" s="562" t="str">
        <f t="shared" si="1738"/>
        <v>Aug</v>
      </c>
      <c r="G3647" s="561" t="s">
        <v>3036</v>
      </c>
      <c r="H3647" s="561" t="s">
        <v>134</v>
      </c>
      <c r="I3647" s="561" t="s">
        <v>2772</v>
      </c>
      <c r="J3647" s="563" t="s">
        <v>2932</v>
      </c>
      <c r="K3647" s="564" t="s">
        <v>355</v>
      </c>
      <c r="L3647" s="390" t="s">
        <v>2166</v>
      </c>
      <c r="M3647" s="563" t="s">
        <v>356</v>
      </c>
      <c r="N3647" s="561" t="s">
        <v>652</v>
      </c>
      <c r="O3647" s="561" t="s">
        <v>508</v>
      </c>
      <c r="P3647" s="565">
        <v>18</v>
      </c>
      <c r="Q3647" s="565">
        <v>8</v>
      </c>
      <c r="R3647" s="566">
        <v>6.0000000000000001E-3</v>
      </c>
      <c r="S3647" s="561" t="s">
        <v>55</v>
      </c>
      <c r="T3647" s="561" t="s">
        <v>56</v>
      </c>
      <c r="U3647" s="561" t="s">
        <v>89</v>
      </c>
      <c r="V3647" s="567">
        <f>300</f>
        <v>300</v>
      </c>
      <c r="W3647" s="567">
        <f>36+264</f>
        <v>300</v>
      </c>
      <c r="X3647" s="568">
        <f>324/8</f>
        <v>40.5</v>
      </c>
      <c r="Y3647" s="569">
        <f t="shared" si="1768"/>
        <v>40.5</v>
      </c>
      <c r="Z3647" s="570">
        <f t="shared" si="1769"/>
        <v>0</v>
      </c>
      <c r="AA3647" s="570">
        <f t="shared" si="1765"/>
        <v>0</v>
      </c>
      <c r="AB3647" s="834">
        <v>2</v>
      </c>
      <c r="AC3647" s="567">
        <f t="shared" si="1770"/>
        <v>0</v>
      </c>
      <c r="AD3647" s="443" t="s">
        <v>2614</v>
      </c>
      <c r="AE3647" s="210">
        <f t="shared" si="1771"/>
        <v>0</v>
      </c>
      <c r="AF3647" s="210">
        <f t="shared" si="1772"/>
        <v>0</v>
      </c>
      <c r="AG3647" s="211">
        <f>MID(O3647,1,2)/1000</f>
        <v>0.09</v>
      </c>
      <c r="AH3647" s="157">
        <f t="shared" si="1776"/>
        <v>0</v>
      </c>
      <c r="AI3647" s="152">
        <f t="shared" si="1774"/>
        <v>5400</v>
      </c>
      <c r="AK3647" s="156" t="s">
        <v>691</v>
      </c>
      <c r="AL3647" s="156" t="s">
        <v>689</v>
      </c>
      <c r="AM3647" s="198">
        <f t="shared" si="1766"/>
        <v>0</v>
      </c>
      <c r="AN3647" s="199">
        <f t="shared" si="1767"/>
        <v>46241</v>
      </c>
      <c r="AO3647" s="159" t="s">
        <v>692</v>
      </c>
      <c r="AP3647" s="783"/>
      <c r="AQ3647" s="782"/>
      <c r="AR3647" s="782" t="s">
        <v>531</v>
      </c>
      <c r="AS3647" s="782"/>
      <c r="AT3647" s="782"/>
      <c r="AU3647" s="782">
        <v>12054219</v>
      </c>
      <c r="AV3647" s="782">
        <v>12097195</v>
      </c>
      <c r="AW3647" s="782"/>
      <c r="AX3647" s="782" t="s">
        <v>2519</v>
      </c>
      <c r="AY3647" s="782"/>
      <c r="AZ3647" s="782"/>
      <c r="BA3647" s="781"/>
      <c r="BB3647" s="209">
        <v>23053184</v>
      </c>
    </row>
    <row r="3648" spans="1:54" ht="25" customHeight="1">
      <c r="A3648" s="440"/>
      <c r="B3648" s="743">
        <v>46241</v>
      </c>
      <c r="C3648" s="743">
        <v>46273</v>
      </c>
      <c r="D3648" s="746">
        <f t="shared" si="1737"/>
        <v>2026</v>
      </c>
      <c r="E3648" s="858" t="e">
        <f>VLOOKUP($B3648,Week!$A$1:$C$1462,2,0)</f>
        <v>#N/A</v>
      </c>
      <c r="F3648" s="859" t="str">
        <f t="shared" si="1738"/>
        <v>Aug</v>
      </c>
      <c r="G3648" s="746" t="s">
        <v>3138</v>
      </c>
      <c r="H3648" s="746" t="s">
        <v>424</v>
      </c>
      <c r="I3648" s="746" t="s">
        <v>2772</v>
      </c>
      <c r="J3648" s="747" t="s">
        <v>425</v>
      </c>
      <c r="K3648" s="748" t="s">
        <v>1651</v>
      </c>
      <c r="L3648" s="748" t="s">
        <v>2167</v>
      </c>
      <c r="M3648" s="747" t="s">
        <v>2260</v>
      </c>
      <c r="N3648" s="746" t="s">
        <v>2257</v>
      </c>
      <c r="O3648" s="746" t="s">
        <v>2254</v>
      </c>
      <c r="P3648" s="749">
        <v>6</v>
      </c>
      <c r="Q3648" s="749">
        <v>3</v>
      </c>
      <c r="R3648" s="849">
        <v>6.1999999999999998E-3</v>
      </c>
      <c r="S3648" s="746" t="s">
        <v>55</v>
      </c>
      <c r="T3648" s="746" t="s">
        <v>112</v>
      </c>
      <c r="U3648" s="860" t="s">
        <v>1633</v>
      </c>
      <c r="V3648" s="750">
        <v>3364</v>
      </c>
      <c r="W3648" s="750"/>
      <c r="X3648" s="751">
        <f>(1218+18967)/6</f>
        <v>3364.1666666666665</v>
      </c>
      <c r="Y3648" s="752">
        <f t="shared" si="1768"/>
        <v>0.16666666666651508</v>
      </c>
      <c r="Z3648" s="753">
        <f t="shared" si="1769"/>
        <v>0</v>
      </c>
      <c r="AA3648" s="753">
        <f t="shared" si="1765"/>
        <v>0</v>
      </c>
      <c r="AB3648" s="838">
        <v>6.5000000000000002E-2</v>
      </c>
      <c r="AC3648" s="750">
        <f t="shared" si="1770"/>
        <v>0</v>
      </c>
      <c r="AD3648" s="513" t="s">
        <v>3137</v>
      </c>
      <c r="AE3648" s="210">
        <f t="shared" si="1771"/>
        <v>0</v>
      </c>
      <c r="AF3648" s="210">
        <f t="shared" si="1772"/>
        <v>0</v>
      </c>
      <c r="AG3648" s="211">
        <f t="shared" ref="AG3648:AG3658" si="1777">MID(O3648,1,3)/1000</f>
        <v>0.3</v>
      </c>
      <c r="AH3648" s="157">
        <f t="shared" si="1776"/>
        <v>0</v>
      </c>
      <c r="AI3648" s="152">
        <f t="shared" si="1774"/>
        <v>20184</v>
      </c>
      <c r="AK3648" s="156" t="s">
        <v>691</v>
      </c>
      <c r="AL3648" s="212" t="s">
        <v>690</v>
      </c>
      <c r="AM3648" s="198">
        <f t="shared" si="1766"/>
        <v>0</v>
      </c>
      <c r="AN3648" s="199">
        <f t="shared" si="1767"/>
        <v>46241</v>
      </c>
      <c r="AO3648" s="159" t="s">
        <v>692</v>
      </c>
      <c r="AP3648" s="781"/>
      <c r="AQ3648" s="782"/>
      <c r="AR3648" s="782" t="s">
        <v>2379</v>
      </c>
      <c r="AS3648" s="782"/>
      <c r="AT3648" s="782">
        <v>12095581</v>
      </c>
      <c r="AU3648" s="783"/>
      <c r="AV3648" s="782">
        <v>12096149</v>
      </c>
      <c r="AW3648" s="782"/>
      <c r="AX3648" s="782"/>
      <c r="AY3648" s="782"/>
      <c r="AZ3648" s="782"/>
      <c r="BA3648" s="782"/>
      <c r="BB3648" s="209">
        <v>23105543</v>
      </c>
    </row>
    <row r="3649" spans="1:54" ht="25" customHeight="1">
      <c r="B3649" s="258">
        <v>46241</v>
      </c>
      <c r="C3649" s="259">
        <v>46252</v>
      </c>
      <c r="D3649" s="260">
        <f>IF(B3649="","",YEAR(B3649))</f>
        <v>2026</v>
      </c>
      <c r="E3649" s="259" t="e">
        <f>VLOOKUP($B3649,Week!$A$1:$C$1462,2,0)</f>
        <v>#N/A</v>
      </c>
      <c r="F3649" s="261" t="str">
        <f>IF(B3649="","",TEXT(B3649,"[$-409]mmm"))</f>
        <v>Aug</v>
      </c>
      <c r="G3649" s="260" t="s">
        <v>3056</v>
      </c>
      <c r="H3649" s="260" t="s">
        <v>424</v>
      </c>
      <c r="I3649" s="260" t="s">
        <v>2772</v>
      </c>
      <c r="J3649" s="263" t="s">
        <v>653</v>
      </c>
      <c r="K3649" s="264" t="s">
        <v>1649</v>
      </c>
      <c r="L3649" s="264" t="s">
        <v>2167</v>
      </c>
      <c r="M3649" s="263" t="s">
        <v>2355</v>
      </c>
      <c r="N3649" s="260" t="s">
        <v>2398</v>
      </c>
      <c r="O3649" s="260" t="s">
        <v>415</v>
      </c>
      <c r="P3649" s="265">
        <v>24</v>
      </c>
      <c r="Q3649" s="265">
        <v>5</v>
      </c>
      <c r="R3649" s="266">
        <v>6.0000000000000001E-3</v>
      </c>
      <c r="S3649" s="260" t="s">
        <v>55</v>
      </c>
      <c r="T3649" s="260" t="s">
        <v>112</v>
      </c>
      <c r="U3649" s="621" t="s">
        <v>1894</v>
      </c>
      <c r="V3649" s="267">
        <f>705</f>
        <v>705</v>
      </c>
      <c r="W3649" s="267">
        <f>3+287</f>
        <v>290</v>
      </c>
      <c r="X3649" s="268">
        <f>(229+9763)/24</f>
        <v>416.33333333333331</v>
      </c>
      <c r="Y3649" s="269">
        <f>(W3649+X3649)-V3649</f>
        <v>1.3333333333332575</v>
      </c>
      <c r="Z3649" s="270">
        <f>IF(Y3649&lt;0,((V3649*P3649)-((W3649+X3649)*P3649)),0)</f>
        <v>0</v>
      </c>
      <c r="AA3649" s="270">
        <f>Q3649*Z3649</f>
        <v>0</v>
      </c>
      <c r="AB3649" s="811">
        <v>3.8699999999999998E-2</v>
      </c>
      <c r="AC3649" s="267">
        <f>Z3649*AB3649</f>
        <v>0</v>
      </c>
      <c r="AD3649" s="307" t="s">
        <v>2956</v>
      </c>
      <c r="AE3649" s="210">
        <f>SUM(Q3649*R3649*Z3649)/1000</f>
        <v>0</v>
      </c>
      <c r="AF3649" s="210">
        <f>AE3649/0.54</f>
        <v>0</v>
      </c>
      <c r="AG3649" s="211">
        <f>MID(O3649,1,3)/1000</f>
        <v>0.25800000000000001</v>
      </c>
      <c r="AH3649" s="157">
        <f>(Z3649*AG3649)/1000</f>
        <v>0</v>
      </c>
      <c r="AI3649" s="152">
        <f>V3649*P3649</f>
        <v>16920</v>
      </c>
      <c r="AK3649" s="156" t="s">
        <v>691</v>
      </c>
      <c r="AL3649" s="212" t="s">
        <v>690</v>
      </c>
      <c r="AM3649" s="198">
        <f>AG3649*Z3649</f>
        <v>0</v>
      </c>
      <c r="AN3649" s="199">
        <f>B3649</f>
        <v>46241</v>
      </c>
      <c r="AO3649" s="159" t="s">
        <v>692</v>
      </c>
      <c r="AP3649" s="781" t="s">
        <v>642</v>
      </c>
      <c r="AQ3649" s="782">
        <v>12071839</v>
      </c>
      <c r="AR3649" s="782">
        <v>12095778</v>
      </c>
      <c r="AS3649" s="782">
        <v>12095777</v>
      </c>
      <c r="AT3649" s="782">
        <v>12096090</v>
      </c>
      <c r="AU3649" s="781"/>
      <c r="AV3649" s="782">
        <v>12096087</v>
      </c>
      <c r="AW3649" s="782"/>
      <c r="AX3649" s="782"/>
      <c r="AY3649" s="782">
        <v>12096088</v>
      </c>
      <c r="AZ3649" s="782"/>
      <c r="BA3649" s="781"/>
      <c r="BB3649" s="209">
        <v>23105470</v>
      </c>
    </row>
    <row r="3650" spans="1:54" ht="25" customHeight="1">
      <c r="B3650" s="332">
        <v>46241</v>
      </c>
      <c r="C3650" s="333">
        <v>46254</v>
      </c>
      <c r="D3650" s="185">
        <f>IF(B3650="","",YEAR(B3650))</f>
        <v>2026</v>
      </c>
      <c r="E3650" s="333" t="e">
        <f>VLOOKUP($B3650,Week!$A$1:$C$1462,2,0)</f>
        <v>#N/A</v>
      </c>
      <c r="F3650" s="334" t="str">
        <f>IF(B3650="","",TEXT(B3650,"[$-409]mmm"))</f>
        <v>Aug</v>
      </c>
      <c r="G3650" s="335" t="s">
        <v>3093</v>
      </c>
      <c r="H3650" s="335" t="s">
        <v>675</v>
      </c>
      <c r="I3650" s="335" t="s">
        <v>2772</v>
      </c>
      <c r="J3650" s="336" t="s">
        <v>2906</v>
      </c>
      <c r="K3650" s="337" t="s">
        <v>1649</v>
      </c>
      <c r="L3650" s="300" t="s">
        <v>2167</v>
      </c>
      <c r="M3650" s="336" t="s">
        <v>603</v>
      </c>
      <c r="N3650" s="530" t="s">
        <v>711</v>
      </c>
      <c r="O3650" s="335" t="s">
        <v>602</v>
      </c>
      <c r="P3650" s="338">
        <v>8</v>
      </c>
      <c r="Q3650" s="338">
        <v>3</v>
      </c>
      <c r="R3650" s="339">
        <v>6.0000000000000001E-3</v>
      </c>
      <c r="S3650" s="335" t="s">
        <v>55</v>
      </c>
      <c r="T3650" s="335" t="s">
        <v>112</v>
      </c>
      <c r="U3650" s="340" t="s">
        <v>1894</v>
      </c>
      <c r="V3650" s="341">
        <f>160</f>
        <v>160</v>
      </c>
      <c r="W3650" s="341"/>
      <c r="X3650" s="342">
        <f>1280/8</f>
        <v>160</v>
      </c>
      <c r="Y3650" s="343">
        <f>(W3650+X3650)-V3650</f>
        <v>0</v>
      </c>
      <c r="Z3650" s="344">
        <f>IF(Y3650&lt;0,((V3650*P3650)-((W3650+X3650)*P3650)),0)</f>
        <v>0</v>
      </c>
      <c r="AA3650" s="344">
        <f>Q3650*Z3650</f>
        <v>0</v>
      </c>
      <c r="AB3650" s="817">
        <v>3.8699999999999998E-2</v>
      </c>
      <c r="AC3650" s="341">
        <f>Z3650*AB3650</f>
        <v>0</v>
      </c>
      <c r="AD3650" s="443"/>
      <c r="AE3650" s="210">
        <f>SUM(Q3650*R3650*Z3650)/1000</f>
        <v>0</v>
      </c>
      <c r="AF3650" s="210">
        <f>AE3650/0.54</f>
        <v>0</v>
      </c>
      <c r="AG3650" s="211">
        <f>MID(O3650,1,3)/1000</f>
        <v>0.30199999999999999</v>
      </c>
      <c r="AH3650" s="157">
        <v>0.26621999999999996</v>
      </c>
      <c r="AI3650" s="152">
        <f>V3650*P3650</f>
        <v>1280</v>
      </c>
      <c r="AK3650" s="156" t="s">
        <v>691</v>
      </c>
      <c r="AL3650" s="212" t="s">
        <v>690</v>
      </c>
      <c r="AM3650" s="198">
        <f>AG3650*Z3650</f>
        <v>0</v>
      </c>
      <c r="AN3650" s="199">
        <f>B3650</f>
        <v>46241</v>
      </c>
      <c r="AO3650" s="159" t="s">
        <v>692</v>
      </c>
      <c r="AP3650" s="781" t="s">
        <v>642</v>
      </c>
      <c r="AQ3650" s="782">
        <v>12063755</v>
      </c>
      <c r="AR3650" s="782">
        <v>12061353</v>
      </c>
      <c r="AS3650" s="782">
        <v>12061354</v>
      </c>
      <c r="AT3650" s="782">
        <v>12089988</v>
      </c>
      <c r="AU3650" s="781"/>
      <c r="AV3650" s="782">
        <v>12089985</v>
      </c>
      <c r="AW3650" s="781"/>
      <c r="AX3650" s="781"/>
      <c r="AY3650" s="781" t="s">
        <v>2713</v>
      </c>
      <c r="AZ3650" s="781" t="s">
        <v>2714</v>
      </c>
      <c r="BA3650" s="781"/>
      <c r="BB3650" s="209">
        <v>23105470</v>
      </c>
    </row>
    <row r="3651" spans="1:54" ht="25" customHeight="1">
      <c r="B3651" s="332">
        <v>46241</v>
      </c>
      <c r="C3651" s="333">
        <v>46272</v>
      </c>
      <c r="D3651" s="185">
        <f t="shared" ref="D3651" si="1778">IF(B3651="","",YEAR(B3651))</f>
        <v>2026</v>
      </c>
      <c r="E3651" s="333" t="e">
        <f>VLOOKUP($B3651,Week!$A$1:$C$1462,2,0)</f>
        <v>#N/A</v>
      </c>
      <c r="F3651" s="334" t="str">
        <f t="shared" ref="F3651" si="1779">IF(B3651="","",TEXT(B3651,"[$-409]mmm"))</f>
        <v>Aug</v>
      </c>
      <c r="G3651" s="335" t="s">
        <v>3147</v>
      </c>
      <c r="H3651" s="335" t="s">
        <v>675</v>
      </c>
      <c r="I3651" s="335" t="s">
        <v>2772</v>
      </c>
      <c r="J3651" s="336" t="s">
        <v>2906</v>
      </c>
      <c r="K3651" s="337" t="s">
        <v>1649</v>
      </c>
      <c r="L3651" s="300" t="s">
        <v>2167</v>
      </c>
      <c r="M3651" s="336" t="s">
        <v>603</v>
      </c>
      <c r="N3651" s="530" t="s">
        <v>711</v>
      </c>
      <c r="O3651" s="335" t="s">
        <v>602</v>
      </c>
      <c r="P3651" s="338">
        <v>8</v>
      </c>
      <c r="Q3651" s="338">
        <v>3</v>
      </c>
      <c r="R3651" s="339">
        <v>6.0000000000000001E-3</v>
      </c>
      <c r="S3651" s="335" t="s">
        <v>55</v>
      </c>
      <c r="T3651" s="335" t="s">
        <v>112</v>
      </c>
      <c r="U3651" s="340" t="s">
        <v>1894</v>
      </c>
      <c r="V3651" s="341">
        <f>108</f>
        <v>108</v>
      </c>
      <c r="W3651" s="341"/>
      <c r="X3651" s="342">
        <f>(2155-1280)/8</f>
        <v>109.375</v>
      </c>
      <c r="Y3651" s="343">
        <f t="shared" ref="Y3651" si="1780">(W3651+X3651)-V3651</f>
        <v>1.375</v>
      </c>
      <c r="Z3651" s="344">
        <f t="shared" ref="Z3651" si="1781">IF(Y3651&lt;0,((V3651*P3651)-((W3651+X3651)*P3651)),0)</f>
        <v>0</v>
      </c>
      <c r="AA3651" s="344">
        <f t="shared" ref="AA3651" si="1782">Q3651*Z3651</f>
        <v>0</v>
      </c>
      <c r="AB3651" s="817">
        <v>3.8699999999999998E-2</v>
      </c>
      <c r="AC3651" s="341">
        <f t="shared" ref="AC3651" si="1783">Z3651*AB3651</f>
        <v>0</v>
      </c>
      <c r="AD3651" s="443"/>
      <c r="AE3651" s="210">
        <f t="shared" ref="AE3651" si="1784">SUM(Q3651*R3651*Z3651)/1000</f>
        <v>0</v>
      </c>
      <c r="AF3651" s="210">
        <f t="shared" ref="AF3651" si="1785">AE3651/0.54</f>
        <v>0</v>
      </c>
      <c r="AG3651" s="211">
        <f t="shared" ref="AG3651" si="1786">MID(O3651,1,3)/1000</f>
        <v>0.30199999999999999</v>
      </c>
      <c r="AH3651" s="157">
        <v>0.26621999999999996</v>
      </c>
      <c r="AI3651" s="152">
        <f t="shared" ref="AI3651" si="1787">V3651*P3651</f>
        <v>864</v>
      </c>
      <c r="AK3651" s="156" t="s">
        <v>691</v>
      </c>
      <c r="AL3651" s="212" t="s">
        <v>690</v>
      </c>
      <c r="AM3651" s="198">
        <f t="shared" ref="AM3651" si="1788">AG3651*Z3651</f>
        <v>0</v>
      </c>
      <c r="AN3651" s="199">
        <f t="shared" ref="AN3651" si="1789">B3651</f>
        <v>46241</v>
      </c>
      <c r="AO3651" s="159" t="s">
        <v>692</v>
      </c>
      <c r="AP3651" s="781" t="s">
        <v>642</v>
      </c>
      <c r="AQ3651" s="782">
        <v>12063755</v>
      </c>
      <c r="AR3651" s="782">
        <v>12061353</v>
      </c>
      <c r="AS3651" s="782">
        <v>12061354</v>
      </c>
      <c r="AT3651" s="782">
        <v>12089988</v>
      </c>
      <c r="AU3651" s="781"/>
      <c r="AV3651" s="782">
        <v>12089985</v>
      </c>
      <c r="AW3651" s="781"/>
      <c r="AX3651" s="781"/>
      <c r="AY3651" s="781" t="s">
        <v>2713</v>
      </c>
      <c r="AZ3651" s="781" t="s">
        <v>2714</v>
      </c>
      <c r="BA3651" s="781"/>
      <c r="BB3651" s="209">
        <v>23105470</v>
      </c>
    </row>
    <row r="3652" spans="1:54" ht="25.9" customHeight="1">
      <c r="A3652" s="142" t="s">
        <v>120</v>
      </c>
      <c r="B3652" s="235">
        <v>46242</v>
      </c>
      <c r="C3652" s="235">
        <v>46266</v>
      </c>
      <c r="D3652" s="185">
        <f>IF(B3652="","",YEAR(B3652))</f>
        <v>2026</v>
      </c>
      <c r="E3652" s="236" t="e">
        <f>VLOOKUP($B3652,Week!$A$1:$C$1462,2,0)</f>
        <v>#N/A</v>
      </c>
      <c r="F3652" s="237" t="str">
        <f>IF(B3652="","",TEXT(B3652,"[$-409]mmm"))</f>
        <v>Aug</v>
      </c>
      <c r="G3652" s="236" t="s">
        <v>3100</v>
      </c>
      <c r="H3652" s="236" t="s">
        <v>392</v>
      </c>
      <c r="I3652" s="236" t="s">
        <v>2772</v>
      </c>
      <c r="J3652" s="238" t="s">
        <v>393</v>
      </c>
      <c r="K3652" s="239" t="s">
        <v>153</v>
      </c>
      <c r="L3652" s="390" t="s">
        <v>2166</v>
      </c>
      <c r="M3652" s="238" t="s">
        <v>165</v>
      </c>
      <c r="N3652" s="236" t="s">
        <v>685</v>
      </c>
      <c r="O3652" s="236" t="s">
        <v>167</v>
      </c>
      <c r="P3652" s="240">
        <v>20</v>
      </c>
      <c r="Q3652" s="240">
        <v>12</v>
      </c>
      <c r="R3652" s="241">
        <v>6.8100000000000001E-3</v>
      </c>
      <c r="S3652" s="236" t="s">
        <v>76</v>
      </c>
      <c r="T3652" s="236" t="s">
        <v>56</v>
      </c>
      <c r="U3652" s="236" t="s">
        <v>89</v>
      </c>
      <c r="V3652" s="242">
        <f>150</f>
        <v>150</v>
      </c>
      <c r="W3652" s="242">
        <f>30+120</f>
        <v>150</v>
      </c>
      <c r="X3652" s="243"/>
      <c r="Y3652" s="244">
        <f>(W3652+X3652)-V3652</f>
        <v>0</v>
      </c>
      <c r="Z3652" s="245">
        <f>IF(Y3652&lt;0,((V3652*P3652)-((W3652+X3652)*P3652)),0)</f>
        <v>0</v>
      </c>
      <c r="AA3652" s="245">
        <f>Q3652*Z3652</f>
        <v>0</v>
      </c>
      <c r="AB3652" s="809">
        <v>2</v>
      </c>
      <c r="AC3652" s="242">
        <f>Z3652*AB3652</f>
        <v>0</v>
      </c>
      <c r="AD3652" s="772" t="s">
        <v>2614</v>
      </c>
      <c r="AE3652" s="210">
        <f>SUM(Q3652*R3652*Z3652)/1000</f>
        <v>0</v>
      </c>
      <c r="AF3652" s="210">
        <f>AE3652/0.54</f>
        <v>0</v>
      </c>
      <c r="AG3652" s="211">
        <f>MID(O3652,1,3)/1000</f>
        <v>0.154</v>
      </c>
      <c r="AH3652" s="157">
        <f>(Z3652*AG3652)/1000</f>
        <v>0</v>
      </c>
      <c r="AI3652" s="152">
        <f>V3652*P3652</f>
        <v>3000</v>
      </c>
      <c r="AK3652" s="156" t="s">
        <v>691</v>
      </c>
      <c r="AL3652" s="156" t="s">
        <v>689</v>
      </c>
      <c r="AM3652" s="198">
        <f>AG3652*Z3652</f>
        <v>0</v>
      </c>
      <c r="AN3652" s="199">
        <f>B3652</f>
        <v>46242</v>
      </c>
      <c r="AO3652" s="159" t="s">
        <v>692</v>
      </c>
      <c r="AP3652" s="783" t="s">
        <v>622</v>
      </c>
      <c r="AQ3652" s="783" t="s">
        <v>631</v>
      </c>
      <c r="AR3652" s="783" t="s">
        <v>523</v>
      </c>
      <c r="AS3652" s="781"/>
      <c r="AT3652" s="783" t="s">
        <v>2982</v>
      </c>
      <c r="AU3652" s="781"/>
      <c r="AV3652" s="783" t="s">
        <v>2987</v>
      </c>
      <c r="AW3652" s="781"/>
      <c r="AX3652" s="781" t="s">
        <v>398</v>
      </c>
      <c r="AY3652" s="781"/>
      <c r="AZ3652" s="782"/>
      <c r="BA3652" s="781"/>
      <c r="BB3652" s="209">
        <v>23053184</v>
      </c>
    </row>
    <row r="3653" spans="1:54" ht="25" customHeight="1">
      <c r="A3653" s="142" t="s">
        <v>120</v>
      </c>
      <c r="B3653" s="271">
        <v>46242</v>
      </c>
      <c r="C3653" s="272">
        <v>46272</v>
      </c>
      <c r="D3653" s="185">
        <f t="shared" si="1737"/>
        <v>2026</v>
      </c>
      <c r="E3653" s="272" t="e">
        <f>VLOOKUP($B3653,Week!$A$1:$C$1462,2,0)</f>
        <v>#N/A</v>
      </c>
      <c r="F3653" s="273" t="str">
        <f t="shared" si="1738"/>
        <v>Aug</v>
      </c>
      <c r="G3653" s="274" t="s">
        <v>2966</v>
      </c>
      <c r="H3653" s="274" t="s">
        <v>500</v>
      </c>
      <c r="I3653" s="274" t="s">
        <v>2772</v>
      </c>
      <c r="J3653" s="275" t="s">
        <v>285</v>
      </c>
      <c r="K3653" s="276" t="s">
        <v>153</v>
      </c>
      <c r="L3653" s="390" t="s">
        <v>2166</v>
      </c>
      <c r="M3653" s="275" t="s">
        <v>86</v>
      </c>
      <c r="N3653" s="274" t="s">
        <v>547</v>
      </c>
      <c r="O3653" s="274" t="s">
        <v>548</v>
      </c>
      <c r="P3653" s="277">
        <v>10</v>
      </c>
      <c r="Q3653" s="277">
        <v>50</v>
      </c>
      <c r="R3653" s="278">
        <v>6.8100000000000001E-3</v>
      </c>
      <c r="S3653" s="274" t="s">
        <v>76</v>
      </c>
      <c r="T3653" s="274" t="s">
        <v>56</v>
      </c>
      <c r="U3653" s="274" t="s">
        <v>89</v>
      </c>
      <c r="V3653" s="279">
        <v>633</v>
      </c>
      <c r="W3653" s="279">
        <f>603</f>
        <v>603</v>
      </c>
      <c r="X3653" s="280">
        <f>(299+1)/10</f>
        <v>30</v>
      </c>
      <c r="Y3653" s="281">
        <f t="shared" si="1768"/>
        <v>0</v>
      </c>
      <c r="Z3653" s="282">
        <f t="shared" si="1769"/>
        <v>0</v>
      </c>
      <c r="AA3653" s="282">
        <f t="shared" si="1765"/>
        <v>0</v>
      </c>
      <c r="AB3653" s="812">
        <v>6</v>
      </c>
      <c r="AC3653" s="279">
        <f t="shared" si="1770"/>
        <v>0</v>
      </c>
      <c r="AD3653" s="209"/>
      <c r="AE3653" s="210">
        <f t="shared" si="1771"/>
        <v>0</v>
      </c>
      <c r="AF3653" s="210">
        <f t="shared" si="1772"/>
        <v>0</v>
      </c>
      <c r="AG3653" s="211">
        <f t="shared" si="1777"/>
        <v>0.63</v>
      </c>
      <c r="AH3653" s="157">
        <f t="shared" si="1776"/>
        <v>0</v>
      </c>
      <c r="AI3653" s="152">
        <f t="shared" si="1774"/>
        <v>6330</v>
      </c>
      <c r="AK3653" s="156" t="s">
        <v>691</v>
      </c>
      <c r="AL3653" s="156" t="s">
        <v>689</v>
      </c>
      <c r="AM3653" s="198">
        <f t="shared" si="1766"/>
        <v>0</v>
      </c>
      <c r="AN3653" s="199">
        <f t="shared" si="1767"/>
        <v>46242</v>
      </c>
      <c r="AO3653" s="159" t="s">
        <v>692</v>
      </c>
      <c r="AP3653" s="783" t="s">
        <v>620</v>
      </c>
      <c r="AQ3653" s="796" t="s">
        <v>422</v>
      </c>
      <c r="AR3653" s="782">
        <v>12055234</v>
      </c>
      <c r="AS3653" s="781"/>
      <c r="AT3653" s="782"/>
      <c r="AU3653" s="782"/>
      <c r="AV3653" s="782">
        <v>12062809</v>
      </c>
      <c r="AW3653" s="782"/>
      <c r="AX3653" s="782" t="s">
        <v>619</v>
      </c>
      <c r="AY3653" s="781"/>
      <c r="AZ3653" s="781"/>
      <c r="BA3653" s="781"/>
      <c r="BB3653" s="209">
        <v>23053184</v>
      </c>
    </row>
    <row r="3654" spans="1:54" ht="25" customHeight="1">
      <c r="A3654" s="440"/>
      <c r="B3654" s="743">
        <v>46242</v>
      </c>
      <c r="C3654" s="743">
        <v>46273</v>
      </c>
      <c r="D3654" s="746">
        <f t="shared" si="1737"/>
        <v>2026</v>
      </c>
      <c r="E3654" s="858" t="e">
        <f>VLOOKUP($B3654,Week!$A$1:$C$1462,2,0)</f>
        <v>#N/A</v>
      </c>
      <c r="F3654" s="859" t="str">
        <f t="shared" si="1738"/>
        <v>Aug</v>
      </c>
      <c r="G3654" s="746" t="s">
        <v>3138</v>
      </c>
      <c r="H3654" s="746" t="s">
        <v>424</v>
      </c>
      <c r="I3654" s="746" t="s">
        <v>2772</v>
      </c>
      <c r="J3654" s="747" t="s">
        <v>425</v>
      </c>
      <c r="K3654" s="748" t="s">
        <v>1651</v>
      </c>
      <c r="L3654" s="748" t="s">
        <v>2167</v>
      </c>
      <c r="M3654" s="747" t="s">
        <v>2260</v>
      </c>
      <c r="N3654" s="746" t="s">
        <v>2257</v>
      </c>
      <c r="O3654" s="746" t="s">
        <v>2254</v>
      </c>
      <c r="P3654" s="749">
        <v>6</v>
      </c>
      <c r="Q3654" s="749">
        <v>3</v>
      </c>
      <c r="R3654" s="849">
        <v>6.1999999999999998E-3</v>
      </c>
      <c r="S3654" s="746" t="s">
        <v>55</v>
      </c>
      <c r="T3654" s="746" t="s">
        <v>112</v>
      </c>
      <c r="U3654" s="860" t="s">
        <v>1633</v>
      </c>
      <c r="V3654" s="750">
        <v>1679</v>
      </c>
      <c r="W3654" s="750"/>
      <c r="X3654" s="751">
        <f>10075/6</f>
        <v>1679.1666666666667</v>
      </c>
      <c r="Y3654" s="752">
        <f t="shared" si="1768"/>
        <v>0.16666666666674246</v>
      </c>
      <c r="Z3654" s="753">
        <f t="shared" si="1769"/>
        <v>0</v>
      </c>
      <c r="AA3654" s="753">
        <f t="shared" si="1765"/>
        <v>0</v>
      </c>
      <c r="AB3654" s="838">
        <v>6.5000000000000002E-2</v>
      </c>
      <c r="AC3654" s="750">
        <f t="shared" si="1770"/>
        <v>0</v>
      </c>
      <c r="AD3654" s="513" t="s">
        <v>3137</v>
      </c>
      <c r="AE3654" s="210">
        <f t="shared" si="1771"/>
        <v>0</v>
      </c>
      <c r="AF3654" s="210">
        <f t="shared" si="1772"/>
        <v>0</v>
      </c>
      <c r="AG3654" s="211">
        <f t="shared" si="1777"/>
        <v>0.3</v>
      </c>
      <c r="AH3654" s="157">
        <f t="shared" si="1776"/>
        <v>0</v>
      </c>
      <c r="AI3654" s="152">
        <f t="shared" si="1774"/>
        <v>10074</v>
      </c>
      <c r="AK3654" s="156" t="s">
        <v>691</v>
      </c>
      <c r="AL3654" s="212" t="s">
        <v>690</v>
      </c>
      <c r="AM3654" s="198">
        <f t="shared" si="1766"/>
        <v>0</v>
      </c>
      <c r="AN3654" s="199">
        <f t="shared" si="1767"/>
        <v>46242</v>
      </c>
      <c r="AO3654" s="159" t="s">
        <v>692</v>
      </c>
      <c r="AP3654" s="781"/>
      <c r="AQ3654" s="782"/>
      <c r="AR3654" s="782" t="s">
        <v>2379</v>
      </c>
      <c r="AS3654" s="782"/>
      <c r="AT3654" s="782">
        <v>12095581</v>
      </c>
      <c r="AU3654" s="783"/>
      <c r="AV3654" s="782">
        <v>12096149</v>
      </c>
      <c r="AW3654" s="782"/>
      <c r="AX3654" s="782"/>
      <c r="AY3654" s="782"/>
      <c r="AZ3654" s="782"/>
      <c r="BA3654" s="782"/>
      <c r="BB3654" s="209">
        <v>23105543</v>
      </c>
    </row>
    <row r="3655" spans="1:54" ht="25" customHeight="1">
      <c r="B3655" s="271">
        <v>46242</v>
      </c>
      <c r="C3655" s="441">
        <v>46254</v>
      </c>
      <c r="D3655" s="274">
        <f>IF(B3655="","",YEAR(B3655))</f>
        <v>2026</v>
      </c>
      <c r="E3655" s="274" t="e">
        <f>VLOOKUP($B3655,Week!$A$1:$C$1462,2,0)</f>
        <v>#N/A</v>
      </c>
      <c r="F3655" s="273" t="str">
        <f>IF(B3655="","",TEXT(B3655,"[$-409]mmm"))</f>
        <v>Aug</v>
      </c>
      <c r="G3655" s="274" t="s">
        <v>3098</v>
      </c>
      <c r="H3655" s="274" t="s">
        <v>225</v>
      </c>
      <c r="I3655" s="274" t="s">
        <v>2773</v>
      </c>
      <c r="J3655" s="275" t="s">
        <v>650</v>
      </c>
      <c r="K3655" s="276" t="s">
        <v>2256</v>
      </c>
      <c r="L3655" s="276" t="s">
        <v>2167</v>
      </c>
      <c r="M3655" s="275" t="s">
        <v>2258</v>
      </c>
      <c r="N3655" s="274" t="s">
        <v>2259</v>
      </c>
      <c r="O3655" s="274" t="s">
        <v>110</v>
      </c>
      <c r="P3655" s="277">
        <v>36</v>
      </c>
      <c r="Q3655" s="277">
        <v>5</v>
      </c>
      <c r="R3655" s="278">
        <v>7.4999999999999997E-3</v>
      </c>
      <c r="S3655" s="274" t="s">
        <v>111</v>
      </c>
      <c r="T3655" s="274" t="s">
        <v>112</v>
      </c>
      <c r="U3655" s="274" t="s">
        <v>113</v>
      </c>
      <c r="V3655" s="279">
        <f>792-129</f>
        <v>663</v>
      </c>
      <c r="W3655" s="279">
        <f>1+662</f>
        <v>663</v>
      </c>
      <c r="X3655" s="280"/>
      <c r="Y3655" s="281">
        <f>(W3655+X3655)-V3655</f>
        <v>0</v>
      </c>
      <c r="Z3655" s="282">
        <f>IF(Y3655&lt;0,((V3655*P3655)-((W3655+X3655)*P3655)),0)</f>
        <v>0</v>
      </c>
      <c r="AA3655" s="282">
        <f>Q3655*Z3655</f>
        <v>0</v>
      </c>
      <c r="AB3655" s="812">
        <v>9.7000000000000003E-3</v>
      </c>
      <c r="AC3655" s="279">
        <f>Z3655*AB3655</f>
        <v>0</v>
      </c>
      <c r="AD3655" s="209"/>
      <c r="AE3655" s="210">
        <f>SUM(Q3655*R3655*Z3655)/1000</f>
        <v>0</v>
      </c>
      <c r="AF3655" s="210">
        <f>AE3655/0.54</f>
        <v>0</v>
      </c>
      <c r="AG3655" s="211">
        <f>MID(O3655,1,3)/1000</f>
        <v>0.308</v>
      </c>
      <c r="AH3655" s="157">
        <f>(Z3655*AG3655)/1000</f>
        <v>0</v>
      </c>
      <c r="AI3655" s="152">
        <f>V3655*P3655</f>
        <v>23868</v>
      </c>
      <c r="AK3655" s="156" t="s">
        <v>691</v>
      </c>
      <c r="AL3655" s="574" t="s">
        <v>690</v>
      </c>
      <c r="AM3655" s="198">
        <f>AG3655*Z3655</f>
        <v>0</v>
      </c>
      <c r="AN3655" s="199">
        <f>B3655</f>
        <v>46242</v>
      </c>
      <c r="AO3655" s="159" t="s">
        <v>692</v>
      </c>
      <c r="AP3655" s="781"/>
      <c r="AQ3655" s="782">
        <v>12063755</v>
      </c>
      <c r="AR3655" s="782">
        <v>12061353</v>
      </c>
      <c r="AS3655" s="782">
        <v>12061354</v>
      </c>
      <c r="AT3655" s="782">
        <v>12095367</v>
      </c>
      <c r="AU3655" s="781"/>
      <c r="AV3655" s="782">
        <v>12095366</v>
      </c>
      <c r="AW3655" s="782">
        <v>12088207</v>
      </c>
      <c r="AX3655" s="782"/>
      <c r="AY3655" s="782">
        <v>12095368</v>
      </c>
      <c r="AZ3655" s="782"/>
      <c r="BA3655" s="781"/>
      <c r="BB3655" s="209">
        <v>23054743</v>
      </c>
    </row>
    <row r="3656" spans="1:54" ht="25" customHeight="1">
      <c r="B3656" s="271">
        <v>46242</v>
      </c>
      <c r="C3656" s="441">
        <v>46261</v>
      </c>
      <c r="D3656" s="274">
        <f t="shared" ref="D3656" si="1790">IF(B3656="","",YEAR(B3656))</f>
        <v>2026</v>
      </c>
      <c r="E3656" s="274" t="e">
        <f>VLOOKUP($B3656,Week!$A$1:$C$1462,2,0)</f>
        <v>#N/A</v>
      </c>
      <c r="F3656" s="273" t="str">
        <f t="shared" ref="F3656" si="1791">IF(B3656="","",TEXT(B3656,"[$-409]mmm"))</f>
        <v>Aug</v>
      </c>
      <c r="G3656" s="274" t="s">
        <v>3105</v>
      </c>
      <c r="H3656" s="274" t="s">
        <v>225</v>
      </c>
      <c r="I3656" s="274" t="s">
        <v>2773</v>
      </c>
      <c r="J3656" s="275" t="s">
        <v>650</v>
      </c>
      <c r="K3656" s="276" t="s">
        <v>2256</v>
      </c>
      <c r="L3656" s="276" t="s">
        <v>2167</v>
      </c>
      <c r="M3656" s="275" t="s">
        <v>2258</v>
      </c>
      <c r="N3656" s="274" t="s">
        <v>2259</v>
      </c>
      <c r="O3656" s="274" t="s">
        <v>110</v>
      </c>
      <c r="P3656" s="277">
        <v>36</v>
      </c>
      <c r="Q3656" s="277">
        <v>5</v>
      </c>
      <c r="R3656" s="278">
        <v>7.4999999999999997E-3</v>
      </c>
      <c r="S3656" s="274" t="s">
        <v>111</v>
      </c>
      <c r="T3656" s="274" t="s">
        <v>112</v>
      </c>
      <c r="U3656" s="274" t="s">
        <v>113</v>
      </c>
      <c r="V3656" s="279">
        <v>511</v>
      </c>
      <c r="W3656" s="279">
        <f>1173-662</f>
        <v>511</v>
      </c>
      <c r="X3656" s="280"/>
      <c r="Y3656" s="281">
        <f t="shared" ref="Y3656" si="1792">(W3656+X3656)-V3656</f>
        <v>0</v>
      </c>
      <c r="Z3656" s="282">
        <f t="shared" ref="Z3656" si="1793">IF(Y3656&lt;0,((V3656*P3656)-((W3656+X3656)*P3656)),0)</f>
        <v>0</v>
      </c>
      <c r="AA3656" s="282">
        <f t="shared" ref="AA3656" si="1794">Q3656*Z3656</f>
        <v>0</v>
      </c>
      <c r="AB3656" s="812">
        <v>9.7000000000000003E-3</v>
      </c>
      <c r="AC3656" s="279">
        <f t="shared" ref="AC3656" si="1795">Z3656*AB3656</f>
        <v>0</v>
      </c>
      <c r="AD3656" s="324" t="s">
        <v>3099</v>
      </c>
      <c r="AE3656" s="210">
        <f t="shared" ref="AE3656" si="1796">SUM(Q3656*R3656*Z3656)/1000</f>
        <v>0</v>
      </c>
      <c r="AF3656" s="210">
        <f t="shared" ref="AF3656" si="1797">AE3656/0.54</f>
        <v>0</v>
      </c>
      <c r="AG3656" s="211">
        <f t="shared" ref="AG3656" si="1798">MID(O3656,1,3)/1000</f>
        <v>0.308</v>
      </c>
      <c r="AH3656" s="157">
        <f t="shared" ref="AH3656" si="1799">(Z3656*AG3656)/1000</f>
        <v>0</v>
      </c>
      <c r="AI3656" s="152">
        <f t="shared" ref="AI3656" si="1800">V3656*P3656</f>
        <v>18396</v>
      </c>
      <c r="AK3656" s="156" t="s">
        <v>691</v>
      </c>
      <c r="AL3656" s="574" t="s">
        <v>690</v>
      </c>
      <c r="AM3656" s="198">
        <f t="shared" ref="AM3656" si="1801">AG3656*Z3656</f>
        <v>0</v>
      </c>
      <c r="AN3656" s="199">
        <f t="shared" ref="AN3656" si="1802">B3656</f>
        <v>46242</v>
      </c>
      <c r="AO3656" s="159" t="s">
        <v>692</v>
      </c>
      <c r="AP3656" s="781"/>
      <c r="AQ3656" s="782">
        <v>12063755</v>
      </c>
      <c r="AR3656" s="782">
        <v>12061353</v>
      </c>
      <c r="AS3656" s="782">
        <v>12061354</v>
      </c>
      <c r="AT3656" s="782">
        <v>12095367</v>
      </c>
      <c r="AU3656" s="781"/>
      <c r="AV3656" s="782">
        <v>12095366</v>
      </c>
      <c r="AW3656" s="782">
        <v>12088207</v>
      </c>
      <c r="AX3656" s="782"/>
      <c r="AY3656" s="782">
        <v>12095368</v>
      </c>
      <c r="AZ3656" s="782"/>
      <c r="BA3656" s="781"/>
      <c r="BB3656" s="209">
        <v>23054743</v>
      </c>
    </row>
    <row r="3657" spans="1:54" ht="25" customHeight="1">
      <c r="A3657" s="142" t="s">
        <v>120</v>
      </c>
      <c r="B3657" s="271">
        <v>46243</v>
      </c>
      <c r="C3657" s="272">
        <v>46272</v>
      </c>
      <c r="D3657" s="185">
        <f t="shared" si="1737"/>
        <v>2026</v>
      </c>
      <c r="E3657" s="272" t="e">
        <f>VLOOKUP($B3657,Week!$A$1:$C$1462,2,0)</f>
        <v>#N/A</v>
      </c>
      <c r="F3657" s="273" t="str">
        <f t="shared" si="1738"/>
        <v>Aug</v>
      </c>
      <c r="G3657" s="274" t="s">
        <v>2966</v>
      </c>
      <c r="H3657" s="274" t="s">
        <v>500</v>
      </c>
      <c r="I3657" s="274" t="s">
        <v>2772</v>
      </c>
      <c r="J3657" s="275" t="s">
        <v>285</v>
      </c>
      <c r="K3657" s="276" t="s">
        <v>153</v>
      </c>
      <c r="L3657" s="390" t="s">
        <v>2166</v>
      </c>
      <c r="M3657" s="275" t="s">
        <v>86</v>
      </c>
      <c r="N3657" s="274" t="s">
        <v>547</v>
      </c>
      <c r="O3657" s="274" t="s">
        <v>548</v>
      </c>
      <c r="P3657" s="277">
        <v>10</v>
      </c>
      <c r="Q3657" s="277">
        <v>50</v>
      </c>
      <c r="R3657" s="278">
        <v>6.8100000000000001E-3</v>
      </c>
      <c r="S3657" s="274" t="s">
        <v>76</v>
      </c>
      <c r="T3657" s="274" t="s">
        <v>56</v>
      </c>
      <c r="U3657" s="274" t="s">
        <v>89</v>
      </c>
      <c r="V3657" s="279">
        <v>655</v>
      </c>
      <c r="W3657" s="279">
        <v>655</v>
      </c>
      <c r="X3657" s="280"/>
      <c r="Y3657" s="281">
        <f t="shared" si="1768"/>
        <v>0</v>
      </c>
      <c r="Z3657" s="282">
        <f t="shared" si="1769"/>
        <v>0</v>
      </c>
      <c r="AA3657" s="282">
        <f t="shared" si="1765"/>
        <v>0</v>
      </c>
      <c r="AB3657" s="812">
        <v>6</v>
      </c>
      <c r="AC3657" s="279">
        <f t="shared" si="1770"/>
        <v>0</v>
      </c>
      <c r="AD3657" s="209"/>
      <c r="AE3657" s="210">
        <f t="shared" si="1771"/>
        <v>0</v>
      </c>
      <c r="AF3657" s="210">
        <f t="shared" si="1772"/>
        <v>0</v>
      </c>
      <c r="AG3657" s="211">
        <f t="shared" si="1777"/>
        <v>0.63</v>
      </c>
      <c r="AH3657" s="157">
        <f t="shared" si="1776"/>
        <v>0</v>
      </c>
      <c r="AI3657" s="152">
        <f t="shared" si="1774"/>
        <v>6550</v>
      </c>
      <c r="AK3657" s="156" t="s">
        <v>691</v>
      </c>
      <c r="AL3657" s="156" t="s">
        <v>689</v>
      </c>
      <c r="AM3657" s="198">
        <f t="shared" si="1766"/>
        <v>0</v>
      </c>
      <c r="AN3657" s="199">
        <f t="shared" si="1767"/>
        <v>46243</v>
      </c>
      <c r="AO3657" s="159" t="s">
        <v>692</v>
      </c>
      <c r="AP3657" s="783" t="s">
        <v>620</v>
      </c>
      <c r="AQ3657" s="796" t="s">
        <v>422</v>
      </c>
      <c r="AR3657" s="782">
        <v>12055234</v>
      </c>
      <c r="AS3657" s="781"/>
      <c r="AT3657" s="782"/>
      <c r="AU3657" s="782"/>
      <c r="AV3657" s="782">
        <v>12062809</v>
      </c>
      <c r="AW3657" s="782"/>
      <c r="AX3657" s="782" t="s">
        <v>619</v>
      </c>
      <c r="AY3657" s="781"/>
      <c r="AZ3657" s="781"/>
      <c r="BA3657" s="781"/>
      <c r="BB3657" s="209">
        <v>23053184</v>
      </c>
    </row>
    <row r="3658" spans="1:54" ht="25" customHeight="1">
      <c r="A3658" s="440"/>
      <c r="B3658" s="743">
        <v>46243</v>
      </c>
      <c r="C3658" s="743">
        <v>46273</v>
      </c>
      <c r="D3658" s="746">
        <f t="shared" ref="D3658:D3677" si="1803">IF(B3658="","",YEAR(B3658))</f>
        <v>2026</v>
      </c>
      <c r="E3658" s="858" t="e">
        <f>VLOOKUP($B3658,Week!$A$1:$C$1462,2,0)</f>
        <v>#N/A</v>
      </c>
      <c r="F3658" s="859" t="str">
        <f t="shared" ref="F3658:F3677" si="1804">IF(B3658="","",TEXT(B3658,"[$-409]mmm"))</f>
        <v>Aug</v>
      </c>
      <c r="G3658" s="746" t="s">
        <v>3138</v>
      </c>
      <c r="H3658" s="746" t="s">
        <v>424</v>
      </c>
      <c r="I3658" s="746" t="s">
        <v>2772</v>
      </c>
      <c r="J3658" s="747" t="s">
        <v>425</v>
      </c>
      <c r="K3658" s="748" t="s">
        <v>1651</v>
      </c>
      <c r="L3658" s="748" t="s">
        <v>2167</v>
      </c>
      <c r="M3658" s="747" t="s">
        <v>2260</v>
      </c>
      <c r="N3658" s="746" t="s">
        <v>2257</v>
      </c>
      <c r="O3658" s="746" t="s">
        <v>2254</v>
      </c>
      <c r="P3658" s="749">
        <v>6</v>
      </c>
      <c r="Q3658" s="749">
        <v>3</v>
      </c>
      <c r="R3658" s="849">
        <v>6.1999999999999998E-3</v>
      </c>
      <c r="S3658" s="746" t="s">
        <v>55</v>
      </c>
      <c r="T3658" s="746" t="s">
        <v>112</v>
      </c>
      <c r="U3658" s="860" t="s">
        <v>1633</v>
      </c>
      <c r="V3658" s="750">
        <f>8000-3364-1679</f>
        <v>2957</v>
      </c>
      <c r="W3658" s="750"/>
      <c r="X3658" s="751">
        <f>19688/6</f>
        <v>3281.3333333333335</v>
      </c>
      <c r="Y3658" s="752">
        <f t="shared" si="1768"/>
        <v>324.33333333333348</v>
      </c>
      <c r="Z3658" s="753">
        <f t="shared" si="1769"/>
        <v>0</v>
      </c>
      <c r="AA3658" s="753">
        <f t="shared" si="1765"/>
        <v>0</v>
      </c>
      <c r="AB3658" s="838">
        <v>6.5000000000000002E-2</v>
      </c>
      <c r="AC3658" s="750">
        <f t="shared" si="1770"/>
        <v>0</v>
      </c>
      <c r="AD3658" s="513" t="s">
        <v>3137</v>
      </c>
      <c r="AE3658" s="210">
        <f t="shared" si="1771"/>
        <v>0</v>
      </c>
      <c r="AF3658" s="210">
        <f t="shared" si="1772"/>
        <v>0</v>
      </c>
      <c r="AG3658" s="211">
        <f t="shared" si="1777"/>
        <v>0.3</v>
      </c>
      <c r="AH3658" s="157">
        <f t="shared" si="1776"/>
        <v>0</v>
      </c>
      <c r="AI3658" s="152">
        <f t="shared" si="1774"/>
        <v>17742</v>
      </c>
      <c r="AK3658" s="156" t="s">
        <v>691</v>
      </c>
      <c r="AL3658" s="212" t="s">
        <v>690</v>
      </c>
      <c r="AM3658" s="198">
        <f t="shared" si="1766"/>
        <v>0</v>
      </c>
      <c r="AN3658" s="199">
        <f t="shared" si="1767"/>
        <v>46243</v>
      </c>
      <c r="AO3658" s="159" t="s">
        <v>692</v>
      </c>
      <c r="AP3658" s="781"/>
      <c r="AQ3658" s="782"/>
      <c r="AR3658" s="782" t="s">
        <v>2379</v>
      </c>
      <c r="AS3658" s="782"/>
      <c r="AT3658" s="782">
        <v>12095581</v>
      </c>
      <c r="AU3658" s="783"/>
      <c r="AV3658" s="782">
        <v>12096149</v>
      </c>
      <c r="AW3658" s="782"/>
      <c r="AX3658" s="782"/>
      <c r="AY3658" s="782"/>
      <c r="AZ3658" s="782"/>
      <c r="BA3658" s="782"/>
      <c r="BB3658" s="209">
        <v>23105543</v>
      </c>
    </row>
    <row r="3659" spans="1:54" ht="25" customHeight="1">
      <c r="B3659" s="320">
        <v>46243</v>
      </c>
      <c r="C3659" s="844" t="s">
        <v>3075</v>
      </c>
      <c r="D3659" s="185">
        <f t="shared" ref="D3659:D3664" si="1805">IF(B3659="","",YEAR(B3659))</f>
        <v>2026</v>
      </c>
      <c r="E3659" s="321" t="e">
        <f>VLOOKUP($B3659,Week!$A$1:$C$1462,2,0)</f>
        <v>#N/A</v>
      </c>
      <c r="F3659" s="322" t="str">
        <f t="shared" ref="F3659:F3664" si="1806">IF(B3659="","",TEXT(B3659,"[$-409]mmm"))</f>
        <v>Aug</v>
      </c>
      <c r="G3659" s="323" t="s">
        <v>47</v>
      </c>
      <c r="H3659" s="323" t="s">
        <v>518</v>
      </c>
      <c r="I3659" s="323" t="s">
        <v>2702</v>
      </c>
      <c r="J3659" s="324" t="s">
        <v>70</v>
      </c>
      <c r="K3659" s="325" t="s">
        <v>564</v>
      </c>
      <c r="L3659" s="300" t="s">
        <v>2167</v>
      </c>
      <c r="M3659" s="324" t="s">
        <v>2343</v>
      </c>
      <c r="N3659" s="323" t="s">
        <v>559</v>
      </c>
      <c r="O3659" s="323" t="s">
        <v>560</v>
      </c>
      <c r="P3659" s="326">
        <v>12</v>
      </c>
      <c r="Q3659" s="326">
        <v>3</v>
      </c>
      <c r="R3659" s="327">
        <v>8.0000000000000002E-3</v>
      </c>
      <c r="S3659" s="323" t="s">
        <v>40</v>
      </c>
      <c r="T3659" s="323" t="s">
        <v>56</v>
      </c>
      <c r="U3659" s="323" t="s">
        <v>57</v>
      </c>
      <c r="V3659" s="397">
        <f>500+12</f>
        <v>512</v>
      </c>
      <c r="W3659" s="328">
        <f>1+499+12</f>
        <v>512</v>
      </c>
      <c r="X3659" s="329"/>
      <c r="Y3659" s="330">
        <f t="shared" ref="Y3659:Y3664" si="1807">(W3659+X3659)-V3659</f>
        <v>0</v>
      </c>
      <c r="Z3659" s="331">
        <f t="shared" ref="Z3659:Z3664" si="1808">IF(Y3659&lt;0,((V3659*P3659)-((W3659+X3659)*P3659)),0)</f>
        <v>0</v>
      </c>
      <c r="AA3659" s="331">
        <f t="shared" ref="AA3659:AA3664" si="1809">Q3659*Z3659</f>
        <v>0</v>
      </c>
      <c r="AB3659" s="816">
        <v>7.4999999999999997E-3</v>
      </c>
      <c r="AC3659" s="328">
        <f t="shared" ref="AC3659:AC3664" si="1810">Z3659*AB3659</f>
        <v>0</v>
      </c>
      <c r="AD3659" s="949" t="s">
        <v>3109</v>
      </c>
      <c r="AE3659" s="210">
        <f t="shared" ref="AE3659:AE3664" si="1811">SUM(Q3659*R3659*Z3659)/1000</f>
        <v>0</v>
      </c>
      <c r="AF3659" s="210">
        <f t="shared" ref="AF3659:AF3664" si="1812">AE3659/0.54</f>
        <v>0</v>
      </c>
      <c r="AG3659" s="211">
        <f>MID(O3659,1,3)/1000</f>
        <v>0.22600000000000001</v>
      </c>
      <c r="AH3659" s="157">
        <f t="shared" ref="AH3659:AH3664" si="1813">(Z3659*AG3659)/1000</f>
        <v>0</v>
      </c>
      <c r="AI3659" s="152">
        <f t="shared" ref="AI3659:AI3664" si="1814">V3659*P3659</f>
        <v>6144</v>
      </c>
      <c r="AK3659" s="156" t="s">
        <v>691</v>
      </c>
      <c r="AL3659" s="212" t="s">
        <v>690</v>
      </c>
      <c r="AM3659" s="198">
        <f t="shared" ref="AM3659:AM3664" si="1815">AG3659*Z3659</f>
        <v>0</v>
      </c>
      <c r="AN3659" s="199">
        <f t="shared" ref="AN3659:AN3664" si="1816">B3659</f>
        <v>46243</v>
      </c>
      <c r="AO3659" s="159" t="s">
        <v>692</v>
      </c>
      <c r="AP3659" s="783" t="s">
        <v>623</v>
      </c>
      <c r="AQ3659" s="782">
        <v>12071839</v>
      </c>
      <c r="AR3659" s="782">
        <v>12042650</v>
      </c>
      <c r="AS3659" s="782">
        <v>12042649</v>
      </c>
      <c r="AT3659" s="782"/>
      <c r="AU3659" s="781"/>
      <c r="AV3659" s="782">
        <v>12083156</v>
      </c>
      <c r="AW3659" s="782"/>
      <c r="AX3659" s="782"/>
      <c r="AY3659" s="782">
        <v>12094235</v>
      </c>
      <c r="AZ3659" s="782">
        <v>12094236</v>
      </c>
      <c r="BA3659" s="781"/>
      <c r="BB3659" s="209">
        <v>23053185</v>
      </c>
    </row>
    <row r="3660" spans="1:54" ht="25" customHeight="1">
      <c r="A3660" s="440"/>
      <c r="B3660" s="332">
        <v>46243</v>
      </c>
      <c r="C3660" s="646" t="s">
        <v>3055</v>
      </c>
      <c r="D3660" s="185">
        <f t="shared" si="1805"/>
        <v>2026</v>
      </c>
      <c r="E3660" s="333" t="e">
        <f>VLOOKUP($B3660,Week!$A$1:$C$1462,2,0)</f>
        <v>#N/A</v>
      </c>
      <c r="F3660" s="334" t="str">
        <f t="shared" si="1806"/>
        <v>Aug</v>
      </c>
      <c r="G3660" s="335" t="s">
        <v>47</v>
      </c>
      <c r="H3660" s="335" t="s">
        <v>518</v>
      </c>
      <c r="I3660" s="335" t="s">
        <v>2702</v>
      </c>
      <c r="J3660" s="336" t="s">
        <v>70</v>
      </c>
      <c r="K3660" s="337" t="s">
        <v>582</v>
      </c>
      <c r="L3660" s="300" t="s">
        <v>2167</v>
      </c>
      <c r="M3660" s="336" t="s">
        <v>534</v>
      </c>
      <c r="N3660" s="530" t="s">
        <v>578</v>
      </c>
      <c r="O3660" s="335" t="s">
        <v>583</v>
      </c>
      <c r="P3660" s="338">
        <v>12</v>
      </c>
      <c r="Q3660" s="338">
        <v>3</v>
      </c>
      <c r="R3660" s="339">
        <v>6.0000000000000001E-3</v>
      </c>
      <c r="S3660" s="335" t="s">
        <v>55</v>
      </c>
      <c r="T3660" s="335" t="s">
        <v>56</v>
      </c>
      <c r="U3660" s="335" t="s">
        <v>57</v>
      </c>
      <c r="V3660" s="341">
        <f>200+3</f>
        <v>203</v>
      </c>
      <c r="W3660" s="341">
        <f>1+199+3</f>
        <v>203</v>
      </c>
      <c r="X3660" s="342"/>
      <c r="Y3660" s="343">
        <f t="shared" si="1807"/>
        <v>0</v>
      </c>
      <c r="Z3660" s="344">
        <f t="shared" si="1808"/>
        <v>0</v>
      </c>
      <c r="AA3660" s="344">
        <f t="shared" si="1809"/>
        <v>0</v>
      </c>
      <c r="AB3660" s="817">
        <v>7.4999999999999997E-3</v>
      </c>
      <c r="AC3660" s="341">
        <f t="shared" si="1810"/>
        <v>0</v>
      </c>
      <c r="AD3660" s="949" t="s">
        <v>3109</v>
      </c>
      <c r="AE3660" s="210">
        <f t="shared" si="1811"/>
        <v>0</v>
      </c>
      <c r="AF3660" s="210">
        <f t="shared" si="1812"/>
        <v>0</v>
      </c>
      <c r="AG3660" s="211">
        <f>MID(O3660,1,3)/1000</f>
        <v>0.191</v>
      </c>
      <c r="AH3660" s="157">
        <f t="shared" si="1813"/>
        <v>0</v>
      </c>
      <c r="AI3660" s="152">
        <f t="shared" si="1814"/>
        <v>2436</v>
      </c>
      <c r="AK3660" s="156" t="s">
        <v>691</v>
      </c>
      <c r="AL3660" s="212" t="s">
        <v>690</v>
      </c>
      <c r="AM3660" s="198">
        <f t="shared" si="1815"/>
        <v>0</v>
      </c>
      <c r="AN3660" s="199">
        <f t="shared" si="1816"/>
        <v>46243</v>
      </c>
      <c r="AO3660" s="159" t="s">
        <v>692</v>
      </c>
      <c r="AP3660" s="781"/>
      <c r="AQ3660" s="782">
        <v>12071839</v>
      </c>
      <c r="AR3660" s="782">
        <v>12042650</v>
      </c>
      <c r="AS3660" s="782">
        <v>12042649</v>
      </c>
      <c r="AT3660" s="782"/>
      <c r="AU3660" s="781"/>
      <c r="AV3660" s="782">
        <v>12083313</v>
      </c>
      <c r="AW3660" s="782"/>
      <c r="AX3660" s="782"/>
      <c r="AY3660" s="782">
        <v>12094233</v>
      </c>
      <c r="AZ3660" s="782">
        <v>12094234</v>
      </c>
      <c r="BA3660" s="781"/>
      <c r="BB3660" s="209">
        <v>23053185</v>
      </c>
    </row>
    <row r="3661" spans="1:54" ht="25" customHeight="1">
      <c r="B3661" s="271">
        <v>46243</v>
      </c>
      <c r="C3661" s="870" t="s">
        <v>3055</v>
      </c>
      <c r="D3661" s="185">
        <f t="shared" si="1805"/>
        <v>2026</v>
      </c>
      <c r="E3661" s="272" t="e">
        <f>VLOOKUP($B3661,Week!$A$1:$C$1462,2,0)</f>
        <v>#N/A</v>
      </c>
      <c r="F3661" s="273" t="str">
        <f t="shared" si="1806"/>
        <v>Aug</v>
      </c>
      <c r="G3661" s="274" t="s">
        <v>47</v>
      </c>
      <c r="H3661" s="274" t="s">
        <v>518</v>
      </c>
      <c r="I3661" s="274" t="s">
        <v>2702</v>
      </c>
      <c r="J3661" s="275" t="s">
        <v>70</v>
      </c>
      <c r="K3661" s="276" t="s">
        <v>556</v>
      </c>
      <c r="L3661" s="300" t="s">
        <v>2167</v>
      </c>
      <c r="M3661" s="275" t="s">
        <v>520</v>
      </c>
      <c r="N3661" s="423" t="s">
        <v>586</v>
      </c>
      <c r="O3661" s="274" t="s">
        <v>585</v>
      </c>
      <c r="P3661" s="277">
        <v>12</v>
      </c>
      <c r="Q3661" s="277">
        <v>5</v>
      </c>
      <c r="R3661" s="278">
        <v>6.0000000000000001E-3</v>
      </c>
      <c r="S3661" s="274" t="s">
        <v>55</v>
      </c>
      <c r="T3661" s="274" t="s">
        <v>56</v>
      </c>
      <c r="U3661" s="274" t="s">
        <v>57</v>
      </c>
      <c r="V3661" s="279">
        <f>300</f>
        <v>300</v>
      </c>
      <c r="W3661" s="279">
        <f>1+299</f>
        <v>300</v>
      </c>
      <c r="X3661" s="280"/>
      <c r="Y3661" s="281">
        <f t="shared" si="1807"/>
        <v>0</v>
      </c>
      <c r="Z3661" s="282">
        <f t="shared" si="1808"/>
        <v>0</v>
      </c>
      <c r="AA3661" s="282">
        <f t="shared" si="1809"/>
        <v>0</v>
      </c>
      <c r="AB3661" s="812">
        <v>7.4999999999999997E-3</v>
      </c>
      <c r="AC3661" s="279">
        <f t="shared" si="1810"/>
        <v>0</v>
      </c>
      <c r="AD3661" s="949" t="s">
        <v>3109</v>
      </c>
      <c r="AE3661" s="210">
        <f t="shared" si="1811"/>
        <v>0</v>
      </c>
      <c r="AF3661" s="210">
        <f t="shared" si="1812"/>
        <v>0</v>
      </c>
      <c r="AG3661" s="211">
        <f>MID(O3661,1,3)/1000</f>
        <v>0.13500000000000001</v>
      </c>
      <c r="AH3661" s="157">
        <f t="shared" si="1813"/>
        <v>0</v>
      </c>
      <c r="AI3661" s="152">
        <f t="shared" si="1814"/>
        <v>3600</v>
      </c>
      <c r="AK3661" s="156" t="s">
        <v>691</v>
      </c>
      <c r="AL3661" s="212" t="s">
        <v>690</v>
      </c>
      <c r="AM3661" s="198">
        <f t="shared" si="1815"/>
        <v>0</v>
      </c>
      <c r="AN3661" s="199">
        <f t="shared" si="1816"/>
        <v>46243</v>
      </c>
      <c r="AO3661" s="159" t="s">
        <v>692</v>
      </c>
      <c r="AP3661" s="781"/>
      <c r="AQ3661" s="782">
        <v>12071839</v>
      </c>
      <c r="AR3661" s="782">
        <v>12047514</v>
      </c>
      <c r="AS3661" s="782">
        <v>12047515</v>
      </c>
      <c r="AT3661" s="782"/>
      <c r="AU3661" s="781"/>
      <c r="AV3661" s="782">
        <v>12083307</v>
      </c>
      <c r="AW3661" s="782"/>
      <c r="AX3661" s="782"/>
      <c r="AY3661" s="782">
        <v>12094380</v>
      </c>
      <c r="AZ3661" s="782">
        <v>12094381</v>
      </c>
      <c r="BA3661" s="781"/>
      <c r="BB3661" s="209">
        <v>23053185</v>
      </c>
    </row>
    <row r="3662" spans="1:54" ht="25" customHeight="1">
      <c r="B3662" s="271">
        <v>46243</v>
      </c>
      <c r="C3662" s="870" t="s">
        <v>3075</v>
      </c>
      <c r="D3662" s="185">
        <f t="shared" si="1805"/>
        <v>2026</v>
      </c>
      <c r="E3662" s="272" t="e">
        <f>VLOOKUP($B3662,Week!$A$1:$C$1462,2,0)</f>
        <v>#N/A</v>
      </c>
      <c r="F3662" s="273" t="str">
        <f t="shared" si="1806"/>
        <v>Aug</v>
      </c>
      <c r="G3662" s="274" t="s">
        <v>47</v>
      </c>
      <c r="H3662" s="274" t="s">
        <v>518</v>
      </c>
      <c r="I3662" s="274" t="s">
        <v>2702</v>
      </c>
      <c r="J3662" s="275" t="s">
        <v>70</v>
      </c>
      <c r="K3662" s="276" t="s">
        <v>556</v>
      </c>
      <c r="L3662" s="300" t="s">
        <v>2167</v>
      </c>
      <c r="M3662" s="275" t="s">
        <v>520</v>
      </c>
      <c r="N3662" s="423" t="s">
        <v>586</v>
      </c>
      <c r="O3662" s="274" t="s">
        <v>585</v>
      </c>
      <c r="P3662" s="277">
        <v>12</v>
      </c>
      <c r="Q3662" s="277">
        <v>5</v>
      </c>
      <c r="R3662" s="278">
        <v>6.0000000000000001E-3</v>
      </c>
      <c r="S3662" s="274" t="s">
        <v>55</v>
      </c>
      <c r="T3662" s="274" t="s">
        <v>56</v>
      </c>
      <c r="U3662" s="274" t="s">
        <v>57</v>
      </c>
      <c r="V3662" s="279">
        <f>300+16</f>
        <v>316</v>
      </c>
      <c r="W3662" s="279">
        <f>316</f>
        <v>316</v>
      </c>
      <c r="X3662" s="280"/>
      <c r="Y3662" s="281">
        <f t="shared" si="1807"/>
        <v>0</v>
      </c>
      <c r="Z3662" s="282">
        <f t="shared" si="1808"/>
        <v>0</v>
      </c>
      <c r="AA3662" s="282">
        <f t="shared" si="1809"/>
        <v>0</v>
      </c>
      <c r="AB3662" s="812">
        <v>7.4999999999999997E-3</v>
      </c>
      <c r="AC3662" s="279">
        <f t="shared" si="1810"/>
        <v>0</v>
      </c>
      <c r="AD3662" s="949" t="s">
        <v>3109</v>
      </c>
      <c r="AE3662" s="210">
        <f t="shared" si="1811"/>
        <v>0</v>
      </c>
      <c r="AF3662" s="210">
        <f t="shared" si="1812"/>
        <v>0</v>
      </c>
      <c r="AG3662" s="211">
        <f>MID(O3662,1,3)/1000</f>
        <v>0.13500000000000001</v>
      </c>
      <c r="AH3662" s="157">
        <f t="shared" si="1813"/>
        <v>0</v>
      </c>
      <c r="AI3662" s="152">
        <f t="shared" si="1814"/>
        <v>3792</v>
      </c>
      <c r="AK3662" s="156" t="s">
        <v>691</v>
      </c>
      <c r="AL3662" s="212" t="s">
        <v>690</v>
      </c>
      <c r="AM3662" s="198">
        <f t="shared" si="1815"/>
        <v>0</v>
      </c>
      <c r="AN3662" s="199">
        <f t="shared" si="1816"/>
        <v>46243</v>
      </c>
      <c r="AO3662" s="159" t="s">
        <v>692</v>
      </c>
      <c r="AP3662" s="781"/>
      <c r="AQ3662" s="782">
        <v>12071839</v>
      </c>
      <c r="AR3662" s="782">
        <v>12047514</v>
      </c>
      <c r="AS3662" s="782">
        <v>12047515</v>
      </c>
      <c r="AT3662" s="782"/>
      <c r="AU3662" s="781"/>
      <c r="AV3662" s="782">
        <v>12083307</v>
      </c>
      <c r="AW3662" s="782"/>
      <c r="AX3662" s="782"/>
      <c r="AY3662" s="782">
        <v>12094380</v>
      </c>
      <c r="AZ3662" s="782">
        <v>12094381</v>
      </c>
      <c r="BA3662" s="781"/>
      <c r="BB3662" s="209">
        <v>23053185</v>
      </c>
    </row>
    <row r="3663" spans="1:54" ht="25" customHeight="1">
      <c r="B3663" s="424">
        <v>46243</v>
      </c>
      <c r="C3663" s="647" t="s">
        <v>3055</v>
      </c>
      <c r="D3663" s="185">
        <f t="shared" si="1805"/>
        <v>2026</v>
      </c>
      <c r="E3663" s="425" t="e">
        <f>VLOOKUP($B3663,Week!$A$1:$C$1462,2,0)</f>
        <v>#N/A</v>
      </c>
      <c r="F3663" s="426" t="str">
        <f t="shared" si="1806"/>
        <v>Aug</v>
      </c>
      <c r="G3663" s="427" t="s">
        <v>47</v>
      </c>
      <c r="H3663" s="427" t="s">
        <v>518</v>
      </c>
      <c r="I3663" s="427" t="s">
        <v>2702</v>
      </c>
      <c r="J3663" s="428" t="s">
        <v>70</v>
      </c>
      <c r="K3663" s="429" t="s">
        <v>94</v>
      </c>
      <c r="L3663" s="300" t="s">
        <v>2167</v>
      </c>
      <c r="M3663" s="428" t="s">
        <v>2342</v>
      </c>
      <c r="N3663" s="427" t="s">
        <v>587</v>
      </c>
      <c r="O3663" s="427" t="s">
        <v>3198</v>
      </c>
      <c r="P3663" s="430">
        <v>18</v>
      </c>
      <c r="Q3663" s="430">
        <v>5</v>
      </c>
      <c r="R3663" s="431">
        <v>8.0000000000000002E-3</v>
      </c>
      <c r="S3663" s="427" t="s">
        <v>40</v>
      </c>
      <c r="T3663" s="427" t="s">
        <v>56</v>
      </c>
      <c r="U3663" s="427" t="s">
        <v>89</v>
      </c>
      <c r="V3663" s="432">
        <f>800</f>
        <v>800</v>
      </c>
      <c r="W3663" s="432">
        <f>41+755+4</f>
        <v>800</v>
      </c>
      <c r="X3663" s="433"/>
      <c r="Y3663" s="434">
        <f t="shared" si="1807"/>
        <v>0</v>
      </c>
      <c r="Z3663" s="435">
        <f t="shared" si="1808"/>
        <v>0</v>
      </c>
      <c r="AA3663" s="435">
        <f t="shared" si="1809"/>
        <v>0</v>
      </c>
      <c r="AB3663" s="826">
        <v>1</v>
      </c>
      <c r="AC3663" s="432">
        <f t="shared" si="1810"/>
        <v>0</v>
      </c>
      <c r="AD3663" s="949" t="s">
        <v>3109</v>
      </c>
      <c r="AE3663" s="210">
        <f t="shared" si="1811"/>
        <v>0</v>
      </c>
      <c r="AF3663" s="210">
        <f t="shared" si="1812"/>
        <v>0</v>
      </c>
      <c r="AG3663" s="211" t="e">
        <f>(MID(O3663,1,3)/1000)/3</f>
        <v>#VALUE!</v>
      </c>
      <c r="AH3663" s="157" t="e">
        <f t="shared" si="1813"/>
        <v>#VALUE!</v>
      </c>
      <c r="AI3663" s="152">
        <f t="shared" si="1814"/>
        <v>14400</v>
      </c>
      <c r="AK3663" s="156" t="s">
        <v>691</v>
      </c>
      <c r="AL3663" s="212" t="s">
        <v>690</v>
      </c>
      <c r="AM3663" s="198" t="e">
        <f t="shared" si="1815"/>
        <v>#VALUE!</v>
      </c>
      <c r="AN3663" s="199">
        <f t="shared" si="1816"/>
        <v>46243</v>
      </c>
      <c r="AO3663" s="159" t="s">
        <v>692</v>
      </c>
      <c r="AP3663" s="783" t="s">
        <v>628</v>
      </c>
      <c r="AQ3663" s="782"/>
      <c r="AR3663" s="782"/>
      <c r="AS3663" s="782"/>
      <c r="AT3663" s="782"/>
      <c r="AU3663" s="781"/>
      <c r="AV3663" s="782">
        <v>12080791</v>
      </c>
      <c r="AW3663" s="782" t="s">
        <v>641</v>
      </c>
      <c r="AX3663" s="782" t="s">
        <v>533</v>
      </c>
      <c r="AY3663" s="782"/>
      <c r="AZ3663" s="782"/>
      <c r="BA3663" s="781"/>
      <c r="BB3663" s="209">
        <v>23053184</v>
      </c>
    </row>
    <row r="3664" spans="1:54" ht="25" customHeight="1">
      <c r="B3664" s="398">
        <v>46243</v>
      </c>
      <c r="C3664" s="879" t="s">
        <v>3075</v>
      </c>
      <c r="D3664" s="185">
        <f t="shared" si="1805"/>
        <v>2026</v>
      </c>
      <c r="E3664" s="399" t="e">
        <f>VLOOKUP($B3664,Week!$A$1:$C$1462,2,0)</f>
        <v>#N/A</v>
      </c>
      <c r="F3664" s="400" t="str">
        <f t="shared" si="1806"/>
        <v>Aug</v>
      </c>
      <c r="G3664" s="401" t="s">
        <v>47</v>
      </c>
      <c r="H3664" s="401" t="s">
        <v>518</v>
      </c>
      <c r="I3664" s="401" t="s">
        <v>2702</v>
      </c>
      <c r="J3664" s="402" t="s">
        <v>70</v>
      </c>
      <c r="K3664" s="403" t="s">
        <v>1645</v>
      </c>
      <c r="L3664" s="300" t="s">
        <v>2167</v>
      </c>
      <c r="M3664" s="402" t="s">
        <v>2567</v>
      </c>
      <c r="N3664" s="404" t="s">
        <v>2520</v>
      </c>
      <c r="O3664" s="401" t="s">
        <v>747</v>
      </c>
      <c r="P3664" s="405">
        <v>12</v>
      </c>
      <c r="Q3664" s="405">
        <v>5</v>
      </c>
      <c r="R3664" s="406">
        <v>8.0000000000000002E-3</v>
      </c>
      <c r="S3664" s="401" t="s">
        <v>352</v>
      </c>
      <c r="T3664" s="401" t="s">
        <v>56</v>
      </c>
      <c r="U3664" s="770" t="s">
        <v>669</v>
      </c>
      <c r="V3664" s="407">
        <v>439</v>
      </c>
      <c r="W3664" s="407">
        <f>90+349</f>
        <v>439</v>
      </c>
      <c r="X3664" s="408"/>
      <c r="Y3664" s="409">
        <f t="shared" si="1807"/>
        <v>0</v>
      </c>
      <c r="Z3664" s="410">
        <f t="shared" si="1808"/>
        <v>0</v>
      </c>
      <c r="AA3664" s="410">
        <f t="shared" si="1809"/>
        <v>0</v>
      </c>
      <c r="AB3664" s="824">
        <v>8.9999999999999993E-3</v>
      </c>
      <c r="AC3664" s="407">
        <f t="shared" si="1810"/>
        <v>0</v>
      </c>
      <c r="AD3664" s="307" t="s">
        <v>3176</v>
      </c>
      <c r="AE3664" s="210">
        <f t="shared" si="1811"/>
        <v>0</v>
      </c>
      <c r="AF3664" s="210">
        <f t="shared" si="1812"/>
        <v>0</v>
      </c>
      <c r="AG3664" s="211">
        <f>MID(O3664,1,3)/1000</f>
        <v>0.14299999999999999</v>
      </c>
      <c r="AH3664" s="157">
        <f t="shared" si="1813"/>
        <v>0</v>
      </c>
      <c r="AI3664" s="152">
        <f t="shared" si="1814"/>
        <v>5268</v>
      </c>
      <c r="AK3664" s="156" t="s">
        <v>691</v>
      </c>
      <c r="AL3664" s="212" t="s">
        <v>690</v>
      </c>
      <c r="AM3664" s="198">
        <f t="shared" si="1815"/>
        <v>0</v>
      </c>
      <c r="AN3664" s="199">
        <f t="shared" si="1816"/>
        <v>46243</v>
      </c>
      <c r="AO3664" s="159" t="s">
        <v>692</v>
      </c>
      <c r="AP3664" s="783" t="s">
        <v>623</v>
      </c>
      <c r="AQ3664" s="782">
        <v>12071839</v>
      </c>
      <c r="AR3664" s="782">
        <v>12047514</v>
      </c>
      <c r="AS3664" s="782">
        <v>12047515</v>
      </c>
      <c r="AT3664" s="782"/>
      <c r="AU3664" s="781"/>
      <c r="AV3664" s="782">
        <v>12096536</v>
      </c>
      <c r="AW3664" s="782"/>
      <c r="AX3664" s="782"/>
      <c r="AY3664" s="782">
        <v>12096534</v>
      </c>
      <c r="AZ3664" s="782">
        <v>12096535</v>
      </c>
      <c r="BA3664" s="781"/>
      <c r="BB3664" s="209">
        <v>23098853</v>
      </c>
    </row>
    <row r="3665" spans="1:54" ht="25" customHeight="1">
      <c r="B3665" s="183">
        <v>46244</v>
      </c>
      <c r="C3665" s="184"/>
      <c r="D3665" s="185">
        <f t="shared" si="1803"/>
        <v>2026</v>
      </c>
      <c r="E3665" s="185" t="e">
        <f>VLOOKUP($B3665,Week!$A$1:$C$1462,2,0)</f>
        <v>#N/A</v>
      </c>
      <c r="F3665" s="186" t="str">
        <f t="shared" si="1804"/>
        <v>Aug</v>
      </c>
      <c r="G3665" s="481"/>
      <c r="H3665" s="185"/>
      <c r="I3665" s="185"/>
      <c r="J3665" s="187"/>
      <c r="K3665" s="188"/>
      <c r="L3665" s="188"/>
      <c r="M3665" s="187"/>
      <c r="N3665" s="185"/>
      <c r="O3665" s="185"/>
      <c r="P3665" s="189"/>
      <c r="Q3665" s="189"/>
      <c r="R3665" s="190"/>
      <c r="S3665" s="185"/>
      <c r="T3665" s="185"/>
      <c r="U3665" s="185"/>
      <c r="V3665" s="191"/>
      <c r="W3665" s="191"/>
      <c r="X3665" s="192"/>
      <c r="Y3665" s="193"/>
      <c r="Z3665" s="194"/>
      <c r="AA3665" s="194">
        <f t="shared" si="1765"/>
        <v>0</v>
      </c>
      <c r="AB3665" s="805"/>
      <c r="AC3665" s="191"/>
      <c r="AD3665" s="187"/>
      <c r="AE3665" s="195"/>
      <c r="AF3665" s="195"/>
      <c r="AG3665" s="196"/>
      <c r="AH3665" s="197"/>
      <c r="AK3665" s="156" t="s">
        <v>691</v>
      </c>
      <c r="AM3665" s="198">
        <f t="shared" si="1766"/>
        <v>0</v>
      </c>
      <c r="AN3665" s="199">
        <f t="shared" si="1767"/>
        <v>46244</v>
      </c>
      <c r="AO3665" s="159" t="s">
        <v>692</v>
      </c>
      <c r="AP3665" s="781"/>
      <c r="AQ3665" s="782"/>
      <c r="AR3665" s="782"/>
      <c r="AS3665" s="782"/>
      <c r="AT3665" s="782"/>
      <c r="AU3665" s="781"/>
      <c r="AV3665" s="782"/>
      <c r="AW3665" s="782"/>
      <c r="AX3665" s="782"/>
      <c r="AY3665" s="782"/>
      <c r="AZ3665" s="782"/>
      <c r="BA3665" s="781"/>
      <c r="BB3665" s="209"/>
    </row>
    <row r="3666" spans="1:54" ht="25" customHeight="1">
      <c r="B3666" s="183">
        <v>46245</v>
      </c>
      <c r="C3666" s="184"/>
      <c r="D3666" s="185">
        <f t="shared" si="1803"/>
        <v>2026</v>
      </c>
      <c r="E3666" s="185" t="e">
        <f>VLOOKUP($B3666,Week!$A$1:$C$1462,2,0)</f>
        <v>#N/A</v>
      </c>
      <c r="F3666" s="186" t="str">
        <f t="shared" si="1804"/>
        <v>Aug</v>
      </c>
      <c r="G3666" s="481"/>
      <c r="H3666" s="185"/>
      <c r="I3666" s="185"/>
      <c r="J3666" s="187"/>
      <c r="K3666" s="188"/>
      <c r="L3666" s="188"/>
      <c r="M3666" s="187"/>
      <c r="N3666" s="185"/>
      <c r="O3666" s="185"/>
      <c r="P3666" s="189"/>
      <c r="Q3666" s="189"/>
      <c r="R3666" s="190"/>
      <c r="S3666" s="185"/>
      <c r="T3666" s="185"/>
      <c r="U3666" s="185"/>
      <c r="V3666" s="191"/>
      <c r="W3666" s="191"/>
      <c r="X3666" s="192"/>
      <c r="Y3666" s="193"/>
      <c r="Z3666" s="194"/>
      <c r="AA3666" s="194">
        <f t="shared" si="1765"/>
        <v>0</v>
      </c>
      <c r="AB3666" s="805"/>
      <c r="AC3666" s="191"/>
      <c r="AD3666" s="187"/>
      <c r="AE3666" s="195"/>
      <c r="AF3666" s="195"/>
      <c r="AG3666" s="196"/>
      <c r="AH3666" s="197"/>
      <c r="AK3666" s="156" t="s">
        <v>691</v>
      </c>
      <c r="AM3666" s="198">
        <f t="shared" si="1766"/>
        <v>0</v>
      </c>
      <c r="AN3666" s="199">
        <f t="shared" si="1767"/>
        <v>46245</v>
      </c>
      <c r="AO3666" s="159" t="s">
        <v>692</v>
      </c>
      <c r="AP3666" s="781"/>
      <c r="AQ3666" s="782"/>
      <c r="AR3666" s="782"/>
      <c r="AS3666" s="782"/>
      <c r="AT3666" s="782"/>
      <c r="AU3666" s="781"/>
      <c r="AV3666" s="782"/>
      <c r="AW3666" s="782"/>
      <c r="AX3666" s="782"/>
      <c r="AY3666" s="782"/>
      <c r="AZ3666" s="782"/>
      <c r="BA3666" s="781"/>
      <c r="BB3666" s="209"/>
    </row>
    <row r="3667" spans="1:54" ht="25" customHeight="1">
      <c r="B3667" s="183">
        <v>46246</v>
      </c>
      <c r="C3667" s="184"/>
      <c r="D3667" s="185">
        <f t="shared" si="1803"/>
        <v>2026</v>
      </c>
      <c r="E3667" s="185" t="e">
        <f>VLOOKUP($B3667,Week!$A$1:$C$1462,2,0)</f>
        <v>#N/A</v>
      </c>
      <c r="F3667" s="186" t="str">
        <f t="shared" si="1804"/>
        <v>Aug</v>
      </c>
      <c r="G3667" s="481"/>
      <c r="H3667" s="185"/>
      <c r="I3667" s="185"/>
      <c r="J3667" s="187"/>
      <c r="K3667" s="188"/>
      <c r="L3667" s="188"/>
      <c r="M3667" s="187"/>
      <c r="N3667" s="185"/>
      <c r="O3667" s="185"/>
      <c r="P3667" s="189"/>
      <c r="Q3667" s="189"/>
      <c r="R3667" s="190"/>
      <c r="S3667" s="185"/>
      <c r="T3667" s="185"/>
      <c r="U3667" s="185"/>
      <c r="V3667" s="191"/>
      <c r="W3667" s="191"/>
      <c r="X3667" s="192"/>
      <c r="Y3667" s="193"/>
      <c r="Z3667" s="194"/>
      <c r="AA3667" s="194">
        <f t="shared" si="1765"/>
        <v>0</v>
      </c>
      <c r="AB3667" s="805"/>
      <c r="AC3667" s="191"/>
      <c r="AD3667" s="187"/>
      <c r="AE3667" s="195"/>
      <c r="AF3667" s="195"/>
      <c r="AG3667" s="196"/>
      <c r="AH3667" s="197"/>
      <c r="AK3667" s="156" t="s">
        <v>691</v>
      </c>
      <c r="AM3667" s="198">
        <f t="shared" si="1766"/>
        <v>0</v>
      </c>
      <c r="AN3667" s="199">
        <f t="shared" si="1767"/>
        <v>46246</v>
      </c>
      <c r="AO3667" s="159" t="s">
        <v>692</v>
      </c>
      <c r="AP3667" s="781"/>
      <c r="AQ3667" s="782"/>
      <c r="AR3667" s="782"/>
      <c r="AS3667" s="782"/>
      <c r="AT3667" s="782"/>
      <c r="AU3667" s="781"/>
      <c r="AV3667" s="782"/>
      <c r="AW3667" s="782"/>
      <c r="AX3667" s="782"/>
      <c r="AY3667" s="782"/>
      <c r="AZ3667" s="782"/>
      <c r="BA3667" s="781"/>
      <c r="BB3667" s="209"/>
    </row>
    <row r="3668" spans="1:54" ht="25" customHeight="1">
      <c r="A3668" s="529" t="s">
        <v>3184</v>
      </c>
      <c r="B3668" s="920">
        <v>46247</v>
      </c>
      <c r="C3668" s="921">
        <v>46259</v>
      </c>
      <c r="D3668" s="922">
        <f>IF(B3668="","",YEAR(B3668))</f>
        <v>2026</v>
      </c>
      <c r="E3668" s="921" t="e">
        <f>VLOOKUP($B3668,Week!$A$1:$C$1462,2,0)</f>
        <v>#N/A</v>
      </c>
      <c r="F3668" s="923" t="str">
        <f>IF(B3668="","",TEXT(B3668,"[$-409]mmm"))</f>
        <v>Aug</v>
      </c>
      <c r="G3668" s="922" t="s">
        <v>3189</v>
      </c>
      <c r="H3668" s="922" t="s">
        <v>424</v>
      </c>
      <c r="I3668" s="922" t="s">
        <v>2772</v>
      </c>
      <c r="J3668" s="924" t="s">
        <v>425</v>
      </c>
      <c r="K3668" s="925" t="s">
        <v>2975</v>
      </c>
      <c r="L3668" s="925" t="s">
        <v>2167</v>
      </c>
      <c r="M3668" s="924" t="s">
        <v>2976</v>
      </c>
      <c r="N3668" s="926" t="s">
        <v>2972</v>
      </c>
      <c r="O3668" s="922" t="s">
        <v>2953</v>
      </c>
      <c r="P3668" s="927">
        <v>12</v>
      </c>
      <c r="Q3668" s="927">
        <v>3</v>
      </c>
      <c r="R3668" s="928">
        <v>0.01</v>
      </c>
      <c r="S3668" s="922" t="s">
        <v>2973</v>
      </c>
      <c r="T3668" s="922" t="s">
        <v>77</v>
      </c>
      <c r="U3668" s="929" t="s">
        <v>2974</v>
      </c>
      <c r="V3668" s="930">
        <f>290+290</f>
        <v>580</v>
      </c>
      <c r="W3668" s="930">
        <v>580</v>
      </c>
      <c r="X3668" s="931"/>
      <c r="Y3668" s="932">
        <f>(W3668+X3668)-V3668</f>
        <v>0</v>
      </c>
      <c r="Z3668" s="933">
        <f>IF(Y3668&lt;0,((V3668*P3668)-((W3668+X3668)*P3668)),0)</f>
        <v>0</v>
      </c>
      <c r="AA3668" s="933">
        <f>Q3668*Z3668</f>
        <v>0</v>
      </c>
      <c r="AB3668" s="934"/>
      <c r="AC3668" s="930">
        <f>Z3668*AB3668</f>
        <v>0</v>
      </c>
      <c r="AD3668" s="443" t="s">
        <v>3191</v>
      </c>
      <c r="AE3668" s="210">
        <f>SUM(Q3668*R3668*Z3668)/1000</f>
        <v>0</v>
      </c>
      <c r="AF3668" s="210">
        <f>AE3668/0.54</f>
        <v>0</v>
      </c>
      <c r="AG3668" s="211">
        <f>MID(O3668,1,3)/1000</f>
        <v>0.31</v>
      </c>
      <c r="AH3668" s="157">
        <v>0.26621999999999996</v>
      </c>
      <c r="AI3668" s="152">
        <f>V3668*P3668</f>
        <v>6960</v>
      </c>
      <c r="AK3668" s="156" t="s">
        <v>691</v>
      </c>
      <c r="AL3668" s="574" t="s">
        <v>690</v>
      </c>
      <c r="AM3668" s="198">
        <f>AG3668*Z3668</f>
        <v>0</v>
      </c>
      <c r="AN3668" s="199">
        <f>B3668</f>
        <v>46247</v>
      </c>
      <c r="AO3668" s="159" t="s">
        <v>692</v>
      </c>
      <c r="AP3668" s="781"/>
      <c r="AQ3668" s="782">
        <v>12063755</v>
      </c>
      <c r="AR3668" s="782" t="s">
        <v>3021</v>
      </c>
      <c r="AS3668" s="782">
        <v>12081260</v>
      </c>
      <c r="AT3668" s="798" t="s">
        <v>3022</v>
      </c>
      <c r="AU3668" s="783"/>
      <c r="AV3668" s="782">
        <v>12098989</v>
      </c>
      <c r="AW3668" s="783"/>
      <c r="AX3668" s="781"/>
      <c r="AY3668" s="796"/>
      <c r="AZ3668" s="796"/>
      <c r="BA3668" s="796"/>
      <c r="BB3668" s="209"/>
    </row>
    <row r="3669" spans="1:54" ht="25" customHeight="1">
      <c r="A3669" s="529" t="s">
        <v>3184</v>
      </c>
      <c r="B3669" s="920">
        <v>46247</v>
      </c>
      <c r="C3669" s="921">
        <v>46260</v>
      </c>
      <c r="D3669" s="922">
        <f>IF(B3669="","",YEAR(B3669))</f>
        <v>2026</v>
      </c>
      <c r="E3669" s="921" t="e">
        <f>VLOOKUP($B3669,Week!$A$1:$C$1462,2,0)</f>
        <v>#N/A</v>
      </c>
      <c r="F3669" s="923" t="str">
        <f>IF(B3669="","",TEXT(B3669,"[$-409]mmm"))</f>
        <v>Aug</v>
      </c>
      <c r="G3669" s="922" t="s">
        <v>3190</v>
      </c>
      <c r="H3669" s="922" t="s">
        <v>424</v>
      </c>
      <c r="I3669" s="922" t="s">
        <v>2772</v>
      </c>
      <c r="J3669" s="924" t="s">
        <v>425</v>
      </c>
      <c r="K3669" s="925" t="s">
        <v>2975</v>
      </c>
      <c r="L3669" s="925" t="s">
        <v>2167</v>
      </c>
      <c r="M3669" s="924" t="s">
        <v>2976</v>
      </c>
      <c r="N3669" s="926" t="s">
        <v>2972</v>
      </c>
      <c r="O3669" s="922" t="s">
        <v>2953</v>
      </c>
      <c r="P3669" s="927">
        <v>12</v>
      </c>
      <c r="Q3669" s="927">
        <v>3</v>
      </c>
      <c r="R3669" s="928">
        <v>0.01</v>
      </c>
      <c r="S3669" s="922" t="s">
        <v>2973</v>
      </c>
      <c r="T3669" s="922" t="s">
        <v>77</v>
      </c>
      <c r="U3669" s="929" t="s">
        <v>2974</v>
      </c>
      <c r="V3669" s="930">
        <v>570</v>
      </c>
      <c r="W3669" s="930">
        <f>1142-580+8</f>
        <v>570</v>
      </c>
      <c r="X3669" s="931"/>
      <c r="Y3669" s="932">
        <f>(W3669+X3669)-V3669</f>
        <v>0</v>
      </c>
      <c r="Z3669" s="933">
        <f>IF(Y3669&lt;0,((V3669*P3669)-((W3669+X3669)*P3669)),0)</f>
        <v>0</v>
      </c>
      <c r="AA3669" s="933">
        <f>Q3669*Z3669</f>
        <v>0</v>
      </c>
      <c r="AB3669" s="934"/>
      <c r="AC3669" s="930">
        <f>Z3669*AB3669</f>
        <v>0</v>
      </c>
      <c r="AD3669" s="443" t="s">
        <v>3191</v>
      </c>
      <c r="AE3669" s="210">
        <f>SUM(Q3669*R3669*Z3669)/1000</f>
        <v>0</v>
      </c>
      <c r="AF3669" s="210">
        <f>AE3669/0.54</f>
        <v>0</v>
      </c>
      <c r="AG3669" s="211">
        <f>MID(O3669,1,3)/1000</f>
        <v>0.31</v>
      </c>
      <c r="AH3669" s="157">
        <v>0.26621999999999996</v>
      </c>
      <c r="AI3669" s="152">
        <f>V3669*P3669</f>
        <v>6840</v>
      </c>
      <c r="AK3669" s="156" t="s">
        <v>691</v>
      </c>
      <c r="AL3669" s="574" t="s">
        <v>690</v>
      </c>
      <c r="AM3669" s="198">
        <f>AG3669*Z3669</f>
        <v>0</v>
      </c>
      <c r="AN3669" s="199">
        <f>B3669</f>
        <v>46247</v>
      </c>
      <c r="AO3669" s="159" t="s">
        <v>692</v>
      </c>
      <c r="AP3669" s="781"/>
      <c r="AQ3669" s="782">
        <v>12063755</v>
      </c>
      <c r="AR3669" s="782" t="s">
        <v>3021</v>
      </c>
      <c r="AS3669" s="782">
        <v>12081260</v>
      </c>
      <c r="AT3669" s="798" t="s">
        <v>3022</v>
      </c>
      <c r="AU3669" s="783"/>
      <c r="AV3669" s="782">
        <v>12098989</v>
      </c>
      <c r="AW3669" s="783"/>
      <c r="AX3669" s="781"/>
      <c r="AY3669" s="796"/>
      <c r="AZ3669" s="796"/>
      <c r="BA3669" s="796"/>
      <c r="BB3669" s="209"/>
    </row>
    <row r="3670" spans="1:54" ht="25" customHeight="1">
      <c r="A3670" s="529" t="s">
        <v>3184</v>
      </c>
      <c r="B3670" s="920">
        <v>46248</v>
      </c>
      <c r="C3670" s="921">
        <v>46260</v>
      </c>
      <c r="D3670" s="922">
        <f>IF(B3670="","",YEAR(B3670))</f>
        <v>2026</v>
      </c>
      <c r="E3670" s="921" t="e">
        <f>VLOOKUP($B3670,Week!$A$1:$C$1462,2,0)</f>
        <v>#N/A</v>
      </c>
      <c r="F3670" s="923" t="str">
        <f>IF(B3670="","",TEXT(B3670,"[$-409]mmm"))</f>
        <v>Aug</v>
      </c>
      <c r="G3670" s="922" t="s">
        <v>3190</v>
      </c>
      <c r="H3670" s="922" t="s">
        <v>424</v>
      </c>
      <c r="I3670" s="922" t="s">
        <v>2772</v>
      </c>
      <c r="J3670" s="924" t="s">
        <v>425</v>
      </c>
      <c r="K3670" s="925" t="s">
        <v>2975</v>
      </c>
      <c r="L3670" s="925" t="s">
        <v>2167</v>
      </c>
      <c r="M3670" s="924" t="s">
        <v>2976</v>
      </c>
      <c r="N3670" s="926" t="s">
        <v>2972</v>
      </c>
      <c r="O3670" s="922" t="s">
        <v>2953</v>
      </c>
      <c r="P3670" s="927">
        <v>12</v>
      </c>
      <c r="Q3670" s="927">
        <v>3</v>
      </c>
      <c r="R3670" s="928">
        <v>0.01</v>
      </c>
      <c r="S3670" s="922" t="s">
        <v>2973</v>
      </c>
      <c r="T3670" s="922" t="s">
        <v>77</v>
      </c>
      <c r="U3670" s="929" t="s">
        <v>2974</v>
      </c>
      <c r="V3670" s="930">
        <f>290+290-570</f>
        <v>10</v>
      </c>
      <c r="W3670" s="930">
        <v>10</v>
      </c>
      <c r="X3670" s="931"/>
      <c r="Y3670" s="932">
        <f>(W3670+X3670)-V3670</f>
        <v>0</v>
      </c>
      <c r="Z3670" s="933">
        <f>IF(Y3670&lt;0,((V3670*P3670)-((W3670+X3670)*P3670)),0)</f>
        <v>0</v>
      </c>
      <c r="AA3670" s="933">
        <f>Q3670*Z3670</f>
        <v>0</v>
      </c>
      <c r="AB3670" s="934"/>
      <c r="AC3670" s="930">
        <f>Z3670*AB3670</f>
        <v>0</v>
      </c>
      <c r="AD3670" s="443" t="s">
        <v>3191</v>
      </c>
      <c r="AE3670" s="210">
        <f>SUM(Q3670*R3670*Z3670)/1000</f>
        <v>0</v>
      </c>
      <c r="AF3670" s="210">
        <f>AE3670/0.54</f>
        <v>0</v>
      </c>
      <c r="AG3670" s="211">
        <f>MID(O3670,1,3)/1000</f>
        <v>0.31</v>
      </c>
      <c r="AH3670" s="157">
        <v>0.26621999999999996</v>
      </c>
      <c r="AI3670" s="152">
        <f>V3670*P3670</f>
        <v>120</v>
      </c>
      <c r="AK3670" s="156" t="s">
        <v>691</v>
      </c>
      <c r="AL3670" s="574" t="s">
        <v>690</v>
      </c>
      <c r="AM3670" s="198">
        <f>AG3670*Z3670</f>
        <v>0</v>
      </c>
      <c r="AN3670" s="199">
        <f>B3670</f>
        <v>46248</v>
      </c>
      <c r="AO3670" s="159" t="s">
        <v>692</v>
      </c>
      <c r="AP3670" s="781"/>
      <c r="AQ3670" s="782">
        <v>12063755</v>
      </c>
      <c r="AR3670" s="782" t="s">
        <v>3021</v>
      </c>
      <c r="AS3670" s="782">
        <v>12081260</v>
      </c>
      <c r="AT3670" s="798" t="s">
        <v>3022</v>
      </c>
      <c r="AU3670" s="783"/>
      <c r="AV3670" s="782">
        <v>12098989</v>
      </c>
      <c r="AW3670" s="783"/>
      <c r="AX3670" s="781"/>
      <c r="AY3670" s="796"/>
      <c r="AZ3670" s="796"/>
      <c r="BA3670" s="796"/>
      <c r="BB3670" s="209"/>
    </row>
    <row r="3671" spans="1:54" ht="25" customHeight="1">
      <c r="A3671" s="529" t="s">
        <v>3185</v>
      </c>
      <c r="B3671" s="920">
        <v>46248</v>
      </c>
      <c r="C3671" s="921">
        <v>46255</v>
      </c>
      <c r="D3671" s="922">
        <f>IF(B3671="","",YEAR(B3671))</f>
        <v>2026</v>
      </c>
      <c r="E3671" s="921" t="e">
        <f>VLOOKUP($B3671,Week!$A$1:$C$1462,2,0)</f>
        <v>#N/A</v>
      </c>
      <c r="F3671" s="923" t="str">
        <f>IF(B3671="","",TEXT(B3671,"[$-409]mmm"))</f>
        <v>Aug</v>
      </c>
      <c r="G3671" s="922" t="s">
        <v>3025</v>
      </c>
      <c r="H3671" s="922" t="s">
        <v>424</v>
      </c>
      <c r="I3671" s="922" t="s">
        <v>2772</v>
      </c>
      <c r="J3671" s="924" t="s">
        <v>425</v>
      </c>
      <c r="K3671" s="925" t="s">
        <v>2975</v>
      </c>
      <c r="L3671" s="925" t="s">
        <v>2167</v>
      </c>
      <c r="M3671" s="924" t="s">
        <v>2976</v>
      </c>
      <c r="N3671" s="926" t="s">
        <v>2972</v>
      </c>
      <c r="O3671" s="922" t="s">
        <v>2953</v>
      </c>
      <c r="P3671" s="927">
        <v>12</v>
      </c>
      <c r="Q3671" s="927">
        <v>3</v>
      </c>
      <c r="R3671" s="928">
        <v>0.01</v>
      </c>
      <c r="S3671" s="922" t="s">
        <v>2973</v>
      </c>
      <c r="T3671" s="922" t="s">
        <v>77</v>
      </c>
      <c r="U3671" s="929" t="s">
        <v>2974</v>
      </c>
      <c r="V3671" s="930">
        <f>2278-1160</f>
        <v>1118</v>
      </c>
      <c r="W3671" s="930">
        <v>1118</v>
      </c>
      <c r="X3671" s="931"/>
      <c r="Y3671" s="932">
        <f>(W3671+X3671)-V3671</f>
        <v>0</v>
      </c>
      <c r="Z3671" s="933">
        <f>IF(Y3671&lt;0,((V3671*P3671)-((W3671+X3671)*P3671)),0)</f>
        <v>0</v>
      </c>
      <c r="AA3671" s="933">
        <f>Q3671*Z3671</f>
        <v>0</v>
      </c>
      <c r="AB3671" s="934"/>
      <c r="AC3671" s="930">
        <f>Z3671*AB3671</f>
        <v>0</v>
      </c>
      <c r="AD3671" s="443" t="s">
        <v>3191</v>
      </c>
      <c r="AE3671" s="210">
        <f>SUM(Q3671*R3671*Z3671)/1000</f>
        <v>0</v>
      </c>
      <c r="AF3671" s="210">
        <f>AE3671/0.54</f>
        <v>0</v>
      </c>
      <c r="AG3671" s="211">
        <f>MID(O3671,1,3)/1000</f>
        <v>0.31</v>
      </c>
      <c r="AH3671" s="157">
        <v>0.26621999999999996</v>
      </c>
      <c r="AI3671" s="152">
        <f>V3671*P3671</f>
        <v>13416</v>
      </c>
      <c r="AK3671" s="156" t="s">
        <v>691</v>
      </c>
      <c r="AL3671" s="574" t="s">
        <v>690</v>
      </c>
      <c r="AM3671" s="198">
        <f>AG3671*Z3671</f>
        <v>0</v>
      </c>
      <c r="AN3671" s="199">
        <f>B3671</f>
        <v>46248</v>
      </c>
      <c r="AO3671" s="159" t="s">
        <v>692</v>
      </c>
      <c r="AP3671" s="781"/>
      <c r="AQ3671" s="782">
        <v>12063755</v>
      </c>
      <c r="AR3671" s="782" t="s">
        <v>3021</v>
      </c>
      <c r="AS3671" s="782">
        <v>12081260</v>
      </c>
      <c r="AT3671" s="798" t="s">
        <v>3022</v>
      </c>
      <c r="AU3671" s="783"/>
      <c r="AV3671" s="782">
        <v>12098989</v>
      </c>
      <c r="AW3671" s="783"/>
      <c r="AX3671" s="781"/>
      <c r="AY3671" s="796"/>
      <c r="AZ3671" s="796"/>
      <c r="BA3671" s="796"/>
      <c r="BB3671" s="209"/>
    </row>
    <row r="3672" spans="1:54" ht="25" customHeight="1">
      <c r="A3672" s="142" t="s">
        <v>120</v>
      </c>
      <c r="B3672" s="271">
        <v>46249</v>
      </c>
      <c r="C3672" s="272">
        <v>46272</v>
      </c>
      <c r="D3672" s="185">
        <f t="shared" si="1803"/>
        <v>2026</v>
      </c>
      <c r="E3672" s="272" t="e">
        <f>VLOOKUP($B3672,Week!$A$1:$C$1462,2,0)</f>
        <v>#N/A</v>
      </c>
      <c r="F3672" s="273" t="str">
        <f t="shared" si="1804"/>
        <v>Aug</v>
      </c>
      <c r="G3672" s="274" t="s">
        <v>2966</v>
      </c>
      <c r="H3672" s="274" t="s">
        <v>500</v>
      </c>
      <c r="I3672" s="274" t="s">
        <v>2772</v>
      </c>
      <c r="J3672" s="275" t="s">
        <v>285</v>
      </c>
      <c r="K3672" s="276" t="s">
        <v>153</v>
      </c>
      <c r="L3672" s="390" t="s">
        <v>2166</v>
      </c>
      <c r="M3672" s="275" t="s">
        <v>86</v>
      </c>
      <c r="N3672" s="274" t="s">
        <v>547</v>
      </c>
      <c r="O3672" s="274" t="s">
        <v>548</v>
      </c>
      <c r="P3672" s="277">
        <v>10</v>
      </c>
      <c r="Q3672" s="277">
        <v>50</v>
      </c>
      <c r="R3672" s="278">
        <v>6.8100000000000001E-3</v>
      </c>
      <c r="S3672" s="274" t="s">
        <v>76</v>
      </c>
      <c r="T3672" s="274" t="s">
        <v>56</v>
      </c>
      <c r="U3672" s="274" t="s">
        <v>89</v>
      </c>
      <c r="V3672" s="279">
        <v>676</v>
      </c>
      <c r="W3672" s="279">
        <f>676</f>
        <v>676</v>
      </c>
      <c r="X3672" s="280"/>
      <c r="Y3672" s="281">
        <f t="shared" ref="Y3672:Y3677" si="1817">(W3672+X3672)-V3672</f>
        <v>0</v>
      </c>
      <c r="Z3672" s="282">
        <f t="shared" ref="Z3672:Z3677" si="1818">IF(Y3672&lt;0,((V3672*P3672)-((W3672+X3672)*P3672)),0)</f>
        <v>0</v>
      </c>
      <c r="AA3672" s="282">
        <f t="shared" si="1765"/>
        <v>0</v>
      </c>
      <c r="AB3672" s="812">
        <v>6</v>
      </c>
      <c r="AC3672" s="279">
        <f t="shared" ref="AC3672:AC3677" si="1819">Z3672*AB3672</f>
        <v>0</v>
      </c>
      <c r="AD3672" s="209"/>
      <c r="AE3672" s="210">
        <f t="shared" ref="AE3672:AE3677" si="1820">SUM(Q3672*R3672*Z3672)/1000</f>
        <v>0</v>
      </c>
      <c r="AF3672" s="210">
        <f t="shared" ref="AF3672:AF3677" si="1821">AE3672/0.54</f>
        <v>0</v>
      </c>
      <c r="AG3672" s="211">
        <f t="shared" ref="AG3672:AG3677" si="1822">MID(O3672,1,3)/1000</f>
        <v>0.63</v>
      </c>
      <c r="AH3672" s="157">
        <f t="shared" ref="AH3672:AH3677" si="1823">(Z3672*AG3672)/1000</f>
        <v>0</v>
      </c>
      <c r="AI3672" s="152">
        <f t="shared" ref="AI3672:AI3677" si="1824">V3672*P3672</f>
        <v>6760</v>
      </c>
      <c r="AK3672" s="156" t="s">
        <v>691</v>
      </c>
      <c r="AL3672" s="156" t="s">
        <v>689</v>
      </c>
      <c r="AM3672" s="198">
        <f t="shared" si="1766"/>
        <v>0</v>
      </c>
      <c r="AN3672" s="199">
        <f t="shared" si="1767"/>
        <v>46249</v>
      </c>
      <c r="AO3672" s="159" t="s">
        <v>692</v>
      </c>
      <c r="AP3672" s="783" t="s">
        <v>620</v>
      </c>
      <c r="AQ3672" s="796" t="s">
        <v>422</v>
      </c>
      <c r="AR3672" s="782">
        <v>12055234</v>
      </c>
      <c r="AS3672" s="781"/>
      <c r="AT3672" s="782"/>
      <c r="AU3672" s="782"/>
      <c r="AV3672" s="782">
        <v>12062809</v>
      </c>
      <c r="AW3672" s="782"/>
      <c r="AX3672" s="782" t="s">
        <v>619</v>
      </c>
      <c r="AY3672" s="781"/>
      <c r="AZ3672" s="781"/>
      <c r="BA3672" s="781"/>
      <c r="BB3672" s="209">
        <v>23053184</v>
      </c>
    </row>
    <row r="3673" spans="1:54" ht="25" customHeight="1">
      <c r="B3673" s="271">
        <v>46249</v>
      </c>
      <c r="C3673" s="441">
        <v>46261</v>
      </c>
      <c r="D3673" s="274">
        <f t="shared" ref="D3673" si="1825">IF(B3673="","",YEAR(B3673))</f>
        <v>2026</v>
      </c>
      <c r="E3673" s="274" t="e">
        <f>VLOOKUP($B3673,Week!$A$1:$C$1462,2,0)</f>
        <v>#N/A</v>
      </c>
      <c r="F3673" s="273" t="str">
        <f t="shared" ref="F3673" si="1826">IF(B3673="","",TEXT(B3673,"[$-409]mmm"))</f>
        <v>Aug</v>
      </c>
      <c r="G3673" s="274" t="s">
        <v>3105</v>
      </c>
      <c r="H3673" s="274" t="s">
        <v>225</v>
      </c>
      <c r="I3673" s="274" t="s">
        <v>2773</v>
      </c>
      <c r="J3673" s="275" t="s">
        <v>650</v>
      </c>
      <c r="K3673" s="276" t="s">
        <v>2256</v>
      </c>
      <c r="L3673" s="276" t="s">
        <v>2167</v>
      </c>
      <c r="M3673" s="275" t="s">
        <v>2258</v>
      </c>
      <c r="N3673" s="274" t="s">
        <v>2259</v>
      </c>
      <c r="O3673" s="274" t="s">
        <v>110</v>
      </c>
      <c r="P3673" s="277">
        <v>36</v>
      </c>
      <c r="Q3673" s="277">
        <v>5</v>
      </c>
      <c r="R3673" s="278">
        <v>7.4999999999999997E-3</v>
      </c>
      <c r="S3673" s="274" t="s">
        <v>111</v>
      </c>
      <c r="T3673" s="274" t="s">
        <v>112</v>
      </c>
      <c r="U3673" s="274" t="s">
        <v>113</v>
      </c>
      <c r="V3673" s="279">
        <f>792-511</f>
        <v>281</v>
      </c>
      <c r="W3673" s="279">
        <v>281</v>
      </c>
      <c r="X3673" s="280"/>
      <c r="Y3673" s="281">
        <f t="shared" ref="Y3673" si="1827">(W3673+X3673)-V3673</f>
        <v>0</v>
      </c>
      <c r="Z3673" s="282">
        <f t="shared" ref="Z3673" si="1828">IF(Y3673&lt;0,((V3673*P3673)-((W3673+X3673)*P3673)),0)</f>
        <v>0</v>
      </c>
      <c r="AA3673" s="282">
        <f t="shared" ref="AA3673" si="1829">Q3673*Z3673</f>
        <v>0</v>
      </c>
      <c r="AB3673" s="812">
        <v>9.7000000000000003E-3</v>
      </c>
      <c r="AC3673" s="279">
        <f t="shared" ref="AC3673" si="1830">Z3673*AB3673</f>
        <v>0</v>
      </c>
      <c r="AD3673" s="324" t="s">
        <v>3099</v>
      </c>
      <c r="AE3673" s="210">
        <f t="shared" ref="AE3673" si="1831">SUM(Q3673*R3673*Z3673)/1000</f>
        <v>0</v>
      </c>
      <c r="AF3673" s="210">
        <f t="shared" ref="AF3673" si="1832">AE3673/0.54</f>
        <v>0</v>
      </c>
      <c r="AG3673" s="211">
        <f t="shared" ref="AG3673" si="1833">MID(O3673,1,3)/1000</f>
        <v>0.308</v>
      </c>
      <c r="AH3673" s="157">
        <f t="shared" ref="AH3673" si="1834">(Z3673*AG3673)/1000</f>
        <v>0</v>
      </c>
      <c r="AI3673" s="152">
        <f t="shared" ref="AI3673" si="1835">V3673*P3673</f>
        <v>10116</v>
      </c>
      <c r="AK3673" s="156" t="s">
        <v>691</v>
      </c>
      <c r="AL3673" s="574" t="s">
        <v>690</v>
      </c>
      <c r="AM3673" s="198">
        <f t="shared" ref="AM3673" si="1836">AG3673*Z3673</f>
        <v>0</v>
      </c>
      <c r="AN3673" s="199">
        <f t="shared" ref="AN3673" si="1837">B3673</f>
        <v>46249</v>
      </c>
      <c r="AO3673" s="159" t="s">
        <v>692</v>
      </c>
      <c r="AP3673" s="781"/>
      <c r="AQ3673" s="782">
        <v>12063755</v>
      </c>
      <c r="AR3673" s="782">
        <v>12061353</v>
      </c>
      <c r="AS3673" s="782">
        <v>12061354</v>
      </c>
      <c r="AT3673" s="782">
        <v>12095367</v>
      </c>
      <c r="AU3673" s="781"/>
      <c r="AV3673" s="782">
        <v>12095366</v>
      </c>
      <c r="AW3673" s="782">
        <v>12088207</v>
      </c>
      <c r="AX3673" s="782"/>
      <c r="AY3673" s="782">
        <v>12095368</v>
      </c>
      <c r="AZ3673" s="782"/>
      <c r="BA3673" s="781"/>
      <c r="BB3673" s="209">
        <v>23054743</v>
      </c>
    </row>
    <row r="3674" spans="1:54" ht="25" customHeight="1">
      <c r="B3674" s="271">
        <v>46249</v>
      </c>
      <c r="C3674" s="441">
        <v>46261</v>
      </c>
      <c r="D3674" s="274">
        <f>IF(B3674="","",YEAR(B3674))</f>
        <v>2026</v>
      </c>
      <c r="E3674" s="274" t="e">
        <f>VLOOKUP($B3674,Week!$A$1:$C$1462,2,0)</f>
        <v>#N/A</v>
      </c>
      <c r="F3674" s="273" t="str">
        <f>IF(B3674="","",TEXT(B3674,"[$-409]mmm"))</f>
        <v>Aug</v>
      </c>
      <c r="G3674" s="274" t="s">
        <v>3106</v>
      </c>
      <c r="H3674" s="274" t="s">
        <v>225</v>
      </c>
      <c r="I3674" s="274" t="s">
        <v>2773</v>
      </c>
      <c r="J3674" s="275" t="s">
        <v>650</v>
      </c>
      <c r="K3674" s="276" t="s">
        <v>2256</v>
      </c>
      <c r="L3674" s="276" t="s">
        <v>2167</v>
      </c>
      <c r="M3674" s="275" t="s">
        <v>2258</v>
      </c>
      <c r="N3674" s="274" t="s">
        <v>2259</v>
      </c>
      <c r="O3674" s="274" t="s">
        <v>110</v>
      </c>
      <c r="P3674" s="277">
        <v>36</v>
      </c>
      <c r="Q3674" s="277">
        <v>5</v>
      </c>
      <c r="R3674" s="278">
        <v>7.4999999999999997E-3</v>
      </c>
      <c r="S3674" s="274" t="s">
        <v>111</v>
      </c>
      <c r="T3674" s="274" t="s">
        <v>112</v>
      </c>
      <c r="U3674" s="274" t="s">
        <v>113</v>
      </c>
      <c r="V3674" s="279">
        <f>958-281</f>
        <v>677</v>
      </c>
      <c r="W3674" s="279">
        <f>958-281</f>
        <v>677</v>
      </c>
      <c r="X3674" s="280"/>
      <c r="Y3674" s="281">
        <f>(W3674+X3674)-V3674</f>
        <v>0</v>
      </c>
      <c r="Z3674" s="282">
        <f>IF(Y3674&lt;0,((V3674*P3674)-((W3674+X3674)*P3674)),0)</f>
        <v>0</v>
      </c>
      <c r="AA3674" s="282">
        <f>Q3674*Z3674</f>
        <v>0</v>
      </c>
      <c r="AB3674" s="812">
        <v>9.7000000000000003E-3</v>
      </c>
      <c r="AC3674" s="279">
        <f>Z3674*AB3674</f>
        <v>0</v>
      </c>
      <c r="AD3674" s="324" t="s">
        <v>3099</v>
      </c>
      <c r="AE3674" s="210">
        <f>SUM(Q3674*R3674*Z3674)/1000</f>
        <v>0</v>
      </c>
      <c r="AF3674" s="210">
        <f>AE3674/0.54</f>
        <v>0</v>
      </c>
      <c r="AG3674" s="211">
        <f>MID(O3674,1,3)/1000</f>
        <v>0.308</v>
      </c>
      <c r="AH3674" s="157">
        <f>(Z3674*AG3674)/1000</f>
        <v>0</v>
      </c>
      <c r="AI3674" s="152">
        <f>V3674*P3674</f>
        <v>24372</v>
      </c>
      <c r="AK3674" s="156" t="s">
        <v>691</v>
      </c>
      <c r="AL3674" s="574" t="s">
        <v>690</v>
      </c>
      <c r="AM3674" s="198">
        <f>AG3674*Z3674</f>
        <v>0</v>
      </c>
      <c r="AN3674" s="199">
        <f>B3674</f>
        <v>46249</v>
      </c>
      <c r="AO3674" s="159" t="s">
        <v>692</v>
      </c>
      <c r="AP3674" s="781"/>
      <c r="AQ3674" s="782">
        <v>12063755</v>
      </c>
      <c r="AR3674" s="782">
        <v>12061353</v>
      </c>
      <c r="AS3674" s="782">
        <v>12061354</v>
      </c>
      <c r="AT3674" s="782">
        <v>12095367</v>
      </c>
      <c r="AU3674" s="781"/>
      <c r="AV3674" s="782">
        <v>12095366</v>
      </c>
      <c r="AW3674" s="782">
        <v>12088207</v>
      </c>
      <c r="AX3674" s="782"/>
      <c r="AY3674" s="782">
        <v>12095368</v>
      </c>
      <c r="AZ3674" s="782"/>
      <c r="BA3674" s="781"/>
      <c r="BB3674" s="209">
        <v>23054743</v>
      </c>
    </row>
    <row r="3675" spans="1:54" ht="25" customHeight="1">
      <c r="B3675" s="425">
        <v>46249</v>
      </c>
      <c r="C3675" s="425">
        <v>46265</v>
      </c>
      <c r="D3675" s="185">
        <f>IF(B3675="","",YEAR(B3675))</f>
        <v>2026</v>
      </c>
      <c r="E3675" s="425" t="e">
        <f>VLOOKUP($B3675,Week!$A$1:$C$1462,2,0)</f>
        <v>#N/A</v>
      </c>
      <c r="F3675" s="426" t="str">
        <f>IF(B3675="","",TEXT(B3675,"[$-409]mmm"))</f>
        <v>Aug</v>
      </c>
      <c r="G3675" s="427" t="s">
        <v>3133</v>
      </c>
      <c r="H3675" s="427" t="s">
        <v>600</v>
      </c>
      <c r="I3675" s="427" t="s">
        <v>2772</v>
      </c>
      <c r="J3675" s="428" t="s">
        <v>708</v>
      </c>
      <c r="K3675" s="429" t="s">
        <v>1650</v>
      </c>
      <c r="L3675" s="300" t="s">
        <v>2167</v>
      </c>
      <c r="M3675" s="428" t="s">
        <v>603</v>
      </c>
      <c r="N3675" s="427" t="s">
        <v>1256</v>
      </c>
      <c r="O3675" s="427" t="s">
        <v>659</v>
      </c>
      <c r="P3675" s="430">
        <v>12</v>
      </c>
      <c r="Q3675" s="430">
        <v>3</v>
      </c>
      <c r="R3675" s="431">
        <v>6.0000000000000001E-3</v>
      </c>
      <c r="S3675" s="427" t="s">
        <v>55</v>
      </c>
      <c r="T3675" s="427" t="s">
        <v>112</v>
      </c>
      <c r="U3675" s="632" t="s">
        <v>1894</v>
      </c>
      <c r="V3675" s="432">
        <f>2520</f>
        <v>2520</v>
      </c>
      <c r="W3675" s="432">
        <f>14+2408</f>
        <v>2422</v>
      </c>
      <c r="X3675" s="433">
        <f>(904+272)/12</f>
        <v>98</v>
      </c>
      <c r="Y3675" s="434">
        <f>(W3675+X3675)-V3675</f>
        <v>0</v>
      </c>
      <c r="Z3675" s="435">
        <f>IF(Y3675&lt;0,((V3675*P3675)-((W3675+X3675)*P3675)),0)</f>
        <v>0</v>
      </c>
      <c r="AA3675" s="435">
        <f>Q3675*Z3675</f>
        <v>0</v>
      </c>
      <c r="AB3675" s="826">
        <v>3.8699999999999998E-2</v>
      </c>
      <c r="AC3675" s="432">
        <f>Z3675*AB3675</f>
        <v>0</v>
      </c>
      <c r="AD3675" s="443" t="s">
        <v>3134</v>
      </c>
      <c r="AE3675" s="210">
        <f>SUM(Q3675*R3675*Z3675)/1000</f>
        <v>0</v>
      </c>
      <c r="AF3675" s="210">
        <f>AE3675/0.54</f>
        <v>0</v>
      </c>
      <c r="AG3675" s="211">
        <f>MID(O3675,1,3)/1000</f>
        <v>0.30199999999999999</v>
      </c>
      <c r="AH3675" s="157">
        <v>0.26621999999999996</v>
      </c>
      <c r="AI3675" s="152">
        <f>V3675*P3675</f>
        <v>30240</v>
      </c>
      <c r="AK3675" s="156" t="s">
        <v>691</v>
      </c>
      <c r="AL3675" s="212" t="s">
        <v>690</v>
      </c>
      <c r="AM3675" s="198">
        <f>AG3675*Z3675</f>
        <v>0</v>
      </c>
      <c r="AN3675" s="199">
        <f>B3675</f>
        <v>46249</v>
      </c>
      <c r="AO3675" s="159" t="s">
        <v>692</v>
      </c>
      <c r="AP3675" s="783" t="s">
        <v>629</v>
      </c>
      <c r="AQ3675" s="782">
        <v>12063755</v>
      </c>
      <c r="AR3675" s="782">
        <v>12061353</v>
      </c>
      <c r="AS3675" s="782">
        <v>12061354</v>
      </c>
      <c r="AT3675" s="782"/>
      <c r="AU3675" s="781"/>
      <c r="AV3675" s="867">
        <v>12095907</v>
      </c>
      <c r="AW3675" s="781"/>
      <c r="AX3675" s="782"/>
      <c r="AY3675" s="782">
        <v>12094276</v>
      </c>
      <c r="AZ3675" s="782">
        <v>12094277</v>
      </c>
      <c r="BA3675" s="783" t="s">
        <v>2229</v>
      </c>
      <c r="BB3675" s="209">
        <v>23053185</v>
      </c>
    </row>
    <row r="3676" spans="1:54" ht="25" customHeight="1">
      <c r="B3676" s="332">
        <v>46249</v>
      </c>
      <c r="C3676" s="333">
        <v>46281</v>
      </c>
      <c r="D3676" s="185">
        <f>IF(B3676="","",YEAR(B3676))</f>
        <v>2026</v>
      </c>
      <c r="E3676" s="333" t="e">
        <f>VLOOKUP($B3676,Week!$A$1:$C$1462,2,0)</f>
        <v>#N/A</v>
      </c>
      <c r="F3676" s="334" t="str">
        <f>IF(B3676="","",TEXT(B3676,"[$-409]mmm"))</f>
        <v>Aug</v>
      </c>
      <c r="G3676" s="335" t="s">
        <v>3160</v>
      </c>
      <c r="H3676" s="335" t="s">
        <v>311</v>
      </c>
      <c r="I3676" s="335" t="s">
        <v>2772</v>
      </c>
      <c r="J3676" s="336" t="s">
        <v>738</v>
      </c>
      <c r="K3676" s="337" t="s">
        <v>1649</v>
      </c>
      <c r="L3676" s="300" t="s">
        <v>2167</v>
      </c>
      <c r="M3676" s="336" t="s">
        <v>603</v>
      </c>
      <c r="N3676" s="335" t="s">
        <v>605</v>
      </c>
      <c r="O3676" s="335" t="s">
        <v>602</v>
      </c>
      <c r="P3676" s="338">
        <v>8</v>
      </c>
      <c r="Q3676" s="338">
        <v>3</v>
      </c>
      <c r="R3676" s="339">
        <v>6.0000000000000001E-3</v>
      </c>
      <c r="S3676" s="335" t="s">
        <v>55</v>
      </c>
      <c r="T3676" s="335" t="s">
        <v>112</v>
      </c>
      <c r="U3676" s="340" t="s">
        <v>1894</v>
      </c>
      <c r="V3676" s="341">
        <f>300</f>
        <v>300</v>
      </c>
      <c r="W3676" s="341"/>
      <c r="X3676" s="342">
        <f>3073/8</f>
        <v>384.125</v>
      </c>
      <c r="Y3676" s="343">
        <f t="shared" ref="Y3676" si="1838">(W3676+X3676)-V3676</f>
        <v>84.125</v>
      </c>
      <c r="Z3676" s="344">
        <f t="shared" ref="Z3676" si="1839">IF(Y3676&lt;0,((V3676*P3676)-((W3676+X3676)*P3676)),0)</f>
        <v>0</v>
      </c>
      <c r="AA3676" s="344">
        <f t="shared" ref="AA3676" si="1840">Q3676*Z3676</f>
        <v>0</v>
      </c>
      <c r="AB3676" s="817">
        <v>3.8699999999999998E-2</v>
      </c>
      <c r="AC3676" s="341">
        <f t="shared" ref="AC3676" si="1841">Z3676*AB3676</f>
        <v>0</v>
      </c>
      <c r="AD3676" s="443"/>
      <c r="AE3676" s="210">
        <f t="shared" ref="AE3676" si="1842">SUM(Q3676*R3676*Z3676)/1000</f>
        <v>0</v>
      </c>
      <c r="AF3676" s="210">
        <f t="shared" ref="AF3676" si="1843">AE3676/0.54</f>
        <v>0</v>
      </c>
      <c r="AG3676" s="211">
        <f t="shared" ref="AG3676" si="1844">MID(O3676,1,3)/1000</f>
        <v>0.30199999999999999</v>
      </c>
      <c r="AH3676" s="157">
        <v>0.26621999999999996</v>
      </c>
      <c r="AI3676" s="152">
        <f t="shared" ref="AI3676" si="1845">V3676*P3676</f>
        <v>2400</v>
      </c>
      <c r="AK3676" s="156" t="s">
        <v>691</v>
      </c>
      <c r="AL3676" s="156" t="s">
        <v>690</v>
      </c>
      <c r="AM3676" s="198">
        <f t="shared" ref="AM3676" si="1846">AG3676*Z3676</f>
        <v>0</v>
      </c>
      <c r="AN3676" s="199">
        <f t="shared" ref="AN3676" si="1847">B3676</f>
        <v>46249</v>
      </c>
      <c r="AO3676" s="159" t="s">
        <v>692</v>
      </c>
      <c r="AP3676" s="781" t="s">
        <v>642</v>
      </c>
      <c r="AQ3676" s="782">
        <v>12063755</v>
      </c>
      <c r="AR3676" s="782">
        <v>12061353</v>
      </c>
      <c r="AS3676" s="782">
        <v>12061354</v>
      </c>
      <c r="AT3676" s="782">
        <v>12097662</v>
      </c>
      <c r="AU3676" s="781"/>
      <c r="AV3676" s="782">
        <v>12097663</v>
      </c>
      <c r="AW3676" s="781"/>
      <c r="AX3676" s="781"/>
      <c r="AY3676" s="781"/>
      <c r="AZ3676" s="782"/>
      <c r="BA3676" s="781"/>
      <c r="BB3676" s="209">
        <v>23105470</v>
      </c>
    </row>
    <row r="3677" spans="1:54" ht="25" customHeight="1">
      <c r="A3677" s="142" t="s">
        <v>120</v>
      </c>
      <c r="B3677" s="271">
        <v>46250</v>
      </c>
      <c r="C3677" s="272">
        <v>46272</v>
      </c>
      <c r="D3677" s="185">
        <f t="shared" si="1803"/>
        <v>2026</v>
      </c>
      <c r="E3677" s="272" t="e">
        <f>VLOOKUP($B3677,Week!$A$1:$C$1462,2,0)</f>
        <v>#N/A</v>
      </c>
      <c r="F3677" s="273" t="str">
        <f t="shared" si="1804"/>
        <v>Aug</v>
      </c>
      <c r="G3677" s="274" t="s">
        <v>2966</v>
      </c>
      <c r="H3677" s="274" t="s">
        <v>500</v>
      </c>
      <c r="I3677" s="274" t="s">
        <v>2772</v>
      </c>
      <c r="J3677" s="275" t="s">
        <v>285</v>
      </c>
      <c r="K3677" s="276" t="s">
        <v>153</v>
      </c>
      <c r="L3677" s="390" t="s">
        <v>2166</v>
      </c>
      <c r="M3677" s="275" t="s">
        <v>86</v>
      </c>
      <c r="N3677" s="274" t="s">
        <v>547</v>
      </c>
      <c r="O3677" s="274" t="s">
        <v>548</v>
      </c>
      <c r="P3677" s="277">
        <v>10</v>
      </c>
      <c r="Q3677" s="277">
        <v>50</v>
      </c>
      <c r="R3677" s="278">
        <v>6.8100000000000001E-3</v>
      </c>
      <c r="S3677" s="274" t="s">
        <v>76</v>
      </c>
      <c r="T3677" s="274" t="s">
        <v>56</v>
      </c>
      <c r="U3677" s="274" t="s">
        <v>89</v>
      </c>
      <c r="V3677" s="279">
        <f>2056-633-655-676</f>
        <v>92</v>
      </c>
      <c r="W3677" s="279">
        <v>92</v>
      </c>
      <c r="X3677" s="280"/>
      <c r="Y3677" s="281">
        <f t="shared" si="1817"/>
        <v>0</v>
      </c>
      <c r="Z3677" s="282">
        <f t="shared" si="1818"/>
        <v>0</v>
      </c>
      <c r="AA3677" s="282">
        <f t="shared" si="1765"/>
        <v>0</v>
      </c>
      <c r="AB3677" s="812">
        <v>6</v>
      </c>
      <c r="AC3677" s="279">
        <f t="shared" si="1819"/>
        <v>0</v>
      </c>
      <c r="AD3677" s="209"/>
      <c r="AE3677" s="210">
        <f t="shared" si="1820"/>
        <v>0</v>
      </c>
      <c r="AF3677" s="210">
        <f t="shared" si="1821"/>
        <v>0</v>
      </c>
      <c r="AG3677" s="211">
        <f t="shared" si="1822"/>
        <v>0.63</v>
      </c>
      <c r="AH3677" s="157">
        <f t="shared" si="1823"/>
        <v>0</v>
      </c>
      <c r="AI3677" s="152">
        <f t="shared" si="1824"/>
        <v>920</v>
      </c>
      <c r="AK3677" s="156" t="s">
        <v>691</v>
      </c>
      <c r="AL3677" s="156" t="s">
        <v>689</v>
      </c>
      <c r="AM3677" s="198">
        <f t="shared" si="1766"/>
        <v>0</v>
      </c>
      <c r="AN3677" s="199">
        <f t="shared" si="1767"/>
        <v>46250</v>
      </c>
      <c r="AO3677" s="159" t="s">
        <v>692</v>
      </c>
      <c r="AP3677" s="783" t="s">
        <v>620</v>
      </c>
      <c r="AQ3677" s="796" t="s">
        <v>422</v>
      </c>
      <c r="AR3677" s="782">
        <v>12055234</v>
      </c>
      <c r="AS3677" s="781"/>
      <c r="AT3677" s="782"/>
      <c r="AU3677" s="782"/>
      <c r="AV3677" s="782">
        <v>12062809</v>
      </c>
      <c r="AW3677" s="782"/>
      <c r="AX3677" s="782" t="s">
        <v>619</v>
      </c>
      <c r="AY3677" s="781"/>
      <c r="AZ3677" s="781"/>
      <c r="BA3677" s="781"/>
      <c r="BB3677" s="209">
        <v>23053184</v>
      </c>
    </row>
    <row r="3678" spans="1:54" ht="25" customHeight="1">
      <c r="A3678" s="142" t="s">
        <v>120</v>
      </c>
      <c r="B3678" s="271">
        <v>46250</v>
      </c>
      <c r="C3678" s="272">
        <v>46279</v>
      </c>
      <c r="D3678" s="185">
        <f>IF(B3678="","",YEAR(B3678))</f>
        <v>2026</v>
      </c>
      <c r="E3678" s="272" t="e">
        <f>VLOOKUP($B3678,Week!$A$1:$C$1462,2,0)</f>
        <v>#N/A</v>
      </c>
      <c r="F3678" s="273" t="str">
        <f>IF(B3678="","",TEXT(B3678,"[$-409]mmm"))</f>
        <v>Aug</v>
      </c>
      <c r="G3678" s="274" t="s">
        <v>3053</v>
      </c>
      <c r="H3678" s="274" t="s">
        <v>500</v>
      </c>
      <c r="I3678" s="274" t="s">
        <v>2772</v>
      </c>
      <c r="J3678" s="275" t="s">
        <v>285</v>
      </c>
      <c r="K3678" s="276" t="s">
        <v>153</v>
      </c>
      <c r="L3678" s="390" t="s">
        <v>2166</v>
      </c>
      <c r="M3678" s="275" t="s">
        <v>86</v>
      </c>
      <c r="N3678" s="274" t="s">
        <v>547</v>
      </c>
      <c r="O3678" s="274" t="s">
        <v>548</v>
      </c>
      <c r="P3678" s="277">
        <v>10</v>
      </c>
      <c r="Q3678" s="277">
        <v>50</v>
      </c>
      <c r="R3678" s="278">
        <v>6.8100000000000001E-3</v>
      </c>
      <c r="S3678" s="274" t="s">
        <v>76</v>
      </c>
      <c r="T3678" s="274" t="s">
        <v>56</v>
      </c>
      <c r="U3678" s="274" t="s">
        <v>89</v>
      </c>
      <c r="V3678" s="279">
        <v>568</v>
      </c>
      <c r="W3678" s="279">
        <f>660-92</f>
        <v>568</v>
      </c>
      <c r="X3678" s="280"/>
      <c r="Y3678" s="281">
        <f>(W3678+X3678)-V3678</f>
        <v>0</v>
      </c>
      <c r="Z3678" s="282">
        <f>IF(Y3678&lt;0,((V3678*P3678)-((W3678+X3678)*P3678)),0)</f>
        <v>0</v>
      </c>
      <c r="AA3678" s="282">
        <f>Q3678*Z3678</f>
        <v>0</v>
      </c>
      <c r="AB3678" s="812">
        <v>6</v>
      </c>
      <c r="AC3678" s="279">
        <f>Z3678*AB3678</f>
        <v>0</v>
      </c>
      <c r="AD3678" s="209"/>
      <c r="AE3678" s="210">
        <f>SUM(Q3678*R3678*Z3678)/1000</f>
        <v>0</v>
      </c>
      <c r="AF3678" s="210">
        <f>AE3678/0.54</f>
        <v>0</v>
      </c>
      <c r="AG3678" s="211">
        <f>MID(O3678,1,3)/1000</f>
        <v>0.63</v>
      </c>
      <c r="AH3678" s="157">
        <f>(Z3678*AG3678)/1000</f>
        <v>0</v>
      </c>
      <c r="AI3678" s="152">
        <f>V3678*P3678</f>
        <v>5680</v>
      </c>
      <c r="AK3678" s="156" t="s">
        <v>691</v>
      </c>
      <c r="AL3678" s="156" t="s">
        <v>689</v>
      </c>
      <c r="AM3678" s="198">
        <f>AG3678*Z3678</f>
        <v>0</v>
      </c>
      <c r="AN3678" s="199">
        <f>B3678</f>
        <v>46250</v>
      </c>
      <c r="AO3678" s="159" t="s">
        <v>692</v>
      </c>
      <c r="AP3678" s="783" t="s">
        <v>620</v>
      </c>
      <c r="AQ3678" s="796" t="s">
        <v>422</v>
      </c>
      <c r="AR3678" s="782">
        <v>12055234</v>
      </c>
      <c r="AS3678" s="781"/>
      <c r="AT3678" s="782"/>
      <c r="AU3678" s="782"/>
      <c r="AV3678" s="782">
        <v>12062809</v>
      </c>
      <c r="AW3678" s="782"/>
      <c r="AX3678" s="782" t="s">
        <v>619</v>
      </c>
      <c r="AY3678" s="781"/>
      <c r="AZ3678" s="781"/>
      <c r="BA3678" s="781"/>
      <c r="BB3678" s="209">
        <v>23053184</v>
      </c>
    </row>
    <row r="3679" spans="1:54" ht="25" customHeight="1">
      <c r="B3679" s="271">
        <v>46250</v>
      </c>
      <c r="C3679" s="441">
        <v>46261</v>
      </c>
      <c r="D3679" s="274">
        <f t="shared" ref="D3679" si="1848">IF(B3679="","",YEAR(B3679))</f>
        <v>2026</v>
      </c>
      <c r="E3679" s="274" t="e">
        <f>VLOOKUP($B3679,Week!$A$1:$C$1462,2,0)</f>
        <v>#N/A</v>
      </c>
      <c r="F3679" s="273" t="str">
        <f t="shared" ref="F3679" si="1849">IF(B3679="","",TEXT(B3679,"[$-409]mmm"))</f>
        <v>Aug</v>
      </c>
      <c r="G3679" s="274" t="s">
        <v>3106</v>
      </c>
      <c r="H3679" s="274" t="s">
        <v>225</v>
      </c>
      <c r="I3679" s="274" t="s">
        <v>2773</v>
      </c>
      <c r="J3679" s="275" t="s">
        <v>650</v>
      </c>
      <c r="K3679" s="276" t="s">
        <v>2256</v>
      </c>
      <c r="L3679" s="276" t="s">
        <v>2167</v>
      </c>
      <c r="M3679" s="275" t="s">
        <v>2258</v>
      </c>
      <c r="N3679" s="274" t="s">
        <v>2259</v>
      </c>
      <c r="O3679" s="274" t="s">
        <v>110</v>
      </c>
      <c r="P3679" s="277">
        <v>36</v>
      </c>
      <c r="Q3679" s="277">
        <v>5</v>
      </c>
      <c r="R3679" s="278">
        <v>7.4999999999999997E-3</v>
      </c>
      <c r="S3679" s="274" t="s">
        <v>111</v>
      </c>
      <c r="T3679" s="274" t="s">
        <v>112</v>
      </c>
      <c r="U3679" s="274" t="s">
        <v>113</v>
      </c>
      <c r="V3679" s="279">
        <f>792-677</f>
        <v>115</v>
      </c>
      <c r="W3679" s="279">
        <f>1+114</f>
        <v>115</v>
      </c>
      <c r="X3679" s="280"/>
      <c r="Y3679" s="281">
        <f>(W3679+X3679)-V3679</f>
        <v>0</v>
      </c>
      <c r="Z3679" s="282">
        <f>IF(Y3679&lt;0,((V3679*P3679)-((W3679+X3679)*P3679)),0)</f>
        <v>0</v>
      </c>
      <c r="AA3679" s="282">
        <f>Q3679*Z3679</f>
        <v>0</v>
      </c>
      <c r="AB3679" s="812">
        <v>9.7000000000000003E-3</v>
      </c>
      <c r="AC3679" s="279">
        <f>Z3679*AB3679</f>
        <v>0</v>
      </c>
      <c r="AD3679" s="324" t="s">
        <v>3099</v>
      </c>
      <c r="AE3679" s="210">
        <f>SUM(Q3679*R3679*Z3679)/1000</f>
        <v>0</v>
      </c>
      <c r="AF3679" s="210">
        <f>AE3679/0.54</f>
        <v>0</v>
      </c>
      <c r="AG3679" s="211">
        <f>MID(O3679,1,3)/1000</f>
        <v>0.308</v>
      </c>
      <c r="AH3679" s="157">
        <f>(Z3679*AG3679)/1000</f>
        <v>0</v>
      </c>
      <c r="AI3679" s="152">
        <f>V3679*P3679</f>
        <v>4140</v>
      </c>
      <c r="AK3679" s="156" t="s">
        <v>691</v>
      </c>
      <c r="AL3679" s="574" t="s">
        <v>690</v>
      </c>
      <c r="AM3679" s="198">
        <f>AG3679*Z3679</f>
        <v>0</v>
      </c>
      <c r="AN3679" s="199">
        <f>B3679</f>
        <v>46250</v>
      </c>
      <c r="AO3679" s="159" t="s">
        <v>692</v>
      </c>
      <c r="AP3679" s="781"/>
      <c r="AQ3679" s="782">
        <v>12063755</v>
      </c>
      <c r="AR3679" s="782">
        <v>12061353</v>
      </c>
      <c r="AS3679" s="782">
        <v>12061354</v>
      </c>
      <c r="AT3679" s="782">
        <v>12095367</v>
      </c>
      <c r="AU3679" s="781"/>
      <c r="AV3679" s="782">
        <v>12095366</v>
      </c>
      <c r="AW3679" s="782">
        <v>12088207</v>
      </c>
      <c r="AX3679" s="782"/>
      <c r="AY3679" s="782">
        <v>12095368</v>
      </c>
      <c r="AZ3679" s="782"/>
      <c r="BA3679" s="781"/>
      <c r="BB3679" s="209">
        <v>23054743</v>
      </c>
    </row>
    <row r="3680" spans="1:54" ht="25" customHeight="1">
      <c r="B3680" s="271">
        <v>46250</v>
      </c>
      <c r="C3680" s="441">
        <v>46273</v>
      </c>
      <c r="D3680" s="274">
        <f>IF(B3680="","",YEAR(B3680))</f>
        <v>2026</v>
      </c>
      <c r="E3680" s="274" t="e">
        <f>VLOOKUP($B3680,Week!$A$1:$C$1462,2,0)</f>
        <v>#N/A</v>
      </c>
      <c r="F3680" s="273" t="str">
        <f>IF(B3680="","",TEXT(B3680,"[$-409]mmm"))</f>
        <v>Aug</v>
      </c>
      <c r="G3680" s="274" t="s">
        <v>3107</v>
      </c>
      <c r="H3680" s="274" t="s">
        <v>225</v>
      </c>
      <c r="I3680" s="274" t="s">
        <v>2773</v>
      </c>
      <c r="J3680" s="275" t="s">
        <v>650</v>
      </c>
      <c r="K3680" s="276" t="s">
        <v>2256</v>
      </c>
      <c r="L3680" s="276" t="s">
        <v>2167</v>
      </c>
      <c r="M3680" s="275" t="s">
        <v>2258</v>
      </c>
      <c r="N3680" s="274" t="s">
        <v>2259</v>
      </c>
      <c r="O3680" s="274" t="s">
        <v>110</v>
      </c>
      <c r="P3680" s="277">
        <v>36</v>
      </c>
      <c r="Q3680" s="277">
        <v>5</v>
      </c>
      <c r="R3680" s="278">
        <v>7.4999999999999997E-3</v>
      </c>
      <c r="S3680" s="274" t="s">
        <v>111</v>
      </c>
      <c r="T3680" s="274" t="s">
        <v>112</v>
      </c>
      <c r="U3680" s="274" t="s">
        <v>113</v>
      </c>
      <c r="V3680" s="279">
        <f>792</f>
        <v>792</v>
      </c>
      <c r="W3680" s="279">
        <v>792</v>
      </c>
      <c r="X3680" s="280"/>
      <c r="Y3680" s="281">
        <f>(W3680+X3680)-V3680</f>
        <v>0</v>
      </c>
      <c r="Z3680" s="282">
        <f>IF(Y3680&lt;0,((V3680*P3680)-((W3680+X3680)*P3680)),0)</f>
        <v>0</v>
      </c>
      <c r="AA3680" s="282">
        <f>Q3680*Z3680</f>
        <v>0</v>
      </c>
      <c r="AB3680" s="812">
        <v>9.7000000000000003E-3</v>
      </c>
      <c r="AC3680" s="279">
        <f>Z3680*AB3680</f>
        <v>0</v>
      </c>
      <c r="AD3680" s="324" t="s">
        <v>3099</v>
      </c>
      <c r="AE3680" s="210">
        <f>SUM(Q3680*R3680*Z3680)/1000</f>
        <v>0</v>
      </c>
      <c r="AF3680" s="210">
        <f>AE3680/0.54</f>
        <v>0</v>
      </c>
      <c r="AG3680" s="211">
        <f>MID(O3680,1,3)/1000</f>
        <v>0.308</v>
      </c>
      <c r="AH3680" s="157">
        <f>(Z3680*AG3680)/1000</f>
        <v>0</v>
      </c>
      <c r="AI3680" s="152">
        <f>V3680*P3680</f>
        <v>28512</v>
      </c>
      <c r="AK3680" s="156" t="s">
        <v>691</v>
      </c>
      <c r="AL3680" s="574" t="s">
        <v>690</v>
      </c>
      <c r="AM3680" s="198">
        <f>AG3680*Z3680</f>
        <v>0</v>
      </c>
      <c r="AN3680" s="199">
        <f>B3680</f>
        <v>46250</v>
      </c>
      <c r="AO3680" s="159" t="s">
        <v>692</v>
      </c>
      <c r="AP3680" s="781"/>
      <c r="AQ3680" s="782">
        <v>12063755</v>
      </c>
      <c r="AR3680" s="782">
        <v>12061353</v>
      </c>
      <c r="AS3680" s="782">
        <v>12061354</v>
      </c>
      <c r="AT3680" s="782">
        <v>12095367</v>
      </c>
      <c r="AU3680" s="781"/>
      <c r="AV3680" s="782">
        <v>12095366</v>
      </c>
      <c r="AW3680" s="782">
        <v>12088207</v>
      </c>
      <c r="AX3680" s="782"/>
      <c r="AY3680" s="782">
        <v>12095368</v>
      </c>
      <c r="AZ3680" s="782"/>
      <c r="BA3680" s="781"/>
      <c r="BB3680" s="209">
        <v>23054743</v>
      </c>
    </row>
    <row r="3681" spans="1:54" ht="25" customHeight="1">
      <c r="B3681" s="271">
        <v>46250</v>
      </c>
      <c r="C3681" s="441">
        <v>46280</v>
      </c>
      <c r="D3681" s="274">
        <f>IF(B3681="","",YEAR(B3681))</f>
        <v>2026</v>
      </c>
      <c r="E3681" s="274" t="e">
        <f>VLOOKUP($B3681,Week!$A$1:$C$1462,2,0)</f>
        <v>#N/A</v>
      </c>
      <c r="F3681" s="273" t="str">
        <f>IF(B3681="","",TEXT(B3681,"[$-409]mmm"))</f>
        <v>Aug</v>
      </c>
      <c r="G3681" s="274" t="s">
        <v>3108</v>
      </c>
      <c r="H3681" s="274" t="s">
        <v>225</v>
      </c>
      <c r="I3681" s="274" t="s">
        <v>2773</v>
      </c>
      <c r="J3681" s="275" t="s">
        <v>650</v>
      </c>
      <c r="K3681" s="276" t="s">
        <v>2256</v>
      </c>
      <c r="L3681" s="276" t="s">
        <v>2167</v>
      </c>
      <c r="M3681" s="275" t="s">
        <v>2258</v>
      </c>
      <c r="N3681" s="274" t="s">
        <v>2259</v>
      </c>
      <c r="O3681" s="274" t="s">
        <v>110</v>
      </c>
      <c r="P3681" s="277">
        <v>36</v>
      </c>
      <c r="Q3681" s="277">
        <v>5</v>
      </c>
      <c r="R3681" s="278">
        <v>7.4999999999999997E-3</v>
      </c>
      <c r="S3681" s="274" t="s">
        <v>111</v>
      </c>
      <c r="T3681" s="274" t="s">
        <v>112</v>
      </c>
      <c r="U3681" s="274" t="s">
        <v>113</v>
      </c>
      <c r="V3681" s="279">
        <v>48</v>
      </c>
      <c r="W3681" s="279">
        <f>916-114-792+38</f>
        <v>48</v>
      </c>
      <c r="X3681" s="280"/>
      <c r="Y3681" s="281">
        <f>(W3681+X3681)-V3681</f>
        <v>0</v>
      </c>
      <c r="Z3681" s="282">
        <f>IF(Y3681&lt;0,((V3681*P3681)-((W3681+X3681)*P3681)),0)</f>
        <v>0</v>
      </c>
      <c r="AA3681" s="282">
        <f>Q3681*Z3681</f>
        <v>0</v>
      </c>
      <c r="AB3681" s="812">
        <v>9.7000000000000003E-3</v>
      </c>
      <c r="AC3681" s="279">
        <f>Z3681*AB3681</f>
        <v>0</v>
      </c>
      <c r="AD3681" s="324" t="s">
        <v>3099</v>
      </c>
      <c r="AE3681" s="210">
        <f>SUM(Q3681*R3681*Z3681)/1000</f>
        <v>0</v>
      </c>
      <c r="AF3681" s="210">
        <f>AE3681/0.54</f>
        <v>0</v>
      </c>
      <c r="AG3681" s="211">
        <f>MID(O3681,1,3)/1000</f>
        <v>0.308</v>
      </c>
      <c r="AH3681" s="157">
        <f>(Z3681*AG3681)/1000</f>
        <v>0</v>
      </c>
      <c r="AI3681" s="152">
        <f>V3681*P3681</f>
        <v>1728</v>
      </c>
      <c r="AK3681" s="156" t="s">
        <v>691</v>
      </c>
      <c r="AL3681" s="574" t="s">
        <v>690</v>
      </c>
      <c r="AM3681" s="198">
        <f>AG3681*Z3681</f>
        <v>0</v>
      </c>
      <c r="AN3681" s="199">
        <f>B3681</f>
        <v>46250</v>
      </c>
      <c r="AO3681" s="159" t="s">
        <v>692</v>
      </c>
      <c r="AP3681" s="781"/>
      <c r="AQ3681" s="782">
        <v>12063755</v>
      </c>
      <c r="AR3681" s="782">
        <v>12061353</v>
      </c>
      <c r="AS3681" s="782">
        <v>12061354</v>
      </c>
      <c r="AT3681" s="782">
        <v>12095367</v>
      </c>
      <c r="AU3681" s="781"/>
      <c r="AV3681" s="782">
        <v>12095366</v>
      </c>
      <c r="AW3681" s="782">
        <v>12088207</v>
      </c>
      <c r="AX3681" s="782"/>
      <c r="AY3681" s="782">
        <v>12095368</v>
      </c>
      <c r="AZ3681" s="782"/>
      <c r="BA3681" s="781"/>
      <c r="BB3681" s="209">
        <v>23054743</v>
      </c>
    </row>
    <row r="3682" spans="1:54" ht="25" customHeight="1">
      <c r="B3682" s="332">
        <v>46250</v>
      </c>
      <c r="C3682" s="333">
        <v>46266</v>
      </c>
      <c r="D3682" s="185">
        <f>IF(B3682="","",YEAR(B3682))</f>
        <v>2026</v>
      </c>
      <c r="E3682" s="333" t="e">
        <f>VLOOKUP($B3682,Week!$A$1:$C$1462,2,0)</f>
        <v>#N/A</v>
      </c>
      <c r="F3682" s="334" t="str">
        <f>IF(B3682="","",TEXT(B3682,"[$-409]mmm"))</f>
        <v>Aug</v>
      </c>
      <c r="G3682" s="335" t="s">
        <v>3104</v>
      </c>
      <c r="H3682" s="335" t="s">
        <v>600</v>
      </c>
      <c r="I3682" s="335" t="s">
        <v>2772</v>
      </c>
      <c r="J3682" s="336" t="s">
        <v>708</v>
      </c>
      <c r="K3682" s="337" t="s">
        <v>1649</v>
      </c>
      <c r="L3682" s="300" t="s">
        <v>2167</v>
      </c>
      <c r="M3682" s="336" t="s">
        <v>2927</v>
      </c>
      <c r="N3682" s="335" t="s">
        <v>2921</v>
      </c>
      <c r="O3682" s="335" t="s">
        <v>2917</v>
      </c>
      <c r="P3682" s="338">
        <v>12</v>
      </c>
      <c r="Q3682" s="338">
        <v>3</v>
      </c>
      <c r="R3682" s="339">
        <v>6.1999999999999998E-3</v>
      </c>
      <c r="S3682" s="335" t="s">
        <v>55</v>
      </c>
      <c r="T3682" s="335" t="s">
        <v>112</v>
      </c>
      <c r="U3682" s="340" t="s">
        <v>1893</v>
      </c>
      <c r="V3682" s="341">
        <f>2660</f>
        <v>2660</v>
      </c>
      <c r="W3682" s="341"/>
      <c r="X3682" s="342">
        <f>(541+31379)/12</f>
        <v>2660</v>
      </c>
      <c r="Y3682" s="343">
        <f>(W3682+X3682)-V3682</f>
        <v>0</v>
      </c>
      <c r="Z3682" s="344">
        <f>IF(Y3682&lt;0,((V3682*P3682)-((W3682+X3682)*P3682)),0)</f>
        <v>0</v>
      </c>
      <c r="AA3682" s="344">
        <f>Q3682*Z3682</f>
        <v>0</v>
      </c>
      <c r="AB3682" s="817">
        <v>3.85E-2</v>
      </c>
      <c r="AC3682" s="341">
        <f>Z3682*AB3682</f>
        <v>0</v>
      </c>
      <c r="AD3682" s="443" t="s">
        <v>2779</v>
      </c>
      <c r="AE3682" s="210">
        <f>SUM(Q3682*R3682*Z3682)/1000</f>
        <v>0</v>
      </c>
      <c r="AF3682" s="210">
        <f>AE3682/0.54</f>
        <v>0</v>
      </c>
      <c r="AG3682" s="211">
        <f>MID(O3682,1,3)/1000</f>
        <v>0.24</v>
      </c>
      <c r="AH3682" s="157">
        <f>(Z3682*AG3682)/1000</f>
        <v>0</v>
      </c>
      <c r="AI3682" s="152">
        <f>V3682*P3682</f>
        <v>31920</v>
      </c>
      <c r="AK3682" s="156" t="s">
        <v>691</v>
      </c>
      <c r="AL3682" s="574" t="s">
        <v>690</v>
      </c>
      <c r="AM3682" s="198">
        <f>AG3682*Z3682</f>
        <v>0</v>
      </c>
      <c r="AN3682" s="199">
        <f>B3682</f>
        <v>46250</v>
      </c>
      <c r="AO3682" s="159" t="s">
        <v>692</v>
      </c>
      <c r="AP3682" s="783"/>
      <c r="AQ3682" s="782">
        <v>12071839</v>
      </c>
      <c r="AR3682" s="782">
        <v>12095778</v>
      </c>
      <c r="AS3682" s="782">
        <v>12095777</v>
      </c>
      <c r="AT3682" s="798" t="s">
        <v>3019</v>
      </c>
      <c r="AU3682" s="781"/>
      <c r="AV3682" s="782">
        <v>12098861</v>
      </c>
      <c r="AW3682" s="781"/>
      <c r="AX3682" s="781"/>
      <c r="AY3682" s="782"/>
      <c r="AZ3682" s="781"/>
      <c r="BA3682" s="781"/>
      <c r="BB3682" s="209">
        <v>23053185</v>
      </c>
    </row>
    <row r="3683" spans="1:54" ht="25" customHeight="1">
      <c r="B3683" s="183">
        <v>46251</v>
      </c>
      <c r="C3683" s="184"/>
      <c r="D3683" s="185">
        <f t="shared" ref="D3683:D3707" si="1850">IF(B3683="","",YEAR(B3683))</f>
        <v>2026</v>
      </c>
      <c r="E3683" s="185" t="e">
        <f>VLOOKUP($B3683,Week!$A$1:$C$1462,2,0)</f>
        <v>#N/A</v>
      </c>
      <c r="F3683" s="186" t="str">
        <f t="shared" ref="F3683:F3707" si="1851">IF(B3683="","",TEXT(B3683,"[$-409]mmm"))</f>
        <v>Aug</v>
      </c>
      <c r="G3683" s="481"/>
      <c r="H3683" s="185"/>
      <c r="I3683" s="185"/>
      <c r="J3683" s="187"/>
      <c r="K3683" s="188"/>
      <c r="L3683" s="188"/>
      <c r="M3683" s="187"/>
      <c r="N3683" s="185"/>
      <c r="O3683" s="185"/>
      <c r="P3683" s="189"/>
      <c r="Q3683" s="189"/>
      <c r="R3683" s="190"/>
      <c r="S3683" s="185"/>
      <c r="T3683" s="185"/>
      <c r="U3683" s="185"/>
      <c r="V3683" s="191"/>
      <c r="W3683" s="191"/>
      <c r="X3683" s="192"/>
      <c r="Y3683" s="193"/>
      <c r="Z3683" s="194"/>
      <c r="AA3683" s="194">
        <f t="shared" ref="AA3683" si="1852">Q3683*Z3683</f>
        <v>0</v>
      </c>
      <c r="AB3683" s="805"/>
      <c r="AC3683" s="191"/>
      <c r="AD3683" s="187"/>
      <c r="AE3683" s="195"/>
      <c r="AF3683" s="195"/>
      <c r="AG3683" s="196"/>
      <c r="AH3683" s="197"/>
      <c r="AK3683" s="156" t="s">
        <v>691</v>
      </c>
      <c r="AM3683" s="198">
        <f t="shared" ref="AM3683" si="1853">AG3683*Z3683</f>
        <v>0</v>
      </c>
      <c r="AN3683" s="199">
        <f t="shared" ref="AN3683" si="1854">B3683</f>
        <v>46251</v>
      </c>
      <c r="AO3683" s="159" t="s">
        <v>692</v>
      </c>
      <c r="AP3683" s="781"/>
      <c r="AQ3683" s="782"/>
      <c r="AR3683" s="782"/>
      <c r="AS3683" s="782"/>
      <c r="AT3683" s="782"/>
      <c r="AU3683" s="781"/>
      <c r="AV3683" s="782"/>
      <c r="AW3683" s="782"/>
      <c r="AX3683" s="782"/>
      <c r="AY3683" s="782"/>
      <c r="AZ3683" s="782"/>
      <c r="BA3683" s="781"/>
      <c r="BB3683" s="209"/>
    </row>
    <row r="3684" spans="1:54" ht="25" customHeight="1">
      <c r="B3684" s="183">
        <v>46252</v>
      </c>
      <c r="C3684" s="184"/>
      <c r="D3684" s="185">
        <f t="shared" si="1850"/>
        <v>2026</v>
      </c>
      <c r="E3684" s="185" t="e">
        <f>VLOOKUP($B3684,Week!$A$1:$C$1462,2,0)</f>
        <v>#N/A</v>
      </c>
      <c r="F3684" s="186" t="str">
        <f t="shared" si="1851"/>
        <v>Aug</v>
      </c>
      <c r="G3684" s="481"/>
      <c r="H3684" s="185"/>
      <c r="I3684" s="185"/>
      <c r="J3684" s="187"/>
      <c r="K3684" s="188"/>
      <c r="L3684" s="188"/>
      <c r="M3684" s="187"/>
      <c r="N3684" s="185"/>
      <c r="O3684" s="185"/>
      <c r="P3684" s="189"/>
      <c r="Q3684" s="189"/>
      <c r="R3684" s="190"/>
      <c r="S3684" s="185"/>
      <c r="T3684" s="185"/>
      <c r="U3684" s="185"/>
      <c r="V3684" s="191"/>
      <c r="W3684" s="191"/>
      <c r="X3684" s="192"/>
      <c r="Y3684" s="193"/>
      <c r="Z3684" s="194"/>
      <c r="AA3684" s="194">
        <f t="shared" ref="AA3684:AA3707" si="1855">Q3684*Z3684</f>
        <v>0</v>
      </c>
      <c r="AB3684" s="805"/>
      <c r="AC3684" s="191"/>
      <c r="AD3684" s="187"/>
      <c r="AE3684" s="195"/>
      <c r="AF3684" s="195"/>
      <c r="AG3684" s="196"/>
      <c r="AH3684" s="197"/>
      <c r="AK3684" s="156" t="s">
        <v>691</v>
      </c>
      <c r="AM3684" s="198">
        <f t="shared" ref="AM3684:AM3707" si="1856">AG3684*Z3684</f>
        <v>0</v>
      </c>
      <c r="AN3684" s="199">
        <f t="shared" ref="AN3684:AN3707" si="1857">B3684</f>
        <v>46252</v>
      </c>
      <c r="AO3684" s="159" t="s">
        <v>692</v>
      </c>
      <c r="AP3684" s="781"/>
      <c r="AQ3684" s="782"/>
      <c r="AR3684" s="782"/>
      <c r="AS3684" s="782"/>
      <c r="AT3684" s="782"/>
      <c r="AU3684" s="781"/>
      <c r="AV3684" s="782"/>
      <c r="AW3684" s="782"/>
      <c r="AX3684" s="782"/>
      <c r="AY3684" s="782"/>
      <c r="AZ3684" s="782"/>
      <c r="BA3684" s="781"/>
      <c r="BB3684" s="209"/>
    </row>
    <row r="3685" spans="1:54" ht="25" customHeight="1">
      <c r="A3685" s="142" t="s">
        <v>120</v>
      </c>
      <c r="B3685" s="271">
        <v>46253</v>
      </c>
      <c r="C3685" s="272">
        <v>46279</v>
      </c>
      <c r="D3685" s="185">
        <f t="shared" ref="D3685" si="1858">IF(B3685="","",YEAR(B3685))</f>
        <v>2026</v>
      </c>
      <c r="E3685" s="272" t="e">
        <f>VLOOKUP($B3685,Week!$A$1:$C$1462,2,0)</f>
        <v>#N/A</v>
      </c>
      <c r="F3685" s="273" t="str">
        <f t="shared" ref="F3685" si="1859">IF(B3685="","",TEXT(B3685,"[$-409]mmm"))</f>
        <v>Aug</v>
      </c>
      <c r="G3685" s="274" t="s">
        <v>3053</v>
      </c>
      <c r="H3685" s="274" t="s">
        <v>500</v>
      </c>
      <c r="I3685" s="274" t="s">
        <v>2772</v>
      </c>
      <c r="J3685" s="275" t="s">
        <v>285</v>
      </c>
      <c r="K3685" s="276" t="s">
        <v>153</v>
      </c>
      <c r="L3685" s="390" t="s">
        <v>2166</v>
      </c>
      <c r="M3685" s="275" t="s">
        <v>86</v>
      </c>
      <c r="N3685" s="274" t="s">
        <v>547</v>
      </c>
      <c r="O3685" s="274" t="s">
        <v>548</v>
      </c>
      <c r="P3685" s="277">
        <v>10</v>
      </c>
      <c r="Q3685" s="277">
        <v>50</v>
      </c>
      <c r="R3685" s="278">
        <v>6.8100000000000001E-3</v>
      </c>
      <c r="S3685" s="274" t="s">
        <v>76</v>
      </c>
      <c r="T3685" s="274" t="s">
        <v>56</v>
      </c>
      <c r="U3685" s="274" t="s">
        <v>89</v>
      </c>
      <c r="V3685" s="279">
        <v>676</v>
      </c>
      <c r="W3685" s="279">
        <v>676</v>
      </c>
      <c r="X3685" s="280"/>
      <c r="Y3685" s="281">
        <f t="shared" ref="Y3685" si="1860">(W3685+X3685)-V3685</f>
        <v>0</v>
      </c>
      <c r="Z3685" s="282">
        <f t="shared" ref="Z3685" si="1861">IF(Y3685&lt;0,((V3685*P3685)-((W3685+X3685)*P3685)),0)</f>
        <v>0</v>
      </c>
      <c r="AA3685" s="282">
        <f>Q3685*Z3685</f>
        <v>0</v>
      </c>
      <c r="AB3685" s="812">
        <v>6</v>
      </c>
      <c r="AC3685" s="279">
        <f t="shared" ref="AC3685" si="1862">Z3685*AB3685</f>
        <v>0</v>
      </c>
      <c r="AD3685" s="209"/>
      <c r="AE3685" s="210">
        <f>SUM(Q3685*R3685*Z3685)/1000</f>
        <v>0</v>
      </c>
      <c r="AF3685" s="210">
        <f t="shared" ref="AF3685" si="1863">AE3685/0.54</f>
        <v>0</v>
      </c>
      <c r="AG3685" s="211">
        <f>MID(O3685,1,3)/1000</f>
        <v>0.63</v>
      </c>
      <c r="AH3685" s="157">
        <f t="shared" ref="AH3685" si="1864">(Z3685*AG3685)/1000</f>
        <v>0</v>
      </c>
      <c r="AI3685" s="152">
        <f t="shared" ref="AI3685" si="1865">V3685*P3685</f>
        <v>6760</v>
      </c>
      <c r="AK3685" s="156" t="s">
        <v>691</v>
      </c>
      <c r="AL3685" s="156" t="s">
        <v>689</v>
      </c>
      <c r="AM3685" s="198">
        <f>AG3685*Z3685</f>
        <v>0</v>
      </c>
      <c r="AN3685" s="199">
        <f>B3685</f>
        <v>46253</v>
      </c>
      <c r="AO3685" s="159" t="s">
        <v>692</v>
      </c>
      <c r="AP3685" s="783" t="s">
        <v>620</v>
      </c>
      <c r="AQ3685" s="796" t="s">
        <v>422</v>
      </c>
      <c r="AR3685" s="782">
        <v>12055234</v>
      </c>
      <c r="AS3685" s="781"/>
      <c r="AT3685" s="782"/>
      <c r="AU3685" s="782"/>
      <c r="AV3685" s="782">
        <v>12062809</v>
      </c>
      <c r="AW3685" s="782"/>
      <c r="AX3685" s="782" t="s">
        <v>619</v>
      </c>
      <c r="AY3685" s="781"/>
      <c r="AZ3685" s="781"/>
      <c r="BA3685" s="781"/>
      <c r="BB3685" s="209">
        <v>23053184</v>
      </c>
    </row>
    <row r="3686" spans="1:54" ht="24.75" customHeight="1">
      <c r="B3686" s="602">
        <v>46253</v>
      </c>
      <c r="C3686" s="861" t="s">
        <v>3055</v>
      </c>
      <c r="D3686" s="604">
        <f>IF(B3686="","",YEAR(B3686))</f>
        <v>2026</v>
      </c>
      <c r="E3686" s="603" t="e">
        <f>VLOOKUP($B3686,Week!$A$1:$C$1462,2,0)</f>
        <v>#N/A</v>
      </c>
      <c r="F3686" s="605" t="str">
        <f>IF(B3686="","",TEXT(B3686,"[$-409]mmm"))</f>
        <v>Aug</v>
      </c>
      <c r="G3686" s="938" t="s">
        <v>47</v>
      </c>
      <c r="H3686" s="604" t="s">
        <v>260</v>
      </c>
      <c r="I3686" s="604" t="s">
        <v>2702</v>
      </c>
      <c r="J3686" s="939" t="s">
        <v>2240</v>
      </c>
      <c r="K3686" s="607" t="s">
        <v>94</v>
      </c>
      <c r="L3686" s="607" t="s">
        <v>2167</v>
      </c>
      <c r="M3686" s="606" t="s">
        <v>2338</v>
      </c>
      <c r="N3686" s="604" t="s">
        <v>2997</v>
      </c>
      <c r="O3686" s="604" t="s">
        <v>54</v>
      </c>
      <c r="P3686" s="608">
        <v>24</v>
      </c>
      <c r="Q3686" s="608">
        <v>5</v>
      </c>
      <c r="R3686" s="609">
        <v>6.1999999999999998E-3</v>
      </c>
      <c r="S3686" s="604" t="s">
        <v>352</v>
      </c>
      <c r="T3686" s="604" t="s">
        <v>56</v>
      </c>
      <c r="U3686" s="604" t="s">
        <v>57</v>
      </c>
      <c r="V3686" s="610">
        <f>10000-3089-3602-2600</f>
        <v>709</v>
      </c>
      <c r="W3686" s="610">
        <v>709</v>
      </c>
      <c r="X3686" s="611"/>
      <c r="Y3686" s="612">
        <f>(W3686+X3686)-V3686</f>
        <v>0</v>
      </c>
      <c r="Z3686" s="613">
        <f>IF(Y3686&lt;0,((V3686*P3686)-((W3686+X3686)*P3686)),0)</f>
        <v>0</v>
      </c>
      <c r="AA3686" s="613">
        <f>Q3686*Z3686</f>
        <v>0</v>
      </c>
      <c r="AB3686" s="836">
        <v>7.4999999999999997E-3</v>
      </c>
      <c r="AC3686" s="610">
        <f>Z3686*AB3686</f>
        <v>0</v>
      </c>
      <c r="AD3686" s="443"/>
      <c r="AE3686" s="210">
        <f>SUM(Q3686*R3686*Z3686)/1000</f>
        <v>0</v>
      </c>
      <c r="AF3686" s="210">
        <f>AE3686/0.54</f>
        <v>0</v>
      </c>
      <c r="AG3686" s="211">
        <f>MID(O3686,1,3)/1000</f>
        <v>0.13500000000000001</v>
      </c>
      <c r="AH3686" s="157">
        <f t="shared" ref="AH3686:AH3691" si="1866">(Z3686*AG3686)/1000</f>
        <v>0</v>
      </c>
      <c r="AI3686" s="152">
        <f>V3686*P3686</f>
        <v>17016</v>
      </c>
      <c r="AK3686" s="156" t="s">
        <v>691</v>
      </c>
      <c r="AL3686" s="574" t="s">
        <v>690</v>
      </c>
      <c r="AM3686" s="198">
        <f>AG3686*Z3686</f>
        <v>0</v>
      </c>
      <c r="AN3686" s="199">
        <f>B3686</f>
        <v>46253</v>
      </c>
      <c r="AO3686" s="159" t="s">
        <v>692</v>
      </c>
      <c r="AP3686" s="783" t="s">
        <v>622</v>
      </c>
      <c r="AQ3686" s="782">
        <v>12071839</v>
      </c>
      <c r="AR3686" s="782">
        <v>12099098</v>
      </c>
      <c r="AS3686" s="782">
        <v>12068233</v>
      </c>
      <c r="AT3686" s="781"/>
      <c r="AU3686" s="781"/>
      <c r="AV3686" s="782">
        <v>12099466</v>
      </c>
      <c r="AW3686" s="781"/>
      <c r="AX3686" s="781"/>
      <c r="AY3686" s="782">
        <v>12099097</v>
      </c>
      <c r="AZ3686" s="782"/>
      <c r="BA3686" s="781"/>
      <c r="BB3686" s="209">
        <v>23053184</v>
      </c>
    </row>
    <row r="3687" spans="1:54" ht="24.75" customHeight="1">
      <c r="B3687" s="602">
        <v>46253</v>
      </c>
      <c r="C3687" s="861" t="s">
        <v>3075</v>
      </c>
      <c r="D3687" s="604">
        <f>IF(B3687="","",YEAR(B3687))</f>
        <v>2026</v>
      </c>
      <c r="E3687" s="603" t="e">
        <f>VLOOKUP($B3687,Week!$A$1:$C$1462,2,0)</f>
        <v>#N/A</v>
      </c>
      <c r="F3687" s="605" t="str">
        <f>IF(B3687="","",TEXT(B3687,"[$-409]mmm"))</f>
        <v>Aug</v>
      </c>
      <c r="G3687" s="938" t="s">
        <v>47</v>
      </c>
      <c r="H3687" s="604" t="s">
        <v>260</v>
      </c>
      <c r="I3687" s="604" t="s">
        <v>2702</v>
      </c>
      <c r="J3687" s="939" t="s">
        <v>2240</v>
      </c>
      <c r="K3687" s="607" t="s">
        <v>94</v>
      </c>
      <c r="L3687" s="607" t="s">
        <v>2167</v>
      </c>
      <c r="M3687" s="606" t="s">
        <v>2338</v>
      </c>
      <c r="N3687" s="604" t="s">
        <v>2997</v>
      </c>
      <c r="O3687" s="604" t="s">
        <v>54</v>
      </c>
      <c r="P3687" s="608">
        <v>24</v>
      </c>
      <c r="Q3687" s="608">
        <v>5</v>
      </c>
      <c r="R3687" s="609">
        <v>6.1999999999999998E-3</v>
      </c>
      <c r="S3687" s="604" t="s">
        <v>352</v>
      </c>
      <c r="T3687" s="604" t="s">
        <v>56</v>
      </c>
      <c r="U3687" s="604" t="s">
        <v>57</v>
      </c>
      <c r="V3687" s="610">
        <v>2189</v>
      </c>
      <c r="W3687" s="610">
        <f>2847-709+51</f>
        <v>2189</v>
      </c>
      <c r="X3687" s="611"/>
      <c r="Y3687" s="612">
        <f>(W3687+X3687)-V3687</f>
        <v>0</v>
      </c>
      <c r="Z3687" s="613">
        <f>IF(Y3687&lt;0,((V3687*P3687)-((W3687+X3687)*P3687)),0)</f>
        <v>0</v>
      </c>
      <c r="AA3687" s="613">
        <f>Q3687*Z3687</f>
        <v>0</v>
      </c>
      <c r="AB3687" s="836">
        <v>7.4999999999999997E-3</v>
      </c>
      <c r="AC3687" s="610">
        <f>Z3687*AB3687</f>
        <v>0</v>
      </c>
      <c r="AD3687" s="443"/>
      <c r="AE3687" s="210">
        <f>SUM(Q3687*R3687*Z3687)/1000</f>
        <v>0</v>
      </c>
      <c r="AF3687" s="210">
        <f>AE3687/0.54</f>
        <v>0</v>
      </c>
      <c r="AG3687" s="211">
        <f>MID(O3687,1,3)/1000</f>
        <v>0.13500000000000001</v>
      </c>
      <c r="AH3687" s="157">
        <f t="shared" si="1866"/>
        <v>0</v>
      </c>
      <c r="AI3687" s="152">
        <f>V3687*P3687</f>
        <v>52536</v>
      </c>
      <c r="AK3687" s="156" t="s">
        <v>691</v>
      </c>
      <c r="AL3687" s="574" t="s">
        <v>690</v>
      </c>
      <c r="AM3687" s="198">
        <f>AG3687*Z3687</f>
        <v>0</v>
      </c>
      <c r="AN3687" s="199">
        <f>B3687</f>
        <v>46253</v>
      </c>
      <c r="AO3687" s="159" t="s">
        <v>692</v>
      </c>
      <c r="AP3687" s="783" t="s">
        <v>622</v>
      </c>
      <c r="AQ3687" s="782">
        <v>12071839</v>
      </c>
      <c r="AR3687" s="782">
        <v>12099098</v>
      </c>
      <c r="AS3687" s="782">
        <v>12068233</v>
      </c>
      <c r="AT3687" s="781"/>
      <c r="AU3687" s="781"/>
      <c r="AV3687" s="782">
        <v>12099466</v>
      </c>
      <c r="AW3687" s="781"/>
      <c r="AX3687" s="781"/>
      <c r="AY3687" s="782">
        <v>12099097</v>
      </c>
      <c r="AZ3687" s="782"/>
      <c r="BA3687" s="781"/>
      <c r="BB3687" s="209">
        <v>23053184</v>
      </c>
    </row>
    <row r="3688" spans="1:54" ht="25" customHeight="1">
      <c r="A3688" s="142" t="s">
        <v>120</v>
      </c>
      <c r="B3688" s="271">
        <v>46254</v>
      </c>
      <c r="C3688" s="272">
        <v>46279</v>
      </c>
      <c r="D3688" s="185">
        <f t="shared" si="1850"/>
        <v>2026</v>
      </c>
      <c r="E3688" s="272" t="e">
        <f>VLOOKUP($B3688,Week!$A$1:$C$1462,2,0)</f>
        <v>#N/A</v>
      </c>
      <c r="F3688" s="273" t="str">
        <f t="shared" si="1851"/>
        <v>Aug</v>
      </c>
      <c r="G3688" s="274" t="s">
        <v>3053</v>
      </c>
      <c r="H3688" s="274" t="s">
        <v>500</v>
      </c>
      <c r="I3688" s="274" t="s">
        <v>2772</v>
      </c>
      <c r="J3688" s="275" t="s">
        <v>285</v>
      </c>
      <c r="K3688" s="276" t="s">
        <v>153</v>
      </c>
      <c r="L3688" s="390" t="s">
        <v>2166</v>
      </c>
      <c r="M3688" s="275" t="s">
        <v>86</v>
      </c>
      <c r="N3688" s="274" t="s">
        <v>547</v>
      </c>
      <c r="O3688" s="274" t="s">
        <v>548</v>
      </c>
      <c r="P3688" s="277">
        <v>10</v>
      </c>
      <c r="Q3688" s="277">
        <v>50</v>
      </c>
      <c r="R3688" s="278">
        <v>6.8100000000000001E-3</v>
      </c>
      <c r="S3688" s="274" t="s">
        <v>76</v>
      </c>
      <c r="T3688" s="274" t="s">
        <v>56</v>
      </c>
      <c r="U3688" s="274" t="s">
        <v>89</v>
      </c>
      <c r="V3688" s="279">
        <v>668</v>
      </c>
      <c r="W3688" s="279">
        <v>668</v>
      </c>
      <c r="X3688" s="280"/>
      <c r="Y3688" s="281">
        <f t="shared" ref="Y3688:Y3693" si="1867">(W3688+X3688)-V3688</f>
        <v>0</v>
      </c>
      <c r="Z3688" s="282">
        <f t="shared" ref="Z3688:Z3693" si="1868">IF(Y3688&lt;0,((V3688*P3688)-((W3688+X3688)*P3688)),0)</f>
        <v>0</v>
      </c>
      <c r="AA3688" s="282">
        <f t="shared" si="1855"/>
        <v>0</v>
      </c>
      <c r="AB3688" s="812">
        <v>6</v>
      </c>
      <c r="AC3688" s="279">
        <f t="shared" ref="AC3688:AC3693" si="1869">Z3688*AB3688</f>
        <v>0</v>
      </c>
      <c r="AD3688" s="209"/>
      <c r="AE3688" s="210">
        <f t="shared" ref="AE3688:AE3693" si="1870">SUM(Q3688*R3688*Z3688)/1000</f>
        <v>0</v>
      </c>
      <c r="AF3688" s="210">
        <f t="shared" ref="AF3688:AF3693" si="1871">AE3688/0.54</f>
        <v>0</v>
      </c>
      <c r="AG3688" s="211">
        <f t="shared" ref="AG3688:AG3693" si="1872">MID(O3688,1,3)/1000</f>
        <v>0.63</v>
      </c>
      <c r="AH3688" s="157">
        <f t="shared" si="1866"/>
        <v>0</v>
      </c>
      <c r="AI3688" s="152">
        <f t="shared" ref="AI3688:AI3693" si="1873">V3688*P3688</f>
        <v>6680</v>
      </c>
      <c r="AK3688" s="156" t="s">
        <v>691</v>
      </c>
      <c r="AL3688" s="156" t="s">
        <v>689</v>
      </c>
      <c r="AM3688" s="198">
        <f t="shared" si="1856"/>
        <v>0</v>
      </c>
      <c r="AN3688" s="199">
        <f t="shared" si="1857"/>
        <v>46254</v>
      </c>
      <c r="AO3688" s="159" t="s">
        <v>692</v>
      </c>
      <c r="AP3688" s="783" t="s">
        <v>620</v>
      </c>
      <c r="AQ3688" s="796" t="s">
        <v>422</v>
      </c>
      <c r="AR3688" s="782">
        <v>12055234</v>
      </c>
      <c r="AS3688" s="781"/>
      <c r="AT3688" s="782"/>
      <c r="AU3688" s="782"/>
      <c r="AV3688" s="782">
        <v>12062809</v>
      </c>
      <c r="AW3688" s="782"/>
      <c r="AX3688" s="782" t="s">
        <v>619</v>
      </c>
      <c r="AY3688" s="781"/>
      <c r="AZ3688" s="781"/>
      <c r="BA3688" s="781"/>
      <c r="BB3688" s="209">
        <v>23053184</v>
      </c>
    </row>
    <row r="3689" spans="1:54" ht="25" customHeight="1">
      <c r="A3689" s="529" t="s">
        <v>1937</v>
      </c>
      <c r="B3689" s="357">
        <v>46254</v>
      </c>
      <c r="C3689" s="776" t="s">
        <v>3075</v>
      </c>
      <c r="D3689" s="185">
        <f>IF(B3689="","",YEAR(B3689))</f>
        <v>2026</v>
      </c>
      <c r="E3689" s="358" t="e">
        <f>VLOOKUP($B3689,Week!$A$1:$C$1462,2,0)</f>
        <v>#N/A</v>
      </c>
      <c r="F3689" s="360" t="str">
        <f>IF(B3689="","",TEXT(B3689,"[$-409]mmm"))</f>
        <v>Aug</v>
      </c>
      <c r="G3689" s="359" t="s">
        <v>47</v>
      </c>
      <c r="H3689" s="359" t="s">
        <v>518</v>
      </c>
      <c r="I3689" s="359" t="s">
        <v>2702</v>
      </c>
      <c r="J3689" s="361" t="s">
        <v>70</v>
      </c>
      <c r="K3689" s="362" t="s">
        <v>94</v>
      </c>
      <c r="L3689" s="362" t="s">
        <v>2167</v>
      </c>
      <c r="M3689" s="361" t="s">
        <v>2341</v>
      </c>
      <c r="N3689" s="436" t="s">
        <v>648</v>
      </c>
      <c r="O3689" s="359" t="s">
        <v>97</v>
      </c>
      <c r="P3689" s="363">
        <v>12</v>
      </c>
      <c r="Q3689" s="363">
        <v>5</v>
      </c>
      <c r="R3689" s="364">
        <v>8.0000000000000002E-3</v>
      </c>
      <c r="S3689" s="359" t="s">
        <v>40</v>
      </c>
      <c r="T3689" s="359" t="s">
        <v>56</v>
      </c>
      <c r="U3689" s="359" t="s">
        <v>57</v>
      </c>
      <c r="V3689" s="365">
        <v>12</v>
      </c>
      <c r="W3689" s="365">
        <v>12</v>
      </c>
      <c r="X3689" s="366"/>
      <c r="Y3689" s="367">
        <f>(W3689+X3689)-V3689</f>
        <v>0</v>
      </c>
      <c r="Z3689" s="368">
        <f>IF(Y3689&lt;0,((V3689*P3689)-((W3689+X3689)*P3689)),0)</f>
        <v>0</v>
      </c>
      <c r="AA3689" s="368">
        <f>Q3689*Z3689</f>
        <v>0</v>
      </c>
      <c r="AB3689" s="819">
        <v>7.4999999999999997E-3</v>
      </c>
      <c r="AC3689" s="365">
        <f>Z3689*AB3689</f>
        <v>0</v>
      </c>
      <c r="AD3689" s="949" t="s">
        <v>3109</v>
      </c>
      <c r="AE3689" s="210">
        <f>SUM(Q3689*R3689*Z3689)/1000</f>
        <v>0</v>
      </c>
      <c r="AF3689" s="210">
        <f>AE3689/0.54</f>
        <v>0</v>
      </c>
      <c r="AG3689" s="211">
        <f>MID(O3689,1,3)/1000</f>
        <v>0.14499999999999999</v>
      </c>
      <c r="AH3689" s="157">
        <f t="shared" si="1866"/>
        <v>0</v>
      </c>
      <c r="AI3689" s="152">
        <f>V3689*P3689</f>
        <v>144</v>
      </c>
      <c r="AK3689" s="156" t="s">
        <v>691</v>
      </c>
      <c r="AL3689" s="574" t="s">
        <v>690</v>
      </c>
      <c r="AM3689" s="198">
        <f>AG3689*Z3689</f>
        <v>0</v>
      </c>
      <c r="AN3689" s="199">
        <f>B3689</f>
        <v>46254</v>
      </c>
      <c r="AO3689" s="159" t="s">
        <v>692</v>
      </c>
      <c r="AP3689" s="783" t="s">
        <v>628</v>
      </c>
      <c r="AQ3689" s="782">
        <v>12071839</v>
      </c>
      <c r="AR3689" s="782">
        <v>12047514</v>
      </c>
      <c r="AS3689" s="782">
        <v>12047515</v>
      </c>
      <c r="AT3689" s="782"/>
      <c r="AU3689" s="781"/>
      <c r="AV3689" s="782">
        <v>12080617</v>
      </c>
      <c r="AW3689" s="782"/>
      <c r="AX3689" s="782"/>
      <c r="AY3689" s="782">
        <v>12094231</v>
      </c>
      <c r="AZ3689" s="782">
        <v>1209232</v>
      </c>
      <c r="BA3689" s="781"/>
      <c r="BB3689" s="209"/>
    </row>
    <row r="3690" spans="1:54" ht="25" customHeight="1">
      <c r="B3690" s="357">
        <v>46254</v>
      </c>
      <c r="C3690" s="776" t="s">
        <v>3075</v>
      </c>
      <c r="D3690" s="185">
        <f>IF(B3690="","",YEAR(B3690))</f>
        <v>2026</v>
      </c>
      <c r="E3690" s="358" t="e">
        <f>VLOOKUP($B3690,Week!$A$1:$C$1462,2,0)</f>
        <v>#N/A</v>
      </c>
      <c r="F3690" s="360" t="str">
        <f>IF(B3690="","",TEXT(B3690,"[$-409]mmm"))</f>
        <v>Aug</v>
      </c>
      <c r="G3690" s="359" t="s">
        <v>47</v>
      </c>
      <c r="H3690" s="359" t="s">
        <v>518</v>
      </c>
      <c r="I3690" s="359" t="s">
        <v>2702</v>
      </c>
      <c r="J3690" s="361" t="s">
        <v>70</v>
      </c>
      <c r="K3690" s="362" t="s">
        <v>94</v>
      </c>
      <c r="L3690" s="300" t="s">
        <v>2167</v>
      </c>
      <c r="M3690" s="361" t="s">
        <v>2341</v>
      </c>
      <c r="N3690" s="359" t="s">
        <v>589</v>
      </c>
      <c r="O3690" s="359" t="s">
        <v>97</v>
      </c>
      <c r="P3690" s="363">
        <v>12</v>
      </c>
      <c r="Q3690" s="363">
        <v>5</v>
      </c>
      <c r="R3690" s="364">
        <v>8.0000000000000002E-3</v>
      </c>
      <c r="S3690" s="359" t="s">
        <v>40</v>
      </c>
      <c r="T3690" s="359" t="s">
        <v>56</v>
      </c>
      <c r="U3690" s="359" t="s">
        <v>57</v>
      </c>
      <c r="V3690" s="365">
        <f>2500+61</f>
        <v>2561</v>
      </c>
      <c r="W3690" s="365">
        <f>44+1+2455+61</f>
        <v>2561</v>
      </c>
      <c r="X3690" s="366"/>
      <c r="Y3690" s="367">
        <f>(W3690+X3690)-V3690</f>
        <v>0</v>
      </c>
      <c r="Z3690" s="368">
        <f>IF(Y3690&lt;0,((V3690*P3690)-((W3690+X3690)*P3690)),0)</f>
        <v>0</v>
      </c>
      <c r="AA3690" s="368">
        <f>Q3690*Z3690</f>
        <v>0</v>
      </c>
      <c r="AB3690" s="819">
        <v>7.4999999999999997E-3</v>
      </c>
      <c r="AC3690" s="365">
        <f>Z3690*AB3690</f>
        <v>0</v>
      </c>
      <c r="AD3690" s="949" t="s">
        <v>3109</v>
      </c>
      <c r="AE3690" s="210">
        <f>SUM(Q3690*R3690*Z3690)/1000</f>
        <v>0</v>
      </c>
      <c r="AF3690" s="210">
        <f>AE3690/0.54</f>
        <v>0</v>
      </c>
      <c r="AG3690" s="211">
        <f>MID(O3690,1,3)/1000</f>
        <v>0.14499999999999999</v>
      </c>
      <c r="AH3690" s="157">
        <f t="shared" si="1866"/>
        <v>0</v>
      </c>
      <c r="AI3690" s="152">
        <f>V3690*P3690</f>
        <v>30732</v>
      </c>
      <c r="AK3690" s="156" t="s">
        <v>691</v>
      </c>
      <c r="AL3690" s="574" t="s">
        <v>690</v>
      </c>
      <c r="AM3690" s="198">
        <f>AG3690*Z3690</f>
        <v>0</v>
      </c>
      <c r="AN3690" s="199">
        <f>B3690</f>
        <v>46254</v>
      </c>
      <c r="AO3690" s="159" t="s">
        <v>692</v>
      </c>
      <c r="AP3690" s="783" t="s">
        <v>628</v>
      </c>
      <c r="AQ3690" s="782">
        <v>12071839</v>
      </c>
      <c r="AR3690" s="782">
        <v>12047514</v>
      </c>
      <c r="AS3690" s="782">
        <v>12047515</v>
      </c>
      <c r="AT3690" s="782"/>
      <c r="AU3690" s="781"/>
      <c r="AV3690" s="782">
        <v>12080617</v>
      </c>
      <c r="AW3690" s="782"/>
      <c r="AX3690" s="782"/>
      <c r="AY3690" s="782">
        <v>12094231</v>
      </c>
      <c r="AZ3690" s="782">
        <v>1209232</v>
      </c>
      <c r="BA3690" s="781"/>
      <c r="BB3690" s="209">
        <v>23053185</v>
      </c>
    </row>
    <row r="3691" spans="1:54" ht="25" customHeight="1">
      <c r="B3691" s="424">
        <v>46254</v>
      </c>
      <c r="C3691" s="647" t="s">
        <v>3075</v>
      </c>
      <c r="D3691" s="185">
        <f>IF(B3691="","",YEAR(B3691))</f>
        <v>2026</v>
      </c>
      <c r="E3691" s="425" t="e">
        <f>VLOOKUP($B3691,Week!$A$1:$C$1462,2,0)</f>
        <v>#N/A</v>
      </c>
      <c r="F3691" s="426" t="str">
        <f>IF(B3691="","",TEXT(B3691,"[$-409]mmm"))</f>
        <v>Aug</v>
      </c>
      <c r="G3691" s="427" t="s">
        <v>47</v>
      </c>
      <c r="H3691" s="427" t="s">
        <v>518</v>
      </c>
      <c r="I3691" s="427" t="s">
        <v>2702</v>
      </c>
      <c r="J3691" s="428" t="s">
        <v>70</v>
      </c>
      <c r="K3691" s="429" t="s">
        <v>94</v>
      </c>
      <c r="L3691" s="300" t="s">
        <v>2167</v>
      </c>
      <c r="M3691" s="428" t="s">
        <v>2342</v>
      </c>
      <c r="N3691" s="427" t="s">
        <v>587</v>
      </c>
      <c r="O3691" s="427" t="s">
        <v>3198</v>
      </c>
      <c r="P3691" s="430">
        <v>18</v>
      </c>
      <c r="Q3691" s="430">
        <v>5</v>
      </c>
      <c r="R3691" s="431">
        <v>8.0000000000000002E-3</v>
      </c>
      <c r="S3691" s="427" t="s">
        <v>40</v>
      </c>
      <c r="T3691" s="427" t="s">
        <v>56</v>
      </c>
      <c r="U3691" s="427" t="s">
        <v>89</v>
      </c>
      <c r="V3691" s="432">
        <f>2000</f>
        <v>2000</v>
      </c>
      <c r="W3691" s="432"/>
      <c r="X3691" s="433">
        <f>((317+6)/6)+(175155/90)</f>
        <v>2000</v>
      </c>
      <c r="Y3691" s="434">
        <f>(W3691+X3691)-V3691</f>
        <v>0</v>
      </c>
      <c r="Z3691" s="435">
        <f>IF(Y3691&lt;0,((V3691*P3691)-((W3691+X3691)*P3691)),0)</f>
        <v>0</v>
      </c>
      <c r="AA3691" s="435">
        <f>Q3691*Z3691</f>
        <v>0</v>
      </c>
      <c r="AB3691" s="826">
        <v>1</v>
      </c>
      <c r="AC3691" s="432">
        <f>Z3691*AB3691</f>
        <v>0</v>
      </c>
      <c r="AD3691" s="949" t="s">
        <v>3109</v>
      </c>
      <c r="AE3691" s="210">
        <f>SUM(Q3691*R3691*Z3691)/1000</f>
        <v>0</v>
      </c>
      <c r="AF3691" s="210">
        <f>AE3691/0.54</f>
        <v>0</v>
      </c>
      <c r="AG3691" s="211">
        <f>(MID(O3691,1,2)/1000)/3</f>
        <v>0.03</v>
      </c>
      <c r="AH3691" s="157">
        <f t="shared" si="1866"/>
        <v>0</v>
      </c>
      <c r="AI3691" s="152">
        <f>V3691*P3691</f>
        <v>36000</v>
      </c>
      <c r="AK3691" s="156" t="s">
        <v>691</v>
      </c>
      <c r="AL3691" s="212" t="s">
        <v>690</v>
      </c>
      <c r="AM3691" s="198">
        <f>AG3691*Z3691</f>
        <v>0</v>
      </c>
      <c r="AN3691" s="199">
        <f>B3691</f>
        <v>46254</v>
      </c>
      <c r="AO3691" s="159" t="s">
        <v>692</v>
      </c>
      <c r="AP3691" s="783" t="s">
        <v>628</v>
      </c>
      <c r="AQ3691" s="782"/>
      <c r="AR3691" s="782"/>
      <c r="AS3691" s="782"/>
      <c r="AT3691" s="782"/>
      <c r="AU3691" s="781"/>
      <c r="AV3691" s="782">
        <v>12080791</v>
      </c>
      <c r="AW3691" s="782" t="s">
        <v>641</v>
      </c>
      <c r="AX3691" s="782" t="s">
        <v>533</v>
      </c>
      <c r="AY3691" s="782"/>
      <c r="AZ3691" s="782"/>
      <c r="BA3691" s="781"/>
      <c r="BB3691" s="209">
        <v>23053184</v>
      </c>
    </row>
    <row r="3692" spans="1:54" ht="25" customHeight="1">
      <c r="A3692" s="142" t="s">
        <v>120</v>
      </c>
      <c r="B3692" s="271">
        <v>46255</v>
      </c>
      <c r="C3692" s="272">
        <v>46279</v>
      </c>
      <c r="D3692" s="185">
        <f t="shared" si="1850"/>
        <v>2026</v>
      </c>
      <c r="E3692" s="272" t="e">
        <f>VLOOKUP($B3692,Week!$A$1:$C$1462,2,0)</f>
        <v>#N/A</v>
      </c>
      <c r="F3692" s="273" t="str">
        <f t="shared" si="1851"/>
        <v>Aug</v>
      </c>
      <c r="G3692" s="274" t="s">
        <v>3053</v>
      </c>
      <c r="H3692" s="274" t="s">
        <v>500</v>
      </c>
      <c r="I3692" s="274" t="s">
        <v>2772</v>
      </c>
      <c r="J3692" s="275" t="s">
        <v>285</v>
      </c>
      <c r="K3692" s="276" t="s">
        <v>153</v>
      </c>
      <c r="L3692" s="390" t="s">
        <v>2166</v>
      </c>
      <c r="M3692" s="275" t="s">
        <v>86</v>
      </c>
      <c r="N3692" s="274" t="s">
        <v>547</v>
      </c>
      <c r="O3692" s="274" t="s">
        <v>548</v>
      </c>
      <c r="P3692" s="277">
        <v>10</v>
      </c>
      <c r="Q3692" s="277">
        <v>50</v>
      </c>
      <c r="R3692" s="278">
        <v>6.8100000000000001E-3</v>
      </c>
      <c r="S3692" s="274" t="s">
        <v>76</v>
      </c>
      <c r="T3692" s="274" t="s">
        <v>56</v>
      </c>
      <c r="U3692" s="274" t="s">
        <v>89</v>
      </c>
      <c r="V3692" s="279">
        <f>2056-568-676-668</f>
        <v>144</v>
      </c>
      <c r="W3692" s="279">
        <v>144</v>
      </c>
      <c r="X3692" s="280"/>
      <c r="Y3692" s="281">
        <f t="shared" si="1867"/>
        <v>0</v>
      </c>
      <c r="Z3692" s="282">
        <f t="shared" si="1868"/>
        <v>0</v>
      </c>
      <c r="AA3692" s="282">
        <f t="shared" si="1855"/>
        <v>0</v>
      </c>
      <c r="AB3692" s="812">
        <v>6</v>
      </c>
      <c r="AC3692" s="279">
        <f t="shared" si="1869"/>
        <v>0</v>
      </c>
      <c r="AD3692" s="209"/>
      <c r="AE3692" s="210">
        <f t="shared" si="1870"/>
        <v>0</v>
      </c>
      <c r="AF3692" s="210">
        <f t="shared" si="1871"/>
        <v>0</v>
      </c>
      <c r="AG3692" s="211">
        <f t="shared" si="1872"/>
        <v>0.63</v>
      </c>
      <c r="AH3692" s="157">
        <f t="shared" ref="AH3692:AH3693" si="1874">(Z3692*AG3692)/1000</f>
        <v>0</v>
      </c>
      <c r="AI3692" s="152">
        <f t="shared" si="1873"/>
        <v>1440</v>
      </c>
      <c r="AK3692" s="156" t="s">
        <v>691</v>
      </c>
      <c r="AL3692" s="156" t="s">
        <v>689</v>
      </c>
      <c r="AM3692" s="198">
        <f t="shared" si="1856"/>
        <v>0</v>
      </c>
      <c r="AN3692" s="199">
        <f t="shared" si="1857"/>
        <v>46255</v>
      </c>
      <c r="AO3692" s="159" t="s">
        <v>692</v>
      </c>
      <c r="AP3692" s="783" t="s">
        <v>620</v>
      </c>
      <c r="AQ3692" s="796" t="s">
        <v>422</v>
      </c>
      <c r="AR3692" s="782">
        <v>12055234</v>
      </c>
      <c r="AS3692" s="781"/>
      <c r="AT3692" s="782"/>
      <c r="AU3692" s="782"/>
      <c r="AV3692" s="782">
        <v>12062809</v>
      </c>
      <c r="AW3692" s="782"/>
      <c r="AX3692" s="782" t="s">
        <v>619</v>
      </c>
      <c r="AY3692" s="781"/>
      <c r="AZ3692" s="781"/>
      <c r="BA3692" s="781"/>
      <c r="BB3692" s="209">
        <v>23053184</v>
      </c>
    </row>
    <row r="3693" spans="1:54" ht="25" customHeight="1">
      <c r="A3693" s="142" t="s">
        <v>120</v>
      </c>
      <c r="B3693" s="571">
        <v>46255</v>
      </c>
      <c r="C3693" s="845" t="s">
        <v>3075</v>
      </c>
      <c r="D3693" s="185">
        <f t="shared" si="1850"/>
        <v>2026</v>
      </c>
      <c r="E3693" s="236" t="e">
        <f>VLOOKUP($B3693,Week!$A$1:$C$1462,2,0)</f>
        <v>#N/A</v>
      </c>
      <c r="F3693" s="237" t="str">
        <f t="shared" si="1851"/>
        <v>Aug</v>
      </c>
      <c r="G3693" s="236" t="s">
        <v>47</v>
      </c>
      <c r="H3693" s="236" t="s">
        <v>47</v>
      </c>
      <c r="I3693" s="236" t="s">
        <v>2702</v>
      </c>
      <c r="J3693" s="238" t="s">
        <v>70</v>
      </c>
      <c r="K3693" s="239" t="s">
        <v>153</v>
      </c>
      <c r="L3693" s="390" t="s">
        <v>2166</v>
      </c>
      <c r="M3693" s="238" t="s">
        <v>154</v>
      </c>
      <c r="N3693" s="236" t="s">
        <v>155</v>
      </c>
      <c r="O3693" s="236" t="s">
        <v>156</v>
      </c>
      <c r="P3693" s="240">
        <v>8</v>
      </c>
      <c r="Q3693" s="240">
        <v>50</v>
      </c>
      <c r="R3693" s="241">
        <v>8.1300000000000001E-3</v>
      </c>
      <c r="S3693" s="236" t="s">
        <v>40</v>
      </c>
      <c r="T3693" s="236" t="s">
        <v>56</v>
      </c>
      <c r="U3693" s="236"/>
      <c r="V3693" s="242">
        <f>200</f>
        <v>200</v>
      </c>
      <c r="W3693" s="242">
        <f>1+199</f>
        <v>200</v>
      </c>
      <c r="X3693" s="243"/>
      <c r="Y3693" s="244">
        <f t="shared" si="1867"/>
        <v>0</v>
      </c>
      <c r="Z3693" s="245">
        <f t="shared" si="1868"/>
        <v>0</v>
      </c>
      <c r="AA3693" s="242">
        <f t="shared" si="1855"/>
        <v>0</v>
      </c>
      <c r="AB3693" s="809"/>
      <c r="AC3693" s="242">
        <f t="shared" si="1869"/>
        <v>0</v>
      </c>
      <c r="AD3693" s="443"/>
      <c r="AE3693" s="210">
        <f t="shared" si="1870"/>
        <v>0</v>
      </c>
      <c r="AF3693" s="220">
        <f t="shared" si="1871"/>
        <v>0</v>
      </c>
      <c r="AG3693" s="211">
        <f t="shared" si="1872"/>
        <v>0.6</v>
      </c>
      <c r="AH3693" s="157">
        <f t="shared" si="1874"/>
        <v>0</v>
      </c>
      <c r="AI3693" s="152">
        <f t="shared" si="1873"/>
        <v>1600</v>
      </c>
      <c r="AK3693" s="156" t="s">
        <v>691</v>
      </c>
      <c r="AL3693" s="156" t="s">
        <v>689</v>
      </c>
      <c r="AM3693" s="198">
        <f t="shared" si="1856"/>
        <v>0</v>
      </c>
      <c r="AN3693" s="199">
        <f t="shared" si="1857"/>
        <v>46255</v>
      </c>
      <c r="AO3693" s="159" t="s">
        <v>692</v>
      </c>
      <c r="AP3693" s="781"/>
      <c r="AQ3693" s="781"/>
      <c r="AR3693" s="783" t="s">
        <v>529</v>
      </c>
      <c r="AS3693" s="781"/>
      <c r="AT3693" s="783"/>
      <c r="AU3693" s="783"/>
      <c r="AV3693" s="783" t="s">
        <v>530</v>
      </c>
      <c r="AW3693" s="781"/>
      <c r="AX3693" s="781" t="s">
        <v>93</v>
      </c>
      <c r="AY3693" s="781"/>
      <c r="AZ3693" s="782"/>
      <c r="BA3693" s="781"/>
    </row>
    <row r="3694" spans="1:54" ht="24.75" customHeight="1">
      <c r="B3694" s="602">
        <v>46255</v>
      </c>
      <c r="C3694" s="861" t="s">
        <v>3075</v>
      </c>
      <c r="D3694" s="604">
        <f t="shared" ref="D3694:D3698" si="1875">IF(B3694="","",YEAR(B3694))</f>
        <v>2026</v>
      </c>
      <c r="E3694" s="603" t="e">
        <f>VLOOKUP($B3694,Week!$A$1:$C$1462,2,0)</f>
        <v>#N/A</v>
      </c>
      <c r="F3694" s="605" t="str">
        <f t="shared" ref="F3694:F3698" si="1876">IF(B3694="","",TEXT(B3694,"[$-409]mmm"))</f>
        <v>Aug</v>
      </c>
      <c r="G3694" s="938" t="s">
        <v>47</v>
      </c>
      <c r="H3694" s="604" t="s">
        <v>260</v>
      </c>
      <c r="I3694" s="604" t="s">
        <v>2702</v>
      </c>
      <c r="J3694" s="939" t="s">
        <v>2240</v>
      </c>
      <c r="K3694" s="607" t="s">
        <v>94</v>
      </c>
      <c r="L3694" s="607" t="s">
        <v>2167</v>
      </c>
      <c r="M3694" s="606" t="s">
        <v>2338</v>
      </c>
      <c r="N3694" s="604" t="s">
        <v>2997</v>
      </c>
      <c r="O3694" s="604" t="s">
        <v>54</v>
      </c>
      <c r="P3694" s="608">
        <v>24</v>
      </c>
      <c r="Q3694" s="608">
        <v>5</v>
      </c>
      <c r="R3694" s="609">
        <v>6.1999999999999998E-3</v>
      </c>
      <c r="S3694" s="604" t="s">
        <v>352</v>
      </c>
      <c r="T3694" s="604" t="s">
        <v>56</v>
      </c>
      <c r="U3694" s="604" t="s">
        <v>57</v>
      </c>
      <c r="V3694" s="610">
        <v>2958</v>
      </c>
      <c r="W3694" s="610">
        <f>2958</f>
        <v>2958</v>
      </c>
      <c r="X3694" s="611"/>
      <c r="Y3694" s="612">
        <f>(W3694+X3694)-V3694</f>
        <v>0</v>
      </c>
      <c r="Z3694" s="613">
        <f>IF(Y3694&lt;0,((V3694*P3694)-((W3694+X3694)*P3694)),0)</f>
        <v>0</v>
      </c>
      <c r="AA3694" s="613">
        <f>Q3694*Z3694</f>
        <v>0</v>
      </c>
      <c r="AB3694" s="836">
        <v>7.4999999999999997E-3</v>
      </c>
      <c r="AC3694" s="610">
        <f>Z3694*AB3694</f>
        <v>0</v>
      </c>
      <c r="AD3694" s="443"/>
      <c r="AE3694" s="210">
        <f>SUM(Q3694*R3694*Z3694)/1000</f>
        <v>0</v>
      </c>
      <c r="AF3694" s="210">
        <f>AE3694/0.54</f>
        <v>0</v>
      </c>
      <c r="AG3694" s="211">
        <f>MID(O3694,1,3)/1000</f>
        <v>0.13500000000000001</v>
      </c>
      <c r="AH3694" s="157">
        <f>(Z3694*AG3694)/1000</f>
        <v>0</v>
      </c>
      <c r="AI3694" s="152">
        <f>V3694*P3694</f>
        <v>70992</v>
      </c>
      <c r="AK3694" s="156" t="s">
        <v>691</v>
      </c>
      <c r="AL3694" s="574" t="s">
        <v>690</v>
      </c>
      <c r="AM3694" s="198">
        <f>AG3694*Z3694</f>
        <v>0</v>
      </c>
      <c r="AN3694" s="199">
        <f>B3694</f>
        <v>46255</v>
      </c>
      <c r="AO3694" s="159" t="s">
        <v>692</v>
      </c>
      <c r="AP3694" s="783" t="s">
        <v>622</v>
      </c>
      <c r="AQ3694" s="782">
        <v>12071839</v>
      </c>
      <c r="AR3694" s="782">
        <v>12099098</v>
      </c>
      <c r="AS3694" s="782">
        <v>12068233</v>
      </c>
      <c r="AT3694" s="781"/>
      <c r="AU3694" s="781"/>
      <c r="AV3694" s="782">
        <v>12099466</v>
      </c>
      <c r="AW3694" s="781"/>
      <c r="AX3694" s="781"/>
      <c r="AY3694" s="782">
        <v>12099097</v>
      </c>
      <c r="AZ3694" s="782"/>
      <c r="BA3694" s="781"/>
      <c r="BB3694" s="209">
        <v>23053184</v>
      </c>
    </row>
    <row r="3695" spans="1:54" ht="25" customHeight="1">
      <c r="B3695" s="345">
        <v>46256</v>
      </c>
      <c r="C3695" s="464">
        <v>46272</v>
      </c>
      <c r="D3695" s="185">
        <f>IF(B3695="","",YEAR(B3695))</f>
        <v>2026</v>
      </c>
      <c r="E3695" s="464" t="e">
        <f>VLOOKUP($B3695,Week!$A$1:$C$1462,2,0)</f>
        <v>#N/A</v>
      </c>
      <c r="F3695" s="465" t="str">
        <f>IF(B3695="","",TEXT(B3695,"[$-409]mmm"))</f>
        <v>Aug</v>
      </c>
      <c r="G3695" s="347" t="s">
        <v>3090</v>
      </c>
      <c r="H3695" s="347" t="s">
        <v>134</v>
      </c>
      <c r="I3695" s="347" t="s">
        <v>2772</v>
      </c>
      <c r="J3695" s="349" t="s">
        <v>2932</v>
      </c>
      <c r="K3695" s="350" t="s">
        <v>107</v>
      </c>
      <c r="L3695" s="300" t="s">
        <v>2167</v>
      </c>
      <c r="M3695" s="349" t="s">
        <v>136</v>
      </c>
      <c r="N3695" s="347" t="s">
        <v>137</v>
      </c>
      <c r="O3695" s="347" t="s">
        <v>138</v>
      </c>
      <c r="P3695" s="351">
        <v>24</v>
      </c>
      <c r="Q3695" s="351">
        <v>3</v>
      </c>
      <c r="R3695" s="352">
        <v>7.4999999999999997E-3</v>
      </c>
      <c r="S3695" s="347" t="s">
        <v>111</v>
      </c>
      <c r="T3695" s="347" t="s">
        <v>56</v>
      </c>
      <c r="U3695" s="347" t="s">
        <v>572</v>
      </c>
      <c r="V3695" s="353">
        <f>200</f>
        <v>200</v>
      </c>
      <c r="W3695" s="353">
        <f>1+199</f>
        <v>200</v>
      </c>
      <c r="X3695" s="354"/>
      <c r="Y3695" s="355">
        <f>(W3695+X3695)-V3695</f>
        <v>0</v>
      </c>
      <c r="Z3695" s="356">
        <f>IF(Y3695&lt;0,((V3695*P3695)-((W3695+X3695)*P3695)),0)</f>
        <v>0</v>
      </c>
      <c r="AA3695" s="356">
        <f>Q3695*Z3695</f>
        <v>0</v>
      </c>
      <c r="AB3695" s="818">
        <v>1</v>
      </c>
      <c r="AC3695" s="353">
        <f>Z3695*AB3695</f>
        <v>0</v>
      </c>
      <c r="AD3695" s="443"/>
      <c r="AE3695" s="210">
        <f>SUM(Q3695*R3695*Z3695)/1000</f>
        <v>0</v>
      </c>
      <c r="AF3695" s="210">
        <f>AE3695/0.54</f>
        <v>0</v>
      </c>
      <c r="AG3695" s="211">
        <f>MID(O3695,1,3)/1000</f>
        <v>0.219</v>
      </c>
      <c r="AH3695" s="157">
        <f>(Z3695*AG3695)/1000</f>
        <v>0</v>
      </c>
      <c r="AI3695" s="152">
        <f>V3695*P3695</f>
        <v>4800</v>
      </c>
      <c r="AK3695" s="156" t="s">
        <v>691</v>
      </c>
      <c r="AL3695" s="212" t="s">
        <v>690</v>
      </c>
      <c r="AM3695" s="198">
        <f>AG3695*Z3695</f>
        <v>0</v>
      </c>
      <c r="AN3695" s="199">
        <f>B3695</f>
        <v>46256</v>
      </c>
      <c r="AO3695" s="159" t="s">
        <v>692</v>
      </c>
      <c r="AP3695" s="783" t="s">
        <v>610</v>
      </c>
      <c r="AQ3695" s="796" t="s">
        <v>1500</v>
      </c>
      <c r="AR3695" s="782" t="s">
        <v>140</v>
      </c>
      <c r="AS3695" s="782" t="s">
        <v>141</v>
      </c>
      <c r="AT3695" s="782"/>
      <c r="AU3695" s="783" t="s">
        <v>568</v>
      </c>
      <c r="AV3695" s="796" t="s">
        <v>2983</v>
      </c>
      <c r="AW3695" s="796" t="s">
        <v>570</v>
      </c>
      <c r="AX3695" s="782"/>
      <c r="AY3695" s="782">
        <v>12095878</v>
      </c>
      <c r="AZ3695" s="782">
        <v>12095879</v>
      </c>
      <c r="BA3695" s="782">
        <v>12095880</v>
      </c>
    </row>
    <row r="3696" spans="1:54" ht="24.75" customHeight="1">
      <c r="B3696" s="320">
        <v>46256</v>
      </c>
      <c r="C3696" s="321">
        <v>46272</v>
      </c>
      <c r="D3696" s="185">
        <f>IF(B3696="","",YEAR(B3696))</f>
        <v>2026</v>
      </c>
      <c r="E3696" s="321" t="e">
        <f>VLOOKUP($B3696,Week!$A$1:$C$1462,2,0)</f>
        <v>#N/A</v>
      </c>
      <c r="F3696" s="322" t="str">
        <f>IF(B3696="","",TEXT(B3696,"[$-409]mmm"))</f>
        <v>Aug</v>
      </c>
      <c r="G3696" s="323" t="s">
        <v>3147</v>
      </c>
      <c r="H3696" s="323" t="s">
        <v>675</v>
      </c>
      <c r="I3696" s="323" t="s">
        <v>2772</v>
      </c>
      <c r="J3696" s="324" t="s">
        <v>2906</v>
      </c>
      <c r="K3696" s="325" t="s">
        <v>107</v>
      </c>
      <c r="L3696" s="300" t="s">
        <v>2167</v>
      </c>
      <c r="M3696" s="324" t="s">
        <v>313</v>
      </c>
      <c r="N3696" s="596" t="s">
        <v>710</v>
      </c>
      <c r="O3696" s="323" t="s">
        <v>592</v>
      </c>
      <c r="P3696" s="326">
        <v>8</v>
      </c>
      <c r="Q3696" s="326">
        <v>4</v>
      </c>
      <c r="R3696" s="327">
        <v>7.4999999999999997E-3</v>
      </c>
      <c r="S3696" s="323" t="s">
        <v>111</v>
      </c>
      <c r="T3696" s="323" t="s">
        <v>112</v>
      </c>
      <c r="U3696" s="323" t="s">
        <v>57</v>
      </c>
      <c r="V3696" s="328">
        <f>756</f>
        <v>756</v>
      </c>
      <c r="W3696" s="328"/>
      <c r="X3696" s="329">
        <f>(423+6000)/8</f>
        <v>802.875</v>
      </c>
      <c r="Y3696" s="330">
        <f t="shared" ref="Y3696" si="1877">(W3696+X3696)-V3696</f>
        <v>46.875</v>
      </c>
      <c r="Z3696" s="331">
        <f t="shared" ref="Z3696" si="1878">IF(Y3696&lt;0,((V3696*P3696)-((W3696+X3696)*P3696)),0)</f>
        <v>0</v>
      </c>
      <c r="AA3696" s="331">
        <f>Q3696*Z3696</f>
        <v>0</v>
      </c>
      <c r="AB3696" s="816">
        <v>7.4999999999999997E-3</v>
      </c>
      <c r="AC3696" s="328">
        <f t="shared" ref="AC3696" si="1879">Z3696*AB3696</f>
        <v>0</v>
      </c>
      <c r="AD3696" s="443"/>
      <c r="AE3696" s="210">
        <f t="shared" ref="AE3696" si="1880">SUM(Q3696*R3696*Z3696)/1000</f>
        <v>0</v>
      </c>
      <c r="AF3696" s="210">
        <f t="shared" ref="AF3696" si="1881">AE3696/0.54</f>
        <v>0</v>
      </c>
      <c r="AG3696" s="211">
        <f t="shared" ref="AG3696" si="1882">MID(O3696,1,3)/1000</f>
        <v>0.30499999999999999</v>
      </c>
      <c r="AH3696" s="157">
        <f t="shared" ref="AH3696" si="1883">(Z3696*AG3696)/1000</f>
        <v>0</v>
      </c>
      <c r="AI3696" s="152">
        <f t="shared" ref="AI3696" si="1884">V3696*P3696</f>
        <v>6048</v>
      </c>
      <c r="AK3696" s="156" t="s">
        <v>691</v>
      </c>
      <c r="AL3696" s="212" t="s">
        <v>690</v>
      </c>
      <c r="AM3696" s="198">
        <f>AG3696*Z3696</f>
        <v>0</v>
      </c>
      <c r="AN3696" s="199">
        <f>B3696</f>
        <v>46256</v>
      </c>
      <c r="AO3696" s="159" t="s">
        <v>692</v>
      </c>
      <c r="AP3696" s="783" t="s">
        <v>643</v>
      </c>
      <c r="AQ3696" s="782">
        <v>12063755</v>
      </c>
      <c r="AR3696" s="782">
        <v>12061353</v>
      </c>
      <c r="AS3696" s="782">
        <v>12061354</v>
      </c>
      <c r="AT3696" s="782">
        <v>12089987</v>
      </c>
      <c r="AU3696" s="781"/>
      <c r="AV3696" s="782">
        <v>12089986</v>
      </c>
      <c r="AW3696" s="782"/>
      <c r="AX3696" s="782"/>
      <c r="AY3696" s="781" t="s">
        <v>2713</v>
      </c>
      <c r="AZ3696" s="781" t="s">
        <v>2714</v>
      </c>
      <c r="BA3696" s="781"/>
      <c r="BB3696" s="209">
        <v>23053185</v>
      </c>
    </row>
    <row r="3697" spans="1:54" ht="24.75" customHeight="1">
      <c r="B3697" s="320">
        <v>46256</v>
      </c>
      <c r="C3697" s="321">
        <v>46281</v>
      </c>
      <c r="D3697" s="185">
        <f t="shared" si="1875"/>
        <v>2026</v>
      </c>
      <c r="E3697" s="321" t="e">
        <f>VLOOKUP($B3697,Week!$A$1:$C$1462,2,0)</f>
        <v>#N/A</v>
      </c>
      <c r="F3697" s="322" t="str">
        <f t="shared" si="1876"/>
        <v>Aug</v>
      </c>
      <c r="G3697" s="323" t="s">
        <v>3160</v>
      </c>
      <c r="H3697" s="323" t="s">
        <v>311</v>
      </c>
      <c r="I3697" s="323" t="s">
        <v>2772</v>
      </c>
      <c r="J3697" s="324" t="s">
        <v>738</v>
      </c>
      <c r="K3697" s="325" t="s">
        <v>107</v>
      </c>
      <c r="L3697" s="300" t="s">
        <v>2167</v>
      </c>
      <c r="M3697" s="324" t="s">
        <v>313</v>
      </c>
      <c r="N3697" s="323" t="s">
        <v>591</v>
      </c>
      <c r="O3697" s="323" t="s">
        <v>592</v>
      </c>
      <c r="P3697" s="326">
        <v>8</v>
      </c>
      <c r="Q3697" s="326">
        <v>4</v>
      </c>
      <c r="R3697" s="327">
        <v>7.4999999999999997E-3</v>
      </c>
      <c r="S3697" s="323" t="s">
        <v>111</v>
      </c>
      <c r="T3697" s="323" t="s">
        <v>112</v>
      </c>
      <c r="U3697" s="323" t="s">
        <v>57</v>
      </c>
      <c r="V3697" s="328">
        <f>856</f>
        <v>856</v>
      </c>
      <c r="W3697" s="328"/>
      <c r="X3697" s="329">
        <f>(6851)/8</f>
        <v>856.375</v>
      </c>
      <c r="Y3697" s="330">
        <f t="shared" ref="Y3697" si="1885">(W3697+X3697)-V3697</f>
        <v>0.375</v>
      </c>
      <c r="Z3697" s="331">
        <f t="shared" ref="Z3697" si="1886">IF(Y3697&lt;0,((V3697*P3697)-((W3697+X3697)*P3697)),0)</f>
        <v>0</v>
      </c>
      <c r="AA3697" s="331">
        <f t="shared" ref="AA3697" si="1887">Q3697*Z3697</f>
        <v>0</v>
      </c>
      <c r="AB3697" s="816">
        <v>7.4999999999999997E-3</v>
      </c>
      <c r="AC3697" s="328">
        <f t="shared" ref="AC3697" si="1888">Z3697*AB3697</f>
        <v>0</v>
      </c>
      <c r="AD3697" s="443"/>
      <c r="AE3697" s="210">
        <f t="shared" ref="AE3697" si="1889">SUM(Q3697*R3697*Z3697)/1000</f>
        <v>0</v>
      </c>
      <c r="AF3697" s="210">
        <f t="shared" ref="AF3697" si="1890">AE3697/0.54</f>
        <v>0</v>
      </c>
      <c r="AG3697" s="211">
        <f t="shared" ref="AG3697" si="1891">MID(O3697,1,3)/1000</f>
        <v>0.30499999999999999</v>
      </c>
      <c r="AH3697" s="157">
        <f t="shared" ref="AH3697" si="1892">(Z3697*AG3697)/1000</f>
        <v>0</v>
      </c>
      <c r="AI3697" s="152">
        <f t="shared" ref="AI3697" si="1893">V3697*P3697</f>
        <v>6848</v>
      </c>
      <c r="AK3697" s="156" t="s">
        <v>691</v>
      </c>
      <c r="AL3697" s="212" t="s">
        <v>690</v>
      </c>
      <c r="AM3697" s="198">
        <f t="shared" ref="AM3697" si="1894">AG3697*Z3697</f>
        <v>0</v>
      </c>
      <c r="AN3697" s="199">
        <f t="shared" ref="AN3697" si="1895">B3697</f>
        <v>46256</v>
      </c>
      <c r="AO3697" s="159" t="s">
        <v>692</v>
      </c>
      <c r="AP3697" s="783" t="s">
        <v>643</v>
      </c>
      <c r="AQ3697" s="782">
        <v>12063755</v>
      </c>
      <c r="AR3697" s="782">
        <v>12061353</v>
      </c>
      <c r="AS3697" s="782">
        <v>12061354</v>
      </c>
      <c r="AT3697" s="782">
        <v>12097462</v>
      </c>
      <c r="AU3697" s="781"/>
      <c r="AV3697" s="782">
        <v>12097463</v>
      </c>
      <c r="AW3697" s="782"/>
      <c r="AX3697" s="782"/>
      <c r="AY3697" s="782"/>
      <c r="AZ3697" s="782"/>
      <c r="BA3697" s="781"/>
      <c r="BB3697" s="209">
        <v>23053185</v>
      </c>
    </row>
    <row r="3698" spans="1:54" ht="24.75" customHeight="1">
      <c r="B3698" s="320">
        <v>46256</v>
      </c>
      <c r="C3698" s="321">
        <v>46272</v>
      </c>
      <c r="D3698" s="185">
        <f t="shared" si="1875"/>
        <v>2026</v>
      </c>
      <c r="E3698" s="321" t="e">
        <f>VLOOKUP($B3698,Week!$A$1:$C$1462,2,0)</f>
        <v>#N/A</v>
      </c>
      <c r="F3698" s="322" t="str">
        <f t="shared" si="1876"/>
        <v>Aug</v>
      </c>
      <c r="G3698" s="323" t="s">
        <v>3000</v>
      </c>
      <c r="H3698" s="323" t="s">
        <v>311</v>
      </c>
      <c r="I3698" s="323" t="s">
        <v>2772</v>
      </c>
      <c r="J3698" s="324" t="s">
        <v>2913</v>
      </c>
      <c r="K3698" s="325" t="s">
        <v>107</v>
      </c>
      <c r="L3698" s="300" t="s">
        <v>2167</v>
      </c>
      <c r="M3698" s="324" t="s">
        <v>313</v>
      </c>
      <c r="N3698" s="596" t="s">
        <v>2853</v>
      </c>
      <c r="O3698" s="323" t="s">
        <v>2747</v>
      </c>
      <c r="P3698" s="326">
        <v>5</v>
      </c>
      <c r="Q3698" s="326">
        <v>4</v>
      </c>
      <c r="R3698" s="327">
        <v>7.4999999999999997E-3</v>
      </c>
      <c r="S3698" s="323" t="s">
        <v>111</v>
      </c>
      <c r="T3698" s="323" t="s">
        <v>112</v>
      </c>
      <c r="U3698" s="323" t="s">
        <v>57</v>
      </c>
      <c r="V3698" s="328">
        <f>5000+76</f>
        <v>5076</v>
      </c>
      <c r="W3698" s="328"/>
      <c r="X3698" s="329">
        <f>(873+24507)/5</f>
        <v>5076</v>
      </c>
      <c r="Y3698" s="330">
        <f t="shared" ref="Y3698" si="1896">(W3698+X3698)-V3698</f>
        <v>0</v>
      </c>
      <c r="Z3698" s="331">
        <f t="shared" ref="Z3698" si="1897">IF(Y3698&lt;0,((V3698*P3698)-((W3698+X3698)*P3698)),0)</f>
        <v>0</v>
      </c>
      <c r="AA3698" s="331">
        <f t="shared" ref="AA3698" si="1898">Q3698*Z3698</f>
        <v>0</v>
      </c>
      <c r="AB3698" s="816">
        <v>7.4999999999999997E-3</v>
      </c>
      <c r="AC3698" s="328">
        <f t="shared" ref="AC3698" si="1899">Z3698*AB3698</f>
        <v>0</v>
      </c>
      <c r="AD3698" s="307" t="s">
        <v>2354</v>
      </c>
      <c r="AE3698" s="210">
        <f t="shared" ref="AE3698" si="1900">SUM(Q3698*R3698*Z3698)/1000</f>
        <v>0</v>
      </c>
      <c r="AF3698" s="210">
        <f t="shared" ref="AF3698" si="1901">AE3698/0.54</f>
        <v>0</v>
      </c>
      <c r="AG3698" s="211">
        <f t="shared" ref="AG3698" si="1902">MID(O3698,1,3)/1000</f>
        <v>0.30499999999999999</v>
      </c>
      <c r="AH3698" s="157">
        <f t="shared" ref="AH3698" si="1903">(Z3698*AG3698)/1000</f>
        <v>0</v>
      </c>
      <c r="AI3698" s="152">
        <f t="shared" ref="AI3698" si="1904">V3698*P3698</f>
        <v>25380</v>
      </c>
      <c r="AK3698" s="156" t="s">
        <v>691</v>
      </c>
      <c r="AL3698" s="212" t="s">
        <v>690</v>
      </c>
      <c r="AM3698" s="198">
        <f t="shared" ref="AM3698" si="1905">AG3698*Z3698</f>
        <v>0</v>
      </c>
      <c r="AN3698" s="199">
        <f t="shared" ref="AN3698" si="1906">B3698</f>
        <v>46256</v>
      </c>
      <c r="AO3698" s="159" t="s">
        <v>692</v>
      </c>
      <c r="AP3698" s="783" t="s">
        <v>643</v>
      </c>
      <c r="AQ3698" s="782">
        <v>12063755</v>
      </c>
      <c r="AR3698" s="782">
        <v>12081257</v>
      </c>
      <c r="AS3698" s="782">
        <v>12081260</v>
      </c>
      <c r="AT3698" s="782">
        <v>12098252</v>
      </c>
      <c r="AU3698" s="781"/>
      <c r="AV3698" s="782">
        <v>12098251</v>
      </c>
      <c r="AW3698" s="782"/>
      <c r="AX3698" s="782"/>
      <c r="AY3698" s="781"/>
      <c r="AZ3698" s="781"/>
      <c r="BA3698" s="781"/>
      <c r="BB3698" s="209">
        <v>23053185</v>
      </c>
    </row>
    <row r="3699" spans="1:54" ht="25" customHeight="1">
      <c r="B3699" s="743">
        <v>46256</v>
      </c>
      <c r="C3699" s="744">
        <v>46266</v>
      </c>
      <c r="D3699" s="746">
        <f t="shared" ref="D3699:D3700" si="1907">IF(B3699="","",YEAR(B3699))</f>
        <v>2026</v>
      </c>
      <c r="E3699" s="744" t="e">
        <f>VLOOKUP($B3699,Week!$A$1:$C$1462,2,0)</f>
        <v>#N/A</v>
      </c>
      <c r="F3699" s="745" t="str">
        <f t="shared" ref="F3699:F3700" si="1908">IF(B3699="","",TEXT(B3699,"[$-409]mmm"))</f>
        <v>Aug</v>
      </c>
      <c r="G3699" s="746" t="s">
        <v>3103</v>
      </c>
      <c r="H3699" s="746" t="s">
        <v>600</v>
      </c>
      <c r="I3699" s="746" t="s">
        <v>2772</v>
      </c>
      <c r="J3699" s="747" t="s">
        <v>708</v>
      </c>
      <c r="K3699" s="748" t="s">
        <v>1652</v>
      </c>
      <c r="L3699" s="748" t="s">
        <v>2167</v>
      </c>
      <c r="M3699" s="747" t="s">
        <v>2928</v>
      </c>
      <c r="N3699" s="915" t="s">
        <v>2922</v>
      </c>
      <c r="O3699" s="746" t="s">
        <v>2917</v>
      </c>
      <c r="P3699" s="749">
        <v>12</v>
      </c>
      <c r="Q3699" s="749">
        <v>3</v>
      </c>
      <c r="R3699" s="849">
        <v>6.1999999999999998E-3</v>
      </c>
      <c r="S3699" s="746" t="s">
        <v>55</v>
      </c>
      <c r="T3699" s="746" t="s">
        <v>112</v>
      </c>
      <c r="U3699" s="860" t="s">
        <v>724</v>
      </c>
      <c r="V3699" s="750">
        <f>2660</f>
        <v>2660</v>
      </c>
      <c r="W3699" s="750"/>
      <c r="X3699" s="751">
        <f>(277+31643)/12</f>
        <v>2660</v>
      </c>
      <c r="Y3699" s="752">
        <f t="shared" ref="Y3699:Y3700" si="1909">(W3699+X3699)-V3699</f>
        <v>0</v>
      </c>
      <c r="Z3699" s="753">
        <f t="shared" ref="Z3699:Z3700" si="1910">IF(Y3699&lt;0,((V3699*P3699)-((W3699+X3699)*P3699)),0)</f>
        <v>0</v>
      </c>
      <c r="AA3699" s="753">
        <f t="shared" ref="AA3699:AA3700" si="1911">Q3699*Z3699</f>
        <v>0</v>
      </c>
      <c r="AB3699" s="838">
        <v>5.8823E-2</v>
      </c>
      <c r="AC3699" s="750">
        <f t="shared" ref="AC3699:AC3700" si="1912">Z3699*AB3699</f>
        <v>0</v>
      </c>
      <c r="AD3699" s="443" t="s">
        <v>2779</v>
      </c>
      <c r="AE3699" s="210">
        <f t="shared" ref="AE3699:AE3700" si="1913">SUM(Q3699*R3699*Z3699)/1000</f>
        <v>0</v>
      </c>
      <c r="AF3699" s="210">
        <f t="shared" ref="AF3699:AF3700" si="1914">AE3699/0.54</f>
        <v>0</v>
      </c>
      <c r="AG3699" s="211">
        <f t="shared" ref="AG3699:AG3700" si="1915">MID(O3699,1,3)/1000</f>
        <v>0.24</v>
      </c>
      <c r="AH3699" s="157">
        <v>0.26621999999999996</v>
      </c>
      <c r="AI3699" s="152">
        <f t="shared" ref="AI3699:AI3700" si="1916">V3699*P3699</f>
        <v>31920</v>
      </c>
      <c r="AK3699" s="156" t="s">
        <v>691</v>
      </c>
      <c r="AL3699" s="574" t="s">
        <v>690</v>
      </c>
      <c r="AM3699" s="198">
        <f t="shared" ref="AM3699:AM3700" si="1917">AG3699*Z3699</f>
        <v>0</v>
      </c>
      <c r="AN3699" s="199">
        <f t="shared" ref="AN3699:AN3700" si="1918">B3699</f>
        <v>46256</v>
      </c>
      <c r="AO3699" s="159" t="s">
        <v>692</v>
      </c>
      <c r="AP3699" s="781"/>
      <c r="AQ3699" s="782">
        <v>12071839</v>
      </c>
      <c r="AR3699" s="782">
        <v>12095778</v>
      </c>
      <c r="AS3699" s="782">
        <v>12095777</v>
      </c>
      <c r="AT3699" s="798" t="s">
        <v>3018</v>
      </c>
      <c r="AU3699" s="781"/>
      <c r="AV3699" s="782">
        <v>12098859</v>
      </c>
      <c r="AW3699" s="781"/>
      <c r="AX3699" s="781"/>
      <c r="AY3699" s="781"/>
      <c r="AZ3699" s="782"/>
      <c r="BA3699" s="781"/>
      <c r="BB3699" s="209">
        <v>23099860</v>
      </c>
    </row>
    <row r="3700" spans="1:54" ht="25" customHeight="1">
      <c r="A3700" s="440" t="s">
        <v>2841</v>
      </c>
      <c r="B3700" s="200">
        <v>46256</v>
      </c>
      <c r="C3700" s="201">
        <v>46272</v>
      </c>
      <c r="D3700" s="512">
        <f t="shared" si="1907"/>
        <v>2026</v>
      </c>
      <c r="E3700" s="201" t="e">
        <f>VLOOKUP($B3700,Week!$A$1:$C$1462,2,0)</f>
        <v>#N/A</v>
      </c>
      <c r="F3700" s="202" t="str">
        <f t="shared" si="1908"/>
        <v>Aug</v>
      </c>
      <c r="G3700" s="512" t="s">
        <v>3164</v>
      </c>
      <c r="H3700" s="512" t="s">
        <v>311</v>
      </c>
      <c r="I3700" s="512" t="s">
        <v>2772</v>
      </c>
      <c r="J3700" s="513" t="s">
        <v>738</v>
      </c>
      <c r="K3700" s="514" t="s">
        <v>1652</v>
      </c>
      <c r="L3700" s="514" t="s">
        <v>2167</v>
      </c>
      <c r="M3700" s="513" t="s">
        <v>3034</v>
      </c>
      <c r="N3700" s="512" t="s">
        <v>3035</v>
      </c>
      <c r="O3700" s="512" t="s">
        <v>2840</v>
      </c>
      <c r="P3700" s="203">
        <v>24</v>
      </c>
      <c r="Q3700" s="203">
        <v>3</v>
      </c>
      <c r="R3700" s="204">
        <v>6.0000000000000001E-3</v>
      </c>
      <c r="S3700" s="512" t="s">
        <v>55</v>
      </c>
      <c r="T3700" s="512" t="s">
        <v>112</v>
      </c>
      <c r="U3700" s="916" t="s">
        <v>724</v>
      </c>
      <c r="V3700" s="205">
        <v>700</v>
      </c>
      <c r="W3700" s="205">
        <f>375</f>
        <v>375</v>
      </c>
      <c r="X3700" s="206">
        <f>(7800)/24</f>
        <v>325</v>
      </c>
      <c r="Y3700" s="207">
        <f t="shared" si="1909"/>
        <v>0</v>
      </c>
      <c r="Z3700" s="208">
        <f t="shared" si="1910"/>
        <v>0</v>
      </c>
      <c r="AA3700" s="208">
        <f t="shared" si="1911"/>
        <v>0</v>
      </c>
      <c r="AB3700" s="806">
        <v>3.8699999999999998E-2</v>
      </c>
      <c r="AC3700" s="205">
        <f t="shared" si="1912"/>
        <v>0</v>
      </c>
      <c r="AD3700" s="209" t="s">
        <v>2354</v>
      </c>
      <c r="AE3700" s="210">
        <f t="shared" si="1913"/>
        <v>0</v>
      </c>
      <c r="AF3700" s="210">
        <f t="shared" si="1914"/>
        <v>0</v>
      </c>
      <c r="AG3700" s="211">
        <f t="shared" si="1915"/>
        <v>0.30199999999999999</v>
      </c>
      <c r="AH3700" s="157">
        <f>(Z3700*AG3700)/1000</f>
        <v>0</v>
      </c>
      <c r="AI3700" s="152">
        <f t="shared" si="1916"/>
        <v>16800</v>
      </c>
      <c r="AK3700" s="156" t="s">
        <v>691</v>
      </c>
      <c r="AL3700" s="212" t="s">
        <v>690</v>
      </c>
      <c r="AM3700" s="198">
        <f t="shared" si="1917"/>
        <v>0</v>
      </c>
      <c r="AN3700" s="199">
        <f t="shared" si="1918"/>
        <v>46256</v>
      </c>
      <c r="AO3700" s="159" t="s">
        <v>692</v>
      </c>
      <c r="AP3700" s="781" t="s">
        <v>642</v>
      </c>
      <c r="AQ3700" s="782">
        <v>12063755</v>
      </c>
      <c r="AR3700" s="782">
        <v>12081257</v>
      </c>
      <c r="AS3700" s="782">
        <v>12081260</v>
      </c>
      <c r="AT3700" s="782">
        <v>12099775</v>
      </c>
      <c r="AU3700" s="781"/>
      <c r="AV3700" s="782">
        <v>12099773</v>
      </c>
      <c r="AW3700" s="782">
        <v>12099774</v>
      </c>
      <c r="AX3700" s="782"/>
      <c r="AY3700" s="782">
        <v>12099776</v>
      </c>
      <c r="AZ3700" s="782"/>
      <c r="BA3700" s="781"/>
      <c r="BB3700" s="209">
        <v>23105470</v>
      </c>
    </row>
    <row r="3701" spans="1:54" ht="25" customHeight="1">
      <c r="B3701" s="332">
        <v>46256</v>
      </c>
      <c r="C3701" s="333">
        <v>46272</v>
      </c>
      <c r="D3701" s="185">
        <f t="shared" ref="D3701:D3706" si="1919">IF(B3701="","",YEAR(B3701))</f>
        <v>2026</v>
      </c>
      <c r="E3701" s="333" t="e">
        <f>VLOOKUP($B3701,Week!$A$1:$C$1462,2,0)</f>
        <v>#N/A</v>
      </c>
      <c r="F3701" s="334" t="str">
        <f t="shared" ref="F3701:F3706" si="1920">IF(B3701="","",TEXT(B3701,"[$-409]mmm"))</f>
        <v>Aug</v>
      </c>
      <c r="G3701" s="335" t="s">
        <v>3147</v>
      </c>
      <c r="H3701" s="335" t="s">
        <v>675</v>
      </c>
      <c r="I3701" s="335" t="s">
        <v>2772</v>
      </c>
      <c r="J3701" s="336" t="s">
        <v>2906</v>
      </c>
      <c r="K3701" s="337" t="s">
        <v>1652</v>
      </c>
      <c r="L3701" s="300" t="s">
        <v>2167</v>
      </c>
      <c r="M3701" s="336" t="s">
        <v>682</v>
      </c>
      <c r="N3701" s="530" t="s">
        <v>712</v>
      </c>
      <c r="O3701" s="335" t="s">
        <v>602</v>
      </c>
      <c r="P3701" s="338">
        <v>8</v>
      </c>
      <c r="Q3701" s="338">
        <v>3</v>
      </c>
      <c r="R3701" s="339">
        <v>6.0000000000000001E-3</v>
      </c>
      <c r="S3701" s="335" t="s">
        <v>55</v>
      </c>
      <c r="T3701" s="335" t="s">
        <v>112</v>
      </c>
      <c r="U3701" s="340" t="s">
        <v>724</v>
      </c>
      <c r="V3701" s="341">
        <f>324</f>
        <v>324</v>
      </c>
      <c r="W3701" s="341"/>
      <c r="X3701" s="342">
        <f>(337+2691)/8</f>
        <v>378.5</v>
      </c>
      <c r="Y3701" s="343">
        <f t="shared" ref="Y3701:Y3706" si="1921">(W3701+X3701)-V3701</f>
        <v>54.5</v>
      </c>
      <c r="Z3701" s="344">
        <f t="shared" ref="Z3701:Z3706" si="1922">IF(Y3701&lt;0,((V3701*P3701)-((W3701+X3701)*P3701)),0)</f>
        <v>0</v>
      </c>
      <c r="AA3701" s="344">
        <f t="shared" ref="AA3701:AA3706" si="1923">Q3701*Z3701</f>
        <v>0</v>
      </c>
      <c r="AB3701" s="817">
        <v>5.8823E-2</v>
      </c>
      <c r="AC3701" s="341">
        <f t="shared" ref="AC3701:AC3706" si="1924">Z3701*AB3701</f>
        <v>0</v>
      </c>
      <c r="AD3701" s="515"/>
      <c r="AE3701" s="210">
        <f>SUM(Q3701*R3701*Z3701)/1000</f>
        <v>0</v>
      </c>
      <c r="AF3701" s="210">
        <f t="shared" ref="AF3701:AF3706" si="1925">AE3701/0.54</f>
        <v>0</v>
      </c>
      <c r="AG3701" s="211">
        <f t="shared" ref="AG3701:AG3706" si="1926">MID(O3701,1,3)/1000</f>
        <v>0.30199999999999999</v>
      </c>
      <c r="AH3701" s="157">
        <v>0.26621999999999996</v>
      </c>
      <c r="AI3701" s="152">
        <f t="shared" ref="AI3701:AI3706" si="1927">V3701*P3701</f>
        <v>2592</v>
      </c>
      <c r="AK3701" s="156" t="s">
        <v>691</v>
      </c>
      <c r="AL3701" s="574" t="s">
        <v>690</v>
      </c>
      <c r="AM3701" s="198">
        <f t="shared" ref="AM3701:AM3706" si="1928">AG3701*Z3701</f>
        <v>0</v>
      </c>
      <c r="AN3701" s="199">
        <f t="shared" ref="AN3701:AN3706" si="1929">B3701</f>
        <v>46256</v>
      </c>
      <c r="AO3701" s="159" t="s">
        <v>692</v>
      </c>
      <c r="AP3701" s="781" t="s">
        <v>642</v>
      </c>
      <c r="AQ3701" s="782">
        <v>12063755</v>
      </c>
      <c r="AR3701" s="782">
        <v>12061353</v>
      </c>
      <c r="AS3701" s="782">
        <v>12061354</v>
      </c>
      <c r="AT3701" s="782">
        <v>12090030</v>
      </c>
      <c r="AU3701" s="781"/>
      <c r="AV3701" s="782">
        <v>12089992</v>
      </c>
      <c r="AW3701" s="781"/>
      <c r="AX3701" s="781"/>
      <c r="AY3701" s="781"/>
      <c r="AZ3701" s="782"/>
      <c r="BA3701" s="781"/>
      <c r="BB3701" s="209">
        <v>23099860</v>
      </c>
    </row>
    <row r="3702" spans="1:54" ht="25" customHeight="1">
      <c r="A3702" s="623"/>
      <c r="B3702" s="332">
        <v>46256</v>
      </c>
      <c r="C3702" s="333">
        <v>46281</v>
      </c>
      <c r="D3702" s="185">
        <f t="shared" si="1919"/>
        <v>2026</v>
      </c>
      <c r="E3702" s="333" t="e">
        <f>VLOOKUP($B3702,Week!$A$1:$C$1462,2,0)</f>
        <v>#N/A</v>
      </c>
      <c r="F3702" s="334" t="str">
        <f t="shared" si="1920"/>
        <v>Aug</v>
      </c>
      <c r="G3702" s="335" t="s">
        <v>3160</v>
      </c>
      <c r="H3702" s="335" t="s">
        <v>311</v>
      </c>
      <c r="I3702" s="335" t="s">
        <v>2772</v>
      </c>
      <c r="J3702" s="336" t="s">
        <v>738</v>
      </c>
      <c r="K3702" s="337" t="s">
        <v>1652</v>
      </c>
      <c r="L3702" s="300" t="s">
        <v>2167</v>
      </c>
      <c r="M3702" s="336" t="s">
        <v>682</v>
      </c>
      <c r="N3702" s="335" t="s">
        <v>693</v>
      </c>
      <c r="O3702" s="335" t="s">
        <v>602</v>
      </c>
      <c r="P3702" s="338">
        <v>8</v>
      </c>
      <c r="Q3702" s="338">
        <v>3</v>
      </c>
      <c r="R3702" s="339">
        <v>6.0000000000000001E-3</v>
      </c>
      <c r="S3702" s="335" t="s">
        <v>55</v>
      </c>
      <c r="T3702" s="335" t="s">
        <v>112</v>
      </c>
      <c r="U3702" s="340" t="s">
        <v>724</v>
      </c>
      <c r="V3702" s="341">
        <f>300</f>
        <v>300</v>
      </c>
      <c r="W3702" s="341"/>
      <c r="X3702" s="342">
        <f>(451+2191)/8</f>
        <v>330.25</v>
      </c>
      <c r="Y3702" s="343">
        <f t="shared" si="1921"/>
        <v>30.25</v>
      </c>
      <c r="Z3702" s="344">
        <f t="shared" si="1922"/>
        <v>0</v>
      </c>
      <c r="AA3702" s="344">
        <f t="shared" si="1923"/>
        <v>0</v>
      </c>
      <c r="AB3702" s="817">
        <v>5.8823E-2</v>
      </c>
      <c r="AC3702" s="341">
        <f t="shared" si="1924"/>
        <v>0</v>
      </c>
      <c r="AD3702" s="443"/>
      <c r="AE3702" s="210">
        <f t="shared" ref="AE3702" si="1930">SUM(Q3702*R3702*Z3702)/1000</f>
        <v>0</v>
      </c>
      <c r="AF3702" s="210">
        <f t="shared" si="1925"/>
        <v>0</v>
      </c>
      <c r="AG3702" s="211">
        <f t="shared" si="1926"/>
        <v>0.30199999999999999</v>
      </c>
      <c r="AH3702" s="157">
        <v>0.26621999999999996</v>
      </c>
      <c r="AI3702" s="152">
        <f t="shared" si="1927"/>
        <v>2400</v>
      </c>
      <c r="AK3702" s="156" t="s">
        <v>691</v>
      </c>
      <c r="AL3702" s="574" t="s">
        <v>690</v>
      </c>
      <c r="AM3702" s="198">
        <f t="shared" si="1928"/>
        <v>0</v>
      </c>
      <c r="AN3702" s="199">
        <f t="shared" si="1929"/>
        <v>46256</v>
      </c>
      <c r="AO3702" s="159" t="s">
        <v>692</v>
      </c>
      <c r="AP3702" s="781" t="s">
        <v>642</v>
      </c>
      <c r="AQ3702" s="782">
        <v>12063755</v>
      </c>
      <c r="AR3702" s="782">
        <v>12061353</v>
      </c>
      <c r="AS3702" s="782">
        <v>12061354</v>
      </c>
      <c r="AT3702" s="782">
        <v>12097660</v>
      </c>
      <c r="AU3702" s="781"/>
      <c r="AV3702" s="782">
        <v>12097661</v>
      </c>
      <c r="AW3702" s="781"/>
      <c r="AX3702" s="781"/>
      <c r="AY3702" s="781"/>
      <c r="AZ3702" s="782"/>
      <c r="BA3702" s="781"/>
      <c r="BB3702" s="209">
        <v>23099860</v>
      </c>
    </row>
    <row r="3703" spans="1:54" ht="24.65" customHeight="1">
      <c r="B3703" s="308">
        <v>46257</v>
      </c>
      <c r="C3703" s="309">
        <v>46274</v>
      </c>
      <c r="D3703" s="185">
        <f t="shared" si="1919"/>
        <v>2026</v>
      </c>
      <c r="E3703" s="309" t="e">
        <f>VLOOKUP($B3703,Week!$A$1:$C$1462,2,0)</f>
        <v>#N/A</v>
      </c>
      <c r="F3703" s="310" t="str">
        <f t="shared" si="1920"/>
        <v>Aug</v>
      </c>
      <c r="G3703" s="311" t="s">
        <v>3086</v>
      </c>
      <c r="H3703" s="311" t="s">
        <v>311</v>
      </c>
      <c r="I3703" s="311" t="s">
        <v>2772</v>
      </c>
      <c r="J3703" s="312" t="s">
        <v>738</v>
      </c>
      <c r="K3703" s="313" t="s">
        <v>107</v>
      </c>
      <c r="L3703" s="300" t="s">
        <v>2167</v>
      </c>
      <c r="M3703" s="312" t="s">
        <v>313</v>
      </c>
      <c r="N3703" s="311" t="s">
        <v>314</v>
      </c>
      <c r="O3703" s="311" t="s">
        <v>110</v>
      </c>
      <c r="P3703" s="314">
        <v>36</v>
      </c>
      <c r="Q3703" s="314">
        <v>5</v>
      </c>
      <c r="R3703" s="315">
        <v>7.4999999999999997E-3</v>
      </c>
      <c r="S3703" s="311" t="s">
        <v>111</v>
      </c>
      <c r="T3703" s="311" t="s">
        <v>112</v>
      </c>
      <c r="U3703" s="311" t="s">
        <v>57</v>
      </c>
      <c r="V3703" s="316">
        <v>792</v>
      </c>
      <c r="W3703" s="316">
        <f>763+29</f>
        <v>792</v>
      </c>
      <c r="X3703" s="317"/>
      <c r="Y3703" s="318">
        <f t="shared" si="1921"/>
        <v>0</v>
      </c>
      <c r="Z3703" s="319">
        <f t="shared" si="1922"/>
        <v>0</v>
      </c>
      <c r="AA3703" s="319">
        <f t="shared" si="1923"/>
        <v>0</v>
      </c>
      <c r="AB3703" s="815">
        <v>7.4999999999999997E-3</v>
      </c>
      <c r="AC3703" s="316">
        <f t="shared" si="1924"/>
        <v>0</v>
      </c>
      <c r="AD3703" s="209"/>
      <c r="AE3703" s="210">
        <f>SUM(Q3703*R3703*Z3703)/1000</f>
        <v>0</v>
      </c>
      <c r="AF3703" s="210">
        <f t="shared" si="1925"/>
        <v>0</v>
      </c>
      <c r="AG3703" s="211">
        <f t="shared" si="1926"/>
        <v>0.308</v>
      </c>
      <c r="AH3703" s="157">
        <f>(Z3703*AG3703)/1000</f>
        <v>0</v>
      </c>
      <c r="AI3703" s="152">
        <f t="shared" si="1927"/>
        <v>28512</v>
      </c>
      <c r="AK3703" s="156" t="s">
        <v>691</v>
      </c>
      <c r="AL3703" s="212" t="s">
        <v>690</v>
      </c>
      <c r="AM3703" s="198">
        <f t="shared" si="1928"/>
        <v>0</v>
      </c>
      <c r="AN3703" s="199">
        <f t="shared" si="1929"/>
        <v>46257</v>
      </c>
      <c r="AO3703" s="159" t="s">
        <v>692</v>
      </c>
      <c r="AP3703" s="783" t="s">
        <v>644</v>
      </c>
      <c r="AQ3703" s="782">
        <v>12063755</v>
      </c>
      <c r="AR3703" s="782">
        <v>12081257</v>
      </c>
      <c r="AS3703" s="782">
        <v>12081260</v>
      </c>
      <c r="AT3703" s="782">
        <v>12098623</v>
      </c>
      <c r="AU3703" s="781"/>
      <c r="AV3703" s="782">
        <v>12098706</v>
      </c>
      <c r="AW3703" s="782">
        <v>12088207</v>
      </c>
      <c r="AX3703" s="782"/>
      <c r="AY3703" s="782">
        <v>12094237</v>
      </c>
      <c r="AZ3703" s="782"/>
      <c r="BA3703" s="781"/>
      <c r="BB3703" s="209">
        <v>23053185</v>
      </c>
    </row>
    <row r="3704" spans="1:54" ht="24.65" customHeight="1">
      <c r="B3704" s="308">
        <v>46257</v>
      </c>
      <c r="C3704" s="309">
        <v>46281</v>
      </c>
      <c r="D3704" s="185">
        <f t="shared" si="1919"/>
        <v>2026</v>
      </c>
      <c r="E3704" s="309" t="e">
        <f>VLOOKUP($B3704,Week!$A$1:$C$1462,2,0)</f>
        <v>#N/A</v>
      </c>
      <c r="F3704" s="310" t="str">
        <f t="shared" si="1920"/>
        <v>Aug</v>
      </c>
      <c r="G3704" s="311" t="s">
        <v>3132</v>
      </c>
      <c r="H3704" s="311" t="s">
        <v>311</v>
      </c>
      <c r="I3704" s="311" t="s">
        <v>2772</v>
      </c>
      <c r="J3704" s="312" t="s">
        <v>738</v>
      </c>
      <c r="K3704" s="313" t="s">
        <v>107</v>
      </c>
      <c r="L3704" s="300" t="s">
        <v>2167</v>
      </c>
      <c r="M3704" s="312" t="s">
        <v>313</v>
      </c>
      <c r="N3704" s="311" t="s">
        <v>314</v>
      </c>
      <c r="O3704" s="311" t="s">
        <v>110</v>
      </c>
      <c r="P3704" s="314">
        <v>36</v>
      </c>
      <c r="Q3704" s="314">
        <v>5</v>
      </c>
      <c r="R3704" s="315">
        <v>7.4999999999999997E-3</v>
      </c>
      <c r="S3704" s="311" t="s">
        <v>111</v>
      </c>
      <c r="T3704" s="311" t="s">
        <v>112</v>
      </c>
      <c r="U3704" s="311" t="s">
        <v>57</v>
      </c>
      <c r="V3704" s="316">
        <v>792</v>
      </c>
      <c r="W3704" s="316">
        <v>792</v>
      </c>
      <c r="X3704" s="317"/>
      <c r="Y3704" s="318">
        <f t="shared" si="1921"/>
        <v>0</v>
      </c>
      <c r="Z3704" s="319">
        <f t="shared" si="1922"/>
        <v>0</v>
      </c>
      <c r="AA3704" s="319">
        <f t="shared" si="1923"/>
        <v>0</v>
      </c>
      <c r="AB3704" s="815">
        <v>7.4999999999999997E-3</v>
      </c>
      <c r="AC3704" s="316">
        <f t="shared" si="1924"/>
        <v>0</v>
      </c>
      <c r="AD3704" s="209"/>
      <c r="AE3704" s="210">
        <f>SUM(Q3704*R3704*Z3704)/1000</f>
        <v>0</v>
      </c>
      <c r="AF3704" s="210">
        <f t="shared" si="1925"/>
        <v>0</v>
      </c>
      <c r="AG3704" s="211">
        <f t="shared" si="1926"/>
        <v>0.308</v>
      </c>
      <c r="AH3704" s="157">
        <f>(Z3704*AG3704)/1000</f>
        <v>0</v>
      </c>
      <c r="AI3704" s="152">
        <f t="shared" si="1927"/>
        <v>28512</v>
      </c>
      <c r="AK3704" s="156" t="s">
        <v>691</v>
      </c>
      <c r="AL3704" s="212" t="s">
        <v>690</v>
      </c>
      <c r="AM3704" s="198">
        <f t="shared" si="1928"/>
        <v>0</v>
      </c>
      <c r="AN3704" s="199">
        <f t="shared" si="1929"/>
        <v>46257</v>
      </c>
      <c r="AO3704" s="159" t="s">
        <v>692</v>
      </c>
      <c r="AP3704" s="783" t="s">
        <v>644</v>
      </c>
      <c r="AQ3704" s="782">
        <v>12063755</v>
      </c>
      <c r="AR3704" s="782">
        <v>12081257</v>
      </c>
      <c r="AS3704" s="782">
        <v>12081260</v>
      </c>
      <c r="AT3704" s="782">
        <v>12098623</v>
      </c>
      <c r="AU3704" s="781"/>
      <c r="AV3704" s="782">
        <v>12098706</v>
      </c>
      <c r="AW3704" s="782">
        <v>12088207</v>
      </c>
      <c r="AX3704" s="782"/>
      <c r="AY3704" s="782">
        <v>12094237</v>
      </c>
      <c r="AZ3704" s="782"/>
      <c r="BA3704" s="781"/>
      <c r="BB3704" s="209">
        <v>23053185</v>
      </c>
    </row>
    <row r="3705" spans="1:54" ht="24.65" customHeight="1">
      <c r="B3705" s="308">
        <v>46257</v>
      </c>
      <c r="C3705" s="309">
        <v>46281</v>
      </c>
      <c r="D3705" s="185">
        <f t="shared" si="1919"/>
        <v>2026</v>
      </c>
      <c r="E3705" s="309" t="e">
        <f>VLOOKUP($B3705,Week!$A$1:$C$1462,2,0)</f>
        <v>#N/A</v>
      </c>
      <c r="F3705" s="310" t="str">
        <f t="shared" si="1920"/>
        <v>Aug</v>
      </c>
      <c r="G3705" s="311" t="s">
        <v>3129</v>
      </c>
      <c r="H3705" s="311" t="s">
        <v>311</v>
      </c>
      <c r="I3705" s="311" t="s">
        <v>2772</v>
      </c>
      <c r="J3705" s="312" t="s">
        <v>738</v>
      </c>
      <c r="K3705" s="313" t="s">
        <v>107</v>
      </c>
      <c r="L3705" s="300" t="s">
        <v>2167</v>
      </c>
      <c r="M3705" s="312" t="s">
        <v>313</v>
      </c>
      <c r="N3705" s="311" t="s">
        <v>314</v>
      </c>
      <c r="O3705" s="311" t="s">
        <v>110</v>
      </c>
      <c r="P3705" s="314">
        <v>36</v>
      </c>
      <c r="Q3705" s="314">
        <v>5</v>
      </c>
      <c r="R3705" s="315">
        <v>7.4999999999999997E-3</v>
      </c>
      <c r="S3705" s="311" t="s">
        <v>111</v>
      </c>
      <c r="T3705" s="311" t="s">
        <v>112</v>
      </c>
      <c r="U3705" s="311" t="s">
        <v>57</v>
      </c>
      <c r="V3705" s="316">
        <v>792</v>
      </c>
      <c r="W3705" s="316">
        <f>742+5+5+40</f>
        <v>792</v>
      </c>
      <c r="X3705" s="317"/>
      <c r="Y3705" s="318">
        <f t="shared" si="1921"/>
        <v>0</v>
      </c>
      <c r="Z3705" s="319">
        <f t="shared" si="1922"/>
        <v>0</v>
      </c>
      <c r="AA3705" s="319">
        <f t="shared" si="1923"/>
        <v>0</v>
      </c>
      <c r="AB3705" s="815">
        <v>7.4999999999999997E-3</v>
      </c>
      <c r="AC3705" s="316">
        <f t="shared" si="1924"/>
        <v>0</v>
      </c>
      <c r="AD3705" s="209"/>
      <c r="AE3705" s="210">
        <f>SUM(Q3705*R3705*Z3705)/1000</f>
        <v>0</v>
      </c>
      <c r="AF3705" s="210">
        <f t="shared" si="1925"/>
        <v>0</v>
      </c>
      <c r="AG3705" s="211">
        <f t="shared" si="1926"/>
        <v>0.308</v>
      </c>
      <c r="AH3705" s="157">
        <f>(Z3705*AG3705)/1000</f>
        <v>0</v>
      </c>
      <c r="AI3705" s="152">
        <f t="shared" si="1927"/>
        <v>28512</v>
      </c>
      <c r="AK3705" s="156" t="s">
        <v>691</v>
      </c>
      <c r="AL3705" s="212" t="s">
        <v>690</v>
      </c>
      <c r="AM3705" s="198">
        <f t="shared" si="1928"/>
        <v>0</v>
      </c>
      <c r="AN3705" s="199">
        <f t="shared" si="1929"/>
        <v>46257</v>
      </c>
      <c r="AO3705" s="159" t="s">
        <v>692</v>
      </c>
      <c r="AP3705" s="783" t="s">
        <v>644</v>
      </c>
      <c r="AQ3705" s="782">
        <v>12063755</v>
      </c>
      <c r="AR3705" s="782">
        <v>12081257</v>
      </c>
      <c r="AS3705" s="782">
        <v>12081260</v>
      </c>
      <c r="AT3705" s="782">
        <v>12098623</v>
      </c>
      <c r="AU3705" s="781"/>
      <c r="AV3705" s="782">
        <v>12098706</v>
      </c>
      <c r="AW3705" s="782">
        <v>12088207</v>
      </c>
      <c r="AX3705" s="782"/>
      <c r="AY3705" s="782">
        <v>12094237</v>
      </c>
      <c r="AZ3705" s="782"/>
      <c r="BA3705" s="781"/>
      <c r="BB3705" s="209">
        <v>23053185</v>
      </c>
    </row>
    <row r="3706" spans="1:54" ht="25" customHeight="1">
      <c r="B3706" s="920">
        <v>46257</v>
      </c>
      <c r="C3706" s="921">
        <v>46280</v>
      </c>
      <c r="D3706" s="922">
        <f t="shared" si="1919"/>
        <v>2026</v>
      </c>
      <c r="E3706" s="921" t="e">
        <f>VLOOKUP($B3706,Week!$A$1:$C$1462,2,0)</f>
        <v>#N/A</v>
      </c>
      <c r="F3706" s="923" t="str">
        <f t="shared" si="1920"/>
        <v>Aug</v>
      </c>
      <c r="G3706" s="922" t="s">
        <v>3085</v>
      </c>
      <c r="H3706" s="922" t="s">
        <v>424</v>
      </c>
      <c r="I3706" s="922" t="s">
        <v>2772</v>
      </c>
      <c r="J3706" s="924" t="s">
        <v>425</v>
      </c>
      <c r="K3706" s="925" t="s">
        <v>3169</v>
      </c>
      <c r="L3706" s="925" t="s">
        <v>2167</v>
      </c>
      <c r="M3706" s="924" t="s">
        <v>2977</v>
      </c>
      <c r="N3706" s="926" t="s">
        <v>2978</v>
      </c>
      <c r="O3706" s="922" t="s">
        <v>2954</v>
      </c>
      <c r="P3706" s="927">
        <v>12</v>
      </c>
      <c r="Q3706" s="927">
        <v>3</v>
      </c>
      <c r="R3706" s="928">
        <v>6.1999999999999998E-3</v>
      </c>
      <c r="S3706" s="922" t="s">
        <v>55</v>
      </c>
      <c r="T3706" s="922" t="s">
        <v>112</v>
      </c>
      <c r="U3706" s="929" t="s">
        <v>2577</v>
      </c>
      <c r="V3706" s="930">
        <v>2278</v>
      </c>
      <c r="W3706" s="930"/>
      <c r="X3706" s="931">
        <f>(569+27477)/12</f>
        <v>2337.1666666666665</v>
      </c>
      <c r="Y3706" s="932">
        <f t="shared" si="1921"/>
        <v>59.166666666666515</v>
      </c>
      <c r="Z3706" s="933">
        <f t="shared" si="1922"/>
        <v>0</v>
      </c>
      <c r="AA3706" s="933">
        <f t="shared" si="1923"/>
        <v>0</v>
      </c>
      <c r="AB3706" s="934"/>
      <c r="AC3706" s="930">
        <f t="shared" si="1924"/>
        <v>0</v>
      </c>
      <c r="AD3706" s="443" t="s">
        <v>2779</v>
      </c>
      <c r="AE3706" s="210">
        <f>SUM(Q3706*R3706*Z3706)/1000</f>
        <v>0</v>
      </c>
      <c r="AF3706" s="210">
        <f t="shared" si="1925"/>
        <v>0</v>
      </c>
      <c r="AG3706" s="211">
        <f t="shared" si="1926"/>
        <v>0.32</v>
      </c>
      <c r="AH3706" s="157">
        <v>0.26621999999999996</v>
      </c>
      <c r="AI3706" s="152">
        <f t="shared" si="1927"/>
        <v>27336</v>
      </c>
      <c r="AK3706" s="156" t="s">
        <v>691</v>
      </c>
      <c r="AL3706" s="574" t="s">
        <v>690</v>
      </c>
      <c r="AM3706" s="198">
        <f t="shared" si="1928"/>
        <v>0</v>
      </c>
      <c r="AN3706" s="199">
        <f t="shared" si="1929"/>
        <v>46257</v>
      </c>
      <c r="AO3706" s="159" t="s">
        <v>692</v>
      </c>
      <c r="AP3706" s="781"/>
      <c r="AQ3706" s="782">
        <v>12063755</v>
      </c>
      <c r="AR3706" s="782" t="s">
        <v>3021</v>
      </c>
      <c r="AS3706" s="782">
        <v>12081260</v>
      </c>
      <c r="AT3706" s="798" t="s">
        <v>3023</v>
      </c>
      <c r="AU3706" s="783"/>
      <c r="AV3706" s="782">
        <v>12098990</v>
      </c>
      <c r="AW3706" s="783"/>
      <c r="AX3706" s="781"/>
      <c r="AY3706" s="796"/>
      <c r="AZ3706" s="796"/>
      <c r="BA3706" s="796"/>
      <c r="BB3706" s="209"/>
    </row>
    <row r="3707" spans="1:54" ht="25" customHeight="1">
      <c r="B3707" s="183">
        <v>46258</v>
      </c>
      <c r="C3707" s="184"/>
      <c r="D3707" s="185">
        <f t="shared" si="1850"/>
        <v>2026</v>
      </c>
      <c r="E3707" s="185" t="e">
        <f>VLOOKUP($B3707,Week!$A$1:$C$1462,2,0)</f>
        <v>#N/A</v>
      </c>
      <c r="F3707" s="186" t="str">
        <f t="shared" si="1851"/>
        <v>Aug</v>
      </c>
      <c r="G3707" s="481"/>
      <c r="H3707" s="185"/>
      <c r="I3707" s="185"/>
      <c r="J3707" s="187"/>
      <c r="K3707" s="188"/>
      <c r="L3707" s="188"/>
      <c r="M3707" s="187"/>
      <c r="N3707" s="185"/>
      <c r="O3707" s="185"/>
      <c r="P3707" s="189"/>
      <c r="Q3707" s="189"/>
      <c r="R3707" s="190"/>
      <c r="S3707" s="185"/>
      <c r="T3707" s="185"/>
      <c r="U3707" s="185"/>
      <c r="V3707" s="191"/>
      <c r="W3707" s="191"/>
      <c r="X3707" s="192"/>
      <c r="Y3707" s="193"/>
      <c r="Z3707" s="194"/>
      <c r="AA3707" s="194">
        <f t="shared" si="1855"/>
        <v>0</v>
      </c>
      <c r="AB3707" s="805"/>
      <c r="AC3707" s="191"/>
      <c r="AD3707" s="187"/>
      <c r="AE3707" s="195"/>
      <c r="AF3707" s="195"/>
      <c r="AG3707" s="196"/>
      <c r="AH3707" s="197"/>
      <c r="AK3707" s="156" t="s">
        <v>691</v>
      </c>
      <c r="AM3707" s="198">
        <f t="shared" si="1856"/>
        <v>0</v>
      </c>
      <c r="AN3707" s="199">
        <f t="shared" si="1857"/>
        <v>46258</v>
      </c>
      <c r="AO3707" s="159" t="s">
        <v>692</v>
      </c>
      <c r="AP3707" s="781"/>
      <c r="AQ3707" s="782"/>
      <c r="AR3707" s="782"/>
      <c r="AS3707" s="782"/>
      <c r="AT3707" s="782"/>
      <c r="AU3707" s="781"/>
      <c r="AV3707" s="782"/>
      <c r="AW3707" s="782"/>
      <c r="AX3707" s="782"/>
      <c r="AY3707" s="782"/>
      <c r="AZ3707" s="782"/>
      <c r="BA3707" s="781"/>
      <c r="BB3707" s="209"/>
    </row>
    <row r="3708" spans="1:54" ht="25" customHeight="1">
      <c r="B3708" s="183">
        <v>46259</v>
      </c>
      <c r="C3708" s="184"/>
      <c r="D3708" s="185">
        <f t="shared" ref="D3708:D3724" si="1931">IF(B3708="","",YEAR(B3708))</f>
        <v>2026</v>
      </c>
      <c r="E3708" s="185" t="e">
        <f>VLOOKUP($B3708,Week!$A$1:$C$1462,2,0)</f>
        <v>#N/A</v>
      </c>
      <c r="F3708" s="186" t="str">
        <f t="shared" ref="F3708:F3724" si="1932">IF(B3708="","",TEXT(B3708,"[$-409]mmm"))</f>
        <v>Aug</v>
      </c>
      <c r="G3708" s="481"/>
      <c r="H3708" s="185"/>
      <c r="I3708" s="185"/>
      <c r="J3708" s="187"/>
      <c r="K3708" s="188"/>
      <c r="L3708" s="188"/>
      <c r="M3708" s="187"/>
      <c r="N3708" s="185"/>
      <c r="O3708" s="185"/>
      <c r="P3708" s="189"/>
      <c r="Q3708" s="189"/>
      <c r="R3708" s="190"/>
      <c r="S3708" s="185"/>
      <c r="T3708" s="185"/>
      <c r="U3708" s="185"/>
      <c r="V3708" s="191"/>
      <c r="W3708" s="191"/>
      <c r="X3708" s="192"/>
      <c r="Y3708" s="193"/>
      <c r="Z3708" s="194"/>
      <c r="AA3708" s="194">
        <f t="shared" ref="AA3708:AA3724" si="1933">Q3708*Z3708</f>
        <v>0</v>
      </c>
      <c r="AB3708" s="805"/>
      <c r="AC3708" s="191"/>
      <c r="AD3708" s="187"/>
      <c r="AE3708" s="195"/>
      <c r="AF3708" s="195"/>
      <c r="AG3708" s="196"/>
      <c r="AH3708" s="197"/>
      <c r="AK3708" s="156" t="s">
        <v>691</v>
      </c>
      <c r="AM3708" s="198">
        <f t="shared" ref="AM3708:AM3724" si="1934">AG3708*Z3708</f>
        <v>0</v>
      </c>
      <c r="AN3708" s="199">
        <f t="shared" ref="AN3708:AN3724" si="1935">B3708</f>
        <v>46259</v>
      </c>
      <c r="AO3708" s="159" t="s">
        <v>692</v>
      </c>
      <c r="AP3708" s="781"/>
      <c r="AQ3708" s="782"/>
      <c r="AR3708" s="782"/>
      <c r="AS3708" s="782"/>
      <c r="AT3708" s="782"/>
      <c r="AU3708" s="781"/>
      <c r="AV3708" s="782"/>
      <c r="AW3708" s="782"/>
      <c r="AX3708" s="782"/>
      <c r="AY3708" s="782"/>
      <c r="AZ3708" s="782"/>
      <c r="BA3708" s="781"/>
      <c r="BB3708" s="209"/>
    </row>
    <row r="3709" spans="1:54" ht="25.15" customHeight="1">
      <c r="B3709" s="345">
        <v>46260</v>
      </c>
      <c r="C3709" s="346">
        <v>46273</v>
      </c>
      <c r="D3709" s="185">
        <f>IF(B3709="","",YEAR(B3709))</f>
        <v>2026</v>
      </c>
      <c r="E3709" s="347" t="e">
        <f>VLOOKUP($B3709,Week!$A$1:$C$1462,2,0)</f>
        <v>#N/A</v>
      </c>
      <c r="F3709" s="348" t="str">
        <f>IF(B3709="","",TEXT(B3709,"[$-409]mmm"))</f>
        <v>Aug</v>
      </c>
      <c r="G3709" s="347" t="s">
        <v>3054</v>
      </c>
      <c r="H3709" s="347" t="s">
        <v>697</v>
      </c>
      <c r="I3709" s="347" t="s">
        <v>2772</v>
      </c>
      <c r="J3709" s="438" t="s">
        <v>425</v>
      </c>
      <c r="K3709" s="350" t="s">
        <v>176</v>
      </c>
      <c r="L3709" s="350" t="s">
        <v>2167</v>
      </c>
      <c r="M3709" s="349" t="s">
        <v>426</v>
      </c>
      <c r="N3709" s="347" t="s">
        <v>427</v>
      </c>
      <c r="O3709" s="347" t="s">
        <v>599</v>
      </c>
      <c r="P3709" s="351">
        <v>36</v>
      </c>
      <c r="Q3709" s="351">
        <v>5</v>
      </c>
      <c r="R3709" s="352">
        <v>7.4999999999999997E-3</v>
      </c>
      <c r="S3709" s="347" t="s">
        <v>111</v>
      </c>
      <c r="T3709" s="347" t="s">
        <v>112</v>
      </c>
      <c r="U3709" s="347" t="s">
        <v>57</v>
      </c>
      <c r="V3709" s="353">
        <v>1288</v>
      </c>
      <c r="W3709" s="353">
        <f>7+1247</f>
        <v>1254</v>
      </c>
      <c r="X3709" s="354">
        <f>(1224)/36</f>
        <v>34</v>
      </c>
      <c r="Y3709" s="355">
        <f>(W3709+X3709)-V3709</f>
        <v>0</v>
      </c>
      <c r="Z3709" s="356">
        <f>IF(Y3709&lt;0,((V3709*P3709)-((W3709+X3709)*P3709)),0)</f>
        <v>0</v>
      </c>
      <c r="AA3709" s="353">
        <f>Q3709*Z3709</f>
        <v>0</v>
      </c>
      <c r="AB3709" s="818">
        <v>7.4999999999999997E-3</v>
      </c>
      <c r="AC3709" s="353">
        <f>Z3709*AB3709</f>
        <v>0</v>
      </c>
      <c r="AD3709" s="307" t="s">
        <v>2448</v>
      </c>
      <c r="AE3709" s="210">
        <f>SUM(Q3709*R3709*Z3709)/1000</f>
        <v>0</v>
      </c>
      <c r="AF3709" s="210">
        <f>AE3709/0.54</f>
        <v>0</v>
      </c>
      <c r="AG3709" s="211">
        <f>MID(O3709,1,3)/1000</f>
        <v>0.14799999999999999</v>
      </c>
      <c r="AH3709" s="157">
        <f>(Z3709*AG3709)/1000</f>
        <v>0</v>
      </c>
      <c r="AI3709" s="152">
        <f>V3709*P3709</f>
        <v>46368</v>
      </c>
      <c r="AK3709" s="156" t="s">
        <v>691</v>
      </c>
      <c r="AL3709" s="574" t="s">
        <v>690</v>
      </c>
      <c r="AM3709" s="198">
        <f>AG3709*Z3709</f>
        <v>0</v>
      </c>
      <c r="AN3709" s="199">
        <f>B3709</f>
        <v>46260</v>
      </c>
      <c r="AO3709" s="159" t="s">
        <v>692</v>
      </c>
      <c r="AP3709" s="783" t="s">
        <v>609</v>
      </c>
      <c r="AQ3709" s="782">
        <v>12071839</v>
      </c>
      <c r="AR3709" s="782">
        <v>12080260</v>
      </c>
      <c r="AS3709" s="782">
        <v>12080259</v>
      </c>
      <c r="AT3709" s="782">
        <v>12096006</v>
      </c>
      <c r="AU3709" s="782"/>
      <c r="AV3709" s="782">
        <v>12096007</v>
      </c>
      <c r="AW3709" s="782">
        <v>12024404</v>
      </c>
      <c r="AX3709" s="781"/>
      <c r="AY3709" s="782">
        <v>12096022</v>
      </c>
      <c r="AZ3709" s="782"/>
      <c r="BA3709" s="781"/>
      <c r="BB3709" s="209">
        <v>23053185</v>
      </c>
    </row>
    <row r="3710" spans="1:54" ht="25" customHeight="1">
      <c r="B3710" s="357">
        <v>46260</v>
      </c>
      <c r="C3710" s="358">
        <v>46287</v>
      </c>
      <c r="D3710" s="185">
        <f>IF(B3710="","",YEAR(B3710))</f>
        <v>2026</v>
      </c>
      <c r="E3710" s="358" t="e">
        <f>VLOOKUP($B3710,Week!$A$1:$C$1462,2,0)</f>
        <v>#N/A</v>
      </c>
      <c r="F3710" s="360" t="str">
        <f>IF(B3710="","",TEXT(B3710,"[$-409]mmm"))</f>
        <v>Aug</v>
      </c>
      <c r="G3710" s="436" t="s">
        <v>3124</v>
      </c>
      <c r="H3710" s="359" t="s">
        <v>225</v>
      </c>
      <c r="I3710" s="359" t="s">
        <v>2773</v>
      </c>
      <c r="J3710" s="361" t="s">
        <v>650</v>
      </c>
      <c r="K3710" s="362" t="s">
        <v>593</v>
      </c>
      <c r="L3710" s="300" t="s">
        <v>2167</v>
      </c>
      <c r="M3710" s="361" t="s">
        <v>717</v>
      </c>
      <c r="N3710" s="359" t="s">
        <v>719</v>
      </c>
      <c r="O3710" s="359" t="s">
        <v>230</v>
      </c>
      <c r="P3710" s="363">
        <v>12</v>
      </c>
      <c r="Q3710" s="363">
        <v>5</v>
      </c>
      <c r="R3710" s="364">
        <v>6.0000000000000001E-3</v>
      </c>
      <c r="S3710" s="359" t="s">
        <v>55</v>
      </c>
      <c r="T3710" s="359" t="s">
        <v>112</v>
      </c>
      <c r="U3710" s="359" t="s">
        <v>57</v>
      </c>
      <c r="V3710" s="365">
        <v>2600</v>
      </c>
      <c r="W3710" s="365"/>
      <c r="X3710" s="366">
        <f>(1716+29484)/12</f>
        <v>2600</v>
      </c>
      <c r="Y3710" s="367">
        <f>(W3710+X3710)-V3710</f>
        <v>0</v>
      </c>
      <c r="Z3710" s="368">
        <f>IF(Y3710&lt;0,((V3710*P3710)-((W3710+X3710)*P3710)),0)</f>
        <v>0</v>
      </c>
      <c r="AA3710" s="368">
        <f>Q3710*Z3710</f>
        <v>0</v>
      </c>
      <c r="AB3710" s="819">
        <v>7.4999999999999997E-3</v>
      </c>
      <c r="AC3710" s="365">
        <f>Z3710*AB3710</f>
        <v>0</v>
      </c>
      <c r="AD3710" s="443"/>
      <c r="AE3710" s="210">
        <f t="shared" ref="AE3710:AE3714" si="1936">SUM(Q3710*R3710*Z3710)/1000</f>
        <v>0</v>
      </c>
      <c r="AF3710" s="210">
        <f t="shared" ref="AF3710:AF3714" si="1937">AE3710/0.54</f>
        <v>0</v>
      </c>
      <c r="AG3710" s="211">
        <f>MID(O3710,1,3)/1000</f>
        <v>0.25800000000000001</v>
      </c>
      <c r="AH3710" s="157">
        <f>(Z3710*AG3710)/1000</f>
        <v>0</v>
      </c>
      <c r="AI3710" s="152">
        <f>V3710*P3710</f>
        <v>31200</v>
      </c>
      <c r="AK3710" s="156" t="s">
        <v>691</v>
      </c>
      <c r="AL3710" s="574" t="s">
        <v>690</v>
      </c>
      <c r="AM3710" s="198">
        <f>AG3710*Z3710</f>
        <v>0</v>
      </c>
      <c r="AN3710" s="199">
        <f>B3710</f>
        <v>46260</v>
      </c>
      <c r="AO3710" s="159" t="s">
        <v>692</v>
      </c>
      <c r="AP3710" s="783" t="s">
        <v>612</v>
      </c>
      <c r="AQ3710" s="782">
        <v>12071839</v>
      </c>
      <c r="AR3710" s="782">
        <v>12042650</v>
      </c>
      <c r="AS3710" s="782">
        <v>12042649</v>
      </c>
      <c r="AT3710" s="782">
        <v>12096387</v>
      </c>
      <c r="AU3710" s="781"/>
      <c r="AV3710" s="782">
        <v>12088422</v>
      </c>
      <c r="AW3710" s="782"/>
      <c r="AX3710" s="782"/>
      <c r="AY3710" s="782"/>
      <c r="AZ3710" s="782"/>
      <c r="BA3710" s="781"/>
      <c r="BB3710" s="209">
        <v>23053185</v>
      </c>
    </row>
    <row r="3711" spans="1:54" ht="25" customHeight="1">
      <c r="B3711" s="271">
        <v>46260</v>
      </c>
      <c r="C3711" s="441">
        <v>46280</v>
      </c>
      <c r="D3711" s="274">
        <f>IF(B3711="","",YEAR(B3711))</f>
        <v>2026</v>
      </c>
      <c r="E3711" s="274" t="e">
        <f>VLOOKUP($B3711,Week!$A$1:$C$1462,2,0)</f>
        <v>#N/A</v>
      </c>
      <c r="F3711" s="273" t="str">
        <f>IF(B3711="","",TEXT(B3711,"[$-409]mmm"))</f>
        <v>Aug</v>
      </c>
      <c r="G3711" s="274" t="s">
        <v>3108</v>
      </c>
      <c r="H3711" s="274" t="s">
        <v>225</v>
      </c>
      <c r="I3711" s="274" t="s">
        <v>2773</v>
      </c>
      <c r="J3711" s="275" t="s">
        <v>650</v>
      </c>
      <c r="K3711" s="276" t="s">
        <v>2256</v>
      </c>
      <c r="L3711" s="276" t="s">
        <v>2167</v>
      </c>
      <c r="M3711" s="275" t="s">
        <v>2258</v>
      </c>
      <c r="N3711" s="274" t="s">
        <v>2259</v>
      </c>
      <c r="O3711" s="274" t="s">
        <v>110</v>
      </c>
      <c r="P3711" s="277">
        <v>36</v>
      </c>
      <c r="Q3711" s="277">
        <v>5</v>
      </c>
      <c r="R3711" s="278">
        <v>7.4999999999999997E-3</v>
      </c>
      <c r="S3711" s="274" t="s">
        <v>111</v>
      </c>
      <c r="T3711" s="274" t="s">
        <v>112</v>
      </c>
      <c r="U3711" s="274" t="s">
        <v>113</v>
      </c>
      <c r="V3711" s="279">
        <f>792-48</f>
        <v>744</v>
      </c>
      <c r="W3711" s="279">
        <f>1+743</f>
        <v>744</v>
      </c>
      <c r="X3711" s="280"/>
      <c r="Y3711" s="281">
        <f>(W3711+X3711)-V3711</f>
        <v>0</v>
      </c>
      <c r="Z3711" s="282">
        <f>IF(Y3711&lt;0,((V3711*P3711)-((W3711+X3711)*P3711)),0)</f>
        <v>0</v>
      </c>
      <c r="AA3711" s="282">
        <f>Q3711*Z3711</f>
        <v>0</v>
      </c>
      <c r="AB3711" s="812">
        <v>9.7000000000000003E-3</v>
      </c>
      <c r="AC3711" s="279">
        <f>Z3711*AB3711</f>
        <v>0</v>
      </c>
      <c r="AD3711" s="324" t="s">
        <v>3099</v>
      </c>
      <c r="AE3711" s="210">
        <f>SUM(Q3711*R3711*Z3711)/1000</f>
        <v>0</v>
      </c>
      <c r="AF3711" s="210">
        <f>AE3711/0.54</f>
        <v>0</v>
      </c>
      <c r="AG3711" s="211">
        <f>MID(O3711,1,3)/1000</f>
        <v>0.308</v>
      </c>
      <c r="AH3711" s="157">
        <f>(Z3711*AG3711)/1000</f>
        <v>0</v>
      </c>
      <c r="AI3711" s="152">
        <f>V3711*P3711</f>
        <v>26784</v>
      </c>
      <c r="AK3711" s="156" t="s">
        <v>691</v>
      </c>
      <c r="AL3711" s="574" t="s">
        <v>690</v>
      </c>
      <c r="AM3711" s="198">
        <f>AG3711*Z3711</f>
        <v>0</v>
      </c>
      <c r="AN3711" s="199">
        <f>B3711</f>
        <v>46260</v>
      </c>
      <c r="AO3711" s="159" t="s">
        <v>692</v>
      </c>
      <c r="AP3711" s="781"/>
      <c r="AQ3711" s="782">
        <v>12063755</v>
      </c>
      <c r="AR3711" s="782">
        <v>12061353</v>
      </c>
      <c r="AS3711" s="782">
        <v>12061354</v>
      </c>
      <c r="AT3711" s="782">
        <v>12095367</v>
      </c>
      <c r="AU3711" s="781"/>
      <c r="AV3711" s="782">
        <v>12095366</v>
      </c>
      <c r="AW3711" s="782">
        <v>12088207</v>
      </c>
      <c r="AX3711" s="782"/>
      <c r="AY3711" s="782">
        <v>12095368</v>
      </c>
      <c r="AZ3711" s="782"/>
      <c r="BA3711" s="781"/>
      <c r="BB3711" s="209">
        <v>23054743</v>
      </c>
    </row>
    <row r="3712" spans="1:54" ht="25" customHeight="1">
      <c r="B3712" s="271">
        <v>46260</v>
      </c>
      <c r="C3712" s="441">
        <v>46296</v>
      </c>
      <c r="D3712" s="274">
        <f t="shared" ref="D3712" si="1938">IF(B3712="","",YEAR(B3712))</f>
        <v>2026</v>
      </c>
      <c r="E3712" s="274" t="e">
        <f>VLOOKUP($B3712,Week!$A$1:$C$1462,2,0)</f>
        <v>#N/A</v>
      </c>
      <c r="F3712" s="273" t="str">
        <f t="shared" ref="F3712" si="1939">IF(B3712="","",TEXT(B3712,"[$-409]mmm"))</f>
        <v>Aug</v>
      </c>
      <c r="G3712" s="274" t="s">
        <v>3125</v>
      </c>
      <c r="H3712" s="274" t="s">
        <v>225</v>
      </c>
      <c r="I3712" s="274" t="s">
        <v>2773</v>
      </c>
      <c r="J3712" s="275" t="s">
        <v>650</v>
      </c>
      <c r="K3712" s="276" t="s">
        <v>2256</v>
      </c>
      <c r="L3712" s="276" t="s">
        <v>2167</v>
      </c>
      <c r="M3712" s="275" t="s">
        <v>2258</v>
      </c>
      <c r="N3712" s="274" t="s">
        <v>2259</v>
      </c>
      <c r="O3712" s="274" t="s">
        <v>110</v>
      </c>
      <c r="P3712" s="277">
        <v>36</v>
      </c>
      <c r="Q3712" s="277">
        <v>5</v>
      </c>
      <c r="R3712" s="278">
        <v>7.4999999999999997E-3</v>
      </c>
      <c r="S3712" s="274" t="s">
        <v>111</v>
      </c>
      <c r="T3712" s="274" t="s">
        <v>112</v>
      </c>
      <c r="U3712" s="274" t="s">
        <v>113</v>
      </c>
      <c r="V3712" s="279">
        <f>750-743</f>
        <v>7</v>
      </c>
      <c r="W3712" s="279">
        <f>7</f>
        <v>7</v>
      </c>
      <c r="X3712" s="280"/>
      <c r="Y3712" s="281">
        <f t="shared" ref="Y3712" si="1940">(W3712+X3712)-V3712</f>
        <v>0</v>
      </c>
      <c r="Z3712" s="282">
        <f t="shared" ref="Z3712" si="1941">IF(Y3712&lt;0,((V3712*P3712)-((W3712+X3712)*P3712)),0)</f>
        <v>0</v>
      </c>
      <c r="AA3712" s="282">
        <f t="shared" ref="AA3712" si="1942">Q3712*Z3712</f>
        <v>0</v>
      </c>
      <c r="AB3712" s="812">
        <v>9.7000000000000003E-3</v>
      </c>
      <c r="AC3712" s="279">
        <f t="shared" ref="AC3712" si="1943">Z3712*AB3712</f>
        <v>0</v>
      </c>
      <c r="AD3712" s="324" t="s">
        <v>3111</v>
      </c>
      <c r="AE3712" s="210">
        <f t="shared" ref="AE3712" si="1944">SUM(Q3712*R3712*Z3712)/1000</f>
        <v>0</v>
      </c>
      <c r="AF3712" s="210">
        <f t="shared" ref="AF3712" si="1945">AE3712/0.54</f>
        <v>0</v>
      </c>
      <c r="AG3712" s="211">
        <f t="shared" ref="AG3712" si="1946">MID(O3712,1,3)/1000</f>
        <v>0.308</v>
      </c>
      <c r="AH3712" s="157">
        <f t="shared" ref="AH3712" si="1947">(Z3712*AG3712)/1000</f>
        <v>0</v>
      </c>
      <c r="AI3712" s="152">
        <f t="shared" ref="AI3712" si="1948">V3712*P3712</f>
        <v>252</v>
      </c>
      <c r="AK3712" s="156" t="s">
        <v>691</v>
      </c>
      <c r="AL3712" s="574" t="s">
        <v>690</v>
      </c>
      <c r="AM3712" s="198">
        <f t="shared" ref="AM3712" si="1949">AG3712*Z3712</f>
        <v>0</v>
      </c>
      <c r="AN3712" s="199">
        <f t="shared" ref="AN3712" si="1950">B3712</f>
        <v>46260</v>
      </c>
      <c r="AO3712" s="159" t="s">
        <v>692</v>
      </c>
      <c r="AP3712" s="781"/>
      <c r="AQ3712" s="782">
        <v>12063755</v>
      </c>
      <c r="AR3712" s="782">
        <v>12061353</v>
      </c>
      <c r="AS3712" s="782">
        <v>12061354</v>
      </c>
      <c r="AT3712" s="782">
        <v>12095367</v>
      </c>
      <c r="AU3712" s="781"/>
      <c r="AV3712" s="782">
        <v>12095366</v>
      </c>
      <c r="AW3712" s="782">
        <v>12088207</v>
      </c>
      <c r="AX3712" s="782"/>
      <c r="AY3712" s="782">
        <v>12095368</v>
      </c>
      <c r="AZ3712" s="782"/>
      <c r="BA3712" s="781"/>
      <c r="BB3712" s="209">
        <v>23054743</v>
      </c>
    </row>
    <row r="3713" spans="1:54" ht="24.65" customHeight="1">
      <c r="B3713" s="411">
        <v>46261</v>
      </c>
      <c r="C3713" s="645" t="s">
        <v>3075</v>
      </c>
      <c r="D3713" s="185">
        <f>IF(B3713="","",YEAR(B3713))</f>
        <v>2026</v>
      </c>
      <c r="E3713" s="412" t="e">
        <f>VLOOKUP($B3713,Week!$A$1:$C$1462,2,0)</f>
        <v>#N/A</v>
      </c>
      <c r="F3713" s="413" t="str">
        <f>IF(B3713="","",TEXT(B3713,"[$-409]mmm"))</f>
        <v>Aug</v>
      </c>
      <c r="G3713" s="414" t="s">
        <v>47</v>
      </c>
      <c r="H3713" s="414" t="s">
        <v>260</v>
      </c>
      <c r="I3713" s="414" t="s">
        <v>2702</v>
      </c>
      <c r="J3713" s="415" t="s">
        <v>261</v>
      </c>
      <c r="K3713" s="416" t="s">
        <v>94</v>
      </c>
      <c r="L3713" s="300" t="s">
        <v>2167</v>
      </c>
      <c r="M3713" s="415" t="s">
        <v>2339</v>
      </c>
      <c r="N3713" s="414" t="s">
        <v>263</v>
      </c>
      <c r="O3713" s="414" t="s">
        <v>195</v>
      </c>
      <c r="P3713" s="417">
        <v>24</v>
      </c>
      <c r="Q3713" s="417">
        <v>5</v>
      </c>
      <c r="R3713" s="418">
        <v>8.0000000000000002E-3</v>
      </c>
      <c r="S3713" s="414" t="s">
        <v>40</v>
      </c>
      <c r="T3713" s="414" t="s">
        <v>56</v>
      </c>
      <c r="U3713" s="414" t="s">
        <v>57</v>
      </c>
      <c r="V3713" s="419">
        <v>4899</v>
      </c>
      <c r="W3713" s="419">
        <f>4899</f>
        <v>4899</v>
      </c>
      <c r="X3713" s="420"/>
      <c r="Y3713" s="421">
        <f>(W3713+X3713)-V3713</f>
        <v>0</v>
      </c>
      <c r="Z3713" s="422">
        <f>IF(Y3713&lt;0,((V3713*P3713)-((W3713+X3713)*P3713)),0)</f>
        <v>0</v>
      </c>
      <c r="AA3713" s="422">
        <f>Q3713*Z3713</f>
        <v>0</v>
      </c>
      <c r="AB3713" s="825">
        <v>7.4999999999999997E-3</v>
      </c>
      <c r="AC3713" s="419">
        <f>Z3713*AB3713</f>
        <v>0</v>
      </c>
      <c r="AD3713" s="949" t="s">
        <v>3109</v>
      </c>
      <c r="AE3713" s="210">
        <f t="shared" si="1936"/>
        <v>0</v>
      </c>
      <c r="AF3713" s="210">
        <f t="shared" si="1937"/>
        <v>0</v>
      </c>
      <c r="AG3713" s="211">
        <f>MID(O3713,1,3)/1000</f>
        <v>0.14499999999999999</v>
      </c>
      <c r="AH3713" s="157">
        <f t="shared" ref="AH3713:AH3721" si="1951">(Z3713*AG3713)/1000</f>
        <v>0</v>
      </c>
      <c r="AI3713" s="152">
        <f>V3713*P3713</f>
        <v>117576</v>
      </c>
      <c r="AK3713" s="156" t="s">
        <v>691</v>
      </c>
      <c r="AL3713" s="212" t="s">
        <v>690</v>
      </c>
      <c r="AM3713" s="198">
        <f>AG3713*Z3713</f>
        <v>0</v>
      </c>
      <c r="AN3713" s="199">
        <f>B3713</f>
        <v>46261</v>
      </c>
      <c r="AO3713" s="159" t="s">
        <v>692</v>
      </c>
      <c r="AP3713" s="783" t="s">
        <v>609</v>
      </c>
      <c r="AQ3713" s="782">
        <v>12071839</v>
      </c>
      <c r="AR3713" s="782">
        <v>12047514</v>
      </c>
      <c r="AS3713" s="782">
        <v>12047515</v>
      </c>
      <c r="AT3713" s="781"/>
      <c r="AU3713" s="781"/>
      <c r="AV3713" s="782">
        <v>12080613</v>
      </c>
      <c r="AW3713" s="781"/>
      <c r="AX3713" s="781"/>
      <c r="AY3713" s="782">
        <v>12094241</v>
      </c>
      <c r="AZ3713" s="782">
        <v>12094242</v>
      </c>
      <c r="BA3713" s="781"/>
      <c r="BB3713" s="209">
        <v>23053185</v>
      </c>
    </row>
    <row r="3714" spans="1:54" ht="24.65" customHeight="1">
      <c r="B3714" s="411">
        <v>46262</v>
      </c>
      <c r="C3714" s="645" t="s">
        <v>3075</v>
      </c>
      <c r="D3714" s="185">
        <f t="shared" ref="D3714:D3715" si="1952">IF(B3714="","",YEAR(B3714))</f>
        <v>2026</v>
      </c>
      <c r="E3714" s="412" t="e">
        <f>VLOOKUP($B3714,Week!$A$1:$C$1462,2,0)</f>
        <v>#N/A</v>
      </c>
      <c r="F3714" s="413" t="str">
        <f t="shared" ref="F3714:F3715" si="1953">IF(B3714="","",TEXT(B3714,"[$-409]mmm"))</f>
        <v>Aug</v>
      </c>
      <c r="G3714" s="414" t="s">
        <v>47</v>
      </c>
      <c r="H3714" s="414" t="s">
        <v>260</v>
      </c>
      <c r="I3714" s="414" t="s">
        <v>2702</v>
      </c>
      <c r="J3714" s="415" t="s">
        <v>261</v>
      </c>
      <c r="K3714" s="416" t="s">
        <v>94</v>
      </c>
      <c r="L3714" s="300" t="s">
        <v>2167</v>
      </c>
      <c r="M3714" s="415" t="s">
        <v>2339</v>
      </c>
      <c r="N3714" s="414" t="s">
        <v>263</v>
      </c>
      <c r="O3714" s="414" t="s">
        <v>195</v>
      </c>
      <c r="P3714" s="417">
        <v>24</v>
      </c>
      <c r="Q3714" s="417">
        <v>5</v>
      </c>
      <c r="R3714" s="418">
        <v>8.0000000000000002E-3</v>
      </c>
      <c r="S3714" s="414" t="s">
        <v>40</v>
      </c>
      <c r="T3714" s="414" t="s">
        <v>56</v>
      </c>
      <c r="U3714" s="414" t="s">
        <v>57</v>
      </c>
      <c r="V3714" s="419">
        <f>7500-33-4899</f>
        <v>2568</v>
      </c>
      <c r="W3714" s="419">
        <v>2568</v>
      </c>
      <c r="X3714" s="420"/>
      <c r="Y3714" s="421">
        <f t="shared" ref="Y3714" si="1954">(W3714+X3714)-V3714</f>
        <v>0</v>
      </c>
      <c r="Z3714" s="422">
        <f t="shared" ref="Z3714" si="1955">IF(Y3714&lt;0,((V3714*P3714)-((W3714+X3714)*P3714)),0)</f>
        <v>0</v>
      </c>
      <c r="AA3714" s="422">
        <f t="shared" ref="AA3714" si="1956">Q3714*Z3714</f>
        <v>0</v>
      </c>
      <c r="AB3714" s="825">
        <v>7.4999999999999997E-3</v>
      </c>
      <c r="AC3714" s="419">
        <f t="shared" ref="AC3714" si="1957">Z3714*AB3714</f>
        <v>0</v>
      </c>
      <c r="AD3714" s="949" t="s">
        <v>3109</v>
      </c>
      <c r="AE3714" s="210">
        <f t="shared" si="1936"/>
        <v>0</v>
      </c>
      <c r="AF3714" s="210">
        <f t="shared" si="1937"/>
        <v>0</v>
      </c>
      <c r="AG3714" s="211">
        <f t="shared" ref="AG3714" si="1958">MID(O3714,1,3)/1000</f>
        <v>0.14499999999999999</v>
      </c>
      <c r="AH3714" s="157">
        <f t="shared" si="1951"/>
        <v>0</v>
      </c>
      <c r="AI3714" s="152">
        <f t="shared" ref="AI3714" si="1959">V3714*P3714</f>
        <v>61632</v>
      </c>
      <c r="AK3714" s="156" t="s">
        <v>691</v>
      </c>
      <c r="AL3714" s="212" t="s">
        <v>690</v>
      </c>
      <c r="AM3714" s="198">
        <f t="shared" ref="AM3714" si="1960">AG3714*Z3714</f>
        <v>0</v>
      </c>
      <c r="AN3714" s="199">
        <f t="shared" ref="AN3714" si="1961">B3714</f>
        <v>46262</v>
      </c>
      <c r="AO3714" s="159" t="s">
        <v>692</v>
      </c>
      <c r="AP3714" s="783" t="s">
        <v>609</v>
      </c>
      <c r="AQ3714" s="782">
        <v>12071839</v>
      </c>
      <c r="AR3714" s="782">
        <v>12047514</v>
      </c>
      <c r="AS3714" s="782">
        <v>12047515</v>
      </c>
      <c r="AT3714" s="781"/>
      <c r="AU3714" s="781"/>
      <c r="AV3714" s="782">
        <v>12080613</v>
      </c>
      <c r="AW3714" s="781"/>
      <c r="AX3714" s="781"/>
      <c r="AY3714" s="782">
        <v>12094241</v>
      </c>
      <c r="AZ3714" s="782">
        <v>12094242</v>
      </c>
      <c r="BA3714" s="781"/>
      <c r="BB3714" s="209">
        <v>23053185</v>
      </c>
    </row>
    <row r="3715" spans="1:54" ht="24.65" customHeight="1">
      <c r="B3715" s="411">
        <v>46262</v>
      </c>
      <c r="C3715" s="645" t="s">
        <v>3146</v>
      </c>
      <c r="D3715" s="185">
        <f t="shared" si="1952"/>
        <v>2026</v>
      </c>
      <c r="E3715" s="412" t="e">
        <f>VLOOKUP($B3715,Week!$A$1:$C$1462,2,0)</f>
        <v>#N/A</v>
      </c>
      <c r="F3715" s="413" t="str">
        <f t="shared" si="1953"/>
        <v>Aug</v>
      </c>
      <c r="G3715" s="414" t="s">
        <v>47</v>
      </c>
      <c r="H3715" s="414" t="s">
        <v>260</v>
      </c>
      <c r="I3715" s="414" t="s">
        <v>2702</v>
      </c>
      <c r="J3715" s="415" t="s">
        <v>261</v>
      </c>
      <c r="K3715" s="416" t="s">
        <v>94</v>
      </c>
      <c r="L3715" s="300" t="s">
        <v>2167</v>
      </c>
      <c r="M3715" s="415" t="s">
        <v>2339</v>
      </c>
      <c r="N3715" s="414" t="s">
        <v>263</v>
      </c>
      <c r="O3715" s="414" t="s">
        <v>195</v>
      </c>
      <c r="P3715" s="417">
        <v>24</v>
      </c>
      <c r="Q3715" s="417">
        <v>5</v>
      </c>
      <c r="R3715" s="418">
        <v>8.0000000000000002E-3</v>
      </c>
      <c r="S3715" s="414" t="s">
        <v>40</v>
      </c>
      <c r="T3715" s="414" t="s">
        <v>56</v>
      </c>
      <c r="U3715" s="414" t="s">
        <v>57</v>
      </c>
      <c r="V3715" s="419">
        <f>136</f>
        <v>136</v>
      </c>
      <c r="W3715" s="419">
        <f>2704-2568</f>
        <v>136</v>
      </c>
      <c r="X3715" s="420"/>
      <c r="Y3715" s="421">
        <f>(W3715+X3715)-V3715</f>
        <v>0</v>
      </c>
      <c r="Z3715" s="422">
        <f>IF(Y3715&lt;0,((V3715*P3715)-((W3715+X3715)*P3715)),0)</f>
        <v>0</v>
      </c>
      <c r="AA3715" s="422">
        <f>Q3715*Z3715</f>
        <v>0</v>
      </c>
      <c r="AB3715" s="825">
        <v>7.4999999999999997E-3</v>
      </c>
      <c r="AC3715" s="419">
        <f>Z3715*AB3715</f>
        <v>0</v>
      </c>
      <c r="AD3715" s="949" t="s">
        <v>3109</v>
      </c>
      <c r="AE3715" s="210">
        <f>SUM(Q3715*R3715*Z3715)/1000</f>
        <v>0</v>
      </c>
      <c r="AF3715" s="210">
        <f>AE3715/0.54</f>
        <v>0</v>
      </c>
      <c r="AG3715" s="211">
        <f>MID(O3715,1,3)/1000</f>
        <v>0.14499999999999999</v>
      </c>
      <c r="AH3715" s="157">
        <f>(Z3715*AG3715)/1000</f>
        <v>0</v>
      </c>
      <c r="AI3715" s="152">
        <f>V3715*P3715</f>
        <v>3264</v>
      </c>
      <c r="AK3715" s="156" t="s">
        <v>691</v>
      </c>
      <c r="AL3715" s="212" t="s">
        <v>690</v>
      </c>
      <c r="AM3715" s="198">
        <f>AG3715*Z3715</f>
        <v>0</v>
      </c>
      <c r="AN3715" s="199">
        <f>B3715</f>
        <v>46262</v>
      </c>
      <c r="AO3715" s="159" t="s">
        <v>692</v>
      </c>
      <c r="AP3715" s="783" t="s">
        <v>609</v>
      </c>
      <c r="AQ3715" s="782">
        <v>12071839</v>
      </c>
      <c r="AR3715" s="782">
        <v>12047514</v>
      </c>
      <c r="AS3715" s="782">
        <v>12047515</v>
      </c>
      <c r="AT3715" s="781"/>
      <c r="AU3715" s="781"/>
      <c r="AV3715" s="782">
        <v>12080613</v>
      </c>
      <c r="AW3715" s="781"/>
      <c r="AX3715" s="781"/>
      <c r="AY3715" s="782">
        <v>12094241</v>
      </c>
      <c r="AZ3715" s="782">
        <v>12094242</v>
      </c>
      <c r="BA3715" s="781"/>
      <c r="BB3715" s="209">
        <v>23053185</v>
      </c>
    </row>
    <row r="3716" spans="1:54" ht="24.75" customHeight="1">
      <c r="B3716" s="602">
        <v>46262</v>
      </c>
      <c r="C3716" s="861" t="s">
        <v>3075</v>
      </c>
      <c r="D3716" s="604">
        <f>IF(B3716="","",YEAR(B3716))</f>
        <v>2026</v>
      </c>
      <c r="E3716" s="603" t="e">
        <f>VLOOKUP($B3716,Week!$A$1:$C$1462,2,0)</f>
        <v>#N/A</v>
      </c>
      <c r="F3716" s="605" t="str">
        <f>IF(B3716="","",TEXT(B3716,"[$-409]mmm"))</f>
        <v>Aug</v>
      </c>
      <c r="G3716" s="938" t="s">
        <v>47</v>
      </c>
      <c r="H3716" s="604" t="s">
        <v>260</v>
      </c>
      <c r="I3716" s="604" t="s">
        <v>2702</v>
      </c>
      <c r="J3716" s="939" t="s">
        <v>2240</v>
      </c>
      <c r="K3716" s="607" t="s">
        <v>94</v>
      </c>
      <c r="L3716" s="607" t="s">
        <v>2167</v>
      </c>
      <c r="M3716" s="606" t="s">
        <v>2338</v>
      </c>
      <c r="N3716" s="604" t="s">
        <v>2997</v>
      </c>
      <c r="O3716" s="604" t="s">
        <v>54</v>
      </c>
      <c r="P3716" s="608">
        <v>24</v>
      </c>
      <c r="Q3716" s="608">
        <v>5</v>
      </c>
      <c r="R3716" s="609">
        <v>6.1999999999999998E-3</v>
      </c>
      <c r="S3716" s="604" t="s">
        <v>352</v>
      </c>
      <c r="T3716" s="604" t="s">
        <v>56</v>
      </c>
      <c r="U3716" s="604" t="s">
        <v>57</v>
      </c>
      <c r="V3716" s="610">
        <v>1915</v>
      </c>
      <c r="W3716" s="610">
        <f>1+1914</f>
        <v>1915</v>
      </c>
      <c r="X3716" s="611"/>
      <c r="Y3716" s="612">
        <f>(W3716+X3716)-V3716</f>
        <v>0</v>
      </c>
      <c r="Z3716" s="613">
        <f>IF(Y3716&lt;0,((V3716*P3716)-((W3716+X3716)*P3716)),0)</f>
        <v>0</v>
      </c>
      <c r="AA3716" s="613">
        <f>Q3716*Z3716</f>
        <v>0</v>
      </c>
      <c r="AB3716" s="836">
        <v>7.4999999999999997E-3</v>
      </c>
      <c r="AC3716" s="610">
        <f>Z3716*AB3716</f>
        <v>0</v>
      </c>
      <c r="AD3716" s="443"/>
      <c r="AE3716" s="210">
        <f t="shared" ref="AE3716" si="1962">SUM(Q3716*R3716*Z3716)/1000</f>
        <v>0</v>
      </c>
      <c r="AF3716" s="210">
        <f t="shared" ref="AF3716" si="1963">AE3716/0.54</f>
        <v>0</v>
      </c>
      <c r="AG3716" s="211">
        <f>MID(O3716,1,3)/1000</f>
        <v>0.13500000000000001</v>
      </c>
      <c r="AH3716" s="157">
        <f>(Z3716*AG3716)/1000</f>
        <v>0</v>
      </c>
      <c r="AI3716" s="152">
        <f>V3716*P3716</f>
        <v>45960</v>
      </c>
      <c r="AK3716" s="156" t="s">
        <v>691</v>
      </c>
      <c r="AL3716" s="574" t="s">
        <v>690</v>
      </c>
      <c r="AM3716" s="198">
        <f>AG3716*Z3716</f>
        <v>0</v>
      </c>
      <c r="AN3716" s="199">
        <f>B3716</f>
        <v>46262</v>
      </c>
      <c r="AO3716" s="159" t="s">
        <v>692</v>
      </c>
      <c r="AP3716" s="783" t="s">
        <v>622</v>
      </c>
      <c r="AQ3716" s="782">
        <v>12071839</v>
      </c>
      <c r="AR3716" s="782">
        <v>12099098</v>
      </c>
      <c r="AS3716" s="782">
        <v>12068233</v>
      </c>
      <c r="AT3716" s="781"/>
      <c r="AU3716" s="781"/>
      <c r="AV3716" s="782">
        <v>12099466</v>
      </c>
      <c r="AW3716" s="781"/>
      <c r="AX3716" s="781"/>
      <c r="AY3716" s="782">
        <v>12099097</v>
      </c>
      <c r="AZ3716" s="782"/>
      <c r="BA3716" s="781"/>
      <c r="BB3716" s="209">
        <v>23053184</v>
      </c>
    </row>
    <row r="3717" spans="1:54" ht="25" customHeight="1">
      <c r="B3717" s="357">
        <v>46263</v>
      </c>
      <c r="C3717" s="358">
        <v>46301</v>
      </c>
      <c r="D3717" s="185">
        <f>IF(B3717="","",YEAR(B3717))</f>
        <v>2026</v>
      </c>
      <c r="E3717" s="358" t="e">
        <f>VLOOKUP($B3717,Week!$A$1:$C$1462,2,0)</f>
        <v>#N/A</v>
      </c>
      <c r="F3717" s="360" t="str">
        <f>IF(B3717="","",TEXT(B3717,"[$-409]mmm"))</f>
        <v>Aug</v>
      </c>
      <c r="G3717" s="436" t="s">
        <v>3149</v>
      </c>
      <c r="H3717" s="359" t="s">
        <v>225</v>
      </c>
      <c r="I3717" s="359" t="s">
        <v>2773</v>
      </c>
      <c r="J3717" s="361" t="s">
        <v>650</v>
      </c>
      <c r="K3717" s="362" t="s">
        <v>593</v>
      </c>
      <c r="L3717" s="300" t="s">
        <v>2167</v>
      </c>
      <c r="M3717" s="361" t="s">
        <v>717</v>
      </c>
      <c r="N3717" s="359" t="s">
        <v>719</v>
      </c>
      <c r="O3717" s="359" t="s">
        <v>230</v>
      </c>
      <c r="P3717" s="363">
        <v>12</v>
      </c>
      <c r="Q3717" s="363">
        <v>5</v>
      </c>
      <c r="R3717" s="364">
        <v>6.0000000000000001E-3</v>
      </c>
      <c r="S3717" s="359" t="s">
        <v>55</v>
      </c>
      <c r="T3717" s="359" t="s">
        <v>112</v>
      </c>
      <c r="U3717" s="359" t="s">
        <v>57</v>
      </c>
      <c r="V3717" s="365">
        <v>2600</v>
      </c>
      <c r="W3717" s="365"/>
      <c r="X3717" s="366">
        <f>(1492+29708)/12</f>
        <v>2600</v>
      </c>
      <c r="Y3717" s="367">
        <f>(W3717+X3717)-V3717</f>
        <v>0</v>
      </c>
      <c r="Z3717" s="368">
        <f>IF(Y3717&lt;0,((V3717*P3717)-((W3717+X3717)*P3717)),0)</f>
        <v>0</v>
      </c>
      <c r="AA3717" s="368">
        <f>Q3717*Z3717</f>
        <v>0</v>
      </c>
      <c r="AB3717" s="819">
        <v>7.4999999999999997E-3</v>
      </c>
      <c r="AC3717" s="365">
        <f>Z3717*AB3717</f>
        <v>0</v>
      </c>
      <c r="AD3717" s="443"/>
      <c r="AE3717" s="210">
        <f>SUM(Q3717*R3717*Z3717)/1000</f>
        <v>0</v>
      </c>
      <c r="AF3717" s="210">
        <f>AE3717/0.54</f>
        <v>0</v>
      </c>
      <c r="AG3717" s="211">
        <f>MID(O3717,1,3)/1000</f>
        <v>0.25800000000000001</v>
      </c>
      <c r="AH3717" s="157">
        <f>(Z3717*AG3717)/1000</f>
        <v>0</v>
      </c>
      <c r="AI3717" s="152">
        <f>V3717*P3717</f>
        <v>31200</v>
      </c>
      <c r="AK3717" s="156" t="s">
        <v>691</v>
      </c>
      <c r="AL3717" s="574" t="s">
        <v>690</v>
      </c>
      <c r="AM3717" s="198">
        <f>AG3717*Z3717</f>
        <v>0</v>
      </c>
      <c r="AN3717" s="199">
        <f>B3717</f>
        <v>46263</v>
      </c>
      <c r="AO3717" s="159" t="s">
        <v>692</v>
      </c>
      <c r="AP3717" s="783" t="s">
        <v>612</v>
      </c>
      <c r="AQ3717" s="782">
        <v>12071839</v>
      </c>
      <c r="AR3717" s="782">
        <v>12042650</v>
      </c>
      <c r="AS3717" s="782">
        <v>12042649</v>
      </c>
      <c r="AT3717" s="782">
        <v>12096387</v>
      </c>
      <c r="AU3717" s="781"/>
      <c r="AV3717" s="782">
        <v>12088422</v>
      </c>
      <c r="AW3717" s="782"/>
      <c r="AX3717" s="782"/>
      <c r="AY3717" s="782"/>
      <c r="AZ3717" s="782"/>
      <c r="BA3717" s="781"/>
      <c r="BB3717" s="209">
        <v>23053185</v>
      </c>
    </row>
    <row r="3718" spans="1:54" ht="24.75" customHeight="1">
      <c r="B3718" s="602">
        <v>46263</v>
      </c>
      <c r="C3718" s="861" t="s">
        <v>3075</v>
      </c>
      <c r="D3718" s="604">
        <f>IF(B3718="","",YEAR(B3718))</f>
        <v>2026</v>
      </c>
      <c r="E3718" s="603" t="e">
        <f>VLOOKUP($B3718,Week!$A$1:$C$1462,2,0)</f>
        <v>#N/A</v>
      </c>
      <c r="F3718" s="605" t="str">
        <f>IF(B3718="","",TEXT(B3718,"[$-409]mmm"))</f>
        <v>Aug</v>
      </c>
      <c r="G3718" s="938" t="s">
        <v>47</v>
      </c>
      <c r="H3718" s="604" t="s">
        <v>260</v>
      </c>
      <c r="I3718" s="604" t="s">
        <v>2702</v>
      </c>
      <c r="J3718" s="939" t="s">
        <v>2240</v>
      </c>
      <c r="K3718" s="607" t="s">
        <v>94</v>
      </c>
      <c r="L3718" s="607" t="s">
        <v>2167</v>
      </c>
      <c r="M3718" s="606" t="s">
        <v>2338</v>
      </c>
      <c r="N3718" s="604" t="s">
        <v>2997</v>
      </c>
      <c r="O3718" s="604" t="s">
        <v>54</v>
      </c>
      <c r="P3718" s="608">
        <v>24</v>
      </c>
      <c r="Q3718" s="608">
        <v>5</v>
      </c>
      <c r="R3718" s="609">
        <v>6.1999999999999998E-3</v>
      </c>
      <c r="S3718" s="604" t="s">
        <v>352</v>
      </c>
      <c r="T3718" s="604" t="s">
        <v>56</v>
      </c>
      <c r="U3718" s="604" t="s">
        <v>57</v>
      </c>
      <c r="V3718" s="610">
        <f>10350-2189-2958-1915</f>
        <v>3288</v>
      </c>
      <c r="W3718" s="610">
        <v>3288</v>
      </c>
      <c r="X3718" s="611"/>
      <c r="Y3718" s="612">
        <f>(W3718+X3718)-V3718</f>
        <v>0</v>
      </c>
      <c r="Z3718" s="613">
        <f>IF(Y3718&lt;0,((V3718*P3718)-((W3718+X3718)*P3718)),0)</f>
        <v>0</v>
      </c>
      <c r="AA3718" s="613">
        <f>Q3718*Z3718</f>
        <v>0</v>
      </c>
      <c r="AB3718" s="836">
        <v>7.4999999999999997E-3</v>
      </c>
      <c r="AC3718" s="610">
        <f>Z3718*AB3718</f>
        <v>0</v>
      </c>
      <c r="AD3718" s="443"/>
      <c r="AE3718" s="210">
        <f t="shared" ref="AE3718" si="1964">SUM(Q3718*R3718*Z3718)/1000</f>
        <v>0</v>
      </c>
      <c r="AF3718" s="210">
        <f t="shared" ref="AF3718" si="1965">AE3718/0.54</f>
        <v>0</v>
      </c>
      <c r="AG3718" s="211">
        <f>MID(O3718,1,3)/1000</f>
        <v>0.13500000000000001</v>
      </c>
      <c r="AH3718" s="157">
        <f>(Z3718*AG3718)/1000</f>
        <v>0</v>
      </c>
      <c r="AI3718" s="152">
        <f>V3718*P3718</f>
        <v>78912</v>
      </c>
      <c r="AK3718" s="156" t="s">
        <v>691</v>
      </c>
      <c r="AL3718" s="574" t="s">
        <v>690</v>
      </c>
      <c r="AM3718" s="198">
        <f>AG3718*Z3718</f>
        <v>0</v>
      </c>
      <c r="AN3718" s="199">
        <f>B3718</f>
        <v>46263</v>
      </c>
      <c r="AO3718" s="159" t="s">
        <v>692</v>
      </c>
      <c r="AP3718" s="783" t="s">
        <v>622</v>
      </c>
      <c r="AQ3718" s="782">
        <v>12071839</v>
      </c>
      <c r="AR3718" s="782">
        <v>12099098</v>
      </c>
      <c r="AS3718" s="782">
        <v>12068233</v>
      </c>
      <c r="AT3718" s="781"/>
      <c r="AU3718" s="781"/>
      <c r="AV3718" s="782">
        <v>12099466</v>
      </c>
      <c r="AW3718" s="781"/>
      <c r="AX3718" s="781"/>
      <c r="AY3718" s="782">
        <v>12099097</v>
      </c>
      <c r="AZ3718" s="782"/>
      <c r="BA3718" s="781"/>
      <c r="BB3718" s="209">
        <v>23053184</v>
      </c>
    </row>
    <row r="3719" spans="1:54" ht="24.75" customHeight="1">
      <c r="B3719" s="602">
        <v>46263</v>
      </c>
      <c r="C3719" s="861" t="s">
        <v>3146</v>
      </c>
      <c r="D3719" s="604">
        <f t="shared" ref="D3719" si="1966">IF(B3719="","",YEAR(B3719))</f>
        <v>2026</v>
      </c>
      <c r="E3719" s="603" t="e">
        <f>VLOOKUP($B3719,Week!$A$1:$C$1462,2,0)</f>
        <v>#N/A</v>
      </c>
      <c r="F3719" s="605" t="str">
        <f t="shared" ref="F3719" si="1967">IF(B3719="","",TEXT(B3719,"[$-409]mmm"))</f>
        <v>Aug</v>
      </c>
      <c r="G3719" s="938" t="s">
        <v>47</v>
      </c>
      <c r="H3719" s="604" t="s">
        <v>260</v>
      </c>
      <c r="I3719" s="604" t="s">
        <v>2702</v>
      </c>
      <c r="J3719" s="939" t="s">
        <v>2240</v>
      </c>
      <c r="K3719" s="607" t="s">
        <v>94</v>
      </c>
      <c r="L3719" s="607" t="s">
        <v>2167</v>
      </c>
      <c r="M3719" s="606" t="s">
        <v>2338</v>
      </c>
      <c r="N3719" s="604" t="s">
        <v>2997</v>
      </c>
      <c r="O3719" s="604" t="s">
        <v>54</v>
      </c>
      <c r="P3719" s="608">
        <v>24</v>
      </c>
      <c r="Q3719" s="608">
        <v>5</v>
      </c>
      <c r="R3719" s="609">
        <v>6.1999999999999998E-3</v>
      </c>
      <c r="S3719" s="604" t="s">
        <v>352</v>
      </c>
      <c r="T3719" s="604" t="s">
        <v>56</v>
      </c>
      <c r="U3719" s="604" t="s">
        <v>57</v>
      </c>
      <c r="V3719" s="610">
        <f>3481-3288</f>
        <v>193</v>
      </c>
      <c r="W3719" s="610">
        <v>193</v>
      </c>
      <c r="X3719" s="611"/>
      <c r="Y3719" s="612">
        <f>(W3719+X3719)-V3719</f>
        <v>0</v>
      </c>
      <c r="Z3719" s="613">
        <f>IF(Y3719&lt;0,((V3719*P3719)-((W3719+X3719)*P3719)),0)</f>
        <v>0</v>
      </c>
      <c r="AA3719" s="613">
        <f>Q3719*Z3719</f>
        <v>0</v>
      </c>
      <c r="AB3719" s="836">
        <v>7.4999999999999997E-3</v>
      </c>
      <c r="AC3719" s="610">
        <f>Z3719*AB3719</f>
        <v>0</v>
      </c>
      <c r="AD3719" s="443"/>
      <c r="AE3719" s="210">
        <f>SUM(Q3719*R3719*Z3719)/1000</f>
        <v>0</v>
      </c>
      <c r="AF3719" s="210">
        <f>AE3719/0.54</f>
        <v>0</v>
      </c>
      <c r="AG3719" s="211">
        <f>MID(O3719,1,3)/1000</f>
        <v>0.13500000000000001</v>
      </c>
      <c r="AH3719" s="157">
        <f>(Z3719*AG3719)/1000</f>
        <v>0</v>
      </c>
      <c r="AI3719" s="152">
        <f>V3719*P3719</f>
        <v>4632</v>
      </c>
      <c r="AK3719" s="156" t="s">
        <v>691</v>
      </c>
      <c r="AL3719" s="574" t="s">
        <v>690</v>
      </c>
      <c r="AM3719" s="198">
        <f>AG3719*Z3719</f>
        <v>0</v>
      </c>
      <c r="AN3719" s="199">
        <f>B3719</f>
        <v>46263</v>
      </c>
      <c r="AO3719" s="159" t="s">
        <v>692</v>
      </c>
      <c r="AP3719" s="783" t="s">
        <v>622</v>
      </c>
      <c r="AQ3719" s="782">
        <v>12071839</v>
      </c>
      <c r="AR3719" s="782">
        <v>12099098</v>
      </c>
      <c r="AS3719" s="782">
        <v>12068233</v>
      </c>
      <c r="AT3719" s="781"/>
      <c r="AU3719" s="781"/>
      <c r="AV3719" s="782">
        <v>12099466</v>
      </c>
      <c r="AW3719" s="781"/>
      <c r="AX3719" s="781"/>
      <c r="AY3719" s="782">
        <v>12099097</v>
      </c>
      <c r="AZ3719" s="782"/>
      <c r="BA3719" s="781"/>
      <c r="BB3719" s="209">
        <v>23053184</v>
      </c>
    </row>
    <row r="3720" spans="1:54" ht="24.65" customHeight="1">
      <c r="B3720" s="308">
        <v>46264</v>
      </c>
      <c r="C3720" s="309">
        <v>46289</v>
      </c>
      <c r="D3720" s="185">
        <f t="shared" ref="D3720:D3721" si="1968">IF(B3720="","",YEAR(B3720))</f>
        <v>2026</v>
      </c>
      <c r="E3720" s="309" t="e">
        <f>VLOOKUP($B3720,Week!$A$1:$C$1462,2,0)</f>
        <v>#N/A</v>
      </c>
      <c r="F3720" s="310" t="str">
        <f t="shared" ref="F3720:F3721" si="1969">IF(B3720="","",TEXT(B3720,"[$-409]mmm"))</f>
        <v>Aug</v>
      </c>
      <c r="G3720" s="311" t="s">
        <v>3130</v>
      </c>
      <c r="H3720" s="311" t="s">
        <v>311</v>
      </c>
      <c r="I3720" s="311" t="s">
        <v>2772</v>
      </c>
      <c r="J3720" s="312" t="s">
        <v>738</v>
      </c>
      <c r="K3720" s="313" t="s">
        <v>107</v>
      </c>
      <c r="L3720" s="300" t="s">
        <v>2167</v>
      </c>
      <c r="M3720" s="312" t="s">
        <v>313</v>
      </c>
      <c r="N3720" s="311" t="s">
        <v>314</v>
      </c>
      <c r="O3720" s="311" t="s">
        <v>110</v>
      </c>
      <c r="P3720" s="314">
        <v>36</v>
      </c>
      <c r="Q3720" s="314">
        <v>5</v>
      </c>
      <c r="R3720" s="315">
        <v>7.4999999999999997E-3</v>
      </c>
      <c r="S3720" s="311" t="s">
        <v>111</v>
      </c>
      <c r="T3720" s="311" t="s">
        <v>112</v>
      </c>
      <c r="U3720" s="311" t="s">
        <v>57</v>
      </c>
      <c r="V3720" s="316">
        <v>792</v>
      </c>
      <c r="W3720" s="316">
        <f>28+764</f>
        <v>792</v>
      </c>
      <c r="X3720" s="317"/>
      <c r="Y3720" s="318">
        <f t="shared" ref="Y3720:Y3721" si="1970">(W3720+X3720)-V3720</f>
        <v>0</v>
      </c>
      <c r="Z3720" s="319">
        <f t="shared" ref="Z3720:Z3721" si="1971">IF(Y3720&lt;0,((V3720*P3720)-((W3720+X3720)*P3720)),0)</f>
        <v>0</v>
      </c>
      <c r="AA3720" s="319">
        <f t="shared" ref="AA3720:AA3721" si="1972">Q3720*Z3720</f>
        <v>0</v>
      </c>
      <c r="AB3720" s="815">
        <v>7.4999999999999997E-3</v>
      </c>
      <c r="AC3720" s="316">
        <f t="shared" ref="AC3720:AC3721" si="1973">Z3720*AB3720</f>
        <v>0</v>
      </c>
      <c r="AD3720" s="209"/>
      <c r="AE3720" s="210">
        <f>SUM(Q3720*R3720*Z3720)/1000</f>
        <v>0</v>
      </c>
      <c r="AF3720" s="210">
        <f>AE3720/0.54</f>
        <v>0</v>
      </c>
      <c r="AG3720" s="211">
        <f t="shared" ref="AG3720:AG3721" si="1974">MID(O3720,1,3)/1000</f>
        <v>0.308</v>
      </c>
      <c r="AH3720" s="157">
        <f t="shared" si="1951"/>
        <v>0</v>
      </c>
      <c r="AI3720" s="152">
        <f t="shared" ref="AI3720:AI3721" si="1975">V3720*P3720</f>
        <v>28512</v>
      </c>
      <c r="AK3720" s="156" t="s">
        <v>691</v>
      </c>
      <c r="AL3720" s="212" t="s">
        <v>690</v>
      </c>
      <c r="AM3720" s="198">
        <f t="shared" ref="AM3720:AM3721" si="1976">AG3720*Z3720</f>
        <v>0</v>
      </c>
      <c r="AN3720" s="199">
        <f t="shared" ref="AN3720:AN3721" si="1977">B3720</f>
        <v>46264</v>
      </c>
      <c r="AO3720" s="159" t="s">
        <v>692</v>
      </c>
      <c r="AP3720" s="783" t="s">
        <v>644</v>
      </c>
      <c r="AQ3720" s="782">
        <v>12063755</v>
      </c>
      <c r="AR3720" s="782">
        <v>12081257</v>
      </c>
      <c r="AS3720" s="782">
        <v>12081260</v>
      </c>
      <c r="AT3720" s="782">
        <v>12098623</v>
      </c>
      <c r="AU3720" s="781"/>
      <c r="AV3720" s="782">
        <v>12098706</v>
      </c>
      <c r="AW3720" s="782">
        <v>12088207</v>
      </c>
      <c r="AX3720" s="782"/>
      <c r="AY3720" s="782">
        <v>12094237</v>
      </c>
      <c r="AZ3720" s="782"/>
      <c r="BA3720" s="781"/>
      <c r="BB3720" s="209">
        <v>23053185</v>
      </c>
    </row>
    <row r="3721" spans="1:54" ht="24.65" customHeight="1">
      <c r="B3721" s="308">
        <v>46264</v>
      </c>
      <c r="C3721" s="309">
        <v>46289</v>
      </c>
      <c r="D3721" s="185">
        <f t="shared" si="1968"/>
        <v>2026</v>
      </c>
      <c r="E3721" s="309" t="e">
        <f>VLOOKUP($B3721,Week!$A$1:$C$1462,2,0)</f>
        <v>#N/A</v>
      </c>
      <c r="F3721" s="310" t="str">
        <f t="shared" si="1969"/>
        <v>Aug</v>
      </c>
      <c r="G3721" s="311" t="s">
        <v>3131</v>
      </c>
      <c r="H3721" s="311" t="s">
        <v>311</v>
      </c>
      <c r="I3721" s="311" t="s">
        <v>2772</v>
      </c>
      <c r="J3721" s="312" t="s">
        <v>738</v>
      </c>
      <c r="K3721" s="313" t="s">
        <v>107</v>
      </c>
      <c r="L3721" s="300" t="s">
        <v>2167</v>
      </c>
      <c r="M3721" s="312" t="s">
        <v>313</v>
      </c>
      <c r="N3721" s="311" t="s">
        <v>314</v>
      </c>
      <c r="O3721" s="311" t="s">
        <v>110</v>
      </c>
      <c r="P3721" s="314">
        <v>36</v>
      </c>
      <c r="Q3721" s="314">
        <v>5</v>
      </c>
      <c r="R3721" s="315">
        <v>7.4999999999999997E-3</v>
      </c>
      <c r="S3721" s="311" t="s">
        <v>111</v>
      </c>
      <c r="T3721" s="311" t="s">
        <v>112</v>
      </c>
      <c r="U3721" s="311" t="s">
        <v>57</v>
      </c>
      <c r="V3721" s="316">
        <v>792</v>
      </c>
      <c r="W3721" s="316">
        <f>1358-764</f>
        <v>594</v>
      </c>
      <c r="X3721" s="317">
        <f>(7128)/36</f>
        <v>198</v>
      </c>
      <c r="Y3721" s="318">
        <f t="shared" si="1970"/>
        <v>0</v>
      </c>
      <c r="Z3721" s="319">
        <f t="shared" si="1971"/>
        <v>0</v>
      </c>
      <c r="AA3721" s="319">
        <f t="shared" si="1972"/>
        <v>0</v>
      </c>
      <c r="AB3721" s="815">
        <v>7.4999999999999997E-3</v>
      </c>
      <c r="AC3721" s="316">
        <f t="shared" si="1973"/>
        <v>0</v>
      </c>
      <c r="AD3721" s="209"/>
      <c r="AE3721" s="210">
        <f>SUM(Q3721*R3721*Z3721)/1000</f>
        <v>0</v>
      </c>
      <c r="AF3721" s="210">
        <f>AE3721/0.54</f>
        <v>0</v>
      </c>
      <c r="AG3721" s="211">
        <f t="shared" si="1974"/>
        <v>0.308</v>
      </c>
      <c r="AH3721" s="157">
        <f t="shared" si="1951"/>
        <v>0</v>
      </c>
      <c r="AI3721" s="152">
        <f t="shared" si="1975"/>
        <v>28512</v>
      </c>
      <c r="AK3721" s="156" t="s">
        <v>691</v>
      </c>
      <c r="AL3721" s="212" t="s">
        <v>690</v>
      </c>
      <c r="AM3721" s="198">
        <f t="shared" si="1976"/>
        <v>0</v>
      </c>
      <c r="AN3721" s="199">
        <f t="shared" si="1977"/>
        <v>46264</v>
      </c>
      <c r="AO3721" s="159" t="s">
        <v>692</v>
      </c>
      <c r="AP3721" s="783" t="s">
        <v>644</v>
      </c>
      <c r="AQ3721" s="782">
        <v>12063755</v>
      </c>
      <c r="AR3721" s="782">
        <v>12081257</v>
      </c>
      <c r="AS3721" s="782">
        <v>12081260</v>
      </c>
      <c r="AT3721" s="782">
        <v>12098623</v>
      </c>
      <c r="AU3721" s="781"/>
      <c r="AV3721" s="782">
        <v>12098706</v>
      </c>
      <c r="AW3721" s="782">
        <v>12088207</v>
      </c>
      <c r="AX3721" s="782"/>
      <c r="AY3721" s="782">
        <v>12094237</v>
      </c>
      <c r="AZ3721" s="782"/>
      <c r="BA3721" s="781"/>
      <c r="BB3721" s="209">
        <v>23053185</v>
      </c>
    </row>
    <row r="3722" spans="1:54" ht="25" customHeight="1">
      <c r="A3722" s="440" t="s">
        <v>2841</v>
      </c>
      <c r="B3722" s="200">
        <v>46264</v>
      </c>
      <c r="C3722" s="201">
        <v>46282</v>
      </c>
      <c r="D3722" s="512">
        <f>IF(B3722="","",YEAR(B3722))</f>
        <v>2026</v>
      </c>
      <c r="E3722" s="201" t="e">
        <f>VLOOKUP($B3722,Week!$A$1:$C$1462,2,0)</f>
        <v>#N/A</v>
      </c>
      <c r="F3722" s="202" t="str">
        <f>IF(B3722="","",TEXT(B3722,"[$-409]mmm"))</f>
        <v>Aug</v>
      </c>
      <c r="G3722" s="512" t="s">
        <v>3175</v>
      </c>
      <c r="H3722" s="512" t="s">
        <v>311</v>
      </c>
      <c r="I3722" s="512" t="s">
        <v>2772</v>
      </c>
      <c r="J3722" s="513" t="s">
        <v>738</v>
      </c>
      <c r="K3722" s="514" t="s">
        <v>1652</v>
      </c>
      <c r="L3722" s="514" t="s">
        <v>2167</v>
      </c>
      <c r="M3722" s="513" t="s">
        <v>3034</v>
      </c>
      <c r="N3722" s="512" t="s">
        <v>3035</v>
      </c>
      <c r="O3722" s="512" t="s">
        <v>2840</v>
      </c>
      <c r="P3722" s="203">
        <v>24</v>
      </c>
      <c r="Q3722" s="203">
        <v>3</v>
      </c>
      <c r="R3722" s="204">
        <v>6.0000000000000001E-3</v>
      </c>
      <c r="S3722" s="512" t="s">
        <v>55</v>
      </c>
      <c r="T3722" s="512" t="s">
        <v>112</v>
      </c>
      <c r="U3722" s="916" t="s">
        <v>724</v>
      </c>
      <c r="V3722" s="205">
        <f>700</f>
        <v>700</v>
      </c>
      <c r="W3722" s="205">
        <f>607</f>
        <v>607</v>
      </c>
      <c r="X3722" s="206">
        <f>(346)/24</f>
        <v>14.416666666666666</v>
      </c>
      <c r="Y3722" s="207">
        <f>(W3722+X3722)-V3722</f>
        <v>-78.583333333333371</v>
      </c>
      <c r="Z3722" s="208">
        <f>IF(Y3722&lt;0,((V3722*P3722)-((W3722+X3722)*P3722)),0)</f>
        <v>1886</v>
      </c>
      <c r="AA3722" s="208">
        <f>Q3722*Z3722</f>
        <v>5658</v>
      </c>
      <c r="AB3722" s="806">
        <v>3.8699999999999998E-2</v>
      </c>
      <c r="AC3722" s="205">
        <f>Z3722*AB3722</f>
        <v>72.988199999999992</v>
      </c>
      <c r="AD3722" s="209" t="s">
        <v>2354</v>
      </c>
      <c r="AE3722" s="210">
        <f>SUM(Q3722*R3722*Z3722)/1000</f>
        <v>3.3948000000000006E-2</v>
      </c>
      <c r="AF3722" s="210">
        <f>AE3722/0.54</f>
        <v>6.2866666666666668E-2</v>
      </c>
      <c r="AG3722" s="211">
        <f>MID(O3722,1,3)/1000</f>
        <v>0.30199999999999999</v>
      </c>
      <c r="AH3722" s="157">
        <f>(Z3722*AG3722)/1000</f>
        <v>0.56957199999999997</v>
      </c>
      <c r="AI3722" s="152">
        <f>V3722*P3722</f>
        <v>16800</v>
      </c>
      <c r="AK3722" s="156" t="s">
        <v>691</v>
      </c>
      <c r="AL3722" s="212" t="s">
        <v>690</v>
      </c>
      <c r="AM3722" s="198">
        <f>AG3722*Z3722</f>
        <v>569.572</v>
      </c>
      <c r="AN3722" s="199">
        <f>B3722</f>
        <v>46264</v>
      </c>
      <c r="AO3722" s="159" t="s">
        <v>692</v>
      </c>
      <c r="AP3722" s="781" t="s">
        <v>642</v>
      </c>
      <c r="AQ3722" s="782">
        <v>12063755</v>
      </c>
      <c r="AR3722" s="782">
        <v>12081257</v>
      </c>
      <c r="AS3722" s="782">
        <v>12081260</v>
      </c>
      <c r="AT3722" s="782">
        <v>12099775</v>
      </c>
      <c r="AU3722" s="781"/>
      <c r="AV3722" s="782">
        <v>12099773</v>
      </c>
      <c r="AW3722" s="782">
        <v>12099774</v>
      </c>
      <c r="AX3722" s="782"/>
      <c r="AY3722" s="782">
        <v>12099776</v>
      </c>
      <c r="AZ3722" s="782"/>
      <c r="BA3722" s="781"/>
      <c r="BB3722" s="209">
        <v>23105470</v>
      </c>
    </row>
    <row r="3723" spans="1:54" ht="25" customHeight="1">
      <c r="B3723" s="385">
        <v>46264</v>
      </c>
      <c r="C3723" s="386">
        <v>46294</v>
      </c>
      <c r="D3723" s="185">
        <f t="shared" ref="D3723" si="1978">IF(B3723="","",YEAR(B3723))</f>
        <v>2026</v>
      </c>
      <c r="E3723" s="386" t="e">
        <f>VLOOKUP($B3723,Week!$A$1:$C$1462,2,0)</f>
        <v>#N/A</v>
      </c>
      <c r="F3723" s="387" t="str">
        <f t="shared" ref="F3723" si="1979">IF(B3723="","",TEXT(B3723,"[$-409]mmm"))</f>
        <v>Aug</v>
      </c>
      <c r="G3723" s="388" t="s">
        <v>3148</v>
      </c>
      <c r="H3723" s="388" t="s">
        <v>571</v>
      </c>
      <c r="I3723" s="388" t="s">
        <v>2772</v>
      </c>
      <c r="J3723" s="389" t="s">
        <v>663</v>
      </c>
      <c r="K3723" s="390" t="s">
        <v>1652</v>
      </c>
      <c r="L3723" s="300" t="s">
        <v>2167</v>
      </c>
      <c r="M3723" s="389" t="s">
        <v>682</v>
      </c>
      <c r="N3723" s="388" t="s">
        <v>718</v>
      </c>
      <c r="O3723" s="388" t="s">
        <v>659</v>
      </c>
      <c r="P3723" s="391">
        <v>12</v>
      </c>
      <c r="Q3723" s="391">
        <v>3</v>
      </c>
      <c r="R3723" s="392">
        <v>6.0000000000000001E-3</v>
      </c>
      <c r="S3723" s="388" t="s">
        <v>55</v>
      </c>
      <c r="T3723" s="388" t="s">
        <v>112</v>
      </c>
      <c r="U3723" s="601" t="s">
        <v>724</v>
      </c>
      <c r="V3723" s="393">
        <f>2278</f>
        <v>2278</v>
      </c>
      <c r="W3723" s="393"/>
      <c r="X3723" s="394">
        <f>(30286)/12</f>
        <v>2523.8333333333335</v>
      </c>
      <c r="Y3723" s="395">
        <f t="shared" ref="Y3723" si="1980">(W3723+X3723)-V3723</f>
        <v>245.83333333333348</v>
      </c>
      <c r="Z3723" s="396">
        <f t="shared" ref="Z3723" si="1981">IF(Y3723&lt;0,((V3723*P3723)-((W3723+X3723)*P3723)),0)</f>
        <v>0</v>
      </c>
      <c r="AA3723" s="396">
        <f t="shared" ref="AA3723" si="1982">Q3723*Z3723</f>
        <v>0</v>
      </c>
      <c r="AB3723" s="823">
        <v>5.8823E-2</v>
      </c>
      <c r="AC3723" s="393">
        <f t="shared" ref="AC3723" si="1983">Z3723*AB3723</f>
        <v>0</v>
      </c>
      <c r="AD3723" s="443"/>
      <c r="AE3723" s="210">
        <f>SUM(Q3723*R3723*Z3723)/1000</f>
        <v>0</v>
      </c>
      <c r="AF3723" s="210">
        <f>AE3723/0.54</f>
        <v>0</v>
      </c>
      <c r="AG3723" s="211">
        <f t="shared" ref="AG3723" si="1984">MID(O3723,1,3)/1000</f>
        <v>0.30199999999999999</v>
      </c>
      <c r="AH3723" s="157">
        <v>0.26621999999999996</v>
      </c>
      <c r="AI3723" s="152">
        <f t="shared" ref="AI3723" si="1985">V3723*P3723</f>
        <v>27336</v>
      </c>
      <c r="AK3723" s="156" t="s">
        <v>691</v>
      </c>
      <c r="AL3723" s="212" t="s">
        <v>690</v>
      </c>
      <c r="AM3723" s="198">
        <f t="shared" ref="AM3723" si="1986">AG3723*Z3723</f>
        <v>0</v>
      </c>
      <c r="AN3723" s="199">
        <f t="shared" ref="AN3723" si="1987">B3723</f>
        <v>46264</v>
      </c>
      <c r="AO3723" s="159" t="s">
        <v>692</v>
      </c>
      <c r="AP3723" s="781" t="s">
        <v>642</v>
      </c>
      <c r="AQ3723" s="782">
        <v>12063755</v>
      </c>
      <c r="AR3723" s="782">
        <v>12061353</v>
      </c>
      <c r="AS3723" s="782">
        <v>12061354</v>
      </c>
      <c r="AT3723" s="782">
        <v>12090253</v>
      </c>
      <c r="AU3723" s="781"/>
      <c r="AV3723" s="782">
        <v>12090245</v>
      </c>
      <c r="AW3723" s="781"/>
      <c r="AX3723" s="781"/>
      <c r="AY3723" s="781"/>
      <c r="AZ3723" s="782"/>
      <c r="BA3723" s="781"/>
      <c r="BB3723" s="209">
        <v>23099860</v>
      </c>
    </row>
    <row r="3724" spans="1:54" ht="25" customHeight="1">
      <c r="B3724" s="183">
        <v>46265</v>
      </c>
      <c r="C3724" s="184"/>
      <c r="D3724" s="185">
        <f t="shared" si="1931"/>
        <v>2026</v>
      </c>
      <c r="E3724" s="185" t="e">
        <f>VLOOKUP($B3724,Week!$A$1:$C$1462,2,0)</f>
        <v>#N/A</v>
      </c>
      <c r="F3724" s="186" t="str">
        <f t="shared" si="1932"/>
        <v>Aug</v>
      </c>
      <c r="G3724" s="481"/>
      <c r="H3724" s="185"/>
      <c r="I3724" s="185"/>
      <c r="J3724" s="187"/>
      <c r="K3724" s="188"/>
      <c r="L3724" s="188"/>
      <c r="M3724" s="187"/>
      <c r="N3724" s="185"/>
      <c r="O3724" s="185"/>
      <c r="P3724" s="189"/>
      <c r="Q3724" s="189"/>
      <c r="R3724" s="190"/>
      <c r="S3724" s="185"/>
      <c r="T3724" s="185"/>
      <c r="U3724" s="185"/>
      <c r="V3724" s="191"/>
      <c r="W3724" s="191"/>
      <c r="X3724" s="192"/>
      <c r="Y3724" s="193"/>
      <c r="Z3724" s="194"/>
      <c r="AA3724" s="194">
        <f t="shared" si="1933"/>
        <v>0</v>
      </c>
      <c r="AB3724" s="805"/>
      <c r="AC3724" s="191"/>
      <c r="AD3724" s="187"/>
      <c r="AE3724" s="195"/>
      <c r="AF3724" s="195"/>
      <c r="AG3724" s="196"/>
      <c r="AH3724" s="197"/>
      <c r="AK3724" s="156" t="s">
        <v>691</v>
      </c>
      <c r="AM3724" s="198">
        <f t="shared" si="1934"/>
        <v>0</v>
      </c>
      <c r="AN3724" s="199">
        <f t="shared" si="1935"/>
        <v>46265</v>
      </c>
      <c r="AO3724" s="159" t="s">
        <v>692</v>
      </c>
      <c r="AP3724" s="781"/>
      <c r="AQ3724" s="782"/>
      <c r="AR3724" s="782"/>
      <c r="AS3724" s="782"/>
      <c r="AT3724" s="782"/>
      <c r="AU3724" s="781"/>
      <c r="AV3724" s="782"/>
      <c r="AW3724" s="782"/>
      <c r="AX3724" s="782"/>
      <c r="AY3724" s="782"/>
      <c r="AZ3724" s="782"/>
      <c r="BA3724" s="781"/>
      <c r="BB3724" s="209"/>
    </row>
    <row r="3725" spans="1:54" ht="25" customHeight="1">
      <c r="B3725" s="183">
        <v>46266</v>
      </c>
      <c r="C3725" s="184"/>
      <c r="D3725" s="185">
        <f t="shared" ref="D3725:D3732" si="1988">IF(B3725="","",YEAR(B3725))</f>
        <v>2026</v>
      </c>
      <c r="E3725" s="185" t="e">
        <f>VLOOKUP($B3725,Week!$A$1:$C$1462,2,0)</f>
        <v>#N/A</v>
      </c>
      <c r="F3725" s="186" t="str">
        <f t="shared" ref="F3725:F3732" si="1989">IF(B3725="","",TEXT(B3725,"[$-409]mmm"))</f>
        <v>Sep</v>
      </c>
      <c r="G3725" s="481"/>
      <c r="H3725" s="185"/>
      <c r="I3725" s="185"/>
      <c r="J3725" s="187"/>
      <c r="K3725" s="188"/>
      <c r="L3725" s="188"/>
      <c r="M3725" s="187"/>
      <c r="N3725" s="185"/>
      <c r="O3725" s="185"/>
      <c r="P3725" s="189"/>
      <c r="Q3725" s="189"/>
      <c r="R3725" s="190"/>
      <c r="S3725" s="185"/>
      <c r="T3725" s="185"/>
      <c r="U3725" s="185"/>
      <c r="V3725" s="191"/>
      <c r="W3725" s="191"/>
      <c r="X3725" s="192"/>
      <c r="Y3725" s="193"/>
      <c r="Z3725" s="194"/>
      <c r="AA3725" s="194">
        <f t="shared" ref="AA3725:AA3732" si="1990">Q3725*Z3725</f>
        <v>0</v>
      </c>
      <c r="AB3725" s="805"/>
      <c r="AC3725" s="191"/>
      <c r="AD3725" s="187"/>
      <c r="AE3725" s="195"/>
      <c r="AF3725" s="195"/>
      <c r="AG3725" s="196"/>
      <c r="AH3725" s="197"/>
      <c r="AK3725" s="156" t="s">
        <v>691</v>
      </c>
      <c r="AM3725" s="198">
        <f t="shared" ref="AM3725:AM3732" si="1991">AG3725*Z3725</f>
        <v>0</v>
      </c>
      <c r="AN3725" s="199">
        <f t="shared" ref="AN3725:AN3732" si="1992">B3725</f>
        <v>46266</v>
      </c>
      <c r="AO3725" s="159" t="s">
        <v>692</v>
      </c>
      <c r="AP3725" s="781"/>
      <c r="AQ3725" s="782"/>
      <c r="AR3725" s="782"/>
      <c r="AS3725" s="782"/>
      <c r="AT3725" s="782"/>
      <c r="AU3725" s="781"/>
      <c r="AV3725" s="782"/>
      <c r="AW3725" s="782"/>
      <c r="AX3725" s="782"/>
      <c r="AY3725" s="782"/>
      <c r="AZ3725" s="782"/>
      <c r="BA3725" s="781"/>
      <c r="BB3725" s="209"/>
    </row>
    <row r="3726" spans="1:54" ht="24.65" customHeight="1">
      <c r="A3726" s="142" t="s">
        <v>120</v>
      </c>
      <c r="B3726" s="258">
        <v>46267</v>
      </c>
      <c r="C3726" s="259">
        <v>46300</v>
      </c>
      <c r="D3726" s="185">
        <f t="shared" si="1988"/>
        <v>2026</v>
      </c>
      <c r="E3726" s="260" t="e">
        <f>VLOOKUP($B3726,Week!$A$1:$C$1462,2,0)</f>
        <v>#N/A</v>
      </c>
      <c r="F3726" s="261" t="str">
        <f t="shared" si="1989"/>
        <v>Sep</v>
      </c>
      <c r="G3726" s="262" t="s">
        <v>3092</v>
      </c>
      <c r="H3726" s="260" t="s">
        <v>134</v>
      </c>
      <c r="I3726" s="260" t="s">
        <v>2772</v>
      </c>
      <c r="J3726" s="263" t="s">
        <v>2932</v>
      </c>
      <c r="K3726" s="264" t="s">
        <v>153</v>
      </c>
      <c r="L3726" s="390" t="s">
        <v>2166</v>
      </c>
      <c r="M3726" s="263" t="s">
        <v>165</v>
      </c>
      <c r="N3726" s="260" t="s">
        <v>166</v>
      </c>
      <c r="O3726" s="260" t="s">
        <v>502</v>
      </c>
      <c r="P3726" s="265">
        <v>20</v>
      </c>
      <c r="Q3726" s="265">
        <v>12</v>
      </c>
      <c r="R3726" s="266">
        <v>6.8100000000000001E-3</v>
      </c>
      <c r="S3726" s="260" t="s">
        <v>76</v>
      </c>
      <c r="T3726" s="260" t="s">
        <v>56</v>
      </c>
      <c r="U3726" s="260" t="s">
        <v>89</v>
      </c>
      <c r="V3726" s="267">
        <f>1200</f>
        <v>1200</v>
      </c>
      <c r="W3726" s="267"/>
      <c r="X3726" s="268">
        <f>(1200-580+3200+20740)/20</f>
        <v>1228</v>
      </c>
      <c r="Y3726" s="269">
        <f t="shared" ref="Y3726" si="1993">(W3726+X3726)-V3726</f>
        <v>28</v>
      </c>
      <c r="Z3726" s="270">
        <f t="shared" ref="Z3726" si="1994">IF(Y3726&lt;0,((V3726*P3726)-((W3726+X3726)*P3726)),0)</f>
        <v>0</v>
      </c>
      <c r="AA3726" s="270">
        <f t="shared" si="1990"/>
        <v>0</v>
      </c>
      <c r="AB3726" s="811">
        <v>2</v>
      </c>
      <c r="AC3726" s="267">
        <f t="shared" ref="AC3726" si="1995">Z3726*AB3726</f>
        <v>0</v>
      </c>
      <c r="AD3726" s="209" t="s">
        <v>168</v>
      </c>
      <c r="AE3726" s="210">
        <f t="shared" ref="AE3726" si="1996">SUM(Q3726*R3726*Z3726)/1000</f>
        <v>0</v>
      </c>
      <c r="AF3726" s="210">
        <f t="shared" ref="AF3726" si="1997">AE3726/0.54</f>
        <v>0</v>
      </c>
      <c r="AG3726" s="211">
        <f t="shared" ref="AG3726" si="1998">MID(O3726,1,3)/1000</f>
        <v>0.154</v>
      </c>
      <c r="AH3726" s="157">
        <f t="shared" ref="AH3726" si="1999">(Z3726*AG3726)/1000</f>
        <v>0</v>
      </c>
      <c r="AI3726" s="152">
        <f t="shared" ref="AI3726" si="2000">V3726*P3726</f>
        <v>24000</v>
      </c>
      <c r="AK3726" s="156" t="s">
        <v>691</v>
      </c>
      <c r="AL3726" s="156" t="s">
        <v>689</v>
      </c>
      <c r="AM3726" s="198">
        <f t="shared" si="1991"/>
        <v>0</v>
      </c>
      <c r="AN3726" s="199">
        <f t="shared" si="1992"/>
        <v>46267</v>
      </c>
      <c r="AO3726" s="159" t="s">
        <v>692</v>
      </c>
      <c r="AP3726" s="783" t="s">
        <v>610</v>
      </c>
      <c r="AQ3726" s="783" t="s">
        <v>631</v>
      </c>
      <c r="AR3726" s="783" t="s">
        <v>523</v>
      </c>
      <c r="AS3726" s="781"/>
      <c r="AT3726" s="782">
        <v>12096524</v>
      </c>
      <c r="AU3726" s="781"/>
      <c r="AV3726" s="783" t="s">
        <v>2507</v>
      </c>
      <c r="AW3726" s="781"/>
      <c r="AX3726" s="782" t="s">
        <v>398</v>
      </c>
      <c r="AY3726" s="781"/>
      <c r="AZ3726" s="781"/>
      <c r="BA3726" s="781"/>
      <c r="BB3726" s="209">
        <v>23053184</v>
      </c>
    </row>
    <row r="3727" spans="1:54" ht="25" customHeight="1">
      <c r="A3727" s="754" t="s">
        <v>438</v>
      </c>
      <c r="B3727" s="332">
        <v>46267</v>
      </c>
      <c r="C3727" s="333">
        <v>46287</v>
      </c>
      <c r="D3727" s="185">
        <f t="shared" si="1988"/>
        <v>2026</v>
      </c>
      <c r="E3727" s="335" t="e">
        <f>VLOOKUP($B3727,Week!$A$1:$C$1462,2,0)</f>
        <v>#N/A</v>
      </c>
      <c r="F3727" s="334" t="str">
        <f t="shared" si="1989"/>
        <v>Sep</v>
      </c>
      <c r="G3727" s="530" t="s">
        <v>3122</v>
      </c>
      <c r="H3727" s="335" t="s">
        <v>392</v>
      </c>
      <c r="I3727" s="335" t="s">
        <v>2772</v>
      </c>
      <c r="J3727" s="336" t="s">
        <v>393</v>
      </c>
      <c r="K3727" s="337" t="s">
        <v>671</v>
      </c>
      <c r="L3727" s="300" t="s">
        <v>2167</v>
      </c>
      <c r="M3727" s="336" t="s">
        <v>3119</v>
      </c>
      <c r="N3727" s="335" t="s">
        <v>3121</v>
      </c>
      <c r="O3727" s="335" t="s">
        <v>3118</v>
      </c>
      <c r="P3727" s="338">
        <v>24</v>
      </c>
      <c r="Q3727" s="338">
        <v>4</v>
      </c>
      <c r="R3727" s="339">
        <v>6.0000000000000001E-3</v>
      </c>
      <c r="S3727" s="335" t="s">
        <v>55</v>
      </c>
      <c r="T3727" s="335" t="s">
        <v>112</v>
      </c>
      <c r="U3727" s="335" t="s">
        <v>3117</v>
      </c>
      <c r="V3727" s="341">
        <f>895+30</f>
        <v>925</v>
      </c>
      <c r="W3727" s="341">
        <f>895+30</f>
        <v>925</v>
      </c>
      <c r="X3727" s="342"/>
      <c r="Y3727" s="343">
        <f t="shared" ref="Y3727:Y3732" si="2001">(W3727+X3727)-V3727</f>
        <v>0</v>
      </c>
      <c r="Z3727" s="344">
        <f t="shared" ref="Z3727:Z3732" si="2002">IF(Y3727&lt;0,((V3727*P3727)-((W3727+X3727)*P3727)),0)</f>
        <v>0</v>
      </c>
      <c r="AA3727" s="344">
        <f t="shared" si="1990"/>
        <v>0</v>
      </c>
      <c r="AB3727" s="817">
        <v>1</v>
      </c>
      <c r="AC3727" s="341">
        <f t="shared" ref="AC3727:AC3732" si="2003">Z3727*AB3727</f>
        <v>0</v>
      </c>
      <c r="AD3727" s="209"/>
      <c r="AE3727" s="210">
        <f t="shared" ref="AE3727:AE3732" si="2004">SUM(Q3727*R3727*Z3727)/1000</f>
        <v>0</v>
      </c>
      <c r="AF3727" s="210">
        <f t="shared" ref="AF3727:AF3732" si="2005">AE3727/0.54</f>
        <v>0</v>
      </c>
      <c r="AG3727" s="211">
        <f>MID(O3727,1,2)/1000</f>
        <v>9.8000000000000004E-2</v>
      </c>
      <c r="AH3727" s="157">
        <f t="shared" ref="AH3727" si="2006">(Z3727*AG3727)/1000</f>
        <v>0</v>
      </c>
      <c r="AI3727" s="152">
        <f>V3727*P3727</f>
        <v>22200</v>
      </c>
      <c r="AK3727" s="156" t="s">
        <v>691</v>
      </c>
      <c r="AL3727" s="212" t="s">
        <v>690</v>
      </c>
      <c r="AM3727" s="198">
        <f t="shared" si="1991"/>
        <v>0</v>
      </c>
      <c r="AN3727" s="199">
        <f t="shared" si="1992"/>
        <v>46267</v>
      </c>
      <c r="AO3727" s="159" t="s">
        <v>692</v>
      </c>
      <c r="AP3727" s="797"/>
      <c r="AQ3727" s="798"/>
      <c r="AR3727" s="798">
        <v>12088503</v>
      </c>
      <c r="AS3727" s="798"/>
      <c r="AT3727" s="782"/>
      <c r="AU3727" s="799"/>
      <c r="AV3727" s="782">
        <v>12099948</v>
      </c>
      <c r="AW3727" s="798"/>
      <c r="AX3727" s="798">
        <v>12099957</v>
      </c>
      <c r="AY3727" s="798"/>
      <c r="AZ3727" s="798"/>
      <c r="BA3727" s="799"/>
      <c r="BB3727" s="209"/>
    </row>
    <row r="3728" spans="1:54" ht="25" customHeight="1">
      <c r="A3728" s="142" t="s">
        <v>120</v>
      </c>
      <c r="B3728" s="271">
        <v>46268</v>
      </c>
      <c r="C3728" s="272">
        <v>46300</v>
      </c>
      <c r="D3728" s="185">
        <f t="shared" si="1988"/>
        <v>2026</v>
      </c>
      <c r="E3728" s="272" t="e">
        <f>VLOOKUP($B3728,Week!$A$1:$C$1462,2,0)</f>
        <v>#N/A</v>
      </c>
      <c r="F3728" s="273" t="str">
        <f t="shared" si="1989"/>
        <v>Sep</v>
      </c>
      <c r="G3728" s="274" t="s">
        <v>3141</v>
      </c>
      <c r="H3728" s="274" t="s">
        <v>500</v>
      </c>
      <c r="I3728" s="274" t="s">
        <v>2772</v>
      </c>
      <c r="J3728" s="275" t="s">
        <v>285</v>
      </c>
      <c r="K3728" s="276" t="s">
        <v>153</v>
      </c>
      <c r="L3728" s="390" t="s">
        <v>2166</v>
      </c>
      <c r="M3728" s="275" t="s">
        <v>86</v>
      </c>
      <c r="N3728" s="274" t="s">
        <v>547</v>
      </c>
      <c r="O3728" s="274" t="s">
        <v>548</v>
      </c>
      <c r="P3728" s="277">
        <v>10</v>
      </c>
      <c r="Q3728" s="277">
        <v>50</v>
      </c>
      <c r="R3728" s="278">
        <v>6.8100000000000001E-3</v>
      </c>
      <c r="S3728" s="274" t="s">
        <v>76</v>
      </c>
      <c r="T3728" s="274" t="s">
        <v>56</v>
      </c>
      <c r="U3728" s="274" t="s">
        <v>89</v>
      </c>
      <c r="V3728" s="279">
        <v>473</v>
      </c>
      <c r="W3728" s="279">
        <f>463</f>
        <v>463</v>
      </c>
      <c r="X3728" s="280">
        <f>(100)/10</f>
        <v>10</v>
      </c>
      <c r="Y3728" s="281">
        <f t="shared" si="2001"/>
        <v>0</v>
      </c>
      <c r="Z3728" s="282">
        <f t="shared" si="2002"/>
        <v>0</v>
      </c>
      <c r="AA3728" s="282">
        <f t="shared" si="1990"/>
        <v>0</v>
      </c>
      <c r="AB3728" s="812">
        <v>6</v>
      </c>
      <c r="AC3728" s="279">
        <f t="shared" si="2003"/>
        <v>0</v>
      </c>
      <c r="AD3728" s="209"/>
      <c r="AE3728" s="210">
        <f t="shared" si="2004"/>
        <v>0</v>
      </c>
      <c r="AF3728" s="210">
        <f t="shared" si="2005"/>
        <v>0</v>
      </c>
      <c r="AG3728" s="211">
        <f>MID(O3728,1,3)/1000</f>
        <v>0.63</v>
      </c>
      <c r="AH3728" s="157">
        <f>(Z3728*AG3728)/1000</f>
        <v>0</v>
      </c>
      <c r="AI3728" s="152">
        <f>V3728*P3728</f>
        <v>4730</v>
      </c>
      <c r="AK3728" s="156" t="s">
        <v>691</v>
      </c>
      <c r="AL3728" s="156" t="s">
        <v>689</v>
      </c>
      <c r="AM3728" s="198">
        <f t="shared" si="1991"/>
        <v>0</v>
      </c>
      <c r="AN3728" s="199">
        <f t="shared" si="1992"/>
        <v>46268</v>
      </c>
      <c r="AO3728" s="159" t="s">
        <v>692</v>
      </c>
      <c r="AP3728" s="783" t="s">
        <v>620</v>
      </c>
      <c r="AQ3728" s="796" t="s">
        <v>422</v>
      </c>
      <c r="AR3728" s="782">
        <v>12055234</v>
      </c>
      <c r="AS3728" s="781"/>
      <c r="AT3728" s="782"/>
      <c r="AU3728" s="782"/>
      <c r="AV3728" s="782">
        <v>12062809</v>
      </c>
      <c r="AW3728" s="782"/>
      <c r="AX3728" s="782" t="s">
        <v>619</v>
      </c>
      <c r="AY3728" s="781"/>
      <c r="AZ3728" s="781"/>
      <c r="BA3728" s="781"/>
      <c r="BB3728" s="209">
        <v>23053184</v>
      </c>
    </row>
    <row r="3729" spans="1:54" ht="25" customHeight="1">
      <c r="A3729" s="754" t="s">
        <v>438</v>
      </c>
      <c r="B3729" s="332">
        <v>46268</v>
      </c>
      <c r="C3729" s="333">
        <v>46287</v>
      </c>
      <c r="D3729" s="185">
        <f t="shared" si="1988"/>
        <v>2026</v>
      </c>
      <c r="E3729" s="335" t="e">
        <f>VLOOKUP($B3729,Week!$A$1:$C$1462,2,0)</f>
        <v>#N/A</v>
      </c>
      <c r="F3729" s="334" t="str">
        <f t="shared" si="1989"/>
        <v>Sep</v>
      </c>
      <c r="G3729" s="530" t="s">
        <v>3122</v>
      </c>
      <c r="H3729" s="335" t="s">
        <v>392</v>
      </c>
      <c r="I3729" s="335" t="s">
        <v>2772</v>
      </c>
      <c r="J3729" s="336" t="s">
        <v>393</v>
      </c>
      <c r="K3729" s="337" t="s">
        <v>671</v>
      </c>
      <c r="L3729" s="300" t="s">
        <v>2167</v>
      </c>
      <c r="M3729" s="336" t="s">
        <v>3119</v>
      </c>
      <c r="N3729" s="335" t="s">
        <v>3121</v>
      </c>
      <c r="O3729" s="335" t="s">
        <v>3118</v>
      </c>
      <c r="P3729" s="338">
        <v>24</v>
      </c>
      <c r="Q3729" s="338">
        <v>4</v>
      </c>
      <c r="R3729" s="339">
        <v>6.0000000000000001E-3</v>
      </c>
      <c r="S3729" s="335" t="s">
        <v>55</v>
      </c>
      <c r="T3729" s="335" t="s">
        <v>112</v>
      </c>
      <c r="U3729" s="335" t="s">
        <v>3117</v>
      </c>
      <c r="V3729" s="341">
        <v>1366</v>
      </c>
      <c r="W3729" s="341">
        <v>1366</v>
      </c>
      <c r="X3729" s="342"/>
      <c r="Y3729" s="343">
        <f t="shared" si="2001"/>
        <v>0</v>
      </c>
      <c r="Z3729" s="344">
        <f t="shared" si="2002"/>
        <v>0</v>
      </c>
      <c r="AA3729" s="344">
        <f t="shared" si="1990"/>
        <v>0</v>
      </c>
      <c r="AB3729" s="817">
        <v>1</v>
      </c>
      <c r="AC3729" s="341">
        <f t="shared" si="2003"/>
        <v>0</v>
      </c>
      <c r="AD3729" s="209"/>
      <c r="AE3729" s="210">
        <f t="shared" si="2004"/>
        <v>0</v>
      </c>
      <c r="AF3729" s="210">
        <f t="shared" si="2005"/>
        <v>0</v>
      </c>
      <c r="AG3729" s="211">
        <f>MID(O3729,1,2)/1000</f>
        <v>9.8000000000000004E-2</v>
      </c>
      <c r="AH3729" s="157">
        <f>(Z3729*AG3729)/1000</f>
        <v>0</v>
      </c>
      <c r="AI3729" s="152">
        <f>V3729*P3729</f>
        <v>32784</v>
      </c>
      <c r="AK3729" s="156" t="s">
        <v>691</v>
      </c>
      <c r="AL3729" s="212" t="s">
        <v>690</v>
      </c>
      <c r="AM3729" s="198">
        <f t="shared" si="1991"/>
        <v>0</v>
      </c>
      <c r="AN3729" s="199">
        <f t="shared" si="1992"/>
        <v>46268</v>
      </c>
      <c r="AO3729" s="159" t="s">
        <v>692</v>
      </c>
      <c r="AP3729" s="797"/>
      <c r="AQ3729" s="798"/>
      <c r="AR3729" s="798">
        <v>12088503</v>
      </c>
      <c r="AS3729" s="798"/>
      <c r="AT3729" s="782"/>
      <c r="AU3729" s="799"/>
      <c r="AV3729" s="782">
        <v>12099948</v>
      </c>
      <c r="AW3729" s="798"/>
      <c r="AX3729" s="798">
        <v>12099957</v>
      </c>
      <c r="AY3729" s="798"/>
      <c r="AZ3729" s="798"/>
      <c r="BA3729" s="799"/>
      <c r="BB3729" s="209"/>
    </row>
    <row r="3730" spans="1:54" ht="25" customHeight="1">
      <c r="A3730" s="142" t="s">
        <v>120</v>
      </c>
      <c r="B3730" s="271">
        <v>46269</v>
      </c>
      <c r="C3730" s="272">
        <v>46300</v>
      </c>
      <c r="D3730" s="185">
        <f t="shared" si="1988"/>
        <v>2026</v>
      </c>
      <c r="E3730" s="272" t="e">
        <f>VLOOKUP($B3730,Week!$A$1:$C$1462,2,0)</f>
        <v>#N/A</v>
      </c>
      <c r="F3730" s="273" t="str">
        <f t="shared" si="1989"/>
        <v>Sep</v>
      </c>
      <c r="G3730" s="274" t="s">
        <v>3141</v>
      </c>
      <c r="H3730" s="274" t="s">
        <v>500</v>
      </c>
      <c r="I3730" s="274" t="s">
        <v>2772</v>
      </c>
      <c r="J3730" s="275" t="s">
        <v>285</v>
      </c>
      <c r="K3730" s="276" t="s">
        <v>153</v>
      </c>
      <c r="L3730" s="390" t="s">
        <v>2166</v>
      </c>
      <c r="M3730" s="275" t="s">
        <v>86</v>
      </c>
      <c r="N3730" s="274" t="s">
        <v>547</v>
      </c>
      <c r="O3730" s="274" t="s">
        <v>548</v>
      </c>
      <c r="P3730" s="277">
        <v>10</v>
      </c>
      <c r="Q3730" s="277">
        <v>50</v>
      </c>
      <c r="R3730" s="278">
        <v>6.8100000000000001E-3</v>
      </c>
      <c r="S3730" s="274" t="s">
        <v>76</v>
      </c>
      <c r="T3730" s="274" t="s">
        <v>56</v>
      </c>
      <c r="U3730" s="274" t="s">
        <v>89</v>
      </c>
      <c r="V3730" s="279">
        <v>782</v>
      </c>
      <c r="W3730" s="279">
        <v>782</v>
      </c>
      <c r="X3730" s="280"/>
      <c r="Y3730" s="281">
        <f t="shared" si="2001"/>
        <v>0</v>
      </c>
      <c r="Z3730" s="282">
        <f t="shared" si="2002"/>
        <v>0</v>
      </c>
      <c r="AA3730" s="282">
        <f t="shared" si="1990"/>
        <v>0</v>
      </c>
      <c r="AB3730" s="812">
        <v>6</v>
      </c>
      <c r="AC3730" s="279">
        <f t="shared" si="2003"/>
        <v>0</v>
      </c>
      <c r="AD3730" s="209"/>
      <c r="AE3730" s="210">
        <f t="shared" si="2004"/>
        <v>0</v>
      </c>
      <c r="AF3730" s="210">
        <f t="shared" si="2005"/>
        <v>0</v>
      </c>
      <c r="AG3730" s="211">
        <f>MID(O3730,1,3)/1000</f>
        <v>0.63</v>
      </c>
      <c r="AH3730" s="157">
        <f>(Z3730*AG3730)/1000</f>
        <v>0</v>
      </c>
      <c r="AI3730" s="152">
        <f>V3730*P3730</f>
        <v>7820</v>
      </c>
      <c r="AK3730" s="156" t="s">
        <v>691</v>
      </c>
      <c r="AL3730" s="156" t="s">
        <v>689</v>
      </c>
      <c r="AM3730" s="198">
        <f t="shared" si="1991"/>
        <v>0</v>
      </c>
      <c r="AN3730" s="199">
        <f t="shared" si="1992"/>
        <v>46269</v>
      </c>
      <c r="AO3730" s="159" t="s">
        <v>692</v>
      </c>
      <c r="AP3730" s="783" t="s">
        <v>620</v>
      </c>
      <c r="AQ3730" s="796" t="s">
        <v>422</v>
      </c>
      <c r="AR3730" s="782">
        <v>12055234</v>
      </c>
      <c r="AS3730" s="781"/>
      <c r="AT3730" s="782"/>
      <c r="AU3730" s="782"/>
      <c r="AV3730" s="782">
        <v>12062809</v>
      </c>
      <c r="AW3730" s="782"/>
      <c r="AX3730" s="782" t="s">
        <v>619</v>
      </c>
      <c r="AY3730" s="781"/>
      <c r="AZ3730" s="781"/>
      <c r="BA3730" s="781"/>
      <c r="BB3730" s="209">
        <v>23053184</v>
      </c>
    </row>
    <row r="3731" spans="1:54" ht="25" customHeight="1">
      <c r="A3731" s="754" t="s">
        <v>438</v>
      </c>
      <c r="B3731" s="332">
        <v>46269</v>
      </c>
      <c r="C3731" s="333">
        <v>46287</v>
      </c>
      <c r="D3731" s="185">
        <f t="shared" ref="D3731" si="2007">IF(B3731="","",YEAR(B3731))</f>
        <v>2026</v>
      </c>
      <c r="E3731" s="335" t="e">
        <f>VLOOKUP($B3731,Week!$A$1:$C$1462,2,0)</f>
        <v>#N/A</v>
      </c>
      <c r="F3731" s="334" t="str">
        <f t="shared" ref="F3731" si="2008">IF(B3731="","",TEXT(B3731,"[$-409]mmm"))</f>
        <v>Sep</v>
      </c>
      <c r="G3731" s="530" t="s">
        <v>3122</v>
      </c>
      <c r="H3731" s="335" t="s">
        <v>392</v>
      </c>
      <c r="I3731" s="335" t="s">
        <v>2772</v>
      </c>
      <c r="J3731" s="336" t="s">
        <v>393</v>
      </c>
      <c r="K3731" s="337" t="s">
        <v>671</v>
      </c>
      <c r="L3731" s="300" t="s">
        <v>2167</v>
      </c>
      <c r="M3731" s="336" t="s">
        <v>3119</v>
      </c>
      <c r="N3731" s="335" t="s">
        <v>3121</v>
      </c>
      <c r="O3731" s="335" t="s">
        <v>3118</v>
      </c>
      <c r="P3731" s="338">
        <v>24</v>
      </c>
      <c r="Q3731" s="338">
        <v>4</v>
      </c>
      <c r="R3731" s="339">
        <v>6.0000000000000001E-3</v>
      </c>
      <c r="S3731" s="335" t="s">
        <v>55</v>
      </c>
      <c r="T3731" s="335" t="s">
        <v>112</v>
      </c>
      <c r="U3731" s="335" t="s">
        <v>3117</v>
      </c>
      <c r="V3731" s="341">
        <f>2500-925-1366</f>
        <v>209</v>
      </c>
      <c r="W3731" s="341">
        <v>209</v>
      </c>
      <c r="X3731" s="342"/>
      <c r="Y3731" s="343">
        <f t="shared" ref="Y3731" si="2009">(W3731+X3731)-V3731</f>
        <v>0</v>
      </c>
      <c r="Z3731" s="344">
        <f t="shared" ref="Z3731" si="2010">IF(Y3731&lt;0,((V3731*P3731)-((W3731+X3731)*P3731)),0)</f>
        <v>0</v>
      </c>
      <c r="AA3731" s="344">
        <f t="shared" ref="AA3731" si="2011">Q3731*Z3731</f>
        <v>0</v>
      </c>
      <c r="AB3731" s="817">
        <v>1</v>
      </c>
      <c r="AC3731" s="341">
        <f t="shared" ref="AC3731" si="2012">Z3731*AB3731</f>
        <v>0</v>
      </c>
      <c r="AD3731" s="209"/>
      <c r="AE3731" s="210">
        <f t="shared" ref="AE3731" si="2013">SUM(Q3731*R3731*Z3731)/1000</f>
        <v>0</v>
      </c>
      <c r="AF3731" s="210">
        <f t="shared" ref="AF3731" si="2014">AE3731/0.54</f>
        <v>0</v>
      </c>
      <c r="AG3731" s="211">
        <f>MID(O3731,1,2)/1000</f>
        <v>9.8000000000000004E-2</v>
      </c>
      <c r="AH3731" s="157">
        <f>(Z3731*AG3731)/1000</f>
        <v>0</v>
      </c>
      <c r="AI3731" s="152">
        <f>V3731*P3731</f>
        <v>5016</v>
      </c>
      <c r="AK3731" s="156" t="s">
        <v>691</v>
      </c>
      <c r="AL3731" s="212" t="s">
        <v>690</v>
      </c>
      <c r="AM3731" s="198">
        <f t="shared" ref="AM3731" si="2015">AG3731*Z3731</f>
        <v>0</v>
      </c>
      <c r="AN3731" s="199">
        <f t="shared" ref="AN3731" si="2016">B3731</f>
        <v>46269</v>
      </c>
      <c r="AO3731" s="159" t="s">
        <v>692</v>
      </c>
      <c r="AP3731" s="797"/>
      <c r="AQ3731" s="798"/>
      <c r="AR3731" s="798">
        <v>12088503</v>
      </c>
      <c r="AS3731" s="798"/>
      <c r="AT3731" s="782"/>
      <c r="AU3731" s="799"/>
      <c r="AV3731" s="782">
        <v>12099948</v>
      </c>
      <c r="AW3731" s="798"/>
      <c r="AX3731" s="798">
        <v>12099957</v>
      </c>
      <c r="AY3731" s="798"/>
      <c r="AZ3731" s="798"/>
      <c r="BA3731" s="799"/>
      <c r="BB3731" s="209"/>
    </row>
    <row r="3732" spans="1:54" ht="24.65" customHeight="1">
      <c r="B3732" s="320">
        <v>46269</v>
      </c>
      <c r="C3732" s="321">
        <v>46300</v>
      </c>
      <c r="D3732" s="323">
        <f t="shared" si="1988"/>
        <v>2026</v>
      </c>
      <c r="E3732" s="321" t="e">
        <f>VLOOKUP($B3732,Week!$A$1:$C$1462,2,0)</f>
        <v>#N/A</v>
      </c>
      <c r="F3732" s="322" t="str">
        <f t="shared" si="1989"/>
        <v>Sep</v>
      </c>
      <c r="G3732" s="942" t="s">
        <v>3170</v>
      </c>
      <c r="H3732" s="943" t="s">
        <v>500</v>
      </c>
      <c r="I3732" s="943" t="s">
        <v>2772</v>
      </c>
      <c r="J3732" s="944" t="s">
        <v>679</v>
      </c>
      <c r="K3732" s="325" t="s">
        <v>51</v>
      </c>
      <c r="L3732" s="325" t="s">
        <v>2167</v>
      </c>
      <c r="M3732" s="324" t="s">
        <v>3082</v>
      </c>
      <c r="N3732" s="323" t="s">
        <v>3081</v>
      </c>
      <c r="O3732" s="323" t="s">
        <v>3080</v>
      </c>
      <c r="P3732" s="326">
        <v>36</v>
      </c>
      <c r="Q3732" s="326">
        <v>5</v>
      </c>
      <c r="R3732" s="327">
        <v>6.0000000000000001E-3</v>
      </c>
      <c r="S3732" s="323" t="s">
        <v>55</v>
      </c>
      <c r="T3732" s="323" t="s">
        <v>112</v>
      </c>
      <c r="U3732" s="323" t="s">
        <v>57</v>
      </c>
      <c r="V3732" s="328">
        <f>874</f>
        <v>874</v>
      </c>
      <c r="W3732" s="328">
        <f>10+862</f>
        <v>872</v>
      </c>
      <c r="X3732" s="329">
        <f>(1945)/36</f>
        <v>54.027777777777779</v>
      </c>
      <c r="Y3732" s="330">
        <f t="shared" si="2001"/>
        <v>52.027777777777828</v>
      </c>
      <c r="Z3732" s="331">
        <f t="shared" si="2002"/>
        <v>0</v>
      </c>
      <c r="AA3732" s="331">
        <f t="shared" si="1990"/>
        <v>0</v>
      </c>
      <c r="AB3732" s="816">
        <v>7.4999999999999997E-3</v>
      </c>
      <c r="AC3732" s="328">
        <f t="shared" si="2003"/>
        <v>0</v>
      </c>
      <c r="AD3732" s="918" t="s">
        <v>3079</v>
      </c>
      <c r="AE3732" s="210">
        <f t="shared" si="2004"/>
        <v>0</v>
      </c>
      <c r="AF3732" s="210">
        <f t="shared" si="2005"/>
        <v>0</v>
      </c>
      <c r="AG3732" s="211">
        <v>0.14499999999999999</v>
      </c>
      <c r="AH3732" s="157">
        <f>(Z3732*AG3732)/1000</f>
        <v>0</v>
      </c>
      <c r="AI3732" s="152">
        <v>19800</v>
      </c>
      <c r="AK3732" s="156" t="s">
        <v>691</v>
      </c>
      <c r="AL3732" s="212" t="s">
        <v>690</v>
      </c>
      <c r="AM3732" s="198">
        <f t="shared" si="1991"/>
        <v>0</v>
      </c>
      <c r="AN3732" s="199">
        <f t="shared" si="1992"/>
        <v>46269</v>
      </c>
      <c r="AO3732" s="159" t="s">
        <v>692</v>
      </c>
      <c r="AP3732" s="781"/>
      <c r="AQ3732" s="782">
        <v>12071839</v>
      </c>
      <c r="AR3732" s="782">
        <v>12042650</v>
      </c>
      <c r="AS3732" s="782">
        <v>12042649</v>
      </c>
      <c r="AT3732" s="782">
        <v>12099566</v>
      </c>
      <c r="AU3732" s="781"/>
      <c r="AV3732" s="782">
        <v>12099567</v>
      </c>
      <c r="AW3732" s="782"/>
      <c r="AX3732" s="782"/>
      <c r="AY3732" s="782"/>
      <c r="AZ3732" s="782"/>
      <c r="BA3732" s="781"/>
      <c r="BB3732" s="209">
        <v>23053185</v>
      </c>
    </row>
    <row r="3733" spans="1:54" ht="25" customHeight="1">
      <c r="B3733" s="602">
        <v>46269</v>
      </c>
      <c r="C3733" s="861" t="s">
        <v>3146</v>
      </c>
      <c r="D3733" s="604">
        <f>IF(B3733="","",YEAR(B3733))</f>
        <v>2026</v>
      </c>
      <c r="E3733" s="603" t="e">
        <f>VLOOKUP($B3733,Week!$A$1:$C$1462,2,0)</f>
        <v>#N/A</v>
      </c>
      <c r="F3733" s="605" t="str">
        <f>IF(B3733="","",TEXT(B3733,"[$-409]mmm"))</f>
        <v>Sep</v>
      </c>
      <c r="G3733" s="604" t="s">
        <v>47</v>
      </c>
      <c r="H3733" s="604" t="s">
        <v>518</v>
      </c>
      <c r="I3733" s="604" t="s">
        <v>2702</v>
      </c>
      <c r="J3733" s="606" t="s">
        <v>70</v>
      </c>
      <c r="K3733" s="607" t="s">
        <v>227</v>
      </c>
      <c r="L3733" s="607" t="s">
        <v>2167</v>
      </c>
      <c r="M3733" s="606" t="s">
        <v>2554</v>
      </c>
      <c r="N3733" s="604" t="s">
        <v>2334</v>
      </c>
      <c r="O3733" s="604" t="s">
        <v>2005</v>
      </c>
      <c r="P3733" s="608">
        <v>12</v>
      </c>
      <c r="Q3733" s="608">
        <v>3</v>
      </c>
      <c r="R3733" s="609">
        <v>8.0000000000000002E-3</v>
      </c>
      <c r="S3733" s="604" t="s">
        <v>352</v>
      </c>
      <c r="T3733" s="604" t="s">
        <v>56</v>
      </c>
      <c r="U3733" s="604" t="s">
        <v>2007</v>
      </c>
      <c r="V3733" s="862">
        <f>2500</f>
        <v>2500</v>
      </c>
      <c r="W3733" s="610">
        <f>5+1+2496</f>
        <v>2502</v>
      </c>
      <c r="X3733" s="611">
        <f>(440)/12</f>
        <v>36.666666666666664</v>
      </c>
      <c r="Y3733" s="612">
        <f>(W3733+X3733)-V3733</f>
        <v>38.666666666666515</v>
      </c>
      <c r="Z3733" s="613">
        <f>IF(Y3733&lt;0,((V3733*P3733)-((W3733+X3733)*P3733)),0)</f>
        <v>0</v>
      </c>
      <c r="AA3733" s="613">
        <f>Q3733*Z3733</f>
        <v>0</v>
      </c>
      <c r="AB3733" s="836">
        <v>0.05</v>
      </c>
      <c r="AC3733" s="610">
        <f>Z3733*AB3733</f>
        <v>0</v>
      </c>
      <c r="AD3733" s="307" t="s">
        <v>2344</v>
      </c>
      <c r="AE3733" s="210">
        <f t="shared" ref="AE3733" si="2017">SUM(Q3733*R3733*Z3733)/1000</f>
        <v>0</v>
      </c>
      <c r="AF3733" s="210">
        <f>AE3733/0.54</f>
        <v>0</v>
      </c>
      <c r="AG3733" s="211">
        <f>MID(O3733,1,3)/1000</f>
        <v>0.22700000000000001</v>
      </c>
      <c r="AH3733" s="157">
        <f t="shared" ref="AH3733" si="2018">(Z3733*AG3733)/1000</f>
        <v>0</v>
      </c>
      <c r="AI3733" s="152">
        <f>V3733*P3733</f>
        <v>30000</v>
      </c>
      <c r="AK3733" s="156" t="s">
        <v>691</v>
      </c>
      <c r="AL3733" s="212" t="s">
        <v>690</v>
      </c>
      <c r="AM3733" s="198">
        <f>AG3733*Z3733</f>
        <v>0</v>
      </c>
      <c r="AN3733" s="199">
        <f>B3733</f>
        <v>46269</v>
      </c>
      <c r="AO3733" s="159" t="s">
        <v>692</v>
      </c>
      <c r="AP3733" s="783" t="s">
        <v>623</v>
      </c>
      <c r="AQ3733" s="782">
        <v>12071839</v>
      </c>
      <c r="AR3733" s="782">
        <v>12042650</v>
      </c>
      <c r="AS3733" s="782">
        <v>12042649</v>
      </c>
      <c r="AT3733" s="782"/>
      <c r="AU3733" s="781"/>
      <c r="AV3733" s="782">
        <v>12094036</v>
      </c>
      <c r="AW3733" s="782"/>
      <c r="AX3733" s="782"/>
      <c r="AY3733" s="782">
        <v>12094035</v>
      </c>
      <c r="AZ3733" s="782">
        <v>12094041</v>
      </c>
      <c r="BA3733" s="781"/>
      <c r="BB3733" s="209">
        <v>11044165</v>
      </c>
    </row>
    <row r="3734" spans="1:54" ht="25" customHeight="1">
      <c r="A3734" s="142" t="s">
        <v>120</v>
      </c>
      <c r="B3734" s="271">
        <v>46270</v>
      </c>
      <c r="C3734" s="272">
        <v>46300</v>
      </c>
      <c r="D3734" s="185">
        <f t="shared" ref="D3734" si="2019">IF(B3734="","",YEAR(B3734))</f>
        <v>2026</v>
      </c>
      <c r="E3734" s="272" t="e">
        <f>VLOOKUP($B3734,Week!$A$1:$C$1462,2,0)</f>
        <v>#N/A</v>
      </c>
      <c r="F3734" s="273" t="str">
        <f t="shared" ref="F3734" si="2020">IF(B3734="","",TEXT(B3734,"[$-409]mmm"))</f>
        <v>Sep</v>
      </c>
      <c r="G3734" s="274" t="s">
        <v>3141</v>
      </c>
      <c r="H3734" s="274" t="s">
        <v>500</v>
      </c>
      <c r="I3734" s="274" t="s">
        <v>2772</v>
      </c>
      <c r="J3734" s="275" t="s">
        <v>285</v>
      </c>
      <c r="K3734" s="276" t="s">
        <v>153</v>
      </c>
      <c r="L3734" s="390" t="s">
        <v>2166</v>
      </c>
      <c r="M3734" s="275" t="s">
        <v>86</v>
      </c>
      <c r="N3734" s="274" t="s">
        <v>547</v>
      </c>
      <c r="O3734" s="274" t="s">
        <v>548</v>
      </c>
      <c r="P3734" s="277">
        <v>10</v>
      </c>
      <c r="Q3734" s="277">
        <v>50</v>
      </c>
      <c r="R3734" s="278">
        <v>6.8100000000000001E-3</v>
      </c>
      <c r="S3734" s="274" t="s">
        <v>76</v>
      </c>
      <c r="T3734" s="274" t="s">
        <v>56</v>
      </c>
      <c r="U3734" s="274" t="s">
        <v>89</v>
      </c>
      <c r="V3734" s="279">
        <f>2056-473-782</f>
        <v>801</v>
      </c>
      <c r="W3734" s="279">
        <v>801</v>
      </c>
      <c r="X3734" s="280"/>
      <c r="Y3734" s="281">
        <f t="shared" ref="Y3734" si="2021">(W3734+X3734)-V3734</f>
        <v>0</v>
      </c>
      <c r="Z3734" s="282">
        <f t="shared" ref="Z3734" si="2022">IF(Y3734&lt;0,((V3734*P3734)-((W3734+X3734)*P3734)),0)</f>
        <v>0</v>
      </c>
      <c r="AA3734" s="282">
        <f t="shared" ref="AA3734" si="2023">Q3734*Z3734</f>
        <v>0</v>
      </c>
      <c r="AB3734" s="812">
        <v>6</v>
      </c>
      <c r="AC3734" s="279">
        <f t="shared" ref="AC3734" si="2024">Z3734*AB3734</f>
        <v>0</v>
      </c>
      <c r="AD3734" s="209"/>
      <c r="AE3734" s="210">
        <f t="shared" ref="AE3734" si="2025">SUM(Q3734*R3734*Z3734)/1000</f>
        <v>0</v>
      </c>
      <c r="AF3734" s="210">
        <f t="shared" ref="AF3734" si="2026">AE3734/0.54</f>
        <v>0</v>
      </c>
      <c r="AG3734" s="211">
        <f t="shared" ref="AG3734" si="2027">MID(O3734,1,3)/1000</f>
        <v>0.63</v>
      </c>
      <c r="AH3734" s="157">
        <f t="shared" ref="AH3734" si="2028">(Z3734*AG3734)/1000</f>
        <v>0</v>
      </c>
      <c r="AI3734" s="152">
        <f t="shared" ref="AI3734" si="2029">V3734*P3734</f>
        <v>8010</v>
      </c>
      <c r="AK3734" s="156" t="s">
        <v>691</v>
      </c>
      <c r="AL3734" s="156" t="s">
        <v>689</v>
      </c>
      <c r="AM3734" s="198">
        <f t="shared" ref="AM3734" si="2030">AG3734*Z3734</f>
        <v>0</v>
      </c>
      <c r="AN3734" s="199">
        <f t="shared" ref="AN3734" si="2031">B3734</f>
        <v>46270</v>
      </c>
      <c r="AO3734" s="159" t="s">
        <v>692</v>
      </c>
      <c r="AP3734" s="783" t="s">
        <v>620</v>
      </c>
      <c r="AQ3734" s="796" t="s">
        <v>422</v>
      </c>
      <c r="AR3734" s="782">
        <v>12055234</v>
      </c>
      <c r="AS3734" s="781"/>
      <c r="AT3734" s="782"/>
      <c r="AU3734" s="782"/>
      <c r="AV3734" s="782">
        <v>12062809</v>
      </c>
      <c r="AW3734" s="782"/>
      <c r="AX3734" s="782" t="s">
        <v>619</v>
      </c>
      <c r="AY3734" s="781"/>
      <c r="AZ3734" s="781"/>
      <c r="BA3734" s="781"/>
      <c r="BB3734" s="209">
        <v>23053184</v>
      </c>
    </row>
    <row r="3735" spans="1:54" ht="25" customHeight="1">
      <c r="B3735" s="271">
        <v>46270</v>
      </c>
      <c r="C3735" s="441">
        <v>46296</v>
      </c>
      <c r="D3735" s="274">
        <f t="shared" ref="D3735:D3737" si="2032">IF(B3735="","",YEAR(B3735))</f>
        <v>2026</v>
      </c>
      <c r="E3735" s="274" t="e">
        <f>VLOOKUP($B3735,Week!$A$1:$C$1462,2,0)</f>
        <v>#N/A</v>
      </c>
      <c r="F3735" s="273" t="str">
        <f t="shared" ref="F3735:F3737" si="2033">IF(B3735="","",TEXT(B3735,"[$-409]mmm"))</f>
        <v>Sep</v>
      </c>
      <c r="G3735" s="274" t="s">
        <v>3125</v>
      </c>
      <c r="H3735" s="274" t="s">
        <v>225</v>
      </c>
      <c r="I3735" s="274" t="s">
        <v>2773</v>
      </c>
      <c r="J3735" s="275" t="s">
        <v>650</v>
      </c>
      <c r="K3735" s="276" t="s">
        <v>2256</v>
      </c>
      <c r="L3735" s="276" t="s">
        <v>2167</v>
      </c>
      <c r="M3735" s="275" t="s">
        <v>2258</v>
      </c>
      <c r="N3735" s="274" t="s">
        <v>2259</v>
      </c>
      <c r="O3735" s="274" t="s">
        <v>110</v>
      </c>
      <c r="P3735" s="277">
        <v>36</v>
      </c>
      <c r="Q3735" s="277">
        <v>5</v>
      </c>
      <c r="R3735" s="278">
        <v>7.4999999999999997E-3</v>
      </c>
      <c r="S3735" s="274" t="s">
        <v>111</v>
      </c>
      <c r="T3735" s="274" t="s">
        <v>112</v>
      </c>
      <c r="U3735" s="274" t="s">
        <v>113</v>
      </c>
      <c r="V3735" s="279">
        <f>792-7</f>
        <v>785</v>
      </c>
      <c r="W3735" s="279">
        <f>1+784</f>
        <v>785</v>
      </c>
      <c r="X3735" s="280"/>
      <c r="Y3735" s="281">
        <f t="shared" ref="Y3735:Y3737" si="2034">(W3735+X3735)-V3735</f>
        <v>0</v>
      </c>
      <c r="Z3735" s="282">
        <f t="shared" ref="Z3735:Z3737" si="2035">IF(Y3735&lt;0,((V3735*P3735)-((W3735+X3735)*P3735)),0)</f>
        <v>0</v>
      </c>
      <c r="AA3735" s="282">
        <f t="shared" ref="AA3735:AA3737" si="2036">Q3735*Z3735</f>
        <v>0</v>
      </c>
      <c r="AB3735" s="812">
        <v>9.7000000000000003E-3</v>
      </c>
      <c r="AC3735" s="279">
        <f t="shared" ref="AC3735:AC3737" si="2037">Z3735*AB3735</f>
        <v>0</v>
      </c>
      <c r="AD3735" s="324" t="s">
        <v>3111</v>
      </c>
      <c r="AE3735" s="210">
        <f t="shared" ref="AE3735:AE3737" si="2038">SUM(Q3735*R3735*Z3735)/1000</f>
        <v>0</v>
      </c>
      <c r="AF3735" s="210">
        <f t="shared" ref="AF3735:AF3737" si="2039">AE3735/0.54</f>
        <v>0</v>
      </c>
      <c r="AG3735" s="211">
        <f t="shared" ref="AG3735:AG3737" si="2040">MID(O3735,1,3)/1000</f>
        <v>0.308</v>
      </c>
      <c r="AH3735" s="157">
        <f t="shared" ref="AH3735:AH3737" si="2041">(Z3735*AG3735)/1000</f>
        <v>0</v>
      </c>
      <c r="AI3735" s="152">
        <f t="shared" ref="AI3735:AI3737" si="2042">V3735*P3735</f>
        <v>28260</v>
      </c>
      <c r="AK3735" s="156" t="s">
        <v>691</v>
      </c>
      <c r="AL3735" s="574" t="s">
        <v>690</v>
      </c>
      <c r="AM3735" s="198">
        <f t="shared" ref="AM3735:AM3737" si="2043">AG3735*Z3735</f>
        <v>0</v>
      </c>
      <c r="AN3735" s="199">
        <f t="shared" ref="AN3735:AN3737" si="2044">B3735</f>
        <v>46270</v>
      </c>
      <c r="AO3735" s="159" t="s">
        <v>692</v>
      </c>
      <c r="AP3735" s="781"/>
      <c r="AQ3735" s="782">
        <v>12063755</v>
      </c>
      <c r="AR3735" s="782">
        <v>12061353</v>
      </c>
      <c r="AS3735" s="782">
        <v>12061354</v>
      </c>
      <c r="AT3735" s="782">
        <v>12095367</v>
      </c>
      <c r="AU3735" s="781"/>
      <c r="AV3735" s="782">
        <v>12095366</v>
      </c>
      <c r="AW3735" s="782">
        <v>12088207</v>
      </c>
      <c r="AX3735" s="782"/>
      <c r="AY3735" s="782">
        <v>12095368</v>
      </c>
      <c r="AZ3735" s="782"/>
      <c r="BA3735" s="781"/>
      <c r="BB3735" s="209">
        <v>23054743</v>
      </c>
    </row>
    <row r="3736" spans="1:54" ht="25" customHeight="1">
      <c r="B3736" s="271">
        <v>46270</v>
      </c>
      <c r="C3736" s="441">
        <v>46296</v>
      </c>
      <c r="D3736" s="274">
        <f t="shared" si="2032"/>
        <v>2026</v>
      </c>
      <c r="E3736" s="274" t="e">
        <f>VLOOKUP($B3736,Week!$A$1:$C$1462,2,0)</f>
        <v>#N/A</v>
      </c>
      <c r="F3736" s="273" t="str">
        <f t="shared" si="2033"/>
        <v>Sep</v>
      </c>
      <c r="G3736" s="274" t="s">
        <v>3126</v>
      </c>
      <c r="H3736" s="274" t="s">
        <v>225</v>
      </c>
      <c r="I3736" s="274" t="s">
        <v>2773</v>
      </c>
      <c r="J3736" s="275" t="s">
        <v>650</v>
      </c>
      <c r="K3736" s="276" t="s">
        <v>2256</v>
      </c>
      <c r="L3736" s="276" t="s">
        <v>2167</v>
      </c>
      <c r="M3736" s="275" t="s">
        <v>2258</v>
      </c>
      <c r="N3736" s="274" t="s">
        <v>2259</v>
      </c>
      <c r="O3736" s="274" t="s">
        <v>110</v>
      </c>
      <c r="P3736" s="277">
        <v>36</v>
      </c>
      <c r="Q3736" s="277">
        <v>5</v>
      </c>
      <c r="R3736" s="278">
        <v>7.4999999999999997E-3</v>
      </c>
      <c r="S3736" s="274" t="s">
        <v>111</v>
      </c>
      <c r="T3736" s="274" t="s">
        <v>112</v>
      </c>
      <c r="U3736" s="274" t="s">
        <v>113</v>
      </c>
      <c r="V3736" s="279">
        <v>792</v>
      </c>
      <c r="W3736" s="279">
        <v>792</v>
      </c>
      <c r="X3736" s="280"/>
      <c r="Y3736" s="281">
        <f t="shared" si="2034"/>
        <v>0</v>
      </c>
      <c r="Z3736" s="282">
        <f t="shared" si="2035"/>
        <v>0</v>
      </c>
      <c r="AA3736" s="282">
        <f t="shared" si="2036"/>
        <v>0</v>
      </c>
      <c r="AB3736" s="812">
        <v>9.7000000000000003E-3</v>
      </c>
      <c r="AC3736" s="279">
        <f t="shared" si="2037"/>
        <v>0</v>
      </c>
      <c r="AD3736" s="324" t="s">
        <v>3111</v>
      </c>
      <c r="AE3736" s="210">
        <f t="shared" si="2038"/>
        <v>0</v>
      </c>
      <c r="AF3736" s="210">
        <f t="shared" si="2039"/>
        <v>0</v>
      </c>
      <c r="AG3736" s="211">
        <f t="shared" si="2040"/>
        <v>0.308</v>
      </c>
      <c r="AH3736" s="157">
        <f t="shared" si="2041"/>
        <v>0</v>
      </c>
      <c r="AI3736" s="152">
        <f t="shared" si="2042"/>
        <v>28512</v>
      </c>
      <c r="AK3736" s="156" t="s">
        <v>691</v>
      </c>
      <c r="AL3736" s="574" t="s">
        <v>690</v>
      </c>
      <c r="AM3736" s="198">
        <f t="shared" si="2043"/>
        <v>0</v>
      </c>
      <c r="AN3736" s="199">
        <f t="shared" si="2044"/>
        <v>46270</v>
      </c>
      <c r="AO3736" s="159" t="s">
        <v>692</v>
      </c>
      <c r="AP3736" s="781"/>
      <c r="AQ3736" s="782">
        <v>12063755</v>
      </c>
      <c r="AR3736" s="782">
        <v>12061353</v>
      </c>
      <c r="AS3736" s="782">
        <v>12061354</v>
      </c>
      <c r="AT3736" s="782">
        <v>12095367</v>
      </c>
      <c r="AU3736" s="781"/>
      <c r="AV3736" s="782">
        <v>12095366</v>
      </c>
      <c r="AW3736" s="782">
        <v>12088207</v>
      </c>
      <c r="AX3736" s="782"/>
      <c r="AY3736" s="782">
        <v>12095368</v>
      </c>
      <c r="AZ3736" s="782"/>
      <c r="BA3736" s="781"/>
      <c r="BB3736" s="209">
        <v>23054743</v>
      </c>
    </row>
    <row r="3737" spans="1:54" ht="25" customHeight="1">
      <c r="B3737" s="271">
        <v>46270</v>
      </c>
      <c r="C3737" s="441">
        <v>46303</v>
      </c>
      <c r="D3737" s="274">
        <f t="shared" si="2032"/>
        <v>2026</v>
      </c>
      <c r="E3737" s="274" t="e">
        <f>VLOOKUP($B3737,Week!$A$1:$C$1462,2,0)</f>
        <v>#N/A</v>
      </c>
      <c r="F3737" s="273" t="str">
        <f t="shared" si="2033"/>
        <v>Sep</v>
      </c>
      <c r="G3737" s="274" t="s">
        <v>3127</v>
      </c>
      <c r="H3737" s="274" t="s">
        <v>225</v>
      </c>
      <c r="I3737" s="274" t="s">
        <v>2773</v>
      </c>
      <c r="J3737" s="275" t="s">
        <v>650</v>
      </c>
      <c r="K3737" s="276" t="s">
        <v>2256</v>
      </c>
      <c r="L3737" s="276" t="s">
        <v>2167</v>
      </c>
      <c r="M3737" s="275" t="s">
        <v>2258</v>
      </c>
      <c r="N3737" s="274" t="s">
        <v>2259</v>
      </c>
      <c r="O3737" s="274" t="s">
        <v>110</v>
      </c>
      <c r="P3737" s="277">
        <v>36</v>
      </c>
      <c r="Q3737" s="277">
        <v>5</v>
      </c>
      <c r="R3737" s="278">
        <v>7.4999999999999997E-3</v>
      </c>
      <c r="S3737" s="274" t="s">
        <v>111</v>
      </c>
      <c r="T3737" s="274" t="s">
        <v>112</v>
      </c>
      <c r="U3737" s="274" t="s">
        <v>113</v>
      </c>
      <c r="V3737" s="279">
        <v>792</v>
      </c>
      <c r="W3737" s="279">
        <v>792</v>
      </c>
      <c r="X3737" s="280"/>
      <c r="Y3737" s="281">
        <f t="shared" si="2034"/>
        <v>0</v>
      </c>
      <c r="Z3737" s="282">
        <f t="shared" si="2035"/>
        <v>0</v>
      </c>
      <c r="AA3737" s="282">
        <f t="shared" si="2036"/>
        <v>0</v>
      </c>
      <c r="AB3737" s="812">
        <v>9.7000000000000003E-3</v>
      </c>
      <c r="AC3737" s="279">
        <f t="shared" si="2037"/>
        <v>0</v>
      </c>
      <c r="AD3737" s="324" t="s">
        <v>3111</v>
      </c>
      <c r="AE3737" s="210">
        <f t="shared" si="2038"/>
        <v>0</v>
      </c>
      <c r="AF3737" s="210">
        <f t="shared" si="2039"/>
        <v>0</v>
      </c>
      <c r="AG3737" s="211">
        <f t="shared" si="2040"/>
        <v>0.308</v>
      </c>
      <c r="AH3737" s="157">
        <f t="shared" si="2041"/>
        <v>0</v>
      </c>
      <c r="AI3737" s="152">
        <f t="shared" si="2042"/>
        <v>28512</v>
      </c>
      <c r="AK3737" s="156" t="s">
        <v>691</v>
      </c>
      <c r="AL3737" s="574" t="s">
        <v>690</v>
      </c>
      <c r="AM3737" s="198">
        <f t="shared" si="2043"/>
        <v>0</v>
      </c>
      <c r="AN3737" s="199">
        <f t="shared" si="2044"/>
        <v>46270</v>
      </c>
      <c r="AO3737" s="159" t="s">
        <v>692</v>
      </c>
      <c r="AP3737" s="781"/>
      <c r="AQ3737" s="782">
        <v>12063755</v>
      </c>
      <c r="AR3737" s="782">
        <v>12061353</v>
      </c>
      <c r="AS3737" s="782">
        <v>12061354</v>
      </c>
      <c r="AT3737" s="782">
        <v>12095367</v>
      </c>
      <c r="AU3737" s="781"/>
      <c r="AV3737" s="782">
        <v>12095366</v>
      </c>
      <c r="AW3737" s="782">
        <v>12088207</v>
      </c>
      <c r="AX3737" s="782"/>
      <c r="AY3737" s="782">
        <v>12095368</v>
      </c>
      <c r="AZ3737" s="782"/>
      <c r="BA3737" s="781"/>
      <c r="BB3737" s="209">
        <v>23054743</v>
      </c>
    </row>
    <row r="3738" spans="1:54" ht="25" customHeight="1">
      <c r="B3738" s="271">
        <v>46270</v>
      </c>
      <c r="C3738" s="441">
        <v>46310</v>
      </c>
      <c r="D3738" s="274">
        <f t="shared" ref="D3738:D3743" si="2045">IF(B3738="","",YEAR(B3738))</f>
        <v>2026</v>
      </c>
      <c r="E3738" s="274" t="e">
        <f>VLOOKUP($B3738,Week!$A$1:$C$1462,2,0)</f>
        <v>#N/A</v>
      </c>
      <c r="F3738" s="273" t="str">
        <f t="shared" ref="F3738:F3743" si="2046">IF(B3738="","",TEXT(B3738,"[$-409]mmm"))</f>
        <v>Sep</v>
      </c>
      <c r="G3738" s="274" t="s">
        <v>3128</v>
      </c>
      <c r="H3738" s="274" t="s">
        <v>225</v>
      </c>
      <c r="I3738" s="274" t="s">
        <v>2773</v>
      </c>
      <c r="J3738" s="275" t="s">
        <v>650</v>
      </c>
      <c r="K3738" s="276" t="s">
        <v>2256</v>
      </c>
      <c r="L3738" s="276" t="s">
        <v>2167</v>
      </c>
      <c r="M3738" s="275" t="s">
        <v>2258</v>
      </c>
      <c r="N3738" s="274" t="s">
        <v>2259</v>
      </c>
      <c r="O3738" s="274" t="s">
        <v>110</v>
      </c>
      <c r="P3738" s="277">
        <v>36</v>
      </c>
      <c r="Q3738" s="277">
        <v>5</v>
      </c>
      <c r="R3738" s="278">
        <v>7.4999999999999997E-3</v>
      </c>
      <c r="S3738" s="274" t="s">
        <v>111</v>
      </c>
      <c r="T3738" s="274" t="s">
        <v>112</v>
      </c>
      <c r="U3738" s="274" t="s">
        <v>113</v>
      </c>
      <c r="V3738" s="279">
        <v>11</v>
      </c>
      <c r="W3738" s="279">
        <f>2379-784-792-792</f>
        <v>11</v>
      </c>
      <c r="X3738" s="280"/>
      <c r="Y3738" s="281">
        <f t="shared" ref="Y3738:Y3743" si="2047">(W3738+X3738)-V3738</f>
        <v>0</v>
      </c>
      <c r="Z3738" s="282">
        <f t="shared" ref="Z3738:Z3743" si="2048">IF(Y3738&lt;0,((V3738*P3738)-((W3738+X3738)*P3738)),0)</f>
        <v>0</v>
      </c>
      <c r="AA3738" s="282">
        <f t="shared" ref="AA3738:AA3743" si="2049">Q3738*Z3738</f>
        <v>0</v>
      </c>
      <c r="AB3738" s="812">
        <v>9.7000000000000003E-3</v>
      </c>
      <c r="AC3738" s="279">
        <f t="shared" ref="AC3738:AC3743" si="2050">Z3738*AB3738</f>
        <v>0</v>
      </c>
      <c r="AD3738" s="324" t="s">
        <v>3111</v>
      </c>
      <c r="AE3738" s="210">
        <f t="shared" ref="AE3738:AE3743" si="2051">SUM(Q3738*R3738*Z3738)/1000</f>
        <v>0</v>
      </c>
      <c r="AF3738" s="210">
        <f t="shared" ref="AF3738:AF3743" si="2052">AE3738/0.54</f>
        <v>0</v>
      </c>
      <c r="AG3738" s="211">
        <f t="shared" ref="AG3738:AG3743" si="2053">MID(O3738,1,3)/1000</f>
        <v>0.308</v>
      </c>
      <c r="AH3738" s="157">
        <f t="shared" ref="AH3738:AH3743" si="2054">(Z3738*AG3738)/1000</f>
        <v>0</v>
      </c>
      <c r="AI3738" s="152">
        <f t="shared" ref="AI3738:AI3743" si="2055">V3738*P3738</f>
        <v>396</v>
      </c>
      <c r="AK3738" s="156" t="s">
        <v>691</v>
      </c>
      <c r="AL3738" s="574" t="s">
        <v>690</v>
      </c>
      <c r="AM3738" s="198">
        <f t="shared" ref="AM3738:AM3743" si="2056">AG3738*Z3738</f>
        <v>0</v>
      </c>
      <c r="AN3738" s="199">
        <f t="shared" ref="AN3738:AN3743" si="2057">B3738</f>
        <v>46270</v>
      </c>
      <c r="AO3738" s="159" t="s">
        <v>692</v>
      </c>
      <c r="AP3738" s="781"/>
      <c r="AQ3738" s="782">
        <v>12063755</v>
      </c>
      <c r="AR3738" s="782">
        <v>12061353</v>
      </c>
      <c r="AS3738" s="782">
        <v>12061354</v>
      </c>
      <c r="AT3738" s="782">
        <v>12095367</v>
      </c>
      <c r="AU3738" s="781"/>
      <c r="AV3738" s="782">
        <v>12095366</v>
      </c>
      <c r="AW3738" s="782">
        <v>12088207</v>
      </c>
      <c r="AX3738" s="782"/>
      <c r="AY3738" s="782">
        <v>12095368</v>
      </c>
      <c r="AZ3738" s="782"/>
      <c r="BA3738" s="781"/>
      <c r="BB3738" s="209">
        <v>23054743</v>
      </c>
    </row>
    <row r="3739" spans="1:54" ht="24.65" customHeight="1">
      <c r="B3739" s="308">
        <v>46271</v>
      </c>
      <c r="C3739" s="309">
        <v>46289</v>
      </c>
      <c r="D3739" s="185">
        <f t="shared" si="2045"/>
        <v>2026</v>
      </c>
      <c r="E3739" s="309" t="e">
        <f>VLOOKUP($B3739,Week!$A$1:$C$1462,2,0)</f>
        <v>#N/A</v>
      </c>
      <c r="F3739" s="310" t="str">
        <f t="shared" si="2046"/>
        <v>Sep</v>
      </c>
      <c r="G3739" s="311" t="s">
        <v>3139</v>
      </c>
      <c r="H3739" s="311" t="s">
        <v>311</v>
      </c>
      <c r="I3739" s="311" t="s">
        <v>2772</v>
      </c>
      <c r="J3739" s="312" t="s">
        <v>738</v>
      </c>
      <c r="K3739" s="313" t="s">
        <v>107</v>
      </c>
      <c r="L3739" s="300" t="s">
        <v>2167</v>
      </c>
      <c r="M3739" s="312" t="s">
        <v>313</v>
      </c>
      <c r="N3739" s="311" t="s">
        <v>314</v>
      </c>
      <c r="O3739" s="311" t="s">
        <v>110</v>
      </c>
      <c r="P3739" s="314">
        <v>36</v>
      </c>
      <c r="Q3739" s="314">
        <v>5</v>
      </c>
      <c r="R3739" s="315">
        <v>7.4999999999999997E-3</v>
      </c>
      <c r="S3739" s="311" t="s">
        <v>111</v>
      </c>
      <c r="T3739" s="311" t="s">
        <v>112</v>
      </c>
      <c r="U3739" s="311" t="s">
        <v>57</v>
      </c>
      <c r="V3739" s="316">
        <v>792</v>
      </c>
      <c r="W3739" s="316">
        <f>27+765</f>
        <v>792</v>
      </c>
      <c r="X3739" s="317"/>
      <c r="Y3739" s="318">
        <f t="shared" si="2047"/>
        <v>0</v>
      </c>
      <c r="Z3739" s="319">
        <f t="shared" si="2048"/>
        <v>0</v>
      </c>
      <c r="AA3739" s="319">
        <f t="shared" si="2049"/>
        <v>0</v>
      </c>
      <c r="AB3739" s="815">
        <v>7.4999999999999997E-3</v>
      </c>
      <c r="AC3739" s="316">
        <f t="shared" si="2050"/>
        <v>0</v>
      </c>
      <c r="AD3739" s="209"/>
      <c r="AE3739" s="210">
        <f t="shared" si="2051"/>
        <v>0</v>
      </c>
      <c r="AF3739" s="210">
        <f t="shared" si="2052"/>
        <v>0</v>
      </c>
      <c r="AG3739" s="211">
        <f t="shared" si="2053"/>
        <v>0.308</v>
      </c>
      <c r="AH3739" s="157">
        <f t="shared" si="2054"/>
        <v>0</v>
      </c>
      <c r="AI3739" s="152">
        <f t="shared" si="2055"/>
        <v>28512</v>
      </c>
      <c r="AK3739" s="156" t="s">
        <v>691</v>
      </c>
      <c r="AL3739" s="212" t="s">
        <v>690</v>
      </c>
      <c r="AM3739" s="198">
        <f t="shared" si="2056"/>
        <v>0</v>
      </c>
      <c r="AN3739" s="199">
        <f t="shared" si="2057"/>
        <v>46271</v>
      </c>
      <c r="AO3739" s="159" t="s">
        <v>692</v>
      </c>
      <c r="AP3739" s="783" t="s">
        <v>644</v>
      </c>
      <c r="AQ3739" s="782">
        <v>12063755</v>
      </c>
      <c r="AR3739" s="782">
        <v>12081257</v>
      </c>
      <c r="AS3739" s="782">
        <v>12081260</v>
      </c>
      <c r="AT3739" s="782">
        <v>12098623</v>
      </c>
      <c r="AU3739" s="781"/>
      <c r="AV3739" s="782">
        <v>12098706</v>
      </c>
      <c r="AW3739" s="782">
        <v>12088207</v>
      </c>
      <c r="AX3739" s="782"/>
      <c r="AY3739" s="782">
        <v>12094237</v>
      </c>
      <c r="AZ3739" s="782"/>
      <c r="BA3739" s="781"/>
      <c r="BB3739" s="209">
        <v>23053185</v>
      </c>
    </row>
    <row r="3740" spans="1:54" ht="24.65" customHeight="1">
      <c r="B3740" s="308">
        <v>46271</v>
      </c>
      <c r="C3740" s="309">
        <v>46296</v>
      </c>
      <c r="D3740" s="185">
        <f t="shared" si="2045"/>
        <v>2026</v>
      </c>
      <c r="E3740" s="309" t="e">
        <f>VLOOKUP($B3740,Week!$A$1:$C$1462,2,0)</f>
        <v>#N/A</v>
      </c>
      <c r="F3740" s="310" t="str">
        <f t="shared" si="2046"/>
        <v>Sep</v>
      </c>
      <c r="G3740" s="311" t="s">
        <v>3140</v>
      </c>
      <c r="H3740" s="311" t="s">
        <v>311</v>
      </c>
      <c r="I3740" s="311" t="s">
        <v>2772</v>
      </c>
      <c r="J3740" s="312" t="s">
        <v>738</v>
      </c>
      <c r="K3740" s="313" t="s">
        <v>107</v>
      </c>
      <c r="L3740" s="300" t="s">
        <v>2167</v>
      </c>
      <c r="M3740" s="312" t="s">
        <v>313</v>
      </c>
      <c r="N3740" s="311" t="s">
        <v>314</v>
      </c>
      <c r="O3740" s="311" t="s">
        <v>110</v>
      </c>
      <c r="P3740" s="314">
        <v>36</v>
      </c>
      <c r="Q3740" s="314">
        <v>5</v>
      </c>
      <c r="R3740" s="315">
        <v>7.4999999999999997E-3</v>
      </c>
      <c r="S3740" s="311" t="s">
        <v>111</v>
      </c>
      <c r="T3740" s="311" t="s">
        <v>112</v>
      </c>
      <c r="U3740" s="311" t="s">
        <v>57</v>
      </c>
      <c r="V3740" s="316">
        <v>792</v>
      </c>
      <c r="W3740" s="316">
        <f>1467-765+90</f>
        <v>792</v>
      </c>
      <c r="X3740" s="317"/>
      <c r="Y3740" s="318">
        <f t="shared" si="2047"/>
        <v>0</v>
      </c>
      <c r="Z3740" s="319">
        <f t="shared" si="2048"/>
        <v>0</v>
      </c>
      <c r="AA3740" s="319">
        <f t="shared" si="2049"/>
        <v>0</v>
      </c>
      <c r="AB3740" s="815">
        <v>7.4999999999999997E-3</v>
      </c>
      <c r="AC3740" s="316">
        <f t="shared" si="2050"/>
        <v>0</v>
      </c>
      <c r="AD3740" s="209"/>
      <c r="AE3740" s="210">
        <f t="shared" si="2051"/>
        <v>0</v>
      </c>
      <c r="AF3740" s="210">
        <f t="shared" si="2052"/>
        <v>0</v>
      </c>
      <c r="AG3740" s="211">
        <f t="shared" si="2053"/>
        <v>0.308</v>
      </c>
      <c r="AH3740" s="157">
        <f t="shared" si="2054"/>
        <v>0</v>
      </c>
      <c r="AI3740" s="152">
        <f t="shared" si="2055"/>
        <v>28512</v>
      </c>
      <c r="AK3740" s="156" t="s">
        <v>691</v>
      </c>
      <c r="AL3740" s="212" t="s">
        <v>690</v>
      </c>
      <c r="AM3740" s="198">
        <f t="shared" si="2056"/>
        <v>0</v>
      </c>
      <c r="AN3740" s="199">
        <f t="shared" si="2057"/>
        <v>46271</v>
      </c>
      <c r="AO3740" s="159" t="s">
        <v>692</v>
      </c>
      <c r="AP3740" s="783" t="s">
        <v>644</v>
      </c>
      <c r="AQ3740" s="782">
        <v>12063755</v>
      </c>
      <c r="AR3740" s="782">
        <v>12081257</v>
      </c>
      <c r="AS3740" s="782">
        <v>12081260</v>
      </c>
      <c r="AT3740" s="782">
        <v>12098623</v>
      </c>
      <c r="AU3740" s="781"/>
      <c r="AV3740" s="782">
        <v>12098706</v>
      </c>
      <c r="AW3740" s="782">
        <v>12088207</v>
      </c>
      <c r="AX3740" s="782"/>
      <c r="AY3740" s="782">
        <v>12094237</v>
      </c>
      <c r="AZ3740" s="782"/>
      <c r="BA3740" s="781"/>
      <c r="BB3740" s="209">
        <v>23053185</v>
      </c>
    </row>
    <row r="3741" spans="1:54" ht="24.75" customHeight="1">
      <c r="B3741" s="320">
        <v>46271</v>
      </c>
      <c r="C3741" s="321">
        <v>46296</v>
      </c>
      <c r="D3741" s="185">
        <f t="shared" si="2045"/>
        <v>2026</v>
      </c>
      <c r="E3741" s="321" t="e">
        <f>VLOOKUP($B3741,Week!$A$1:$C$1462,2,0)</f>
        <v>#N/A</v>
      </c>
      <c r="F3741" s="322" t="str">
        <f t="shared" si="2046"/>
        <v>Sep</v>
      </c>
      <c r="G3741" s="323" t="s">
        <v>3145</v>
      </c>
      <c r="H3741" s="323" t="s">
        <v>311</v>
      </c>
      <c r="I3741" s="323" t="s">
        <v>2772</v>
      </c>
      <c r="J3741" s="324" t="s">
        <v>2913</v>
      </c>
      <c r="K3741" s="325" t="s">
        <v>107</v>
      </c>
      <c r="L3741" s="300" t="s">
        <v>2167</v>
      </c>
      <c r="M3741" s="324" t="s">
        <v>313</v>
      </c>
      <c r="N3741" s="596" t="s">
        <v>2853</v>
      </c>
      <c r="O3741" s="323" t="s">
        <v>2747</v>
      </c>
      <c r="P3741" s="326">
        <v>5</v>
      </c>
      <c r="Q3741" s="326">
        <v>4</v>
      </c>
      <c r="R3741" s="327">
        <v>7.4999999999999997E-3</v>
      </c>
      <c r="S3741" s="323" t="s">
        <v>111</v>
      </c>
      <c r="T3741" s="323" t="s">
        <v>112</v>
      </c>
      <c r="U3741" s="323" t="s">
        <v>57</v>
      </c>
      <c r="V3741" s="328">
        <f>5000+76</f>
        <v>5076</v>
      </c>
      <c r="W3741" s="328"/>
      <c r="X3741" s="329">
        <f>(1460+23920)/5</f>
        <v>5076</v>
      </c>
      <c r="Y3741" s="330">
        <f t="shared" si="2047"/>
        <v>0</v>
      </c>
      <c r="Z3741" s="331">
        <f t="shared" si="2048"/>
        <v>0</v>
      </c>
      <c r="AA3741" s="331">
        <f t="shared" si="2049"/>
        <v>0</v>
      </c>
      <c r="AB3741" s="816">
        <v>7.4999999999999997E-3</v>
      </c>
      <c r="AC3741" s="328">
        <f t="shared" si="2050"/>
        <v>0</v>
      </c>
      <c r="AD3741" s="307" t="s">
        <v>2354</v>
      </c>
      <c r="AE3741" s="210">
        <f t="shared" si="2051"/>
        <v>0</v>
      </c>
      <c r="AF3741" s="210">
        <f t="shared" si="2052"/>
        <v>0</v>
      </c>
      <c r="AG3741" s="211">
        <f t="shared" si="2053"/>
        <v>0.30499999999999999</v>
      </c>
      <c r="AH3741" s="157">
        <f t="shared" si="2054"/>
        <v>0</v>
      </c>
      <c r="AI3741" s="152">
        <f t="shared" si="2055"/>
        <v>25380</v>
      </c>
      <c r="AK3741" s="156" t="s">
        <v>691</v>
      </c>
      <c r="AL3741" s="212" t="s">
        <v>690</v>
      </c>
      <c r="AM3741" s="198">
        <f t="shared" si="2056"/>
        <v>0</v>
      </c>
      <c r="AN3741" s="199">
        <f t="shared" si="2057"/>
        <v>46271</v>
      </c>
      <c r="AO3741" s="159" t="s">
        <v>692</v>
      </c>
      <c r="AP3741" s="783" t="s">
        <v>643</v>
      </c>
      <c r="AQ3741" s="782">
        <v>12063755</v>
      </c>
      <c r="AR3741" s="782">
        <v>12081257</v>
      </c>
      <c r="AS3741" s="782">
        <v>12081260</v>
      </c>
      <c r="AT3741" s="782">
        <v>12098252</v>
      </c>
      <c r="AU3741" s="781"/>
      <c r="AV3741" s="782">
        <v>12098251</v>
      </c>
      <c r="AW3741" s="782"/>
      <c r="AX3741" s="782"/>
      <c r="AY3741" s="781"/>
      <c r="AZ3741" s="781"/>
      <c r="BA3741" s="781"/>
      <c r="BB3741" s="209">
        <v>23053185</v>
      </c>
    </row>
    <row r="3742" spans="1:54" ht="25" customHeight="1">
      <c r="B3742" s="345">
        <v>46271</v>
      </c>
      <c r="C3742" s="464">
        <v>46300</v>
      </c>
      <c r="D3742" s="185">
        <f t="shared" si="2045"/>
        <v>2026</v>
      </c>
      <c r="E3742" s="464" t="e">
        <f>VLOOKUP($B3742,Week!$A$1:$C$1462,2,0)</f>
        <v>#N/A</v>
      </c>
      <c r="F3742" s="465" t="str">
        <f t="shared" si="2046"/>
        <v>Sep</v>
      </c>
      <c r="G3742" s="347" t="s">
        <v>3091</v>
      </c>
      <c r="H3742" s="347" t="s">
        <v>134</v>
      </c>
      <c r="I3742" s="347" t="s">
        <v>2772</v>
      </c>
      <c r="J3742" s="349" t="s">
        <v>2932</v>
      </c>
      <c r="K3742" s="350" t="s">
        <v>107</v>
      </c>
      <c r="L3742" s="300" t="s">
        <v>2167</v>
      </c>
      <c r="M3742" s="349" t="s">
        <v>136</v>
      </c>
      <c r="N3742" s="347" t="s">
        <v>137</v>
      </c>
      <c r="O3742" s="347" t="s">
        <v>138</v>
      </c>
      <c r="P3742" s="351">
        <v>24</v>
      </c>
      <c r="Q3742" s="351">
        <v>3</v>
      </c>
      <c r="R3742" s="352">
        <v>7.4999999999999997E-3</v>
      </c>
      <c r="S3742" s="347" t="s">
        <v>111</v>
      </c>
      <c r="T3742" s="347" t="s">
        <v>56</v>
      </c>
      <c r="U3742" s="347" t="s">
        <v>572</v>
      </c>
      <c r="V3742" s="353">
        <f>200</f>
        <v>200</v>
      </c>
      <c r="W3742" s="353">
        <v>183</v>
      </c>
      <c r="X3742" s="354"/>
      <c r="Y3742" s="355">
        <f t="shared" si="2047"/>
        <v>-17</v>
      </c>
      <c r="Z3742" s="356">
        <f t="shared" si="2048"/>
        <v>408</v>
      </c>
      <c r="AA3742" s="356">
        <f t="shared" si="2049"/>
        <v>1224</v>
      </c>
      <c r="AB3742" s="818">
        <v>1</v>
      </c>
      <c r="AC3742" s="353">
        <f t="shared" si="2050"/>
        <v>408</v>
      </c>
      <c r="AD3742" s="443"/>
      <c r="AE3742" s="210">
        <f t="shared" si="2051"/>
        <v>9.1799999999999989E-3</v>
      </c>
      <c r="AF3742" s="210">
        <f t="shared" si="2052"/>
        <v>1.6999999999999998E-2</v>
      </c>
      <c r="AG3742" s="211">
        <f t="shared" si="2053"/>
        <v>0.219</v>
      </c>
      <c r="AH3742" s="157">
        <f t="shared" si="2054"/>
        <v>8.9352000000000001E-2</v>
      </c>
      <c r="AI3742" s="152">
        <f t="shared" si="2055"/>
        <v>4800</v>
      </c>
      <c r="AK3742" s="156" t="s">
        <v>691</v>
      </c>
      <c r="AL3742" s="212" t="s">
        <v>690</v>
      </c>
      <c r="AM3742" s="198">
        <f t="shared" si="2056"/>
        <v>89.352000000000004</v>
      </c>
      <c r="AN3742" s="199">
        <f t="shared" si="2057"/>
        <v>46271</v>
      </c>
      <c r="AO3742" s="159" t="s">
        <v>692</v>
      </c>
      <c r="AP3742" s="783" t="s">
        <v>610</v>
      </c>
      <c r="AQ3742" s="796" t="s">
        <v>1500</v>
      </c>
      <c r="AR3742" s="782" t="s">
        <v>140</v>
      </c>
      <c r="AS3742" s="782" t="s">
        <v>141</v>
      </c>
      <c r="AT3742" s="782"/>
      <c r="AU3742" s="783" t="s">
        <v>568</v>
      </c>
      <c r="AV3742" s="796" t="s">
        <v>2983</v>
      </c>
      <c r="AW3742" s="796" t="s">
        <v>570</v>
      </c>
      <c r="AX3742" s="782"/>
      <c r="AY3742" s="782">
        <v>12095878</v>
      </c>
      <c r="AZ3742" s="782">
        <v>12095879</v>
      </c>
      <c r="BA3742" s="782">
        <v>12095880</v>
      </c>
    </row>
    <row r="3743" spans="1:54" ht="25" customHeight="1">
      <c r="B3743" s="345">
        <v>46271</v>
      </c>
      <c r="C3743" s="464">
        <v>46300</v>
      </c>
      <c r="D3743" s="185">
        <f t="shared" si="2045"/>
        <v>2026</v>
      </c>
      <c r="E3743" s="464" t="e">
        <f>VLOOKUP($B3743,Week!$A$1:$C$1462,2,0)</f>
        <v>#N/A</v>
      </c>
      <c r="F3743" s="465" t="str">
        <f t="shared" si="2046"/>
        <v>Sep</v>
      </c>
      <c r="G3743" s="347" t="s">
        <v>3135</v>
      </c>
      <c r="H3743" s="347" t="s">
        <v>134</v>
      </c>
      <c r="I3743" s="347" t="s">
        <v>2772</v>
      </c>
      <c r="J3743" s="349" t="s">
        <v>2932</v>
      </c>
      <c r="K3743" s="350" t="s">
        <v>107</v>
      </c>
      <c r="L3743" s="300" t="s">
        <v>2167</v>
      </c>
      <c r="M3743" s="349" t="s">
        <v>136</v>
      </c>
      <c r="N3743" s="347" t="s">
        <v>137</v>
      </c>
      <c r="O3743" s="347" t="s">
        <v>138</v>
      </c>
      <c r="P3743" s="351">
        <v>24</v>
      </c>
      <c r="Q3743" s="351">
        <v>3</v>
      </c>
      <c r="R3743" s="352">
        <v>7.4999999999999997E-3</v>
      </c>
      <c r="S3743" s="347" t="s">
        <v>111</v>
      </c>
      <c r="T3743" s="347" t="s">
        <v>56</v>
      </c>
      <c r="U3743" s="347" t="s">
        <v>572</v>
      </c>
      <c r="V3743" s="353">
        <f>250</f>
        <v>250</v>
      </c>
      <c r="W3743" s="353">
        <v>250</v>
      </c>
      <c r="X3743" s="354"/>
      <c r="Y3743" s="355">
        <f t="shared" si="2047"/>
        <v>0</v>
      </c>
      <c r="Z3743" s="356">
        <f t="shared" si="2048"/>
        <v>0</v>
      </c>
      <c r="AA3743" s="356">
        <f t="shared" si="2049"/>
        <v>0</v>
      </c>
      <c r="AB3743" s="818">
        <v>1</v>
      </c>
      <c r="AC3743" s="353">
        <f t="shared" si="2050"/>
        <v>0</v>
      </c>
      <c r="AD3743" s="443"/>
      <c r="AE3743" s="210">
        <f t="shared" si="2051"/>
        <v>0</v>
      </c>
      <c r="AF3743" s="210">
        <f t="shared" si="2052"/>
        <v>0</v>
      </c>
      <c r="AG3743" s="211">
        <f t="shared" si="2053"/>
        <v>0.219</v>
      </c>
      <c r="AH3743" s="157">
        <f t="shared" si="2054"/>
        <v>0</v>
      </c>
      <c r="AI3743" s="152">
        <f t="shared" si="2055"/>
        <v>6000</v>
      </c>
      <c r="AK3743" s="156" t="s">
        <v>691</v>
      </c>
      <c r="AL3743" s="212" t="s">
        <v>690</v>
      </c>
      <c r="AM3743" s="198">
        <f t="shared" si="2056"/>
        <v>0</v>
      </c>
      <c r="AN3743" s="199">
        <f t="shared" si="2057"/>
        <v>46271</v>
      </c>
      <c r="AO3743" s="159" t="s">
        <v>692</v>
      </c>
      <c r="AP3743" s="783" t="s">
        <v>610</v>
      </c>
      <c r="AQ3743" s="796" t="s">
        <v>1500</v>
      </c>
      <c r="AR3743" s="782" t="s">
        <v>140</v>
      </c>
      <c r="AS3743" s="782" t="s">
        <v>141</v>
      </c>
      <c r="AT3743" s="782"/>
      <c r="AU3743" s="783" t="s">
        <v>568</v>
      </c>
      <c r="AV3743" s="796" t="s">
        <v>2983</v>
      </c>
      <c r="AW3743" s="796" t="s">
        <v>570</v>
      </c>
      <c r="AX3743" s="782"/>
      <c r="AY3743" s="782">
        <v>12095878</v>
      </c>
      <c r="AZ3743" s="782">
        <v>12095879</v>
      </c>
      <c r="BA3743" s="782">
        <v>12095880</v>
      </c>
    </row>
    <row r="3744" spans="1:54" ht="25" customHeight="1">
      <c r="B3744" s="183">
        <v>46272</v>
      </c>
      <c r="C3744" s="184"/>
      <c r="D3744" s="185">
        <f t="shared" ref="D3744" si="2058">IF(B3744="","",YEAR(B3744))</f>
        <v>2026</v>
      </c>
      <c r="E3744" s="185" t="e">
        <f>VLOOKUP($B3744,Week!$A$1:$C$1462,2,0)</f>
        <v>#N/A</v>
      </c>
      <c r="F3744" s="186" t="str">
        <f t="shared" ref="F3744" si="2059">IF(B3744="","",TEXT(B3744,"[$-409]mmm"))</f>
        <v>Sep</v>
      </c>
      <c r="G3744" s="481"/>
      <c r="H3744" s="185"/>
      <c r="I3744" s="185"/>
      <c r="J3744" s="187"/>
      <c r="K3744" s="188"/>
      <c r="L3744" s="188"/>
      <c r="M3744" s="187"/>
      <c r="N3744" s="185"/>
      <c r="O3744" s="185"/>
      <c r="P3744" s="189"/>
      <c r="Q3744" s="189"/>
      <c r="R3744" s="190"/>
      <c r="S3744" s="185"/>
      <c r="T3744" s="185"/>
      <c r="U3744" s="185"/>
      <c r="V3744" s="191"/>
      <c r="W3744" s="191"/>
      <c r="X3744" s="192"/>
      <c r="Y3744" s="193"/>
      <c r="Z3744" s="194"/>
      <c r="AA3744" s="194">
        <f t="shared" ref="AA3744" si="2060">Q3744*Z3744</f>
        <v>0</v>
      </c>
      <c r="AB3744" s="805"/>
      <c r="AC3744" s="191"/>
      <c r="AD3744" s="187"/>
      <c r="AE3744" s="195"/>
      <c r="AF3744" s="195"/>
      <c r="AG3744" s="196"/>
      <c r="AH3744" s="197"/>
      <c r="AK3744" s="156" t="s">
        <v>691</v>
      </c>
      <c r="AM3744" s="198">
        <f t="shared" ref="AM3744" si="2061">AG3744*Z3744</f>
        <v>0</v>
      </c>
      <c r="AN3744" s="199">
        <f t="shared" ref="AN3744" si="2062">B3744</f>
        <v>46272</v>
      </c>
      <c r="AO3744" s="159" t="s">
        <v>692</v>
      </c>
      <c r="AP3744" s="781"/>
      <c r="AQ3744" s="782"/>
      <c r="AR3744" s="782"/>
      <c r="AS3744" s="782"/>
      <c r="AT3744" s="782"/>
      <c r="AU3744" s="781"/>
      <c r="AV3744" s="782"/>
      <c r="AW3744" s="782"/>
      <c r="AX3744" s="782"/>
      <c r="AY3744" s="782"/>
      <c r="AZ3744" s="782"/>
      <c r="BA3744" s="781"/>
      <c r="BB3744" s="209"/>
    </row>
    <row r="3745" spans="1:54" ht="25" customHeight="1">
      <c r="B3745" s="183">
        <v>46273</v>
      </c>
      <c r="C3745" s="184"/>
      <c r="D3745" s="185">
        <f t="shared" ref="D3745" si="2063">IF(B3745="","",YEAR(B3745))</f>
        <v>2026</v>
      </c>
      <c r="E3745" s="185" t="e">
        <f>VLOOKUP($B3745,Week!$A$1:$C$1462,2,0)</f>
        <v>#N/A</v>
      </c>
      <c r="F3745" s="186" t="str">
        <f t="shared" ref="F3745" si="2064">IF(B3745="","",TEXT(B3745,"[$-409]mmm"))</f>
        <v>Sep</v>
      </c>
      <c r="G3745" s="481"/>
      <c r="H3745" s="185"/>
      <c r="I3745" s="185"/>
      <c r="J3745" s="187"/>
      <c r="K3745" s="188"/>
      <c r="L3745" s="188"/>
      <c r="M3745" s="187"/>
      <c r="N3745" s="185"/>
      <c r="O3745" s="185"/>
      <c r="P3745" s="189"/>
      <c r="Q3745" s="189"/>
      <c r="R3745" s="190"/>
      <c r="S3745" s="185"/>
      <c r="T3745" s="185"/>
      <c r="U3745" s="185"/>
      <c r="V3745" s="191"/>
      <c r="W3745" s="191"/>
      <c r="X3745" s="192"/>
      <c r="Y3745" s="193"/>
      <c r="Z3745" s="194"/>
      <c r="AA3745" s="194">
        <f t="shared" ref="AA3745" si="2065">Q3745*Z3745</f>
        <v>0</v>
      </c>
      <c r="AB3745" s="805"/>
      <c r="AC3745" s="191"/>
      <c r="AD3745" s="187"/>
      <c r="AE3745" s="195"/>
      <c r="AF3745" s="195"/>
      <c r="AG3745" s="196"/>
      <c r="AH3745" s="197"/>
      <c r="AK3745" s="156" t="s">
        <v>691</v>
      </c>
      <c r="AM3745" s="198">
        <f t="shared" ref="AM3745" si="2066">AG3745*Z3745</f>
        <v>0</v>
      </c>
      <c r="AN3745" s="199">
        <f t="shared" ref="AN3745" si="2067">B3745</f>
        <v>46273</v>
      </c>
      <c r="AO3745" s="159" t="s">
        <v>692</v>
      </c>
      <c r="AP3745" s="781"/>
      <c r="AQ3745" s="782"/>
      <c r="AR3745" s="782"/>
      <c r="AS3745" s="782"/>
      <c r="AT3745" s="782"/>
      <c r="AU3745" s="781"/>
      <c r="AV3745" s="782"/>
      <c r="AW3745" s="782"/>
      <c r="AX3745" s="782"/>
      <c r="AY3745" s="782"/>
      <c r="AZ3745" s="782"/>
      <c r="BA3745" s="781"/>
      <c r="BB3745" s="209"/>
    </row>
    <row r="3746" spans="1:54" ht="25" customHeight="1">
      <c r="B3746" s="424">
        <v>46274</v>
      </c>
      <c r="C3746" s="647" t="s">
        <v>3146</v>
      </c>
      <c r="D3746" s="185">
        <f t="shared" ref="D3746" si="2068">IF(B3746="","",YEAR(B3746))</f>
        <v>2026</v>
      </c>
      <c r="E3746" s="425" t="e">
        <f>VLOOKUP($B3746,Week!$A$1:$C$1462,2,0)</f>
        <v>#N/A</v>
      </c>
      <c r="F3746" s="426" t="str">
        <f t="shared" ref="F3746" si="2069">IF(B3746="","",TEXT(B3746,"[$-409]mmm"))</f>
        <v>Sep</v>
      </c>
      <c r="G3746" s="427" t="s">
        <v>47</v>
      </c>
      <c r="H3746" s="427" t="s">
        <v>518</v>
      </c>
      <c r="I3746" s="427" t="s">
        <v>2702</v>
      </c>
      <c r="J3746" s="428" t="s">
        <v>70</v>
      </c>
      <c r="K3746" s="429" t="s">
        <v>94</v>
      </c>
      <c r="L3746" s="300" t="s">
        <v>2167</v>
      </c>
      <c r="M3746" s="428" t="s">
        <v>2342</v>
      </c>
      <c r="N3746" s="427" t="s">
        <v>587</v>
      </c>
      <c r="O3746" s="427" t="s">
        <v>3198</v>
      </c>
      <c r="P3746" s="430">
        <v>18</v>
      </c>
      <c r="Q3746" s="430">
        <v>5</v>
      </c>
      <c r="R3746" s="431">
        <v>8.0000000000000002E-3</v>
      </c>
      <c r="S3746" s="427" t="s">
        <v>40</v>
      </c>
      <c r="T3746" s="427" t="s">
        <v>56</v>
      </c>
      <c r="U3746" s="427" t="s">
        <v>89</v>
      </c>
      <c r="V3746" s="432">
        <v>1500</v>
      </c>
      <c r="W3746" s="432"/>
      <c r="X3746" s="433">
        <f>484/6</f>
        <v>80.666666666666671</v>
      </c>
      <c r="Y3746" s="434">
        <f t="shared" ref="Y3746" si="2070">(W3746+X3746)-V3746</f>
        <v>-1419.3333333333333</v>
      </c>
      <c r="Z3746" s="435">
        <f t="shared" ref="Z3746" si="2071">IF(Y3746&lt;0,((V3746*P3746)-((W3746+X3746)*P3746)),0)</f>
        <v>25548</v>
      </c>
      <c r="AA3746" s="435">
        <f t="shared" ref="AA3746" si="2072">Q3746*Z3746</f>
        <v>127740</v>
      </c>
      <c r="AB3746" s="826">
        <v>1</v>
      </c>
      <c r="AC3746" s="432">
        <f t="shared" ref="AC3746" si="2073">Z3746*AB3746</f>
        <v>25548</v>
      </c>
      <c r="AD3746" s="908" t="s">
        <v>3109</v>
      </c>
      <c r="AE3746" s="210">
        <f t="shared" ref="AE3746" si="2074">SUM(Q3746*R3746*Z3746)/1000</f>
        <v>1.0219200000000002</v>
      </c>
      <c r="AF3746" s="210">
        <f t="shared" ref="AF3746" si="2075">AE3746/0.54</f>
        <v>1.8924444444444446</v>
      </c>
      <c r="AG3746" s="211">
        <f>(MID(O3746,1,2)/1000)/3</f>
        <v>0.03</v>
      </c>
      <c r="AH3746" s="157">
        <f t="shared" ref="AH3746" si="2076">(Z3746*AG3746)/1000</f>
        <v>0.7664399999999999</v>
      </c>
      <c r="AI3746" s="152">
        <f t="shared" ref="AI3746" si="2077">V3746*P3746</f>
        <v>27000</v>
      </c>
      <c r="AK3746" s="156" t="s">
        <v>691</v>
      </c>
      <c r="AL3746" s="212" t="s">
        <v>690</v>
      </c>
      <c r="AM3746" s="198">
        <f t="shared" ref="AM3746" si="2078">AG3746*Z3746</f>
        <v>766.43999999999994</v>
      </c>
      <c r="AN3746" s="199">
        <f t="shared" ref="AN3746" si="2079">B3746</f>
        <v>46274</v>
      </c>
      <c r="AO3746" s="159" t="s">
        <v>692</v>
      </c>
      <c r="AP3746" s="783" t="s">
        <v>628</v>
      </c>
      <c r="AQ3746" s="782"/>
      <c r="AR3746" s="782"/>
      <c r="AS3746" s="782"/>
      <c r="AT3746" s="782"/>
      <c r="AU3746" s="781"/>
      <c r="AV3746" s="782">
        <v>12080791</v>
      </c>
      <c r="AW3746" s="782" t="s">
        <v>641</v>
      </c>
      <c r="AX3746" s="782" t="s">
        <v>533</v>
      </c>
      <c r="AY3746" s="782"/>
      <c r="AZ3746" s="782"/>
      <c r="BA3746" s="781"/>
      <c r="BB3746" s="209">
        <v>23053184</v>
      </c>
    </row>
    <row r="3747" spans="1:54" ht="24.65" customHeight="1">
      <c r="A3747" s="529" t="s">
        <v>1812</v>
      </c>
      <c r="B3747" s="357">
        <v>46274</v>
      </c>
      <c r="C3747" s="776">
        <v>46300</v>
      </c>
      <c r="D3747" s="185">
        <f t="shared" ref="D3747" si="2080">IF(B3747="","",YEAR(B3747))</f>
        <v>2026</v>
      </c>
      <c r="E3747" s="358" t="e">
        <f>VLOOKUP($B3747,Week!$A$1:$C$1462,2,0)</f>
        <v>#N/A</v>
      </c>
      <c r="F3747" s="360" t="str">
        <f t="shared" ref="F3747" si="2081">IF(B3747="","",TEXT(B3747,"[$-409]mmm"))</f>
        <v>Sep</v>
      </c>
      <c r="G3747" s="359" t="s">
        <v>3195</v>
      </c>
      <c r="H3747" s="436" t="s">
        <v>1820</v>
      </c>
      <c r="I3747" s="436" t="s">
        <v>1820</v>
      </c>
      <c r="J3747" s="437" t="s">
        <v>1821</v>
      </c>
      <c r="K3747" s="362" t="s">
        <v>94</v>
      </c>
      <c r="L3747" s="300" t="s">
        <v>2167</v>
      </c>
      <c r="M3747" s="361" t="s">
        <v>1823</v>
      </c>
      <c r="N3747" s="436" t="s">
        <v>1818</v>
      </c>
      <c r="O3747" s="359" t="s">
        <v>97</v>
      </c>
      <c r="P3747" s="363">
        <v>12</v>
      </c>
      <c r="Q3747" s="363">
        <v>5</v>
      </c>
      <c r="R3747" s="364">
        <v>8.0000000000000002E-3</v>
      </c>
      <c r="S3747" s="359" t="s">
        <v>40</v>
      </c>
      <c r="T3747" s="359" t="s">
        <v>56</v>
      </c>
      <c r="U3747" s="359" t="s">
        <v>57</v>
      </c>
      <c r="V3747" s="365">
        <f>200</f>
        <v>200</v>
      </c>
      <c r="W3747" s="365"/>
      <c r="X3747" s="366"/>
      <c r="Y3747" s="367">
        <f t="shared" ref="Y3747" si="2082">(W3747+X3747)-V3747</f>
        <v>-200</v>
      </c>
      <c r="Z3747" s="368">
        <f t="shared" ref="Z3747" si="2083">IF(Y3747&lt;0,((V3747*P3747)-((W3747+X3747)*P3747)),0)</f>
        <v>2400</v>
      </c>
      <c r="AA3747" s="368">
        <f t="shared" ref="AA3747" si="2084">Q3747*Z3747</f>
        <v>12000</v>
      </c>
      <c r="AB3747" s="819">
        <v>7.4999999999999997E-3</v>
      </c>
      <c r="AC3747" s="365">
        <f t="shared" ref="AC3747" si="2085">Z3747*AB3747</f>
        <v>18</v>
      </c>
      <c r="AD3747" s="908" t="s">
        <v>3109</v>
      </c>
      <c r="AE3747" s="210">
        <f t="shared" ref="AE3747" si="2086">SUM(Q3747*R3747*Z3747)/1000</f>
        <v>9.6000000000000002E-2</v>
      </c>
      <c r="AF3747" s="210">
        <f t="shared" ref="AF3747" si="2087">AE3747/0.54</f>
        <v>0.17777777777777776</v>
      </c>
      <c r="AG3747" s="211">
        <f t="shared" ref="AG3747" si="2088">MID(O3747,1,3)/1000</f>
        <v>0.14499999999999999</v>
      </c>
      <c r="AH3747" s="157">
        <f t="shared" ref="AH3747:AH3748" si="2089">(Z3747*AG3747)/1000</f>
        <v>0.34799999999999998</v>
      </c>
      <c r="AI3747" s="152">
        <f t="shared" ref="AI3747" si="2090">V3747*P3747</f>
        <v>2400</v>
      </c>
      <c r="AK3747" s="156" t="s">
        <v>691</v>
      </c>
      <c r="AL3747" s="574" t="s">
        <v>690</v>
      </c>
      <c r="AM3747" s="198">
        <f t="shared" ref="AM3747" si="2091">AG3747*Z3747</f>
        <v>348</v>
      </c>
      <c r="AN3747" s="199">
        <f t="shared" ref="AN3747" si="2092">B3747</f>
        <v>46274</v>
      </c>
      <c r="AO3747" s="159" t="s">
        <v>692</v>
      </c>
      <c r="AP3747" s="783" t="s">
        <v>628</v>
      </c>
      <c r="AQ3747" s="782">
        <v>12071839</v>
      </c>
      <c r="AR3747" s="782">
        <v>12047514</v>
      </c>
      <c r="AS3747" s="782">
        <v>12047515</v>
      </c>
      <c r="AT3747" s="782"/>
      <c r="AU3747" s="781"/>
      <c r="AV3747" s="782">
        <v>12080617</v>
      </c>
      <c r="AW3747" s="782"/>
      <c r="AX3747" s="782" t="s">
        <v>2986</v>
      </c>
      <c r="AY3747" s="782">
        <v>12094231</v>
      </c>
      <c r="AZ3747" s="782">
        <v>1209232</v>
      </c>
      <c r="BA3747" s="781"/>
      <c r="BB3747" s="209">
        <v>23053185</v>
      </c>
    </row>
    <row r="3748" spans="1:54" ht="25" customHeight="1">
      <c r="A3748" s="529" t="s">
        <v>1937</v>
      </c>
      <c r="B3748" s="357">
        <v>46274</v>
      </c>
      <c r="C3748" s="776" t="s">
        <v>3146</v>
      </c>
      <c r="D3748" s="185">
        <f>IF(B3748="","",YEAR(B3748))</f>
        <v>2026</v>
      </c>
      <c r="E3748" s="358" t="e">
        <f>VLOOKUP($B3748,Week!$A$1:$C$1462,2,0)</f>
        <v>#N/A</v>
      </c>
      <c r="F3748" s="360" t="str">
        <f>IF(B3748="","",TEXT(B3748,"[$-409]mmm"))</f>
        <v>Sep</v>
      </c>
      <c r="G3748" s="359" t="s">
        <v>47</v>
      </c>
      <c r="H3748" s="359" t="s">
        <v>518</v>
      </c>
      <c r="I3748" s="359" t="s">
        <v>2702</v>
      </c>
      <c r="J3748" s="361" t="s">
        <v>70</v>
      </c>
      <c r="K3748" s="362" t="s">
        <v>94</v>
      </c>
      <c r="L3748" s="362" t="s">
        <v>2167</v>
      </c>
      <c r="M3748" s="361" t="s">
        <v>2341</v>
      </c>
      <c r="N3748" s="436" t="s">
        <v>648</v>
      </c>
      <c r="O3748" s="359" t="s">
        <v>97</v>
      </c>
      <c r="P3748" s="363">
        <v>12</v>
      </c>
      <c r="Q3748" s="363">
        <v>5</v>
      </c>
      <c r="R3748" s="364">
        <v>8.0000000000000002E-3</v>
      </c>
      <c r="S3748" s="359" t="s">
        <v>40</v>
      </c>
      <c r="T3748" s="359" t="s">
        <v>56</v>
      </c>
      <c r="U3748" s="359" t="s">
        <v>57</v>
      </c>
      <c r="V3748" s="365">
        <v>12</v>
      </c>
      <c r="W3748" s="365"/>
      <c r="X3748" s="366"/>
      <c r="Y3748" s="367">
        <f>(W3748+X3748)-V3748</f>
        <v>-12</v>
      </c>
      <c r="Z3748" s="368">
        <f>IF(Y3748&lt;0,((V3748*P3748)-((W3748+X3748)*P3748)),0)</f>
        <v>144</v>
      </c>
      <c r="AA3748" s="368">
        <f>Q3748*Z3748</f>
        <v>720</v>
      </c>
      <c r="AB3748" s="819">
        <v>7.4999999999999997E-3</v>
      </c>
      <c r="AC3748" s="365">
        <f>Z3748*AB3748</f>
        <v>1.08</v>
      </c>
      <c r="AD3748" s="949" t="s">
        <v>3109</v>
      </c>
      <c r="AE3748" s="210">
        <f>SUM(Q3748*R3748*Z3748)/1000</f>
        <v>5.7599999999999995E-3</v>
      </c>
      <c r="AF3748" s="210">
        <f>AE3748/0.54</f>
        <v>1.0666666666666665E-2</v>
      </c>
      <c r="AG3748" s="211">
        <f>MID(O3748,1,3)/1000</f>
        <v>0.14499999999999999</v>
      </c>
      <c r="AH3748" s="157">
        <f t="shared" si="2089"/>
        <v>2.0879999999999999E-2</v>
      </c>
      <c r="AI3748" s="152">
        <f>V3748*P3748</f>
        <v>144</v>
      </c>
      <c r="AK3748" s="156" t="s">
        <v>691</v>
      </c>
      <c r="AL3748" s="574" t="s">
        <v>690</v>
      </c>
      <c r="AM3748" s="198">
        <f>AG3748*Z3748</f>
        <v>20.88</v>
      </c>
      <c r="AN3748" s="199">
        <f>B3748</f>
        <v>46274</v>
      </c>
      <c r="AO3748" s="159" t="s">
        <v>692</v>
      </c>
      <c r="AP3748" s="783" t="s">
        <v>628</v>
      </c>
      <c r="AQ3748" s="782">
        <v>12071839</v>
      </c>
      <c r="AR3748" s="782">
        <v>12047514</v>
      </c>
      <c r="AS3748" s="782">
        <v>12047515</v>
      </c>
      <c r="AT3748" s="782"/>
      <c r="AU3748" s="781"/>
      <c r="AV3748" s="782">
        <v>12080617</v>
      </c>
      <c r="AW3748" s="782"/>
      <c r="AX3748" s="782"/>
      <c r="AY3748" s="782">
        <v>12094231</v>
      </c>
      <c r="AZ3748" s="782">
        <v>1209232</v>
      </c>
      <c r="BA3748" s="781"/>
      <c r="BB3748" s="209"/>
    </row>
    <row r="3749" spans="1:54" ht="25" customHeight="1">
      <c r="B3749" s="357">
        <v>46274</v>
      </c>
      <c r="C3749" s="776" t="s">
        <v>3146</v>
      </c>
      <c r="D3749" s="185">
        <f>IF(B3749="","",YEAR(B3749))</f>
        <v>2026</v>
      </c>
      <c r="E3749" s="358" t="e">
        <f>VLOOKUP($B3749,Week!$A$1:$C$1462,2,0)</f>
        <v>#N/A</v>
      </c>
      <c r="F3749" s="360" t="str">
        <f>IF(B3749="","",TEXT(B3749,"[$-409]mmm"))</f>
        <v>Sep</v>
      </c>
      <c r="G3749" s="359" t="s">
        <v>47</v>
      </c>
      <c r="H3749" s="359" t="s">
        <v>518</v>
      </c>
      <c r="I3749" s="359" t="s">
        <v>2702</v>
      </c>
      <c r="J3749" s="361" t="s">
        <v>70</v>
      </c>
      <c r="K3749" s="362" t="s">
        <v>94</v>
      </c>
      <c r="L3749" s="300" t="s">
        <v>2167</v>
      </c>
      <c r="M3749" s="361" t="s">
        <v>2341</v>
      </c>
      <c r="N3749" s="359" t="s">
        <v>589</v>
      </c>
      <c r="O3749" s="359" t="s">
        <v>97</v>
      </c>
      <c r="P3749" s="363">
        <v>12</v>
      </c>
      <c r="Q3749" s="363">
        <v>5</v>
      </c>
      <c r="R3749" s="364">
        <v>8.0000000000000002E-3</v>
      </c>
      <c r="S3749" s="359" t="s">
        <v>40</v>
      </c>
      <c r="T3749" s="359" t="s">
        <v>56</v>
      </c>
      <c r="U3749" s="359" t="s">
        <v>57</v>
      </c>
      <c r="V3749" s="365">
        <f>2500</f>
        <v>2500</v>
      </c>
      <c r="W3749" s="365"/>
      <c r="X3749" s="366"/>
      <c r="Y3749" s="367">
        <f t="shared" ref="Y3749" si="2093">(W3749+X3749)-V3749</f>
        <v>-2500</v>
      </c>
      <c r="Z3749" s="368">
        <f t="shared" ref="Z3749" si="2094">IF(Y3749&lt;0,((V3749*P3749)-((W3749+X3749)*P3749)),0)</f>
        <v>30000</v>
      </c>
      <c r="AA3749" s="368">
        <f>Q3749*Z3749</f>
        <v>150000</v>
      </c>
      <c r="AB3749" s="819">
        <v>7.4999999999999997E-3</v>
      </c>
      <c r="AC3749" s="365">
        <f t="shared" ref="AC3749" si="2095">Z3749*AB3749</f>
        <v>225</v>
      </c>
      <c r="AD3749" s="908" t="s">
        <v>3109</v>
      </c>
      <c r="AE3749" s="210">
        <f t="shared" ref="AE3749" si="2096">SUM(Q3749*R3749*Z3749)/1000</f>
        <v>1.2</v>
      </c>
      <c r="AF3749" s="210">
        <f t="shared" ref="AF3749" si="2097">AE3749/0.54</f>
        <v>2.2222222222222219</v>
      </c>
      <c r="AG3749" s="211">
        <f t="shared" ref="AG3749" si="2098">MID(O3749,1,3)/1000</f>
        <v>0.14499999999999999</v>
      </c>
      <c r="AH3749" s="157">
        <f>(Z3749*AG3749)/1000</f>
        <v>4.3499999999999996</v>
      </c>
      <c r="AI3749" s="152">
        <f t="shared" ref="AI3749" si="2099">V3749*P3749</f>
        <v>30000</v>
      </c>
      <c r="AK3749" s="156" t="s">
        <v>691</v>
      </c>
      <c r="AL3749" s="574" t="s">
        <v>690</v>
      </c>
      <c r="AM3749" s="198">
        <f>AG3749*Z3749</f>
        <v>4350</v>
      </c>
      <c r="AN3749" s="199">
        <f>B3749</f>
        <v>46274</v>
      </c>
      <c r="AO3749" s="159" t="s">
        <v>692</v>
      </c>
      <c r="AP3749" s="783" t="s">
        <v>628</v>
      </c>
      <c r="AQ3749" s="782">
        <v>12071839</v>
      </c>
      <c r="AR3749" s="782">
        <v>12047514</v>
      </c>
      <c r="AS3749" s="782">
        <v>12047515</v>
      </c>
      <c r="AT3749" s="782"/>
      <c r="AU3749" s="781"/>
      <c r="AV3749" s="782">
        <v>12080617</v>
      </c>
      <c r="AW3749" s="782"/>
      <c r="AX3749" s="782"/>
      <c r="AY3749" s="782">
        <v>12094231</v>
      </c>
      <c r="AZ3749" s="782">
        <v>1209232</v>
      </c>
      <c r="BA3749" s="781"/>
      <c r="BB3749" s="209">
        <v>23053185</v>
      </c>
    </row>
    <row r="3750" spans="1:54" ht="25" customHeight="1">
      <c r="B3750" s="271">
        <v>46274</v>
      </c>
      <c r="C3750" s="870" t="s">
        <v>3146</v>
      </c>
      <c r="D3750" s="185">
        <f>IF(B3750="","",YEAR(B3750))</f>
        <v>2026</v>
      </c>
      <c r="E3750" s="272" t="e">
        <f>VLOOKUP($B3750,Week!$A$1:$C$1462,2,0)</f>
        <v>#N/A</v>
      </c>
      <c r="F3750" s="273" t="str">
        <f>IF(B3750="","",TEXT(B3750,"[$-409]mmm"))</f>
        <v>Sep</v>
      </c>
      <c r="G3750" s="274" t="s">
        <v>47</v>
      </c>
      <c r="H3750" s="274" t="s">
        <v>518</v>
      </c>
      <c r="I3750" s="274" t="s">
        <v>2702</v>
      </c>
      <c r="J3750" s="275" t="s">
        <v>70</v>
      </c>
      <c r="K3750" s="276" t="s">
        <v>556</v>
      </c>
      <c r="L3750" s="300" t="s">
        <v>2167</v>
      </c>
      <c r="M3750" s="275" t="s">
        <v>520</v>
      </c>
      <c r="N3750" s="423" t="s">
        <v>586</v>
      </c>
      <c r="O3750" s="274" t="s">
        <v>585</v>
      </c>
      <c r="P3750" s="277">
        <v>12</v>
      </c>
      <c r="Q3750" s="277">
        <v>5</v>
      </c>
      <c r="R3750" s="278">
        <v>6.0000000000000001E-3</v>
      </c>
      <c r="S3750" s="274" t="s">
        <v>55</v>
      </c>
      <c r="T3750" s="274" t="s">
        <v>56</v>
      </c>
      <c r="U3750" s="274" t="s">
        <v>57</v>
      </c>
      <c r="V3750" s="279">
        <v>300</v>
      </c>
      <c r="W3750" s="279"/>
      <c r="X3750" s="280"/>
      <c r="Y3750" s="281">
        <f>(W3750+X3750)-V3750</f>
        <v>-300</v>
      </c>
      <c r="Z3750" s="282">
        <f>IF(Y3750&lt;0,((V3750*P3750)-((W3750+X3750)*P3750)),0)</f>
        <v>3600</v>
      </c>
      <c r="AA3750" s="282">
        <f>Q3750*Z3750</f>
        <v>18000</v>
      </c>
      <c r="AB3750" s="812">
        <v>7.4999999999999997E-3</v>
      </c>
      <c r="AC3750" s="279">
        <f>Z3750*AB3750</f>
        <v>27</v>
      </c>
      <c r="AD3750" s="908" t="s">
        <v>3109</v>
      </c>
      <c r="AE3750" s="210">
        <f>SUM(Q3750*R3750*Z3750)/1000</f>
        <v>0.108</v>
      </c>
      <c r="AF3750" s="210">
        <f>AE3750/0.54</f>
        <v>0.19999999999999998</v>
      </c>
      <c r="AG3750" s="211">
        <f>MID(O3750,1,3)/1000</f>
        <v>0.13500000000000001</v>
      </c>
      <c r="AH3750" s="157">
        <f>(Z3750*AG3750)/1000</f>
        <v>0.48600000000000004</v>
      </c>
      <c r="AI3750" s="152">
        <f>V3750*P3750</f>
        <v>3600</v>
      </c>
      <c r="AK3750" s="156" t="s">
        <v>691</v>
      </c>
      <c r="AL3750" s="212" t="s">
        <v>690</v>
      </c>
      <c r="AM3750" s="198">
        <f>AG3750*Z3750</f>
        <v>486.00000000000006</v>
      </c>
      <c r="AN3750" s="199">
        <f>B3750</f>
        <v>46274</v>
      </c>
      <c r="AO3750" s="159" t="s">
        <v>692</v>
      </c>
      <c r="AP3750" s="781"/>
      <c r="AQ3750" s="782">
        <v>12071839</v>
      </c>
      <c r="AR3750" s="782">
        <v>12047514</v>
      </c>
      <c r="AS3750" s="782">
        <v>12047515</v>
      </c>
      <c r="AT3750" s="782"/>
      <c r="AU3750" s="781"/>
      <c r="AV3750" s="782">
        <v>12083307</v>
      </c>
      <c r="AW3750" s="782"/>
      <c r="AX3750" s="782"/>
      <c r="AY3750" s="782">
        <v>12094380</v>
      </c>
      <c r="AZ3750" s="782">
        <v>12094381</v>
      </c>
      <c r="BA3750" s="781"/>
      <c r="BB3750" s="209">
        <v>23053185</v>
      </c>
    </row>
    <row r="3751" spans="1:54" ht="25" customHeight="1">
      <c r="A3751" s="440"/>
      <c r="B3751" s="332">
        <v>46274</v>
      </c>
      <c r="C3751" s="646" t="s">
        <v>3075</v>
      </c>
      <c r="D3751" s="185">
        <f t="shared" ref="D3751" si="2100">IF(B3751="","",YEAR(B3751))</f>
        <v>2026</v>
      </c>
      <c r="E3751" s="333" t="e">
        <f>VLOOKUP($B3751,Week!$A$1:$C$1462,2,0)</f>
        <v>#N/A</v>
      </c>
      <c r="F3751" s="334" t="str">
        <f t="shared" ref="F3751" si="2101">IF(B3751="","",TEXT(B3751,"[$-409]mmm"))</f>
        <v>Sep</v>
      </c>
      <c r="G3751" s="335" t="s">
        <v>47</v>
      </c>
      <c r="H3751" s="335" t="s">
        <v>518</v>
      </c>
      <c r="I3751" s="335" t="s">
        <v>2702</v>
      </c>
      <c r="J3751" s="336" t="s">
        <v>70</v>
      </c>
      <c r="K3751" s="337" t="s">
        <v>582</v>
      </c>
      <c r="L3751" s="300" t="s">
        <v>2167</v>
      </c>
      <c r="M3751" s="336" t="s">
        <v>534</v>
      </c>
      <c r="N3751" s="530" t="s">
        <v>578</v>
      </c>
      <c r="O3751" s="335" t="s">
        <v>583</v>
      </c>
      <c r="P3751" s="338">
        <v>12</v>
      </c>
      <c r="Q3751" s="338">
        <v>3</v>
      </c>
      <c r="R3751" s="339">
        <v>6.0000000000000001E-3</v>
      </c>
      <c r="S3751" s="335" t="s">
        <v>55</v>
      </c>
      <c r="T3751" s="335" t="s">
        <v>56</v>
      </c>
      <c r="U3751" s="335" t="s">
        <v>57</v>
      </c>
      <c r="V3751" s="341">
        <f>200</f>
        <v>200</v>
      </c>
      <c r="W3751" s="341"/>
      <c r="X3751" s="342"/>
      <c r="Y3751" s="343">
        <f t="shared" ref="Y3751" si="2102">(W3751+X3751)-V3751</f>
        <v>-200</v>
      </c>
      <c r="Z3751" s="344">
        <f t="shared" ref="Z3751" si="2103">IF(Y3751&lt;0,((V3751*P3751)-((W3751+X3751)*P3751)),0)</f>
        <v>2400</v>
      </c>
      <c r="AA3751" s="344">
        <f t="shared" ref="AA3751" si="2104">Q3751*Z3751</f>
        <v>7200</v>
      </c>
      <c r="AB3751" s="817">
        <v>7.4999999999999997E-3</v>
      </c>
      <c r="AC3751" s="341">
        <f t="shared" ref="AC3751" si="2105">Z3751*AB3751</f>
        <v>18</v>
      </c>
      <c r="AD3751" s="908" t="s">
        <v>3109</v>
      </c>
      <c r="AE3751" s="210">
        <f t="shared" ref="AE3751" si="2106">SUM(Q3751*R3751*Z3751)/1000</f>
        <v>4.3200000000000002E-2</v>
      </c>
      <c r="AF3751" s="210">
        <f t="shared" ref="AF3751" si="2107">AE3751/0.54</f>
        <v>0.08</v>
      </c>
      <c r="AG3751" s="211">
        <f t="shared" ref="AG3751" si="2108">MID(O3751,1,3)/1000</f>
        <v>0.191</v>
      </c>
      <c r="AH3751" s="157">
        <f t="shared" ref="AH3751" si="2109">(Z3751*AG3751)/1000</f>
        <v>0.45840000000000003</v>
      </c>
      <c r="AI3751" s="152">
        <f t="shared" ref="AI3751" si="2110">V3751*P3751</f>
        <v>2400</v>
      </c>
      <c r="AK3751" s="156" t="s">
        <v>691</v>
      </c>
      <c r="AL3751" s="212" t="s">
        <v>690</v>
      </c>
      <c r="AM3751" s="198">
        <f t="shared" ref="AM3751" si="2111">AG3751*Z3751</f>
        <v>458.40000000000003</v>
      </c>
      <c r="AN3751" s="199">
        <f t="shared" ref="AN3751" si="2112">B3751</f>
        <v>46274</v>
      </c>
      <c r="AO3751" s="159" t="s">
        <v>692</v>
      </c>
      <c r="AP3751" s="781"/>
      <c r="AQ3751" s="782">
        <v>12071839</v>
      </c>
      <c r="AR3751" s="782">
        <v>12042650</v>
      </c>
      <c r="AS3751" s="782">
        <v>12042649</v>
      </c>
      <c r="AT3751" s="782"/>
      <c r="AU3751" s="781"/>
      <c r="AV3751" s="782">
        <v>12083313</v>
      </c>
      <c r="AW3751" s="782"/>
      <c r="AX3751" s="782"/>
      <c r="AY3751" s="782">
        <v>12094233</v>
      </c>
      <c r="AZ3751" s="782">
        <v>12094234</v>
      </c>
      <c r="BA3751" s="781"/>
      <c r="BB3751" s="209">
        <v>23053185</v>
      </c>
    </row>
    <row r="3752" spans="1:54" ht="25" customHeight="1">
      <c r="B3752" s="320">
        <v>46274</v>
      </c>
      <c r="C3752" s="844" t="s">
        <v>3146</v>
      </c>
      <c r="D3752" s="185">
        <f t="shared" ref="D3752:D3757" si="2113">IF(B3752="","",YEAR(B3752))</f>
        <v>2026</v>
      </c>
      <c r="E3752" s="321" t="e">
        <f>VLOOKUP($B3752,Week!$A$1:$C$1462,2,0)</f>
        <v>#N/A</v>
      </c>
      <c r="F3752" s="322" t="str">
        <f t="shared" ref="F3752:F3757" si="2114">IF(B3752="","",TEXT(B3752,"[$-409]mmm"))</f>
        <v>Sep</v>
      </c>
      <c r="G3752" s="323" t="s">
        <v>47</v>
      </c>
      <c r="H3752" s="323" t="s">
        <v>518</v>
      </c>
      <c r="I3752" s="323" t="s">
        <v>2702</v>
      </c>
      <c r="J3752" s="324" t="s">
        <v>70</v>
      </c>
      <c r="K3752" s="325" t="s">
        <v>564</v>
      </c>
      <c r="L3752" s="300" t="s">
        <v>2167</v>
      </c>
      <c r="M3752" s="324" t="s">
        <v>2343</v>
      </c>
      <c r="N3752" s="323" t="s">
        <v>559</v>
      </c>
      <c r="O3752" s="323" t="s">
        <v>560</v>
      </c>
      <c r="P3752" s="326">
        <v>12</v>
      </c>
      <c r="Q3752" s="326">
        <v>3</v>
      </c>
      <c r="R3752" s="327">
        <v>8.0000000000000002E-3</v>
      </c>
      <c r="S3752" s="323" t="s">
        <v>40</v>
      </c>
      <c r="T3752" s="323" t="s">
        <v>56</v>
      </c>
      <c r="U3752" s="323" t="s">
        <v>57</v>
      </c>
      <c r="V3752" s="397">
        <f>500</f>
        <v>500</v>
      </c>
      <c r="W3752" s="328"/>
      <c r="X3752" s="329"/>
      <c r="Y3752" s="330">
        <f>(W3752+X3752)-V3752</f>
        <v>-500</v>
      </c>
      <c r="Z3752" s="331">
        <f>IF(Y3752&lt;0,((V3752*P3752)-((W3752+X3752)*P3752)),0)</f>
        <v>6000</v>
      </c>
      <c r="AA3752" s="331">
        <f>Q3752*Z3752</f>
        <v>18000</v>
      </c>
      <c r="AB3752" s="816">
        <v>7.4999999999999997E-3</v>
      </c>
      <c r="AC3752" s="328">
        <f>Z3752*AB3752</f>
        <v>45</v>
      </c>
      <c r="AD3752" s="908" t="s">
        <v>3109</v>
      </c>
      <c r="AE3752" s="210">
        <f>SUM(Q3752*R3752*Z3752)/1000</f>
        <v>0.14399999999999999</v>
      </c>
      <c r="AF3752" s="210">
        <f>AE3752/0.54</f>
        <v>0.26666666666666661</v>
      </c>
      <c r="AG3752" s="211">
        <f>MID(O3752,1,3)/1000</f>
        <v>0.22600000000000001</v>
      </c>
      <c r="AH3752" s="157">
        <f>(Z3752*AG3752)/1000</f>
        <v>1.3560000000000001</v>
      </c>
      <c r="AI3752" s="152">
        <f>V3752*P3752</f>
        <v>6000</v>
      </c>
      <c r="AK3752" s="156" t="s">
        <v>691</v>
      </c>
      <c r="AL3752" s="212" t="s">
        <v>690</v>
      </c>
      <c r="AM3752" s="198">
        <f>AG3752*Z3752</f>
        <v>1356</v>
      </c>
      <c r="AN3752" s="199">
        <f>B3752</f>
        <v>46274</v>
      </c>
      <c r="AO3752" s="159" t="s">
        <v>692</v>
      </c>
      <c r="AP3752" s="783" t="s">
        <v>623</v>
      </c>
      <c r="AQ3752" s="782">
        <v>12071839</v>
      </c>
      <c r="AR3752" s="782">
        <v>12042650</v>
      </c>
      <c r="AS3752" s="782">
        <v>12042649</v>
      </c>
      <c r="AT3752" s="782"/>
      <c r="AU3752" s="781"/>
      <c r="AV3752" s="782">
        <v>12083156</v>
      </c>
      <c r="AW3752" s="782"/>
      <c r="AX3752" s="782"/>
      <c r="AY3752" s="782">
        <v>12094235</v>
      </c>
      <c r="AZ3752" s="782">
        <v>12094236</v>
      </c>
      <c r="BA3752" s="781"/>
      <c r="BB3752" s="209">
        <v>23053185</v>
      </c>
    </row>
    <row r="3753" spans="1:54" ht="25" customHeight="1">
      <c r="B3753" s="320">
        <v>46274</v>
      </c>
      <c r="C3753" s="844" t="s">
        <v>3146</v>
      </c>
      <c r="D3753" s="185">
        <f t="shared" si="2113"/>
        <v>2026</v>
      </c>
      <c r="E3753" s="321" t="e">
        <f>VLOOKUP($B3753,Week!$A$1:$C$1462,2,0)</f>
        <v>#N/A</v>
      </c>
      <c r="F3753" s="322" t="str">
        <f t="shared" si="2114"/>
        <v>Sep</v>
      </c>
      <c r="G3753" s="323" t="s">
        <v>47</v>
      </c>
      <c r="H3753" s="323" t="s">
        <v>518</v>
      </c>
      <c r="I3753" s="323" t="s">
        <v>2702</v>
      </c>
      <c r="J3753" s="324" t="s">
        <v>70</v>
      </c>
      <c r="K3753" s="325" t="s">
        <v>564</v>
      </c>
      <c r="L3753" s="300" t="s">
        <v>2167</v>
      </c>
      <c r="M3753" s="324" t="s">
        <v>2343</v>
      </c>
      <c r="N3753" s="323" t="s">
        <v>559</v>
      </c>
      <c r="O3753" s="323" t="s">
        <v>560</v>
      </c>
      <c r="P3753" s="326">
        <v>12</v>
      </c>
      <c r="Q3753" s="326">
        <v>3</v>
      </c>
      <c r="R3753" s="327">
        <v>8.0000000000000002E-3</v>
      </c>
      <c r="S3753" s="323" t="s">
        <v>40</v>
      </c>
      <c r="T3753" s="323" t="s">
        <v>56</v>
      </c>
      <c r="U3753" s="323" t="s">
        <v>57</v>
      </c>
      <c r="V3753" s="397">
        <f>500</f>
        <v>500</v>
      </c>
      <c r="W3753" s="328"/>
      <c r="X3753" s="329"/>
      <c r="Y3753" s="330">
        <f>(W3753+X3753)-V3753</f>
        <v>-500</v>
      </c>
      <c r="Z3753" s="331">
        <f>IF(Y3753&lt;0,((V3753*P3753)-((W3753+X3753)*P3753)),0)</f>
        <v>6000</v>
      </c>
      <c r="AA3753" s="331">
        <f>Q3753*Z3753</f>
        <v>18000</v>
      </c>
      <c r="AB3753" s="816">
        <v>7.4999999999999997E-3</v>
      </c>
      <c r="AC3753" s="328">
        <f>Z3753*AB3753</f>
        <v>45</v>
      </c>
      <c r="AD3753" s="908" t="s">
        <v>3109</v>
      </c>
      <c r="AE3753" s="210">
        <f>SUM(Q3753*R3753*Z3753)/1000</f>
        <v>0.14399999999999999</v>
      </c>
      <c r="AF3753" s="210">
        <f>AE3753/0.54</f>
        <v>0.26666666666666661</v>
      </c>
      <c r="AG3753" s="211">
        <f>MID(O3753,1,3)/1000</f>
        <v>0.22600000000000001</v>
      </c>
      <c r="AH3753" s="157">
        <f>(Z3753*AG3753)/1000</f>
        <v>1.3560000000000001</v>
      </c>
      <c r="AI3753" s="152">
        <f>V3753*P3753</f>
        <v>6000</v>
      </c>
      <c r="AK3753" s="156" t="s">
        <v>691</v>
      </c>
      <c r="AL3753" s="212" t="s">
        <v>690</v>
      </c>
      <c r="AM3753" s="198">
        <f>AG3753*Z3753</f>
        <v>1356</v>
      </c>
      <c r="AN3753" s="199">
        <f>B3753</f>
        <v>46274</v>
      </c>
      <c r="AO3753" s="159" t="s">
        <v>692</v>
      </c>
      <c r="AP3753" s="783" t="s">
        <v>623</v>
      </c>
      <c r="AQ3753" s="782">
        <v>12071839</v>
      </c>
      <c r="AR3753" s="782">
        <v>12042650</v>
      </c>
      <c r="AS3753" s="782">
        <v>12042649</v>
      </c>
      <c r="AT3753" s="782"/>
      <c r="AU3753" s="781"/>
      <c r="AV3753" s="782">
        <v>12083156</v>
      </c>
      <c r="AW3753" s="782"/>
      <c r="AX3753" s="782"/>
      <c r="AY3753" s="782">
        <v>12094235</v>
      </c>
      <c r="AZ3753" s="782">
        <v>12094236</v>
      </c>
      <c r="BA3753" s="781"/>
      <c r="BB3753" s="209">
        <v>23053185</v>
      </c>
    </row>
    <row r="3754" spans="1:54" ht="25" customHeight="1">
      <c r="B3754" s="950">
        <v>46274</v>
      </c>
      <c r="C3754" s="951" t="s">
        <v>3146</v>
      </c>
      <c r="D3754" s="215">
        <f t="shared" si="2113"/>
        <v>2026</v>
      </c>
      <c r="E3754" s="214" t="e">
        <f>VLOOKUP($B3754,Week!$A$1:$C$1462,2,0)</f>
        <v>#N/A</v>
      </c>
      <c r="F3754" s="216" t="str">
        <f t="shared" si="2114"/>
        <v>Sep</v>
      </c>
      <c r="G3754" s="952" t="s">
        <v>47</v>
      </c>
      <c r="H3754" s="952" t="s">
        <v>260</v>
      </c>
      <c r="I3754" s="215" t="s">
        <v>2702</v>
      </c>
      <c r="J3754" s="953" t="s">
        <v>2702</v>
      </c>
      <c r="K3754" s="954" t="s">
        <v>2703</v>
      </c>
      <c r="L3754" s="217" t="s">
        <v>2167</v>
      </c>
      <c r="M3754" s="953" t="s">
        <v>2899</v>
      </c>
      <c r="N3754" s="955" t="s">
        <v>2704</v>
      </c>
      <c r="O3754" s="952" t="s">
        <v>1635</v>
      </c>
      <c r="P3754" s="956">
        <v>24</v>
      </c>
      <c r="Q3754" s="956">
        <v>3</v>
      </c>
      <c r="R3754" s="957">
        <v>6.1999999999999998E-3</v>
      </c>
      <c r="S3754" s="952" t="s">
        <v>352</v>
      </c>
      <c r="T3754" s="952" t="s">
        <v>56</v>
      </c>
      <c r="U3754" s="958" t="s">
        <v>739</v>
      </c>
      <c r="V3754" s="959">
        <v>1200</v>
      </c>
      <c r="W3754" s="959"/>
      <c r="X3754" s="960">
        <f>(1536)/24</f>
        <v>64</v>
      </c>
      <c r="Y3754" s="961">
        <f>(W3754+X3754)-V3754</f>
        <v>-1136</v>
      </c>
      <c r="Z3754" s="962">
        <f>IF(Y3754&lt;0,((V3754*P3754)-((W3754+X3754)*P3754)),0)</f>
        <v>27264</v>
      </c>
      <c r="AA3754" s="962">
        <f>Q3754*Z3754</f>
        <v>81792</v>
      </c>
      <c r="AB3754" s="963">
        <v>1.83E-2</v>
      </c>
      <c r="AC3754" s="959">
        <f>Z3754*AB3754</f>
        <v>498.93119999999999</v>
      </c>
      <c r="AD3754" s="443"/>
      <c r="AE3754" s="210">
        <f>SUM(Q3754*R3754*Z3754)/1000</f>
        <v>0.50711039999999996</v>
      </c>
      <c r="AF3754" s="210">
        <f>AE3754/0.54</f>
        <v>0.93909333333333322</v>
      </c>
      <c r="AG3754" s="211">
        <f t="shared" ref="AG3754" si="2115">MID(O3754,1,3)/1000</f>
        <v>0.25</v>
      </c>
      <c r="AH3754" s="157">
        <v>0.26621999999999996</v>
      </c>
      <c r="AI3754" s="152">
        <f>V3754*P3754</f>
        <v>28800</v>
      </c>
      <c r="AK3754" s="156" t="s">
        <v>691</v>
      </c>
      <c r="AL3754" s="574" t="s">
        <v>690</v>
      </c>
      <c r="AM3754" s="198">
        <f>AG3754*Z3754</f>
        <v>6816</v>
      </c>
      <c r="AN3754" s="199">
        <f>B3754</f>
        <v>46274</v>
      </c>
      <c r="AO3754" s="159" t="s">
        <v>692</v>
      </c>
      <c r="AP3754" s="781" t="s">
        <v>642</v>
      </c>
      <c r="AQ3754" s="782">
        <v>12071839</v>
      </c>
      <c r="AR3754" s="782">
        <v>12042650</v>
      </c>
      <c r="AS3754" s="782">
        <v>12042649</v>
      </c>
      <c r="AT3754" s="782"/>
      <c r="AU3754" s="783"/>
      <c r="AV3754" s="782">
        <v>12097895</v>
      </c>
      <c r="AW3754" s="783"/>
      <c r="AX3754" s="781"/>
      <c r="AY3754" s="796">
        <v>12097893</v>
      </c>
      <c r="AZ3754" s="796">
        <v>12097894</v>
      </c>
      <c r="BA3754" s="796" t="s">
        <v>2462</v>
      </c>
      <c r="BB3754" s="209">
        <v>23099860</v>
      </c>
    </row>
    <row r="3755" spans="1:54" ht="24.65" customHeight="1">
      <c r="B3755" s="411">
        <v>46275</v>
      </c>
      <c r="C3755" s="645" t="s">
        <v>3146</v>
      </c>
      <c r="D3755" s="185">
        <f t="shared" si="2113"/>
        <v>2026</v>
      </c>
      <c r="E3755" s="412" t="e">
        <f>VLOOKUP($B3755,Week!$A$1:$C$1462,2,0)</f>
        <v>#N/A</v>
      </c>
      <c r="F3755" s="413" t="str">
        <f t="shared" si="2114"/>
        <v>Sep</v>
      </c>
      <c r="G3755" s="414" t="s">
        <v>47</v>
      </c>
      <c r="H3755" s="414" t="s">
        <v>260</v>
      </c>
      <c r="I3755" s="414" t="s">
        <v>2702</v>
      </c>
      <c r="J3755" s="415" t="s">
        <v>261</v>
      </c>
      <c r="K3755" s="416" t="s">
        <v>94</v>
      </c>
      <c r="L3755" s="300" t="s">
        <v>2167</v>
      </c>
      <c r="M3755" s="415" t="s">
        <v>2339</v>
      </c>
      <c r="N3755" s="414" t="s">
        <v>263</v>
      </c>
      <c r="O3755" s="414" t="s">
        <v>195</v>
      </c>
      <c r="P3755" s="417">
        <v>24</v>
      </c>
      <c r="Q3755" s="417">
        <v>5</v>
      </c>
      <c r="R3755" s="418">
        <v>8.0000000000000002E-3</v>
      </c>
      <c r="S3755" s="414" t="s">
        <v>40</v>
      </c>
      <c r="T3755" s="414" t="s">
        <v>56</v>
      </c>
      <c r="U3755" s="414" t="s">
        <v>57</v>
      </c>
      <c r="V3755" s="419">
        <v>4842</v>
      </c>
      <c r="W3755" s="419"/>
      <c r="X3755" s="420"/>
      <c r="Y3755" s="421">
        <f>(W3755+X3755)-V3755</f>
        <v>-4842</v>
      </c>
      <c r="Z3755" s="422">
        <f>IF(Y3755&lt;0,((V3755*P3755)-((W3755+X3755)*P3755)),0)</f>
        <v>116208</v>
      </c>
      <c r="AA3755" s="422">
        <f>Q3755*Z3755</f>
        <v>581040</v>
      </c>
      <c r="AB3755" s="825">
        <v>7.4999999999999997E-3</v>
      </c>
      <c r="AC3755" s="419">
        <f>Z3755*AB3755</f>
        <v>871.56</v>
      </c>
      <c r="AD3755" s="209"/>
      <c r="AE3755" s="210">
        <f>SUM(Q3755*R3755*Z3755)/1000</f>
        <v>4.64832</v>
      </c>
      <c r="AF3755" s="210">
        <f>AE3755/0.54</f>
        <v>8.6079999999999988</v>
      </c>
      <c r="AG3755" s="211">
        <f>MID(O3755,1,3)/1000</f>
        <v>0.14499999999999999</v>
      </c>
      <c r="AH3755" s="157">
        <f>(Z3755*AG3755)/1000</f>
        <v>16.850159999999999</v>
      </c>
      <c r="AI3755" s="152">
        <f>V3755*P3755</f>
        <v>116208</v>
      </c>
      <c r="AK3755" s="156" t="s">
        <v>691</v>
      </c>
      <c r="AL3755" s="212" t="s">
        <v>690</v>
      </c>
      <c r="AM3755" s="198">
        <f>AG3755*Z3755</f>
        <v>16850.16</v>
      </c>
      <c r="AN3755" s="199">
        <f>B3755</f>
        <v>46275</v>
      </c>
      <c r="AO3755" s="159" t="s">
        <v>692</v>
      </c>
      <c r="AP3755" s="783" t="s">
        <v>609</v>
      </c>
      <c r="AQ3755" s="782">
        <v>12071839</v>
      </c>
      <c r="AR3755" s="782">
        <v>12047514</v>
      </c>
      <c r="AS3755" s="782">
        <v>12047515</v>
      </c>
      <c r="AT3755" s="781"/>
      <c r="AU3755" s="781"/>
      <c r="AV3755" s="782">
        <v>12080613</v>
      </c>
      <c r="AW3755" s="781"/>
      <c r="AX3755" s="781"/>
      <c r="AY3755" s="782">
        <v>12094241</v>
      </c>
      <c r="AZ3755" s="782">
        <v>12094242</v>
      </c>
      <c r="BA3755" s="781"/>
      <c r="BB3755" s="209">
        <v>23053185</v>
      </c>
    </row>
    <row r="3756" spans="1:54" ht="24.75" customHeight="1">
      <c r="B3756" s="602">
        <v>46276</v>
      </c>
      <c r="C3756" s="861" t="s">
        <v>3146</v>
      </c>
      <c r="D3756" s="604">
        <f t="shared" si="2113"/>
        <v>2026</v>
      </c>
      <c r="E3756" s="603" t="e">
        <f>VLOOKUP($B3756,Week!$A$1:$C$1462,2,0)</f>
        <v>#N/A</v>
      </c>
      <c r="F3756" s="605" t="str">
        <f t="shared" si="2114"/>
        <v>Sep</v>
      </c>
      <c r="G3756" s="938" t="s">
        <v>47</v>
      </c>
      <c r="H3756" s="604" t="s">
        <v>260</v>
      </c>
      <c r="I3756" s="604" t="s">
        <v>2702</v>
      </c>
      <c r="J3756" s="939" t="s">
        <v>2240</v>
      </c>
      <c r="K3756" s="607" t="s">
        <v>94</v>
      </c>
      <c r="L3756" s="607" t="s">
        <v>2167</v>
      </c>
      <c r="M3756" s="606" t="s">
        <v>2338</v>
      </c>
      <c r="N3756" s="604" t="s">
        <v>2997</v>
      </c>
      <c r="O3756" s="604" t="s">
        <v>54</v>
      </c>
      <c r="P3756" s="608">
        <v>24</v>
      </c>
      <c r="Q3756" s="608">
        <v>5</v>
      </c>
      <c r="R3756" s="609">
        <v>6.1999999999999998E-3</v>
      </c>
      <c r="S3756" s="604" t="s">
        <v>352</v>
      </c>
      <c r="T3756" s="604" t="s">
        <v>56</v>
      </c>
      <c r="U3756" s="604" t="s">
        <v>57</v>
      </c>
      <c r="V3756" s="610">
        <v>4842</v>
      </c>
      <c r="W3756" s="610"/>
      <c r="X3756" s="611"/>
      <c r="Y3756" s="612">
        <f>(W3756+X3756)-V3756</f>
        <v>-4842</v>
      </c>
      <c r="Z3756" s="613">
        <f>IF(Y3756&lt;0,((V3756*P3756)-((W3756+X3756)*P3756)),0)</f>
        <v>116208</v>
      </c>
      <c r="AA3756" s="613">
        <f>Q3756*Z3756</f>
        <v>581040</v>
      </c>
      <c r="AB3756" s="836">
        <v>7.4999999999999997E-3</v>
      </c>
      <c r="AC3756" s="610">
        <f>Z3756*AB3756</f>
        <v>871.56</v>
      </c>
      <c r="AD3756" s="443"/>
      <c r="AE3756" s="210">
        <f>SUM(Q3756*R3756*Z3756)/1000</f>
        <v>3.6024479999999999</v>
      </c>
      <c r="AF3756" s="210">
        <f>AE3756/0.54</f>
        <v>6.6711999999999989</v>
      </c>
      <c r="AG3756" s="211">
        <f>MID(O3756,1,3)/1000</f>
        <v>0.13500000000000001</v>
      </c>
      <c r="AH3756" s="157">
        <f>(Z3756*AG3756)/1000</f>
        <v>15.688080000000001</v>
      </c>
      <c r="AI3756" s="152">
        <f>V3756*P3756</f>
        <v>116208</v>
      </c>
      <c r="AK3756" s="156" t="s">
        <v>691</v>
      </c>
      <c r="AL3756" s="574" t="s">
        <v>690</v>
      </c>
      <c r="AM3756" s="198">
        <f>AG3756*Z3756</f>
        <v>15688.080000000002</v>
      </c>
      <c r="AN3756" s="199">
        <f>B3756</f>
        <v>46276</v>
      </c>
      <c r="AO3756" s="159" t="s">
        <v>692</v>
      </c>
      <c r="AP3756" s="783" t="s">
        <v>622</v>
      </c>
      <c r="AQ3756" s="782">
        <v>12071839</v>
      </c>
      <c r="AR3756" s="782">
        <v>12099098</v>
      </c>
      <c r="AS3756" s="782">
        <v>12068233</v>
      </c>
      <c r="AT3756" s="781"/>
      <c r="AU3756" s="781"/>
      <c r="AV3756" s="782">
        <v>12099466</v>
      </c>
      <c r="AW3756" s="781"/>
      <c r="AX3756" s="781"/>
      <c r="AY3756" s="782">
        <v>12099097</v>
      </c>
      <c r="AZ3756" s="782"/>
      <c r="BA3756" s="781"/>
      <c r="BB3756" s="209">
        <v>23053184</v>
      </c>
    </row>
    <row r="3757" spans="1:54" ht="24.65" customHeight="1">
      <c r="B3757" s="411">
        <v>46277</v>
      </c>
      <c r="C3757" s="645" t="s">
        <v>3146</v>
      </c>
      <c r="D3757" s="185">
        <f t="shared" si="2113"/>
        <v>2026</v>
      </c>
      <c r="E3757" s="412" t="e">
        <f>VLOOKUP($B3757,Week!$A$1:$C$1462,2,0)</f>
        <v>#N/A</v>
      </c>
      <c r="F3757" s="413" t="str">
        <f t="shared" si="2114"/>
        <v>Sep</v>
      </c>
      <c r="G3757" s="414" t="s">
        <v>47</v>
      </c>
      <c r="H3757" s="414" t="s">
        <v>260</v>
      </c>
      <c r="I3757" s="414" t="s">
        <v>2702</v>
      </c>
      <c r="J3757" s="415" t="s">
        <v>261</v>
      </c>
      <c r="K3757" s="416" t="s">
        <v>94</v>
      </c>
      <c r="L3757" s="300" t="s">
        <v>2167</v>
      </c>
      <c r="M3757" s="415" t="s">
        <v>2339</v>
      </c>
      <c r="N3757" s="414" t="s">
        <v>263</v>
      </c>
      <c r="O3757" s="414" t="s">
        <v>195</v>
      </c>
      <c r="P3757" s="417">
        <v>24</v>
      </c>
      <c r="Q3757" s="417">
        <v>5</v>
      </c>
      <c r="R3757" s="418">
        <v>8.0000000000000002E-3</v>
      </c>
      <c r="S3757" s="414" t="s">
        <v>40</v>
      </c>
      <c r="T3757" s="414" t="s">
        <v>56</v>
      </c>
      <c r="U3757" s="414" t="s">
        <v>57</v>
      </c>
      <c r="V3757" s="419">
        <v>4842</v>
      </c>
      <c r="W3757" s="419"/>
      <c r="X3757" s="420"/>
      <c r="Y3757" s="421">
        <f t="shared" ref="Y3757" si="2116">(W3757+X3757)-V3757</f>
        <v>-4842</v>
      </c>
      <c r="Z3757" s="422">
        <f t="shared" ref="Z3757" si="2117">IF(Y3757&lt;0,((V3757*P3757)-((W3757+X3757)*P3757)),0)</f>
        <v>116208</v>
      </c>
      <c r="AA3757" s="422">
        <f t="shared" ref="AA3757" si="2118">Q3757*Z3757</f>
        <v>581040</v>
      </c>
      <c r="AB3757" s="825">
        <v>7.4999999999999997E-3</v>
      </c>
      <c r="AC3757" s="419">
        <f t="shared" ref="AC3757" si="2119">Z3757*AB3757</f>
        <v>871.56</v>
      </c>
      <c r="AD3757" s="209"/>
      <c r="AE3757" s="210">
        <f t="shared" ref="AE3757" si="2120">SUM(Q3757*R3757*Z3757)/1000</f>
        <v>4.64832</v>
      </c>
      <c r="AF3757" s="210">
        <f t="shared" ref="AF3757" si="2121">AE3757/0.54</f>
        <v>8.6079999999999988</v>
      </c>
      <c r="AG3757" s="211">
        <f t="shared" ref="AG3757" si="2122">MID(O3757,1,3)/1000</f>
        <v>0.14499999999999999</v>
      </c>
      <c r="AH3757" s="157">
        <f t="shared" ref="AH3757" si="2123">(Z3757*AG3757)/1000</f>
        <v>16.850159999999999</v>
      </c>
      <c r="AI3757" s="152">
        <f t="shared" ref="AI3757" si="2124">V3757*P3757</f>
        <v>116208</v>
      </c>
      <c r="AK3757" s="156" t="s">
        <v>691</v>
      </c>
      <c r="AL3757" s="212" t="s">
        <v>690</v>
      </c>
      <c r="AM3757" s="198">
        <f t="shared" ref="AM3757" si="2125">AG3757*Z3757</f>
        <v>16850.16</v>
      </c>
      <c r="AN3757" s="199">
        <f t="shared" ref="AN3757" si="2126">B3757</f>
        <v>46277</v>
      </c>
      <c r="AO3757" s="159" t="s">
        <v>692</v>
      </c>
      <c r="AP3757" s="783" t="s">
        <v>609</v>
      </c>
      <c r="AQ3757" s="782">
        <v>12071839</v>
      </c>
      <c r="AR3757" s="782">
        <v>12047514</v>
      </c>
      <c r="AS3757" s="782">
        <v>12047515</v>
      </c>
      <c r="AT3757" s="781"/>
      <c r="AU3757" s="781"/>
      <c r="AV3757" s="782">
        <v>12080613</v>
      </c>
      <c r="AW3757" s="781"/>
      <c r="AX3757" s="781"/>
      <c r="AY3757" s="782">
        <v>12094241</v>
      </c>
      <c r="AZ3757" s="782">
        <v>12094242</v>
      </c>
      <c r="BA3757" s="781"/>
      <c r="BB3757" s="209">
        <v>23053185</v>
      </c>
    </row>
    <row r="3758" spans="1:54" ht="24.65" customHeight="1">
      <c r="B3758" s="308">
        <v>46278</v>
      </c>
      <c r="C3758" s="309">
        <v>46303</v>
      </c>
      <c r="D3758" s="185">
        <f t="shared" ref="D3758" si="2127">IF(B3758="","",YEAR(B3758))</f>
        <v>2026</v>
      </c>
      <c r="E3758" s="309" t="e">
        <f>VLOOKUP($B3758,Week!$A$1:$C$1462,2,0)</f>
        <v>#N/A</v>
      </c>
      <c r="F3758" s="310" t="str">
        <f t="shared" ref="F3758" si="2128">IF(B3758="","",TEXT(B3758,"[$-409]mmm"))</f>
        <v>Sep</v>
      </c>
      <c r="G3758" s="311" t="s">
        <v>3158</v>
      </c>
      <c r="H3758" s="311" t="s">
        <v>311</v>
      </c>
      <c r="I3758" s="311" t="s">
        <v>2772</v>
      </c>
      <c r="J3758" s="312" t="s">
        <v>738</v>
      </c>
      <c r="K3758" s="313" t="s">
        <v>107</v>
      </c>
      <c r="L3758" s="300" t="s">
        <v>2167</v>
      </c>
      <c r="M3758" s="312" t="s">
        <v>313</v>
      </c>
      <c r="N3758" s="311" t="s">
        <v>314</v>
      </c>
      <c r="O3758" s="311" t="s">
        <v>110</v>
      </c>
      <c r="P3758" s="314">
        <v>36</v>
      </c>
      <c r="Q3758" s="314">
        <v>5</v>
      </c>
      <c r="R3758" s="315">
        <v>7.4999999999999997E-3</v>
      </c>
      <c r="S3758" s="311" t="s">
        <v>111</v>
      </c>
      <c r="T3758" s="311" t="s">
        <v>112</v>
      </c>
      <c r="U3758" s="311" t="s">
        <v>57</v>
      </c>
      <c r="V3758" s="316">
        <v>792</v>
      </c>
      <c r="W3758" s="316"/>
      <c r="X3758" s="317">
        <f>(1271)/36</f>
        <v>35.305555555555557</v>
      </c>
      <c r="Y3758" s="318">
        <f t="shared" ref="Y3758" si="2129">(W3758+X3758)-V3758</f>
        <v>-756.69444444444446</v>
      </c>
      <c r="Z3758" s="319">
        <f t="shared" ref="Z3758" si="2130">IF(Y3758&lt;0,((V3758*P3758)-((W3758+X3758)*P3758)),0)</f>
        <v>27241</v>
      </c>
      <c r="AA3758" s="319">
        <f t="shared" ref="AA3758" si="2131">Q3758*Z3758</f>
        <v>136205</v>
      </c>
      <c r="AB3758" s="815">
        <v>7.4999999999999997E-3</v>
      </c>
      <c r="AC3758" s="316">
        <f t="shared" ref="AC3758" si="2132">Z3758*AB3758</f>
        <v>204.3075</v>
      </c>
      <c r="AD3758" s="209"/>
      <c r="AE3758" s="210">
        <f t="shared" ref="AE3758" si="2133">SUM(Q3758*R3758*Z3758)/1000</f>
        <v>1.0215375</v>
      </c>
      <c r="AF3758" s="210">
        <f t="shared" ref="AF3758" si="2134">AE3758/0.54</f>
        <v>1.8917361111111111</v>
      </c>
      <c r="AG3758" s="211">
        <f t="shared" ref="AG3758" si="2135">MID(O3758,1,3)/1000</f>
        <v>0.308</v>
      </c>
      <c r="AH3758" s="157">
        <f t="shared" ref="AH3758" si="2136">(Z3758*AG3758)/1000</f>
        <v>8.3902279999999987</v>
      </c>
      <c r="AI3758" s="152">
        <f t="shared" ref="AI3758" si="2137">V3758*P3758</f>
        <v>28512</v>
      </c>
      <c r="AK3758" s="156" t="s">
        <v>691</v>
      </c>
      <c r="AL3758" s="212" t="s">
        <v>690</v>
      </c>
      <c r="AM3758" s="198">
        <f t="shared" ref="AM3758" si="2138">AG3758*Z3758</f>
        <v>8390.2279999999992</v>
      </c>
      <c r="AN3758" s="199">
        <f t="shared" ref="AN3758" si="2139">B3758</f>
        <v>46278</v>
      </c>
      <c r="AO3758" s="159" t="s">
        <v>692</v>
      </c>
      <c r="AP3758" s="783" t="s">
        <v>644</v>
      </c>
      <c r="AQ3758" s="782">
        <v>12063755</v>
      </c>
      <c r="AR3758" s="782">
        <v>12081257</v>
      </c>
      <c r="AS3758" s="782">
        <v>12081260</v>
      </c>
      <c r="AT3758" s="782">
        <v>12098623</v>
      </c>
      <c r="AU3758" s="781"/>
      <c r="AV3758" s="782">
        <v>12098706</v>
      </c>
      <c r="AW3758" s="782">
        <v>12088207</v>
      </c>
      <c r="AX3758" s="782"/>
      <c r="AY3758" s="782">
        <v>12094237</v>
      </c>
      <c r="AZ3758" s="782"/>
      <c r="BA3758" s="781"/>
      <c r="BB3758" s="209">
        <v>23053185</v>
      </c>
    </row>
    <row r="3759" spans="1:54" ht="24.65" customHeight="1">
      <c r="B3759" s="308">
        <v>46278</v>
      </c>
      <c r="C3759" s="309">
        <v>46303</v>
      </c>
      <c r="D3759" s="185">
        <f>IF(B3759="","",YEAR(B3759))</f>
        <v>2026</v>
      </c>
      <c r="E3759" s="309" t="e">
        <f>VLOOKUP($B3759,Week!$A$1:$C$1462,2,0)</f>
        <v>#N/A</v>
      </c>
      <c r="F3759" s="310" t="str">
        <f>IF(B3759="","",TEXT(B3759,"[$-409]mmm"))</f>
        <v>Sep</v>
      </c>
      <c r="G3759" s="311" t="s">
        <v>3161</v>
      </c>
      <c r="H3759" s="311" t="s">
        <v>311</v>
      </c>
      <c r="I3759" s="311" t="s">
        <v>2772</v>
      </c>
      <c r="J3759" s="312" t="s">
        <v>738</v>
      </c>
      <c r="K3759" s="313" t="s">
        <v>107</v>
      </c>
      <c r="L3759" s="300" t="s">
        <v>2167</v>
      </c>
      <c r="M3759" s="312" t="s">
        <v>313</v>
      </c>
      <c r="N3759" s="311" t="s">
        <v>314</v>
      </c>
      <c r="O3759" s="311" t="s">
        <v>110</v>
      </c>
      <c r="P3759" s="314">
        <v>36</v>
      </c>
      <c r="Q3759" s="314">
        <v>5</v>
      </c>
      <c r="R3759" s="315">
        <v>7.4999999999999997E-3</v>
      </c>
      <c r="S3759" s="311" t="s">
        <v>111</v>
      </c>
      <c r="T3759" s="311" t="s">
        <v>112</v>
      </c>
      <c r="U3759" s="311" t="s">
        <v>57</v>
      </c>
      <c r="V3759" s="316">
        <v>792</v>
      </c>
      <c r="W3759" s="316"/>
      <c r="X3759" s="317"/>
      <c r="Y3759" s="318">
        <f>(W3759+X3759)-V3759</f>
        <v>-792</v>
      </c>
      <c r="Z3759" s="319">
        <f>IF(Y3759&lt;0,((V3759*P3759)-((W3759+X3759)*P3759)),0)</f>
        <v>28512</v>
      </c>
      <c r="AA3759" s="319">
        <f>Q3759*Z3759</f>
        <v>142560</v>
      </c>
      <c r="AB3759" s="815">
        <v>7.4999999999999997E-3</v>
      </c>
      <c r="AC3759" s="316">
        <f>Z3759*AB3759</f>
        <v>213.84</v>
      </c>
      <c r="AD3759" s="209"/>
      <c r="AE3759" s="210">
        <f>SUM(Q3759*R3759*Z3759)/1000</f>
        <v>1.0692000000000002</v>
      </c>
      <c r="AF3759" s="210">
        <f>AE3759/0.54</f>
        <v>1.9800000000000002</v>
      </c>
      <c r="AG3759" s="211">
        <f>MID(O3759,1,3)/1000</f>
        <v>0.308</v>
      </c>
      <c r="AH3759" s="157">
        <f>(Z3759*AG3759)/1000</f>
        <v>8.7816960000000002</v>
      </c>
      <c r="AI3759" s="152">
        <f>V3759*P3759</f>
        <v>28512</v>
      </c>
      <c r="AK3759" s="156" t="s">
        <v>691</v>
      </c>
      <c r="AL3759" s="212" t="s">
        <v>690</v>
      </c>
      <c r="AM3759" s="198">
        <f>AG3759*Z3759</f>
        <v>8781.6959999999999</v>
      </c>
      <c r="AN3759" s="199">
        <f>B3759</f>
        <v>46278</v>
      </c>
      <c r="AO3759" s="159" t="s">
        <v>692</v>
      </c>
      <c r="AP3759" s="783" t="s">
        <v>644</v>
      </c>
      <c r="AQ3759" s="782">
        <v>12063755</v>
      </c>
      <c r="AR3759" s="782">
        <v>12081257</v>
      </c>
      <c r="AS3759" s="782">
        <v>12081260</v>
      </c>
      <c r="AT3759" s="782">
        <v>12098623</v>
      </c>
      <c r="AU3759" s="781"/>
      <c r="AV3759" s="782">
        <v>12098706</v>
      </c>
      <c r="AW3759" s="782">
        <v>12088207</v>
      </c>
      <c r="AX3759" s="782"/>
      <c r="AY3759" s="782">
        <v>12094237</v>
      </c>
      <c r="AZ3759" s="782"/>
      <c r="BA3759" s="781"/>
      <c r="BB3759" s="209">
        <v>23053185</v>
      </c>
    </row>
    <row r="3760" spans="1:54" ht="24.65" customHeight="1">
      <c r="B3760" s="308">
        <v>46278</v>
      </c>
      <c r="C3760" s="309">
        <v>46303</v>
      </c>
      <c r="D3760" s="185">
        <f t="shared" ref="D3760" si="2140">IF(B3760="","",YEAR(B3760))</f>
        <v>2026</v>
      </c>
      <c r="E3760" s="309" t="e">
        <f>VLOOKUP($B3760,Week!$A$1:$C$1462,2,0)</f>
        <v>#N/A</v>
      </c>
      <c r="F3760" s="310" t="str">
        <f t="shared" ref="F3760" si="2141">IF(B3760="","",TEXT(B3760,"[$-409]mmm"))</f>
        <v>Sep</v>
      </c>
      <c r="G3760" s="311" t="s">
        <v>3162</v>
      </c>
      <c r="H3760" s="311" t="s">
        <v>311</v>
      </c>
      <c r="I3760" s="311" t="s">
        <v>2772</v>
      </c>
      <c r="J3760" s="312" t="s">
        <v>738</v>
      </c>
      <c r="K3760" s="313" t="s">
        <v>107</v>
      </c>
      <c r="L3760" s="300" t="s">
        <v>2167</v>
      </c>
      <c r="M3760" s="312" t="s">
        <v>313</v>
      </c>
      <c r="N3760" s="311" t="s">
        <v>314</v>
      </c>
      <c r="O3760" s="311" t="s">
        <v>110</v>
      </c>
      <c r="P3760" s="314">
        <v>36</v>
      </c>
      <c r="Q3760" s="314">
        <v>5</v>
      </c>
      <c r="R3760" s="315">
        <v>7.4999999999999997E-3</v>
      </c>
      <c r="S3760" s="311" t="s">
        <v>111</v>
      </c>
      <c r="T3760" s="311" t="s">
        <v>112</v>
      </c>
      <c r="U3760" s="311" t="s">
        <v>57</v>
      </c>
      <c r="V3760" s="316">
        <v>792</v>
      </c>
      <c r="W3760" s="316"/>
      <c r="X3760" s="317"/>
      <c r="Y3760" s="318">
        <f t="shared" ref="Y3760" si="2142">(W3760+X3760)-V3760</f>
        <v>-792</v>
      </c>
      <c r="Z3760" s="319">
        <f t="shared" ref="Z3760" si="2143">IF(Y3760&lt;0,((V3760*P3760)-((W3760+X3760)*P3760)),0)</f>
        <v>28512</v>
      </c>
      <c r="AA3760" s="319">
        <f t="shared" ref="AA3760" si="2144">Q3760*Z3760</f>
        <v>142560</v>
      </c>
      <c r="AB3760" s="815">
        <v>7.4999999999999997E-3</v>
      </c>
      <c r="AC3760" s="316">
        <f t="shared" ref="AC3760" si="2145">Z3760*AB3760</f>
        <v>213.84</v>
      </c>
      <c r="AD3760" s="209"/>
      <c r="AE3760" s="210">
        <f t="shared" ref="AE3760" si="2146">SUM(Q3760*R3760*Z3760)/1000</f>
        <v>1.0692000000000002</v>
      </c>
      <c r="AF3760" s="210">
        <f t="shared" ref="AF3760" si="2147">AE3760/0.54</f>
        <v>1.9800000000000002</v>
      </c>
      <c r="AG3760" s="211">
        <f t="shared" ref="AG3760" si="2148">MID(O3760,1,3)/1000</f>
        <v>0.308</v>
      </c>
      <c r="AH3760" s="157">
        <f t="shared" ref="AH3760" si="2149">(Z3760*AG3760)/1000</f>
        <v>8.7816960000000002</v>
      </c>
      <c r="AI3760" s="152">
        <f t="shared" ref="AI3760" si="2150">V3760*P3760</f>
        <v>28512</v>
      </c>
      <c r="AK3760" s="156" t="s">
        <v>691</v>
      </c>
      <c r="AL3760" s="212" t="s">
        <v>690</v>
      </c>
      <c r="AM3760" s="198">
        <f t="shared" ref="AM3760" si="2151">AG3760*Z3760</f>
        <v>8781.6959999999999</v>
      </c>
      <c r="AN3760" s="199">
        <f t="shared" ref="AN3760" si="2152">B3760</f>
        <v>46278</v>
      </c>
      <c r="AO3760" s="159" t="s">
        <v>692</v>
      </c>
      <c r="AP3760" s="783" t="s">
        <v>644</v>
      </c>
      <c r="AQ3760" s="782">
        <v>12063755</v>
      </c>
      <c r="AR3760" s="782">
        <v>12081257</v>
      </c>
      <c r="AS3760" s="782">
        <v>12081260</v>
      </c>
      <c r="AT3760" s="782">
        <v>12098623</v>
      </c>
      <c r="AU3760" s="781"/>
      <c r="AV3760" s="782">
        <v>12098706</v>
      </c>
      <c r="AW3760" s="782">
        <v>12088207</v>
      </c>
      <c r="AX3760" s="782"/>
      <c r="AY3760" s="782">
        <v>12094237</v>
      </c>
      <c r="AZ3760" s="782"/>
      <c r="BA3760" s="781"/>
      <c r="BB3760" s="209">
        <v>23053185</v>
      </c>
    </row>
    <row r="3761" spans="1:54" ht="24.75" customHeight="1">
      <c r="B3761" s="320">
        <v>46278</v>
      </c>
      <c r="C3761" s="321">
        <v>46310</v>
      </c>
      <c r="D3761" s="185">
        <f t="shared" ref="D3761" si="2153">IF(B3761="","",YEAR(B3761))</f>
        <v>2026</v>
      </c>
      <c r="E3761" s="321" t="e">
        <f>VLOOKUP($B3761,Week!$A$1:$C$1462,2,0)</f>
        <v>#N/A</v>
      </c>
      <c r="F3761" s="322" t="str">
        <f t="shared" ref="F3761" si="2154">IF(B3761="","",TEXT(B3761,"[$-409]mmm"))</f>
        <v>Sep</v>
      </c>
      <c r="G3761" s="323" t="s">
        <v>3182</v>
      </c>
      <c r="H3761" s="323" t="s">
        <v>311</v>
      </c>
      <c r="I3761" s="323" t="s">
        <v>2772</v>
      </c>
      <c r="J3761" s="324" t="s">
        <v>2913</v>
      </c>
      <c r="K3761" s="325" t="s">
        <v>107</v>
      </c>
      <c r="L3761" s="300" t="s">
        <v>2167</v>
      </c>
      <c r="M3761" s="324" t="s">
        <v>313</v>
      </c>
      <c r="N3761" s="596" t="s">
        <v>2853</v>
      </c>
      <c r="O3761" s="323" t="s">
        <v>2747</v>
      </c>
      <c r="P3761" s="326">
        <v>5</v>
      </c>
      <c r="Q3761" s="326">
        <v>4</v>
      </c>
      <c r="R3761" s="327">
        <v>7.4999999999999997E-3</v>
      </c>
      <c r="S3761" s="323" t="s">
        <v>111</v>
      </c>
      <c r="T3761" s="323" t="s">
        <v>112</v>
      </c>
      <c r="U3761" s="323" t="s">
        <v>57</v>
      </c>
      <c r="V3761" s="328">
        <f>5000+76</f>
        <v>5076</v>
      </c>
      <c r="W3761" s="328"/>
      <c r="X3761" s="329">
        <f>(113)/5</f>
        <v>22.6</v>
      </c>
      <c r="Y3761" s="330">
        <f>(W3761+X3761)-V3761</f>
        <v>-5053.3999999999996</v>
      </c>
      <c r="Z3761" s="331">
        <f>IF(Y3761&lt;0,((V3761*P3761)-((W3761+X3761)*P3761)),0)</f>
        <v>25267</v>
      </c>
      <c r="AA3761" s="331">
        <f>Q3761*Z3761</f>
        <v>101068</v>
      </c>
      <c r="AB3761" s="816">
        <v>7.4999999999999997E-3</v>
      </c>
      <c r="AC3761" s="328">
        <f>Z3761*AB3761</f>
        <v>189.5025</v>
      </c>
      <c r="AD3761" s="307" t="s">
        <v>2354</v>
      </c>
      <c r="AE3761" s="210">
        <f>SUM(Q3761*R3761*Z3761)/1000</f>
        <v>0.75800999999999996</v>
      </c>
      <c r="AF3761" s="210">
        <f>AE3761/0.54</f>
        <v>1.4037222222222221</v>
      </c>
      <c r="AG3761" s="211">
        <f>MID(O3761,1,3)/1000</f>
        <v>0.30499999999999999</v>
      </c>
      <c r="AH3761" s="157">
        <f>(Z3761*AG3761)/1000</f>
        <v>7.7064349999999999</v>
      </c>
      <c r="AI3761" s="152">
        <f>V3761*P3761</f>
        <v>25380</v>
      </c>
      <c r="AK3761" s="156" t="s">
        <v>691</v>
      </c>
      <c r="AL3761" s="212" t="s">
        <v>690</v>
      </c>
      <c r="AM3761" s="198">
        <f>AG3761*Z3761</f>
        <v>7706.4349999999995</v>
      </c>
      <c r="AN3761" s="199">
        <f>B3761</f>
        <v>46278</v>
      </c>
      <c r="AO3761" s="159" t="s">
        <v>692</v>
      </c>
      <c r="AP3761" s="783" t="s">
        <v>643</v>
      </c>
      <c r="AQ3761" s="782">
        <v>12063755</v>
      </c>
      <c r="AR3761" s="782">
        <v>12081257</v>
      </c>
      <c r="AS3761" s="782">
        <v>12081260</v>
      </c>
      <c r="AT3761" s="782">
        <v>12098252</v>
      </c>
      <c r="AU3761" s="781"/>
      <c r="AV3761" s="782">
        <v>12098251</v>
      </c>
      <c r="AW3761" s="782"/>
      <c r="AX3761" s="782"/>
      <c r="AY3761" s="781"/>
      <c r="AZ3761" s="781"/>
      <c r="BA3761" s="781"/>
      <c r="BB3761" s="209">
        <v>23053185</v>
      </c>
    </row>
    <row r="3762" spans="1:54" ht="25" customHeight="1">
      <c r="B3762" s="183">
        <v>46279</v>
      </c>
      <c r="C3762" s="184"/>
      <c r="D3762" s="185">
        <f t="shared" ref="D3762:D3826" si="2155">IF(B3762="","",YEAR(B3762))</f>
        <v>2026</v>
      </c>
      <c r="E3762" s="185" t="e">
        <f>VLOOKUP($B3762,Week!$A$1:$C$1462,2,0)</f>
        <v>#N/A</v>
      </c>
      <c r="F3762" s="186" t="str">
        <f t="shared" ref="F3762:F3826" si="2156">IF(B3762="","",TEXT(B3762,"[$-409]mmm"))</f>
        <v>Sep</v>
      </c>
      <c r="G3762" s="481"/>
      <c r="H3762" s="185"/>
      <c r="I3762" s="185"/>
      <c r="J3762" s="187"/>
      <c r="K3762" s="188"/>
      <c r="L3762" s="188"/>
      <c r="M3762" s="187"/>
      <c r="N3762" s="185"/>
      <c r="O3762" s="185"/>
      <c r="P3762" s="189"/>
      <c r="Q3762" s="189"/>
      <c r="R3762" s="190"/>
      <c r="S3762" s="185"/>
      <c r="T3762" s="185"/>
      <c r="U3762" s="185"/>
      <c r="V3762" s="191"/>
      <c r="W3762" s="191"/>
      <c r="X3762" s="192"/>
      <c r="Y3762" s="193"/>
      <c r="Z3762" s="194"/>
      <c r="AA3762" s="194">
        <f t="shared" ref="AA3762:AA3826" si="2157">Q3762*Z3762</f>
        <v>0</v>
      </c>
      <c r="AB3762" s="805"/>
      <c r="AC3762" s="191"/>
      <c r="AD3762" s="187"/>
      <c r="AE3762" s="195"/>
      <c r="AF3762" s="195"/>
      <c r="AG3762" s="196"/>
      <c r="AH3762" s="197"/>
      <c r="AK3762" s="156" t="s">
        <v>691</v>
      </c>
      <c r="AM3762" s="198">
        <f t="shared" ref="AM3762:AM3826" si="2158">AG3762*Z3762</f>
        <v>0</v>
      </c>
      <c r="AN3762" s="199">
        <f t="shared" ref="AN3762:AN3826" si="2159">B3762</f>
        <v>46279</v>
      </c>
      <c r="AO3762" s="159" t="s">
        <v>692</v>
      </c>
      <c r="AP3762" s="781"/>
      <c r="AQ3762" s="782"/>
      <c r="AR3762" s="782"/>
      <c r="AS3762" s="782"/>
      <c r="AT3762" s="782"/>
      <c r="AU3762" s="781"/>
      <c r="AV3762" s="782"/>
      <c r="AW3762" s="782"/>
      <c r="AX3762" s="782"/>
      <c r="AY3762" s="782"/>
      <c r="AZ3762" s="782"/>
      <c r="BA3762" s="781"/>
      <c r="BB3762" s="209"/>
    </row>
    <row r="3763" spans="1:54" ht="25" customHeight="1">
      <c r="B3763" s="183">
        <v>46280</v>
      </c>
      <c r="C3763" s="184"/>
      <c r="D3763" s="185">
        <f t="shared" ref="D3763" si="2160">IF(B3763="","",YEAR(B3763))</f>
        <v>2026</v>
      </c>
      <c r="E3763" s="185" t="e">
        <f>VLOOKUP($B3763,Week!$A$1:$C$1462,2,0)</f>
        <v>#N/A</v>
      </c>
      <c r="F3763" s="186" t="str">
        <f t="shared" ref="F3763" si="2161">IF(B3763="","",TEXT(B3763,"[$-409]mmm"))</f>
        <v>Sep</v>
      </c>
      <c r="G3763" s="481"/>
      <c r="H3763" s="185"/>
      <c r="I3763" s="185"/>
      <c r="J3763" s="187"/>
      <c r="K3763" s="188"/>
      <c r="L3763" s="188"/>
      <c r="M3763" s="187"/>
      <c r="N3763" s="185"/>
      <c r="O3763" s="185"/>
      <c r="P3763" s="189"/>
      <c r="Q3763" s="189"/>
      <c r="R3763" s="190"/>
      <c r="S3763" s="185"/>
      <c r="T3763" s="185"/>
      <c r="U3763" s="185"/>
      <c r="V3763" s="191"/>
      <c r="W3763" s="191"/>
      <c r="X3763" s="192"/>
      <c r="Y3763" s="193"/>
      <c r="Z3763" s="194"/>
      <c r="AA3763" s="194">
        <f t="shared" ref="AA3763" si="2162">Q3763*Z3763</f>
        <v>0</v>
      </c>
      <c r="AB3763" s="805"/>
      <c r="AC3763" s="191"/>
      <c r="AD3763" s="187"/>
      <c r="AE3763" s="195"/>
      <c r="AF3763" s="195"/>
      <c r="AG3763" s="196"/>
      <c r="AH3763" s="197"/>
      <c r="AK3763" s="156" t="s">
        <v>691</v>
      </c>
      <c r="AM3763" s="198">
        <f t="shared" ref="AM3763" si="2163">AG3763*Z3763</f>
        <v>0</v>
      </c>
      <c r="AN3763" s="199">
        <f t="shared" ref="AN3763" si="2164">B3763</f>
        <v>46280</v>
      </c>
      <c r="AO3763" s="159" t="s">
        <v>692</v>
      </c>
      <c r="AP3763" s="781"/>
      <c r="AQ3763" s="782"/>
      <c r="AR3763" s="782"/>
      <c r="AS3763" s="782"/>
      <c r="AT3763" s="782"/>
      <c r="AU3763" s="781"/>
      <c r="AV3763" s="782"/>
      <c r="AW3763" s="782"/>
      <c r="AX3763" s="782"/>
      <c r="AY3763" s="782"/>
      <c r="AZ3763" s="782"/>
      <c r="BA3763" s="781"/>
      <c r="BB3763" s="209"/>
    </row>
    <row r="3764" spans="1:54" ht="25" customHeight="1">
      <c r="A3764" s="440" t="s">
        <v>3209</v>
      </c>
      <c r="B3764" s="920">
        <v>46281</v>
      </c>
      <c r="C3764" s="921">
        <v>46294</v>
      </c>
      <c r="D3764" s="922">
        <f>IF(B3764="","",YEAR(B3764))</f>
        <v>2026</v>
      </c>
      <c r="E3764" s="921" t="e">
        <f>VLOOKUP($B3764,Week!$A$1:$C$1462,2,0)</f>
        <v>#N/A</v>
      </c>
      <c r="F3764" s="923" t="str">
        <f>IF(B3764="","",TEXT(B3764,"[$-409]mmm"))</f>
        <v>Sep</v>
      </c>
      <c r="G3764" s="922" t="s">
        <v>3084</v>
      </c>
      <c r="H3764" s="922" t="s">
        <v>424</v>
      </c>
      <c r="I3764" s="922" t="s">
        <v>2772</v>
      </c>
      <c r="J3764" s="924" t="s">
        <v>425</v>
      </c>
      <c r="K3764" s="925" t="s">
        <v>2975</v>
      </c>
      <c r="L3764" s="925" t="s">
        <v>2167</v>
      </c>
      <c r="M3764" s="924" t="s">
        <v>2976</v>
      </c>
      <c r="N3764" s="926" t="s">
        <v>2972</v>
      </c>
      <c r="O3764" s="922" t="s">
        <v>2953</v>
      </c>
      <c r="P3764" s="927">
        <v>12</v>
      </c>
      <c r="Q3764" s="927">
        <v>3</v>
      </c>
      <c r="R3764" s="928">
        <v>0.01</v>
      </c>
      <c r="S3764" s="922" t="s">
        <v>2973</v>
      </c>
      <c r="T3764" s="922" t="s">
        <v>77</v>
      </c>
      <c r="U3764" s="929" t="s">
        <v>2974</v>
      </c>
      <c r="V3764" s="930">
        <f>2278</f>
        <v>2278</v>
      </c>
      <c r="W3764" s="930"/>
      <c r="X3764" s="931"/>
      <c r="Y3764" s="932">
        <f t="shared" ref="Y3764" si="2165">(W3764+X3764)-V3764</f>
        <v>-2278</v>
      </c>
      <c r="Z3764" s="933">
        <f t="shared" ref="Z3764" si="2166">IF(Y3764&lt;0,((V3764*P3764)-((W3764+X3764)*P3764)),0)</f>
        <v>27336</v>
      </c>
      <c r="AA3764" s="933">
        <f>Q3764*Z3764</f>
        <v>82008</v>
      </c>
      <c r="AB3764" s="934"/>
      <c r="AC3764" s="930">
        <f t="shared" ref="AC3764" si="2167">Z3764*AB3764</f>
        <v>0</v>
      </c>
      <c r="AD3764" s="443" t="s">
        <v>3191</v>
      </c>
      <c r="AE3764" s="210">
        <f t="shared" ref="AE3764" si="2168">SUM(Q3764*R3764*Z3764)/1000</f>
        <v>0.82007999999999992</v>
      </c>
      <c r="AF3764" s="210">
        <f>AE3764/0.54</f>
        <v>1.5186666666666664</v>
      </c>
      <c r="AG3764" s="211">
        <f t="shared" ref="AG3764" si="2169">MID(O3764,1,3)/1000</f>
        <v>0.31</v>
      </c>
      <c r="AH3764" s="157">
        <v>0.26621999999999996</v>
      </c>
      <c r="AI3764" s="152">
        <f t="shared" ref="AI3764" si="2170">V3764*P3764</f>
        <v>27336</v>
      </c>
      <c r="AK3764" s="156" t="s">
        <v>691</v>
      </c>
      <c r="AL3764" s="574" t="s">
        <v>690</v>
      </c>
      <c r="AM3764" s="198">
        <f>AG3764*Z3764</f>
        <v>8474.16</v>
      </c>
      <c r="AN3764" s="199">
        <f>B3764</f>
        <v>46281</v>
      </c>
      <c r="AO3764" s="159" t="s">
        <v>692</v>
      </c>
      <c r="AP3764" s="781"/>
      <c r="AQ3764" s="782">
        <v>12063755</v>
      </c>
      <c r="AR3764" s="782" t="s">
        <v>3021</v>
      </c>
      <c r="AS3764" s="782">
        <v>12081260</v>
      </c>
      <c r="AT3764" s="798" t="s">
        <v>3022</v>
      </c>
      <c r="AU3764" s="783"/>
      <c r="AV3764" s="782">
        <v>12098989</v>
      </c>
      <c r="AW3764" s="783"/>
      <c r="AX3764" s="781"/>
      <c r="AY3764" s="796"/>
      <c r="AZ3764" s="796"/>
      <c r="BA3764" s="796"/>
      <c r="BB3764" s="209"/>
    </row>
    <row r="3765" spans="1:54" ht="24.75" customHeight="1">
      <c r="A3765" s="142" t="s">
        <v>120</v>
      </c>
      <c r="B3765" s="308">
        <v>46282</v>
      </c>
      <c r="C3765" s="644" t="s">
        <v>3075</v>
      </c>
      <c r="D3765" s="185">
        <f>IF(B3765="","",YEAR(B3765))</f>
        <v>2026</v>
      </c>
      <c r="E3765" s="519" t="e">
        <f>VLOOKUP($B3765,Week!$A$1:$C$1462,2,0)</f>
        <v>#N/A</v>
      </c>
      <c r="F3765" s="520" t="str">
        <f>IF(B3765="","",TEXT(B3765,"[$-409]mmm"))</f>
        <v>Sep</v>
      </c>
      <c r="G3765" s="644" t="s">
        <v>47</v>
      </c>
      <c r="H3765" s="311" t="s">
        <v>518</v>
      </c>
      <c r="I3765" s="311" t="s">
        <v>2702</v>
      </c>
      <c r="J3765" s="312" t="s">
        <v>70</v>
      </c>
      <c r="K3765" s="313" t="s">
        <v>85</v>
      </c>
      <c r="L3765" s="390" t="s">
        <v>2166</v>
      </c>
      <c r="M3765" s="312" t="s">
        <v>515</v>
      </c>
      <c r="N3765" s="311" t="s">
        <v>588</v>
      </c>
      <c r="O3765" s="311" t="s">
        <v>546</v>
      </c>
      <c r="P3765" s="314">
        <v>12</v>
      </c>
      <c r="Q3765" s="314">
        <v>20</v>
      </c>
      <c r="R3765" s="315">
        <v>6.1999999999999998E-3</v>
      </c>
      <c r="S3765" s="311" t="s">
        <v>352</v>
      </c>
      <c r="T3765" s="311" t="s">
        <v>56</v>
      </c>
      <c r="U3765" s="311" t="s">
        <v>77</v>
      </c>
      <c r="V3765" s="316">
        <f>400</f>
        <v>400</v>
      </c>
      <c r="W3765" s="316"/>
      <c r="X3765" s="317"/>
      <c r="Y3765" s="318">
        <f>(W3765+X3765)-V3765</f>
        <v>-400</v>
      </c>
      <c r="Z3765" s="319">
        <f>IF(Y3765&lt;0,((V3765*P3765)-((W3765+X3765)*P3765)),0)</f>
        <v>4800</v>
      </c>
      <c r="AA3765" s="319">
        <f t="shared" ref="AA3765" si="2171">Q3765*Z3765</f>
        <v>96000</v>
      </c>
      <c r="AB3765" s="815"/>
      <c r="AC3765" s="316">
        <f>Z3765*AB3765</f>
        <v>0</v>
      </c>
      <c r="AD3765" s="209"/>
      <c r="AE3765" s="210">
        <f>SUM(Q3765*R3765*Z3765)/1000</f>
        <v>0.59520000000000006</v>
      </c>
      <c r="AF3765" s="210">
        <f>AE3765/0.54</f>
        <v>1.1022222222222222</v>
      </c>
      <c r="AG3765" s="211">
        <f t="shared" ref="AG3765" si="2172">MID(O3765,1,3)/1000</f>
        <v>0.22</v>
      </c>
      <c r="AH3765" s="157">
        <f>(Z3765*AG3765)/1000</f>
        <v>1.056</v>
      </c>
      <c r="AI3765" s="152">
        <f>V3765*P3765</f>
        <v>4800</v>
      </c>
      <c r="AK3765" s="156" t="s">
        <v>691</v>
      </c>
      <c r="AL3765" s="156" t="s">
        <v>689</v>
      </c>
      <c r="AM3765" s="198">
        <f t="shared" ref="AM3765" si="2173">AG3765*Z3765</f>
        <v>1056</v>
      </c>
      <c r="AN3765" s="199">
        <f t="shared" ref="AN3765" si="2174">B3765</f>
        <v>46282</v>
      </c>
      <c r="AO3765" s="159" t="s">
        <v>692</v>
      </c>
      <c r="AP3765" s="783" t="s">
        <v>613</v>
      </c>
      <c r="AQ3765" s="782"/>
      <c r="AR3765" s="782" t="s">
        <v>614</v>
      </c>
      <c r="AS3765" s="782"/>
      <c r="AT3765" s="782"/>
      <c r="AU3765" s="781"/>
      <c r="AV3765" s="782">
        <v>12083143</v>
      </c>
      <c r="AW3765" s="782"/>
      <c r="AX3765" s="782" t="s">
        <v>2187</v>
      </c>
      <c r="AY3765" s="782"/>
      <c r="AZ3765" s="782"/>
      <c r="BA3765" s="781"/>
      <c r="BB3765" s="209"/>
    </row>
    <row r="3766" spans="1:54" ht="25" customHeight="1">
      <c r="A3766" s="142" t="s">
        <v>120</v>
      </c>
      <c r="B3766" s="383">
        <v>46282</v>
      </c>
      <c r="C3766" s="224">
        <v>46296</v>
      </c>
      <c r="D3766" s="225">
        <f>IF(B3766="","",YEAR(B3766))</f>
        <v>2026</v>
      </c>
      <c r="E3766" s="225" t="e">
        <f>VLOOKUP($B3766,Week!$A$1:$C$1462,2,0)</f>
        <v>#N/A</v>
      </c>
      <c r="F3766" s="226" t="str">
        <f>IF(B3766="","",TEXT(B3766,"[$-409]mmm"))</f>
        <v>Sep</v>
      </c>
      <c r="G3766" s="225" t="s">
        <v>3203</v>
      </c>
      <c r="H3766" s="225" t="s">
        <v>392</v>
      </c>
      <c r="I3766" s="225" t="s">
        <v>2772</v>
      </c>
      <c r="J3766" s="227" t="s">
        <v>393</v>
      </c>
      <c r="K3766" s="228" t="s">
        <v>153</v>
      </c>
      <c r="L3766" s="228" t="s">
        <v>2166</v>
      </c>
      <c r="M3766" s="227" t="s">
        <v>2363</v>
      </c>
      <c r="N3766" s="225" t="s">
        <v>2886</v>
      </c>
      <c r="O3766" s="225" t="s">
        <v>2365</v>
      </c>
      <c r="P3766" s="229">
        <v>18</v>
      </c>
      <c r="Q3766" s="229">
        <v>8</v>
      </c>
      <c r="R3766" s="230">
        <v>6.8100000000000001E-3</v>
      </c>
      <c r="S3766" s="225" t="s">
        <v>76</v>
      </c>
      <c r="T3766" s="225" t="s">
        <v>56</v>
      </c>
      <c r="U3766" s="917" t="s">
        <v>499</v>
      </c>
      <c r="V3766" s="231">
        <v>100</v>
      </c>
      <c r="W3766" s="231"/>
      <c r="X3766" s="232"/>
      <c r="Y3766" s="233">
        <f t="shared" ref="Y3766" si="2175">(W3766+X3766)-V3766</f>
        <v>-100</v>
      </c>
      <c r="Z3766" s="234">
        <f t="shared" ref="Z3766" si="2176">IF(Y3766&lt;0,((V3766*P3766)-((W3766+X3766)*P3766)),0)</f>
        <v>1800</v>
      </c>
      <c r="AA3766" s="234">
        <f t="shared" ref="AA3766" si="2177">Q3766*Z3766</f>
        <v>14400</v>
      </c>
      <c r="AB3766" s="822">
        <v>1</v>
      </c>
      <c r="AC3766" s="231">
        <f t="shared" ref="AC3766" si="2178">Z3766*AB3766</f>
        <v>1800</v>
      </c>
      <c r="AD3766" s="772" t="s">
        <v>2614</v>
      </c>
      <c r="AE3766" s="210">
        <f t="shared" ref="AE3766" si="2179">SUM(Q3766*R3766*Z3766)/1000</f>
        <v>9.8064000000000012E-2</v>
      </c>
      <c r="AF3766" s="210">
        <f t="shared" ref="AF3766" si="2180">AE3766/0.54</f>
        <v>0.18160000000000001</v>
      </c>
      <c r="AG3766" s="211">
        <f>MID(O3766,1,2)/1000</f>
        <v>1.2E-2</v>
      </c>
      <c r="AH3766" s="157">
        <f t="shared" ref="AH3766" si="2181">(Z3766*AG3766)/1000</f>
        <v>2.1600000000000001E-2</v>
      </c>
      <c r="AI3766" s="152">
        <f t="shared" ref="AI3766" si="2182">V3766*P3766</f>
        <v>1800</v>
      </c>
      <c r="AK3766" s="156" t="s">
        <v>691</v>
      </c>
      <c r="AL3766" s="156" t="s">
        <v>689</v>
      </c>
      <c r="AM3766" s="198">
        <f t="shared" ref="AM3766" si="2183">AG3766*Z3766</f>
        <v>21.6</v>
      </c>
      <c r="AN3766" s="199">
        <f t="shared" ref="AN3766" si="2184">B3766</f>
        <v>46282</v>
      </c>
      <c r="AO3766" s="159" t="s">
        <v>692</v>
      </c>
      <c r="AP3766" s="783"/>
      <c r="AQ3766" s="783" t="s">
        <v>631</v>
      </c>
      <c r="AR3766" s="796">
        <v>12038019</v>
      </c>
      <c r="AS3766" s="782"/>
      <c r="AT3766" s="782">
        <v>12098299</v>
      </c>
      <c r="AU3766" s="782"/>
      <c r="AV3766" s="782">
        <v>12098340</v>
      </c>
      <c r="AW3766" s="782"/>
      <c r="AX3766" s="781" t="s">
        <v>162</v>
      </c>
      <c r="AY3766" s="782"/>
      <c r="AZ3766" s="782"/>
      <c r="BA3766" s="781"/>
      <c r="BB3766" s="209">
        <v>23053184</v>
      </c>
    </row>
    <row r="3767" spans="1:54" ht="25" customHeight="1">
      <c r="A3767" s="142" t="s">
        <v>120</v>
      </c>
      <c r="B3767" s="308">
        <v>46282</v>
      </c>
      <c r="C3767" s="309">
        <v>46309</v>
      </c>
      <c r="D3767" s="185">
        <f t="shared" ref="D3767" si="2185">IF(B3767="","",YEAR(B3767))</f>
        <v>2026</v>
      </c>
      <c r="E3767" s="309" t="e">
        <f>VLOOKUP($B3767,Week!$A$1:$C$1462,2,0)</f>
        <v>#N/A</v>
      </c>
      <c r="F3767" s="310" t="str">
        <f t="shared" ref="F3767" si="2186">IF(B3767="","",TEXT(B3767,"[$-409]mmm"))</f>
        <v>Sep</v>
      </c>
      <c r="G3767" s="579" t="s">
        <v>3207</v>
      </c>
      <c r="H3767" s="311" t="s">
        <v>104</v>
      </c>
      <c r="I3767" s="311" t="s">
        <v>2772</v>
      </c>
      <c r="J3767" s="312" t="s">
        <v>105</v>
      </c>
      <c r="K3767" s="313" t="s">
        <v>85</v>
      </c>
      <c r="L3767" s="390" t="s">
        <v>2166</v>
      </c>
      <c r="M3767" s="312" t="s">
        <v>86</v>
      </c>
      <c r="N3767" s="311" t="s">
        <v>421</v>
      </c>
      <c r="O3767" s="311" t="s">
        <v>506</v>
      </c>
      <c r="P3767" s="314">
        <v>10</v>
      </c>
      <c r="Q3767" s="314">
        <v>50</v>
      </c>
      <c r="R3767" s="315">
        <v>6.8100000000000001E-3</v>
      </c>
      <c r="S3767" s="311" t="s">
        <v>76</v>
      </c>
      <c r="T3767" s="311" t="s">
        <v>112</v>
      </c>
      <c r="U3767" s="311" t="s">
        <v>89</v>
      </c>
      <c r="V3767" s="316">
        <f>130</f>
        <v>130</v>
      </c>
      <c r="W3767" s="316"/>
      <c r="X3767" s="317"/>
      <c r="Y3767" s="318">
        <f t="shared" ref="Y3767" si="2187">(W3767+X3767)-V3767</f>
        <v>-130</v>
      </c>
      <c r="Z3767" s="319">
        <f t="shared" ref="Z3767" si="2188">IF(Y3767&lt;0,((V3767*P3767)-((W3767+X3767)*P3767)),0)</f>
        <v>1300</v>
      </c>
      <c r="AA3767" s="319">
        <f t="shared" ref="AA3767" si="2189">Q3767*Z3767</f>
        <v>65000</v>
      </c>
      <c r="AB3767" s="815">
        <v>6</v>
      </c>
      <c r="AC3767" s="316">
        <f t="shared" ref="AC3767" si="2190">Z3767*AB3767</f>
        <v>7800</v>
      </c>
      <c r="AD3767" s="381" t="s">
        <v>2895</v>
      </c>
      <c r="AE3767" s="210">
        <f t="shared" ref="AE3767" si="2191">SUM(Q3767*R3767*Z3767)/1000</f>
        <v>0.44265000000000004</v>
      </c>
      <c r="AF3767" s="210">
        <f t="shared" ref="AF3767" si="2192">AE3767/0.54</f>
        <v>0.81972222222222224</v>
      </c>
      <c r="AG3767" s="211">
        <f t="shared" ref="AG3767" si="2193">MID(O3767,1,3)/1000</f>
        <v>0.57999999999999996</v>
      </c>
      <c r="AH3767" s="157">
        <f t="shared" ref="AH3767" si="2194">(Z3767*AG3767)/1000</f>
        <v>0.754</v>
      </c>
      <c r="AI3767" s="152">
        <f t="shared" ref="AI3767" si="2195">V3767*P3767</f>
        <v>1300</v>
      </c>
      <c r="AJ3767" s="156">
        <f>AI3767*Q3767</f>
        <v>65000</v>
      </c>
      <c r="AK3767" s="156" t="s">
        <v>691</v>
      </c>
      <c r="AL3767" s="156" t="s">
        <v>689</v>
      </c>
      <c r="AM3767" s="198">
        <f t="shared" ref="AM3767" si="2196">AG3767*Z3767</f>
        <v>754</v>
      </c>
      <c r="AN3767" s="199">
        <f t="shared" ref="AN3767" si="2197">B3767</f>
        <v>46282</v>
      </c>
      <c r="AO3767" s="159" t="s">
        <v>692</v>
      </c>
      <c r="AP3767" s="781" t="s">
        <v>423</v>
      </c>
      <c r="AQ3767" s="781" t="s">
        <v>422</v>
      </c>
      <c r="AR3767" s="782">
        <v>12055234</v>
      </c>
      <c r="AS3767" s="781"/>
      <c r="AT3767" s="782">
        <v>12069432</v>
      </c>
      <c r="AU3767" s="781"/>
      <c r="AV3767" s="782">
        <v>12069433</v>
      </c>
      <c r="AW3767" s="781"/>
      <c r="AX3767" s="781" t="s">
        <v>93</v>
      </c>
      <c r="AY3767" s="781"/>
      <c r="AZ3767" s="782"/>
      <c r="BA3767" s="781"/>
      <c r="BB3767" s="209">
        <v>23053184</v>
      </c>
    </row>
    <row r="3768" spans="1:54" ht="25" customHeight="1">
      <c r="A3768" s="142" t="s">
        <v>120</v>
      </c>
      <c r="B3768" s="308">
        <v>46282</v>
      </c>
      <c r="C3768" s="309">
        <v>46321</v>
      </c>
      <c r="D3768" s="185">
        <f t="shared" ref="D3768" si="2198">IF(B3768="","",YEAR(B3768))</f>
        <v>2026</v>
      </c>
      <c r="E3768" s="309" t="e">
        <f>VLOOKUP($B3768,Week!$A$1:$C$1462,2,0)</f>
        <v>#N/A</v>
      </c>
      <c r="F3768" s="310" t="str">
        <f t="shared" ref="F3768" si="2199">IF(B3768="","",TEXT(B3768,"[$-409]mmm"))</f>
        <v>Sep</v>
      </c>
      <c r="G3768" s="579" t="s">
        <v>3208</v>
      </c>
      <c r="H3768" s="311" t="s">
        <v>104</v>
      </c>
      <c r="I3768" s="311" t="s">
        <v>2772</v>
      </c>
      <c r="J3768" s="312" t="s">
        <v>105</v>
      </c>
      <c r="K3768" s="313" t="s">
        <v>85</v>
      </c>
      <c r="L3768" s="390" t="s">
        <v>2166</v>
      </c>
      <c r="M3768" s="312" t="s">
        <v>86</v>
      </c>
      <c r="N3768" s="311" t="s">
        <v>421</v>
      </c>
      <c r="O3768" s="311" t="s">
        <v>506</v>
      </c>
      <c r="P3768" s="314">
        <v>10</v>
      </c>
      <c r="Q3768" s="314">
        <v>50</v>
      </c>
      <c r="R3768" s="315">
        <v>6.8100000000000001E-3</v>
      </c>
      <c r="S3768" s="311" t="s">
        <v>76</v>
      </c>
      <c r="T3768" s="311" t="s">
        <v>112</v>
      </c>
      <c r="U3768" s="311" t="s">
        <v>89</v>
      </c>
      <c r="V3768" s="316">
        <f>150</f>
        <v>150</v>
      </c>
      <c r="W3768" s="316"/>
      <c r="X3768" s="317"/>
      <c r="Y3768" s="318">
        <f t="shared" ref="Y3768" si="2200">(W3768+X3768)-V3768</f>
        <v>-150</v>
      </c>
      <c r="Z3768" s="319">
        <f t="shared" ref="Z3768" si="2201">IF(Y3768&lt;0,((V3768*P3768)-((W3768+X3768)*P3768)),0)</f>
        <v>1500</v>
      </c>
      <c r="AA3768" s="319">
        <f t="shared" ref="AA3768" si="2202">Q3768*Z3768</f>
        <v>75000</v>
      </c>
      <c r="AB3768" s="815">
        <v>6</v>
      </c>
      <c r="AC3768" s="316">
        <f t="shared" ref="AC3768" si="2203">Z3768*AB3768</f>
        <v>9000</v>
      </c>
      <c r="AD3768" s="381" t="s">
        <v>2895</v>
      </c>
      <c r="AE3768" s="210">
        <f t="shared" ref="AE3768" si="2204">SUM(Q3768*R3768*Z3768)/1000</f>
        <v>0.51075000000000004</v>
      </c>
      <c r="AF3768" s="210">
        <f t="shared" ref="AF3768" si="2205">AE3768/0.54</f>
        <v>0.9458333333333333</v>
      </c>
      <c r="AG3768" s="211">
        <f>MID(O3768,1,3)/1000</f>
        <v>0.57999999999999996</v>
      </c>
      <c r="AH3768" s="157">
        <f t="shared" ref="AH3768" si="2206">(Z3768*AG3768)/1000</f>
        <v>0.86999999999999988</v>
      </c>
      <c r="AI3768" s="152">
        <f>V3768*P3768</f>
        <v>1500</v>
      </c>
      <c r="AJ3768" s="156">
        <f>AI3768*Q3768</f>
        <v>75000</v>
      </c>
      <c r="AK3768" s="156" t="s">
        <v>691</v>
      </c>
      <c r="AL3768" s="156" t="s">
        <v>689</v>
      </c>
      <c r="AM3768" s="198">
        <f t="shared" ref="AM3768" si="2207">AG3768*Z3768</f>
        <v>869.99999999999989</v>
      </c>
      <c r="AN3768" s="199">
        <f t="shared" ref="AN3768" si="2208">B3768</f>
        <v>46282</v>
      </c>
      <c r="AO3768" s="159" t="s">
        <v>692</v>
      </c>
      <c r="AP3768" s="781" t="s">
        <v>423</v>
      </c>
      <c r="AQ3768" s="781" t="s">
        <v>422</v>
      </c>
      <c r="AR3768" s="782">
        <v>12055234</v>
      </c>
      <c r="AS3768" s="781"/>
      <c r="AT3768" s="782">
        <v>12069432</v>
      </c>
      <c r="AU3768" s="781"/>
      <c r="AV3768" s="782">
        <v>12069433</v>
      </c>
      <c r="AW3768" s="781"/>
      <c r="AX3768" s="781" t="s">
        <v>93</v>
      </c>
      <c r="AY3768" s="781"/>
      <c r="AZ3768" s="782"/>
      <c r="BA3768" s="781"/>
      <c r="BB3768" s="209">
        <v>23053184</v>
      </c>
    </row>
    <row r="3769" spans="1:54" ht="25.9" customHeight="1">
      <c r="A3769" s="142" t="s">
        <v>120</v>
      </c>
      <c r="B3769" s="235">
        <v>46282</v>
      </c>
      <c r="C3769" s="235">
        <v>46296</v>
      </c>
      <c r="D3769" s="185">
        <f>IF(B3769="","",YEAR(B3769))</f>
        <v>2026</v>
      </c>
      <c r="E3769" s="236" t="e">
        <f>VLOOKUP($B3769,Week!$A$1:$C$1462,2,0)</f>
        <v>#N/A</v>
      </c>
      <c r="F3769" s="237" t="str">
        <f>IF(B3769="","",TEXT(B3769,"[$-409]mmm"))</f>
        <v>Sep</v>
      </c>
      <c r="G3769" s="236" t="s">
        <v>3203</v>
      </c>
      <c r="H3769" s="236" t="s">
        <v>392</v>
      </c>
      <c r="I3769" s="236" t="s">
        <v>2772</v>
      </c>
      <c r="J3769" s="238" t="s">
        <v>393</v>
      </c>
      <c r="K3769" s="239" t="s">
        <v>153</v>
      </c>
      <c r="L3769" s="390" t="s">
        <v>2166</v>
      </c>
      <c r="M3769" s="238" t="s">
        <v>165</v>
      </c>
      <c r="N3769" s="236" t="s">
        <v>685</v>
      </c>
      <c r="O3769" s="236" t="s">
        <v>167</v>
      </c>
      <c r="P3769" s="240">
        <v>20</v>
      </c>
      <c r="Q3769" s="240">
        <v>12</v>
      </c>
      <c r="R3769" s="241">
        <v>6.8100000000000001E-3</v>
      </c>
      <c r="S3769" s="236" t="s">
        <v>76</v>
      </c>
      <c r="T3769" s="236" t="s">
        <v>56</v>
      </c>
      <c r="U3769" s="236" t="s">
        <v>89</v>
      </c>
      <c r="V3769" s="242">
        <v>300</v>
      </c>
      <c r="W3769" s="242"/>
      <c r="X3769" s="243"/>
      <c r="Y3769" s="244">
        <f>(W3769+X3769)-V3769</f>
        <v>-300</v>
      </c>
      <c r="Z3769" s="245">
        <f>IF(Y3769&lt;0,((V3769*P3769)-((W3769+X3769)*P3769)),0)</f>
        <v>6000</v>
      </c>
      <c r="AA3769" s="245">
        <f>Q3769*Z3769</f>
        <v>72000</v>
      </c>
      <c r="AB3769" s="809">
        <v>2</v>
      </c>
      <c r="AC3769" s="242">
        <f>Z3769*AB3769</f>
        <v>12000</v>
      </c>
      <c r="AD3769" s="772" t="s">
        <v>2614</v>
      </c>
      <c r="AE3769" s="210">
        <f>SUM(Q3769*R3769*Z3769)/1000</f>
        <v>0.49031999999999998</v>
      </c>
      <c r="AF3769" s="210">
        <f>AE3769/0.54</f>
        <v>0.90799999999999992</v>
      </c>
      <c r="AG3769" s="211">
        <f>MID(O3769,1,3)/1000</f>
        <v>0.154</v>
      </c>
      <c r="AH3769" s="157">
        <f>(Z3769*AG3769)/1000</f>
        <v>0.92400000000000004</v>
      </c>
      <c r="AI3769" s="152">
        <f>V3769*P3769</f>
        <v>6000</v>
      </c>
      <c r="AK3769" s="156" t="s">
        <v>691</v>
      </c>
      <c r="AL3769" s="156" t="s">
        <v>689</v>
      </c>
      <c r="AM3769" s="198">
        <f>AG3769*Z3769</f>
        <v>924</v>
      </c>
      <c r="AN3769" s="199">
        <f>B3769</f>
        <v>46282</v>
      </c>
      <c r="AO3769" s="159" t="s">
        <v>692</v>
      </c>
      <c r="AP3769" s="783" t="s">
        <v>622</v>
      </c>
      <c r="AQ3769" s="783" t="s">
        <v>631</v>
      </c>
      <c r="AR3769" s="783" t="s">
        <v>523</v>
      </c>
      <c r="AS3769" s="781"/>
      <c r="AT3769" s="783" t="s">
        <v>2982</v>
      </c>
      <c r="AU3769" s="781"/>
      <c r="AV3769" s="783" t="s">
        <v>2987</v>
      </c>
      <c r="AW3769" s="781"/>
      <c r="AX3769" s="781" t="s">
        <v>398</v>
      </c>
      <c r="AY3769" s="781"/>
      <c r="AZ3769" s="782"/>
      <c r="BA3769" s="781"/>
      <c r="BB3769" s="209">
        <v>23053184</v>
      </c>
    </row>
    <row r="3770" spans="1:54" ht="25" customHeight="1">
      <c r="A3770" s="754" t="s">
        <v>438</v>
      </c>
      <c r="B3770" s="332">
        <v>46282</v>
      </c>
      <c r="C3770" s="333">
        <v>46309</v>
      </c>
      <c r="D3770" s="185">
        <f t="shared" ref="D3770" si="2209">IF(B3770="","",YEAR(B3770))</f>
        <v>2026</v>
      </c>
      <c r="E3770" s="335" t="e">
        <f>VLOOKUP($B3770,Week!$A$1:$C$1462,2,0)</f>
        <v>#N/A</v>
      </c>
      <c r="F3770" s="334" t="str">
        <f t="shared" ref="F3770" si="2210">IF(B3770="","",TEXT(B3770,"[$-409]mmm"))</f>
        <v>Sep</v>
      </c>
      <c r="G3770" s="530" t="s">
        <v>3123</v>
      </c>
      <c r="H3770" s="335" t="s">
        <v>392</v>
      </c>
      <c r="I3770" s="335" t="s">
        <v>2772</v>
      </c>
      <c r="J3770" s="336" t="s">
        <v>393</v>
      </c>
      <c r="K3770" s="337" t="s">
        <v>671</v>
      </c>
      <c r="L3770" s="300" t="s">
        <v>2167</v>
      </c>
      <c r="M3770" s="336" t="s">
        <v>3119</v>
      </c>
      <c r="N3770" s="335" t="s">
        <v>3121</v>
      </c>
      <c r="O3770" s="335" t="s">
        <v>3118</v>
      </c>
      <c r="P3770" s="338">
        <v>24</v>
      </c>
      <c r="Q3770" s="338">
        <v>4</v>
      </c>
      <c r="R3770" s="339">
        <v>6.0000000000000001E-3</v>
      </c>
      <c r="S3770" s="335" t="s">
        <v>55</v>
      </c>
      <c r="T3770" s="335" t="s">
        <v>112</v>
      </c>
      <c r="U3770" s="335" t="s">
        <v>3117</v>
      </c>
      <c r="V3770" s="341">
        <v>1250</v>
      </c>
      <c r="W3770" s="341"/>
      <c r="X3770" s="342"/>
      <c r="Y3770" s="343">
        <f t="shared" ref="Y3770" si="2211">(W3770+X3770)-V3770</f>
        <v>-1250</v>
      </c>
      <c r="Z3770" s="344">
        <f t="shared" ref="Z3770" si="2212">IF(Y3770&lt;0,((V3770*P3770)-((W3770+X3770)*P3770)),0)</f>
        <v>30000</v>
      </c>
      <c r="AA3770" s="344">
        <f t="shared" ref="AA3770" si="2213">Q3770*Z3770</f>
        <v>120000</v>
      </c>
      <c r="AB3770" s="817">
        <v>1</v>
      </c>
      <c r="AC3770" s="341">
        <f t="shared" ref="AC3770" si="2214">Z3770*AB3770</f>
        <v>30000</v>
      </c>
      <c r="AD3770" s="209"/>
      <c r="AE3770" s="210">
        <f t="shared" ref="AE3770" si="2215">SUM(Q3770*R3770*Z3770)/1000</f>
        <v>0.72</v>
      </c>
      <c r="AF3770" s="210">
        <f t="shared" ref="AF3770" si="2216">AE3770/0.54</f>
        <v>1.3333333333333333</v>
      </c>
      <c r="AG3770" s="211">
        <f>MID(O3770,1,2)/1000</f>
        <v>9.8000000000000004E-2</v>
      </c>
      <c r="AH3770" s="157">
        <f t="shared" ref="AH3770" si="2217">(Z3770*AG3770)/1000</f>
        <v>2.94</v>
      </c>
      <c r="AI3770" s="152">
        <f t="shared" ref="AI3770" si="2218">V3770*P3770</f>
        <v>30000</v>
      </c>
      <c r="AK3770" s="156" t="s">
        <v>691</v>
      </c>
      <c r="AL3770" s="212" t="s">
        <v>690</v>
      </c>
      <c r="AM3770" s="198">
        <f t="shared" ref="AM3770" si="2219">AG3770*Z3770</f>
        <v>2940</v>
      </c>
      <c r="AN3770" s="199">
        <f t="shared" ref="AN3770" si="2220">B3770</f>
        <v>46282</v>
      </c>
      <c r="AO3770" s="159" t="s">
        <v>692</v>
      </c>
      <c r="AP3770" s="797"/>
      <c r="AQ3770" s="798"/>
      <c r="AR3770" s="798">
        <v>12088503</v>
      </c>
      <c r="AS3770" s="798"/>
      <c r="AT3770" s="782"/>
      <c r="AU3770" s="799"/>
      <c r="AV3770" s="782">
        <v>12099948</v>
      </c>
      <c r="AW3770" s="798"/>
      <c r="AX3770" s="798">
        <v>12099957</v>
      </c>
      <c r="AY3770" s="798"/>
      <c r="AZ3770" s="798"/>
      <c r="BA3770" s="799"/>
      <c r="BB3770" s="209"/>
    </row>
    <row r="3771" spans="1:54" ht="25" customHeight="1">
      <c r="A3771" s="142" t="s">
        <v>120</v>
      </c>
      <c r="B3771" s="369">
        <v>46283</v>
      </c>
      <c r="C3771" s="370">
        <v>46307</v>
      </c>
      <c r="D3771" s="185">
        <f>IF(B3771="","",YEAR(B3771))</f>
        <v>2026</v>
      </c>
      <c r="E3771" s="371" t="e">
        <f>VLOOKUP($B3771,Week!$A$1:$C$1462,2,0)</f>
        <v>#N/A</v>
      </c>
      <c r="F3771" s="372" t="str">
        <f>IF(B3771="","",TEXT(B3771,"[$-409]mmm"))</f>
        <v>Sep</v>
      </c>
      <c r="G3771" s="371" t="s">
        <v>3181</v>
      </c>
      <c r="H3771" s="371" t="s">
        <v>344</v>
      </c>
      <c r="I3771" s="371" t="s">
        <v>2772</v>
      </c>
      <c r="J3771" s="373" t="s">
        <v>345</v>
      </c>
      <c r="K3771" s="374" t="s">
        <v>153</v>
      </c>
      <c r="L3771" s="390" t="s">
        <v>2166</v>
      </c>
      <c r="M3771" s="373" t="s">
        <v>214</v>
      </c>
      <c r="N3771" s="371" t="s">
        <v>346</v>
      </c>
      <c r="O3771" s="371" t="s">
        <v>509</v>
      </c>
      <c r="P3771" s="375">
        <v>18</v>
      </c>
      <c r="Q3771" s="375">
        <v>8</v>
      </c>
      <c r="R3771" s="376">
        <v>6.8100000000000001E-3</v>
      </c>
      <c r="S3771" s="371" t="s">
        <v>76</v>
      </c>
      <c r="T3771" s="371" t="s">
        <v>56</v>
      </c>
      <c r="U3771" s="371" t="s">
        <v>89</v>
      </c>
      <c r="V3771" s="377">
        <f>1900</f>
        <v>1900</v>
      </c>
      <c r="W3771" s="377"/>
      <c r="X3771" s="378"/>
      <c r="Y3771" s="379">
        <f>(W3771+X3771)-V3771</f>
        <v>-1900</v>
      </c>
      <c r="Z3771" s="380">
        <f>IF(Y3771&lt;0,((V3771*P3771)-((W3771+X3771)*P3771)),0)</f>
        <v>34200</v>
      </c>
      <c r="AA3771" s="380">
        <f>Q3771*Z3771</f>
        <v>273600</v>
      </c>
      <c r="AB3771" s="820">
        <v>1</v>
      </c>
      <c r="AC3771" s="377">
        <f>Z3771*AB3771</f>
        <v>34200</v>
      </c>
      <c r="AD3771" s="443"/>
      <c r="AE3771" s="210">
        <f>SUM(Q3771*R3771*Z3771)/1000</f>
        <v>1.8632160000000002</v>
      </c>
      <c r="AF3771" s="210">
        <f>AE3771/0.54</f>
        <v>3.4504000000000001</v>
      </c>
      <c r="AG3771" s="211">
        <f>MID(O3771,1,3)/1000</f>
        <v>0.10100000000000001</v>
      </c>
      <c r="AH3771" s="157">
        <f>(Z3771*AG3771)/1000</f>
        <v>3.4542000000000002</v>
      </c>
      <c r="AI3771" s="152">
        <f>V3771*P3771</f>
        <v>34200</v>
      </c>
      <c r="AK3771" s="156" t="s">
        <v>691</v>
      </c>
      <c r="AL3771" s="156" t="s">
        <v>689</v>
      </c>
      <c r="AM3771" s="198">
        <f>AG3771*Z3771</f>
        <v>3454.2000000000003</v>
      </c>
      <c r="AN3771" s="199">
        <f>B3771</f>
        <v>46283</v>
      </c>
      <c r="AO3771" s="159" t="s">
        <v>692</v>
      </c>
      <c r="AP3771" s="781"/>
      <c r="AQ3771" s="783" t="s">
        <v>631</v>
      </c>
      <c r="AR3771" s="782">
        <v>12038019</v>
      </c>
      <c r="AS3771" s="781"/>
      <c r="AT3771" s="800">
        <v>12096586</v>
      </c>
      <c r="AU3771" s="781"/>
      <c r="AV3771" s="800">
        <v>12096585</v>
      </c>
      <c r="AW3771" s="781"/>
      <c r="AX3771" s="781" t="s">
        <v>162</v>
      </c>
      <c r="AY3771" s="781"/>
      <c r="AZ3771" s="781"/>
      <c r="BA3771" s="781"/>
      <c r="BB3771" s="209">
        <v>23053184</v>
      </c>
    </row>
    <row r="3772" spans="1:54" ht="25" customHeight="1">
      <c r="A3772" s="754" t="s">
        <v>438</v>
      </c>
      <c r="B3772" s="332">
        <v>46283</v>
      </c>
      <c r="C3772" s="333">
        <v>46309</v>
      </c>
      <c r="D3772" s="185">
        <f t="shared" ref="D3772:D3775" si="2221">IF(B3772="","",YEAR(B3772))</f>
        <v>2026</v>
      </c>
      <c r="E3772" s="335" t="e">
        <f>VLOOKUP($B3772,Week!$A$1:$C$1462,2,0)</f>
        <v>#N/A</v>
      </c>
      <c r="F3772" s="334" t="str">
        <f t="shared" ref="F3772:F3775" si="2222">IF(B3772="","",TEXT(B3772,"[$-409]mmm"))</f>
        <v>Sep</v>
      </c>
      <c r="G3772" s="530" t="s">
        <v>3123</v>
      </c>
      <c r="H3772" s="335" t="s">
        <v>392</v>
      </c>
      <c r="I3772" s="335" t="s">
        <v>2772</v>
      </c>
      <c r="J3772" s="336" t="s">
        <v>393</v>
      </c>
      <c r="K3772" s="337" t="s">
        <v>671</v>
      </c>
      <c r="L3772" s="300" t="s">
        <v>2167</v>
      </c>
      <c r="M3772" s="336" t="s">
        <v>3119</v>
      </c>
      <c r="N3772" s="335" t="s">
        <v>3121</v>
      </c>
      <c r="O3772" s="335" t="s">
        <v>3118</v>
      </c>
      <c r="P3772" s="338">
        <v>24</v>
      </c>
      <c r="Q3772" s="338">
        <v>4</v>
      </c>
      <c r="R3772" s="339">
        <v>6.0000000000000001E-3</v>
      </c>
      <c r="S3772" s="335" t="s">
        <v>55</v>
      </c>
      <c r="T3772" s="335" t="s">
        <v>112</v>
      </c>
      <c r="U3772" s="335" t="s">
        <v>3117</v>
      </c>
      <c r="V3772" s="341">
        <f>2500-1250</f>
        <v>1250</v>
      </c>
      <c r="W3772" s="341"/>
      <c r="X3772" s="342"/>
      <c r="Y3772" s="343">
        <f t="shared" ref="Y3772:Y3776" si="2223">(W3772+X3772)-V3772</f>
        <v>-1250</v>
      </c>
      <c r="Z3772" s="344">
        <f t="shared" ref="Z3772:Z3776" si="2224">IF(Y3772&lt;0,((V3772*P3772)-((W3772+X3772)*P3772)),0)</f>
        <v>30000</v>
      </c>
      <c r="AA3772" s="344">
        <f>Q3772*Z3772</f>
        <v>120000</v>
      </c>
      <c r="AB3772" s="817">
        <v>1</v>
      </c>
      <c r="AC3772" s="341">
        <f t="shared" ref="AC3772:AC3776" si="2225">Z3772*AB3772</f>
        <v>30000</v>
      </c>
      <c r="AD3772" s="209"/>
      <c r="AE3772" s="210">
        <f t="shared" ref="AE3772:AE3776" si="2226">SUM(Q3772*R3772*Z3772)/1000</f>
        <v>0.72</v>
      </c>
      <c r="AF3772" s="210">
        <f t="shared" ref="AF3772:AF3776" si="2227">AE3772/0.54</f>
        <v>1.3333333333333333</v>
      </c>
      <c r="AG3772" s="211">
        <f>MID(O3772,1,2)/1000</f>
        <v>9.8000000000000004E-2</v>
      </c>
      <c r="AH3772" s="157">
        <f t="shared" ref="AH3772:AH3777" si="2228">(Z3772*AG3772)/1000</f>
        <v>2.94</v>
      </c>
      <c r="AI3772" s="152">
        <f t="shared" ref="AI3772:AI3776" si="2229">V3772*P3772</f>
        <v>30000</v>
      </c>
      <c r="AK3772" s="156" t="s">
        <v>691</v>
      </c>
      <c r="AL3772" s="212" t="s">
        <v>690</v>
      </c>
      <c r="AM3772" s="198">
        <f>AG3772*Z3772</f>
        <v>2940</v>
      </c>
      <c r="AN3772" s="199">
        <f>B3772</f>
        <v>46283</v>
      </c>
      <c r="AO3772" s="159" t="s">
        <v>692</v>
      </c>
      <c r="AP3772" s="797"/>
      <c r="AQ3772" s="798"/>
      <c r="AR3772" s="798">
        <v>12088503</v>
      </c>
      <c r="AS3772" s="798"/>
      <c r="AT3772" s="782"/>
      <c r="AU3772" s="799"/>
      <c r="AV3772" s="782">
        <v>12099948</v>
      </c>
      <c r="AW3772" s="798"/>
      <c r="AX3772" s="798">
        <v>12099957</v>
      </c>
      <c r="AY3772" s="798"/>
      <c r="AZ3772" s="798"/>
      <c r="BA3772" s="799"/>
      <c r="BB3772" s="209"/>
    </row>
    <row r="3773" spans="1:54" ht="26.25" customHeight="1">
      <c r="B3773" s="235">
        <v>46284</v>
      </c>
      <c r="C3773" s="235">
        <v>46296</v>
      </c>
      <c r="D3773" s="185">
        <f t="shared" si="2221"/>
        <v>2026</v>
      </c>
      <c r="E3773" s="236" t="e">
        <f>VLOOKUP($B3773,Week!$A$1:$C$1462,2,0)</f>
        <v>#N/A</v>
      </c>
      <c r="F3773" s="237" t="str">
        <f t="shared" si="2222"/>
        <v>Sep</v>
      </c>
      <c r="G3773" s="236" t="s">
        <v>3203</v>
      </c>
      <c r="H3773" s="236" t="s">
        <v>392</v>
      </c>
      <c r="I3773" s="236" t="s">
        <v>2772</v>
      </c>
      <c r="J3773" s="238" t="s">
        <v>393</v>
      </c>
      <c r="K3773" s="239" t="s">
        <v>1643</v>
      </c>
      <c r="L3773" s="300" t="s">
        <v>2167</v>
      </c>
      <c r="M3773" s="238" t="s">
        <v>2385</v>
      </c>
      <c r="N3773" s="236" t="s">
        <v>407</v>
      </c>
      <c r="O3773" s="236" t="s">
        <v>206</v>
      </c>
      <c r="P3773" s="240">
        <v>24</v>
      </c>
      <c r="Q3773" s="240">
        <v>5</v>
      </c>
      <c r="R3773" s="241">
        <v>8.0000000000000002E-3</v>
      </c>
      <c r="S3773" s="236" t="s">
        <v>40</v>
      </c>
      <c r="T3773" s="236" t="s">
        <v>56</v>
      </c>
      <c r="U3773" s="640" t="s">
        <v>499</v>
      </c>
      <c r="V3773" s="242">
        <f>850</f>
        <v>850</v>
      </c>
      <c r="W3773" s="242"/>
      <c r="X3773" s="243">
        <f>(2029)/24</f>
        <v>84.541666666666671</v>
      </c>
      <c r="Y3773" s="244">
        <f t="shared" si="2223"/>
        <v>-765.45833333333337</v>
      </c>
      <c r="Z3773" s="245">
        <f t="shared" si="2224"/>
        <v>18371</v>
      </c>
      <c r="AA3773" s="245">
        <f>Q3773*Z3773</f>
        <v>91855</v>
      </c>
      <c r="AB3773" s="809">
        <v>1</v>
      </c>
      <c r="AC3773" s="242">
        <f t="shared" si="2225"/>
        <v>18371</v>
      </c>
      <c r="AD3773" s="772" t="s">
        <v>2614</v>
      </c>
      <c r="AE3773" s="210">
        <f t="shared" si="2226"/>
        <v>0.73484000000000005</v>
      </c>
      <c r="AF3773" s="210">
        <f t="shared" si="2227"/>
        <v>1.3608148148148149</v>
      </c>
      <c r="AG3773" s="211">
        <f>MID(O3773,1,3)/1000</f>
        <v>0.115</v>
      </c>
      <c r="AH3773" s="157">
        <f t="shared" si="2228"/>
        <v>2.1126649999999998</v>
      </c>
      <c r="AI3773" s="152">
        <f t="shared" si="2229"/>
        <v>20400</v>
      </c>
      <c r="AK3773" s="156" t="s">
        <v>691</v>
      </c>
      <c r="AL3773" s="574" t="s">
        <v>690</v>
      </c>
      <c r="AM3773" s="198">
        <f>AG3773*Z3773</f>
        <v>2112.665</v>
      </c>
      <c r="AN3773" s="199">
        <f>B3773</f>
        <v>46284</v>
      </c>
      <c r="AO3773" s="159" t="s">
        <v>692</v>
      </c>
      <c r="AP3773" s="783" t="s">
        <v>608</v>
      </c>
      <c r="AQ3773" s="782">
        <v>12071839</v>
      </c>
      <c r="AR3773" s="782">
        <v>12047514</v>
      </c>
      <c r="AS3773" s="782">
        <v>12047515</v>
      </c>
      <c r="AT3773" s="781"/>
      <c r="AU3773" s="782">
        <v>12026902</v>
      </c>
      <c r="AV3773" s="782">
        <v>12098047</v>
      </c>
      <c r="AW3773" s="782">
        <v>12026904</v>
      </c>
      <c r="AX3773" s="781"/>
      <c r="AY3773" s="783" t="s">
        <v>2403</v>
      </c>
      <c r="AZ3773" s="783" t="s">
        <v>2404</v>
      </c>
      <c r="BA3773" s="783" t="s">
        <v>2405</v>
      </c>
      <c r="BB3773" s="209">
        <v>23052995</v>
      </c>
    </row>
    <row r="3774" spans="1:54" ht="25" customHeight="1">
      <c r="B3774" s="213">
        <v>46284</v>
      </c>
      <c r="C3774" s="214">
        <v>46300</v>
      </c>
      <c r="D3774" s="185">
        <f>IF(B3774="","",YEAR(B3774))</f>
        <v>2026</v>
      </c>
      <c r="E3774" s="215" t="e">
        <f>VLOOKUP($B3774,Week!$A$1:$C$1462,2,0)</f>
        <v>#N/A</v>
      </c>
      <c r="F3774" s="216" t="str">
        <f>IF(B3774="","",TEXT(B3774,"[$-409]mmm"))</f>
        <v>Sep</v>
      </c>
      <c r="G3774" s="215" t="s">
        <v>3091</v>
      </c>
      <c r="H3774" s="215" t="s">
        <v>134</v>
      </c>
      <c r="I3774" s="215" t="s">
        <v>2772</v>
      </c>
      <c r="J3774" s="209" t="s">
        <v>2932</v>
      </c>
      <c r="K3774" s="217" t="s">
        <v>1648</v>
      </c>
      <c r="L3774" s="300" t="s">
        <v>2167</v>
      </c>
      <c r="M3774" s="209" t="s">
        <v>193</v>
      </c>
      <c r="N3774" s="215" t="s">
        <v>205</v>
      </c>
      <c r="O3774" s="215" t="s">
        <v>206</v>
      </c>
      <c r="P3774" s="218">
        <v>24</v>
      </c>
      <c r="Q3774" s="218">
        <v>5</v>
      </c>
      <c r="R3774" s="219">
        <v>8.0000000000000002E-3</v>
      </c>
      <c r="S3774" s="215" t="s">
        <v>40</v>
      </c>
      <c r="T3774" s="215" t="s">
        <v>56</v>
      </c>
      <c r="U3774" s="480" t="s">
        <v>499</v>
      </c>
      <c r="V3774" s="220">
        <f>200</f>
        <v>200</v>
      </c>
      <c r="W3774" s="220"/>
      <c r="X3774" s="221">
        <f>(153)/24</f>
        <v>6.375</v>
      </c>
      <c r="Y3774" s="222">
        <f t="shared" si="2223"/>
        <v>-193.625</v>
      </c>
      <c r="Z3774" s="223">
        <f t="shared" si="2224"/>
        <v>4647</v>
      </c>
      <c r="AA3774" s="220">
        <f>Q3774*Z3774</f>
        <v>23235</v>
      </c>
      <c r="AB3774" s="807">
        <v>1</v>
      </c>
      <c r="AC3774" s="220">
        <f t="shared" si="2225"/>
        <v>4647</v>
      </c>
      <c r="AD3774" s="381"/>
      <c r="AE3774" s="210">
        <f t="shared" si="2226"/>
        <v>0.18587999999999999</v>
      </c>
      <c r="AF3774" s="210">
        <f t="shared" si="2227"/>
        <v>0.34422222222222221</v>
      </c>
      <c r="AG3774" s="211">
        <f>MID(O3774,1,3)/1000</f>
        <v>0.115</v>
      </c>
      <c r="AH3774" s="157">
        <f>(Z3774*AG3774)/1000</f>
        <v>0.53440500000000002</v>
      </c>
      <c r="AI3774" s="152">
        <f t="shared" si="2229"/>
        <v>4800</v>
      </c>
      <c r="AK3774" s="156" t="s">
        <v>691</v>
      </c>
      <c r="AL3774" s="212" t="s">
        <v>690</v>
      </c>
      <c r="AM3774" s="198">
        <f>AG3774*Z3774</f>
        <v>534.40499999999997</v>
      </c>
      <c r="AN3774" s="199">
        <f>B3774</f>
        <v>46284</v>
      </c>
      <c r="AO3774" s="159" t="s">
        <v>692</v>
      </c>
      <c r="AP3774" s="783" t="s">
        <v>610</v>
      </c>
      <c r="AQ3774" s="782">
        <v>12071839</v>
      </c>
      <c r="AR3774" s="782">
        <v>12047514</v>
      </c>
      <c r="AS3774" s="782">
        <v>12047515</v>
      </c>
      <c r="AT3774" s="782"/>
      <c r="AU3774" s="782">
        <v>12026902</v>
      </c>
      <c r="AV3774" s="782">
        <v>12098136</v>
      </c>
      <c r="AW3774" s="782">
        <v>12026904</v>
      </c>
      <c r="AX3774" s="782"/>
      <c r="AY3774" s="782">
        <v>12094111</v>
      </c>
      <c r="AZ3774" s="782">
        <v>12094113</v>
      </c>
      <c r="BA3774" s="782">
        <v>12094114</v>
      </c>
    </row>
    <row r="3775" spans="1:54" ht="24.65" customHeight="1">
      <c r="B3775" s="224">
        <v>46284</v>
      </c>
      <c r="C3775" s="224">
        <v>46296</v>
      </c>
      <c r="D3775" s="185">
        <f t="shared" si="2221"/>
        <v>2026</v>
      </c>
      <c r="E3775" s="225" t="e">
        <f>VLOOKUP($B3775,Week!$A$1:$C$1462,2,0)</f>
        <v>#N/A</v>
      </c>
      <c r="F3775" s="226" t="str">
        <f t="shared" si="2222"/>
        <v>Sep</v>
      </c>
      <c r="G3775" s="225" t="s">
        <v>3203</v>
      </c>
      <c r="H3775" s="225" t="s">
        <v>392</v>
      </c>
      <c r="I3775" s="225" t="s">
        <v>2772</v>
      </c>
      <c r="J3775" s="227" t="s">
        <v>393</v>
      </c>
      <c r="K3775" s="228" t="s">
        <v>176</v>
      </c>
      <c r="L3775" s="300" t="s">
        <v>2167</v>
      </c>
      <c r="M3775" s="228" t="s">
        <v>399</v>
      </c>
      <c r="N3775" s="225" t="s">
        <v>400</v>
      </c>
      <c r="O3775" s="225" t="s">
        <v>195</v>
      </c>
      <c r="P3775" s="229">
        <v>24</v>
      </c>
      <c r="Q3775" s="229">
        <v>5</v>
      </c>
      <c r="R3775" s="230">
        <v>8.0000000000000002E-3</v>
      </c>
      <c r="S3775" s="225" t="s">
        <v>40</v>
      </c>
      <c r="T3775" s="225" t="s">
        <v>56</v>
      </c>
      <c r="U3775" s="225" t="s">
        <v>57</v>
      </c>
      <c r="V3775" s="231">
        <f>900</f>
        <v>900</v>
      </c>
      <c r="W3775" s="231"/>
      <c r="X3775" s="232">
        <f>(280)/24</f>
        <v>11.666666666666666</v>
      </c>
      <c r="Y3775" s="233">
        <f t="shared" si="2223"/>
        <v>-888.33333333333337</v>
      </c>
      <c r="Z3775" s="234">
        <f t="shared" si="2224"/>
        <v>21320</v>
      </c>
      <c r="AA3775" s="234">
        <f>Q3775*Z3775</f>
        <v>106600</v>
      </c>
      <c r="AB3775" s="808">
        <v>7.4999999999999997E-3</v>
      </c>
      <c r="AC3775" s="231">
        <f t="shared" si="2225"/>
        <v>159.9</v>
      </c>
      <c r="AD3775" s="557" t="s">
        <v>2614</v>
      </c>
      <c r="AE3775" s="210">
        <f t="shared" si="2226"/>
        <v>0.85280000000000011</v>
      </c>
      <c r="AF3775" s="210">
        <f t="shared" si="2227"/>
        <v>1.5792592592592594</v>
      </c>
      <c r="AG3775" s="211">
        <f>MID(O3775,1,3)/1000</f>
        <v>0.14499999999999999</v>
      </c>
      <c r="AH3775" s="157">
        <f t="shared" si="2228"/>
        <v>3.0913999999999997</v>
      </c>
      <c r="AI3775" s="152">
        <f t="shared" si="2229"/>
        <v>21600</v>
      </c>
      <c r="AK3775" s="156" t="s">
        <v>691</v>
      </c>
      <c r="AL3775" s="574" t="s">
        <v>690</v>
      </c>
      <c r="AM3775" s="198">
        <f>AG3775*Z3775</f>
        <v>3091.3999999999996</v>
      </c>
      <c r="AN3775" s="199">
        <f>B3775</f>
        <v>46284</v>
      </c>
      <c r="AO3775" s="159" t="s">
        <v>692</v>
      </c>
      <c r="AP3775" s="783" t="s">
        <v>638</v>
      </c>
      <c r="AQ3775" s="783" t="s">
        <v>631</v>
      </c>
      <c r="AR3775" s="783" t="s">
        <v>632</v>
      </c>
      <c r="AS3775" s="783" t="s">
        <v>633</v>
      </c>
      <c r="AT3775" s="781"/>
      <c r="AU3775" s="782">
        <v>12026902</v>
      </c>
      <c r="AV3775" s="783" t="s">
        <v>2981</v>
      </c>
      <c r="AW3775" s="782">
        <v>12026904</v>
      </c>
      <c r="AX3775" s="781"/>
      <c r="AY3775" s="783" t="s">
        <v>2463</v>
      </c>
      <c r="AZ3775" s="783" t="s">
        <v>2464</v>
      </c>
      <c r="BA3775" s="783" t="s">
        <v>2465</v>
      </c>
      <c r="BB3775" s="209">
        <v>23053185</v>
      </c>
    </row>
    <row r="3776" spans="1:54" ht="25" customHeight="1">
      <c r="B3776" s="213">
        <v>46284</v>
      </c>
      <c r="C3776" s="214">
        <v>46300</v>
      </c>
      <c r="D3776" s="185">
        <f t="shared" ref="D3776" si="2230">IF(B3776="","",YEAR(B3776))</f>
        <v>2026</v>
      </c>
      <c r="E3776" s="215" t="e">
        <f>VLOOKUP($B3776,Week!$A$1:$C$1462,2,0)</f>
        <v>#N/A</v>
      </c>
      <c r="F3776" s="216" t="str">
        <f t="shared" ref="F3776" si="2231">IF(B3776="","",TEXT(B3776,"[$-409]mmm"))</f>
        <v>Sep</v>
      </c>
      <c r="G3776" s="215" t="s">
        <v>3091</v>
      </c>
      <c r="H3776" s="215" t="s">
        <v>134</v>
      </c>
      <c r="I3776" s="215" t="s">
        <v>2772</v>
      </c>
      <c r="J3776" s="209" t="s">
        <v>2932</v>
      </c>
      <c r="K3776" s="217" t="s">
        <v>176</v>
      </c>
      <c r="L3776" s="300" t="s">
        <v>2167</v>
      </c>
      <c r="M3776" s="209" t="s">
        <v>193</v>
      </c>
      <c r="N3776" s="215" t="s">
        <v>194</v>
      </c>
      <c r="O3776" s="215" t="s">
        <v>195</v>
      </c>
      <c r="P3776" s="218">
        <v>24</v>
      </c>
      <c r="Q3776" s="218">
        <v>5</v>
      </c>
      <c r="R3776" s="219">
        <v>8.0000000000000002E-3</v>
      </c>
      <c r="S3776" s="215" t="s">
        <v>40</v>
      </c>
      <c r="T3776" s="215" t="s">
        <v>56</v>
      </c>
      <c r="U3776" s="215" t="s">
        <v>57</v>
      </c>
      <c r="V3776" s="220">
        <f>200</f>
        <v>200</v>
      </c>
      <c r="W3776" s="220"/>
      <c r="X3776" s="221">
        <f>(38)/24</f>
        <v>1.5833333333333333</v>
      </c>
      <c r="Y3776" s="222">
        <f t="shared" si="2223"/>
        <v>-198.41666666666666</v>
      </c>
      <c r="Z3776" s="223">
        <f t="shared" si="2224"/>
        <v>4762</v>
      </c>
      <c r="AA3776" s="220">
        <f t="shared" ref="AA3776" si="2232">Q3776*Z3776</f>
        <v>23810</v>
      </c>
      <c r="AB3776" s="807">
        <v>1</v>
      </c>
      <c r="AC3776" s="220">
        <f t="shared" si="2225"/>
        <v>4762</v>
      </c>
      <c r="AD3776" s="381"/>
      <c r="AE3776" s="210">
        <f t="shared" si="2226"/>
        <v>0.19047999999999998</v>
      </c>
      <c r="AF3776" s="210">
        <f t="shared" si="2227"/>
        <v>0.35274074074074069</v>
      </c>
      <c r="AG3776" s="211">
        <f>MID(O3776,1,3)/1000</f>
        <v>0.14499999999999999</v>
      </c>
      <c r="AH3776" s="157">
        <f>(Z3776*AG3776)/1000</f>
        <v>0.69049000000000005</v>
      </c>
      <c r="AI3776" s="152">
        <f t="shared" si="2229"/>
        <v>4800</v>
      </c>
      <c r="AK3776" s="156" t="s">
        <v>691</v>
      </c>
      <c r="AL3776" s="212" t="s">
        <v>690</v>
      </c>
      <c r="AM3776" s="198">
        <f t="shared" ref="AM3776" si="2233">AG3776*Z3776</f>
        <v>690.49</v>
      </c>
      <c r="AN3776" s="199">
        <f t="shared" ref="AN3776" si="2234">B3776</f>
        <v>46284</v>
      </c>
      <c r="AO3776" s="159" t="s">
        <v>692</v>
      </c>
      <c r="AP3776" s="783" t="s">
        <v>610</v>
      </c>
      <c r="AQ3776" s="782">
        <v>12071839</v>
      </c>
      <c r="AR3776" s="782">
        <v>12047514</v>
      </c>
      <c r="AS3776" s="782">
        <v>12047515</v>
      </c>
      <c r="AT3776" s="782"/>
      <c r="AU3776" s="782">
        <v>12026902</v>
      </c>
      <c r="AV3776" s="796" t="s">
        <v>2980</v>
      </c>
      <c r="AW3776" s="782">
        <v>12026904</v>
      </c>
      <c r="AX3776" s="782"/>
      <c r="AY3776" s="782">
        <v>12094406</v>
      </c>
      <c r="AZ3776" s="782">
        <v>12094407</v>
      </c>
      <c r="BA3776" s="782">
        <v>12094408</v>
      </c>
    </row>
    <row r="3777" spans="1:54" ht="24.65" customHeight="1">
      <c r="B3777" s="466">
        <v>46284</v>
      </c>
      <c r="C3777" s="467">
        <v>46296</v>
      </c>
      <c r="D3777" s="185">
        <f t="shared" ref="D3777" si="2235">IF(B3777="","",YEAR(B3777))</f>
        <v>2026</v>
      </c>
      <c r="E3777" s="467" t="e">
        <f>VLOOKUP($B3777,Week!$A$1:$C$1462,2,0)</f>
        <v>#N/A</v>
      </c>
      <c r="F3777" s="469" t="str">
        <f t="shared" ref="F3777" si="2236">IF(B3777="","",TEXT(B3777,"[$-409]mmm"))</f>
        <v>Sep</v>
      </c>
      <c r="G3777" s="468" t="s">
        <v>3188</v>
      </c>
      <c r="H3777" s="468" t="s">
        <v>675</v>
      </c>
      <c r="I3777" s="468" t="s">
        <v>2772</v>
      </c>
      <c r="J3777" s="471" t="s">
        <v>2906</v>
      </c>
      <c r="K3777" s="472" t="s">
        <v>107</v>
      </c>
      <c r="L3777" s="300" t="s">
        <v>2167</v>
      </c>
      <c r="M3777" s="471" t="s">
        <v>313</v>
      </c>
      <c r="N3777" s="617" t="s">
        <v>696</v>
      </c>
      <c r="O3777" s="468" t="s">
        <v>110</v>
      </c>
      <c r="P3777" s="473">
        <v>36</v>
      </c>
      <c r="Q3777" s="473">
        <v>5</v>
      </c>
      <c r="R3777" s="474">
        <v>7.4999999999999997E-3</v>
      </c>
      <c r="S3777" s="468" t="s">
        <v>111</v>
      </c>
      <c r="T3777" s="468" t="s">
        <v>112</v>
      </c>
      <c r="U3777" s="468" t="s">
        <v>57</v>
      </c>
      <c r="V3777" s="475">
        <v>792</v>
      </c>
      <c r="W3777" s="475"/>
      <c r="X3777" s="476"/>
      <c r="Y3777" s="477">
        <f t="shared" ref="Y3777" si="2237">(W3777+X3777)-V3777</f>
        <v>-792</v>
      </c>
      <c r="Z3777" s="478">
        <f t="shared" ref="Z3777" si="2238">IF(Y3777&lt;0,((V3777*P3777)-((W3777+X3777)*P3777)),0)</f>
        <v>28512</v>
      </c>
      <c r="AA3777" s="478">
        <f t="shared" ref="AA3777" si="2239">Q3777*Z3777</f>
        <v>142560</v>
      </c>
      <c r="AB3777" s="828">
        <v>7.4999999999999997E-3</v>
      </c>
      <c r="AC3777" s="475">
        <f t="shared" ref="AC3777" si="2240">Z3777*AB3777</f>
        <v>213.84</v>
      </c>
      <c r="AD3777" s="209"/>
      <c r="AE3777" s="210">
        <f t="shared" ref="AE3777" si="2241">SUM(Q3777*R3777*Z3777)/1000</f>
        <v>1.0692000000000002</v>
      </c>
      <c r="AF3777" s="210">
        <f t="shared" ref="AF3777" si="2242">AE3777/0.54</f>
        <v>1.9800000000000002</v>
      </c>
      <c r="AG3777" s="211">
        <f t="shared" ref="AG3777" si="2243">MID(O3777,1,3)/1000</f>
        <v>0.308</v>
      </c>
      <c r="AH3777" s="157">
        <f t="shared" si="2228"/>
        <v>8.7816960000000002</v>
      </c>
      <c r="AI3777" s="152">
        <f t="shared" ref="AI3777" si="2244">V3777*P3777</f>
        <v>28512</v>
      </c>
      <c r="AK3777" s="156" t="s">
        <v>691</v>
      </c>
      <c r="AL3777" s="212" t="s">
        <v>690</v>
      </c>
      <c r="AM3777" s="198">
        <f t="shared" ref="AM3777" si="2245">AG3777*Z3777</f>
        <v>8781.6959999999999</v>
      </c>
      <c r="AN3777" s="199">
        <f t="shared" ref="AN3777" si="2246">B3777</f>
        <v>46284</v>
      </c>
      <c r="AO3777" s="159" t="s">
        <v>692</v>
      </c>
      <c r="AP3777" s="783" t="s">
        <v>644</v>
      </c>
      <c r="AQ3777" s="782">
        <v>12063755</v>
      </c>
      <c r="AR3777" s="782">
        <v>12081257</v>
      </c>
      <c r="AS3777" s="782">
        <v>12081260</v>
      </c>
      <c r="AT3777" s="782">
        <v>12098623</v>
      </c>
      <c r="AU3777" s="781"/>
      <c r="AV3777" s="782">
        <v>12098706</v>
      </c>
      <c r="AW3777" s="782">
        <v>12088207</v>
      </c>
      <c r="AX3777" s="782"/>
      <c r="AY3777" s="782">
        <v>12094237</v>
      </c>
      <c r="AZ3777" s="782"/>
      <c r="BA3777" s="781"/>
      <c r="BB3777" s="209">
        <v>23053185</v>
      </c>
    </row>
    <row r="3778" spans="1:54" ht="25" customHeight="1">
      <c r="B3778" s="743">
        <v>46284</v>
      </c>
      <c r="C3778" s="744">
        <v>46307</v>
      </c>
      <c r="D3778" s="746">
        <f>IF(B3778="","",YEAR(B3778))</f>
        <v>2026</v>
      </c>
      <c r="E3778" s="744" t="e">
        <f>VLOOKUP($B3778,Week!$A$1:$C$1462,2,0)</f>
        <v>#N/A</v>
      </c>
      <c r="F3778" s="745" t="str">
        <f>IF(B3778="","",TEXT(B3778,"[$-409]mmm"))</f>
        <v>Sep</v>
      </c>
      <c r="G3778" s="746" t="s">
        <v>3187</v>
      </c>
      <c r="H3778" s="746" t="s">
        <v>600</v>
      </c>
      <c r="I3778" s="746" t="s">
        <v>2772</v>
      </c>
      <c r="J3778" s="747" t="s">
        <v>708</v>
      </c>
      <c r="K3778" s="748" t="s">
        <v>1652</v>
      </c>
      <c r="L3778" s="748" t="s">
        <v>2167</v>
      </c>
      <c r="M3778" s="747" t="s">
        <v>2928</v>
      </c>
      <c r="N3778" s="915" t="s">
        <v>2922</v>
      </c>
      <c r="O3778" s="746" t="s">
        <v>2917</v>
      </c>
      <c r="P3778" s="749">
        <v>12</v>
      </c>
      <c r="Q3778" s="749">
        <v>3</v>
      </c>
      <c r="R3778" s="849">
        <v>6.1999999999999998E-3</v>
      </c>
      <c r="S3778" s="746" t="s">
        <v>55</v>
      </c>
      <c r="T3778" s="746" t="s">
        <v>112</v>
      </c>
      <c r="U3778" s="860" t="s">
        <v>724</v>
      </c>
      <c r="V3778" s="750">
        <f>2660</f>
        <v>2660</v>
      </c>
      <c r="W3778" s="750"/>
      <c r="X3778" s="751">
        <f>(288)/12</f>
        <v>24</v>
      </c>
      <c r="Y3778" s="752">
        <f t="shared" ref="Y3778" si="2247">(W3778+X3778)-V3778</f>
        <v>-2636</v>
      </c>
      <c r="Z3778" s="753">
        <f t="shared" ref="Z3778" si="2248">IF(Y3778&lt;0,((V3778*P3778)-((W3778+X3778)*P3778)),0)</f>
        <v>31632</v>
      </c>
      <c r="AA3778" s="753">
        <f>Q3778*Z3778</f>
        <v>94896</v>
      </c>
      <c r="AB3778" s="838">
        <v>5.8823E-2</v>
      </c>
      <c r="AC3778" s="750">
        <f t="shared" ref="AC3778" si="2249">Z3778*AB3778</f>
        <v>1860.689136</v>
      </c>
      <c r="AD3778" s="443" t="s">
        <v>2779</v>
      </c>
      <c r="AE3778" s="210">
        <f t="shared" ref="AE3778" si="2250">SUM(Q3778*R3778*Z3778)/1000</f>
        <v>0.58835519999999997</v>
      </c>
      <c r="AF3778" s="210">
        <f t="shared" ref="AF3778" si="2251">AE3778/0.54</f>
        <v>1.0895466666666664</v>
      </c>
      <c r="AG3778" s="211">
        <f t="shared" ref="AG3778" si="2252">MID(O3778,1,3)/1000</f>
        <v>0.24</v>
      </c>
      <c r="AH3778" s="157">
        <v>0.26621999999999996</v>
      </c>
      <c r="AI3778" s="152">
        <f t="shared" ref="AI3778" si="2253">V3778*P3778</f>
        <v>31920</v>
      </c>
      <c r="AK3778" s="156" t="s">
        <v>691</v>
      </c>
      <c r="AL3778" s="574" t="s">
        <v>690</v>
      </c>
      <c r="AM3778" s="198">
        <f>AG3778*Z3778</f>
        <v>7591.6799999999994</v>
      </c>
      <c r="AN3778" s="199">
        <f>B3778</f>
        <v>46284</v>
      </c>
      <c r="AO3778" s="159" t="s">
        <v>692</v>
      </c>
      <c r="AP3778" s="781"/>
      <c r="AQ3778" s="782">
        <v>12071839</v>
      </c>
      <c r="AR3778" s="782">
        <v>12095778</v>
      </c>
      <c r="AS3778" s="782">
        <v>12095777</v>
      </c>
      <c r="AT3778" s="798" t="s">
        <v>3018</v>
      </c>
      <c r="AU3778" s="781"/>
      <c r="AV3778" s="782">
        <v>12098859</v>
      </c>
      <c r="AW3778" s="781"/>
      <c r="AX3778" s="781"/>
      <c r="AY3778" s="781"/>
      <c r="AZ3778" s="782"/>
      <c r="BA3778" s="781"/>
      <c r="BB3778" s="209">
        <v>23099860</v>
      </c>
    </row>
    <row r="3779" spans="1:54" ht="24.65" customHeight="1">
      <c r="B3779" s="308">
        <v>46285</v>
      </c>
      <c r="C3779" s="309">
        <v>46310</v>
      </c>
      <c r="D3779" s="185">
        <f>IF(B3779="","",YEAR(B3779))</f>
        <v>2026</v>
      </c>
      <c r="E3779" s="309" t="e">
        <f>VLOOKUP($B3779,Week!$A$1:$C$1462,2,0)</f>
        <v>#N/A</v>
      </c>
      <c r="F3779" s="310" t="str">
        <f>IF(B3779="","",TEXT(B3779,"[$-409]mmm"))</f>
        <v>Sep</v>
      </c>
      <c r="G3779" s="311" t="s">
        <v>3163</v>
      </c>
      <c r="H3779" s="311" t="s">
        <v>311</v>
      </c>
      <c r="I3779" s="311" t="s">
        <v>2772</v>
      </c>
      <c r="J3779" s="312" t="s">
        <v>738</v>
      </c>
      <c r="K3779" s="313" t="s">
        <v>107</v>
      </c>
      <c r="L3779" s="300" t="s">
        <v>2167</v>
      </c>
      <c r="M3779" s="312" t="s">
        <v>313</v>
      </c>
      <c r="N3779" s="311" t="s">
        <v>314</v>
      </c>
      <c r="O3779" s="311" t="s">
        <v>110</v>
      </c>
      <c r="P3779" s="314">
        <v>36</v>
      </c>
      <c r="Q3779" s="314">
        <v>5</v>
      </c>
      <c r="R3779" s="315">
        <v>7.4999999999999997E-3</v>
      </c>
      <c r="S3779" s="311" t="s">
        <v>111</v>
      </c>
      <c r="T3779" s="311" t="s">
        <v>112</v>
      </c>
      <c r="U3779" s="311" t="s">
        <v>57</v>
      </c>
      <c r="V3779" s="316">
        <v>792</v>
      </c>
      <c r="W3779" s="316"/>
      <c r="X3779" s="317"/>
      <c r="Y3779" s="318">
        <f>(W3779+X3779)-V3779</f>
        <v>-792</v>
      </c>
      <c r="Z3779" s="319">
        <f>IF(Y3779&lt;0,((V3779*P3779)-((W3779+X3779)*P3779)),0)</f>
        <v>28512</v>
      </c>
      <c r="AA3779" s="319">
        <f>Q3779*Z3779</f>
        <v>142560</v>
      </c>
      <c r="AB3779" s="815">
        <v>7.4999999999999997E-3</v>
      </c>
      <c r="AC3779" s="316">
        <f>Z3779*AB3779</f>
        <v>213.84</v>
      </c>
      <c r="AD3779" s="209"/>
      <c r="AE3779" s="210">
        <f>SUM(Q3779*R3779*Z3779)/1000</f>
        <v>1.0692000000000002</v>
      </c>
      <c r="AF3779" s="210">
        <f>AE3779/0.54</f>
        <v>1.9800000000000002</v>
      </c>
      <c r="AG3779" s="211">
        <f>MID(O3779,1,3)/1000</f>
        <v>0.308</v>
      </c>
      <c r="AH3779" s="157">
        <f>(Z3779*AG3779)/1000</f>
        <v>8.7816960000000002</v>
      </c>
      <c r="AI3779" s="152">
        <f>V3779*P3779</f>
        <v>28512</v>
      </c>
      <c r="AK3779" s="156" t="s">
        <v>691</v>
      </c>
      <c r="AL3779" s="212" t="s">
        <v>690</v>
      </c>
      <c r="AM3779" s="198">
        <f>AG3779*Z3779</f>
        <v>8781.6959999999999</v>
      </c>
      <c r="AN3779" s="199">
        <f>B3779</f>
        <v>46285</v>
      </c>
      <c r="AO3779" s="159" t="s">
        <v>692</v>
      </c>
      <c r="AP3779" s="783" t="s">
        <v>644</v>
      </c>
      <c r="AQ3779" s="782">
        <v>12063755</v>
      </c>
      <c r="AR3779" s="782">
        <v>12081257</v>
      </c>
      <c r="AS3779" s="782">
        <v>12081260</v>
      </c>
      <c r="AT3779" s="782">
        <v>12098623</v>
      </c>
      <c r="AU3779" s="781"/>
      <c r="AV3779" s="782">
        <v>12098706</v>
      </c>
      <c r="AW3779" s="782">
        <v>12088207</v>
      </c>
      <c r="AX3779" s="782"/>
      <c r="AY3779" s="782">
        <v>12094237</v>
      </c>
      <c r="AZ3779" s="782"/>
      <c r="BA3779" s="781"/>
      <c r="BB3779" s="209">
        <v>23053185</v>
      </c>
    </row>
    <row r="3780" spans="1:54" ht="24.65" customHeight="1">
      <c r="B3780" s="308">
        <v>46285</v>
      </c>
      <c r="C3780" s="309">
        <v>46317</v>
      </c>
      <c r="D3780" s="185">
        <f t="shared" ref="D3780" si="2254">IF(B3780="","",YEAR(B3780))</f>
        <v>2026</v>
      </c>
      <c r="E3780" s="309" t="e">
        <f>VLOOKUP($B3780,Week!$A$1:$C$1462,2,0)</f>
        <v>#N/A</v>
      </c>
      <c r="F3780" s="310" t="str">
        <f t="shared" ref="F3780" si="2255">IF(B3780="","",TEXT(B3780,"[$-409]mmm"))</f>
        <v>Sep</v>
      </c>
      <c r="G3780" s="311" t="s">
        <v>3192</v>
      </c>
      <c r="H3780" s="311" t="s">
        <v>311</v>
      </c>
      <c r="I3780" s="311" t="s">
        <v>2772</v>
      </c>
      <c r="J3780" s="312" t="s">
        <v>738</v>
      </c>
      <c r="K3780" s="313" t="s">
        <v>107</v>
      </c>
      <c r="L3780" s="300" t="s">
        <v>2167</v>
      </c>
      <c r="M3780" s="312" t="s">
        <v>313</v>
      </c>
      <c r="N3780" s="311" t="s">
        <v>314</v>
      </c>
      <c r="O3780" s="311" t="s">
        <v>110</v>
      </c>
      <c r="P3780" s="314">
        <v>36</v>
      </c>
      <c r="Q3780" s="314">
        <v>5</v>
      </c>
      <c r="R3780" s="315">
        <v>7.4999999999999997E-3</v>
      </c>
      <c r="S3780" s="311" t="s">
        <v>111</v>
      </c>
      <c r="T3780" s="311" t="s">
        <v>112</v>
      </c>
      <c r="U3780" s="311" t="s">
        <v>57</v>
      </c>
      <c r="V3780" s="316">
        <v>792</v>
      </c>
      <c r="W3780" s="316"/>
      <c r="X3780" s="317"/>
      <c r="Y3780" s="318">
        <f t="shared" ref="Y3780" si="2256">(W3780+X3780)-V3780</f>
        <v>-792</v>
      </c>
      <c r="Z3780" s="319">
        <f t="shared" ref="Z3780" si="2257">IF(Y3780&lt;0,((V3780*P3780)-((W3780+X3780)*P3780)),0)</f>
        <v>28512</v>
      </c>
      <c r="AA3780" s="319">
        <f t="shared" ref="AA3780" si="2258">Q3780*Z3780</f>
        <v>142560</v>
      </c>
      <c r="AB3780" s="815">
        <v>7.4999999999999997E-3</v>
      </c>
      <c r="AC3780" s="316">
        <f t="shared" ref="AC3780" si="2259">Z3780*AB3780</f>
        <v>213.84</v>
      </c>
      <c r="AD3780" s="209"/>
      <c r="AE3780" s="210">
        <f t="shared" ref="AE3780" si="2260">SUM(Q3780*R3780*Z3780)/1000</f>
        <v>1.0692000000000002</v>
      </c>
      <c r="AF3780" s="210">
        <f t="shared" ref="AF3780" si="2261">AE3780/0.54</f>
        <v>1.9800000000000002</v>
      </c>
      <c r="AG3780" s="211">
        <f t="shared" ref="AG3780" si="2262">MID(O3780,1,3)/1000</f>
        <v>0.308</v>
      </c>
      <c r="AH3780" s="157">
        <f t="shared" ref="AH3780" si="2263">(Z3780*AG3780)/1000</f>
        <v>8.7816960000000002</v>
      </c>
      <c r="AI3780" s="152">
        <f t="shared" ref="AI3780" si="2264">V3780*P3780</f>
        <v>28512</v>
      </c>
      <c r="AK3780" s="156" t="s">
        <v>691</v>
      </c>
      <c r="AL3780" s="212" t="s">
        <v>690</v>
      </c>
      <c r="AM3780" s="198">
        <f t="shared" ref="AM3780" si="2265">AG3780*Z3780</f>
        <v>8781.6959999999999</v>
      </c>
      <c r="AN3780" s="199">
        <f t="shared" ref="AN3780" si="2266">B3780</f>
        <v>46285</v>
      </c>
      <c r="AO3780" s="159" t="s">
        <v>692</v>
      </c>
      <c r="AP3780" s="783" t="s">
        <v>644</v>
      </c>
      <c r="AQ3780" s="782">
        <v>12063755</v>
      </c>
      <c r="AR3780" s="782">
        <v>12081257</v>
      </c>
      <c r="AS3780" s="782">
        <v>12081260</v>
      </c>
      <c r="AT3780" s="782">
        <v>12098623</v>
      </c>
      <c r="AU3780" s="781"/>
      <c r="AV3780" s="782">
        <v>12098706</v>
      </c>
      <c r="AW3780" s="782">
        <v>12088207</v>
      </c>
      <c r="AX3780" s="782"/>
      <c r="AY3780" s="782">
        <v>12094237</v>
      </c>
      <c r="AZ3780" s="782"/>
      <c r="BA3780" s="781"/>
      <c r="BB3780" s="209">
        <v>23053185</v>
      </c>
    </row>
    <row r="3781" spans="1:54" ht="24.65" customHeight="1">
      <c r="B3781" s="308">
        <v>46285</v>
      </c>
      <c r="C3781" s="309">
        <v>46317</v>
      </c>
      <c r="D3781" s="185">
        <f>IF(B3781="","",YEAR(B3781))</f>
        <v>2026</v>
      </c>
      <c r="E3781" s="309" t="e">
        <f>VLOOKUP($B3781,Week!$A$1:$C$1462,2,0)</f>
        <v>#N/A</v>
      </c>
      <c r="F3781" s="310" t="str">
        <f>IF(B3781="","",TEXT(B3781,"[$-409]mmm"))</f>
        <v>Sep</v>
      </c>
      <c r="G3781" s="311" t="s">
        <v>3193</v>
      </c>
      <c r="H3781" s="311" t="s">
        <v>311</v>
      </c>
      <c r="I3781" s="311" t="s">
        <v>2772</v>
      </c>
      <c r="J3781" s="312" t="s">
        <v>738</v>
      </c>
      <c r="K3781" s="313" t="s">
        <v>107</v>
      </c>
      <c r="L3781" s="300" t="s">
        <v>2167</v>
      </c>
      <c r="M3781" s="312" t="s">
        <v>313</v>
      </c>
      <c r="N3781" s="311" t="s">
        <v>314</v>
      </c>
      <c r="O3781" s="311" t="s">
        <v>110</v>
      </c>
      <c r="P3781" s="314">
        <v>36</v>
      </c>
      <c r="Q3781" s="314">
        <v>5</v>
      </c>
      <c r="R3781" s="315">
        <v>7.4999999999999997E-3</v>
      </c>
      <c r="S3781" s="311" t="s">
        <v>111</v>
      </c>
      <c r="T3781" s="311" t="s">
        <v>112</v>
      </c>
      <c r="U3781" s="311" t="s">
        <v>57</v>
      </c>
      <c r="V3781" s="316">
        <v>792</v>
      </c>
      <c r="W3781" s="316"/>
      <c r="X3781" s="317"/>
      <c r="Y3781" s="318">
        <f>(W3781+X3781)-V3781</f>
        <v>-792</v>
      </c>
      <c r="Z3781" s="319">
        <f>IF(Y3781&lt;0,((V3781*P3781)-((W3781+X3781)*P3781)),0)</f>
        <v>28512</v>
      </c>
      <c r="AA3781" s="319">
        <f>Q3781*Z3781</f>
        <v>142560</v>
      </c>
      <c r="AB3781" s="815">
        <v>7.4999999999999997E-3</v>
      </c>
      <c r="AC3781" s="316">
        <f>Z3781*AB3781</f>
        <v>213.84</v>
      </c>
      <c r="AD3781" s="209"/>
      <c r="AE3781" s="210">
        <f>SUM(Q3781*R3781*Z3781)/1000</f>
        <v>1.0692000000000002</v>
      </c>
      <c r="AF3781" s="210">
        <f>AE3781/0.54</f>
        <v>1.9800000000000002</v>
      </c>
      <c r="AG3781" s="211">
        <f>MID(O3781,1,3)/1000</f>
        <v>0.308</v>
      </c>
      <c r="AH3781" s="157">
        <f>(Z3781*AG3781)/1000</f>
        <v>8.7816960000000002</v>
      </c>
      <c r="AI3781" s="152">
        <f>V3781*P3781</f>
        <v>28512</v>
      </c>
      <c r="AK3781" s="156" t="s">
        <v>691</v>
      </c>
      <c r="AL3781" s="212" t="s">
        <v>690</v>
      </c>
      <c r="AM3781" s="198">
        <f>AG3781*Z3781</f>
        <v>8781.6959999999999</v>
      </c>
      <c r="AN3781" s="199">
        <f>B3781</f>
        <v>46285</v>
      </c>
      <c r="AO3781" s="159" t="s">
        <v>692</v>
      </c>
      <c r="AP3781" s="783" t="s">
        <v>644</v>
      </c>
      <c r="AQ3781" s="782">
        <v>12063755</v>
      </c>
      <c r="AR3781" s="782">
        <v>12081257</v>
      </c>
      <c r="AS3781" s="782">
        <v>12081260</v>
      </c>
      <c r="AT3781" s="782">
        <v>12098623</v>
      </c>
      <c r="AU3781" s="781"/>
      <c r="AV3781" s="782">
        <v>12098706</v>
      </c>
      <c r="AW3781" s="782">
        <v>12088207</v>
      </c>
      <c r="AX3781" s="782"/>
      <c r="AY3781" s="782">
        <v>12094237</v>
      </c>
      <c r="AZ3781" s="782"/>
      <c r="BA3781" s="781"/>
      <c r="BB3781" s="209">
        <v>23053185</v>
      </c>
    </row>
    <row r="3782" spans="1:54" ht="25" customHeight="1">
      <c r="B3782" s="332">
        <v>46285</v>
      </c>
      <c r="C3782" s="333">
        <v>46300</v>
      </c>
      <c r="D3782" s="185">
        <f>IF(B3782="","",YEAR(B3782))</f>
        <v>2026</v>
      </c>
      <c r="E3782" s="333" t="e">
        <f>VLOOKUP($B3782,Week!$A$1:$C$1462,2,0)</f>
        <v>#N/A</v>
      </c>
      <c r="F3782" s="334" t="str">
        <f>IF(B3782="","",TEXT(B3782,"[$-409]mmm"))</f>
        <v>Sep</v>
      </c>
      <c r="G3782" s="335" t="s">
        <v>3186</v>
      </c>
      <c r="H3782" s="335" t="s">
        <v>600</v>
      </c>
      <c r="I3782" s="335" t="s">
        <v>2772</v>
      </c>
      <c r="J3782" s="336" t="s">
        <v>708</v>
      </c>
      <c r="K3782" s="337" t="s">
        <v>1649</v>
      </c>
      <c r="L3782" s="300" t="s">
        <v>2167</v>
      </c>
      <c r="M3782" s="336" t="s">
        <v>2927</v>
      </c>
      <c r="N3782" s="335" t="s">
        <v>2921</v>
      </c>
      <c r="O3782" s="335" t="s">
        <v>2917</v>
      </c>
      <c r="P3782" s="338">
        <v>12</v>
      </c>
      <c r="Q3782" s="338">
        <v>3</v>
      </c>
      <c r="R3782" s="339">
        <v>6.1999999999999998E-3</v>
      </c>
      <c r="S3782" s="335" t="s">
        <v>55</v>
      </c>
      <c r="T3782" s="335" t="s">
        <v>112</v>
      </c>
      <c r="U3782" s="340" t="s">
        <v>1893</v>
      </c>
      <c r="V3782" s="341">
        <f>2660</f>
        <v>2660</v>
      </c>
      <c r="W3782" s="341"/>
      <c r="X3782" s="342">
        <f>(1578)/12</f>
        <v>131.5</v>
      </c>
      <c r="Y3782" s="343">
        <f>(W3782+X3782)-V3782</f>
        <v>-2528.5</v>
      </c>
      <c r="Z3782" s="344">
        <f>IF(Y3782&lt;0,((V3782*P3782)-((W3782+X3782)*P3782)),0)</f>
        <v>30342</v>
      </c>
      <c r="AA3782" s="344">
        <f>Q3782*Z3782</f>
        <v>91026</v>
      </c>
      <c r="AB3782" s="817">
        <v>3.85E-2</v>
      </c>
      <c r="AC3782" s="341">
        <f>Z3782*AB3782</f>
        <v>1168.1669999999999</v>
      </c>
      <c r="AD3782" s="443" t="s">
        <v>2779</v>
      </c>
      <c r="AE3782" s="210">
        <f>SUM(Q3782*R3782*Z3782)/1000</f>
        <v>0.5643611999999999</v>
      </c>
      <c r="AF3782" s="210">
        <f>AE3782/0.54</f>
        <v>1.0451133333333331</v>
      </c>
      <c r="AG3782" s="211">
        <f>MID(O3782,1,3)/1000</f>
        <v>0.24</v>
      </c>
      <c r="AH3782" s="157">
        <f>(Z3782*AG3782)/1000</f>
        <v>7.2820799999999997</v>
      </c>
      <c r="AI3782" s="152">
        <f>V3782*P3782</f>
        <v>31920</v>
      </c>
      <c r="AK3782" s="156" t="s">
        <v>691</v>
      </c>
      <c r="AL3782" s="574" t="s">
        <v>690</v>
      </c>
      <c r="AM3782" s="198">
        <f>AG3782*Z3782</f>
        <v>7282.08</v>
      </c>
      <c r="AN3782" s="199">
        <f>B3782</f>
        <v>46285</v>
      </c>
      <c r="AO3782" s="159" t="s">
        <v>692</v>
      </c>
      <c r="AP3782" s="783"/>
      <c r="AQ3782" s="782">
        <v>12071839</v>
      </c>
      <c r="AR3782" s="782">
        <v>12095778</v>
      </c>
      <c r="AS3782" s="782">
        <v>12095777</v>
      </c>
      <c r="AT3782" s="798" t="s">
        <v>3019</v>
      </c>
      <c r="AU3782" s="781"/>
      <c r="AV3782" s="782">
        <v>12098861</v>
      </c>
      <c r="AW3782" s="781"/>
      <c r="AX3782" s="781"/>
      <c r="AY3782" s="782"/>
      <c r="AZ3782" s="781"/>
      <c r="BA3782" s="781"/>
      <c r="BB3782" s="209">
        <v>23053185</v>
      </c>
    </row>
    <row r="3783" spans="1:54" ht="25" customHeight="1">
      <c r="B3783" s="183">
        <v>46286</v>
      </c>
      <c r="C3783" s="184"/>
      <c r="D3783" s="185">
        <f t="shared" ref="D3783" si="2267">IF(B3783="","",YEAR(B3783))</f>
        <v>2026</v>
      </c>
      <c r="E3783" s="185" t="e">
        <f>VLOOKUP($B3783,Week!$A$1:$C$1462,2,0)</f>
        <v>#N/A</v>
      </c>
      <c r="F3783" s="186" t="str">
        <f t="shared" ref="F3783" si="2268">IF(B3783="","",TEXT(B3783,"[$-409]mmm"))</f>
        <v>Sep</v>
      </c>
      <c r="G3783" s="481"/>
      <c r="H3783" s="185"/>
      <c r="I3783" s="185"/>
      <c r="J3783" s="187"/>
      <c r="K3783" s="188"/>
      <c r="L3783" s="188"/>
      <c r="M3783" s="187"/>
      <c r="N3783" s="185"/>
      <c r="O3783" s="185"/>
      <c r="P3783" s="189"/>
      <c r="Q3783" s="189"/>
      <c r="R3783" s="190"/>
      <c r="S3783" s="185"/>
      <c r="T3783" s="185"/>
      <c r="U3783" s="185"/>
      <c r="V3783" s="191"/>
      <c r="W3783" s="191"/>
      <c r="X3783" s="192"/>
      <c r="Y3783" s="193"/>
      <c r="Z3783" s="194"/>
      <c r="AA3783" s="194">
        <f t="shared" ref="AA3783" si="2269">Q3783*Z3783</f>
        <v>0</v>
      </c>
      <c r="AB3783" s="805"/>
      <c r="AC3783" s="191"/>
      <c r="AD3783" s="187"/>
      <c r="AE3783" s="195"/>
      <c r="AF3783" s="195"/>
      <c r="AG3783" s="196"/>
      <c r="AH3783" s="197"/>
      <c r="AK3783" s="156" t="s">
        <v>691</v>
      </c>
      <c r="AM3783" s="198">
        <f t="shared" ref="AM3783" si="2270">AG3783*Z3783</f>
        <v>0</v>
      </c>
      <c r="AN3783" s="199">
        <f t="shared" ref="AN3783" si="2271">B3783</f>
        <v>46286</v>
      </c>
      <c r="AO3783" s="159" t="s">
        <v>692</v>
      </c>
      <c r="AP3783" s="781"/>
      <c r="AQ3783" s="782"/>
      <c r="AR3783" s="782"/>
      <c r="AS3783" s="782"/>
      <c r="AT3783" s="782"/>
      <c r="AU3783" s="781"/>
      <c r="AV3783" s="782"/>
      <c r="AW3783" s="782"/>
      <c r="AX3783" s="782"/>
      <c r="AY3783" s="782"/>
      <c r="AZ3783" s="782"/>
      <c r="BA3783" s="781"/>
      <c r="BB3783" s="209"/>
    </row>
    <row r="3784" spans="1:54" ht="25" customHeight="1">
      <c r="B3784" s="183">
        <v>46287</v>
      </c>
      <c r="C3784" s="184"/>
      <c r="D3784" s="185">
        <f t="shared" si="2155"/>
        <v>2026</v>
      </c>
      <c r="E3784" s="185" t="e">
        <f>VLOOKUP($B3784,Week!$A$1:$C$1462,2,0)</f>
        <v>#N/A</v>
      </c>
      <c r="F3784" s="186" t="str">
        <f t="shared" si="2156"/>
        <v>Sep</v>
      </c>
      <c r="G3784" s="481"/>
      <c r="H3784" s="185"/>
      <c r="I3784" s="185"/>
      <c r="J3784" s="187"/>
      <c r="K3784" s="188"/>
      <c r="L3784" s="188"/>
      <c r="M3784" s="187"/>
      <c r="N3784" s="185"/>
      <c r="O3784" s="185"/>
      <c r="P3784" s="189"/>
      <c r="Q3784" s="189"/>
      <c r="R3784" s="190"/>
      <c r="S3784" s="185"/>
      <c r="T3784" s="185"/>
      <c r="U3784" s="185"/>
      <c r="V3784" s="191"/>
      <c r="W3784" s="191"/>
      <c r="X3784" s="192"/>
      <c r="Y3784" s="193"/>
      <c r="Z3784" s="194"/>
      <c r="AA3784" s="194">
        <f t="shared" si="2157"/>
        <v>0</v>
      </c>
      <c r="AB3784" s="805"/>
      <c r="AC3784" s="191"/>
      <c r="AD3784" s="187"/>
      <c r="AE3784" s="195"/>
      <c r="AF3784" s="195"/>
      <c r="AG3784" s="196"/>
      <c r="AH3784" s="197"/>
      <c r="AK3784" s="156" t="s">
        <v>691</v>
      </c>
      <c r="AM3784" s="198">
        <f t="shared" si="2158"/>
        <v>0</v>
      </c>
      <c r="AN3784" s="199">
        <f t="shared" si="2159"/>
        <v>46287</v>
      </c>
      <c r="AO3784" s="159" t="s">
        <v>692</v>
      </c>
      <c r="AP3784" s="781"/>
      <c r="AQ3784" s="782"/>
      <c r="AR3784" s="782"/>
      <c r="AS3784" s="782"/>
      <c r="AT3784" s="782"/>
      <c r="AU3784" s="781"/>
      <c r="AV3784" s="782"/>
      <c r="AW3784" s="782"/>
      <c r="AX3784" s="782"/>
      <c r="AY3784" s="782"/>
      <c r="AZ3784" s="782"/>
      <c r="BA3784" s="781"/>
      <c r="BB3784" s="209"/>
    </row>
    <row r="3785" spans="1:54" ht="25" customHeight="1">
      <c r="A3785" s="142" t="s">
        <v>120</v>
      </c>
      <c r="B3785" s="271">
        <v>46288</v>
      </c>
      <c r="C3785" s="272">
        <v>46312</v>
      </c>
      <c r="D3785" s="185">
        <f t="shared" ref="D3785" si="2272">IF(B3785="","",YEAR(B3785))</f>
        <v>2026</v>
      </c>
      <c r="E3785" s="272" t="e">
        <f>VLOOKUP($B3785,Week!$A$1:$C$1462,2,0)</f>
        <v>#N/A</v>
      </c>
      <c r="F3785" s="273" t="str">
        <f t="shared" ref="F3785" si="2273">IF(B3785="","",TEXT(B3785,"[$-409]mmm"))</f>
        <v>Sep</v>
      </c>
      <c r="G3785" s="274" t="s">
        <v>3142</v>
      </c>
      <c r="H3785" s="274" t="s">
        <v>500</v>
      </c>
      <c r="I3785" s="274" t="s">
        <v>2772</v>
      </c>
      <c r="J3785" s="275" t="s">
        <v>285</v>
      </c>
      <c r="K3785" s="276" t="s">
        <v>153</v>
      </c>
      <c r="L3785" s="390" t="s">
        <v>2166</v>
      </c>
      <c r="M3785" s="275" t="s">
        <v>86</v>
      </c>
      <c r="N3785" s="274" t="s">
        <v>547</v>
      </c>
      <c r="O3785" s="274" t="s">
        <v>548</v>
      </c>
      <c r="P3785" s="277">
        <v>10</v>
      </c>
      <c r="Q3785" s="277">
        <v>50</v>
      </c>
      <c r="R3785" s="278">
        <v>6.8100000000000001E-3</v>
      </c>
      <c r="S3785" s="274" t="s">
        <v>76</v>
      </c>
      <c r="T3785" s="274" t="s">
        <v>56</v>
      </c>
      <c r="U3785" s="274" t="s">
        <v>89</v>
      </c>
      <c r="V3785" s="279">
        <v>685</v>
      </c>
      <c r="W3785" s="279"/>
      <c r="X3785" s="280">
        <f>(140)/10</f>
        <v>14</v>
      </c>
      <c r="Y3785" s="281">
        <f t="shared" ref="Y3785" si="2274">(W3785+X3785)-V3785</f>
        <v>-671</v>
      </c>
      <c r="Z3785" s="282">
        <f t="shared" ref="Z3785" si="2275">IF(Y3785&lt;0,((V3785*P3785)-((W3785+X3785)*P3785)),0)</f>
        <v>6710</v>
      </c>
      <c r="AA3785" s="282">
        <f t="shared" ref="AA3785" si="2276">Q3785*Z3785</f>
        <v>335500</v>
      </c>
      <c r="AB3785" s="812">
        <v>6</v>
      </c>
      <c r="AC3785" s="279">
        <f t="shared" ref="AC3785" si="2277">Z3785*AB3785</f>
        <v>40260</v>
      </c>
      <c r="AD3785" s="209"/>
      <c r="AE3785" s="210">
        <f t="shared" ref="AE3785" si="2278">SUM(Q3785*R3785*Z3785)/1000</f>
        <v>2.2847550000000001</v>
      </c>
      <c r="AF3785" s="210">
        <f t="shared" ref="AF3785" si="2279">AE3785/0.54</f>
        <v>4.2310277777777774</v>
      </c>
      <c r="AG3785" s="211">
        <f t="shared" ref="AG3785" si="2280">MID(O3785,1,3)/1000</f>
        <v>0.63</v>
      </c>
      <c r="AH3785" s="157">
        <f t="shared" ref="AH3785" si="2281">(Z3785*AG3785)/1000</f>
        <v>4.2273000000000005</v>
      </c>
      <c r="AI3785" s="152">
        <f t="shared" ref="AI3785" si="2282">V3785*P3785</f>
        <v>6850</v>
      </c>
      <c r="AK3785" s="156" t="s">
        <v>691</v>
      </c>
      <c r="AL3785" s="156" t="s">
        <v>689</v>
      </c>
      <c r="AM3785" s="198">
        <f t="shared" ref="AM3785" si="2283">AG3785*Z3785</f>
        <v>4227.3</v>
      </c>
      <c r="AN3785" s="199">
        <f t="shared" ref="AN3785" si="2284">B3785</f>
        <v>46288</v>
      </c>
      <c r="AO3785" s="159" t="s">
        <v>692</v>
      </c>
      <c r="AP3785" s="783" t="s">
        <v>620</v>
      </c>
      <c r="AQ3785" s="796" t="s">
        <v>422</v>
      </c>
      <c r="AR3785" s="782">
        <v>12055234</v>
      </c>
      <c r="AS3785" s="781"/>
      <c r="AT3785" s="782"/>
      <c r="AU3785" s="782"/>
      <c r="AV3785" s="782">
        <v>12062809</v>
      </c>
      <c r="AW3785" s="782"/>
      <c r="AX3785" s="782" t="s">
        <v>619</v>
      </c>
      <c r="AY3785" s="781"/>
      <c r="AZ3785" s="781"/>
      <c r="BA3785" s="781"/>
      <c r="BB3785" s="209">
        <v>23053184</v>
      </c>
    </row>
    <row r="3786" spans="1:54" ht="25.15" customHeight="1">
      <c r="B3786" s="345">
        <v>46288</v>
      </c>
      <c r="C3786" s="346">
        <v>46315</v>
      </c>
      <c r="D3786" s="185">
        <f t="shared" ref="D3786:D3792" si="2285">IF(B3786="","",YEAR(B3786))</f>
        <v>2026</v>
      </c>
      <c r="E3786" s="347" t="e">
        <f>VLOOKUP($B3786,Week!$A$1:$C$1462,2,0)</f>
        <v>#N/A</v>
      </c>
      <c r="F3786" s="348" t="str">
        <f t="shared" ref="F3786:F3792" si="2286">IF(B3786="","",TEXT(B3786,"[$-409]mmm"))</f>
        <v>Sep</v>
      </c>
      <c r="G3786" s="347" t="s">
        <v>2806</v>
      </c>
      <c r="H3786" s="347" t="s">
        <v>424</v>
      </c>
      <c r="I3786" s="347" t="s">
        <v>2772</v>
      </c>
      <c r="J3786" s="438" t="s">
        <v>425</v>
      </c>
      <c r="K3786" s="350" t="s">
        <v>176</v>
      </c>
      <c r="L3786" s="350" t="s">
        <v>2167</v>
      </c>
      <c r="M3786" s="349" t="s">
        <v>426</v>
      </c>
      <c r="N3786" s="347" t="s">
        <v>427</v>
      </c>
      <c r="O3786" s="347" t="s">
        <v>599</v>
      </c>
      <c r="P3786" s="351">
        <v>36</v>
      </c>
      <c r="Q3786" s="351">
        <v>5</v>
      </c>
      <c r="R3786" s="352">
        <v>7.4999999999999997E-3</v>
      </c>
      <c r="S3786" s="347" t="s">
        <v>111</v>
      </c>
      <c r="T3786" s="347" t="s">
        <v>112</v>
      </c>
      <c r="U3786" s="347" t="s">
        <v>57</v>
      </c>
      <c r="V3786" s="353">
        <v>1288</v>
      </c>
      <c r="W3786" s="353"/>
      <c r="X3786" s="354">
        <f>(1724)/36</f>
        <v>47.888888888888886</v>
      </c>
      <c r="Y3786" s="355">
        <f t="shared" ref="Y3786:Y3789" si="2287">(W3786+X3786)-V3786</f>
        <v>-1240.1111111111111</v>
      </c>
      <c r="Z3786" s="356">
        <f t="shared" ref="Z3786:Z3789" si="2288">IF(Y3786&lt;0,((V3786*P3786)-((W3786+X3786)*P3786)),0)</f>
        <v>44644</v>
      </c>
      <c r="AA3786" s="353">
        <f t="shared" ref="AA3786:AA3789" si="2289">Q3786*Z3786</f>
        <v>223220</v>
      </c>
      <c r="AB3786" s="818">
        <v>7.4999999999999997E-3</v>
      </c>
      <c r="AC3786" s="353">
        <f t="shared" ref="AC3786:AC3789" si="2290">Z3786*AB3786</f>
        <v>334.83</v>
      </c>
      <c r="AD3786" s="307" t="s">
        <v>2448</v>
      </c>
      <c r="AE3786" s="210">
        <f t="shared" ref="AE3786:AE3789" si="2291">SUM(Q3786*R3786*Z3786)/1000</f>
        <v>1.6741499999999998</v>
      </c>
      <c r="AF3786" s="210">
        <f t="shared" ref="AF3786:AF3789" si="2292">AE3786/0.54</f>
        <v>3.100277777777777</v>
      </c>
      <c r="AG3786" s="211">
        <f t="shared" ref="AG3786:AG3789" si="2293">MID(O3786,1,3)/1000</f>
        <v>0.14799999999999999</v>
      </c>
      <c r="AH3786" s="157">
        <f>(Z3786*AG3786)/1000</f>
        <v>6.6073120000000003</v>
      </c>
      <c r="AI3786" s="152">
        <f t="shared" ref="AI3786:AI3789" si="2294">V3786*P3786</f>
        <v>46368</v>
      </c>
      <c r="AK3786" s="156" t="s">
        <v>691</v>
      </c>
      <c r="AL3786" s="574" t="s">
        <v>690</v>
      </c>
      <c r="AM3786" s="198">
        <f t="shared" ref="AM3786:AM3789" si="2295">AG3786*Z3786</f>
        <v>6607.3119999999999</v>
      </c>
      <c r="AN3786" s="199">
        <f t="shared" ref="AN3786:AN3789" si="2296">B3786</f>
        <v>46288</v>
      </c>
      <c r="AO3786" s="159" t="s">
        <v>692</v>
      </c>
      <c r="AP3786" s="783" t="s">
        <v>609</v>
      </c>
      <c r="AQ3786" s="782">
        <v>12071839</v>
      </c>
      <c r="AR3786" s="782">
        <v>12080260</v>
      </c>
      <c r="AS3786" s="782">
        <v>12080259</v>
      </c>
      <c r="AT3786" s="782">
        <v>12096006</v>
      </c>
      <c r="AU3786" s="782"/>
      <c r="AV3786" s="782">
        <v>12096007</v>
      </c>
      <c r="AW3786" s="782">
        <v>12024404</v>
      </c>
      <c r="AX3786" s="781"/>
      <c r="AY3786" s="782">
        <v>12096022</v>
      </c>
      <c r="AZ3786" s="782"/>
      <c r="BA3786" s="781"/>
      <c r="BB3786" s="209">
        <v>23053185</v>
      </c>
    </row>
    <row r="3787" spans="1:54" ht="25" customHeight="1">
      <c r="B3787" s="213">
        <v>46288</v>
      </c>
      <c r="C3787" s="214">
        <v>46323</v>
      </c>
      <c r="D3787" s="215">
        <f t="shared" si="2285"/>
        <v>2026</v>
      </c>
      <c r="E3787" s="214" t="e">
        <f>VLOOKUP($B3787,Week!$A$1:$C$1462,2,0)</f>
        <v>#N/A</v>
      </c>
      <c r="F3787" s="216" t="str">
        <f t="shared" si="2286"/>
        <v>Sep</v>
      </c>
      <c r="G3787" s="215" t="s">
        <v>3151</v>
      </c>
      <c r="H3787" s="215" t="s">
        <v>134</v>
      </c>
      <c r="I3787" s="215" t="s">
        <v>2772</v>
      </c>
      <c r="J3787" s="209" t="s">
        <v>2932</v>
      </c>
      <c r="K3787" s="217" t="s">
        <v>2534</v>
      </c>
      <c r="L3787" s="217" t="s">
        <v>2167</v>
      </c>
      <c r="M3787" s="209" t="s">
        <v>2235</v>
      </c>
      <c r="N3787" s="480" t="s">
        <v>2236</v>
      </c>
      <c r="O3787" s="215" t="s">
        <v>2233</v>
      </c>
      <c r="P3787" s="218">
        <v>24</v>
      </c>
      <c r="Q3787" s="218">
        <v>3</v>
      </c>
      <c r="R3787" s="219">
        <v>6.0000000000000001E-3</v>
      </c>
      <c r="S3787" s="215" t="s">
        <v>55</v>
      </c>
      <c r="T3787" s="215" t="s">
        <v>112</v>
      </c>
      <c r="U3787" s="852" t="s">
        <v>739</v>
      </c>
      <c r="V3787" s="220">
        <v>210</v>
      </c>
      <c r="W3787" s="220"/>
      <c r="X3787" s="221"/>
      <c r="Y3787" s="222">
        <f t="shared" ref="Y3787" si="2297">(W3787+X3787)-V3787</f>
        <v>-210</v>
      </c>
      <c r="Z3787" s="223">
        <f t="shared" ref="Z3787" si="2298">IF(Y3787&lt;0,((V3787*P3787)-((W3787+X3787)*P3787)),0)</f>
        <v>5040</v>
      </c>
      <c r="AA3787" s="223">
        <f>Q3787*Z3787</f>
        <v>15120</v>
      </c>
      <c r="AB3787" s="807">
        <v>2.4E-2</v>
      </c>
      <c r="AC3787" s="220">
        <f t="shared" ref="AC3787" si="2299">Z3787*AB3787</f>
        <v>120.96000000000001</v>
      </c>
      <c r="AD3787" s="443"/>
      <c r="AE3787" s="210">
        <f t="shared" ref="AE3787" si="2300">SUM(Q3787*R3787*Z3787)/1000</f>
        <v>9.0720000000000009E-2</v>
      </c>
      <c r="AF3787" s="210">
        <f t="shared" ref="AF3787" si="2301">AE3787/0.54</f>
        <v>0.16800000000000001</v>
      </c>
      <c r="AG3787" s="211">
        <f>MID(O3787,1,3)/1000</f>
        <v>0.3</v>
      </c>
      <c r="AH3787" s="157">
        <v>0.26621999999999996</v>
      </c>
      <c r="AI3787" s="152">
        <f t="shared" ref="AI3787" si="2302">V3787*P3787</f>
        <v>5040</v>
      </c>
      <c r="AK3787" s="156" t="s">
        <v>691</v>
      </c>
      <c r="AL3787" s="574" t="s">
        <v>690</v>
      </c>
      <c r="AM3787" s="198">
        <f>AG3787*Z3787</f>
        <v>1512</v>
      </c>
      <c r="AN3787" s="199">
        <f>B3787</f>
        <v>46288</v>
      </c>
      <c r="AO3787" s="159" t="s">
        <v>692</v>
      </c>
      <c r="AP3787" s="781" t="s">
        <v>642</v>
      </c>
      <c r="AQ3787" s="782">
        <v>12063755</v>
      </c>
      <c r="AR3787" s="782">
        <v>12061353</v>
      </c>
      <c r="AS3787" s="782">
        <v>12061354</v>
      </c>
      <c r="AT3787" s="782"/>
      <c r="AU3787" s="783" t="s">
        <v>568</v>
      </c>
      <c r="AV3787" s="782">
        <v>12095301</v>
      </c>
      <c r="AW3787" s="783" t="s">
        <v>568</v>
      </c>
      <c r="AX3787" s="781"/>
      <c r="AY3787" s="796" t="s">
        <v>2460</v>
      </c>
      <c r="AZ3787" s="796" t="s">
        <v>2461</v>
      </c>
      <c r="BA3787" s="796" t="s">
        <v>2462</v>
      </c>
      <c r="BB3787" s="209">
        <v>23099860</v>
      </c>
    </row>
    <row r="3788" spans="1:54" ht="25" customHeight="1">
      <c r="B3788" s="950">
        <v>46288</v>
      </c>
      <c r="C3788" s="951" t="s">
        <v>3146</v>
      </c>
      <c r="D3788" s="215">
        <f t="shared" si="2285"/>
        <v>2026</v>
      </c>
      <c r="E3788" s="214" t="e">
        <f>VLOOKUP($B3788,Week!$A$1:$C$1462,2,0)</f>
        <v>#N/A</v>
      </c>
      <c r="F3788" s="216" t="str">
        <f t="shared" si="2286"/>
        <v>Sep</v>
      </c>
      <c r="G3788" s="952" t="s">
        <v>47</v>
      </c>
      <c r="H3788" s="952" t="s">
        <v>260</v>
      </c>
      <c r="I3788" s="215" t="s">
        <v>2702</v>
      </c>
      <c r="J3788" s="953" t="s">
        <v>2702</v>
      </c>
      <c r="K3788" s="954" t="s">
        <v>2703</v>
      </c>
      <c r="L3788" s="217" t="s">
        <v>2167</v>
      </c>
      <c r="M3788" s="953" t="s">
        <v>2899</v>
      </c>
      <c r="N3788" s="955" t="s">
        <v>2704</v>
      </c>
      <c r="O3788" s="952" t="s">
        <v>1635</v>
      </c>
      <c r="P3788" s="956">
        <v>24</v>
      </c>
      <c r="Q3788" s="956">
        <v>3</v>
      </c>
      <c r="R3788" s="957">
        <v>6.1999999999999998E-3</v>
      </c>
      <c r="S3788" s="952" t="s">
        <v>352</v>
      </c>
      <c r="T3788" s="952" t="s">
        <v>56</v>
      </c>
      <c r="U3788" s="958" t="s">
        <v>739</v>
      </c>
      <c r="V3788" s="959">
        <v>1200</v>
      </c>
      <c r="W3788" s="959"/>
      <c r="X3788" s="960"/>
      <c r="Y3788" s="961">
        <f>(W3788+X3788)-V3788</f>
        <v>-1200</v>
      </c>
      <c r="Z3788" s="962">
        <f>IF(Y3788&lt;0,((V3788*P3788)-((W3788+X3788)*P3788)),0)</f>
        <v>28800</v>
      </c>
      <c r="AA3788" s="962">
        <f>Q3788*Z3788</f>
        <v>86400</v>
      </c>
      <c r="AB3788" s="963">
        <v>1.83E-2</v>
      </c>
      <c r="AC3788" s="959">
        <f>Z3788*AB3788</f>
        <v>527.04</v>
      </c>
      <c r="AD3788" s="443"/>
      <c r="AE3788" s="210">
        <f>SUM(Q3788*R3788*Z3788)/1000</f>
        <v>0.53567999999999993</v>
      </c>
      <c r="AF3788" s="210">
        <f>AE3788/0.54</f>
        <v>0.99199999999999977</v>
      </c>
      <c r="AG3788" s="211">
        <f>MID(O3788,1,3)/1000</f>
        <v>0.25</v>
      </c>
      <c r="AH3788" s="157">
        <v>0.26621999999999996</v>
      </c>
      <c r="AI3788" s="152">
        <f>V3788*P3788</f>
        <v>28800</v>
      </c>
      <c r="AK3788" s="156" t="s">
        <v>691</v>
      </c>
      <c r="AL3788" s="574" t="s">
        <v>690</v>
      </c>
      <c r="AM3788" s="198">
        <f>AG3788*Z3788</f>
        <v>7200</v>
      </c>
      <c r="AN3788" s="199">
        <f>B3788</f>
        <v>46288</v>
      </c>
      <c r="AO3788" s="159" t="s">
        <v>692</v>
      </c>
      <c r="AP3788" s="781" t="s">
        <v>642</v>
      </c>
      <c r="AQ3788" s="782">
        <v>12071839</v>
      </c>
      <c r="AR3788" s="782">
        <v>12042650</v>
      </c>
      <c r="AS3788" s="782">
        <v>12042649</v>
      </c>
      <c r="AT3788" s="782"/>
      <c r="AU3788" s="783"/>
      <c r="AV3788" s="782">
        <v>12097895</v>
      </c>
      <c r="AW3788" s="783"/>
      <c r="AX3788" s="781"/>
      <c r="AY3788" s="796">
        <v>12097893</v>
      </c>
      <c r="AZ3788" s="796">
        <v>12097894</v>
      </c>
      <c r="BA3788" s="796" t="s">
        <v>2462</v>
      </c>
      <c r="BB3788" s="209">
        <v>23099860</v>
      </c>
    </row>
    <row r="3789" spans="1:54" ht="25" customHeight="1">
      <c r="A3789" s="142" t="s">
        <v>120</v>
      </c>
      <c r="B3789" s="271">
        <v>46289</v>
      </c>
      <c r="C3789" s="272">
        <v>46312</v>
      </c>
      <c r="D3789" s="185">
        <f t="shared" si="2285"/>
        <v>2026</v>
      </c>
      <c r="E3789" s="272" t="e">
        <f>VLOOKUP($B3789,Week!$A$1:$C$1462,2,0)</f>
        <v>#N/A</v>
      </c>
      <c r="F3789" s="273" t="str">
        <f t="shared" si="2286"/>
        <v>Sep</v>
      </c>
      <c r="G3789" s="274" t="s">
        <v>3142</v>
      </c>
      <c r="H3789" s="274" t="s">
        <v>500</v>
      </c>
      <c r="I3789" s="274" t="s">
        <v>2772</v>
      </c>
      <c r="J3789" s="275" t="s">
        <v>285</v>
      </c>
      <c r="K3789" s="276" t="s">
        <v>153</v>
      </c>
      <c r="L3789" s="390" t="s">
        <v>2166</v>
      </c>
      <c r="M3789" s="275" t="s">
        <v>86</v>
      </c>
      <c r="N3789" s="274" t="s">
        <v>547</v>
      </c>
      <c r="O3789" s="274" t="s">
        <v>548</v>
      </c>
      <c r="P3789" s="277">
        <v>10</v>
      </c>
      <c r="Q3789" s="277">
        <v>50</v>
      </c>
      <c r="R3789" s="278">
        <v>6.8100000000000001E-3</v>
      </c>
      <c r="S3789" s="274" t="s">
        <v>76</v>
      </c>
      <c r="T3789" s="274" t="s">
        <v>56</v>
      </c>
      <c r="U3789" s="274" t="s">
        <v>89</v>
      </c>
      <c r="V3789" s="279">
        <v>685</v>
      </c>
      <c r="W3789" s="279"/>
      <c r="X3789" s="280"/>
      <c r="Y3789" s="281">
        <f t="shared" si="2287"/>
        <v>-685</v>
      </c>
      <c r="Z3789" s="282">
        <f t="shared" si="2288"/>
        <v>6850</v>
      </c>
      <c r="AA3789" s="282">
        <f t="shared" si="2289"/>
        <v>342500</v>
      </c>
      <c r="AB3789" s="812">
        <v>6</v>
      </c>
      <c r="AC3789" s="279">
        <f t="shared" si="2290"/>
        <v>41100</v>
      </c>
      <c r="AD3789" s="209"/>
      <c r="AE3789" s="210">
        <f t="shared" si="2291"/>
        <v>2.3324250000000002</v>
      </c>
      <c r="AF3789" s="210">
        <f t="shared" si="2292"/>
        <v>4.3193055555555553</v>
      </c>
      <c r="AG3789" s="211">
        <f t="shared" si="2293"/>
        <v>0.63</v>
      </c>
      <c r="AH3789" s="157">
        <f>(Z3789*AG3789)/1000</f>
        <v>4.3155000000000001</v>
      </c>
      <c r="AI3789" s="152">
        <f t="shared" si="2294"/>
        <v>6850</v>
      </c>
      <c r="AK3789" s="156" t="s">
        <v>691</v>
      </c>
      <c r="AL3789" s="156" t="s">
        <v>689</v>
      </c>
      <c r="AM3789" s="198">
        <f t="shared" si="2295"/>
        <v>4315.5</v>
      </c>
      <c r="AN3789" s="199">
        <f t="shared" si="2296"/>
        <v>46289</v>
      </c>
      <c r="AO3789" s="159" t="s">
        <v>692</v>
      </c>
      <c r="AP3789" s="783" t="s">
        <v>620</v>
      </c>
      <c r="AQ3789" s="796" t="s">
        <v>422</v>
      </c>
      <c r="AR3789" s="782">
        <v>12055234</v>
      </c>
      <c r="AS3789" s="781"/>
      <c r="AT3789" s="782"/>
      <c r="AU3789" s="782"/>
      <c r="AV3789" s="782">
        <v>12062809</v>
      </c>
      <c r="AW3789" s="782"/>
      <c r="AX3789" s="782" t="s">
        <v>619</v>
      </c>
      <c r="AY3789" s="781"/>
      <c r="AZ3789" s="781"/>
      <c r="BA3789" s="781"/>
      <c r="BB3789" s="209">
        <v>23053184</v>
      </c>
    </row>
    <row r="3790" spans="1:54" ht="24.75" customHeight="1">
      <c r="B3790" s="602">
        <v>46289</v>
      </c>
      <c r="C3790" s="861" t="s">
        <v>3146</v>
      </c>
      <c r="D3790" s="604">
        <f t="shared" si="2285"/>
        <v>2026</v>
      </c>
      <c r="E3790" s="603" t="e">
        <f>VLOOKUP($B3790,Week!$A$1:$C$1462,2,0)</f>
        <v>#N/A</v>
      </c>
      <c r="F3790" s="605" t="str">
        <f t="shared" si="2286"/>
        <v>Sep</v>
      </c>
      <c r="G3790" s="938" t="s">
        <v>47</v>
      </c>
      <c r="H3790" s="604" t="s">
        <v>260</v>
      </c>
      <c r="I3790" s="604" t="s">
        <v>2702</v>
      </c>
      <c r="J3790" s="939" t="s">
        <v>2240</v>
      </c>
      <c r="K3790" s="607" t="s">
        <v>94</v>
      </c>
      <c r="L3790" s="607" t="s">
        <v>2167</v>
      </c>
      <c r="M3790" s="606" t="s">
        <v>2338</v>
      </c>
      <c r="N3790" s="604" t="s">
        <v>2997</v>
      </c>
      <c r="O3790" s="604" t="s">
        <v>54</v>
      </c>
      <c r="P3790" s="608">
        <v>24</v>
      </c>
      <c r="Q3790" s="608">
        <v>5</v>
      </c>
      <c r="R3790" s="609">
        <v>6.1999999999999998E-3</v>
      </c>
      <c r="S3790" s="604" t="s">
        <v>352</v>
      </c>
      <c r="T3790" s="604" t="s">
        <v>56</v>
      </c>
      <c r="U3790" s="604" t="s">
        <v>57</v>
      </c>
      <c r="V3790" s="610">
        <v>2767</v>
      </c>
      <c r="W3790" s="610"/>
      <c r="X3790" s="611"/>
      <c r="Y3790" s="612">
        <f t="shared" ref="Y3790" si="2303">(W3790+X3790)-V3790</f>
        <v>-2767</v>
      </c>
      <c r="Z3790" s="613">
        <f t="shared" ref="Z3790" si="2304">IF(Y3790&lt;0,((V3790*P3790)-((W3790+X3790)*P3790)),0)</f>
        <v>66408</v>
      </c>
      <c r="AA3790" s="613">
        <f t="shared" ref="AA3790" si="2305">Q3790*Z3790</f>
        <v>332040</v>
      </c>
      <c r="AB3790" s="836">
        <v>7.4999999999999997E-3</v>
      </c>
      <c r="AC3790" s="610">
        <f t="shared" ref="AC3790" si="2306">Z3790*AB3790</f>
        <v>498.06</v>
      </c>
      <c r="AD3790" s="443"/>
      <c r="AE3790" s="210">
        <f t="shared" ref="AE3790" si="2307">SUM(Q3790*R3790*Z3790)/1000</f>
        <v>2.0586480000000003</v>
      </c>
      <c r="AF3790" s="210">
        <f t="shared" ref="AF3790" si="2308">AE3790/0.54</f>
        <v>3.8123111111111112</v>
      </c>
      <c r="AG3790" s="211">
        <f t="shared" ref="AG3790" si="2309">MID(O3790,1,3)/1000</f>
        <v>0.13500000000000001</v>
      </c>
      <c r="AH3790" s="157">
        <f t="shared" ref="AH3790" si="2310">(Z3790*AG3790)/1000</f>
        <v>8.9650800000000004</v>
      </c>
      <c r="AI3790" s="152">
        <f t="shared" ref="AI3790" si="2311">V3790*P3790</f>
        <v>66408</v>
      </c>
      <c r="AK3790" s="156" t="s">
        <v>691</v>
      </c>
      <c r="AL3790" s="574" t="s">
        <v>690</v>
      </c>
      <c r="AM3790" s="198">
        <f t="shared" ref="AM3790" si="2312">AG3790*Z3790</f>
        <v>8965.08</v>
      </c>
      <c r="AN3790" s="199">
        <f t="shared" ref="AN3790" si="2313">B3790</f>
        <v>46289</v>
      </c>
      <c r="AO3790" s="159" t="s">
        <v>692</v>
      </c>
      <c r="AP3790" s="783" t="s">
        <v>622</v>
      </c>
      <c r="AQ3790" s="782">
        <v>12071839</v>
      </c>
      <c r="AR3790" s="782">
        <v>12099098</v>
      </c>
      <c r="AS3790" s="782">
        <v>12068233</v>
      </c>
      <c r="AT3790" s="781"/>
      <c r="AU3790" s="781"/>
      <c r="AV3790" s="782">
        <v>12099466</v>
      </c>
      <c r="AW3790" s="781"/>
      <c r="AX3790" s="781"/>
      <c r="AY3790" s="782">
        <v>12099097</v>
      </c>
      <c r="AZ3790" s="782"/>
      <c r="BA3790" s="781"/>
      <c r="BB3790" s="209">
        <v>23053184</v>
      </c>
    </row>
    <row r="3791" spans="1:54" ht="25" customHeight="1">
      <c r="A3791" s="142" t="s">
        <v>120</v>
      </c>
      <c r="B3791" s="271">
        <v>46290</v>
      </c>
      <c r="C3791" s="272">
        <v>46312</v>
      </c>
      <c r="D3791" s="185">
        <f>IF(B3791="","",YEAR(B3791))</f>
        <v>2026</v>
      </c>
      <c r="E3791" s="272" t="e">
        <f>VLOOKUP($B3791,Week!$A$1:$C$1462,2,0)</f>
        <v>#N/A</v>
      </c>
      <c r="F3791" s="273" t="str">
        <f>IF(B3791="","",TEXT(B3791,"[$-409]mmm"))</f>
        <v>Sep</v>
      </c>
      <c r="G3791" s="274" t="s">
        <v>3142</v>
      </c>
      <c r="H3791" s="274" t="s">
        <v>500</v>
      </c>
      <c r="I3791" s="274" t="s">
        <v>2772</v>
      </c>
      <c r="J3791" s="275" t="s">
        <v>285</v>
      </c>
      <c r="K3791" s="276" t="s">
        <v>153</v>
      </c>
      <c r="L3791" s="390" t="s">
        <v>2166</v>
      </c>
      <c r="M3791" s="275" t="s">
        <v>86</v>
      </c>
      <c r="N3791" s="274" t="s">
        <v>547</v>
      </c>
      <c r="O3791" s="274" t="s">
        <v>548</v>
      </c>
      <c r="P3791" s="277">
        <v>10</v>
      </c>
      <c r="Q3791" s="277">
        <v>50</v>
      </c>
      <c r="R3791" s="278">
        <v>6.8100000000000001E-3</v>
      </c>
      <c r="S3791" s="274" t="s">
        <v>76</v>
      </c>
      <c r="T3791" s="274" t="s">
        <v>56</v>
      </c>
      <c r="U3791" s="274" t="s">
        <v>89</v>
      </c>
      <c r="V3791" s="279">
        <f>2056-685-685</f>
        <v>686</v>
      </c>
      <c r="W3791" s="279"/>
      <c r="X3791" s="280"/>
      <c r="Y3791" s="281">
        <f t="shared" ref="Y3791" si="2314">(W3791+X3791)-V3791</f>
        <v>-686</v>
      </c>
      <c r="Z3791" s="282">
        <f t="shared" ref="Z3791" si="2315">IF(Y3791&lt;0,((V3791*P3791)-((W3791+X3791)*P3791)),0)</f>
        <v>6860</v>
      </c>
      <c r="AA3791" s="282">
        <f>Q3791*Z3791</f>
        <v>343000</v>
      </c>
      <c r="AB3791" s="812">
        <v>6</v>
      </c>
      <c r="AC3791" s="279">
        <f t="shared" ref="AC3791" si="2316">Z3791*AB3791</f>
        <v>41160</v>
      </c>
      <c r="AD3791" s="209"/>
      <c r="AE3791" s="210">
        <f t="shared" ref="AE3791" si="2317">SUM(Q3791*R3791*Z3791)/1000</f>
        <v>2.3358300000000005</v>
      </c>
      <c r="AF3791" s="210">
        <f t="shared" ref="AF3791" si="2318">AE3791/0.54</f>
        <v>4.3256111111111117</v>
      </c>
      <c r="AG3791" s="211">
        <f t="shared" ref="AG3791" si="2319">MID(O3791,1,3)/1000</f>
        <v>0.63</v>
      </c>
      <c r="AH3791" s="157">
        <f t="shared" ref="AH3791" si="2320">(Z3791*AG3791)/1000</f>
        <v>4.3218000000000005</v>
      </c>
      <c r="AI3791" s="152">
        <f t="shared" ref="AI3791" si="2321">V3791*P3791</f>
        <v>6860</v>
      </c>
      <c r="AK3791" s="156" t="s">
        <v>691</v>
      </c>
      <c r="AL3791" s="156" t="s">
        <v>689</v>
      </c>
      <c r="AM3791" s="198">
        <f>AG3791*Z3791</f>
        <v>4321.8</v>
      </c>
      <c r="AN3791" s="199">
        <f>B3791</f>
        <v>46290</v>
      </c>
      <c r="AO3791" s="159" t="s">
        <v>692</v>
      </c>
      <c r="AP3791" s="783" t="s">
        <v>620</v>
      </c>
      <c r="AQ3791" s="796" t="s">
        <v>422</v>
      </c>
      <c r="AR3791" s="782">
        <v>12055234</v>
      </c>
      <c r="AS3791" s="781"/>
      <c r="AT3791" s="782"/>
      <c r="AU3791" s="782"/>
      <c r="AV3791" s="782">
        <v>12062809</v>
      </c>
      <c r="AW3791" s="782"/>
      <c r="AX3791" s="782" t="s">
        <v>619</v>
      </c>
      <c r="AY3791" s="781"/>
      <c r="AZ3791" s="781"/>
      <c r="BA3791" s="781"/>
      <c r="BB3791" s="209">
        <v>23053184</v>
      </c>
    </row>
    <row r="3792" spans="1:54" ht="24.75" customHeight="1">
      <c r="B3792" s="602">
        <v>46290</v>
      </c>
      <c r="C3792" s="861" t="s">
        <v>3146</v>
      </c>
      <c r="D3792" s="604">
        <f t="shared" si="2285"/>
        <v>2026</v>
      </c>
      <c r="E3792" s="603" t="e">
        <f>VLOOKUP($B3792,Week!$A$1:$C$1462,2,0)</f>
        <v>#N/A</v>
      </c>
      <c r="F3792" s="605" t="str">
        <f t="shared" si="2286"/>
        <v>Sep</v>
      </c>
      <c r="G3792" s="938" t="s">
        <v>47</v>
      </c>
      <c r="H3792" s="604" t="s">
        <v>260</v>
      </c>
      <c r="I3792" s="604" t="s">
        <v>2702</v>
      </c>
      <c r="J3792" s="939" t="s">
        <v>2240</v>
      </c>
      <c r="K3792" s="607" t="s">
        <v>94</v>
      </c>
      <c r="L3792" s="607" t="s">
        <v>2167</v>
      </c>
      <c r="M3792" s="606" t="s">
        <v>2338</v>
      </c>
      <c r="N3792" s="604" t="s">
        <v>2997</v>
      </c>
      <c r="O3792" s="604" t="s">
        <v>54</v>
      </c>
      <c r="P3792" s="608">
        <v>24</v>
      </c>
      <c r="Q3792" s="608">
        <v>5</v>
      </c>
      <c r="R3792" s="609">
        <v>6.1999999999999998E-3</v>
      </c>
      <c r="S3792" s="604" t="s">
        <v>352</v>
      </c>
      <c r="T3792" s="604" t="s">
        <v>56</v>
      </c>
      <c r="U3792" s="604" t="s">
        <v>57</v>
      </c>
      <c r="V3792" s="610">
        <v>2767</v>
      </c>
      <c r="W3792" s="610"/>
      <c r="X3792" s="611"/>
      <c r="Y3792" s="612">
        <f t="shared" ref="Y3792" si="2322">(W3792+X3792)-V3792</f>
        <v>-2767</v>
      </c>
      <c r="Z3792" s="613">
        <f t="shared" ref="Z3792" si="2323">IF(Y3792&lt;0,((V3792*P3792)-((W3792+X3792)*P3792)),0)</f>
        <v>66408</v>
      </c>
      <c r="AA3792" s="613">
        <f t="shared" ref="AA3792" si="2324">Q3792*Z3792</f>
        <v>332040</v>
      </c>
      <c r="AB3792" s="836">
        <v>7.4999999999999997E-3</v>
      </c>
      <c r="AC3792" s="610">
        <f t="shared" ref="AC3792" si="2325">Z3792*AB3792</f>
        <v>498.06</v>
      </c>
      <c r="AD3792" s="443"/>
      <c r="AE3792" s="210">
        <f t="shared" ref="AE3792" si="2326">SUM(Q3792*R3792*Z3792)/1000</f>
        <v>2.0586480000000003</v>
      </c>
      <c r="AF3792" s="210">
        <f t="shared" ref="AF3792" si="2327">AE3792/0.54</f>
        <v>3.8123111111111112</v>
      </c>
      <c r="AG3792" s="211">
        <f t="shared" ref="AG3792" si="2328">MID(O3792,1,3)/1000</f>
        <v>0.13500000000000001</v>
      </c>
      <c r="AH3792" s="157">
        <f t="shared" ref="AH3792" si="2329">(Z3792*AG3792)/1000</f>
        <v>8.9650800000000004</v>
      </c>
      <c r="AI3792" s="152">
        <f t="shared" ref="AI3792" si="2330">V3792*P3792</f>
        <v>66408</v>
      </c>
      <c r="AK3792" s="156" t="s">
        <v>691</v>
      </c>
      <c r="AL3792" s="574" t="s">
        <v>690</v>
      </c>
      <c r="AM3792" s="198">
        <f t="shared" ref="AM3792" si="2331">AG3792*Z3792</f>
        <v>8965.08</v>
      </c>
      <c r="AN3792" s="199">
        <f t="shared" ref="AN3792" si="2332">B3792</f>
        <v>46290</v>
      </c>
      <c r="AO3792" s="159" t="s">
        <v>692</v>
      </c>
      <c r="AP3792" s="783" t="s">
        <v>622</v>
      </c>
      <c r="AQ3792" s="782">
        <v>12071839</v>
      </c>
      <c r="AR3792" s="782">
        <v>12099098</v>
      </c>
      <c r="AS3792" s="782">
        <v>12068233</v>
      </c>
      <c r="AT3792" s="781"/>
      <c r="AU3792" s="781"/>
      <c r="AV3792" s="782">
        <v>12099466</v>
      </c>
      <c r="AW3792" s="781"/>
      <c r="AX3792" s="781"/>
      <c r="AY3792" s="782">
        <v>12099097</v>
      </c>
      <c r="AZ3792" s="782"/>
      <c r="BA3792" s="781"/>
      <c r="BB3792" s="209">
        <v>23053184</v>
      </c>
    </row>
    <row r="3793" spans="1:54" ht="25" customHeight="1">
      <c r="B3793" s="271">
        <v>46291</v>
      </c>
      <c r="C3793" s="441">
        <v>46310</v>
      </c>
      <c r="D3793" s="274">
        <f>IF(B3793="","",YEAR(B3793))</f>
        <v>2026</v>
      </c>
      <c r="E3793" s="274" t="e">
        <f>VLOOKUP($B3793,Week!$A$1:$C$1462,2,0)</f>
        <v>#N/A</v>
      </c>
      <c r="F3793" s="273" t="str">
        <f>IF(B3793="","",TEXT(B3793,"[$-409]mmm"))</f>
        <v>Sep</v>
      </c>
      <c r="G3793" s="274" t="s">
        <v>3128</v>
      </c>
      <c r="H3793" s="274" t="s">
        <v>225</v>
      </c>
      <c r="I3793" s="274" t="s">
        <v>2773</v>
      </c>
      <c r="J3793" s="275" t="s">
        <v>650</v>
      </c>
      <c r="K3793" s="276" t="s">
        <v>2256</v>
      </c>
      <c r="L3793" s="276" t="s">
        <v>2167</v>
      </c>
      <c r="M3793" s="275" t="s">
        <v>2258</v>
      </c>
      <c r="N3793" s="274" t="s">
        <v>2259</v>
      </c>
      <c r="O3793" s="274" t="s">
        <v>110</v>
      </c>
      <c r="P3793" s="277">
        <v>36</v>
      </c>
      <c r="Q3793" s="277">
        <v>5</v>
      </c>
      <c r="R3793" s="278">
        <v>7.4999999999999997E-3</v>
      </c>
      <c r="S3793" s="274" t="s">
        <v>111</v>
      </c>
      <c r="T3793" s="274" t="s">
        <v>112</v>
      </c>
      <c r="U3793" s="274" t="s">
        <v>113</v>
      </c>
      <c r="V3793" s="279">
        <f>792-11</f>
        <v>781</v>
      </c>
      <c r="W3793" s="279"/>
      <c r="X3793" s="280"/>
      <c r="Y3793" s="281">
        <f>(W3793+X3793)-V3793</f>
        <v>-781</v>
      </c>
      <c r="Z3793" s="282">
        <f>IF(Y3793&lt;0,((V3793*P3793)-((W3793+X3793)*P3793)),0)</f>
        <v>28116</v>
      </c>
      <c r="AA3793" s="282">
        <f>Q3793*Z3793</f>
        <v>140580</v>
      </c>
      <c r="AB3793" s="812">
        <v>9.7000000000000003E-3</v>
      </c>
      <c r="AC3793" s="279">
        <f>Z3793*AB3793</f>
        <v>272.72520000000003</v>
      </c>
      <c r="AD3793" s="324" t="s">
        <v>3111</v>
      </c>
      <c r="AE3793" s="210">
        <f>SUM(Q3793*R3793*Z3793)/1000</f>
        <v>1.0543499999999999</v>
      </c>
      <c r="AF3793" s="210">
        <f>AE3793/0.54</f>
        <v>1.9524999999999997</v>
      </c>
      <c r="AG3793" s="211">
        <f>MID(O3793,1,3)/1000</f>
        <v>0.308</v>
      </c>
      <c r="AH3793" s="157">
        <f>(Z3793*AG3793)/1000</f>
        <v>8.6597279999999994</v>
      </c>
      <c r="AI3793" s="152">
        <f>V3793*P3793</f>
        <v>28116</v>
      </c>
      <c r="AK3793" s="156" t="s">
        <v>691</v>
      </c>
      <c r="AL3793" s="574" t="s">
        <v>690</v>
      </c>
      <c r="AM3793" s="198">
        <f>AG3793*Z3793</f>
        <v>8659.7279999999992</v>
      </c>
      <c r="AN3793" s="199">
        <f>B3793</f>
        <v>46291</v>
      </c>
      <c r="AO3793" s="159" t="s">
        <v>692</v>
      </c>
      <c r="AP3793" s="781"/>
      <c r="AQ3793" s="782">
        <v>12063755</v>
      </c>
      <c r="AR3793" s="782">
        <v>12061353</v>
      </c>
      <c r="AS3793" s="782">
        <v>12061354</v>
      </c>
      <c r="AT3793" s="782">
        <v>12095367</v>
      </c>
      <c r="AU3793" s="781"/>
      <c r="AV3793" s="782">
        <v>12095366</v>
      </c>
      <c r="AW3793" s="782">
        <v>12088207</v>
      </c>
      <c r="AX3793" s="782"/>
      <c r="AY3793" s="782">
        <v>12095368</v>
      </c>
      <c r="AZ3793" s="782"/>
      <c r="BA3793" s="781"/>
      <c r="BB3793" s="209">
        <v>23054743</v>
      </c>
    </row>
    <row r="3794" spans="1:54" ht="25" customHeight="1">
      <c r="B3794" s="271">
        <v>46291</v>
      </c>
      <c r="C3794" s="441">
        <v>46317</v>
      </c>
      <c r="D3794" s="274">
        <f>IF(B3794="","",YEAR(B3794))</f>
        <v>2026</v>
      </c>
      <c r="E3794" s="274" t="e">
        <f>VLOOKUP($B3794,Week!$A$1:$C$1462,2,0)</f>
        <v>#N/A</v>
      </c>
      <c r="F3794" s="273" t="str">
        <f>IF(B3794="","",TEXT(B3794,"[$-409]mmm"))</f>
        <v>Sep</v>
      </c>
      <c r="G3794" s="274" t="s">
        <v>3165</v>
      </c>
      <c r="H3794" s="274" t="s">
        <v>225</v>
      </c>
      <c r="I3794" s="274" t="s">
        <v>2773</v>
      </c>
      <c r="J3794" s="275" t="s">
        <v>650</v>
      </c>
      <c r="K3794" s="276" t="s">
        <v>2256</v>
      </c>
      <c r="L3794" s="276" t="s">
        <v>2167</v>
      </c>
      <c r="M3794" s="275" t="s">
        <v>2258</v>
      </c>
      <c r="N3794" s="274" t="s">
        <v>2259</v>
      </c>
      <c r="O3794" s="274" t="s">
        <v>110</v>
      </c>
      <c r="P3794" s="277">
        <v>36</v>
      </c>
      <c r="Q3794" s="277">
        <v>5</v>
      </c>
      <c r="R3794" s="278">
        <v>7.4999999999999997E-3</v>
      </c>
      <c r="S3794" s="274" t="s">
        <v>111</v>
      </c>
      <c r="T3794" s="274" t="s">
        <v>112</v>
      </c>
      <c r="U3794" s="274" t="s">
        <v>113</v>
      </c>
      <c r="V3794" s="279">
        <v>792</v>
      </c>
      <c r="W3794" s="279"/>
      <c r="X3794" s="280"/>
      <c r="Y3794" s="281">
        <f>(W3794+X3794)-V3794</f>
        <v>-792</v>
      </c>
      <c r="Z3794" s="282">
        <f>IF(Y3794&lt;0,((V3794*P3794)-((W3794+X3794)*P3794)),0)</f>
        <v>28512</v>
      </c>
      <c r="AA3794" s="282">
        <f>Q3794*Z3794</f>
        <v>142560</v>
      </c>
      <c r="AB3794" s="812">
        <v>9.7000000000000003E-3</v>
      </c>
      <c r="AC3794" s="279">
        <f>Z3794*AB3794</f>
        <v>276.56639999999999</v>
      </c>
      <c r="AD3794" s="324" t="s">
        <v>3111</v>
      </c>
      <c r="AE3794" s="210">
        <f>SUM(Q3794*R3794*Z3794)/1000</f>
        <v>1.0692000000000002</v>
      </c>
      <c r="AF3794" s="210">
        <f>AE3794/0.54</f>
        <v>1.9800000000000002</v>
      </c>
      <c r="AG3794" s="211">
        <f>MID(O3794,1,3)/1000</f>
        <v>0.308</v>
      </c>
      <c r="AH3794" s="157">
        <f>(Z3794*AG3794)/1000</f>
        <v>8.7816960000000002</v>
      </c>
      <c r="AI3794" s="152">
        <f>V3794*P3794</f>
        <v>28512</v>
      </c>
      <c r="AK3794" s="156" t="s">
        <v>691</v>
      </c>
      <c r="AL3794" s="574" t="s">
        <v>690</v>
      </c>
      <c r="AM3794" s="198">
        <f>AG3794*Z3794</f>
        <v>8781.6959999999999</v>
      </c>
      <c r="AN3794" s="199">
        <f>B3794</f>
        <v>46291</v>
      </c>
      <c r="AO3794" s="159" t="s">
        <v>692</v>
      </c>
      <c r="AP3794" s="781"/>
      <c r="AQ3794" s="782">
        <v>12063755</v>
      </c>
      <c r="AR3794" s="782">
        <v>12061353</v>
      </c>
      <c r="AS3794" s="782">
        <v>12061354</v>
      </c>
      <c r="AT3794" s="782">
        <v>12095367</v>
      </c>
      <c r="AU3794" s="781"/>
      <c r="AV3794" s="782">
        <v>12095366</v>
      </c>
      <c r="AW3794" s="782">
        <v>12088207</v>
      </c>
      <c r="AX3794" s="782"/>
      <c r="AY3794" s="782">
        <v>12095368</v>
      </c>
      <c r="AZ3794" s="782"/>
      <c r="BA3794" s="781"/>
      <c r="BB3794" s="209">
        <v>23054743</v>
      </c>
    </row>
    <row r="3795" spans="1:54" ht="25" customHeight="1">
      <c r="B3795" s="271">
        <v>46291</v>
      </c>
      <c r="C3795" s="441">
        <v>46324</v>
      </c>
      <c r="D3795" s="274">
        <f t="shared" ref="D3795" si="2333">IF(B3795="","",YEAR(B3795))</f>
        <v>2026</v>
      </c>
      <c r="E3795" s="274" t="e">
        <f>VLOOKUP($B3795,Week!$A$1:$C$1462,2,0)</f>
        <v>#N/A</v>
      </c>
      <c r="F3795" s="273" t="str">
        <f t="shared" ref="F3795" si="2334">IF(B3795="","",TEXT(B3795,"[$-409]mmm"))</f>
        <v>Sep</v>
      </c>
      <c r="G3795" s="274" t="s">
        <v>3166</v>
      </c>
      <c r="H3795" s="274" t="s">
        <v>225</v>
      </c>
      <c r="I3795" s="274" t="s">
        <v>2773</v>
      </c>
      <c r="J3795" s="275" t="s">
        <v>650</v>
      </c>
      <c r="K3795" s="276" t="s">
        <v>2256</v>
      </c>
      <c r="L3795" s="276" t="s">
        <v>2167</v>
      </c>
      <c r="M3795" s="275" t="s">
        <v>2258</v>
      </c>
      <c r="N3795" s="274" t="s">
        <v>2259</v>
      </c>
      <c r="O3795" s="274" t="s">
        <v>110</v>
      </c>
      <c r="P3795" s="277">
        <v>36</v>
      </c>
      <c r="Q3795" s="277">
        <v>5</v>
      </c>
      <c r="R3795" s="278">
        <v>7.4999999999999997E-3</v>
      </c>
      <c r="S3795" s="274" t="s">
        <v>111</v>
      </c>
      <c r="T3795" s="274" t="s">
        <v>112</v>
      </c>
      <c r="U3795" s="274" t="s">
        <v>113</v>
      </c>
      <c r="V3795" s="279">
        <v>792</v>
      </c>
      <c r="W3795" s="279"/>
      <c r="X3795" s="280"/>
      <c r="Y3795" s="281">
        <f t="shared" ref="Y3795" si="2335">(W3795+X3795)-V3795</f>
        <v>-792</v>
      </c>
      <c r="Z3795" s="282">
        <f t="shared" ref="Z3795" si="2336">IF(Y3795&lt;0,((V3795*P3795)-((W3795+X3795)*P3795)),0)</f>
        <v>28512</v>
      </c>
      <c r="AA3795" s="282">
        <f t="shared" ref="AA3795" si="2337">Q3795*Z3795</f>
        <v>142560</v>
      </c>
      <c r="AB3795" s="812">
        <v>9.7000000000000003E-3</v>
      </c>
      <c r="AC3795" s="279">
        <f t="shared" ref="AC3795" si="2338">Z3795*AB3795</f>
        <v>276.56639999999999</v>
      </c>
      <c r="AD3795" s="324" t="s">
        <v>3111</v>
      </c>
      <c r="AE3795" s="210">
        <f t="shared" ref="AE3795" si="2339">SUM(Q3795*R3795*Z3795)/1000</f>
        <v>1.0692000000000002</v>
      </c>
      <c r="AF3795" s="210">
        <f t="shared" ref="AF3795" si="2340">AE3795/0.54</f>
        <v>1.9800000000000002</v>
      </c>
      <c r="AG3795" s="211">
        <f t="shared" ref="AG3795" si="2341">MID(O3795,1,3)/1000</f>
        <v>0.308</v>
      </c>
      <c r="AH3795" s="157">
        <f t="shared" ref="AH3795" si="2342">(Z3795*AG3795)/1000</f>
        <v>8.7816960000000002</v>
      </c>
      <c r="AI3795" s="152">
        <f t="shared" ref="AI3795" si="2343">V3795*P3795</f>
        <v>28512</v>
      </c>
      <c r="AK3795" s="156" t="s">
        <v>691</v>
      </c>
      <c r="AL3795" s="574" t="s">
        <v>690</v>
      </c>
      <c r="AM3795" s="198">
        <f t="shared" ref="AM3795" si="2344">AG3795*Z3795</f>
        <v>8781.6959999999999</v>
      </c>
      <c r="AN3795" s="199">
        <f t="shared" ref="AN3795" si="2345">B3795</f>
        <v>46291</v>
      </c>
      <c r="AO3795" s="159" t="s">
        <v>692</v>
      </c>
      <c r="AP3795" s="781"/>
      <c r="AQ3795" s="782">
        <v>12063755</v>
      </c>
      <c r="AR3795" s="782">
        <v>12061353</v>
      </c>
      <c r="AS3795" s="782">
        <v>12061354</v>
      </c>
      <c r="AT3795" s="782">
        <v>12095367</v>
      </c>
      <c r="AU3795" s="781"/>
      <c r="AV3795" s="782">
        <v>12095366</v>
      </c>
      <c r="AW3795" s="782">
        <v>12088207</v>
      </c>
      <c r="AX3795" s="782"/>
      <c r="AY3795" s="782">
        <v>12095368</v>
      </c>
      <c r="AZ3795" s="782"/>
      <c r="BA3795" s="781"/>
      <c r="BB3795" s="209">
        <v>23054743</v>
      </c>
    </row>
    <row r="3796" spans="1:54" ht="25" customHeight="1">
      <c r="B3796" s="271">
        <v>46291</v>
      </c>
      <c r="C3796" s="441">
        <v>46330</v>
      </c>
      <c r="D3796" s="274">
        <f>IF(B3796="","",YEAR(B3796))</f>
        <v>2026</v>
      </c>
      <c r="E3796" s="274" t="e">
        <f>VLOOKUP($B3796,Week!$A$1:$C$1462,2,0)</f>
        <v>#N/A</v>
      </c>
      <c r="F3796" s="273" t="str">
        <f>IF(B3796="","",TEXT(B3796,"[$-409]mmm"))</f>
        <v>Sep</v>
      </c>
      <c r="G3796" s="274" t="s">
        <v>3199</v>
      </c>
      <c r="H3796" s="274" t="s">
        <v>225</v>
      </c>
      <c r="I3796" s="274" t="s">
        <v>2773</v>
      </c>
      <c r="J3796" s="275" t="s">
        <v>650</v>
      </c>
      <c r="K3796" s="276" t="s">
        <v>2256</v>
      </c>
      <c r="L3796" s="276" t="s">
        <v>2167</v>
      </c>
      <c r="M3796" s="275" t="s">
        <v>2258</v>
      </c>
      <c r="N3796" s="274" t="s">
        <v>2259</v>
      </c>
      <c r="O3796" s="274" t="s">
        <v>110</v>
      </c>
      <c r="P3796" s="277">
        <v>36</v>
      </c>
      <c r="Q3796" s="277">
        <v>5</v>
      </c>
      <c r="R3796" s="278">
        <v>7.4999999999999997E-3</v>
      </c>
      <c r="S3796" s="274" t="s">
        <v>111</v>
      </c>
      <c r="T3796" s="274" t="s">
        <v>112</v>
      </c>
      <c r="U3796" s="274" t="s">
        <v>113</v>
      </c>
      <c r="V3796" s="279">
        <v>792</v>
      </c>
      <c r="W3796" s="279"/>
      <c r="X3796" s="280"/>
      <c r="Y3796" s="281">
        <f t="shared" ref="Y3796:Y3802" si="2346">(W3796+X3796)-V3796</f>
        <v>-792</v>
      </c>
      <c r="Z3796" s="282">
        <f t="shared" ref="Z3796:Z3802" si="2347">IF(Y3796&lt;0,((V3796*P3796)-((W3796+X3796)*P3796)),0)</f>
        <v>28512</v>
      </c>
      <c r="AA3796" s="282">
        <f>Q3796*Z3796</f>
        <v>142560</v>
      </c>
      <c r="AB3796" s="812">
        <v>9.7000000000000003E-3</v>
      </c>
      <c r="AC3796" s="279">
        <f t="shared" ref="AC3796:AC3802" si="2348">Z3796*AB3796</f>
        <v>276.56639999999999</v>
      </c>
      <c r="AD3796" s="209" t="s">
        <v>3152</v>
      </c>
      <c r="AE3796" s="210">
        <f t="shared" ref="AE3796:AE3802" si="2349">SUM(Q3796*R3796*Z3796)/1000</f>
        <v>1.0692000000000002</v>
      </c>
      <c r="AF3796" s="210">
        <f t="shared" ref="AF3796:AF3802" si="2350">AE3796/0.54</f>
        <v>1.9800000000000002</v>
      </c>
      <c r="AG3796" s="211">
        <f t="shared" ref="AG3796:AG3802" si="2351">MID(O3796,1,3)/1000</f>
        <v>0.308</v>
      </c>
      <c r="AH3796" s="157">
        <f>(Z3796*AG3796)/1000</f>
        <v>8.7816960000000002</v>
      </c>
      <c r="AI3796" s="152">
        <f t="shared" ref="AI3796:AI3802" si="2352">V3796*P3796</f>
        <v>28512</v>
      </c>
      <c r="AK3796" s="156" t="s">
        <v>691</v>
      </c>
      <c r="AL3796" s="574" t="s">
        <v>690</v>
      </c>
      <c r="AM3796" s="198">
        <f>AG3796*Z3796</f>
        <v>8781.6959999999999</v>
      </c>
      <c r="AN3796" s="199">
        <f>B3796</f>
        <v>46291</v>
      </c>
      <c r="AO3796" s="159" t="s">
        <v>692</v>
      </c>
      <c r="AP3796" s="781"/>
      <c r="AQ3796" s="782">
        <v>12063755</v>
      </c>
      <c r="AR3796" s="782">
        <v>12061353</v>
      </c>
      <c r="AS3796" s="782">
        <v>12061354</v>
      </c>
      <c r="AT3796" s="782">
        <v>12095367</v>
      </c>
      <c r="AU3796" s="781"/>
      <c r="AV3796" s="782">
        <v>12095366</v>
      </c>
      <c r="AW3796" s="782">
        <v>12088207</v>
      </c>
      <c r="AX3796" s="782"/>
      <c r="AY3796" s="782">
        <v>12095368</v>
      </c>
      <c r="AZ3796" s="782"/>
      <c r="BA3796" s="781"/>
      <c r="BB3796" s="209">
        <v>23054743</v>
      </c>
    </row>
    <row r="3797" spans="1:54" ht="25" customHeight="1">
      <c r="B3797" s="357">
        <v>46292</v>
      </c>
      <c r="C3797" s="358">
        <v>46315</v>
      </c>
      <c r="D3797" s="185">
        <f t="shared" ref="D3797:D3798" si="2353">IF(B3797="","",YEAR(B3797))</f>
        <v>2026</v>
      </c>
      <c r="E3797" s="358" t="e">
        <f>VLOOKUP($B3797,Week!$A$1:$C$1462,2,0)</f>
        <v>#N/A</v>
      </c>
      <c r="F3797" s="360" t="str">
        <f t="shared" ref="F3797:F3798" si="2354">IF(B3797="","",TEXT(B3797,"[$-409]mmm"))</f>
        <v>Sep</v>
      </c>
      <c r="G3797" s="436" t="s">
        <v>3150</v>
      </c>
      <c r="H3797" s="359" t="s">
        <v>225</v>
      </c>
      <c r="I3797" s="359" t="s">
        <v>2773</v>
      </c>
      <c r="J3797" s="361" t="s">
        <v>650</v>
      </c>
      <c r="K3797" s="362" t="s">
        <v>593</v>
      </c>
      <c r="L3797" s="300" t="s">
        <v>2167</v>
      </c>
      <c r="M3797" s="361" t="s">
        <v>717</v>
      </c>
      <c r="N3797" s="359" t="s">
        <v>719</v>
      </c>
      <c r="O3797" s="359" t="s">
        <v>230</v>
      </c>
      <c r="P3797" s="363">
        <v>12</v>
      </c>
      <c r="Q3797" s="363">
        <v>5</v>
      </c>
      <c r="R3797" s="364">
        <v>6.0000000000000001E-3</v>
      </c>
      <c r="S3797" s="359" t="s">
        <v>55</v>
      </c>
      <c r="T3797" s="359" t="s">
        <v>112</v>
      </c>
      <c r="U3797" s="359" t="s">
        <v>57</v>
      </c>
      <c r="V3797" s="365">
        <v>2600</v>
      </c>
      <c r="W3797" s="365"/>
      <c r="X3797" s="366">
        <f>(1860)/12</f>
        <v>155</v>
      </c>
      <c r="Y3797" s="367">
        <f t="shared" si="2346"/>
        <v>-2445</v>
      </c>
      <c r="Z3797" s="368">
        <f t="shared" si="2347"/>
        <v>29340</v>
      </c>
      <c r="AA3797" s="368">
        <f t="shared" ref="AA3797:AA3798" si="2355">Q3797*Z3797</f>
        <v>146700</v>
      </c>
      <c r="AB3797" s="819">
        <v>7.4999999999999997E-3</v>
      </c>
      <c r="AC3797" s="365">
        <f t="shared" si="2348"/>
        <v>220.04999999999998</v>
      </c>
      <c r="AD3797" s="443"/>
      <c r="AE3797" s="210">
        <f t="shared" si="2349"/>
        <v>0.88019999999999998</v>
      </c>
      <c r="AF3797" s="210">
        <f t="shared" si="2350"/>
        <v>1.63</v>
      </c>
      <c r="AG3797" s="211">
        <f t="shared" si="2351"/>
        <v>0.25800000000000001</v>
      </c>
      <c r="AH3797" s="157">
        <f>(Z3797*AG3797)/1000</f>
        <v>7.5697200000000002</v>
      </c>
      <c r="AI3797" s="152">
        <f t="shared" si="2352"/>
        <v>31200</v>
      </c>
      <c r="AK3797" s="156" t="s">
        <v>691</v>
      </c>
      <c r="AL3797" s="574" t="s">
        <v>690</v>
      </c>
      <c r="AM3797" s="198">
        <f t="shared" ref="AM3797:AM3798" si="2356">AG3797*Z3797</f>
        <v>7569.72</v>
      </c>
      <c r="AN3797" s="199">
        <f t="shared" ref="AN3797:AN3798" si="2357">B3797</f>
        <v>46292</v>
      </c>
      <c r="AO3797" s="159" t="s">
        <v>692</v>
      </c>
      <c r="AP3797" s="783" t="s">
        <v>612</v>
      </c>
      <c r="AQ3797" s="782">
        <v>12071839</v>
      </c>
      <c r="AR3797" s="782">
        <v>12042650</v>
      </c>
      <c r="AS3797" s="782">
        <v>12042649</v>
      </c>
      <c r="AT3797" s="782">
        <v>12096387</v>
      </c>
      <c r="AU3797" s="781"/>
      <c r="AV3797" s="782">
        <v>12088422</v>
      </c>
      <c r="AW3797" s="782"/>
      <c r="AX3797" s="782"/>
      <c r="AY3797" s="782"/>
      <c r="AZ3797" s="782"/>
      <c r="BA3797" s="781"/>
      <c r="BB3797" s="209">
        <v>23053185</v>
      </c>
    </row>
    <row r="3798" spans="1:54" ht="24.75" customHeight="1">
      <c r="B3798" s="320">
        <v>46292</v>
      </c>
      <c r="C3798" s="321">
        <v>46317</v>
      </c>
      <c r="D3798" s="185">
        <f t="shared" si="2353"/>
        <v>2026</v>
      </c>
      <c r="E3798" s="321" t="e">
        <f>VLOOKUP($B3798,Week!$A$1:$C$1462,2,0)</f>
        <v>#N/A</v>
      </c>
      <c r="F3798" s="322" t="str">
        <f t="shared" si="2354"/>
        <v>Sep</v>
      </c>
      <c r="G3798" s="323" t="s">
        <v>3210</v>
      </c>
      <c r="H3798" s="323" t="s">
        <v>311</v>
      </c>
      <c r="I3798" s="323" t="s">
        <v>2772</v>
      </c>
      <c r="J3798" s="324" t="s">
        <v>738</v>
      </c>
      <c r="K3798" s="325" t="s">
        <v>107</v>
      </c>
      <c r="L3798" s="300" t="s">
        <v>2167</v>
      </c>
      <c r="M3798" s="324" t="s">
        <v>313</v>
      </c>
      <c r="N3798" s="323" t="s">
        <v>591</v>
      </c>
      <c r="O3798" s="323" t="s">
        <v>592</v>
      </c>
      <c r="P3798" s="326">
        <v>8</v>
      </c>
      <c r="Q3798" s="326">
        <v>4</v>
      </c>
      <c r="R3798" s="327">
        <v>7.4999999999999997E-3</v>
      </c>
      <c r="S3798" s="323" t="s">
        <v>111</v>
      </c>
      <c r="T3798" s="323" t="s">
        <v>112</v>
      </c>
      <c r="U3798" s="323" t="s">
        <v>57</v>
      </c>
      <c r="V3798" s="328">
        <v>1456</v>
      </c>
      <c r="W3798" s="328"/>
      <c r="X3798" s="329"/>
      <c r="Y3798" s="330">
        <f t="shared" si="2346"/>
        <v>-1456</v>
      </c>
      <c r="Z3798" s="331">
        <f t="shared" si="2347"/>
        <v>11648</v>
      </c>
      <c r="AA3798" s="331">
        <f t="shared" si="2355"/>
        <v>46592</v>
      </c>
      <c r="AB3798" s="816">
        <v>7.4999999999999997E-3</v>
      </c>
      <c r="AC3798" s="328">
        <f t="shared" si="2348"/>
        <v>87.36</v>
      </c>
      <c r="AD3798" s="443"/>
      <c r="AE3798" s="210">
        <f t="shared" si="2349"/>
        <v>0.34943999999999997</v>
      </c>
      <c r="AF3798" s="210">
        <f t="shared" si="2350"/>
        <v>0.64711111111111097</v>
      </c>
      <c r="AG3798" s="211">
        <f t="shared" si="2351"/>
        <v>0.30499999999999999</v>
      </c>
      <c r="AH3798" s="157">
        <f t="shared" ref="AH3798" si="2358">(Z3798*AG3798)/1000</f>
        <v>3.5526399999999998</v>
      </c>
      <c r="AI3798" s="152">
        <f t="shared" si="2352"/>
        <v>11648</v>
      </c>
      <c r="AK3798" s="156" t="s">
        <v>691</v>
      </c>
      <c r="AL3798" s="212" t="s">
        <v>690</v>
      </c>
      <c r="AM3798" s="198">
        <f t="shared" si="2356"/>
        <v>3552.64</v>
      </c>
      <c r="AN3798" s="199">
        <f t="shared" si="2357"/>
        <v>46292</v>
      </c>
      <c r="AO3798" s="159" t="s">
        <v>692</v>
      </c>
      <c r="AP3798" s="783" t="s">
        <v>643</v>
      </c>
      <c r="AQ3798" s="782">
        <v>12063755</v>
      </c>
      <c r="AR3798" s="782">
        <v>12061353</v>
      </c>
      <c r="AS3798" s="782">
        <v>12061354</v>
      </c>
      <c r="AT3798" s="782">
        <v>12097462</v>
      </c>
      <c r="AU3798" s="781"/>
      <c r="AV3798" s="782">
        <v>12097463</v>
      </c>
      <c r="AW3798" s="782"/>
      <c r="AX3798" s="782"/>
      <c r="AY3798" s="782"/>
      <c r="AZ3798" s="782"/>
      <c r="BA3798" s="781"/>
      <c r="BB3798" s="209">
        <v>23053185</v>
      </c>
    </row>
    <row r="3799" spans="1:54" ht="24.65" customHeight="1">
      <c r="B3799" s="308">
        <v>46292</v>
      </c>
      <c r="C3799" s="309">
        <v>46324</v>
      </c>
      <c r="D3799" s="185">
        <f>IF(B3799="","",YEAR(B3799))</f>
        <v>2026</v>
      </c>
      <c r="E3799" s="309" t="e">
        <f>VLOOKUP($B3799,Week!$A$1:$C$1462,2,0)</f>
        <v>#N/A</v>
      </c>
      <c r="F3799" s="310" t="str">
        <f>IF(B3799="","",TEXT(B3799,"[$-409]mmm"))</f>
        <v>Sep</v>
      </c>
      <c r="G3799" s="311" t="s">
        <v>3201</v>
      </c>
      <c r="H3799" s="311" t="s">
        <v>311</v>
      </c>
      <c r="I3799" s="311" t="s">
        <v>2772</v>
      </c>
      <c r="J3799" s="312" t="s">
        <v>738</v>
      </c>
      <c r="K3799" s="313" t="s">
        <v>107</v>
      </c>
      <c r="L3799" s="300" t="s">
        <v>2167</v>
      </c>
      <c r="M3799" s="312" t="s">
        <v>313</v>
      </c>
      <c r="N3799" s="311" t="s">
        <v>314</v>
      </c>
      <c r="O3799" s="311" t="s">
        <v>110</v>
      </c>
      <c r="P3799" s="314">
        <v>36</v>
      </c>
      <c r="Q3799" s="314">
        <v>5</v>
      </c>
      <c r="R3799" s="315">
        <v>7.4999999999999997E-3</v>
      </c>
      <c r="S3799" s="311" t="s">
        <v>111</v>
      </c>
      <c r="T3799" s="311" t="s">
        <v>112</v>
      </c>
      <c r="U3799" s="311" t="s">
        <v>57</v>
      </c>
      <c r="V3799" s="316">
        <v>792</v>
      </c>
      <c r="W3799" s="316"/>
      <c r="X3799" s="317"/>
      <c r="Y3799" s="318">
        <f t="shared" si="2346"/>
        <v>-792</v>
      </c>
      <c r="Z3799" s="319">
        <f t="shared" si="2347"/>
        <v>28512</v>
      </c>
      <c r="AA3799" s="319">
        <f>Q3799*Z3799</f>
        <v>142560</v>
      </c>
      <c r="AB3799" s="815">
        <v>7.4999999999999997E-3</v>
      </c>
      <c r="AC3799" s="316">
        <f t="shared" si="2348"/>
        <v>213.84</v>
      </c>
      <c r="AD3799" s="209"/>
      <c r="AE3799" s="210">
        <f t="shared" si="2349"/>
        <v>1.0692000000000002</v>
      </c>
      <c r="AF3799" s="210">
        <f t="shared" si="2350"/>
        <v>1.9800000000000002</v>
      </c>
      <c r="AG3799" s="211">
        <f t="shared" si="2351"/>
        <v>0.308</v>
      </c>
      <c r="AH3799" s="157">
        <f>(Z3799*AG3799)/1000</f>
        <v>8.7816960000000002</v>
      </c>
      <c r="AI3799" s="152">
        <f t="shared" si="2352"/>
        <v>28512</v>
      </c>
      <c r="AK3799" s="156" t="s">
        <v>691</v>
      </c>
      <c r="AL3799" s="212" t="s">
        <v>690</v>
      </c>
      <c r="AM3799" s="198">
        <f>AG3799*Z3799</f>
        <v>8781.6959999999999</v>
      </c>
      <c r="AN3799" s="199">
        <f>B3799</f>
        <v>46292</v>
      </c>
      <c r="AO3799" s="159" t="s">
        <v>692</v>
      </c>
      <c r="AP3799" s="783" t="s">
        <v>644</v>
      </c>
      <c r="AQ3799" s="782">
        <v>12063755</v>
      </c>
      <c r="AR3799" s="782">
        <v>12081257</v>
      </c>
      <c r="AS3799" s="782">
        <v>12081260</v>
      </c>
      <c r="AT3799" s="782">
        <v>12098623</v>
      </c>
      <c r="AU3799" s="781"/>
      <c r="AV3799" s="782">
        <v>12098706</v>
      </c>
      <c r="AW3799" s="782">
        <v>12088207</v>
      </c>
      <c r="AX3799" s="782"/>
      <c r="AY3799" s="782">
        <v>12094237</v>
      </c>
      <c r="AZ3799" s="782"/>
      <c r="BA3799" s="781"/>
      <c r="BB3799" s="209">
        <v>23053185</v>
      </c>
    </row>
    <row r="3800" spans="1:54" ht="25" customHeight="1">
      <c r="B3800" s="345">
        <v>46292</v>
      </c>
      <c r="C3800" s="464">
        <v>46323</v>
      </c>
      <c r="D3800" s="185">
        <f>IF(B3800="","",YEAR(B3800))</f>
        <v>2026</v>
      </c>
      <c r="E3800" s="464" t="e">
        <f>VLOOKUP($B3800,Week!$A$1:$C$1462,2,0)</f>
        <v>#N/A</v>
      </c>
      <c r="F3800" s="465" t="str">
        <f>IF(B3800="","",TEXT(B3800,"[$-409]mmm"))</f>
        <v>Sep</v>
      </c>
      <c r="G3800" s="347" t="s">
        <v>3151</v>
      </c>
      <c r="H3800" s="347" t="s">
        <v>134</v>
      </c>
      <c r="I3800" s="347" t="s">
        <v>2772</v>
      </c>
      <c r="J3800" s="349" t="s">
        <v>2932</v>
      </c>
      <c r="K3800" s="350" t="s">
        <v>107</v>
      </c>
      <c r="L3800" s="300" t="s">
        <v>2167</v>
      </c>
      <c r="M3800" s="349" t="s">
        <v>136</v>
      </c>
      <c r="N3800" s="347" t="s">
        <v>137</v>
      </c>
      <c r="O3800" s="347" t="s">
        <v>138</v>
      </c>
      <c r="P3800" s="351">
        <v>24</v>
      </c>
      <c r="Q3800" s="351">
        <v>3</v>
      </c>
      <c r="R3800" s="352">
        <v>7.4999999999999997E-3</v>
      </c>
      <c r="S3800" s="347" t="s">
        <v>111</v>
      </c>
      <c r="T3800" s="347" t="s">
        <v>56</v>
      </c>
      <c r="U3800" s="347" t="s">
        <v>572</v>
      </c>
      <c r="V3800" s="353">
        <f>200</f>
        <v>200</v>
      </c>
      <c r="W3800" s="353"/>
      <c r="X3800" s="354">
        <f>(194)/24</f>
        <v>8.0833333333333339</v>
      </c>
      <c r="Y3800" s="355">
        <f t="shared" si="2346"/>
        <v>-191.91666666666666</v>
      </c>
      <c r="Z3800" s="356">
        <f t="shared" si="2347"/>
        <v>4606</v>
      </c>
      <c r="AA3800" s="356">
        <f>Q3800*Z3800</f>
        <v>13818</v>
      </c>
      <c r="AB3800" s="818">
        <v>1</v>
      </c>
      <c r="AC3800" s="353">
        <f t="shared" si="2348"/>
        <v>4606</v>
      </c>
      <c r="AD3800" s="443"/>
      <c r="AE3800" s="210">
        <f t="shared" si="2349"/>
        <v>0.10363499999999999</v>
      </c>
      <c r="AF3800" s="210">
        <f t="shared" si="2350"/>
        <v>0.19191666666666662</v>
      </c>
      <c r="AG3800" s="211">
        <f t="shared" si="2351"/>
        <v>0.219</v>
      </c>
      <c r="AH3800" s="157">
        <f>(Z3800*AG3800)/1000</f>
        <v>1.0087140000000001</v>
      </c>
      <c r="AI3800" s="152">
        <f t="shared" si="2352"/>
        <v>4800</v>
      </c>
      <c r="AK3800" s="156" t="s">
        <v>691</v>
      </c>
      <c r="AL3800" s="212" t="s">
        <v>690</v>
      </c>
      <c r="AM3800" s="198">
        <f>AG3800*Z3800</f>
        <v>1008.7140000000001</v>
      </c>
      <c r="AN3800" s="199">
        <f>B3800</f>
        <v>46292</v>
      </c>
      <c r="AO3800" s="159" t="s">
        <v>692</v>
      </c>
      <c r="AP3800" s="783" t="s">
        <v>610</v>
      </c>
      <c r="AQ3800" s="796" t="s">
        <v>1500</v>
      </c>
      <c r="AR3800" s="782" t="s">
        <v>140</v>
      </c>
      <c r="AS3800" s="782" t="s">
        <v>141</v>
      </c>
      <c r="AT3800" s="782"/>
      <c r="AU3800" s="783" t="s">
        <v>568</v>
      </c>
      <c r="AV3800" s="796" t="s">
        <v>2983</v>
      </c>
      <c r="AW3800" s="796" t="s">
        <v>570</v>
      </c>
      <c r="AX3800" s="782"/>
      <c r="AY3800" s="782">
        <v>12095878</v>
      </c>
      <c r="AZ3800" s="782">
        <v>12095879</v>
      </c>
      <c r="BA3800" s="782">
        <v>12095880</v>
      </c>
    </row>
    <row r="3801" spans="1:54" ht="25" customHeight="1">
      <c r="A3801" s="440"/>
      <c r="B3801" s="200">
        <v>46292</v>
      </c>
      <c r="C3801" s="201">
        <v>46317</v>
      </c>
      <c r="D3801" s="512">
        <f>IF(B3801="","",YEAR(B3801))</f>
        <v>2026</v>
      </c>
      <c r="E3801" s="201" t="e">
        <f>VLOOKUP($B3801,Week!$A$1:$C$1462,2,0)</f>
        <v>#N/A</v>
      </c>
      <c r="F3801" s="202" t="str">
        <f>IF(B3801="","",TEXT(B3801,"[$-409]mmm"))</f>
        <v>Sep</v>
      </c>
      <c r="G3801" s="512" t="s">
        <v>3196</v>
      </c>
      <c r="H3801" s="512" t="s">
        <v>311</v>
      </c>
      <c r="I3801" s="512" t="s">
        <v>2772</v>
      </c>
      <c r="J3801" s="513" t="s">
        <v>738</v>
      </c>
      <c r="K3801" s="514" t="s">
        <v>1652</v>
      </c>
      <c r="L3801" s="514" t="s">
        <v>2167</v>
      </c>
      <c r="M3801" s="513" t="s">
        <v>3034</v>
      </c>
      <c r="N3801" s="512" t="s">
        <v>3035</v>
      </c>
      <c r="O3801" s="512" t="s">
        <v>2840</v>
      </c>
      <c r="P3801" s="203">
        <v>24</v>
      </c>
      <c r="Q3801" s="203">
        <v>3</v>
      </c>
      <c r="R3801" s="204">
        <v>6.0000000000000001E-3</v>
      </c>
      <c r="S3801" s="512" t="s">
        <v>55</v>
      </c>
      <c r="T3801" s="512" t="s">
        <v>112</v>
      </c>
      <c r="U3801" s="916" t="s">
        <v>724</v>
      </c>
      <c r="V3801" s="205">
        <f>700</f>
        <v>700</v>
      </c>
      <c r="W3801" s="205"/>
      <c r="X3801" s="206"/>
      <c r="Y3801" s="207">
        <f t="shared" si="2346"/>
        <v>-700</v>
      </c>
      <c r="Z3801" s="208">
        <f t="shared" si="2347"/>
        <v>16800</v>
      </c>
      <c r="AA3801" s="208">
        <f>Q3801*Z3801</f>
        <v>50400</v>
      </c>
      <c r="AB3801" s="806">
        <v>3.8699999999999998E-2</v>
      </c>
      <c r="AC3801" s="205">
        <f t="shared" si="2348"/>
        <v>650.16</v>
      </c>
      <c r="AD3801" s="209" t="s">
        <v>2354</v>
      </c>
      <c r="AE3801" s="210">
        <f t="shared" si="2349"/>
        <v>0.30240000000000006</v>
      </c>
      <c r="AF3801" s="210">
        <f t="shared" si="2350"/>
        <v>0.56000000000000005</v>
      </c>
      <c r="AG3801" s="211">
        <f t="shared" si="2351"/>
        <v>0.30199999999999999</v>
      </c>
      <c r="AH3801" s="157">
        <f>(Z3801*AG3801)/1000</f>
        <v>5.0735999999999999</v>
      </c>
      <c r="AI3801" s="152">
        <f t="shared" si="2352"/>
        <v>16800</v>
      </c>
      <c r="AK3801" s="156" t="s">
        <v>691</v>
      </c>
      <c r="AL3801" s="212" t="s">
        <v>690</v>
      </c>
      <c r="AM3801" s="198">
        <f>AG3801*Z3801</f>
        <v>5073.5999999999995</v>
      </c>
      <c r="AN3801" s="199">
        <f>B3801</f>
        <v>46292</v>
      </c>
      <c r="AO3801" s="159" t="s">
        <v>692</v>
      </c>
      <c r="AP3801" s="781" t="s">
        <v>642</v>
      </c>
      <c r="AQ3801" s="782">
        <v>12063755</v>
      </c>
      <c r="AR3801" s="782">
        <v>12081257</v>
      </c>
      <c r="AS3801" s="782">
        <v>12081260</v>
      </c>
      <c r="AT3801" s="782">
        <v>12099775</v>
      </c>
      <c r="AU3801" s="781"/>
      <c r="AV3801" s="782">
        <v>12099773</v>
      </c>
      <c r="AW3801" s="782">
        <v>12099774</v>
      </c>
      <c r="AX3801" s="782"/>
      <c r="AY3801" s="782">
        <v>12099776</v>
      </c>
      <c r="AZ3801" s="782"/>
      <c r="BA3801" s="781"/>
      <c r="BB3801" s="209">
        <v>23105470</v>
      </c>
    </row>
    <row r="3802" spans="1:54" ht="25" customHeight="1">
      <c r="B3802" s="743">
        <v>46292</v>
      </c>
      <c r="C3802" s="744">
        <v>46310</v>
      </c>
      <c r="D3802" s="746">
        <f>IF(B3802="","",YEAR(B3802))</f>
        <v>2026</v>
      </c>
      <c r="E3802" s="744" t="e">
        <f>VLOOKUP($B3802,Week!$A$1:$C$1462,2,0)</f>
        <v>#N/A</v>
      </c>
      <c r="F3802" s="745" t="str">
        <f>IF(B3802="","",TEXT(B3802,"[$-409]mmm"))</f>
        <v>Sep</v>
      </c>
      <c r="G3802" s="746" t="s">
        <v>3001</v>
      </c>
      <c r="H3802" s="746" t="s">
        <v>311</v>
      </c>
      <c r="I3802" s="746" t="s">
        <v>2772</v>
      </c>
      <c r="J3802" s="747" t="s">
        <v>2913</v>
      </c>
      <c r="K3802" s="748" t="s">
        <v>1652</v>
      </c>
      <c r="L3802" s="748" t="s">
        <v>2167</v>
      </c>
      <c r="M3802" s="747" t="s">
        <v>682</v>
      </c>
      <c r="N3802" s="915" t="s">
        <v>2775</v>
      </c>
      <c r="O3802" s="746" t="s">
        <v>2748</v>
      </c>
      <c r="P3802" s="749">
        <v>5</v>
      </c>
      <c r="Q3802" s="749">
        <v>3</v>
      </c>
      <c r="R3802" s="849">
        <v>6.0000000000000001E-3</v>
      </c>
      <c r="S3802" s="746" t="s">
        <v>55</v>
      </c>
      <c r="T3802" s="746" t="s">
        <v>112</v>
      </c>
      <c r="U3802" s="860" t="s">
        <v>724</v>
      </c>
      <c r="V3802" s="750">
        <f>5000+76</f>
        <v>5076</v>
      </c>
      <c r="W3802" s="750"/>
      <c r="X3802" s="751">
        <f>(159-35)/5</f>
        <v>24.8</v>
      </c>
      <c r="Y3802" s="752">
        <f t="shared" si="2346"/>
        <v>-5051.2</v>
      </c>
      <c r="Z3802" s="753">
        <f t="shared" si="2347"/>
        <v>25256</v>
      </c>
      <c r="AA3802" s="753">
        <f>Q3802*Z3802</f>
        <v>75768</v>
      </c>
      <c r="AB3802" s="838">
        <v>5.8823E-2</v>
      </c>
      <c r="AC3802" s="750">
        <f t="shared" si="2348"/>
        <v>1485.6336880000001</v>
      </c>
      <c r="AD3802" s="307" t="s">
        <v>2354</v>
      </c>
      <c r="AE3802" s="210">
        <f t="shared" si="2349"/>
        <v>0.45460800000000007</v>
      </c>
      <c r="AF3802" s="210">
        <f t="shared" si="2350"/>
        <v>0.84186666666666676</v>
      </c>
      <c r="AG3802" s="211">
        <f t="shared" si="2351"/>
        <v>0.30199999999999999</v>
      </c>
      <c r="AH3802" s="157">
        <v>0.26621999999999996</v>
      </c>
      <c r="AI3802" s="152">
        <f t="shared" si="2352"/>
        <v>25380</v>
      </c>
      <c r="AK3802" s="156" t="s">
        <v>691</v>
      </c>
      <c r="AL3802" s="574" t="s">
        <v>690</v>
      </c>
      <c r="AM3802" s="198">
        <f>AG3802*Z3802</f>
        <v>7627.3119999999999</v>
      </c>
      <c r="AN3802" s="199">
        <f>B3802</f>
        <v>46292</v>
      </c>
      <c r="AO3802" s="159" t="s">
        <v>692</v>
      </c>
      <c r="AP3802" s="781" t="s">
        <v>642</v>
      </c>
      <c r="AQ3802" s="782">
        <v>12063755</v>
      </c>
      <c r="AR3802" s="782">
        <v>12081257</v>
      </c>
      <c r="AS3802" s="782">
        <v>12081260</v>
      </c>
      <c r="AT3802" s="782">
        <v>12098253</v>
      </c>
      <c r="AU3802" s="781"/>
      <c r="AV3802" s="782">
        <v>12098254</v>
      </c>
      <c r="AW3802" s="781"/>
      <c r="AX3802" s="781"/>
      <c r="AY3802" s="781"/>
      <c r="AZ3802" s="782"/>
      <c r="BA3802" s="781"/>
      <c r="BB3802" s="209">
        <v>23099860</v>
      </c>
    </row>
    <row r="3803" spans="1:54" ht="25" customHeight="1">
      <c r="B3803" s="183">
        <v>46293</v>
      </c>
      <c r="C3803" s="184"/>
      <c r="D3803" s="185">
        <f t="shared" ref="D3803:D3805" si="2359">IF(B3803="","",YEAR(B3803))</f>
        <v>2026</v>
      </c>
      <c r="E3803" s="185" t="e">
        <f>VLOOKUP($B3803,Week!$A$1:$C$1462,2,0)</f>
        <v>#N/A</v>
      </c>
      <c r="F3803" s="186" t="str">
        <f t="shared" ref="F3803:F3805" si="2360">IF(B3803="","",TEXT(B3803,"[$-409]mmm"))</f>
        <v>Sep</v>
      </c>
      <c r="G3803" s="481"/>
      <c r="H3803" s="185"/>
      <c r="I3803" s="185"/>
      <c r="J3803" s="187"/>
      <c r="K3803" s="188"/>
      <c r="L3803" s="188"/>
      <c r="M3803" s="187"/>
      <c r="N3803" s="185"/>
      <c r="O3803" s="185"/>
      <c r="P3803" s="189"/>
      <c r="Q3803" s="189"/>
      <c r="R3803" s="190"/>
      <c r="S3803" s="185"/>
      <c r="T3803" s="185"/>
      <c r="U3803" s="185"/>
      <c r="V3803" s="191"/>
      <c r="W3803" s="191"/>
      <c r="X3803" s="192"/>
      <c r="Y3803" s="193"/>
      <c r="Z3803" s="194"/>
      <c r="AA3803" s="194">
        <f t="shared" ref="AA3803:AA3805" si="2361">Q3803*Z3803</f>
        <v>0</v>
      </c>
      <c r="AB3803" s="805"/>
      <c r="AC3803" s="191"/>
      <c r="AD3803" s="187"/>
      <c r="AE3803" s="195"/>
      <c r="AF3803" s="195"/>
      <c r="AG3803" s="196"/>
      <c r="AH3803" s="197"/>
      <c r="AK3803" s="156" t="s">
        <v>691</v>
      </c>
      <c r="AM3803" s="198">
        <f t="shared" ref="AM3803:AM3805" si="2362">AG3803*Z3803</f>
        <v>0</v>
      </c>
      <c r="AN3803" s="199">
        <f t="shared" ref="AN3803:AN3805" si="2363">B3803</f>
        <v>46293</v>
      </c>
      <c r="AO3803" s="159" t="s">
        <v>692</v>
      </c>
      <c r="AP3803" s="781"/>
      <c r="AQ3803" s="782"/>
      <c r="AR3803" s="782"/>
      <c r="AS3803" s="782"/>
      <c r="AT3803" s="782"/>
      <c r="AU3803" s="781"/>
      <c r="AV3803" s="782"/>
      <c r="AW3803" s="782"/>
      <c r="AX3803" s="782"/>
      <c r="AY3803" s="782"/>
      <c r="AZ3803" s="782"/>
      <c r="BA3803" s="781"/>
      <c r="BB3803" s="209"/>
    </row>
    <row r="3804" spans="1:54" ht="25" customHeight="1">
      <c r="B3804" s="183">
        <v>46294</v>
      </c>
      <c r="C3804" s="184"/>
      <c r="D3804" s="185">
        <f t="shared" si="2359"/>
        <v>2026</v>
      </c>
      <c r="E3804" s="185" t="e">
        <f>VLOOKUP($B3804,Week!$A$1:$C$1462,2,0)</f>
        <v>#N/A</v>
      </c>
      <c r="F3804" s="186" t="str">
        <f t="shared" si="2360"/>
        <v>Sep</v>
      </c>
      <c r="G3804" s="481"/>
      <c r="H3804" s="185"/>
      <c r="I3804" s="185"/>
      <c r="J3804" s="187"/>
      <c r="K3804" s="188"/>
      <c r="L3804" s="188"/>
      <c r="M3804" s="187"/>
      <c r="N3804" s="185"/>
      <c r="O3804" s="185"/>
      <c r="P3804" s="189"/>
      <c r="Q3804" s="189"/>
      <c r="R3804" s="190"/>
      <c r="S3804" s="185"/>
      <c r="T3804" s="185"/>
      <c r="U3804" s="185"/>
      <c r="V3804" s="191"/>
      <c r="W3804" s="191"/>
      <c r="X3804" s="192"/>
      <c r="Y3804" s="193"/>
      <c r="Z3804" s="194"/>
      <c r="AA3804" s="194">
        <f t="shared" si="2361"/>
        <v>0</v>
      </c>
      <c r="AB3804" s="805"/>
      <c r="AC3804" s="191"/>
      <c r="AD3804" s="187"/>
      <c r="AE3804" s="195"/>
      <c r="AF3804" s="195"/>
      <c r="AG3804" s="196"/>
      <c r="AH3804" s="197"/>
      <c r="AK3804" s="156" t="s">
        <v>691</v>
      </c>
      <c r="AM3804" s="198">
        <f t="shared" si="2362"/>
        <v>0</v>
      </c>
      <c r="AN3804" s="199">
        <f t="shared" si="2363"/>
        <v>46294</v>
      </c>
      <c r="AO3804" s="159" t="s">
        <v>692</v>
      </c>
      <c r="AP3804" s="781"/>
      <c r="AQ3804" s="782"/>
      <c r="AR3804" s="782"/>
      <c r="AS3804" s="782"/>
      <c r="AT3804" s="782"/>
      <c r="AU3804" s="781"/>
      <c r="AV3804" s="782"/>
      <c r="AW3804" s="782"/>
      <c r="AX3804" s="782"/>
      <c r="AY3804" s="782"/>
      <c r="AZ3804" s="782"/>
      <c r="BA3804" s="781"/>
      <c r="BB3804" s="209"/>
    </row>
    <row r="3805" spans="1:54" ht="24.65" customHeight="1">
      <c r="A3805" s="142" t="s">
        <v>120</v>
      </c>
      <c r="B3805" s="383">
        <v>46295</v>
      </c>
      <c r="C3805" s="224">
        <v>46300</v>
      </c>
      <c r="D3805" s="185">
        <f t="shared" si="2359"/>
        <v>2026</v>
      </c>
      <c r="E3805" s="224" t="e">
        <f>VLOOKUP($B3805,Week!$A$1:$C$1462,2,0)</f>
        <v>#N/A</v>
      </c>
      <c r="F3805" s="226" t="str">
        <f t="shared" si="2360"/>
        <v>Sep</v>
      </c>
      <c r="G3805" s="225" t="s">
        <v>3212</v>
      </c>
      <c r="H3805" s="225" t="s">
        <v>1259</v>
      </c>
      <c r="I3805" s="225" t="s">
        <v>2772</v>
      </c>
      <c r="J3805" s="227" t="s">
        <v>512</v>
      </c>
      <c r="K3805" s="228" t="s">
        <v>85</v>
      </c>
      <c r="L3805" s="390" t="s">
        <v>2166</v>
      </c>
      <c r="M3805" s="227" t="s">
        <v>165</v>
      </c>
      <c r="N3805" s="225" t="s">
        <v>700</v>
      </c>
      <c r="O3805" s="225" t="s">
        <v>287</v>
      </c>
      <c r="P3805" s="229">
        <v>40</v>
      </c>
      <c r="Q3805" s="229">
        <v>12</v>
      </c>
      <c r="R3805" s="230">
        <v>8.1300000000000001E-3</v>
      </c>
      <c r="S3805" s="225" t="s">
        <v>40</v>
      </c>
      <c r="T3805" s="225" t="s">
        <v>112</v>
      </c>
      <c r="U3805" s="225" t="s">
        <v>89</v>
      </c>
      <c r="V3805" s="231">
        <v>603</v>
      </c>
      <c r="W3805" s="231"/>
      <c r="X3805" s="232">
        <f>(760)/40</f>
        <v>19</v>
      </c>
      <c r="Y3805" s="233">
        <f t="shared" ref="Y3805" si="2364">(W3805+X3805)-V3805</f>
        <v>-584</v>
      </c>
      <c r="Z3805" s="234">
        <f t="shared" ref="Z3805" si="2365">IF(Y3805&lt;0,((V3805*P3805)-((W3805+X3805)*P3805)),0)</f>
        <v>23360</v>
      </c>
      <c r="AA3805" s="234">
        <f t="shared" si="2361"/>
        <v>280320</v>
      </c>
      <c r="AB3805" s="822">
        <v>2</v>
      </c>
      <c r="AC3805" s="231">
        <f t="shared" ref="AC3805" si="2366">Z3805*AB3805</f>
        <v>46720</v>
      </c>
      <c r="AD3805" s="209"/>
      <c r="AE3805" s="210">
        <f t="shared" ref="AE3805" si="2367">SUM(Q3805*R3805*Z3805)/1000</f>
        <v>2.2790016</v>
      </c>
      <c r="AF3805" s="210">
        <f t="shared" ref="AF3805" si="2368">AE3805/0.54</f>
        <v>4.2203733333333329</v>
      </c>
      <c r="AG3805" s="211">
        <f t="shared" ref="AG3805" si="2369">MID(O3805,1,3)/1000</f>
        <v>0.154</v>
      </c>
      <c r="AH3805" s="157">
        <f t="shared" ref="AH3805" si="2370">(Z3805*AG3805)/1000</f>
        <v>3.5974400000000002</v>
      </c>
      <c r="AI3805" s="152">
        <f t="shared" ref="AI3805" si="2371">V3805*P3805</f>
        <v>24120</v>
      </c>
      <c r="AK3805" s="156" t="s">
        <v>691</v>
      </c>
      <c r="AL3805" s="156" t="s">
        <v>689</v>
      </c>
      <c r="AM3805" s="198">
        <f t="shared" si="2362"/>
        <v>3597.44</v>
      </c>
      <c r="AN3805" s="199">
        <f t="shared" si="2363"/>
        <v>46295</v>
      </c>
      <c r="AO3805" s="159" t="s">
        <v>692</v>
      </c>
      <c r="AP3805" s="781"/>
      <c r="AQ3805" s="782">
        <v>12071839</v>
      </c>
      <c r="AR3805" s="782">
        <v>12019692</v>
      </c>
      <c r="AS3805" s="782"/>
      <c r="AT3805" s="782">
        <v>12056457</v>
      </c>
      <c r="AU3805" s="782"/>
      <c r="AV3805" s="782">
        <v>12056565</v>
      </c>
      <c r="AW3805" s="782">
        <v>12034747</v>
      </c>
      <c r="AX3805" s="782" t="s">
        <v>398</v>
      </c>
      <c r="AY3805" s="782" t="s">
        <v>513</v>
      </c>
      <c r="AZ3805" s="782"/>
      <c r="BA3805" s="781"/>
      <c r="BB3805" s="209">
        <v>23053184</v>
      </c>
    </row>
    <row r="3806" spans="1:54" ht="25.15" customHeight="1">
      <c r="B3806" s="345">
        <v>46295</v>
      </c>
      <c r="C3806" s="346">
        <v>46321</v>
      </c>
      <c r="D3806" s="185">
        <f>IF(B3806="","",YEAR(B3806))</f>
        <v>2026</v>
      </c>
      <c r="E3806" s="347" t="e">
        <f>VLOOKUP($B3806,Week!$A$1:$C$1462,2,0)</f>
        <v>#N/A</v>
      </c>
      <c r="F3806" s="348" t="str">
        <f>IF(B3806="","",TEXT(B3806,"[$-409]mmm"))</f>
        <v>Sep</v>
      </c>
      <c r="G3806" s="347" t="s">
        <v>3043</v>
      </c>
      <c r="H3806" s="347" t="s">
        <v>424</v>
      </c>
      <c r="I3806" s="347" t="s">
        <v>2772</v>
      </c>
      <c r="J3806" s="438" t="s">
        <v>425</v>
      </c>
      <c r="K3806" s="350" t="s">
        <v>176</v>
      </c>
      <c r="L3806" s="350" t="s">
        <v>2167</v>
      </c>
      <c r="M3806" s="349" t="s">
        <v>426</v>
      </c>
      <c r="N3806" s="347" t="s">
        <v>427</v>
      </c>
      <c r="O3806" s="347" t="s">
        <v>599</v>
      </c>
      <c r="P3806" s="351">
        <v>36</v>
      </c>
      <c r="Q3806" s="351">
        <v>5</v>
      </c>
      <c r="R3806" s="352">
        <v>7.4999999999999997E-3</v>
      </c>
      <c r="S3806" s="347" t="s">
        <v>111</v>
      </c>
      <c r="T3806" s="347" t="s">
        <v>112</v>
      </c>
      <c r="U3806" s="347" t="s">
        <v>57</v>
      </c>
      <c r="V3806" s="353">
        <v>1288</v>
      </c>
      <c r="W3806" s="353"/>
      <c r="X3806" s="354"/>
      <c r="Y3806" s="355">
        <f>(W3806+X3806)-V3806</f>
        <v>-1288</v>
      </c>
      <c r="Z3806" s="356">
        <f>IF(Y3806&lt;0,((V3806*P3806)-((W3806+X3806)*P3806)),0)</f>
        <v>46368</v>
      </c>
      <c r="AA3806" s="353">
        <f>Q3806*Z3806</f>
        <v>231840</v>
      </c>
      <c r="AB3806" s="818">
        <v>7.4999999999999997E-3</v>
      </c>
      <c r="AC3806" s="353">
        <f>Z3806*AB3806</f>
        <v>347.76</v>
      </c>
      <c r="AD3806" s="307" t="s">
        <v>2448</v>
      </c>
      <c r="AE3806" s="210">
        <f>SUM(Q3806*R3806*Z3806)/1000</f>
        <v>1.7387999999999999</v>
      </c>
      <c r="AF3806" s="210">
        <f>AE3806/0.54</f>
        <v>3.2199999999999998</v>
      </c>
      <c r="AG3806" s="211">
        <f>MID(O3806,1,3)/1000</f>
        <v>0.14799999999999999</v>
      </c>
      <c r="AH3806" s="157">
        <f>(Z3806*AG3806)/1000</f>
        <v>6.8624640000000001</v>
      </c>
      <c r="AI3806" s="152">
        <f>V3806*P3806</f>
        <v>46368</v>
      </c>
      <c r="AK3806" s="156" t="s">
        <v>691</v>
      </c>
      <c r="AL3806" s="574" t="s">
        <v>690</v>
      </c>
      <c r="AM3806" s="198">
        <f>AG3806*Z3806</f>
        <v>6862.4639999999999</v>
      </c>
      <c r="AN3806" s="199">
        <f>B3806</f>
        <v>46295</v>
      </c>
      <c r="AO3806" s="159" t="s">
        <v>692</v>
      </c>
      <c r="AP3806" s="783" t="s">
        <v>609</v>
      </c>
      <c r="AQ3806" s="782">
        <v>12071839</v>
      </c>
      <c r="AR3806" s="782">
        <v>12080260</v>
      </c>
      <c r="AS3806" s="782">
        <v>12080259</v>
      </c>
      <c r="AT3806" s="782">
        <v>12096006</v>
      </c>
      <c r="AU3806" s="782"/>
      <c r="AV3806" s="782">
        <v>12096007</v>
      </c>
      <c r="AW3806" s="782">
        <v>12024404</v>
      </c>
      <c r="AX3806" s="781"/>
      <c r="AY3806" s="782">
        <v>12096022</v>
      </c>
      <c r="AZ3806" s="782"/>
      <c r="BA3806" s="781"/>
      <c r="BB3806" s="209">
        <v>23053185</v>
      </c>
    </row>
    <row r="3807" spans="1:54" ht="24.65" customHeight="1">
      <c r="B3807" s="466">
        <v>46295</v>
      </c>
      <c r="C3807" s="467">
        <v>46309</v>
      </c>
      <c r="D3807" s="185">
        <f>IF(B3807="","",YEAR(B3807))</f>
        <v>2026</v>
      </c>
      <c r="E3807" s="467" t="e">
        <f>VLOOKUP($B3807,Week!$A$1:$C$1462,2,0)</f>
        <v>#N/A</v>
      </c>
      <c r="F3807" s="469" t="str">
        <f>IF(B3807="","",TEXT(B3807,"[$-409]mmm"))</f>
        <v>Sep</v>
      </c>
      <c r="G3807" s="641" t="s">
        <v>3207</v>
      </c>
      <c r="H3807" s="482" t="s">
        <v>104</v>
      </c>
      <c r="I3807" s="482" t="s">
        <v>2772</v>
      </c>
      <c r="J3807" s="483" t="s">
        <v>105</v>
      </c>
      <c r="K3807" s="484" t="s">
        <v>51</v>
      </c>
      <c r="L3807" s="300" t="s">
        <v>2167</v>
      </c>
      <c r="M3807" s="483" t="s">
        <v>674</v>
      </c>
      <c r="N3807" s="482" t="s">
        <v>677</v>
      </c>
      <c r="O3807" s="482" t="s">
        <v>501</v>
      </c>
      <c r="P3807" s="473">
        <v>36</v>
      </c>
      <c r="Q3807" s="473">
        <v>5</v>
      </c>
      <c r="R3807" s="474">
        <v>6.0000000000000001E-3</v>
      </c>
      <c r="S3807" s="482" t="s">
        <v>55</v>
      </c>
      <c r="T3807" s="482" t="s">
        <v>112</v>
      </c>
      <c r="U3807" s="482" t="s">
        <v>57</v>
      </c>
      <c r="V3807" s="475">
        <f>600</f>
        <v>600</v>
      </c>
      <c r="W3807" s="475"/>
      <c r="X3807" s="476"/>
      <c r="Y3807" s="477">
        <f>(W3807+X3807)-V3807</f>
        <v>-600</v>
      </c>
      <c r="Z3807" s="478">
        <f>IF(Y3807&lt;0,((V3807*P3807)-((W3807+X3807)*P3807)),0)</f>
        <v>21600</v>
      </c>
      <c r="AA3807" s="478">
        <f>Q3807*Z3807</f>
        <v>108000</v>
      </c>
      <c r="AB3807" s="828">
        <v>7.4999999999999997E-3</v>
      </c>
      <c r="AC3807" s="475">
        <f>Z3807*AB3807</f>
        <v>162</v>
      </c>
      <c r="AD3807" s="486" t="s">
        <v>2895</v>
      </c>
      <c r="AE3807" s="210">
        <f>SUM(Q3807*R3807*Z3807)/1000</f>
        <v>0.64800000000000002</v>
      </c>
      <c r="AF3807" s="210">
        <f>AE3807/0.54</f>
        <v>1.2</v>
      </c>
      <c r="AG3807" s="211">
        <v>0.14499999999999999</v>
      </c>
      <c r="AH3807" s="157">
        <f>(Z3807*AG3807)/1000</f>
        <v>3.1320000000000001</v>
      </c>
      <c r="AI3807" s="152">
        <v>19800</v>
      </c>
      <c r="AK3807" s="156" t="s">
        <v>691</v>
      </c>
      <c r="AL3807" s="212" t="s">
        <v>690</v>
      </c>
      <c r="AM3807" s="198">
        <f>AG3807*Z3807</f>
        <v>3132</v>
      </c>
      <c r="AN3807" s="199">
        <f>B3807</f>
        <v>46295</v>
      </c>
      <c r="AO3807" s="159" t="s">
        <v>692</v>
      </c>
      <c r="AP3807" s="781"/>
      <c r="AQ3807" s="782">
        <v>12071839</v>
      </c>
      <c r="AR3807" s="782">
        <v>12047514</v>
      </c>
      <c r="AS3807" s="782">
        <v>12047515</v>
      </c>
      <c r="AT3807" s="782">
        <v>12085743</v>
      </c>
      <c r="AU3807" s="781"/>
      <c r="AV3807" s="782">
        <v>12098690</v>
      </c>
      <c r="AW3807" s="782">
        <v>12024404</v>
      </c>
      <c r="AX3807" s="782"/>
      <c r="AY3807" s="782">
        <v>12094238</v>
      </c>
      <c r="AZ3807" s="782"/>
      <c r="BA3807" s="781"/>
      <c r="BB3807" s="209">
        <v>23053185</v>
      </c>
    </row>
    <row r="3808" spans="1:54" ht="24.65" customHeight="1">
      <c r="A3808" s="142" t="s">
        <v>120</v>
      </c>
      <c r="B3808" s="383">
        <v>46296</v>
      </c>
      <c r="C3808" s="224">
        <v>46300</v>
      </c>
      <c r="D3808" s="185">
        <f t="shared" ref="D3808" si="2372">IF(B3808="","",YEAR(B3808))</f>
        <v>2026</v>
      </c>
      <c r="E3808" s="224" t="e">
        <f>VLOOKUP($B3808,Week!$A$1:$C$1462,2,0)</f>
        <v>#N/A</v>
      </c>
      <c r="F3808" s="226" t="str">
        <f t="shared" ref="F3808" si="2373">IF(B3808="","",TEXT(B3808,"[$-409]mmm"))</f>
        <v>Oct</v>
      </c>
      <c r="G3808" s="225" t="s">
        <v>3212</v>
      </c>
      <c r="H3808" s="225" t="s">
        <v>1259</v>
      </c>
      <c r="I3808" s="225" t="s">
        <v>2772</v>
      </c>
      <c r="J3808" s="227" t="s">
        <v>512</v>
      </c>
      <c r="K3808" s="228" t="s">
        <v>85</v>
      </c>
      <c r="L3808" s="390" t="s">
        <v>2166</v>
      </c>
      <c r="M3808" s="227" t="s">
        <v>165</v>
      </c>
      <c r="N3808" s="225" t="s">
        <v>700</v>
      </c>
      <c r="O3808" s="225" t="s">
        <v>287</v>
      </c>
      <c r="P3808" s="229">
        <v>40</v>
      </c>
      <c r="Q3808" s="229">
        <v>12</v>
      </c>
      <c r="R3808" s="230">
        <v>8.1300000000000001E-3</v>
      </c>
      <c r="S3808" s="225" t="s">
        <v>40</v>
      </c>
      <c r="T3808" s="225" t="s">
        <v>112</v>
      </c>
      <c r="U3808" s="225" t="s">
        <v>89</v>
      </c>
      <c r="V3808" s="231">
        <v>584</v>
      </c>
      <c r="W3808" s="231"/>
      <c r="X3808" s="232"/>
      <c r="Y3808" s="233">
        <f t="shared" ref="Y3808" si="2374">(W3808+X3808)-V3808</f>
        <v>-584</v>
      </c>
      <c r="Z3808" s="234">
        <f t="shared" ref="Z3808" si="2375">IF(Y3808&lt;0,((V3808*P3808)-((W3808+X3808)*P3808)),0)</f>
        <v>23360</v>
      </c>
      <c r="AA3808" s="234">
        <f t="shared" ref="AA3808" si="2376">Q3808*Z3808</f>
        <v>280320</v>
      </c>
      <c r="AB3808" s="822">
        <v>2</v>
      </c>
      <c r="AC3808" s="231">
        <f t="shared" ref="AC3808" si="2377">Z3808*AB3808</f>
        <v>46720</v>
      </c>
      <c r="AD3808" s="209"/>
      <c r="AE3808" s="210">
        <f t="shared" ref="AE3808" si="2378">SUM(Q3808*R3808*Z3808)/1000</f>
        <v>2.2790016</v>
      </c>
      <c r="AF3808" s="210">
        <f t="shared" ref="AF3808" si="2379">AE3808/0.54</f>
        <v>4.2203733333333329</v>
      </c>
      <c r="AG3808" s="211">
        <f t="shared" ref="AG3808" si="2380">MID(O3808,1,3)/1000</f>
        <v>0.154</v>
      </c>
      <c r="AH3808" s="157">
        <f t="shared" ref="AH3808" si="2381">(Z3808*AG3808)/1000</f>
        <v>3.5974400000000002</v>
      </c>
      <c r="AI3808" s="152">
        <f t="shared" ref="AI3808" si="2382">V3808*P3808</f>
        <v>23360</v>
      </c>
      <c r="AK3808" s="156" t="s">
        <v>691</v>
      </c>
      <c r="AL3808" s="156" t="s">
        <v>689</v>
      </c>
      <c r="AM3808" s="198">
        <f t="shared" ref="AM3808" si="2383">AG3808*Z3808</f>
        <v>3597.44</v>
      </c>
      <c r="AN3808" s="199">
        <f t="shared" ref="AN3808" si="2384">B3808</f>
        <v>46296</v>
      </c>
      <c r="AO3808" s="159" t="s">
        <v>692</v>
      </c>
      <c r="AP3808" s="781"/>
      <c r="AQ3808" s="782">
        <v>12071839</v>
      </c>
      <c r="AR3808" s="782">
        <v>12019692</v>
      </c>
      <c r="AS3808" s="782"/>
      <c r="AT3808" s="782">
        <v>12056457</v>
      </c>
      <c r="AU3808" s="782"/>
      <c r="AV3808" s="782">
        <v>12056565</v>
      </c>
      <c r="AW3808" s="782">
        <v>12034747</v>
      </c>
      <c r="AX3808" s="782" t="s">
        <v>398</v>
      </c>
      <c r="AY3808" s="782" t="s">
        <v>513</v>
      </c>
      <c r="AZ3808" s="782"/>
      <c r="BA3808" s="781"/>
      <c r="BB3808" s="209">
        <v>23053184</v>
      </c>
    </row>
    <row r="3809" spans="1:54" ht="25.15" customHeight="1">
      <c r="B3809" s="345">
        <v>46296</v>
      </c>
      <c r="C3809" s="346">
        <v>46329</v>
      </c>
      <c r="D3809" s="185">
        <f>IF(B3809="","",YEAR(B3809))</f>
        <v>2026</v>
      </c>
      <c r="E3809" s="347" t="e">
        <f>VLOOKUP($B3809,Week!$A$1:$C$1462,2,0)</f>
        <v>#N/A</v>
      </c>
      <c r="F3809" s="348" t="str">
        <f>IF(B3809="","",TEXT(B3809,"[$-409]mmm"))</f>
        <v>Oct</v>
      </c>
      <c r="G3809" s="347" t="s">
        <v>3044</v>
      </c>
      <c r="H3809" s="347" t="s">
        <v>424</v>
      </c>
      <c r="I3809" s="347" t="s">
        <v>2772</v>
      </c>
      <c r="J3809" s="438" t="s">
        <v>425</v>
      </c>
      <c r="K3809" s="350" t="s">
        <v>176</v>
      </c>
      <c r="L3809" s="350" t="s">
        <v>2167</v>
      </c>
      <c r="M3809" s="349" t="s">
        <v>426</v>
      </c>
      <c r="N3809" s="347" t="s">
        <v>427</v>
      </c>
      <c r="O3809" s="347" t="s">
        <v>599</v>
      </c>
      <c r="P3809" s="351">
        <v>36</v>
      </c>
      <c r="Q3809" s="351">
        <v>5</v>
      </c>
      <c r="R3809" s="352">
        <v>7.4999999999999997E-3</v>
      </c>
      <c r="S3809" s="347" t="s">
        <v>111</v>
      </c>
      <c r="T3809" s="347" t="s">
        <v>112</v>
      </c>
      <c r="U3809" s="347" t="s">
        <v>57</v>
      </c>
      <c r="V3809" s="353">
        <v>1288</v>
      </c>
      <c r="W3809" s="353"/>
      <c r="X3809" s="354"/>
      <c r="Y3809" s="355">
        <f>(W3809+X3809)-V3809</f>
        <v>-1288</v>
      </c>
      <c r="Z3809" s="356">
        <f>IF(Y3809&lt;0,((V3809*P3809)-((W3809+X3809)*P3809)),0)</f>
        <v>46368</v>
      </c>
      <c r="AA3809" s="353">
        <f>Q3809*Z3809</f>
        <v>231840</v>
      </c>
      <c r="AB3809" s="818">
        <v>7.4999999999999997E-3</v>
      </c>
      <c r="AC3809" s="353">
        <f>Z3809*AB3809</f>
        <v>347.76</v>
      </c>
      <c r="AD3809" s="307" t="s">
        <v>3159</v>
      </c>
      <c r="AE3809" s="210">
        <f>SUM(Q3809*R3809*Z3809)/1000</f>
        <v>1.7387999999999999</v>
      </c>
      <c r="AF3809" s="210">
        <f>AE3809/0.54</f>
        <v>3.2199999999999998</v>
      </c>
      <c r="AG3809" s="211">
        <f>MID(O3809,1,3)/1000</f>
        <v>0.14799999999999999</v>
      </c>
      <c r="AH3809" s="157">
        <f>(Z3809*AG3809)/1000</f>
        <v>6.8624640000000001</v>
      </c>
      <c r="AI3809" s="152">
        <f>V3809*P3809</f>
        <v>46368</v>
      </c>
      <c r="AK3809" s="156" t="s">
        <v>691</v>
      </c>
      <c r="AL3809" s="574" t="s">
        <v>690</v>
      </c>
      <c r="AM3809" s="198">
        <f>AG3809*Z3809</f>
        <v>6862.4639999999999</v>
      </c>
      <c r="AN3809" s="199">
        <f>B3809</f>
        <v>46296</v>
      </c>
      <c r="AO3809" s="159" t="s">
        <v>692</v>
      </c>
      <c r="AP3809" s="783" t="s">
        <v>609</v>
      </c>
      <c r="AQ3809" s="782">
        <v>12071839</v>
      </c>
      <c r="AR3809" s="782">
        <v>12080260</v>
      </c>
      <c r="AS3809" s="782">
        <v>12080259</v>
      </c>
      <c r="AT3809" s="782">
        <v>12096006</v>
      </c>
      <c r="AU3809" s="782"/>
      <c r="AV3809" s="782">
        <v>12096007</v>
      </c>
      <c r="AW3809" s="782">
        <v>12024404</v>
      </c>
      <c r="AX3809" s="781"/>
      <c r="AY3809" s="782">
        <v>12096022</v>
      </c>
      <c r="AZ3809" s="782"/>
      <c r="BA3809" s="781"/>
      <c r="BB3809" s="209">
        <v>23053185</v>
      </c>
    </row>
    <row r="3810" spans="1:54" ht="24.65" customHeight="1">
      <c r="B3810" s="283">
        <v>46296</v>
      </c>
      <c r="C3810" s="284">
        <v>46301</v>
      </c>
      <c r="D3810" s="185">
        <f t="shared" ref="D3810" si="2385">IF(B3810="","",YEAR(B3810))</f>
        <v>2026</v>
      </c>
      <c r="E3810" s="284" t="e">
        <f>VLOOKUP($B3810,Week!$A$1:$C$1462,2,0)</f>
        <v>#N/A</v>
      </c>
      <c r="F3810" s="285" t="str">
        <f t="shared" ref="F3810" si="2386">IF(B3810="","",TEXT(B3810,"[$-409]mmm"))</f>
        <v>Oct</v>
      </c>
      <c r="G3810" s="631" t="s">
        <v>3206</v>
      </c>
      <c r="H3810" s="624" t="s">
        <v>104</v>
      </c>
      <c r="I3810" s="624" t="s">
        <v>2772</v>
      </c>
      <c r="J3810" s="625" t="s">
        <v>105</v>
      </c>
      <c r="K3810" s="288" t="s">
        <v>51</v>
      </c>
      <c r="L3810" s="300" t="s">
        <v>2167</v>
      </c>
      <c r="M3810" s="287" t="s">
        <v>595</v>
      </c>
      <c r="N3810" s="286" t="s">
        <v>597</v>
      </c>
      <c r="O3810" s="286" t="s">
        <v>187</v>
      </c>
      <c r="P3810" s="289">
        <v>8</v>
      </c>
      <c r="Q3810" s="289">
        <v>5</v>
      </c>
      <c r="R3810" s="290">
        <v>6.0000000000000001E-3</v>
      </c>
      <c r="S3810" s="286" t="s">
        <v>55</v>
      </c>
      <c r="T3810" s="286" t="s">
        <v>112</v>
      </c>
      <c r="U3810" s="286" t="s">
        <v>57</v>
      </c>
      <c r="V3810" s="291">
        <f>750</f>
        <v>750</v>
      </c>
      <c r="W3810" s="291"/>
      <c r="X3810" s="292"/>
      <c r="Y3810" s="293">
        <f t="shared" ref="Y3810" si="2387">(W3810+X3810)-V3810</f>
        <v>-750</v>
      </c>
      <c r="Z3810" s="294">
        <f t="shared" ref="Z3810" si="2388">IF(Y3810&lt;0,((V3810*P3810)-((W3810+X3810)*P3810)),0)</f>
        <v>6000</v>
      </c>
      <c r="AA3810" s="294">
        <f t="shared" ref="AA3810" si="2389">Q3810*Z3810</f>
        <v>30000</v>
      </c>
      <c r="AB3810" s="813">
        <v>7.4999999999999997E-3</v>
      </c>
      <c r="AC3810" s="291">
        <f t="shared" ref="AC3810" si="2390">Z3810*AB3810</f>
        <v>45</v>
      </c>
      <c r="AD3810" s="486" t="s">
        <v>2895</v>
      </c>
      <c r="AE3810" s="210">
        <f t="shared" ref="AE3810" si="2391">SUM(Q3810*R3810*Z3810)/1000</f>
        <v>0.18</v>
      </c>
      <c r="AF3810" s="210">
        <f t="shared" ref="AF3810" si="2392">AE3810/0.54</f>
        <v>0.33333333333333331</v>
      </c>
      <c r="AG3810" s="211">
        <v>0.14499999999999999</v>
      </c>
      <c r="AH3810" s="157">
        <f t="shared" ref="AH3810" si="2393">(Z3810*AG3810)/1000</f>
        <v>0.86999999999999988</v>
      </c>
      <c r="AI3810" s="152">
        <v>19800</v>
      </c>
      <c r="AK3810" s="156" t="s">
        <v>691</v>
      </c>
      <c r="AL3810" s="212" t="s">
        <v>690</v>
      </c>
      <c r="AM3810" s="198">
        <f t="shared" ref="AM3810" si="2394">AG3810*Z3810</f>
        <v>869.99999999999989</v>
      </c>
      <c r="AN3810" s="199">
        <f t="shared" ref="AN3810" si="2395">B3810</f>
        <v>46296</v>
      </c>
      <c r="AO3810" s="159" t="s">
        <v>692</v>
      </c>
      <c r="AP3810" s="781"/>
      <c r="AQ3810" s="782">
        <v>12071839</v>
      </c>
      <c r="AR3810" s="782">
        <v>12047514</v>
      </c>
      <c r="AS3810" s="782">
        <v>12047515</v>
      </c>
      <c r="AT3810" s="782">
        <v>12098748</v>
      </c>
      <c r="AU3810" s="781"/>
      <c r="AV3810" s="782">
        <v>12098749</v>
      </c>
      <c r="AW3810" s="782"/>
      <c r="AX3810" s="782"/>
      <c r="AY3810" s="782"/>
      <c r="AZ3810" s="782"/>
      <c r="BA3810" s="781"/>
      <c r="BB3810" s="209">
        <v>23053185</v>
      </c>
    </row>
    <row r="3811" spans="1:54" ht="25" customHeight="1">
      <c r="B3811" s="213">
        <v>46296</v>
      </c>
      <c r="C3811" s="214">
        <v>46323</v>
      </c>
      <c r="D3811" s="185">
        <f t="shared" ref="D3811:D3819" si="2396">IF(B3811="","",YEAR(B3811))</f>
        <v>2026</v>
      </c>
      <c r="E3811" s="215" t="e">
        <f>VLOOKUP($B3811,Week!$A$1:$C$1462,2,0)</f>
        <v>#N/A</v>
      </c>
      <c r="F3811" s="216" t="str">
        <f t="shared" ref="F3811:F3819" si="2397">IF(B3811="","",TEXT(B3811,"[$-409]mmm"))</f>
        <v>Oct</v>
      </c>
      <c r="G3811" s="215" t="s">
        <v>3151</v>
      </c>
      <c r="H3811" s="215" t="s">
        <v>134</v>
      </c>
      <c r="I3811" s="215" t="s">
        <v>2772</v>
      </c>
      <c r="J3811" s="209" t="s">
        <v>2932</v>
      </c>
      <c r="K3811" s="217" t="s">
        <v>176</v>
      </c>
      <c r="L3811" s="300" t="s">
        <v>2167</v>
      </c>
      <c r="M3811" s="209" t="s">
        <v>193</v>
      </c>
      <c r="N3811" s="215" t="s">
        <v>194</v>
      </c>
      <c r="O3811" s="215" t="s">
        <v>195</v>
      </c>
      <c r="P3811" s="218">
        <v>24</v>
      </c>
      <c r="Q3811" s="218">
        <v>5</v>
      </c>
      <c r="R3811" s="219">
        <v>8.0000000000000002E-3</v>
      </c>
      <c r="S3811" s="215" t="s">
        <v>40</v>
      </c>
      <c r="T3811" s="215" t="s">
        <v>56</v>
      </c>
      <c r="U3811" s="215" t="s">
        <v>57</v>
      </c>
      <c r="V3811" s="220">
        <f>250</f>
        <v>250</v>
      </c>
      <c r="W3811" s="220"/>
      <c r="X3811" s="221"/>
      <c r="Y3811" s="222">
        <f t="shared" ref="Y3811:Y3819" si="2398">(W3811+X3811)-V3811</f>
        <v>-250</v>
      </c>
      <c r="Z3811" s="223">
        <f t="shared" ref="Z3811:Z3819" si="2399">IF(Y3811&lt;0,((V3811*P3811)-((W3811+X3811)*P3811)),0)</f>
        <v>6000</v>
      </c>
      <c r="AA3811" s="220">
        <f t="shared" ref="AA3811:AA3819" si="2400">Q3811*Z3811</f>
        <v>30000</v>
      </c>
      <c r="AB3811" s="807">
        <v>1</v>
      </c>
      <c r="AC3811" s="220">
        <f t="shared" ref="AC3811:AC3819" si="2401">Z3811*AB3811</f>
        <v>6000</v>
      </c>
      <c r="AD3811" s="381"/>
      <c r="AE3811" s="210">
        <f t="shared" ref="AE3811:AE3825" si="2402">SUM(Q3811*R3811*Z3811)/1000</f>
        <v>0.24</v>
      </c>
      <c r="AF3811" s="210">
        <f t="shared" ref="AF3811:AF3819" si="2403">AE3811/0.54</f>
        <v>0.44444444444444442</v>
      </c>
      <c r="AG3811" s="211">
        <f>MID(O3811,1,3)/1000</f>
        <v>0.14499999999999999</v>
      </c>
      <c r="AH3811" s="157">
        <f>(Z3811*AG3811)/1000</f>
        <v>0.86999999999999988</v>
      </c>
      <c r="AI3811" s="152">
        <f t="shared" ref="AI3811:AI3819" si="2404">V3811*P3811</f>
        <v>6000</v>
      </c>
      <c r="AK3811" s="156" t="s">
        <v>691</v>
      </c>
      <c r="AL3811" s="212" t="s">
        <v>690</v>
      </c>
      <c r="AM3811" s="198">
        <f t="shared" ref="AM3811:AM3819" si="2405">AG3811*Z3811</f>
        <v>869.99999999999989</v>
      </c>
      <c r="AN3811" s="199">
        <f t="shared" ref="AN3811:AN3819" si="2406">B3811</f>
        <v>46296</v>
      </c>
      <c r="AO3811" s="159" t="s">
        <v>692</v>
      </c>
      <c r="AP3811" s="783" t="s">
        <v>610</v>
      </c>
      <c r="AQ3811" s="782">
        <v>12071839</v>
      </c>
      <c r="AR3811" s="782">
        <v>12047514</v>
      </c>
      <c r="AS3811" s="782">
        <v>12047515</v>
      </c>
      <c r="AT3811" s="782"/>
      <c r="AU3811" s="782">
        <v>12026902</v>
      </c>
      <c r="AV3811" s="796" t="s">
        <v>2980</v>
      </c>
      <c r="AW3811" s="782">
        <v>12026904</v>
      </c>
      <c r="AX3811" s="782"/>
      <c r="AY3811" s="782">
        <v>12094406</v>
      </c>
      <c r="AZ3811" s="782">
        <v>12094407</v>
      </c>
      <c r="BA3811" s="782">
        <v>12094408</v>
      </c>
    </row>
    <row r="3812" spans="1:54" ht="25" customHeight="1">
      <c r="B3812" s="213">
        <v>46296</v>
      </c>
      <c r="C3812" s="214">
        <v>46323</v>
      </c>
      <c r="D3812" s="185">
        <f t="shared" si="2396"/>
        <v>2026</v>
      </c>
      <c r="E3812" s="215" t="e">
        <f>VLOOKUP($B3812,Week!$A$1:$C$1462,2,0)</f>
        <v>#N/A</v>
      </c>
      <c r="F3812" s="216" t="str">
        <f t="shared" si="2397"/>
        <v>Oct</v>
      </c>
      <c r="G3812" s="215" t="s">
        <v>3151</v>
      </c>
      <c r="H3812" s="215" t="s">
        <v>134</v>
      </c>
      <c r="I3812" s="215" t="s">
        <v>2772</v>
      </c>
      <c r="J3812" s="209" t="s">
        <v>2932</v>
      </c>
      <c r="K3812" s="217" t="s">
        <v>1648</v>
      </c>
      <c r="L3812" s="300" t="s">
        <v>2167</v>
      </c>
      <c r="M3812" s="209" t="s">
        <v>193</v>
      </c>
      <c r="N3812" s="215" t="s">
        <v>205</v>
      </c>
      <c r="O3812" s="215" t="s">
        <v>206</v>
      </c>
      <c r="P3812" s="218">
        <v>24</v>
      </c>
      <c r="Q3812" s="218">
        <v>5</v>
      </c>
      <c r="R3812" s="219">
        <v>8.0000000000000002E-3</v>
      </c>
      <c r="S3812" s="215" t="s">
        <v>40</v>
      </c>
      <c r="T3812" s="215" t="s">
        <v>56</v>
      </c>
      <c r="U3812" s="480" t="s">
        <v>499</v>
      </c>
      <c r="V3812" s="220">
        <f>200</f>
        <v>200</v>
      </c>
      <c r="W3812" s="220"/>
      <c r="X3812" s="221"/>
      <c r="Y3812" s="222">
        <f t="shared" si="2398"/>
        <v>-200</v>
      </c>
      <c r="Z3812" s="223">
        <f t="shared" si="2399"/>
        <v>4800</v>
      </c>
      <c r="AA3812" s="220">
        <f t="shared" si="2400"/>
        <v>24000</v>
      </c>
      <c r="AB3812" s="807">
        <v>1</v>
      </c>
      <c r="AC3812" s="220">
        <f t="shared" si="2401"/>
        <v>4800</v>
      </c>
      <c r="AD3812" s="381"/>
      <c r="AE3812" s="210">
        <f t="shared" si="2402"/>
        <v>0.192</v>
      </c>
      <c r="AF3812" s="210">
        <f t="shared" si="2403"/>
        <v>0.35555555555555551</v>
      </c>
      <c r="AG3812" s="211">
        <f>MID(O3812,1,3)/1000</f>
        <v>0.115</v>
      </c>
      <c r="AH3812" s="157">
        <f>(Z3812*AG3812)/1000</f>
        <v>0.55200000000000005</v>
      </c>
      <c r="AI3812" s="152">
        <f t="shared" si="2404"/>
        <v>4800</v>
      </c>
      <c r="AK3812" s="156" t="s">
        <v>691</v>
      </c>
      <c r="AL3812" s="212" t="s">
        <v>690</v>
      </c>
      <c r="AM3812" s="198">
        <f t="shared" si="2405"/>
        <v>552</v>
      </c>
      <c r="AN3812" s="199">
        <f t="shared" si="2406"/>
        <v>46296</v>
      </c>
      <c r="AO3812" s="159" t="s">
        <v>692</v>
      </c>
      <c r="AP3812" s="783" t="s">
        <v>610</v>
      </c>
      <c r="AQ3812" s="782">
        <v>12071839</v>
      </c>
      <c r="AR3812" s="782">
        <v>12047514</v>
      </c>
      <c r="AS3812" s="782">
        <v>12047515</v>
      </c>
      <c r="AT3812" s="782"/>
      <c r="AU3812" s="782">
        <v>12026902</v>
      </c>
      <c r="AV3812" s="782">
        <v>12098136</v>
      </c>
      <c r="AW3812" s="782">
        <v>12026904</v>
      </c>
      <c r="AX3812" s="782"/>
      <c r="AY3812" s="782">
        <v>12094111</v>
      </c>
      <c r="AZ3812" s="782">
        <v>12094113</v>
      </c>
      <c r="BA3812" s="782">
        <v>12094114</v>
      </c>
    </row>
    <row r="3813" spans="1:54" ht="24.65" customHeight="1">
      <c r="A3813" s="142" t="s">
        <v>120</v>
      </c>
      <c r="B3813" s="383">
        <v>46297</v>
      </c>
      <c r="C3813" s="224">
        <v>46300</v>
      </c>
      <c r="D3813" s="185">
        <f t="shared" ref="D3813" si="2407">IF(B3813="","",YEAR(B3813))</f>
        <v>2026</v>
      </c>
      <c r="E3813" s="224" t="e">
        <f>VLOOKUP($B3813,Week!$A$1:$C$1462,2,0)</f>
        <v>#N/A</v>
      </c>
      <c r="F3813" s="226" t="str">
        <f t="shared" ref="F3813" si="2408">IF(B3813="","",TEXT(B3813,"[$-409]mmm"))</f>
        <v>Oct</v>
      </c>
      <c r="G3813" s="225" t="s">
        <v>3212</v>
      </c>
      <c r="H3813" s="225" t="s">
        <v>1259</v>
      </c>
      <c r="I3813" s="225" t="s">
        <v>2772</v>
      </c>
      <c r="J3813" s="227" t="s">
        <v>512</v>
      </c>
      <c r="K3813" s="228" t="s">
        <v>85</v>
      </c>
      <c r="L3813" s="390" t="s">
        <v>2166</v>
      </c>
      <c r="M3813" s="227" t="s">
        <v>165</v>
      </c>
      <c r="N3813" s="225" t="s">
        <v>700</v>
      </c>
      <c r="O3813" s="225" t="s">
        <v>287</v>
      </c>
      <c r="P3813" s="229">
        <v>40</v>
      </c>
      <c r="Q3813" s="229">
        <v>12</v>
      </c>
      <c r="R3813" s="230">
        <v>8.1300000000000001E-3</v>
      </c>
      <c r="S3813" s="225" t="s">
        <v>40</v>
      </c>
      <c r="T3813" s="225" t="s">
        <v>112</v>
      </c>
      <c r="U3813" s="225" t="s">
        <v>89</v>
      </c>
      <c r="V3813" s="231">
        <f>1624-603-584</f>
        <v>437</v>
      </c>
      <c r="W3813" s="231"/>
      <c r="X3813" s="232"/>
      <c r="Y3813" s="233">
        <f t="shared" ref="Y3813" si="2409">(W3813+X3813)-V3813</f>
        <v>-437</v>
      </c>
      <c r="Z3813" s="234">
        <f t="shared" ref="Z3813" si="2410">IF(Y3813&lt;0,((V3813*P3813)-((W3813+X3813)*P3813)),0)</f>
        <v>17480</v>
      </c>
      <c r="AA3813" s="234">
        <f t="shared" ref="AA3813:AA3814" si="2411">Q3813*Z3813</f>
        <v>209760</v>
      </c>
      <c r="AB3813" s="822">
        <v>2</v>
      </c>
      <c r="AC3813" s="231">
        <f t="shared" ref="AC3813" si="2412">Z3813*AB3813</f>
        <v>34960</v>
      </c>
      <c r="AD3813" s="209"/>
      <c r="AE3813" s="210">
        <f t="shared" ref="AE3813" si="2413">SUM(Q3813*R3813*Z3813)/1000</f>
        <v>1.7053488000000001</v>
      </c>
      <c r="AF3813" s="210">
        <f t="shared" ref="AF3813" si="2414">AE3813/0.54</f>
        <v>3.1580533333333332</v>
      </c>
      <c r="AG3813" s="211">
        <f t="shared" ref="AG3813:AG3814" si="2415">MID(O3813,1,3)/1000</f>
        <v>0.154</v>
      </c>
      <c r="AH3813" s="157">
        <f t="shared" ref="AH3813" si="2416">(Z3813*AG3813)/1000</f>
        <v>2.6919200000000001</v>
      </c>
      <c r="AI3813" s="152">
        <f t="shared" ref="AI3813" si="2417">V3813*P3813</f>
        <v>17480</v>
      </c>
      <c r="AK3813" s="156" t="s">
        <v>691</v>
      </c>
      <c r="AL3813" s="156" t="s">
        <v>689</v>
      </c>
      <c r="AM3813" s="198">
        <f t="shared" ref="AM3813:AM3814" si="2418">AG3813*Z3813</f>
        <v>2691.92</v>
      </c>
      <c r="AN3813" s="199">
        <f t="shared" ref="AN3813:AN3814" si="2419">B3813</f>
        <v>46297</v>
      </c>
      <c r="AO3813" s="159" t="s">
        <v>692</v>
      </c>
      <c r="AP3813" s="781"/>
      <c r="AQ3813" s="782">
        <v>12071839</v>
      </c>
      <c r="AR3813" s="782">
        <v>12019692</v>
      </c>
      <c r="AS3813" s="782"/>
      <c r="AT3813" s="782">
        <v>12056457</v>
      </c>
      <c r="AU3813" s="782"/>
      <c r="AV3813" s="782">
        <v>12056565</v>
      </c>
      <c r="AW3813" s="782">
        <v>12034747</v>
      </c>
      <c r="AX3813" s="782" t="s">
        <v>398</v>
      </c>
      <c r="AY3813" s="782" t="s">
        <v>513</v>
      </c>
      <c r="AZ3813" s="782"/>
      <c r="BA3813" s="781"/>
      <c r="BB3813" s="209">
        <v>23053184</v>
      </c>
    </row>
    <row r="3814" spans="1:54" ht="24.75" customHeight="1">
      <c r="A3814" s="142" t="s">
        <v>120</v>
      </c>
      <c r="B3814" s="308">
        <v>46297</v>
      </c>
      <c r="C3814" s="644" t="s">
        <v>3146</v>
      </c>
      <c r="D3814" s="185">
        <f>IF(B3814="","",YEAR(B3814))</f>
        <v>2026</v>
      </c>
      <c r="E3814" s="519" t="e">
        <f>VLOOKUP($B3814,Week!$A$1:$C$1462,2,0)</f>
        <v>#N/A</v>
      </c>
      <c r="F3814" s="520" t="str">
        <f>IF(B3814="","",TEXT(B3814,"[$-409]mmm"))</f>
        <v>Oct</v>
      </c>
      <c r="G3814" s="644" t="s">
        <v>47</v>
      </c>
      <c r="H3814" s="311" t="s">
        <v>518</v>
      </c>
      <c r="I3814" s="311" t="s">
        <v>2702</v>
      </c>
      <c r="J3814" s="312" t="s">
        <v>70</v>
      </c>
      <c r="K3814" s="313" t="s">
        <v>85</v>
      </c>
      <c r="L3814" s="390" t="s">
        <v>2166</v>
      </c>
      <c r="M3814" s="312" t="s">
        <v>515</v>
      </c>
      <c r="N3814" s="311" t="s">
        <v>588</v>
      </c>
      <c r="O3814" s="311" t="s">
        <v>546</v>
      </c>
      <c r="P3814" s="314">
        <v>12</v>
      </c>
      <c r="Q3814" s="314">
        <v>20</v>
      </c>
      <c r="R3814" s="315">
        <v>6.1999999999999998E-3</v>
      </c>
      <c r="S3814" s="311" t="s">
        <v>352</v>
      </c>
      <c r="T3814" s="311" t="s">
        <v>56</v>
      </c>
      <c r="U3814" s="311" t="s">
        <v>77</v>
      </c>
      <c r="V3814" s="316">
        <f>400</f>
        <v>400</v>
      </c>
      <c r="W3814" s="316"/>
      <c r="X3814" s="317"/>
      <c r="Y3814" s="318">
        <f>(W3814+X3814)-V3814</f>
        <v>-400</v>
      </c>
      <c r="Z3814" s="319">
        <f>IF(Y3814&lt;0,((V3814*P3814)-((W3814+X3814)*P3814)),0)</f>
        <v>4800</v>
      </c>
      <c r="AA3814" s="319">
        <f t="shared" si="2411"/>
        <v>96000</v>
      </c>
      <c r="AB3814" s="815"/>
      <c r="AC3814" s="316">
        <f>Z3814*AB3814</f>
        <v>0</v>
      </c>
      <c r="AD3814" s="209"/>
      <c r="AE3814" s="210">
        <f>SUM(Q3814*R3814*Z3814)/1000</f>
        <v>0.59520000000000006</v>
      </c>
      <c r="AF3814" s="210">
        <f>AE3814/0.54</f>
        <v>1.1022222222222222</v>
      </c>
      <c r="AG3814" s="211">
        <f t="shared" si="2415"/>
        <v>0.22</v>
      </c>
      <c r="AH3814" s="157">
        <f>(Z3814*AG3814)/1000</f>
        <v>1.056</v>
      </c>
      <c r="AI3814" s="152">
        <f>V3814*P3814</f>
        <v>4800</v>
      </c>
      <c r="AK3814" s="156" t="s">
        <v>691</v>
      </c>
      <c r="AL3814" s="156" t="s">
        <v>689</v>
      </c>
      <c r="AM3814" s="198">
        <f t="shared" si="2418"/>
        <v>1056</v>
      </c>
      <c r="AN3814" s="199">
        <f t="shared" si="2419"/>
        <v>46297</v>
      </c>
      <c r="AO3814" s="159" t="s">
        <v>692</v>
      </c>
      <c r="AP3814" s="783" t="s">
        <v>613</v>
      </c>
      <c r="AQ3814" s="782"/>
      <c r="AR3814" s="782" t="s">
        <v>614</v>
      </c>
      <c r="AS3814" s="782"/>
      <c r="AT3814" s="782"/>
      <c r="AU3814" s="781"/>
      <c r="AV3814" s="782">
        <v>12083143</v>
      </c>
      <c r="AW3814" s="782"/>
      <c r="AX3814" s="782" t="s">
        <v>2187</v>
      </c>
      <c r="AY3814" s="782"/>
      <c r="AZ3814" s="782"/>
      <c r="BA3814" s="781"/>
      <c r="BB3814" s="209"/>
    </row>
    <row r="3815" spans="1:54" ht="25.15" customHeight="1">
      <c r="B3815" s="345">
        <v>46297</v>
      </c>
      <c r="C3815" s="346">
        <v>46336</v>
      </c>
      <c r="D3815" s="185">
        <f t="shared" si="2396"/>
        <v>2026</v>
      </c>
      <c r="E3815" s="347" t="e">
        <f>VLOOKUP($B3815,Week!$A$1:$C$1462,2,0)</f>
        <v>#N/A</v>
      </c>
      <c r="F3815" s="348" t="str">
        <f t="shared" si="2397"/>
        <v>Oct</v>
      </c>
      <c r="G3815" s="347" t="s">
        <v>3045</v>
      </c>
      <c r="H3815" s="347" t="s">
        <v>424</v>
      </c>
      <c r="I3815" s="347" t="s">
        <v>2772</v>
      </c>
      <c r="J3815" s="438" t="s">
        <v>425</v>
      </c>
      <c r="K3815" s="350" t="s">
        <v>176</v>
      </c>
      <c r="L3815" s="350" t="s">
        <v>2167</v>
      </c>
      <c r="M3815" s="349" t="s">
        <v>426</v>
      </c>
      <c r="N3815" s="347" t="s">
        <v>427</v>
      </c>
      <c r="O3815" s="347" t="s">
        <v>599</v>
      </c>
      <c r="P3815" s="351">
        <v>36</v>
      </c>
      <c r="Q3815" s="351">
        <v>5</v>
      </c>
      <c r="R3815" s="352">
        <v>7.4999999999999997E-3</v>
      </c>
      <c r="S3815" s="347" t="s">
        <v>111</v>
      </c>
      <c r="T3815" s="347" t="s">
        <v>112</v>
      </c>
      <c r="U3815" s="347" t="s">
        <v>57</v>
      </c>
      <c r="V3815" s="353">
        <v>1288</v>
      </c>
      <c r="W3815" s="353"/>
      <c r="X3815" s="354"/>
      <c r="Y3815" s="355">
        <f t="shared" si="2398"/>
        <v>-1288</v>
      </c>
      <c r="Z3815" s="356">
        <f t="shared" si="2399"/>
        <v>46368</v>
      </c>
      <c r="AA3815" s="353">
        <f t="shared" si="2400"/>
        <v>231840</v>
      </c>
      <c r="AB3815" s="818">
        <v>7.4999999999999997E-3</v>
      </c>
      <c r="AC3815" s="353">
        <f t="shared" si="2401"/>
        <v>347.76</v>
      </c>
      <c r="AD3815" s="307" t="s">
        <v>3159</v>
      </c>
      <c r="AE3815" s="210">
        <f t="shared" si="2402"/>
        <v>1.7387999999999999</v>
      </c>
      <c r="AF3815" s="210">
        <f t="shared" si="2403"/>
        <v>3.2199999999999998</v>
      </c>
      <c r="AG3815" s="211">
        <f>MID(O3815,1,3)/1000</f>
        <v>0.14799999999999999</v>
      </c>
      <c r="AH3815" s="157">
        <f t="shared" ref="AH3815:AH3825" si="2420">(Z3815*AG3815)/1000</f>
        <v>6.8624640000000001</v>
      </c>
      <c r="AI3815" s="152">
        <f t="shared" si="2404"/>
        <v>46368</v>
      </c>
      <c r="AK3815" s="156" t="s">
        <v>691</v>
      </c>
      <c r="AL3815" s="574" t="s">
        <v>690</v>
      </c>
      <c r="AM3815" s="198">
        <f t="shared" si="2405"/>
        <v>6862.4639999999999</v>
      </c>
      <c r="AN3815" s="199">
        <f t="shared" si="2406"/>
        <v>46297</v>
      </c>
      <c r="AO3815" s="159" t="s">
        <v>692</v>
      </c>
      <c r="AP3815" s="783" t="s">
        <v>609</v>
      </c>
      <c r="AQ3815" s="782">
        <v>12071839</v>
      </c>
      <c r="AR3815" s="782">
        <v>12080260</v>
      </c>
      <c r="AS3815" s="782">
        <v>12080259</v>
      </c>
      <c r="AT3815" s="782">
        <v>12096006</v>
      </c>
      <c r="AU3815" s="782"/>
      <c r="AV3815" s="782">
        <v>12096007</v>
      </c>
      <c r="AW3815" s="782">
        <v>12024404</v>
      </c>
      <c r="AX3815" s="781"/>
      <c r="AY3815" s="782">
        <v>12096022</v>
      </c>
      <c r="AZ3815" s="782"/>
      <c r="BA3815" s="781"/>
      <c r="BB3815" s="209">
        <v>23053185</v>
      </c>
    </row>
    <row r="3816" spans="1:54" ht="24.65" customHeight="1">
      <c r="B3816" s="369">
        <v>46297</v>
      </c>
      <c r="C3816" s="370">
        <v>46301</v>
      </c>
      <c r="D3816" s="185">
        <f>IF(B3816="","",YEAR(B3816))</f>
        <v>2026</v>
      </c>
      <c r="E3816" s="370" t="e">
        <f>VLOOKUP($B3816,Week!$A$1:$C$1462,2,0)</f>
        <v>#N/A</v>
      </c>
      <c r="F3816" s="372" t="str">
        <f>IF(B3816="","",TEXT(B3816,"[$-409]mmm"))</f>
        <v>Oct</v>
      </c>
      <c r="G3816" s="439" t="s">
        <v>3206</v>
      </c>
      <c r="H3816" s="371" t="s">
        <v>104</v>
      </c>
      <c r="I3816" s="371" t="s">
        <v>2772</v>
      </c>
      <c r="J3816" s="373" t="s">
        <v>105</v>
      </c>
      <c r="K3816" s="374" t="s">
        <v>593</v>
      </c>
      <c r="L3816" s="300" t="s">
        <v>2167</v>
      </c>
      <c r="M3816" s="373" t="s">
        <v>594</v>
      </c>
      <c r="N3816" s="371" t="s">
        <v>687</v>
      </c>
      <c r="O3816" s="371" t="s">
        <v>415</v>
      </c>
      <c r="P3816" s="375">
        <v>24</v>
      </c>
      <c r="Q3816" s="375">
        <v>5</v>
      </c>
      <c r="R3816" s="376">
        <v>6.0000000000000001E-3</v>
      </c>
      <c r="S3816" s="371" t="s">
        <v>55</v>
      </c>
      <c r="T3816" s="371" t="s">
        <v>112</v>
      </c>
      <c r="U3816" s="371" t="s">
        <v>57</v>
      </c>
      <c r="V3816" s="377">
        <f>900</f>
        <v>900</v>
      </c>
      <c r="W3816" s="377"/>
      <c r="X3816" s="378"/>
      <c r="Y3816" s="379">
        <f>(W3816+X3816)-V3816</f>
        <v>-900</v>
      </c>
      <c r="Z3816" s="380">
        <f>IF(Y3816&lt;0,((V3816*P3816)-((W3816+X3816)*P3816)),0)</f>
        <v>21600</v>
      </c>
      <c r="AA3816" s="380">
        <f>Q3816*Z3816</f>
        <v>108000</v>
      </c>
      <c r="AB3816" s="820">
        <v>7.4999999999999997E-3</v>
      </c>
      <c r="AC3816" s="377">
        <f>Z3816*AB3816</f>
        <v>162</v>
      </c>
      <c r="AD3816" s="486" t="s">
        <v>2895</v>
      </c>
      <c r="AE3816" s="210">
        <f>SUM(Q3816*R3816*Z3816)/1000</f>
        <v>0.64800000000000002</v>
      </c>
      <c r="AF3816" s="210">
        <f>AE3816/0.54</f>
        <v>1.2</v>
      </c>
      <c r="AG3816" s="211">
        <f t="shared" ref="AG3816" si="2421">MID(O3816,1,3)/1000</f>
        <v>0.25800000000000001</v>
      </c>
      <c r="AH3816" s="157">
        <f>(Z3816*AG3816)/1000</f>
        <v>5.5728</v>
      </c>
      <c r="AI3816" s="152">
        <f t="shared" ref="AI3816" si="2422">V3816*P3816</f>
        <v>21600</v>
      </c>
      <c r="AK3816" s="156" t="s">
        <v>691</v>
      </c>
      <c r="AL3816" s="212" t="s">
        <v>690</v>
      </c>
      <c r="AM3816" s="198">
        <f>AG3816*Z3816</f>
        <v>5572.8</v>
      </c>
      <c r="AN3816" s="199">
        <f>B3816</f>
        <v>46297</v>
      </c>
      <c r="AO3816" s="159" t="s">
        <v>692</v>
      </c>
      <c r="AP3816" s="783"/>
      <c r="AQ3816" s="782">
        <v>12071839</v>
      </c>
      <c r="AR3816" s="782">
        <v>12042650</v>
      </c>
      <c r="AS3816" s="782">
        <v>12042649</v>
      </c>
      <c r="AT3816" s="782">
        <v>12085742</v>
      </c>
      <c r="AU3816" s="781"/>
      <c r="AV3816" s="782">
        <v>12085744</v>
      </c>
      <c r="AW3816" s="782">
        <v>12049607</v>
      </c>
      <c r="AX3816" s="782"/>
      <c r="AY3816" s="782">
        <v>12094129</v>
      </c>
      <c r="AZ3816" s="782"/>
      <c r="BA3816" s="781"/>
      <c r="BB3816" s="209">
        <v>23053185</v>
      </c>
    </row>
    <row r="3817" spans="1:54" ht="24.75" customHeight="1">
      <c r="B3817" s="602">
        <v>46298</v>
      </c>
      <c r="C3817" s="861" t="s">
        <v>3146</v>
      </c>
      <c r="D3817" s="604">
        <f>IF(B3817="","",YEAR(B3817))</f>
        <v>2026</v>
      </c>
      <c r="E3817" s="603" t="e">
        <f>VLOOKUP($B3817,Week!$A$1:$C$1462,2,0)</f>
        <v>#N/A</v>
      </c>
      <c r="F3817" s="605" t="str">
        <f>IF(B3817="","",TEXT(B3817,"[$-409]mmm"))</f>
        <v>Oct</v>
      </c>
      <c r="G3817" s="938" t="s">
        <v>47</v>
      </c>
      <c r="H3817" s="604" t="s">
        <v>260</v>
      </c>
      <c r="I3817" s="604" t="s">
        <v>2702</v>
      </c>
      <c r="J3817" s="939" t="s">
        <v>2240</v>
      </c>
      <c r="K3817" s="607" t="s">
        <v>94</v>
      </c>
      <c r="L3817" s="607" t="s">
        <v>2167</v>
      </c>
      <c r="M3817" s="606" t="s">
        <v>2338</v>
      </c>
      <c r="N3817" s="604" t="s">
        <v>2997</v>
      </c>
      <c r="O3817" s="604" t="s">
        <v>54</v>
      </c>
      <c r="P3817" s="608">
        <v>24</v>
      </c>
      <c r="Q3817" s="608">
        <v>5</v>
      </c>
      <c r="R3817" s="609">
        <v>6.1999999999999998E-3</v>
      </c>
      <c r="S3817" s="604" t="s">
        <v>352</v>
      </c>
      <c r="T3817" s="604" t="s">
        <v>56</v>
      </c>
      <c r="U3817" s="604" t="s">
        <v>57</v>
      </c>
      <c r="V3817" s="610">
        <f>14950-193-2767-4842-2767-2767</f>
        <v>1614</v>
      </c>
      <c r="W3817" s="610"/>
      <c r="X3817" s="611"/>
      <c r="Y3817" s="612">
        <f>(W3817+X3817)-V3817</f>
        <v>-1614</v>
      </c>
      <c r="Z3817" s="613">
        <f>IF(Y3817&lt;0,((V3817*P3817)-((W3817+X3817)*P3817)),0)</f>
        <v>38736</v>
      </c>
      <c r="AA3817" s="613">
        <f>Q3817*Z3817</f>
        <v>193680</v>
      </c>
      <c r="AB3817" s="836">
        <v>7.4999999999999997E-3</v>
      </c>
      <c r="AC3817" s="610">
        <f>Z3817*AB3817</f>
        <v>290.52</v>
      </c>
      <c r="AD3817" s="443"/>
      <c r="AE3817" s="210">
        <f t="shared" ref="AE3817" si="2423">SUM(Q3817*R3817*Z3817)/1000</f>
        <v>1.2008160000000001</v>
      </c>
      <c r="AF3817" s="210">
        <f>AE3817/0.54</f>
        <v>2.2237333333333336</v>
      </c>
      <c r="AG3817" s="211">
        <f t="shared" ref="AG3817" si="2424">MID(O3817,1,3)/1000</f>
        <v>0.13500000000000001</v>
      </c>
      <c r="AH3817" s="157">
        <f>(Z3817*AG3817)/1000</f>
        <v>5.2293600000000007</v>
      </c>
      <c r="AI3817" s="152">
        <f>V3817*P3817</f>
        <v>38736</v>
      </c>
      <c r="AK3817" s="156" t="s">
        <v>691</v>
      </c>
      <c r="AL3817" s="574" t="s">
        <v>690</v>
      </c>
      <c r="AM3817" s="198">
        <f>AG3817*Z3817</f>
        <v>5229.3600000000006</v>
      </c>
      <c r="AN3817" s="199">
        <f>B3817</f>
        <v>46298</v>
      </c>
      <c r="AO3817" s="159" t="s">
        <v>692</v>
      </c>
      <c r="AP3817" s="783" t="s">
        <v>622</v>
      </c>
      <c r="AQ3817" s="782">
        <v>12071839</v>
      </c>
      <c r="AR3817" s="782">
        <v>12099098</v>
      </c>
      <c r="AS3817" s="782">
        <v>12068233</v>
      </c>
      <c r="AT3817" s="781"/>
      <c r="AU3817" s="781"/>
      <c r="AV3817" s="782">
        <v>12099466</v>
      </c>
      <c r="AW3817" s="781"/>
      <c r="AX3817" s="781"/>
      <c r="AY3817" s="782">
        <v>12099097</v>
      </c>
      <c r="AZ3817" s="782"/>
      <c r="BA3817" s="781"/>
      <c r="BB3817" s="209">
        <v>23053184</v>
      </c>
    </row>
    <row r="3818" spans="1:54" ht="24.65" customHeight="1">
      <c r="B3818" s="411">
        <v>46298</v>
      </c>
      <c r="C3818" s="645" t="s">
        <v>3146</v>
      </c>
      <c r="D3818" s="185">
        <f t="shared" si="2396"/>
        <v>2026</v>
      </c>
      <c r="E3818" s="412" t="e">
        <f>VLOOKUP($B3818,Week!$A$1:$C$1462,2,0)</f>
        <v>#N/A</v>
      </c>
      <c r="F3818" s="413" t="str">
        <f t="shared" si="2397"/>
        <v>Oct</v>
      </c>
      <c r="G3818" s="414" t="s">
        <v>47</v>
      </c>
      <c r="H3818" s="414" t="s">
        <v>260</v>
      </c>
      <c r="I3818" s="414" t="s">
        <v>2702</v>
      </c>
      <c r="J3818" s="415" t="s">
        <v>261</v>
      </c>
      <c r="K3818" s="416" t="s">
        <v>94</v>
      </c>
      <c r="L3818" s="300" t="s">
        <v>2167</v>
      </c>
      <c r="M3818" s="415" t="s">
        <v>2339</v>
      </c>
      <c r="N3818" s="414" t="s">
        <v>263</v>
      </c>
      <c r="O3818" s="414" t="s">
        <v>195</v>
      </c>
      <c r="P3818" s="417">
        <v>24</v>
      </c>
      <c r="Q3818" s="417">
        <v>5</v>
      </c>
      <c r="R3818" s="418">
        <v>8.0000000000000002E-3</v>
      </c>
      <c r="S3818" s="414" t="s">
        <v>40</v>
      </c>
      <c r="T3818" s="414" t="s">
        <v>56</v>
      </c>
      <c r="U3818" s="414" t="s">
        <v>57</v>
      </c>
      <c r="V3818" s="419">
        <f>12500-136-4842-4842</f>
        <v>2680</v>
      </c>
      <c r="W3818" s="419"/>
      <c r="X3818" s="420"/>
      <c r="Y3818" s="421">
        <f t="shared" si="2398"/>
        <v>-2680</v>
      </c>
      <c r="Z3818" s="422">
        <f t="shared" si="2399"/>
        <v>64320</v>
      </c>
      <c r="AA3818" s="422">
        <f t="shared" si="2400"/>
        <v>321600</v>
      </c>
      <c r="AB3818" s="825">
        <v>7.4999999999999997E-3</v>
      </c>
      <c r="AC3818" s="419">
        <f t="shared" si="2401"/>
        <v>482.4</v>
      </c>
      <c r="AD3818" s="209"/>
      <c r="AE3818" s="210">
        <f t="shared" si="2402"/>
        <v>2.5728</v>
      </c>
      <c r="AF3818" s="210">
        <f t="shared" si="2403"/>
        <v>4.764444444444444</v>
      </c>
      <c r="AG3818" s="211">
        <f>MID(O3818,1,3)/1000</f>
        <v>0.14499999999999999</v>
      </c>
      <c r="AH3818" s="157">
        <f t="shared" si="2420"/>
        <v>9.3263999999999996</v>
      </c>
      <c r="AI3818" s="152">
        <f t="shared" si="2404"/>
        <v>64320</v>
      </c>
      <c r="AK3818" s="156" t="s">
        <v>691</v>
      </c>
      <c r="AL3818" s="212" t="s">
        <v>690</v>
      </c>
      <c r="AM3818" s="198">
        <f t="shared" si="2405"/>
        <v>9326.4</v>
      </c>
      <c r="AN3818" s="199">
        <f t="shared" si="2406"/>
        <v>46298</v>
      </c>
      <c r="AO3818" s="159" t="s">
        <v>692</v>
      </c>
      <c r="AP3818" s="783" t="s">
        <v>609</v>
      </c>
      <c r="AQ3818" s="782">
        <v>12071839</v>
      </c>
      <c r="AR3818" s="782">
        <v>12047514</v>
      </c>
      <c r="AS3818" s="782">
        <v>12047515</v>
      </c>
      <c r="AT3818" s="781"/>
      <c r="AU3818" s="781"/>
      <c r="AV3818" s="782">
        <v>12080613</v>
      </c>
      <c r="AW3818" s="781"/>
      <c r="AX3818" s="781"/>
      <c r="AY3818" s="782">
        <v>12094241</v>
      </c>
      <c r="AZ3818" s="782">
        <v>12094242</v>
      </c>
      <c r="BA3818" s="781"/>
      <c r="BB3818" s="209">
        <v>23053185</v>
      </c>
    </row>
    <row r="3819" spans="1:54" ht="25" customHeight="1">
      <c r="B3819" s="398">
        <v>46298</v>
      </c>
      <c r="C3819" s="879" t="s">
        <v>3146</v>
      </c>
      <c r="D3819" s="185">
        <f t="shared" si="2396"/>
        <v>2026</v>
      </c>
      <c r="E3819" s="399" t="e">
        <f>VLOOKUP($B3819,Week!$A$1:$C$1462,2,0)</f>
        <v>#N/A</v>
      </c>
      <c r="F3819" s="400" t="str">
        <f t="shared" si="2397"/>
        <v>Oct</v>
      </c>
      <c r="G3819" s="401" t="s">
        <v>47</v>
      </c>
      <c r="H3819" s="401" t="s">
        <v>518</v>
      </c>
      <c r="I3819" s="401" t="s">
        <v>2702</v>
      </c>
      <c r="J3819" s="402" t="s">
        <v>70</v>
      </c>
      <c r="K3819" s="403" t="s">
        <v>1645</v>
      </c>
      <c r="L3819" s="300" t="s">
        <v>2167</v>
      </c>
      <c r="M3819" s="402" t="s">
        <v>2567</v>
      </c>
      <c r="N3819" s="404" t="s">
        <v>2520</v>
      </c>
      <c r="O3819" s="401" t="s">
        <v>747</v>
      </c>
      <c r="P3819" s="405">
        <v>12</v>
      </c>
      <c r="Q3819" s="405">
        <v>5</v>
      </c>
      <c r="R3819" s="406">
        <v>8.0000000000000002E-3</v>
      </c>
      <c r="S3819" s="401" t="s">
        <v>352</v>
      </c>
      <c r="T3819" s="401" t="s">
        <v>56</v>
      </c>
      <c r="U3819" s="770" t="s">
        <v>669</v>
      </c>
      <c r="V3819" s="407">
        <f>560</f>
        <v>560</v>
      </c>
      <c r="W3819" s="407"/>
      <c r="X3819" s="408"/>
      <c r="Y3819" s="409">
        <f t="shared" si="2398"/>
        <v>-560</v>
      </c>
      <c r="Z3819" s="410">
        <f t="shared" si="2399"/>
        <v>6720</v>
      </c>
      <c r="AA3819" s="410">
        <f t="shared" si="2400"/>
        <v>33600</v>
      </c>
      <c r="AB3819" s="824">
        <v>8.9999999999999993E-3</v>
      </c>
      <c r="AC3819" s="407">
        <f t="shared" si="2401"/>
        <v>60.48</v>
      </c>
      <c r="AD3819" s="307"/>
      <c r="AE3819" s="210">
        <f t="shared" si="2402"/>
        <v>0.26880000000000004</v>
      </c>
      <c r="AF3819" s="210">
        <f t="shared" si="2403"/>
        <v>0.49777777777777782</v>
      </c>
      <c r="AG3819" s="211">
        <f>MID(O3819,1,3)/1000</f>
        <v>0.14299999999999999</v>
      </c>
      <c r="AH3819" s="157">
        <f t="shared" si="2420"/>
        <v>0.96095999999999993</v>
      </c>
      <c r="AI3819" s="152">
        <f t="shared" si="2404"/>
        <v>6720</v>
      </c>
      <c r="AK3819" s="156" t="s">
        <v>691</v>
      </c>
      <c r="AL3819" s="212" t="s">
        <v>690</v>
      </c>
      <c r="AM3819" s="198">
        <f t="shared" si="2405"/>
        <v>960.95999999999992</v>
      </c>
      <c r="AN3819" s="199">
        <f t="shared" si="2406"/>
        <v>46298</v>
      </c>
      <c r="AO3819" s="159" t="s">
        <v>692</v>
      </c>
      <c r="AP3819" s="783" t="s">
        <v>623</v>
      </c>
      <c r="AQ3819" s="782">
        <v>12071839</v>
      </c>
      <c r="AR3819" s="782">
        <v>12047514</v>
      </c>
      <c r="AS3819" s="782">
        <v>12047515</v>
      </c>
      <c r="AT3819" s="782"/>
      <c r="AU3819" s="781"/>
      <c r="AV3819" s="782">
        <v>12096536</v>
      </c>
      <c r="AW3819" s="782"/>
      <c r="AX3819" s="782"/>
      <c r="AY3819" s="782">
        <v>12096534</v>
      </c>
      <c r="AZ3819" s="782">
        <v>12096535</v>
      </c>
      <c r="BA3819" s="781"/>
      <c r="BB3819" s="209">
        <v>23098853</v>
      </c>
    </row>
    <row r="3820" spans="1:54" ht="24.65" customHeight="1">
      <c r="B3820" s="466">
        <v>46299</v>
      </c>
      <c r="C3820" s="467">
        <v>46321</v>
      </c>
      <c r="D3820" s="185">
        <f t="shared" ref="D3820" si="2425">IF(B3820="","",YEAR(B3820))</f>
        <v>2026</v>
      </c>
      <c r="E3820" s="467" t="e">
        <f>VLOOKUP($B3820,Week!$A$1:$C$1462,2,0)</f>
        <v>#N/A</v>
      </c>
      <c r="F3820" s="469" t="str">
        <f t="shared" ref="F3820" si="2426">IF(B3820="","",TEXT(B3820,"[$-409]mmm"))</f>
        <v>Oct</v>
      </c>
      <c r="G3820" s="641" t="s">
        <v>3208</v>
      </c>
      <c r="H3820" s="482" t="s">
        <v>104</v>
      </c>
      <c r="I3820" s="482" t="s">
        <v>2772</v>
      </c>
      <c r="J3820" s="483" t="s">
        <v>105</v>
      </c>
      <c r="K3820" s="484" t="s">
        <v>51</v>
      </c>
      <c r="L3820" s="300" t="s">
        <v>2167</v>
      </c>
      <c r="M3820" s="483" t="s">
        <v>674</v>
      </c>
      <c r="N3820" s="482" t="s">
        <v>677</v>
      </c>
      <c r="O3820" s="482" t="s">
        <v>501</v>
      </c>
      <c r="P3820" s="473">
        <v>36</v>
      </c>
      <c r="Q3820" s="473">
        <v>5</v>
      </c>
      <c r="R3820" s="474">
        <v>6.0000000000000001E-3</v>
      </c>
      <c r="S3820" s="482" t="s">
        <v>55</v>
      </c>
      <c r="T3820" s="482" t="s">
        <v>112</v>
      </c>
      <c r="U3820" s="482" t="s">
        <v>57</v>
      </c>
      <c r="V3820" s="475">
        <f>700</f>
        <v>700</v>
      </c>
      <c r="W3820" s="475"/>
      <c r="X3820" s="476"/>
      <c r="Y3820" s="477">
        <f>(W3820+X3820)-V3820</f>
        <v>-700</v>
      </c>
      <c r="Z3820" s="478">
        <f>IF(Y3820&lt;0,((V3820*P3820)-((W3820+X3820)*P3820)),0)</f>
        <v>25200</v>
      </c>
      <c r="AA3820" s="478">
        <f>Q3820*Z3820</f>
        <v>126000</v>
      </c>
      <c r="AB3820" s="828">
        <v>7.4999999999999997E-3</v>
      </c>
      <c r="AC3820" s="475">
        <f>Z3820*AB3820</f>
        <v>189</v>
      </c>
      <c r="AD3820" s="486" t="s">
        <v>2895</v>
      </c>
      <c r="AE3820" s="210">
        <f>SUM(Q3820*R3820*Z3820)/1000</f>
        <v>0.75600000000000001</v>
      </c>
      <c r="AF3820" s="210">
        <f>AE3820/0.54</f>
        <v>1.4</v>
      </c>
      <c r="AG3820" s="211">
        <v>0.14499999999999999</v>
      </c>
      <c r="AH3820" s="157">
        <f>(Z3820*AG3820)/1000</f>
        <v>3.6539999999999995</v>
      </c>
      <c r="AI3820" s="152">
        <v>19800</v>
      </c>
      <c r="AK3820" s="156" t="s">
        <v>691</v>
      </c>
      <c r="AL3820" s="212" t="s">
        <v>690</v>
      </c>
      <c r="AM3820" s="198">
        <f>AG3820*Z3820</f>
        <v>3653.9999999999995</v>
      </c>
      <c r="AN3820" s="199">
        <f>B3820</f>
        <v>46299</v>
      </c>
      <c r="AO3820" s="159" t="s">
        <v>692</v>
      </c>
      <c r="AP3820" s="781"/>
      <c r="AQ3820" s="782">
        <v>12071839</v>
      </c>
      <c r="AR3820" s="782">
        <v>12047514</v>
      </c>
      <c r="AS3820" s="782">
        <v>12047515</v>
      </c>
      <c r="AT3820" s="782">
        <v>12085743</v>
      </c>
      <c r="AU3820" s="781"/>
      <c r="AV3820" s="782">
        <v>12098690</v>
      </c>
      <c r="AW3820" s="782">
        <v>12024404</v>
      </c>
      <c r="AX3820" s="782"/>
      <c r="AY3820" s="782">
        <v>12094238</v>
      </c>
      <c r="AZ3820" s="782"/>
      <c r="BA3820" s="781"/>
      <c r="BB3820" s="209">
        <v>23053185</v>
      </c>
    </row>
    <row r="3821" spans="1:54" ht="24.65" customHeight="1">
      <c r="B3821" s="369">
        <v>46299</v>
      </c>
      <c r="C3821" s="370">
        <v>46309</v>
      </c>
      <c r="D3821" s="185">
        <f>IF(B3821="","",YEAR(B3821))</f>
        <v>2026</v>
      </c>
      <c r="E3821" s="370" t="e">
        <f>VLOOKUP($B3821,Week!$A$1:$C$1462,2,0)</f>
        <v>#N/A</v>
      </c>
      <c r="F3821" s="372" t="str">
        <f>IF(B3821="","",TEXT(B3821,"[$-409]mmm"))</f>
        <v>Oct</v>
      </c>
      <c r="G3821" s="439" t="s">
        <v>3207</v>
      </c>
      <c r="H3821" s="371" t="s">
        <v>104</v>
      </c>
      <c r="I3821" s="371" t="s">
        <v>2772</v>
      </c>
      <c r="J3821" s="373" t="s">
        <v>105</v>
      </c>
      <c r="K3821" s="374" t="s">
        <v>593</v>
      </c>
      <c r="L3821" s="300" t="s">
        <v>2167</v>
      </c>
      <c r="M3821" s="373" t="s">
        <v>594</v>
      </c>
      <c r="N3821" s="371" t="s">
        <v>687</v>
      </c>
      <c r="O3821" s="371" t="s">
        <v>415</v>
      </c>
      <c r="P3821" s="375">
        <v>24</v>
      </c>
      <c r="Q3821" s="375">
        <v>5</v>
      </c>
      <c r="R3821" s="376">
        <v>6.0000000000000001E-3</v>
      </c>
      <c r="S3821" s="371" t="s">
        <v>55</v>
      </c>
      <c r="T3821" s="371" t="s">
        <v>112</v>
      </c>
      <c r="U3821" s="371" t="s">
        <v>57</v>
      </c>
      <c r="V3821" s="377">
        <f>520</f>
        <v>520</v>
      </c>
      <c r="W3821" s="377"/>
      <c r="X3821" s="378"/>
      <c r="Y3821" s="379">
        <f>(W3821+X3821)-V3821</f>
        <v>-520</v>
      </c>
      <c r="Z3821" s="380">
        <f>IF(Y3821&lt;0,((V3821*P3821)-((W3821+X3821)*P3821)),0)</f>
        <v>12480</v>
      </c>
      <c r="AA3821" s="380">
        <f>Q3821*Z3821</f>
        <v>62400</v>
      </c>
      <c r="AB3821" s="820">
        <v>7.4999999999999997E-3</v>
      </c>
      <c r="AC3821" s="377">
        <f>Z3821*AB3821</f>
        <v>93.6</v>
      </c>
      <c r="AD3821" s="486" t="s">
        <v>2895</v>
      </c>
      <c r="AE3821" s="210">
        <f>SUM(Q3821*R3821*Z3821)/1000</f>
        <v>0.37439999999999996</v>
      </c>
      <c r="AF3821" s="210">
        <f>AE3821/0.54</f>
        <v>0.69333333333333325</v>
      </c>
      <c r="AG3821" s="211">
        <f t="shared" ref="AG3821" si="2427">MID(O3821,1,3)/1000</f>
        <v>0.25800000000000001</v>
      </c>
      <c r="AH3821" s="157">
        <f>(Z3821*AG3821)/1000</f>
        <v>3.21984</v>
      </c>
      <c r="AI3821" s="152">
        <f t="shared" ref="AI3821" si="2428">V3821*P3821</f>
        <v>12480</v>
      </c>
      <c r="AK3821" s="156" t="s">
        <v>691</v>
      </c>
      <c r="AL3821" s="212" t="s">
        <v>690</v>
      </c>
      <c r="AM3821" s="198">
        <f>AG3821*Z3821</f>
        <v>3219.84</v>
      </c>
      <c r="AN3821" s="199">
        <f>B3821</f>
        <v>46299</v>
      </c>
      <c r="AO3821" s="159" t="s">
        <v>692</v>
      </c>
      <c r="AP3821" s="783"/>
      <c r="AQ3821" s="782">
        <v>12071839</v>
      </c>
      <c r="AR3821" s="782">
        <v>12042650</v>
      </c>
      <c r="AS3821" s="782">
        <v>12042649</v>
      </c>
      <c r="AT3821" s="782">
        <v>12085742</v>
      </c>
      <c r="AU3821" s="781"/>
      <c r="AV3821" s="782">
        <v>12085744</v>
      </c>
      <c r="AW3821" s="782">
        <v>12049607</v>
      </c>
      <c r="AX3821" s="782"/>
      <c r="AY3821" s="782">
        <v>12094129</v>
      </c>
      <c r="AZ3821" s="782"/>
      <c r="BA3821" s="781"/>
      <c r="BB3821" s="209">
        <v>23053185</v>
      </c>
    </row>
    <row r="3822" spans="1:54" ht="24.65" customHeight="1">
      <c r="B3822" s="369">
        <v>46299</v>
      </c>
      <c r="C3822" s="370">
        <v>46321</v>
      </c>
      <c r="D3822" s="185">
        <f>IF(B3822="","",YEAR(B3822))</f>
        <v>2026</v>
      </c>
      <c r="E3822" s="370" t="e">
        <f>VLOOKUP($B3822,Week!$A$1:$C$1462,2,0)</f>
        <v>#N/A</v>
      </c>
      <c r="F3822" s="372" t="str">
        <f>IF(B3822="","",TEXT(B3822,"[$-409]mmm"))</f>
        <v>Oct</v>
      </c>
      <c r="G3822" s="439" t="s">
        <v>3208</v>
      </c>
      <c r="H3822" s="371" t="s">
        <v>104</v>
      </c>
      <c r="I3822" s="371" t="s">
        <v>2772</v>
      </c>
      <c r="J3822" s="373" t="s">
        <v>105</v>
      </c>
      <c r="K3822" s="374" t="s">
        <v>593</v>
      </c>
      <c r="L3822" s="300" t="s">
        <v>2167</v>
      </c>
      <c r="M3822" s="373" t="s">
        <v>594</v>
      </c>
      <c r="N3822" s="371" t="s">
        <v>687</v>
      </c>
      <c r="O3822" s="371" t="s">
        <v>415</v>
      </c>
      <c r="P3822" s="375">
        <v>24</v>
      </c>
      <c r="Q3822" s="375">
        <v>5</v>
      </c>
      <c r="R3822" s="376">
        <v>6.0000000000000001E-3</v>
      </c>
      <c r="S3822" s="371" t="s">
        <v>55</v>
      </c>
      <c r="T3822" s="371" t="s">
        <v>112</v>
      </c>
      <c r="U3822" s="371" t="s">
        <v>57</v>
      </c>
      <c r="V3822" s="377">
        <f>400</f>
        <v>400</v>
      </c>
      <c r="W3822" s="377"/>
      <c r="X3822" s="378"/>
      <c r="Y3822" s="379">
        <f>(W3822+X3822)-V3822</f>
        <v>-400</v>
      </c>
      <c r="Z3822" s="380">
        <f>IF(Y3822&lt;0,((V3822*P3822)-((W3822+X3822)*P3822)),0)</f>
        <v>9600</v>
      </c>
      <c r="AA3822" s="380">
        <f>Q3822*Z3822</f>
        <v>48000</v>
      </c>
      <c r="AB3822" s="820">
        <v>7.4999999999999997E-3</v>
      </c>
      <c r="AC3822" s="377">
        <f>Z3822*AB3822</f>
        <v>72</v>
      </c>
      <c r="AD3822" s="486" t="s">
        <v>2895</v>
      </c>
      <c r="AE3822" s="210">
        <f>SUM(Q3822*R3822*Z3822)/1000</f>
        <v>0.28799999999999998</v>
      </c>
      <c r="AF3822" s="210">
        <f>AE3822/0.54</f>
        <v>0.53333333333333321</v>
      </c>
      <c r="AG3822" s="211">
        <f t="shared" ref="AG3822" si="2429">MID(O3822,1,3)/1000</f>
        <v>0.25800000000000001</v>
      </c>
      <c r="AH3822" s="157">
        <f>(Z3822*AG3822)/1000</f>
        <v>2.4768000000000003</v>
      </c>
      <c r="AI3822" s="152">
        <f t="shared" ref="AI3822" si="2430">V3822*P3822</f>
        <v>9600</v>
      </c>
      <c r="AK3822" s="156" t="s">
        <v>691</v>
      </c>
      <c r="AL3822" s="212" t="s">
        <v>690</v>
      </c>
      <c r="AM3822" s="198">
        <f>AG3822*Z3822</f>
        <v>2476.8000000000002</v>
      </c>
      <c r="AN3822" s="199">
        <f>B3822</f>
        <v>46299</v>
      </c>
      <c r="AO3822" s="159" t="s">
        <v>692</v>
      </c>
      <c r="AP3822" s="783"/>
      <c r="AQ3822" s="782">
        <v>12071839</v>
      </c>
      <c r="AR3822" s="782">
        <v>12042650</v>
      </c>
      <c r="AS3822" s="782">
        <v>12042649</v>
      </c>
      <c r="AT3822" s="782">
        <v>12085742</v>
      </c>
      <c r="AU3822" s="781"/>
      <c r="AV3822" s="782">
        <v>12085744</v>
      </c>
      <c r="AW3822" s="782">
        <v>12049607</v>
      </c>
      <c r="AX3822" s="782"/>
      <c r="AY3822" s="782">
        <v>12094129</v>
      </c>
      <c r="AZ3822" s="782"/>
      <c r="BA3822" s="781"/>
      <c r="BB3822" s="209">
        <v>23053185</v>
      </c>
    </row>
    <row r="3823" spans="1:54" ht="24.65" customHeight="1">
      <c r="B3823" s="308">
        <v>46299</v>
      </c>
      <c r="C3823" s="309">
        <v>46331</v>
      </c>
      <c r="D3823" s="185">
        <f t="shared" ref="D3823" si="2431">IF(B3823="","",YEAR(B3823))</f>
        <v>2026</v>
      </c>
      <c r="E3823" s="309" t="e">
        <f>VLOOKUP($B3823,Week!$A$1:$C$1462,2,0)</f>
        <v>#N/A</v>
      </c>
      <c r="F3823" s="310" t="str">
        <f t="shared" ref="F3823" si="2432">IF(B3823="","",TEXT(B3823,"[$-409]mmm"))</f>
        <v>Oct</v>
      </c>
      <c r="G3823" s="311" t="s">
        <v>3202</v>
      </c>
      <c r="H3823" s="311" t="s">
        <v>311</v>
      </c>
      <c r="I3823" s="311" t="s">
        <v>2772</v>
      </c>
      <c r="J3823" s="312" t="s">
        <v>738</v>
      </c>
      <c r="K3823" s="313" t="s">
        <v>107</v>
      </c>
      <c r="L3823" s="300" t="s">
        <v>2167</v>
      </c>
      <c r="M3823" s="312" t="s">
        <v>313</v>
      </c>
      <c r="N3823" s="311" t="s">
        <v>314</v>
      </c>
      <c r="O3823" s="311" t="s">
        <v>110</v>
      </c>
      <c r="P3823" s="314">
        <v>36</v>
      </c>
      <c r="Q3823" s="314">
        <v>5</v>
      </c>
      <c r="R3823" s="315">
        <v>7.4999999999999997E-3</v>
      </c>
      <c r="S3823" s="311" t="s">
        <v>111</v>
      </c>
      <c r="T3823" s="311" t="s">
        <v>112</v>
      </c>
      <c r="U3823" s="311" t="s">
        <v>57</v>
      </c>
      <c r="V3823" s="316">
        <v>792</v>
      </c>
      <c r="W3823" s="316"/>
      <c r="X3823" s="317"/>
      <c r="Y3823" s="318">
        <f t="shared" ref="Y3823" si="2433">(W3823+X3823)-V3823</f>
        <v>-792</v>
      </c>
      <c r="Z3823" s="319">
        <f t="shared" ref="Z3823" si="2434">IF(Y3823&lt;0,((V3823*P3823)-((W3823+X3823)*P3823)),0)</f>
        <v>28512</v>
      </c>
      <c r="AA3823" s="319">
        <f t="shared" ref="AA3823" si="2435">Q3823*Z3823</f>
        <v>142560</v>
      </c>
      <c r="AB3823" s="815">
        <v>7.4999999999999997E-3</v>
      </c>
      <c r="AC3823" s="316">
        <f t="shared" ref="AC3823" si="2436">Z3823*AB3823</f>
        <v>213.84</v>
      </c>
      <c r="AD3823" s="209"/>
      <c r="AE3823" s="210">
        <f t="shared" si="2402"/>
        <v>1.0692000000000002</v>
      </c>
      <c r="AF3823" s="210">
        <f t="shared" ref="AF3823" si="2437">AE3823/0.54</f>
        <v>1.9800000000000002</v>
      </c>
      <c r="AG3823" s="211">
        <f t="shared" ref="AG3823" si="2438">MID(O3823,1,3)/1000</f>
        <v>0.308</v>
      </c>
      <c r="AH3823" s="157">
        <f t="shared" si="2420"/>
        <v>8.7816960000000002</v>
      </c>
      <c r="AI3823" s="152">
        <f t="shared" ref="AI3823" si="2439">V3823*P3823</f>
        <v>28512</v>
      </c>
      <c r="AK3823" s="156" t="s">
        <v>691</v>
      </c>
      <c r="AL3823" s="212" t="s">
        <v>690</v>
      </c>
      <c r="AM3823" s="198">
        <f t="shared" ref="AM3823" si="2440">AG3823*Z3823</f>
        <v>8781.6959999999999</v>
      </c>
      <c r="AN3823" s="199">
        <f t="shared" ref="AN3823" si="2441">B3823</f>
        <v>46299</v>
      </c>
      <c r="AO3823" s="159" t="s">
        <v>692</v>
      </c>
      <c r="AP3823" s="783" t="s">
        <v>644</v>
      </c>
      <c r="AQ3823" s="782">
        <v>12063755</v>
      </c>
      <c r="AR3823" s="782">
        <v>12081257</v>
      </c>
      <c r="AS3823" s="782">
        <v>12081260</v>
      </c>
      <c r="AT3823" s="782">
        <v>12098623</v>
      </c>
      <c r="AU3823" s="781"/>
      <c r="AV3823" s="782">
        <v>12098706</v>
      </c>
      <c r="AW3823" s="782">
        <v>12088207</v>
      </c>
      <c r="AX3823" s="782"/>
      <c r="AY3823" s="782">
        <v>12094237</v>
      </c>
      <c r="AZ3823" s="782"/>
      <c r="BA3823" s="781"/>
      <c r="BB3823" s="209">
        <v>23053185</v>
      </c>
    </row>
    <row r="3824" spans="1:54" ht="24.75" customHeight="1">
      <c r="B3824" s="320">
        <v>46299</v>
      </c>
      <c r="C3824" s="321">
        <v>46331</v>
      </c>
      <c r="D3824" s="185">
        <f>IF(B3824="","",YEAR(B3824))</f>
        <v>2026</v>
      </c>
      <c r="E3824" s="321" t="e">
        <f>VLOOKUP($B3824,Week!$A$1:$C$1462,2,0)</f>
        <v>#N/A</v>
      </c>
      <c r="F3824" s="322" t="str">
        <f>IF(B3824="","",TEXT(B3824,"[$-409]mmm"))</f>
        <v>Oct</v>
      </c>
      <c r="G3824" s="323" t="s">
        <v>3183</v>
      </c>
      <c r="H3824" s="323" t="s">
        <v>311</v>
      </c>
      <c r="I3824" s="323" t="s">
        <v>2772</v>
      </c>
      <c r="J3824" s="324" t="s">
        <v>2913</v>
      </c>
      <c r="K3824" s="325" t="s">
        <v>107</v>
      </c>
      <c r="L3824" s="300" t="s">
        <v>2167</v>
      </c>
      <c r="M3824" s="324" t="s">
        <v>313</v>
      </c>
      <c r="N3824" s="596" t="s">
        <v>2853</v>
      </c>
      <c r="O3824" s="323" t="s">
        <v>2747</v>
      </c>
      <c r="P3824" s="326">
        <v>5</v>
      </c>
      <c r="Q3824" s="326">
        <v>4</v>
      </c>
      <c r="R3824" s="327">
        <v>7.4999999999999997E-3</v>
      </c>
      <c r="S3824" s="323" t="s">
        <v>111</v>
      </c>
      <c r="T3824" s="323" t="s">
        <v>112</v>
      </c>
      <c r="U3824" s="323" t="s">
        <v>57</v>
      </c>
      <c r="V3824" s="328">
        <f>5000+76</f>
        <v>5076</v>
      </c>
      <c r="W3824" s="328"/>
      <c r="X3824" s="329"/>
      <c r="Y3824" s="330">
        <f>(W3824+X3824)-V3824</f>
        <v>-5076</v>
      </c>
      <c r="Z3824" s="331">
        <f>IF(Y3824&lt;0,((V3824*P3824)-((W3824+X3824)*P3824)),0)</f>
        <v>25380</v>
      </c>
      <c r="AA3824" s="331">
        <f>Q3824*Z3824</f>
        <v>101520</v>
      </c>
      <c r="AB3824" s="816">
        <v>7.4999999999999997E-3</v>
      </c>
      <c r="AC3824" s="328">
        <f>Z3824*AB3824</f>
        <v>190.35</v>
      </c>
      <c r="AD3824" s="307" t="s">
        <v>2354</v>
      </c>
      <c r="AE3824" s="210">
        <f t="shared" si="2402"/>
        <v>0.76139999999999997</v>
      </c>
      <c r="AF3824" s="210">
        <f>AE3824/0.54</f>
        <v>1.41</v>
      </c>
      <c r="AG3824" s="211">
        <f>MID(O3824,1,3)/1000</f>
        <v>0.30499999999999999</v>
      </c>
      <c r="AH3824" s="157">
        <f t="shared" si="2420"/>
        <v>7.7408999999999999</v>
      </c>
      <c r="AI3824" s="152">
        <f>V3824*P3824</f>
        <v>25380</v>
      </c>
      <c r="AK3824" s="156" t="s">
        <v>691</v>
      </c>
      <c r="AL3824" s="212" t="s">
        <v>690</v>
      </c>
      <c r="AM3824" s="198">
        <f>AG3824*Z3824</f>
        <v>7740.9</v>
      </c>
      <c r="AN3824" s="199">
        <f>B3824</f>
        <v>46299</v>
      </c>
      <c r="AO3824" s="159" t="s">
        <v>692</v>
      </c>
      <c r="AP3824" s="783" t="s">
        <v>643</v>
      </c>
      <c r="AQ3824" s="782">
        <v>12063755</v>
      </c>
      <c r="AR3824" s="782">
        <v>12081257</v>
      </c>
      <c r="AS3824" s="782">
        <v>12081260</v>
      </c>
      <c r="AT3824" s="782">
        <v>12098252</v>
      </c>
      <c r="AU3824" s="781"/>
      <c r="AV3824" s="782">
        <v>12098251</v>
      </c>
      <c r="AW3824" s="782"/>
      <c r="AX3824" s="782"/>
      <c r="AY3824" s="781"/>
      <c r="AZ3824" s="781"/>
      <c r="BA3824" s="781"/>
      <c r="BB3824" s="209">
        <v>23053185</v>
      </c>
    </row>
    <row r="3825" spans="1:54" ht="25" customHeight="1">
      <c r="A3825" s="440"/>
      <c r="B3825" s="200">
        <v>46299</v>
      </c>
      <c r="C3825" s="201">
        <v>46338</v>
      </c>
      <c r="D3825" s="512">
        <f>IF(B3825="","",YEAR(B3825))</f>
        <v>2026</v>
      </c>
      <c r="E3825" s="201" t="e">
        <f>VLOOKUP($B3825,Week!$A$1:$C$1462,2,0)</f>
        <v>#N/A</v>
      </c>
      <c r="F3825" s="202" t="str">
        <f>IF(B3825="","",TEXT(B3825,"[$-409]mmm"))</f>
        <v>Oct</v>
      </c>
      <c r="G3825" s="512" t="s">
        <v>3194</v>
      </c>
      <c r="H3825" s="512" t="s">
        <v>311</v>
      </c>
      <c r="I3825" s="512" t="s">
        <v>2772</v>
      </c>
      <c r="J3825" s="513" t="s">
        <v>738</v>
      </c>
      <c r="K3825" s="514" t="s">
        <v>1652</v>
      </c>
      <c r="L3825" s="514" t="s">
        <v>2167</v>
      </c>
      <c r="M3825" s="513" t="s">
        <v>3034</v>
      </c>
      <c r="N3825" s="512" t="s">
        <v>3035</v>
      </c>
      <c r="O3825" s="512" t="s">
        <v>2840</v>
      </c>
      <c r="P3825" s="203">
        <v>24</v>
      </c>
      <c r="Q3825" s="203">
        <v>3</v>
      </c>
      <c r="R3825" s="204">
        <v>6.0000000000000001E-3</v>
      </c>
      <c r="S3825" s="512" t="s">
        <v>55</v>
      </c>
      <c r="T3825" s="512" t="s">
        <v>112</v>
      </c>
      <c r="U3825" s="916" t="s">
        <v>724</v>
      </c>
      <c r="V3825" s="205">
        <f>700</f>
        <v>700</v>
      </c>
      <c r="W3825" s="205"/>
      <c r="X3825" s="206"/>
      <c r="Y3825" s="207">
        <f>(W3825+X3825)-V3825</f>
        <v>-700</v>
      </c>
      <c r="Z3825" s="208">
        <f>IF(Y3825&lt;0,((V3825*P3825)-((W3825+X3825)*P3825)),0)</f>
        <v>16800</v>
      </c>
      <c r="AA3825" s="208">
        <f>Q3825*Z3825</f>
        <v>50400</v>
      </c>
      <c r="AB3825" s="806">
        <v>3.8699999999999998E-2</v>
      </c>
      <c r="AC3825" s="205">
        <f>Z3825*AB3825</f>
        <v>650.16</v>
      </c>
      <c r="AD3825" s="209" t="s">
        <v>2354</v>
      </c>
      <c r="AE3825" s="210">
        <f t="shared" si="2402"/>
        <v>0.30240000000000006</v>
      </c>
      <c r="AF3825" s="210">
        <f>AE3825/0.54</f>
        <v>0.56000000000000005</v>
      </c>
      <c r="AG3825" s="211">
        <f>MID(O3825,1,3)/1000</f>
        <v>0.30199999999999999</v>
      </c>
      <c r="AH3825" s="157">
        <f t="shared" si="2420"/>
        <v>5.0735999999999999</v>
      </c>
      <c r="AI3825" s="152">
        <f>V3825*P3825</f>
        <v>16800</v>
      </c>
      <c r="AK3825" s="156" t="s">
        <v>691</v>
      </c>
      <c r="AL3825" s="212" t="s">
        <v>690</v>
      </c>
      <c r="AM3825" s="198">
        <f>AG3825*Z3825</f>
        <v>5073.5999999999995</v>
      </c>
      <c r="AN3825" s="199">
        <f>B3825</f>
        <v>46299</v>
      </c>
      <c r="AO3825" s="159" t="s">
        <v>692</v>
      </c>
      <c r="AP3825" s="781" t="s">
        <v>642</v>
      </c>
      <c r="AQ3825" s="782">
        <v>12063755</v>
      </c>
      <c r="AR3825" s="782">
        <v>12081257</v>
      </c>
      <c r="AS3825" s="782">
        <v>12081260</v>
      </c>
      <c r="AT3825" s="782">
        <v>12099775</v>
      </c>
      <c r="AU3825" s="781"/>
      <c r="AV3825" s="782">
        <v>12099773</v>
      </c>
      <c r="AW3825" s="782">
        <v>12099774</v>
      </c>
      <c r="AX3825" s="782"/>
      <c r="AY3825" s="782">
        <v>12099776</v>
      </c>
      <c r="AZ3825" s="782"/>
      <c r="BA3825" s="781"/>
      <c r="BB3825" s="209">
        <v>23105470</v>
      </c>
    </row>
    <row r="3826" spans="1:54" ht="25" customHeight="1">
      <c r="B3826" s="183">
        <v>46300</v>
      </c>
      <c r="C3826" s="184"/>
      <c r="D3826" s="185">
        <f t="shared" si="2155"/>
        <v>2026</v>
      </c>
      <c r="E3826" s="185" t="e">
        <f>VLOOKUP($B3826,Week!$A$1:$C$1462,2,0)</f>
        <v>#N/A</v>
      </c>
      <c r="F3826" s="186" t="str">
        <f t="shared" si="2156"/>
        <v>Oct</v>
      </c>
      <c r="G3826" s="481"/>
      <c r="H3826" s="185"/>
      <c r="I3826" s="185"/>
      <c r="J3826" s="187"/>
      <c r="K3826" s="188"/>
      <c r="L3826" s="188"/>
      <c r="M3826" s="187"/>
      <c r="N3826" s="185"/>
      <c r="O3826" s="185"/>
      <c r="P3826" s="189"/>
      <c r="Q3826" s="189"/>
      <c r="R3826" s="190"/>
      <c r="S3826" s="185"/>
      <c r="T3826" s="185"/>
      <c r="U3826" s="185"/>
      <c r="V3826" s="191"/>
      <c r="W3826" s="191"/>
      <c r="X3826" s="192"/>
      <c r="Y3826" s="193"/>
      <c r="Z3826" s="194"/>
      <c r="AA3826" s="194">
        <f t="shared" si="2157"/>
        <v>0</v>
      </c>
      <c r="AB3826" s="805"/>
      <c r="AC3826" s="191"/>
      <c r="AD3826" s="187"/>
      <c r="AE3826" s="195"/>
      <c r="AF3826" s="195"/>
      <c r="AG3826" s="196"/>
      <c r="AH3826" s="197"/>
      <c r="AK3826" s="156" t="s">
        <v>691</v>
      </c>
      <c r="AM3826" s="198">
        <f t="shared" si="2158"/>
        <v>0</v>
      </c>
      <c r="AN3826" s="199">
        <f t="shared" si="2159"/>
        <v>46300</v>
      </c>
      <c r="AO3826" s="159" t="s">
        <v>692</v>
      </c>
      <c r="AP3826" s="781"/>
      <c r="AQ3826" s="782"/>
      <c r="AR3826" s="782"/>
      <c r="AS3826" s="782"/>
      <c r="AT3826" s="782"/>
      <c r="AU3826" s="781"/>
      <c r="AV3826" s="782"/>
      <c r="AW3826" s="782"/>
      <c r="AX3826" s="782"/>
      <c r="AY3826" s="782"/>
      <c r="AZ3826" s="782"/>
      <c r="BA3826" s="781"/>
      <c r="BB3826" s="209"/>
    </row>
    <row r="3827" spans="1:54" ht="25" customHeight="1">
      <c r="B3827" s="183">
        <v>46301</v>
      </c>
      <c r="C3827" s="184"/>
      <c r="D3827" s="185">
        <f t="shared" ref="D3827" si="2442">IF(B3827="","",YEAR(B3827))</f>
        <v>2026</v>
      </c>
      <c r="E3827" s="185" t="e">
        <f>VLOOKUP($B3827,Week!$A$1:$C$1462,2,0)</f>
        <v>#N/A</v>
      </c>
      <c r="F3827" s="186" t="str">
        <f t="shared" ref="F3827" si="2443">IF(B3827="","",TEXT(B3827,"[$-409]mmm"))</f>
        <v>Oct</v>
      </c>
      <c r="G3827" s="481"/>
      <c r="H3827" s="185"/>
      <c r="I3827" s="185"/>
      <c r="J3827" s="187"/>
      <c r="K3827" s="188"/>
      <c r="L3827" s="188"/>
      <c r="M3827" s="187"/>
      <c r="N3827" s="185"/>
      <c r="O3827" s="185"/>
      <c r="P3827" s="189"/>
      <c r="Q3827" s="189"/>
      <c r="R3827" s="190"/>
      <c r="S3827" s="185"/>
      <c r="T3827" s="185"/>
      <c r="U3827" s="185"/>
      <c r="V3827" s="191"/>
      <c r="W3827" s="191"/>
      <c r="X3827" s="192"/>
      <c r="Y3827" s="193"/>
      <c r="Z3827" s="194"/>
      <c r="AA3827" s="194">
        <f t="shared" ref="AA3827" si="2444">Q3827*Z3827</f>
        <v>0</v>
      </c>
      <c r="AB3827" s="805"/>
      <c r="AC3827" s="191"/>
      <c r="AD3827" s="187"/>
      <c r="AE3827" s="195"/>
      <c r="AF3827" s="195"/>
      <c r="AG3827" s="196"/>
      <c r="AH3827" s="197"/>
      <c r="AK3827" s="156" t="s">
        <v>691</v>
      </c>
      <c r="AM3827" s="198">
        <f t="shared" ref="AM3827" si="2445">AG3827*Z3827</f>
        <v>0</v>
      </c>
      <c r="AN3827" s="199">
        <f t="shared" ref="AN3827" si="2446">B3827</f>
        <v>46301</v>
      </c>
      <c r="AO3827" s="159" t="s">
        <v>692</v>
      </c>
      <c r="AP3827" s="781"/>
      <c r="AQ3827" s="782"/>
      <c r="AR3827" s="782"/>
      <c r="AS3827" s="782"/>
      <c r="AT3827" s="782"/>
      <c r="AU3827" s="781"/>
      <c r="AV3827" s="782"/>
      <c r="AW3827" s="782"/>
      <c r="AX3827" s="782"/>
      <c r="AY3827" s="782"/>
      <c r="AZ3827" s="782"/>
      <c r="BA3827" s="781"/>
      <c r="BB3827" s="209"/>
    </row>
    <row r="3828" spans="1:54" ht="25" customHeight="1">
      <c r="A3828" s="142" t="s">
        <v>120</v>
      </c>
      <c r="B3828" s="271">
        <v>46302</v>
      </c>
      <c r="C3828" s="272">
        <v>46328</v>
      </c>
      <c r="D3828" s="185">
        <f t="shared" ref="D3828" si="2447">IF(B3828="","",YEAR(B3828))</f>
        <v>2026</v>
      </c>
      <c r="E3828" s="272" t="e">
        <f>VLOOKUP($B3828,Week!$A$1:$C$1462,2,0)</f>
        <v>#N/A</v>
      </c>
      <c r="F3828" s="273" t="str">
        <f t="shared" ref="F3828" si="2448">IF(B3828="","",TEXT(B3828,"[$-409]mmm"))</f>
        <v>Oct</v>
      </c>
      <c r="G3828" s="274" t="s">
        <v>3143</v>
      </c>
      <c r="H3828" s="274" t="s">
        <v>500</v>
      </c>
      <c r="I3828" s="274" t="s">
        <v>2772</v>
      </c>
      <c r="J3828" s="275" t="s">
        <v>285</v>
      </c>
      <c r="K3828" s="276" t="s">
        <v>153</v>
      </c>
      <c r="L3828" s="390" t="s">
        <v>2166</v>
      </c>
      <c r="M3828" s="275" t="s">
        <v>86</v>
      </c>
      <c r="N3828" s="274" t="s">
        <v>547</v>
      </c>
      <c r="O3828" s="274" t="s">
        <v>548</v>
      </c>
      <c r="P3828" s="277">
        <v>10</v>
      </c>
      <c r="Q3828" s="277">
        <v>50</v>
      </c>
      <c r="R3828" s="278">
        <v>6.8100000000000001E-3</v>
      </c>
      <c r="S3828" s="274" t="s">
        <v>76</v>
      </c>
      <c r="T3828" s="274" t="s">
        <v>56</v>
      </c>
      <c r="U3828" s="274" t="s">
        <v>89</v>
      </c>
      <c r="V3828" s="279">
        <v>685</v>
      </c>
      <c r="W3828" s="279"/>
      <c r="X3828" s="280"/>
      <c r="Y3828" s="281">
        <f t="shared" ref="Y3828" si="2449">(W3828+X3828)-V3828</f>
        <v>-685</v>
      </c>
      <c r="Z3828" s="282">
        <f t="shared" ref="Z3828" si="2450">IF(Y3828&lt;0,((V3828*P3828)-((W3828+X3828)*P3828)),0)</f>
        <v>6850</v>
      </c>
      <c r="AA3828" s="282">
        <f t="shared" ref="AA3828" si="2451">Q3828*Z3828</f>
        <v>342500</v>
      </c>
      <c r="AB3828" s="812">
        <v>6</v>
      </c>
      <c r="AC3828" s="279">
        <f t="shared" ref="AC3828" si="2452">Z3828*AB3828</f>
        <v>41100</v>
      </c>
      <c r="AD3828" s="209"/>
      <c r="AE3828" s="210">
        <f t="shared" ref="AE3828" si="2453">SUM(Q3828*R3828*Z3828)/1000</f>
        <v>2.3324250000000002</v>
      </c>
      <c r="AF3828" s="210">
        <f t="shared" ref="AF3828" si="2454">AE3828/0.54</f>
        <v>4.3193055555555553</v>
      </c>
      <c r="AG3828" s="211">
        <f t="shared" ref="AG3828:AG3834" si="2455">MID(O3828,1,3)/1000</f>
        <v>0.63</v>
      </c>
      <c r="AH3828" s="157">
        <f t="shared" ref="AH3828" si="2456">(Z3828*AG3828)/1000</f>
        <v>4.3155000000000001</v>
      </c>
      <c r="AI3828" s="152">
        <f t="shared" ref="AI3828" si="2457">V3828*P3828</f>
        <v>6850</v>
      </c>
      <c r="AK3828" s="156" t="s">
        <v>691</v>
      </c>
      <c r="AL3828" s="156" t="s">
        <v>689</v>
      </c>
      <c r="AM3828" s="198">
        <f t="shared" ref="AM3828" si="2458">AG3828*Z3828</f>
        <v>4315.5</v>
      </c>
      <c r="AN3828" s="199">
        <f t="shared" ref="AN3828" si="2459">B3828</f>
        <v>46302</v>
      </c>
      <c r="AO3828" s="159" t="s">
        <v>692</v>
      </c>
      <c r="AP3828" s="783" t="s">
        <v>620</v>
      </c>
      <c r="AQ3828" s="796" t="s">
        <v>422</v>
      </c>
      <c r="AR3828" s="782">
        <v>12055234</v>
      </c>
      <c r="AS3828" s="781"/>
      <c r="AT3828" s="782"/>
      <c r="AU3828" s="782"/>
      <c r="AV3828" s="782">
        <v>12062809</v>
      </c>
      <c r="AW3828" s="782"/>
      <c r="AX3828" s="782" t="s">
        <v>619</v>
      </c>
      <c r="AY3828" s="781"/>
      <c r="AZ3828" s="781"/>
      <c r="BA3828" s="781"/>
      <c r="BB3828" s="209">
        <v>23053184</v>
      </c>
    </row>
    <row r="3829" spans="1:54" ht="25.15" customHeight="1">
      <c r="B3829" s="345">
        <v>46302</v>
      </c>
      <c r="C3829" s="346">
        <v>46343</v>
      </c>
      <c r="D3829" s="185">
        <f>IF(B3829="","",YEAR(B3829))</f>
        <v>2026</v>
      </c>
      <c r="E3829" s="347" t="e">
        <f>VLOOKUP($B3829,Week!$A$1:$C$1462,2,0)</f>
        <v>#N/A</v>
      </c>
      <c r="F3829" s="348" t="str">
        <f>IF(B3829="","",TEXT(B3829,"[$-409]mmm"))</f>
        <v>Oct</v>
      </c>
      <c r="G3829" s="347" t="s">
        <v>3047</v>
      </c>
      <c r="H3829" s="347" t="s">
        <v>424</v>
      </c>
      <c r="I3829" s="347" t="s">
        <v>2772</v>
      </c>
      <c r="J3829" s="438" t="s">
        <v>425</v>
      </c>
      <c r="K3829" s="350" t="s">
        <v>176</v>
      </c>
      <c r="L3829" s="350" t="s">
        <v>2167</v>
      </c>
      <c r="M3829" s="349" t="s">
        <v>426</v>
      </c>
      <c r="N3829" s="347" t="s">
        <v>427</v>
      </c>
      <c r="O3829" s="347" t="s">
        <v>599</v>
      </c>
      <c r="P3829" s="351">
        <v>36</v>
      </c>
      <c r="Q3829" s="351">
        <v>5</v>
      </c>
      <c r="R3829" s="352">
        <v>7.4999999999999997E-3</v>
      </c>
      <c r="S3829" s="347" t="s">
        <v>111</v>
      </c>
      <c r="T3829" s="347" t="s">
        <v>112</v>
      </c>
      <c r="U3829" s="347" t="s">
        <v>57</v>
      </c>
      <c r="V3829" s="353">
        <v>1288</v>
      </c>
      <c r="W3829" s="353"/>
      <c r="X3829" s="354"/>
      <c r="Y3829" s="355">
        <f>(W3829+X3829)-V3829</f>
        <v>-1288</v>
      </c>
      <c r="Z3829" s="356">
        <f>IF(Y3829&lt;0,((V3829*P3829)-((W3829+X3829)*P3829)),0)</f>
        <v>46368</v>
      </c>
      <c r="AA3829" s="353">
        <f>Q3829*Z3829</f>
        <v>231840</v>
      </c>
      <c r="AB3829" s="818">
        <v>7.4999999999999997E-3</v>
      </c>
      <c r="AC3829" s="353">
        <f>Z3829*AB3829</f>
        <v>347.76</v>
      </c>
      <c r="AD3829" s="307" t="s">
        <v>3159</v>
      </c>
      <c r="AE3829" s="210">
        <f>SUM(Q3829*R3829*Z3829)/1000</f>
        <v>1.7387999999999999</v>
      </c>
      <c r="AF3829" s="210">
        <f>AE3829/0.54</f>
        <v>3.2199999999999998</v>
      </c>
      <c r="AG3829" s="211">
        <f t="shared" si="2455"/>
        <v>0.14799999999999999</v>
      </c>
      <c r="AH3829" s="157">
        <f>(Z3829*AG3829)/1000</f>
        <v>6.8624640000000001</v>
      </c>
      <c r="AI3829" s="152">
        <f>V3829*P3829</f>
        <v>46368</v>
      </c>
      <c r="AK3829" s="156" t="s">
        <v>691</v>
      </c>
      <c r="AL3829" s="574" t="s">
        <v>690</v>
      </c>
      <c r="AM3829" s="198">
        <f>AG3829*Z3829</f>
        <v>6862.4639999999999</v>
      </c>
      <c r="AN3829" s="199">
        <f>B3829</f>
        <v>46302</v>
      </c>
      <c r="AO3829" s="159" t="s">
        <v>692</v>
      </c>
      <c r="AP3829" s="783" t="s">
        <v>609</v>
      </c>
      <c r="AQ3829" s="782">
        <v>12071839</v>
      </c>
      <c r="AR3829" s="782">
        <v>12080260</v>
      </c>
      <c r="AS3829" s="782">
        <v>12080259</v>
      </c>
      <c r="AT3829" s="782">
        <v>12096006</v>
      </c>
      <c r="AU3829" s="782"/>
      <c r="AV3829" s="782">
        <v>12096007</v>
      </c>
      <c r="AW3829" s="782">
        <v>12024404</v>
      </c>
      <c r="AX3829" s="781"/>
      <c r="AY3829" s="782">
        <v>12096022</v>
      </c>
      <c r="AZ3829" s="782"/>
      <c r="BA3829" s="781"/>
      <c r="BB3829" s="209">
        <v>23053185</v>
      </c>
    </row>
    <row r="3830" spans="1:54" ht="25" customHeight="1">
      <c r="B3830" s="950">
        <v>46302</v>
      </c>
      <c r="C3830" s="951" t="s">
        <v>3197</v>
      </c>
      <c r="D3830" s="215">
        <f>IF(B3830="","",YEAR(B3830))</f>
        <v>2026</v>
      </c>
      <c r="E3830" s="214" t="e">
        <f>VLOOKUP($B3830,Week!$A$1:$C$1462,2,0)</f>
        <v>#N/A</v>
      </c>
      <c r="F3830" s="216" t="str">
        <f>IF(B3830="","",TEXT(B3830,"[$-409]mmm"))</f>
        <v>Oct</v>
      </c>
      <c r="G3830" s="952" t="s">
        <v>47</v>
      </c>
      <c r="H3830" s="952" t="s">
        <v>260</v>
      </c>
      <c r="I3830" s="215" t="s">
        <v>2702</v>
      </c>
      <c r="J3830" s="953" t="s">
        <v>2702</v>
      </c>
      <c r="K3830" s="954" t="s">
        <v>2703</v>
      </c>
      <c r="L3830" s="217" t="s">
        <v>2167</v>
      </c>
      <c r="M3830" s="953" t="s">
        <v>2899</v>
      </c>
      <c r="N3830" s="955" t="s">
        <v>2704</v>
      </c>
      <c r="O3830" s="952" t="s">
        <v>1635</v>
      </c>
      <c r="P3830" s="956">
        <v>24</v>
      </c>
      <c r="Q3830" s="956">
        <v>3</v>
      </c>
      <c r="R3830" s="957">
        <v>6.1999999999999998E-3</v>
      </c>
      <c r="S3830" s="952" t="s">
        <v>352</v>
      </c>
      <c r="T3830" s="952" t="s">
        <v>56</v>
      </c>
      <c r="U3830" s="958" t="s">
        <v>739</v>
      </c>
      <c r="V3830" s="959">
        <f>1200</f>
        <v>1200</v>
      </c>
      <c r="W3830" s="959"/>
      <c r="X3830" s="960"/>
      <c r="Y3830" s="961">
        <f t="shared" ref="Y3830" si="2460">(W3830+X3830)-V3830</f>
        <v>-1200</v>
      </c>
      <c r="Z3830" s="962">
        <f t="shared" ref="Z3830" si="2461">IF(Y3830&lt;0,((V3830*P3830)-((W3830+X3830)*P3830)),0)</f>
        <v>28800</v>
      </c>
      <c r="AA3830" s="962">
        <f t="shared" ref="AA3830" si="2462">Q3830*Z3830</f>
        <v>86400</v>
      </c>
      <c r="AB3830" s="963">
        <v>1.83E-2</v>
      </c>
      <c r="AC3830" s="959">
        <f t="shared" ref="AC3830" si="2463">Z3830*AB3830</f>
        <v>527.04</v>
      </c>
      <c r="AD3830" s="443"/>
      <c r="AE3830" s="210">
        <f t="shared" ref="AE3830" si="2464">SUM(Q3830*R3830*Z3830)/1000</f>
        <v>0.53567999999999993</v>
      </c>
      <c r="AF3830" s="210">
        <f t="shared" ref="AF3830" si="2465">AE3830/0.54</f>
        <v>0.99199999999999977</v>
      </c>
      <c r="AG3830" s="211">
        <f t="shared" si="2455"/>
        <v>0.25</v>
      </c>
      <c r="AH3830" s="157">
        <v>0.26621999999999996</v>
      </c>
      <c r="AI3830" s="152">
        <f t="shared" ref="AI3830" si="2466">V3830*P3830</f>
        <v>28800</v>
      </c>
      <c r="AK3830" s="156" t="s">
        <v>691</v>
      </c>
      <c r="AL3830" s="574" t="s">
        <v>690</v>
      </c>
      <c r="AM3830" s="198">
        <f t="shared" ref="AM3830" si="2467">AG3830*Z3830</f>
        <v>7200</v>
      </c>
      <c r="AN3830" s="199">
        <f t="shared" ref="AN3830" si="2468">B3830</f>
        <v>46302</v>
      </c>
      <c r="AO3830" s="159" t="s">
        <v>692</v>
      </c>
      <c r="AP3830" s="781" t="s">
        <v>642</v>
      </c>
      <c r="AQ3830" s="782">
        <v>12071839</v>
      </c>
      <c r="AR3830" s="782">
        <v>12042650</v>
      </c>
      <c r="AS3830" s="782">
        <v>12042649</v>
      </c>
      <c r="AT3830" s="782"/>
      <c r="AU3830" s="783"/>
      <c r="AV3830" s="782">
        <v>12097895</v>
      </c>
      <c r="AW3830" s="783"/>
      <c r="AX3830" s="781"/>
      <c r="AY3830" s="796">
        <v>12097893</v>
      </c>
      <c r="AZ3830" s="796">
        <v>12097894</v>
      </c>
      <c r="BA3830" s="796" t="s">
        <v>2462</v>
      </c>
      <c r="BB3830" s="209">
        <v>23099860</v>
      </c>
    </row>
    <row r="3831" spans="1:54" ht="25" customHeight="1">
      <c r="A3831" s="142" t="s">
        <v>120</v>
      </c>
      <c r="B3831" s="271">
        <v>46303</v>
      </c>
      <c r="C3831" s="272">
        <v>46328</v>
      </c>
      <c r="D3831" s="185">
        <f t="shared" ref="D3831" si="2469">IF(B3831="","",YEAR(B3831))</f>
        <v>2026</v>
      </c>
      <c r="E3831" s="272" t="e">
        <f>VLOOKUP($B3831,Week!$A$1:$C$1462,2,0)</f>
        <v>#N/A</v>
      </c>
      <c r="F3831" s="273" t="str">
        <f t="shared" ref="F3831" si="2470">IF(B3831="","",TEXT(B3831,"[$-409]mmm"))</f>
        <v>Oct</v>
      </c>
      <c r="G3831" s="274" t="s">
        <v>3143</v>
      </c>
      <c r="H3831" s="274" t="s">
        <v>500</v>
      </c>
      <c r="I3831" s="274" t="s">
        <v>2772</v>
      </c>
      <c r="J3831" s="275" t="s">
        <v>285</v>
      </c>
      <c r="K3831" s="276" t="s">
        <v>153</v>
      </c>
      <c r="L3831" s="390" t="s">
        <v>2166</v>
      </c>
      <c r="M3831" s="275" t="s">
        <v>86</v>
      </c>
      <c r="N3831" s="274" t="s">
        <v>547</v>
      </c>
      <c r="O3831" s="274" t="s">
        <v>548</v>
      </c>
      <c r="P3831" s="277">
        <v>10</v>
      </c>
      <c r="Q3831" s="277">
        <v>50</v>
      </c>
      <c r="R3831" s="278">
        <v>6.8100000000000001E-3</v>
      </c>
      <c r="S3831" s="274" t="s">
        <v>76</v>
      </c>
      <c r="T3831" s="274" t="s">
        <v>56</v>
      </c>
      <c r="U3831" s="274" t="s">
        <v>89</v>
      </c>
      <c r="V3831" s="279">
        <v>685</v>
      </c>
      <c r="W3831" s="279"/>
      <c r="X3831" s="280"/>
      <c r="Y3831" s="281">
        <f>(W3831+X3831)-V3831</f>
        <v>-685</v>
      </c>
      <c r="Z3831" s="282">
        <f>IF(Y3831&lt;0,((V3831*P3831)-((W3831+X3831)*P3831)),0)</f>
        <v>6850</v>
      </c>
      <c r="AA3831" s="282">
        <f t="shared" ref="AA3831" si="2471">Q3831*Z3831</f>
        <v>342500</v>
      </c>
      <c r="AB3831" s="812">
        <v>6</v>
      </c>
      <c r="AC3831" s="279">
        <f>Z3831*AB3831</f>
        <v>41100</v>
      </c>
      <c r="AD3831" s="209"/>
      <c r="AE3831" s="210">
        <f>SUM(Q3831*R3831*Z3831)/1000</f>
        <v>2.3324250000000002</v>
      </c>
      <c r="AF3831" s="210">
        <f>AE3831/0.54</f>
        <v>4.3193055555555553</v>
      </c>
      <c r="AG3831" s="211">
        <f t="shared" si="2455"/>
        <v>0.63</v>
      </c>
      <c r="AH3831" s="157">
        <f>(Z3831*AG3831)/1000</f>
        <v>4.3155000000000001</v>
      </c>
      <c r="AI3831" s="152">
        <f>V3831*P3831</f>
        <v>6850</v>
      </c>
      <c r="AK3831" s="156" t="s">
        <v>691</v>
      </c>
      <c r="AL3831" s="156" t="s">
        <v>689</v>
      </c>
      <c r="AM3831" s="198">
        <f t="shared" ref="AM3831" si="2472">AG3831*Z3831</f>
        <v>4315.5</v>
      </c>
      <c r="AN3831" s="199">
        <f t="shared" ref="AN3831" si="2473">B3831</f>
        <v>46303</v>
      </c>
      <c r="AO3831" s="159" t="s">
        <v>692</v>
      </c>
      <c r="AP3831" s="783" t="s">
        <v>620</v>
      </c>
      <c r="AQ3831" s="796" t="s">
        <v>422</v>
      </c>
      <c r="AR3831" s="782">
        <v>12055234</v>
      </c>
      <c r="AS3831" s="781"/>
      <c r="AT3831" s="782"/>
      <c r="AU3831" s="782"/>
      <c r="AV3831" s="782">
        <v>12062809</v>
      </c>
      <c r="AW3831" s="782"/>
      <c r="AX3831" s="782" t="s">
        <v>619</v>
      </c>
      <c r="AY3831" s="781"/>
      <c r="AZ3831" s="781"/>
      <c r="BA3831" s="781"/>
      <c r="BB3831" s="209">
        <v>23053184</v>
      </c>
    </row>
    <row r="3832" spans="1:54" ht="24.75" customHeight="1">
      <c r="B3832" s="602">
        <v>46303</v>
      </c>
      <c r="C3832" s="861" t="s">
        <v>3197</v>
      </c>
      <c r="D3832" s="604">
        <f>IF(B3832="","",YEAR(B3832))</f>
        <v>2026</v>
      </c>
      <c r="E3832" s="603" t="e">
        <f>VLOOKUP($B3832,Week!$A$1:$C$1462,2,0)</f>
        <v>#N/A</v>
      </c>
      <c r="F3832" s="605" t="str">
        <f>IF(B3832="","",TEXT(B3832,"[$-409]mmm"))</f>
        <v>Oct</v>
      </c>
      <c r="G3832" s="938" t="s">
        <v>47</v>
      </c>
      <c r="H3832" s="604" t="s">
        <v>260</v>
      </c>
      <c r="I3832" s="604" t="s">
        <v>2702</v>
      </c>
      <c r="J3832" s="939" t="s">
        <v>2240</v>
      </c>
      <c r="K3832" s="607" t="s">
        <v>94</v>
      </c>
      <c r="L3832" s="607" t="s">
        <v>2167</v>
      </c>
      <c r="M3832" s="606" t="s">
        <v>2338</v>
      </c>
      <c r="N3832" s="604" t="s">
        <v>2997</v>
      </c>
      <c r="O3832" s="604" t="s">
        <v>54</v>
      </c>
      <c r="P3832" s="608">
        <v>24</v>
      </c>
      <c r="Q3832" s="608">
        <v>5</v>
      </c>
      <c r="R3832" s="609">
        <v>6.1999999999999998E-3</v>
      </c>
      <c r="S3832" s="604" t="s">
        <v>352</v>
      </c>
      <c r="T3832" s="604" t="s">
        <v>56</v>
      </c>
      <c r="U3832" s="604" t="s">
        <v>57</v>
      </c>
      <c r="V3832" s="610">
        <v>2367</v>
      </c>
      <c r="W3832" s="610"/>
      <c r="X3832" s="611"/>
      <c r="Y3832" s="612">
        <f>(W3832+X3832)-V3832</f>
        <v>-2367</v>
      </c>
      <c r="Z3832" s="613">
        <f>IF(Y3832&lt;0,((V3832*P3832)-((W3832+X3832)*P3832)),0)</f>
        <v>56808</v>
      </c>
      <c r="AA3832" s="613">
        <f>Q3832*Z3832</f>
        <v>284040</v>
      </c>
      <c r="AB3832" s="836">
        <v>7.4999999999999997E-3</v>
      </c>
      <c r="AC3832" s="610">
        <f>Z3832*AB3832</f>
        <v>426.06</v>
      </c>
      <c r="AD3832" s="443"/>
      <c r="AE3832" s="210">
        <f>SUM(Q3832*R3832*Z3832)/1000</f>
        <v>1.7610479999999999</v>
      </c>
      <c r="AF3832" s="210">
        <f>AE3832/0.54</f>
        <v>3.2611999999999997</v>
      </c>
      <c r="AG3832" s="211">
        <f t="shared" si="2455"/>
        <v>0.13500000000000001</v>
      </c>
      <c r="AH3832" s="157">
        <f>(Z3832*AG3832)/1000</f>
        <v>7.669080000000001</v>
      </c>
      <c r="AI3832" s="152">
        <f>V3832*P3832</f>
        <v>56808</v>
      </c>
      <c r="AK3832" s="156" t="s">
        <v>691</v>
      </c>
      <c r="AL3832" s="574" t="s">
        <v>690</v>
      </c>
      <c r="AM3832" s="198">
        <f>AG3832*Z3832</f>
        <v>7669.0800000000008</v>
      </c>
      <c r="AN3832" s="199">
        <f>B3832</f>
        <v>46303</v>
      </c>
      <c r="AO3832" s="159" t="s">
        <v>692</v>
      </c>
      <c r="AP3832" s="783" t="s">
        <v>622</v>
      </c>
      <c r="AQ3832" s="782">
        <v>12071839</v>
      </c>
      <c r="AR3832" s="782">
        <v>12099098</v>
      </c>
      <c r="AS3832" s="782">
        <v>12068233</v>
      </c>
      <c r="AT3832" s="781"/>
      <c r="AU3832" s="781"/>
      <c r="AV3832" s="782">
        <v>12099466</v>
      </c>
      <c r="AW3832" s="781"/>
      <c r="AX3832" s="781"/>
      <c r="AY3832" s="782">
        <v>12099097</v>
      </c>
      <c r="AZ3832" s="782"/>
      <c r="BA3832" s="781"/>
      <c r="BB3832" s="209">
        <v>23053184</v>
      </c>
    </row>
    <row r="3833" spans="1:54" ht="25" customHeight="1">
      <c r="B3833" s="398">
        <v>46303</v>
      </c>
      <c r="C3833" s="879" t="s">
        <v>3146</v>
      </c>
      <c r="D3833" s="185">
        <f t="shared" ref="D3833" si="2474">IF(B3833="","",YEAR(B3833))</f>
        <v>2026</v>
      </c>
      <c r="E3833" s="399" t="e">
        <f>VLOOKUP($B3833,Week!$A$1:$C$1462,2,0)</f>
        <v>#N/A</v>
      </c>
      <c r="F3833" s="400" t="str">
        <f t="shared" ref="F3833" si="2475">IF(B3833="","",TEXT(B3833,"[$-409]mmm"))</f>
        <v>Oct</v>
      </c>
      <c r="G3833" s="401" t="s">
        <v>47</v>
      </c>
      <c r="H3833" s="401" t="s">
        <v>518</v>
      </c>
      <c r="I3833" s="401" t="s">
        <v>2702</v>
      </c>
      <c r="J3833" s="402" t="s">
        <v>70</v>
      </c>
      <c r="K3833" s="403" t="s">
        <v>1645</v>
      </c>
      <c r="L3833" s="300" t="s">
        <v>2167</v>
      </c>
      <c r="M3833" s="402" t="s">
        <v>2567</v>
      </c>
      <c r="N3833" s="404" t="s">
        <v>2520</v>
      </c>
      <c r="O3833" s="401" t="s">
        <v>747</v>
      </c>
      <c r="P3833" s="405">
        <v>12</v>
      </c>
      <c r="Q3833" s="405">
        <v>5</v>
      </c>
      <c r="R3833" s="406">
        <v>8.0000000000000002E-3</v>
      </c>
      <c r="S3833" s="401" t="s">
        <v>352</v>
      </c>
      <c r="T3833" s="401" t="s">
        <v>56</v>
      </c>
      <c r="U3833" s="770" t="s">
        <v>669</v>
      </c>
      <c r="V3833" s="407">
        <f>340</f>
        <v>340</v>
      </c>
      <c r="W3833" s="407"/>
      <c r="X3833" s="408"/>
      <c r="Y3833" s="409">
        <f t="shared" ref="Y3833" si="2476">(W3833+X3833)-V3833</f>
        <v>-340</v>
      </c>
      <c r="Z3833" s="410">
        <f t="shared" ref="Z3833" si="2477">IF(Y3833&lt;0,((V3833*P3833)-((W3833+X3833)*P3833)),0)</f>
        <v>4080</v>
      </c>
      <c r="AA3833" s="410">
        <f t="shared" ref="AA3833" si="2478">Q3833*Z3833</f>
        <v>20400</v>
      </c>
      <c r="AB3833" s="824">
        <v>8.9999999999999993E-3</v>
      </c>
      <c r="AC3833" s="407">
        <f t="shared" ref="AC3833" si="2479">Z3833*AB3833</f>
        <v>36.72</v>
      </c>
      <c r="AD3833" s="307"/>
      <c r="AE3833" s="210">
        <f t="shared" ref="AE3833" si="2480">SUM(Q3833*R3833*Z3833)/1000</f>
        <v>0.16320000000000001</v>
      </c>
      <c r="AF3833" s="210">
        <f t="shared" ref="AF3833" si="2481">AE3833/0.54</f>
        <v>0.30222222222222223</v>
      </c>
      <c r="AG3833" s="211">
        <f t="shared" si="2455"/>
        <v>0.14299999999999999</v>
      </c>
      <c r="AH3833" s="157">
        <f t="shared" ref="AH3833" si="2482">(Z3833*AG3833)/1000</f>
        <v>0.58343999999999996</v>
      </c>
      <c r="AI3833" s="152">
        <f t="shared" ref="AI3833" si="2483">V3833*P3833</f>
        <v>4080</v>
      </c>
      <c r="AK3833" s="156" t="s">
        <v>691</v>
      </c>
      <c r="AL3833" s="212" t="s">
        <v>690</v>
      </c>
      <c r="AM3833" s="198">
        <f t="shared" ref="AM3833" si="2484">AG3833*Z3833</f>
        <v>583.43999999999994</v>
      </c>
      <c r="AN3833" s="199">
        <f t="shared" ref="AN3833" si="2485">B3833</f>
        <v>46303</v>
      </c>
      <c r="AO3833" s="159" t="s">
        <v>692</v>
      </c>
      <c r="AP3833" s="783" t="s">
        <v>623</v>
      </c>
      <c r="AQ3833" s="782">
        <v>12071839</v>
      </c>
      <c r="AR3833" s="782">
        <v>12047514</v>
      </c>
      <c r="AS3833" s="782">
        <v>12047515</v>
      </c>
      <c r="AT3833" s="782"/>
      <c r="AU3833" s="781"/>
      <c r="AV3833" s="782">
        <v>12096536</v>
      </c>
      <c r="AW3833" s="782"/>
      <c r="AX3833" s="782"/>
      <c r="AY3833" s="782">
        <v>12096534</v>
      </c>
      <c r="AZ3833" s="782">
        <v>12096535</v>
      </c>
      <c r="BA3833" s="781"/>
      <c r="BB3833" s="209">
        <v>23098853</v>
      </c>
    </row>
    <row r="3834" spans="1:54" ht="25" customHeight="1">
      <c r="B3834" s="398">
        <v>46303</v>
      </c>
      <c r="C3834" s="879" t="s">
        <v>3197</v>
      </c>
      <c r="D3834" s="185">
        <f t="shared" ref="D3834" si="2486">IF(B3834="","",YEAR(B3834))</f>
        <v>2026</v>
      </c>
      <c r="E3834" s="399" t="e">
        <f>VLOOKUP($B3834,Week!$A$1:$C$1462,2,0)</f>
        <v>#N/A</v>
      </c>
      <c r="F3834" s="400" t="str">
        <f t="shared" ref="F3834" si="2487">IF(B3834="","",TEXT(B3834,"[$-409]mmm"))</f>
        <v>Oct</v>
      </c>
      <c r="G3834" s="401" t="s">
        <v>47</v>
      </c>
      <c r="H3834" s="401" t="s">
        <v>518</v>
      </c>
      <c r="I3834" s="401" t="s">
        <v>2702</v>
      </c>
      <c r="J3834" s="402" t="s">
        <v>70</v>
      </c>
      <c r="K3834" s="403" t="s">
        <v>1645</v>
      </c>
      <c r="L3834" s="300" t="s">
        <v>2167</v>
      </c>
      <c r="M3834" s="402" t="s">
        <v>2567</v>
      </c>
      <c r="N3834" s="404" t="s">
        <v>2520</v>
      </c>
      <c r="O3834" s="401" t="s">
        <v>747</v>
      </c>
      <c r="P3834" s="405">
        <v>12</v>
      </c>
      <c r="Q3834" s="405">
        <v>5</v>
      </c>
      <c r="R3834" s="406">
        <v>8.0000000000000002E-3</v>
      </c>
      <c r="S3834" s="401" t="s">
        <v>352</v>
      </c>
      <c r="T3834" s="401" t="s">
        <v>56</v>
      </c>
      <c r="U3834" s="770" t="s">
        <v>669</v>
      </c>
      <c r="V3834" s="407">
        <f>459</f>
        <v>459</v>
      </c>
      <c r="W3834" s="407"/>
      <c r="X3834" s="408"/>
      <c r="Y3834" s="409">
        <f t="shared" ref="Y3834" si="2488">(W3834+X3834)-V3834</f>
        <v>-459</v>
      </c>
      <c r="Z3834" s="410">
        <f t="shared" ref="Z3834" si="2489">IF(Y3834&lt;0,((V3834*P3834)-((W3834+X3834)*P3834)),0)</f>
        <v>5508</v>
      </c>
      <c r="AA3834" s="410">
        <f t="shared" ref="AA3834" si="2490">Q3834*Z3834</f>
        <v>27540</v>
      </c>
      <c r="AB3834" s="824">
        <v>8.9999999999999993E-3</v>
      </c>
      <c r="AC3834" s="407">
        <f t="shared" ref="AC3834" si="2491">Z3834*AB3834</f>
        <v>49.571999999999996</v>
      </c>
      <c r="AD3834" s="307"/>
      <c r="AE3834" s="210">
        <f t="shared" ref="AE3834" si="2492">SUM(Q3834*R3834*Z3834)/1000</f>
        <v>0.22031999999999999</v>
      </c>
      <c r="AF3834" s="210">
        <f t="shared" ref="AF3834" si="2493">AE3834/0.54</f>
        <v>0.40799999999999997</v>
      </c>
      <c r="AG3834" s="211">
        <f t="shared" si="2455"/>
        <v>0.14299999999999999</v>
      </c>
      <c r="AH3834" s="157">
        <f t="shared" ref="AH3834" si="2494">(Z3834*AG3834)/1000</f>
        <v>0.7876439999999999</v>
      </c>
      <c r="AI3834" s="152">
        <f t="shared" ref="AI3834" si="2495">V3834*P3834</f>
        <v>5508</v>
      </c>
      <c r="AK3834" s="156" t="s">
        <v>691</v>
      </c>
      <c r="AL3834" s="212" t="s">
        <v>690</v>
      </c>
      <c r="AM3834" s="198">
        <f t="shared" ref="AM3834" si="2496">AG3834*Z3834</f>
        <v>787.64399999999989</v>
      </c>
      <c r="AN3834" s="199">
        <f t="shared" ref="AN3834" si="2497">B3834</f>
        <v>46303</v>
      </c>
      <c r="AO3834" s="159" t="s">
        <v>692</v>
      </c>
      <c r="AP3834" s="783" t="s">
        <v>623</v>
      </c>
      <c r="AQ3834" s="782">
        <v>12071839</v>
      </c>
      <c r="AR3834" s="782">
        <v>12047514</v>
      </c>
      <c r="AS3834" s="782">
        <v>12047515</v>
      </c>
      <c r="AT3834" s="782"/>
      <c r="AU3834" s="781"/>
      <c r="AV3834" s="782">
        <v>12096536</v>
      </c>
      <c r="AW3834" s="782"/>
      <c r="AX3834" s="782"/>
      <c r="AY3834" s="782">
        <v>12096534</v>
      </c>
      <c r="AZ3834" s="782">
        <v>12096535</v>
      </c>
      <c r="BA3834" s="781"/>
      <c r="BB3834" s="209">
        <v>23098853</v>
      </c>
    </row>
    <row r="3835" spans="1:54" ht="25" customHeight="1">
      <c r="A3835" s="142" t="s">
        <v>120</v>
      </c>
      <c r="B3835" s="271">
        <v>46304</v>
      </c>
      <c r="C3835" s="272">
        <v>46328</v>
      </c>
      <c r="D3835" s="185">
        <f>IF(B3835="","",YEAR(B3835))</f>
        <v>2026</v>
      </c>
      <c r="E3835" s="272" t="e">
        <f>VLOOKUP($B3835,Week!$A$1:$C$1462,2,0)</f>
        <v>#N/A</v>
      </c>
      <c r="F3835" s="273" t="str">
        <f>IF(B3835="","",TEXT(B3835,"[$-409]mmm"))</f>
        <v>Oct</v>
      </c>
      <c r="G3835" s="274" t="s">
        <v>3143</v>
      </c>
      <c r="H3835" s="274" t="s">
        <v>500</v>
      </c>
      <c r="I3835" s="274" t="s">
        <v>2772</v>
      </c>
      <c r="J3835" s="275" t="s">
        <v>285</v>
      </c>
      <c r="K3835" s="276" t="s">
        <v>153</v>
      </c>
      <c r="L3835" s="390" t="s">
        <v>2166</v>
      </c>
      <c r="M3835" s="275" t="s">
        <v>86</v>
      </c>
      <c r="N3835" s="274" t="s">
        <v>547</v>
      </c>
      <c r="O3835" s="274" t="s">
        <v>548</v>
      </c>
      <c r="P3835" s="277">
        <v>10</v>
      </c>
      <c r="Q3835" s="277">
        <v>50</v>
      </c>
      <c r="R3835" s="278">
        <v>6.8100000000000001E-3</v>
      </c>
      <c r="S3835" s="274" t="s">
        <v>76</v>
      </c>
      <c r="T3835" s="274" t="s">
        <v>56</v>
      </c>
      <c r="U3835" s="274" t="s">
        <v>89</v>
      </c>
      <c r="V3835" s="279">
        <f>2056-685-685</f>
        <v>686</v>
      </c>
      <c r="W3835" s="279"/>
      <c r="X3835" s="280"/>
      <c r="Y3835" s="281">
        <f>(W3835+X3835)-V3835</f>
        <v>-686</v>
      </c>
      <c r="Z3835" s="282">
        <f>IF(Y3835&lt;0,((V3835*P3835)-((W3835+X3835)*P3835)),0)</f>
        <v>6860</v>
      </c>
      <c r="AA3835" s="282">
        <f>Q3835*Z3835</f>
        <v>343000</v>
      </c>
      <c r="AB3835" s="812">
        <v>6</v>
      </c>
      <c r="AC3835" s="279">
        <f>Z3835*AB3835</f>
        <v>41160</v>
      </c>
      <c r="AD3835" s="209"/>
      <c r="AE3835" s="210">
        <f>SUM(Q3835*R3835*Z3835)/1000</f>
        <v>2.3358300000000005</v>
      </c>
      <c r="AF3835" s="210">
        <f>AE3835/0.54</f>
        <v>4.3256111111111117</v>
      </c>
      <c r="AG3835" s="211">
        <f t="shared" ref="AG3835" si="2498">MID(O3835,1,3)/1000</f>
        <v>0.63</v>
      </c>
      <c r="AH3835" s="157">
        <f t="shared" ref="AH3835" si="2499">(Z3835*AG3835)/1000</f>
        <v>4.3218000000000005</v>
      </c>
      <c r="AI3835" s="152">
        <f>V3835*P3835</f>
        <v>6860</v>
      </c>
      <c r="AK3835" s="156" t="s">
        <v>691</v>
      </c>
      <c r="AL3835" s="156" t="s">
        <v>689</v>
      </c>
      <c r="AM3835" s="198">
        <f>AG3835*Z3835</f>
        <v>4321.8</v>
      </c>
      <c r="AN3835" s="199">
        <f>B3835</f>
        <v>46304</v>
      </c>
      <c r="AO3835" s="159" t="s">
        <v>692</v>
      </c>
      <c r="AP3835" s="783" t="s">
        <v>620</v>
      </c>
      <c r="AQ3835" s="796" t="s">
        <v>422</v>
      </c>
      <c r="AR3835" s="782">
        <v>12055234</v>
      </c>
      <c r="AS3835" s="781"/>
      <c r="AT3835" s="782"/>
      <c r="AU3835" s="782"/>
      <c r="AV3835" s="782">
        <v>12062809</v>
      </c>
      <c r="AW3835" s="782"/>
      <c r="AX3835" s="782" t="s">
        <v>619</v>
      </c>
      <c r="AY3835" s="781"/>
      <c r="AZ3835" s="781"/>
      <c r="BA3835" s="781"/>
      <c r="BB3835" s="209">
        <v>23053184</v>
      </c>
    </row>
    <row r="3836" spans="1:54" ht="24.65" customHeight="1">
      <c r="B3836" s="411">
        <v>46304</v>
      </c>
      <c r="C3836" s="645" t="s">
        <v>3197</v>
      </c>
      <c r="D3836" s="185">
        <f>IF(B3836="","",YEAR(B3836))</f>
        <v>2026</v>
      </c>
      <c r="E3836" s="412" t="e">
        <f>VLOOKUP($B3836,Week!$A$1:$C$1462,2,0)</f>
        <v>#N/A</v>
      </c>
      <c r="F3836" s="413" t="str">
        <f>IF(B3836="","",TEXT(B3836,"[$-409]mmm"))</f>
        <v>Oct</v>
      </c>
      <c r="G3836" s="414" t="s">
        <v>47</v>
      </c>
      <c r="H3836" s="414" t="s">
        <v>260</v>
      </c>
      <c r="I3836" s="414" t="s">
        <v>2702</v>
      </c>
      <c r="J3836" s="415" t="s">
        <v>261</v>
      </c>
      <c r="K3836" s="416" t="s">
        <v>94</v>
      </c>
      <c r="L3836" s="300" t="s">
        <v>2167</v>
      </c>
      <c r="M3836" s="415" t="s">
        <v>2339</v>
      </c>
      <c r="N3836" s="414" t="s">
        <v>263</v>
      </c>
      <c r="O3836" s="414" t="s">
        <v>195</v>
      </c>
      <c r="P3836" s="417">
        <v>24</v>
      </c>
      <c r="Q3836" s="417">
        <v>5</v>
      </c>
      <c r="R3836" s="418">
        <v>8.0000000000000002E-3</v>
      </c>
      <c r="S3836" s="414" t="s">
        <v>40</v>
      </c>
      <c r="T3836" s="414" t="s">
        <v>56</v>
      </c>
      <c r="U3836" s="414" t="s">
        <v>57</v>
      </c>
      <c r="V3836" s="419">
        <v>2767</v>
      </c>
      <c r="W3836" s="419"/>
      <c r="X3836" s="420"/>
      <c r="Y3836" s="421">
        <f t="shared" ref="Y3836" si="2500">(W3836+X3836)-V3836</f>
        <v>-2767</v>
      </c>
      <c r="Z3836" s="422">
        <f t="shared" ref="Z3836" si="2501">IF(Y3836&lt;0,((V3836*P3836)-((W3836+X3836)*P3836)),0)</f>
        <v>66408</v>
      </c>
      <c r="AA3836" s="422">
        <f>Q3836*Z3836</f>
        <v>332040</v>
      </c>
      <c r="AB3836" s="825">
        <v>7.4999999999999997E-3</v>
      </c>
      <c r="AC3836" s="419">
        <f t="shared" ref="AC3836" si="2502">Z3836*AB3836</f>
        <v>498.06</v>
      </c>
      <c r="AD3836" s="209"/>
      <c r="AE3836" s="210">
        <f>SUM(Q3836*R3836*Z3836)/1000</f>
        <v>2.65632</v>
      </c>
      <c r="AF3836" s="210">
        <f t="shared" ref="AF3836" si="2503">AE3836/0.54</f>
        <v>4.9191111111111105</v>
      </c>
      <c r="AG3836" s="211">
        <f>MID(O3836,1,3)/1000</f>
        <v>0.14499999999999999</v>
      </c>
      <c r="AH3836" s="157">
        <f t="shared" ref="AH3836:AH3840" si="2504">(Z3836*AG3836)/1000</f>
        <v>9.6291600000000006</v>
      </c>
      <c r="AI3836" s="152">
        <f t="shared" ref="AI3836" si="2505">V3836*P3836</f>
        <v>66408</v>
      </c>
      <c r="AK3836" s="156" t="s">
        <v>691</v>
      </c>
      <c r="AL3836" s="212" t="s">
        <v>690</v>
      </c>
      <c r="AM3836" s="198">
        <f>AG3836*Z3836</f>
        <v>9629.16</v>
      </c>
      <c r="AN3836" s="199">
        <f>B3836</f>
        <v>46304</v>
      </c>
      <c r="AO3836" s="159" t="s">
        <v>692</v>
      </c>
      <c r="AP3836" s="783" t="s">
        <v>609</v>
      </c>
      <c r="AQ3836" s="782">
        <v>12071839</v>
      </c>
      <c r="AR3836" s="782">
        <v>12047514</v>
      </c>
      <c r="AS3836" s="782">
        <v>12047515</v>
      </c>
      <c r="AT3836" s="781"/>
      <c r="AU3836" s="781"/>
      <c r="AV3836" s="782">
        <v>12080613</v>
      </c>
      <c r="AW3836" s="781"/>
      <c r="AX3836" s="781"/>
      <c r="AY3836" s="782">
        <v>12094241</v>
      </c>
      <c r="AZ3836" s="782">
        <v>12094242</v>
      </c>
      <c r="BA3836" s="781"/>
      <c r="BB3836" s="209">
        <v>23053185</v>
      </c>
    </row>
    <row r="3837" spans="1:54" ht="25" customHeight="1">
      <c r="A3837" s="142" t="s">
        <v>120</v>
      </c>
      <c r="B3837" s="369">
        <v>46305</v>
      </c>
      <c r="C3837" s="370">
        <v>46331</v>
      </c>
      <c r="D3837" s="185">
        <f>IF(B3837="","",YEAR(B3837))</f>
        <v>2026</v>
      </c>
      <c r="E3837" s="371" t="e">
        <f>VLOOKUP($B3837,Week!$A$1:$C$1462,2,0)</f>
        <v>#N/A</v>
      </c>
      <c r="F3837" s="372" t="str">
        <f>IF(B3837="","",TEXT(B3837,"[$-409]mmm"))</f>
        <v>Oct</v>
      </c>
      <c r="G3837" s="371" t="s">
        <v>3204</v>
      </c>
      <c r="H3837" s="371" t="s">
        <v>344</v>
      </c>
      <c r="I3837" s="371" t="s">
        <v>2772</v>
      </c>
      <c r="J3837" s="373" t="s">
        <v>345</v>
      </c>
      <c r="K3837" s="374" t="s">
        <v>153</v>
      </c>
      <c r="L3837" s="390" t="s">
        <v>2166</v>
      </c>
      <c r="M3837" s="373" t="s">
        <v>214</v>
      </c>
      <c r="N3837" s="371" t="s">
        <v>346</v>
      </c>
      <c r="O3837" s="371" t="s">
        <v>509</v>
      </c>
      <c r="P3837" s="375">
        <v>18</v>
      </c>
      <c r="Q3837" s="375">
        <v>8</v>
      </c>
      <c r="R3837" s="376">
        <v>6.8100000000000001E-3</v>
      </c>
      <c r="S3837" s="371" t="s">
        <v>76</v>
      </c>
      <c r="T3837" s="371" t="s">
        <v>56</v>
      </c>
      <c r="U3837" s="371" t="s">
        <v>89</v>
      </c>
      <c r="V3837" s="377">
        <f>1900</f>
        <v>1900</v>
      </c>
      <c r="W3837" s="377"/>
      <c r="X3837" s="378"/>
      <c r="Y3837" s="379">
        <f>(W3837+X3837)-V3837</f>
        <v>-1900</v>
      </c>
      <c r="Z3837" s="380">
        <f>IF(Y3837&lt;0,((V3837*P3837)-((W3837+X3837)*P3837)),0)</f>
        <v>34200</v>
      </c>
      <c r="AA3837" s="380">
        <f>Q3837*Z3837</f>
        <v>273600</v>
      </c>
      <c r="AB3837" s="820">
        <v>1</v>
      </c>
      <c r="AC3837" s="377">
        <f>Z3837*AB3837</f>
        <v>34200</v>
      </c>
      <c r="AD3837" s="443"/>
      <c r="AE3837" s="210">
        <f>SUM(Q3837*R3837*Z3837)/1000</f>
        <v>1.8632160000000002</v>
      </c>
      <c r="AF3837" s="210">
        <f>AE3837/0.54</f>
        <v>3.4504000000000001</v>
      </c>
      <c r="AG3837" s="211">
        <f>MID(O3837,1,3)/1000</f>
        <v>0.10100000000000001</v>
      </c>
      <c r="AH3837" s="157">
        <f t="shared" si="2504"/>
        <v>3.4542000000000002</v>
      </c>
      <c r="AI3837" s="152">
        <f>V3837*P3837</f>
        <v>34200</v>
      </c>
      <c r="AK3837" s="156" t="s">
        <v>691</v>
      </c>
      <c r="AL3837" s="156" t="s">
        <v>689</v>
      </c>
      <c r="AM3837" s="198">
        <f>AG3837*Z3837</f>
        <v>3454.2000000000003</v>
      </c>
      <c r="AN3837" s="199">
        <f>B3837</f>
        <v>46305</v>
      </c>
      <c r="AO3837" s="159" t="s">
        <v>692</v>
      </c>
      <c r="AP3837" s="781"/>
      <c r="AQ3837" s="783" t="s">
        <v>631</v>
      </c>
      <c r="AR3837" s="782">
        <v>12038019</v>
      </c>
      <c r="AS3837" s="781"/>
      <c r="AT3837" s="800">
        <v>12096586</v>
      </c>
      <c r="AU3837" s="781"/>
      <c r="AV3837" s="800">
        <v>12096585</v>
      </c>
      <c r="AW3837" s="781"/>
      <c r="AX3837" s="781" t="s">
        <v>162</v>
      </c>
      <c r="AY3837" s="781"/>
      <c r="AZ3837" s="781"/>
      <c r="BA3837" s="781"/>
      <c r="BB3837" s="209">
        <v>23053184</v>
      </c>
    </row>
    <row r="3838" spans="1:54" ht="24.75" customHeight="1">
      <c r="B3838" s="602">
        <v>46305</v>
      </c>
      <c r="C3838" s="861" t="s">
        <v>3197</v>
      </c>
      <c r="D3838" s="604">
        <f t="shared" ref="D3838" si="2506">IF(B3838="","",YEAR(B3838))</f>
        <v>2026</v>
      </c>
      <c r="E3838" s="603" t="e">
        <f>VLOOKUP($B3838,Week!$A$1:$C$1462,2,0)</f>
        <v>#N/A</v>
      </c>
      <c r="F3838" s="605" t="str">
        <f t="shared" ref="F3838" si="2507">IF(B3838="","",TEXT(B3838,"[$-409]mmm"))</f>
        <v>Oct</v>
      </c>
      <c r="G3838" s="938" t="s">
        <v>47</v>
      </c>
      <c r="H3838" s="604" t="s">
        <v>260</v>
      </c>
      <c r="I3838" s="604" t="s">
        <v>2702</v>
      </c>
      <c r="J3838" s="939" t="s">
        <v>2240</v>
      </c>
      <c r="K3838" s="607" t="s">
        <v>94</v>
      </c>
      <c r="L3838" s="607" t="s">
        <v>2167</v>
      </c>
      <c r="M3838" s="606" t="s">
        <v>2338</v>
      </c>
      <c r="N3838" s="604" t="s">
        <v>2997</v>
      </c>
      <c r="O3838" s="604" t="s">
        <v>54</v>
      </c>
      <c r="P3838" s="608">
        <v>24</v>
      </c>
      <c r="Q3838" s="608">
        <v>5</v>
      </c>
      <c r="R3838" s="609">
        <v>6.1999999999999998E-3</v>
      </c>
      <c r="S3838" s="604" t="s">
        <v>352</v>
      </c>
      <c r="T3838" s="604" t="s">
        <v>56</v>
      </c>
      <c r="U3838" s="604" t="s">
        <v>57</v>
      </c>
      <c r="V3838" s="610">
        <v>2767</v>
      </c>
      <c r="W3838" s="610"/>
      <c r="X3838" s="611"/>
      <c r="Y3838" s="612">
        <f t="shared" ref="Y3838" si="2508">(W3838+X3838)-V3838</f>
        <v>-2767</v>
      </c>
      <c r="Z3838" s="613">
        <f t="shared" ref="Z3838" si="2509">IF(Y3838&lt;0,((V3838*P3838)-((W3838+X3838)*P3838)),0)</f>
        <v>66408</v>
      </c>
      <c r="AA3838" s="613">
        <f t="shared" ref="AA3838" si="2510">Q3838*Z3838</f>
        <v>332040</v>
      </c>
      <c r="AB3838" s="836">
        <v>7.4999999999999997E-3</v>
      </c>
      <c r="AC3838" s="610">
        <f t="shared" ref="AC3838" si="2511">Z3838*AB3838</f>
        <v>498.06</v>
      </c>
      <c r="AD3838" s="443"/>
      <c r="AE3838" s="210">
        <f t="shared" ref="AE3838" si="2512">SUM(Q3838*R3838*Z3838)/1000</f>
        <v>2.0586480000000003</v>
      </c>
      <c r="AF3838" s="210">
        <f t="shared" ref="AF3838" si="2513">AE3838/0.54</f>
        <v>3.8123111111111112</v>
      </c>
      <c r="AG3838" s="211">
        <f>MID(O3838,1,3)/1000</f>
        <v>0.13500000000000001</v>
      </c>
      <c r="AH3838" s="157">
        <f t="shared" si="2504"/>
        <v>8.9650800000000004</v>
      </c>
      <c r="AI3838" s="152">
        <f t="shared" ref="AI3838" si="2514">V3838*P3838</f>
        <v>66408</v>
      </c>
      <c r="AK3838" s="156" t="s">
        <v>691</v>
      </c>
      <c r="AL3838" s="574" t="s">
        <v>690</v>
      </c>
      <c r="AM3838" s="198">
        <f t="shared" ref="AM3838" si="2515">AG3838*Z3838</f>
        <v>8965.08</v>
      </c>
      <c r="AN3838" s="199">
        <f t="shared" ref="AN3838" si="2516">B3838</f>
        <v>46305</v>
      </c>
      <c r="AO3838" s="159" t="s">
        <v>692</v>
      </c>
      <c r="AP3838" s="783" t="s">
        <v>622</v>
      </c>
      <c r="AQ3838" s="782">
        <v>12071839</v>
      </c>
      <c r="AR3838" s="782">
        <v>12099098</v>
      </c>
      <c r="AS3838" s="782">
        <v>12068233</v>
      </c>
      <c r="AT3838" s="781"/>
      <c r="AU3838" s="781"/>
      <c r="AV3838" s="782">
        <v>12099466</v>
      </c>
      <c r="AW3838" s="781"/>
      <c r="AX3838" s="781"/>
      <c r="AY3838" s="782">
        <v>12099097</v>
      </c>
      <c r="AZ3838" s="782"/>
      <c r="BA3838" s="781"/>
      <c r="BB3838" s="209">
        <v>23053184</v>
      </c>
    </row>
    <row r="3839" spans="1:54" ht="25" customHeight="1">
      <c r="B3839" s="271">
        <v>46306</v>
      </c>
      <c r="C3839" s="441">
        <v>46338</v>
      </c>
      <c r="D3839" s="274">
        <f>IF(B3839="","",YEAR(B3839))</f>
        <v>2026</v>
      </c>
      <c r="E3839" s="274" t="e">
        <f>VLOOKUP($B3839,Week!$A$1:$C$1462,2,0)</f>
        <v>#N/A</v>
      </c>
      <c r="F3839" s="273" t="str">
        <f>IF(B3839="","",TEXT(B3839,"[$-409]mmm"))</f>
        <v>Oct</v>
      </c>
      <c r="G3839" s="274" t="s">
        <v>3167</v>
      </c>
      <c r="H3839" s="274" t="s">
        <v>225</v>
      </c>
      <c r="I3839" s="274" t="s">
        <v>2773</v>
      </c>
      <c r="J3839" s="275" t="s">
        <v>650</v>
      </c>
      <c r="K3839" s="276" t="s">
        <v>2256</v>
      </c>
      <c r="L3839" s="276" t="s">
        <v>2167</v>
      </c>
      <c r="M3839" s="275" t="s">
        <v>2258</v>
      </c>
      <c r="N3839" s="274" t="s">
        <v>2259</v>
      </c>
      <c r="O3839" s="274" t="s">
        <v>110</v>
      </c>
      <c r="P3839" s="277">
        <v>36</v>
      </c>
      <c r="Q3839" s="277">
        <v>5</v>
      </c>
      <c r="R3839" s="278">
        <v>7.4999999999999997E-3</v>
      </c>
      <c r="S3839" s="274" t="s">
        <v>111</v>
      </c>
      <c r="T3839" s="274" t="s">
        <v>112</v>
      </c>
      <c r="U3839" s="274" t="s">
        <v>113</v>
      </c>
      <c r="V3839" s="279">
        <v>792</v>
      </c>
      <c r="W3839" s="279"/>
      <c r="X3839" s="280"/>
      <c r="Y3839" s="281">
        <f>(W3839+X3839)-V3839</f>
        <v>-792</v>
      </c>
      <c r="Z3839" s="282">
        <f>IF(Y3839&lt;0,((V3839*P3839)-((W3839+X3839)*P3839)),0)</f>
        <v>28512</v>
      </c>
      <c r="AA3839" s="282">
        <f>Q3839*Z3839</f>
        <v>142560</v>
      </c>
      <c r="AB3839" s="812">
        <v>9.7000000000000003E-3</v>
      </c>
      <c r="AC3839" s="279">
        <f>Z3839*AB3839</f>
        <v>276.56639999999999</v>
      </c>
      <c r="AD3839" s="324" t="s">
        <v>3111</v>
      </c>
      <c r="AE3839" s="210">
        <f>SUM(Q3839*R3839*Z3839)/1000</f>
        <v>1.0692000000000002</v>
      </c>
      <c r="AF3839" s="210">
        <f>AE3839/0.54</f>
        <v>1.9800000000000002</v>
      </c>
      <c r="AG3839" s="211">
        <f>MID(O3839,1,3)/1000</f>
        <v>0.308</v>
      </c>
      <c r="AH3839" s="157">
        <f t="shared" si="2504"/>
        <v>8.7816960000000002</v>
      </c>
      <c r="AI3839" s="152">
        <f>V3839*P3839</f>
        <v>28512</v>
      </c>
      <c r="AK3839" s="156" t="s">
        <v>691</v>
      </c>
      <c r="AL3839" s="574" t="s">
        <v>690</v>
      </c>
      <c r="AM3839" s="198">
        <f>AG3839*Z3839</f>
        <v>8781.6959999999999</v>
      </c>
      <c r="AN3839" s="199">
        <f>B3839</f>
        <v>46306</v>
      </c>
      <c r="AO3839" s="159" t="s">
        <v>692</v>
      </c>
      <c r="AP3839" s="781"/>
      <c r="AQ3839" s="782">
        <v>12063755</v>
      </c>
      <c r="AR3839" s="782">
        <v>12061353</v>
      </c>
      <c r="AS3839" s="782">
        <v>12061354</v>
      </c>
      <c r="AT3839" s="782">
        <v>12095367</v>
      </c>
      <c r="AU3839" s="781"/>
      <c r="AV3839" s="782">
        <v>12095366</v>
      </c>
      <c r="AW3839" s="782">
        <v>12088207</v>
      </c>
      <c r="AX3839" s="782"/>
      <c r="AY3839" s="782">
        <v>12095368</v>
      </c>
      <c r="AZ3839" s="782"/>
      <c r="BA3839" s="781"/>
      <c r="BB3839" s="209">
        <v>23054743</v>
      </c>
    </row>
    <row r="3840" spans="1:54" ht="25" customHeight="1">
      <c r="B3840" s="271">
        <v>46306</v>
      </c>
      <c r="C3840" s="441">
        <v>46345</v>
      </c>
      <c r="D3840" s="274">
        <f t="shared" ref="D3840" si="2517">IF(B3840="","",YEAR(B3840))</f>
        <v>2026</v>
      </c>
      <c r="E3840" s="274" t="e">
        <f>VLOOKUP($B3840,Week!$A$1:$C$1462,2,0)</f>
        <v>#N/A</v>
      </c>
      <c r="F3840" s="273" t="str">
        <f t="shared" ref="F3840" si="2518">IF(B3840="","",TEXT(B3840,"[$-409]mmm"))</f>
        <v>Oct</v>
      </c>
      <c r="G3840" s="274" t="s">
        <v>3168</v>
      </c>
      <c r="H3840" s="274" t="s">
        <v>225</v>
      </c>
      <c r="I3840" s="274" t="s">
        <v>2773</v>
      </c>
      <c r="J3840" s="275" t="s">
        <v>650</v>
      </c>
      <c r="K3840" s="276" t="s">
        <v>2256</v>
      </c>
      <c r="L3840" s="276" t="s">
        <v>2167</v>
      </c>
      <c r="M3840" s="275" t="s">
        <v>2258</v>
      </c>
      <c r="N3840" s="274" t="s">
        <v>2259</v>
      </c>
      <c r="O3840" s="274" t="s">
        <v>110</v>
      </c>
      <c r="P3840" s="277">
        <v>36</v>
      </c>
      <c r="Q3840" s="277">
        <v>5</v>
      </c>
      <c r="R3840" s="278">
        <v>7.4999999999999997E-3</v>
      </c>
      <c r="S3840" s="274" t="s">
        <v>111</v>
      </c>
      <c r="T3840" s="274" t="s">
        <v>112</v>
      </c>
      <c r="U3840" s="274" t="s">
        <v>113</v>
      </c>
      <c r="V3840" s="279">
        <v>792</v>
      </c>
      <c r="W3840" s="279"/>
      <c r="X3840" s="280"/>
      <c r="Y3840" s="281">
        <f>(W3840+X3840)-V3840</f>
        <v>-792</v>
      </c>
      <c r="Z3840" s="282">
        <f>IF(Y3840&lt;0,((V3840*P3840)-((W3840+X3840)*P3840)),0)</f>
        <v>28512</v>
      </c>
      <c r="AA3840" s="282">
        <f>Q3840*Z3840</f>
        <v>142560</v>
      </c>
      <c r="AB3840" s="812">
        <v>9.7000000000000003E-3</v>
      </c>
      <c r="AC3840" s="279">
        <f>Z3840*AB3840</f>
        <v>276.56639999999999</v>
      </c>
      <c r="AD3840" s="324" t="s">
        <v>3111</v>
      </c>
      <c r="AE3840" s="210">
        <f>SUM(Q3840*R3840*Z3840)/1000</f>
        <v>1.0692000000000002</v>
      </c>
      <c r="AF3840" s="210">
        <f>AE3840/0.54</f>
        <v>1.9800000000000002</v>
      </c>
      <c r="AG3840" s="211">
        <f t="shared" ref="AG3840" si="2519">MID(O3840,1,3)/1000</f>
        <v>0.308</v>
      </c>
      <c r="AH3840" s="157">
        <f t="shared" si="2504"/>
        <v>8.7816960000000002</v>
      </c>
      <c r="AI3840" s="152">
        <f>V3840*P3840</f>
        <v>28512</v>
      </c>
      <c r="AK3840" s="156" t="s">
        <v>691</v>
      </c>
      <c r="AL3840" s="574" t="s">
        <v>690</v>
      </c>
      <c r="AM3840" s="198">
        <f>AG3840*Z3840</f>
        <v>8781.6959999999999</v>
      </c>
      <c r="AN3840" s="199">
        <f>B3840</f>
        <v>46306</v>
      </c>
      <c r="AO3840" s="159" t="s">
        <v>692</v>
      </c>
      <c r="AP3840" s="781"/>
      <c r="AQ3840" s="782">
        <v>12063755</v>
      </c>
      <c r="AR3840" s="782">
        <v>12061353</v>
      </c>
      <c r="AS3840" s="782">
        <v>12061354</v>
      </c>
      <c r="AT3840" s="782">
        <v>12095367</v>
      </c>
      <c r="AU3840" s="781"/>
      <c r="AV3840" s="782">
        <v>12095366</v>
      </c>
      <c r="AW3840" s="782">
        <v>12088207</v>
      </c>
      <c r="AX3840" s="782"/>
      <c r="AY3840" s="782">
        <v>12095368</v>
      </c>
      <c r="AZ3840" s="782"/>
      <c r="BA3840" s="781"/>
      <c r="BB3840" s="209">
        <v>23054743</v>
      </c>
    </row>
    <row r="3841" spans="1:54" ht="25" customHeight="1">
      <c r="B3841" s="271">
        <v>46306</v>
      </c>
      <c r="C3841" s="441">
        <v>46350</v>
      </c>
      <c r="D3841" s="274">
        <f>IF(B3841="","",YEAR(B3841))</f>
        <v>2026</v>
      </c>
      <c r="E3841" s="274" t="e">
        <f>VLOOKUP($B3841,Week!$A$1:$C$1462,2,0)</f>
        <v>#N/A</v>
      </c>
      <c r="F3841" s="273" t="str">
        <f>IF(B3841="","",TEXT(B3841,"[$-409]mmm"))</f>
        <v>Oct</v>
      </c>
      <c r="G3841" s="274" t="s">
        <v>3200</v>
      </c>
      <c r="H3841" s="274" t="s">
        <v>225</v>
      </c>
      <c r="I3841" s="274" t="s">
        <v>2773</v>
      </c>
      <c r="J3841" s="275" t="s">
        <v>650</v>
      </c>
      <c r="K3841" s="276" t="s">
        <v>2256</v>
      </c>
      <c r="L3841" s="276" t="s">
        <v>2167</v>
      </c>
      <c r="M3841" s="275" t="s">
        <v>2258</v>
      </c>
      <c r="N3841" s="274" t="s">
        <v>2259</v>
      </c>
      <c r="O3841" s="274" t="s">
        <v>110</v>
      </c>
      <c r="P3841" s="277">
        <v>36</v>
      </c>
      <c r="Q3841" s="277">
        <v>5</v>
      </c>
      <c r="R3841" s="278">
        <v>7.4999999999999997E-3</v>
      </c>
      <c r="S3841" s="274" t="s">
        <v>111</v>
      </c>
      <c r="T3841" s="274" t="s">
        <v>112</v>
      </c>
      <c r="U3841" s="274" t="s">
        <v>113</v>
      </c>
      <c r="V3841" s="279">
        <v>792</v>
      </c>
      <c r="W3841" s="279"/>
      <c r="X3841" s="280"/>
      <c r="Y3841" s="281">
        <f>(W3841+X3841)-V3841</f>
        <v>-792</v>
      </c>
      <c r="Z3841" s="282">
        <f>IF(Y3841&lt;0,((V3841*P3841)-((W3841+X3841)*P3841)),0)</f>
        <v>28512</v>
      </c>
      <c r="AA3841" s="282">
        <f>Q3841*Z3841</f>
        <v>142560</v>
      </c>
      <c r="AB3841" s="812">
        <v>9.7000000000000003E-3</v>
      </c>
      <c r="AC3841" s="279">
        <f>Z3841*AB3841</f>
        <v>276.56639999999999</v>
      </c>
      <c r="AD3841" s="209" t="s">
        <v>3152</v>
      </c>
      <c r="AE3841" s="210">
        <f>SUM(Q3841*R3841*Z3841)/1000</f>
        <v>1.0692000000000002</v>
      </c>
      <c r="AF3841" s="210">
        <f>AE3841/0.54</f>
        <v>1.9800000000000002</v>
      </c>
      <c r="AG3841" s="211">
        <f>MID(O3841,1,3)/1000</f>
        <v>0.308</v>
      </c>
      <c r="AH3841" s="157">
        <f>(Z3841*AG3841)/1000</f>
        <v>8.7816960000000002</v>
      </c>
      <c r="AI3841" s="152">
        <f>V3841*P3841</f>
        <v>28512</v>
      </c>
      <c r="AK3841" s="156" t="s">
        <v>691</v>
      </c>
      <c r="AL3841" s="574" t="s">
        <v>690</v>
      </c>
      <c r="AM3841" s="198">
        <f>AG3841*Z3841</f>
        <v>8781.6959999999999</v>
      </c>
      <c r="AN3841" s="199">
        <f>B3841</f>
        <v>46306</v>
      </c>
      <c r="AO3841" s="159" t="s">
        <v>692</v>
      </c>
      <c r="AP3841" s="781"/>
      <c r="AQ3841" s="782">
        <v>12063755</v>
      </c>
      <c r="AR3841" s="782">
        <v>12061353</v>
      </c>
      <c r="AS3841" s="782">
        <v>12061354</v>
      </c>
      <c r="AT3841" s="782">
        <v>12095367</v>
      </c>
      <c r="AU3841" s="781"/>
      <c r="AV3841" s="782">
        <v>12095366</v>
      </c>
      <c r="AW3841" s="782">
        <v>12088207</v>
      </c>
      <c r="AX3841" s="782"/>
      <c r="AY3841" s="782">
        <v>12095368</v>
      </c>
      <c r="AZ3841" s="782"/>
      <c r="BA3841" s="781"/>
      <c r="BB3841" s="209">
        <v>23054743</v>
      </c>
    </row>
    <row r="3842" spans="1:54" ht="24.75" customHeight="1">
      <c r="B3842" s="320">
        <v>46306</v>
      </c>
      <c r="C3842" s="321">
        <v>46345</v>
      </c>
      <c r="D3842" s="185">
        <f>IF(B3842="","",YEAR(B3842))</f>
        <v>2026</v>
      </c>
      <c r="E3842" s="321" t="e">
        <f>VLOOKUP($B3842,Week!$A$1:$C$1462,2,0)</f>
        <v>#N/A</v>
      </c>
      <c r="F3842" s="322" t="str">
        <f>IF(B3842="","",TEXT(B3842,"[$-409]mmm"))</f>
        <v>Oct</v>
      </c>
      <c r="G3842" s="323" t="s">
        <v>3211</v>
      </c>
      <c r="H3842" s="323" t="s">
        <v>311</v>
      </c>
      <c r="I3842" s="323" t="s">
        <v>2772</v>
      </c>
      <c r="J3842" s="324" t="s">
        <v>2913</v>
      </c>
      <c r="K3842" s="325" t="s">
        <v>107</v>
      </c>
      <c r="L3842" s="300" t="s">
        <v>2167</v>
      </c>
      <c r="M3842" s="324" t="s">
        <v>313</v>
      </c>
      <c r="N3842" s="596" t="s">
        <v>2853</v>
      </c>
      <c r="O3842" s="323" t="s">
        <v>2747</v>
      </c>
      <c r="P3842" s="326">
        <v>5</v>
      </c>
      <c r="Q3842" s="326">
        <v>4</v>
      </c>
      <c r="R3842" s="327">
        <v>7.4999999999999997E-3</v>
      </c>
      <c r="S3842" s="323" t="s">
        <v>111</v>
      </c>
      <c r="T3842" s="323" t="s">
        <v>112</v>
      </c>
      <c r="U3842" s="323" t="s">
        <v>57</v>
      </c>
      <c r="V3842" s="328">
        <f>5000+76</f>
        <v>5076</v>
      </c>
      <c r="W3842" s="328"/>
      <c r="X3842" s="329"/>
      <c r="Y3842" s="330">
        <f>(W3842+X3842)-V3842</f>
        <v>-5076</v>
      </c>
      <c r="Z3842" s="331">
        <f>IF(Y3842&lt;0,((V3842*P3842)-((W3842+X3842)*P3842)),0)</f>
        <v>25380</v>
      </c>
      <c r="AA3842" s="331">
        <f>Q3842*Z3842</f>
        <v>101520</v>
      </c>
      <c r="AB3842" s="816">
        <v>7.4999999999999997E-3</v>
      </c>
      <c r="AC3842" s="328">
        <f>Z3842*AB3842</f>
        <v>190.35</v>
      </c>
      <c r="AD3842" s="307" t="s">
        <v>2354</v>
      </c>
      <c r="AE3842" s="210">
        <f t="shared" ref="AE3842" si="2520">SUM(Q3842*R3842*Z3842)/1000</f>
        <v>0.76139999999999997</v>
      </c>
      <c r="AF3842" s="210">
        <f>AE3842/0.54</f>
        <v>1.41</v>
      </c>
      <c r="AG3842" s="211">
        <f>MID(O3842,1,3)/1000</f>
        <v>0.30499999999999999</v>
      </c>
      <c r="AH3842" s="157">
        <f t="shared" ref="AH3842" si="2521">(Z3842*AG3842)/1000</f>
        <v>7.7408999999999999</v>
      </c>
      <c r="AI3842" s="152">
        <f>V3842*P3842</f>
        <v>25380</v>
      </c>
      <c r="AK3842" s="156" t="s">
        <v>691</v>
      </c>
      <c r="AL3842" s="212" t="s">
        <v>690</v>
      </c>
      <c r="AM3842" s="198">
        <f>AG3842*Z3842</f>
        <v>7740.9</v>
      </c>
      <c r="AN3842" s="199">
        <f>B3842</f>
        <v>46306</v>
      </c>
      <c r="AO3842" s="159" t="s">
        <v>692</v>
      </c>
      <c r="AP3842" s="783" t="s">
        <v>643</v>
      </c>
      <c r="AQ3842" s="782">
        <v>12063755</v>
      </c>
      <c r="AR3842" s="782">
        <v>12081257</v>
      </c>
      <c r="AS3842" s="782">
        <v>12081260</v>
      </c>
      <c r="AT3842" s="782">
        <v>12098252</v>
      </c>
      <c r="AU3842" s="781"/>
      <c r="AV3842" s="782">
        <v>12098251</v>
      </c>
      <c r="AW3842" s="782"/>
      <c r="AX3842" s="782"/>
      <c r="AY3842" s="781"/>
      <c r="AZ3842" s="781"/>
      <c r="BA3842" s="781"/>
      <c r="BB3842" s="209">
        <v>23053185</v>
      </c>
    </row>
    <row r="3843" spans="1:54" ht="25" customHeight="1">
      <c r="B3843" s="183">
        <v>46307</v>
      </c>
      <c r="C3843" s="184"/>
      <c r="D3843" s="185">
        <f t="shared" ref="D3843:D3909" si="2522">IF(B3843="","",YEAR(B3843))</f>
        <v>2026</v>
      </c>
      <c r="E3843" s="185" t="e">
        <f>VLOOKUP($B3843,Week!$A$1:$C$1462,2,0)</f>
        <v>#N/A</v>
      </c>
      <c r="F3843" s="186" t="str">
        <f t="shared" ref="F3843:F3909" si="2523">IF(B3843="","",TEXT(B3843,"[$-409]mmm"))</f>
        <v>Oct</v>
      </c>
      <c r="G3843" s="481"/>
      <c r="H3843" s="185"/>
      <c r="I3843" s="185"/>
      <c r="J3843" s="187"/>
      <c r="K3843" s="188"/>
      <c r="L3843" s="188"/>
      <c r="M3843" s="187"/>
      <c r="N3843" s="185"/>
      <c r="O3843" s="185"/>
      <c r="P3843" s="189"/>
      <c r="Q3843" s="189"/>
      <c r="R3843" s="190"/>
      <c r="S3843" s="185"/>
      <c r="T3843" s="185"/>
      <c r="U3843" s="185"/>
      <c r="V3843" s="191"/>
      <c r="W3843" s="191"/>
      <c r="X3843" s="192"/>
      <c r="Y3843" s="193"/>
      <c r="Z3843" s="194"/>
      <c r="AA3843" s="194">
        <f t="shared" ref="AA3843:AA3909" si="2524">Q3843*Z3843</f>
        <v>0</v>
      </c>
      <c r="AB3843" s="805"/>
      <c r="AC3843" s="191"/>
      <c r="AD3843" s="187"/>
      <c r="AE3843" s="195"/>
      <c r="AF3843" s="195"/>
      <c r="AG3843" s="196"/>
      <c r="AH3843" s="197"/>
      <c r="AK3843" s="156" t="s">
        <v>691</v>
      </c>
      <c r="AM3843" s="198">
        <f t="shared" ref="AM3843:AM3909" si="2525">AG3843*Z3843</f>
        <v>0</v>
      </c>
      <c r="AN3843" s="199">
        <f t="shared" ref="AN3843:AN3909" si="2526">B3843</f>
        <v>46307</v>
      </c>
      <c r="AO3843" s="159" t="s">
        <v>692</v>
      </c>
      <c r="AP3843" s="781"/>
      <c r="AQ3843" s="782"/>
      <c r="AR3843" s="782"/>
      <c r="AS3843" s="782"/>
      <c r="AT3843" s="782"/>
      <c r="AU3843" s="781"/>
      <c r="AV3843" s="782"/>
      <c r="AW3843" s="782"/>
      <c r="AX3843" s="782"/>
      <c r="AY3843" s="782"/>
      <c r="AZ3843" s="782"/>
      <c r="BA3843" s="781"/>
      <c r="BB3843" s="209"/>
    </row>
    <row r="3844" spans="1:54" ht="25" customHeight="1">
      <c r="B3844" s="183">
        <v>46308</v>
      </c>
      <c r="C3844" s="184"/>
      <c r="D3844" s="185">
        <f>IF(B3844="","",YEAR(B3844))</f>
        <v>2026</v>
      </c>
      <c r="E3844" s="185" t="e">
        <f>VLOOKUP($B3844,Week!$A$1:$C$1462,2,0)</f>
        <v>#N/A</v>
      </c>
      <c r="F3844" s="186" t="str">
        <f>IF(B3844="","",TEXT(B3844,"[$-409]mmm"))</f>
        <v>Oct</v>
      </c>
      <c r="G3844" s="481"/>
      <c r="H3844" s="185"/>
      <c r="I3844" s="185"/>
      <c r="J3844" s="187"/>
      <c r="K3844" s="188"/>
      <c r="L3844" s="188"/>
      <c r="M3844" s="187"/>
      <c r="N3844" s="185"/>
      <c r="O3844" s="185"/>
      <c r="P3844" s="189"/>
      <c r="Q3844" s="189"/>
      <c r="R3844" s="190"/>
      <c r="S3844" s="185"/>
      <c r="T3844" s="185"/>
      <c r="U3844" s="185"/>
      <c r="V3844" s="191"/>
      <c r="W3844" s="191"/>
      <c r="X3844" s="192"/>
      <c r="Y3844" s="193"/>
      <c r="Z3844" s="194"/>
      <c r="AA3844" s="194">
        <f>Q3844*Z3844</f>
        <v>0</v>
      </c>
      <c r="AB3844" s="805"/>
      <c r="AC3844" s="191"/>
      <c r="AD3844" s="187"/>
      <c r="AE3844" s="195"/>
      <c r="AF3844" s="195"/>
      <c r="AG3844" s="196"/>
      <c r="AH3844" s="197"/>
      <c r="AK3844" s="156" t="s">
        <v>691</v>
      </c>
      <c r="AM3844" s="198">
        <f>AG3844*Z3844</f>
        <v>0</v>
      </c>
      <c r="AN3844" s="199">
        <f>B3844</f>
        <v>46308</v>
      </c>
      <c r="AO3844" s="159" t="s">
        <v>692</v>
      </c>
      <c r="AP3844" s="781"/>
      <c r="AQ3844" s="782"/>
      <c r="AR3844" s="782"/>
      <c r="AS3844" s="782"/>
      <c r="AT3844" s="782"/>
      <c r="AU3844" s="781"/>
      <c r="AV3844" s="782"/>
      <c r="AW3844" s="782"/>
      <c r="AX3844" s="782"/>
      <c r="AY3844" s="782"/>
      <c r="AZ3844" s="782"/>
      <c r="BA3844" s="781"/>
      <c r="BB3844" s="209"/>
    </row>
    <row r="3845" spans="1:54" ht="25" customHeight="1">
      <c r="B3845" s="183">
        <v>46309</v>
      </c>
      <c r="C3845" s="184"/>
      <c r="D3845" s="185">
        <f>IF(B3845="","",YEAR(B3845))</f>
        <v>2026</v>
      </c>
      <c r="E3845" s="185" t="e">
        <f>VLOOKUP($B3845,Week!$A$1:$C$1462,2,0)</f>
        <v>#N/A</v>
      </c>
      <c r="F3845" s="186" t="str">
        <f>IF(B3845="","",TEXT(B3845,"[$-409]mmm"))</f>
        <v>Oct</v>
      </c>
      <c r="G3845" s="481"/>
      <c r="H3845" s="185"/>
      <c r="I3845" s="185"/>
      <c r="J3845" s="187"/>
      <c r="K3845" s="188"/>
      <c r="L3845" s="188"/>
      <c r="M3845" s="187"/>
      <c r="N3845" s="185"/>
      <c r="O3845" s="185"/>
      <c r="P3845" s="189"/>
      <c r="Q3845" s="189"/>
      <c r="R3845" s="190"/>
      <c r="S3845" s="185"/>
      <c r="T3845" s="185"/>
      <c r="U3845" s="185"/>
      <c r="V3845" s="191"/>
      <c r="W3845" s="191"/>
      <c r="X3845" s="192"/>
      <c r="Y3845" s="193"/>
      <c r="Z3845" s="194"/>
      <c r="AA3845" s="194">
        <f>Q3845*Z3845</f>
        <v>0</v>
      </c>
      <c r="AB3845" s="805"/>
      <c r="AC3845" s="191"/>
      <c r="AD3845" s="187"/>
      <c r="AE3845" s="195"/>
      <c r="AF3845" s="195"/>
      <c r="AG3845" s="196"/>
      <c r="AH3845" s="197"/>
      <c r="AK3845" s="156" t="s">
        <v>691</v>
      </c>
      <c r="AM3845" s="198">
        <f>AG3845*Z3845</f>
        <v>0</v>
      </c>
      <c r="AN3845" s="199">
        <f>B3845</f>
        <v>46309</v>
      </c>
      <c r="AO3845" s="159" t="s">
        <v>692</v>
      </c>
      <c r="AP3845" s="781"/>
      <c r="AQ3845" s="782"/>
      <c r="AR3845" s="782"/>
      <c r="AS3845" s="782"/>
      <c r="AT3845" s="782"/>
      <c r="AU3845" s="781"/>
      <c r="AV3845" s="782"/>
      <c r="AW3845" s="782"/>
      <c r="AX3845" s="782"/>
      <c r="AY3845" s="782"/>
      <c r="AZ3845" s="782"/>
      <c r="BA3845" s="781"/>
      <c r="BB3845" s="209"/>
    </row>
    <row r="3846" spans="1:54" ht="25" customHeight="1">
      <c r="B3846" s="424">
        <v>46310</v>
      </c>
      <c r="C3846" s="647" t="s">
        <v>3197</v>
      </c>
      <c r="D3846" s="185">
        <f t="shared" ref="D3846" si="2527">IF(B3846="","",YEAR(B3846))</f>
        <v>2026</v>
      </c>
      <c r="E3846" s="425" t="e">
        <f>VLOOKUP($B3846,Week!$A$1:$C$1462,2,0)</f>
        <v>#N/A</v>
      </c>
      <c r="F3846" s="426" t="str">
        <f t="shared" ref="F3846" si="2528">IF(B3846="","",TEXT(B3846,"[$-409]mmm"))</f>
        <v>Oct</v>
      </c>
      <c r="G3846" s="427" t="s">
        <v>47</v>
      </c>
      <c r="H3846" s="427" t="s">
        <v>518</v>
      </c>
      <c r="I3846" s="427" t="s">
        <v>2702</v>
      </c>
      <c r="J3846" s="428" t="s">
        <v>70</v>
      </c>
      <c r="K3846" s="429" t="s">
        <v>94</v>
      </c>
      <c r="L3846" s="300" t="s">
        <v>2167</v>
      </c>
      <c r="M3846" s="428" t="s">
        <v>2342</v>
      </c>
      <c r="N3846" s="427" t="s">
        <v>587</v>
      </c>
      <c r="O3846" s="427" t="s">
        <v>3198</v>
      </c>
      <c r="P3846" s="430">
        <v>18</v>
      </c>
      <c r="Q3846" s="430">
        <v>5</v>
      </c>
      <c r="R3846" s="431">
        <v>8.0000000000000002E-3</v>
      </c>
      <c r="S3846" s="427" t="s">
        <v>40</v>
      </c>
      <c r="T3846" s="427" t="s">
        <v>56</v>
      </c>
      <c r="U3846" s="427" t="s">
        <v>89</v>
      </c>
      <c r="V3846" s="432">
        <f>1500</f>
        <v>1500</v>
      </c>
      <c r="W3846" s="432"/>
      <c r="X3846" s="433"/>
      <c r="Y3846" s="434">
        <f t="shared" ref="Y3846" si="2529">(W3846+X3846)-V3846</f>
        <v>-1500</v>
      </c>
      <c r="Z3846" s="435">
        <f t="shared" ref="Z3846" si="2530">IF(Y3846&lt;0,((V3846*P3846)-((W3846+X3846)*P3846)),0)</f>
        <v>27000</v>
      </c>
      <c r="AA3846" s="435">
        <f>Q3846*Z3846</f>
        <v>135000</v>
      </c>
      <c r="AB3846" s="826">
        <v>1</v>
      </c>
      <c r="AC3846" s="432">
        <f t="shared" ref="AC3846" si="2531">Z3846*AB3846</f>
        <v>27000</v>
      </c>
      <c r="AD3846" s="908" t="s">
        <v>3109</v>
      </c>
      <c r="AE3846" s="210">
        <f t="shared" ref="AE3846" si="2532">SUM(Q3846*R3846*Z3846)/1000</f>
        <v>1.08</v>
      </c>
      <c r="AF3846" s="210">
        <f t="shared" ref="AF3846" si="2533">AE3846/0.54</f>
        <v>2</v>
      </c>
      <c r="AG3846" s="211">
        <f>(MID(O3846,1,2)/1000)/3</f>
        <v>0.03</v>
      </c>
      <c r="AH3846" s="157">
        <f t="shared" ref="AH3846" si="2534">(Z3846*AG3846)/1000</f>
        <v>0.81</v>
      </c>
      <c r="AI3846" s="152">
        <f t="shared" ref="AI3846" si="2535">V3846*P3846</f>
        <v>27000</v>
      </c>
      <c r="AK3846" s="156" t="s">
        <v>691</v>
      </c>
      <c r="AL3846" s="212" t="s">
        <v>690</v>
      </c>
      <c r="AM3846" s="198">
        <f>AG3846*Z3846</f>
        <v>810</v>
      </c>
      <c r="AN3846" s="199">
        <f>B3846</f>
        <v>46310</v>
      </c>
      <c r="AO3846" s="159" t="s">
        <v>692</v>
      </c>
      <c r="AP3846" s="783" t="s">
        <v>628</v>
      </c>
      <c r="AQ3846" s="782"/>
      <c r="AR3846" s="782"/>
      <c r="AS3846" s="782"/>
      <c r="AT3846" s="782"/>
      <c r="AU3846" s="781"/>
      <c r="AV3846" s="782">
        <v>12080791</v>
      </c>
      <c r="AW3846" s="782" t="s">
        <v>641</v>
      </c>
      <c r="AX3846" s="782" t="s">
        <v>533</v>
      </c>
      <c r="AY3846" s="782"/>
      <c r="AZ3846" s="782"/>
      <c r="BA3846" s="781"/>
      <c r="BB3846" s="209">
        <v>23053184</v>
      </c>
    </row>
    <row r="3847" spans="1:54" ht="24.65" customHeight="1">
      <c r="A3847" s="529" t="s">
        <v>1812</v>
      </c>
      <c r="B3847" s="357">
        <v>46310</v>
      </c>
      <c r="C3847" s="776">
        <v>46371</v>
      </c>
      <c r="D3847" s="185">
        <f>IF(B3847="","",YEAR(B3847))</f>
        <v>2026</v>
      </c>
      <c r="E3847" s="358" t="e">
        <f>VLOOKUP($B3847,Week!$A$1:$C$1462,2,0)</f>
        <v>#N/A</v>
      </c>
      <c r="F3847" s="360" t="str">
        <f>IF(B3847="","",TEXT(B3847,"[$-409]mmm"))</f>
        <v>Oct</v>
      </c>
      <c r="G3847" s="359" t="s">
        <v>3195</v>
      </c>
      <c r="H3847" s="436" t="s">
        <v>1820</v>
      </c>
      <c r="I3847" s="436" t="s">
        <v>1820</v>
      </c>
      <c r="J3847" s="437" t="s">
        <v>1821</v>
      </c>
      <c r="K3847" s="362" t="s">
        <v>94</v>
      </c>
      <c r="L3847" s="300" t="s">
        <v>2167</v>
      </c>
      <c r="M3847" s="361" t="s">
        <v>1823</v>
      </c>
      <c r="N3847" s="436" t="s">
        <v>1818</v>
      </c>
      <c r="O3847" s="359" t="s">
        <v>97</v>
      </c>
      <c r="P3847" s="363">
        <v>12</v>
      </c>
      <c r="Q3847" s="363">
        <v>5</v>
      </c>
      <c r="R3847" s="364">
        <v>8.0000000000000002E-3</v>
      </c>
      <c r="S3847" s="359" t="s">
        <v>40</v>
      </c>
      <c r="T3847" s="359" t="s">
        <v>56</v>
      </c>
      <c r="U3847" s="359" t="s">
        <v>57</v>
      </c>
      <c r="V3847" s="365">
        <f>200</f>
        <v>200</v>
      </c>
      <c r="W3847" s="365"/>
      <c r="X3847" s="366"/>
      <c r="Y3847" s="367">
        <f t="shared" ref="Y3847" si="2536">(W3847+X3847)-V3847</f>
        <v>-200</v>
      </c>
      <c r="Z3847" s="368">
        <f t="shared" ref="Z3847" si="2537">IF(Y3847&lt;0,((V3847*P3847)-((W3847+X3847)*P3847)),0)</f>
        <v>2400</v>
      </c>
      <c r="AA3847" s="368">
        <f>Q3847*Z3847</f>
        <v>12000</v>
      </c>
      <c r="AB3847" s="819">
        <v>7.4999999999999997E-3</v>
      </c>
      <c r="AC3847" s="365">
        <f t="shared" ref="AC3847" si="2538">Z3847*AB3847</f>
        <v>18</v>
      </c>
      <c r="AD3847" s="908" t="s">
        <v>3109</v>
      </c>
      <c r="AE3847" s="210">
        <f t="shared" ref="AE3847" si="2539">SUM(Q3847*R3847*Z3847)/1000</f>
        <v>9.6000000000000002E-2</v>
      </c>
      <c r="AF3847" s="210">
        <f t="shared" ref="AF3847" si="2540">AE3847/0.54</f>
        <v>0.17777777777777776</v>
      </c>
      <c r="AG3847" s="211">
        <f t="shared" ref="AG3847" si="2541">MID(O3847,1,3)/1000</f>
        <v>0.14499999999999999</v>
      </c>
      <c r="AH3847" s="157">
        <f t="shared" ref="AH3847" si="2542">(Z3847*AG3847)/1000</f>
        <v>0.34799999999999998</v>
      </c>
      <c r="AI3847" s="152">
        <f t="shared" ref="AI3847" si="2543">V3847*P3847</f>
        <v>2400</v>
      </c>
      <c r="AK3847" s="156" t="s">
        <v>691</v>
      </c>
      <c r="AL3847" s="574" t="s">
        <v>690</v>
      </c>
      <c r="AM3847" s="198">
        <f>AG3847*Z3847</f>
        <v>348</v>
      </c>
      <c r="AN3847" s="199">
        <f>B3847</f>
        <v>46310</v>
      </c>
      <c r="AO3847" s="159" t="s">
        <v>692</v>
      </c>
      <c r="AP3847" s="783" t="s">
        <v>628</v>
      </c>
      <c r="AQ3847" s="782">
        <v>12071839</v>
      </c>
      <c r="AR3847" s="782">
        <v>12047514</v>
      </c>
      <c r="AS3847" s="782">
        <v>12047515</v>
      </c>
      <c r="AT3847" s="782"/>
      <c r="AU3847" s="781"/>
      <c r="AV3847" s="782">
        <v>12080617</v>
      </c>
      <c r="AW3847" s="782"/>
      <c r="AX3847" s="782" t="s">
        <v>2986</v>
      </c>
      <c r="AY3847" s="782">
        <v>12094231</v>
      </c>
      <c r="AZ3847" s="782">
        <v>1209232</v>
      </c>
      <c r="BA3847" s="781"/>
      <c r="BB3847" s="209">
        <v>23053185</v>
      </c>
    </row>
    <row r="3848" spans="1:54" ht="25" customHeight="1">
      <c r="A3848" s="529" t="s">
        <v>1937</v>
      </c>
      <c r="B3848" s="357">
        <v>46310</v>
      </c>
      <c r="C3848" s="776" t="s">
        <v>3197</v>
      </c>
      <c r="D3848" s="185">
        <f t="shared" ref="D3848:D3852" si="2544">IF(B3848="","",YEAR(B3848))</f>
        <v>2026</v>
      </c>
      <c r="E3848" s="358" t="e">
        <f>VLOOKUP($B3848,Week!$A$1:$C$1462,2,0)</f>
        <v>#N/A</v>
      </c>
      <c r="F3848" s="360" t="str">
        <f t="shared" ref="F3848:F3852" si="2545">IF(B3848="","",TEXT(B3848,"[$-409]mmm"))</f>
        <v>Oct</v>
      </c>
      <c r="G3848" s="359" t="s">
        <v>47</v>
      </c>
      <c r="H3848" s="359" t="s">
        <v>518</v>
      </c>
      <c r="I3848" s="359" t="s">
        <v>2702</v>
      </c>
      <c r="J3848" s="361" t="s">
        <v>70</v>
      </c>
      <c r="K3848" s="362" t="s">
        <v>94</v>
      </c>
      <c r="L3848" s="362" t="s">
        <v>2167</v>
      </c>
      <c r="M3848" s="361" t="s">
        <v>2341</v>
      </c>
      <c r="N3848" s="436" t="s">
        <v>648</v>
      </c>
      <c r="O3848" s="359" t="s">
        <v>97</v>
      </c>
      <c r="P3848" s="363">
        <v>12</v>
      </c>
      <c r="Q3848" s="363">
        <v>5</v>
      </c>
      <c r="R3848" s="364">
        <v>8.0000000000000002E-3</v>
      </c>
      <c r="S3848" s="359" t="s">
        <v>40</v>
      </c>
      <c r="T3848" s="359" t="s">
        <v>56</v>
      </c>
      <c r="U3848" s="359" t="s">
        <v>57</v>
      </c>
      <c r="V3848" s="365">
        <f>12</f>
        <v>12</v>
      </c>
      <c r="W3848" s="365"/>
      <c r="X3848" s="366"/>
      <c r="Y3848" s="367">
        <f t="shared" ref="Y3848:Y3852" si="2546">(W3848+X3848)-V3848</f>
        <v>-12</v>
      </c>
      <c r="Z3848" s="368">
        <f t="shared" ref="Z3848:Z3852" si="2547">IF(Y3848&lt;0,((V3848*P3848)-((W3848+X3848)*P3848)),0)</f>
        <v>144</v>
      </c>
      <c r="AA3848" s="368">
        <f t="shared" ref="AA3848:AA3852" si="2548">Q3848*Z3848</f>
        <v>720</v>
      </c>
      <c r="AB3848" s="819">
        <v>7.4999999999999997E-3</v>
      </c>
      <c r="AC3848" s="365">
        <f t="shared" ref="AC3848:AC3852" si="2549">Z3848*AB3848</f>
        <v>1.08</v>
      </c>
      <c r="AD3848" s="908" t="s">
        <v>3109</v>
      </c>
      <c r="AE3848" s="210">
        <f t="shared" ref="AE3848:AE3851" si="2550">SUM(Q3848*R3848*Z3848)/1000</f>
        <v>5.7599999999999995E-3</v>
      </c>
      <c r="AF3848" s="210">
        <f t="shared" ref="AF3848:AF3852" si="2551">AE3848/0.54</f>
        <v>1.0666666666666665E-2</v>
      </c>
      <c r="AG3848" s="211">
        <f>MID(O3848,1,3)/1000</f>
        <v>0.14499999999999999</v>
      </c>
      <c r="AH3848" s="157">
        <f t="shared" ref="AH3848:AH3851" si="2552">(Z3848*AG3848)/1000</f>
        <v>2.0879999999999999E-2</v>
      </c>
      <c r="AI3848" s="152">
        <f t="shared" ref="AI3848:AI3852" si="2553">V3848*P3848</f>
        <v>144</v>
      </c>
      <c r="AK3848" s="156" t="s">
        <v>691</v>
      </c>
      <c r="AL3848" s="574" t="s">
        <v>690</v>
      </c>
      <c r="AM3848" s="198">
        <f t="shared" ref="AM3848:AM3852" si="2554">AG3848*Z3848</f>
        <v>20.88</v>
      </c>
      <c r="AN3848" s="199">
        <f t="shared" ref="AN3848:AN3852" si="2555">B3848</f>
        <v>46310</v>
      </c>
      <c r="AO3848" s="159" t="s">
        <v>692</v>
      </c>
      <c r="AP3848" s="783" t="s">
        <v>628</v>
      </c>
      <c r="AQ3848" s="782">
        <v>12071839</v>
      </c>
      <c r="AR3848" s="782">
        <v>12047514</v>
      </c>
      <c r="AS3848" s="782">
        <v>12047515</v>
      </c>
      <c r="AT3848" s="782"/>
      <c r="AU3848" s="781"/>
      <c r="AV3848" s="782">
        <v>12080617</v>
      </c>
      <c r="AW3848" s="782"/>
      <c r="AX3848" s="782"/>
      <c r="AY3848" s="782">
        <v>12094231</v>
      </c>
      <c r="AZ3848" s="782">
        <v>1209232</v>
      </c>
      <c r="BA3848" s="781"/>
      <c r="BB3848" s="209"/>
    </row>
    <row r="3849" spans="1:54" ht="25" customHeight="1">
      <c r="B3849" s="357">
        <v>46310</v>
      </c>
      <c r="C3849" s="776" t="s">
        <v>3197</v>
      </c>
      <c r="D3849" s="185">
        <f t="shared" si="2544"/>
        <v>2026</v>
      </c>
      <c r="E3849" s="358" t="e">
        <f>VLOOKUP($B3849,Week!$A$1:$C$1462,2,0)</f>
        <v>#N/A</v>
      </c>
      <c r="F3849" s="360" t="str">
        <f t="shared" si="2545"/>
        <v>Oct</v>
      </c>
      <c r="G3849" s="359" t="s">
        <v>47</v>
      </c>
      <c r="H3849" s="359" t="s">
        <v>518</v>
      </c>
      <c r="I3849" s="359" t="s">
        <v>2702</v>
      </c>
      <c r="J3849" s="361" t="s">
        <v>70</v>
      </c>
      <c r="K3849" s="362" t="s">
        <v>94</v>
      </c>
      <c r="L3849" s="300" t="s">
        <v>2167</v>
      </c>
      <c r="M3849" s="361" t="s">
        <v>2341</v>
      </c>
      <c r="N3849" s="359" t="s">
        <v>589</v>
      </c>
      <c r="O3849" s="359" t="s">
        <v>97</v>
      </c>
      <c r="P3849" s="363">
        <v>12</v>
      </c>
      <c r="Q3849" s="363">
        <v>5</v>
      </c>
      <c r="R3849" s="364">
        <v>8.0000000000000002E-3</v>
      </c>
      <c r="S3849" s="359" t="s">
        <v>40</v>
      </c>
      <c r="T3849" s="359" t="s">
        <v>56</v>
      </c>
      <c r="U3849" s="359" t="s">
        <v>57</v>
      </c>
      <c r="V3849" s="365">
        <f>2500</f>
        <v>2500</v>
      </c>
      <c r="W3849" s="365"/>
      <c r="X3849" s="366"/>
      <c r="Y3849" s="367">
        <f t="shared" si="2546"/>
        <v>-2500</v>
      </c>
      <c r="Z3849" s="368">
        <f t="shared" si="2547"/>
        <v>30000</v>
      </c>
      <c r="AA3849" s="368">
        <f t="shared" si="2548"/>
        <v>150000</v>
      </c>
      <c r="AB3849" s="819">
        <v>7.4999999999999997E-3</v>
      </c>
      <c r="AC3849" s="365">
        <f t="shared" si="2549"/>
        <v>225</v>
      </c>
      <c r="AD3849" s="908" t="s">
        <v>3109</v>
      </c>
      <c r="AE3849" s="210">
        <f t="shared" si="2550"/>
        <v>1.2</v>
      </c>
      <c r="AF3849" s="210">
        <f t="shared" si="2551"/>
        <v>2.2222222222222219</v>
      </c>
      <c r="AG3849" s="211">
        <f t="shared" ref="AG3849" si="2556">MID(O3849,1,3)/1000</f>
        <v>0.14499999999999999</v>
      </c>
      <c r="AH3849" s="157">
        <f t="shared" si="2552"/>
        <v>4.3499999999999996</v>
      </c>
      <c r="AI3849" s="152">
        <f t="shared" si="2553"/>
        <v>30000</v>
      </c>
      <c r="AK3849" s="156" t="s">
        <v>691</v>
      </c>
      <c r="AL3849" s="574" t="s">
        <v>690</v>
      </c>
      <c r="AM3849" s="198">
        <f t="shared" si="2554"/>
        <v>4350</v>
      </c>
      <c r="AN3849" s="199">
        <f t="shared" si="2555"/>
        <v>46310</v>
      </c>
      <c r="AO3849" s="159" t="s">
        <v>692</v>
      </c>
      <c r="AP3849" s="783" t="s">
        <v>628</v>
      </c>
      <c r="AQ3849" s="782">
        <v>12071839</v>
      </c>
      <c r="AR3849" s="782">
        <v>12047514</v>
      </c>
      <c r="AS3849" s="782">
        <v>12047515</v>
      </c>
      <c r="AT3849" s="782"/>
      <c r="AU3849" s="781"/>
      <c r="AV3849" s="782">
        <v>12080617</v>
      </c>
      <c r="AW3849" s="782"/>
      <c r="AX3849" s="782"/>
      <c r="AY3849" s="782">
        <v>12094231</v>
      </c>
      <c r="AZ3849" s="782">
        <v>1209232</v>
      </c>
      <c r="BA3849" s="781"/>
      <c r="BB3849" s="209">
        <v>23053185</v>
      </c>
    </row>
    <row r="3850" spans="1:54" ht="25" customHeight="1">
      <c r="B3850" s="271">
        <v>46310</v>
      </c>
      <c r="C3850" s="870" t="s">
        <v>3197</v>
      </c>
      <c r="D3850" s="185">
        <f>IF(B3850="","",YEAR(B3850))</f>
        <v>2026</v>
      </c>
      <c r="E3850" s="272" t="e">
        <f>VLOOKUP($B3850,Week!$A$1:$C$1462,2,0)</f>
        <v>#N/A</v>
      </c>
      <c r="F3850" s="273" t="str">
        <f>IF(B3850="","",TEXT(B3850,"[$-409]mmm"))</f>
        <v>Oct</v>
      </c>
      <c r="G3850" s="274" t="s">
        <v>47</v>
      </c>
      <c r="H3850" s="274" t="s">
        <v>518</v>
      </c>
      <c r="I3850" s="274" t="s">
        <v>2702</v>
      </c>
      <c r="J3850" s="275" t="s">
        <v>70</v>
      </c>
      <c r="K3850" s="276" t="s">
        <v>556</v>
      </c>
      <c r="L3850" s="300" t="s">
        <v>2167</v>
      </c>
      <c r="M3850" s="275" t="s">
        <v>520</v>
      </c>
      <c r="N3850" s="423" t="s">
        <v>586</v>
      </c>
      <c r="O3850" s="274" t="s">
        <v>585</v>
      </c>
      <c r="P3850" s="277">
        <v>12</v>
      </c>
      <c r="Q3850" s="277">
        <v>5</v>
      </c>
      <c r="R3850" s="278">
        <v>6.0000000000000001E-3</v>
      </c>
      <c r="S3850" s="274" t="s">
        <v>55</v>
      </c>
      <c r="T3850" s="274" t="s">
        <v>56</v>
      </c>
      <c r="U3850" s="274" t="s">
        <v>57</v>
      </c>
      <c r="V3850" s="279">
        <v>300</v>
      </c>
      <c r="W3850" s="279"/>
      <c r="X3850" s="280"/>
      <c r="Y3850" s="281">
        <f>(W3850+X3850)-V3850</f>
        <v>-300</v>
      </c>
      <c r="Z3850" s="282">
        <f>IF(Y3850&lt;0,((V3850*P3850)-((W3850+X3850)*P3850)),0)</f>
        <v>3600</v>
      </c>
      <c r="AA3850" s="282">
        <f>Q3850*Z3850</f>
        <v>18000</v>
      </c>
      <c r="AB3850" s="812">
        <v>7.4999999999999997E-3</v>
      </c>
      <c r="AC3850" s="279">
        <f>Z3850*AB3850</f>
        <v>27</v>
      </c>
      <c r="AD3850" s="908" t="s">
        <v>3109</v>
      </c>
      <c r="AE3850" s="210">
        <f>SUM(Q3850*R3850*Z3850)/1000</f>
        <v>0.108</v>
      </c>
      <c r="AF3850" s="210">
        <f>AE3850/0.54</f>
        <v>0.19999999999999998</v>
      </c>
      <c r="AG3850" s="211">
        <f>MID(O3850,1,3)/1000</f>
        <v>0.13500000000000001</v>
      </c>
      <c r="AH3850" s="157">
        <f>(Z3850*AG3850)/1000</f>
        <v>0.48600000000000004</v>
      </c>
      <c r="AI3850" s="152">
        <f>V3850*P3850</f>
        <v>3600</v>
      </c>
      <c r="AK3850" s="156" t="s">
        <v>691</v>
      </c>
      <c r="AL3850" s="212" t="s">
        <v>690</v>
      </c>
      <c r="AM3850" s="198">
        <f>AG3850*Z3850</f>
        <v>486.00000000000006</v>
      </c>
      <c r="AN3850" s="199">
        <f>B3850</f>
        <v>46310</v>
      </c>
      <c r="AO3850" s="159" t="s">
        <v>692</v>
      </c>
      <c r="AP3850" s="781"/>
      <c r="AQ3850" s="782">
        <v>12071839</v>
      </c>
      <c r="AR3850" s="782">
        <v>12047514</v>
      </c>
      <c r="AS3850" s="782">
        <v>12047515</v>
      </c>
      <c r="AT3850" s="782"/>
      <c r="AU3850" s="781"/>
      <c r="AV3850" s="782">
        <v>12083307</v>
      </c>
      <c r="AW3850" s="782"/>
      <c r="AX3850" s="782"/>
      <c r="AY3850" s="782">
        <v>12094380</v>
      </c>
      <c r="AZ3850" s="782">
        <v>12094381</v>
      </c>
      <c r="BA3850" s="781"/>
      <c r="BB3850" s="209">
        <v>23053185</v>
      </c>
    </row>
    <row r="3851" spans="1:54" ht="24.75" customHeight="1">
      <c r="B3851" s="602">
        <v>46310</v>
      </c>
      <c r="C3851" s="861" t="s">
        <v>3197</v>
      </c>
      <c r="D3851" s="604">
        <f t="shared" si="2544"/>
        <v>2026</v>
      </c>
      <c r="E3851" s="603" t="e">
        <f>VLOOKUP($B3851,Week!$A$1:$C$1462,2,0)</f>
        <v>#N/A</v>
      </c>
      <c r="F3851" s="605" t="str">
        <f t="shared" si="2545"/>
        <v>Oct</v>
      </c>
      <c r="G3851" s="938" t="s">
        <v>47</v>
      </c>
      <c r="H3851" s="604" t="s">
        <v>260</v>
      </c>
      <c r="I3851" s="604" t="s">
        <v>2702</v>
      </c>
      <c r="J3851" s="939" t="s">
        <v>2240</v>
      </c>
      <c r="K3851" s="607" t="s">
        <v>94</v>
      </c>
      <c r="L3851" s="607" t="s">
        <v>2167</v>
      </c>
      <c r="M3851" s="606" t="s">
        <v>2338</v>
      </c>
      <c r="N3851" s="604" t="s">
        <v>2997</v>
      </c>
      <c r="O3851" s="604" t="s">
        <v>54</v>
      </c>
      <c r="P3851" s="608">
        <v>24</v>
      </c>
      <c r="Q3851" s="608">
        <v>5</v>
      </c>
      <c r="R3851" s="609">
        <v>6.1999999999999998E-3</v>
      </c>
      <c r="S3851" s="604" t="s">
        <v>352</v>
      </c>
      <c r="T3851" s="604" t="s">
        <v>56</v>
      </c>
      <c r="U3851" s="604" t="s">
        <v>57</v>
      </c>
      <c r="V3851" s="610">
        <v>1965</v>
      </c>
      <c r="W3851" s="610"/>
      <c r="X3851" s="611"/>
      <c r="Y3851" s="612">
        <f t="shared" si="2546"/>
        <v>-1965</v>
      </c>
      <c r="Z3851" s="613">
        <f t="shared" si="2547"/>
        <v>47160</v>
      </c>
      <c r="AA3851" s="613">
        <f t="shared" si="2548"/>
        <v>235800</v>
      </c>
      <c r="AB3851" s="836">
        <v>7.4999999999999997E-3</v>
      </c>
      <c r="AC3851" s="610">
        <f t="shared" si="2549"/>
        <v>353.7</v>
      </c>
      <c r="AD3851" s="443"/>
      <c r="AE3851" s="210">
        <f t="shared" si="2550"/>
        <v>1.4619599999999999</v>
      </c>
      <c r="AF3851" s="210">
        <f t="shared" si="2551"/>
        <v>2.7073333333333331</v>
      </c>
      <c r="AG3851" s="211">
        <f>MID(O3851,1,3)/1000</f>
        <v>0.13500000000000001</v>
      </c>
      <c r="AH3851" s="157">
        <f t="shared" si="2552"/>
        <v>6.3666</v>
      </c>
      <c r="AI3851" s="152">
        <f t="shared" si="2553"/>
        <v>47160</v>
      </c>
      <c r="AK3851" s="156" t="s">
        <v>691</v>
      </c>
      <c r="AL3851" s="574" t="s">
        <v>690</v>
      </c>
      <c r="AM3851" s="198">
        <f t="shared" si="2554"/>
        <v>6366.6</v>
      </c>
      <c r="AN3851" s="199">
        <f t="shared" si="2555"/>
        <v>46310</v>
      </c>
      <c r="AO3851" s="159" t="s">
        <v>692</v>
      </c>
      <c r="AP3851" s="783" t="s">
        <v>622</v>
      </c>
      <c r="AQ3851" s="782">
        <v>12071839</v>
      </c>
      <c r="AR3851" s="782">
        <v>12099098</v>
      </c>
      <c r="AS3851" s="782">
        <v>12068233</v>
      </c>
      <c r="AT3851" s="781"/>
      <c r="AU3851" s="781"/>
      <c r="AV3851" s="782">
        <v>12099466</v>
      </c>
      <c r="AW3851" s="781"/>
      <c r="AX3851" s="781"/>
      <c r="AY3851" s="782">
        <v>12099097</v>
      </c>
      <c r="AZ3851" s="782"/>
      <c r="BA3851" s="781"/>
      <c r="BB3851" s="209">
        <v>23053184</v>
      </c>
    </row>
    <row r="3852" spans="1:54" ht="24.65" customHeight="1">
      <c r="B3852" s="411">
        <v>46311</v>
      </c>
      <c r="C3852" s="645" t="s">
        <v>3197</v>
      </c>
      <c r="D3852" s="185">
        <f t="shared" si="2544"/>
        <v>2026</v>
      </c>
      <c r="E3852" s="412" t="e">
        <f>VLOOKUP($B3852,Week!$A$1:$C$1462,2,0)</f>
        <v>#N/A</v>
      </c>
      <c r="F3852" s="413" t="str">
        <f t="shared" si="2545"/>
        <v>Oct</v>
      </c>
      <c r="G3852" s="414" t="s">
        <v>47</v>
      </c>
      <c r="H3852" s="414" t="s">
        <v>260</v>
      </c>
      <c r="I3852" s="414" t="s">
        <v>2702</v>
      </c>
      <c r="J3852" s="415" t="s">
        <v>261</v>
      </c>
      <c r="K3852" s="416" t="s">
        <v>94</v>
      </c>
      <c r="L3852" s="300" t="s">
        <v>2167</v>
      </c>
      <c r="M3852" s="415" t="s">
        <v>2339</v>
      </c>
      <c r="N3852" s="414" t="s">
        <v>263</v>
      </c>
      <c r="O3852" s="414" t="s">
        <v>195</v>
      </c>
      <c r="P3852" s="417">
        <v>24</v>
      </c>
      <c r="Q3852" s="417">
        <v>5</v>
      </c>
      <c r="R3852" s="418">
        <v>8.0000000000000002E-3</v>
      </c>
      <c r="S3852" s="414" t="s">
        <v>40</v>
      </c>
      <c r="T3852" s="414" t="s">
        <v>56</v>
      </c>
      <c r="U3852" s="414" t="s">
        <v>57</v>
      </c>
      <c r="V3852" s="419">
        <v>4842</v>
      </c>
      <c r="W3852" s="419"/>
      <c r="X3852" s="420"/>
      <c r="Y3852" s="421">
        <f t="shared" si="2546"/>
        <v>-4842</v>
      </c>
      <c r="Z3852" s="422">
        <f t="shared" si="2547"/>
        <v>116208</v>
      </c>
      <c r="AA3852" s="422">
        <f t="shared" si="2548"/>
        <v>581040</v>
      </c>
      <c r="AB3852" s="825">
        <v>7.4999999999999997E-3</v>
      </c>
      <c r="AC3852" s="419">
        <f t="shared" si="2549"/>
        <v>871.56</v>
      </c>
      <c r="AD3852" s="209"/>
      <c r="AE3852" s="210">
        <f>SUM(Q3852*R3852*Z3852)/1000</f>
        <v>4.64832</v>
      </c>
      <c r="AF3852" s="210">
        <f t="shared" si="2551"/>
        <v>8.6079999999999988</v>
      </c>
      <c r="AG3852" s="211">
        <f>MID(O3852,1,3)/1000</f>
        <v>0.14499999999999999</v>
      </c>
      <c r="AH3852" s="157">
        <f>(Z3852*AG3852)/1000</f>
        <v>16.850159999999999</v>
      </c>
      <c r="AI3852" s="152">
        <f t="shared" si="2553"/>
        <v>116208</v>
      </c>
      <c r="AK3852" s="156" t="s">
        <v>691</v>
      </c>
      <c r="AL3852" s="212" t="s">
        <v>690</v>
      </c>
      <c r="AM3852" s="198">
        <f t="shared" si="2554"/>
        <v>16850.16</v>
      </c>
      <c r="AN3852" s="199">
        <f t="shared" si="2555"/>
        <v>46311</v>
      </c>
      <c r="AO3852" s="159" t="s">
        <v>692</v>
      </c>
      <c r="AP3852" s="783" t="s">
        <v>609</v>
      </c>
      <c r="AQ3852" s="782">
        <v>12071839</v>
      </c>
      <c r="AR3852" s="782">
        <v>12047514</v>
      </c>
      <c r="AS3852" s="782">
        <v>12047515</v>
      </c>
      <c r="AT3852" s="781"/>
      <c r="AU3852" s="781"/>
      <c r="AV3852" s="782">
        <v>12080613</v>
      </c>
      <c r="AW3852" s="781"/>
      <c r="AX3852" s="781"/>
      <c r="AY3852" s="782">
        <v>12094241</v>
      </c>
      <c r="AZ3852" s="782">
        <v>12094242</v>
      </c>
      <c r="BA3852" s="781"/>
      <c r="BB3852" s="209">
        <v>23053185</v>
      </c>
    </row>
    <row r="3853" spans="1:54" ht="24.75" customHeight="1">
      <c r="B3853" s="602">
        <v>46312</v>
      </c>
      <c r="C3853" s="861" t="s">
        <v>3197</v>
      </c>
      <c r="D3853" s="604">
        <f t="shared" ref="D3853" si="2557">IF(B3853="","",YEAR(B3853))</f>
        <v>2026</v>
      </c>
      <c r="E3853" s="603" t="e">
        <f>VLOOKUP($B3853,Week!$A$1:$C$1462,2,0)</f>
        <v>#N/A</v>
      </c>
      <c r="F3853" s="605" t="str">
        <f t="shared" ref="F3853" si="2558">IF(B3853="","",TEXT(B3853,"[$-409]mmm"))</f>
        <v>Oct</v>
      </c>
      <c r="G3853" s="938" t="s">
        <v>47</v>
      </c>
      <c r="H3853" s="604" t="s">
        <v>260</v>
      </c>
      <c r="I3853" s="604" t="s">
        <v>2702</v>
      </c>
      <c r="J3853" s="939" t="s">
        <v>2240</v>
      </c>
      <c r="K3853" s="607" t="s">
        <v>94</v>
      </c>
      <c r="L3853" s="607" t="s">
        <v>2167</v>
      </c>
      <c r="M3853" s="606" t="s">
        <v>2338</v>
      </c>
      <c r="N3853" s="604" t="s">
        <v>2997</v>
      </c>
      <c r="O3853" s="604" t="s">
        <v>54</v>
      </c>
      <c r="P3853" s="608">
        <v>24</v>
      </c>
      <c r="Q3853" s="608">
        <v>5</v>
      </c>
      <c r="R3853" s="609">
        <v>6.1999999999999998E-3</v>
      </c>
      <c r="S3853" s="604" t="s">
        <v>352</v>
      </c>
      <c r="T3853" s="604" t="s">
        <v>56</v>
      </c>
      <c r="U3853" s="604" t="s">
        <v>57</v>
      </c>
      <c r="V3853" s="610">
        <f>4842-2391</f>
        <v>2451</v>
      </c>
      <c r="W3853" s="610"/>
      <c r="X3853" s="611"/>
      <c r="Y3853" s="612">
        <f t="shared" ref="Y3853" si="2559">(W3853+X3853)-V3853</f>
        <v>-2451</v>
      </c>
      <c r="Z3853" s="613">
        <f t="shared" ref="Z3853" si="2560">IF(Y3853&lt;0,((V3853*P3853)-((W3853+X3853)*P3853)),0)</f>
        <v>58824</v>
      </c>
      <c r="AA3853" s="613">
        <f t="shared" ref="AA3853" si="2561">Q3853*Z3853</f>
        <v>294120</v>
      </c>
      <c r="AB3853" s="836">
        <v>7.4999999999999997E-3</v>
      </c>
      <c r="AC3853" s="610">
        <f t="shared" ref="AC3853" si="2562">Z3853*AB3853</f>
        <v>441.18</v>
      </c>
      <c r="AD3853" s="443"/>
      <c r="AE3853" s="210">
        <f>SUM(Q3853*R3853*Z3853)/1000</f>
        <v>1.8235440000000001</v>
      </c>
      <c r="AF3853" s="210">
        <f t="shared" ref="AF3853" si="2563">AE3853/0.54</f>
        <v>3.3769333333333331</v>
      </c>
      <c r="AG3853" s="211">
        <f>MID(O3853,1,3)/1000</f>
        <v>0.13500000000000001</v>
      </c>
      <c r="AH3853" s="157">
        <f>(Z3853*AG3853)/1000</f>
        <v>7.9412400000000005</v>
      </c>
      <c r="AI3853" s="152">
        <f t="shared" ref="AI3853" si="2564">V3853*P3853</f>
        <v>58824</v>
      </c>
      <c r="AK3853" s="156" t="s">
        <v>691</v>
      </c>
      <c r="AL3853" s="574" t="s">
        <v>690</v>
      </c>
      <c r="AM3853" s="198">
        <f t="shared" ref="AM3853" si="2565">AG3853*Z3853</f>
        <v>7941.2400000000007</v>
      </c>
      <c r="AN3853" s="199">
        <f t="shared" ref="AN3853" si="2566">B3853</f>
        <v>46312</v>
      </c>
      <c r="AO3853" s="159" t="s">
        <v>692</v>
      </c>
      <c r="AP3853" s="783" t="s">
        <v>622</v>
      </c>
      <c r="AQ3853" s="782">
        <v>12071839</v>
      </c>
      <c r="AR3853" s="782">
        <v>12099098</v>
      </c>
      <c r="AS3853" s="782">
        <v>12068233</v>
      </c>
      <c r="AT3853" s="781"/>
      <c r="AU3853" s="781"/>
      <c r="AV3853" s="782">
        <v>12099466</v>
      </c>
      <c r="AW3853" s="781"/>
      <c r="AX3853" s="781"/>
      <c r="AY3853" s="782">
        <v>12099097</v>
      </c>
      <c r="AZ3853" s="782"/>
      <c r="BA3853" s="781"/>
      <c r="BB3853" s="209">
        <v>23053184</v>
      </c>
    </row>
    <row r="3854" spans="1:54" ht="24.65" customHeight="1">
      <c r="B3854" s="411">
        <v>46312</v>
      </c>
      <c r="C3854" s="645" t="s">
        <v>3197</v>
      </c>
      <c r="D3854" s="185">
        <f>IF(B3854="","",YEAR(B3854))</f>
        <v>2026</v>
      </c>
      <c r="E3854" s="412" t="e">
        <f>VLOOKUP($B3854,Week!$A$1:$C$1462,2,0)</f>
        <v>#N/A</v>
      </c>
      <c r="F3854" s="413" t="str">
        <f>IF(B3854="","",TEXT(B3854,"[$-409]mmm"))</f>
        <v>Oct</v>
      </c>
      <c r="G3854" s="414" t="s">
        <v>47</v>
      </c>
      <c r="H3854" s="414" t="s">
        <v>260</v>
      </c>
      <c r="I3854" s="414" t="s">
        <v>2702</v>
      </c>
      <c r="J3854" s="415" t="s">
        <v>261</v>
      </c>
      <c r="K3854" s="416" t="s">
        <v>94</v>
      </c>
      <c r="L3854" s="300" t="s">
        <v>2167</v>
      </c>
      <c r="M3854" s="415" t="s">
        <v>2339</v>
      </c>
      <c r="N3854" s="414" t="s">
        <v>263</v>
      </c>
      <c r="O3854" s="414" t="s">
        <v>195</v>
      </c>
      <c r="P3854" s="417">
        <v>24</v>
      </c>
      <c r="Q3854" s="417">
        <v>5</v>
      </c>
      <c r="R3854" s="418">
        <v>8.0000000000000002E-3</v>
      </c>
      <c r="S3854" s="414" t="s">
        <v>40</v>
      </c>
      <c r="T3854" s="414" t="s">
        <v>56</v>
      </c>
      <c r="U3854" s="414" t="s">
        <v>57</v>
      </c>
      <c r="V3854" s="419">
        <f>10000-2767-4842</f>
        <v>2391</v>
      </c>
      <c r="W3854" s="419"/>
      <c r="X3854" s="420"/>
      <c r="Y3854" s="421">
        <f t="shared" ref="Y3854" si="2567">(W3854+X3854)-V3854</f>
        <v>-2391</v>
      </c>
      <c r="Z3854" s="422">
        <f t="shared" ref="Z3854" si="2568">IF(Y3854&lt;0,((V3854*P3854)-((W3854+X3854)*P3854)),0)</f>
        <v>57384</v>
      </c>
      <c r="AA3854" s="422">
        <f t="shared" ref="AA3854" si="2569">Q3854*Z3854</f>
        <v>286920</v>
      </c>
      <c r="AB3854" s="825">
        <v>7.4999999999999997E-3</v>
      </c>
      <c r="AC3854" s="419">
        <f t="shared" ref="AC3854" si="2570">Z3854*AB3854</f>
        <v>430.38</v>
      </c>
      <c r="AD3854" s="209"/>
      <c r="AE3854" s="210">
        <f t="shared" ref="AE3854" si="2571">SUM(Q3854*R3854*Z3854)/1000</f>
        <v>2.2953600000000001</v>
      </c>
      <c r="AF3854" s="210">
        <f t="shared" ref="AF3854" si="2572">AE3854/0.54</f>
        <v>4.2506666666666666</v>
      </c>
      <c r="AG3854" s="211">
        <f t="shared" ref="AG3854" si="2573">MID(O3854,1,3)/1000</f>
        <v>0.14499999999999999</v>
      </c>
      <c r="AH3854" s="157">
        <f t="shared" ref="AH3854" si="2574">(Z3854*AG3854)/1000</f>
        <v>8.3206799999999994</v>
      </c>
      <c r="AI3854" s="152">
        <f t="shared" ref="AI3854" si="2575">V3854*P3854</f>
        <v>57384</v>
      </c>
      <c r="AK3854" s="156" t="s">
        <v>691</v>
      </c>
      <c r="AL3854" s="212" t="s">
        <v>690</v>
      </c>
      <c r="AM3854" s="198">
        <f t="shared" ref="AM3854" si="2576">AG3854*Z3854</f>
        <v>8320.68</v>
      </c>
      <c r="AN3854" s="199">
        <f t="shared" ref="AN3854" si="2577">B3854</f>
        <v>46312</v>
      </c>
      <c r="AO3854" s="159" t="s">
        <v>692</v>
      </c>
      <c r="AP3854" s="783" t="s">
        <v>609</v>
      </c>
      <c r="AQ3854" s="782">
        <v>12071839</v>
      </c>
      <c r="AR3854" s="782">
        <v>12047514</v>
      </c>
      <c r="AS3854" s="782">
        <v>12047515</v>
      </c>
      <c r="AT3854" s="781"/>
      <c r="AU3854" s="781"/>
      <c r="AV3854" s="782">
        <v>12080613</v>
      </c>
      <c r="AW3854" s="781"/>
      <c r="AX3854" s="781"/>
      <c r="AY3854" s="782">
        <v>12094241</v>
      </c>
      <c r="AZ3854" s="782">
        <v>12094242</v>
      </c>
      <c r="BA3854" s="781"/>
      <c r="BB3854" s="209">
        <v>23053185</v>
      </c>
    </row>
    <row r="3855" spans="1:54" ht="25" customHeight="1">
      <c r="B3855" s="950">
        <v>46312</v>
      </c>
      <c r="C3855" s="951" t="s">
        <v>3197</v>
      </c>
      <c r="D3855" s="215">
        <f>IF(B3855="","",YEAR(B3855))</f>
        <v>2026</v>
      </c>
      <c r="E3855" s="214" t="e">
        <f>VLOOKUP($B3855,Week!$A$1:$C$1462,2,0)</f>
        <v>#N/A</v>
      </c>
      <c r="F3855" s="216" t="str">
        <f>IF(B3855="","",TEXT(B3855,"[$-409]mmm"))</f>
        <v>Oct</v>
      </c>
      <c r="G3855" s="952" t="s">
        <v>47</v>
      </c>
      <c r="H3855" s="952" t="s">
        <v>260</v>
      </c>
      <c r="I3855" s="215" t="s">
        <v>2702</v>
      </c>
      <c r="J3855" s="953" t="s">
        <v>2702</v>
      </c>
      <c r="K3855" s="954" t="s">
        <v>2703</v>
      </c>
      <c r="L3855" s="217" t="s">
        <v>2167</v>
      </c>
      <c r="M3855" s="953" t="s">
        <v>2899</v>
      </c>
      <c r="N3855" s="955" t="s">
        <v>2704</v>
      </c>
      <c r="O3855" s="952" t="s">
        <v>1635</v>
      </c>
      <c r="P3855" s="956">
        <v>24</v>
      </c>
      <c r="Q3855" s="956">
        <v>3</v>
      </c>
      <c r="R3855" s="957">
        <v>6.1999999999999998E-3</v>
      </c>
      <c r="S3855" s="952" t="s">
        <v>352</v>
      </c>
      <c r="T3855" s="952" t="s">
        <v>56</v>
      </c>
      <c r="U3855" s="958" t="s">
        <v>739</v>
      </c>
      <c r="V3855" s="959">
        <f>1200</f>
        <v>1200</v>
      </c>
      <c r="W3855" s="959"/>
      <c r="X3855" s="960"/>
      <c r="Y3855" s="961">
        <f t="shared" ref="Y3855" si="2578">(W3855+X3855)-V3855</f>
        <v>-1200</v>
      </c>
      <c r="Z3855" s="962">
        <f t="shared" ref="Z3855" si="2579">IF(Y3855&lt;0,((V3855*P3855)-((W3855+X3855)*P3855)),0)</f>
        <v>28800</v>
      </c>
      <c r="AA3855" s="962">
        <f t="shared" ref="AA3855" si="2580">Q3855*Z3855</f>
        <v>86400</v>
      </c>
      <c r="AB3855" s="963">
        <v>1.83E-2</v>
      </c>
      <c r="AC3855" s="959">
        <f t="shared" ref="AC3855" si="2581">Z3855*AB3855</f>
        <v>527.04</v>
      </c>
      <c r="AD3855" s="443"/>
      <c r="AE3855" s="210">
        <f t="shared" ref="AE3855" si="2582">SUM(Q3855*R3855*Z3855)/1000</f>
        <v>0.53567999999999993</v>
      </c>
      <c r="AF3855" s="210">
        <f t="shared" ref="AF3855" si="2583">AE3855/0.54</f>
        <v>0.99199999999999977</v>
      </c>
      <c r="AG3855" s="211">
        <f>MID(O3855,1,3)/1000</f>
        <v>0.25</v>
      </c>
      <c r="AH3855" s="157">
        <v>0.26621999999999996</v>
      </c>
      <c r="AI3855" s="152">
        <f t="shared" ref="AI3855" si="2584">V3855*P3855</f>
        <v>28800</v>
      </c>
      <c r="AK3855" s="156" t="s">
        <v>691</v>
      </c>
      <c r="AL3855" s="574" t="s">
        <v>690</v>
      </c>
      <c r="AM3855" s="198">
        <f t="shared" ref="AM3855" si="2585">AG3855*Z3855</f>
        <v>7200</v>
      </c>
      <c r="AN3855" s="199">
        <f t="shared" ref="AN3855" si="2586">B3855</f>
        <v>46312</v>
      </c>
      <c r="AO3855" s="159" t="s">
        <v>692</v>
      </c>
      <c r="AP3855" s="781" t="s">
        <v>642</v>
      </c>
      <c r="AQ3855" s="782">
        <v>12071839</v>
      </c>
      <c r="AR3855" s="782">
        <v>12042650</v>
      </c>
      <c r="AS3855" s="782">
        <v>12042649</v>
      </c>
      <c r="AT3855" s="782"/>
      <c r="AU3855" s="783"/>
      <c r="AV3855" s="782">
        <v>12097895</v>
      </c>
      <c r="AW3855" s="783"/>
      <c r="AX3855" s="781"/>
      <c r="AY3855" s="796">
        <v>12097893</v>
      </c>
      <c r="AZ3855" s="796">
        <v>12097894</v>
      </c>
      <c r="BA3855" s="796" t="s">
        <v>2462</v>
      </c>
      <c r="BB3855" s="209">
        <v>23099860</v>
      </c>
    </row>
    <row r="3856" spans="1:54" ht="24.65" customHeight="1">
      <c r="B3856" s="308">
        <v>46313</v>
      </c>
      <c r="C3856" s="309">
        <v>46345</v>
      </c>
      <c r="D3856" s="185">
        <f t="shared" ref="D3856" si="2587">IF(B3856="","",YEAR(B3856))</f>
        <v>2026</v>
      </c>
      <c r="E3856" s="309" t="e">
        <f>VLOOKUP($B3856,Week!$A$1:$C$1462,2,0)</f>
        <v>#N/A</v>
      </c>
      <c r="F3856" s="310" t="str">
        <f t="shared" ref="F3856" si="2588">IF(B3856="","",TEXT(B3856,"[$-409]mmm"))</f>
        <v>Oct</v>
      </c>
      <c r="G3856" s="311" t="s">
        <v>3219</v>
      </c>
      <c r="H3856" s="311" t="s">
        <v>311</v>
      </c>
      <c r="I3856" s="311" t="s">
        <v>2772</v>
      </c>
      <c r="J3856" s="312" t="s">
        <v>738</v>
      </c>
      <c r="K3856" s="313" t="s">
        <v>107</v>
      </c>
      <c r="L3856" s="300" t="s">
        <v>2167</v>
      </c>
      <c r="M3856" s="312" t="s">
        <v>313</v>
      </c>
      <c r="N3856" s="311" t="s">
        <v>314</v>
      </c>
      <c r="O3856" s="311" t="s">
        <v>110</v>
      </c>
      <c r="P3856" s="314">
        <v>36</v>
      </c>
      <c r="Q3856" s="314">
        <v>5</v>
      </c>
      <c r="R3856" s="315">
        <v>7.4999999999999997E-3</v>
      </c>
      <c r="S3856" s="311" t="s">
        <v>111</v>
      </c>
      <c r="T3856" s="311" t="s">
        <v>112</v>
      </c>
      <c r="U3856" s="311" t="s">
        <v>57</v>
      </c>
      <c r="V3856" s="316">
        <v>792</v>
      </c>
      <c r="W3856" s="316"/>
      <c r="X3856" s="317"/>
      <c r="Y3856" s="318">
        <f>(W3856+X3856)-V3856</f>
        <v>-792</v>
      </c>
      <c r="Z3856" s="319">
        <f>IF(Y3856&lt;0,((V3856*P3856)-((W3856+X3856)*P3856)),0)</f>
        <v>28512</v>
      </c>
      <c r="AA3856" s="319">
        <f>Q3856*Z3856</f>
        <v>142560</v>
      </c>
      <c r="AB3856" s="815">
        <v>7.4999999999999997E-3</v>
      </c>
      <c r="AC3856" s="316">
        <f>Z3856*AB3856</f>
        <v>213.84</v>
      </c>
      <c r="AD3856" s="209"/>
      <c r="AE3856" s="210">
        <f>SUM(Q3856*R3856*Z3856)/1000</f>
        <v>1.0692000000000002</v>
      </c>
      <c r="AF3856" s="210">
        <f>AE3856/0.54</f>
        <v>1.9800000000000002</v>
      </c>
      <c r="AG3856" s="211">
        <f t="shared" ref="AG3856" si="2589">MID(O3856,1,3)/1000</f>
        <v>0.308</v>
      </c>
      <c r="AH3856" s="157">
        <f t="shared" ref="AH3856" si="2590">(Z3856*AG3856)/1000</f>
        <v>8.7816960000000002</v>
      </c>
      <c r="AI3856" s="152">
        <f>V3856*P3856</f>
        <v>28512</v>
      </c>
      <c r="AK3856" s="156" t="s">
        <v>691</v>
      </c>
      <c r="AL3856" s="212" t="s">
        <v>690</v>
      </c>
      <c r="AM3856" s="198">
        <f>AG3856*Z3856</f>
        <v>8781.6959999999999</v>
      </c>
      <c r="AN3856" s="199">
        <f>B3856</f>
        <v>46313</v>
      </c>
      <c r="AO3856" s="159" t="s">
        <v>692</v>
      </c>
      <c r="AP3856" s="783" t="s">
        <v>644</v>
      </c>
      <c r="AQ3856" s="782">
        <v>12063755</v>
      </c>
      <c r="AR3856" s="782">
        <v>12081257</v>
      </c>
      <c r="AS3856" s="782">
        <v>12081260</v>
      </c>
      <c r="AT3856" s="782">
        <v>12098623</v>
      </c>
      <c r="AU3856" s="781"/>
      <c r="AV3856" s="782">
        <v>12098706</v>
      </c>
      <c r="AW3856" s="782">
        <v>12088207</v>
      </c>
      <c r="AX3856" s="782"/>
      <c r="AY3856" s="782">
        <v>12094237</v>
      </c>
      <c r="AZ3856" s="782"/>
      <c r="BA3856" s="781"/>
      <c r="BB3856" s="209">
        <v>23053185</v>
      </c>
    </row>
    <row r="3857" spans="1:54" ht="24.75" customHeight="1">
      <c r="B3857" s="320">
        <v>46313</v>
      </c>
      <c r="C3857" s="321">
        <v>46373</v>
      </c>
      <c r="D3857" s="185">
        <f>IF(B3857="","",YEAR(B3857))</f>
        <v>2026</v>
      </c>
      <c r="E3857" s="321" t="e">
        <f>VLOOKUP($B3857,Week!$A$1:$C$1462,2,0)</f>
        <v>#N/A</v>
      </c>
      <c r="F3857" s="322" t="str">
        <f>IF(B3857="","",TEXT(B3857,"[$-409]mmm"))</f>
        <v>Oct</v>
      </c>
      <c r="G3857" s="323" t="s">
        <v>3220</v>
      </c>
      <c r="H3857" s="323" t="s">
        <v>311</v>
      </c>
      <c r="I3857" s="323" t="s">
        <v>2772</v>
      </c>
      <c r="J3857" s="324" t="s">
        <v>2913</v>
      </c>
      <c r="K3857" s="325" t="s">
        <v>107</v>
      </c>
      <c r="L3857" s="300" t="s">
        <v>2167</v>
      </c>
      <c r="M3857" s="324" t="s">
        <v>313</v>
      </c>
      <c r="N3857" s="596" t="s">
        <v>2853</v>
      </c>
      <c r="O3857" s="323" t="s">
        <v>2747</v>
      </c>
      <c r="P3857" s="326">
        <v>5</v>
      </c>
      <c r="Q3857" s="326">
        <v>4</v>
      </c>
      <c r="R3857" s="327">
        <v>7.4999999999999997E-3</v>
      </c>
      <c r="S3857" s="323" t="s">
        <v>111</v>
      </c>
      <c r="T3857" s="323" t="s">
        <v>112</v>
      </c>
      <c r="U3857" s="323" t="s">
        <v>57</v>
      </c>
      <c r="V3857" s="328">
        <f>5000+76</f>
        <v>5076</v>
      </c>
      <c r="W3857" s="328"/>
      <c r="X3857" s="329"/>
      <c r="Y3857" s="330">
        <f>(W3857+X3857)-V3857</f>
        <v>-5076</v>
      </c>
      <c r="Z3857" s="331">
        <f>IF(Y3857&lt;0,((V3857*P3857)-((W3857+X3857)*P3857)),0)</f>
        <v>25380</v>
      </c>
      <c r="AA3857" s="331">
        <f>Q3857*Z3857</f>
        <v>101520</v>
      </c>
      <c r="AB3857" s="816">
        <v>7.4999999999999997E-3</v>
      </c>
      <c r="AC3857" s="328">
        <f>Z3857*AB3857</f>
        <v>190.35</v>
      </c>
      <c r="AD3857" s="307" t="s">
        <v>2354</v>
      </c>
      <c r="AE3857" s="210">
        <f>SUM(Q3857*R3857*Z3857)/1000</f>
        <v>0.76139999999999997</v>
      </c>
      <c r="AF3857" s="210">
        <f>AE3857/0.54</f>
        <v>1.41</v>
      </c>
      <c r="AG3857" s="211">
        <f>MID(O3857,1,3)/1000</f>
        <v>0.30499999999999999</v>
      </c>
      <c r="AH3857" s="157">
        <f>(Z3857*AG3857)/1000</f>
        <v>7.7408999999999999</v>
      </c>
      <c r="AI3857" s="152">
        <f>V3857*P3857</f>
        <v>25380</v>
      </c>
      <c r="AK3857" s="156" t="s">
        <v>691</v>
      </c>
      <c r="AL3857" s="212" t="s">
        <v>690</v>
      </c>
      <c r="AM3857" s="198">
        <f>AG3857*Z3857</f>
        <v>7740.9</v>
      </c>
      <c r="AN3857" s="199">
        <f>B3857</f>
        <v>46313</v>
      </c>
      <c r="AO3857" s="159" t="s">
        <v>692</v>
      </c>
      <c r="AP3857" s="783" t="s">
        <v>643</v>
      </c>
      <c r="AQ3857" s="782">
        <v>12063755</v>
      </c>
      <c r="AR3857" s="782">
        <v>12081257</v>
      </c>
      <c r="AS3857" s="782">
        <v>12081260</v>
      </c>
      <c r="AT3857" s="782">
        <v>12098252</v>
      </c>
      <c r="AU3857" s="781"/>
      <c r="AV3857" s="782">
        <v>12098251</v>
      </c>
      <c r="AW3857" s="782"/>
      <c r="AX3857" s="782"/>
      <c r="AY3857" s="781"/>
      <c r="AZ3857" s="781"/>
      <c r="BA3857" s="781"/>
      <c r="BB3857" s="209">
        <v>23053185</v>
      </c>
    </row>
    <row r="3858" spans="1:54" ht="25" customHeight="1">
      <c r="B3858" s="345">
        <v>46313</v>
      </c>
      <c r="C3858" s="464">
        <v>46353</v>
      </c>
      <c r="D3858" s="185">
        <f t="shared" ref="D3858" si="2591">IF(B3858="","",YEAR(B3858))</f>
        <v>2026</v>
      </c>
      <c r="E3858" s="464" t="e">
        <f>VLOOKUP($B3858,Week!$A$1:$C$1462,2,0)</f>
        <v>#N/A</v>
      </c>
      <c r="F3858" s="465" t="str">
        <f t="shared" ref="F3858" si="2592">IF(B3858="","",TEXT(B3858,"[$-409]mmm"))</f>
        <v>Oct</v>
      </c>
      <c r="G3858" s="347" t="s">
        <v>3205</v>
      </c>
      <c r="H3858" s="347" t="s">
        <v>134</v>
      </c>
      <c r="I3858" s="347" t="s">
        <v>2772</v>
      </c>
      <c r="J3858" s="349" t="s">
        <v>2932</v>
      </c>
      <c r="K3858" s="350" t="s">
        <v>107</v>
      </c>
      <c r="L3858" s="300" t="s">
        <v>2167</v>
      </c>
      <c r="M3858" s="349" t="s">
        <v>136</v>
      </c>
      <c r="N3858" s="347" t="s">
        <v>137</v>
      </c>
      <c r="O3858" s="347" t="s">
        <v>138</v>
      </c>
      <c r="P3858" s="351">
        <v>24</v>
      </c>
      <c r="Q3858" s="351">
        <v>3</v>
      </c>
      <c r="R3858" s="352">
        <v>7.4999999999999997E-3</v>
      </c>
      <c r="S3858" s="347" t="s">
        <v>111</v>
      </c>
      <c r="T3858" s="347" t="s">
        <v>56</v>
      </c>
      <c r="U3858" s="347" t="s">
        <v>572</v>
      </c>
      <c r="V3858" s="353">
        <f>200</f>
        <v>200</v>
      </c>
      <c r="W3858" s="353"/>
      <c r="X3858" s="354"/>
      <c r="Y3858" s="355">
        <f>(W3858+X3858)-V3858</f>
        <v>-200</v>
      </c>
      <c r="Z3858" s="356">
        <f>IF(Y3858&lt;0,((V3858*P3858)-((W3858+X3858)*P3858)),0)</f>
        <v>4800</v>
      </c>
      <c r="AA3858" s="356">
        <f>Q3858*Z3858</f>
        <v>14400</v>
      </c>
      <c r="AB3858" s="818">
        <v>1</v>
      </c>
      <c r="AC3858" s="353">
        <f>Z3858*AB3858</f>
        <v>4800</v>
      </c>
      <c r="AD3858" s="443"/>
      <c r="AE3858" s="210">
        <f t="shared" ref="AE3858" si="2593">SUM(Q3858*R3858*Z3858)/1000</f>
        <v>0.108</v>
      </c>
      <c r="AF3858" s="210">
        <f>AE3858/0.54</f>
        <v>0.19999999999999998</v>
      </c>
      <c r="AG3858" s="211">
        <f>MID(O3858,1,3)/1000</f>
        <v>0.219</v>
      </c>
      <c r="AH3858" s="157">
        <f t="shared" ref="AH3858" si="2594">(Z3858*AG3858)/1000</f>
        <v>1.0512000000000001</v>
      </c>
      <c r="AI3858" s="152">
        <f>V3858*P3858</f>
        <v>4800</v>
      </c>
      <c r="AK3858" s="156" t="s">
        <v>691</v>
      </c>
      <c r="AL3858" s="212" t="s">
        <v>690</v>
      </c>
      <c r="AM3858" s="198">
        <f>AG3858*Z3858</f>
        <v>1051.2</v>
      </c>
      <c r="AN3858" s="199">
        <f>B3858</f>
        <v>46313</v>
      </c>
      <c r="AO3858" s="159" t="s">
        <v>692</v>
      </c>
      <c r="AP3858" s="783" t="s">
        <v>610</v>
      </c>
      <c r="AQ3858" s="796" t="s">
        <v>1500</v>
      </c>
      <c r="AR3858" s="782" t="s">
        <v>140</v>
      </c>
      <c r="AS3858" s="782" t="s">
        <v>141</v>
      </c>
      <c r="AT3858" s="782"/>
      <c r="AU3858" s="783" t="s">
        <v>568</v>
      </c>
      <c r="AV3858" s="796" t="s">
        <v>2983</v>
      </c>
      <c r="AW3858" s="796" t="s">
        <v>570</v>
      </c>
      <c r="AX3858" s="782"/>
      <c r="AY3858" s="782">
        <v>12095878</v>
      </c>
      <c r="AZ3858" s="782">
        <v>12095879</v>
      </c>
      <c r="BA3858" s="782">
        <v>12095880</v>
      </c>
    </row>
    <row r="3859" spans="1:54" ht="25" customHeight="1">
      <c r="B3859" s="743">
        <v>46313</v>
      </c>
      <c r="C3859" s="744">
        <v>46359</v>
      </c>
      <c r="D3859" s="746">
        <f>IF(B3859="","",YEAR(B3859))</f>
        <v>2026</v>
      </c>
      <c r="E3859" s="744" t="e">
        <f>VLOOKUP($B3859,Week!$A$1:$C$1462,2,0)</f>
        <v>#N/A</v>
      </c>
      <c r="F3859" s="745" t="str">
        <f>IF(B3859="","",TEXT(B3859,"[$-409]mmm"))</f>
        <v>Oct</v>
      </c>
      <c r="G3859" s="746" t="s">
        <v>3002</v>
      </c>
      <c r="H3859" s="746" t="s">
        <v>311</v>
      </c>
      <c r="I3859" s="746" t="s">
        <v>2772</v>
      </c>
      <c r="J3859" s="747" t="s">
        <v>2913</v>
      </c>
      <c r="K3859" s="748" t="s">
        <v>1652</v>
      </c>
      <c r="L3859" s="748" t="s">
        <v>2167</v>
      </c>
      <c r="M3859" s="747" t="s">
        <v>682</v>
      </c>
      <c r="N3859" s="915" t="s">
        <v>2775</v>
      </c>
      <c r="O3859" s="746" t="s">
        <v>2748</v>
      </c>
      <c r="P3859" s="749">
        <v>5</v>
      </c>
      <c r="Q3859" s="749">
        <v>3</v>
      </c>
      <c r="R3859" s="849">
        <v>6.0000000000000001E-3</v>
      </c>
      <c r="S3859" s="746" t="s">
        <v>55</v>
      </c>
      <c r="T3859" s="746" t="s">
        <v>112</v>
      </c>
      <c r="U3859" s="860" t="s">
        <v>724</v>
      </c>
      <c r="V3859" s="750">
        <f>5000+76</f>
        <v>5076</v>
      </c>
      <c r="W3859" s="750"/>
      <c r="X3859" s="751"/>
      <c r="Y3859" s="752">
        <f>(W3859+X3859)-V3859</f>
        <v>-5076</v>
      </c>
      <c r="Z3859" s="753">
        <f>IF(Y3859&lt;0,((V3859*P3859)-((W3859+X3859)*P3859)),0)</f>
        <v>25380</v>
      </c>
      <c r="AA3859" s="753">
        <f>Q3859*Z3859</f>
        <v>76140</v>
      </c>
      <c r="AB3859" s="838">
        <v>5.8823E-2</v>
      </c>
      <c r="AC3859" s="750">
        <f>Z3859*AB3859</f>
        <v>1492.9277400000001</v>
      </c>
      <c r="AD3859" s="307" t="s">
        <v>2354</v>
      </c>
      <c r="AE3859" s="210">
        <f>SUM(Q3859*R3859*Z3859)/1000</f>
        <v>0.45684000000000002</v>
      </c>
      <c r="AF3859" s="210">
        <f>AE3859/0.54</f>
        <v>0.84599999999999997</v>
      </c>
      <c r="AG3859" s="211">
        <f>MID(O3859,1,3)/1000</f>
        <v>0.30199999999999999</v>
      </c>
      <c r="AH3859" s="157">
        <v>0.26621999999999996</v>
      </c>
      <c r="AI3859" s="152">
        <f>V3859*P3859</f>
        <v>25380</v>
      </c>
      <c r="AK3859" s="156" t="s">
        <v>691</v>
      </c>
      <c r="AL3859" s="574" t="s">
        <v>690</v>
      </c>
      <c r="AM3859" s="198">
        <f>AG3859*Z3859</f>
        <v>7664.76</v>
      </c>
      <c r="AN3859" s="199">
        <f>B3859</f>
        <v>46313</v>
      </c>
      <c r="AO3859" s="159" t="s">
        <v>692</v>
      </c>
      <c r="AP3859" s="781" t="s">
        <v>642</v>
      </c>
      <c r="AQ3859" s="782">
        <v>12063755</v>
      </c>
      <c r="AR3859" s="782">
        <v>12081257</v>
      </c>
      <c r="AS3859" s="782">
        <v>12081260</v>
      </c>
      <c r="AT3859" s="782">
        <v>12098253</v>
      </c>
      <c r="AU3859" s="781"/>
      <c r="AV3859" s="782">
        <v>12098254</v>
      </c>
      <c r="AW3859" s="781"/>
      <c r="AX3859" s="781"/>
      <c r="AY3859" s="781"/>
      <c r="AZ3859" s="782"/>
      <c r="BA3859" s="781"/>
      <c r="BB3859" s="209">
        <v>23099860</v>
      </c>
    </row>
    <row r="3860" spans="1:54" ht="25" customHeight="1">
      <c r="B3860" s="183">
        <v>46314</v>
      </c>
      <c r="C3860" s="184"/>
      <c r="D3860" s="185">
        <f t="shared" ref="D3860" si="2595">IF(B3860="","",YEAR(B3860))</f>
        <v>2026</v>
      </c>
      <c r="E3860" s="185" t="e">
        <f>VLOOKUP($B3860,Week!$A$1:$C$1462,2,0)</f>
        <v>#N/A</v>
      </c>
      <c r="F3860" s="186" t="str">
        <f t="shared" ref="F3860" si="2596">IF(B3860="","",TEXT(B3860,"[$-409]mmm"))</f>
        <v>Oct</v>
      </c>
      <c r="G3860" s="481"/>
      <c r="H3860" s="185"/>
      <c r="I3860" s="185"/>
      <c r="J3860" s="187"/>
      <c r="K3860" s="188"/>
      <c r="L3860" s="188"/>
      <c r="M3860" s="187"/>
      <c r="N3860" s="185"/>
      <c r="O3860" s="185"/>
      <c r="P3860" s="189"/>
      <c r="Q3860" s="189"/>
      <c r="R3860" s="190"/>
      <c r="S3860" s="185"/>
      <c r="T3860" s="185"/>
      <c r="U3860" s="185"/>
      <c r="V3860" s="191"/>
      <c r="W3860" s="191"/>
      <c r="X3860" s="192"/>
      <c r="Y3860" s="193"/>
      <c r="Z3860" s="194"/>
      <c r="AA3860" s="194">
        <f t="shared" ref="AA3860" si="2597">Q3860*Z3860</f>
        <v>0</v>
      </c>
      <c r="AB3860" s="805"/>
      <c r="AC3860" s="191"/>
      <c r="AD3860" s="187"/>
      <c r="AE3860" s="195"/>
      <c r="AF3860" s="195"/>
      <c r="AG3860" s="196"/>
      <c r="AH3860" s="197"/>
      <c r="AK3860" s="156" t="s">
        <v>691</v>
      </c>
      <c r="AM3860" s="198">
        <f t="shared" ref="AM3860" si="2598">AG3860*Z3860</f>
        <v>0</v>
      </c>
      <c r="AN3860" s="199">
        <f t="shared" ref="AN3860" si="2599">B3860</f>
        <v>46314</v>
      </c>
      <c r="AO3860" s="159" t="s">
        <v>692</v>
      </c>
      <c r="AP3860" s="781"/>
      <c r="AQ3860" s="782"/>
      <c r="AR3860" s="782"/>
      <c r="AS3860" s="782"/>
      <c r="AT3860" s="782"/>
      <c r="AU3860" s="781"/>
      <c r="AV3860" s="782"/>
      <c r="AW3860" s="782"/>
      <c r="AX3860" s="782"/>
      <c r="AY3860" s="782"/>
      <c r="AZ3860" s="782"/>
      <c r="BA3860" s="781"/>
      <c r="BB3860" s="209"/>
    </row>
    <row r="3861" spans="1:54" ht="25" customHeight="1">
      <c r="B3861" s="183">
        <v>46315</v>
      </c>
      <c r="C3861" s="184"/>
      <c r="D3861" s="185">
        <f t="shared" si="2522"/>
        <v>2026</v>
      </c>
      <c r="E3861" s="185" t="e">
        <f>VLOOKUP($B3861,Week!$A$1:$C$1462,2,0)</f>
        <v>#N/A</v>
      </c>
      <c r="F3861" s="186" t="str">
        <f t="shared" si="2523"/>
        <v>Oct</v>
      </c>
      <c r="G3861" s="481"/>
      <c r="H3861" s="185"/>
      <c r="I3861" s="185"/>
      <c r="J3861" s="187"/>
      <c r="K3861" s="188"/>
      <c r="L3861" s="188"/>
      <c r="M3861" s="187"/>
      <c r="N3861" s="185"/>
      <c r="O3861" s="185"/>
      <c r="P3861" s="189"/>
      <c r="Q3861" s="189"/>
      <c r="R3861" s="190"/>
      <c r="S3861" s="185"/>
      <c r="T3861" s="185"/>
      <c r="U3861" s="185"/>
      <c r="V3861" s="191"/>
      <c r="W3861" s="191"/>
      <c r="X3861" s="192"/>
      <c r="Y3861" s="193"/>
      <c r="Z3861" s="194"/>
      <c r="AA3861" s="194">
        <f t="shared" si="2524"/>
        <v>0</v>
      </c>
      <c r="AB3861" s="805"/>
      <c r="AC3861" s="191"/>
      <c r="AD3861" s="187"/>
      <c r="AE3861" s="195"/>
      <c r="AF3861" s="195"/>
      <c r="AG3861" s="196"/>
      <c r="AH3861" s="197"/>
      <c r="AK3861" s="156" t="s">
        <v>691</v>
      </c>
      <c r="AM3861" s="198">
        <f t="shared" si="2525"/>
        <v>0</v>
      </c>
      <c r="AN3861" s="199">
        <f t="shared" si="2526"/>
        <v>46315</v>
      </c>
      <c r="AO3861" s="159" t="s">
        <v>692</v>
      </c>
      <c r="AP3861" s="781"/>
      <c r="AQ3861" s="782"/>
      <c r="AR3861" s="782"/>
      <c r="AS3861" s="782"/>
      <c r="AT3861" s="782"/>
      <c r="AU3861" s="781"/>
      <c r="AV3861" s="782"/>
      <c r="AW3861" s="782"/>
      <c r="AX3861" s="782"/>
      <c r="AY3861" s="782"/>
      <c r="AZ3861" s="782"/>
      <c r="BA3861" s="781"/>
      <c r="BB3861" s="209"/>
    </row>
    <row r="3862" spans="1:54" ht="25" customHeight="1">
      <c r="A3862" s="142" t="s">
        <v>120</v>
      </c>
      <c r="B3862" s="369">
        <v>46316</v>
      </c>
      <c r="C3862" s="370">
        <v>46356</v>
      </c>
      <c r="D3862" s="185">
        <f>IF(B3862="","",YEAR(B3862))</f>
        <v>2026</v>
      </c>
      <c r="E3862" s="371" t="e">
        <f>VLOOKUP($B3862,Week!$A$1:$C$1462,2,0)</f>
        <v>#N/A</v>
      </c>
      <c r="F3862" s="372" t="str">
        <f>IF(B3862="","",TEXT(B3862,"[$-409]mmm"))</f>
        <v>Oct</v>
      </c>
      <c r="G3862" s="371" t="s">
        <v>3027</v>
      </c>
      <c r="H3862" s="371" t="s">
        <v>344</v>
      </c>
      <c r="I3862" s="371" t="s">
        <v>2772</v>
      </c>
      <c r="J3862" s="373" t="s">
        <v>345</v>
      </c>
      <c r="K3862" s="374" t="s">
        <v>153</v>
      </c>
      <c r="L3862" s="390" t="s">
        <v>2166</v>
      </c>
      <c r="M3862" s="373" t="s">
        <v>214</v>
      </c>
      <c r="N3862" s="371" t="s">
        <v>346</v>
      </c>
      <c r="O3862" s="371" t="s">
        <v>509</v>
      </c>
      <c r="P3862" s="375">
        <v>18</v>
      </c>
      <c r="Q3862" s="375">
        <v>8</v>
      </c>
      <c r="R3862" s="376">
        <v>6.8100000000000001E-3</v>
      </c>
      <c r="S3862" s="371" t="s">
        <v>76</v>
      </c>
      <c r="T3862" s="371" t="s">
        <v>56</v>
      </c>
      <c r="U3862" s="371" t="s">
        <v>89</v>
      </c>
      <c r="V3862" s="377">
        <f>1900</f>
        <v>1900</v>
      </c>
      <c r="W3862" s="377"/>
      <c r="X3862" s="378"/>
      <c r="Y3862" s="379">
        <f>(W3862+X3862)-V3862</f>
        <v>-1900</v>
      </c>
      <c r="Z3862" s="380">
        <f>IF(Y3862&lt;0,((V3862*P3862)-((W3862+X3862)*P3862)),0)</f>
        <v>34200</v>
      </c>
      <c r="AA3862" s="380">
        <f>Q3862*Z3862</f>
        <v>273600</v>
      </c>
      <c r="AB3862" s="820">
        <v>1</v>
      </c>
      <c r="AC3862" s="377">
        <f>Z3862*AB3862</f>
        <v>34200</v>
      </c>
      <c r="AD3862" s="443"/>
      <c r="AE3862" s="210">
        <f t="shared" ref="AE3862:AE3864" si="2600">SUM(Q3862*R3862*Z3862)/1000</f>
        <v>1.8632160000000002</v>
      </c>
      <c r="AF3862" s="210">
        <f>AE3862/0.54</f>
        <v>3.4504000000000001</v>
      </c>
      <c r="AG3862" s="211">
        <f>MID(O3862,1,3)/1000</f>
        <v>0.10100000000000001</v>
      </c>
      <c r="AH3862" s="157">
        <f>(Z3862*AG3862)/1000</f>
        <v>3.4542000000000002</v>
      </c>
      <c r="AI3862" s="152">
        <f>V3862*P3862</f>
        <v>34200</v>
      </c>
      <c r="AK3862" s="156" t="s">
        <v>691</v>
      </c>
      <c r="AL3862" s="156" t="s">
        <v>689</v>
      </c>
      <c r="AM3862" s="198">
        <f>AG3862*Z3862</f>
        <v>3454.2000000000003</v>
      </c>
      <c r="AN3862" s="199">
        <f>B3862</f>
        <v>46316</v>
      </c>
      <c r="AO3862" s="159" t="s">
        <v>692</v>
      </c>
      <c r="AP3862" s="781"/>
      <c r="AQ3862" s="783" t="s">
        <v>631</v>
      </c>
      <c r="AR3862" s="782">
        <v>12038019</v>
      </c>
      <c r="AS3862" s="781"/>
      <c r="AT3862" s="800">
        <v>12096586</v>
      </c>
      <c r="AU3862" s="781"/>
      <c r="AV3862" s="800">
        <v>12096585</v>
      </c>
      <c r="AW3862" s="781"/>
      <c r="AX3862" s="781" t="s">
        <v>162</v>
      </c>
      <c r="AY3862" s="781"/>
      <c r="AZ3862" s="781"/>
      <c r="BA3862" s="781"/>
      <c r="BB3862" s="209">
        <v>23053184</v>
      </c>
    </row>
    <row r="3863" spans="1:54" ht="24.75" customHeight="1">
      <c r="B3863" s="602">
        <v>46316</v>
      </c>
      <c r="C3863" s="861" t="s">
        <v>3197</v>
      </c>
      <c r="D3863" s="604">
        <f>IF(B3863="","",YEAR(B3863))</f>
        <v>2026</v>
      </c>
      <c r="E3863" s="603" t="e">
        <f>VLOOKUP($B3863,Week!$A$1:$C$1462,2,0)</f>
        <v>#N/A</v>
      </c>
      <c r="F3863" s="605" t="str">
        <f>IF(B3863="","",TEXT(B3863,"[$-409]mmm"))</f>
        <v>Oct</v>
      </c>
      <c r="G3863" s="938" t="s">
        <v>47</v>
      </c>
      <c r="H3863" s="604" t="s">
        <v>260</v>
      </c>
      <c r="I3863" s="604" t="s">
        <v>2702</v>
      </c>
      <c r="J3863" s="939" t="s">
        <v>2240</v>
      </c>
      <c r="K3863" s="607" t="s">
        <v>94</v>
      </c>
      <c r="L3863" s="607" t="s">
        <v>2167</v>
      </c>
      <c r="M3863" s="606" t="s">
        <v>2338</v>
      </c>
      <c r="N3863" s="604" t="s">
        <v>2997</v>
      </c>
      <c r="O3863" s="604" t="s">
        <v>54</v>
      </c>
      <c r="P3863" s="608">
        <v>24</v>
      </c>
      <c r="Q3863" s="608">
        <v>5</v>
      </c>
      <c r="R3863" s="609">
        <v>6.1999999999999998E-3</v>
      </c>
      <c r="S3863" s="604" t="s">
        <v>352</v>
      </c>
      <c r="T3863" s="604" t="s">
        <v>56</v>
      </c>
      <c r="U3863" s="604" t="s">
        <v>57</v>
      </c>
      <c r="V3863" s="610">
        <v>2767</v>
      </c>
      <c r="W3863" s="610"/>
      <c r="X3863" s="611"/>
      <c r="Y3863" s="612">
        <f>(W3863+X3863)-V3863</f>
        <v>-2767</v>
      </c>
      <c r="Z3863" s="613">
        <f>IF(Y3863&lt;0,((V3863*P3863)-((W3863+X3863)*P3863)),0)</f>
        <v>66408</v>
      </c>
      <c r="AA3863" s="613">
        <f>Q3863*Z3863</f>
        <v>332040</v>
      </c>
      <c r="AB3863" s="836">
        <v>7.4999999999999997E-3</v>
      </c>
      <c r="AC3863" s="610">
        <f>Z3863*AB3863</f>
        <v>498.06</v>
      </c>
      <c r="AD3863" s="443"/>
      <c r="AE3863" s="210">
        <f>SUM(Q3863*R3863*Z3863)/1000</f>
        <v>2.0586480000000003</v>
      </c>
      <c r="AF3863" s="210">
        <f>AE3863/0.54</f>
        <v>3.8123111111111112</v>
      </c>
      <c r="AG3863" s="211">
        <f>MID(O3863,1,3)/1000</f>
        <v>0.13500000000000001</v>
      </c>
      <c r="AH3863" s="157">
        <f>(Z3863*AG3863)/1000</f>
        <v>8.9650800000000004</v>
      </c>
      <c r="AI3863" s="152">
        <f>V3863*P3863</f>
        <v>66408</v>
      </c>
      <c r="AK3863" s="156" t="s">
        <v>691</v>
      </c>
      <c r="AL3863" s="574" t="s">
        <v>690</v>
      </c>
      <c r="AM3863" s="198">
        <f>AG3863*Z3863</f>
        <v>8965.08</v>
      </c>
      <c r="AN3863" s="199">
        <f>B3863</f>
        <v>46316</v>
      </c>
      <c r="AO3863" s="159" t="s">
        <v>692</v>
      </c>
      <c r="AP3863" s="783" t="s">
        <v>622</v>
      </c>
      <c r="AQ3863" s="782">
        <v>12071839</v>
      </c>
      <c r="AR3863" s="782">
        <v>12099098</v>
      </c>
      <c r="AS3863" s="782">
        <v>12068233</v>
      </c>
      <c r="AT3863" s="781"/>
      <c r="AU3863" s="781"/>
      <c r="AV3863" s="782">
        <v>12099466</v>
      </c>
      <c r="AW3863" s="781"/>
      <c r="AX3863" s="781"/>
      <c r="AY3863" s="782">
        <v>12099097</v>
      </c>
      <c r="AZ3863" s="782"/>
      <c r="BA3863" s="781"/>
      <c r="BB3863" s="209">
        <v>23053184</v>
      </c>
    </row>
    <row r="3864" spans="1:54" ht="25" customHeight="1">
      <c r="A3864" s="142" t="s">
        <v>120</v>
      </c>
      <c r="B3864" s="271">
        <v>46317</v>
      </c>
      <c r="C3864" s="272">
        <v>46359</v>
      </c>
      <c r="D3864" s="185">
        <f>IF(B3864="","",YEAR(B3864))</f>
        <v>2026</v>
      </c>
      <c r="E3864" s="272" t="e">
        <f>VLOOKUP($B3864,Week!$A$1:$C$1462,2,0)</f>
        <v>#N/A</v>
      </c>
      <c r="F3864" s="273" t="str">
        <f>IF(B3864="","",TEXT(B3864,"[$-409]mmm"))</f>
        <v>Oct</v>
      </c>
      <c r="G3864" s="274" t="s">
        <v>3144</v>
      </c>
      <c r="H3864" s="274" t="s">
        <v>500</v>
      </c>
      <c r="I3864" s="274" t="s">
        <v>2772</v>
      </c>
      <c r="J3864" s="275" t="s">
        <v>285</v>
      </c>
      <c r="K3864" s="276" t="s">
        <v>153</v>
      </c>
      <c r="L3864" s="390" t="s">
        <v>2166</v>
      </c>
      <c r="M3864" s="275" t="s">
        <v>86</v>
      </c>
      <c r="N3864" s="274" t="s">
        <v>547</v>
      </c>
      <c r="O3864" s="274" t="s">
        <v>548</v>
      </c>
      <c r="P3864" s="277">
        <v>10</v>
      </c>
      <c r="Q3864" s="277">
        <v>50</v>
      </c>
      <c r="R3864" s="278">
        <v>6.8100000000000001E-3</v>
      </c>
      <c r="S3864" s="274" t="s">
        <v>76</v>
      </c>
      <c r="T3864" s="274" t="s">
        <v>56</v>
      </c>
      <c r="U3864" s="274" t="s">
        <v>89</v>
      </c>
      <c r="V3864" s="279">
        <f>685</f>
        <v>685</v>
      </c>
      <c r="W3864" s="279"/>
      <c r="X3864" s="280"/>
      <c r="Y3864" s="281">
        <f>(W3864+X3864)-V3864</f>
        <v>-685</v>
      </c>
      <c r="Z3864" s="282">
        <f>IF(Y3864&lt;0,((V3864*P3864)-((W3864+X3864)*P3864)),0)</f>
        <v>6850</v>
      </c>
      <c r="AA3864" s="282">
        <f>Q3864*Z3864</f>
        <v>342500</v>
      </c>
      <c r="AB3864" s="812">
        <v>6</v>
      </c>
      <c r="AC3864" s="279">
        <f>Z3864*AB3864</f>
        <v>41100</v>
      </c>
      <c r="AD3864" s="209"/>
      <c r="AE3864" s="210">
        <f t="shared" si="2600"/>
        <v>2.3324250000000002</v>
      </c>
      <c r="AF3864" s="210">
        <f>AE3864/0.54</f>
        <v>4.3193055555555553</v>
      </c>
      <c r="AG3864" s="211">
        <f>MID(O3864,1,3)/1000</f>
        <v>0.63</v>
      </c>
      <c r="AH3864" s="157">
        <f>(Z3864*AG3864)/1000</f>
        <v>4.3155000000000001</v>
      </c>
      <c r="AI3864" s="152">
        <f>V3864*P3864</f>
        <v>6850</v>
      </c>
      <c r="AK3864" s="156" t="s">
        <v>691</v>
      </c>
      <c r="AL3864" s="156" t="s">
        <v>689</v>
      </c>
      <c r="AM3864" s="198">
        <f>AG3864*Z3864</f>
        <v>4315.5</v>
      </c>
      <c r="AN3864" s="199">
        <f>B3864</f>
        <v>46317</v>
      </c>
      <c r="AO3864" s="159" t="s">
        <v>692</v>
      </c>
      <c r="AP3864" s="783" t="s">
        <v>620</v>
      </c>
      <c r="AQ3864" s="796" t="s">
        <v>422</v>
      </c>
      <c r="AR3864" s="782">
        <v>12055234</v>
      </c>
      <c r="AS3864" s="781"/>
      <c r="AT3864" s="782"/>
      <c r="AU3864" s="782"/>
      <c r="AV3864" s="782">
        <v>12062809</v>
      </c>
      <c r="AW3864" s="782"/>
      <c r="AX3864" s="782" t="s">
        <v>619</v>
      </c>
      <c r="AY3864" s="781"/>
      <c r="AZ3864" s="781"/>
      <c r="BA3864" s="781"/>
      <c r="BB3864" s="209">
        <v>23053184</v>
      </c>
    </row>
    <row r="3865" spans="1:54" ht="24.65" customHeight="1">
      <c r="B3865" s="411">
        <v>46317</v>
      </c>
      <c r="C3865" s="645" t="s">
        <v>3218</v>
      </c>
      <c r="D3865" s="185">
        <f>IF(B3865="","",YEAR(B3865))</f>
        <v>2026</v>
      </c>
      <c r="E3865" s="412" t="e">
        <f>VLOOKUP($B3865,Week!$A$1:$C$1462,2,0)</f>
        <v>#N/A</v>
      </c>
      <c r="F3865" s="413" t="str">
        <f>IF(B3865="","",TEXT(B3865,"[$-409]mmm"))</f>
        <v>Oct</v>
      </c>
      <c r="G3865" s="414" t="s">
        <v>47</v>
      </c>
      <c r="H3865" s="414" t="s">
        <v>260</v>
      </c>
      <c r="I3865" s="414" t="s">
        <v>2702</v>
      </c>
      <c r="J3865" s="415" t="s">
        <v>261</v>
      </c>
      <c r="K3865" s="416" t="s">
        <v>94</v>
      </c>
      <c r="L3865" s="300" t="s">
        <v>2167</v>
      </c>
      <c r="M3865" s="415" t="s">
        <v>2339</v>
      </c>
      <c r="N3865" s="414" t="s">
        <v>263</v>
      </c>
      <c r="O3865" s="414" t="s">
        <v>195</v>
      </c>
      <c r="P3865" s="417">
        <v>24</v>
      </c>
      <c r="Q3865" s="417">
        <v>5</v>
      </c>
      <c r="R3865" s="418">
        <v>8.0000000000000002E-3</v>
      </c>
      <c r="S3865" s="414" t="s">
        <v>40</v>
      </c>
      <c r="T3865" s="414" t="s">
        <v>56</v>
      </c>
      <c r="U3865" s="414" t="s">
        <v>57</v>
      </c>
      <c r="V3865" s="419">
        <v>2767</v>
      </c>
      <c r="W3865" s="419"/>
      <c r="X3865" s="420"/>
      <c r="Y3865" s="421">
        <f>(W3865+X3865)-V3865</f>
        <v>-2767</v>
      </c>
      <c r="Z3865" s="422">
        <f>IF(Y3865&lt;0,((V3865*P3865)-((W3865+X3865)*P3865)),0)</f>
        <v>66408</v>
      </c>
      <c r="AA3865" s="422">
        <f>Q3865*Z3865</f>
        <v>332040</v>
      </c>
      <c r="AB3865" s="825">
        <v>7.4999999999999997E-3</v>
      </c>
      <c r="AC3865" s="419">
        <f>Z3865*AB3865</f>
        <v>498.06</v>
      </c>
      <c r="AD3865" s="209"/>
      <c r="AE3865" s="210">
        <f t="shared" ref="AE3865" si="2601">SUM(Q3865*R3865*Z3865)/1000</f>
        <v>2.65632</v>
      </c>
      <c r="AF3865" s="210">
        <f>AE3865/0.54</f>
        <v>4.9191111111111105</v>
      </c>
      <c r="AG3865" s="211">
        <f>MID(O3865,1,3)/1000</f>
        <v>0.14499999999999999</v>
      </c>
      <c r="AH3865" s="157">
        <f>(Z3865*AG3865)/1000</f>
        <v>9.6291600000000006</v>
      </c>
      <c r="AI3865" s="152">
        <f>V3865*P3865</f>
        <v>66408</v>
      </c>
      <c r="AK3865" s="156" t="s">
        <v>691</v>
      </c>
      <c r="AL3865" s="212" t="s">
        <v>690</v>
      </c>
      <c r="AM3865" s="198">
        <f>AG3865*Z3865</f>
        <v>9629.16</v>
      </c>
      <c r="AN3865" s="199">
        <f>B3865</f>
        <v>46317</v>
      </c>
      <c r="AO3865" s="159" t="s">
        <v>692</v>
      </c>
      <c r="AP3865" s="783" t="s">
        <v>609</v>
      </c>
      <c r="AQ3865" s="782">
        <v>12071839</v>
      </c>
      <c r="AR3865" s="782">
        <v>12047514</v>
      </c>
      <c r="AS3865" s="782">
        <v>12047515</v>
      </c>
      <c r="AT3865" s="781"/>
      <c r="AU3865" s="781"/>
      <c r="AV3865" s="782">
        <v>12080613</v>
      </c>
      <c r="AW3865" s="781"/>
      <c r="AX3865" s="781"/>
      <c r="AY3865" s="782">
        <v>12094241</v>
      </c>
      <c r="AZ3865" s="782">
        <v>12094242</v>
      </c>
      <c r="BA3865" s="781"/>
      <c r="BB3865" s="209">
        <v>23053185</v>
      </c>
    </row>
    <row r="3866" spans="1:54" ht="25" customHeight="1">
      <c r="A3866" s="142" t="s">
        <v>120</v>
      </c>
      <c r="B3866" s="271">
        <v>46318</v>
      </c>
      <c r="C3866" s="272">
        <v>46359</v>
      </c>
      <c r="D3866" s="185">
        <f t="shared" ref="D3866:D3869" si="2602">IF(B3866="","",YEAR(B3866))</f>
        <v>2026</v>
      </c>
      <c r="E3866" s="272" t="e">
        <f>VLOOKUP($B3866,Week!$A$1:$C$1462,2,0)</f>
        <v>#N/A</v>
      </c>
      <c r="F3866" s="273" t="str">
        <f t="shared" ref="F3866:F3869" si="2603">IF(B3866="","",TEXT(B3866,"[$-409]mmm"))</f>
        <v>Oct</v>
      </c>
      <c r="G3866" s="274" t="s">
        <v>3144</v>
      </c>
      <c r="H3866" s="274" t="s">
        <v>500</v>
      </c>
      <c r="I3866" s="274" t="s">
        <v>2772</v>
      </c>
      <c r="J3866" s="275" t="s">
        <v>285</v>
      </c>
      <c r="K3866" s="276" t="s">
        <v>153</v>
      </c>
      <c r="L3866" s="390" t="s">
        <v>2166</v>
      </c>
      <c r="M3866" s="275" t="s">
        <v>86</v>
      </c>
      <c r="N3866" s="274" t="s">
        <v>547</v>
      </c>
      <c r="O3866" s="274" t="s">
        <v>548</v>
      </c>
      <c r="P3866" s="277">
        <v>10</v>
      </c>
      <c r="Q3866" s="277">
        <v>50</v>
      </c>
      <c r="R3866" s="278">
        <v>6.8100000000000001E-3</v>
      </c>
      <c r="S3866" s="274" t="s">
        <v>76</v>
      </c>
      <c r="T3866" s="274" t="s">
        <v>56</v>
      </c>
      <c r="U3866" s="274" t="s">
        <v>89</v>
      </c>
      <c r="V3866" s="279">
        <v>685</v>
      </c>
      <c r="W3866" s="279"/>
      <c r="X3866" s="280"/>
      <c r="Y3866" s="281">
        <f t="shared" ref="Y3866:Y3869" si="2604">(W3866+X3866)-V3866</f>
        <v>-685</v>
      </c>
      <c r="Z3866" s="282">
        <f t="shared" ref="Z3866:Z3869" si="2605">IF(Y3866&lt;0,((V3866*P3866)-((W3866+X3866)*P3866)),0)</f>
        <v>6850</v>
      </c>
      <c r="AA3866" s="282">
        <f t="shared" ref="AA3866:AA3869" si="2606">Q3866*Z3866</f>
        <v>342500</v>
      </c>
      <c r="AB3866" s="812">
        <v>6</v>
      </c>
      <c r="AC3866" s="279">
        <f t="shared" ref="AC3866:AC3869" si="2607">Z3866*AB3866</f>
        <v>41100</v>
      </c>
      <c r="AD3866" s="209"/>
      <c r="AE3866" s="210">
        <f t="shared" ref="AE3866:AE3869" si="2608">SUM(Q3866*R3866*Z3866)/1000</f>
        <v>2.3324250000000002</v>
      </c>
      <c r="AF3866" s="210">
        <f t="shared" ref="AF3866:AF3869" si="2609">AE3866/0.54</f>
        <v>4.3193055555555553</v>
      </c>
      <c r="AG3866" s="211">
        <f t="shared" ref="AG3866:AG3869" si="2610">MID(O3866,1,3)/1000</f>
        <v>0.63</v>
      </c>
      <c r="AH3866" s="157">
        <f t="shared" ref="AH3866:AH3869" si="2611">(Z3866*AG3866)/1000</f>
        <v>4.3155000000000001</v>
      </c>
      <c r="AI3866" s="152">
        <f t="shared" ref="AI3866:AI3869" si="2612">V3866*P3866</f>
        <v>6850</v>
      </c>
      <c r="AK3866" s="156" t="s">
        <v>691</v>
      </c>
      <c r="AL3866" s="156" t="s">
        <v>689</v>
      </c>
      <c r="AM3866" s="198">
        <f t="shared" ref="AM3866:AM3869" si="2613">AG3866*Z3866</f>
        <v>4315.5</v>
      </c>
      <c r="AN3866" s="199">
        <f t="shared" ref="AN3866:AN3869" si="2614">B3866</f>
        <v>46318</v>
      </c>
      <c r="AO3866" s="159" t="s">
        <v>692</v>
      </c>
      <c r="AP3866" s="783" t="s">
        <v>620</v>
      </c>
      <c r="AQ3866" s="796" t="s">
        <v>422</v>
      </c>
      <c r="AR3866" s="782">
        <v>12055234</v>
      </c>
      <c r="AS3866" s="781"/>
      <c r="AT3866" s="782"/>
      <c r="AU3866" s="782"/>
      <c r="AV3866" s="782">
        <v>12062809</v>
      </c>
      <c r="AW3866" s="782"/>
      <c r="AX3866" s="782" t="s">
        <v>619</v>
      </c>
      <c r="AY3866" s="781"/>
      <c r="AZ3866" s="781"/>
      <c r="BA3866" s="781"/>
      <c r="BB3866" s="209">
        <v>23053184</v>
      </c>
    </row>
    <row r="3867" spans="1:54" ht="24.75" customHeight="1">
      <c r="B3867" s="602">
        <v>46318</v>
      </c>
      <c r="C3867" s="861" t="s">
        <v>3197</v>
      </c>
      <c r="D3867" s="604">
        <f>IF(B3867="","",YEAR(B3867))</f>
        <v>2026</v>
      </c>
      <c r="E3867" s="603" t="e">
        <f>VLOOKUP($B3867,Week!$A$1:$C$1462,2,0)</f>
        <v>#N/A</v>
      </c>
      <c r="F3867" s="605" t="str">
        <f>IF(B3867="","",TEXT(B3867,"[$-409]mmm"))</f>
        <v>Oct</v>
      </c>
      <c r="G3867" s="938" t="s">
        <v>47</v>
      </c>
      <c r="H3867" s="604" t="s">
        <v>260</v>
      </c>
      <c r="I3867" s="604" t="s">
        <v>2702</v>
      </c>
      <c r="J3867" s="939" t="s">
        <v>2240</v>
      </c>
      <c r="K3867" s="607" t="s">
        <v>94</v>
      </c>
      <c r="L3867" s="607" t="s">
        <v>2167</v>
      </c>
      <c r="M3867" s="606" t="s">
        <v>2338</v>
      </c>
      <c r="N3867" s="604" t="s">
        <v>2997</v>
      </c>
      <c r="O3867" s="604" t="s">
        <v>54</v>
      </c>
      <c r="P3867" s="608">
        <v>24</v>
      </c>
      <c r="Q3867" s="608">
        <v>5</v>
      </c>
      <c r="R3867" s="609">
        <v>6.1999999999999998E-3</v>
      </c>
      <c r="S3867" s="604" t="s">
        <v>352</v>
      </c>
      <c r="T3867" s="604" t="s">
        <v>56</v>
      </c>
      <c r="U3867" s="604" t="s">
        <v>57</v>
      </c>
      <c r="V3867" s="610">
        <f>13800-2367-2767-1965-2451-2767</f>
        <v>1483</v>
      </c>
      <c r="W3867" s="610"/>
      <c r="X3867" s="611"/>
      <c r="Y3867" s="612">
        <f>(W3867+X3867)-V3867</f>
        <v>-1483</v>
      </c>
      <c r="Z3867" s="613">
        <f>IF(Y3867&lt;0,((V3867*P3867)-((W3867+X3867)*P3867)),0)</f>
        <v>35592</v>
      </c>
      <c r="AA3867" s="613">
        <f>Q3867*Z3867</f>
        <v>177960</v>
      </c>
      <c r="AB3867" s="836">
        <v>7.4999999999999997E-3</v>
      </c>
      <c r="AC3867" s="610">
        <f>Z3867*AB3867</f>
        <v>266.94</v>
      </c>
      <c r="AD3867" s="443"/>
      <c r="AE3867" s="210">
        <f>SUM(Q3867*R3867*Z3867)/1000</f>
        <v>1.1033520000000001</v>
      </c>
      <c r="AF3867" s="210">
        <f>AE3867/0.54</f>
        <v>2.0432444444444444</v>
      </c>
      <c r="AG3867" s="211">
        <f>MID(O3867,1,3)/1000</f>
        <v>0.13500000000000001</v>
      </c>
      <c r="AH3867" s="157">
        <f>(Z3867*AG3867)/1000</f>
        <v>4.8049200000000001</v>
      </c>
      <c r="AI3867" s="152">
        <f>V3867*P3867</f>
        <v>35592</v>
      </c>
      <c r="AK3867" s="156" t="s">
        <v>691</v>
      </c>
      <c r="AL3867" s="574" t="s">
        <v>690</v>
      </c>
      <c r="AM3867" s="198">
        <f>AG3867*Z3867</f>
        <v>4804.92</v>
      </c>
      <c r="AN3867" s="199">
        <f>B3867</f>
        <v>46318</v>
      </c>
      <c r="AO3867" s="159" t="s">
        <v>692</v>
      </c>
      <c r="AP3867" s="783" t="s">
        <v>622</v>
      </c>
      <c r="AQ3867" s="782">
        <v>12071839</v>
      </c>
      <c r="AR3867" s="782">
        <v>12099098</v>
      </c>
      <c r="AS3867" s="782">
        <v>12068233</v>
      </c>
      <c r="AT3867" s="781"/>
      <c r="AU3867" s="781"/>
      <c r="AV3867" s="782">
        <v>12099466</v>
      </c>
      <c r="AW3867" s="781"/>
      <c r="AX3867" s="781"/>
      <c r="AY3867" s="782">
        <v>12099097</v>
      </c>
      <c r="AZ3867" s="782"/>
      <c r="BA3867" s="781"/>
      <c r="BB3867" s="209">
        <v>23053184</v>
      </c>
    </row>
    <row r="3868" spans="1:54" ht="24.75" customHeight="1">
      <c r="B3868" s="602">
        <v>46318</v>
      </c>
      <c r="C3868" s="861" t="s">
        <v>3218</v>
      </c>
      <c r="D3868" s="604">
        <f t="shared" si="2602"/>
        <v>2026</v>
      </c>
      <c r="E3868" s="603" t="e">
        <f>VLOOKUP($B3868,Week!$A$1:$C$1462,2,0)</f>
        <v>#N/A</v>
      </c>
      <c r="F3868" s="605" t="str">
        <f t="shared" si="2603"/>
        <v>Oct</v>
      </c>
      <c r="G3868" s="938" t="s">
        <v>47</v>
      </c>
      <c r="H3868" s="604" t="s">
        <v>260</v>
      </c>
      <c r="I3868" s="604" t="s">
        <v>2702</v>
      </c>
      <c r="J3868" s="939" t="s">
        <v>2240</v>
      </c>
      <c r="K3868" s="607" t="s">
        <v>94</v>
      </c>
      <c r="L3868" s="607" t="s">
        <v>2167</v>
      </c>
      <c r="M3868" s="606" t="s">
        <v>2338</v>
      </c>
      <c r="N3868" s="604" t="s">
        <v>2997</v>
      </c>
      <c r="O3868" s="604" t="s">
        <v>54</v>
      </c>
      <c r="P3868" s="608">
        <v>24</v>
      </c>
      <c r="Q3868" s="608">
        <v>5</v>
      </c>
      <c r="R3868" s="609">
        <v>6.1999999999999998E-3</v>
      </c>
      <c r="S3868" s="604" t="s">
        <v>352</v>
      </c>
      <c r="T3868" s="604" t="s">
        <v>56</v>
      </c>
      <c r="U3868" s="604" t="s">
        <v>57</v>
      </c>
      <c r="V3868" s="610">
        <f>2767-1483</f>
        <v>1284</v>
      </c>
      <c r="W3868" s="610"/>
      <c r="X3868" s="611"/>
      <c r="Y3868" s="612">
        <f t="shared" si="2604"/>
        <v>-1284</v>
      </c>
      <c r="Z3868" s="613">
        <f t="shared" si="2605"/>
        <v>30816</v>
      </c>
      <c r="AA3868" s="613">
        <f t="shared" si="2606"/>
        <v>154080</v>
      </c>
      <c r="AB3868" s="836">
        <v>7.4999999999999997E-3</v>
      </c>
      <c r="AC3868" s="610">
        <f t="shared" si="2607"/>
        <v>231.12</v>
      </c>
      <c r="AD3868" s="443"/>
      <c r="AE3868" s="210">
        <f>SUM(Q3868*R3868*Z3868)/1000</f>
        <v>0.95529600000000003</v>
      </c>
      <c r="AF3868" s="210">
        <f t="shared" si="2609"/>
        <v>1.7690666666666666</v>
      </c>
      <c r="AG3868" s="211">
        <f>MID(O3868,1,3)/1000</f>
        <v>0.13500000000000001</v>
      </c>
      <c r="AH3868" s="157">
        <f>(Z3868*AG3868)/1000</f>
        <v>4.1601599999999994</v>
      </c>
      <c r="AI3868" s="152">
        <f t="shared" si="2612"/>
        <v>30816</v>
      </c>
      <c r="AK3868" s="156" t="s">
        <v>691</v>
      </c>
      <c r="AL3868" s="574" t="s">
        <v>690</v>
      </c>
      <c r="AM3868" s="198">
        <f t="shared" si="2613"/>
        <v>4160.16</v>
      </c>
      <c r="AN3868" s="199">
        <f t="shared" si="2614"/>
        <v>46318</v>
      </c>
      <c r="AO3868" s="159" t="s">
        <v>692</v>
      </c>
      <c r="AP3868" s="783" t="s">
        <v>622</v>
      </c>
      <c r="AQ3868" s="782">
        <v>12071839</v>
      </c>
      <c r="AR3868" s="782">
        <v>12099098</v>
      </c>
      <c r="AS3868" s="782">
        <v>12068233</v>
      </c>
      <c r="AT3868" s="781"/>
      <c r="AU3868" s="781"/>
      <c r="AV3868" s="782">
        <v>12099466</v>
      </c>
      <c r="AW3868" s="781"/>
      <c r="AX3868" s="781"/>
      <c r="AY3868" s="782">
        <v>12099097</v>
      </c>
      <c r="AZ3868" s="782"/>
      <c r="BA3868" s="781"/>
      <c r="BB3868" s="209">
        <v>23053184</v>
      </c>
    </row>
    <row r="3869" spans="1:54" ht="25" customHeight="1">
      <c r="A3869" s="142" t="s">
        <v>120</v>
      </c>
      <c r="B3869" s="271">
        <v>46319</v>
      </c>
      <c r="C3869" s="272">
        <v>46359</v>
      </c>
      <c r="D3869" s="185">
        <f t="shared" si="2602"/>
        <v>2026</v>
      </c>
      <c r="E3869" s="272" t="e">
        <f>VLOOKUP($B3869,Week!$A$1:$C$1462,2,0)</f>
        <v>#N/A</v>
      </c>
      <c r="F3869" s="273" t="str">
        <f t="shared" si="2603"/>
        <v>Oct</v>
      </c>
      <c r="G3869" s="274" t="s">
        <v>3144</v>
      </c>
      <c r="H3869" s="274" t="s">
        <v>500</v>
      </c>
      <c r="I3869" s="274" t="s">
        <v>2772</v>
      </c>
      <c r="J3869" s="275" t="s">
        <v>285</v>
      </c>
      <c r="K3869" s="276" t="s">
        <v>153</v>
      </c>
      <c r="L3869" s="390" t="s">
        <v>2166</v>
      </c>
      <c r="M3869" s="275" t="s">
        <v>86</v>
      </c>
      <c r="N3869" s="274" t="s">
        <v>547</v>
      </c>
      <c r="O3869" s="274" t="s">
        <v>548</v>
      </c>
      <c r="P3869" s="277">
        <v>10</v>
      </c>
      <c r="Q3869" s="277">
        <v>50</v>
      </c>
      <c r="R3869" s="278">
        <v>6.8100000000000001E-3</v>
      </c>
      <c r="S3869" s="274" t="s">
        <v>76</v>
      </c>
      <c r="T3869" s="274" t="s">
        <v>56</v>
      </c>
      <c r="U3869" s="274" t="s">
        <v>89</v>
      </c>
      <c r="V3869" s="279">
        <f>2056-685-685</f>
        <v>686</v>
      </c>
      <c r="W3869" s="279"/>
      <c r="X3869" s="280"/>
      <c r="Y3869" s="281">
        <f t="shared" si="2604"/>
        <v>-686</v>
      </c>
      <c r="Z3869" s="282">
        <f t="shared" si="2605"/>
        <v>6860</v>
      </c>
      <c r="AA3869" s="282">
        <f t="shared" si="2606"/>
        <v>343000</v>
      </c>
      <c r="AB3869" s="812">
        <v>6</v>
      </c>
      <c r="AC3869" s="279">
        <f t="shared" si="2607"/>
        <v>41160</v>
      </c>
      <c r="AD3869" s="209"/>
      <c r="AE3869" s="210">
        <f t="shared" si="2608"/>
        <v>2.3358300000000005</v>
      </c>
      <c r="AF3869" s="210">
        <f t="shared" si="2609"/>
        <v>4.3256111111111117</v>
      </c>
      <c r="AG3869" s="211">
        <f t="shared" si="2610"/>
        <v>0.63</v>
      </c>
      <c r="AH3869" s="157">
        <f t="shared" si="2611"/>
        <v>4.3218000000000005</v>
      </c>
      <c r="AI3869" s="152">
        <f t="shared" si="2612"/>
        <v>6860</v>
      </c>
      <c r="AK3869" s="156" t="s">
        <v>691</v>
      </c>
      <c r="AL3869" s="156" t="s">
        <v>689</v>
      </c>
      <c r="AM3869" s="198">
        <f t="shared" si="2613"/>
        <v>4321.8</v>
      </c>
      <c r="AN3869" s="199">
        <f t="shared" si="2614"/>
        <v>46319</v>
      </c>
      <c r="AO3869" s="159" t="s">
        <v>692</v>
      </c>
      <c r="AP3869" s="783" t="s">
        <v>620</v>
      </c>
      <c r="AQ3869" s="796" t="s">
        <v>422</v>
      </c>
      <c r="AR3869" s="782">
        <v>12055234</v>
      </c>
      <c r="AS3869" s="781"/>
      <c r="AT3869" s="782"/>
      <c r="AU3869" s="782"/>
      <c r="AV3869" s="782">
        <v>12062809</v>
      </c>
      <c r="AW3869" s="782"/>
      <c r="AX3869" s="782" t="s">
        <v>619</v>
      </c>
      <c r="AY3869" s="781"/>
      <c r="AZ3869" s="781"/>
      <c r="BA3869" s="781"/>
      <c r="BB3869" s="209">
        <v>23053184</v>
      </c>
    </row>
    <row r="3870" spans="1:54" ht="24.65" customHeight="1">
      <c r="B3870" s="411">
        <v>46319</v>
      </c>
      <c r="C3870" s="645" t="s">
        <v>3218</v>
      </c>
      <c r="D3870" s="185">
        <f>IF(B3870="","",YEAR(B3870))</f>
        <v>2026</v>
      </c>
      <c r="E3870" s="412" t="e">
        <f>VLOOKUP($B3870,Week!$A$1:$C$1462,2,0)</f>
        <v>#N/A</v>
      </c>
      <c r="F3870" s="413" t="str">
        <f>IF(B3870="","",TEXT(B3870,"[$-409]mmm"))</f>
        <v>Oct</v>
      </c>
      <c r="G3870" s="414" t="s">
        <v>47</v>
      </c>
      <c r="H3870" s="414" t="s">
        <v>260</v>
      </c>
      <c r="I3870" s="414" t="s">
        <v>2702</v>
      </c>
      <c r="J3870" s="415" t="s">
        <v>261</v>
      </c>
      <c r="K3870" s="416" t="s">
        <v>94</v>
      </c>
      <c r="L3870" s="300" t="s">
        <v>2167</v>
      </c>
      <c r="M3870" s="415" t="s">
        <v>2339</v>
      </c>
      <c r="N3870" s="414" t="s">
        <v>263</v>
      </c>
      <c r="O3870" s="414" t="s">
        <v>195</v>
      </c>
      <c r="P3870" s="417">
        <v>24</v>
      </c>
      <c r="Q3870" s="417">
        <v>5</v>
      </c>
      <c r="R3870" s="418">
        <v>8.0000000000000002E-3</v>
      </c>
      <c r="S3870" s="414" t="s">
        <v>40</v>
      </c>
      <c r="T3870" s="414" t="s">
        <v>56</v>
      </c>
      <c r="U3870" s="414" t="s">
        <v>57</v>
      </c>
      <c r="V3870" s="419">
        <v>2767</v>
      </c>
      <c r="W3870" s="419"/>
      <c r="X3870" s="420"/>
      <c r="Y3870" s="421">
        <f>(W3870+X3870)-V3870</f>
        <v>-2767</v>
      </c>
      <c r="Z3870" s="422">
        <f>IF(Y3870&lt;0,((V3870*P3870)-((W3870+X3870)*P3870)),0)</f>
        <v>66408</v>
      </c>
      <c r="AA3870" s="422">
        <f>Q3870*Z3870</f>
        <v>332040</v>
      </c>
      <c r="AB3870" s="825">
        <v>7.4999999999999997E-3</v>
      </c>
      <c r="AC3870" s="419">
        <f>Z3870*AB3870</f>
        <v>498.06</v>
      </c>
      <c r="AD3870" s="209"/>
      <c r="AE3870" s="210">
        <f t="shared" ref="AE3870" si="2615">SUM(Q3870*R3870*Z3870)/1000</f>
        <v>2.65632</v>
      </c>
      <c r="AF3870" s="210">
        <f>AE3870/0.54</f>
        <v>4.9191111111111105</v>
      </c>
      <c r="AG3870" s="211">
        <f t="shared" ref="AG3870" si="2616">MID(O3870,1,3)/1000</f>
        <v>0.14499999999999999</v>
      </c>
      <c r="AH3870" s="157">
        <f t="shared" ref="AH3870" si="2617">(Z3870*AG3870)/1000</f>
        <v>9.6291600000000006</v>
      </c>
      <c r="AI3870" s="152">
        <f>V3870*P3870</f>
        <v>66408</v>
      </c>
      <c r="AK3870" s="156" t="s">
        <v>691</v>
      </c>
      <c r="AL3870" s="212" t="s">
        <v>690</v>
      </c>
      <c r="AM3870" s="198">
        <f>AG3870*Z3870</f>
        <v>9629.16</v>
      </c>
      <c r="AN3870" s="199">
        <f>B3870</f>
        <v>46319</v>
      </c>
      <c r="AO3870" s="159" t="s">
        <v>692</v>
      </c>
      <c r="AP3870" s="783" t="s">
        <v>609</v>
      </c>
      <c r="AQ3870" s="782">
        <v>12071839</v>
      </c>
      <c r="AR3870" s="782">
        <v>12047514</v>
      </c>
      <c r="AS3870" s="782">
        <v>12047515</v>
      </c>
      <c r="AT3870" s="781"/>
      <c r="AU3870" s="781"/>
      <c r="AV3870" s="782">
        <v>12080613</v>
      </c>
      <c r="AW3870" s="781"/>
      <c r="AX3870" s="781"/>
      <c r="AY3870" s="782">
        <v>12094241</v>
      </c>
      <c r="AZ3870" s="782">
        <v>12094242</v>
      </c>
      <c r="BA3870" s="781"/>
      <c r="BB3870" s="209">
        <v>23053185</v>
      </c>
    </row>
    <row r="3871" spans="1:54" ht="24.65" customHeight="1">
      <c r="A3871" s="142" t="s">
        <v>120</v>
      </c>
      <c r="B3871" s="383">
        <v>46320</v>
      </c>
      <c r="C3871" s="224">
        <v>46378</v>
      </c>
      <c r="D3871" s="185">
        <f>IF(B3871="","",YEAR(B3871))</f>
        <v>2026</v>
      </c>
      <c r="E3871" s="224" t="e">
        <f>VLOOKUP($B3871,Week!$A$1:$C$1462,2,0)</f>
        <v>#N/A</v>
      </c>
      <c r="F3871" s="226" t="str">
        <f>IF(B3871="","",TEXT(B3871,"[$-409]mmm"))</f>
        <v>Oct</v>
      </c>
      <c r="G3871" s="225" t="s">
        <v>3213</v>
      </c>
      <c r="H3871" s="225" t="s">
        <v>1259</v>
      </c>
      <c r="I3871" s="225" t="s">
        <v>2772</v>
      </c>
      <c r="J3871" s="227" t="s">
        <v>512</v>
      </c>
      <c r="K3871" s="228" t="s">
        <v>85</v>
      </c>
      <c r="L3871" s="390" t="s">
        <v>2166</v>
      </c>
      <c r="M3871" s="227" t="s">
        <v>165</v>
      </c>
      <c r="N3871" s="225" t="s">
        <v>700</v>
      </c>
      <c r="O3871" s="225" t="s">
        <v>287</v>
      </c>
      <c r="P3871" s="229">
        <v>40</v>
      </c>
      <c r="Q3871" s="229">
        <v>12</v>
      </c>
      <c r="R3871" s="230">
        <v>8.1300000000000001E-3</v>
      </c>
      <c r="S3871" s="225" t="s">
        <v>40</v>
      </c>
      <c r="T3871" s="225" t="s">
        <v>112</v>
      </c>
      <c r="U3871" s="225" t="s">
        <v>89</v>
      </c>
      <c r="V3871" s="231">
        <f>541</f>
        <v>541</v>
      </c>
      <c r="W3871" s="231"/>
      <c r="X3871" s="232"/>
      <c r="Y3871" s="233">
        <f t="shared" ref="Y3871:Y3872" si="2618">(W3871+X3871)-V3871</f>
        <v>-541</v>
      </c>
      <c r="Z3871" s="234">
        <f t="shared" ref="Z3871:Z3872" si="2619">IF(Y3871&lt;0,((V3871*P3871)-((W3871+X3871)*P3871)),0)</f>
        <v>21640</v>
      </c>
      <c r="AA3871" s="234">
        <f>Q3871*Z3871</f>
        <v>259680</v>
      </c>
      <c r="AB3871" s="822">
        <v>2</v>
      </c>
      <c r="AC3871" s="231">
        <f t="shared" ref="AC3871:AC3872" si="2620">Z3871*AB3871</f>
        <v>43280</v>
      </c>
      <c r="AD3871" s="209"/>
      <c r="AE3871" s="210">
        <f t="shared" ref="AE3871" si="2621">SUM(Q3871*R3871*Z3871)/1000</f>
        <v>2.1111984000000001</v>
      </c>
      <c r="AF3871" s="210">
        <f t="shared" ref="AF3871:AF3872" si="2622">AE3871/0.54</f>
        <v>3.9096266666666666</v>
      </c>
      <c r="AG3871" s="211">
        <f t="shared" ref="AG3871" si="2623">MID(O3871,1,3)/1000</f>
        <v>0.154</v>
      </c>
      <c r="AH3871" s="157">
        <f t="shared" ref="AH3871" si="2624">(Z3871*AG3871)/1000</f>
        <v>3.33256</v>
      </c>
      <c r="AI3871" s="152">
        <f t="shared" ref="AI3871:AI3872" si="2625">V3871*P3871</f>
        <v>21640</v>
      </c>
      <c r="AK3871" s="156" t="s">
        <v>691</v>
      </c>
      <c r="AL3871" s="156" t="s">
        <v>689</v>
      </c>
      <c r="AM3871" s="198">
        <f>AG3871*Z3871</f>
        <v>3332.56</v>
      </c>
      <c r="AN3871" s="199">
        <f>B3871</f>
        <v>46320</v>
      </c>
      <c r="AO3871" s="159" t="s">
        <v>692</v>
      </c>
      <c r="AP3871" s="781"/>
      <c r="AQ3871" s="782">
        <v>12071839</v>
      </c>
      <c r="AR3871" s="782">
        <v>12019692</v>
      </c>
      <c r="AS3871" s="782"/>
      <c r="AT3871" s="782">
        <v>12056457</v>
      </c>
      <c r="AU3871" s="782"/>
      <c r="AV3871" s="782">
        <v>12056565</v>
      </c>
      <c r="AW3871" s="782">
        <v>12034747</v>
      </c>
      <c r="AX3871" s="782" t="s">
        <v>398</v>
      </c>
      <c r="AY3871" s="782" t="s">
        <v>513</v>
      </c>
      <c r="AZ3871" s="782"/>
      <c r="BA3871" s="781"/>
      <c r="BB3871" s="209">
        <v>23053184</v>
      </c>
    </row>
    <row r="3872" spans="1:54" ht="24.75" customHeight="1">
      <c r="B3872" s="602">
        <v>46320</v>
      </c>
      <c r="C3872" s="861" t="s">
        <v>3218</v>
      </c>
      <c r="D3872" s="604">
        <f t="shared" ref="D3872" si="2626">IF(B3872="","",YEAR(B3872))</f>
        <v>2026</v>
      </c>
      <c r="E3872" s="603" t="e">
        <f>VLOOKUP($B3872,Week!$A$1:$C$1462,2,0)</f>
        <v>#N/A</v>
      </c>
      <c r="F3872" s="605" t="str">
        <f t="shared" ref="F3872" si="2627">IF(B3872="","",TEXT(B3872,"[$-409]mmm"))</f>
        <v>Oct</v>
      </c>
      <c r="G3872" s="938" t="s">
        <v>47</v>
      </c>
      <c r="H3872" s="604" t="s">
        <v>260</v>
      </c>
      <c r="I3872" s="604" t="s">
        <v>2702</v>
      </c>
      <c r="J3872" s="939" t="s">
        <v>2240</v>
      </c>
      <c r="K3872" s="607" t="s">
        <v>94</v>
      </c>
      <c r="L3872" s="607" t="s">
        <v>2167</v>
      </c>
      <c r="M3872" s="606" t="s">
        <v>2338</v>
      </c>
      <c r="N3872" s="604" t="s">
        <v>2997</v>
      </c>
      <c r="O3872" s="604" t="s">
        <v>54</v>
      </c>
      <c r="P3872" s="608">
        <v>24</v>
      </c>
      <c r="Q3872" s="608">
        <v>5</v>
      </c>
      <c r="R3872" s="609">
        <v>6.1999999999999998E-3</v>
      </c>
      <c r="S3872" s="604" t="s">
        <v>352</v>
      </c>
      <c r="T3872" s="604" t="s">
        <v>56</v>
      </c>
      <c r="U3872" s="604" t="s">
        <v>57</v>
      </c>
      <c r="V3872" s="610">
        <v>2767</v>
      </c>
      <c r="W3872" s="610"/>
      <c r="X3872" s="611"/>
      <c r="Y3872" s="612">
        <f t="shared" si="2618"/>
        <v>-2767</v>
      </c>
      <c r="Z3872" s="613">
        <f t="shared" si="2619"/>
        <v>66408</v>
      </c>
      <c r="AA3872" s="613">
        <f t="shared" ref="AA3872" si="2628">Q3872*Z3872</f>
        <v>332040</v>
      </c>
      <c r="AB3872" s="836">
        <v>7.4999999999999997E-3</v>
      </c>
      <c r="AC3872" s="610">
        <f t="shared" si="2620"/>
        <v>498.06</v>
      </c>
      <c r="AD3872" s="443"/>
      <c r="AE3872" s="210">
        <f>SUM(Q3872*R3872*Z3872)/1000</f>
        <v>2.0586480000000003</v>
      </c>
      <c r="AF3872" s="210">
        <f t="shared" si="2622"/>
        <v>3.8123111111111112</v>
      </c>
      <c r="AG3872" s="211">
        <f>MID(O3872,1,3)/1000</f>
        <v>0.13500000000000001</v>
      </c>
      <c r="AH3872" s="157">
        <f>(Z3872*AG3872)/1000</f>
        <v>8.9650800000000004</v>
      </c>
      <c r="AI3872" s="152">
        <f t="shared" si="2625"/>
        <v>66408</v>
      </c>
      <c r="AK3872" s="156" t="s">
        <v>691</v>
      </c>
      <c r="AL3872" s="574" t="s">
        <v>690</v>
      </c>
      <c r="AM3872" s="198">
        <f t="shared" ref="AM3872" si="2629">AG3872*Z3872</f>
        <v>8965.08</v>
      </c>
      <c r="AN3872" s="199">
        <f t="shared" ref="AN3872" si="2630">B3872</f>
        <v>46320</v>
      </c>
      <c r="AO3872" s="159" t="s">
        <v>692</v>
      </c>
      <c r="AP3872" s="783" t="s">
        <v>622</v>
      </c>
      <c r="AQ3872" s="782">
        <v>12071839</v>
      </c>
      <c r="AR3872" s="782">
        <v>12099098</v>
      </c>
      <c r="AS3872" s="782">
        <v>12068233</v>
      </c>
      <c r="AT3872" s="781"/>
      <c r="AU3872" s="781"/>
      <c r="AV3872" s="782">
        <v>12099466</v>
      </c>
      <c r="AW3872" s="781"/>
      <c r="AX3872" s="781"/>
      <c r="AY3872" s="782">
        <v>12099097</v>
      </c>
      <c r="AZ3872" s="782"/>
      <c r="BA3872" s="781"/>
      <c r="BB3872" s="209">
        <v>23053184</v>
      </c>
    </row>
    <row r="3873" spans="1:54" ht="25" customHeight="1">
      <c r="B3873" s="183">
        <v>46321</v>
      </c>
      <c r="C3873" s="184"/>
      <c r="D3873" s="185">
        <f t="shared" ref="D3873" si="2631">IF(B3873="","",YEAR(B3873))</f>
        <v>2026</v>
      </c>
      <c r="E3873" s="185" t="e">
        <f>VLOOKUP($B3873,Week!$A$1:$C$1462,2,0)</f>
        <v>#N/A</v>
      </c>
      <c r="F3873" s="186" t="str">
        <f t="shared" ref="F3873" si="2632">IF(B3873="","",TEXT(B3873,"[$-409]mmm"))</f>
        <v>Oct</v>
      </c>
      <c r="G3873" s="481"/>
      <c r="H3873" s="185"/>
      <c r="I3873" s="185"/>
      <c r="J3873" s="187"/>
      <c r="K3873" s="188"/>
      <c r="L3873" s="188"/>
      <c r="M3873" s="187"/>
      <c r="N3873" s="185"/>
      <c r="O3873" s="185"/>
      <c r="P3873" s="189"/>
      <c r="Q3873" s="189"/>
      <c r="R3873" s="190"/>
      <c r="S3873" s="185"/>
      <c r="T3873" s="185"/>
      <c r="U3873" s="185"/>
      <c r="V3873" s="191"/>
      <c r="W3873" s="191"/>
      <c r="X3873" s="192"/>
      <c r="Y3873" s="193"/>
      <c r="Z3873" s="194"/>
      <c r="AA3873" s="194">
        <f>Q3873*Z3873</f>
        <v>0</v>
      </c>
      <c r="AB3873" s="805"/>
      <c r="AC3873" s="191"/>
      <c r="AD3873" s="187"/>
      <c r="AE3873" s="195"/>
      <c r="AF3873" s="195"/>
      <c r="AG3873" s="196"/>
      <c r="AH3873" s="197"/>
      <c r="AK3873" s="156" t="s">
        <v>691</v>
      </c>
      <c r="AM3873" s="198">
        <f>AG3873*Z3873</f>
        <v>0</v>
      </c>
      <c r="AN3873" s="199">
        <f>B3873</f>
        <v>46321</v>
      </c>
      <c r="AO3873" s="159" t="s">
        <v>692</v>
      </c>
      <c r="AP3873" s="781"/>
      <c r="AQ3873" s="782"/>
      <c r="AR3873" s="782"/>
      <c r="AS3873" s="782"/>
      <c r="AT3873" s="782"/>
      <c r="AU3873" s="781"/>
      <c r="AV3873" s="782"/>
      <c r="AW3873" s="782"/>
      <c r="AX3873" s="782"/>
      <c r="AY3873" s="782"/>
      <c r="AZ3873" s="782"/>
      <c r="BA3873" s="781"/>
      <c r="BB3873" s="209"/>
    </row>
    <row r="3874" spans="1:54" ht="25" customHeight="1">
      <c r="B3874" s="183">
        <v>46322</v>
      </c>
      <c r="C3874" s="184"/>
      <c r="D3874" s="185">
        <f t="shared" si="2522"/>
        <v>2026</v>
      </c>
      <c r="E3874" s="185" t="e">
        <f>VLOOKUP($B3874,Week!$A$1:$C$1462,2,0)</f>
        <v>#N/A</v>
      </c>
      <c r="F3874" s="186" t="str">
        <f t="shared" si="2523"/>
        <v>Oct</v>
      </c>
      <c r="G3874" s="481"/>
      <c r="H3874" s="185"/>
      <c r="I3874" s="185"/>
      <c r="J3874" s="187"/>
      <c r="K3874" s="188"/>
      <c r="L3874" s="188"/>
      <c r="M3874" s="187"/>
      <c r="N3874" s="185"/>
      <c r="O3874" s="185"/>
      <c r="P3874" s="189"/>
      <c r="Q3874" s="189"/>
      <c r="R3874" s="190"/>
      <c r="S3874" s="185"/>
      <c r="T3874" s="185"/>
      <c r="U3874" s="185"/>
      <c r="V3874" s="191"/>
      <c r="W3874" s="191"/>
      <c r="X3874" s="192"/>
      <c r="Y3874" s="193"/>
      <c r="Z3874" s="194"/>
      <c r="AA3874" s="194">
        <f t="shared" si="2524"/>
        <v>0</v>
      </c>
      <c r="AB3874" s="805"/>
      <c r="AC3874" s="191"/>
      <c r="AD3874" s="187"/>
      <c r="AE3874" s="195"/>
      <c r="AF3874" s="195"/>
      <c r="AG3874" s="196"/>
      <c r="AH3874" s="197"/>
      <c r="AK3874" s="156" t="s">
        <v>691</v>
      </c>
      <c r="AM3874" s="198">
        <f t="shared" si="2525"/>
        <v>0</v>
      </c>
      <c r="AN3874" s="199">
        <f t="shared" si="2526"/>
        <v>46322</v>
      </c>
      <c r="AO3874" s="159" t="s">
        <v>692</v>
      </c>
      <c r="AP3874" s="781"/>
      <c r="AQ3874" s="782"/>
      <c r="AR3874" s="782"/>
      <c r="AS3874" s="782"/>
      <c r="AT3874" s="782"/>
      <c r="AU3874" s="781"/>
      <c r="AV3874" s="782"/>
      <c r="AW3874" s="782"/>
      <c r="AX3874" s="782"/>
      <c r="AY3874" s="782"/>
      <c r="AZ3874" s="782"/>
      <c r="BA3874" s="781"/>
      <c r="BB3874" s="209"/>
    </row>
    <row r="3875" spans="1:54" ht="25" customHeight="1">
      <c r="B3875" s="183">
        <v>46323</v>
      </c>
      <c r="C3875" s="184"/>
      <c r="D3875" s="185">
        <f t="shared" ref="D3875" si="2633">IF(B3875="","",YEAR(B3875))</f>
        <v>2026</v>
      </c>
      <c r="E3875" s="185" t="e">
        <f>VLOOKUP($B3875,Week!$A$1:$C$1462,2,0)</f>
        <v>#N/A</v>
      </c>
      <c r="F3875" s="186" t="str">
        <f t="shared" ref="F3875" si="2634">IF(B3875="","",TEXT(B3875,"[$-409]mmm"))</f>
        <v>Oct</v>
      </c>
      <c r="G3875" s="481"/>
      <c r="H3875" s="185"/>
      <c r="I3875" s="185"/>
      <c r="J3875" s="187"/>
      <c r="K3875" s="188"/>
      <c r="L3875" s="188"/>
      <c r="M3875" s="187"/>
      <c r="N3875" s="185"/>
      <c r="O3875" s="185"/>
      <c r="P3875" s="189"/>
      <c r="Q3875" s="189"/>
      <c r="R3875" s="190"/>
      <c r="S3875" s="185"/>
      <c r="T3875" s="185"/>
      <c r="U3875" s="185"/>
      <c r="V3875" s="191"/>
      <c r="W3875" s="191"/>
      <c r="X3875" s="192"/>
      <c r="Y3875" s="193"/>
      <c r="Z3875" s="194"/>
      <c r="AA3875" s="194">
        <f t="shared" ref="AA3875" si="2635">Q3875*Z3875</f>
        <v>0</v>
      </c>
      <c r="AB3875" s="805"/>
      <c r="AC3875" s="191"/>
      <c r="AD3875" s="187"/>
      <c r="AE3875" s="195"/>
      <c r="AF3875" s="195"/>
      <c r="AG3875" s="196"/>
      <c r="AH3875" s="197"/>
      <c r="AK3875" s="156" t="s">
        <v>691</v>
      </c>
      <c r="AM3875" s="198">
        <f t="shared" ref="AM3875" si="2636">AG3875*Z3875</f>
        <v>0</v>
      </c>
      <c r="AN3875" s="199">
        <f t="shared" ref="AN3875" si="2637">B3875</f>
        <v>46323</v>
      </c>
      <c r="AO3875" s="159" t="s">
        <v>692</v>
      </c>
      <c r="AP3875" s="781"/>
      <c r="AQ3875" s="782"/>
      <c r="AR3875" s="782"/>
      <c r="AS3875" s="782"/>
      <c r="AT3875" s="782"/>
      <c r="AU3875" s="781"/>
      <c r="AV3875" s="782"/>
      <c r="AW3875" s="782"/>
      <c r="AX3875" s="782"/>
      <c r="AY3875" s="782"/>
      <c r="AZ3875" s="782"/>
      <c r="BA3875" s="781"/>
      <c r="BB3875" s="209"/>
    </row>
    <row r="3876" spans="1:54" ht="24.65" customHeight="1">
      <c r="A3876" s="142" t="s">
        <v>120</v>
      </c>
      <c r="B3876" s="383">
        <v>46324</v>
      </c>
      <c r="C3876" s="224">
        <v>46378</v>
      </c>
      <c r="D3876" s="185">
        <f t="shared" ref="D3876:D3887" si="2638">IF(B3876="","",YEAR(B3876))</f>
        <v>2026</v>
      </c>
      <c r="E3876" s="224" t="e">
        <f>VLOOKUP($B3876,Week!$A$1:$C$1462,2,0)</f>
        <v>#N/A</v>
      </c>
      <c r="F3876" s="226" t="str">
        <f t="shared" ref="F3876:F3887" si="2639">IF(B3876="","",TEXT(B3876,"[$-409]mmm"))</f>
        <v>Oct</v>
      </c>
      <c r="G3876" s="225" t="s">
        <v>3213</v>
      </c>
      <c r="H3876" s="225" t="s">
        <v>1259</v>
      </c>
      <c r="I3876" s="225" t="s">
        <v>2772</v>
      </c>
      <c r="J3876" s="227" t="s">
        <v>512</v>
      </c>
      <c r="K3876" s="228" t="s">
        <v>85</v>
      </c>
      <c r="L3876" s="390" t="s">
        <v>2166</v>
      </c>
      <c r="M3876" s="227" t="s">
        <v>165</v>
      </c>
      <c r="N3876" s="225" t="s">
        <v>700</v>
      </c>
      <c r="O3876" s="225" t="s">
        <v>287</v>
      </c>
      <c r="P3876" s="229">
        <v>40</v>
      </c>
      <c r="Q3876" s="229">
        <v>12</v>
      </c>
      <c r="R3876" s="230">
        <v>8.1300000000000001E-3</v>
      </c>
      <c r="S3876" s="225" t="s">
        <v>40</v>
      </c>
      <c r="T3876" s="225" t="s">
        <v>112</v>
      </c>
      <c r="U3876" s="225" t="s">
        <v>89</v>
      </c>
      <c r="V3876" s="231">
        <v>541</v>
      </c>
      <c r="W3876" s="231"/>
      <c r="X3876" s="232"/>
      <c r="Y3876" s="233">
        <f t="shared" ref="Y3876:Y3887" si="2640">(W3876+X3876)-V3876</f>
        <v>-541</v>
      </c>
      <c r="Z3876" s="234">
        <f t="shared" ref="Z3876:Z3887" si="2641">IF(Y3876&lt;0,((V3876*P3876)-((W3876+X3876)*P3876)),0)</f>
        <v>21640</v>
      </c>
      <c r="AA3876" s="234">
        <f t="shared" ref="AA3876:AA3887" si="2642">Q3876*Z3876</f>
        <v>259680</v>
      </c>
      <c r="AB3876" s="822">
        <v>2</v>
      </c>
      <c r="AC3876" s="231">
        <f t="shared" ref="AC3876:AC3887" si="2643">Z3876*AB3876</f>
        <v>43280</v>
      </c>
      <c r="AD3876" s="209"/>
      <c r="AE3876" s="210">
        <f t="shared" ref="AE3876:AE3881" si="2644">SUM(Q3876*R3876*Z3876)/1000</f>
        <v>2.1111984000000001</v>
      </c>
      <c r="AF3876" s="210">
        <f t="shared" ref="AF3876:AF3887" si="2645">AE3876/0.54</f>
        <v>3.9096266666666666</v>
      </c>
      <c r="AG3876" s="211">
        <f t="shared" ref="AG3876:AG3881" si="2646">MID(O3876,1,3)/1000</f>
        <v>0.154</v>
      </c>
      <c r="AH3876" s="157">
        <f t="shared" ref="AH3876:AH3881" si="2647">(Z3876*AG3876)/1000</f>
        <v>3.33256</v>
      </c>
      <c r="AI3876" s="152">
        <f t="shared" ref="AI3876:AI3887" si="2648">V3876*P3876</f>
        <v>21640</v>
      </c>
      <c r="AK3876" s="156" t="s">
        <v>691</v>
      </c>
      <c r="AL3876" s="156" t="s">
        <v>689</v>
      </c>
      <c r="AM3876" s="198">
        <f t="shared" ref="AM3876:AM3887" si="2649">AG3876*Z3876</f>
        <v>3332.56</v>
      </c>
      <c r="AN3876" s="199">
        <f t="shared" ref="AN3876:AN3887" si="2650">B3876</f>
        <v>46324</v>
      </c>
      <c r="AO3876" s="159" t="s">
        <v>692</v>
      </c>
      <c r="AP3876" s="781"/>
      <c r="AQ3876" s="782">
        <v>12071839</v>
      </c>
      <c r="AR3876" s="782">
        <v>12019692</v>
      </c>
      <c r="AS3876" s="782"/>
      <c r="AT3876" s="782">
        <v>12056457</v>
      </c>
      <c r="AU3876" s="782"/>
      <c r="AV3876" s="782">
        <v>12056565</v>
      </c>
      <c r="AW3876" s="782">
        <v>12034747</v>
      </c>
      <c r="AX3876" s="782" t="s">
        <v>398</v>
      </c>
      <c r="AY3876" s="782" t="s">
        <v>513</v>
      </c>
      <c r="AZ3876" s="782"/>
      <c r="BA3876" s="781"/>
      <c r="BB3876" s="209">
        <v>23053184</v>
      </c>
    </row>
    <row r="3877" spans="1:54" ht="25.15" customHeight="1">
      <c r="B3877" s="345">
        <v>46324</v>
      </c>
      <c r="C3877" s="346">
        <v>46364</v>
      </c>
      <c r="D3877" s="185">
        <f>IF(B3877="","",YEAR(B3877))</f>
        <v>2026</v>
      </c>
      <c r="E3877" s="347" t="e">
        <f>VLOOKUP($B3877,Week!$A$1:$C$1462,2,0)</f>
        <v>#N/A</v>
      </c>
      <c r="F3877" s="348" t="str">
        <f>IF(B3877="","",TEXT(B3877,"[$-409]mmm"))</f>
        <v>Oct</v>
      </c>
      <c r="G3877" s="347" t="s">
        <v>3049</v>
      </c>
      <c r="H3877" s="347" t="s">
        <v>424</v>
      </c>
      <c r="I3877" s="347" t="s">
        <v>2772</v>
      </c>
      <c r="J3877" s="438" t="s">
        <v>425</v>
      </c>
      <c r="K3877" s="350" t="s">
        <v>176</v>
      </c>
      <c r="L3877" s="350" t="s">
        <v>2167</v>
      </c>
      <c r="M3877" s="349" t="s">
        <v>426</v>
      </c>
      <c r="N3877" s="347" t="s">
        <v>427</v>
      </c>
      <c r="O3877" s="347" t="s">
        <v>599</v>
      </c>
      <c r="P3877" s="351">
        <v>36</v>
      </c>
      <c r="Q3877" s="351">
        <v>5</v>
      </c>
      <c r="R3877" s="352">
        <v>7.4999999999999997E-3</v>
      </c>
      <c r="S3877" s="347" t="s">
        <v>111</v>
      </c>
      <c r="T3877" s="347" t="s">
        <v>112</v>
      </c>
      <c r="U3877" s="347" t="s">
        <v>57</v>
      </c>
      <c r="V3877" s="353">
        <v>1288</v>
      </c>
      <c r="W3877" s="353"/>
      <c r="X3877" s="354"/>
      <c r="Y3877" s="355">
        <f>(W3877+X3877)-V3877</f>
        <v>-1288</v>
      </c>
      <c r="Z3877" s="356">
        <f>IF(Y3877&lt;0,((V3877*P3877)-((W3877+X3877)*P3877)),0)</f>
        <v>46368</v>
      </c>
      <c r="AA3877" s="353">
        <f>Q3877*Z3877</f>
        <v>231840</v>
      </c>
      <c r="AB3877" s="818">
        <v>7.4999999999999997E-3</v>
      </c>
      <c r="AC3877" s="353">
        <f>Z3877*AB3877</f>
        <v>347.76</v>
      </c>
      <c r="AD3877" s="307" t="s">
        <v>3159</v>
      </c>
      <c r="AE3877" s="210">
        <f>SUM(Q3877*R3877*Z3877)/1000</f>
        <v>1.7387999999999999</v>
      </c>
      <c r="AF3877" s="210">
        <f>AE3877/0.54</f>
        <v>3.2199999999999998</v>
      </c>
      <c r="AG3877" s="211">
        <f>MID(O3877,1,3)/1000</f>
        <v>0.14799999999999999</v>
      </c>
      <c r="AH3877" s="157">
        <f>(Z3877*AG3877)/1000</f>
        <v>6.8624640000000001</v>
      </c>
      <c r="AI3877" s="152">
        <f>V3877*P3877</f>
        <v>46368</v>
      </c>
      <c r="AK3877" s="156" t="s">
        <v>691</v>
      </c>
      <c r="AL3877" s="574" t="s">
        <v>690</v>
      </c>
      <c r="AM3877" s="198">
        <f>AG3877*Z3877</f>
        <v>6862.4639999999999</v>
      </c>
      <c r="AN3877" s="199">
        <f>B3877</f>
        <v>46324</v>
      </c>
      <c r="AO3877" s="159" t="s">
        <v>692</v>
      </c>
      <c r="AP3877" s="783" t="s">
        <v>609</v>
      </c>
      <c r="AQ3877" s="782">
        <v>12071839</v>
      </c>
      <c r="AR3877" s="782">
        <v>12080260</v>
      </c>
      <c r="AS3877" s="782">
        <v>12080259</v>
      </c>
      <c r="AT3877" s="782">
        <v>12096006</v>
      </c>
      <c r="AU3877" s="782"/>
      <c r="AV3877" s="782">
        <v>12096007</v>
      </c>
      <c r="AW3877" s="782">
        <v>12024404</v>
      </c>
      <c r="AX3877" s="781"/>
      <c r="AY3877" s="782">
        <v>12096022</v>
      </c>
      <c r="AZ3877" s="782"/>
      <c r="BA3877" s="781"/>
      <c r="BB3877" s="209">
        <v>23053185</v>
      </c>
    </row>
    <row r="3878" spans="1:54" ht="25" customHeight="1">
      <c r="B3878" s="213">
        <v>46324</v>
      </c>
      <c r="C3878" s="214">
        <v>46353</v>
      </c>
      <c r="D3878" s="185">
        <f>IF(B3878="","",YEAR(B3878))</f>
        <v>2026</v>
      </c>
      <c r="E3878" s="215" t="e">
        <f>VLOOKUP($B3878,Week!$A$1:$C$1462,2,0)</f>
        <v>#N/A</v>
      </c>
      <c r="F3878" s="216" t="str">
        <f>IF(B3878="","",TEXT(B3878,"[$-409]mmm"))</f>
        <v>Oct</v>
      </c>
      <c r="G3878" s="215" t="s">
        <v>3205</v>
      </c>
      <c r="H3878" s="215" t="s">
        <v>134</v>
      </c>
      <c r="I3878" s="215" t="s">
        <v>2772</v>
      </c>
      <c r="J3878" s="209" t="s">
        <v>2932</v>
      </c>
      <c r="K3878" s="217" t="s">
        <v>176</v>
      </c>
      <c r="L3878" s="300" t="s">
        <v>2167</v>
      </c>
      <c r="M3878" s="209" t="s">
        <v>193</v>
      </c>
      <c r="N3878" s="215" t="s">
        <v>194</v>
      </c>
      <c r="O3878" s="215" t="s">
        <v>195</v>
      </c>
      <c r="P3878" s="218">
        <v>24</v>
      </c>
      <c r="Q3878" s="218">
        <v>5</v>
      </c>
      <c r="R3878" s="219">
        <v>8.0000000000000002E-3</v>
      </c>
      <c r="S3878" s="215" t="s">
        <v>40</v>
      </c>
      <c r="T3878" s="215" t="s">
        <v>56</v>
      </c>
      <c r="U3878" s="215" t="s">
        <v>57</v>
      </c>
      <c r="V3878" s="220">
        <f>250</f>
        <v>250</v>
      </c>
      <c r="W3878" s="220"/>
      <c r="X3878" s="221"/>
      <c r="Y3878" s="222">
        <f t="shared" ref="Y3878:Y3879" si="2651">(W3878+X3878)-V3878</f>
        <v>-250</v>
      </c>
      <c r="Z3878" s="223">
        <f t="shared" ref="Z3878:Z3879" si="2652">IF(Y3878&lt;0,((V3878*P3878)-((W3878+X3878)*P3878)),0)</f>
        <v>6000</v>
      </c>
      <c r="AA3878" s="220">
        <f>Q3878*Z3878</f>
        <v>30000</v>
      </c>
      <c r="AB3878" s="807">
        <v>1</v>
      </c>
      <c r="AC3878" s="220">
        <f t="shared" ref="AC3878:AC3879" si="2653">Z3878*AB3878</f>
        <v>6000</v>
      </c>
      <c r="AD3878" s="381"/>
      <c r="AE3878" s="210">
        <f>SUM(Q3878*R3878*Z3878)/1000</f>
        <v>0.24</v>
      </c>
      <c r="AF3878" s="210">
        <f t="shared" ref="AF3878:AF3879" si="2654">AE3878/0.54</f>
        <v>0.44444444444444442</v>
      </c>
      <c r="AG3878" s="211">
        <f t="shared" ref="AG3878:AG3879" si="2655">MID(O3878,1,3)/1000</f>
        <v>0.14499999999999999</v>
      </c>
      <c r="AH3878" s="157">
        <f>(Z3878*AG3878)/1000</f>
        <v>0.86999999999999988</v>
      </c>
      <c r="AI3878" s="152">
        <f t="shared" ref="AI3878:AI3879" si="2656">V3878*P3878</f>
        <v>6000</v>
      </c>
      <c r="AK3878" s="156" t="s">
        <v>691</v>
      </c>
      <c r="AL3878" s="212" t="s">
        <v>690</v>
      </c>
      <c r="AM3878" s="198">
        <f>AG3878*Z3878</f>
        <v>869.99999999999989</v>
      </c>
      <c r="AN3878" s="199">
        <f>B3878</f>
        <v>46324</v>
      </c>
      <c r="AO3878" s="159" t="s">
        <v>692</v>
      </c>
      <c r="AP3878" s="783" t="s">
        <v>610</v>
      </c>
      <c r="AQ3878" s="782">
        <v>12071839</v>
      </c>
      <c r="AR3878" s="782">
        <v>12047514</v>
      </c>
      <c r="AS3878" s="782">
        <v>12047515</v>
      </c>
      <c r="AT3878" s="782"/>
      <c r="AU3878" s="782">
        <v>12026902</v>
      </c>
      <c r="AV3878" s="796" t="s">
        <v>2980</v>
      </c>
      <c r="AW3878" s="782">
        <v>12026904</v>
      </c>
      <c r="AX3878" s="782"/>
      <c r="AY3878" s="782">
        <v>12094406</v>
      </c>
      <c r="AZ3878" s="782">
        <v>12094407</v>
      </c>
      <c r="BA3878" s="782">
        <v>12094408</v>
      </c>
    </row>
    <row r="3879" spans="1:54" ht="25" customHeight="1">
      <c r="B3879" s="213">
        <v>46324</v>
      </c>
      <c r="C3879" s="214">
        <v>46353</v>
      </c>
      <c r="D3879" s="185">
        <f t="shared" ref="D3879" si="2657">IF(B3879="","",YEAR(B3879))</f>
        <v>2026</v>
      </c>
      <c r="E3879" s="215" t="e">
        <f>VLOOKUP($B3879,Week!$A$1:$C$1462,2,0)</f>
        <v>#N/A</v>
      </c>
      <c r="F3879" s="216" t="str">
        <f t="shared" ref="F3879" si="2658">IF(B3879="","",TEXT(B3879,"[$-409]mmm"))</f>
        <v>Oct</v>
      </c>
      <c r="G3879" s="215" t="s">
        <v>3205</v>
      </c>
      <c r="H3879" s="215" t="s">
        <v>134</v>
      </c>
      <c r="I3879" s="215" t="s">
        <v>2772</v>
      </c>
      <c r="J3879" s="209" t="s">
        <v>2932</v>
      </c>
      <c r="K3879" s="217" t="s">
        <v>1648</v>
      </c>
      <c r="L3879" s="300" t="s">
        <v>2167</v>
      </c>
      <c r="M3879" s="209" t="s">
        <v>193</v>
      </c>
      <c r="N3879" s="215" t="s">
        <v>205</v>
      </c>
      <c r="O3879" s="215" t="s">
        <v>206</v>
      </c>
      <c r="P3879" s="218">
        <v>24</v>
      </c>
      <c r="Q3879" s="218">
        <v>5</v>
      </c>
      <c r="R3879" s="219">
        <v>8.0000000000000002E-3</v>
      </c>
      <c r="S3879" s="215" t="s">
        <v>40</v>
      </c>
      <c r="T3879" s="215" t="s">
        <v>56</v>
      </c>
      <c r="U3879" s="480" t="s">
        <v>499</v>
      </c>
      <c r="V3879" s="220">
        <f>120</f>
        <v>120</v>
      </c>
      <c r="W3879" s="220"/>
      <c r="X3879" s="221"/>
      <c r="Y3879" s="222">
        <f t="shared" si="2651"/>
        <v>-120</v>
      </c>
      <c r="Z3879" s="223">
        <f t="shared" si="2652"/>
        <v>2880</v>
      </c>
      <c r="AA3879" s="220">
        <f>Q3879*Z3879</f>
        <v>14400</v>
      </c>
      <c r="AB3879" s="807">
        <v>1</v>
      </c>
      <c r="AC3879" s="220">
        <f t="shared" si="2653"/>
        <v>2880</v>
      </c>
      <c r="AD3879" s="381"/>
      <c r="AE3879" s="210">
        <f>SUM(Q3879*R3879*Z3879)/1000</f>
        <v>0.1152</v>
      </c>
      <c r="AF3879" s="210">
        <f t="shared" si="2654"/>
        <v>0.21333333333333332</v>
      </c>
      <c r="AG3879" s="211">
        <f t="shared" si="2655"/>
        <v>0.115</v>
      </c>
      <c r="AH3879" s="157">
        <f>(Z3879*AG3879)/1000</f>
        <v>0.33119999999999999</v>
      </c>
      <c r="AI3879" s="152">
        <f t="shared" si="2656"/>
        <v>2880</v>
      </c>
      <c r="AK3879" s="156" t="s">
        <v>691</v>
      </c>
      <c r="AL3879" s="212" t="s">
        <v>690</v>
      </c>
      <c r="AM3879" s="198">
        <f>AG3879*Z3879</f>
        <v>331.2</v>
      </c>
      <c r="AN3879" s="199">
        <f>B3879</f>
        <v>46324</v>
      </c>
      <c r="AO3879" s="159" t="s">
        <v>692</v>
      </c>
      <c r="AP3879" s="783" t="s">
        <v>610</v>
      </c>
      <c r="AQ3879" s="782">
        <v>12071839</v>
      </c>
      <c r="AR3879" s="782">
        <v>12047514</v>
      </c>
      <c r="AS3879" s="782">
        <v>12047515</v>
      </c>
      <c r="AT3879" s="782"/>
      <c r="AU3879" s="782">
        <v>12026902</v>
      </c>
      <c r="AV3879" s="782">
        <v>12098136</v>
      </c>
      <c r="AW3879" s="782">
        <v>12026904</v>
      </c>
      <c r="AX3879" s="782"/>
      <c r="AY3879" s="782">
        <v>12094111</v>
      </c>
      <c r="AZ3879" s="782">
        <v>12094113</v>
      </c>
      <c r="BA3879" s="782">
        <v>12094114</v>
      </c>
    </row>
    <row r="3880" spans="1:54" ht="25" customHeight="1">
      <c r="B3880" s="213">
        <v>46324</v>
      </c>
      <c r="C3880" s="214">
        <v>46353</v>
      </c>
      <c r="D3880" s="215">
        <f>IF(B3880="","",YEAR(B3880))</f>
        <v>2026</v>
      </c>
      <c r="E3880" s="214" t="e">
        <f>VLOOKUP($B3880,Week!$A$1:$C$1462,2,0)</f>
        <v>#N/A</v>
      </c>
      <c r="F3880" s="216" t="str">
        <f>IF(B3880="","",TEXT(B3880,"[$-409]mmm"))</f>
        <v>Oct</v>
      </c>
      <c r="G3880" s="215" t="s">
        <v>3205</v>
      </c>
      <c r="H3880" s="215" t="s">
        <v>134</v>
      </c>
      <c r="I3880" s="215" t="s">
        <v>2772</v>
      </c>
      <c r="J3880" s="209" t="s">
        <v>2932</v>
      </c>
      <c r="K3880" s="217" t="s">
        <v>2534</v>
      </c>
      <c r="L3880" s="217" t="s">
        <v>2167</v>
      </c>
      <c r="M3880" s="209" t="s">
        <v>2235</v>
      </c>
      <c r="N3880" s="480" t="s">
        <v>2236</v>
      </c>
      <c r="O3880" s="215" t="s">
        <v>2233</v>
      </c>
      <c r="P3880" s="218">
        <v>24</v>
      </c>
      <c r="Q3880" s="218">
        <v>3</v>
      </c>
      <c r="R3880" s="219">
        <v>6.0000000000000001E-3</v>
      </c>
      <c r="S3880" s="215" t="s">
        <v>55</v>
      </c>
      <c r="T3880" s="215" t="s">
        <v>112</v>
      </c>
      <c r="U3880" s="852" t="s">
        <v>739</v>
      </c>
      <c r="V3880" s="220">
        <v>210</v>
      </c>
      <c r="W3880" s="220"/>
      <c r="X3880" s="221"/>
      <c r="Y3880" s="222">
        <f t="shared" ref="Y3880" si="2659">(W3880+X3880)-V3880</f>
        <v>-210</v>
      </c>
      <c r="Z3880" s="223">
        <f t="shared" ref="Z3880" si="2660">IF(Y3880&lt;0,((V3880*P3880)-((W3880+X3880)*P3880)),0)</f>
        <v>5040</v>
      </c>
      <c r="AA3880" s="223">
        <f t="shared" ref="AA3880" si="2661">Q3880*Z3880</f>
        <v>15120</v>
      </c>
      <c r="AB3880" s="807">
        <v>2.4E-2</v>
      </c>
      <c r="AC3880" s="220">
        <f t="shared" ref="AC3880" si="2662">Z3880*AB3880</f>
        <v>120.96000000000001</v>
      </c>
      <c r="AD3880" s="443"/>
      <c r="AE3880" s="210">
        <f>SUM(Q3880*R3880*Z3880)/1000</f>
        <v>9.0720000000000009E-2</v>
      </c>
      <c r="AF3880" s="210">
        <f t="shared" ref="AF3880" si="2663">AE3880/0.54</f>
        <v>0.16800000000000001</v>
      </c>
      <c r="AG3880" s="211">
        <f t="shared" ref="AG3880" si="2664">MID(O3880,1,3)/1000</f>
        <v>0.3</v>
      </c>
      <c r="AH3880" s="157">
        <v>0.26621999999999996</v>
      </c>
      <c r="AI3880" s="152">
        <f t="shared" ref="AI3880" si="2665">V3880*P3880</f>
        <v>5040</v>
      </c>
      <c r="AK3880" s="156" t="s">
        <v>691</v>
      </c>
      <c r="AL3880" s="574" t="s">
        <v>690</v>
      </c>
      <c r="AM3880" s="198">
        <f t="shared" ref="AM3880" si="2666">AG3880*Z3880</f>
        <v>1512</v>
      </c>
      <c r="AN3880" s="199">
        <f t="shared" ref="AN3880" si="2667">B3880</f>
        <v>46324</v>
      </c>
      <c r="AO3880" s="159" t="s">
        <v>692</v>
      </c>
      <c r="AP3880" s="781" t="s">
        <v>642</v>
      </c>
      <c r="AQ3880" s="782">
        <v>12063755</v>
      </c>
      <c r="AR3880" s="782">
        <v>12061353</v>
      </c>
      <c r="AS3880" s="782">
        <v>12061354</v>
      </c>
      <c r="AT3880" s="782"/>
      <c r="AU3880" s="783" t="s">
        <v>568</v>
      </c>
      <c r="AV3880" s="782">
        <v>12095301</v>
      </c>
      <c r="AW3880" s="783" t="s">
        <v>568</v>
      </c>
      <c r="AX3880" s="781"/>
      <c r="AY3880" s="796" t="s">
        <v>2460</v>
      </c>
      <c r="AZ3880" s="796" t="s">
        <v>2461</v>
      </c>
      <c r="BA3880" s="796" t="s">
        <v>2462</v>
      </c>
      <c r="BB3880" s="209">
        <v>23099860</v>
      </c>
    </row>
    <row r="3881" spans="1:54" ht="24.65" customHeight="1">
      <c r="A3881" s="142" t="s">
        <v>120</v>
      </c>
      <c r="B3881" s="383">
        <v>46325</v>
      </c>
      <c r="C3881" s="224">
        <v>46378</v>
      </c>
      <c r="D3881" s="185">
        <f t="shared" si="2638"/>
        <v>2026</v>
      </c>
      <c r="E3881" s="224" t="e">
        <f>VLOOKUP($B3881,Week!$A$1:$C$1462,2,0)</f>
        <v>#N/A</v>
      </c>
      <c r="F3881" s="226" t="str">
        <f t="shared" si="2639"/>
        <v>Oct</v>
      </c>
      <c r="G3881" s="225" t="s">
        <v>3213</v>
      </c>
      <c r="H3881" s="225" t="s">
        <v>1259</v>
      </c>
      <c r="I3881" s="225" t="s">
        <v>2772</v>
      </c>
      <c r="J3881" s="227" t="s">
        <v>512</v>
      </c>
      <c r="K3881" s="228" t="s">
        <v>85</v>
      </c>
      <c r="L3881" s="390" t="s">
        <v>2166</v>
      </c>
      <c r="M3881" s="227" t="s">
        <v>165</v>
      </c>
      <c r="N3881" s="225" t="s">
        <v>700</v>
      </c>
      <c r="O3881" s="225" t="s">
        <v>287</v>
      </c>
      <c r="P3881" s="229">
        <v>40</v>
      </c>
      <c r="Q3881" s="229">
        <v>12</v>
      </c>
      <c r="R3881" s="230">
        <v>8.1300000000000001E-3</v>
      </c>
      <c r="S3881" s="225" t="s">
        <v>40</v>
      </c>
      <c r="T3881" s="225" t="s">
        <v>112</v>
      </c>
      <c r="U3881" s="225" t="s">
        <v>89</v>
      </c>
      <c r="V3881" s="231">
        <f>1624-541-541</f>
        <v>542</v>
      </c>
      <c r="W3881" s="231"/>
      <c r="X3881" s="232"/>
      <c r="Y3881" s="233">
        <f t="shared" si="2640"/>
        <v>-542</v>
      </c>
      <c r="Z3881" s="234">
        <f t="shared" si="2641"/>
        <v>21680</v>
      </c>
      <c r="AA3881" s="234">
        <f t="shared" si="2642"/>
        <v>260160</v>
      </c>
      <c r="AB3881" s="822">
        <v>2</v>
      </c>
      <c r="AC3881" s="231">
        <f t="shared" si="2643"/>
        <v>43360</v>
      </c>
      <c r="AD3881" s="209"/>
      <c r="AE3881" s="210">
        <f t="shared" si="2644"/>
        <v>2.1151008</v>
      </c>
      <c r="AF3881" s="210">
        <f t="shared" si="2645"/>
        <v>3.9168533333333331</v>
      </c>
      <c r="AG3881" s="211">
        <f t="shared" si="2646"/>
        <v>0.154</v>
      </c>
      <c r="AH3881" s="157">
        <f t="shared" si="2647"/>
        <v>3.3387199999999999</v>
      </c>
      <c r="AI3881" s="152">
        <f t="shared" si="2648"/>
        <v>21680</v>
      </c>
      <c r="AK3881" s="156" t="s">
        <v>691</v>
      </c>
      <c r="AL3881" s="156" t="s">
        <v>689</v>
      </c>
      <c r="AM3881" s="198">
        <f t="shared" si="2649"/>
        <v>3338.72</v>
      </c>
      <c r="AN3881" s="199">
        <f t="shared" si="2650"/>
        <v>46325</v>
      </c>
      <c r="AO3881" s="159" t="s">
        <v>692</v>
      </c>
      <c r="AP3881" s="781"/>
      <c r="AQ3881" s="782">
        <v>12071839</v>
      </c>
      <c r="AR3881" s="782">
        <v>12019692</v>
      </c>
      <c r="AS3881" s="782"/>
      <c r="AT3881" s="782">
        <v>12056457</v>
      </c>
      <c r="AU3881" s="782"/>
      <c r="AV3881" s="782">
        <v>12056565</v>
      </c>
      <c r="AW3881" s="782">
        <v>12034747</v>
      </c>
      <c r="AX3881" s="782" t="s">
        <v>398</v>
      </c>
      <c r="AY3881" s="782" t="s">
        <v>513</v>
      </c>
      <c r="AZ3881" s="782"/>
      <c r="BA3881" s="781"/>
      <c r="BB3881" s="209">
        <v>23053184</v>
      </c>
    </row>
    <row r="3882" spans="1:54" ht="25" customHeight="1">
      <c r="B3882" s="271">
        <v>46325</v>
      </c>
      <c r="C3882" s="870" t="s">
        <v>3218</v>
      </c>
      <c r="D3882" s="185">
        <f>IF(B3882="","",YEAR(B3882))</f>
        <v>2026</v>
      </c>
      <c r="E3882" s="272" t="e">
        <f>VLOOKUP($B3882,Week!$A$1:$C$1462,2,0)</f>
        <v>#N/A</v>
      </c>
      <c r="F3882" s="273" t="str">
        <f>IF(B3882="","",TEXT(B3882,"[$-409]mmm"))</f>
        <v>Oct</v>
      </c>
      <c r="G3882" s="274" t="s">
        <v>47</v>
      </c>
      <c r="H3882" s="274" t="s">
        <v>518</v>
      </c>
      <c r="I3882" s="274" t="s">
        <v>2702</v>
      </c>
      <c r="J3882" s="275" t="s">
        <v>70</v>
      </c>
      <c r="K3882" s="276" t="s">
        <v>556</v>
      </c>
      <c r="L3882" s="300" t="s">
        <v>2167</v>
      </c>
      <c r="M3882" s="275" t="s">
        <v>520</v>
      </c>
      <c r="N3882" s="423" t="s">
        <v>586</v>
      </c>
      <c r="O3882" s="274" t="s">
        <v>585</v>
      </c>
      <c r="P3882" s="277">
        <v>12</v>
      </c>
      <c r="Q3882" s="277">
        <v>5</v>
      </c>
      <c r="R3882" s="278">
        <v>6.0000000000000001E-3</v>
      </c>
      <c r="S3882" s="274" t="s">
        <v>55</v>
      </c>
      <c r="T3882" s="274" t="s">
        <v>56</v>
      </c>
      <c r="U3882" s="274" t="s">
        <v>57</v>
      </c>
      <c r="V3882" s="279">
        <v>300</v>
      </c>
      <c r="W3882" s="279"/>
      <c r="X3882" s="280"/>
      <c r="Y3882" s="281">
        <f>(W3882+X3882)-V3882</f>
        <v>-300</v>
      </c>
      <c r="Z3882" s="282">
        <f>IF(Y3882&lt;0,((V3882*P3882)-((W3882+X3882)*P3882)),0)</f>
        <v>3600</v>
      </c>
      <c r="AA3882" s="282">
        <f>Q3882*Z3882</f>
        <v>18000</v>
      </c>
      <c r="AB3882" s="812">
        <v>7.4999999999999997E-3</v>
      </c>
      <c r="AC3882" s="279">
        <f>Z3882*AB3882</f>
        <v>27</v>
      </c>
      <c r="AD3882" s="908" t="s">
        <v>3109</v>
      </c>
      <c r="AE3882" s="210">
        <f>SUM(Q3882*R3882*Z3882)/1000</f>
        <v>0.108</v>
      </c>
      <c r="AF3882" s="210">
        <f>AE3882/0.54</f>
        <v>0.19999999999999998</v>
      </c>
      <c r="AG3882" s="211">
        <f>MID(O3882,1,3)/1000</f>
        <v>0.13500000000000001</v>
      </c>
      <c r="AH3882" s="157">
        <f>(Z3882*AG3882)/1000</f>
        <v>0.48600000000000004</v>
      </c>
      <c r="AI3882" s="152">
        <f>V3882*P3882</f>
        <v>3600</v>
      </c>
      <c r="AK3882" s="156" t="s">
        <v>691</v>
      </c>
      <c r="AL3882" s="212" t="s">
        <v>690</v>
      </c>
      <c r="AM3882" s="198">
        <f>AG3882*Z3882</f>
        <v>486.00000000000006</v>
      </c>
      <c r="AN3882" s="199">
        <f>B3882</f>
        <v>46325</v>
      </c>
      <c r="AO3882" s="159" t="s">
        <v>692</v>
      </c>
      <c r="AP3882" s="781"/>
      <c r="AQ3882" s="782">
        <v>12071839</v>
      </c>
      <c r="AR3882" s="782">
        <v>12047514</v>
      </c>
      <c r="AS3882" s="782">
        <v>12047515</v>
      </c>
      <c r="AT3882" s="782"/>
      <c r="AU3882" s="781"/>
      <c r="AV3882" s="782">
        <v>12083307</v>
      </c>
      <c r="AW3882" s="782"/>
      <c r="AX3882" s="782"/>
      <c r="AY3882" s="782">
        <v>12094380</v>
      </c>
      <c r="AZ3882" s="782">
        <v>12094381</v>
      </c>
      <c r="BA3882" s="781"/>
      <c r="BB3882" s="209">
        <v>23053185</v>
      </c>
    </row>
    <row r="3883" spans="1:54" ht="25" customHeight="1">
      <c r="B3883" s="424">
        <v>46325</v>
      </c>
      <c r="C3883" s="647" t="s">
        <v>3218</v>
      </c>
      <c r="D3883" s="185">
        <f t="shared" ref="D3883" si="2668">IF(B3883="","",YEAR(B3883))</f>
        <v>2026</v>
      </c>
      <c r="E3883" s="425" t="e">
        <f>VLOOKUP($B3883,Week!$A$1:$C$1462,2,0)</f>
        <v>#N/A</v>
      </c>
      <c r="F3883" s="426" t="str">
        <f t="shared" ref="F3883" si="2669">IF(B3883="","",TEXT(B3883,"[$-409]mmm"))</f>
        <v>Oct</v>
      </c>
      <c r="G3883" s="427" t="s">
        <v>47</v>
      </c>
      <c r="H3883" s="427" t="s">
        <v>518</v>
      </c>
      <c r="I3883" s="427" t="s">
        <v>2702</v>
      </c>
      <c r="J3883" s="428" t="s">
        <v>70</v>
      </c>
      <c r="K3883" s="429" t="s">
        <v>94</v>
      </c>
      <c r="L3883" s="300" t="s">
        <v>2167</v>
      </c>
      <c r="M3883" s="428" t="s">
        <v>2342</v>
      </c>
      <c r="N3883" s="427" t="s">
        <v>587</v>
      </c>
      <c r="O3883" s="427" t="s">
        <v>3198</v>
      </c>
      <c r="P3883" s="430">
        <v>18</v>
      </c>
      <c r="Q3883" s="430">
        <v>5</v>
      </c>
      <c r="R3883" s="431">
        <v>8.0000000000000002E-3</v>
      </c>
      <c r="S3883" s="427" t="s">
        <v>40</v>
      </c>
      <c r="T3883" s="427" t="s">
        <v>56</v>
      </c>
      <c r="U3883" s="427" t="s">
        <v>89</v>
      </c>
      <c r="V3883" s="432">
        <f>1500</f>
        <v>1500</v>
      </c>
      <c r="W3883" s="432"/>
      <c r="X3883" s="433"/>
      <c r="Y3883" s="434">
        <f t="shared" ref="Y3883:Y3886" si="2670">(W3883+X3883)-V3883</f>
        <v>-1500</v>
      </c>
      <c r="Z3883" s="435">
        <f t="shared" ref="Z3883:Z3886" si="2671">IF(Y3883&lt;0,((V3883*P3883)-((W3883+X3883)*P3883)),0)</f>
        <v>27000</v>
      </c>
      <c r="AA3883" s="435">
        <f>Q3883*Z3883</f>
        <v>135000</v>
      </c>
      <c r="AB3883" s="826">
        <v>1</v>
      </c>
      <c r="AC3883" s="432">
        <f t="shared" ref="AC3883:AC3886" si="2672">Z3883*AB3883</f>
        <v>27000</v>
      </c>
      <c r="AD3883" s="908" t="s">
        <v>3109</v>
      </c>
      <c r="AE3883" s="210">
        <f t="shared" ref="AE3883:AE3886" si="2673">SUM(Q3883*R3883*Z3883)/1000</f>
        <v>1.08</v>
      </c>
      <c r="AF3883" s="210">
        <f t="shared" ref="AF3883:AF3886" si="2674">AE3883/0.54</f>
        <v>2</v>
      </c>
      <c r="AG3883" s="211">
        <f>(MID(O3883,1,2)/1000)/3</f>
        <v>0.03</v>
      </c>
      <c r="AH3883" s="157">
        <f t="shared" ref="AH3883" si="2675">(Z3883*AG3883)/1000</f>
        <v>0.81</v>
      </c>
      <c r="AI3883" s="152">
        <f t="shared" ref="AI3883:AI3886" si="2676">V3883*P3883</f>
        <v>27000</v>
      </c>
      <c r="AK3883" s="156" t="s">
        <v>691</v>
      </c>
      <c r="AL3883" s="212" t="s">
        <v>690</v>
      </c>
      <c r="AM3883" s="198">
        <f>AG3883*Z3883</f>
        <v>810</v>
      </c>
      <c r="AN3883" s="199">
        <f>B3883</f>
        <v>46325</v>
      </c>
      <c r="AO3883" s="159" t="s">
        <v>692</v>
      </c>
      <c r="AP3883" s="783" t="s">
        <v>628</v>
      </c>
      <c r="AQ3883" s="782"/>
      <c r="AR3883" s="782"/>
      <c r="AS3883" s="782"/>
      <c r="AT3883" s="782"/>
      <c r="AU3883" s="781"/>
      <c r="AV3883" s="782">
        <v>12080791</v>
      </c>
      <c r="AW3883" s="782" t="s">
        <v>641</v>
      </c>
      <c r="AX3883" s="782" t="s">
        <v>533</v>
      </c>
      <c r="AY3883" s="782"/>
      <c r="AZ3883" s="782"/>
      <c r="BA3883" s="781"/>
      <c r="BB3883" s="209">
        <v>23053184</v>
      </c>
    </row>
    <row r="3884" spans="1:54" ht="25" customHeight="1">
      <c r="B3884" s="320">
        <v>46325</v>
      </c>
      <c r="C3884" s="844" t="s">
        <v>3218</v>
      </c>
      <c r="D3884" s="185">
        <f>IF(B3884="","",YEAR(B3884))</f>
        <v>2026</v>
      </c>
      <c r="E3884" s="321" t="e">
        <f>VLOOKUP($B3884,Week!$A$1:$C$1462,2,0)</f>
        <v>#N/A</v>
      </c>
      <c r="F3884" s="322" t="str">
        <f>IF(B3884="","",TEXT(B3884,"[$-409]mmm"))</f>
        <v>Oct</v>
      </c>
      <c r="G3884" s="323" t="s">
        <v>47</v>
      </c>
      <c r="H3884" s="323" t="s">
        <v>518</v>
      </c>
      <c r="I3884" s="323" t="s">
        <v>2702</v>
      </c>
      <c r="J3884" s="324" t="s">
        <v>70</v>
      </c>
      <c r="K3884" s="325" t="s">
        <v>564</v>
      </c>
      <c r="L3884" s="300" t="s">
        <v>2167</v>
      </c>
      <c r="M3884" s="324" t="s">
        <v>2343</v>
      </c>
      <c r="N3884" s="323" t="s">
        <v>559</v>
      </c>
      <c r="O3884" s="323" t="s">
        <v>560</v>
      </c>
      <c r="P3884" s="326">
        <v>12</v>
      </c>
      <c r="Q3884" s="326">
        <v>3</v>
      </c>
      <c r="R3884" s="327">
        <v>8.0000000000000002E-3</v>
      </c>
      <c r="S3884" s="323" t="s">
        <v>40</v>
      </c>
      <c r="T3884" s="323" t="s">
        <v>56</v>
      </c>
      <c r="U3884" s="323" t="s">
        <v>57</v>
      </c>
      <c r="V3884" s="397">
        <f>500</f>
        <v>500</v>
      </c>
      <c r="W3884" s="328"/>
      <c r="X3884" s="329"/>
      <c r="Y3884" s="330">
        <f>(W3884+X3884)-V3884</f>
        <v>-500</v>
      </c>
      <c r="Z3884" s="331">
        <f>IF(Y3884&lt;0,((V3884*P3884)-((W3884+X3884)*P3884)),0)</f>
        <v>6000</v>
      </c>
      <c r="AA3884" s="331">
        <f>Q3884*Z3884</f>
        <v>18000</v>
      </c>
      <c r="AB3884" s="816">
        <v>7.4999999999999997E-3</v>
      </c>
      <c r="AC3884" s="328">
        <f>Z3884*AB3884</f>
        <v>45</v>
      </c>
      <c r="AD3884" s="908" t="s">
        <v>3109</v>
      </c>
      <c r="AE3884" s="210">
        <f>SUM(Q3884*R3884*Z3884)/1000</f>
        <v>0.14399999999999999</v>
      </c>
      <c r="AF3884" s="210">
        <f>AE3884/0.54</f>
        <v>0.26666666666666661</v>
      </c>
      <c r="AG3884" s="211">
        <f>MID(O3884,1,3)/1000</f>
        <v>0.22600000000000001</v>
      </c>
      <c r="AH3884" s="157">
        <f>(Z3884*AG3884)/1000</f>
        <v>1.3560000000000001</v>
      </c>
      <c r="AI3884" s="152">
        <f>V3884*P3884</f>
        <v>6000</v>
      </c>
      <c r="AK3884" s="156" t="s">
        <v>691</v>
      </c>
      <c r="AL3884" s="212" t="s">
        <v>690</v>
      </c>
      <c r="AM3884" s="198">
        <f>AG3884*Z3884</f>
        <v>1356</v>
      </c>
      <c r="AN3884" s="199">
        <f>B3884</f>
        <v>46325</v>
      </c>
      <c r="AO3884" s="159" t="s">
        <v>692</v>
      </c>
      <c r="AP3884" s="783" t="s">
        <v>623</v>
      </c>
      <c r="AQ3884" s="782">
        <v>12071839</v>
      </c>
      <c r="AR3884" s="782">
        <v>12042650</v>
      </c>
      <c r="AS3884" s="782">
        <v>12042649</v>
      </c>
      <c r="AT3884" s="782"/>
      <c r="AU3884" s="781"/>
      <c r="AV3884" s="782">
        <v>12083156</v>
      </c>
      <c r="AW3884" s="782"/>
      <c r="AX3884" s="782"/>
      <c r="AY3884" s="782">
        <v>12094235</v>
      </c>
      <c r="AZ3884" s="782">
        <v>12094236</v>
      </c>
      <c r="BA3884" s="781"/>
      <c r="BB3884" s="209">
        <v>23053185</v>
      </c>
    </row>
    <row r="3885" spans="1:54" ht="25" customHeight="1">
      <c r="A3885" s="440"/>
      <c r="B3885" s="332">
        <v>46325</v>
      </c>
      <c r="C3885" s="646" t="s">
        <v>3218</v>
      </c>
      <c r="D3885" s="185">
        <f t="shared" ref="D3885" si="2677">IF(B3885="","",YEAR(B3885))</f>
        <v>2026</v>
      </c>
      <c r="E3885" s="333" t="e">
        <f>VLOOKUP($B3885,Week!$A$1:$C$1462,2,0)</f>
        <v>#N/A</v>
      </c>
      <c r="F3885" s="334" t="str">
        <f t="shared" ref="F3885" si="2678">IF(B3885="","",TEXT(B3885,"[$-409]mmm"))</f>
        <v>Oct</v>
      </c>
      <c r="G3885" s="335" t="s">
        <v>47</v>
      </c>
      <c r="H3885" s="335" t="s">
        <v>518</v>
      </c>
      <c r="I3885" s="335" t="s">
        <v>2702</v>
      </c>
      <c r="J3885" s="336" t="s">
        <v>70</v>
      </c>
      <c r="K3885" s="337" t="s">
        <v>582</v>
      </c>
      <c r="L3885" s="300" t="s">
        <v>2167</v>
      </c>
      <c r="M3885" s="336" t="s">
        <v>534</v>
      </c>
      <c r="N3885" s="530" t="s">
        <v>578</v>
      </c>
      <c r="O3885" s="335" t="s">
        <v>583</v>
      </c>
      <c r="P3885" s="338">
        <v>12</v>
      </c>
      <c r="Q3885" s="338">
        <v>3</v>
      </c>
      <c r="R3885" s="339">
        <v>6.0000000000000001E-3</v>
      </c>
      <c r="S3885" s="335" t="s">
        <v>55</v>
      </c>
      <c r="T3885" s="335" t="s">
        <v>56</v>
      </c>
      <c r="U3885" s="335" t="s">
        <v>57</v>
      </c>
      <c r="V3885" s="341">
        <f>200</f>
        <v>200</v>
      </c>
      <c r="W3885" s="341"/>
      <c r="X3885" s="342"/>
      <c r="Y3885" s="343">
        <f t="shared" ref="Y3885" si="2679">(W3885+X3885)-V3885</f>
        <v>-200</v>
      </c>
      <c r="Z3885" s="344">
        <f t="shared" ref="Z3885" si="2680">IF(Y3885&lt;0,((V3885*P3885)-((W3885+X3885)*P3885)),0)</f>
        <v>2400</v>
      </c>
      <c r="AA3885" s="344">
        <f t="shared" ref="AA3885" si="2681">Q3885*Z3885</f>
        <v>7200</v>
      </c>
      <c r="AB3885" s="817">
        <v>7.4999999999999997E-3</v>
      </c>
      <c r="AC3885" s="341">
        <f t="shared" ref="AC3885" si="2682">Z3885*AB3885</f>
        <v>18</v>
      </c>
      <c r="AD3885" s="908" t="s">
        <v>3109</v>
      </c>
      <c r="AE3885" s="210">
        <f t="shared" ref="AE3885" si="2683">SUM(Q3885*R3885*Z3885)/1000</f>
        <v>4.3200000000000002E-2</v>
      </c>
      <c r="AF3885" s="210">
        <f t="shared" ref="AF3885" si="2684">AE3885/0.54</f>
        <v>0.08</v>
      </c>
      <c r="AG3885" s="211">
        <f t="shared" ref="AG3885" si="2685">MID(O3885,1,3)/1000</f>
        <v>0.191</v>
      </c>
      <c r="AH3885" s="157">
        <f t="shared" ref="AH3885" si="2686">(Z3885*AG3885)/1000</f>
        <v>0.45840000000000003</v>
      </c>
      <c r="AI3885" s="152">
        <f t="shared" ref="AI3885" si="2687">V3885*P3885</f>
        <v>2400</v>
      </c>
      <c r="AK3885" s="156" t="s">
        <v>691</v>
      </c>
      <c r="AL3885" s="212" t="s">
        <v>690</v>
      </c>
      <c r="AM3885" s="198">
        <f t="shared" ref="AM3885" si="2688">AG3885*Z3885</f>
        <v>458.40000000000003</v>
      </c>
      <c r="AN3885" s="199">
        <f t="shared" ref="AN3885" si="2689">B3885</f>
        <v>46325</v>
      </c>
      <c r="AO3885" s="159" t="s">
        <v>692</v>
      </c>
      <c r="AP3885" s="781"/>
      <c r="AQ3885" s="782">
        <v>12071839</v>
      </c>
      <c r="AR3885" s="782">
        <v>12042650</v>
      </c>
      <c r="AS3885" s="782">
        <v>12042649</v>
      </c>
      <c r="AT3885" s="782"/>
      <c r="AU3885" s="781"/>
      <c r="AV3885" s="782">
        <v>12083313</v>
      </c>
      <c r="AW3885" s="782"/>
      <c r="AX3885" s="782"/>
      <c r="AY3885" s="782">
        <v>12094233</v>
      </c>
      <c r="AZ3885" s="782">
        <v>12094234</v>
      </c>
      <c r="BA3885" s="781"/>
      <c r="BB3885" s="209">
        <v>23053185</v>
      </c>
    </row>
    <row r="3886" spans="1:54" ht="25" customHeight="1">
      <c r="B3886" s="950">
        <v>46325</v>
      </c>
      <c r="C3886" s="951" t="s">
        <v>3218</v>
      </c>
      <c r="D3886" s="215">
        <f>IF(B3886="","",YEAR(B3886))</f>
        <v>2026</v>
      </c>
      <c r="E3886" s="214" t="e">
        <f>VLOOKUP($B3886,Week!$A$1:$C$1462,2,0)</f>
        <v>#N/A</v>
      </c>
      <c r="F3886" s="216" t="str">
        <f>IF(B3886="","",TEXT(B3886,"[$-409]mmm"))</f>
        <v>Oct</v>
      </c>
      <c r="G3886" s="952" t="s">
        <v>47</v>
      </c>
      <c r="H3886" s="952" t="s">
        <v>260</v>
      </c>
      <c r="I3886" s="215" t="s">
        <v>2702</v>
      </c>
      <c r="J3886" s="953" t="s">
        <v>2702</v>
      </c>
      <c r="K3886" s="954" t="s">
        <v>2703</v>
      </c>
      <c r="L3886" s="217" t="s">
        <v>2167</v>
      </c>
      <c r="M3886" s="953" t="s">
        <v>2899</v>
      </c>
      <c r="N3886" s="955" t="s">
        <v>2704</v>
      </c>
      <c r="O3886" s="952" t="s">
        <v>1635</v>
      </c>
      <c r="P3886" s="956">
        <v>24</v>
      </c>
      <c r="Q3886" s="956">
        <v>3</v>
      </c>
      <c r="R3886" s="957">
        <v>6.1999999999999998E-3</v>
      </c>
      <c r="S3886" s="952" t="s">
        <v>352</v>
      </c>
      <c r="T3886" s="952" t="s">
        <v>56</v>
      </c>
      <c r="U3886" s="958" t="s">
        <v>739</v>
      </c>
      <c r="V3886" s="959">
        <f>1200</f>
        <v>1200</v>
      </c>
      <c r="W3886" s="959"/>
      <c r="X3886" s="960"/>
      <c r="Y3886" s="961">
        <f t="shared" si="2670"/>
        <v>-1200</v>
      </c>
      <c r="Z3886" s="962">
        <f t="shared" si="2671"/>
        <v>28800</v>
      </c>
      <c r="AA3886" s="962">
        <f t="shared" ref="AA3886" si="2690">Q3886*Z3886</f>
        <v>86400</v>
      </c>
      <c r="AB3886" s="963">
        <v>1.83E-2</v>
      </c>
      <c r="AC3886" s="959">
        <f t="shared" si="2672"/>
        <v>527.04</v>
      </c>
      <c r="AD3886" s="443"/>
      <c r="AE3886" s="210">
        <f t="shared" si="2673"/>
        <v>0.53567999999999993</v>
      </c>
      <c r="AF3886" s="210">
        <f t="shared" si="2674"/>
        <v>0.99199999999999977</v>
      </c>
      <c r="AG3886" s="211">
        <f>MID(O3886,1,3)/1000</f>
        <v>0.25</v>
      </c>
      <c r="AH3886" s="157">
        <v>0.26621999999999996</v>
      </c>
      <c r="AI3886" s="152">
        <f t="shared" si="2676"/>
        <v>28800</v>
      </c>
      <c r="AK3886" s="156" t="s">
        <v>691</v>
      </c>
      <c r="AL3886" s="574" t="s">
        <v>690</v>
      </c>
      <c r="AM3886" s="198">
        <f t="shared" ref="AM3886" si="2691">AG3886*Z3886</f>
        <v>7200</v>
      </c>
      <c r="AN3886" s="199">
        <f t="shared" ref="AN3886" si="2692">B3886</f>
        <v>46325</v>
      </c>
      <c r="AO3886" s="159" t="s">
        <v>692</v>
      </c>
      <c r="AP3886" s="781" t="s">
        <v>642</v>
      </c>
      <c r="AQ3886" s="782">
        <v>12071839</v>
      </c>
      <c r="AR3886" s="782">
        <v>12042650</v>
      </c>
      <c r="AS3886" s="782">
        <v>12042649</v>
      </c>
      <c r="AT3886" s="782"/>
      <c r="AU3886" s="783"/>
      <c r="AV3886" s="782">
        <v>12097895</v>
      </c>
      <c r="AW3886" s="783"/>
      <c r="AX3886" s="781"/>
      <c r="AY3886" s="796">
        <v>12097893</v>
      </c>
      <c r="AZ3886" s="796">
        <v>12097894</v>
      </c>
      <c r="BA3886" s="796" t="s">
        <v>2462</v>
      </c>
      <c r="BB3886" s="209">
        <v>23099860</v>
      </c>
    </row>
    <row r="3887" spans="1:54" ht="24.75" customHeight="1">
      <c r="B3887" s="602">
        <v>46326</v>
      </c>
      <c r="C3887" s="861" t="s">
        <v>3218</v>
      </c>
      <c r="D3887" s="604">
        <f t="shared" si="2638"/>
        <v>2026</v>
      </c>
      <c r="E3887" s="603" t="e">
        <f>VLOOKUP($B3887,Week!$A$1:$C$1462,2,0)</f>
        <v>#N/A</v>
      </c>
      <c r="F3887" s="605" t="str">
        <f t="shared" si="2639"/>
        <v>Oct</v>
      </c>
      <c r="G3887" s="938" t="s">
        <v>47</v>
      </c>
      <c r="H3887" s="604" t="s">
        <v>260</v>
      </c>
      <c r="I3887" s="604" t="s">
        <v>2702</v>
      </c>
      <c r="J3887" s="939" t="s">
        <v>2240</v>
      </c>
      <c r="K3887" s="607" t="s">
        <v>94</v>
      </c>
      <c r="L3887" s="607" t="s">
        <v>2167</v>
      </c>
      <c r="M3887" s="606" t="s">
        <v>2338</v>
      </c>
      <c r="N3887" s="604" t="s">
        <v>2997</v>
      </c>
      <c r="O3887" s="604" t="s">
        <v>54</v>
      </c>
      <c r="P3887" s="608">
        <v>24</v>
      </c>
      <c r="Q3887" s="608">
        <v>5</v>
      </c>
      <c r="R3887" s="609">
        <v>6.1999999999999998E-3</v>
      </c>
      <c r="S3887" s="604" t="s">
        <v>352</v>
      </c>
      <c r="T3887" s="604" t="s">
        <v>56</v>
      </c>
      <c r="U3887" s="604" t="s">
        <v>57</v>
      </c>
      <c r="V3887" s="610">
        <v>4842</v>
      </c>
      <c r="W3887" s="610"/>
      <c r="X3887" s="611"/>
      <c r="Y3887" s="612">
        <f t="shared" si="2640"/>
        <v>-4842</v>
      </c>
      <c r="Z3887" s="613">
        <f t="shared" si="2641"/>
        <v>116208</v>
      </c>
      <c r="AA3887" s="613">
        <f t="shared" si="2642"/>
        <v>581040</v>
      </c>
      <c r="AB3887" s="836">
        <v>7.4999999999999997E-3</v>
      </c>
      <c r="AC3887" s="610">
        <f t="shared" si="2643"/>
        <v>871.56</v>
      </c>
      <c r="AD3887" s="443"/>
      <c r="AE3887" s="210">
        <f>SUM(Q3887*R3887*Z3887)/1000</f>
        <v>3.6024479999999999</v>
      </c>
      <c r="AF3887" s="210">
        <f t="shared" si="2645"/>
        <v>6.6711999999999989</v>
      </c>
      <c r="AG3887" s="211">
        <f>MID(O3887,1,3)/1000</f>
        <v>0.13500000000000001</v>
      </c>
      <c r="AH3887" s="157">
        <f>(Z3887*AG3887)/1000</f>
        <v>15.688080000000001</v>
      </c>
      <c r="AI3887" s="152">
        <f t="shared" si="2648"/>
        <v>116208</v>
      </c>
      <c r="AK3887" s="156" t="s">
        <v>691</v>
      </c>
      <c r="AL3887" s="574" t="s">
        <v>690</v>
      </c>
      <c r="AM3887" s="198">
        <f t="shared" si="2649"/>
        <v>15688.080000000002</v>
      </c>
      <c r="AN3887" s="199">
        <f t="shared" si="2650"/>
        <v>46326</v>
      </c>
      <c r="AO3887" s="159" t="s">
        <v>692</v>
      </c>
      <c r="AP3887" s="783" t="s">
        <v>622</v>
      </c>
      <c r="AQ3887" s="782">
        <v>12071839</v>
      </c>
      <c r="AR3887" s="782">
        <v>12099098</v>
      </c>
      <c r="AS3887" s="782">
        <v>12068233</v>
      </c>
      <c r="AT3887" s="781"/>
      <c r="AU3887" s="781"/>
      <c r="AV3887" s="782">
        <v>12099466</v>
      </c>
      <c r="AW3887" s="781"/>
      <c r="AX3887" s="781"/>
      <c r="AY3887" s="782">
        <v>12099097</v>
      </c>
      <c r="AZ3887" s="782"/>
      <c r="BA3887" s="781"/>
      <c r="BB3887" s="209">
        <v>23053184</v>
      </c>
    </row>
    <row r="3888" spans="1:54" ht="25" customHeight="1">
      <c r="B3888" s="183">
        <v>46328</v>
      </c>
      <c r="C3888" s="184"/>
      <c r="D3888" s="185">
        <f t="shared" ref="D3888" si="2693">IF(B3888="","",YEAR(B3888))</f>
        <v>2026</v>
      </c>
      <c r="E3888" s="185" t="e">
        <f>VLOOKUP($B3888,Week!$A$1:$C$1462,2,0)</f>
        <v>#N/A</v>
      </c>
      <c r="F3888" s="186" t="str">
        <f t="shared" ref="F3888" si="2694">IF(B3888="","",TEXT(B3888,"[$-409]mmm"))</f>
        <v>Nov</v>
      </c>
      <c r="G3888" s="481"/>
      <c r="H3888" s="185"/>
      <c r="I3888" s="185"/>
      <c r="J3888" s="187"/>
      <c r="K3888" s="188"/>
      <c r="L3888" s="188"/>
      <c r="M3888" s="187"/>
      <c r="N3888" s="185"/>
      <c r="O3888" s="185"/>
      <c r="P3888" s="189"/>
      <c r="Q3888" s="189"/>
      <c r="R3888" s="190"/>
      <c r="S3888" s="185"/>
      <c r="T3888" s="185"/>
      <c r="U3888" s="185"/>
      <c r="V3888" s="191"/>
      <c r="W3888" s="191"/>
      <c r="X3888" s="192"/>
      <c r="Y3888" s="193"/>
      <c r="Z3888" s="194"/>
      <c r="AA3888" s="194">
        <f t="shared" ref="AA3888" si="2695">Q3888*Z3888</f>
        <v>0</v>
      </c>
      <c r="AB3888" s="805"/>
      <c r="AC3888" s="191"/>
      <c r="AD3888" s="187"/>
      <c r="AE3888" s="195"/>
      <c r="AF3888" s="195"/>
      <c r="AG3888" s="196"/>
      <c r="AH3888" s="197"/>
      <c r="AK3888" s="156" t="s">
        <v>691</v>
      </c>
      <c r="AM3888" s="198">
        <f t="shared" ref="AM3888" si="2696">AG3888*Z3888</f>
        <v>0</v>
      </c>
      <c r="AN3888" s="199">
        <f t="shared" ref="AN3888" si="2697">B3888</f>
        <v>46328</v>
      </c>
      <c r="AO3888" s="159" t="s">
        <v>692</v>
      </c>
      <c r="AP3888" s="781"/>
      <c r="AQ3888" s="782"/>
      <c r="AR3888" s="782"/>
      <c r="AS3888" s="782"/>
      <c r="AT3888" s="782"/>
      <c r="AU3888" s="781"/>
      <c r="AV3888" s="782"/>
      <c r="AW3888" s="782"/>
      <c r="AX3888" s="782"/>
      <c r="AY3888" s="782"/>
      <c r="AZ3888" s="782"/>
      <c r="BA3888" s="781"/>
      <c r="BB3888" s="209"/>
    </row>
    <row r="3889" spans="1:54" ht="25" customHeight="1">
      <c r="B3889" s="183">
        <v>46329</v>
      </c>
      <c r="C3889" s="184"/>
      <c r="D3889" s="185">
        <f t="shared" si="2522"/>
        <v>2026</v>
      </c>
      <c r="E3889" s="185" t="e">
        <f>VLOOKUP($B3889,Week!$A$1:$C$1462,2,0)</f>
        <v>#N/A</v>
      </c>
      <c r="F3889" s="186" t="str">
        <f t="shared" si="2523"/>
        <v>Nov</v>
      </c>
      <c r="G3889" s="481"/>
      <c r="H3889" s="185"/>
      <c r="I3889" s="185"/>
      <c r="J3889" s="187"/>
      <c r="K3889" s="188"/>
      <c r="L3889" s="188"/>
      <c r="M3889" s="187"/>
      <c r="N3889" s="185"/>
      <c r="O3889" s="185"/>
      <c r="P3889" s="189"/>
      <c r="Q3889" s="189"/>
      <c r="R3889" s="190"/>
      <c r="S3889" s="185"/>
      <c r="T3889" s="185"/>
      <c r="U3889" s="185"/>
      <c r="V3889" s="191"/>
      <c r="W3889" s="191"/>
      <c r="X3889" s="192"/>
      <c r="Y3889" s="193"/>
      <c r="Z3889" s="194"/>
      <c r="AA3889" s="194">
        <f t="shared" si="2524"/>
        <v>0</v>
      </c>
      <c r="AB3889" s="805"/>
      <c r="AC3889" s="191"/>
      <c r="AD3889" s="187"/>
      <c r="AE3889" s="195"/>
      <c r="AF3889" s="195"/>
      <c r="AG3889" s="196"/>
      <c r="AH3889" s="197"/>
      <c r="AK3889" s="156" t="s">
        <v>691</v>
      </c>
      <c r="AM3889" s="198">
        <f t="shared" si="2525"/>
        <v>0</v>
      </c>
      <c r="AN3889" s="199">
        <f t="shared" si="2526"/>
        <v>46329</v>
      </c>
      <c r="AO3889" s="159" t="s">
        <v>692</v>
      </c>
      <c r="AP3889" s="781"/>
      <c r="AQ3889" s="782"/>
      <c r="AR3889" s="782"/>
      <c r="AS3889" s="782"/>
      <c r="AT3889" s="782"/>
      <c r="AU3889" s="781"/>
      <c r="AV3889" s="782"/>
      <c r="AW3889" s="782"/>
      <c r="AX3889" s="782"/>
      <c r="AY3889" s="782"/>
      <c r="AZ3889" s="782"/>
      <c r="BA3889" s="781"/>
      <c r="BB3889" s="209"/>
    </row>
    <row r="3890" spans="1:54" ht="25" customHeight="1">
      <c r="B3890" s="183">
        <v>46335</v>
      </c>
      <c r="C3890" s="184"/>
      <c r="D3890" s="185">
        <f t="shared" si="2522"/>
        <v>2026</v>
      </c>
      <c r="E3890" s="185" t="e">
        <f>VLOOKUP($B3890,Week!$A$1:$C$1462,2,0)</f>
        <v>#N/A</v>
      </c>
      <c r="F3890" s="186" t="str">
        <f t="shared" si="2523"/>
        <v>Nov</v>
      </c>
      <c r="G3890" s="481"/>
      <c r="H3890" s="185"/>
      <c r="I3890" s="185"/>
      <c r="J3890" s="187"/>
      <c r="K3890" s="188"/>
      <c r="L3890" s="188"/>
      <c r="M3890" s="187"/>
      <c r="N3890" s="185"/>
      <c r="O3890" s="185"/>
      <c r="P3890" s="189"/>
      <c r="Q3890" s="189"/>
      <c r="R3890" s="190"/>
      <c r="S3890" s="185"/>
      <c r="T3890" s="185"/>
      <c r="U3890" s="185"/>
      <c r="V3890" s="191"/>
      <c r="W3890" s="191"/>
      <c r="X3890" s="192"/>
      <c r="Y3890" s="193"/>
      <c r="Z3890" s="194"/>
      <c r="AA3890" s="194">
        <f t="shared" si="2524"/>
        <v>0</v>
      </c>
      <c r="AB3890" s="805"/>
      <c r="AC3890" s="191"/>
      <c r="AD3890" s="187"/>
      <c r="AE3890" s="195"/>
      <c r="AF3890" s="195"/>
      <c r="AG3890" s="196"/>
      <c r="AH3890" s="197"/>
      <c r="AK3890" s="156" t="s">
        <v>691</v>
      </c>
      <c r="AM3890" s="198">
        <f t="shared" si="2525"/>
        <v>0</v>
      </c>
      <c r="AN3890" s="199">
        <f t="shared" si="2526"/>
        <v>46335</v>
      </c>
      <c r="AO3890" s="159" t="s">
        <v>692</v>
      </c>
      <c r="AP3890" s="781"/>
      <c r="AQ3890" s="782"/>
      <c r="AR3890" s="782"/>
      <c r="AS3890" s="782"/>
      <c r="AT3890" s="782"/>
      <c r="AU3890" s="781"/>
      <c r="AV3890" s="782"/>
      <c r="AW3890" s="782"/>
      <c r="AX3890" s="782"/>
      <c r="AY3890" s="782"/>
      <c r="AZ3890" s="782"/>
      <c r="BA3890" s="781"/>
      <c r="BB3890" s="209"/>
    </row>
    <row r="3891" spans="1:54" ht="25" customHeight="1">
      <c r="B3891" s="183">
        <v>46336</v>
      </c>
      <c r="C3891" s="184"/>
      <c r="D3891" s="185">
        <f t="shared" ref="D3891" si="2698">IF(B3891="","",YEAR(B3891))</f>
        <v>2026</v>
      </c>
      <c r="E3891" s="185" t="e">
        <f>VLOOKUP($B3891,Week!$A$1:$C$1462,2,0)</f>
        <v>#N/A</v>
      </c>
      <c r="F3891" s="186" t="str">
        <f t="shared" ref="F3891" si="2699">IF(B3891="","",TEXT(B3891,"[$-409]mmm"))</f>
        <v>Nov</v>
      </c>
      <c r="G3891" s="481"/>
      <c r="H3891" s="185"/>
      <c r="I3891" s="185"/>
      <c r="J3891" s="187"/>
      <c r="K3891" s="188"/>
      <c r="L3891" s="188"/>
      <c r="M3891" s="187"/>
      <c r="N3891" s="185"/>
      <c r="O3891" s="185"/>
      <c r="P3891" s="189"/>
      <c r="Q3891" s="189"/>
      <c r="R3891" s="190"/>
      <c r="S3891" s="185"/>
      <c r="T3891" s="185"/>
      <c r="U3891" s="185"/>
      <c r="V3891" s="191"/>
      <c r="W3891" s="191"/>
      <c r="X3891" s="192"/>
      <c r="Y3891" s="193"/>
      <c r="Z3891" s="194"/>
      <c r="AA3891" s="194">
        <f t="shared" ref="AA3891" si="2700">Q3891*Z3891</f>
        <v>0</v>
      </c>
      <c r="AB3891" s="805"/>
      <c r="AC3891" s="191"/>
      <c r="AD3891" s="187"/>
      <c r="AE3891" s="195"/>
      <c r="AF3891" s="195"/>
      <c r="AG3891" s="196"/>
      <c r="AH3891" s="197"/>
      <c r="AK3891" s="156" t="s">
        <v>691</v>
      </c>
      <c r="AM3891" s="198">
        <f t="shared" ref="AM3891" si="2701">AG3891*Z3891</f>
        <v>0</v>
      </c>
      <c r="AN3891" s="199">
        <f t="shared" ref="AN3891" si="2702">B3891</f>
        <v>46336</v>
      </c>
      <c r="AO3891" s="159" t="s">
        <v>692</v>
      </c>
      <c r="AP3891" s="781"/>
      <c r="AQ3891" s="782"/>
      <c r="AR3891" s="782"/>
      <c r="AS3891" s="782"/>
      <c r="AT3891" s="782"/>
      <c r="AU3891" s="781"/>
      <c r="AV3891" s="782"/>
      <c r="AW3891" s="782"/>
      <c r="AX3891" s="782"/>
      <c r="AY3891" s="782"/>
      <c r="AZ3891" s="782"/>
      <c r="BA3891" s="781"/>
      <c r="BB3891" s="209"/>
    </row>
    <row r="3892" spans="1:54" ht="25" customHeight="1">
      <c r="B3892" s="183">
        <v>46342</v>
      </c>
      <c r="C3892" s="184"/>
      <c r="D3892" s="185">
        <f t="shared" si="2522"/>
        <v>2026</v>
      </c>
      <c r="E3892" s="185" t="e">
        <f>VLOOKUP($B3892,Week!$A$1:$C$1462,2,0)</f>
        <v>#N/A</v>
      </c>
      <c r="F3892" s="186" t="str">
        <f t="shared" si="2523"/>
        <v>Nov</v>
      </c>
      <c r="G3892" s="481"/>
      <c r="H3892" s="185"/>
      <c r="I3892" s="185"/>
      <c r="J3892" s="187"/>
      <c r="K3892" s="188"/>
      <c r="L3892" s="188"/>
      <c r="M3892" s="187"/>
      <c r="N3892" s="185"/>
      <c r="O3892" s="185"/>
      <c r="P3892" s="189"/>
      <c r="Q3892" s="189"/>
      <c r="R3892" s="190"/>
      <c r="S3892" s="185"/>
      <c r="T3892" s="185"/>
      <c r="U3892" s="185"/>
      <c r="V3892" s="191"/>
      <c r="W3892" s="191"/>
      <c r="X3892" s="192"/>
      <c r="Y3892" s="193"/>
      <c r="Z3892" s="194"/>
      <c r="AA3892" s="194">
        <f t="shared" si="2524"/>
        <v>0</v>
      </c>
      <c r="AB3892" s="805"/>
      <c r="AC3892" s="191"/>
      <c r="AD3892" s="187"/>
      <c r="AE3892" s="195"/>
      <c r="AF3892" s="195"/>
      <c r="AG3892" s="196"/>
      <c r="AH3892" s="197"/>
      <c r="AK3892" s="156" t="s">
        <v>691</v>
      </c>
      <c r="AM3892" s="198">
        <f t="shared" si="2525"/>
        <v>0</v>
      </c>
      <c r="AN3892" s="199">
        <f t="shared" si="2526"/>
        <v>46342</v>
      </c>
      <c r="AO3892" s="159" t="s">
        <v>692</v>
      </c>
      <c r="AP3892" s="781"/>
      <c r="AQ3892" s="782"/>
      <c r="AR3892" s="782"/>
      <c r="AS3892" s="782"/>
      <c r="AT3892" s="782"/>
      <c r="AU3892" s="781"/>
      <c r="AV3892" s="782"/>
      <c r="AW3892" s="782"/>
      <c r="AX3892" s="782"/>
      <c r="AY3892" s="782"/>
      <c r="AZ3892" s="782"/>
      <c r="BA3892" s="781"/>
      <c r="BB3892" s="209"/>
    </row>
    <row r="3893" spans="1:54" ht="25" customHeight="1">
      <c r="B3893" s="183">
        <v>46343</v>
      </c>
      <c r="C3893" s="184"/>
      <c r="D3893" s="185">
        <f t="shared" ref="D3893" si="2703">IF(B3893="","",YEAR(B3893))</f>
        <v>2026</v>
      </c>
      <c r="E3893" s="185" t="e">
        <f>VLOOKUP($B3893,Week!$A$1:$C$1462,2,0)</f>
        <v>#N/A</v>
      </c>
      <c r="F3893" s="186" t="str">
        <f t="shared" ref="F3893" si="2704">IF(B3893="","",TEXT(B3893,"[$-409]mmm"))</f>
        <v>Nov</v>
      </c>
      <c r="G3893" s="481"/>
      <c r="H3893" s="185"/>
      <c r="I3893" s="185"/>
      <c r="J3893" s="187"/>
      <c r="K3893" s="188"/>
      <c r="L3893" s="188"/>
      <c r="M3893" s="187"/>
      <c r="N3893" s="185"/>
      <c r="O3893" s="185"/>
      <c r="P3893" s="189"/>
      <c r="Q3893" s="189"/>
      <c r="R3893" s="190"/>
      <c r="S3893" s="185"/>
      <c r="T3893" s="185"/>
      <c r="U3893" s="185"/>
      <c r="V3893" s="191"/>
      <c r="W3893" s="191"/>
      <c r="X3893" s="192"/>
      <c r="Y3893" s="193"/>
      <c r="Z3893" s="194"/>
      <c r="AA3893" s="194">
        <f t="shared" ref="AA3893" si="2705">Q3893*Z3893</f>
        <v>0</v>
      </c>
      <c r="AB3893" s="805"/>
      <c r="AC3893" s="191"/>
      <c r="AD3893" s="187"/>
      <c r="AE3893" s="195"/>
      <c r="AF3893" s="195"/>
      <c r="AG3893" s="196"/>
      <c r="AH3893" s="197"/>
      <c r="AK3893" s="156" t="s">
        <v>691</v>
      </c>
      <c r="AM3893" s="198">
        <f t="shared" ref="AM3893" si="2706">AG3893*Z3893</f>
        <v>0</v>
      </c>
      <c r="AN3893" s="199">
        <f t="shared" ref="AN3893" si="2707">B3893</f>
        <v>46343</v>
      </c>
      <c r="AO3893" s="159" t="s">
        <v>692</v>
      </c>
      <c r="AP3893" s="781"/>
      <c r="AQ3893" s="782"/>
      <c r="AR3893" s="782"/>
      <c r="AS3893" s="782"/>
      <c r="AT3893" s="782"/>
      <c r="AU3893" s="781"/>
      <c r="AV3893" s="782"/>
      <c r="AW3893" s="782"/>
      <c r="AX3893" s="782"/>
      <c r="AY3893" s="782"/>
      <c r="AZ3893" s="782"/>
      <c r="BA3893" s="781"/>
      <c r="BB3893" s="209"/>
    </row>
    <row r="3894" spans="1:54" ht="25" customHeight="1">
      <c r="B3894" s="183">
        <v>46349</v>
      </c>
      <c r="C3894" s="184"/>
      <c r="D3894" s="185">
        <f t="shared" si="2522"/>
        <v>2026</v>
      </c>
      <c r="E3894" s="185" t="e">
        <f>VLOOKUP($B3894,Week!$A$1:$C$1462,2,0)</f>
        <v>#N/A</v>
      </c>
      <c r="F3894" s="186" t="str">
        <f t="shared" si="2523"/>
        <v>Nov</v>
      </c>
      <c r="G3894" s="481"/>
      <c r="H3894" s="185"/>
      <c r="I3894" s="185"/>
      <c r="J3894" s="187"/>
      <c r="K3894" s="188"/>
      <c r="L3894" s="188"/>
      <c r="M3894" s="187"/>
      <c r="N3894" s="185"/>
      <c r="O3894" s="185"/>
      <c r="P3894" s="189"/>
      <c r="Q3894" s="189"/>
      <c r="R3894" s="190"/>
      <c r="S3894" s="185"/>
      <c r="T3894" s="185"/>
      <c r="U3894" s="185"/>
      <c r="V3894" s="191"/>
      <c r="W3894" s="191"/>
      <c r="X3894" s="192"/>
      <c r="Y3894" s="193"/>
      <c r="Z3894" s="194"/>
      <c r="AA3894" s="194">
        <f t="shared" si="2524"/>
        <v>0</v>
      </c>
      <c r="AB3894" s="805"/>
      <c r="AC3894" s="191"/>
      <c r="AD3894" s="187"/>
      <c r="AE3894" s="195"/>
      <c r="AF3894" s="195"/>
      <c r="AG3894" s="196"/>
      <c r="AH3894" s="197"/>
      <c r="AK3894" s="156" t="s">
        <v>691</v>
      </c>
      <c r="AM3894" s="198">
        <f t="shared" si="2525"/>
        <v>0</v>
      </c>
      <c r="AN3894" s="199">
        <f t="shared" si="2526"/>
        <v>46349</v>
      </c>
      <c r="AO3894" s="159" t="s">
        <v>692</v>
      </c>
      <c r="AP3894" s="781"/>
      <c r="AQ3894" s="782"/>
      <c r="AR3894" s="782"/>
      <c r="AS3894" s="782"/>
      <c r="AT3894" s="782"/>
      <c r="AU3894" s="781"/>
      <c r="AV3894" s="782"/>
      <c r="AW3894" s="782"/>
      <c r="AX3894" s="782"/>
      <c r="AY3894" s="782"/>
      <c r="AZ3894" s="782"/>
      <c r="BA3894" s="781"/>
      <c r="BB3894" s="209"/>
    </row>
    <row r="3895" spans="1:54" ht="25" customHeight="1">
      <c r="B3895" s="183">
        <v>46350</v>
      </c>
      <c r="C3895" s="184"/>
      <c r="D3895" s="185">
        <f t="shared" ref="D3895:D3896" si="2708">IF(B3895="","",YEAR(B3895))</f>
        <v>2026</v>
      </c>
      <c r="E3895" s="185" t="e">
        <f>VLOOKUP($B3895,Week!$A$1:$C$1462,2,0)</f>
        <v>#N/A</v>
      </c>
      <c r="F3895" s="186" t="str">
        <f t="shared" ref="F3895:F3896" si="2709">IF(B3895="","",TEXT(B3895,"[$-409]mmm"))</f>
        <v>Nov</v>
      </c>
      <c r="G3895" s="481"/>
      <c r="H3895" s="185"/>
      <c r="I3895" s="185"/>
      <c r="J3895" s="187"/>
      <c r="K3895" s="188"/>
      <c r="L3895" s="188"/>
      <c r="M3895" s="187"/>
      <c r="N3895" s="185"/>
      <c r="O3895" s="185"/>
      <c r="P3895" s="189"/>
      <c r="Q3895" s="189"/>
      <c r="R3895" s="190"/>
      <c r="S3895" s="185"/>
      <c r="T3895" s="185"/>
      <c r="U3895" s="185"/>
      <c r="V3895" s="191"/>
      <c r="W3895" s="191"/>
      <c r="X3895" s="192"/>
      <c r="Y3895" s="193"/>
      <c r="Z3895" s="194"/>
      <c r="AA3895" s="194">
        <f t="shared" ref="AA3895:AA3896" si="2710">Q3895*Z3895</f>
        <v>0</v>
      </c>
      <c r="AB3895" s="805"/>
      <c r="AC3895" s="191"/>
      <c r="AD3895" s="187"/>
      <c r="AE3895" s="195"/>
      <c r="AF3895" s="195"/>
      <c r="AG3895" s="196"/>
      <c r="AH3895" s="197"/>
      <c r="AK3895" s="156" t="s">
        <v>691</v>
      </c>
      <c r="AM3895" s="198">
        <f t="shared" ref="AM3895:AM3896" si="2711">AG3895*Z3895</f>
        <v>0</v>
      </c>
      <c r="AN3895" s="199">
        <f t="shared" ref="AN3895:AN3896" si="2712">B3895</f>
        <v>46350</v>
      </c>
      <c r="AO3895" s="159" t="s">
        <v>692</v>
      </c>
      <c r="AP3895" s="781"/>
      <c r="AQ3895" s="782"/>
      <c r="AR3895" s="782"/>
      <c r="AS3895" s="782"/>
      <c r="AT3895" s="782"/>
      <c r="AU3895" s="781"/>
      <c r="AV3895" s="782"/>
      <c r="AW3895" s="782"/>
      <c r="AX3895" s="782"/>
      <c r="AY3895" s="782"/>
      <c r="AZ3895" s="782"/>
      <c r="BA3895" s="781"/>
      <c r="BB3895" s="209"/>
    </row>
    <row r="3896" spans="1:54" ht="25" customHeight="1">
      <c r="B3896" s="183">
        <v>46356</v>
      </c>
      <c r="C3896" s="184"/>
      <c r="D3896" s="185">
        <f t="shared" si="2708"/>
        <v>2026</v>
      </c>
      <c r="E3896" s="185" t="e">
        <f>VLOOKUP($B3896,Week!$A$1:$C$1462,2,0)</f>
        <v>#N/A</v>
      </c>
      <c r="F3896" s="186" t="str">
        <f t="shared" si="2709"/>
        <v>Nov</v>
      </c>
      <c r="G3896" s="481"/>
      <c r="H3896" s="185"/>
      <c r="I3896" s="185"/>
      <c r="J3896" s="187"/>
      <c r="K3896" s="188"/>
      <c r="L3896" s="188"/>
      <c r="M3896" s="187"/>
      <c r="N3896" s="185"/>
      <c r="O3896" s="185"/>
      <c r="P3896" s="189"/>
      <c r="Q3896" s="189"/>
      <c r="R3896" s="190"/>
      <c r="S3896" s="185"/>
      <c r="T3896" s="185"/>
      <c r="U3896" s="185"/>
      <c r="V3896" s="191"/>
      <c r="W3896" s="191"/>
      <c r="X3896" s="192"/>
      <c r="Y3896" s="193"/>
      <c r="Z3896" s="194"/>
      <c r="AA3896" s="194">
        <f t="shared" si="2710"/>
        <v>0</v>
      </c>
      <c r="AB3896" s="805"/>
      <c r="AC3896" s="191"/>
      <c r="AD3896" s="187"/>
      <c r="AE3896" s="195"/>
      <c r="AF3896" s="195"/>
      <c r="AG3896" s="196"/>
      <c r="AH3896" s="197"/>
      <c r="AK3896" s="156" t="s">
        <v>691</v>
      </c>
      <c r="AM3896" s="198">
        <f t="shared" si="2711"/>
        <v>0</v>
      </c>
      <c r="AN3896" s="199">
        <f t="shared" si="2712"/>
        <v>46356</v>
      </c>
      <c r="AO3896" s="159" t="s">
        <v>692</v>
      </c>
      <c r="AP3896" s="781"/>
      <c r="AQ3896" s="782"/>
      <c r="AR3896" s="782"/>
      <c r="AS3896" s="782"/>
      <c r="AT3896" s="782"/>
      <c r="AU3896" s="781"/>
      <c r="AV3896" s="782"/>
      <c r="AW3896" s="782"/>
      <c r="AX3896" s="782"/>
      <c r="AY3896" s="782"/>
      <c r="AZ3896" s="782"/>
      <c r="BA3896" s="781"/>
      <c r="BB3896" s="209"/>
    </row>
    <row r="3897" spans="1:54" ht="25" customHeight="1">
      <c r="B3897" s="183">
        <v>46357</v>
      </c>
      <c r="C3897" s="184"/>
      <c r="D3897" s="185">
        <f t="shared" si="2522"/>
        <v>2026</v>
      </c>
      <c r="E3897" s="185" t="e">
        <f>VLOOKUP($B3897,Week!$A$1:$C$1462,2,0)</f>
        <v>#N/A</v>
      </c>
      <c r="F3897" s="186" t="str">
        <f t="shared" si="2523"/>
        <v>Dec</v>
      </c>
      <c r="G3897" s="481"/>
      <c r="H3897" s="185"/>
      <c r="I3897" s="185"/>
      <c r="J3897" s="187"/>
      <c r="K3897" s="188"/>
      <c r="L3897" s="188"/>
      <c r="M3897" s="187"/>
      <c r="N3897" s="185"/>
      <c r="O3897" s="185"/>
      <c r="P3897" s="189"/>
      <c r="Q3897" s="189"/>
      <c r="R3897" s="190"/>
      <c r="S3897" s="185"/>
      <c r="T3897" s="185"/>
      <c r="U3897" s="185"/>
      <c r="V3897" s="191"/>
      <c r="W3897" s="191"/>
      <c r="X3897" s="192"/>
      <c r="Y3897" s="193"/>
      <c r="Z3897" s="194"/>
      <c r="AA3897" s="194">
        <f t="shared" si="2524"/>
        <v>0</v>
      </c>
      <c r="AB3897" s="805"/>
      <c r="AC3897" s="191"/>
      <c r="AD3897" s="187"/>
      <c r="AE3897" s="195"/>
      <c r="AF3897" s="195"/>
      <c r="AG3897" s="196"/>
      <c r="AH3897" s="197"/>
      <c r="AK3897" s="156" t="s">
        <v>691</v>
      </c>
      <c r="AM3897" s="198">
        <f t="shared" si="2525"/>
        <v>0</v>
      </c>
      <c r="AN3897" s="199">
        <f t="shared" si="2526"/>
        <v>46357</v>
      </c>
      <c r="AO3897" s="159" t="s">
        <v>692</v>
      </c>
      <c r="AP3897" s="781"/>
      <c r="AQ3897" s="782"/>
      <c r="AR3897" s="782"/>
      <c r="AS3897" s="782"/>
      <c r="AT3897" s="782"/>
      <c r="AU3897" s="781"/>
      <c r="AV3897" s="782"/>
      <c r="AW3897" s="782"/>
      <c r="AX3897" s="782"/>
      <c r="AY3897" s="782"/>
      <c r="AZ3897" s="782"/>
      <c r="BA3897" s="781"/>
      <c r="BB3897" s="209"/>
    </row>
    <row r="3898" spans="1:54" ht="24.65" customHeight="1">
      <c r="A3898" s="142" t="s">
        <v>120</v>
      </c>
      <c r="B3898" s="383">
        <v>46358</v>
      </c>
      <c r="C3898" s="224">
        <v>46378</v>
      </c>
      <c r="D3898" s="185">
        <f t="shared" ref="D3898" si="2713">IF(B3898="","",YEAR(B3898))</f>
        <v>2026</v>
      </c>
      <c r="E3898" s="224" t="e">
        <f>VLOOKUP($B3898,Week!$A$1:$C$1462,2,0)</f>
        <v>#N/A</v>
      </c>
      <c r="F3898" s="226" t="str">
        <f t="shared" ref="F3898" si="2714">IF(B3898="","",TEXT(B3898,"[$-409]mmm"))</f>
        <v>Dec</v>
      </c>
      <c r="G3898" s="225" t="s">
        <v>3214</v>
      </c>
      <c r="H3898" s="225" t="s">
        <v>1259</v>
      </c>
      <c r="I3898" s="225" t="s">
        <v>2772</v>
      </c>
      <c r="J3898" s="227" t="s">
        <v>512</v>
      </c>
      <c r="K3898" s="228" t="s">
        <v>85</v>
      </c>
      <c r="L3898" s="390" t="s">
        <v>2166</v>
      </c>
      <c r="M3898" s="227" t="s">
        <v>165</v>
      </c>
      <c r="N3898" s="225" t="s">
        <v>700</v>
      </c>
      <c r="O3898" s="225" t="s">
        <v>287</v>
      </c>
      <c r="P3898" s="229">
        <v>40</v>
      </c>
      <c r="Q3898" s="229">
        <v>12</v>
      </c>
      <c r="R3898" s="230">
        <v>8.1300000000000001E-3</v>
      </c>
      <c r="S3898" s="225" t="s">
        <v>40</v>
      </c>
      <c r="T3898" s="225" t="s">
        <v>112</v>
      </c>
      <c r="U3898" s="225" t="s">
        <v>89</v>
      </c>
      <c r="V3898" s="231">
        <f>541</f>
        <v>541</v>
      </c>
      <c r="W3898" s="231"/>
      <c r="X3898" s="232"/>
      <c r="Y3898" s="233">
        <f t="shared" ref="Y3898" si="2715">(W3898+X3898)-V3898</f>
        <v>-541</v>
      </c>
      <c r="Z3898" s="234">
        <f t="shared" ref="Z3898" si="2716">IF(Y3898&lt;0,((V3898*P3898)-((W3898+X3898)*P3898)),0)</f>
        <v>21640</v>
      </c>
      <c r="AA3898" s="234">
        <f t="shared" ref="AA3898" si="2717">Q3898*Z3898</f>
        <v>259680</v>
      </c>
      <c r="AB3898" s="822">
        <v>2</v>
      </c>
      <c r="AC3898" s="231">
        <f t="shared" ref="AC3898" si="2718">Z3898*AB3898</f>
        <v>43280</v>
      </c>
      <c r="AD3898" s="209"/>
      <c r="AE3898" s="210">
        <f t="shared" ref="AE3898" si="2719">SUM(Q3898*R3898*Z3898)/1000</f>
        <v>2.1111984000000001</v>
      </c>
      <c r="AF3898" s="210">
        <f t="shared" ref="AF3898" si="2720">AE3898/0.54</f>
        <v>3.9096266666666666</v>
      </c>
      <c r="AG3898" s="211">
        <f t="shared" ref="AG3898" si="2721">MID(O3898,1,3)/1000</f>
        <v>0.154</v>
      </c>
      <c r="AH3898" s="157">
        <f t="shared" ref="AH3898" si="2722">(Z3898*AG3898)/1000</f>
        <v>3.33256</v>
      </c>
      <c r="AI3898" s="152">
        <f t="shared" ref="AI3898" si="2723">V3898*P3898</f>
        <v>21640</v>
      </c>
      <c r="AK3898" s="156" t="s">
        <v>691</v>
      </c>
      <c r="AL3898" s="156" t="s">
        <v>689</v>
      </c>
      <c r="AM3898" s="198">
        <f t="shared" ref="AM3898" si="2724">AG3898*Z3898</f>
        <v>3332.56</v>
      </c>
      <c r="AN3898" s="199">
        <f t="shared" ref="AN3898" si="2725">B3898</f>
        <v>46358</v>
      </c>
      <c r="AO3898" s="159" t="s">
        <v>692</v>
      </c>
      <c r="AP3898" s="781"/>
      <c r="AQ3898" s="782">
        <v>12071839</v>
      </c>
      <c r="AR3898" s="782">
        <v>12019692</v>
      </c>
      <c r="AS3898" s="782"/>
      <c r="AT3898" s="782">
        <v>12056457</v>
      </c>
      <c r="AU3898" s="782"/>
      <c r="AV3898" s="782">
        <v>12056565</v>
      </c>
      <c r="AW3898" s="782">
        <v>12034747</v>
      </c>
      <c r="AX3898" s="782" t="s">
        <v>398</v>
      </c>
      <c r="AY3898" s="782" t="s">
        <v>513</v>
      </c>
      <c r="AZ3898" s="782"/>
      <c r="BA3898" s="781"/>
      <c r="BB3898" s="209">
        <v>23053184</v>
      </c>
    </row>
    <row r="3899" spans="1:54" ht="24.75" customHeight="1">
      <c r="B3899" s="602">
        <v>46358</v>
      </c>
      <c r="C3899" s="861" t="s">
        <v>3218</v>
      </c>
      <c r="D3899" s="604">
        <f t="shared" ref="D3899" si="2726">IF(B3899="","",YEAR(B3899))</f>
        <v>2026</v>
      </c>
      <c r="E3899" s="603" t="e">
        <f>VLOOKUP($B3899,Week!$A$1:$C$1462,2,0)</f>
        <v>#N/A</v>
      </c>
      <c r="F3899" s="605" t="str">
        <f t="shared" ref="F3899" si="2727">IF(B3899="","",TEXT(B3899,"[$-409]mmm"))</f>
        <v>Dec</v>
      </c>
      <c r="G3899" s="938" t="s">
        <v>47</v>
      </c>
      <c r="H3899" s="604" t="s">
        <v>260</v>
      </c>
      <c r="I3899" s="604" t="s">
        <v>2702</v>
      </c>
      <c r="J3899" s="939" t="s">
        <v>2240</v>
      </c>
      <c r="K3899" s="607" t="s">
        <v>94</v>
      </c>
      <c r="L3899" s="607" t="s">
        <v>2167</v>
      </c>
      <c r="M3899" s="606" t="s">
        <v>2338</v>
      </c>
      <c r="N3899" s="604" t="s">
        <v>2997</v>
      </c>
      <c r="O3899" s="604" t="s">
        <v>54</v>
      </c>
      <c r="P3899" s="608">
        <v>24</v>
      </c>
      <c r="Q3899" s="608">
        <v>5</v>
      </c>
      <c r="R3899" s="609">
        <v>6.1999999999999998E-3</v>
      </c>
      <c r="S3899" s="604" t="s">
        <v>352</v>
      </c>
      <c r="T3899" s="604" t="s">
        <v>56</v>
      </c>
      <c r="U3899" s="604" t="s">
        <v>57</v>
      </c>
      <c r="V3899" s="610">
        <v>2567</v>
      </c>
      <c r="W3899" s="610"/>
      <c r="X3899" s="611"/>
      <c r="Y3899" s="612">
        <f>(W3899+X3899)-V3899</f>
        <v>-2567</v>
      </c>
      <c r="Z3899" s="613">
        <f>IF(Y3899&lt;0,((V3899*P3899)-((W3899+X3899)*P3899)),0)</f>
        <v>61608</v>
      </c>
      <c r="AA3899" s="613">
        <f>Q3899*Z3899</f>
        <v>308040</v>
      </c>
      <c r="AB3899" s="836">
        <v>7.4999999999999997E-3</v>
      </c>
      <c r="AC3899" s="610">
        <f>Z3899*AB3899</f>
        <v>462.06</v>
      </c>
      <c r="AD3899" s="443"/>
      <c r="AE3899" s="210">
        <f>SUM(Q3899*R3899*Z3899)/1000</f>
        <v>1.909848</v>
      </c>
      <c r="AF3899" s="210">
        <f>AE3899/0.54</f>
        <v>3.5367555555555552</v>
      </c>
      <c r="AG3899" s="211">
        <f>MID(O3899,1,3)/1000</f>
        <v>0.13500000000000001</v>
      </c>
      <c r="AH3899" s="157">
        <f>(Z3899*AG3899)/1000</f>
        <v>8.3170800000000007</v>
      </c>
      <c r="AI3899" s="152">
        <f>V3899*P3899</f>
        <v>61608</v>
      </c>
      <c r="AK3899" s="156" t="s">
        <v>691</v>
      </c>
      <c r="AL3899" s="574" t="s">
        <v>690</v>
      </c>
      <c r="AM3899" s="198">
        <f>AG3899*Z3899</f>
        <v>8317.08</v>
      </c>
      <c r="AN3899" s="199">
        <f>B3899</f>
        <v>46358</v>
      </c>
      <c r="AO3899" s="159" t="s">
        <v>692</v>
      </c>
      <c r="AP3899" s="783" t="s">
        <v>622</v>
      </c>
      <c r="AQ3899" s="782">
        <v>12071839</v>
      </c>
      <c r="AR3899" s="782">
        <v>12099098</v>
      </c>
      <c r="AS3899" s="782">
        <v>12068233</v>
      </c>
      <c r="AT3899" s="781"/>
      <c r="AU3899" s="781"/>
      <c r="AV3899" s="782">
        <v>12099466</v>
      </c>
      <c r="AW3899" s="781"/>
      <c r="AX3899" s="781"/>
      <c r="AY3899" s="782">
        <v>12099097</v>
      </c>
      <c r="AZ3899" s="782"/>
      <c r="BA3899" s="781"/>
      <c r="BB3899" s="209">
        <v>23053184</v>
      </c>
    </row>
    <row r="3900" spans="1:54" ht="25" customHeight="1">
      <c r="B3900" s="398">
        <v>46358</v>
      </c>
      <c r="C3900" s="879" t="s">
        <v>3218</v>
      </c>
      <c r="D3900" s="185">
        <f t="shared" ref="D3900" si="2728">IF(B3900="","",YEAR(B3900))</f>
        <v>2026</v>
      </c>
      <c r="E3900" s="399" t="e">
        <f>VLOOKUP($B3900,Week!$A$1:$C$1462,2,0)</f>
        <v>#N/A</v>
      </c>
      <c r="F3900" s="400" t="str">
        <f t="shared" ref="F3900" si="2729">IF(B3900="","",TEXT(B3900,"[$-409]mmm"))</f>
        <v>Dec</v>
      </c>
      <c r="G3900" s="401" t="s">
        <v>47</v>
      </c>
      <c r="H3900" s="401" t="s">
        <v>518</v>
      </c>
      <c r="I3900" s="401" t="s">
        <v>2702</v>
      </c>
      <c r="J3900" s="402" t="s">
        <v>70</v>
      </c>
      <c r="K3900" s="403" t="s">
        <v>1645</v>
      </c>
      <c r="L3900" s="300" t="s">
        <v>2167</v>
      </c>
      <c r="M3900" s="402" t="s">
        <v>2567</v>
      </c>
      <c r="N3900" s="404" t="s">
        <v>2520</v>
      </c>
      <c r="O3900" s="401" t="s">
        <v>747</v>
      </c>
      <c r="P3900" s="405">
        <v>12</v>
      </c>
      <c r="Q3900" s="405">
        <v>5</v>
      </c>
      <c r="R3900" s="406">
        <v>8.0000000000000002E-3</v>
      </c>
      <c r="S3900" s="401" t="s">
        <v>352</v>
      </c>
      <c r="T3900" s="401" t="s">
        <v>56</v>
      </c>
      <c r="U3900" s="770" t="s">
        <v>669</v>
      </c>
      <c r="V3900" s="407">
        <f>400</f>
        <v>400</v>
      </c>
      <c r="W3900" s="407"/>
      <c r="X3900" s="408"/>
      <c r="Y3900" s="409">
        <f t="shared" ref="Y3900" si="2730">(W3900+X3900)-V3900</f>
        <v>-400</v>
      </c>
      <c r="Z3900" s="410">
        <f t="shared" ref="Z3900" si="2731">IF(Y3900&lt;0,((V3900*P3900)-((W3900+X3900)*P3900)),0)</f>
        <v>4800</v>
      </c>
      <c r="AA3900" s="410">
        <f t="shared" ref="AA3900" si="2732">Q3900*Z3900</f>
        <v>24000</v>
      </c>
      <c r="AB3900" s="824">
        <v>8.9999999999999993E-3</v>
      </c>
      <c r="AC3900" s="407">
        <f t="shared" ref="AC3900" si="2733">Z3900*AB3900</f>
        <v>43.199999999999996</v>
      </c>
      <c r="AD3900" s="307"/>
      <c r="AE3900" s="210">
        <f t="shared" ref="AE3900" si="2734">SUM(Q3900*R3900*Z3900)/1000</f>
        <v>0.192</v>
      </c>
      <c r="AF3900" s="210">
        <f t="shared" ref="AF3900" si="2735">AE3900/0.54</f>
        <v>0.35555555555555551</v>
      </c>
      <c r="AG3900" s="211">
        <f>MID(O3900,1,3)/1000</f>
        <v>0.14299999999999999</v>
      </c>
      <c r="AH3900" s="157">
        <f t="shared" ref="AH3900" si="2736">(Z3900*AG3900)/1000</f>
        <v>0.68640000000000001</v>
      </c>
      <c r="AI3900" s="152">
        <f t="shared" ref="AI3900" si="2737">V3900*P3900</f>
        <v>4800</v>
      </c>
      <c r="AK3900" s="156" t="s">
        <v>691</v>
      </c>
      <c r="AL3900" s="212" t="s">
        <v>690</v>
      </c>
      <c r="AM3900" s="198">
        <f t="shared" ref="AM3900" si="2738">AG3900*Z3900</f>
        <v>686.4</v>
      </c>
      <c r="AN3900" s="199">
        <f t="shared" ref="AN3900" si="2739">B3900</f>
        <v>46358</v>
      </c>
      <c r="AO3900" s="159" t="s">
        <v>692</v>
      </c>
      <c r="AP3900" s="783" t="s">
        <v>623</v>
      </c>
      <c r="AQ3900" s="782">
        <v>12071839</v>
      </c>
      <c r="AR3900" s="782">
        <v>12047514</v>
      </c>
      <c r="AS3900" s="782">
        <v>12047515</v>
      </c>
      <c r="AT3900" s="782"/>
      <c r="AU3900" s="781"/>
      <c r="AV3900" s="782">
        <v>12096536</v>
      </c>
      <c r="AW3900" s="782"/>
      <c r="AX3900" s="782"/>
      <c r="AY3900" s="782">
        <v>12096534</v>
      </c>
      <c r="AZ3900" s="782">
        <v>12096535</v>
      </c>
      <c r="BA3900" s="781"/>
      <c r="BB3900" s="209">
        <v>23098853</v>
      </c>
    </row>
    <row r="3901" spans="1:54" ht="24.65" customHeight="1">
      <c r="A3901" s="142" t="s">
        <v>120</v>
      </c>
      <c r="B3901" s="383">
        <v>46359</v>
      </c>
      <c r="C3901" s="224">
        <v>46378</v>
      </c>
      <c r="D3901" s="185">
        <f t="shared" ref="D3901:D3903" si="2740">IF(B3901="","",YEAR(B3901))</f>
        <v>2026</v>
      </c>
      <c r="E3901" s="224" t="e">
        <f>VLOOKUP($B3901,Week!$A$1:$C$1462,2,0)</f>
        <v>#N/A</v>
      </c>
      <c r="F3901" s="226" t="str">
        <f t="shared" ref="F3901:F3903" si="2741">IF(B3901="","",TEXT(B3901,"[$-409]mmm"))</f>
        <v>Dec</v>
      </c>
      <c r="G3901" s="225" t="s">
        <v>3214</v>
      </c>
      <c r="H3901" s="225" t="s">
        <v>1259</v>
      </c>
      <c r="I3901" s="225" t="s">
        <v>2772</v>
      </c>
      <c r="J3901" s="227" t="s">
        <v>512</v>
      </c>
      <c r="K3901" s="228" t="s">
        <v>85</v>
      </c>
      <c r="L3901" s="390" t="s">
        <v>2166</v>
      </c>
      <c r="M3901" s="227" t="s">
        <v>165</v>
      </c>
      <c r="N3901" s="225" t="s">
        <v>700</v>
      </c>
      <c r="O3901" s="225" t="s">
        <v>287</v>
      </c>
      <c r="P3901" s="229">
        <v>40</v>
      </c>
      <c r="Q3901" s="229">
        <v>12</v>
      </c>
      <c r="R3901" s="230">
        <v>8.1300000000000001E-3</v>
      </c>
      <c r="S3901" s="225" t="s">
        <v>40</v>
      </c>
      <c r="T3901" s="225" t="s">
        <v>112</v>
      </c>
      <c r="U3901" s="225" t="s">
        <v>89</v>
      </c>
      <c r="V3901" s="231">
        <v>541</v>
      </c>
      <c r="W3901" s="231"/>
      <c r="X3901" s="232"/>
      <c r="Y3901" s="233">
        <f t="shared" ref="Y3901:Y3903" si="2742">(W3901+X3901)-V3901</f>
        <v>-541</v>
      </c>
      <c r="Z3901" s="234">
        <f t="shared" ref="Z3901:Z3903" si="2743">IF(Y3901&lt;0,((V3901*P3901)-((W3901+X3901)*P3901)),0)</f>
        <v>21640</v>
      </c>
      <c r="AA3901" s="234">
        <f t="shared" ref="AA3901:AA3903" si="2744">Q3901*Z3901</f>
        <v>259680</v>
      </c>
      <c r="AB3901" s="822">
        <v>2</v>
      </c>
      <c r="AC3901" s="231">
        <f t="shared" ref="AC3901:AC3903" si="2745">Z3901*AB3901</f>
        <v>43280</v>
      </c>
      <c r="AD3901" s="209"/>
      <c r="AE3901" s="210">
        <f t="shared" ref="AE3901:AE3903" si="2746">SUM(Q3901*R3901*Z3901)/1000</f>
        <v>2.1111984000000001</v>
      </c>
      <c r="AF3901" s="210">
        <f t="shared" ref="AF3901:AF3903" si="2747">AE3901/0.54</f>
        <v>3.9096266666666666</v>
      </c>
      <c r="AG3901" s="211">
        <f t="shared" ref="AG3901:AG3903" si="2748">MID(O3901,1,3)/1000</f>
        <v>0.154</v>
      </c>
      <c r="AH3901" s="157">
        <f t="shared" ref="AH3901:AH3903" si="2749">(Z3901*AG3901)/1000</f>
        <v>3.33256</v>
      </c>
      <c r="AI3901" s="152">
        <f t="shared" ref="AI3901:AI3903" si="2750">V3901*P3901</f>
        <v>21640</v>
      </c>
      <c r="AK3901" s="156" t="s">
        <v>691</v>
      </c>
      <c r="AL3901" s="156" t="s">
        <v>689</v>
      </c>
      <c r="AM3901" s="198">
        <f t="shared" ref="AM3901:AM3903" si="2751">AG3901*Z3901</f>
        <v>3332.56</v>
      </c>
      <c r="AN3901" s="199">
        <f t="shared" ref="AN3901:AN3903" si="2752">B3901</f>
        <v>46359</v>
      </c>
      <c r="AO3901" s="159" t="s">
        <v>692</v>
      </c>
      <c r="AP3901" s="781"/>
      <c r="AQ3901" s="782">
        <v>12071839</v>
      </c>
      <c r="AR3901" s="782">
        <v>12019692</v>
      </c>
      <c r="AS3901" s="782"/>
      <c r="AT3901" s="782">
        <v>12056457</v>
      </c>
      <c r="AU3901" s="782"/>
      <c r="AV3901" s="782">
        <v>12056565</v>
      </c>
      <c r="AW3901" s="782">
        <v>12034747</v>
      </c>
      <c r="AX3901" s="782" t="s">
        <v>398</v>
      </c>
      <c r="AY3901" s="782" t="s">
        <v>513</v>
      </c>
      <c r="AZ3901" s="782"/>
      <c r="BA3901" s="781"/>
      <c r="BB3901" s="209">
        <v>23053184</v>
      </c>
    </row>
    <row r="3902" spans="1:54" ht="24.65" customHeight="1">
      <c r="B3902" s="411">
        <v>46359</v>
      </c>
      <c r="C3902" s="645" t="s">
        <v>3218</v>
      </c>
      <c r="D3902" s="185">
        <f>IF(B3902="","",YEAR(B3902))</f>
        <v>2026</v>
      </c>
      <c r="E3902" s="412" t="e">
        <f>VLOOKUP($B3902,Week!$A$1:$C$1462,2,0)</f>
        <v>#N/A</v>
      </c>
      <c r="F3902" s="413" t="str">
        <f>IF(B3902="","",TEXT(B3902,"[$-409]mmm"))</f>
        <v>Dec</v>
      </c>
      <c r="G3902" s="414" t="s">
        <v>47</v>
      </c>
      <c r="H3902" s="414" t="s">
        <v>260</v>
      </c>
      <c r="I3902" s="414" t="s">
        <v>2702</v>
      </c>
      <c r="J3902" s="415" t="s">
        <v>261</v>
      </c>
      <c r="K3902" s="416" t="s">
        <v>94</v>
      </c>
      <c r="L3902" s="300" t="s">
        <v>2167</v>
      </c>
      <c r="M3902" s="415" t="s">
        <v>2339</v>
      </c>
      <c r="N3902" s="414" t="s">
        <v>263</v>
      </c>
      <c r="O3902" s="414" t="s">
        <v>195</v>
      </c>
      <c r="P3902" s="417">
        <v>24</v>
      </c>
      <c r="Q3902" s="417">
        <v>5</v>
      </c>
      <c r="R3902" s="418">
        <v>8.0000000000000002E-3</v>
      </c>
      <c r="S3902" s="414" t="s">
        <v>40</v>
      </c>
      <c r="T3902" s="414" t="s">
        <v>56</v>
      </c>
      <c r="U3902" s="414" t="s">
        <v>57</v>
      </c>
      <c r="V3902" s="419">
        <f>2767</f>
        <v>2767</v>
      </c>
      <c r="W3902" s="419"/>
      <c r="X3902" s="420"/>
      <c r="Y3902" s="421">
        <f t="shared" si="2742"/>
        <v>-2767</v>
      </c>
      <c r="Z3902" s="422">
        <f t="shared" si="2743"/>
        <v>66408</v>
      </c>
      <c r="AA3902" s="422">
        <f t="shared" si="2744"/>
        <v>332040</v>
      </c>
      <c r="AB3902" s="825">
        <v>7.4999999999999997E-3</v>
      </c>
      <c r="AC3902" s="419">
        <f t="shared" si="2745"/>
        <v>498.06</v>
      </c>
      <c r="AD3902" s="209"/>
      <c r="AE3902" s="210">
        <f t="shared" ref="AE3902" si="2753">SUM(Q3902*R3902*Z3902)/1000</f>
        <v>2.65632</v>
      </c>
      <c r="AF3902" s="210">
        <f t="shared" si="2747"/>
        <v>4.9191111111111105</v>
      </c>
      <c r="AG3902" s="211">
        <f t="shared" si="2748"/>
        <v>0.14499999999999999</v>
      </c>
      <c r="AH3902" s="157">
        <f t="shared" si="2749"/>
        <v>9.6291600000000006</v>
      </c>
      <c r="AI3902" s="152">
        <f t="shared" si="2750"/>
        <v>66408</v>
      </c>
      <c r="AK3902" s="156" t="s">
        <v>691</v>
      </c>
      <c r="AL3902" s="212" t="s">
        <v>690</v>
      </c>
      <c r="AM3902" s="198">
        <f t="shared" si="2751"/>
        <v>9629.16</v>
      </c>
      <c r="AN3902" s="199">
        <f t="shared" si="2752"/>
        <v>46359</v>
      </c>
      <c r="AO3902" s="159" t="s">
        <v>692</v>
      </c>
      <c r="AP3902" s="783" t="s">
        <v>609</v>
      </c>
      <c r="AQ3902" s="782">
        <v>12071839</v>
      </c>
      <c r="AR3902" s="782">
        <v>12047514</v>
      </c>
      <c r="AS3902" s="782">
        <v>12047515</v>
      </c>
      <c r="AT3902" s="781"/>
      <c r="AU3902" s="781"/>
      <c r="AV3902" s="782">
        <v>12080613</v>
      </c>
      <c r="AW3902" s="781"/>
      <c r="AX3902" s="781"/>
      <c r="AY3902" s="782">
        <v>12094241</v>
      </c>
      <c r="AZ3902" s="782">
        <v>12094242</v>
      </c>
      <c r="BA3902" s="781"/>
      <c r="BB3902" s="209">
        <v>23053185</v>
      </c>
    </row>
    <row r="3903" spans="1:54" ht="24.65" customHeight="1">
      <c r="A3903" s="142" t="s">
        <v>120</v>
      </c>
      <c r="B3903" s="383">
        <v>46360</v>
      </c>
      <c r="C3903" s="224">
        <v>46378</v>
      </c>
      <c r="D3903" s="185">
        <f t="shared" si="2740"/>
        <v>2026</v>
      </c>
      <c r="E3903" s="224" t="e">
        <f>VLOOKUP($B3903,Week!$A$1:$C$1462,2,0)</f>
        <v>#N/A</v>
      </c>
      <c r="F3903" s="226" t="str">
        <f t="shared" si="2741"/>
        <v>Dec</v>
      </c>
      <c r="G3903" s="225" t="s">
        <v>3214</v>
      </c>
      <c r="H3903" s="225" t="s">
        <v>1259</v>
      </c>
      <c r="I3903" s="225" t="s">
        <v>2772</v>
      </c>
      <c r="J3903" s="227" t="s">
        <v>512</v>
      </c>
      <c r="K3903" s="228" t="s">
        <v>85</v>
      </c>
      <c r="L3903" s="390" t="s">
        <v>2166</v>
      </c>
      <c r="M3903" s="227" t="s">
        <v>165</v>
      </c>
      <c r="N3903" s="225" t="s">
        <v>700</v>
      </c>
      <c r="O3903" s="225" t="s">
        <v>287</v>
      </c>
      <c r="P3903" s="229">
        <v>40</v>
      </c>
      <c r="Q3903" s="229">
        <v>12</v>
      </c>
      <c r="R3903" s="230">
        <v>8.1300000000000001E-3</v>
      </c>
      <c r="S3903" s="225" t="s">
        <v>40</v>
      </c>
      <c r="T3903" s="225" t="s">
        <v>112</v>
      </c>
      <c r="U3903" s="225" t="s">
        <v>89</v>
      </c>
      <c r="V3903" s="231">
        <f>1624-541-541</f>
        <v>542</v>
      </c>
      <c r="W3903" s="231"/>
      <c r="X3903" s="232"/>
      <c r="Y3903" s="233">
        <f t="shared" si="2742"/>
        <v>-542</v>
      </c>
      <c r="Z3903" s="234">
        <f t="shared" si="2743"/>
        <v>21680</v>
      </c>
      <c r="AA3903" s="234">
        <f t="shared" si="2744"/>
        <v>260160</v>
      </c>
      <c r="AB3903" s="822">
        <v>2</v>
      </c>
      <c r="AC3903" s="231">
        <f t="shared" si="2745"/>
        <v>43360</v>
      </c>
      <c r="AD3903" s="209"/>
      <c r="AE3903" s="210">
        <f t="shared" si="2746"/>
        <v>2.1151008</v>
      </c>
      <c r="AF3903" s="210">
        <f t="shared" si="2747"/>
        <v>3.9168533333333331</v>
      </c>
      <c r="AG3903" s="211">
        <f t="shared" si="2748"/>
        <v>0.154</v>
      </c>
      <c r="AH3903" s="157">
        <f t="shared" si="2749"/>
        <v>3.3387199999999999</v>
      </c>
      <c r="AI3903" s="152">
        <f t="shared" si="2750"/>
        <v>21680</v>
      </c>
      <c r="AK3903" s="156" t="s">
        <v>691</v>
      </c>
      <c r="AL3903" s="156" t="s">
        <v>689</v>
      </c>
      <c r="AM3903" s="198">
        <f t="shared" si="2751"/>
        <v>3338.72</v>
      </c>
      <c r="AN3903" s="199">
        <f t="shared" si="2752"/>
        <v>46360</v>
      </c>
      <c r="AO3903" s="159" t="s">
        <v>692</v>
      </c>
      <c r="AP3903" s="781"/>
      <c r="AQ3903" s="782">
        <v>12071839</v>
      </c>
      <c r="AR3903" s="782">
        <v>12019692</v>
      </c>
      <c r="AS3903" s="782"/>
      <c r="AT3903" s="782">
        <v>12056457</v>
      </c>
      <c r="AU3903" s="782"/>
      <c r="AV3903" s="782">
        <v>12056565</v>
      </c>
      <c r="AW3903" s="782">
        <v>12034747</v>
      </c>
      <c r="AX3903" s="782" t="s">
        <v>398</v>
      </c>
      <c r="AY3903" s="782" t="s">
        <v>513</v>
      </c>
      <c r="AZ3903" s="782"/>
      <c r="BA3903" s="781"/>
      <c r="BB3903" s="209">
        <v>23053184</v>
      </c>
    </row>
    <row r="3904" spans="1:54" ht="24.65" customHeight="1">
      <c r="B3904" s="411">
        <v>46360</v>
      </c>
      <c r="C3904" s="645" t="s">
        <v>3218</v>
      </c>
      <c r="D3904" s="185">
        <f>IF(B3904="","",YEAR(B3904))</f>
        <v>2026</v>
      </c>
      <c r="E3904" s="412" t="e">
        <f>VLOOKUP($B3904,Week!$A$1:$C$1462,2,0)</f>
        <v>#N/A</v>
      </c>
      <c r="F3904" s="413" t="str">
        <f>IF(B3904="","",TEXT(B3904,"[$-409]mmm"))</f>
        <v>Dec</v>
      </c>
      <c r="G3904" s="414" t="s">
        <v>47</v>
      </c>
      <c r="H3904" s="414" t="s">
        <v>260</v>
      </c>
      <c r="I3904" s="414" t="s">
        <v>2702</v>
      </c>
      <c r="J3904" s="415" t="s">
        <v>261</v>
      </c>
      <c r="K3904" s="416" t="s">
        <v>94</v>
      </c>
      <c r="L3904" s="300" t="s">
        <v>2167</v>
      </c>
      <c r="M3904" s="415" t="s">
        <v>2339</v>
      </c>
      <c r="N3904" s="414" t="s">
        <v>263</v>
      </c>
      <c r="O3904" s="414" t="s">
        <v>195</v>
      </c>
      <c r="P3904" s="417">
        <v>24</v>
      </c>
      <c r="Q3904" s="417">
        <v>5</v>
      </c>
      <c r="R3904" s="418">
        <v>8.0000000000000002E-3</v>
      </c>
      <c r="S3904" s="414" t="s">
        <v>40</v>
      </c>
      <c r="T3904" s="414" t="s">
        <v>56</v>
      </c>
      <c r="U3904" s="414" t="s">
        <v>57</v>
      </c>
      <c r="V3904" s="419">
        <f>10000-2767-2767-2767</f>
        <v>1699</v>
      </c>
      <c r="W3904" s="419"/>
      <c r="X3904" s="420"/>
      <c r="Y3904" s="421">
        <f t="shared" ref="Y3904" si="2754">(W3904+X3904)-V3904</f>
        <v>-1699</v>
      </c>
      <c r="Z3904" s="422">
        <f t="shared" ref="Z3904" si="2755">IF(Y3904&lt;0,((V3904*P3904)-((W3904+X3904)*P3904)),0)</f>
        <v>40776</v>
      </c>
      <c r="AA3904" s="422">
        <f t="shared" ref="AA3904" si="2756">Q3904*Z3904</f>
        <v>203880</v>
      </c>
      <c r="AB3904" s="825">
        <v>7.4999999999999997E-3</v>
      </c>
      <c r="AC3904" s="419">
        <f t="shared" ref="AC3904" si="2757">Z3904*AB3904</f>
        <v>305.82</v>
      </c>
      <c r="AD3904" s="209"/>
      <c r="AE3904" s="210">
        <f t="shared" ref="AE3904" si="2758">SUM(Q3904*R3904*Z3904)/1000</f>
        <v>1.63104</v>
      </c>
      <c r="AF3904" s="210">
        <f t="shared" ref="AF3904" si="2759">AE3904/0.54</f>
        <v>3.0204444444444443</v>
      </c>
      <c r="AG3904" s="211">
        <f t="shared" ref="AG3904" si="2760">MID(O3904,1,3)/1000</f>
        <v>0.14499999999999999</v>
      </c>
      <c r="AH3904" s="157">
        <f t="shared" ref="AH3904" si="2761">(Z3904*AG3904)/1000</f>
        <v>5.9125199999999998</v>
      </c>
      <c r="AI3904" s="152">
        <f t="shared" ref="AI3904" si="2762">V3904*P3904</f>
        <v>40776</v>
      </c>
      <c r="AK3904" s="156" t="s">
        <v>691</v>
      </c>
      <c r="AL3904" s="212" t="s">
        <v>690</v>
      </c>
      <c r="AM3904" s="198">
        <f t="shared" ref="AM3904" si="2763">AG3904*Z3904</f>
        <v>5912.5199999999995</v>
      </c>
      <c r="AN3904" s="199">
        <f t="shared" ref="AN3904" si="2764">B3904</f>
        <v>46360</v>
      </c>
      <c r="AO3904" s="159" t="s">
        <v>692</v>
      </c>
      <c r="AP3904" s="783" t="s">
        <v>609</v>
      </c>
      <c r="AQ3904" s="782">
        <v>12071839</v>
      </c>
      <c r="AR3904" s="782">
        <v>12047514</v>
      </c>
      <c r="AS3904" s="782">
        <v>12047515</v>
      </c>
      <c r="AT3904" s="781"/>
      <c r="AU3904" s="781"/>
      <c r="AV3904" s="782">
        <v>12080613</v>
      </c>
      <c r="AW3904" s="781"/>
      <c r="AX3904" s="781"/>
      <c r="AY3904" s="782">
        <v>12094241</v>
      </c>
      <c r="AZ3904" s="782">
        <v>12094242</v>
      </c>
      <c r="BA3904" s="781"/>
      <c r="BB3904" s="209">
        <v>23053185</v>
      </c>
    </row>
    <row r="3905" spans="1:54" ht="25" customHeight="1">
      <c r="B3905" s="950">
        <v>46360</v>
      </c>
      <c r="C3905" s="951" t="s">
        <v>3218</v>
      </c>
      <c r="D3905" s="215">
        <f>IF(B3905="","",YEAR(B3905))</f>
        <v>2026</v>
      </c>
      <c r="E3905" s="214" t="e">
        <f>VLOOKUP($B3905,Week!$A$1:$C$1462,2,0)</f>
        <v>#N/A</v>
      </c>
      <c r="F3905" s="216" t="str">
        <f>IF(B3905="","",TEXT(B3905,"[$-409]mmm"))</f>
        <v>Dec</v>
      </c>
      <c r="G3905" s="952" t="s">
        <v>47</v>
      </c>
      <c r="H3905" s="952" t="s">
        <v>260</v>
      </c>
      <c r="I3905" s="215" t="s">
        <v>2702</v>
      </c>
      <c r="J3905" s="953" t="s">
        <v>2702</v>
      </c>
      <c r="K3905" s="954" t="s">
        <v>2703</v>
      </c>
      <c r="L3905" s="217" t="s">
        <v>2167</v>
      </c>
      <c r="M3905" s="953" t="s">
        <v>2899</v>
      </c>
      <c r="N3905" s="955" t="s">
        <v>2704</v>
      </c>
      <c r="O3905" s="952" t="s">
        <v>1635</v>
      </c>
      <c r="P3905" s="956">
        <v>24</v>
      </c>
      <c r="Q3905" s="956">
        <v>3</v>
      </c>
      <c r="R3905" s="957">
        <v>6.1999999999999998E-3</v>
      </c>
      <c r="S3905" s="952" t="s">
        <v>352</v>
      </c>
      <c r="T3905" s="952" t="s">
        <v>56</v>
      </c>
      <c r="U3905" s="958" t="s">
        <v>739</v>
      </c>
      <c r="V3905" s="959">
        <f>1200</f>
        <v>1200</v>
      </c>
      <c r="W3905" s="959"/>
      <c r="X3905" s="960"/>
      <c r="Y3905" s="961">
        <f t="shared" ref="Y3905" si="2765">(W3905+X3905)-V3905</f>
        <v>-1200</v>
      </c>
      <c r="Z3905" s="962">
        <f t="shared" ref="Z3905" si="2766">IF(Y3905&lt;0,((V3905*P3905)-((W3905+X3905)*P3905)),0)</f>
        <v>28800</v>
      </c>
      <c r="AA3905" s="962">
        <f t="shared" ref="AA3905" si="2767">Q3905*Z3905</f>
        <v>86400</v>
      </c>
      <c r="AB3905" s="963">
        <v>1.83E-2</v>
      </c>
      <c r="AC3905" s="959">
        <f t="shared" ref="AC3905" si="2768">Z3905*AB3905</f>
        <v>527.04</v>
      </c>
      <c r="AD3905" s="443"/>
      <c r="AE3905" s="210">
        <f t="shared" ref="AE3905" si="2769">SUM(Q3905*R3905*Z3905)/1000</f>
        <v>0.53567999999999993</v>
      </c>
      <c r="AF3905" s="210">
        <f t="shared" ref="AF3905" si="2770">AE3905/0.54</f>
        <v>0.99199999999999977</v>
      </c>
      <c r="AG3905" s="211">
        <f>MID(O3905,1,3)/1000</f>
        <v>0.25</v>
      </c>
      <c r="AH3905" s="157">
        <v>0.26621999999999996</v>
      </c>
      <c r="AI3905" s="152">
        <f t="shared" ref="AI3905" si="2771">V3905*P3905</f>
        <v>28800</v>
      </c>
      <c r="AK3905" s="156" t="s">
        <v>691</v>
      </c>
      <c r="AL3905" s="574" t="s">
        <v>690</v>
      </c>
      <c r="AM3905" s="198">
        <f t="shared" ref="AM3905" si="2772">AG3905*Z3905</f>
        <v>7200</v>
      </c>
      <c r="AN3905" s="199">
        <f t="shared" ref="AN3905" si="2773">B3905</f>
        <v>46360</v>
      </c>
      <c r="AO3905" s="159" t="s">
        <v>692</v>
      </c>
      <c r="AP3905" s="781" t="s">
        <v>642</v>
      </c>
      <c r="AQ3905" s="782">
        <v>12071839</v>
      </c>
      <c r="AR3905" s="782">
        <v>12042650</v>
      </c>
      <c r="AS3905" s="782">
        <v>12042649</v>
      </c>
      <c r="AT3905" s="782"/>
      <c r="AU3905" s="783"/>
      <c r="AV3905" s="782">
        <v>12097895</v>
      </c>
      <c r="AW3905" s="783"/>
      <c r="AX3905" s="781"/>
      <c r="AY3905" s="796">
        <v>12097893</v>
      </c>
      <c r="AZ3905" s="796">
        <v>12097894</v>
      </c>
      <c r="BA3905" s="796" t="s">
        <v>2462</v>
      </c>
      <c r="BB3905" s="209">
        <v>23099860</v>
      </c>
    </row>
    <row r="3906" spans="1:54" ht="25" customHeight="1">
      <c r="B3906" s="183">
        <v>46361</v>
      </c>
      <c r="C3906" s="184"/>
      <c r="D3906" s="185">
        <f t="shared" si="2522"/>
        <v>2026</v>
      </c>
      <c r="E3906" s="185" t="e">
        <f>VLOOKUP($B3906,Week!$A$1:$C$1462,2,0)</f>
        <v>#N/A</v>
      </c>
      <c r="F3906" s="186" t="str">
        <f t="shared" si="2523"/>
        <v>Dec</v>
      </c>
      <c r="G3906" s="481"/>
      <c r="H3906" s="185"/>
      <c r="I3906" s="185"/>
      <c r="J3906" s="187"/>
      <c r="K3906" s="188"/>
      <c r="L3906" s="188"/>
      <c r="M3906" s="187"/>
      <c r="N3906" s="185"/>
      <c r="O3906" s="185"/>
      <c r="P3906" s="189"/>
      <c r="Q3906" s="189"/>
      <c r="R3906" s="190"/>
      <c r="S3906" s="185"/>
      <c r="T3906" s="185"/>
      <c r="U3906" s="185"/>
      <c r="V3906" s="191"/>
      <c r="W3906" s="191"/>
      <c r="X3906" s="192"/>
      <c r="Y3906" s="193"/>
      <c r="Z3906" s="194"/>
      <c r="AA3906" s="194">
        <f t="shared" si="2524"/>
        <v>0</v>
      </c>
      <c r="AB3906" s="805"/>
      <c r="AC3906" s="191"/>
      <c r="AD3906" s="187"/>
      <c r="AE3906" s="195"/>
      <c r="AF3906" s="195"/>
      <c r="AG3906" s="196"/>
      <c r="AH3906" s="197"/>
      <c r="AK3906" s="156" t="s">
        <v>691</v>
      </c>
      <c r="AM3906" s="198">
        <f t="shared" si="2525"/>
        <v>0</v>
      </c>
      <c r="AN3906" s="199">
        <f t="shared" si="2526"/>
        <v>46361</v>
      </c>
      <c r="AO3906" s="159" t="s">
        <v>692</v>
      </c>
      <c r="AP3906" s="781"/>
      <c r="AQ3906" s="782"/>
      <c r="AR3906" s="782"/>
      <c r="AS3906" s="782"/>
      <c r="AT3906" s="782"/>
      <c r="AU3906" s="781"/>
      <c r="AV3906" s="782"/>
      <c r="AW3906" s="782"/>
      <c r="AX3906" s="782"/>
      <c r="AY3906" s="782"/>
      <c r="AZ3906" s="782"/>
      <c r="BA3906" s="781"/>
      <c r="BB3906" s="209"/>
    </row>
    <row r="3907" spans="1:54" ht="24.65" customHeight="1">
      <c r="A3907" s="142" t="s">
        <v>120</v>
      </c>
      <c r="B3907" s="383">
        <v>46362</v>
      </c>
      <c r="C3907" s="224">
        <v>46392</v>
      </c>
      <c r="D3907" s="185">
        <f>IF(B3907="","",YEAR(B3907))</f>
        <v>2026</v>
      </c>
      <c r="E3907" s="224" t="e">
        <f>VLOOKUP($B3907,Week!$A$1:$C$1462,2,0)</f>
        <v>#N/A</v>
      </c>
      <c r="F3907" s="226" t="str">
        <f>IF(B3907="","",TEXT(B3907,"[$-409]mmm"))</f>
        <v>Dec</v>
      </c>
      <c r="G3907" s="225" t="s">
        <v>3215</v>
      </c>
      <c r="H3907" s="225" t="s">
        <v>1259</v>
      </c>
      <c r="I3907" s="225" t="s">
        <v>2772</v>
      </c>
      <c r="J3907" s="227" t="s">
        <v>512</v>
      </c>
      <c r="K3907" s="228" t="s">
        <v>85</v>
      </c>
      <c r="L3907" s="390" t="s">
        <v>2166</v>
      </c>
      <c r="M3907" s="227" t="s">
        <v>165</v>
      </c>
      <c r="N3907" s="225" t="s">
        <v>700</v>
      </c>
      <c r="O3907" s="225" t="s">
        <v>287</v>
      </c>
      <c r="P3907" s="229">
        <v>40</v>
      </c>
      <c r="Q3907" s="229">
        <v>12</v>
      </c>
      <c r="R3907" s="230">
        <v>8.1300000000000001E-3</v>
      </c>
      <c r="S3907" s="225" t="s">
        <v>40</v>
      </c>
      <c r="T3907" s="225" t="s">
        <v>112</v>
      </c>
      <c r="U3907" s="225" t="s">
        <v>89</v>
      </c>
      <c r="V3907" s="231">
        <f>541</f>
        <v>541</v>
      </c>
      <c r="W3907" s="231"/>
      <c r="X3907" s="232"/>
      <c r="Y3907" s="233">
        <f t="shared" ref="Y3907" si="2774">(W3907+X3907)-V3907</f>
        <v>-541</v>
      </c>
      <c r="Z3907" s="234">
        <f t="shared" ref="Z3907" si="2775">IF(Y3907&lt;0,((V3907*P3907)-((W3907+X3907)*P3907)),0)</f>
        <v>21640</v>
      </c>
      <c r="AA3907" s="234">
        <f>Q3907*Z3907</f>
        <v>259680</v>
      </c>
      <c r="AB3907" s="822">
        <v>2</v>
      </c>
      <c r="AC3907" s="231">
        <f t="shared" ref="AC3907" si="2776">Z3907*AB3907</f>
        <v>43280</v>
      </c>
      <c r="AD3907" s="209"/>
      <c r="AE3907" s="210">
        <f t="shared" ref="AE3907" si="2777">SUM(Q3907*R3907*Z3907)/1000</f>
        <v>2.1111984000000001</v>
      </c>
      <c r="AF3907" s="210">
        <f t="shared" ref="AF3907" si="2778">AE3907/0.54</f>
        <v>3.9096266666666666</v>
      </c>
      <c r="AG3907" s="211">
        <f t="shared" ref="AG3907" si="2779">MID(O3907,1,3)/1000</f>
        <v>0.154</v>
      </c>
      <c r="AH3907" s="157">
        <f t="shared" ref="AH3907" si="2780">(Z3907*AG3907)/1000</f>
        <v>3.33256</v>
      </c>
      <c r="AI3907" s="152">
        <f t="shared" ref="AI3907" si="2781">V3907*P3907</f>
        <v>21640</v>
      </c>
      <c r="AK3907" s="156" t="s">
        <v>691</v>
      </c>
      <c r="AL3907" s="156" t="s">
        <v>689</v>
      </c>
      <c r="AM3907" s="198">
        <f>AG3907*Z3907</f>
        <v>3332.56</v>
      </c>
      <c r="AN3907" s="199">
        <f>B3907</f>
        <v>46362</v>
      </c>
      <c r="AO3907" s="159" t="s">
        <v>692</v>
      </c>
      <c r="AP3907" s="781"/>
      <c r="AQ3907" s="782">
        <v>12071839</v>
      </c>
      <c r="AR3907" s="782">
        <v>12019692</v>
      </c>
      <c r="AS3907" s="782"/>
      <c r="AT3907" s="782">
        <v>12056457</v>
      </c>
      <c r="AU3907" s="782"/>
      <c r="AV3907" s="782">
        <v>12056565</v>
      </c>
      <c r="AW3907" s="782">
        <v>12034747</v>
      </c>
      <c r="AX3907" s="782" t="s">
        <v>398</v>
      </c>
      <c r="AY3907" s="782" t="s">
        <v>513</v>
      </c>
      <c r="AZ3907" s="782"/>
      <c r="BA3907" s="781"/>
      <c r="BB3907" s="209">
        <v>23053184</v>
      </c>
    </row>
    <row r="3908" spans="1:54" ht="24.75" customHeight="1">
      <c r="B3908" s="602">
        <v>46362</v>
      </c>
      <c r="C3908" s="861" t="s">
        <v>3218</v>
      </c>
      <c r="D3908" s="604">
        <f>IF(B3908="","",YEAR(B3908))</f>
        <v>2026</v>
      </c>
      <c r="E3908" s="603" t="e">
        <f>VLOOKUP($B3908,Week!$A$1:$C$1462,2,0)</f>
        <v>#N/A</v>
      </c>
      <c r="F3908" s="605" t="str">
        <f>IF(B3908="","",TEXT(B3908,"[$-409]mmm"))</f>
        <v>Dec</v>
      </c>
      <c r="G3908" s="938" t="s">
        <v>47</v>
      </c>
      <c r="H3908" s="604" t="s">
        <v>260</v>
      </c>
      <c r="I3908" s="604" t="s">
        <v>2702</v>
      </c>
      <c r="J3908" s="939" t="s">
        <v>2240</v>
      </c>
      <c r="K3908" s="607" t="s">
        <v>94</v>
      </c>
      <c r="L3908" s="607" t="s">
        <v>2167</v>
      </c>
      <c r="M3908" s="606" t="s">
        <v>2338</v>
      </c>
      <c r="N3908" s="604" t="s">
        <v>2997</v>
      </c>
      <c r="O3908" s="604" t="s">
        <v>54</v>
      </c>
      <c r="P3908" s="608">
        <v>24</v>
      </c>
      <c r="Q3908" s="608">
        <v>5</v>
      </c>
      <c r="R3908" s="609">
        <v>6.1999999999999998E-3</v>
      </c>
      <c r="S3908" s="604" t="s">
        <v>352</v>
      </c>
      <c r="T3908" s="604" t="s">
        <v>56</v>
      </c>
      <c r="U3908" s="604" t="s">
        <v>57</v>
      </c>
      <c r="V3908" s="610">
        <f>13800-1284-2767-4842-2567</f>
        <v>2340</v>
      </c>
      <c r="W3908" s="610"/>
      <c r="X3908" s="611"/>
      <c r="Y3908" s="612">
        <f t="shared" ref="Y3908" si="2782">(W3908+X3908)-V3908</f>
        <v>-2340</v>
      </c>
      <c r="Z3908" s="613">
        <f t="shared" ref="Z3908" si="2783">IF(Y3908&lt;0,((V3908*P3908)-((W3908+X3908)*P3908)),0)</f>
        <v>56160</v>
      </c>
      <c r="AA3908" s="613">
        <f>Q3908*Z3908</f>
        <v>280800</v>
      </c>
      <c r="AB3908" s="836">
        <v>7.4999999999999997E-3</v>
      </c>
      <c r="AC3908" s="610">
        <f t="shared" ref="AC3908" si="2784">Z3908*AB3908</f>
        <v>421.2</v>
      </c>
      <c r="AD3908" s="443"/>
      <c r="AE3908" s="210">
        <f>SUM(Q3908*R3908*Z3908)/1000</f>
        <v>1.7409600000000001</v>
      </c>
      <c r="AF3908" s="210">
        <f t="shared" ref="AF3908" si="2785">AE3908/0.54</f>
        <v>3.2239999999999998</v>
      </c>
      <c r="AG3908" s="211">
        <f>MID(O3908,1,3)/1000</f>
        <v>0.13500000000000001</v>
      </c>
      <c r="AH3908" s="157">
        <f>(Z3908*AG3908)/1000</f>
        <v>7.5816000000000008</v>
      </c>
      <c r="AI3908" s="152">
        <f t="shared" ref="AI3908" si="2786">V3908*P3908</f>
        <v>56160</v>
      </c>
      <c r="AK3908" s="156" t="s">
        <v>691</v>
      </c>
      <c r="AL3908" s="574" t="s">
        <v>690</v>
      </c>
      <c r="AM3908" s="198">
        <f>AG3908*Z3908</f>
        <v>7581.6</v>
      </c>
      <c r="AN3908" s="199">
        <f>B3908</f>
        <v>46362</v>
      </c>
      <c r="AO3908" s="159" t="s">
        <v>692</v>
      </c>
      <c r="AP3908" s="783" t="s">
        <v>622</v>
      </c>
      <c r="AQ3908" s="782">
        <v>12071839</v>
      </c>
      <c r="AR3908" s="782">
        <v>12099098</v>
      </c>
      <c r="AS3908" s="782">
        <v>12068233</v>
      </c>
      <c r="AT3908" s="781"/>
      <c r="AU3908" s="781"/>
      <c r="AV3908" s="782">
        <v>12099466</v>
      </c>
      <c r="AW3908" s="781"/>
      <c r="AX3908" s="781"/>
      <c r="AY3908" s="782">
        <v>12099097</v>
      </c>
      <c r="AZ3908" s="782"/>
      <c r="BA3908" s="781"/>
      <c r="BB3908" s="209">
        <v>23053184</v>
      </c>
    </row>
    <row r="3909" spans="1:54" ht="25" customHeight="1">
      <c r="B3909" s="183">
        <v>46363</v>
      </c>
      <c r="C3909" s="184"/>
      <c r="D3909" s="185">
        <f t="shared" si="2522"/>
        <v>2026</v>
      </c>
      <c r="E3909" s="185" t="e">
        <f>VLOOKUP($B3909,Week!$A$1:$C$1462,2,0)</f>
        <v>#N/A</v>
      </c>
      <c r="F3909" s="186" t="str">
        <f t="shared" si="2523"/>
        <v>Dec</v>
      </c>
      <c r="G3909" s="481"/>
      <c r="H3909" s="185"/>
      <c r="I3909" s="185"/>
      <c r="J3909" s="187"/>
      <c r="K3909" s="188"/>
      <c r="L3909" s="188"/>
      <c r="M3909" s="187"/>
      <c r="N3909" s="185"/>
      <c r="O3909" s="185"/>
      <c r="P3909" s="189"/>
      <c r="Q3909" s="189"/>
      <c r="R3909" s="190"/>
      <c r="S3909" s="185"/>
      <c r="T3909" s="185"/>
      <c r="U3909" s="185"/>
      <c r="V3909" s="191"/>
      <c r="W3909" s="191"/>
      <c r="X3909" s="192"/>
      <c r="Y3909" s="193"/>
      <c r="Z3909" s="194"/>
      <c r="AA3909" s="194">
        <f t="shared" si="2524"/>
        <v>0</v>
      </c>
      <c r="AB3909" s="805"/>
      <c r="AC3909" s="191"/>
      <c r="AD3909" s="187"/>
      <c r="AE3909" s="195"/>
      <c r="AF3909" s="195"/>
      <c r="AG3909" s="196"/>
      <c r="AH3909" s="197"/>
      <c r="AK3909" s="156" t="s">
        <v>691</v>
      </c>
      <c r="AM3909" s="198">
        <f t="shared" si="2525"/>
        <v>0</v>
      </c>
      <c r="AN3909" s="199">
        <f t="shared" si="2526"/>
        <v>46363</v>
      </c>
      <c r="AO3909" s="159" t="s">
        <v>692</v>
      </c>
      <c r="AP3909" s="781"/>
      <c r="AQ3909" s="782"/>
      <c r="AR3909" s="782"/>
      <c r="AS3909" s="782"/>
      <c r="AT3909" s="782"/>
      <c r="AU3909" s="781"/>
      <c r="AV3909" s="782"/>
      <c r="AW3909" s="782"/>
      <c r="AX3909" s="782"/>
      <c r="AY3909" s="782"/>
      <c r="AZ3909" s="782"/>
      <c r="BA3909" s="781"/>
      <c r="BB3909" s="209"/>
    </row>
    <row r="3910" spans="1:54" ht="25" customHeight="1">
      <c r="B3910" s="183">
        <v>46364</v>
      </c>
      <c r="C3910" s="184"/>
      <c r="D3910" s="185">
        <f t="shared" ref="D3910:D3924" si="2787">IF(B3910="","",YEAR(B3910))</f>
        <v>2026</v>
      </c>
      <c r="E3910" s="185" t="e">
        <f>VLOOKUP($B3910,Week!$A$1:$C$1462,2,0)</f>
        <v>#N/A</v>
      </c>
      <c r="F3910" s="186" t="str">
        <f t="shared" ref="F3910:F3924" si="2788">IF(B3910="","",TEXT(B3910,"[$-409]mmm"))</f>
        <v>Dec</v>
      </c>
      <c r="G3910" s="481"/>
      <c r="H3910" s="185"/>
      <c r="I3910" s="185"/>
      <c r="J3910" s="187"/>
      <c r="K3910" s="188"/>
      <c r="L3910" s="188"/>
      <c r="M3910" s="187"/>
      <c r="N3910" s="185"/>
      <c r="O3910" s="185"/>
      <c r="P3910" s="189"/>
      <c r="Q3910" s="189"/>
      <c r="R3910" s="190"/>
      <c r="S3910" s="185"/>
      <c r="T3910" s="185"/>
      <c r="U3910" s="185"/>
      <c r="V3910" s="191"/>
      <c r="W3910" s="191"/>
      <c r="X3910" s="192"/>
      <c r="Y3910" s="193"/>
      <c r="Z3910" s="194"/>
      <c r="AA3910" s="194">
        <f t="shared" ref="AA3910:AA3924" si="2789">Q3910*Z3910</f>
        <v>0</v>
      </c>
      <c r="AB3910" s="805"/>
      <c r="AC3910" s="191"/>
      <c r="AD3910" s="187"/>
      <c r="AE3910" s="195"/>
      <c r="AF3910" s="195"/>
      <c r="AG3910" s="196"/>
      <c r="AH3910" s="197"/>
      <c r="AK3910" s="156" t="s">
        <v>691</v>
      </c>
      <c r="AM3910" s="198">
        <f t="shared" ref="AM3910:AM3924" si="2790">AG3910*Z3910</f>
        <v>0</v>
      </c>
      <c r="AN3910" s="199">
        <f t="shared" ref="AN3910:AN3924" si="2791">B3910</f>
        <v>46364</v>
      </c>
      <c r="AO3910" s="159" t="s">
        <v>692</v>
      </c>
      <c r="AP3910" s="781"/>
      <c r="AQ3910" s="782"/>
      <c r="AR3910" s="782"/>
      <c r="AS3910" s="782"/>
      <c r="AT3910" s="782"/>
      <c r="AU3910" s="781"/>
      <c r="AV3910" s="782"/>
      <c r="AW3910" s="782"/>
      <c r="AX3910" s="782"/>
      <c r="AY3910" s="782"/>
      <c r="AZ3910" s="782"/>
      <c r="BA3910" s="781"/>
      <c r="BB3910" s="209"/>
    </row>
    <row r="3911" spans="1:54" ht="24.65" customHeight="1">
      <c r="A3911" s="142" t="s">
        <v>120</v>
      </c>
      <c r="B3911" s="383">
        <v>46365</v>
      </c>
      <c r="C3911" s="224">
        <v>46392</v>
      </c>
      <c r="D3911" s="185">
        <f t="shared" ref="D3911:D3913" si="2792">IF(B3911="","",YEAR(B3911))</f>
        <v>2026</v>
      </c>
      <c r="E3911" s="224" t="e">
        <f>VLOOKUP($B3911,Week!$A$1:$C$1462,2,0)</f>
        <v>#N/A</v>
      </c>
      <c r="F3911" s="226" t="str">
        <f t="shared" ref="F3911:F3913" si="2793">IF(B3911="","",TEXT(B3911,"[$-409]mmm"))</f>
        <v>Dec</v>
      </c>
      <c r="G3911" s="225" t="s">
        <v>3215</v>
      </c>
      <c r="H3911" s="225" t="s">
        <v>1259</v>
      </c>
      <c r="I3911" s="225" t="s">
        <v>2772</v>
      </c>
      <c r="J3911" s="227" t="s">
        <v>512</v>
      </c>
      <c r="K3911" s="228" t="s">
        <v>85</v>
      </c>
      <c r="L3911" s="390" t="s">
        <v>2166</v>
      </c>
      <c r="M3911" s="227" t="s">
        <v>165</v>
      </c>
      <c r="N3911" s="225" t="s">
        <v>700</v>
      </c>
      <c r="O3911" s="225" t="s">
        <v>287</v>
      </c>
      <c r="P3911" s="229">
        <v>40</v>
      </c>
      <c r="Q3911" s="229">
        <v>12</v>
      </c>
      <c r="R3911" s="230">
        <v>8.1300000000000001E-3</v>
      </c>
      <c r="S3911" s="225" t="s">
        <v>40</v>
      </c>
      <c r="T3911" s="225" t="s">
        <v>112</v>
      </c>
      <c r="U3911" s="225" t="s">
        <v>89</v>
      </c>
      <c r="V3911" s="231">
        <v>541</v>
      </c>
      <c r="W3911" s="231"/>
      <c r="X3911" s="232"/>
      <c r="Y3911" s="233">
        <f t="shared" ref="Y3911:Y3913" si="2794">(W3911+X3911)-V3911</f>
        <v>-541</v>
      </c>
      <c r="Z3911" s="234">
        <f t="shared" ref="Z3911:Z3913" si="2795">IF(Y3911&lt;0,((V3911*P3911)-((W3911+X3911)*P3911)),0)</f>
        <v>21640</v>
      </c>
      <c r="AA3911" s="234">
        <f t="shared" ref="AA3911:AA3913" si="2796">Q3911*Z3911</f>
        <v>259680</v>
      </c>
      <c r="AB3911" s="822">
        <v>2</v>
      </c>
      <c r="AC3911" s="231">
        <f t="shared" ref="AC3911:AC3913" si="2797">Z3911*AB3911</f>
        <v>43280</v>
      </c>
      <c r="AD3911" s="209"/>
      <c r="AE3911" s="210">
        <f t="shared" ref="AE3911:AE3913" si="2798">SUM(Q3911*R3911*Z3911)/1000</f>
        <v>2.1111984000000001</v>
      </c>
      <c r="AF3911" s="210">
        <f t="shared" ref="AF3911:AF3913" si="2799">AE3911/0.54</f>
        <v>3.9096266666666666</v>
      </c>
      <c r="AG3911" s="211">
        <f t="shared" ref="AG3911:AG3913" si="2800">MID(O3911,1,3)/1000</f>
        <v>0.154</v>
      </c>
      <c r="AH3911" s="157">
        <f t="shared" ref="AH3911:AH3913" si="2801">(Z3911*AG3911)/1000</f>
        <v>3.33256</v>
      </c>
      <c r="AI3911" s="152">
        <f t="shared" ref="AI3911:AI3913" si="2802">V3911*P3911</f>
        <v>21640</v>
      </c>
      <c r="AK3911" s="156" t="s">
        <v>691</v>
      </c>
      <c r="AL3911" s="156" t="s">
        <v>689</v>
      </c>
      <c r="AM3911" s="198">
        <f t="shared" ref="AM3911:AM3913" si="2803">AG3911*Z3911</f>
        <v>3332.56</v>
      </c>
      <c r="AN3911" s="199">
        <f t="shared" ref="AN3911:AN3913" si="2804">B3911</f>
        <v>46365</v>
      </c>
      <c r="AO3911" s="159" t="s">
        <v>692</v>
      </c>
      <c r="AP3911" s="781"/>
      <c r="AQ3911" s="782">
        <v>12071839</v>
      </c>
      <c r="AR3911" s="782">
        <v>12019692</v>
      </c>
      <c r="AS3911" s="782"/>
      <c r="AT3911" s="782">
        <v>12056457</v>
      </c>
      <c r="AU3911" s="782"/>
      <c r="AV3911" s="782">
        <v>12056565</v>
      </c>
      <c r="AW3911" s="782">
        <v>12034747</v>
      </c>
      <c r="AX3911" s="782" t="s">
        <v>398</v>
      </c>
      <c r="AY3911" s="782" t="s">
        <v>513</v>
      </c>
      <c r="AZ3911" s="782"/>
      <c r="BA3911" s="781"/>
      <c r="BB3911" s="209">
        <v>23053184</v>
      </c>
    </row>
    <row r="3912" spans="1:54" ht="25.15" customHeight="1">
      <c r="B3912" s="345">
        <v>46365</v>
      </c>
      <c r="C3912" s="346">
        <v>46392</v>
      </c>
      <c r="D3912" s="185">
        <f>IF(B3912="","",YEAR(B3912))</f>
        <v>2026</v>
      </c>
      <c r="E3912" s="347" t="e">
        <f>VLOOKUP($B3912,Week!$A$1:$C$1462,2,0)</f>
        <v>#N/A</v>
      </c>
      <c r="F3912" s="348" t="str">
        <f>IF(B3912="","",TEXT(B3912,"[$-409]mmm"))</f>
        <v>Dec</v>
      </c>
      <c r="G3912" s="347" t="s">
        <v>3046</v>
      </c>
      <c r="H3912" s="347" t="s">
        <v>424</v>
      </c>
      <c r="I3912" s="347" t="s">
        <v>2772</v>
      </c>
      <c r="J3912" s="438" t="s">
        <v>425</v>
      </c>
      <c r="K3912" s="350" t="s">
        <v>176</v>
      </c>
      <c r="L3912" s="350" t="s">
        <v>2167</v>
      </c>
      <c r="M3912" s="349" t="s">
        <v>426</v>
      </c>
      <c r="N3912" s="347" t="s">
        <v>427</v>
      </c>
      <c r="O3912" s="347" t="s">
        <v>599</v>
      </c>
      <c r="P3912" s="351">
        <v>36</v>
      </c>
      <c r="Q3912" s="351">
        <v>5</v>
      </c>
      <c r="R3912" s="352">
        <v>7.4999999999999997E-3</v>
      </c>
      <c r="S3912" s="347" t="s">
        <v>111</v>
      </c>
      <c r="T3912" s="347" t="s">
        <v>112</v>
      </c>
      <c r="U3912" s="347" t="s">
        <v>57</v>
      </c>
      <c r="V3912" s="353">
        <v>1288</v>
      </c>
      <c r="W3912" s="353"/>
      <c r="X3912" s="354"/>
      <c r="Y3912" s="355">
        <f>(W3912+X3912)-V3912</f>
        <v>-1288</v>
      </c>
      <c r="Z3912" s="356">
        <f>IF(Y3912&lt;0,((V3912*P3912)-((W3912+X3912)*P3912)),0)</f>
        <v>46368</v>
      </c>
      <c r="AA3912" s="353">
        <f>Q3912*Z3912</f>
        <v>231840</v>
      </c>
      <c r="AB3912" s="818">
        <v>7.4999999999999997E-3</v>
      </c>
      <c r="AC3912" s="353">
        <f>Z3912*AB3912</f>
        <v>347.76</v>
      </c>
      <c r="AD3912" s="307" t="s">
        <v>3159</v>
      </c>
      <c r="AE3912" s="210">
        <f>SUM(Q3912*R3912*Z3912)/1000</f>
        <v>1.7387999999999999</v>
      </c>
      <c r="AF3912" s="210">
        <f>AE3912/0.54</f>
        <v>3.2199999999999998</v>
      </c>
      <c r="AG3912" s="211">
        <f>MID(O3912,1,3)/1000</f>
        <v>0.14799999999999999</v>
      </c>
      <c r="AH3912" s="157">
        <f>(Z3912*AG3912)/1000</f>
        <v>6.8624640000000001</v>
      </c>
      <c r="AI3912" s="152">
        <f>V3912*P3912</f>
        <v>46368</v>
      </c>
      <c r="AK3912" s="156" t="s">
        <v>691</v>
      </c>
      <c r="AL3912" s="574" t="s">
        <v>690</v>
      </c>
      <c r="AM3912" s="198">
        <f>AG3912*Z3912</f>
        <v>6862.4639999999999</v>
      </c>
      <c r="AN3912" s="199">
        <f>B3912</f>
        <v>46365</v>
      </c>
      <c r="AO3912" s="159" t="s">
        <v>692</v>
      </c>
      <c r="AP3912" s="783" t="s">
        <v>609</v>
      </c>
      <c r="AQ3912" s="782">
        <v>12071839</v>
      </c>
      <c r="AR3912" s="782">
        <v>12080260</v>
      </c>
      <c r="AS3912" s="782">
        <v>12080259</v>
      </c>
      <c r="AT3912" s="782">
        <v>12096006</v>
      </c>
      <c r="AU3912" s="782"/>
      <c r="AV3912" s="782">
        <v>12096007</v>
      </c>
      <c r="AW3912" s="782">
        <v>12024404</v>
      </c>
      <c r="AX3912" s="781"/>
      <c r="AY3912" s="782">
        <v>12096022</v>
      </c>
      <c r="AZ3912" s="782"/>
      <c r="BA3912" s="781"/>
      <c r="BB3912" s="209">
        <v>23053185</v>
      </c>
    </row>
    <row r="3913" spans="1:54" ht="24.65" customHeight="1">
      <c r="A3913" s="142" t="s">
        <v>120</v>
      </c>
      <c r="B3913" s="383">
        <v>46366</v>
      </c>
      <c r="C3913" s="224">
        <v>46392</v>
      </c>
      <c r="D3913" s="185">
        <f t="shared" si="2792"/>
        <v>2026</v>
      </c>
      <c r="E3913" s="224" t="e">
        <f>VLOOKUP($B3913,Week!$A$1:$C$1462,2,0)</f>
        <v>#N/A</v>
      </c>
      <c r="F3913" s="226" t="str">
        <f t="shared" si="2793"/>
        <v>Dec</v>
      </c>
      <c r="G3913" s="225" t="s">
        <v>3215</v>
      </c>
      <c r="H3913" s="225" t="s">
        <v>1259</v>
      </c>
      <c r="I3913" s="225" t="s">
        <v>2772</v>
      </c>
      <c r="J3913" s="227" t="s">
        <v>512</v>
      </c>
      <c r="K3913" s="228" t="s">
        <v>85</v>
      </c>
      <c r="L3913" s="390" t="s">
        <v>2166</v>
      </c>
      <c r="M3913" s="227" t="s">
        <v>165</v>
      </c>
      <c r="N3913" s="225" t="s">
        <v>700</v>
      </c>
      <c r="O3913" s="225" t="s">
        <v>287</v>
      </c>
      <c r="P3913" s="229">
        <v>40</v>
      </c>
      <c r="Q3913" s="229">
        <v>12</v>
      </c>
      <c r="R3913" s="230">
        <v>8.1300000000000001E-3</v>
      </c>
      <c r="S3913" s="225" t="s">
        <v>40</v>
      </c>
      <c r="T3913" s="225" t="s">
        <v>112</v>
      </c>
      <c r="U3913" s="225" t="s">
        <v>89</v>
      </c>
      <c r="V3913" s="231">
        <f>1624-541-541</f>
        <v>542</v>
      </c>
      <c r="W3913" s="231"/>
      <c r="X3913" s="232"/>
      <c r="Y3913" s="233">
        <f t="shared" si="2794"/>
        <v>-542</v>
      </c>
      <c r="Z3913" s="234">
        <f t="shared" si="2795"/>
        <v>21680</v>
      </c>
      <c r="AA3913" s="234">
        <f t="shared" si="2796"/>
        <v>260160</v>
      </c>
      <c r="AB3913" s="822">
        <v>2</v>
      </c>
      <c r="AC3913" s="231">
        <f t="shared" si="2797"/>
        <v>43360</v>
      </c>
      <c r="AD3913" s="209"/>
      <c r="AE3913" s="210">
        <f t="shared" si="2798"/>
        <v>2.1151008</v>
      </c>
      <c r="AF3913" s="210">
        <f t="shared" si="2799"/>
        <v>3.9168533333333331</v>
      </c>
      <c r="AG3913" s="211">
        <f t="shared" si="2800"/>
        <v>0.154</v>
      </c>
      <c r="AH3913" s="157">
        <f t="shared" si="2801"/>
        <v>3.3387199999999999</v>
      </c>
      <c r="AI3913" s="152">
        <f t="shared" si="2802"/>
        <v>21680</v>
      </c>
      <c r="AK3913" s="156" t="s">
        <v>691</v>
      </c>
      <c r="AL3913" s="156" t="s">
        <v>689</v>
      </c>
      <c r="AM3913" s="198">
        <f t="shared" si="2803"/>
        <v>3338.72</v>
      </c>
      <c r="AN3913" s="199">
        <f t="shared" si="2804"/>
        <v>46366</v>
      </c>
      <c r="AO3913" s="159" t="s">
        <v>692</v>
      </c>
      <c r="AP3913" s="781"/>
      <c r="AQ3913" s="782">
        <v>12071839</v>
      </c>
      <c r="AR3913" s="782">
        <v>12019692</v>
      </c>
      <c r="AS3913" s="782"/>
      <c r="AT3913" s="782">
        <v>12056457</v>
      </c>
      <c r="AU3913" s="782"/>
      <c r="AV3913" s="782">
        <v>12056565</v>
      </c>
      <c r="AW3913" s="782">
        <v>12034747</v>
      </c>
      <c r="AX3913" s="782" t="s">
        <v>398</v>
      </c>
      <c r="AY3913" s="782" t="s">
        <v>513</v>
      </c>
      <c r="AZ3913" s="782"/>
      <c r="BA3913" s="781"/>
      <c r="BB3913" s="209">
        <v>23053184</v>
      </c>
    </row>
    <row r="3914" spans="1:54" ht="24.65" customHeight="1">
      <c r="A3914" s="142" t="s">
        <v>120</v>
      </c>
      <c r="B3914" s="383">
        <v>46367</v>
      </c>
      <c r="C3914" s="224">
        <v>39087</v>
      </c>
      <c r="D3914" s="185">
        <f>IF(B3914="","",YEAR(B3914))</f>
        <v>2026</v>
      </c>
      <c r="E3914" s="224" t="e">
        <f>VLOOKUP($B3914,Week!$A$1:$C$1462,2,0)</f>
        <v>#N/A</v>
      </c>
      <c r="F3914" s="226" t="str">
        <f>IF(B3914="","",TEXT(B3914,"[$-409]mmm"))</f>
        <v>Dec</v>
      </c>
      <c r="G3914" s="225" t="s">
        <v>3216</v>
      </c>
      <c r="H3914" s="225" t="s">
        <v>1259</v>
      </c>
      <c r="I3914" s="225" t="s">
        <v>2772</v>
      </c>
      <c r="J3914" s="227" t="s">
        <v>512</v>
      </c>
      <c r="K3914" s="228" t="s">
        <v>85</v>
      </c>
      <c r="L3914" s="390" t="s">
        <v>2166</v>
      </c>
      <c r="M3914" s="227" t="s">
        <v>165</v>
      </c>
      <c r="N3914" s="225" t="s">
        <v>700</v>
      </c>
      <c r="O3914" s="225" t="s">
        <v>287</v>
      </c>
      <c r="P3914" s="229">
        <v>40</v>
      </c>
      <c r="Q3914" s="229">
        <v>12</v>
      </c>
      <c r="R3914" s="230">
        <v>8.1300000000000001E-3</v>
      </c>
      <c r="S3914" s="225" t="s">
        <v>40</v>
      </c>
      <c r="T3914" s="225" t="s">
        <v>112</v>
      </c>
      <c r="U3914" s="225" t="s">
        <v>89</v>
      </c>
      <c r="V3914" s="231">
        <f>541</f>
        <v>541</v>
      </c>
      <c r="W3914" s="231"/>
      <c r="X3914" s="232"/>
      <c r="Y3914" s="233">
        <f>(W3914+X3914)-V3914</f>
        <v>-541</v>
      </c>
      <c r="Z3914" s="234">
        <f>IF(Y3914&lt;0,((V3914*P3914)-((W3914+X3914)*P3914)),0)</f>
        <v>21640</v>
      </c>
      <c r="AA3914" s="234">
        <f>Q3914*Z3914</f>
        <v>259680</v>
      </c>
      <c r="AB3914" s="822">
        <v>2</v>
      </c>
      <c r="AC3914" s="231">
        <f>Z3914*AB3914</f>
        <v>43280</v>
      </c>
      <c r="AD3914" s="209"/>
      <c r="AE3914" s="210">
        <f>SUM(Q3914*R3914*Z3914)/1000</f>
        <v>2.1111984000000001</v>
      </c>
      <c r="AF3914" s="210">
        <f>AE3914/0.54</f>
        <v>3.9096266666666666</v>
      </c>
      <c r="AG3914" s="211">
        <f>MID(O3914,1,3)/1000</f>
        <v>0.154</v>
      </c>
      <c r="AH3914" s="157">
        <f>(Z3914*AG3914)/1000</f>
        <v>3.33256</v>
      </c>
      <c r="AI3914" s="152">
        <f>V3914*P3914</f>
        <v>21640</v>
      </c>
      <c r="AK3914" s="156" t="s">
        <v>691</v>
      </c>
      <c r="AL3914" s="156" t="s">
        <v>689</v>
      </c>
      <c r="AM3914" s="198">
        <f>AG3914*Z3914</f>
        <v>3332.56</v>
      </c>
      <c r="AN3914" s="199">
        <f>B3914</f>
        <v>46367</v>
      </c>
      <c r="AO3914" s="159" t="s">
        <v>692</v>
      </c>
      <c r="AP3914" s="781"/>
      <c r="AQ3914" s="782">
        <v>12071839</v>
      </c>
      <c r="AR3914" s="782">
        <v>12019692</v>
      </c>
      <c r="AS3914" s="782"/>
      <c r="AT3914" s="782">
        <v>12056457</v>
      </c>
      <c r="AU3914" s="782"/>
      <c r="AV3914" s="782">
        <v>12056565</v>
      </c>
      <c r="AW3914" s="782">
        <v>12034747</v>
      </c>
      <c r="AX3914" s="782" t="s">
        <v>398</v>
      </c>
      <c r="AY3914" s="782" t="s">
        <v>513</v>
      </c>
      <c r="AZ3914" s="782"/>
      <c r="BA3914" s="781"/>
      <c r="BB3914" s="209">
        <v>23053184</v>
      </c>
    </row>
    <row r="3915" spans="1:54" ht="24.65" customHeight="1">
      <c r="A3915" s="142" t="s">
        <v>120</v>
      </c>
      <c r="B3915" s="383">
        <v>46368</v>
      </c>
      <c r="C3915" s="224">
        <v>39087</v>
      </c>
      <c r="D3915" s="185">
        <f t="shared" ref="D3915:D3916" si="2805">IF(B3915="","",YEAR(B3915))</f>
        <v>2026</v>
      </c>
      <c r="E3915" s="224" t="e">
        <f>VLOOKUP($B3915,Week!$A$1:$C$1462,2,0)</f>
        <v>#N/A</v>
      </c>
      <c r="F3915" s="226" t="str">
        <f t="shared" ref="F3915:F3916" si="2806">IF(B3915="","",TEXT(B3915,"[$-409]mmm"))</f>
        <v>Dec</v>
      </c>
      <c r="G3915" s="225" t="s">
        <v>3216</v>
      </c>
      <c r="H3915" s="225" t="s">
        <v>1259</v>
      </c>
      <c r="I3915" s="225" t="s">
        <v>2772</v>
      </c>
      <c r="J3915" s="227" t="s">
        <v>512</v>
      </c>
      <c r="K3915" s="228" t="s">
        <v>85</v>
      </c>
      <c r="L3915" s="390" t="s">
        <v>2166</v>
      </c>
      <c r="M3915" s="227" t="s">
        <v>165</v>
      </c>
      <c r="N3915" s="225" t="s">
        <v>700</v>
      </c>
      <c r="O3915" s="225" t="s">
        <v>287</v>
      </c>
      <c r="P3915" s="229">
        <v>40</v>
      </c>
      <c r="Q3915" s="229">
        <v>12</v>
      </c>
      <c r="R3915" s="230">
        <v>8.1300000000000001E-3</v>
      </c>
      <c r="S3915" s="225" t="s">
        <v>40</v>
      </c>
      <c r="T3915" s="225" t="s">
        <v>112</v>
      </c>
      <c r="U3915" s="225" t="s">
        <v>89</v>
      </c>
      <c r="V3915" s="231">
        <v>541</v>
      </c>
      <c r="W3915" s="231"/>
      <c r="X3915" s="232"/>
      <c r="Y3915" s="233">
        <f t="shared" ref="Y3915:Y3916" si="2807">(W3915+X3915)-V3915</f>
        <v>-541</v>
      </c>
      <c r="Z3915" s="234">
        <f t="shared" ref="Z3915:Z3916" si="2808">IF(Y3915&lt;0,((V3915*P3915)-((W3915+X3915)*P3915)),0)</f>
        <v>21640</v>
      </c>
      <c r="AA3915" s="234">
        <f t="shared" ref="AA3915:AA3916" si="2809">Q3915*Z3915</f>
        <v>259680</v>
      </c>
      <c r="AB3915" s="822">
        <v>2</v>
      </c>
      <c r="AC3915" s="231">
        <f t="shared" ref="AC3915:AC3916" si="2810">Z3915*AB3915</f>
        <v>43280</v>
      </c>
      <c r="AD3915" s="209"/>
      <c r="AE3915" s="210">
        <f t="shared" ref="AE3915:AE3916" si="2811">SUM(Q3915*R3915*Z3915)/1000</f>
        <v>2.1111984000000001</v>
      </c>
      <c r="AF3915" s="210">
        <f t="shared" ref="AF3915:AF3916" si="2812">AE3915/0.54</f>
        <v>3.9096266666666666</v>
      </c>
      <c r="AG3915" s="211">
        <f t="shared" ref="AG3915:AG3916" si="2813">MID(O3915,1,3)/1000</f>
        <v>0.154</v>
      </c>
      <c r="AH3915" s="157">
        <f t="shared" ref="AH3915:AH3916" si="2814">(Z3915*AG3915)/1000</f>
        <v>3.33256</v>
      </c>
      <c r="AI3915" s="152">
        <f t="shared" ref="AI3915:AI3916" si="2815">V3915*P3915</f>
        <v>21640</v>
      </c>
      <c r="AK3915" s="156" t="s">
        <v>691</v>
      </c>
      <c r="AL3915" s="156" t="s">
        <v>689</v>
      </c>
      <c r="AM3915" s="198">
        <f t="shared" ref="AM3915:AM3916" si="2816">AG3915*Z3915</f>
        <v>3332.56</v>
      </c>
      <c r="AN3915" s="199">
        <f t="shared" ref="AN3915:AN3916" si="2817">B3915</f>
        <v>46368</v>
      </c>
      <c r="AO3915" s="159" t="s">
        <v>692</v>
      </c>
      <c r="AP3915" s="781"/>
      <c r="AQ3915" s="782">
        <v>12071839</v>
      </c>
      <c r="AR3915" s="782">
        <v>12019692</v>
      </c>
      <c r="AS3915" s="782"/>
      <c r="AT3915" s="782">
        <v>12056457</v>
      </c>
      <c r="AU3915" s="782"/>
      <c r="AV3915" s="782">
        <v>12056565</v>
      </c>
      <c r="AW3915" s="782">
        <v>12034747</v>
      </c>
      <c r="AX3915" s="782" t="s">
        <v>398</v>
      </c>
      <c r="AY3915" s="782" t="s">
        <v>513</v>
      </c>
      <c r="AZ3915" s="782"/>
      <c r="BA3915" s="781"/>
      <c r="BB3915" s="209">
        <v>23053184</v>
      </c>
    </row>
    <row r="3916" spans="1:54" ht="24.65" customHeight="1">
      <c r="A3916" s="142" t="s">
        <v>120</v>
      </c>
      <c r="B3916" s="383">
        <v>46369</v>
      </c>
      <c r="C3916" s="224">
        <v>39087</v>
      </c>
      <c r="D3916" s="185">
        <f t="shared" si="2805"/>
        <v>2026</v>
      </c>
      <c r="E3916" s="224" t="e">
        <f>VLOOKUP($B3916,Week!$A$1:$C$1462,2,0)</f>
        <v>#N/A</v>
      </c>
      <c r="F3916" s="226" t="str">
        <f t="shared" si="2806"/>
        <v>Dec</v>
      </c>
      <c r="G3916" s="225" t="s">
        <v>3216</v>
      </c>
      <c r="H3916" s="225" t="s">
        <v>1259</v>
      </c>
      <c r="I3916" s="225" t="s">
        <v>2772</v>
      </c>
      <c r="J3916" s="227" t="s">
        <v>512</v>
      </c>
      <c r="K3916" s="228" t="s">
        <v>85</v>
      </c>
      <c r="L3916" s="390" t="s">
        <v>2166</v>
      </c>
      <c r="M3916" s="227" t="s">
        <v>165</v>
      </c>
      <c r="N3916" s="225" t="s">
        <v>700</v>
      </c>
      <c r="O3916" s="225" t="s">
        <v>287</v>
      </c>
      <c r="P3916" s="229">
        <v>40</v>
      </c>
      <c r="Q3916" s="229">
        <v>12</v>
      </c>
      <c r="R3916" s="230">
        <v>8.1300000000000001E-3</v>
      </c>
      <c r="S3916" s="225" t="s">
        <v>40</v>
      </c>
      <c r="T3916" s="225" t="s">
        <v>112</v>
      </c>
      <c r="U3916" s="225" t="s">
        <v>89</v>
      </c>
      <c r="V3916" s="231">
        <f>1624-541-541</f>
        <v>542</v>
      </c>
      <c r="W3916" s="231"/>
      <c r="X3916" s="232"/>
      <c r="Y3916" s="233">
        <f t="shared" si="2807"/>
        <v>-542</v>
      </c>
      <c r="Z3916" s="234">
        <f t="shared" si="2808"/>
        <v>21680</v>
      </c>
      <c r="AA3916" s="234">
        <f t="shared" si="2809"/>
        <v>260160</v>
      </c>
      <c r="AB3916" s="822">
        <v>2</v>
      </c>
      <c r="AC3916" s="231">
        <f t="shared" si="2810"/>
        <v>43360</v>
      </c>
      <c r="AD3916" s="209"/>
      <c r="AE3916" s="210">
        <f t="shared" si="2811"/>
        <v>2.1151008</v>
      </c>
      <c r="AF3916" s="210">
        <f t="shared" si="2812"/>
        <v>3.9168533333333331</v>
      </c>
      <c r="AG3916" s="211">
        <f t="shared" si="2813"/>
        <v>0.154</v>
      </c>
      <c r="AH3916" s="157">
        <f t="shared" si="2814"/>
        <v>3.3387199999999999</v>
      </c>
      <c r="AI3916" s="152">
        <f t="shared" si="2815"/>
        <v>21680</v>
      </c>
      <c r="AK3916" s="156" t="s">
        <v>691</v>
      </c>
      <c r="AL3916" s="156" t="s">
        <v>689</v>
      </c>
      <c r="AM3916" s="198">
        <f t="shared" si="2816"/>
        <v>3338.72</v>
      </c>
      <c r="AN3916" s="199">
        <f t="shared" si="2817"/>
        <v>46369</v>
      </c>
      <c r="AO3916" s="159" t="s">
        <v>692</v>
      </c>
      <c r="AP3916" s="781"/>
      <c r="AQ3916" s="782">
        <v>12071839</v>
      </c>
      <c r="AR3916" s="782">
        <v>12019692</v>
      </c>
      <c r="AS3916" s="782"/>
      <c r="AT3916" s="782">
        <v>12056457</v>
      </c>
      <c r="AU3916" s="782"/>
      <c r="AV3916" s="782">
        <v>12056565</v>
      </c>
      <c r="AW3916" s="782">
        <v>12034747</v>
      </c>
      <c r="AX3916" s="782" t="s">
        <v>398</v>
      </c>
      <c r="AY3916" s="782" t="s">
        <v>513</v>
      </c>
      <c r="AZ3916" s="782"/>
      <c r="BA3916" s="781"/>
      <c r="BB3916" s="209">
        <v>23053184</v>
      </c>
    </row>
    <row r="3917" spans="1:54" ht="25" customHeight="1">
      <c r="B3917" s="183">
        <v>46370</v>
      </c>
      <c r="C3917" s="184"/>
      <c r="D3917" s="185">
        <f t="shared" si="2787"/>
        <v>2026</v>
      </c>
      <c r="E3917" s="185" t="e">
        <f>VLOOKUP($B3917,Week!$A$1:$C$1462,2,0)</f>
        <v>#N/A</v>
      </c>
      <c r="F3917" s="186" t="str">
        <f t="shared" si="2788"/>
        <v>Dec</v>
      </c>
      <c r="G3917" s="481"/>
      <c r="H3917" s="185"/>
      <c r="I3917" s="185"/>
      <c r="J3917" s="187"/>
      <c r="K3917" s="188"/>
      <c r="L3917" s="188"/>
      <c r="M3917" s="187"/>
      <c r="N3917" s="185"/>
      <c r="O3917" s="185"/>
      <c r="P3917" s="189"/>
      <c r="Q3917" s="189"/>
      <c r="R3917" s="190"/>
      <c r="S3917" s="185"/>
      <c r="T3917" s="185"/>
      <c r="U3917" s="185"/>
      <c r="V3917" s="191"/>
      <c r="W3917" s="191"/>
      <c r="X3917" s="192"/>
      <c r="Y3917" s="193"/>
      <c r="Z3917" s="194"/>
      <c r="AA3917" s="194">
        <f t="shared" si="2789"/>
        <v>0</v>
      </c>
      <c r="AB3917" s="805"/>
      <c r="AC3917" s="191"/>
      <c r="AD3917" s="187"/>
      <c r="AE3917" s="195"/>
      <c r="AF3917" s="195"/>
      <c r="AG3917" s="196"/>
      <c r="AH3917" s="197"/>
      <c r="AK3917" s="156" t="s">
        <v>691</v>
      </c>
      <c r="AM3917" s="198">
        <f t="shared" si="2790"/>
        <v>0</v>
      </c>
      <c r="AN3917" s="199">
        <f t="shared" si="2791"/>
        <v>46370</v>
      </c>
      <c r="AO3917" s="159" t="s">
        <v>692</v>
      </c>
      <c r="AP3917" s="781"/>
      <c r="AQ3917" s="782"/>
      <c r="AR3917" s="782"/>
      <c r="AS3917" s="782"/>
      <c r="AT3917" s="782"/>
      <c r="AU3917" s="781"/>
      <c r="AV3917" s="782"/>
      <c r="AW3917" s="782"/>
      <c r="AX3917" s="782"/>
      <c r="AY3917" s="782"/>
      <c r="AZ3917" s="782"/>
      <c r="BA3917" s="781"/>
      <c r="BB3917" s="209"/>
    </row>
    <row r="3918" spans="1:54" ht="25" customHeight="1">
      <c r="B3918" s="183">
        <v>46371</v>
      </c>
      <c r="C3918" s="184"/>
      <c r="D3918" s="185">
        <f t="shared" ref="D3918:D3920" si="2818">IF(B3918="","",YEAR(B3918))</f>
        <v>2026</v>
      </c>
      <c r="E3918" s="185" t="e">
        <f>VLOOKUP($B3918,Week!$A$1:$C$1462,2,0)</f>
        <v>#N/A</v>
      </c>
      <c r="F3918" s="186" t="str">
        <f t="shared" ref="F3918:F3920" si="2819">IF(B3918="","",TEXT(B3918,"[$-409]mmm"))</f>
        <v>Dec</v>
      </c>
      <c r="G3918" s="481"/>
      <c r="H3918" s="185"/>
      <c r="I3918" s="185"/>
      <c r="J3918" s="187"/>
      <c r="K3918" s="188"/>
      <c r="L3918" s="188"/>
      <c r="M3918" s="187"/>
      <c r="N3918" s="185"/>
      <c r="O3918" s="185"/>
      <c r="P3918" s="189"/>
      <c r="Q3918" s="189"/>
      <c r="R3918" s="190"/>
      <c r="S3918" s="185"/>
      <c r="T3918" s="185"/>
      <c r="U3918" s="185"/>
      <c r="V3918" s="191"/>
      <c r="W3918" s="191"/>
      <c r="X3918" s="192"/>
      <c r="Y3918" s="193"/>
      <c r="Z3918" s="194"/>
      <c r="AA3918" s="194">
        <f t="shared" ref="AA3918:AA3920" si="2820">Q3918*Z3918</f>
        <v>0</v>
      </c>
      <c r="AB3918" s="805"/>
      <c r="AC3918" s="191"/>
      <c r="AD3918" s="187"/>
      <c r="AE3918" s="195"/>
      <c r="AF3918" s="195"/>
      <c r="AG3918" s="196"/>
      <c r="AH3918" s="197"/>
      <c r="AK3918" s="156" t="s">
        <v>691</v>
      </c>
      <c r="AM3918" s="198">
        <f t="shared" ref="AM3918:AM3920" si="2821">AG3918*Z3918</f>
        <v>0</v>
      </c>
      <c r="AN3918" s="199">
        <f t="shared" ref="AN3918:AN3920" si="2822">B3918</f>
        <v>46371</v>
      </c>
      <c r="AO3918" s="159" t="s">
        <v>692</v>
      </c>
      <c r="AP3918" s="781"/>
      <c r="AQ3918" s="782"/>
      <c r="AR3918" s="782"/>
      <c r="AS3918" s="782"/>
      <c r="AT3918" s="782"/>
      <c r="AU3918" s="781"/>
      <c r="AV3918" s="782"/>
      <c r="AW3918" s="782"/>
      <c r="AX3918" s="782"/>
      <c r="AY3918" s="782"/>
      <c r="AZ3918" s="782"/>
      <c r="BA3918" s="781"/>
      <c r="BB3918" s="209"/>
    </row>
    <row r="3919" spans="1:54" ht="25" customHeight="1">
      <c r="A3919" s="529" t="s">
        <v>3174</v>
      </c>
      <c r="B3919" s="920">
        <v>46372</v>
      </c>
      <c r="C3919" s="921">
        <v>46393</v>
      </c>
      <c r="D3919" s="922">
        <f>IF(B3919="","",YEAR(B3919))</f>
        <v>2026</v>
      </c>
      <c r="E3919" s="921" t="e">
        <f>VLOOKUP($B3919,Week!$A$1:$C$1462,2,0)</f>
        <v>#N/A</v>
      </c>
      <c r="F3919" s="923" t="str">
        <f>IF(B3919="","",TEXT(B3919,"[$-409]mmm"))</f>
        <v>Dec</v>
      </c>
      <c r="G3919" s="922" t="s">
        <v>3173</v>
      </c>
      <c r="H3919" s="922" t="s">
        <v>424</v>
      </c>
      <c r="I3919" s="922" t="s">
        <v>2772</v>
      </c>
      <c r="J3919" s="924" t="s">
        <v>425</v>
      </c>
      <c r="K3919" s="925" t="s">
        <v>2975</v>
      </c>
      <c r="L3919" s="925" t="s">
        <v>2167</v>
      </c>
      <c r="M3919" s="924" t="s">
        <v>2976</v>
      </c>
      <c r="N3919" s="926" t="s">
        <v>2972</v>
      </c>
      <c r="O3919" s="922" t="s">
        <v>2953</v>
      </c>
      <c r="P3919" s="927">
        <v>12</v>
      </c>
      <c r="Q3919" s="927">
        <v>3</v>
      </c>
      <c r="R3919" s="928">
        <v>0.01</v>
      </c>
      <c r="S3919" s="922" t="s">
        <v>2973</v>
      </c>
      <c r="T3919" s="922" t="s">
        <v>77</v>
      </c>
      <c r="U3919" s="929" t="s">
        <v>2974</v>
      </c>
      <c r="V3919" s="930">
        <f>2278</f>
        <v>2278</v>
      </c>
      <c r="W3919" s="930"/>
      <c r="X3919" s="931"/>
      <c r="Y3919" s="932">
        <f>(W3919+X3919)-V3919</f>
        <v>-2278</v>
      </c>
      <c r="Z3919" s="933">
        <f>IF(Y3919&lt;0,((V3919*P3919)-((W3919+X3919)*P3919)),0)</f>
        <v>27336</v>
      </c>
      <c r="AA3919" s="933">
        <f>Q3919*Z3919</f>
        <v>82008</v>
      </c>
      <c r="AB3919" s="934"/>
      <c r="AC3919" s="930">
        <f>Z3919*AB3919</f>
        <v>0</v>
      </c>
      <c r="AD3919" s="443" t="s">
        <v>3191</v>
      </c>
      <c r="AE3919" s="210">
        <f>SUM(Q3919*R3919*Z3919)/1000</f>
        <v>0.82007999999999992</v>
      </c>
      <c r="AF3919" s="210">
        <f>AE3919/0.54</f>
        <v>1.5186666666666664</v>
      </c>
      <c r="AG3919" s="211">
        <f>MID(O3919,1,3)/1000</f>
        <v>0.31</v>
      </c>
      <c r="AH3919" s="157">
        <v>0.26621999999999996</v>
      </c>
      <c r="AI3919" s="152">
        <f>V3919*P3919</f>
        <v>27336</v>
      </c>
      <c r="AK3919" s="156" t="s">
        <v>691</v>
      </c>
      <c r="AL3919" s="574" t="s">
        <v>690</v>
      </c>
      <c r="AM3919" s="198">
        <f>AG3919*Z3919</f>
        <v>8474.16</v>
      </c>
      <c r="AN3919" s="199">
        <f>B3919</f>
        <v>46372</v>
      </c>
      <c r="AO3919" s="159" t="s">
        <v>692</v>
      </c>
      <c r="AP3919" s="781"/>
      <c r="AQ3919" s="782">
        <v>12063755</v>
      </c>
      <c r="AR3919" s="782" t="s">
        <v>3021</v>
      </c>
      <c r="AS3919" s="782">
        <v>12081260</v>
      </c>
      <c r="AT3919" s="798" t="s">
        <v>3022</v>
      </c>
      <c r="AU3919" s="783"/>
      <c r="AV3919" s="782">
        <v>12098989</v>
      </c>
      <c r="AW3919" s="783"/>
      <c r="AX3919" s="781"/>
      <c r="AY3919" s="796"/>
      <c r="AZ3919" s="796"/>
      <c r="BA3919" s="796"/>
      <c r="BB3919" s="209"/>
    </row>
    <row r="3920" spans="1:54" ht="25" customHeight="1">
      <c r="B3920" s="183">
        <v>46377</v>
      </c>
      <c r="C3920" s="184"/>
      <c r="D3920" s="185">
        <f t="shared" si="2818"/>
        <v>2026</v>
      </c>
      <c r="E3920" s="185" t="e">
        <f>VLOOKUP($B3920,Week!$A$1:$C$1462,2,0)</f>
        <v>#N/A</v>
      </c>
      <c r="F3920" s="186" t="str">
        <f t="shared" si="2819"/>
        <v>Dec</v>
      </c>
      <c r="G3920" s="481"/>
      <c r="H3920" s="185"/>
      <c r="I3920" s="185"/>
      <c r="J3920" s="187"/>
      <c r="K3920" s="188"/>
      <c r="L3920" s="188"/>
      <c r="M3920" s="187"/>
      <c r="N3920" s="185"/>
      <c r="O3920" s="185"/>
      <c r="P3920" s="189"/>
      <c r="Q3920" s="189"/>
      <c r="R3920" s="190"/>
      <c r="S3920" s="185"/>
      <c r="T3920" s="185"/>
      <c r="U3920" s="185"/>
      <c r="V3920" s="191"/>
      <c r="W3920" s="191"/>
      <c r="X3920" s="192"/>
      <c r="Y3920" s="193"/>
      <c r="Z3920" s="194"/>
      <c r="AA3920" s="194">
        <f t="shared" si="2820"/>
        <v>0</v>
      </c>
      <c r="AB3920" s="805"/>
      <c r="AC3920" s="191"/>
      <c r="AD3920" s="187"/>
      <c r="AE3920" s="195"/>
      <c r="AF3920" s="195"/>
      <c r="AG3920" s="196"/>
      <c r="AH3920" s="197"/>
      <c r="AK3920" s="156" t="s">
        <v>691</v>
      </c>
      <c r="AM3920" s="198">
        <f t="shared" si="2821"/>
        <v>0</v>
      </c>
      <c r="AN3920" s="199">
        <f t="shared" si="2822"/>
        <v>46377</v>
      </c>
      <c r="AO3920" s="159" t="s">
        <v>692</v>
      </c>
      <c r="AP3920" s="781"/>
      <c r="AQ3920" s="782"/>
      <c r="AR3920" s="782"/>
      <c r="AS3920" s="782"/>
      <c r="AT3920" s="782"/>
      <c r="AU3920" s="781"/>
      <c r="AV3920" s="782"/>
      <c r="AW3920" s="782"/>
      <c r="AX3920" s="782"/>
      <c r="AY3920" s="782"/>
      <c r="AZ3920" s="782"/>
      <c r="BA3920" s="781"/>
      <c r="BB3920" s="209"/>
    </row>
    <row r="3921" spans="1:54" ht="25" customHeight="1">
      <c r="B3921" s="183">
        <v>46378</v>
      </c>
      <c r="C3921" s="184"/>
      <c r="D3921" s="185">
        <f t="shared" si="2787"/>
        <v>2026</v>
      </c>
      <c r="E3921" s="185" t="e">
        <f>VLOOKUP($B3921,Week!$A$1:$C$1462,2,0)</f>
        <v>#N/A</v>
      </c>
      <c r="F3921" s="186" t="str">
        <f t="shared" si="2788"/>
        <v>Dec</v>
      </c>
      <c r="G3921" s="481"/>
      <c r="H3921" s="185"/>
      <c r="I3921" s="185"/>
      <c r="J3921" s="187"/>
      <c r="K3921" s="188"/>
      <c r="L3921" s="188"/>
      <c r="M3921" s="187"/>
      <c r="N3921" s="185"/>
      <c r="O3921" s="185"/>
      <c r="P3921" s="189"/>
      <c r="Q3921" s="189"/>
      <c r="R3921" s="190"/>
      <c r="S3921" s="185"/>
      <c r="T3921" s="185"/>
      <c r="U3921" s="185"/>
      <c r="V3921" s="191"/>
      <c r="W3921" s="191"/>
      <c r="X3921" s="192"/>
      <c r="Y3921" s="193"/>
      <c r="Z3921" s="194"/>
      <c r="AA3921" s="194">
        <f t="shared" si="2789"/>
        <v>0</v>
      </c>
      <c r="AB3921" s="805"/>
      <c r="AC3921" s="191"/>
      <c r="AD3921" s="187"/>
      <c r="AE3921" s="195"/>
      <c r="AF3921" s="195"/>
      <c r="AG3921" s="196"/>
      <c r="AH3921" s="197"/>
      <c r="AK3921" s="156" t="s">
        <v>691</v>
      </c>
      <c r="AM3921" s="198">
        <f t="shared" si="2790"/>
        <v>0</v>
      </c>
      <c r="AN3921" s="199">
        <f t="shared" si="2791"/>
        <v>46378</v>
      </c>
      <c r="AO3921" s="159" t="s">
        <v>692</v>
      </c>
      <c r="AP3921" s="781"/>
      <c r="AQ3921" s="782"/>
      <c r="AR3921" s="782"/>
      <c r="AS3921" s="782"/>
      <c r="AT3921" s="782"/>
      <c r="AU3921" s="781"/>
      <c r="AV3921" s="782"/>
      <c r="AW3921" s="782"/>
      <c r="AX3921" s="782"/>
      <c r="AY3921" s="782"/>
      <c r="AZ3921" s="782"/>
      <c r="BA3921" s="781"/>
      <c r="BB3921" s="209"/>
    </row>
    <row r="3922" spans="1:54" ht="25" customHeight="1">
      <c r="B3922" s="183">
        <v>46384</v>
      </c>
      <c r="C3922" s="184"/>
      <c r="D3922" s="185">
        <f t="shared" si="2787"/>
        <v>2026</v>
      </c>
      <c r="E3922" s="185" t="e">
        <f>VLOOKUP($B3922,Week!$A$1:$C$1462,2,0)</f>
        <v>#N/A</v>
      </c>
      <c r="F3922" s="186" t="str">
        <f t="shared" si="2788"/>
        <v>Dec</v>
      </c>
      <c r="G3922" s="481"/>
      <c r="H3922" s="185"/>
      <c r="I3922" s="185"/>
      <c r="J3922" s="187"/>
      <c r="K3922" s="188"/>
      <c r="L3922" s="188"/>
      <c r="M3922" s="187"/>
      <c r="N3922" s="185"/>
      <c r="O3922" s="185"/>
      <c r="P3922" s="189"/>
      <c r="Q3922" s="189"/>
      <c r="R3922" s="190"/>
      <c r="S3922" s="185"/>
      <c r="T3922" s="185"/>
      <c r="U3922" s="185"/>
      <c r="V3922" s="191"/>
      <c r="W3922" s="191"/>
      <c r="X3922" s="192"/>
      <c r="Y3922" s="193"/>
      <c r="Z3922" s="194"/>
      <c r="AA3922" s="194">
        <f t="shared" si="2789"/>
        <v>0</v>
      </c>
      <c r="AB3922" s="805"/>
      <c r="AC3922" s="191"/>
      <c r="AD3922" s="187"/>
      <c r="AE3922" s="195"/>
      <c r="AF3922" s="195"/>
      <c r="AG3922" s="196"/>
      <c r="AH3922" s="197"/>
      <c r="AK3922" s="156" t="s">
        <v>691</v>
      </c>
      <c r="AM3922" s="198">
        <f t="shared" si="2790"/>
        <v>0</v>
      </c>
      <c r="AN3922" s="199">
        <f t="shared" si="2791"/>
        <v>46384</v>
      </c>
      <c r="AO3922" s="159" t="s">
        <v>692</v>
      </c>
      <c r="AP3922" s="781"/>
      <c r="AQ3922" s="782"/>
      <c r="AR3922" s="782"/>
      <c r="AS3922" s="782"/>
      <c r="AT3922" s="782"/>
      <c r="AU3922" s="781"/>
      <c r="AV3922" s="782"/>
      <c r="AW3922" s="782"/>
      <c r="AX3922" s="782"/>
      <c r="AY3922" s="782"/>
      <c r="AZ3922" s="782"/>
      <c r="BA3922" s="781"/>
      <c r="BB3922" s="209"/>
    </row>
    <row r="3923" spans="1:54" ht="25" customHeight="1">
      <c r="B3923" s="183">
        <v>46385</v>
      </c>
      <c r="C3923" s="184"/>
      <c r="D3923" s="185">
        <f>IF(B3923="","",YEAR(B3923))</f>
        <v>2026</v>
      </c>
      <c r="E3923" s="185" t="e">
        <f>VLOOKUP($B3923,Week!$A$1:$C$1462,2,0)</f>
        <v>#N/A</v>
      </c>
      <c r="F3923" s="186" t="str">
        <f>IF(B3923="","",TEXT(B3923,"[$-409]mmm"))</f>
        <v>Dec</v>
      </c>
      <c r="G3923" s="481"/>
      <c r="H3923" s="185"/>
      <c r="I3923" s="185"/>
      <c r="J3923" s="187"/>
      <c r="K3923" s="188"/>
      <c r="L3923" s="188"/>
      <c r="M3923" s="187"/>
      <c r="N3923" s="185"/>
      <c r="O3923" s="185"/>
      <c r="P3923" s="189"/>
      <c r="Q3923" s="189"/>
      <c r="R3923" s="190"/>
      <c r="S3923" s="185"/>
      <c r="T3923" s="185"/>
      <c r="U3923" s="185"/>
      <c r="V3923" s="191"/>
      <c r="W3923" s="191"/>
      <c r="X3923" s="192"/>
      <c r="Y3923" s="193"/>
      <c r="Z3923" s="194"/>
      <c r="AA3923" s="194">
        <f>Q3923*Z3923</f>
        <v>0</v>
      </c>
      <c r="AB3923" s="805"/>
      <c r="AC3923" s="191"/>
      <c r="AD3923" s="187"/>
      <c r="AE3923" s="195"/>
      <c r="AF3923" s="195"/>
      <c r="AG3923" s="196"/>
      <c r="AH3923" s="197"/>
      <c r="AK3923" s="156" t="s">
        <v>691</v>
      </c>
      <c r="AM3923" s="198">
        <f>AG3923*Z3923</f>
        <v>0</v>
      </c>
      <c r="AN3923" s="199">
        <f>B3923</f>
        <v>46385</v>
      </c>
      <c r="AO3923" s="159" t="s">
        <v>692</v>
      </c>
      <c r="AP3923" s="781"/>
      <c r="AQ3923" s="782"/>
      <c r="AR3923" s="782"/>
      <c r="AS3923" s="782"/>
      <c r="AT3923" s="782"/>
      <c r="AU3923" s="781"/>
      <c r="AV3923" s="782"/>
      <c r="AW3923" s="782"/>
      <c r="AX3923" s="782"/>
      <c r="AY3923" s="782"/>
      <c r="AZ3923" s="782"/>
      <c r="BA3923" s="781"/>
      <c r="BB3923" s="209"/>
    </row>
    <row r="3924" spans="1:54" ht="25" customHeight="1">
      <c r="B3924" s="183">
        <v>46386</v>
      </c>
      <c r="C3924" s="184"/>
      <c r="D3924" s="185">
        <f t="shared" si="2787"/>
        <v>2026</v>
      </c>
      <c r="E3924" s="185" t="e">
        <f>VLOOKUP($B3924,Week!$A$1:$C$1462,2,0)</f>
        <v>#N/A</v>
      </c>
      <c r="F3924" s="186" t="str">
        <f t="shared" si="2788"/>
        <v>Dec</v>
      </c>
      <c r="G3924" s="481"/>
      <c r="H3924" s="185"/>
      <c r="I3924" s="185"/>
      <c r="J3924" s="187"/>
      <c r="K3924" s="188"/>
      <c r="L3924" s="188"/>
      <c r="M3924" s="187"/>
      <c r="N3924" s="185"/>
      <c r="O3924" s="185"/>
      <c r="P3924" s="189"/>
      <c r="Q3924" s="189"/>
      <c r="R3924" s="190"/>
      <c r="S3924" s="185"/>
      <c r="T3924" s="185"/>
      <c r="U3924" s="185"/>
      <c r="V3924" s="191"/>
      <c r="W3924" s="191"/>
      <c r="X3924" s="192"/>
      <c r="Y3924" s="193"/>
      <c r="Z3924" s="194"/>
      <c r="AA3924" s="194">
        <f t="shared" si="2789"/>
        <v>0</v>
      </c>
      <c r="AB3924" s="805"/>
      <c r="AC3924" s="191"/>
      <c r="AD3924" s="187"/>
      <c r="AE3924" s="195"/>
      <c r="AF3924" s="195"/>
      <c r="AG3924" s="196"/>
      <c r="AH3924" s="197"/>
      <c r="AK3924" s="156" t="s">
        <v>691</v>
      </c>
      <c r="AM3924" s="198">
        <f t="shared" si="2790"/>
        <v>0</v>
      </c>
      <c r="AN3924" s="199">
        <f t="shared" si="2791"/>
        <v>46386</v>
      </c>
      <c r="AO3924" s="159" t="s">
        <v>692</v>
      </c>
      <c r="AP3924" s="781"/>
      <c r="AQ3924" s="782"/>
      <c r="AR3924" s="782"/>
      <c r="AS3924" s="782"/>
      <c r="AT3924" s="782"/>
      <c r="AU3924" s="781"/>
      <c r="AV3924" s="782"/>
      <c r="AW3924" s="782"/>
      <c r="AX3924" s="782"/>
      <c r="AY3924" s="782"/>
      <c r="AZ3924" s="782"/>
      <c r="BA3924" s="781"/>
      <c r="BB3924" s="209"/>
    </row>
    <row r="3925" spans="1:54" ht="25" customHeight="1">
      <c r="B3925" s="183">
        <v>46387</v>
      </c>
      <c r="C3925" s="184"/>
      <c r="D3925" s="185">
        <f t="shared" ref="D3925:D3929" si="2823">IF(B3925="","",YEAR(B3925))</f>
        <v>2026</v>
      </c>
      <c r="E3925" s="185" t="e">
        <f>VLOOKUP($B3925,Week!$A$1:$C$1462,2,0)</f>
        <v>#N/A</v>
      </c>
      <c r="F3925" s="186" t="str">
        <f t="shared" ref="F3925:F3929" si="2824">IF(B3925="","",TEXT(B3925,"[$-409]mmm"))</f>
        <v>Dec</v>
      </c>
      <c r="G3925" s="481"/>
      <c r="H3925" s="185"/>
      <c r="I3925" s="185"/>
      <c r="J3925" s="187"/>
      <c r="K3925" s="188"/>
      <c r="L3925" s="188"/>
      <c r="M3925" s="187"/>
      <c r="N3925" s="185"/>
      <c r="O3925" s="185"/>
      <c r="P3925" s="189"/>
      <c r="Q3925" s="189"/>
      <c r="R3925" s="190"/>
      <c r="S3925" s="185"/>
      <c r="T3925" s="185"/>
      <c r="U3925" s="185"/>
      <c r="V3925" s="191"/>
      <c r="W3925" s="191"/>
      <c r="X3925" s="192"/>
      <c r="Y3925" s="193"/>
      <c r="Z3925" s="194"/>
      <c r="AA3925" s="194">
        <f t="shared" ref="AA3925:AA3929" si="2825">Q3925*Z3925</f>
        <v>0</v>
      </c>
      <c r="AB3925" s="805"/>
      <c r="AC3925" s="191"/>
      <c r="AD3925" s="187"/>
      <c r="AE3925" s="195"/>
      <c r="AF3925" s="195"/>
      <c r="AG3925" s="196"/>
      <c r="AH3925" s="197"/>
      <c r="AK3925" s="156" t="s">
        <v>691</v>
      </c>
      <c r="AM3925" s="198">
        <f t="shared" ref="AM3925:AM3929" si="2826">AG3925*Z3925</f>
        <v>0</v>
      </c>
      <c r="AN3925" s="199">
        <f t="shared" ref="AN3925:AN3929" si="2827">B3925</f>
        <v>46387</v>
      </c>
      <c r="AO3925" s="159" t="s">
        <v>692</v>
      </c>
      <c r="AP3925" s="781"/>
      <c r="AQ3925" s="782"/>
      <c r="AR3925" s="782"/>
      <c r="AS3925" s="782"/>
      <c r="AT3925" s="782"/>
      <c r="AU3925" s="781"/>
      <c r="AV3925" s="782"/>
      <c r="AW3925" s="782"/>
      <c r="AX3925" s="782"/>
      <c r="AY3925" s="782"/>
      <c r="AZ3925" s="782"/>
      <c r="BA3925" s="781"/>
      <c r="BB3925" s="209"/>
    </row>
    <row r="3926" spans="1:54" ht="24.65" customHeight="1">
      <c r="A3926" s="142" t="s">
        <v>120</v>
      </c>
      <c r="B3926" s="383">
        <v>46393</v>
      </c>
      <c r="C3926" s="224">
        <v>39087</v>
      </c>
      <c r="D3926" s="185">
        <f t="shared" ref="D3926" si="2828">IF(B3926="","",YEAR(B3926))</f>
        <v>2027</v>
      </c>
      <c r="E3926" s="224" t="e">
        <f>VLOOKUP($B3926,Week!$A$1:$C$1462,2,0)</f>
        <v>#N/A</v>
      </c>
      <c r="F3926" s="226" t="str">
        <f t="shared" ref="F3926" si="2829">IF(B3926="","",TEXT(B3926,"[$-409]mmm"))</f>
        <v>Jan</v>
      </c>
      <c r="G3926" s="225" t="s">
        <v>3217</v>
      </c>
      <c r="H3926" s="225" t="s">
        <v>1259</v>
      </c>
      <c r="I3926" s="225" t="s">
        <v>2772</v>
      </c>
      <c r="J3926" s="227" t="s">
        <v>512</v>
      </c>
      <c r="K3926" s="228" t="s">
        <v>85</v>
      </c>
      <c r="L3926" s="390" t="s">
        <v>2166</v>
      </c>
      <c r="M3926" s="227" t="s">
        <v>165</v>
      </c>
      <c r="N3926" s="225" t="s">
        <v>700</v>
      </c>
      <c r="O3926" s="225" t="s">
        <v>287</v>
      </c>
      <c r="P3926" s="229">
        <v>40</v>
      </c>
      <c r="Q3926" s="229">
        <v>12</v>
      </c>
      <c r="R3926" s="230">
        <v>8.1300000000000001E-3</v>
      </c>
      <c r="S3926" s="225" t="s">
        <v>40</v>
      </c>
      <c r="T3926" s="225" t="s">
        <v>112</v>
      </c>
      <c r="U3926" s="225" t="s">
        <v>89</v>
      </c>
      <c r="V3926" s="231">
        <v>1624</v>
      </c>
      <c r="W3926" s="231"/>
      <c r="X3926" s="232"/>
      <c r="Y3926" s="233">
        <f t="shared" ref="Y3926" si="2830">(W3926+X3926)-V3926</f>
        <v>-1624</v>
      </c>
      <c r="Z3926" s="234">
        <f t="shared" ref="Z3926" si="2831">IF(Y3926&lt;0,((V3926*P3926)-((W3926+X3926)*P3926)),0)</f>
        <v>64960</v>
      </c>
      <c r="AA3926" s="234">
        <f t="shared" ref="AA3926" si="2832">Q3926*Z3926</f>
        <v>779520</v>
      </c>
      <c r="AB3926" s="822">
        <v>2</v>
      </c>
      <c r="AC3926" s="231">
        <f t="shared" ref="AC3926" si="2833">Z3926*AB3926</f>
        <v>129920</v>
      </c>
      <c r="AD3926" s="209"/>
      <c r="AE3926" s="210">
        <f t="shared" ref="AE3926" si="2834">SUM(Q3926*R3926*Z3926)/1000</f>
        <v>6.3374976000000007</v>
      </c>
      <c r="AF3926" s="210">
        <f t="shared" ref="AF3926" si="2835">AE3926/0.54</f>
        <v>11.736106666666668</v>
      </c>
      <c r="AG3926" s="211">
        <f t="shared" ref="AG3926" si="2836">MID(O3926,1,3)/1000</f>
        <v>0.154</v>
      </c>
      <c r="AH3926" s="157">
        <f t="shared" ref="AH3926" si="2837">(Z3926*AG3926)/1000</f>
        <v>10.00384</v>
      </c>
      <c r="AI3926" s="152">
        <f t="shared" ref="AI3926" si="2838">V3926*P3926</f>
        <v>64960</v>
      </c>
      <c r="AK3926" s="156" t="s">
        <v>691</v>
      </c>
      <c r="AL3926" s="156" t="s">
        <v>689</v>
      </c>
      <c r="AM3926" s="198">
        <f t="shared" ref="AM3926" si="2839">AG3926*Z3926</f>
        <v>10003.84</v>
      </c>
      <c r="AN3926" s="199">
        <f t="shared" ref="AN3926" si="2840">B3926</f>
        <v>46393</v>
      </c>
      <c r="AO3926" s="159" t="s">
        <v>692</v>
      </c>
      <c r="AP3926" s="781"/>
      <c r="AQ3926" s="782">
        <v>12071839</v>
      </c>
      <c r="AR3926" s="782">
        <v>12019692</v>
      </c>
      <c r="AS3926" s="782"/>
      <c r="AT3926" s="782">
        <v>12056457</v>
      </c>
      <c r="AU3926" s="782"/>
      <c r="AV3926" s="782">
        <v>12056565</v>
      </c>
      <c r="AW3926" s="782">
        <v>12034747</v>
      </c>
      <c r="AX3926" s="782" t="s">
        <v>398</v>
      </c>
      <c r="AY3926" s="782" t="s">
        <v>513</v>
      </c>
      <c r="AZ3926" s="782"/>
      <c r="BA3926" s="781"/>
      <c r="BB3926" s="209">
        <v>23053184</v>
      </c>
    </row>
    <row r="3927" spans="1:54" ht="25.15" customHeight="1">
      <c r="B3927" s="345">
        <v>46393</v>
      </c>
      <c r="C3927" s="346">
        <v>46420</v>
      </c>
      <c r="D3927" s="185">
        <f>IF(B3927="","",YEAR(B3927))</f>
        <v>2027</v>
      </c>
      <c r="E3927" s="347" t="e">
        <f>VLOOKUP($B3927,Week!$A$1:$C$1462,2,0)</f>
        <v>#N/A</v>
      </c>
      <c r="F3927" s="348" t="str">
        <f>IF(B3927="","",TEXT(B3927,"[$-409]mmm"))</f>
        <v>Jan</v>
      </c>
      <c r="G3927" s="347" t="s">
        <v>3048</v>
      </c>
      <c r="H3927" s="347" t="s">
        <v>424</v>
      </c>
      <c r="I3927" s="347" t="s">
        <v>2772</v>
      </c>
      <c r="J3927" s="438" t="s">
        <v>425</v>
      </c>
      <c r="K3927" s="350" t="s">
        <v>176</v>
      </c>
      <c r="L3927" s="350" t="s">
        <v>2167</v>
      </c>
      <c r="M3927" s="349" t="s">
        <v>426</v>
      </c>
      <c r="N3927" s="347" t="s">
        <v>427</v>
      </c>
      <c r="O3927" s="347" t="s">
        <v>599</v>
      </c>
      <c r="P3927" s="351">
        <v>36</v>
      </c>
      <c r="Q3927" s="351">
        <v>5</v>
      </c>
      <c r="R3927" s="352">
        <v>7.4999999999999997E-3</v>
      </c>
      <c r="S3927" s="347" t="s">
        <v>111</v>
      </c>
      <c r="T3927" s="347" t="s">
        <v>112</v>
      </c>
      <c r="U3927" s="347" t="s">
        <v>57</v>
      </c>
      <c r="V3927" s="353">
        <v>1288</v>
      </c>
      <c r="W3927" s="353"/>
      <c r="X3927" s="354"/>
      <c r="Y3927" s="355">
        <f>(W3927+X3927)-V3927</f>
        <v>-1288</v>
      </c>
      <c r="Z3927" s="356">
        <f>IF(Y3927&lt;0,((V3927*P3927)-((W3927+X3927)*P3927)),0)</f>
        <v>46368</v>
      </c>
      <c r="AA3927" s="353">
        <f>Q3927*Z3927</f>
        <v>231840</v>
      </c>
      <c r="AB3927" s="818">
        <v>7.4999999999999997E-3</v>
      </c>
      <c r="AC3927" s="353">
        <f>Z3927*AB3927</f>
        <v>347.76</v>
      </c>
      <c r="AD3927" s="307" t="s">
        <v>3159</v>
      </c>
      <c r="AE3927" s="210">
        <f>SUM(Q3927*R3927*Z3927)/1000</f>
        <v>1.7387999999999999</v>
      </c>
      <c r="AF3927" s="210">
        <f>AE3927/0.54</f>
        <v>3.2199999999999998</v>
      </c>
      <c r="AG3927" s="211">
        <f>MID(O3927,1,3)/1000</f>
        <v>0.14799999999999999</v>
      </c>
      <c r="AH3927" s="157">
        <f>(Z3927*AG3927)/1000</f>
        <v>6.8624640000000001</v>
      </c>
      <c r="AI3927" s="152">
        <f>V3927*P3927</f>
        <v>46368</v>
      </c>
      <c r="AK3927" s="156" t="s">
        <v>691</v>
      </c>
      <c r="AL3927" s="574" t="s">
        <v>690</v>
      </c>
      <c r="AM3927" s="198">
        <f>AG3927*Z3927</f>
        <v>6862.4639999999999</v>
      </c>
      <c r="AN3927" s="199">
        <f>B3927</f>
        <v>46393</v>
      </c>
      <c r="AO3927" s="159" t="s">
        <v>692</v>
      </c>
      <c r="AP3927" s="783" t="s">
        <v>609</v>
      </c>
      <c r="AQ3927" s="782">
        <v>12071839</v>
      </c>
      <c r="AR3927" s="782">
        <v>12080260</v>
      </c>
      <c r="AS3927" s="782">
        <v>12080259</v>
      </c>
      <c r="AT3927" s="782">
        <v>12096006</v>
      </c>
      <c r="AU3927" s="782"/>
      <c r="AV3927" s="782">
        <v>12096007</v>
      </c>
      <c r="AW3927" s="782">
        <v>12024404</v>
      </c>
      <c r="AX3927" s="781"/>
      <c r="AY3927" s="782">
        <v>12096022</v>
      </c>
      <c r="AZ3927" s="782"/>
      <c r="BA3927" s="781"/>
      <c r="BB3927" s="209">
        <v>23053185</v>
      </c>
    </row>
    <row r="3928" spans="1:54" ht="25.15" customHeight="1">
      <c r="B3928" s="345">
        <v>46420</v>
      </c>
      <c r="C3928" s="346">
        <v>46441</v>
      </c>
      <c r="D3928" s="185">
        <f>IF(B3928="","",YEAR(B3928))</f>
        <v>2027</v>
      </c>
      <c r="E3928" s="347" t="e">
        <f>VLOOKUP($B3928,Week!$A$1:$C$1462,2,0)</f>
        <v>#N/A</v>
      </c>
      <c r="F3928" s="348" t="str">
        <f>IF(B3928="","",TEXT(B3928,"[$-409]mmm"))</f>
        <v>Feb</v>
      </c>
      <c r="G3928" s="347" t="s">
        <v>3120</v>
      </c>
      <c r="H3928" s="347" t="s">
        <v>424</v>
      </c>
      <c r="I3928" s="347" t="s">
        <v>2772</v>
      </c>
      <c r="J3928" s="438" t="s">
        <v>425</v>
      </c>
      <c r="K3928" s="350" t="s">
        <v>176</v>
      </c>
      <c r="L3928" s="350" t="s">
        <v>2167</v>
      </c>
      <c r="M3928" s="349" t="s">
        <v>426</v>
      </c>
      <c r="N3928" s="347" t="s">
        <v>427</v>
      </c>
      <c r="O3928" s="347" t="s">
        <v>599</v>
      </c>
      <c r="P3928" s="351">
        <v>36</v>
      </c>
      <c r="Q3928" s="351">
        <v>5</v>
      </c>
      <c r="R3928" s="352">
        <v>7.4999999999999997E-3</v>
      </c>
      <c r="S3928" s="347" t="s">
        <v>111</v>
      </c>
      <c r="T3928" s="347" t="s">
        <v>112</v>
      </c>
      <c r="U3928" s="347" t="s">
        <v>57</v>
      </c>
      <c r="V3928" s="353">
        <f>1288</f>
        <v>1288</v>
      </c>
      <c r="W3928" s="353"/>
      <c r="X3928" s="354"/>
      <c r="Y3928" s="355">
        <f>(W3928+X3928)-V3928</f>
        <v>-1288</v>
      </c>
      <c r="Z3928" s="356">
        <f>IF(Y3928&lt;0,((V3928*P3928)-((W3928+X3928)*P3928)),0)</f>
        <v>46368</v>
      </c>
      <c r="AA3928" s="353">
        <f>Q3928*Z3928</f>
        <v>231840</v>
      </c>
      <c r="AB3928" s="818">
        <v>7.4999999999999997E-3</v>
      </c>
      <c r="AC3928" s="353">
        <f>Z3928*AB3928</f>
        <v>347.76</v>
      </c>
      <c r="AD3928" s="307" t="s">
        <v>3159</v>
      </c>
      <c r="AE3928" s="210">
        <f>SUM(Q3928*R3928*Z3928)/1000</f>
        <v>1.7387999999999999</v>
      </c>
      <c r="AF3928" s="210">
        <f>AE3928/0.54</f>
        <v>3.2199999999999998</v>
      </c>
      <c r="AG3928" s="211">
        <f>MID(O3928,1,3)/1000</f>
        <v>0.14799999999999999</v>
      </c>
      <c r="AH3928" s="157">
        <f>(Z3928*AG3928)/1000</f>
        <v>6.8624640000000001</v>
      </c>
      <c r="AI3928" s="152">
        <f>V3928*P3928</f>
        <v>46368</v>
      </c>
      <c r="AK3928" s="156" t="s">
        <v>691</v>
      </c>
      <c r="AL3928" s="574" t="s">
        <v>690</v>
      </c>
      <c r="AM3928" s="198">
        <f>AG3928*Z3928</f>
        <v>6862.4639999999999</v>
      </c>
      <c r="AN3928" s="199">
        <f>B3928</f>
        <v>46420</v>
      </c>
      <c r="AO3928" s="159" t="s">
        <v>692</v>
      </c>
      <c r="AP3928" s="783" t="s">
        <v>609</v>
      </c>
      <c r="AQ3928" s="782">
        <v>12071839</v>
      </c>
      <c r="AR3928" s="782">
        <v>12080260</v>
      </c>
      <c r="AS3928" s="782">
        <v>12080259</v>
      </c>
      <c r="AT3928" s="782">
        <v>12096006</v>
      </c>
      <c r="AU3928" s="782"/>
      <c r="AV3928" s="782">
        <v>12096007</v>
      </c>
      <c r="AW3928" s="782">
        <v>12024404</v>
      </c>
      <c r="AX3928" s="781"/>
      <c r="AY3928" s="782">
        <v>12096022</v>
      </c>
      <c r="AZ3928" s="782"/>
      <c r="BA3928" s="781"/>
      <c r="BB3928" s="209">
        <v>23053185</v>
      </c>
    </row>
    <row r="3929" spans="1:54" ht="25" customHeight="1">
      <c r="A3929" s="463"/>
      <c r="B3929" s="649"/>
      <c r="C3929" s="650"/>
      <c r="D3929" s="185" t="str">
        <f t="shared" si="2823"/>
        <v/>
      </c>
      <c r="E3929" s="651" t="e">
        <f>VLOOKUP($B3929,Week!$A$1:$C$1462,2,0)</f>
        <v>#N/A</v>
      </c>
      <c r="F3929" s="652" t="str">
        <f t="shared" si="2824"/>
        <v/>
      </c>
      <c r="G3929" s="651"/>
      <c r="H3929" s="651"/>
      <c r="I3929" s="651"/>
      <c r="J3929" s="653"/>
      <c r="K3929" s="654"/>
      <c r="L3929" s="654"/>
      <c r="M3929" s="653"/>
      <c r="N3929" s="651"/>
      <c r="O3929" s="651"/>
      <c r="P3929" s="655"/>
      <c r="Q3929" s="655"/>
      <c r="R3929" s="656"/>
      <c r="S3929" s="651"/>
      <c r="T3929" s="651"/>
      <c r="U3929" s="651"/>
      <c r="V3929" s="657"/>
      <c r="W3929" s="657"/>
      <c r="X3929" s="658"/>
      <c r="Y3929" s="659"/>
      <c r="Z3929" s="660"/>
      <c r="AA3929" s="660">
        <f t="shared" si="2825"/>
        <v>0</v>
      </c>
      <c r="AB3929" s="839"/>
      <c r="AC3929" s="657"/>
      <c r="AD3929" s="653"/>
      <c r="AE3929" s="661"/>
      <c r="AF3929" s="661"/>
      <c r="AG3929" s="211"/>
      <c r="AK3929" s="156" t="s">
        <v>691</v>
      </c>
      <c r="AM3929" s="198">
        <f t="shared" si="2826"/>
        <v>0</v>
      </c>
      <c r="AN3929" s="199">
        <f t="shared" si="2827"/>
        <v>0</v>
      </c>
      <c r="AO3929" s="159" t="s">
        <v>692</v>
      </c>
      <c r="AP3929" s="781"/>
      <c r="AQ3929" s="782"/>
      <c r="AR3929" s="782"/>
      <c r="AS3929" s="782"/>
      <c r="AT3929" s="782"/>
      <c r="AU3929" s="781"/>
      <c r="AV3929" s="782"/>
      <c r="AW3929" s="782"/>
      <c r="AX3929" s="782"/>
      <c r="AY3929" s="782"/>
      <c r="AZ3929" s="782"/>
      <c r="BA3929" s="781"/>
      <c r="BB3929" s="209"/>
    </row>
    <row r="3930" spans="1:54" ht="25" customHeight="1">
      <c r="B3930" s="743"/>
      <c r="C3930" s="848" t="s">
        <v>3075</v>
      </c>
      <c r="D3930" s="746" t="str">
        <f>IF(B3930="","",YEAR(B3930))</f>
        <v/>
      </c>
      <c r="E3930" s="744" t="e">
        <f>VLOOKUP($B3930,Week!$A$1:$C$1462,2,0)</f>
        <v>#N/A</v>
      </c>
      <c r="F3930" s="745" t="str">
        <f>IF(B3930="","",TEXT(B3930,"[$-409]mmm"))</f>
        <v/>
      </c>
      <c r="G3930" s="746" t="s">
        <v>47</v>
      </c>
      <c r="H3930" s="746" t="s">
        <v>518</v>
      </c>
      <c r="I3930" s="746" t="s">
        <v>2702</v>
      </c>
      <c r="J3930" s="747" t="s">
        <v>2702</v>
      </c>
      <c r="K3930" s="748" t="s">
        <v>2706</v>
      </c>
      <c r="L3930" s="748" t="s">
        <v>2167</v>
      </c>
      <c r="M3930" s="747" t="s">
        <v>3177</v>
      </c>
      <c r="N3930" s="915" t="s">
        <v>3178</v>
      </c>
      <c r="O3930" s="746" t="s">
        <v>3179</v>
      </c>
      <c r="P3930" s="749">
        <v>18</v>
      </c>
      <c r="Q3930" s="749">
        <v>2</v>
      </c>
      <c r="R3930" s="849">
        <v>6.0000000000000001E-3</v>
      </c>
      <c r="S3930" s="746" t="s">
        <v>55</v>
      </c>
      <c r="T3930" s="746" t="s">
        <v>56</v>
      </c>
      <c r="U3930" s="860" t="s">
        <v>2707</v>
      </c>
      <c r="V3930" s="750">
        <v>2500</v>
      </c>
      <c r="W3930" s="750"/>
      <c r="X3930" s="751"/>
      <c r="Y3930" s="752">
        <f t="shared" ref="Y3930" si="2841">(W3930+X3930)-V3930</f>
        <v>-2500</v>
      </c>
      <c r="Z3930" s="753">
        <f t="shared" ref="Z3930" si="2842">IF(Y3930&lt;0,((V3930*P3930)-((W3930+X3930)*P3930)),0)</f>
        <v>45000</v>
      </c>
      <c r="AA3930" s="753">
        <f>Q3930*Z3930</f>
        <v>90000</v>
      </c>
      <c r="AB3930" s="838">
        <v>1.7000000000000001E-2</v>
      </c>
      <c r="AC3930" s="750">
        <f t="shared" ref="AC3930" si="2843">Z3930*AB3930</f>
        <v>765</v>
      </c>
      <c r="AD3930" s="443" t="s">
        <v>3180</v>
      </c>
      <c r="AE3930" s="210">
        <f t="shared" ref="AE3930" si="2844">SUM(Q3930*R3930*Z3930)/1000</f>
        <v>0.54</v>
      </c>
      <c r="AF3930" s="210">
        <f t="shared" ref="AF3930" si="2845">AE3930/0.54</f>
        <v>1</v>
      </c>
      <c r="AG3930" s="211">
        <f t="shared" ref="AG3930" si="2846">MID(O3930,1,3)/1000</f>
        <v>0.22500000000000001</v>
      </c>
      <c r="AH3930" s="157">
        <v>0.26621999999999996</v>
      </c>
      <c r="AI3930" s="152">
        <f t="shared" ref="AI3930" si="2847">V3930*P3930</f>
        <v>45000</v>
      </c>
      <c r="AK3930" s="156" t="s">
        <v>691</v>
      </c>
      <c r="AL3930" s="574" t="s">
        <v>690</v>
      </c>
      <c r="AM3930" s="198">
        <f>AG3930*Z3930</f>
        <v>10125</v>
      </c>
      <c r="AN3930" s="199">
        <f>B3930</f>
        <v>0</v>
      </c>
      <c r="AO3930" s="159" t="s">
        <v>692</v>
      </c>
      <c r="AP3930" s="781" t="s">
        <v>642</v>
      </c>
      <c r="AQ3930" s="782">
        <v>12071839</v>
      </c>
      <c r="AR3930" s="782"/>
      <c r="AS3930" s="782"/>
      <c r="AT3930" s="782">
        <v>12098021</v>
      </c>
      <c r="AU3930" s="783" t="s">
        <v>2979</v>
      </c>
      <c r="AV3930" s="782">
        <v>12098022</v>
      </c>
      <c r="AW3930" s="783"/>
      <c r="AX3930" s="781"/>
      <c r="AY3930" s="796"/>
      <c r="AZ3930" s="796"/>
      <c r="BA3930" s="796"/>
      <c r="BB3930" s="209">
        <v>23099860</v>
      </c>
    </row>
    <row r="3931" spans="1:54" ht="25" customHeight="1">
      <c r="A3931" s="972" t="s">
        <v>3157</v>
      </c>
      <c r="B3931" s="546">
        <v>46357</v>
      </c>
      <c r="C3931" s="547">
        <v>46357</v>
      </c>
      <c r="D3931" s="185">
        <f>IF(B3931="","",YEAR(B3931))</f>
        <v>2026</v>
      </c>
      <c r="E3931" s="547" t="e">
        <f>VLOOKUP($B3931,Week!$A$1:$C$1462,2,0)</f>
        <v>#N/A</v>
      </c>
      <c r="F3931" s="548" t="str">
        <f>IF(B3931="","",TEXT(B3931,"[$-409]mmm"))</f>
        <v>Dec</v>
      </c>
      <c r="G3931" s="549"/>
      <c r="H3931" s="549" t="s">
        <v>431</v>
      </c>
      <c r="I3931" s="549" t="s">
        <v>2772</v>
      </c>
      <c r="J3931" s="550" t="s">
        <v>432</v>
      </c>
      <c r="K3931" s="551" t="s">
        <v>85</v>
      </c>
      <c r="L3931" s="390" t="s">
        <v>2166</v>
      </c>
      <c r="M3931" s="550" t="s">
        <v>86</v>
      </c>
      <c r="N3931" s="549" t="s">
        <v>550</v>
      </c>
      <c r="O3931" s="549" t="s">
        <v>548</v>
      </c>
      <c r="P3931" s="552">
        <v>10</v>
      </c>
      <c r="Q3931" s="552">
        <v>50</v>
      </c>
      <c r="R3931" s="553">
        <v>8.1300000000000001E-3</v>
      </c>
      <c r="S3931" s="549" t="s">
        <v>40</v>
      </c>
      <c r="T3931" s="549" t="s">
        <v>112</v>
      </c>
      <c r="U3931" s="549" t="s">
        <v>89</v>
      </c>
      <c r="V3931" s="554">
        <f>300</f>
        <v>300</v>
      </c>
      <c r="W3931" s="554"/>
      <c r="X3931" s="555"/>
      <c r="Y3931" s="556">
        <f t="shared" ref="Y3931:Y3934" si="2848">(W3931+X3931)-V3931</f>
        <v>-300</v>
      </c>
      <c r="Z3931" s="557">
        <f t="shared" ref="Z3931:Z3934" si="2849">IF(Y3931&lt;0,((V3931*P3931)-((W3931+X3931)*P3931)),0)</f>
        <v>3000</v>
      </c>
      <c r="AA3931" s="557">
        <f t="shared" ref="AA3931:AA3934" si="2850">Q3931*Z3931</f>
        <v>150000</v>
      </c>
      <c r="AB3931" s="833">
        <v>6</v>
      </c>
      <c r="AC3931" s="554">
        <f>Z3931*AB3931</f>
        <v>18000</v>
      </c>
      <c r="AD3931" s="209"/>
      <c r="AE3931" s="210">
        <f t="shared" ref="AE3931:AE3934" si="2851">SUM(Q3931*R3931*Z3931)/1000</f>
        <v>1.2195</v>
      </c>
      <c r="AF3931" s="210">
        <f t="shared" ref="AF3931:AF3934" si="2852">AE3931/0.54</f>
        <v>2.2583333333333333</v>
      </c>
      <c r="AG3931" s="211">
        <f t="shared" ref="AG3931" si="2853">MID(O3931,1,3)/1000</f>
        <v>0.63</v>
      </c>
      <c r="AH3931" s="157">
        <f>(Z3931*AG3931)/1000</f>
        <v>1.89</v>
      </c>
      <c r="AI3931" s="152">
        <f t="shared" ref="AI3931:AI3934" si="2854">V3931*P3931</f>
        <v>3000</v>
      </c>
      <c r="AK3931" s="156" t="s">
        <v>691</v>
      </c>
      <c r="AL3931" s="156" t="s">
        <v>689</v>
      </c>
      <c r="AM3931" s="198">
        <f t="shared" ref="AM3931:AM3934" si="2855">AG3931*Z3931</f>
        <v>1890</v>
      </c>
      <c r="AN3931" s="199">
        <f t="shared" ref="AN3931" si="2856">B3931</f>
        <v>46357</v>
      </c>
      <c r="AO3931" s="159" t="s">
        <v>692</v>
      </c>
      <c r="AP3931" s="783" t="s">
        <v>618</v>
      </c>
      <c r="AQ3931" s="782" t="s">
        <v>549</v>
      </c>
      <c r="AR3931" s="796" t="s">
        <v>529</v>
      </c>
      <c r="AS3931" s="782"/>
      <c r="AT3931" s="796" t="s">
        <v>551</v>
      </c>
      <c r="AU3931" s="781"/>
      <c r="AV3931" s="796" t="s">
        <v>552</v>
      </c>
      <c r="AW3931" s="782"/>
      <c r="AX3931" s="782" t="s">
        <v>93</v>
      </c>
      <c r="AY3931" s="782"/>
      <c r="AZ3931" s="782"/>
      <c r="BA3931" s="781"/>
    </row>
    <row r="3932" spans="1:54" ht="25.9" customHeight="1">
      <c r="A3932" s="972" t="s">
        <v>3157</v>
      </c>
      <c r="B3932" s="235">
        <v>46357</v>
      </c>
      <c r="C3932" s="235">
        <v>46357</v>
      </c>
      <c r="D3932" s="185">
        <f t="shared" ref="D3932" si="2857">IF(B3932="","",YEAR(B3932))</f>
        <v>2026</v>
      </c>
      <c r="E3932" s="236" t="e">
        <f>VLOOKUP($B3932,Week!$A$1:$C$1462,2,0)</f>
        <v>#N/A</v>
      </c>
      <c r="F3932" s="237" t="str">
        <f t="shared" ref="F3932" si="2858">IF(B3932="","",TEXT(B3932,"[$-409]mmm"))</f>
        <v>Dec</v>
      </c>
      <c r="G3932" s="236"/>
      <c r="H3932" s="236" t="s">
        <v>392</v>
      </c>
      <c r="I3932" s="236" t="s">
        <v>2772</v>
      </c>
      <c r="J3932" s="238" t="s">
        <v>393</v>
      </c>
      <c r="K3932" s="239" t="s">
        <v>153</v>
      </c>
      <c r="L3932" s="390" t="s">
        <v>2166</v>
      </c>
      <c r="M3932" s="238" t="s">
        <v>165</v>
      </c>
      <c r="N3932" s="236" t="s">
        <v>685</v>
      </c>
      <c r="O3932" s="236" t="s">
        <v>167</v>
      </c>
      <c r="P3932" s="240">
        <v>20</v>
      </c>
      <c r="Q3932" s="240">
        <v>12</v>
      </c>
      <c r="R3932" s="241">
        <v>6.8100000000000001E-3</v>
      </c>
      <c r="S3932" s="236" t="s">
        <v>76</v>
      </c>
      <c r="T3932" s="236" t="s">
        <v>56</v>
      </c>
      <c r="U3932" s="236" t="s">
        <v>89</v>
      </c>
      <c r="V3932" s="242">
        <f>200</f>
        <v>200</v>
      </c>
      <c r="W3932" s="242"/>
      <c r="X3932" s="243"/>
      <c r="Y3932" s="244">
        <f t="shared" ref="Y3932" si="2859">(W3932+X3932)-V3932</f>
        <v>-200</v>
      </c>
      <c r="Z3932" s="245">
        <f t="shared" ref="Z3932" si="2860">IF(Y3932&lt;0,((V3932*P3932)-((W3932+X3932)*P3932)),0)</f>
        <v>4000</v>
      </c>
      <c r="AA3932" s="245">
        <f t="shared" ref="AA3932" si="2861">Q3932*Z3932</f>
        <v>48000</v>
      </c>
      <c r="AB3932" s="809">
        <v>2</v>
      </c>
      <c r="AC3932" s="242">
        <f t="shared" ref="AC3932" si="2862">Z3932*AB3932</f>
        <v>8000</v>
      </c>
      <c r="AD3932" s="443"/>
      <c r="AE3932" s="210">
        <f t="shared" ref="AE3932" si="2863">SUM(Q3932*R3932*Z3932)/1000</f>
        <v>0.32688</v>
      </c>
      <c r="AF3932" s="210">
        <f t="shared" ref="AF3932" si="2864">AE3932/0.54</f>
        <v>0.60533333333333328</v>
      </c>
      <c r="AG3932" s="211">
        <f t="shared" ref="AG3932" si="2865">MID(O3932,1,3)/1000</f>
        <v>0.154</v>
      </c>
      <c r="AH3932" s="157">
        <f t="shared" ref="AH3932" si="2866">(Z3932*AG3932)/1000</f>
        <v>0.61599999999999999</v>
      </c>
      <c r="AI3932" s="152">
        <f t="shared" ref="AI3932" si="2867">V3932*P3932</f>
        <v>4000</v>
      </c>
      <c r="AK3932" s="156" t="s">
        <v>691</v>
      </c>
      <c r="AL3932" s="156" t="s">
        <v>689</v>
      </c>
      <c r="AM3932" s="198">
        <f t="shared" ref="AM3932" si="2868">AG3932*Z3932</f>
        <v>616</v>
      </c>
      <c r="AN3932" s="199">
        <f t="shared" ref="AN3932" si="2869">B3932</f>
        <v>46357</v>
      </c>
      <c r="AO3932" s="159" t="s">
        <v>692</v>
      </c>
      <c r="AP3932" s="783" t="s">
        <v>622</v>
      </c>
      <c r="AQ3932" s="783" t="s">
        <v>631</v>
      </c>
      <c r="AR3932" s="783" t="s">
        <v>523</v>
      </c>
      <c r="AS3932" s="781"/>
      <c r="AT3932" s="783" t="s">
        <v>2982</v>
      </c>
      <c r="AU3932" s="781"/>
      <c r="AV3932" s="783" t="s">
        <v>2987</v>
      </c>
      <c r="AW3932" s="781"/>
      <c r="AX3932" s="781" t="s">
        <v>398</v>
      </c>
      <c r="AY3932" s="781"/>
      <c r="AZ3932" s="782"/>
      <c r="BA3932" s="781"/>
      <c r="BB3932" s="209">
        <v>23053184</v>
      </c>
    </row>
    <row r="3933" spans="1:54" ht="25.9" customHeight="1">
      <c r="A3933" s="972" t="s">
        <v>3157</v>
      </c>
      <c r="B3933" s="235">
        <v>46388</v>
      </c>
      <c r="C3933" s="235">
        <v>46388</v>
      </c>
      <c r="D3933" s="185">
        <f t="shared" ref="D3933" si="2870">IF(B3933="","",YEAR(B3933))</f>
        <v>2027</v>
      </c>
      <c r="E3933" s="236" t="e">
        <f>VLOOKUP($B3933,Week!$A$1:$C$1462,2,0)</f>
        <v>#N/A</v>
      </c>
      <c r="F3933" s="237" t="str">
        <f t="shared" ref="F3933" si="2871">IF(B3933="","",TEXT(B3933,"[$-409]mmm"))</f>
        <v>Jan</v>
      </c>
      <c r="G3933" s="236"/>
      <c r="H3933" s="236" t="s">
        <v>392</v>
      </c>
      <c r="I3933" s="236" t="s">
        <v>2772</v>
      </c>
      <c r="J3933" s="238" t="s">
        <v>393</v>
      </c>
      <c r="K3933" s="239" t="s">
        <v>153</v>
      </c>
      <c r="L3933" s="390" t="s">
        <v>2166</v>
      </c>
      <c r="M3933" s="238" t="s">
        <v>165</v>
      </c>
      <c r="N3933" s="236" t="s">
        <v>685</v>
      </c>
      <c r="O3933" s="236" t="s">
        <v>167</v>
      </c>
      <c r="P3933" s="240">
        <v>20</v>
      </c>
      <c r="Q3933" s="240">
        <v>12</v>
      </c>
      <c r="R3933" s="241">
        <v>6.8100000000000001E-3</v>
      </c>
      <c r="S3933" s="236" t="s">
        <v>76</v>
      </c>
      <c r="T3933" s="236" t="s">
        <v>56</v>
      </c>
      <c r="U3933" s="236" t="s">
        <v>89</v>
      </c>
      <c r="V3933" s="242">
        <f>178</f>
        <v>178</v>
      </c>
      <c r="W3933" s="242"/>
      <c r="X3933" s="243"/>
      <c r="Y3933" s="244">
        <f t="shared" ref="Y3933" si="2872">(W3933+X3933)-V3933</f>
        <v>-178</v>
      </c>
      <c r="Z3933" s="245">
        <f t="shared" ref="Z3933" si="2873">IF(Y3933&lt;0,((V3933*P3933)-((W3933+X3933)*P3933)),0)</f>
        <v>3560</v>
      </c>
      <c r="AA3933" s="245">
        <f t="shared" ref="AA3933" si="2874">Q3933*Z3933</f>
        <v>42720</v>
      </c>
      <c r="AB3933" s="809">
        <v>2</v>
      </c>
      <c r="AC3933" s="242">
        <f t="shared" ref="AC3933" si="2875">Z3933*AB3933</f>
        <v>7120</v>
      </c>
      <c r="AD3933" s="443"/>
      <c r="AE3933" s="210">
        <f t="shared" ref="AE3933" si="2876">SUM(Q3933*R3933*Z3933)/1000</f>
        <v>0.29092319999999999</v>
      </c>
      <c r="AF3933" s="210">
        <f t="shared" ref="AF3933" si="2877">AE3933/0.54</f>
        <v>0.5387466666666666</v>
      </c>
      <c r="AG3933" s="211">
        <f t="shared" ref="AG3933" si="2878">MID(O3933,1,3)/1000</f>
        <v>0.154</v>
      </c>
      <c r="AH3933" s="157">
        <f t="shared" ref="AH3933" si="2879">(Z3933*AG3933)/1000</f>
        <v>0.54824000000000006</v>
      </c>
      <c r="AI3933" s="152">
        <f t="shared" ref="AI3933" si="2880">V3933*P3933</f>
        <v>3560</v>
      </c>
      <c r="AK3933" s="156" t="s">
        <v>691</v>
      </c>
      <c r="AL3933" s="156" t="s">
        <v>689</v>
      </c>
      <c r="AM3933" s="198">
        <f t="shared" ref="AM3933" si="2881">AG3933*Z3933</f>
        <v>548.24</v>
      </c>
      <c r="AN3933" s="199">
        <f t="shared" ref="AN3933" si="2882">B3933</f>
        <v>46388</v>
      </c>
      <c r="AO3933" s="159" t="s">
        <v>692</v>
      </c>
      <c r="AP3933" s="783" t="s">
        <v>622</v>
      </c>
      <c r="AQ3933" s="783" t="s">
        <v>631</v>
      </c>
      <c r="AR3933" s="783" t="s">
        <v>523</v>
      </c>
      <c r="AS3933" s="781"/>
      <c r="AT3933" s="783" t="s">
        <v>2982</v>
      </c>
      <c r="AU3933" s="781"/>
      <c r="AV3933" s="783" t="s">
        <v>2987</v>
      </c>
      <c r="AW3933" s="781"/>
      <c r="AX3933" s="781" t="s">
        <v>398</v>
      </c>
      <c r="AY3933" s="781"/>
      <c r="AZ3933" s="782"/>
      <c r="BA3933" s="781"/>
      <c r="BB3933" s="209">
        <v>23053184</v>
      </c>
    </row>
    <row r="3934" spans="1:54" ht="25" customHeight="1">
      <c r="A3934" s="972" t="s">
        <v>3157</v>
      </c>
      <c r="B3934" s="383">
        <v>46357</v>
      </c>
      <c r="C3934" s="224">
        <v>46357</v>
      </c>
      <c r="D3934" s="225">
        <f t="shared" ref="D3934" si="2883">IF(B3934="","",YEAR(B3934))</f>
        <v>2026</v>
      </c>
      <c r="E3934" s="225" t="e">
        <f>VLOOKUP($B3934,Week!$A$1:$C$1462,2,0)</f>
        <v>#N/A</v>
      </c>
      <c r="F3934" s="226" t="str">
        <f t="shared" ref="F3934" si="2884">IF(B3934="","",TEXT(B3934,"[$-409]mmm"))</f>
        <v>Dec</v>
      </c>
      <c r="G3934" s="225"/>
      <c r="H3934" s="225" t="s">
        <v>392</v>
      </c>
      <c r="I3934" s="225" t="s">
        <v>2772</v>
      </c>
      <c r="J3934" s="227" t="s">
        <v>393</v>
      </c>
      <c r="K3934" s="228" t="s">
        <v>153</v>
      </c>
      <c r="L3934" s="228" t="s">
        <v>2166</v>
      </c>
      <c r="M3934" s="227" t="s">
        <v>2363</v>
      </c>
      <c r="N3934" s="225" t="s">
        <v>2886</v>
      </c>
      <c r="O3934" s="225" t="s">
        <v>2365</v>
      </c>
      <c r="P3934" s="229">
        <v>18</v>
      </c>
      <c r="Q3934" s="229">
        <v>8</v>
      </c>
      <c r="R3934" s="230">
        <v>6.8100000000000001E-3</v>
      </c>
      <c r="S3934" s="225" t="s">
        <v>76</v>
      </c>
      <c r="T3934" s="225" t="s">
        <v>56</v>
      </c>
      <c r="U3934" s="917" t="s">
        <v>499</v>
      </c>
      <c r="V3934" s="231">
        <f>150</f>
        <v>150</v>
      </c>
      <c r="W3934" s="231"/>
      <c r="X3934" s="232"/>
      <c r="Y3934" s="233">
        <f t="shared" si="2848"/>
        <v>-150</v>
      </c>
      <c r="Z3934" s="234">
        <f t="shared" si="2849"/>
        <v>2700</v>
      </c>
      <c r="AA3934" s="234">
        <f t="shared" si="2850"/>
        <v>21600</v>
      </c>
      <c r="AB3934" s="822">
        <v>1</v>
      </c>
      <c r="AC3934" s="231">
        <f t="shared" ref="AC3934" si="2885">Z3934*AB3934</f>
        <v>2700</v>
      </c>
      <c r="AD3934" s="443"/>
      <c r="AE3934" s="210">
        <f t="shared" si="2851"/>
        <v>0.147096</v>
      </c>
      <c r="AF3934" s="210">
        <f t="shared" si="2852"/>
        <v>0.27239999999999998</v>
      </c>
      <c r="AG3934" s="211">
        <f t="shared" ref="AG3934" si="2886">MID(O3934,1,2)/1000</f>
        <v>1.2E-2</v>
      </c>
      <c r="AH3934" s="157">
        <f t="shared" ref="AH3934" si="2887">(Z3934*AG3934)/1000</f>
        <v>3.2399999999999998E-2</v>
      </c>
      <c r="AI3934" s="152">
        <f t="shared" si="2854"/>
        <v>2700</v>
      </c>
      <c r="AK3934" s="156" t="s">
        <v>691</v>
      </c>
      <c r="AL3934" s="156" t="s">
        <v>689</v>
      </c>
      <c r="AM3934" s="198">
        <f t="shared" si="2855"/>
        <v>32.4</v>
      </c>
      <c r="AN3934" s="199">
        <f t="shared" ref="AN3934" si="2888">B3934</f>
        <v>46357</v>
      </c>
      <c r="AO3934" s="159" t="s">
        <v>692</v>
      </c>
      <c r="AP3934" s="783"/>
      <c r="AQ3934" s="783" t="s">
        <v>631</v>
      </c>
      <c r="AR3934" s="796">
        <v>12038019</v>
      </c>
      <c r="AS3934" s="782"/>
      <c r="AT3934" s="782">
        <v>12098299</v>
      </c>
      <c r="AU3934" s="782"/>
      <c r="AV3934" s="782">
        <v>12098340</v>
      </c>
      <c r="AW3934" s="782"/>
      <c r="AX3934" s="781" t="s">
        <v>162</v>
      </c>
      <c r="AY3934" s="782"/>
      <c r="AZ3934" s="782"/>
      <c r="BA3934" s="781"/>
      <c r="BB3934" s="209">
        <v>23053184</v>
      </c>
    </row>
    <row r="3935" spans="1:54" ht="25" customHeight="1">
      <c r="A3935" s="972" t="s">
        <v>3157</v>
      </c>
      <c r="B3935" s="383">
        <v>46388</v>
      </c>
      <c r="C3935" s="224">
        <v>46388</v>
      </c>
      <c r="D3935" s="225">
        <f t="shared" ref="D3935" si="2889">IF(B3935="","",YEAR(B3935))</f>
        <v>2027</v>
      </c>
      <c r="E3935" s="225" t="e">
        <f>VLOOKUP($B3935,Week!$A$1:$C$1462,2,0)</f>
        <v>#N/A</v>
      </c>
      <c r="F3935" s="226" t="str">
        <f t="shared" ref="F3935" si="2890">IF(B3935="","",TEXT(B3935,"[$-409]mmm"))</f>
        <v>Jan</v>
      </c>
      <c r="G3935" s="225"/>
      <c r="H3935" s="225" t="s">
        <v>392</v>
      </c>
      <c r="I3935" s="225" t="s">
        <v>2772</v>
      </c>
      <c r="J3935" s="227" t="s">
        <v>393</v>
      </c>
      <c r="K3935" s="228" t="s">
        <v>153</v>
      </c>
      <c r="L3935" s="228" t="s">
        <v>2166</v>
      </c>
      <c r="M3935" s="227" t="s">
        <v>2363</v>
      </c>
      <c r="N3935" s="225" t="s">
        <v>2886</v>
      </c>
      <c r="O3935" s="225" t="s">
        <v>2365</v>
      </c>
      <c r="P3935" s="229">
        <v>18</v>
      </c>
      <c r="Q3935" s="229">
        <v>8</v>
      </c>
      <c r="R3935" s="230">
        <v>6.8100000000000001E-3</v>
      </c>
      <c r="S3935" s="225" t="s">
        <v>76</v>
      </c>
      <c r="T3935" s="225" t="s">
        <v>56</v>
      </c>
      <c r="U3935" s="917" t="s">
        <v>499</v>
      </c>
      <c r="V3935" s="231">
        <v>132</v>
      </c>
      <c r="W3935" s="231"/>
      <c r="X3935" s="232"/>
      <c r="Y3935" s="233">
        <f t="shared" ref="Y3935" si="2891">(W3935+X3935)-V3935</f>
        <v>-132</v>
      </c>
      <c r="Z3935" s="234">
        <f t="shared" ref="Z3935" si="2892">IF(Y3935&lt;0,((V3935*P3935)-((W3935+X3935)*P3935)),0)</f>
        <v>2376</v>
      </c>
      <c r="AA3935" s="234">
        <f t="shared" ref="AA3935" si="2893">Q3935*Z3935</f>
        <v>19008</v>
      </c>
      <c r="AB3935" s="822">
        <v>1</v>
      </c>
      <c r="AC3935" s="231">
        <f t="shared" ref="AC3935" si="2894">Z3935*AB3935</f>
        <v>2376</v>
      </c>
      <c r="AD3935" s="443"/>
      <c r="AE3935" s="210">
        <f t="shared" ref="AE3935" si="2895">SUM(Q3935*R3935*Z3935)/1000</f>
        <v>0.12944448</v>
      </c>
      <c r="AF3935" s="210">
        <f t="shared" ref="AF3935" si="2896">AE3935/0.54</f>
        <v>0.23971199999999998</v>
      </c>
      <c r="AG3935" s="211">
        <f t="shared" ref="AG3935" si="2897">MID(O3935,1,2)/1000</f>
        <v>1.2E-2</v>
      </c>
      <c r="AH3935" s="157">
        <f t="shared" ref="AH3935" si="2898">(Z3935*AG3935)/1000</f>
        <v>2.8511999999999999E-2</v>
      </c>
      <c r="AI3935" s="152">
        <f t="shared" ref="AI3935" si="2899">V3935*P3935</f>
        <v>2376</v>
      </c>
      <c r="AK3935" s="156" t="s">
        <v>691</v>
      </c>
      <c r="AL3935" s="156" t="s">
        <v>689</v>
      </c>
      <c r="AM3935" s="198">
        <f t="shared" ref="AM3935" si="2900">AG3935*Z3935</f>
        <v>28.512</v>
      </c>
      <c r="AN3935" s="199">
        <f t="shared" ref="AN3935" si="2901">B3935</f>
        <v>46388</v>
      </c>
      <c r="AO3935" s="159" t="s">
        <v>692</v>
      </c>
      <c r="AP3935" s="783"/>
      <c r="AQ3935" s="783" t="s">
        <v>631</v>
      </c>
      <c r="AR3935" s="796">
        <v>12038019</v>
      </c>
      <c r="AS3935" s="782"/>
      <c r="AT3935" s="782">
        <v>12098299</v>
      </c>
      <c r="AU3935" s="782"/>
      <c r="AV3935" s="782">
        <v>12098340</v>
      </c>
      <c r="AW3935" s="782"/>
      <c r="AX3935" s="781" t="s">
        <v>162</v>
      </c>
      <c r="AY3935" s="782"/>
      <c r="AZ3935" s="782"/>
      <c r="BA3935" s="781"/>
      <c r="BB3935" s="209">
        <v>23053184</v>
      </c>
    </row>
    <row r="3936" spans="1:54" ht="24.65" customHeight="1">
      <c r="A3936" s="972" t="s">
        <v>3157</v>
      </c>
      <c r="B3936" s="258">
        <v>46357</v>
      </c>
      <c r="C3936" s="259">
        <v>46357</v>
      </c>
      <c r="D3936" s="185">
        <f>IF(B3936="","",YEAR(B3936))</f>
        <v>2026</v>
      </c>
      <c r="E3936" s="260" t="e">
        <f>VLOOKUP($B3936,Week!$A$1:$C$1462,2,0)</f>
        <v>#N/A</v>
      </c>
      <c r="F3936" s="261" t="str">
        <f>IF(B3936="","",TEXT(B3936,"[$-409]mmm"))</f>
        <v>Dec</v>
      </c>
      <c r="G3936" s="262"/>
      <c r="H3936" s="260" t="s">
        <v>134</v>
      </c>
      <c r="I3936" s="260" t="s">
        <v>2772</v>
      </c>
      <c r="J3936" s="263" t="s">
        <v>2932</v>
      </c>
      <c r="K3936" s="264" t="s">
        <v>153</v>
      </c>
      <c r="L3936" s="390" t="s">
        <v>2166</v>
      </c>
      <c r="M3936" s="263" t="s">
        <v>165</v>
      </c>
      <c r="N3936" s="260" t="s">
        <v>166</v>
      </c>
      <c r="O3936" s="260" t="s">
        <v>502</v>
      </c>
      <c r="P3936" s="265">
        <v>20</v>
      </c>
      <c r="Q3936" s="265">
        <v>12</v>
      </c>
      <c r="R3936" s="266">
        <v>6.8100000000000001E-3</v>
      </c>
      <c r="S3936" s="260" t="s">
        <v>76</v>
      </c>
      <c r="T3936" s="260" t="s">
        <v>56</v>
      </c>
      <c r="U3936" s="260" t="s">
        <v>89</v>
      </c>
      <c r="V3936" s="267">
        <f>48000/20</f>
        <v>2400</v>
      </c>
      <c r="W3936" s="267"/>
      <c r="X3936" s="268"/>
      <c r="Y3936" s="269">
        <f t="shared" ref="Y3936:Y3950" si="2902">(W3936+X3936)-V3936</f>
        <v>-2400</v>
      </c>
      <c r="Z3936" s="270">
        <f t="shared" ref="Z3936:Z3950" si="2903">IF(Y3936&lt;0,((V3936*P3936)-((W3936+X3936)*P3936)),0)</f>
        <v>48000</v>
      </c>
      <c r="AA3936" s="270">
        <f t="shared" ref="AA3936:AA3950" si="2904">Q3936*Z3936</f>
        <v>576000</v>
      </c>
      <c r="AB3936" s="811">
        <v>2</v>
      </c>
      <c r="AC3936" s="267">
        <f t="shared" ref="AC3936:AC3950" si="2905">Z3936*AB3936</f>
        <v>96000</v>
      </c>
      <c r="AD3936" s="209"/>
      <c r="AE3936" s="210">
        <f t="shared" ref="AE3936" si="2906">SUM(Q3936*R3936*Z3936)/1000</f>
        <v>3.9225599999999998</v>
      </c>
      <c r="AF3936" s="210">
        <f t="shared" ref="AF3936:AF3950" si="2907">AE3936/0.54</f>
        <v>7.2639999999999993</v>
      </c>
      <c r="AG3936" s="211">
        <f t="shared" ref="AG3936" si="2908">MID(O3936,1,3)/1000</f>
        <v>0.154</v>
      </c>
      <c r="AH3936" s="157">
        <f t="shared" ref="AH3936:AH3948" si="2909">(Z3936*AG3936)/1000</f>
        <v>7.3920000000000003</v>
      </c>
      <c r="AI3936" s="152">
        <f t="shared" ref="AI3936:AI3950" si="2910">V3936*P3936</f>
        <v>48000</v>
      </c>
      <c r="AK3936" s="156" t="s">
        <v>691</v>
      </c>
      <c r="AL3936" s="156" t="s">
        <v>689</v>
      </c>
      <c r="AM3936" s="198">
        <f t="shared" ref="AM3936:AM3950" si="2911">AG3936*Z3936</f>
        <v>7392</v>
      </c>
      <c r="AN3936" s="199">
        <f t="shared" ref="AN3936:AN3950" si="2912">B3936</f>
        <v>46357</v>
      </c>
      <c r="AO3936" s="159" t="s">
        <v>692</v>
      </c>
      <c r="AP3936" s="783" t="s">
        <v>610</v>
      </c>
      <c r="AQ3936" s="783" t="s">
        <v>631</v>
      </c>
      <c r="AR3936" s="783" t="s">
        <v>523</v>
      </c>
      <c r="AS3936" s="781"/>
      <c r="AT3936" s="782">
        <v>12096524</v>
      </c>
      <c r="AU3936" s="781"/>
      <c r="AV3936" s="783" t="s">
        <v>2507</v>
      </c>
      <c r="AW3936" s="781"/>
      <c r="AX3936" s="782" t="s">
        <v>398</v>
      </c>
      <c r="AY3936" s="781"/>
      <c r="AZ3936" s="781"/>
      <c r="BA3936" s="781"/>
      <c r="BB3936" s="209">
        <v>23053184</v>
      </c>
    </row>
    <row r="3937" spans="1:54" ht="24.65" customHeight="1">
      <c r="A3937" s="972" t="s">
        <v>3157</v>
      </c>
      <c r="B3937" s="258">
        <v>46388</v>
      </c>
      <c r="C3937" s="259">
        <v>46388</v>
      </c>
      <c r="D3937" s="185">
        <f t="shared" ref="D3937:D3938" si="2913">IF(B3937="","",YEAR(B3937))</f>
        <v>2027</v>
      </c>
      <c r="E3937" s="260" t="e">
        <f>VLOOKUP($B3937,Week!$A$1:$C$1462,2,0)</f>
        <v>#N/A</v>
      </c>
      <c r="F3937" s="261" t="str">
        <f t="shared" ref="F3937:F3938" si="2914">IF(B3937="","",TEXT(B3937,"[$-409]mmm"))</f>
        <v>Jan</v>
      </c>
      <c r="G3937" s="262"/>
      <c r="H3937" s="260" t="s">
        <v>134</v>
      </c>
      <c r="I3937" s="260" t="s">
        <v>2772</v>
      </c>
      <c r="J3937" s="263" t="s">
        <v>2932</v>
      </c>
      <c r="K3937" s="264" t="s">
        <v>153</v>
      </c>
      <c r="L3937" s="390" t="s">
        <v>2166</v>
      </c>
      <c r="M3937" s="263" t="s">
        <v>165</v>
      </c>
      <c r="N3937" s="260" t="s">
        <v>166</v>
      </c>
      <c r="O3937" s="260" t="s">
        <v>502</v>
      </c>
      <c r="P3937" s="265">
        <v>20</v>
      </c>
      <c r="Q3937" s="265">
        <v>12</v>
      </c>
      <c r="R3937" s="266">
        <v>6.8100000000000001E-3</v>
      </c>
      <c r="S3937" s="260" t="s">
        <v>76</v>
      </c>
      <c r="T3937" s="260" t="s">
        <v>56</v>
      </c>
      <c r="U3937" s="260" t="s">
        <v>89</v>
      </c>
      <c r="V3937" s="267">
        <f>9500</f>
        <v>9500</v>
      </c>
      <c r="W3937" s="267"/>
      <c r="X3937" s="268"/>
      <c r="Y3937" s="269">
        <f t="shared" ref="Y3937:Y3938" si="2915">(W3937+X3937)-V3937</f>
        <v>-9500</v>
      </c>
      <c r="Z3937" s="270">
        <f t="shared" ref="Z3937:Z3938" si="2916">IF(Y3937&lt;0,((V3937*P3937)-((W3937+X3937)*P3937)),0)</f>
        <v>190000</v>
      </c>
      <c r="AA3937" s="270">
        <f t="shared" ref="AA3937:AA3938" si="2917">Q3937*Z3937</f>
        <v>2280000</v>
      </c>
      <c r="AB3937" s="811">
        <v>2</v>
      </c>
      <c r="AC3937" s="267">
        <f t="shared" ref="AC3937:AC3938" si="2918">Z3937*AB3937</f>
        <v>380000</v>
      </c>
      <c r="AD3937" s="209"/>
      <c r="AE3937" s="210">
        <f t="shared" ref="AE3937:AE3938" si="2919">SUM(Q3937*R3937*Z3937)/1000</f>
        <v>15.526800000000001</v>
      </c>
      <c r="AF3937" s="210">
        <f t="shared" ref="AF3937:AF3938" si="2920">AE3937/0.54</f>
        <v>28.753333333333334</v>
      </c>
      <c r="AG3937" s="211">
        <f t="shared" ref="AG3937:AG3938" si="2921">MID(O3937,1,3)/1000</f>
        <v>0.154</v>
      </c>
      <c r="AH3937" s="157">
        <f t="shared" ref="AH3937:AH3938" si="2922">(Z3937*AG3937)/1000</f>
        <v>29.26</v>
      </c>
      <c r="AI3937" s="152">
        <f t="shared" ref="AI3937:AI3938" si="2923">V3937*P3937</f>
        <v>190000</v>
      </c>
      <c r="AK3937" s="156" t="s">
        <v>691</v>
      </c>
      <c r="AL3937" s="156" t="s">
        <v>689</v>
      </c>
      <c r="AM3937" s="198">
        <f t="shared" ref="AM3937:AM3938" si="2924">AG3937*Z3937</f>
        <v>29260</v>
      </c>
      <c r="AN3937" s="199">
        <f t="shared" ref="AN3937:AN3938" si="2925">B3937</f>
        <v>46388</v>
      </c>
      <c r="AO3937" s="159" t="s">
        <v>692</v>
      </c>
      <c r="AP3937" s="783" t="s">
        <v>610</v>
      </c>
      <c r="AQ3937" s="783" t="s">
        <v>631</v>
      </c>
      <c r="AR3937" s="783" t="s">
        <v>523</v>
      </c>
      <c r="AS3937" s="781"/>
      <c r="AT3937" s="782">
        <v>12096524</v>
      </c>
      <c r="AU3937" s="781"/>
      <c r="AV3937" s="783" t="s">
        <v>2507</v>
      </c>
      <c r="AW3937" s="781"/>
      <c r="AX3937" s="782" t="s">
        <v>398</v>
      </c>
      <c r="AY3937" s="781"/>
      <c r="AZ3937" s="781"/>
      <c r="BA3937" s="781"/>
      <c r="BB3937" s="209">
        <v>23053184</v>
      </c>
    </row>
    <row r="3938" spans="1:54" ht="24.65" customHeight="1">
      <c r="A3938" s="972" t="s">
        <v>3157</v>
      </c>
      <c r="B3938" s="258">
        <v>46419</v>
      </c>
      <c r="C3938" s="259">
        <v>46419</v>
      </c>
      <c r="D3938" s="185">
        <f t="shared" si="2913"/>
        <v>2027</v>
      </c>
      <c r="E3938" s="260" t="e">
        <f>VLOOKUP($B3938,Week!$A$1:$C$1462,2,0)</f>
        <v>#N/A</v>
      </c>
      <c r="F3938" s="261" t="str">
        <f t="shared" si="2914"/>
        <v>Feb</v>
      </c>
      <c r="G3938" s="262"/>
      <c r="H3938" s="260" t="s">
        <v>134</v>
      </c>
      <c r="I3938" s="260" t="s">
        <v>2772</v>
      </c>
      <c r="J3938" s="263" t="s">
        <v>2932</v>
      </c>
      <c r="K3938" s="264" t="s">
        <v>153</v>
      </c>
      <c r="L3938" s="390" t="s">
        <v>2166</v>
      </c>
      <c r="M3938" s="263" t="s">
        <v>165</v>
      </c>
      <c r="N3938" s="260" t="s">
        <v>166</v>
      </c>
      <c r="O3938" s="260" t="s">
        <v>502</v>
      </c>
      <c r="P3938" s="265">
        <v>20</v>
      </c>
      <c r="Q3938" s="265">
        <v>12</v>
      </c>
      <c r="R3938" s="266">
        <v>6.8100000000000001E-3</v>
      </c>
      <c r="S3938" s="260" t="s">
        <v>76</v>
      </c>
      <c r="T3938" s="260" t="s">
        <v>56</v>
      </c>
      <c r="U3938" s="260" t="s">
        <v>89</v>
      </c>
      <c r="V3938" s="267">
        <f>1000</f>
        <v>1000</v>
      </c>
      <c r="W3938" s="267"/>
      <c r="X3938" s="268"/>
      <c r="Y3938" s="269">
        <f t="shared" si="2915"/>
        <v>-1000</v>
      </c>
      <c r="Z3938" s="270">
        <f t="shared" si="2916"/>
        <v>20000</v>
      </c>
      <c r="AA3938" s="270">
        <f t="shared" si="2917"/>
        <v>240000</v>
      </c>
      <c r="AB3938" s="811">
        <v>2</v>
      </c>
      <c r="AC3938" s="267">
        <f t="shared" si="2918"/>
        <v>40000</v>
      </c>
      <c r="AD3938" s="209"/>
      <c r="AE3938" s="210">
        <f t="shared" si="2919"/>
        <v>1.6344000000000001</v>
      </c>
      <c r="AF3938" s="210">
        <f t="shared" si="2920"/>
        <v>3.0266666666666664</v>
      </c>
      <c r="AG3938" s="211">
        <f t="shared" si="2921"/>
        <v>0.154</v>
      </c>
      <c r="AH3938" s="157">
        <f t="shared" si="2922"/>
        <v>3.08</v>
      </c>
      <c r="AI3938" s="152">
        <f t="shared" si="2923"/>
        <v>20000</v>
      </c>
      <c r="AK3938" s="156" t="s">
        <v>691</v>
      </c>
      <c r="AL3938" s="156" t="s">
        <v>689</v>
      </c>
      <c r="AM3938" s="198">
        <f t="shared" si="2924"/>
        <v>3080</v>
      </c>
      <c r="AN3938" s="199">
        <f t="shared" si="2925"/>
        <v>46419</v>
      </c>
      <c r="AO3938" s="159" t="s">
        <v>692</v>
      </c>
      <c r="AP3938" s="783" t="s">
        <v>610</v>
      </c>
      <c r="AQ3938" s="783" t="s">
        <v>631</v>
      </c>
      <c r="AR3938" s="783" t="s">
        <v>523</v>
      </c>
      <c r="AS3938" s="781"/>
      <c r="AT3938" s="782">
        <v>12096524</v>
      </c>
      <c r="AU3938" s="781"/>
      <c r="AV3938" s="783" t="s">
        <v>2507</v>
      </c>
      <c r="AW3938" s="781"/>
      <c r="AX3938" s="782" t="s">
        <v>398</v>
      </c>
      <c r="AY3938" s="781"/>
      <c r="AZ3938" s="781"/>
      <c r="BA3938" s="781"/>
      <c r="BB3938" s="209">
        <v>23053184</v>
      </c>
    </row>
    <row r="3939" spans="1:54" ht="25" customHeight="1">
      <c r="A3939" s="972" t="s">
        <v>3157</v>
      </c>
      <c r="B3939" s="559">
        <v>46357</v>
      </c>
      <c r="C3939" s="560">
        <v>46357</v>
      </c>
      <c r="D3939" s="185">
        <f t="shared" ref="D3939:D3950" si="2926">IF(B3939="","",YEAR(B3939))</f>
        <v>2026</v>
      </c>
      <c r="E3939" s="561" t="e">
        <f>VLOOKUP($B3939,Week!$A$1:$C$1462,2,0)</f>
        <v>#N/A</v>
      </c>
      <c r="F3939" s="562" t="str">
        <f t="shared" ref="F3939:F3950" si="2927">IF(B3939="","",TEXT(B3939,"[$-409]mmm"))</f>
        <v>Dec</v>
      </c>
      <c r="G3939" s="561"/>
      <c r="H3939" s="561" t="s">
        <v>134</v>
      </c>
      <c r="I3939" s="561" t="s">
        <v>2772</v>
      </c>
      <c r="J3939" s="563" t="s">
        <v>2932</v>
      </c>
      <c r="K3939" s="564" t="s">
        <v>355</v>
      </c>
      <c r="L3939" s="390" t="s">
        <v>2166</v>
      </c>
      <c r="M3939" s="563" t="s">
        <v>356</v>
      </c>
      <c r="N3939" s="561" t="s">
        <v>652</v>
      </c>
      <c r="O3939" s="561" t="s">
        <v>508</v>
      </c>
      <c r="P3939" s="565">
        <v>18</v>
      </c>
      <c r="Q3939" s="565">
        <v>8</v>
      </c>
      <c r="R3939" s="566">
        <v>6.0000000000000001E-3</v>
      </c>
      <c r="S3939" s="561" t="s">
        <v>55</v>
      </c>
      <c r="T3939" s="561" t="s">
        <v>56</v>
      </c>
      <c r="U3939" s="561" t="s">
        <v>89</v>
      </c>
      <c r="V3939" s="567">
        <f>5400/18</f>
        <v>300</v>
      </c>
      <c r="W3939" s="567"/>
      <c r="X3939" s="568"/>
      <c r="Y3939" s="569">
        <f t="shared" si="2902"/>
        <v>-300</v>
      </c>
      <c r="Z3939" s="570">
        <f t="shared" si="2903"/>
        <v>5400</v>
      </c>
      <c r="AA3939" s="570">
        <f t="shared" si="2904"/>
        <v>43200</v>
      </c>
      <c r="AB3939" s="834">
        <v>2</v>
      </c>
      <c r="AC3939" s="567">
        <f t="shared" si="2905"/>
        <v>10800</v>
      </c>
      <c r="AD3939" s="443"/>
      <c r="AE3939" s="210">
        <f>SUM(Q3939*R3939*Z3939)/1000</f>
        <v>0.25919999999999999</v>
      </c>
      <c r="AF3939" s="210">
        <f t="shared" si="2907"/>
        <v>0.47999999999999993</v>
      </c>
      <c r="AG3939" s="211">
        <f t="shared" ref="AG3939" si="2928">MID(O3939,1,2)/1000</f>
        <v>0.09</v>
      </c>
      <c r="AH3939" s="157">
        <f t="shared" si="2909"/>
        <v>0.48599999999999999</v>
      </c>
      <c r="AI3939" s="152">
        <f t="shared" si="2910"/>
        <v>5400</v>
      </c>
      <c r="AK3939" s="156" t="s">
        <v>691</v>
      </c>
      <c r="AL3939" s="156" t="s">
        <v>689</v>
      </c>
      <c r="AM3939" s="198">
        <f t="shared" si="2911"/>
        <v>486</v>
      </c>
      <c r="AN3939" s="199">
        <f t="shared" si="2912"/>
        <v>46357</v>
      </c>
      <c r="AO3939" s="159" t="s">
        <v>692</v>
      </c>
      <c r="AP3939" s="783"/>
      <c r="AQ3939" s="782"/>
      <c r="AR3939" s="782" t="s">
        <v>531</v>
      </c>
      <c r="AS3939" s="782"/>
      <c r="AT3939" s="782"/>
      <c r="AU3939" s="782">
        <v>12054219</v>
      </c>
      <c r="AV3939" s="782">
        <v>12097195</v>
      </c>
      <c r="AW3939" s="782"/>
      <c r="AX3939" s="782" t="s">
        <v>2519</v>
      </c>
      <c r="AY3939" s="782"/>
      <c r="AZ3939" s="782"/>
      <c r="BA3939" s="781"/>
      <c r="BB3939" s="209">
        <v>23053184</v>
      </c>
    </row>
    <row r="3940" spans="1:54" ht="25" customHeight="1">
      <c r="A3940" s="972" t="s">
        <v>3157</v>
      </c>
      <c r="B3940" s="559">
        <v>46388</v>
      </c>
      <c r="C3940" s="560">
        <v>46388</v>
      </c>
      <c r="D3940" s="185">
        <f t="shared" ref="D3940:D3941" si="2929">IF(B3940="","",YEAR(B3940))</f>
        <v>2027</v>
      </c>
      <c r="E3940" s="561" t="e">
        <f>VLOOKUP($B3940,Week!$A$1:$C$1462,2,0)</f>
        <v>#N/A</v>
      </c>
      <c r="F3940" s="562" t="str">
        <f t="shared" ref="F3940:F3941" si="2930">IF(B3940="","",TEXT(B3940,"[$-409]mmm"))</f>
        <v>Jan</v>
      </c>
      <c r="G3940" s="561"/>
      <c r="H3940" s="561" t="s">
        <v>134</v>
      </c>
      <c r="I3940" s="561" t="s">
        <v>2772</v>
      </c>
      <c r="J3940" s="563" t="s">
        <v>2932</v>
      </c>
      <c r="K3940" s="564" t="s">
        <v>355</v>
      </c>
      <c r="L3940" s="390" t="s">
        <v>2166</v>
      </c>
      <c r="M3940" s="563" t="s">
        <v>356</v>
      </c>
      <c r="N3940" s="561" t="s">
        <v>652</v>
      </c>
      <c r="O3940" s="561" t="s">
        <v>508</v>
      </c>
      <c r="P3940" s="565">
        <v>18</v>
      </c>
      <c r="Q3940" s="565">
        <v>8</v>
      </c>
      <c r="R3940" s="566">
        <v>6.0000000000000001E-3</v>
      </c>
      <c r="S3940" s="561" t="s">
        <v>55</v>
      </c>
      <c r="T3940" s="561" t="s">
        <v>56</v>
      </c>
      <c r="U3940" s="561" t="s">
        <v>89</v>
      </c>
      <c r="V3940" s="567">
        <v>780</v>
      </c>
      <c r="W3940" s="567"/>
      <c r="X3940" s="568"/>
      <c r="Y3940" s="569">
        <f t="shared" ref="Y3940:Y3941" si="2931">(W3940+X3940)-V3940</f>
        <v>-780</v>
      </c>
      <c r="Z3940" s="570">
        <f t="shared" ref="Z3940:Z3941" si="2932">IF(Y3940&lt;0,((V3940*P3940)-((W3940+X3940)*P3940)),0)</f>
        <v>14040</v>
      </c>
      <c r="AA3940" s="570">
        <f t="shared" ref="AA3940:AA3941" si="2933">Q3940*Z3940</f>
        <v>112320</v>
      </c>
      <c r="AB3940" s="834">
        <v>2</v>
      </c>
      <c r="AC3940" s="567">
        <f t="shared" ref="AC3940:AC3941" si="2934">Z3940*AB3940</f>
        <v>28080</v>
      </c>
      <c r="AD3940" s="443"/>
      <c r="AE3940" s="210">
        <f t="shared" ref="AE3940:AE3941" si="2935">SUM(Q3940*R3940*Z3940)/1000</f>
        <v>0.67391999999999996</v>
      </c>
      <c r="AF3940" s="210">
        <f t="shared" ref="AF3940:AF3941" si="2936">AE3940/0.54</f>
        <v>1.2479999999999998</v>
      </c>
      <c r="AG3940" s="211">
        <f t="shared" ref="AG3940:AG3941" si="2937">MID(O3940,1,2)/1000</f>
        <v>0.09</v>
      </c>
      <c r="AH3940" s="157">
        <f t="shared" ref="AH3940:AH3941" si="2938">(Z3940*AG3940)/1000</f>
        <v>1.2635999999999998</v>
      </c>
      <c r="AI3940" s="152">
        <f t="shared" ref="AI3940:AI3941" si="2939">V3940*P3940</f>
        <v>14040</v>
      </c>
      <c r="AK3940" s="156" t="s">
        <v>691</v>
      </c>
      <c r="AL3940" s="156" t="s">
        <v>689</v>
      </c>
      <c r="AM3940" s="198">
        <f t="shared" ref="AM3940:AM3941" si="2940">AG3940*Z3940</f>
        <v>1263.5999999999999</v>
      </c>
      <c r="AN3940" s="199">
        <f t="shared" ref="AN3940:AN3941" si="2941">B3940</f>
        <v>46388</v>
      </c>
      <c r="AO3940" s="159" t="s">
        <v>692</v>
      </c>
      <c r="AP3940" s="783"/>
      <c r="AQ3940" s="782"/>
      <c r="AR3940" s="782" t="s">
        <v>531</v>
      </c>
      <c r="AS3940" s="782"/>
      <c r="AT3940" s="782"/>
      <c r="AU3940" s="782">
        <v>12054219</v>
      </c>
      <c r="AV3940" s="782">
        <v>12097195</v>
      </c>
      <c r="AW3940" s="782"/>
      <c r="AX3940" s="782" t="s">
        <v>2519</v>
      </c>
      <c r="AY3940" s="782"/>
      <c r="AZ3940" s="782"/>
      <c r="BA3940" s="781"/>
      <c r="BB3940" s="209">
        <v>23053184</v>
      </c>
    </row>
    <row r="3941" spans="1:54" ht="25" customHeight="1">
      <c r="A3941" s="972" t="s">
        <v>3157</v>
      </c>
      <c r="B3941" s="559">
        <v>46419</v>
      </c>
      <c r="C3941" s="560">
        <v>46419</v>
      </c>
      <c r="D3941" s="185">
        <f t="shared" si="2929"/>
        <v>2027</v>
      </c>
      <c r="E3941" s="561" t="e">
        <f>VLOOKUP($B3941,Week!$A$1:$C$1462,2,0)</f>
        <v>#N/A</v>
      </c>
      <c r="F3941" s="562" t="str">
        <f t="shared" si="2930"/>
        <v>Feb</v>
      </c>
      <c r="G3941" s="561"/>
      <c r="H3941" s="561" t="s">
        <v>134</v>
      </c>
      <c r="I3941" s="561" t="s">
        <v>2772</v>
      </c>
      <c r="J3941" s="563" t="s">
        <v>2932</v>
      </c>
      <c r="K3941" s="564" t="s">
        <v>355</v>
      </c>
      <c r="L3941" s="390" t="s">
        <v>2166</v>
      </c>
      <c r="M3941" s="563" t="s">
        <v>356</v>
      </c>
      <c r="N3941" s="561" t="s">
        <v>652</v>
      </c>
      <c r="O3941" s="561" t="s">
        <v>508</v>
      </c>
      <c r="P3941" s="565">
        <v>18</v>
      </c>
      <c r="Q3941" s="565">
        <v>8</v>
      </c>
      <c r="R3941" s="566">
        <v>6.0000000000000001E-3</v>
      </c>
      <c r="S3941" s="561" t="s">
        <v>55</v>
      </c>
      <c r="T3941" s="561" t="s">
        <v>56</v>
      </c>
      <c r="U3941" s="561" t="s">
        <v>89</v>
      </c>
      <c r="V3941" s="567">
        <f t="shared" ref="V3941" si="2942">5400/18</f>
        <v>300</v>
      </c>
      <c r="W3941" s="567"/>
      <c r="X3941" s="568"/>
      <c r="Y3941" s="569">
        <f t="shared" si="2931"/>
        <v>-300</v>
      </c>
      <c r="Z3941" s="570">
        <f t="shared" si="2932"/>
        <v>5400</v>
      </c>
      <c r="AA3941" s="570">
        <f t="shared" si="2933"/>
        <v>43200</v>
      </c>
      <c r="AB3941" s="834">
        <v>2</v>
      </c>
      <c r="AC3941" s="567">
        <f t="shared" si="2934"/>
        <v>10800</v>
      </c>
      <c r="AD3941" s="443"/>
      <c r="AE3941" s="210">
        <f t="shared" si="2935"/>
        <v>0.25919999999999999</v>
      </c>
      <c r="AF3941" s="210">
        <f t="shared" si="2936"/>
        <v>0.47999999999999993</v>
      </c>
      <c r="AG3941" s="211">
        <f t="shared" si="2937"/>
        <v>0.09</v>
      </c>
      <c r="AH3941" s="157">
        <f t="shared" si="2938"/>
        <v>0.48599999999999999</v>
      </c>
      <c r="AI3941" s="152">
        <f t="shared" si="2939"/>
        <v>5400</v>
      </c>
      <c r="AK3941" s="156" t="s">
        <v>691</v>
      </c>
      <c r="AL3941" s="156" t="s">
        <v>689</v>
      </c>
      <c r="AM3941" s="198">
        <f t="shared" si="2940"/>
        <v>486</v>
      </c>
      <c r="AN3941" s="199">
        <f t="shared" si="2941"/>
        <v>46419</v>
      </c>
      <c r="AO3941" s="159" t="s">
        <v>692</v>
      </c>
      <c r="AP3941" s="783"/>
      <c r="AQ3941" s="782"/>
      <c r="AR3941" s="782" t="s">
        <v>531</v>
      </c>
      <c r="AS3941" s="782"/>
      <c r="AT3941" s="782"/>
      <c r="AU3941" s="782">
        <v>12054219</v>
      </c>
      <c r="AV3941" s="782">
        <v>12097195</v>
      </c>
      <c r="AW3941" s="782"/>
      <c r="AX3941" s="782" t="s">
        <v>2519</v>
      </c>
      <c r="AY3941" s="782"/>
      <c r="AZ3941" s="782"/>
      <c r="BA3941" s="781"/>
      <c r="BB3941" s="209">
        <v>23053184</v>
      </c>
    </row>
    <row r="3942" spans="1:54" ht="25" customHeight="1">
      <c r="A3942" s="972" t="s">
        <v>3157</v>
      </c>
      <c r="B3942" s="283">
        <v>46388</v>
      </c>
      <c r="C3942" s="284">
        <v>46388</v>
      </c>
      <c r="D3942" s="185">
        <f>IF(B3942="","",YEAR(B3942))</f>
        <v>2027</v>
      </c>
      <c r="E3942" s="286" t="e">
        <f>VLOOKUP($B3942,Week!$A$1:$C$1462,2,0)</f>
        <v>#N/A</v>
      </c>
      <c r="F3942" s="285" t="str">
        <f>IF(B3942="","",TEXT(B3942,"[$-409]mmm"))</f>
        <v>Jan</v>
      </c>
      <c r="G3942" s="286"/>
      <c r="H3942" s="286" t="s">
        <v>134</v>
      </c>
      <c r="I3942" s="286" t="s">
        <v>2772</v>
      </c>
      <c r="J3942" s="287" t="s">
        <v>2932</v>
      </c>
      <c r="K3942" s="288" t="s">
        <v>153</v>
      </c>
      <c r="L3942" s="390" t="s">
        <v>2166</v>
      </c>
      <c r="M3942" s="287" t="s">
        <v>214</v>
      </c>
      <c r="N3942" s="286" t="s">
        <v>215</v>
      </c>
      <c r="O3942" s="286" t="s">
        <v>504</v>
      </c>
      <c r="P3942" s="289">
        <v>20</v>
      </c>
      <c r="Q3942" s="289">
        <v>8</v>
      </c>
      <c r="R3942" s="290">
        <v>1.4999999999999999E-2</v>
      </c>
      <c r="S3942" s="286" t="s">
        <v>217</v>
      </c>
      <c r="T3942" s="286" t="s">
        <v>56</v>
      </c>
      <c r="U3942" s="286" t="s">
        <v>89</v>
      </c>
      <c r="V3942" s="291">
        <f>2400</f>
        <v>2400</v>
      </c>
      <c r="W3942" s="291"/>
      <c r="X3942" s="292"/>
      <c r="Y3942" s="293">
        <f>(W3942+X3942)-V3942</f>
        <v>-2400</v>
      </c>
      <c r="Z3942" s="294">
        <f>IF(Y3942&lt;0,((V3942*P3942)-((W3942+X3942)*P3942)),0)</f>
        <v>48000</v>
      </c>
      <c r="AA3942" s="291">
        <f>Q3942*Z3942</f>
        <v>384000</v>
      </c>
      <c r="AB3942" s="813">
        <v>2</v>
      </c>
      <c r="AC3942" s="291">
        <f>Z3942*AB3942</f>
        <v>96000</v>
      </c>
      <c r="AD3942" s="209" t="s">
        <v>218</v>
      </c>
      <c r="AE3942" s="210">
        <f>SUM(Q3942*R3942*Z3942)/1000</f>
        <v>5.76</v>
      </c>
      <c r="AF3942" s="210">
        <f>AE3942/0.54</f>
        <v>10.666666666666666</v>
      </c>
      <c r="AG3942" s="211">
        <f>MID(O3942,1,3)/1000</f>
        <v>0.19400000000000001</v>
      </c>
      <c r="AH3942" s="157">
        <f t="shared" ref="AH3942" si="2943">(Z3942*AG3942)/1000</f>
        <v>9.3119999999999994</v>
      </c>
      <c r="AI3942" s="152">
        <f>V3942*P3942</f>
        <v>48000</v>
      </c>
      <c r="AK3942" s="156" t="s">
        <v>691</v>
      </c>
      <c r="AL3942" s="156" t="s">
        <v>689</v>
      </c>
      <c r="AM3942" s="198">
        <f>AG3942*Z3942</f>
        <v>9312</v>
      </c>
      <c r="AN3942" s="199">
        <f>B3942</f>
        <v>46388</v>
      </c>
      <c r="AO3942" s="159" t="s">
        <v>692</v>
      </c>
      <c r="AP3942" s="783" t="s">
        <v>610</v>
      </c>
      <c r="AQ3942" s="782">
        <v>12071839</v>
      </c>
      <c r="AR3942" s="782">
        <v>12064528</v>
      </c>
      <c r="AS3942" s="782"/>
      <c r="AT3942" s="782">
        <v>12096526</v>
      </c>
      <c r="AU3942" s="781"/>
      <c r="AV3942" s="782">
        <v>12096527</v>
      </c>
      <c r="AW3942" s="782"/>
      <c r="AX3942" s="782" t="s">
        <v>545</v>
      </c>
      <c r="AY3942" s="782"/>
      <c r="AZ3942" s="782"/>
      <c r="BA3942" s="781"/>
      <c r="BB3942" s="209">
        <v>23053184</v>
      </c>
    </row>
    <row r="3943" spans="1:54" ht="25" customHeight="1">
      <c r="A3943" s="972" t="s">
        <v>3157</v>
      </c>
      <c r="B3943" s="448">
        <v>46388</v>
      </c>
      <c r="C3943" s="449">
        <v>46388</v>
      </c>
      <c r="D3943" s="185">
        <f t="shared" ref="D3943" si="2944">IF(B3943="","",YEAR(B3943))</f>
        <v>2027</v>
      </c>
      <c r="E3943" s="450" t="e">
        <f>VLOOKUP($B3943,Week!$A$1:$C$1462,2,0)</f>
        <v>#N/A</v>
      </c>
      <c r="F3943" s="451" t="str">
        <f t="shared" ref="F3943" si="2945">IF(B3943="","",TEXT(B3943,"[$-409]mmm"))</f>
        <v>Jan</v>
      </c>
      <c r="G3943" s="450"/>
      <c r="H3943" s="450" t="s">
        <v>134</v>
      </c>
      <c r="I3943" s="450" t="s">
        <v>2772</v>
      </c>
      <c r="J3943" s="452" t="s">
        <v>2932</v>
      </c>
      <c r="K3943" s="453" t="s">
        <v>153</v>
      </c>
      <c r="L3943" s="390" t="s">
        <v>2166</v>
      </c>
      <c r="M3943" s="452" t="s">
        <v>1642</v>
      </c>
      <c r="N3943" s="450" t="s">
        <v>429</v>
      </c>
      <c r="O3943" s="450" t="s">
        <v>505</v>
      </c>
      <c r="P3943" s="454">
        <v>20</v>
      </c>
      <c r="Q3943" s="454">
        <v>12</v>
      </c>
      <c r="R3943" s="455">
        <v>6.8100000000000001E-3</v>
      </c>
      <c r="S3943" s="450" t="s">
        <v>76</v>
      </c>
      <c r="T3943" s="450" t="s">
        <v>56</v>
      </c>
      <c r="U3943" s="773" t="s">
        <v>430</v>
      </c>
      <c r="V3943" s="456">
        <f>2400</f>
        <v>2400</v>
      </c>
      <c r="W3943" s="456"/>
      <c r="X3943" s="457"/>
      <c r="Y3943" s="458">
        <f t="shared" ref="Y3943:Y3944" si="2946">(W3943+X3943)-V3943</f>
        <v>-2400</v>
      </c>
      <c r="Z3943" s="459">
        <f t="shared" ref="Z3943:Z3944" si="2947">IF(Y3943&lt;0,((V3943*P3943)-((W3943+X3943)*P3943)),0)</f>
        <v>48000</v>
      </c>
      <c r="AA3943" s="459">
        <f t="shared" ref="AA3943:AA3944" si="2948">Q3943*Z3943</f>
        <v>576000</v>
      </c>
      <c r="AB3943" s="827">
        <v>2</v>
      </c>
      <c r="AC3943" s="456">
        <f t="shared" ref="AC3943:AC3944" si="2949">Z3943*AB3943</f>
        <v>96000</v>
      </c>
      <c r="AD3943" s="209" t="s">
        <v>218</v>
      </c>
      <c r="AE3943" s="210">
        <f t="shared" ref="AE3943" si="2950">SUM(Q3943*R3943*Z3943)/1000</f>
        <v>3.9225599999999998</v>
      </c>
      <c r="AF3943" s="210">
        <f t="shared" ref="AF3943:AF3944" si="2951">AE3943/0.54</f>
        <v>7.2639999999999993</v>
      </c>
      <c r="AG3943" s="211">
        <f t="shared" ref="AG3943:AG3944" si="2952">MID(O3943,1,3)/1000</f>
        <v>0.20399999999999999</v>
      </c>
      <c r="AH3943" s="157">
        <f>(Z3943*AG3943)/1000</f>
        <v>9.7919999999999998</v>
      </c>
      <c r="AI3943" s="152">
        <f t="shared" ref="AI3943:AI3944" si="2953">V3943*P3943</f>
        <v>48000</v>
      </c>
      <c r="AK3943" s="156" t="s">
        <v>691</v>
      </c>
      <c r="AL3943" s="156" t="s">
        <v>689</v>
      </c>
      <c r="AM3943" s="198">
        <f t="shared" ref="AM3943:AM3944" si="2954">AG3943*Z3943</f>
        <v>9792</v>
      </c>
      <c r="AN3943" s="199">
        <f t="shared" ref="AN3943:AN3944" si="2955">B3943</f>
        <v>46388</v>
      </c>
      <c r="AO3943" s="159" t="s">
        <v>692</v>
      </c>
      <c r="AP3943" s="781"/>
      <c r="AQ3943" s="782">
        <v>12071839</v>
      </c>
      <c r="AR3943" s="782">
        <v>12019692</v>
      </c>
      <c r="AS3943" s="782"/>
      <c r="AT3943" s="867">
        <v>12095767</v>
      </c>
      <c r="AU3943" s="868"/>
      <c r="AV3943" s="867">
        <v>12095768</v>
      </c>
      <c r="AW3943" s="782"/>
      <c r="AX3943" s="782" t="s">
        <v>398</v>
      </c>
      <c r="AY3943" s="782"/>
      <c r="AZ3943" s="782"/>
      <c r="BA3943" s="781"/>
      <c r="BB3943" s="209">
        <v>23057444</v>
      </c>
    </row>
    <row r="3944" spans="1:54" ht="24.65" customHeight="1">
      <c r="A3944" s="972" t="s">
        <v>3157</v>
      </c>
      <c r="B3944" s="546">
        <v>46388</v>
      </c>
      <c r="C3944" s="547">
        <v>46388</v>
      </c>
      <c r="D3944" s="549">
        <f t="shared" ref="D3944" si="2956">IF(B3944="","",YEAR(B3944))</f>
        <v>2027</v>
      </c>
      <c r="E3944" s="549" t="e">
        <f>VLOOKUP($B3944,Week!$A$1:$C$1462,2,0)</f>
        <v>#N/A</v>
      </c>
      <c r="F3944" s="548" t="str">
        <f t="shared" ref="F3944" si="2957">IF(B3944="","",TEXT(B3944,"[$-409]mmm"))</f>
        <v>Jan</v>
      </c>
      <c r="G3944" s="864"/>
      <c r="H3944" s="549" t="s">
        <v>134</v>
      </c>
      <c r="I3944" s="549" t="s">
        <v>2772</v>
      </c>
      <c r="J3944" s="550" t="s">
        <v>2932</v>
      </c>
      <c r="K3944" s="551" t="s">
        <v>153</v>
      </c>
      <c r="L3944" s="551" t="s">
        <v>2166</v>
      </c>
      <c r="M3944" s="550" t="s">
        <v>2363</v>
      </c>
      <c r="N3944" s="549" t="s">
        <v>2364</v>
      </c>
      <c r="O3944" s="549" t="s">
        <v>2365</v>
      </c>
      <c r="P3944" s="552">
        <v>18</v>
      </c>
      <c r="Q3944" s="552">
        <v>8</v>
      </c>
      <c r="R3944" s="553">
        <v>6.8100000000000001E-3</v>
      </c>
      <c r="S3944" s="549" t="s">
        <v>76</v>
      </c>
      <c r="T3944" s="549" t="s">
        <v>56</v>
      </c>
      <c r="U3944" s="865" t="s">
        <v>499</v>
      </c>
      <c r="V3944" s="554">
        <v>250</v>
      </c>
      <c r="W3944" s="554"/>
      <c r="X3944" s="555"/>
      <c r="Y3944" s="556">
        <f t="shared" si="2946"/>
        <v>-250</v>
      </c>
      <c r="Z3944" s="557">
        <f t="shared" si="2947"/>
        <v>4500</v>
      </c>
      <c r="AA3944" s="557">
        <f t="shared" si="2948"/>
        <v>36000</v>
      </c>
      <c r="AB3944" s="833">
        <v>1</v>
      </c>
      <c r="AC3944" s="554">
        <f t="shared" si="2949"/>
        <v>4500</v>
      </c>
      <c r="AD3944" s="209"/>
      <c r="AE3944" s="210">
        <f t="shared" ref="AE3944" si="2958">SUM(Q3944*R3944*Z3944)/1000</f>
        <v>0.24515999999999999</v>
      </c>
      <c r="AF3944" s="210">
        <f t="shared" si="2951"/>
        <v>0.45399999999999996</v>
      </c>
      <c r="AG3944" s="211">
        <f t="shared" si="2952"/>
        <v>0.126</v>
      </c>
      <c r="AH3944" s="157">
        <f t="shared" ref="AH3944" si="2959">(Z3944*AG3944)/1000</f>
        <v>0.56699999999999995</v>
      </c>
      <c r="AI3944" s="152">
        <f t="shared" si="2953"/>
        <v>4500</v>
      </c>
      <c r="AK3944" s="156" t="s">
        <v>691</v>
      </c>
      <c r="AL3944" s="156" t="s">
        <v>689</v>
      </c>
      <c r="AM3944" s="198">
        <f t="shared" si="2954"/>
        <v>567</v>
      </c>
      <c r="AN3944" s="199">
        <f t="shared" si="2955"/>
        <v>46388</v>
      </c>
      <c r="AO3944" s="159" t="s">
        <v>692</v>
      </c>
      <c r="AP3944" s="783"/>
      <c r="AQ3944" s="783" t="s">
        <v>631</v>
      </c>
      <c r="AR3944" s="796">
        <v>12038019</v>
      </c>
      <c r="AS3944" s="781"/>
      <c r="AT3944" s="869">
        <v>12097296</v>
      </c>
      <c r="AU3944" s="781"/>
      <c r="AV3944" s="940">
        <v>12097295</v>
      </c>
      <c r="AW3944" s="781"/>
      <c r="AX3944" s="781" t="s">
        <v>162</v>
      </c>
      <c r="AY3944" s="781"/>
      <c r="AZ3944" s="781"/>
      <c r="BA3944" s="781"/>
      <c r="BB3944" s="209"/>
    </row>
    <row r="3945" spans="1:54" ht="25" customHeight="1">
      <c r="A3945" s="972" t="s">
        <v>3157</v>
      </c>
      <c r="B3945" s="369">
        <v>46388</v>
      </c>
      <c r="C3945" s="370">
        <v>46388</v>
      </c>
      <c r="D3945" s="185">
        <f t="shared" ref="D3945" si="2960">IF(B3945="","",YEAR(B3945))</f>
        <v>2027</v>
      </c>
      <c r="E3945" s="371" t="e">
        <f>VLOOKUP($B3945,Week!$A$1:$C$1462,2,0)</f>
        <v>#N/A</v>
      </c>
      <c r="F3945" s="372" t="str">
        <f t="shared" ref="F3945" si="2961">IF(B3945="","",TEXT(B3945,"[$-409]mmm"))</f>
        <v>Jan</v>
      </c>
      <c r="G3945" s="371"/>
      <c r="H3945" s="371" t="s">
        <v>344</v>
      </c>
      <c r="I3945" s="371" t="s">
        <v>2772</v>
      </c>
      <c r="J3945" s="373" t="s">
        <v>345</v>
      </c>
      <c r="K3945" s="374" t="s">
        <v>153</v>
      </c>
      <c r="L3945" s="390" t="s">
        <v>2166</v>
      </c>
      <c r="M3945" s="373" t="s">
        <v>214</v>
      </c>
      <c r="N3945" s="371" t="s">
        <v>346</v>
      </c>
      <c r="O3945" s="371" t="s">
        <v>509</v>
      </c>
      <c r="P3945" s="375">
        <v>18</v>
      </c>
      <c r="Q3945" s="375">
        <v>8</v>
      </c>
      <c r="R3945" s="376">
        <v>6.8100000000000001E-3</v>
      </c>
      <c r="S3945" s="371" t="s">
        <v>76</v>
      </c>
      <c r="T3945" s="371" t="s">
        <v>56</v>
      </c>
      <c r="U3945" s="371" t="s">
        <v>89</v>
      </c>
      <c r="V3945" s="377">
        <f>1900</f>
        <v>1900</v>
      </c>
      <c r="W3945" s="377"/>
      <c r="X3945" s="378"/>
      <c r="Y3945" s="379">
        <f>(W3945+X3945)-V3945</f>
        <v>-1900</v>
      </c>
      <c r="Z3945" s="380">
        <f>IF(Y3945&lt;0,((V3945*P3945)-((W3945+X3945)*P3945)),0)</f>
        <v>34200</v>
      </c>
      <c r="AA3945" s="380">
        <f>Q3945*Z3945</f>
        <v>273600</v>
      </c>
      <c r="AB3945" s="820">
        <v>1</v>
      </c>
      <c r="AC3945" s="377">
        <f>Z3945*AB3945</f>
        <v>34200</v>
      </c>
      <c r="AD3945" s="443"/>
      <c r="AE3945" s="210">
        <f>SUM(Q3945*R3945*Z3945)/1000</f>
        <v>1.8632160000000002</v>
      </c>
      <c r="AF3945" s="210">
        <f>AE3945/0.54</f>
        <v>3.4504000000000001</v>
      </c>
      <c r="AG3945" s="211">
        <f>MID(O3945,1,3)/1000</f>
        <v>0.10100000000000001</v>
      </c>
      <c r="AH3945" s="157">
        <f>(Z3945*AG3945)/1000</f>
        <v>3.4542000000000002</v>
      </c>
      <c r="AI3945" s="152">
        <f>V3945*P3945</f>
        <v>34200</v>
      </c>
      <c r="AK3945" s="156" t="s">
        <v>691</v>
      </c>
      <c r="AL3945" s="156" t="s">
        <v>689</v>
      </c>
      <c r="AM3945" s="198">
        <f>AG3945*Z3945</f>
        <v>3454.2000000000003</v>
      </c>
      <c r="AN3945" s="199">
        <f>B3945</f>
        <v>46388</v>
      </c>
      <c r="AO3945" s="159" t="s">
        <v>692</v>
      </c>
      <c r="AP3945" s="781"/>
      <c r="AQ3945" s="783" t="s">
        <v>631</v>
      </c>
      <c r="AR3945" s="782">
        <v>12038019</v>
      </c>
      <c r="AS3945" s="781"/>
      <c r="AT3945" s="800">
        <v>12096586</v>
      </c>
      <c r="AU3945" s="781"/>
      <c r="AV3945" s="800">
        <v>12096585</v>
      </c>
      <c r="AW3945" s="781"/>
      <c r="AX3945" s="781" t="s">
        <v>162</v>
      </c>
      <c r="AY3945" s="781"/>
      <c r="AZ3945" s="781"/>
      <c r="BA3945" s="781"/>
      <c r="BB3945" s="209">
        <v>23053184</v>
      </c>
    </row>
    <row r="3946" spans="1:54" ht="25" customHeight="1">
      <c r="A3946" s="972" t="s">
        <v>3157</v>
      </c>
      <c r="B3946" s="308">
        <v>46388</v>
      </c>
      <c r="C3946" s="309">
        <v>46388</v>
      </c>
      <c r="D3946" s="185">
        <f t="shared" ref="D3946" si="2962">IF(B3946="","",YEAR(B3946))</f>
        <v>2027</v>
      </c>
      <c r="E3946" s="309" t="e">
        <f>VLOOKUP($B3946,Week!$A$1:$C$1462,2,0)</f>
        <v>#N/A</v>
      </c>
      <c r="F3946" s="310" t="str">
        <f t="shared" ref="F3946" si="2963">IF(B3946="","",TEXT(B3946,"[$-409]mmm"))</f>
        <v>Jan</v>
      </c>
      <c r="G3946" s="579"/>
      <c r="H3946" s="311" t="s">
        <v>104</v>
      </c>
      <c r="I3946" s="311" t="s">
        <v>2772</v>
      </c>
      <c r="J3946" s="312" t="s">
        <v>105</v>
      </c>
      <c r="K3946" s="313" t="s">
        <v>85</v>
      </c>
      <c r="L3946" s="390" t="s">
        <v>2166</v>
      </c>
      <c r="M3946" s="312" t="s">
        <v>86</v>
      </c>
      <c r="N3946" s="311" t="s">
        <v>421</v>
      </c>
      <c r="O3946" s="311" t="s">
        <v>506</v>
      </c>
      <c r="P3946" s="314">
        <v>10</v>
      </c>
      <c r="Q3946" s="314">
        <v>50</v>
      </c>
      <c r="R3946" s="315">
        <v>6.8100000000000001E-3</v>
      </c>
      <c r="S3946" s="311" t="s">
        <v>76</v>
      </c>
      <c r="T3946" s="311" t="s">
        <v>112</v>
      </c>
      <c r="U3946" s="311" t="s">
        <v>89</v>
      </c>
      <c r="V3946" s="316">
        <f>300</f>
        <v>300</v>
      </c>
      <c r="W3946" s="316"/>
      <c r="X3946" s="317"/>
      <c r="Y3946" s="318">
        <f t="shared" ref="Y3946:Y3947" si="2964">(W3946+X3946)-V3946</f>
        <v>-300</v>
      </c>
      <c r="Z3946" s="319">
        <f t="shared" ref="Z3946:Z3947" si="2965">IF(Y3946&lt;0,((V3946*P3946)-((W3946+X3946)*P3946)),0)</f>
        <v>3000</v>
      </c>
      <c r="AA3946" s="319">
        <f t="shared" ref="AA3946:AA3947" si="2966">Q3946*Z3946</f>
        <v>150000</v>
      </c>
      <c r="AB3946" s="815">
        <v>6</v>
      </c>
      <c r="AC3946" s="316">
        <f t="shared" ref="AC3946:AC3947" si="2967">Z3946*AB3946</f>
        <v>18000</v>
      </c>
      <c r="AD3946" s="381" t="s">
        <v>2895</v>
      </c>
      <c r="AE3946" s="210">
        <f t="shared" ref="AE3946:AE3947" si="2968">SUM(Q3946*R3946*Z3946)/1000</f>
        <v>1.0215000000000001</v>
      </c>
      <c r="AF3946" s="210">
        <f t="shared" ref="AF3946:AF3947" si="2969">AE3946/0.54</f>
        <v>1.8916666666666666</v>
      </c>
      <c r="AG3946" s="211">
        <f t="shared" ref="AG3946:AG3947" si="2970">MID(O3946,1,3)/1000</f>
        <v>0.57999999999999996</v>
      </c>
      <c r="AH3946" s="157">
        <f t="shared" ref="AH3946:AH3947" si="2971">(Z3946*AG3946)/1000</f>
        <v>1.7399999999999998</v>
      </c>
      <c r="AI3946" s="152">
        <f t="shared" ref="AI3946:AI3947" si="2972">V3946*P3946</f>
        <v>3000</v>
      </c>
      <c r="AJ3946" s="156">
        <f t="shared" ref="AJ3946" si="2973">AI3946*Q3946</f>
        <v>150000</v>
      </c>
      <c r="AK3946" s="156" t="s">
        <v>691</v>
      </c>
      <c r="AL3946" s="156" t="s">
        <v>689</v>
      </c>
      <c r="AM3946" s="198">
        <f t="shared" ref="AM3946:AM3947" si="2974">AG3946*Z3946</f>
        <v>1739.9999999999998</v>
      </c>
      <c r="AN3946" s="199">
        <f t="shared" ref="AN3946:AN3947" si="2975">B3946</f>
        <v>46388</v>
      </c>
      <c r="AO3946" s="159" t="s">
        <v>692</v>
      </c>
      <c r="AP3946" s="781" t="s">
        <v>423</v>
      </c>
      <c r="AQ3946" s="781" t="s">
        <v>422</v>
      </c>
      <c r="AR3946" s="782">
        <v>12055234</v>
      </c>
      <c r="AS3946" s="781"/>
      <c r="AT3946" s="782">
        <v>12069432</v>
      </c>
      <c r="AU3946" s="781"/>
      <c r="AV3946" s="782">
        <v>12069433</v>
      </c>
      <c r="AW3946" s="781"/>
      <c r="AX3946" s="781" t="s">
        <v>93</v>
      </c>
      <c r="AY3946" s="781"/>
      <c r="AZ3946" s="782"/>
      <c r="BA3946" s="781"/>
      <c r="BB3946" s="209">
        <v>23053184</v>
      </c>
    </row>
    <row r="3947" spans="1:54" ht="25" customHeight="1">
      <c r="A3947" s="972" t="s">
        <v>3157</v>
      </c>
      <c r="B3947" s="271">
        <v>46388</v>
      </c>
      <c r="C3947" s="272">
        <v>46388</v>
      </c>
      <c r="D3947" s="185">
        <f t="shared" ref="D3947" si="2976">IF(B3947="","",YEAR(B3947))</f>
        <v>2027</v>
      </c>
      <c r="E3947" s="272" t="e">
        <f>VLOOKUP($B3947,Week!$A$1:$C$1462,2,0)</f>
        <v>#N/A</v>
      </c>
      <c r="F3947" s="273" t="str">
        <f t="shared" ref="F3947" si="2977">IF(B3947="","",TEXT(B3947,"[$-409]mmm"))</f>
        <v>Jan</v>
      </c>
      <c r="G3947" s="274"/>
      <c r="H3947" s="274" t="s">
        <v>500</v>
      </c>
      <c r="I3947" s="274" t="s">
        <v>2772</v>
      </c>
      <c r="J3947" s="275" t="s">
        <v>285</v>
      </c>
      <c r="K3947" s="276" t="s">
        <v>153</v>
      </c>
      <c r="L3947" s="390" t="s">
        <v>2166</v>
      </c>
      <c r="M3947" s="275" t="s">
        <v>86</v>
      </c>
      <c r="N3947" s="274" t="s">
        <v>547</v>
      </c>
      <c r="O3947" s="274" t="s">
        <v>548</v>
      </c>
      <c r="P3947" s="277">
        <v>10</v>
      </c>
      <c r="Q3947" s="277">
        <v>50</v>
      </c>
      <c r="R3947" s="278">
        <v>6.8100000000000001E-3</v>
      </c>
      <c r="S3947" s="274" t="s">
        <v>76</v>
      </c>
      <c r="T3947" s="274" t="s">
        <v>56</v>
      </c>
      <c r="U3947" s="274" t="s">
        <v>89</v>
      </c>
      <c r="V3947" s="279">
        <f>2056</f>
        <v>2056</v>
      </c>
      <c r="W3947" s="279"/>
      <c r="X3947" s="280"/>
      <c r="Y3947" s="281">
        <f t="shared" si="2964"/>
        <v>-2056</v>
      </c>
      <c r="Z3947" s="282">
        <f t="shared" si="2965"/>
        <v>20560</v>
      </c>
      <c r="AA3947" s="282">
        <f t="shared" si="2966"/>
        <v>1028000</v>
      </c>
      <c r="AB3947" s="812">
        <v>6</v>
      </c>
      <c r="AC3947" s="279">
        <f t="shared" si="2967"/>
        <v>123360</v>
      </c>
      <c r="AD3947" s="209"/>
      <c r="AE3947" s="210">
        <f t="shared" si="2968"/>
        <v>7.00068</v>
      </c>
      <c r="AF3947" s="210">
        <f t="shared" si="2969"/>
        <v>12.964222222222221</v>
      </c>
      <c r="AG3947" s="211">
        <f t="shared" si="2970"/>
        <v>0.63</v>
      </c>
      <c r="AH3947" s="157">
        <f t="shared" si="2971"/>
        <v>12.9528</v>
      </c>
      <c r="AI3947" s="152">
        <f t="shared" si="2972"/>
        <v>20560</v>
      </c>
      <c r="AK3947" s="156" t="s">
        <v>691</v>
      </c>
      <c r="AL3947" s="156" t="s">
        <v>689</v>
      </c>
      <c r="AM3947" s="198">
        <f t="shared" si="2974"/>
        <v>12952.8</v>
      </c>
      <c r="AN3947" s="199">
        <f t="shared" si="2975"/>
        <v>46388</v>
      </c>
      <c r="AO3947" s="159" t="s">
        <v>692</v>
      </c>
      <c r="AP3947" s="783" t="s">
        <v>620</v>
      </c>
      <c r="AQ3947" s="796" t="s">
        <v>422</v>
      </c>
      <c r="AR3947" s="782">
        <v>12055234</v>
      </c>
      <c r="AS3947" s="781"/>
      <c r="AT3947" s="782"/>
      <c r="AU3947" s="782"/>
      <c r="AV3947" s="782">
        <v>12062809</v>
      </c>
      <c r="AW3947" s="782"/>
      <c r="AX3947" s="782" t="s">
        <v>619</v>
      </c>
      <c r="AY3947" s="781"/>
      <c r="AZ3947" s="781"/>
      <c r="BA3947" s="781"/>
      <c r="BB3947" s="209">
        <v>23053184</v>
      </c>
    </row>
    <row r="3948" spans="1:54" ht="24.75" customHeight="1">
      <c r="A3948" s="142" t="s">
        <v>3156</v>
      </c>
      <c r="B3948" s="320">
        <v>46357</v>
      </c>
      <c r="C3948" s="321">
        <v>46357</v>
      </c>
      <c r="D3948" s="185">
        <f t="shared" si="2926"/>
        <v>2026</v>
      </c>
      <c r="E3948" s="321" t="e">
        <f>VLOOKUP($B3948,Week!$A$1:$C$1462,2,0)</f>
        <v>#N/A</v>
      </c>
      <c r="F3948" s="322" t="str">
        <f t="shared" si="2927"/>
        <v>Dec</v>
      </c>
      <c r="G3948" s="323"/>
      <c r="H3948" s="323" t="s">
        <v>311</v>
      </c>
      <c r="I3948" s="323" t="s">
        <v>2772</v>
      </c>
      <c r="J3948" s="324" t="s">
        <v>738</v>
      </c>
      <c r="K3948" s="325" t="s">
        <v>107</v>
      </c>
      <c r="L3948" s="300" t="s">
        <v>2167</v>
      </c>
      <c r="M3948" s="324" t="s">
        <v>313</v>
      </c>
      <c r="N3948" s="323" t="s">
        <v>591</v>
      </c>
      <c r="O3948" s="323" t="s">
        <v>592</v>
      </c>
      <c r="P3948" s="326">
        <v>8</v>
      </c>
      <c r="Q3948" s="326">
        <v>4</v>
      </c>
      <c r="R3948" s="327">
        <v>7.4999999999999997E-3</v>
      </c>
      <c r="S3948" s="323" t="s">
        <v>111</v>
      </c>
      <c r="T3948" s="323" t="s">
        <v>112</v>
      </c>
      <c r="U3948" s="323" t="s">
        <v>57</v>
      </c>
      <c r="V3948" s="328">
        <f>6200/8</f>
        <v>775</v>
      </c>
      <c r="W3948" s="328"/>
      <c r="X3948" s="329"/>
      <c r="Y3948" s="330">
        <f t="shared" si="2902"/>
        <v>-775</v>
      </c>
      <c r="Z3948" s="331">
        <f t="shared" si="2903"/>
        <v>6200</v>
      </c>
      <c r="AA3948" s="331">
        <f t="shared" si="2904"/>
        <v>24800</v>
      </c>
      <c r="AB3948" s="816">
        <v>7.4999999999999997E-3</v>
      </c>
      <c r="AC3948" s="328">
        <f t="shared" si="2905"/>
        <v>46.5</v>
      </c>
      <c r="AD3948" s="443"/>
      <c r="AE3948" s="210">
        <f>SUM(Q3948*R3948*Z3948)/1000</f>
        <v>0.186</v>
      </c>
      <c r="AF3948" s="210">
        <f t="shared" si="2907"/>
        <v>0.34444444444444444</v>
      </c>
      <c r="AG3948" s="211">
        <f t="shared" ref="AG3948:AG3950" si="2978">MID(O3948,1,3)/1000</f>
        <v>0.30499999999999999</v>
      </c>
      <c r="AH3948" s="157">
        <f t="shared" si="2909"/>
        <v>1.891</v>
      </c>
      <c r="AI3948" s="152">
        <f t="shared" si="2910"/>
        <v>6200</v>
      </c>
      <c r="AK3948" s="156" t="s">
        <v>691</v>
      </c>
      <c r="AL3948" s="212" t="s">
        <v>690</v>
      </c>
      <c r="AM3948" s="198">
        <f t="shared" si="2911"/>
        <v>1891</v>
      </c>
      <c r="AN3948" s="199">
        <f t="shared" si="2912"/>
        <v>46357</v>
      </c>
      <c r="AO3948" s="159" t="s">
        <v>692</v>
      </c>
      <c r="AP3948" s="783" t="s">
        <v>643</v>
      </c>
      <c r="AQ3948" s="782">
        <v>12063755</v>
      </c>
      <c r="AR3948" s="782">
        <v>12061353</v>
      </c>
      <c r="AS3948" s="782">
        <v>12061354</v>
      </c>
      <c r="AT3948" s="782">
        <v>12097462</v>
      </c>
      <c r="AU3948" s="781"/>
      <c r="AV3948" s="782">
        <v>12097463</v>
      </c>
      <c r="AW3948" s="782"/>
      <c r="AX3948" s="782"/>
      <c r="AY3948" s="782"/>
      <c r="AZ3948" s="782"/>
      <c r="BA3948" s="781"/>
      <c r="BB3948" s="209">
        <v>23053185</v>
      </c>
    </row>
    <row r="3949" spans="1:54" ht="25" customHeight="1">
      <c r="A3949" s="142" t="s">
        <v>3156</v>
      </c>
      <c r="B3949" s="332">
        <v>46357</v>
      </c>
      <c r="C3949" s="333">
        <v>46357</v>
      </c>
      <c r="D3949" s="185">
        <f t="shared" si="2926"/>
        <v>2026</v>
      </c>
      <c r="E3949" s="333" t="e">
        <f>VLOOKUP($B3949,Week!$A$1:$C$1462,2,0)</f>
        <v>#N/A</v>
      </c>
      <c r="F3949" s="334" t="str">
        <f t="shared" si="2927"/>
        <v>Dec</v>
      </c>
      <c r="G3949" s="335"/>
      <c r="H3949" s="335" t="s">
        <v>311</v>
      </c>
      <c r="I3949" s="335" t="s">
        <v>2772</v>
      </c>
      <c r="J3949" s="336" t="s">
        <v>738</v>
      </c>
      <c r="K3949" s="337" t="s">
        <v>1649</v>
      </c>
      <c r="L3949" s="300" t="s">
        <v>2167</v>
      </c>
      <c r="M3949" s="336" t="s">
        <v>603</v>
      </c>
      <c r="N3949" s="335" t="s">
        <v>605</v>
      </c>
      <c r="O3949" s="335" t="s">
        <v>602</v>
      </c>
      <c r="P3949" s="338">
        <v>8</v>
      </c>
      <c r="Q3949" s="338">
        <v>3</v>
      </c>
      <c r="R3949" s="339">
        <v>6.0000000000000001E-3</v>
      </c>
      <c r="S3949" s="335" t="s">
        <v>55</v>
      </c>
      <c r="T3949" s="335" t="s">
        <v>112</v>
      </c>
      <c r="U3949" s="340" t="s">
        <v>1894</v>
      </c>
      <c r="V3949" s="341">
        <f>4848/8</f>
        <v>606</v>
      </c>
      <c r="W3949" s="341"/>
      <c r="X3949" s="342"/>
      <c r="Y3949" s="343">
        <f t="shared" si="2902"/>
        <v>-606</v>
      </c>
      <c r="Z3949" s="344">
        <f t="shared" si="2903"/>
        <v>4848</v>
      </c>
      <c r="AA3949" s="344">
        <f t="shared" si="2904"/>
        <v>14544</v>
      </c>
      <c r="AB3949" s="817">
        <v>3.8699999999999998E-2</v>
      </c>
      <c r="AC3949" s="341">
        <f t="shared" si="2905"/>
        <v>187.61759999999998</v>
      </c>
      <c r="AD3949" s="443"/>
      <c r="AE3949" s="210">
        <f>SUM(Q3949*R3949*Z3949)/1000</f>
        <v>8.7264000000000008E-2</v>
      </c>
      <c r="AF3949" s="210">
        <f t="shared" si="2907"/>
        <v>0.16159999999999999</v>
      </c>
      <c r="AG3949" s="211">
        <f t="shared" si="2978"/>
        <v>0.30199999999999999</v>
      </c>
      <c r="AH3949" s="157">
        <v>0.26621999999999996</v>
      </c>
      <c r="AI3949" s="152">
        <f t="shared" si="2910"/>
        <v>4848</v>
      </c>
      <c r="AK3949" s="156" t="s">
        <v>691</v>
      </c>
      <c r="AL3949" s="156" t="s">
        <v>690</v>
      </c>
      <c r="AM3949" s="198">
        <f t="shared" si="2911"/>
        <v>1464.096</v>
      </c>
      <c r="AN3949" s="199">
        <f t="shared" si="2912"/>
        <v>46357</v>
      </c>
      <c r="AO3949" s="159" t="s">
        <v>692</v>
      </c>
      <c r="AP3949" s="781" t="s">
        <v>642</v>
      </c>
      <c r="AQ3949" s="782">
        <v>12063755</v>
      </c>
      <c r="AR3949" s="782">
        <v>12061353</v>
      </c>
      <c r="AS3949" s="782">
        <v>12061354</v>
      </c>
      <c r="AT3949" s="782">
        <v>12097662</v>
      </c>
      <c r="AU3949" s="781"/>
      <c r="AV3949" s="782">
        <v>12097663</v>
      </c>
      <c r="AW3949" s="781"/>
      <c r="AX3949" s="781"/>
      <c r="AY3949" s="781"/>
      <c r="AZ3949" s="782"/>
      <c r="BA3949" s="781"/>
      <c r="BB3949" s="209">
        <v>23105470</v>
      </c>
    </row>
    <row r="3950" spans="1:54" ht="24.65" customHeight="1">
      <c r="A3950" s="142" t="s">
        <v>3156</v>
      </c>
      <c r="B3950" s="308">
        <v>46357</v>
      </c>
      <c r="C3950" s="309">
        <v>46357</v>
      </c>
      <c r="D3950" s="185">
        <f t="shared" si="2926"/>
        <v>2026</v>
      </c>
      <c r="E3950" s="309" t="e">
        <f>VLOOKUP($B3950,Week!$A$1:$C$1462,2,0)</f>
        <v>#N/A</v>
      </c>
      <c r="F3950" s="310" t="str">
        <f t="shared" si="2927"/>
        <v>Dec</v>
      </c>
      <c r="G3950" s="311"/>
      <c r="H3950" s="311" t="s">
        <v>311</v>
      </c>
      <c r="I3950" s="311" t="s">
        <v>2772</v>
      </c>
      <c r="J3950" s="312" t="s">
        <v>738</v>
      </c>
      <c r="K3950" s="313" t="s">
        <v>107</v>
      </c>
      <c r="L3950" s="300" t="s">
        <v>2167</v>
      </c>
      <c r="M3950" s="312" t="s">
        <v>313</v>
      </c>
      <c r="N3950" s="311" t="s">
        <v>314</v>
      </c>
      <c r="O3950" s="311" t="s">
        <v>110</v>
      </c>
      <c r="P3950" s="314">
        <v>36</v>
      </c>
      <c r="Q3950" s="314">
        <v>5</v>
      </c>
      <c r="R3950" s="315">
        <v>7.4999999999999997E-3</v>
      </c>
      <c r="S3950" s="311" t="s">
        <v>111</v>
      </c>
      <c r="T3950" s="311" t="s">
        <v>112</v>
      </c>
      <c r="U3950" s="311" t="s">
        <v>57</v>
      </c>
      <c r="V3950" s="316">
        <f>792*3</f>
        <v>2376</v>
      </c>
      <c r="W3950" s="316"/>
      <c r="X3950" s="317"/>
      <c r="Y3950" s="318">
        <f t="shared" si="2902"/>
        <v>-2376</v>
      </c>
      <c r="Z3950" s="319">
        <f t="shared" si="2903"/>
        <v>85536</v>
      </c>
      <c r="AA3950" s="319">
        <f t="shared" si="2904"/>
        <v>427680</v>
      </c>
      <c r="AB3950" s="815">
        <v>7.4999999999999997E-3</v>
      </c>
      <c r="AC3950" s="316">
        <f t="shared" si="2905"/>
        <v>641.52</v>
      </c>
      <c r="AD3950" s="209"/>
      <c r="AE3950" s="210">
        <f>SUM(Q3950*R3950*Z3950)/1000</f>
        <v>3.2075999999999998</v>
      </c>
      <c r="AF3950" s="210">
        <f t="shared" si="2907"/>
        <v>5.9399999999999995</v>
      </c>
      <c r="AG3950" s="211">
        <f t="shared" si="2978"/>
        <v>0.308</v>
      </c>
      <c r="AH3950" s="157">
        <f t="shared" ref="AH3950" si="2979">(Z3950*AG3950)/1000</f>
        <v>26.345088000000001</v>
      </c>
      <c r="AI3950" s="152">
        <f t="shared" si="2910"/>
        <v>85536</v>
      </c>
      <c r="AK3950" s="156" t="s">
        <v>691</v>
      </c>
      <c r="AL3950" s="212" t="s">
        <v>690</v>
      </c>
      <c r="AM3950" s="198">
        <f t="shared" si="2911"/>
        <v>26345.088</v>
      </c>
      <c r="AN3950" s="199">
        <f t="shared" si="2912"/>
        <v>46357</v>
      </c>
      <c r="AO3950" s="159" t="s">
        <v>692</v>
      </c>
      <c r="AP3950" s="783" t="s">
        <v>644</v>
      </c>
      <c r="AQ3950" s="782">
        <v>12063755</v>
      </c>
      <c r="AR3950" s="782">
        <v>12081257</v>
      </c>
      <c r="AS3950" s="782">
        <v>12081260</v>
      </c>
      <c r="AT3950" s="782">
        <v>12098623</v>
      </c>
      <c r="AU3950" s="781"/>
      <c r="AV3950" s="782">
        <v>12098706</v>
      </c>
      <c r="AW3950" s="782">
        <v>12088207</v>
      </c>
      <c r="AX3950" s="782"/>
      <c r="AY3950" s="782">
        <v>12094237</v>
      </c>
      <c r="AZ3950" s="782"/>
      <c r="BA3950" s="781"/>
      <c r="BB3950" s="209">
        <v>23053185</v>
      </c>
    </row>
    <row r="3951" spans="1:54" ht="24.65" customHeight="1">
      <c r="A3951" s="142" t="s">
        <v>3156</v>
      </c>
      <c r="B3951" s="308">
        <v>46388</v>
      </c>
      <c r="C3951" s="309">
        <v>46388</v>
      </c>
      <c r="D3951" s="185">
        <f t="shared" ref="D3951:D3952" si="2980">IF(B3951="","",YEAR(B3951))</f>
        <v>2027</v>
      </c>
      <c r="E3951" s="309" t="e">
        <f>VLOOKUP($B3951,Week!$A$1:$C$1462,2,0)</f>
        <v>#N/A</v>
      </c>
      <c r="F3951" s="310" t="str">
        <f t="shared" ref="F3951:F3952" si="2981">IF(B3951="","",TEXT(B3951,"[$-409]mmm"))</f>
        <v>Jan</v>
      </c>
      <c r="G3951" s="311"/>
      <c r="H3951" s="311" t="s">
        <v>311</v>
      </c>
      <c r="I3951" s="311" t="s">
        <v>2772</v>
      </c>
      <c r="J3951" s="312" t="s">
        <v>738</v>
      </c>
      <c r="K3951" s="313" t="s">
        <v>107</v>
      </c>
      <c r="L3951" s="300" t="s">
        <v>2167</v>
      </c>
      <c r="M3951" s="312" t="s">
        <v>313</v>
      </c>
      <c r="N3951" s="311" t="s">
        <v>314</v>
      </c>
      <c r="O3951" s="311" t="s">
        <v>110</v>
      </c>
      <c r="P3951" s="314">
        <v>36</v>
      </c>
      <c r="Q3951" s="314">
        <v>5</v>
      </c>
      <c r="R3951" s="315">
        <v>7.4999999999999997E-3</v>
      </c>
      <c r="S3951" s="311" t="s">
        <v>111</v>
      </c>
      <c r="T3951" s="311" t="s">
        <v>112</v>
      </c>
      <c r="U3951" s="311" t="s">
        <v>57</v>
      </c>
      <c r="V3951" s="316">
        <f>792*2</f>
        <v>1584</v>
      </c>
      <c r="W3951" s="316"/>
      <c r="X3951" s="317"/>
      <c r="Y3951" s="318">
        <f t="shared" ref="Y3951:Y3958" si="2982">(W3951+X3951)-V3951</f>
        <v>-1584</v>
      </c>
      <c r="Z3951" s="319">
        <f t="shared" ref="Z3951:Z3958" si="2983">IF(Y3951&lt;0,((V3951*P3951)-((W3951+X3951)*P3951)),0)</f>
        <v>57024</v>
      </c>
      <c r="AA3951" s="319">
        <f t="shared" ref="AA3951:AA3954" si="2984">Q3951*Z3951</f>
        <v>285120</v>
      </c>
      <c r="AB3951" s="815">
        <v>7.4999999999999997E-3</v>
      </c>
      <c r="AC3951" s="316">
        <f t="shared" ref="AC3951:AC3958" si="2985">Z3951*AB3951</f>
        <v>427.68</v>
      </c>
      <c r="AD3951" s="209"/>
      <c r="AE3951" s="210">
        <f t="shared" ref="AE3951:AE3958" si="2986">SUM(Q3951*R3951*Z3951)/1000</f>
        <v>2.1384000000000003</v>
      </c>
      <c r="AF3951" s="210">
        <f t="shared" ref="AF3951:AF3958" si="2987">AE3951/0.54</f>
        <v>3.9600000000000004</v>
      </c>
      <c r="AG3951" s="211">
        <f t="shared" ref="AG3951:AG3958" si="2988">MID(O3951,1,3)/1000</f>
        <v>0.308</v>
      </c>
      <c r="AH3951" s="157">
        <f t="shared" ref="AH3951:AH3956" si="2989">(Z3951*AG3951)/1000</f>
        <v>17.563392</v>
      </c>
      <c r="AI3951" s="152">
        <f t="shared" ref="AI3951:AI3958" si="2990">V3951*P3951</f>
        <v>57024</v>
      </c>
      <c r="AK3951" s="156" t="s">
        <v>691</v>
      </c>
      <c r="AL3951" s="212" t="s">
        <v>690</v>
      </c>
      <c r="AM3951" s="198">
        <f t="shared" ref="AM3951:AM3954" si="2991">AG3951*Z3951</f>
        <v>17563.392</v>
      </c>
      <c r="AN3951" s="199">
        <f t="shared" ref="AN3951:AN3954" si="2992">B3951</f>
        <v>46388</v>
      </c>
      <c r="AO3951" s="159" t="s">
        <v>692</v>
      </c>
      <c r="AP3951" s="783" t="s">
        <v>644</v>
      </c>
      <c r="AQ3951" s="782">
        <v>12063755</v>
      </c>
      <c r="AR3951" s="782">
        <v>12081257</v>
      </c>
      <c r="AS3951" s="782">
        <v>12081260</v>
      </c>
      <c r="AT3951" s="782">
        <v>12098623</v>
      </c>
      <c r="AU3951" s="781"/>
      <c r="AV3951" s="782">
        <v>12098706</v>
      </c>
      <c r="AW3951" s="782">
        <v>12088207</v>
      </c>
      <c r="AX3951" s="782"/>
      <c r="AY3951" s="782">
        <v>12094237</v>
      </c>
      <c r="AZ3951" s="782"/>
      <c r="BA3951" s="781"/>
      <c r="BB3951" s="209">
        <v>23053185</v>
      </c>
    </row>
    <row r="3952" spans="1:54" ht="24.65" customHeight="1">
      <c r="A3952" s="142" t="s">
        <v>3156</v>
      </c>
      <c r="B3952" s="308">
        <v>46419</v>
      </c>
      <c r="C3952" s="309">
        <v>46419</v>
      </c>
      <c r="D3952" s="185">
        <f t="shared" si="2980"/>
        <v>2027</v>
      </c>
      <c r="E3952" s="309" t="e">
        <f>VLOOKUP($B3952,Week!$A$1:$C$1462,2,0)</f>
        <v>#N/A</v>
      </c>
      <c r="F3952" s="310" t="str">
        <f t="shared" si="2981"/>
        <v>Feb</v>
      </c>
      <c r="G3952" s="311"/>
      <c r="H3952" s="311" t="s">
        <v>311</v>
      </c>
      <c r="I3952" s="311" t="s">
        <v>2772</v>
      </c>
      <c r="J3952" s="312" t="s">
        <v>738</v>
      </c>
      <c r="K3952" s="313" t="s">
        <v>107</v>
      </c>
      <c r="L3952" s="300" t="s">
        <v>2167</v>
      </c>
      <c r="M3952" s="312" t="s">
        <v>313</v>
      </c>
      <c r="N3952" s="311" t="s">
        <v>314</v>
      </c>
      <c r="O3952" s="311" t="s">
        <v>110</v>
      </c>
      <c r="P3952" s="314">
        <v>36</v>
      </c>
      <c r="Q3952" s="314">
        <v>5</v>
      </c>
      <c r="R3952" s="315">
        <v>7.4999999999999997E-3</v>
      </c>
      <c r="S3952" s="311" t="s">
        <v>111</v>
      </c>
      <c r="T3952" s="311" t="s">
        <v>112</v>
      </c>
      <c r="U3952" s="311" t="s">
        <v>57</v>
      </c>
      <c r="V3952" s="316">
        <f t="shared" ref="V3952" si="2993">792*3</f>
        <v>2376</v>
      </c>
      <c r="W3952" s="316"/>
      <c r="X3952" s="317"/>
      <c r="Y3952" s="318">
        <f t="shared" si="2982"/>
        <v>-2376</v>
      </c>
      <c r="Z3952" s="319">
        <f t="shared" si="2983"/>
        <v>85536</v>
      </c>
      <c r="AA3952" s="319">
        <f t="shared" si="2984"/>
        <v>427680</v>
      </c>
      <c r="AB3952" s="815">
        <v>7.4999999999999997E-3</v>
      </c>
      <c r="AC3952" s="316">
        <f t="shared" si="2985"/>
        <v>641.52</v>
      </c>
      <c r="AD3952" s="209"/>
      <c r="AE3952" s="210">
        <f t="shared" si="2986"/>
        <v>3.2075999999999998</v>
      </c>
      <c r="AF3952" s="210">
        <f t="shared" si="2987"/>
        <v>5.9399999999999995</v>
      </c>
      <c r="AG3952" s="211">
        <f t="shared" si="2988"/>
        <v>0.308</v>
      </c>
      <c r="AH3952" s="157">
        <f t="shared" si="2989"/>
        <v>26.345088000000001</v>
      </c>
      <c r="AI3952" s="152">
        <f t="shared" si="2990"/>
        <v>85536</v>
      </c>
      <c r="AK3952" s="156" t="s">
        <v>691</v>
      </c>
      <c r="AL3952" s="212" t="s">
        <v>690</v>
      </c>
      <c r="AM3952" s="198">
        <f t="shared" si="2991"/>
        <v>26345.088</v>
      </c>
      <c r="AN3952" s="199">
        <f t="shared" si="2992"/>
        <v>46419</v>
      </c>
      <c r="AO3952" s="159" t="s">
        <v>692</v>
      </c>
      <c r="AP3952" s="783" t="s">
        <v>644</v>
      </c>
      <c r="AQ3952" s="782">
        <v>12063755</v>
      </c>
      <c r="AR3952" s="782">
        <v>12081257</v>
      </c>
      <c r="AS3952" s="782">
        <v>12081260</v>
      </c>
      <c r="AT3952" s="782">
        <v>12098623</v>
      </c>
      <c r="AU3952" s="781"/>
      <c r="AV3952" s="782">
        <v>12098706</v>
      </c>
      <c r="AW3952" s="782">
        <v>12088207</v>
      </c>
      <c r="AX3952" s="782"/>
      <c r="AY3952" s="782">
        <v>12094237</v>
      </c>
      <c r="AZ3952" s="782"/>
      <c r="BA3952" s="781"/>
      <c r="BB3952" s="209">
        <v>23053185</v>
      </c>
    </row>
    <row r="3953" spans="1:54" ht="25" customHeight="1">
      <c r="A3953" s="440" t="s">
        <v>3156</v>
      </c>
      <c r="B3953" s="200">
        <v>46388</v>
      </c>
      <c r="C3953" s="201">
        <v>46388</v>
      </c>
      <c r="D3953" s="512">
        <f t="shared" ref="D3953:D3954" si="2994">IF(B3953="","",YEAR(B3953))</f>
        <v>2027</v>
      </c>
      <c r="E3953" s="201" t="e">
        <f>VLOOKUP($B3953,Week!$A$1:$C$1462,2,0)</f>
        <v>#N/A</v>
      </c>
      <c r="F3953" s="202" t="str">
        <f t="shared" ref="F3953:F3954" si="2995">IF(B3953="","",TEXT(B3953,"[$-409]mmm"))</f>
        <v>Jan</v>
      </c>
      <c r="G3953" s="512"/>
      <c r="H3953" s="512" t="s">
        <v>311</v>
      </c>
      <c r="I3953" s="512" t="s">
        <v>2772</v>
      </c>
      <c r="J3953" s="513" t="s">
        <v>738</v>
      </c>
      <c r="K3953" s="514" t="s">
        <v>1652</v>
      </c>
      <c r="L3953" s="514" t="s">
        <v>2167</v>
      </c>
      <c r="M3953" s="513" t="s">
        <v>3034</v>
      </c>
      <c r="N3953" s="512" t="s">
        <v>3035</v>
      </c>
      <c r="O3953" s="512" t="s">
        <v>2840</v>
      </c>
      <c r="P3953" s="203">
        <v>24</v>
      </c>
      <c r="Q3953" s="203">
        <v>3</v>
      </c>
      <c r="R3953" s="204">
        <v>6.0000000000000001E-3</v>
      </c>
      <c r="S3953" s="512" t="s">
        <v>55</v>
      </c>
      <c r="T3953" s="512" t="s">
        <v>112</v>
      </c>
      <c r="U3953" s="916" t="s">
        <v>724</v>
      </c>
      <c r="V3953" s="205">
        <f>700</f>
        <v>700</v>
      </c>
      <c r="W3953" s="205"/>
      <c r="X3953" s="206"/>
      <c r="Y3953" s="207">
        <f t="shared" si="2982"/>
        <v>-700</v>
      </c>
      <c r="Z3953" s="208">
        <f t="shared" si="2983"/>
        <v>16800</v>
      </c>
      <c r="AA3953" s="208">
        <f t="shared" si="2984"/>
        <v>50400</v>
      </c>
      <c r="AB3953" s="806">
        <v>3.8699999999999998E-2</v>
      </c>
      <c r="AC3953" s="205">
        <f t="shared" si="2985"/>
        <v>650.16</v>
      </c>
      <c r="AD3953" s="209" t="s">
        <v>2354</v>
      </c>
      <c r="AE3953" s="210">
        <f t="shared" ref="AE3953:AE3954" si="2996">SUM(Q3953*R3953*Z3953)/1000</f>
        <v>0.30240000000000006</v>
      </c>
      <c r="AF3953" s="210">
        <f t="shared" si="2987"/>
        <v>0.56000000000000005</v>
      </c>
      <c r="AG3953" s="211">
        <f t="shared" si="2988"/>
        <v>0.30199999999999999</v>
      </c>
      <c r="AH3953" s="157">
        <f t="shared" si="2989"/>
        <v>5.0735999999999999</v>
      </c>
      <c r="AI3953" s="152">
        <f t="shared" si="2990"/>
        <v>16800</v>
      </c>
      <c r="AK3953" s="156" t="s">
        <v>691</v>
      </c>
      <c r="AL3953" s="212" t="s">
        <v>690</v>
      </c>
      <c r="AM3953" s="198">
        <f t="shared" si="2991"/>
        <v>5073.5999999999995</v>
      </c>
      <c r="AN3953" s="199">
        <f t="shared" si="2992"/>
        <v>46388</v>
      </c>
      <c r="AO3953" s="159" t="s">
        <v>692</v>
      </c>
      <c r="AP3953" s="781" t="s">
        <v>642</v>
      </c>
      <c r="AQ3953" s="782">
        <v>12063755</v>
      </c>
      <c r="AR3953" s="782">
        <v>12081257</v>
      </c>
      <c r="AS3953" s="782">
        <v>12081260</v>
      </c>
      <c r="AT3953" s="782">
        <v>12099775</v>
      </c>
      <c r="AU3953" s="781"/>
      <c r="AV3953" s="782">
        <v>12099773</v>
      </c>
      <c r="AW3953" s="782">
        <v>12099774</v>
      </c>
      <c r="AX3953" s="782"/>
      <c r="AY3953" s="782">
        <v>12099776</v>
      </c>
      <c r="AZ3953" s="782"/>
      <c r="BA3953" s="781"/>
      <c r="BB3953" s="209">
        <v>23105470</v>
      </c>
    </row>
    <row r="3954" spans="1:54" ht="25" customHeight="1">
      <c r="A3954" s="440" t="s">
        <v>3156</v>
      </c>
      <c r="B3954" s="200">
        <v>46419</v>
      </c>
      <c r="C3954" s="201">
        <v>46419</v>
      </c>
      <c r="D3954" s="512">
        <f t="shared" si="2994"/>
        <v>2027</v>
      </c>
      <c r="E3954" s="201" t="e">
        <f>VLOOKUP($B3954,Week!$A$1:$C$1462,2,0)</f>
        <v>#N/A</v>
      </c>
      <c r="F3954" s="202" t="str">
        <f t="shared" si="2995"/>
        <v>Feb</v>
      </c>
      <c r="G3954" s="512"/>
      <c r="H3954" s="512" t="s">
        <v>311</v>
      </c>
      <c r="I3954" s="512" t="s">
        <v>2772</v>
      </c>
      <c r="J3954" s="513" t="s">
        <v>738</v>
      </c>
      <c r="K3954" s="514" t="s">
        <v>1652</v>
      </c>
      <c r="L3954" s="514" t="s">
        <v>2167</v>
      </c>
      <c r="M3954" s="513" t="s">
        <v>3034</v>
      </c>
      <c r="N3954" s="512" t="s">
        <v>3035</v>
      </c>
      <c r="O3954" s="512" t="s">
        <v>2840</v>
      </c>
      <c r="P3954" s="203">
        <v>24</v>
      </c>
      <c r="Q3954" s="203">
        <v>3</v>
      </c>
      <c r="R3954" s="204">
        <v>6.0000000000000001E-3</v>
      </c>
      <c r="S3954" s="512" t="s">
        <v>55</v>
      </c>
      <c r="T3954" s="512" t="s">
        <v>112</v>
      </c>
      <c r="U3954" s="916" t="s">
        <v>724</v>
      </c>
      <c r="V3954" s="205">
        <f>700</f>
        <v>700</v>
      </c>
      <c r="W3954" s="205"/>
      <c r="X3954" s="206"/>
      <c r="Y3954" s="207">
        <f t="shared" si="2982"/>
        <v>-700</v>
      </c>
      <c r="Z3954" s="208">
        <f t="shared" si="2983"/>
        <v>16800</v>
      </c>
      <c r="AA3954" s="208">
        <f t="shared" si="2984"/>
        <v>50400</v>
      </c>
      <c r="AB3954" s="806">
        <v>3.8699999999999998E-2</v>
      </c>
      <c r="AC3954" s="205">
        <f t="shared" si="2985"/>
        <v>650.16</v>
      </c>
      <c r="AD3954" s="209" t="s">
        <v>2354</v>
      </c>
      <c r="AE3954" s="210">
        <f t="shared" si="2996"/>
        <v>0.30240000000000006</v>
      </c>
      <c r="AF3954" s="210">
        <f t="shared" si="2987"/>
        <v>0.56000000000000005</v>
      </c>
      <c r="AG3954" s="211">
        <f t="shared" si="2988"/>
        <v>0.30199999999999999</v>
      </c>
      <c r="AH3954" s="157">
        <f t="shared" si="2989"/>
        <v>5.0735999999999999</v>
      </c>
      <c r="AI3954" s="152">
        <f t="shared" si="2990"/>
        <v>16800</v>
      </c>
      <c r="AK3954" s="156" t="s">
        <v>691</v>
      </c>
      <c r="AL3954" s="212" t="s">
        <v>690</v>
      </c>
      <c r="AM3954" s="198">
        <f t="shared" si="2991"/>
        <v>5073.5999999999995</v>
      </c>
      <c r="AN3954" s="199">
        <f t="shared" si="2992"/>
        <v>46419</v>
      </c>
      <c r="AO3954" s="159" t="s">
        <v>692</v>
      </c>
      <c r="AP3954" s="781" t="s">
        <v>642</v>
      </c>
      <c r="AQ3954" s="782">
        <v>12063755</v>
      </c>
      <c r="AR3954" s="782">
        <v>12081257</v>
      </c>
      <c r="AS3954" s="782">
        <v>12081260</v>
      </c>
      <c r="AT3954" s="782">
        <v>12099775</v>
      </c>
      <c r="AU3954" s="781"/>
      <c r="AV3954" s="782">
        <v>12099773</v>
      </c>
      <c r="AW3954" s="782">
        <v>12099774</v>
      </c>
      <c r="AX3954" s="782"/>
      <c r="AY3954" s="782">
        <v>12099776</v>
      </c>
      <c r="AZ3954" s="782"/>
      <c r="BA3954" s="781"/>
      <c r="BB3954" s="209">
        <v>23105470</v>
      </c>
    </row>
    <row r="3955" spans="1:54" ht="24.75" customHeight="1">
      <c r="A3955" s="142" t="s">
        <v>3156</v>
      </c>
      <c r="B3955" s="320">
        <v>46388</v>
      </c>
      <c r="C3955" s="321">
        <v>46388</v>
      </c>
      <c r="D3955" s="185">
        <f t="shared" ref="D3955:D3956" si="2997">IF(B3955="","",YEAR(B3955))</f>
        <v>2027</v>
      </c>
      <c r="E3955" s="321" t="e">
        <f>VLOOKUP($B3955,Week!$A$1:$C$1462,2,0)</f>
        <v>#N/A</v>
      </c>
      <c r="F3955" s="322" t="str">
        <f t="shared" ref="F3955:F3956" si="2998">IF(B3955="","",TEXT(B3955,"[$-409]mmm"))</f>
        <v>Jan</v>
      </c>
      <c r="G3955" s="323"/>
      <c r="H3955" s="323" t="s">
        <v>311</v>
      </c>
      <c r="I3955" s="323" t="s">
        <v>2772</v>
      </c>
      <c r="J3955" s="324" t="s">
        <v>2913</v>
      </c>
      <c r="K3955" s="325" t="s">
        <v>107</v>
      </c>
      <c r="L3955" s="300" t="s">
        <v>2167</v>
      </c>
      <c r="M3955" s="324" t="s">
        <v>313</v>
      </c>
      <c r="N3955" s="596" t="s">
        <v>2853</v>
      </c>
      <c r="O3955" s="323" t="s">
        <v>2747</v>
      </c>
      <c r="P3955" s="326">
        <v>5</v>
      </c>
      <c r="Q3955" s="326">
        <v>4</v>
      </c>
      <c r="R3955" s="327">
        <v>7.4999999999999997E-3</v>
      </c>
      <c r="S3955" s="323" t="s">
        <v>111</v>
      </c>
      <c r="T3955" s="323" t="s">
        <v>112</v>
      </c>
      <c r="U3955" s="323" t="s">
        <v>57</v>
      </c>
      <c r="V3955" s="328">
        <f>5076+5076</f>
        <v>10152</v>
      </c>
      <c r="W3955" s="328"/>
      <c r="X3955" s="329"/>
      <c r="Y3955" s="330">
        <f>(W3955+X3955)-V3955</f>
        <v>-10152</v>
      </c>
      <c r="Z3955" s="331">
        <f>IF(Y3955&lt;0,((V3955*P3955)-((W3955+X3955)*P3955)),0)</f>
        <v>50760</v>
      </c>
      <c r="AA3955" s="331">
        <f>Q3955*Z3955</f>
        <v>203040</v>
      </c>
      <c r="AB3955" s="816">
        <v>7.4999999999999997E-3</v>
      </c>
      <c r="AC3955" s="328">
        <f>Z3955*AB3955</f>
        <v>380.7</v>
      </c>
      <c r="AD3955" s="307" t="s">
        <v>2354</v>
      </c>
      <c r="AE3955" s="210">
        <f t="shared" ref="AE3955" si="2999">SUM(Q3955*R3955*Z3955)/1000</f>
        <v>1.5227999999999999</v>
      </c>
      <c r="AF3955" s="210">
        <f>AE3955/0.54</f>
        <v>2.82</v>
      </c>
      <c r="AG3955" s="211">
        <f>MID(O3955,1,3)/1000</f>
        <v>0.30499999999999999</v>
      </c>
      <c r="AH3955" s="157">
        <f t="shared" ref="AH3955" si="3000">(Z3955*AG3955)/1000</f>
        <v>15.4818</v>
      </c>
      <c r="AI3955" s="152">
        <f>V3955*P3955</f>
        <v>50760</v>
      </c>
      <c r="AK3955" s="156" t="s">
        <v>691</v>
      </c>
      <c r="AL3955" s="212" t="s">
        <v>690</v>
      </c>
      <c r="AM3955" s="198">
        <f>AG3955*Z3955</f>
        <v>15481.8</v>
      </c>
      <c r="AN3955" s="199">
        <f>B3955</f>
        <v>46388</v>
      </c>
      <c r="AO3955" s="159" t="s">
        <v>692</v>
      </c>
      <c r="AP3955" s="783" t="s">
        <v>643</v>
      </c>
      <c r="AQ3955" s="782">
        <v>12063755</v>
      </c>
      <c r="AR3955" s="782">
        <v>12081257</v>
      </c>
      <c r="AS3955" s="782">
        <v>12081260</v>
      </c>
      <c r="AT3955" s="782">
        <v>12098252</v>
      </c>
      <c r="AU3955" s="781"/>
      <c r="AV3955" s="782">
        <v>12098251</v>
      </c>
      <c r="AW3955" s="782"/>
      <c r="AX3955" s="782"/>
      <c r="AY3955" s="781"/>
      <c r="AZ3955" s="781"/>
      <c r="BA3955" s="781"/>
      <c r="BB3955" s="209">
        <v>23053185</v>
      </c>
    </row>
    <row r="3956" spans="1:54" ht="24.75" customHeight="1">
      <c r="A3956" s="142" t="s">
        <v>3156</v>
      </c>
      <c r="B3956" s="320">
        <v>46419</v>
      </c>
      <c r="C3956" s="321">
        <v>46419</v>
      </c>
      <c r="D3956" s="185">
        <f t="shared" si="2997"/>
        <v>2027</v>
      </c>
      <c r="E3956" s="321" t="e">
        <f>VLOOKUP($B3956,Week!$A$1:$C$1462,2,0)</f>
        <v>#N/A</v>
      </c>
      <c r="F3956" s="322" t="str">
        <f t="shared" si="2998"/>
        <v>Feb</v>
      </c>
      <c r="G3956" s="323"/>
      <c r="H3956" s="323" t="s">
        <v>311</v>
      </c>
      <c r="I3956" s="323" t="s">
        <v>2772</v>
      </c>
      <c r="J3956" s="324" t="s">
        <v>2913</v>
      </c>
      <c r="K3956" s="325" t="s">
        <v>107</v>
      </c>
      <c r="L3956" s="300" t="s">
        <v>2167</v>
      </c>
      <c r="M3956" s="324" t="s">
        <v>313</v>
      </c>
      <c r="N3956" s="596" t="s">
        <v>2853</v>
      </c>
      <c r="O3956" s="323" t="s">
        <v>2747</v>
      </c>
      <c r="P3956" s="326">
        <v>5</v>
      </c>
      <c r="Q3956" s="326">
        <v>4</v>
      </c>
      <c r="R3956" s="327">
        <v>7.4999999999999997E-3</v>
      </c>
      <c r="S3956" s="323" t="s">
        <v>111</v>
      </c>
      <c r="T3956" s="323" t="s">
        <v>112</v>
      </c>
      <c r="U3956" s="323" t="s">
        <v>57</v>
      </c>
      <c r="V3956" s="328">
        <f>5000+76</f>
        <v>5076</v>
      </c>
      <c r="W3956" s="328"/>
      <c r="X3956" s="329"/>
      <c r="Y3956" s="330">
        <f>(W3956+X3956)-V3956</f>
        <v>-5076</v>
      </c>
      <c r="Z3956" s="331">
        <f>IF(Y3956&lt;0,((V3956*P3956)-((W3956+X3956)*P3956)),0)</f>
        <v>25380</v>
      </c>
      <c r="AA3956" s="331">
        <f>Q3956*Z3956</f>
        <v>101520</v>
      </c>
      <c r="AB3956" s="816">
        <v>7.4999999999999997E-3</v>
      </c>
      <c r="AC3956" s="328">
        <f>Z3956*AB3956</f>
        <v>190.35</v>
      </c>
      <c r="AD3956" s="307" t="s">
        <v>2354</v>
      </c>
      <c r="AE3956" s="210">
        <f t="shared" ref="AE3956" si="3001">SUM(Q3956*R3956*Z3956)/1000</f>
        <v>0.76139999999999997</v>
      </c>
      <c r="AF3956" s="210">
        <f>AE3956/0.54</f>
        <v>1.41</v>
      </c>
      <c r="AG3956" s="211">
        <f>MID(O3956,1,3)/1000</f>
        <v>0.30499999999999999</v>
      </c>
      <c r="AH3956" s="157">
        <f t="shared" si="2989"/>
        <v>7.7408999999999999</v>
      </c>
      <c r="AI3956" s="152">
        <f>V3956*P3956</f>
        <v>25380</v>
      </c>
      <c r="AK3956" s="156" t="s">
        <v>691</v>
      </c>
      <c r="AL3956" s="212" t="s">
        <v>690</v>
      </c>
      <c r="AM3956" s="198">
        <f>AG3956*Z3956</f>
        <v>7740.9</v>
      </c>
      <c r="AN3956" s="199">
        <f>B3956</f>
        <v>46419</v>
      </c>
      <c r="AO3956" s="159" t="s">
        <v>692</v>
      </c>
      <c r="AP3956" s="783" t="s">
        <v>643</v>
      </c>
      <c r="AQ3956" s="782">
        <v>12063755</v>
      </c>
      <c r="AR3956" s="782">
        <v>12081257</v>
      </c>
      <c r="AS3956" s="782">
        <v>12081260</v>
      </c>
      <c r="AT3956" s="782">
        <v>12098252</v>
      </c>
      <c r="AU3956" s="781"/>
      <c r="AV3956" s="782">
        <v>12098251</v>
      </c>
      <c r="AW3956" s="782"/>
      <c r="AX3956" s="782"/>
      <c r="AY3956" s="781"/>
      <c r="AZ3956" s="781"/>
      <c r="BA3956" s="781"/>
      <c r="BB3956" s="209">
        <v>23053185</v>
      </c>
    </row>
    <row r="3957" spans="1:54" ht="25" customHeight="1">
      <c r="A3957" s="142" t="s">
        <v>3156</v>
      </c>
      <c r="B3957" s="743">
        <v>46388</v>
      </c>
      <c r="C3957" s="744">
        <v>46388</v>
      </c>
      <c r="D3957" s="746">
        <f t="shared" ref="D3957" si="3002">IF(B3957="","",YEAR(B3957))</f>
        <v>2027</v>
      </c>
      <c r="E3957" s="744" t="e">
        <f>VLOOKUP($B3957,Week!$A$1:$C$1462,2,0)</f>
        <v>#N/A</v>
      </c>
      <c r="F3957" s="745" t="str">
        <f t="shared" ref="F3957" si="3003">IF(B3957="","",TEXT(B3957,"[$-409]mmm"))</f>
        <v>Jan</v>
      </c>
      <c r="G3957" s="746"/>
      <c r="H3957" s="746" t="s">
        <v>311</v>
      </c>
      <c r="I3957" s="746" t="s">
        <v>2772</v>
      </c>
      <c r="J3957" s="747" t="s">
        <v>2913</v>
      </c>
      <c r="K3957" s="748" t="s">
        <v>1652</v>
      </c>
      <c r="L3957" s="748" t="s">
        <v>2167</v>
      </c>
      <c r="M3957" s="747" t="s">
        <v>682</v>
      </c>
      <c r="N3957" s="915" t="s">
        <v>2775</v>
      </c>
      <c r="O3957" s="746" t="s">
        <v>2748</v>
      </c>
      <c r="P3957" s="749">
        <v>5</v>
      </c>
      <c r="Q3957" s="749">
        <v>3</v>
      </c>
      <c r="R3957" s="849">
        <v>6.0000000000000001E-3</v>
      </c>
      <c r="S3957" s="746" t="s">
        <v>55</v>
      </c>
      <c r="T3957" s="746" t="s">
        <v>112</v>
      </c>
      <c r="U3957" s="860" t="s">
        <v>724</v>
      </c>
      <c r="V3957" s="750">
        <f>5000+76</f>
        <v>5076</v>
      </c>
      <c r="W3957" s="750"/>
      <c r="X3957" s="751"/>
      <c r="Y3957" s="752">
        <f>(W3957+X3957)-V3957</f>
        <v>-5076</v>
      </c>
      <c r="Z3957" s="753">
        <f>IF(Y3957&lt;0,((V3957*P3957)-((W3957+X3957)*P3957)),0)</f>
        <v>25380</v>
      </c>
      <c r="AA3957" s="753">
        <f>Q3957*Z3957</f>
        <v>76140</v>
      </c>
      <c r="AB3957" s="838">
        <v>5.8823E-2</v>
      </c>
      <c r="AC3957" s="750">
        <f>Z3957*AB3957</f>
        <v>1492.9277400000001</v>
      </c>
      <c r="AD3957" s="307" t="s">
        <v>2354</v>
      </c>
      <c r="AE3957" s="210">
        <f>SUM(Q3957*R3957*Z3957)/1000</f>
        <v>0.45684000000000002</v>
      </c>
      <c r="AF3957" s="210">
        <f>AE3957/0.54</f>
        <v>0.84599999999999997</v>
      </c>
      <c r="AG3957" s="211">
        <f>MID(O3957,1,3)/1000</f>
        <v>0.30199999999999999</v>
      </c>
      <c r="AH3957" s="157">
        <v>0.26621999999999996</v>
      </c>
      <c r="AI3957" s="152">
        <f>V3957*P3957</f>
        <v>25380</v>
      </c>
      <c r="AK3957" s="156" t="s">
        <v>691</v>
      </c>
      <c r="AL3957" s="574" t="s">
        <v>690</v>
      </c>
      <c r="AM3957" s="198">
        <f>AG3957*Z3957</f>
        <v>7664.76</v>
      </c>
      <c r="AN3957" s="199">
        <f>B3957</f>
        <v>46388</v>
      </c>
      <c r="AO3957" s="159" t="s">
        <v>692</v>
      </c>
      <c r="AP3957" s="781" t="s">
        <v>642</v>
      </c>
      <c r="AQ3957" s="782">
        <v>12063755</v>
      </c>
      <c r="AR3957" s="782">
        <v>12081257</v>
      </c>
      <c r="AS3957" s="782">
        <v>12081260</v>
      </c>
      <c r="AT3957" s="782">
        <v>12098253</v>
      </c>
      <c r="AU3957" s="781"/>
      <c r="AV3957" s="782">
        <v>12098254</v>
      </c>
      <c r="AW3957" s="781"/>
      <c r="AX3957" s="781"/>
      <c r="AY3957" s="781"/>
      <c r="AZ3957" s="782"/>
      <c r="BA3957" s="781"/>
      <c r="BB3957" s="209">
        <v>23099860</v>
      </c>
    </row>
    <row r="3958" spans="1:54" ht="25" customHeight="1">
      <c r="A3958" s="440" t="s">
        <v>3156</v>
      </c>
      <c r="B3958" s="743">
        <v>46419</v>
      </c>
      <c r="C3958" s="744">
        <v>46419</v>
      </c>
      <c r="D3958" s="185">
        <f t="shared" ref="D3958" si="3004">IF(B3958="","",YEAR(B3958))</f>
        <v>2027</v>
      </c>
      <c r="E3958" s="333" t="e">
        <f>VLOOKUP($B3958,Week!$A$1:$C$1462,2,0)</f>
        <v>#N/A</v>
      </c>
      <c r="F3958" s="334" t="str">
        <f t="shared" ref="F3958" si="3005">IF(B3958="","",TEXT(B3958,"[$-409]mmm"))</f>
        <v>Feb</v>
      </c>
      <c r="G3958" s="746"/>
      <c r="H3958" s="746" t="s">
        <v>311</v>
      </c>
      <c r="I3958" s="335" t="s">
        <v>2772</v>
      </c>
      <c r="J3958" s="747" t="s">
        <v>2913</v>
      </c>
      <c r="K3958" s="748" t="s">
        <v>1651</v>
      </c>
      <c r="L3958" s="300" t="s">
        <v>2167</v>
      </c>
      <c r="M3958" s="747" t="s">
        <v>683</v>
      </c>
      <c r="N3958" s="915" t="s">
        <v>2776</v>
      </c>
      <c r="O3958" s="746" t="s">
        <v>2749</v>
      </c>
      <c r="P3958" s="749">
        <v>5</v>
      </c>
      <c r="Q3958" s="749">
        <v>3</v>
      </c>
      <c r="R3958" s="849">
        <v>6.0000000000000001E-3</v>
      </c>
      <c r="S3958" s="746" t="s">
        <v>55</v>
      </c>
      <c r="T3958" s="746" t="s">
        <v>112</v>
      </c>
      <c r="U3958" s="860" t="s">
        <v>1633</v>
      </c>
      <c r="V3958" s="750">
        <f>5000+76</f>
        <v>5076</v>
      </c>
      <c r="W3958" s="750"/>
      <c r="X3958" s="751"/>
      <c r="Y3958" s="752">
        <f t="shared" si="2982"/>
        <v>-5076</v>
      </c>
      <c r="Z3958" s="753">
        <f t="shared" si="2983"/>
        <v>25380</v>
      </c>
      <c r="AA3958" s="753">
        <f>Q3958*Z3958</f>
        <v>76140</v>
      </c>
      <c r="AB3958" s="838">
        <v>1</v>
      </c>
      <c r="AC3958" s="750">
        <f t="shared" si="2985"/>
        <v>25380</v>
      </c>
      <c r="AD3958" s="307" t="s">
        <v>2354</v>
      </c>
      <c r="AE3958" s="210">
        <f t="shared" si="2986"/>
        <v>0.45684000000000002</v>
      </c>
      <c r="AF3958" s="210">
        <f t="shared" si="2987"/>
        <v>0.84599999999999997</v>
      </c>
      <c r="AG3958" s="211">
        <f t="shared" si="2988"/>
        <v>0.28299999999999997</v>
      </c>
      <c r="AH3958" s="157">
        <v>0.26621999999999996</v>
      </c>
      <c r="AI3958" s="152">
        <f t="shared" si="2990"/>
        <v>25380</v>
      </c>
      <c r="AK3958" s="156" t="s">
        <v>691</v>
      </c>
      <c r="AL3958" s="574" t="s">
        <v>690</v>
      </c>
      <c r="AM3958" s="198">
        <f>AG3958*Z3958</f>
        <v>7182.5399999999991</v>
      </c>
      <c r="AN3958" s="199">
        <f>B3958</f>
        <v>46419</v>
      </c>
      <c r="AO3958" s="159" t="s">
        <v>692</v>
      </c>
      <c r="AP3958" s="781" t="s">
        <v>642</v>
      </c>
      <c r="AQ3958" s="782">
        <v>12063755</v>
      </c>
      <c r="AR3958" s="782">
        <v>12081257</v>
      </c>
      <c r="AS3958" s="782">
        <v>12081260</v>
      </c>
      <c r="AT3958" s="782">
        <v>12098256</v>
      </c>
      <c r="AU3958" s="781"/>
      <c r="AV3958" s="782">
        <v>12098255</v>
      </c>
      <c r="AW3958" s="781"/>
      <c r="AX3958" s="781"/>
      <c r="AY3958" s="781"/>
      <c r="AZ3958" s="781"/>
      <c r="BA3958" s="781"/>
      <c r="BB3958" s="209">
        <v>23099087</v>
      </c>
    </row>
    <row r="3959" spans="1:54" ht="25" customHeight="1">
      <c r="A3959" s="142" t="s">
        <v>3156</v>
      </c>
      <c r="B3959" s="308">
        <v>46357</v>
      </c>
      <c r="C3959" s="309">
        <v>46357</v>
      </c>
      <c r="D3959" s="185">
        <f t="shared" ref="D3959" si="3006">IF(B3959="","",YEAR(B3959))</f>
        <v>2026</v>
      </c>
      <c r="E3959" s="309" t="e">
        <f>VLOOKUP($B3959,Week!$A$1:$C$1462,2,0)</f>
        <v>#N/A</v>
      </c>
      <c r="F3959" s="310" t="str">
        <f t="shared" ref="F3959" si="3007">IF(B3959="","",TEXT(B3959,"[$-409]mmm"))</f>
        <v>Dec</v>
      </c>
      <c r="G3959" s="311"/>
      <c r="H3959" s="311" t="s">
        <v>431</v>
      </c>
      <c r="I3959" s="311" t="s">
        <v>2772</v>
      </c>
      <c r="J3959" s="312" t="s">
        <v>432</v>
      </c>
      <c r="K3959" s="313" t="s">
        <v>107</v>
      </c>
      <c r="L3959" s="300" t="s">
        <v>2167</v>
      </c>
      <c r="M3959" s="312" t="s">
        <v>136</v>
      </c>
      <c r="N3959" s="311" t="s">
        <v>542</v>
      </c>
      <c r="O3959" s="311" t="s">
        <v>543</v>
      </c>
      <c r="P3959" s="314">
        <v>8</v>
      </c>
      <c r="Q3959" s="314">
        <v>3</v>
      </c>
      <c r="R3959" s="315">
        <v>7.4999999999999997E-3</v>
      </c>
      <c r="S3959" s="311" t="s">
        <v>111</v>
      </c>
      <c r="T3959" s="311" t="s">
        <v>112</v>
      </c>
      <c r="U3959" s="311" t="s">
        <v>57</v>
      </c>
      <c r="V3959" s="316">
        <f>600</f>
        <v>600</v>
      </c>
      <c r="W3959" s="316"/>
      <c r="X3959" s="317"/>
      <c r="Y3959" s="318">
        <f t="shared" ref="Y3959" si="3008">(W3959+X3959)-V3959</f>
        <v>-600</v>
      </c>
      <c r="Z3959" s="319">
        <f t="shared" ref="Z3959" si="3009">IF(Y3959&lt;0,((V3959*P3959)-((W3959+X3959)*P3959)),0)</f>
        <v>4800</v>
      </c>
      <c r="AA3959" s="319">
        <f t="shared" ref="AA3959" si="3010">Q3959*Z3959</f>
        <v>14400</v>
      </c>
      <c r="AB3959" s="815">
        <v>7.4999999999999997E-3</v>
      </c>
      <c r="AC3959" s="316">
        <f t="shared" ref="AC3959" si="3011">Z3959*AB3959</f>
        <v>36</v>
      </c>
      <c r="AD3959" s="209"/>
      <c r="AE3959" s="210">
        <f t="shared" ref="AE3959" si="3012">SUM(Q3959*R3959*Z3959)/1000</f>
        <v>0.108</v>
      </c>
      <c r="AF3959" s="210">
        <f t="shared" ref="AF3959" si="3013">AE3959/0.54</f>
        <v>0.19999999999999998</v>
      </c>
      <c r="AG3959" s="211">
        <f t="shared" ref="AG3959" si="3014">MID(O3959,1,3)/1000</f>
        <v>0.309</v>
      </c>
      <c r="AH3959" s="157">
        <f t="shared" ref="AH3959" si="3015">(Z3959*AG3959)/1000</f>
        <v>1.4832000000000001</v>
      </c>
      <c r="AI3959" s="152">
        <f t="shared" ref="AI3959" si="3016">V3959*P3959</f>
        <v>4800</v>
      </c>
      <c r="AK3959" s="156" t="s">
        <v>691</v>
      </c>
      <c r="AL3959" s="212" t="s">
        <v>690</v>
      </c>
      <c r="AM3959" s="198">
        <f t="shared" ref="AM3959" si="3017">AG3959*Z3959</f>
        <v>1483.2</v>
      </c>
      <c r="AN3959" s="199">
        <f t="shared" ref="AN3959" si="3018">B3959</f>
        <v>46357</v>
      </c>
      <c r="AO3959" s="159" t="s">
        <v>692</v>
      </c>
      <c r="AP3959" s="781"/>
      <c r="AQ3959" s="782">
        <v>12063755</v>
      </c>
      <c r="AR3959" s="782">
        <v>12061353</v>
      </c>
      <c r="AS3959" s="782">
        <v>12061354</v>
      </c>
      <c r="AT3959" s="782">
        <v>12083615</v>
      </c>
      <c r="AU3959" s="781"/>
      <c r="AV3959" s="782">
        <v>12062186</v>
      </c>
      <c r="AW3959" s="782"/>
      <c r="AX3959" s="782"/>
      <c r="AY3959" s="782"/>
      <c r="AZ3959" s="782"/>
      <c r="BA3959" s="781"/>
    </row>
    <row r="3960" spans="1:54" ht="25" customHeight="1">
      <c r="A3960" s="142" t="s">
        <v>3156</v>
      </c>
      <c r="B3960" s="272">
        <v>46357</v>
      </c>
      <c r="C3960" s="272">
        <v>46357</v>
      </c>
      <c r="D3960" s="185">
        <f t="shared" ref="D3960:D3962" si="3019">IF(B3960="","",YEAR(B3960))</f>
        <v>2026</v>
      </c>
      <c r="E3960" s="272" t="e">
        <f>VLOOKUP($B3960,Week!$A$1:$C$1462,2,0)</f>
        <v>#N/A</v>
      </c>
      <c r="F3960" s="273" t="str">
        <f t="shared" ref="F3960:F3962" si="3020">IF(B3960="","",TEXT(B3960,"[$-409]mmm"))</f>
        <v>Dec</v>
      </c>
      <c r="G3960" s="272"/>
      <c r="H3960" s="274" t="s">
        <v>431</v>
      </c>
      <c r="I3960" s="274" t="s">
        <v>2772</v>
      </c>
      <c r="J3960" s="275" t="s">
        <v>432</v>
      </c>
      <c r="K3960" s="276" t="s">
        <v>1643</v>
      </c>
      <c r="L3960" s="300" t="s">
        <v>2167</v>
      </c>
      <c r="M3960" s="276" t="s">
        <v>1672</v>
      </c>
      <c r="N3960" s="274" t="s">
        <v>1692</v>
      </c>
      <c r="O3960" s="274" t="s">
        <v>1673</v>
      </c>
      <c r="P3960" s="277">
        <v>8</v>
      </c>
      <c r="Q3960" s="277">
        <v>4</v>
      </c>
      <c r="R3960" s="278">
        <v>8.1300000000000001E-3</v>
      </c>
      <c r="S3960" s="274" t="s">
        <v>40</v>
      </c>
      <c r="T3960" s="274" t="s">
        <v>112</v>
      </c>
      <c r="U3960" s="853" t="s">
        <v>1894</v>
      </c>
      <c r="V3960" s="279">
        <f>2800/8</f>
        <v>350</v>
      </c>
      <c r="W3960" s="279"/>
      <c r="X3960" s="280"/>
      <c r="Y3960" s="281">
        <f t="shared" ref="Y3960:Y3962" si="3021">(W3960+X3960)-V3960</f>
        <v>-350</v>
      </c>
      <c r="Z3960" s="282">
        <f t="shared" ref="Z3960:Z3962" si="3022">IF(Y3960&lt;0,((V3960*P3960)-((W3960+X3960)*P3960)),0)</f>
        <v>2800</v>
      </c>
      <c r="AA3960" s="282">
        <f t="shared" ref="AA3960:AA3962" si="3023">Q3960*Z3960</f>
        <v>11200</v>
      </c>
      <c r="AB3960" s="812">
        <v>2.2419999999999999E-2</v>
      </c>
      <c r="AC3960" s="279">
        <f t="shared" ref="AC3960:AC3962" si="3024">Z3960*AB3960</f>
        <v>62.775999999999996</v>
      </c>
      <c r="AD3960" s="209"/>
      <c r="AE3960" s="210">
        <f>SUM(Q3960*R3960*Z3960)/1000</f>
        <v>9.1055999999999998E-2</v>
      </c>
      <c r="AF3960" s="210">
        <f>AE3960/0.54</f>
        <v>0.1686222222222222</v>
      </c>
      <c r="AG3960" s="211">
        <f t="shared" ref="AG3960:AG3962" si="3025">MID(O3960,1,3)/1000</f>
        <v>0.129</v>
      </c>
      <c r="AH3960" s="157">
        <f>(Z3960*AG3960)/1000</f>
        <v>0.36119999999999997</v>
      </c>
      <c r="AI3960" s="152">
        <f>V3960*P3960</f>
        <v>2800</v>
      </c>
      <c r="AK3960" s="156" t="s">
        <v>691</v>
      </c>
      <c r="AL3960" s="212" t="s">
        <v>690</v>
      </c>
      <c r="AM3960" s="198">
        <f t="shared" ref="AM3960:AM3962" si="3026">AG3960*Z3960</f>
        <v>361.2</v>
      </c>
      <c r="AN3960" s="199">
        <f t="shared" ref="AN3960:AN3962" si="3027">B3960</f>
        <v>46357</v>
      </c>
      <c r="AO3960" s="159" t="s">
        <v>692</v>
      </c>
      <c r="AP3960" s="783" t="s">
        <v>613</v>
      </c>
      <c r="AQ3960" s="782">
        <v>12071839</v>
      </c>
      <c r="AR3960" s="782">
        <v>12047514</v>
      </c>
      <c r="AS3960" s="782">
        <v>12047515</v>
      </c>
      <c r="AT3960" s="782">
        <v>12092474</v>
      </c>
      <c r="AU3960" s="782"/>
      <c r="AV3960" s="782">
        <v>12092526</v>
      </c>
      <c r="AW3960" s="782"/>
      <c r="AX3960" s="782"/>
      <c r="AY3960" s="782"/>
      <c r="AZ3960" s="782"/>
      <c r="BA3960" s="781"/>
    </row>
    <row r="3961" spans="1:54" ht="25" customHeight="1">
      <c r="A3961" s="142" t="s">
        <v>3156</v>
      </c>
      <c r="B3961" s="271">
        <v>46357</v>
      </c>
      <c r="C3961" s="441">
        <v>46359</v>
      </c>
      <c r="D3961" s="274">
        <f t="shared" si="3019"/>
        <v>2026</v>
      </c>
      <c r="E3961" s="274" t="e">
        <f>VLOOKUP($B3961,Week!$A$1:$C$1462,2,0)</f>
        <v>#N/A</v>
      </c>
      <c r="F3961" s="273" t="str">
        <f t="shared" si="3020"/>
        <v>Dec</v>
      </c>
      <c r="G3961" s="274">
        <v>22</v>
      </c>
      <c r="H3961" s="274" t="s">
        <v>225</v>
      </c>
      <c r="I3961" s="274" t="s">
        <v>2773</v>
      </c>
      <c r="J3961" s="275" t="s">
        <v>650</v>
      </c>
      <c r="K3961" s="276" t="s">
        <v>2256</v>
      </c>
      <c r="L3961" s="276" t="s">
        <v>2167</v>
      </c>
      <c r="M3961" s="275" t="s">
        <v>2258</v>
      </c>
      <c r="N3961" s="274" t="s">
        <v>2259</v>
      </c>
      <c r="O3961" s="274" t="s">
        <v>110</v>
      </c>
      <c r="P3961" s="277">
        <v>36</v>
      </c>
      <c r="Q3961" s="277">
        <v>5</v>
      </c>
      <c r="R3961" s="278">
        <v>7.4999999999999997E-3</v>
      </c>
      <c r="S3961" s="274" t="s">
        <v>111</v>
      </c>
      <c r="T3961" s="274" t="s">
        <v>112</v>
      </c>
      <c r="U3961" s="274" t="s">
        <v>113</v>
      </c>
      <c r="V3961" s="279">
        <v>792</v>
      </c>
      <c r="W3961" s="279"/>
      <c r="X3961" s="280"/>
      <c r="Y3961" s="281">
        <f t="shared" si="3021"/>
        <v>-792</v>
      </c>
      <c r="Z3961" s="282">
        <f t="shared" si="3022"/>
        <v>28512</v>
      </c>
      <c r="AA3961" s="282">
        <f t="shared" si="3023"/>
        <v>142560</v>
      </c>
      <c r="AB3961" s="812">
        <v>9.7000000000000003E-3</v>
      </c>
      <c r="AC3961" s="279">
        <f t="shared" si="3024"/>
        <v>276.56639999999999</v>
      </c>
      <c r="AD3961" s="209" t="s">
        <v>3152</v>
      </c>
      <c r="AE3961" s="210">
        <f>SUM(Q3961*R3961*Z3961)/1000</f>
        <v>1.0692000000000002</v>
      </c>
      <c r="AF3961" s="210">
        <f t="shared" ref="AF3961" si="3028">AE3961/0.54</f>
        <v>1.9800000000000002</v>
      </c>
      <c r="AG3961" s="211">
        <f t="shared" si="3025"/>
        <v>0.308</v>
      </c>
      <c r="AH3961" s="157">
        <f t="shared" ref="AH3961" si="3029">(Z3961*AG3961)/1000</f>
        <v>8.7816960000000002</v>
      </c>
      <c r="AI3961" s="152">
        <f>V3961*P3961</f>
        <v>28512</v>
      </c>
      <c r="AK3961" s="156" t="s">
        <v>691</v>
      </c>
      <c r="AL3961" s="574" t="s">
        <v>690</v>
      </c>
      <c r="AM3961" s="198">
        <f t="shared" si="3026"/>
        <v>8781.6959999999999</v>
      </c>
      <c r="AN3961" s="199">
        <f t="shared" si="3027"/>
        <v>46357</v>
      </c>
      <c r="AO3961" s="159" t="s">
        <v>692</v>
      </c>
      <c r="AP3961" s="781"/>
      <c r="AQ3961" s="782">
        <v>12063755</v>
      </c>
      <c r="AR3961" s="782">
        <v>12061353</v>
      </c>
      <c r="AS3961" s="782">
        <v>12061354</v>
      </c>
      <c r="AT3961" s="782">
        <v>12095367</v>
      </c>
      <c r="AU3961" s="781"/>
      <c r="AV3961" s="782">
        <v>12095366</v>
      </c>
      <c r="AW3961" s="782">
        <v>12088207</v>
      </c>
      <c r="AX3961" s="782"/>
      <c r="AY3961" s="782">
        <v>12095368</v>
      </c>
      <c r="AZ3961" s="782"/>
      <c r="BA3961" s="781"/>
      <c r="BB3961" s="209">
        <v>23054743</v>
      </c>
    </row>
    <row r="3962" spans="1:54" ht="25" customHeight="1">
      <c r="A3962" s="142" t="s">
        <v>3156</v>
      </c>
      <c r="B3962" s="357">
        <v>46357</v>
      </c>
      <c r="C3962" s="358">
        <v>46357</v>
      </c>
      <c r="D3962" s="185">
        <f t="shared" si="3019"/>
        <v>2026</v>
      </c>
      <c r="E3962" s="358" t="e">
        <f>VLOOKUP($B3962,Week!$A$1:$C$1462,2,0)</f>
        <v>#N/A</v>
      </c>
      <c r="F3962" s="360" t="str">
        <f t="shared" si="3020"/>
        <v>Dec</v>
      </c>
      <c r="G3962" s="436"/>
      <c r="H3962" s="359" t="s">
        <v>225</v>
      </c>
      <c r="I3962" s="359" t="s">
        <v>2773</v>
      </c>
      <c r="J3962" s="361" t="s">
        <v>650</v>
      </c>
      <c r="K3962" s="362" t="s">
        <v>593</v>
      </c>
      <c r="L3962" s="300" t="s">
        <v>2167</v>
      </c>
      <c r="M3962" s="361" t="s">
        <v>717</v>
      </c>
      <c r="N3962" s="359" t="s">
        <v>719</v>
      </c>
      <c r="O3962" s="359" t="s">
        <v>230</v>
      </c>
      <c r="P3962" s="363">
        <v>12</v>
      </c>
      <c r="Q3962" s="363">
        <v>5</v>
      </c>
      <c r="R3962" s="364">
        <v>6.0000000000000001E-3</v>
      </c>
      <c r="S3962" s="359" t="s">
        <v>55</v>
      </c>
      <c r="T3962" s="359" t="s">
        <v>112</v>
      </c>
      <c r="U3962" s="359" t="s">
        <v>57</v>
      </c>
      <c r="V3962" s="365">
        <v>2600</v>
      </c>
      <c r="W3962" s="365"/>
      <c r="X3962" s="366"/>
      <c r="Y3962" s="367">
        <f t="shared" si="3021"/>
        <v>-2600</v>
      </c>
      <c r="Z3962" s="368">
        <f t="shared" si="3022"/>
        <v>31200</v>
      </c>
      <c r="AA3962" s="368">
        <f t="shared" si="3023"/>
        <v>156000</v>
      </c>
      <c r="AB3962" s="819">
        <v>7.4999999999999997E-3</v>
      </c>
      <c r="AC3962" s="365">
        <f t="shared" si="3024"/>
        <v>234</v>
      </c>
      <c r="AD3962" s="443"/>
      <c r="AE3962" s="210">
        <f t="shared" ref="AE3962" si="3030">SUM(Q3962*R3962*Z3962)/1000</f>
        <v>0.93600000000000005</v>
      </c>
      <c r="AF3962" s="210">
        <f>AE3962/0.54</f>
        <v>1.7333333333333334</v>
      </c>
      <c r="AG3962" s="211">
        <f t="shared" si="3025"/>
        <v>0.25800000000000001</v>
      </c>
      <c r="AH3962" s="157">
        <f>(Z3962*AG3962)/1000</f>
        <v>8.0495999999999999</v>
      </c>
      <c r="AI3962" s="152">
        <f t="shared" ref="AI3962" si="3031">V3962*P3962</f>
        <v>31200</v>
      </c>
      <c r="AK3962" s="156" t="s">
        <v>691</v>
      </c>
      <c r="AL3962" s="574" t="s">
        <v>690</v>
      </c>
      <c r="AM3962" s="198">
        <f t="shared" si="3026"/>
        <v>8049.6</v>
      </c>
      <c r="AN3962" s="199">
        <f t="shared" si="3027"/>
        <v>46357</v>
      </c>
      <c r="AO3962" s="159" t="s">
        <v>692</v>
      </c>
      <c r="AP3962" s="783" t="s">
        <v>612</v>
      </c>
      <c r="AQ3962" s="782">
        <v>12071839</v>
      </c>
      <c r="AR3962" s="782">
        <v>12042650</v>
      </c>
      <c r="AS3962" s="782">
        <v>12042649</v>
      </c>
      <c r="AT3962" s="782">
        <v>12096387</v>
      </c>
      <c r="AU3962" s="781"/>
      <c r="AV3962" s="782">
        <v>12088422</v>
      </c>
      <c r="AW3962" s="782"/>
      <c r="AX3962" s="782"/>
      <c r="AY3962" s="782"/>
      <c r="AZ3962" s="782"/>
      <c r="BA3962" s="781"/>
      <c r="BB3962" s="209">
        <v>23053185</v>
      </c>
    </row>
    <row r="3963" spans="1:54" ht="25" customHeight="1">
      <c r="A3963" s="142" t="s">
        <v>3156</v>
      </c>
      <c r="B3963" s="357">
        <v>46388</v>
      </c>
      <c r="C3963" s="358">
        <v>46388</v>
      </c>
      <c r="D3963" s="185">
        <f t="shared" ref="D3963:D3964" si="3032">IF(B3963="","",YEAR(B3963))</f>
        <v>2027</v>
      </c>
      <c r="E3963" s="358" t="e">
        <f>VLOOKUP($B3963,Week!$A$1:$C$1462,2,0)</f>
        <v>#N/A</v>
      </c>
      <c r="F3963" s="360" t="str">
        <f t="shared" ref="F3963:F3964" si="3033">IF(B3963="","",TEXT(B3963,"[$-409]mmm"))</f>
        <v>Jan</v>
      </c>
      <c r="G3963" s="436"/>
      <c r="H3963" s="359" t="s">
        <v>225</v>
      </c>
      <c r="I3963" s="359" t="s">
        <v>2773</v>
      </c>
      <c r="J3963" s="361" t="s">
        <v>650</v>
      </c>
      <c r="K3963" s="362" t="s">
        <v>593</v>
      </c>
      <c r="L3963" s="300" t="s">
        <v>2167</v>
      </c>
      <c r="M3963" s="361" t="s">
        <v>717</v>
      </c>
      <c r="N3963" s="359" t="s">
        <v>719</v>
      </c>
      <c r="O3963" s="359" t="s">
        <v>230</v>
      </c>
      <c r="P3963" s="363">
        <v>12</v>
      </c>
      <c r="Q3963" s="363">
        <v>5</v>
      </c>
      <c r="R3963" s="364">
        <v>6.0000000000000001E-3</v>
      </c>
      <c r="S3963" s="359" t="s">
        <v>55</v>
      </c>
      <c r="T3963" s="359" t="s">
        <v>112</v>
      </c>
      <c r="U3963" s="359" t="s">
        <v>57</v>
      </c>
      <c r="V3963" s="365">
        <v>2600</v>
      </c>
      <c r="W3963" s="365"/>
      <c r="X3963" s="366"/>
      <c r="Y3963" s="367">
        <f t="shared" ref="Y3963:Y3964" si="3034">(W3963+X3963)-V3963</f>
        <v>-2600</v>
      </c>
      <c r="Z3963" s="368">
        <f t="shared" ref="Z3963:Z3964" si="3035">IF(Y3963&lt;0,((V3963*P3963)-((W3963+X3963)*P3963)),0)</f>
        <v>31200</v>
      </c>
      <c r="AA3963" s="368">
        <f t="shared" ref="AA3963:AA3964" si="3036">Q3963*Z3963</f>
        <v>156000</v>
      </c>
      <c r="AB3963" s="819">
        <v>7.4999999999999997E-3</v>
      </c>
      <c r="AC3963" s="365">
        <f t="shared" ref="AC3963:AC3964" si="3037">Z3963*AB3963</f>
        <v>234</v>
      </c>
      <c r="AD3963" s="443"/>
      <c r="AE3963" s="210">
        <f t="shared" ref="AE3963:AE3964" si="3038">SUM(Q3963*R3963*Z3963)/1000</f>
        <v>0.93600000000000005</v>
      </c>
      <c r="AF3963" s="210">
        <f t="shared" ref="AF3963:AF3964" si="3039">AE3963/0.54</f>
        <v>1.7333333333333334</v>
      </c>
      <c r="AG3963" s="211">
        <f t="shared" ref="AG3963:AG3964" si="3040">MID(O3963,1,3)/1000</f>
        <v>0.25800000000000001</v>
      </c>
      <c r="AH3963" s="157">
        <f t="shared" ref="AH3963:AH3964" si="3041">(Z3963*AG3963)/1000</f>
        <v>8.0495999999999999</v>
      </c>
      <c r="AI3963" s="152">
        <f t="shared" ref="AI3963:AI3964" si="3042">V3963*P3963</f>
        <v>31200</v>
      </c>
      <c r="AK3963" s="156" t="s">
        <v>691</v>
      </c>
      <c r="AL3963" s="574" t="s">
        <v>690</v>
      </c>
      <c r="AM3963" s="198">
        <f t="shared" ref="AM3963:AM3964" si="3043">AG3963*Z3963</f>
        <v>8049.6</v>
      </c>
      <c r="AN3963" s="199">
        <f t="shared" ref="AN3963:AN3964" si="3044">B3963</f>
        <v>46388</v>
      </c>
      <c r="AO3963" s="159" t="s">
        <v>692</v>
      </c>
      <c r="AP3963" s="783" t="s">
        <v>612</v>
      </c>
      <c r="AQ3963" s="782">
        <v>12071839</v>
      </c>
      <c r="AR3963" s="782">
        <v>12042650</v>
      </c>
      <c r="AS3963" s="782">
        <v>12042649</v>
      </c>
      <c r="AT3963" s="782">
        <v>12096387</v>
      </c>
      <c r="AU3963" s="781"/>
      <c r="AV3963" s="782">
        <v>12088422</v>
      </c>
      <c r="AW3963" s="782"/>
      <c r="AX3963" s="782"/>
      <c r="AY3963" s="782"/>
      <c r="AZ3963" s="782"/>
      <c r="BA3963" s="781"/>
      <c r="BB3963" s="209">
        <v>23053185</v>
      </c>
    </row>
    <row r="3964" spans="1:54" ht="25" customHeight="1">
      <c r="A3964" s="142" t="s">
        <v>3156</v>
      </c>
      <c r="B3964" s="357">
        <v>46419</v>
      </c>
      <c r="C3964" s="358">
        <v>46419</v>
      </c>
      <c r="D3964" s="185">
        <f t="shared" si="3032"/>
        <v>2027</v>
      </c>
      <c r="E3964" s="358" t="e">
        <f>VLOOKUP($B3964,Week!$A$1:$C$1462,2,0)</f>
        <v>#N/A</v>
      </c>
      <c r="F3964" s="360" t="str">
        <f t="shared" si="3033"/>
        <v>Feb</v>
      </c>
      <c r="G3964" s="436"/>
      <c r="H3964" s="359" t="s">
        <v>225</v>
      </c>
      <c r="I3964" s="359" t="s">
        <v>2773</v>
      </c>
      <c r="J3964" s="361" t="s">
        <v>650</v>
      </c>
      <c r="K3964" s="362" t="s">
        <v>593</v>
      </c>
      <c r="L3964" s="300" t="s">
        <v>2167</v>
      </c>
      <c r="M3964" s="361" t="s">
        <v>717</v>
      </c>
      <c r="N3964" s="359" t="s">
        <v>719</v>
      </c>
      <c r="O3964" s="359" t="s">
        <v>230</v>
      </c>
      <c r="P3964" s="363">
        <v>12</v>
      </c>
      <c r="Q3964" s="363">
        <v>5</v>
      </c>
      <c r="R3964" s="364">
        <v>6.0000000000000001E-3</v>
      </c>
      <c r="S3964" s="359" t="s">
        <v>55</v>
      </c>
      <c r="T3964" s="359" t="s">
        <v>112</v>
      </c>
      <c r="U3964" s="359" t="s">
        <v>57</v>
      </c>
      <c r="V3964" s="365">
        <v>5200</v>
      </c>
      <c r="W3964" s="365"/>
      <c r="X3964" s="366"/>
      <c r="Y3964" s="367">
        <f t="shared" si="3034"/>
        <v>-5200</v>
      </c>
      <c r="Z3964" s="368">
        <f t="shared" si="3035"/>
        <v>62400</v>
      </c>
      <c r="AA3964" s="368">
        <f t="shared" si="3036"/>
        <v>312000</v>
      </c>
      <c r="AB3964" s="819">
        <v>7.4999999999999997E-3</v>
      </c>
      <c r="AC3964" s="365">
        <f t="shared" si="3037"/>
        <v>468</v>
      </c>
      <c r="AD3964" s="443"/>
      <c r="AE3964" s="210">
        <f t="shared" si="3038"/>
        <v>1.8720000000000001</v>
      </c>
      <c r="AF3964" s="210">
        <f t="shared" si="3039"/>
        <v>3.4666666666666668</v>
      </c>
      <c r="AG3964" s="211">
        <f t="shared" si="3040"/>
        <v>0.25800000000000001</v>
      </c>
      <c r="AH3964" s="157">
        <f t="shared" si="3041"/>
        <v>16.0992</v>
      </c>
      <c r="AI3964" s="152">
        <f t="shared" si="3042"/>
        <v>62400</v>
      </c>
      <c r="AK3964" s="156" t="s">
        <v>691</v>
      </c>
      <c r="AL3964" s="574" t="s">
        <v>690</v>
      </c>
      <c r="AM3964" s="198">
        <f t="shared" si="3043"/>
        <v>16099.2</v>
      </c>
      <c r="AN3964" s="199">
        <f t="shared" si="3044"/>
        <v>46419</v>
      </c>
      <c r="AO3964" s="159" t="s">
        <v>692</v>
      </c>
      <c r="AP3964" s="783" t="s">
        <v>612</v>
      </c>
      <c r="AQ3964" s="782">
        <v>12071839</v>
      </c>
      <c r="AR3964" s="782">
        <v>12042650</v>
      </c>
      <c r="AS3964" s="782">
        <v>12042649</v>
      </c>
      <c r="AT3964" s="782">
        <v>12096387</v>
      </c>
      <c r="AU3964" s="781"/>
      <c r="AV3964" s="782">
        <v>12088422</v>
      </c>
      <c r="AW3964" s="782"/>
      <c r="AX3964" s="782"/>
      <c r="AY3964" s="782"/>
      <c r="AZ3964" s="782"/>
      <c r="BA3964" s="781"/>
      <c r="BB3964" s="209">
        <v>23053185</v>
      </c>
    </row>
    <row r="3965" spans="1:54" ht="25" customHeight="1">
      <c r="A3965" s="142" t="s">
        <v>3156</v>
      </c>
      <c r="B3965" s="332">
        <v>46327</v>
      </c>
      <c r="C3965" s="333">
        <v>46327</v>
      </c>
      <c r="D3965" s="185">
        <f t="shared" ref="D3965:D3967" si="3045">IF(B3965="","",YEAR(B3965))</f>
        <v>2026</v>
      </c>
      <c r="E3965" s="333" t="e">
        <f>VLOOKUP($B3965,Week!$A$1:$C$1462,2,0)</f>
        <v>#N/A</v>
      </c>
      <c r="F3965" s="334" t="str">
        <f t="shared" ref="F3965:F3967" si="3046">IF(B3965="","",TEXT(B3965,"[$-409]mmm"))</f>
        <v>Nov</v>
      </c>
      <c r="G3965" s="335"/>
      <c r="H3965" s="335" t="s">
        <v>600</v>
      </c>
      <c r="I3965" s="335" t="s">
        <v>2772</v>
      </c>
      <c r="J3965" s="336" t="s">
        <v>708</v>
      </c>
      <c r="K3965" s="337" t="s">
        <v>1649</v>
      </c>
      <c r="L3965" s="300" t="s">
        <v>2167</v>
      </c>
      <c r="M3965" s="336" t="s">
        <v>2927</v>
      </c>
      <c r="N3965" s="335" t="s">
        <v>2921</v>
      </c>
      <c r="O3965" s="335" t="s">
        <v>2917</v>
      </c>
      <c r="P3965" s="338">
        <v>12</v>
      </c>
      <c r="Q3965" s="338">
        <v>3</v>
      </c>
      <c r="R3965" s="339">
        <v>6.1999999999999998E-3</v>
      </c>
      <c r="S3965" s="335" t="s">
        <v>55</v>
      </c>
      <c r="T3965" s="335" t="s">
        <v>112</v>
      </c>
      <c r="U3965" s="340" t="s">
        <v>1893</v>
      </c>
      <c r="V3965" s="341">
        <v>2660</v>
      </c>
      <c r="W3965" s="341"/>
      <c r="X3965" s="342"/>
      <c r="Y3965" s="343">
        <f t="shared" ref="Y3965:Y3970" si="3047">(W3965+X3965)-V3965</f>
        <v>-2660</v>
      </c>
      <c r="Z3965" s="344">
        <f t="shared" ref="Z3965:Z3970" si="3048">IF(Y3965&lt;0,((V3965*P3965)-((W3965+X3965)*P3965)),0)</f>
        <v>31920</v>
      </c>
      <c r="AA3965" s="344">
        <f t="shared" ref="AA3965:AA3970" si="3049">Q3965*Z3965</f>
        <v>95760</v>
      </c>
      <c r="AB3965" s="817">
        <v>3.85E-2</v>
      </c>
      <c r="AC3965" s="341">
        <f t="shared" ref="AC3965:AC3970" si="3050">Z3965*AB3965</f>
        <v>1228.92</v>
      </c>
      <c r="AD3965" s="443" t="s">
        <v>2779</v>
      </c>
      <c r="AE3965" s="210">
        <f>SUM(Q3965*R3965*Z3965)/1000</f>
        <v>0.59371200000000002</v>
      </c>
      <c r="AF3965" s="210">
        <f t="shared" ref="AF3965:AF3970" si="3051">AE3965/0.54</f>
        <v>1.0994666666666666</v>
      </c>
      <c r="AG3965" s="211">
        <f t="shared" ref="AG3965:AG3970" si="3052">MID(O3965,1,3)/1000</f>
        <v>0.24</v>
      </c>
      <c r="AH3965" s="157">
        <f>(Z3965*AG3965)/1000</f>
        <v>7.6607999999999992</v>
      </c>
      <c r="AI3965" s="152">
        <f t="shared" ref="AI3965:AI3970" si="3053">V3965*P3965</f>
        <v>31920</v>
      </c>
      <c r="AK3965" s="156" t="s">
        <v>691</v>
      </c>
      <c r="AL3965" s="574" t="s">
        <v>690</v>
      </c>
      <c r="AM3965" s="198">
        <f t="shared" ref="AM3965:AM3970" si="3054">AG3965*Z3965</f>
        <v>7660.7999999999993</v>
      </c>
      <c r="AN3965" s="199">
        <f t="shared" ref="AN3965:AN3970" si="3055">B3965</f>
        <v>46327</v>
      </c>
      <c r="AO3965" s="159" t="s">
        <v>692</v>
      </c>
      <c r="AP3965" s="783"/>
      <c r="AQ3965" s="782">
        <v>12071839</v>
      </c>
      <c r="AR3965" s="782">
        <v>12095778</v>
      </c>
      <c r="AS3965" s="782">
        <v>12095777</v>
      </c>
      <c r="AT3965" s="798" t="s">
        <v>3019</v>
      </c>
      <c r="AU3965" s="781"/>
      <c r="AV3965" s="782">
        <v>12098861</v>
      </c>
      <c r="AW3965" s="781"/>
      <c r="AX3965" s="781"/>
      <c r="AY3965" s="782"/>
      <c r="AZ3965" s="781"/>
      <c r="BA3965" s="781"/>
      <c r="BB3965" s="209">
        <v>23053185</v>
      </c>
    </row>
    <row r="3966" spans="1:54" ht="25" customHeight="1">
      <c r="A3966" s="142" t="s">
        <v>3156</v>
      </c>
      <c r="B3966" s="332">
        <v>46388</v>
      </c>
      <c r="C3966" s="333">
        <v>46388</v>
      </c>
      <c r="D3966" s="185">
        <f>IF(B3966="","",YEAR(B3966))</f>
        <v>2027</v>
      </c>
      <c r="E3966" s="333" t="e">
        <f>VLOOKUP($B3966,Week!$A$1:$C$1462,2,0)</f>
        <v>#N/A</v>
      </c>
      <c r="F3966" s="334" t="str">
        <f>IF(B3966="","",TEXT(B3966,"[$-409]mmm"))</f>
        <v>Jan</v>
      </c>
      <c r="G3966" s="335"/>
      <c r="H3966" s="335" t="s">
        <v>600</v>
      </c>
      <c r="I3966" s="335" t="s">
        <v>2772</v>
      </c>
      <c r="J3966" s="336" t="s">
        <v>708</v>
      </c>
      <c r="K3966" s="337" t="s">
        <v>1649</v>
      </c>
      <c r="L3966" s="300" t="s">
        <v>2167</v>
      </c>
      <c r="M3966" s="336" t="s">
        <v>2927</v>
      </c>
      <c r="N3966" s="335" t="s">
        <v>2921</v>
      </c>
      <c r="O3966" s="335" t="s">
        <v>2917</v>
      </c>
      <c r="P3966" s="338">
        <v>12</v>
      </c>
      <c r="Q3966" s="338">
        <v>3</v>
      </c>
      <c r="R3966" s="339">
        <v>6.1999999999999998E-3</v>
      </c>
      <c r="S3966" s="335" t="s">
        <v>55</v>
      </c>
      <c r="T3966" s="335" t="s">
        <v>112</v>
      </c>
      <c r="U3966" s="340" t="s">
        <v>1893</v>
      </c>
      <c r="V3966" s="341">
        <v>2660</v>
      </c>
      <c r="W3966" s="341"/>
      <c r="X3966" s="342"/>
      <c r="Y3966" s="343">
        <f t="shared" si="3047"/>
        <v>-2660</v>
      </c>
      <c r="Z3966" s="344">
        <f t="shared" si="3048"/>
        <v>31920</v>
      </c>
      <c r="AA3966" s="344">
        <f t="shared" si="3049"/>
        <v>95760</v>
      </c>
      <c r="AB3966" s="817">
        <v>3.85E-2</v>
      </c>
      <c r="AC3966" s="341">
        <f t="shared" si="3050"/>
        <v>1228.92</v>
      </c>
      <c r="AD3966" s="443" t="s">
        <v>2779</v>
      </c>
      <c r="AE3966" s="210">
        <f>SUM(Q3966*R3966*Z3966)/1000</f>
        <v>0.59371200000000002</v>
      </c>
      <c r="AF3966" s="210">
        <f t="shared" si="3051"/>
        <v>1.0994666666666666</v>
      </c>
      <c r="AG3966" s="211">
        <f t="shared" si="3052"/>
        <v>0.24</v>
      </c>
      <c r="AH3966" s="157">
        <f>(Z3966*AG3966)/1000</f>
        <v>7.6607999999999992</v>
      </c>
      <c r="AI3966" s="152">
        <f t="shared" si="3053"/>
        <v>31920</v>
      </c>
      <c r="AK3966" s="156" t="s">
        <v>691</v>
      </c>
      <c r="AL3966" s="574" t="s">
        <v>690</v>
      </c>
      <c r="AM3966" s="198">
        <f t="shared" si="3054"/>
        <v>7660.7999999999993</v>
      </c>
      <c r="AN3966" s="199">
        <f t="shared" si="3055"/>
        <v>46388</v>
      </c>
      <c r="AO3966" s="159" t="s">
        <v>692</v>
      </c>
      <c r="AP3966" s="783"/>
      <c r="AQ3966" s="782">
        <v>12071839</v>
      </c>
      <c r="AR3966" s="782">
        <v>12095778</v>
      </c>
      <c r="AS3966" s="782">
        <v>12095777</v>
      </c>
      <c r="AT3966" s="798" t="s">
        <v>3019</v>
      </c>
      <c r="AU3966" s="781"/>
      <c r="AV3966" s="782">
        <v>12098861</v>
      </c>
      <c r="AW3966" s="781"/>
      <c r="AX3966" s="781"/>
      <c r="AY3966" s="782"/>
      <c r="AZ3966" s="781"/>
      <c r="BA3966" s="781"/>
      <c r="BB3966" s="209">
        <v>23053185</v>
      </c>
    </row>
    <row r="3967" spans="1:54" ht="25" customHeight="1">
      <c r="A3967" s="142" t="s">
        <v>3156</v>
      </c>
      <c r="B3967" s="743">
        <v>46327</v>
      </c>
      <c r="C3967" s="744">
        <v>46327</v>
      </c>
      <c r="D3967" s="746">
        <f t="shared" si="3045"/>
        <v>2026</v>
      </c>
      <c r="E3967" s="744" t="e">
        <f>VLOOKUP($B3967,Week!$A$1:$C$1462,2,0)</f>
        <v>#N/A</v>
      </c>
      <c r="F3967" s="745" t="str">
        <f t="shared" si="3046"/>
        <v>Nov</v>
      </c>
      <c r="G3967" s="746"/>
      <c r="H3967" s="746" t="s">
        <v>600</v>
      </c>
      <c r="I3967" s="746" t="s">
        <v>2772</v>
      </c>
      <c r="J3967" s="747" t="s">
        <v>708</v>
      </c>
      <c r="K3967" s="748" t="s">
        <v>1652</v>
      </c>
      <c r="L3967" s="748" t="s">
        <v>2167</v>
      </c>
      <c r="M3967" s="747" t="s">
        <v>2928</v>
      </c>
      <c r="N3967" s="915" t="s">
        <v>2922</v>
      </c>
      <c r="O3967" s="746" t="s">
        <v>2917</v>
      </c>
      <c r="P3967" s="749">
        <v>12</v>
      </c>
      <c r="Q3967" s="749">
        <v>3</v>
      </c>
      <c r="R3967" s="849">
        <v>6.1999999999999998E-3</v>
      </c>
      <c r="S3967" s="746" t="s">
        <v>55</v>
      </c>
      <c r="T3967" s="746" t="s">
        <v>112</v>
      </c>
      <c r="U3967" s="860" t="s">
        <v>724</v>
      </c>
      <c r="V3967" s="750">
        <v>2660</v>
      </c>
      <c r="W3967" s="750"/>
      <c r="X3967" s="751"/>
      <c r="Y3967" s="752">
        <f t="shared" si="3047"/>
        <v>-2660</v>
      </c>
      <c r="Z3967" s="753">
        <f t="shared" si="3048"/>
        <v>31920</v>
      </c>
      <c r="AA3967" s="753">
        <f t="shared" si="3049"/>
        <v>95760</v>
      </c>
      <c r="AB3967" s="838">
        <v>5.8823E-2</v>
      </c>
      <c r="AC3967" s="750">
        <f t="shared" si="3050"/>
        <v>1877.6301599999999</v>
      </c>
      <c r="AD3967" s="443" t="s">
        <v>2779</v>
      </c>
      <c r="AE3967" s="210">
        <f>SUM(Q3967*R3967*Z3967)/1000</f>
        <v>0.59371200000000002</v>
      </c>
      <c r="AF3967" s="210">
        <f t="shared" si="3051"/>
        <v>1.0994666666666666</v>
      </c>
      <c r="AG3967" s="211">
        <f t="shared" si="3052"/>
        <v>0.24</v>
      </c>
      <c r="AH3967" s="157">
        <v>0.26621999999999996</v>
      </c>
      <c r="AI3967" s="152">
        <f t="shared" si="3053"/>
        <v>31920</v>
      </c>
      <c r="AK3967" s="156" t="s">
        <v>691</v>
      </c>
      <c r="AL3967" s="574" t="s">
        <v>690</v>
      </c>
      <c r="AM3967" s="198">
        <f t="shared" si="3054"/>
        <v>7660.7999999999993</v>
      </c>
      <c r="AN3967" s="199">
        <f t="shared" si="3055"/>
        <v>46327</v>
      </c>
      <c r="AO3967" s="159" t="s">
        <v>692</v>
      </c>
      <c r="AP3967" s="781"/>
      <c r="AQ3967" s="782">
        <v>12071839</v>
      </c>
      <c r="AR3967" s="782">
        <v>12095778</v>
      </c>
      <c r="AS3967" s="782">
        <v>12095777</v>
      </c>
      <c r="AT3967" s="798" t="s">
        <v>3018</v>
      </c>
      <c r="AU3967" s="781"/>
      <c r="AV3967" s="782">
        <v>12098859</v>
      </c>
      <c r="AW3967" s="781"/>
      <c r="AX3967" s="781"/>
      <c r="AY3967" s="781"/>
      <c r="AZ3967" s="782"/>
      <c r="BA3967" s="781"/>
      <c r="BB3967" s="209">
        <v>23099860</v>
      </c>
    </row>
    <row r="3968" spans="1:54" ht="25" customHeight="1">
      <c r="A3968" s="142" t="s">
        <v>3156</v>
      </c>
      <c r="B3968" s="743">
        <v>46388</v>
      </c>
      <c r="C3968" s="744">
        <v>46388</v>
      </c>
      <c r="D3968" s="746">
        <f t="shared" ref="D3968" si="3056">IF(B3968="","",YEAR(B3968))</f>
        <v>2027</v>
      </c>
      <c r="E3968" s="744" t="e">
        <f>VLOOKUP($B3968,Week!$A$1:$C$1462,2,0)</f>
        <v>#N/A</v>
      </c>
      <c r="F3968" s="745" t="str">
        <f t="shared" ref="F3968" si="3057">IF(B3968="","",TEXT(B3968,"[$-409]mmm"))</f>
        <v>Jan</v>
      </c>
      <c r="G3968" s="746"/>
      <c r="H3968" s="746" t="s">
        <v>600</v>
      </c>
      <c r="I3968" s="746" t="s">
        <v>2772</v>
      </c>
      <c r="J3968" s="747" t="s">
        <v>708</v>
      </c>
      <c r="K3968" s="748" t="s">
        <v>1652</v>
      </c>
      <c r="L3968" s="748" t="s">
        <v>2167</v>
      </c>
      <c r="M3968" s="747" t="s">
        <v>2928</v>
      </c>
      <c r="N3968" s="915" t="s">
        <v>2922</v>
      </c>
      <c r="O3968" s="746" t="s">
        <v>2917</v>
      </c>
      <c r="P3968" s="749">
        <v>12</v>
      </c>
      <c r="Q3968" s="749">
        <v>3</v>
      </c>
      <c r="R3968" s="849">
        <v>6.1999999999999998E-3</v>
      </c>
      <c r="S3968" s="746" t="s">
        <v>55</v>
      </c>
      <c r="T3968" s="746" t="s">
        <v>112</v>
      </c>
      <c r="U3968" s="860" t="s">
        <v>724</v>
      </c>
      <c r="V3968" s="750">
        <v>2660</v>
      </c>
      <c r="W3968" s="750"/>
      <c r="X3968" s="751"/>
      <c r="Y3968" s="752">
        <f t="shared" si="3047"/>
        <v>-2660</v>
      </c>
      <c r="Z3968" s="753">
        <f t="shared" si="3048"/>
        <v>31920</v>
      </c>
      <c r="AA3968" s="753">
        <f t="shared" si="3049"/>
        <v>95760</v>
      </c>
      <c r="AB3968" s="838">
        <v>5.8823E-2</v>
      </c>
      <c r="AC3968" s="750">
        <f t="shared" si="3050"/>
        <v>1877.6301599999999</v>
      </c>
      <c r="AD3968" s="443" t="s">
        <v>2779</v>
      </c>
      <c r="AE3968" s="210">
        <f>SUM(Q3968*R3968*Z3968)/1000</f>
        <v>0.59371200000000002</v>
      </c>
      <c r="AF3968" s="210">
        <f t="shared" si="3051"/>
        <v>1.0994666666666666</v>
      </c>
      <c r="AG3968" s="211">
        <f t="shared" si="3052"/>
        <v>0.24</v>
      </c>
      <c r="AH3968" s="157">
        <v>0.26621999999999996</v>
      </c>
      <c r="AI3968" s="152">
        <f t="shared" si="3053"/>
        <v>31920</v>
      </c>
      <c r="AK3968" s="156" t="s">
        <v>691</v>
      </c>
      <c r="AL3968" s="574" t="s">
        <v>690</v>
      </c>
      <c r="AM3968" s="198">
        <f t="shared" si="3054"/>
        <v>7660.7999999999993</v>
      </c>
      <c r="AN3968" s="199">
        <f t="shared" si="3055"/>
        <v>46388</v>
      </c>
      <c r="AO3968" s="159" t="s">
        <v>692</v>
      </c>
      <c r="AP3968" s="781"/>
      <c r="AQ3968" s="782">
        <v>12071839</v>
      </c>
      <c r="AR3968" s="782">
        <v>12095778</v>
      </c>
      <c r="AS3968" s="782">
        <v>12095777</v>
      </c>
      <c r="AT3968" s="798" t="s">
        <v>3018</v>
      </c>
      <c r="AU3968" s="781"/>
      <c r="AV3968" s="782">
        <v>12098859</v>
      </c>
      <c r="AW3968" s="781"/>
      <c r="AX3968" s="781"/>
      <c r="AY3968" s="781"/>
      <c r="AZ3968" s="782"/>
      <c r="BA3968" s="781"/>
      <c r="BB3968" s="209">
        <v>23099860</v>
      </c>
    </row>
    <row r="3969" spans="1:54" ht="25" customHeight="1">
      <c r="A3969" s="142" t="s">
        <v>3156</v>
      </c>
      <c r="B3969" s="571">
        <v>46357</v>
      </c>
      <c r="C3969" s="235">
        <v>46357</v>
      </c>
      <c r="D3969" s="236">
        <f>IF(B3969="","",YEAR(B3969))</f>
        <v>2026</v>
      </c>
      <c r="E3969" s="235" t="e">
        <f>VLOOKUP($B3969,Week!$A$1:$C$1462,2,0)</f>
        <v>#N/A</v>
      </c>
      <c r="F3969" s="237" t="str">
        <f>IF(B3969="","",TEXT(B3969,"[$-409]mmm"))</f>
        <v>Dec</v>
      </c>
      <c r="G3969" s="756"/>
      <c r="H3969" s="236" t="s">
        <v>500</v>
      </c>
      <c r="I3969" s="236" t="s">
        <v>2772</v>
      </c>
      <c r="J3969" s="238" t="s">
        <v>285</v>
      </c>
      <c r="K3969" s="239" t="s">
        <v>593</v>
      </c>
      <c r="L3969" s="239" t="s">
        <v>2167</v>
      </c>
      <c r="M3969" s="238" t="s">
        <v>2556</v>
      </c>
      <c r="N3969" s="236" t="s">
        <v>2558</v>
      </c>
      <c r="O3969" s="236" t="s">
        <v>2555</v>
      </c>
      <c r="P3969" s="240">
        <v>12</v>
      </c>
      <c r="Q3969" s="240">
        <v>4</v>
      </c>
      <c r="R3969" s="241">
        <v>6.0000000000000001E-3</v>
      </c>
      <c r="S3969" s="236" t="s">
        <v>55</v>
      </c>
      <c r="T3969" s="236" t="s">
        <v>112</v>
      </c>
      <c r="U3969" s="236" t="s">
        <v>57</v>
      </c>
      <c r="V3969" s="242">
        <v>2500</v>
      </c>
      <c r="W3969" s="242"/>
      <c r="X3969" s="243"/>
      <c r="Y3969" s="244">
        <f t="shared" si="3047"/>
        <v>-2500</v>
      </c>
      <c r="Z3969" s="245">
        <f t="shared" si="3048"/>
        <v>30000</v>
      </c>
      <c r="AA3969" s="245">
        <f t="shared" si="3049"/>
        <v>120000</v>
      </c>
      <c r="AB3969" s="809">
        <v>7.4999999999999997E-3</v>
      </c>
      <c r="AC3969" s="242">
        <f t="shared" si="3050"/>
        <v>225</v>
      </c>
      <c r="AD3969" s="443"/>
      <c r="AE3969" s="210">
        <f t="shared" ref="AE3969" si="3058">SUM(Q3969*R3969*Z3969)/1000</f>
        <v>0.72</v>
      </c>
      <c r="AF3969" s="210">
        <f t="shared" si="3051"/>
        <v>1.3333333333333333</v>
      </c>
      <c r="AG3969" s="211">
        <f t="shared" si="3052"/>
        <v>0.23100000000000001</v>
      </c>
      <c r="AH3969" s="157">
        <f>(Z3969*AG3969)/1000</f>
        <v>6.93</v>
      </c>
      <c r="AI3969" s="152">
        <f t="shared" si="3053"/>
        <v>30000</v>
      </c>
      <c r="AK3969" s="156" t="s">
        <v>691</v>
      </c>
      <c r="AL3969" s="574" t="s">
        <v>690</v>
      </c>
      <c r="AM3969" s="198">
        <f t="shared" si="3054"/>
        <v>6930</v>
      </c>
      <c r="AN3969" s="199">
        <f t="shared" si="3055"/>
        <v>46357</v>
      </c>
      <c r="AO3969" s="159" t="s">
        <v>692</v>
      </c>
      <c r="AP3969" s="783"/>
      <c r="AQ3969" s="782">
        <v>12063755</v>
      </c>
      <c r="AR3969" s="782">
        <v>12061353</v>
      </c>
      <c r="AS3969" s="782">
        <v>12061354</v>
      </c>
      <c r="AT3969" s="782"/>
      <c r="AU3969" s="781"/>
      <c r="AV3969" s="782">
        <v>12096898</v>
      </c>
      <c r="AW3969" s="782"/>
      <c r="AX3969" s="782"/>
      <c r="AY3969" s="782">
        <v>12096895</v>
      </c>
      <c r="AZ3969" s="782">
        <v>12096896</v>
      </c>
      <c r="BA3969" s="782">
        <v>12096897</v>
      </c>
      <c r="BB3969" s="209">
        <v>23053185</v>
      </c>
    </row>
    <row r="3970" spans="1:54" ht="25" customHeight="1">
      <c r="A3970" s="142" t="s">
        <v>3156</v>
      </c>
      <c r="B3970" s="571">
        <v>46388</v>
      </c>
      <c r="C3970" s="235">
        <v>46388</v>
      </c>
      <c r="D3970" s="236">
        <f>IF(B3970="","",YEAR(B3970))</f>
        <v>2027</v>
      </c>
      <c r="E3970" s="235" t="e">
        <f>VLOOKUP($B3970,Week!$A$1:$C$1462,2,0)</f>
        <v>#N/A</v>
      </c>
      <c r="F3970" s="237" t="str">
        <f>IF(B3970="","",TEXT(B3970,"[$-409]mmm"))</f>
        <v>Jan</v>
      </c>
      <c r="G3970" s="756"/>
      <c r="H3970" s="236" t="s">
        <v>500</v>
      </c>
      <c r="I3970" s="236" t="s">
        <v>2772</v>
      </c>
      <c r="J3970" s="238" t="s">
        <v>285</v>
      </c>
      <c r="K3970" s="239" t="s">
        <v>593</v>
      </c>
      <c r="L3970" s="239" t="s">
        <v>2167</v>
      </c>
      <c r="M3970" s="238" t="s">
        <v>2556</v>
      </c>
      <c r="N3970" s="236" t="s">
        <v>2558</v>
      </c>
      <c r="O3970" s="236" t="s">
        <v>2555</v>
      </c>
      <c r="P3970" s="240">
        <v>12</v>
      </c>
      <c r="Q3970" s="240">
        <v>4</v>
      </c>
      <c r="R3970" s="241">
        <v>6.0000000000000001E-3</v>
      </c>
      <c r="S3970" s="236" t="s">
        <v>55</v>
      </c>
      <c r="T3970" s="236" t="s">
        <v>112</v>
      </c>
      <c r="U3970" s="236" t="s">
        <v>57</v>
      </c>
      <c r="V3970" s="242">
        <v>2500</v>
      </c>
      <c r="W3970" s="242"/>
      <c r="X3970" s="243"/>
      <c r="Y3970" s="244">
        <f t="shared" si="3047"/>
        <v>-2500</v>
      </c>
      <c r="Z3970" s="245">
        <f t="shared" si="3048"/>
        <v>30000</v>
      </c>
      <c r="AA3970" s="245">
        <f t="shared" si="3049"/>
        <v>120000</v>
      </c>
      <c r="AB3970" s="809">
        <v>7.4999999999999997E-3</v>
      </c>
      <c r="AC3970" s="242">
        <f t="shared" si="3050"/>
        <v>225</v>
      </c>
      <c r="AD3970" s="443"/>
      <c r="AE3970" s="210">
        <f t="shared" ref="AE3970" si="3059">SUM(Q3970*R3970*Z3970)/1000</f>
        <v>0.72</v>
      </c>
      <c r="AF3970" s="210">
        <f t="shared" si="3051"/>
        <v>1.3333333333333333</v>
      </c>
      <c r="AG3970" s="211">
        <f t="shared" si="3052"/>
        <v>0.23100000000000001</v>
      </c>
      <c r="AH3970" s="157">
        <f>(Z3970*AG3970)/1000</f>
        <v>6.93</v>
      </c>
      <c r="AI3970" s="152">
        <f t="shared" si="3053"/>
        <v>30000</v>
      </c>
      <c r="AK3970" s="156" t="s">
        <v>691</v>
      </c>
      <c r="AL3970" s="574" t="s">
        <v>690</v>
      </c>
      <c r="AM3970" s="198">
        <f t="shared" si="3054"/>
        <v>6930</v>
      </c>
      <c r="AN3970" s="199">
        <f t="shared" si="3055"/>
        <v>46388</v>
      </c>
      <c r="AO3970" s="159" t="s">
        <v>692</v>
      </c>
      <c r="AP3970" s="783"/>
      <c r="AQ3970" s="782">
        <v>12063755</v>
      </c>
      <c r="AR3970" s="782">
        <v>12061353</v>
      </c>
      <c r="AS3970" s="782">
        <v>12061354</v>
      </c>
      <c r="AT3970" s="782"/>
      <c r="AU3970" s="781"/>
      <c r="AV3970" s="782">
        <v>12096898</v>
      </c>
      <c r="AW3970" s="782"/>
      <c r="AX3970" s="782"/>
      <c r="AY3970" s="782">
        <v>12096895</v>
      </c>
      <c r="AZ3970" s="782">
        <v>12096896</v>
      </c>
      <c r="BA3970" s="782">
        <v>12096897</v>
      </c>
      <c r="BB3970" s="209">
        <v>23053185</v>
      </c>
    </row>
    <row r="3971" spans="1:54" ht="24.65" customHeight="1">
      <c r="A3971" s="142" t="s">
        <v>3156</v>
      </c>
      <c r="B3971" s="320">
        <v>46388</v>
      </c>
      <c r="C3971" s="321">
        <v>46388</v>
      </c>
      <c r="D3971" s="323">
        <f>IF(B3971="","",YEAR(B3971))</f>
        <v>2027</v>
      </c>
      <c r="E3971" s="321" t="e">
        <f>VLOOKUP($B3971,Week!$A$1:$C$1462,2,0)</f>
        <v>#N/A</v>
      </c>
      <c r="F3971" s="322" t="str">
        <f>IF(B3971="","",TEXT(B3971,"[$-409]mmm"))</f>
        <v>Jan</v>
      </c>
      <c r="G3971" s="942"/>
      <c r="H3971" s="943" t="s">
        <v>500</v>
      </c>
      <c r="I3971" s="943" t="s">
        <v>2772</v>
      </c>
      <c r="J3971" s="944" t="s">
        <v>679</v>
      </c>
      <c r="K3971" s="325" t="s">
        <v>51</v>
      </c>
      <c r="L3971" s="325" t="s">
        <v>2167</v>
      </c>
      <c r="M3971" s="324" t="s">
        <v>3082</v>
      </c>
      <c r="N3971" s="323" t="s">
        <v>3081</v>
      </c>
      <c r="O3971" s="323" t="s">
        <v>3080</v>
      </c>
      <c r="P3971" s="326">
        <v>36</v>
      </c>
      <c r="Q3971" s="326">
        <v>5</v>
      </c>
      <c r="R3971" s="327">
        <v>6.0000000000000001E-3</v>
      </c>
      <c r="S3971" s="323" t="s">
        <v>55</v>
      </c>
      <c r="T3971" s="323" t="s">
        <v>112</v>
      </c>
      <c r="U3971" s="323" t="s">
        <v>57</v>
      </c>
      <c r="V3971" s="328">
        <f>874</f>
        <v>874</v>
      </c>
      <c r="W3971" s="328"/>
      <c r="X3971" s="329"/>
      <c r="Y3971" s="330">
        <f t="shared" ref="Y3971" si="3060">(W3971+X3971)-V3971</f>
        <v>-874</v>
      </c>
      <c r="Z3971" s="331">
        <f t="shared" ref="Z3971" si="3061">IF(Y3971&lt;0,((V3971*P3971)-((W3971+X3971)*P3971)),0)</f>
        <v>31464</v>
      </c>
      <c r="AA3971" s="331">
        <f t="shared" ref="AA3971" si="3062">Q3971*Z3971</f>
        <v>157320</v>
      </c>
      <c r="AB3971" s="816">
        <v>7.4999999999999997E-3</v>
      </c>
      <c r="AC3971" s="328">
        <f t="shared" ref="AC3971" si="3063">Z3971*AB3971</f>
        <v>235.98</v>
      </c>
      <c r="AD3971" s="918" t="s">
        <v>3079</v>
      </c>
      <c r="AE3971" s="210">
        <f t="shared" ref="AE3971" si="3064">SUM(Q3971*R3971*Z3971)/1000</f>
        <v>0.94391999999999998</v>
      </c>
      <c r="AF3971" s="210">
        <f t="shared" ref="AF3971" si="3065">AE3971/0.54</f>
        <v>1.7479999999999998</v>
      </c>
      <c r="AG3971" s="211">
        <v>0.14499999999999999</v>
      </c>
      <c r="AH3971" s="157">
        <f>(Z3971*AG3971)/1000</f>
        <v>4.5622799999999994</v>
      </c>
      <c r="AI3971" s="152">
        <v>19800</v>
      </c>
      <c r="AK3971" s="156" t="s">
        <v>691</v>
      </c>
      <c r="AL3971" s="212" t="s">
        <v>690</v>
      </c>
      <c r="AM3971" s="198">
        <f t="shared" ref="AM3971" si="3066">AG3971*Z3971</f>
        <v>4562.28</v>
      </c>
      <c r="AN3971" s="199">
        <f t="shared" ref="AN3971" si="3067">B3971</f>
        <v>46388</v>
      </c>
      <c r="AO3971" s="159" t="s">
        <v>692</v>
      </c>
      <c r="AP3971" s="781"/>
      <c r="AQ3971" s="782">
        <v>12071839</v>
      </c>
      <c r="AR3971" s="782">
        <v>12042650</v>
      </c>
      <c r="AS3971" s="782">
        <v>12042649</v>
      </c>
      <c r="AT3971" s="782">
        <v>12099566</v>
      </c>
      <c r="AU3971" s="781"/>
      <c r="AV3971" s="782">
        <v>12099567</v>
      </c>
      <c r="AW3971" s="782"/>
      <c r="AX3971" s="782"/>
      <c r="AY3971" s="782"/>
      <c r="AZ3971" s="782"/>
      <c r="BA3971" s="781"/>
      <c r="BB3971" s="209">
        <v>23053185</v>
      </c>
    </row>
    <row r="3972" spans="1:54" ht="24.65" customHeight="1">
      <c r="A3972" s="142" t="s">
        <v>3156</v>
      </c>
      <c r="B3972" s="224">
        <v>46357</v>
      </c>
      <c r="C3972" s="224">
        <v>46357</v>
      </c>
      <c r="D3972" s="185">
        <f t="shared" ref="D3972:D3975" si="3068">IF(B3972="","",YEAR(B3972))</f>
        <v>2026</v>
      </c>
      <c r="E3972" s="225" t="e">
        <f>VLOOKUP($B3972,Week!$A$1:$C$1462,2,0)</f>
        <v>#N/A</v>
      </c>
      <c r="F3972" s="226" t="str">
        <f t="shared" ref="F3972:F3975" si="3069">IF(B3972="","",TEXT(B3972,"[$-409]mmm"))</f>
        <v>Dec</v>
      </c>
      <c r="G3972" s="225"/>
      <c r="H3972" s="225" t="s">
        <v>392</v>
      </c>
      <c r="I3972" s="225" t="s">
        <v>2772</v>
      </c>
      <c r="J3972" s="227" t="s">
        <v>393</v>
      </c>
      <c r="K3972" s="228" t="s">
        <v>176</v>
      </c>
      <c r="L3972" s="300" t="s">
        <v>2167</v>
      </c>
      <c r="M3972" s="228" t="s">
        <v>399</v>
      </c>
      <c r="N3972" s="225" t="s">
        <v>400</v>
      </c>
      <c r="O3972" s="225" t="s">
        <v>195</v>
      </c>
      <c r="P3972" s="229">
        <v>24</v>
      </c>
      <c r="Q3972" s="229">
        <v>5</v>
      </c>
      <c r="R3972" s="230">
        <v>8.0000000000000002E-3</v>
      </c>
      <c r="S3972" s="225" t="s">
        <v>40</v>
      </c>
      <c r="T3972" s="225" t="s">
        <v>56</v>
      </c>
      <c r="U3972" s="225" t="s">
        <v>57</v>
      </c>
      <c r="V3972" s="231">
        <f>22800/24</f>
        <v>950</v>
      </c>
      <c r="W3972" s="231"/>
      <c r="X3972" s="232"/>
      <c r="Y3972" s="233">
        <f t="shared" ref="Y3972" si="3070">(W3972+X3972)-V3972</f>
        <v>-950</v>
      </c>
      <c r="Z3972" s="234">
        <f t="shared" ref="Z3972" si="3071">IF(Y3972&lt;0,((V3972*P3972)-((W3972+X3972)*P3972)),0)</f>
        <v>22800</v>
      </c>
      <c r="AA3972" s="234">
        <f t="shared" ref="AA3972" si="3072">Q3972*Z3972</f>
        <v>114000</v>
      </c>
      <c r="AB3972" s="808">
        <v>7.4999999999999997E-3</v>
      </c>
      <c r="AC3972" s="231">
        <f t="shared" ref="AC3972" si="3073">Z3972*AB3972</f>
        <v>171</v>
      </c>
      <c r="AD3972" s="209"/>
      <c r="AE3972" s="210">
        <f t="shared" ref="AE3972" si="3074">SUM(Q3972*R3972*Z3972)/1000</f>
        <v>0.91200000000000003</v>
      </c>
      <c r="AF3972" s="210">
        <f t="shared" ref="AF3972" si="3075">AE3972/0.54</f>
        <v>1.6888888888888889</v>
      </c>
      <c r="AG3972" s="211">
        <f t="shared" ref="AG3972" si="3076">MID(O3972,1,3)/1000</f>
        <v>0.14499999999999999</v>
      </c>
      <c r="AH3972" s="157">
        <f t="shared" ref="AH3972" si="3077">(Z3972*AG3972)/1000</f>
        <v>3.3059999999999996</v>
      </c>
      <c r="AI3972" s="152">
        <f t="shared" ref="AI3972" si="3078">V3972*P3972</f>
        <v>22800</v>
      </c>
      <c r="AK3972" s="156" t="s">
        <v>691</v>
      </c>
      <c r="AL3972" s="574" t="s">
        <v>690</v>
      </c>
      <c r="AM3972" s="198">
        <f t="shared" ref="AM3972" si="3079">AG3972*Z3972</f>
        <v>3305.9999999999995</v>
      </c>
      <c r="AN3972" s="199">
        <f t="shared" ref="AN3972" si="3080">B3972</f>
        <v>46357</v>
      </c>
      <c r="AO3972" s="159" t="s">
        <v>692</v>
      </c>
      <c r="AP3972" s="783" t="s">
        <v>638</v>
      </c>
      <c r="AQ3972" s="783" t="s">
        <v>631</v>
      </c>
      <c r="AR3972" s="783" t="s">
        <v>632</v>
      </c>
      <c r="AS3972" s="783" t="s">
        <v>633</v>
      </c>
      <c r="AT3972" s="781"/>
      <c r="AU3972" s="782">
        <v>12026902</v>
      </c>
      <c r="AV3972" s="783" t="s">
        <v>2981</v>
      </c>
      <c r="AW3972" s="782">
        <v>12026904</v>
      </c>
      <c r="AX3972" s="781"/>
      <c r="AY3972" s="783" t="s">
        <v>2463</v>
      </c>
      <c r="AZ3972" s="783" t="s">
        <v>2464</v>
      </c>
      <c r="BA3972" s="783" t="s">
        <v>2465</v>
      </c>
      <c r="BB3972" s="209">
        <v>23053185</v>
      </c>
    </row>
    <row r="3973" spans="1:54" ht="24.65" customHeight="1">
      <c r="A3973" s="142" t="s">
        <v>3156</v>
      </c>
      <c r="B3973" s="224">
        <v>46388</v>
      </c>
      <c r="C3973" s="224">
        <v>46388</v>
      </c>
      <c r="D3973" s="185">
        <f t="shared" si="3068"/>
        <v>2027</v>
      </c>
      <c r="E3973" s="225" t="e">
        <f>VLOOKUP($B3973,Week!$A$1:$C$1462,2,0)</f>
        <v>#N/A</v>
      </c>
      <c r="F3973" s="226" t="str">
        <f t="shared" si="3069"/>
        <v>Jan</v>
      </c>
      <c r="G3973" s="225"/>
      <c r="H3973" s="225" t="s">
        <v>392</v>
      </c>
      <c r="I3973" s="225" t="s">
        <v>2772</v>
      </c>
      <c r="J3973" s="227" t="s">
        <v>393</v>
      </c>
      <c r="K3973" s="228" t="s">
        <v>176</v>
      </c>
      <c r="L3973" s="300" t="s">
        <v>2167</v>
      </c>
      <c r="M3973" s="228" t="s">
        <v>399</v>
      </c>
      <c r="N3973" s="225" t="s">
        <v>400</v>
      </c>
      <c r="O3973" s="225" t="s">
        <v>195</v>
      </c>
      <c r="P3973" s="229">
        <v>24</v>
      </c>
      <c r="Q3973" s="229">
        <v>5</v>
      </c>
      <c r="R3973" s="230">
        <v>8.0000000000000002E-3</v>
      </c>
      <c r="S3973" s="225" t="s">
        <v>40</v>
      </c>
      <c r="T3973" s="225" t="s">
        <v>56</v>
      </c>
      <c r="U3973" s="225" t="s">
        <v>57</v>
      </c>
      <c r="V3973" s="231">
        <v>876</v>
      </c>
      <c r="W3973" s="231"/>
      <c r="X3973" s="232"/>
      <c r="Y3973" s="233">
        <f t="shared" ref="Y3973:Y3974" si="3081">(W3973+X3973)-V3973</f>
        <v>-876</v>
      </c>
      <c r="Z3973" s="234">
        <f t="shared" ref="Z3973:Z3974" si="3082">IF(Y3973&lt;0,((V3973*P3973)-((W3973+X3973)*P3973)),0)</f>
        <v>21024</v>
      </c>
      <c r="AA3973" s="234">
        <f t="shared" ref="AA3973:AA3974" si="3083">Q3973*Z3973</f>
        <v>105120</v>
      </c>
      <c r="AB3973" s="808">
        <v>7.4999999999999997E-3</v>
      </c>
      <c r="AC3973" s="231">
        <f t="shared" ref="AC3973:AC3974" si="3084">Z3973*AB3973</f>
        <v>157.68</v>
      </c>
      <c r="AD3973" s="209"/>
      <c r="AE3973" s="210">
        <f t="shared" ref="AE3973:AE3974" si="3085">SUM(Q3973*R3973*Z3973)/1000</f>
        <v>0.84096000000000004</v>
      </c>
      <c r="AF3973" s="210">
        <f t="shared" ref="AF3973:AF3974" si="3086">AE3973/0.54</f>
        <v>1.5573333333333332</v>
      </c>
      <c r="AG3973" s="211">
        <f t="shared" ref="AG3973:AG3974" si="3087">MID(O3973,1,3)/1000</f>
        <v>0.14499999999999999</v>
      </c>
      <c r="AH3973" s="157">
        <f t="shared" ref="AH3973:AH3974" si="3088">(Z3973*AG3973)/1000</f>
        <v>3.0484799999999996</v>
      </c>
      <c r="AI3973" s="152">
        <f t="shared" ref="AI3973:AI3974" si="3089">V3973*P3973</f>
        <v>21024</v>
      </c>
      <c r="AK3973" s="156" t="s">
        <v>691</v>
      </c>
      <c r="AL3973" s="574" t="s">
        <v>690</v>
      </c>
      <c r="AM3973" s="198">
        <f t="shared" ref="AM3973:AM3974" si="3090">AG3973*Z3973</f>
        <v>3048.4799999999996</v>
      </c>
      <c r="AN3973" s="199">
        <f t="shared" ref="AN3973:AN3974" si="3091">B3973</f>
        <v>46388</v>
      </c>
      <c r="AO3973" s="159" t="s">
        <v>692</v>
      </c>
      <c r="AP3973" s="783" t="s">
        <v>638</v>
      </c>
      <c r="AQ3973" s="783" t="s">
        <v>631</v>
      </c>
      <c r="AR3973" s="783" t="s">
        <v>632</v>
      </c>
      <c r="AS3973" s="783" t="s">
        <v>633</v>
      </c>
      <c r="AT3973" s="781"/>
      <c r="AU3973" s="782">
        <v>12026902</v>
      </c>
      <c r="AV3973" s="783" t="s">
        <v>2981</v>
      </c>
      <c r="AW3973" s="782">
        <v>12026904</v>
      </c>
      <c r="AX3973" s="781"/>
      <c r="AY3973" s="783" t="s">
        <v>2463</v>
      </c>
      <c r="AZ3973" s="783" t="s">
        <v>2464</v>
      </c>
      <c r="BA3973" s="783" t="s">
        <v>2465</v>
      </c>
      <c r="BB3973" s="209">
        <v>23053185</v>
      </c>
    </row>
    <row r="3974" spans="1:54" ht="24.65" customHeight="1">
      <c r="A3974" s="142" t="s">
        <v>3156</v>
      </c>
      <c r="B3974" s="224">
        <v>46419</v>
      </c>
      <c r="C3974" s="224">
        <v>46419</v>
      </c>
      <c r="D3974" s="185">
        <f t="shared" si="3068"/>
        <v>2027</v>
      </c>
      <c r="E3974" s="225" t="e">
        <f>VLOOKUP($B3974,Week!$A$1:$C$1462,2,0)</f>
        <v>#N/A</v>
      </c>
      <c r="F3974" s="226" t="str">
        <f t="shared" si="3069"/>
        <v>Feb</v>
      </c>
      <c r="G3974" s="225"/>
      <c r="H3974" s="225" t="s">
        <v>392</v>
      </c>
      <c r="I3974" s="225" t="s">
        <v>2772</v>
      </c>
      <c r="J3974" s="227" t="s">
        <v>393</v>
      </c>
      <c r="K3974" s="228" t="s">
        <v>176</v>
      </c>
      <c r="L3974" s="300" t="s">
        <v>2167</v>
      </c>
      <c r="M3974" s="228" t="s">
        <v>399</v>
      </c>
      <c r="N3974" s="225" t="s">
        <v>400</v>
      </c>
      <c r="O3974" s="225" t="s">
        <v>195</v>
      </c>
      <c r="P3974" s="229">
        <v>24</v>
      </c>
      <c r="Q3974" s="229">
        <v>5</v>
      </c>
      <c r="R3974" s="230">
        <v>8.0000000000000002E-3</v>
      </c>
      <c r="S3974" s="225" t="s">
        <v>40</v>
      </c>
      <c r="T3974" s="225" t="s">
        <v>56</v>
      </c>
      <c r="U3974" s="225" t="s">
        <v>57</v>
      </c>
      <c r="V3974" s="231">
        <v>876</v>
      </c>
      <c r="W3974" s="231"/>
      <c r="X3974" s="232"/>
      <c r="Y3974" s="233">
        <f t="shared" si="3081"/>
        <v>-876</v>
      </c>
      <c r="Z3974" s="234">
        <f t="shared" si="3082"/>
        <v>21024</v>
      </c>
      <c r="AA3974" s="234">
        <f t="shared" si="3083"/>
        <v>105120</v>
      </c>
      <c r="AB3974" s="808">
        <v>7.4999999999999997E-3</v>
      </c>
      <c r="AC3974" s="231">
        <f t="shared" si="3084"/>
        <v>157.68</v>
      </c>
      <c r="AD3974" s="209"/>
      <c r="AE3974" s="210">
        <f t="shared" si="3085"/>
        <v>0.84096000000000004</v>
      </c>
      <c r="AF3974" s="210">
        <f t="shared" si="3086"/>
        <v>1.5573333333333332</v>
      </c>
      <c r="AG3974" s="211">
        <f t="shared" si="3087"/>
        <v>0.14499999999999999</v>
      </c>
      <c r="AH3974" s="157">
        <f t="shared" si="3088"/>
        <v>3.0484799999999996</v>
      </c>
      <c r="AI3974" s="152">
        <f t="shared" si="3089"/>
        <v>21024</v>
      </c>
      <c r="AK3974" s="156" t="s">
        <v>691</v>
      </c>
      <c r="AL3974" s="574" t="s">
        <v>690</v>
      </c>
      <c r="AM3974" s="198">
        <f t="shared" si="3090"/>
        <v>3048.4799999999996</v>
      </c>
      <c r="AN3974" s="199">
        <f t="shared" si="3091"/>
        <v>46419</v>
      </c>
      <c r="AO3974" s="159" t="s">
        <v>692</v>
      </c>
      <c r="AP3974" s="783" t="s">
        <v>638</v>
      </c>
      <c r="AQ3974" s="783" t="s">
        <v>631</v>
      </c>
      <c r="AR3974" s="783" t="s">
        <v>632</v>
      </c>
      <c r="AS3974" s="783" t="s">
        <v>633</v>
      </c>
      <c r="AT3974" s="781"/>
      <c r="AU3974" s="782">
        <v>12026902</v>
      </c>
      <c r="AV3974" s="783" t="s">
        <v>2981</v>
      </c>
      <c r="AW3974" s="782">
        <v>12026904</v>
      </c>
      <c r="AX3974" s="781"/>
      <c r="AY3974" s="783" t="s">
        <v>2463</v>
      </c>
      <c r="AZ3974" s="783" t="s">
        <v>2464</v>
      </c>
      <c r="BA3974" s="783" t="s">
        <v>2465</v>
      </c>
      <c r="BB3974" s="209">
        <v>23053185</v>
      </c>
    </row>
    <row r="3975" spans="1:54" ht="26.25" customHeight="1">
      <c r="A3975" s="142" t="s">
        <v>3156</v>
      </c>
      <c r="B3975" s="235">
        <v>46357</v>
      </c>
      <c r="C3975" s="235">
        <v>46357</v>
      </c>
      <c r="D3975" s="185">
        <f t="shared" si="3068"/>
        <v>2026</v>
      </c>
      <c r="E3975" s="236" t="e">
        <f>VLOOKUP($B3975,Week!$A$1:$C$1462,2,0)</f>
        <v>#N/A</v>
      </c>
      <c r="F3975" s="237" t="str">
        <f t="shared" si="3069"/>
        <v>Dec</v>
      </c>
      <c r="G3975" s="236"/>
      <c r="H3975" s="236" t="s">
        <v>392</v>
      </c>
      <c r="I3975" s="236" t="s">
        <v>2772</v>
      </c>
      <c r="J3975" s="238" t="s">
        <v>393</v>
      </c>
      <c r="K3975" s="239" t="s">
        <v>1643</v>
      </c>
      <c r="L3975" s="300" t="s">
        <v>2167</v>
      </c>
      <c r="M3975" s="238" t="s">
        <v>2385</v>
      </c>
      <c r="N3975" s="236" t="s">
        <v>407</v>
      </c>
      <c r="O3975" s="236" t="s">
        <v>206</v>
      </c>
      <c r="P3975" s="240">
        <v>24</v>
      </c>
      <c r="Q3975" s="240">
        <v>5</v>
      </c>
      <c r="R3975" s="241">
        <v>8.0000000000000002E-3</v>
      </c>
      <c r="S3975" s="236" t="s">
        <v>40</v>
      </c>
      <c r="T3975" s="236" t="s">
        <v>56</v>
      </c>
      <c r="U3975" s="640" t="s">
        <v>499</v>
      </c>
      <c r="V3975" s="242">
        <f>850</f>
        <v>850</v>
      </c>
      <c r="W3975" s="242"/>
      <c r="X3975" s="243"/>
      <c r="Y3975" s="244">
        <f t="shared" ref="Y3975" si="3092">(W3975+X3975)-V3975</f>
        <v>-850</v>
      </c>
      <c r="Z3975" s="245">
        <f t="shared" ref="Z3975" si="3093">IF(Y3975&lt;0,((V3975*P3975)-((W3975+X3975)*P3975)),0)</f>
        <v>20400</v>
      </c>
      <c r="AA3975" s="245">
        <f t="shared" ref="AA3975" si="3094">Q3975*Z3975</f>
        <v>102000</v>
      </c>
      <c r="AB3975" s="809">
        <v>1</v>
      </c>
      <c r="AC3975" s="242">
        <f t="shared" ref="AC3975" si="3095">Z3975*AB3975</f>
        <v>20400</v>
      </c>
      <c r="AD3975" s="209"/>
      <c r="AE3975" s="210">
        <f t="shared" ref="AE3975" si="3096">SUM(Q3975*R3975*Z3975)/1000</f>
        <v>0.81599999999999995</v>
      </c>
      <c r="AF3975" s="210">
        <f t="shared" ref="AF3975" si="3097">AE3975/0.54</f>
        <v>1.5111111111111108</v>
      </c>
      <c r="AG3975" s="211">
        <f t="shared" ref="AG3975" si="3098">MID(O3975,1,3)/1000</f>
        <v>0.115</v>
      </c>
      <c r="AH3975" s="157">
        <f t="shared" ref="AH3975" si="3099">(Z3975*AG3975)/1000</f>
        <v>2.3460000000000001</v>
      </c>
      <c r="AI3975" s="152">
        <f t="shared" ref="AI3975" si="3100">V3975*P3975</f>
        <v>20400</v>
      </c>
      <c r="AK3975" s="156" t="s">
        <v>691</v>
      </c>
      <c r="AL3975" s="574" t="s">
        <v>690</v>
      </c>
      <c r="AM3975" s="198">
        <f t="shared" ref="AM3975" si="3101">AG3975*Z3975</f>
        <v>2346</v>
      </c>
      <c r="AN3975" s="199">
        <f t="shared" ref="AN3975" si="3102">B3975</f>
        <v>46357</v>
      </c>
      <c r="AO3975" s="159" t="s">
        <v>692</v>
      </c>
      <c r="AP3975" s="783" t="s">
        <v>608</v>
      </c>
      <c r="AQ3975" s="782">
        <v>12071839</v>
      </c>
      <c r="AR3975" s="782">
        <v>12047514</v>
      </c>
      <c r="AS3975" s="782">
        <v>12047515</v>
      </c>
      <c r="AT3975" s="781"/>
      <c r="AU3975" s="782">
        <v>12026902</v>
      </c>
      <c r="AV3975" s="782">
        <v>12098047</v>
      </c>
      <c r="AW3975" s="782">
        <v>12026904</v>
      </c>
      <c r="AX3975" s="781"/>
      <c r="AY3975" s="783" t="s">
        <v>2403</v>
      </c>
      <c r="AZ3975" s="783" t="s">
        <v>2404</v>
      </c>
      <c r="BA3975" s="783" t="s">
        <v>2405</v>
      </c>
      <c r="BB3975" s="209">
        <v>23052995</v>
      </c>
    </row>
    <row r="3976" spans="1:54" ht="26.25" customHeight="1">
      <c r="A3976" s="142" t="s">
        <v>3156</v>
      </c>
      <c r="B3976" s="235">
        <v>46388</v>
      </c>
      <c r="C3976" s="235">
        <v>46388</v>
      </c>
      <c r="D3976" s="185">
        <f t="shared" ref="D3976:D3977" si="3103">IF(B3976="","",YEAR(B3976))</f>
        <v>2027</v>
      </c>
      <c r="E3976" s="236" t="e">
        <f>VLOOKUP($B3976,Week!$A$1:$C$1462,2,0)</f>
        <v>#N/A</v>
      </c>
      <c r="F3976" s="237" t="str">
        <f t="shared" ref="F3976:F3977" si="3104">IF(B3976="","",TEXT(B3976,"[$-409]mmm"))</f>
        <v>Jan</v>
      </c>
      <c r="G3976" s="236"/>
      <c r="H3976" s="236" t="s">
        <v>392</v>
      </c>
      <c r="I3976" s="236" t="s">
        <v>2772</v>
      </c>
      <c r="J3976" s="238" t="s">
        <v>393</v>
      </c>
      <c r="K3976" s="239" t="s">
        <v>1643</v>
      </c>
      <c r="L3976" s="300" t="s">
        <v>2167</v>
      </c>
      <c r="M3976" s="238" t="s">
        <v>2385</v>
      </c>
      <c r="N3976" s="236" t="s">
        <v>407</v>
      </c>
      <c r="O3976" s="236" t="s">
        <v>206</v>
      </c>
      <c r="P3976" s="240">
        <v>24</v>
      </c>
      <c r="Q3976" s="240">
        <v>5</v>
      </c>
      <c r="R3976" s="241">
        <v>8.0000000000000002E-3</v>
      </c>
      <c r="S3976" s="236" t="s">
        <v>40</v>
      </c>
      <c r="T3976" s="236" t="s">
        <v>56</v>
      </c>
      <c r="U3976" s="640" t="s">
        <v>499</v>
      </c>
      <c r="V3976" s="242">
        <v>468</v>
      </c>
      <c r="W3976" s="242"/>
      <c r="X3976" s="243"/>
      <c r="Y3976" s="244">
        <f t="shared" ref="Y3976:Y3977" si="3105">(W3976+X3976)-V3976</f>
        <v>-468</v>
      </c>
      <c r="Z3976" s="245">
        <f t="shared" ref="Z3976:Z3977" si="3106">IF(Y3976&lt;0,((V3976*P3976)-((W3976+X3976)*P3976)),0)</f>
        <v>11232</v>
      </c>
      <c r="AA3976" s="245">
        <f t="shared" ref="AA3976:AA3977" si="3107">Q3976*Z3976</f>
        <v>56160</v>
      </c>
      <c r="AB3976" s="809">
        <v>1</v>
      </c>
      <c r="AC3976" s="242">
        <f t="shared" ref="AC3976:AC3977" si="3108">Z3976*AB3976</f>
        <v>11232</v>
      </c>
      <c r="AD3976" s="209"/>
      <c r="AE3976" s="210">
        <f t="shared" ref="AE3976:AE3977" si="3109">SUM(Q3976*R3976*Z3976)/1000</f>
        <v>0.44928000000000001</v>
      </c>
      <c r="AF3976" s="210">
        <f t="shared" ref="AF3976:AF3977" si="3110">AE3976/0.54</f>
        <v>0.83199999999999996</v>
      </c>
      <c r="AG3976" s="211">
        <f t="shared" ref="AG3976:AG3977" si="3111">MID(O3976,1,3)/1000</f>
        <v>0.115</v>
      </c>
      <c r="AH3976" s="157">
        <f t="shared" ref="AH3976:AH3977" si="3112">(Z3976*AG3976)/1000</f>
        <v>1.2916800000000002</v>
      </c>
      <c r="AI3976" s="152">
        <f t="shared" ref="AI3976:AI3977" si="3113">V3976*P3976</f>
        <v>11232</v>
      </c>
      <c r="AK3976" s="156" t="s">
        <v>691</v>
      </c>
      <c r="AL3976" s="574" t="s">
        <v>690</v>
      </c>
      <c r="AM3976" s="198">
        <f t="shared" ref="AM3976:AM3977" si="3114">AG3976*Z3976</f>
        <v>1291.68</v>
      </c>
      <c r="AN3976" s="199">
        <f t="shared" ref="AN3976:AN3977" si="3115">B3976</f>
        <v>46388</v>
      </c>
      <c r="AO3976" s="159" t="s">
        <v>692</v>
      </c>
      <c r="AP3976" s="783" t="s">
        <v>608</v>
      </c>
      <c r="AQ3976" s="782">
        <v>12071839</v>
      </c>
      <c r="AR3976" s="782">
        <v>12047514</v>
      </c>
      <c r="AS3976" s="782">
        <v>12047515</v>
      </c>
      <c r="AT3976" s="781"/>
      <c r="AU3976" s="782">
        <v>12026902</v>
      </c>
      <c r="AV3976" s="782">
        <v>12098047</v>
      </c>
      <c r="AW3976" s="782">
        <v>12026904</v>
      </c>
      <c r="AX3976" s="781"/>
      <c r="AY3976" s="783" t="s">
        <v>2403</v>
      </c>
      <c r="AZ3976" s="783" t="s">
        <v>2404</v>
      </c>
      <c r="BA3976" s="783" t="s">
        <v>2405</v>
      </c>
      <c r="BB3976" s="209">
        <v>23052995</v>
      </c>
    </row>
    <row r="3977" spans="1:54" ht="26.25" customHeight="1">
      <c r="A3977" s="142" t="s">
        <v>3156</v>
      </c>
      <c r="B3977" s="235">
        <v>46419</v>
      </c>
      <c r="C3977" s="235">
        <v>46419</v>
      </c>
      <c r="D3977" s="185">
        <f t="shared" si="3103"/>
        <v>2027</v>
      </c>
      <c r="E3977" s="236" t="e">
        <f>VLOOKUP($B3977,Week!$A$1:$C$1462,2,0)</f>
        <v>#N/A</v>
      </c>
      <c r="F3977" s="237" t="str">
        <f t="shared" si="3104"/>
        <v>Feb</v>
      </c>
      <c r="G3977" s="236"/>
      <c r="H3977" s="236" t="s">
        <v>392</v>
      </c>
      <c r="I3977" s="236" t="s">
        <v>2772</v>
      </c>
      <c r="J3977" s="238" t="s">
        <v>393</v>
      </c>
      <c r="K3977" s="239" t="s">
        <v>1643</v>
      </c>
      <c r="L3977" s="300" t="s">
        <v>2167</v>
      </c>
      <c r="M3977" s="238" t="s">
        <v>2385</v>
      </c>
      <c r="N3977" s="236" t="s">
        <v>407</v>
      </c>
      <c r="O3977" s="236" t="s">
        <v>206</v>
      </c>
      <c r="P3977" s="240">
        <v>24</v>
      </c>
      <c r="Q3977" s="240">
        <v>5</v>
      </c>
      <c r="R3977" s="241">
        <v>8.0000000000000002E-3</v>
      </c>
      <c r="S3977" s="236" t="s">
        <v>40</v>
      </c>
      <c r="T3977" s="236" t="s">
        <v>56</v>
      </c>
      <c r="U3977" s="640" t="s">
        <v>499</v>
      </c>
      <c r="V3977" s="242">
        <v>882</v>
      </c>
      <c r="W3977" s="242"/>
      <c r="X3977" s="243"/>
      <c r="Y3977" s="244">
        <f t="shared" si="3105"/>
        <v>-882</v>
      </c>
      <c r="Z3977" s="245">
        <f t="shared" si="3106"/>
        <v>21168</v>
      </c>
      <c r="AA3977" s="245">
        <f t="shared" si="3107"/>
        <v>105840</v>
      </c>
      <c r="AB3977" s="809">
        <v>1</v>
      </c>
      <c r="AC3977" s="242">
        <f t="shared" si="3108"/>
        <v>21168</v>
      </c>
      <c r="AD3977" s="209"/>
      <c r="AE3977" s="210">
        <f t="shared" si="3109"/>
        <v>0.84672000000000003</v>
      </c>
      <c r="AF3977" s="210">
        <f t="shared" si="3110"/>
        <v>1.5679999999999998</v>
      </c>
      <c r="AG3977" s="211">
        <f t="shared" si="3111"/>
        <v>0.115</v>
      </c>
      <c r="AH3977" s="157">
        <f t="shared" si="3112"/>
        <v>2.43432</v>
      </c>
      <c r="AI3977" s="152">
        <f t="shared" si="3113"/>
        <v>21168</v>
      </c>
      <c r="AK3977" s="156" t="s">
        <v>691</v>
      </c>
      <c r="AL3977" s="574" t="s">
        <v>690</v>
      </c>
      <c r="AM3977" s="198">
        <f t="shared" si="3114"/>
        <v>2434.3200000000002</v>
      </c>
      <c r="AN3977" s="199">
        <f t="shared" si="3115"/>
        <v>46419</v>
      </c>
      <c r="AO3977" s="159" t="s">
        <v>692</v>
      </c>
      <c r="AP3977" s="783" t="s">
        <v>608</v>
      </c>
      <c r="AQ3977" s="782">
        <v>12071839</v>
      </c>
      <c r="AR3977" s="782">
        <v>12047514</v>
      </c>
      <c r="AS3977" s="782">
        <v>12047515</v>
      </c>
      <c r="AT3977" s="781"/>
      <c r="AU3977" s="782">
        <v>12026902</v>
      </c>
      <c r="AV3977" s="782">
        <v>12098047</v>
      </c>
      <c r="AW3977" s="782">
        <v>12026904</v>
      </c>
      <c r="AX3977" s="781"/>
      <c r="AY3977" s="783" t="s">
        <v>2403</v>
      </c>
      <c r="AZ3977" s="783" t="s">
        <v>2404</v>
      </c>
      <c r="BA3977" s="783" t="s">
        <v>2405</v>
      </c>
      <c r="BB3977" s="209">
        <v>23052995</v>
      </c>
    </row>
    <row r="3978" spans="1:54" ht="24.75" customHeight="1">
      <c r="A3978" s="142" t="s">
        <v>3156</v>
      </c>
      <c r="B3978" s="320">
        <v>46357</v>
      </c>
      <c r="C3978" s="321">
        <v>46357</v>
      </c>
      <c r="D3978" s="185">
        <f t="shared" ref="D3978:D3980" si="3116">IF(B3978="","",YEAR(B3978))</f>
        <v>2026</v>
      </c>
      <c r="E3978" s="321" t="e">
        <f>VLOOKUP($B3978,Week!$A$1:$C$1462,2,0)</f>
        <v>#N/A</v>
      </c>
      <c r="F3978" s="322" t="str">
        <f t="shared" ref="F3978:F3980" si="3117">IF(B3978="","",TEXT(B3978,"[$-409]mmm"))</f>
        <v>Dec</v>
      </c>
      <c r="G3978" s="323"/>
      <c r="H3978" s="323" t="s">
        <v>675</v>
      </c>
      <c r="I3978" s="323" t="s">
        <v>2772</v>
      </c>
      <c r="J3978" s="324" t="s">
        <v>2906</v>
      </c>
      <c r="K3978" s="325" t="s">
        <v>107</v>
      </c>
      <c r="L3978" s="300" t="s">
        <v>2167</v>
      </c>
      <c r="M3978" s="324" t="s">
        <v>313</v>
      </c>
      <c r="N3978" s="596" t="s">
        <v>710</v>
      </c>
      <c r="O3978" s="323" t="s">
        <v>592</v>
      </c>
      <c r="P3978" s="326">
        <v>8</v>
      </c>
      <c r="Q3978" s="326">
        <v>4</v>
      </c>
      <c r="R3978" s="327">
        <v>7.4999999999999997E-3</v>
      </c>
      <c r="S3978" s="323" t="s">
        <v>111</v>
      </c>
      <c r="T3978" s="323" t="s">
        <v>112</v>
      </c>
      <c r="U3978" s="323" t="s">
        <v>57</v>
      </c>
      <c r="V3978" s="328">
        <f>3200/8</f>
        <v>400</v>
      </c>
      <c r="W3978" s="328"/>
      <c r="X3978" s="329"/>
      <c r="Y3978" s="330">
        <f>(W3978+X3978)-V3978</f>
        <v>-400</v>
      </c>
      <c r="Z3978" s="331">
        <f>IF(Y3978&lt;0,((V3978*P3978)-((W3978+X3978)*P3978)),0)</f>
        <v>3200</v>
      </c>
      <c r="AA3978" s="331">
        <f>Q3978*Z3978</f>
        <v>12800</v>
      </c>
      <c r="AB3978" s="816">
        <v>7.4999999999999997E-3</v>
      </c>
      <c r="AC3978" s="328">
        <f>Z3978*AB3978</f>
        <v>24</v>
      </c>
      <c r="AD3978" s="443"/>
      <c r="AE3978" s="210">
        <f>SUM(Q3978*R3978*Z3978)/1000</f>
        <v>9.6000000000000002E-2</v>
      </c>
      <c r="AF3978" s="210">
        <f t="shared" ref="AF3978:AF3981" si="3118">AE3978/0.54</f>
        <v>0.17777777777777776</v>
      </c>
      <c r="AG3978" s="211">
        <f>MID(O3978,1,3)/1000</f>
        <v>0.30499999999999999</v>
      </c>
      <c r="AH3978" s="157">
        <f t="shared" ref="AH3978" si="3119">(Z3978*AG3978)/1000</f>
        <v>0.97599999999999998</v>
      </c>
      <c r="AI3978" s="152">
        <f>V3978*P3978</f>
        <v>3200</v>
      </c>
      <c r="AK3978" s="156" t="s">
        <v>691</v>
      </c>
      <c r="AL3978" s="212" t="s">
        <v>690</v>
      </c>
      <c r="AM3978" s="198">
        <f>AG3978*Z3978</f>
        <v>976</v>
      </c>
      <c r="AN3978" s="199">
        <f>B3978</f>
        <v>46357</v>
      </c>
      <c r="AO3978" s="159" t="s">
        <v>692</v>
      </c>
      <c r="AP3978" s="783" t="s">
        <v>643</v>
      </c>
      <c r="AQ3978" s="782">
        <v>12063755</v>
      </c>
      <c r="AR3978" s="782">
        <v>12061353</v>
      </c>
      <c r="AS3978" s="782">
        <v>12061354</v>
      </c>
      <c r="AT3978" s="782">
        <v>12089987</v>
      </c>
      <c r="AU3978" s="781"/>
      <c r="AV3978" s="782">
        <v>12089986</v>
      </c>
      <c r="AW3978" s="782"/>
      <c r="AX3978" s="782"/>
      <c r="AY3978" s="781" t="s">
        <v>2713</v>
      </c>
      <c r="AZ3978" s="781" t="s">
        <v>2714</v>
      </c>
      <c r="BA3978" s="781"/>
      <c r="BB3978" s="209">
        <v>23053185</v>
      </c>
    </row>
    <row r="3979" spans="1:54" ht="24.75" customHeight="1">
      <c r="A3979" s="142" t="s">
        <v>3156</v>
      </c>
      <c r="B3979" s="320">
        <v>46419</v>
      </c>
      <c r="C3979" s="321">
        <v>46419</v>
      </c>
      <c r="D3979" s="185">
        <f t="shared" si="3116"/>
        <v>2027</v>
      </c>
      <c r="E3979" s="321" t="e">
        <f>VLOOKUP($B3979,Week!$A$1:$C$1462,2,0)</f>
        <v>#N/A</v>
      </c>
      <c r="F3979" s="322" t="str">
        <f t="shared" si="3117"/>
        <v>Feb</v>
      </c>
      <c r="G3979" s="323"/>
      <c r="H3979" s="323" t="s">
        <v>675</v>
      </c>
      <c r="I3979" s="323" t="s">
        <v>2772</v>
      </c>
      <c r="J3979" s="324" t="s">
        <v>2906</v>
      </c>
      <c r="K3979" s="325" t="s">
        <v>107</v>
      </c>
      <c r="L3979" s="300" t="s">
        <v>2167</v>
      </c>
      <c r="M3979" s="324" t="s">
        <v>313</v>
      </c>
      <c r="N3979" s="596" t="s">
        <v>710</v>
      </c>
      <c r="O3979" s="323" t="s">
        <v>592</v>
      </c>
      <c r="P3979" s="326">
        <v>8</v>
      </c>
      <c r="Q3979" s="326">
        <v>4</v>
      </c>
      <c r="R3979" s="327">
        <v>7.4999999999999997E-3</v>
      </c>
      <c r="S3979" s="323" t="s">
        <v>111</v>
      </c>
      <c r="T3979" s="323" t="s">
        <v>112</v>
      </c>
      <c r="U3979" s="323" t="s">
        <v>57</v>
      </c>
      <c r="V3979" s="328">
        <v>1456</v>
      </c>
      <c r="W3979" s="328"/>
      <c r="X3979" s="329"/>
      <c r="Y3979" s="330">
        <f>(W3979+X3979)-V3979</f>
        <v>-1456</v>
      </c>
      <c r="Z3979" s="331">
        <f>IF(Y3979&lt;0,((V3979*P3979)-((W3979+X3979)*P3979)),0)</f>
        <v>11648</v>
      </c>
      <c r="AA3979" s="331">
        <f>Q3979*Z3979</f>
        <v>46592</v>
      </c>
      <c r="AB3979" s="816">
        <v>7.4999999999999997E-3</v>
      </c>
      <c r="AC3979" s="328">
        <f>Z3979*AB3979</f>
        <v>87.36</v>
      </c>
      <c r="AD3979" s="443"/>
      <c r="AE3979" s="210">
        <f>SUM(Q3979*R3979*Z3979)/1000</f>
        <v>0.34943999999999997</v>
      </c>
      <c r="AF3979" s="210">
        <f t="shared" ref="AF3979" si="3120">AE3979/0.54</f>
        <v>0.64711111111111097</v>
      </c>
      <c r="AG3979" s="211">
        <f>MID(O3979,1,3)/1000</f>
        <v>0.30499999999999999</v>
      </c>
      <c r="AH3979" s="157">
        <f t="shared" ref="AH3979" si="3121">(Z3979*AG3979)/1000</f>
        <v>3.5526399999999998</v>
      </c>
      <c r="AI3979" s="152">
        <f>V3979*P3979</f>
        <v>11648</v>
      </c>
      <c r="AK3979" s="156" t="s">
        <v>691</v>
      </c>
      <c r="AL3979" s="212" t="s">
        <v>690</v>
      </c>
      <c r="AM3979" s="198">
        <f>AG3979*Z3979</f>
        <v>3552.64</v>
      </c>
      <c r="AN3979" s="199">
        <f>B3979</f>
        <v>46419</v>
      </c>
      <c r="AO3979" s="159" t="s">
        <v>692</v>
      </c>
      <c r="AP3979" s="783" t="s">
        <v>643</v>
      </c>
      <c r="AQ3979" s="782">
        <v>12063755</v>
      </c>
      <c r="AR3979" s="782">
        <v>12061353</v>
      </c>
      <c r="AS3979" s="782">
        <v>12061354</v>
      </c>
      <c r="AT3979" s="782">
        <v>12089987</v>
      </c>
      <c r="AU3979" s="781"/>
      <c r="AV3979" s="782">
        <v>12089986</v>
      </c>
      <c r="AW3979" s="782"/>
      <c r="AX3979" s="782"/>
      <c r="AY3979" s="781" t="s">
        <v>2713</v>
      </c>
      <c r="AZ3979" s="781" t="s">
        <v>2714</v>
      </c>
      <c r="BA3979" s="781"/>
      <c r="BB3979" s="209">
        <v>23053185</v>
      </c>
    </row>
    <row r="3980" spans="1:54" ht="25" customHeight="1">
      <c r="A3980" s="142" t="s">
        <v>3156</v>
      </c>
      <c r="B3980" s="332">
        <v>46357</v>
      </c>
      <c r="C3980" s="333">
        <v>46357</v>
      </c>
      <c r="D3980" s="185">
        <f t="shared" si="3116"/>
        <v>2026</v>
      </c>
      <c r="E3980" s="333" t="e">
        <f>VLOOKUP($B3980,Week!$A$1:$C$1462,2,0)</f>
        <v>#N/A</v>
      </c>
      <c r="F3980" s="334" t="str">
        <f t="shared" si="3117"/>
        <v>Dec</v>
      </c>
      <c r="G3980" s="335"/>
      <c r="H3980" s="335" t="s">
        <v>675</v>
      </c>
      <c r="I3980" s="335" t="s">
        <v>2772</v>
      </c>
      <c r="J3980" s="336" t="s">
        <v>2906</v>
      </c>
      <c r="K3980" s="337" t="s">
        <v>1652</v>
      </c>
      <c r="L3980" s="300" t="s">
        <v>2167</v>
      </c>
      <c r="M3980" s="336" t="s">
        <v>682</v>
      </c>
      <c r="N3980" s="530" t="s">
        <v>712</v>
      </c>
      <c r="O3980" s="335" t="s">
        <v>602</v>
      </c>
      <c r="P3980" s="338">
        <v>8</v>
      </c>
      <c r="Q3980" s="338">
        <v>3</v>
      </c>
      <c r="R3980" s="339">
        <v>6.0000000000000001E-3</v>
      </c>
      <c r="S3980" s="335" t="s">
        <v>55</v>
      </c>
      <c r="T3980" s="335" t="s">
        <v>112</v>
      </c>
      <c r="U3980" s="340" t="s">
        <v>724</v>
      </c>
      <c r="V3980" s="341">
        <f>2592/8</f>
        <v>324</v>
      </c>
      <c r="W3980" s="341"/>
      <c r="X3980" s="342"/>
      <c r="Y3980" s="343">
        <f>(W3980+X3980)-V3980</f>
        <v>-324</v>
      </c>
      <c r="Z3980" s="344">
        <f>IF(Y3980&lt;0,((V3980*P3980)-((W3980+X3980)*P3980)),0)</f>
        <v>2592</v>
      </c>
      <c r="AA3980" s="344">
        <f>Q3980*Z3980</f>
        <v>7776</v>
      </c>
      <c r="AB3980" s="817">
        <v>5.8823E-2</v>
      </c>
      <c r="AC3980" s="341">
        <f>Z3980*AB3980</f>
        <v>152.46921599999999</v>
      </c>
      <c r="AD3980" s="515"/>
      <c r="AE3980" s="210">
        <f>SUM(Q3980*R3980*Z3980)/1000</f>
        <v>4.6656000000000003E-2</v>
      </c>
      <c r="AF3980" s="210">
        <f t="shared" si="3118"/>
        <v>8.6400000000000005E-2</v>
      </c>
      <c r="AG3980" s="211">
        <f>MID(O3980,1,3)/1000</f>
        <v>0.30199999999999999</v>
      </c>
      <c r="AH3980" s="157">
        <v>0.26621999999999996</v>
      </c>
      <c r="AI3980" s="152">
        <f>V3980*P3980</f>
        <v>2592</v>
      </c>
      <c r="AK3980" s="156" t="s">
        <v>691</v>
      </c>
      <c r="AL3980" s="574" t="s">
        <v>690</v>
      </c>
      <c r="AM3980" s="198">
        <f>AG3980*Z3980</f>
        <v>782.78399999999999</v>
      </c>
      <c r="AN3980" s="199">
        <f>B3980</f>
        <v>46357</v>
      </c>
      <c r="AO3980" s="159" t="s">
        <v>692</v>
      </c>
      <c r="AP3980" s="781" t="s">
        <v>642</v>
      </c>
      <c r="AQ3980" s="782">
        <v>12063755</v>
      </c>
      <c r="AR3980" s="782">
        <v>12061353</v>
      </c>
      <c r="AS3980" s="782">
        <v>12061354</v>
      </c>
      <c r="AT3980" s="782">
        <v>12090030</v>
      </c>
      <c r="AU3980" s="781"/>
      <c r="AV3980" s="782">
        <v>12089992</v>
      </c>
      <c r="AW3980" s="781"/>
      <c r="AX3980" s="781"/>
      <c r="AY3980" s="781"/>
      <c r="AZ3980" s="782"/>
      <c r="BA3980" s="781"/>
      <c r="BB3980" s="209">
        <v>23099860</v>
      </c>
    </row>
    <row r="3981" spans="1:54" ht="25" customHeight="1">
      <c r="A3981" s="142" t="s">
        <v>3156</v>
      </c>
      <c r="B3981" s="332">
        <v>46419</v>
      </c>
      <c r="C3981" s="333">
        <v>46419</v>
      </c>
      <c r="D3981" s="185">
        <f t="shared" ref="D3981" si="3122">IF(B3981="","",YEAR(B3981))</f>
        <v>2027</v>
      </c>
      <c r="E3981" s="333" t="e">
        <f>VLOOKUP($B3981,Week!$A$1:$C$1462,2,0)</f>
        <v>#N/A</v>
      </c>
      <c r="F3981" s="334" t="str">
        <f t="shared" ref="F3981" si="3123">IF(B3981="","",TEXT(B3981,"[$-409]mmm"))</f>
        <v>Feb</v>
      </c>
      <c r="G3981" s="335"/>
      <c r="H3981" s="335" t="s">
        <v>675</v>
      </c>
      <c r="I3981" s="335" t="s">
        <v>2772</v>
      </c>
      <c r="J3981" s="336" t="s">
        <v>2906</v>
      </c>
      <c r="K3981" s="337" t="s">
        <v>1649</v>
      </c>
      <c r="L3981" s="300" t="s">
        <v>2167</v>
      </c>
      <c r="M3981" s="336" t="s">
        <v>603</v>
      </c>
      <c r="N3981" s="530" t="s">
        <v>711</v>
      </c>
      <c r="O3981" s="335" t="s">
        <v>602</v>
      </c>
      <c r="P3981" s="338">
        <v>8</v>
      </c>
      <c r="Q3981" s="338">
        <v>3</v>
      </c>
      <c r="R3981" s="339">
        <v>6.0000000000000001E-3</v>
      </c>
      <c r="S3981" s="335" t="s">
        <v>55</v>
      </c>
      <c r="T3981" s="335" t="s">
        <v>112</v>
      </c>
      <c r="U3981" s="340" t="s">
        <v>1894</v>
      </c>
      <c r="V3981" s="341">
        <v>80</v>
      </c>
      <c r="W3981" s="341"/>
      <c r="X3981" s="342"/>
      <c r="Y3981" s="343">
        <f t="shared" ref="Y3981" si="3124">(W3981+X3981)-V3981</f>
        <v>-80</v>
      </c>
      <c r="Z3981" s="344">
        <f t="shared" ref="Z3981" si="3125">IF(Y3981&lt;0,((V3981*P3981)-((W3981+X3981)*P3981)),0)</f>
        <v>640</v>
      </c>
      <c r="AA3981" s="344">
        <f t="shared" ref="AA3981" si="3126">Q3981*Z3981</f>
        <v>1920</v>
      </c>
      <c r="AB3981" s="817">
        <v>3.8699999999999998E-2</v>
      </c>
      <c r="AC3981" s="341">
        <f t="shared" ref="AC3981" si="3127">Z3981*AB3981</f>
        <v>24.768000000000001</v>
      </c>
      <c r="AD3981" s="443"/>
      <c r="AE3981" s="210">
        <f t="shared" ref="AE3981" si="3128">SUM(Q3981*R3981*Z3981)/1000</f>
        <v>1.1520000000000001E-2</v>
      </c>
      <c r="AF3981" s="210">
        <f t="shared" si="3118"/>
        <v>2.1333333333333333E-2</v>
      </c>
      <c r="AG3981" s="211">
        <f t="shared" ref="AG3981" si="3129">MID(O3981,1,3)/1000</f>
        <v>0.30199999999999999</v>
      </c>
      <c r="AH3981" s="157">
        <v>0.26621999999999996</v>
      </c>
      <c r="AI3981" s="152">
        <f t="shared" ref="AI3981" si="3130">V3981*P3981</f>
        <v>640</v>
      </c>
      <c r="AK3981" s="156" t="s">
        <v>691</v>
      </c>
      <c r="AL3981" s="212" t="s">
        <v>690</v>
      </c>
      <c r="AM3981" s="198">
        <f t="shared" ref="AM3981" si="3131">AG3981*Z3981</f>
        <v>193.28</v>
      </c>
      <c r="AN3981" s="199">
        <f t="shared" ref="AN3981" si="3132">B3981</f>
        <v>46419</v>
      </c>
      <c r="AO3981" s="159" t="s">
        <v>692</v>
      </c>
      <c r="AP3981" s="781" t="s">
        <v>642</v>
      </c>
      <c r="AQ3981" s="782">
        <v>12063755</v>
      </c>
      <c r="AR3981" s="782">
        <v>12061353</v>
      </c>
      <c r="AS3981" s="782">
        <v>12061354</v>
      </c>
      <c r="AT3981" s="782">
        <v>12089988</v>
      </c>
      <c r="AU3981" s="781"/>
      <c r="AV3981" s="782">
        <v>12089985</v>
      </c>
      <c r="AW3981" s="781"/>
      <c r="AX3981" s="781"/>
      <c r="AY3981" s="781" t="s">
        <v>2713</v>
      </c>
      <c r="AZ3981" s="781" t="s">
        <v>2714</v>
      </c>
      <c r="BA3981" s="781"/>
      <c r="BB3981" s="209">
        <v>23105470</v>
      </c>
    </row>
    <row r="3982" spans="1:54" ht="25" customHeight="1">
      <c r="A3982" s="142" t="s">
        <v>3156</v>
      </c>
      <c r="B3982" s="583">
        <v>46357</v>
      </c>
      <c r="C3982" s="583">
        <v>46357</v>
      </c>
      <c r="D3982" s="185">
        <f>IF(B3982="","",YEAR(B3982))</f>
        <v>2026</v>
      </c>
      <c r="E3982" s="584" t="e">
        <f>VLOOKUP($B3982,Week!$A$1:$C$1462,2,0)</f>
        <v>#N/A</v>
      </c>
      <c r="F3982" s="585" t="str">
        <f>IF(B3982="","",TEXT(B3982,"[$-409]mmm"))</f>
        <v>Dec</v>
      </c>
      <c r="G3982" s="586"/>
      <c r="H3982" s="586" t="s">
        <v>134</v>
      </c>
      <c r="I3982" s="586" t="s">
        <v>2772</v>
      </c>
      <c r="J3982" s="587" t="s">
        <v>2932</v>
      </c>
      <c r="K3982" s="588" t="s">
        <v>2945</v>
      </c>
      <c r="L3982" s="300" t="s">
        <v>2167</v>
      </c>
      <c r="M3982" s="587" t="s">
        <v>1636</v>
      </c>
      <c r="N3982" s="586" t="s">
        <v>1634</v>
      </c>
      <c r="O3982" s="586" t="s">
        <v>1635</v>
      </c>
      <c r="P3982" s="589">
        <v>24</v>
      </c>
      <c r="Q3982" s="589">
        <v>3</v>
      </c>
      <c r="R3982" s="590">
        <v>8.0000000000000002E-3</v>
      </c>
      <c r="S3982" s="586" t="s">
        <v>40</v>
      </c>
      <c r="T3982" s="586" t="s">
        <v>112</v>
      </c>
      <c r="U3982" s="591" t="s">
        <v>1633</v>
      </c>
      <c r="V3982" s="592">
        <f>2880/24</f>
        <v>120</v>
      </c>
      <c r="W3982" s="592"/>
      <c r="X3982" s="593"/>
      <c r="Y3982" s="594">
        <f t="shared" ref="Y3982:Y3991" si="3133">(W3982+X3982)-V3982</f>
        <v>-120</v>
      </c>
      <c r="Z3982" s="595">
        <f t="shared" ref="Z3982:Z3991" si="3134">IF(Y3982&lt;0,((V3982*P3982)-((W3982+X3982)*P3982)),0)</f>
        <v>2880</v>
      </c>
      <c r="AA3982" s="595">
        <f t="shared" ref="AA3982" si="3135">Q3982*Z3982</f>
        <v>8640</v>
      </c>
      <c r="AB3982" s="835">
        <v>6.5000000000000002E-2</v>
      </c>
      <c r="AC3982" s="592">
        <f t="shared" ref="AC3982:AC3991" si="3136">Z3982*AB3982</f>
        <v>187.20000000000002</v>
      </c>
      <c r="AD3982" s="443"/>
      <c r="AE3982" s="210">
        <f t="shared" ref="AE3982:AE3987" si="3137">SUM(Q3982*R3982*Z3982)/1000</f>
        <v>6.9120000000000001E-2</v>
      </c>
      <c r="AF3982" s="210">
        <f t="shared" ref="AF3982:AF3991" si="3138">AE3982/0.54</f>
        <v>0.128</v>
      </c>
      <c r="AG3982" s="211">
        <f>MID(O3982,1,3)/1000</f>
        <v>0.25</v>
      </c>
      <c r="AH3982" s="157">
        <f t="shared" ref="AH3982:AH3987" si="3139">(Z3982*AG3982)/1000</f>
        <v>0.72</v>
      </c>
      <c r="AI3982" s="152">
        <f>V3982*P3982</f>
        <v>2880</v>
      </c>
      <c r="AK3982" s="156" t="s">
        <v>691</v>
      </c>
      <c r="AL3982" s="212" t="s">
        <v>690</v>
      </c>
      <c r="AM3982" s="198">
        <f t="shared" ref="AM3982" si="3140">AG3982*Z3982</f>
        <v>720</v>
      </c>
      <c r="AN3982" s="199">
        <f t="shared" ref="AN3982" si="3141">B3982</f>
        <v>46357</v>
      </c>
      <c r="AO3982" s="159" t="s">
        <v>692</v>
      </c>
      <c r="AP3982" s="781"/>
      <c r="AQ3982" s="782">
        <v>12071839</v>
      </c>
      <c r="AR3982" s="782">
        <v>12042650</v>
      </c>
      <c r="AS3982" s="782">
        <v>12042649</v>
      </c>
      <c r="AT3982" s="782"/>
      <c r="AU3982" s="783" t="s">
        <v>2156</v>
      </c>
      <c r="AV3982" s="782">
        <v>12091944</v>
      </c>
      <c r="AW3982" s="782" t="s">
        <v>2157</v>
      </c>
      <c r="AX3982" s="782"/>
      <c r="AY3982" s="782">
        <v>12094273</v>
      </c>
      <c r="AZ3982" s="782">
        <v>12094274</v>
      </c>
      <c r="BA3982" s="782">
        <v>12094275</v>
      </c>
      <c r="BB3982" s="209">
        <v>23105543</v>
      </c>
    </row>
    <row r="3983" spans="1:54" ht="25" customHeight="1">
      <c r="A3983" s="142" t="s">
        <v>3156</v>
      </c>
      <c r="B3983" s="583">
        <v>46388</v>
      </c>
      <c r="C3983" s="583">
        <v>46388</v>
      </c>
      <c r="D3983" s="185">
        <f t="shared" ref="D3983" si="3142">IF(B3983="","",YEAR(B3983))</f>
        <v>2027</v>
      </c>
      <c r="E3983" s="584" t="e">
        <f>VLOOKUP($B3983,Week!$A$1:$C$1462,2,0)</f>
        <v>#N/A</v>
      </c>
      <c r="F3983" s="585" t="str">
        <f t="shared" ref="F3983" si="3143">IF(B3983="","",TEXT(B3983,"[$-409]mmm"))</f>
        <v>Jan</v>
      </c>
      <c r="G3983" s="586"/>
      <c r="H3983" s="586" t="s">
        <v>134</v>
      </c>
      <c r="I3983" s="586" t="s">
        <v>2772</v>
      </c>
      <c r="J3983" s="587" t="s">
        <v>2932</v>
      </c>
      <c r="K3983" s="588" t="s">
        <v>2945</v>
      </c>
      <c r="L3983" s="300" t="s">
        <v>2167</v>
      </c>
      <c r="M3983" s="587" t="s">
        <v>1636</v>
      </c>
      <c r="N3983" s="586" t="s">
        <v>1634</v>
      </c>
      <c r="O3983" s="586" t="s">
        <v>1635</v>
      </c>
      <c r="P3983" s="589">
        <v>24</v>
      </c>
      <c r="Q3983" s="589">
        <v>3</v>
      </c>
      <c r="R3983" s="590">
        <v>8.0000000000000002E-3</v>
      </c>
      <c r="S3983" s="586" t="s">
        <v>40</v>
      </c>
      <c r="T3983" s="586" t="s">
        <v>112</v>
      </c>
      <c r="U3983" s="591" t="s">
        <v>1633</v>
      </c>
      <c r="V3983" s="592">
        <v>420</v>
      </c>
      <c r="W3983" s="592"/>
      <c r="X3983" s="593"/>
      <c r="Y3983" s="594">
        <f t="shared" ref="Y3983" si="3144">(W3983+X3983)-V3983</f>
        <v>-420</v>
      </c>
      <c r="Z3983" s="595">
        <f t="shared" ref="Z3983" si="3145">IF(Y3983&lt;0,((V3983*P3983)-((W3983+X3983)*P3983)),0)</f>
        <v>10080</v>
      </c>
      <c r="AA3983" s="595">
        <f t="shared" ref="AA3983" si="3146">Q3983*Z3983</f>
        <v>30240</v>
      </c>
      <c r="AB3983" s="835">
        <v>6.5000000000000002E-2</v>
      </c>
      <c r="AC3983" s="592">
        <f t="shared" ref="AC3983" si="3147">Z3983*AB3983</f>
        <v>655.20000000000005</v>
      </c>
      <c r="AD3983" s="443"/>
      <c r="AE3983" s="210">
        <f t="shared" si="3137"/>
        <v>0.24192000000000002</v>
      </c>
      <c r="AF3983" s="210">
        <f t="shared" ref="AF3983" si="3148">AE3983/0.54</f>
        <v>0.44800000000000001</v>
      </c>
      <c r="AG3983" s="211">
        <f>MID(O3983,1,3)/1000</f>
        <v>0.25</v>
      </c>
      <c r="AH3983" s="157">
        <f t="shared" si="3139"/>
        <v>2.52</v>
      </c>
      <c r="AI3983" s="152">
        <f>V3983*P3983</f>
        <v>10080</v>
      </c>
      <c r="AK3983" s="156" t="s">
        <v>691</v>
      </c>
      <c r="AL3983" s="212" t="s">
        <v>690</v>
      </c>
      <c r="AM3983" s="198">
        <f t="shared" ref="AM3983" si="3149">AG3983*Z3983</f>
        <v>2520</v>
      </c>
      <c r="AN3983" s="199">
        <f t="shared" ref="AN3983" si="3150">B3983</f>
        <v>46388</v>
      </c>
      <c r="AO3983" s="159" t="s">
        <v>692</v>
      </c>
      <c r="AP3983" s="781"/>
      <c r="AQ3983" s="782">
        <v>12071839</v>
      </c>
      <c r="AR3983" s="782">
        <v>12042650</v>
      </c>
      <c r="AS3983" s="782">
        <v>12042649</v>
      </c>
      <c r="AT3983" s="782"/>
      <c r="AU3983" s="783" t="s">
        <v>2156</v>
      </c>
      <c r="AV3983" s="782">
        <v>12091944</v>
      </c>
      <c r="AW3983" s="782" t="s">
        <v>2157</v>
      </c>
      <c r="AX3983" s="782"/>
      <c r="AY3983" s="782">
        <v>12094273</v>
      </c>
      <c r="AZ3983" s="782">
        <v>12094274</v>
      </c>
      <c r="BA3983" s="782">
        <v>12094275</v>
      </c>
      <c r="BB3983" s="209">
        <v>23105543</v>
      </c>
    </row>
    <row r="3984" spans="1:54" ht="25" customHeight="1">
      <c r="A3984" s="142" t="s">
        <v>3156</v>
      </c>
      <c r="B3984" s="213">
        <v>46388</v>
      </c>
      <c r="C3984" s="214">
        <v>46388</v>
      </c>
      <c r="D3984" s="185">
        <f t="shared" ref="D3984:D3988" si="3151">IF(B3984="","",YEAR(B3984))</f>
        <v>2027</v>
      </c>
      <c r="E3984" s="215" t="e">
        <f>VLOOKUP($B3984,Week!$A$1:$C$1462,2,0)</f>
        <v>#N/A</v>
      </c>
      <c r="F3984" s="216" t="str">
        <f t="shared" ref="F3984:F3988" si="3152">IF(B3984="","",TEXT(B3984,"[$-409]mmm"))</f>
        <v>Jan</v>
      </c>
      <c r="G3984" s="215"/>
      <c r="H3984" s="215" t="s">
        <v>134</v>
      </c>
      <c r="I3984" s="215" t="s">
        <v>2772</v>
      </c>
      <c r="J3984" s="209" t="s">
        <v>2932</v>
      </c>
      <c r="K3984" s="217" t="s">
        <v>176</v>
      </c>
      <c r="L3984" s="300" t="s">
        <v>2167</v>
      </c>
      <c r="M3984" s="209" t="s">
        <v>193</v>
      </c>
      <c r="N3984" s="215" t="s">
        <v>194</v>
      </c>
      <c r="O3984" s="215" t="s">
        <v>195</v>
      </c>
      <c r="P3984" s="218">
        <v>24</v>
      </c>
      <c r="Q3984" s="218">
        <v>5</v>
      </c>
      <c r="R3984" s="219">
        <v>8.0000000000000002E-3</v>
      </c>
      <c r="S3984" s="215" t="s">
        <v>40</v>
      </c>
      <c r="T3984" s="215" t="s">
        <v>56</v>
      </c>
      <c r="U3984" s="215" t="s">
        <v>57</v>
      </c>
      <c r="V3984" s="220">
        <v>300</v>
      </c>
      <c r="W3984" s="220"/>
      <c r="X3984" s="221"/>
      <c r="Y3984" s="222">
        <f t="shared" si="3133"/>
        <v>-300</v>
      </c>
      <c r="Z3984" s="223">
        <f t="shared" si="3134"/>
        <v>7200</v>
      </c>
      <c r="AA3984" s="220">
        <f>Q3984*Z3984</f>
        <v>36000</v>
      </c>
      <c r="AB3984" s="807">
        <v>1</v>
      </c>
      <c r="AC3984" s="220">
        <f t="shared" si="3136"/>
        <v>7200</v>
      </c>
      <c r="AD3984" s="381"/>
      <c r="AE3984" s="210">
        <f t="shared" si="3137"/>
        <v>0.28799999999999998</v>
      </c>
      <c r="AF3984" s="210">
        <f t="shared" si="3138"/>
        <v>0.53333333333333321</v>
      </c>
      <c r="AG3984" s="211">
        <f t="shared" ref="AG3984:AG3991" si="3153">MID(O3984,1,3)/1000</f>
        <v>0.14499999999999999</v>
      </c>
      <c r="AH3984" s="157">
        <f t="shared" si="3139"/>
        <v>1.044</v>
      </c>
      <c r="AI3984" s="152">
        <f t="shared" ref="AI3984:AI3991" si="3154">V3984*P3984</f>
        <v>7200</v>
      </c>
      <c r="AK3984" s="156" t="s">
        <v>691</v>
      </c>
      <c r="AL3984" s="212" t="s">
        <v>690</v>
      </c>
      <c r="AM3984" s="198">
        <f>AG3984*Z3984</f>
        <v>1044</v>
      </c>
      <c r="AN3984" s="199">
        <f>B3984</f>
        <v>46388</v>
      </c>
      <c r="AO3984" s="159" t="s">
        <v>692</v>
      </c>
      <c r="AP3984" s="783" t="s">
        <v>610</v>
      </c>
      <c r="AQ3984" s="782">
        <v>12071839</v>
      </c>
      <c r="AR3984" s="782">
        <v>12047514</v>
      </c>
      <c r="AS3984" s="782">
        <v>12047515</v>
      </c>
      <c r="AT3984" s="782"/>
      <c r="AU3984" s="782">
        <v>12026902</v>
      </c>
      <c r="AV3984" s="796" t="s">
        <v>2980</v>
      </c>
      <c r="AW3984" s="782">
        <v>12026904</v>
      </c>
      <c r="AX3984" s="782"/>
      <c r="AY3984" s="782">
        <v>12094406</v>
      </c>
      <c r="AZ3984" s="782">
        <v>12094407</v>
      </c>
      <c r="BA3984" s="782">
        <v>12094408</v>
      </c>
    </row>
    <row r="3985" spans="1:54" ht="25" customHeight="1">
      <c r="A3985" s="142" t="s">
        <v>3156</v>
      </c>
      <c r="B3985" s="213">
        <v>46419</v>
      </c>
      <c r="C3985" s="214">
        <v>46419</v>
      </c>
      <c r="D3985" s="185">
        <f t="shared" ref="D3985:D3986" si="3155">IF(B3985="","",YEAR(B3985))</f>
        <v>2027</v>
      </c>
      <c r="E3985" s="215" t="e">
        <f>VLOOKUP($B3985,Week!$A$1:$C$1462,2,0)</f>
        <v>#N/A</v>
      </c>
      <c r="F3985" s="216" t="str">
        <f t="shared" ref="F3985:F3986" si="3156">IF(B3985="","",TEXT(B3985,"[$-409]mmm"))</f>
        <v>Feb</v>
      </c>
      <c r="G3985" s="215"/>
      <c r="H3985" s="215" t="s">
        <v>134</v>
      </c>
      <c r="I3985" s="215" t="s">
        <v>2772</v>
      </c>
      <c r="J3985" s="209" t="s">
        <v>2932</v>
      </c>
      <c r="K3985" s="217" t="s">
        <v>176</v>
      </c>
      <c r="L3985" s="300" t="s">
        <v>2167</v>
      </c>
      <c r="M3985" s="209" t="s">
        <v>193</v>
      </c>
      <c r="N3985" s="215" t="s">
        <v>194</v>
      </c>
      <c r="O3985" s="215" t="s">
        <v>195</v>
      </c>
      <c r="P3985" s="218">
        <v>24</v>
      </c>
      <c r="Q3985" s="218">
        <v>5</v>
      </c>
      <c r="R3985" s="219">
        <v>8.0000000000000002E-3</v>
      </c>
      <c r="S3985" s="215" t="s">
        <v>40</v>
      </c>
      <c r="T3985" s="215" t="s">
        <v>56</v>
      </c>
      <c r="U3985" s="215" t="s">
        <v>57</v>
      </c>
      <c r="V3985" s="220">
        <v>300</v>
      </c>
      <c r="W3985" s="220"/>
      <c r="X3985" s="221"/>
      <c r="Y3985" s="222">
        <f t="shared" ref="Y3985:Y3986" si="3157">(W3985+X3985)-V3985</f>
        <v>-300</v>
      </c>
      <c r="Z3985" s="223">
        <f t="shared" ref="Z3985:Z3986" si="3158">IF(Y3985&lt;0,((V3985*P3985)-((W3985+X3985)*P3985)),0)</f>
        <v>7200</v>
      </c>
      <c r="AA3985" s="220">
        <f>Q3985*Z3985</f>
        <v>36000</v>
      </c>
      <c r="AB3985" s="807">
        <v>1</v>
      </c>
      <c r="AC3985" s="220">
        <f t="shared" ref="AC3985:AC3986" si="3159">Z3985*AB3985</f>
        <v>7200</v>
      </c>
      <c r="AD3985" s="381"/>
      <c r="AE3985" s="210">
        <f t="shared" si="3137"/>
        <v>0.28799999999999998</v>
      </c>
      <c r="AF3985" s="210">
        <f t="shared" ref="AF3985:AF3986" si="3160">AE3985/0.54</f>
        <v>0.53333333333333321</v>
      </c>
      <c r="AG3985" s="211">
        <f t="shared" ref="AG3985:AG3986" si="3161">MID(O3985,1,3)/1000</f>
        <v>0.14499999999999999</v>
      </c>
      <c r="AH3985" s="157">
        <f t="shared" si="3139"/>
        <v>1.044</v>
      </c>
      <c r="AI3985" s="152">
        <f t="shared" ref="AI3985:AI3986" si="3162">V3985*P3985</f>
        <v>7200</v>
      </c>
      <c r="AK3985" s="156" t="s">
        <v>691</v>
      </c>
      <c r="AL3985" s="212" t="s">
        <v>690</v>
      </c>
      <c r="AM3985" s="198">
        <f>AG3985*Z3985</f>
        <v>1044</v>
      </c>
      <c r="AN3985" s="199">
        <f>B3985</f>
        <v>46419</v>
      </c>
      <c r="AO3985" s="159" t="s">
        <v>692</v>
      </c>
      <c r="AP3985" s="783" t="s">
        <v>610</v>
      </c>
      <c r="AQ3985" s="782">
        <v>12071839</v>
      </c>
      <c r="AR3985" s="782">
        <v>12047514</v>
      </c>
      <c r="AS3985" s="782">
        <v>12047515</v>
      </c>
      <c r="AT3985" s="782"/>
      <c r="AU3985" s="782">
        <v>12026902</v>
      </c>
      <c r="AV3985" s="796" t="s">
        <v>2980</v>
      </c>
      <c r="AW3985" s="782">
        <v>12026904</v>
      </c>
      <c r="AX3985" s="782"/>
      <c r="AY3985" s="782">
        <v>12094406</v>
      </c>
      <c r="AZ3985" s="782">
        <v>12094407</v>
      </c>
      <c r="BA3985" s="782">
        <v>12094408</v>
      </c>
    </row>
    <row r="3986" spans="1:54" ht="25" customHeight="1">
      <c r="A3986" s="142" t="s">
        <v>3156</v>
      </c>
      <c r="B3986" s="213">
        <v>46388</v>
      </c>
      <c r="C3986" s="214">
        <v>46388</v>
      </c>
      <c r="D3986" s="185">
        <f t="shared" si="3155"/>
        <v>2027</v>
      </c>
      <c r="E3986" s="215" t="e">
        <f>VLOOKUP($B3986,Week!$A$1:$C$1462,2,0)</f>
        <v>#N/A</v>
      </c>
      <c r="F3986" s="216" t="str">
        <f t="shared" si="3156"/>
        <v>Jan</v>
      </c>
      <c r="G3986" s="215"/>
      <c r="H3986" s="215" t="s">
        <v>134</v>
      </c>
      <c r="I3986" s="215" t="s">
        <v>2772</v>
      </c>
      <c r="J3986" s="209" t="s">
        <v>2932</v>
      </c>
      <c r="K3986" s="217" t="s">
        <v>1648</v>
      </c>
      <c r="L3986" s="300" t="s">
        <v>2167</v>
      </c>
      <c r="M3986" s="209" t="s">
        <v>193</v>
      </c>
      <c r="N3986" s="215" t="s">
        <v>205</v>
      </c>
      <c r="O3986" s="215" t="s">
        <v>206</v>
      </c>
      <c r="P3986" s="218">
        <v>24</v>
      </c>
      <c r="Q3986" s="218">
        <v>5</v>
      </c>
      <c r="R3986" s="219">
        <v>8.0000000000000002E-3</v>
      </c>
      <c r="S3986" s="215" t="s">
        <v>40</v>
      </c>
      <c r="T3986" s="215" t="s">
        <v>56</v>
      </c>
      <c r="U3986" s="480" t="s">
        <v>499</v>
      </c>
      <c r="V3986" s="220">
        <v>250</v>
      </c>
      <c r="W3986" s="220"/>
      <c r="X3986" s="221"/>
      <c r="Y3986" s="222">
        <f t="shared" si="3157"/>
        <v>-250</v>
      </c>
      <c r="Z3986" s="223">
        <f t="shared" si="3158"/>
        <v>6000</v>
      </c>
      <c r="AA3986" s="220">
        <f>Q3986*Z3986</f>
        <v>30000</v>
      </c>
      <c r="AB3986" s="807">
        <v>1</v>
      </c>
      <c r="AC3986" s="220">
        <f t="shared" si="3159"/>
        <v>6000</v>
      </c>
      <c r="AD3986" s="381"/>
      <c r="AE3986" s="210">
        <f t="shared" si="3137"/>
        <v>0.24</v>
      </c>
      <c r="AF3986" s="210">
        <f t="shared" si="3160"/>
        <v>0.44444444444444442</v>
      </c>
      <c r="AG3986" s="211">
        <f t="shared" si="3161"/>
        <v>0.115</v>
      </c>
      <c r="AH3986" s="157">
        <f t="shared" si="3139"/>
        <v>0.69</v>
      </c>
      <c r="AI3986" s="152">
        <f t="shared" si="3162"/>
        <v>6000</v>
      </c>
      <c r="AK3986" s="156" t="s">
        <v>691</v>
      </c>
      <c r="AL3986" s="212" t="s">
        <v>690</v>
      </c>
      <c r="AM3986" s="198">
        <f>AG3986*Z3986</f>
        <v>690</v>
      </c>
      <c r="AN3986" s="199">
        <f>B3986</f>
        <v>46388</v>
      </c>
      <c r="AO3986" s="159" t="s">
        <v>692</v>
      </c>
      <c r="AP3986" s="783" t="s">
        <v>610</v>
      </c>
      <c r="AQ3986" s="782">
        <v>12071839</v>
      </c>
      <c r="AR3986" s="782">
        <v>12047514</v>
      </c>
      <c r="AS3986" s="782">
        <v>12047515</v>
      </c>
      <c r="AT3986" s="782"/>
      <c r="AU3986" s="782">
        <v>12026902</v>
      </c>
      <c r="AV3986" s="782">
        <v>12098136</v>
      </c>
      <c r="AW3986" s="782">
        <v>12026904</v>
      </c>
      <c r="AX3986" s="782"/>
      <c r="AY3986" s="782">
        <v>12094111</v>
      </c>
      <c r="AZ3986" s="782">
        <v>12094113</v>
      </c>
      <c r="BA3986" s="782">
        <v>12094114</v>
      </c>
    </row>
    <row r="3987" spans="1:54" ht="25" customHeight="1">
      <c r="A3987" s="142" t="s">
        <v>3156</v>
      </c>
      <c r="B3987" s="213">
        <v>46419</v>
      </c>
      <c r="C3987" s="214">
        <v>46419</v>
      </c>
      <c r="D3987" s="185">
        <f t="shared" si="3151"/>
        <v>2027</v>
      </c>
      <c r="E3987" s="215" t="e">
        <f>VLOOKUP($B3987,Week!$A$1:$C$1462,2,0)</f>
        <v>#N/A</v>
      </c>
      <c r="F3987" s="216" t="str">
        <f t="shared" si="3152"/>
        <v>Feb</v>
      </c>
      <c r="G3987" s="215"/>
      <c r="H3987" s="215" t="s">
        <v>134</v>
      </c>
      <c r="I3987" s="215" t="s">
        <v>2772</v>
      </c>
      <c r="J3987" s="209" t="s">
        <v>2932</v>
      </c>
      <c r="K3987" s="217" t="s">
        <v>1648</v>
      </c>
      <c r="L3987" s="300" t="s">
        <v>2167</v>
      </c>
      <c r="M3987" s="209" t="s">
        <v>193</v>
      </c>
      <c r="N3987" s="215" t="s">
        <v>205</v>
      </c>
      <c r="O3987" s="215" t="s">
        <v>206</v>
      </c>
      <c r="P3987" s="218">
        <v>24</v>
      </c>
      <c r="Q3987" s="218">
        <v>5</v>
      </c>
      <c r="R3987" s="219">
        <v>8.0000000000000002E-3</v>
      </c>
      <c r="S3987" s="215" t="s">
        <v>40</v>
      </c>
      <c r="T3987" s="215" t="s">
        <v>56</v>
      </c>
      <c r="U3987" s="480" t="s">
        <v>499</v>
      </c>
      <c r="V3987" s="220">
        <v>200</v>
      </c>
      <c r="W3987" s="220"/>
      <c r="X3987" s="221"/>
      <c r="Y3987" s="222">
        <f t="shared" si="3133"/>
        <v>-200</v>
      </c>
      <c r="Z3987" s="223">
        <f t="shared" si="3134"/>
        <v>4800</v>
      </c>
      <c r="AA3987" s="220">
        <f>Q3987*Z3987</f>
        <v>24000</v>
      </c>
      <c r="AB3987" s="807">
        <v>1</v>
      </c>
      <c r="AC3987" s="220">
        <f t="shared" si="3136"/>
        <v>4800</v>
      </c>
      <c r="AD3987" s="381"/>
      <c r="AE3987" s="210">
        <f t="shared" si="3137"/>
        <v>0.192</v>
      </c>
      <c r="AF3987" s="210">
        <f t="shared" si="3138"/>
        <v>0.35555555555555551</v>
      </c>
      <c r="AG3987" s="211">
        <f t="shared" si="3153"/>
        <v>0.115</v>
      </c>
      <c r="AH3987" s="157">
        <f t="shared" si="3139"/>
        <v>0.55200000000000005</v>
      </c>
      <c r="AI3987" s="152">
        <f t="shared" si="3154"/>
        <v>4800</v>
      </c>
      <c r="AK3987" s="156" t="s">
        <v>691</v>
      </c>
      <c r="AL3987" s="212" t="s">
        <v>690</v>
      </c>
      <c r="AM3987" s="198">
        <f>AG3987*Z3987</f>
        <v>552</v>
      </c>
      <c r="AN3987" s="199">
        <f>B3987</f>
        <v>46419</v>
      </c>
      <c r="AO3987" s="159" t="s">
        <v>692</v>
      </c>
      <c r="AP3987" s="783" t="s">
        <v>610</v>
      </c>
      <c r="AQ3987" s="782">
        <v>12071839</v>
      </c>
      <c r="AR3987" s="782">
        <v>12047514</v>
      </c>
      <c r="AS3987" s="782">
        <v>12047515</v>
      </c>
      <c r="AT3987" s="782"/>
      <c r="AU3987" s="782">
        <v>12026902</v>
      </c>
      <c r="AV3987" s="782">
        <v>12098136</v>
      </c>
      <c r="AW3987" s="782">
        <v>12026904</v>
      </c>
      <c r="AX3987" s="782"/>
      <c r="AY3987" s="782">
        <v>12094111</v>
      </c>
      <c r="AZ3987" s="782">
        <v>12094113</v>
      </c>
      <c r="BA3987" s="782">
        <v>12094114</v>
      </c>
    </row>
    <row r="3988" spans="1:54" ht="25" customHeight="1">
      <c r="A3988" s="142" t="s">
        <v>3156</v>
      </c>
      <c r="B3988" s="345">
        <v>46388</v>
      </c>
      <c r="C3988" s="464">
        <v>46388</v>
      </c>
      <c r="D3988" s="185">
        <f t="shared" si="3151"/>
        <v>2027</v>
      </c>
      <c r="E3988" s="464" t="e">
        <f>VLOOKUP($B3988,Week!$A$1:$C$1462,2,0)</f>
        <v>#N/A</v>
      </c>
      <c r="F3988" s="465" t="str">
        <f t="shared" si="3152"/>
        <v>Jan</v>
      </c>
      <c r="G3988" s="347"/>
      <c r="H3988" s="347" t="s">
        <v>134</v>
      </c>
      <c r="I3988" s="347" t="s">
        <v>2772</v>
      </c>
      <c r="J3988" s="349" t="s">
        <v>2932</v>
      </c>
      <c r="K3988" s="350" t="s">
        <v>107</v>
      </c>
      <c r="L3988" s="300" t="s">
        <v>2167</v>
      </c>
      <c r="M3988" s="349" t="s">
        <v>136</v>
      </c>
      <c r="N3988" s="347" t="s">
        <v>137</v>
      </c>
      <c r="O3988" s="347" t="s">
        <v>138</v>
      </c>
      <c r="P3988" s="351">
        <v>24</v>
      </c>
      <c r="Q3988" s="351">
        <v>3</v>
      </c>
      <c r="R3988" s="352">
        <v>7.4999999999999997E-3</v>
      </c>
      <c r="S3988" s="347" t="s">
        <v>111</v>
      </c>
      <c r="T3988" s="347" t="s">
        <v>56</v>
      </c>
      <c r="U3988" s="347" t="s">
        <v>572</v>
      </c>
      <c r="V3988" s="353">
        <f>200</f>
        <v>200</v>
      </c>
      <c r="W3988" s="353"/>
      <c r="X3988" s="354"/>
      <c r="Y3988" s="355">
        <f t="shared" si="3133"/>
        <v>-200</v>
      </c>
      <c r="Z3988" s="356">
        <f t="shared" si="3134"/>
        <v>4800</v>
      </c>
      <c r="AA3988" s="356">
        <f t="shared" ref="AA3988:AA3991" si="3163">Q3988*Z3988</f>
        <v>14400</v>
      </c>
      <c r="AB3988" s="818">
        <v>1</v>
      </c>
      <c r="AC3988" s="353">
        <f t="shared" si="3136"/>
        <v>4800</v>
      </c>
      <c r="AD3988" s="443"/>
      <c r="AE3988" s="210">
        <f t="shared" ref="AE3988:AE3991" si="3164">SUM(Q3988*R3988*Z3988)/1000</f>
        <v>0.108</v>
      </c>
      <c r="AF3988" s="210">
        <f t="shared" si="3138"/>
        <v>0.19999999999999998</v>
      </c>
      <c r="AG3988" s="211">
        <f t="shared" si="3153"/>
        <v>0.219</v>
      </c>
      <c r="AH3988" s="157">
        <f t="shared" ref="AH3988:AH3989" si="3165">(Z3988*AG3988)/1000</f>
        <v>1.0512000000000001</v>
      </c>
      <c r="AI3988" s="152">
        <f t="shared" si="3154"/>
        <v>4800</v>
      </c>
      <c r="AK3988" s="156" t="s">
        <v>691</v>
      </c>
      <c r="AL3988" s="212" t="s">
        <v>690</v>
      </c>
      <c r="AM3988" s="198">
        <f t="shared" ref="AM3988:AM3991" si="3166">AG3988*Z3988</f>
        <v>1051.2</v>
      </c>
      <c r="AN3988" s="199">
        <f t="shared" ref="AN3988:AN3991" si="3167">B3988</f>
        <v>46388</v>
      </c>
      <c r="AO3988" s="159" t="s">
        <v>692</v>
      </c>
      <c r="AP3988" s="783" t="s">
        <v>610</v>
      </c>
      <c r="AQ3988" s="796" t="s">
        <v>1500</v>
      </c>
      <c r="AR3988" s="782" t="s">
        <v>140</v>
      </c>
      <c r="AS3988" s="782" t="s">
        <v>141</v>
      </c>
      <c r="AT3988" s="782"/>
      <c r="AU3988" s="783" t="s">
        <v>568</v>
      </c>
      <c r="AV3988" s="796" t="s">
        <v>2983</v>
      </c>
      <c r="AW3988" s="796" t="s">
        <v>570</v>
      </c>
      <c r="AX3988" s="782"/>
      <c r="AY3988" s="782">
        <v>12095878</v>
      </c>
      <c r="AZ3988" s="782">
        <v>12095879</v>
      </c>
      <c r="BA3988" s="782">
        <v>12095880</v>
      </c>
    </row>
    <row r="3989" spans="1:54" ht="25" customHeight="1">
      <c r="A3989" s="142" t="s">
        <v>3156</v>
      </c>
      <c r="B3989" s="345">
        <v>46419</v>
      </c>
      <c r="C3989" s="464">
        <v>46419</v>
      </c>
      <c r="D3989" s="185">
        <f t="shared" ref="D3989:D3990" si="3168">IF(B3989="","",YEAR(B3989))</f>
        <v>2027</v>
      </c>
      <c r="E3989" s="464" t="e">
        <f>VLOOKUP($B3989,Week!$A$1:$C$1462,2,0)</f>
        <v>#N/A</v>
      </c>
      <c r="F3989" s="465" t="str">
        <f t="shared" ref="F3989:F3990" si="3169">IF(B3989="","",TEXT(B3989,"[$-409]mmm"))</f>
        <v>Feb</v>
      </c>
      <c r="G3989" s="347"/>
      <c r="H3989" s="347" t="s">
        <v>134</v>
      </c>
      <c r="I3989" s="347" t="s">
        <v>2772</v>
      </c>
      <c r="J3989" s="349" t="s">
        <v>2932</v>
      </c>
      <c r="K3989" s="350" t="s">
        <v>107</v>
      </c>
      <c r="L3989" s="300" t="s">
        <v>2167</v>
      </c>
      <c r="M3989" s="349" t="s">
        <v>136</v>
      </c>
      <c r="N3989" s="347" t="s">
        <v>137</v>
      </c>
      <c r="O3989" s="347" t="s">
        <v>138</v>
      </c>
      <c r="P3989" s="351">
        <v>24</v>
      </c>
      <c r="Q3989" s="351">
        <v>3</v>
      </c>
      <c r="R3989" s="352">
        <v>7.4999999999999997E-3</v>
      </c>
      <c r="S3989" s="347" t="s">
        <v>111</v>
      </c>
      <c r="T3989" s="347" t="s">
        <v>56</v>
      </c>
      <c r="U3989" s="347" t="s">
        <v>572</v>
      </c>
      <c r="V3989" s="353">
        <f>200</f>
        <v>200</v>
      </c>
      <c r="W3989" s="353"/>
      <c r="X3989" s="354"/>
      <c r="Y3989" s="355">
        <f t="shared" si="3133"/>
        <v>-200</v>
      </c>
      <c r="Z3989" s="356">
        <f t="shared" si="3134"/>
        <v>4800</v>
      </c>
      <c r="AA3989" s="356">
        <f t="shared" si="3163"/>
        <v>14400</v>
      </c>
      <c r="AB3989" s="818">
        <v>1</v>
      </c>
      <c r="AC3989" s="353">
        <f t="shared" si="3136"/>
        <v>4800</v>
      </c>
      <c r="AD3989" s="443"/>
      <c r="AE3989" s="210">
        <f t="shared" si="3164"/>
        <v>0.108</v>
      </c>
      <c r="AF3989" s="210">
        <f t="shared" si="3138"/>
        <v>0.19999999999999998</v>
      </c>
      <c r="AG3989" s="211">
        <f t="shared" si="3153"/>
        <v>0.219</v>
      </c>
      <c r="AH3989" s="157">
        <f t="shared" si="3165"/>
        <v>1.0512000000000001</v>
      </c>
      <c r="AI3989" s="152">
        <f t="shared" si="3154"/>
        <v>4800</v>
      </c>
      <c r="AK3989" s="156" t="s">
        <v>691</v>
      </c>
      <c r="AL3989" s="212" t="s">
        <v>690</v>
      </c>
      <c r="AM3989" s="198">
        <f t="shared" si="3166"/>
        <v>1051.2</v>
      </c>
      <c r="AN3989" s="199">
        <f t="shared" si="3167"/>
        <v>46419</v>
      </c>
      <c r="AO3989" s="159" t="s">
        <v>692</v>
      </c>
      <c r="AP3989" s="783" t="s">
        <v>610</v>
      </c>
      <c r="AQ3989" s="796" t="s">
        <v>1500</v>
      </c>
      <c r="AR3989" s="782" t="s">
        <v>140</v>
      </c>
      <c r="AS3989" s="782" t="s">
        <v>141</v>
      </c>
      <c r="AT3989" s="782"/>
      <c r="AU3989" s="783" t="s">
        <v>568</v>
      </c>
      <c r="AV3989" s="796" t="s">
        <v>2983</v>
      </c>
      <c r="AW3989" s="796" t="s">
        <v>570</v>
      </c>
      <c r="AX3989" s="782"/>
      <c r="AY3989" s="782">
        <v>12095878</v>
      </c>
      <c r="AZ3989" s="782">
        <v>12095879</v>
      </c>
      <c r="BA3989" s="782">
        <v>12095880</v>
      </c>
    </row>
    <row r="3990" spans="1:54" ht="25" customHeight="1">
      <c r="A3990" s="142" t="s">
        <v>3156</v>
      </c>
      <c r="B3990" s="213">
        <v>46388</v>
      </c>
      <c r="C3990" s="214">
        <v>46388</v>
      </c>
      <c r="D3990" s="215">
        <f t="shared" si="3168"/>
        <v>2027</v>
      </c>
      <c r="E3990" s="214" t="e">
        <f>VLOOKUP($B3990,Week!$A$1:$C$1462,2,0)</f>
        <v>#N/A</v>
      </c>
      <c r="F3990" s="216" t="str">
        <f t="shared" si="3169"/>
        <v>Jan</v>
      </c>
      <c r="G3990" s="215"/>
      <c r="H3990" s="215" t="s">
        <v>134</v>
      </c>
      <c r="I3990" s="215" t="s">
        <v>2772</v>
      </c>
      <c r="J3990" s="209" t="s">
        <v>2932</v>
      </c>
      <c r="K3990" s="217" t="s">
        <v>2534</v>
      </c>
      <c r="L3990" s="217" t="s">
        <v>2167</v>
      </c>
      <c r="M3990" s="209" t="s">
        <v>2235</v>
      </c>
      <c r="N3990" s="480" t="s">
        <v>2236</v>
      </c>
      <c r="O3990" s="215" t="s">
        <v>2233</v>
      </c>
      <c r="P3990" s="218">
        <v>24</v>
      </c>
      <c r="Q3990" s="218">
        <v>3</v>
      </c>
      <c r="R3990" s="219">
        <v>6.0000000000000001E-3</v>
      </c>
      <c r="S3990" s="215" t="s">
        <v>55</v>
      </c>
      <c r="T3990" s="215" t="s">
        <v>112</v>
      </c>
      <c r="U3990" s="852" t="s">
        <v>739</v>
      </c>
      <c r="V3990" s="220">
        <v>210</v>
      </c>
      <c r="W3990" s="220"/>
      <c r="X3990" s="221"/>
      <c r="Y3990" s="222">
        <f t="shared" si="3133"/>
        <v>-210</v>
      </c>
      <c r="Z3990" s="223">
        <f t="shared" si="3134"/>
        <v>5040</v>
      </c>
      <c r="AA3990" s="223">
        <f t="shared" si="3163"/>
        <v>15120</v>
      </c>
      <c r="AB3990" s="807">
        <v>2.4E-2</v>
      </c>
      <c r="AC3990" s="220">
        <f t="shared" si="3136"/>
        <v>120.96000000000001</v>
      </c>
      <c r="AD3990" s="443"/>
      <c r="AE3990" s="210">
        <f t="shared" si="3164"/>
        <v>9.0720000000000009E-2</v>
      </c>
      <c r="AF3990" s="210">
        <f t="shared" si="3138"/>
        <v>0.16800000000000001</v>
      </c>
      <c r="AG3990" s="211">
        <f t="shared" si="3153"/>
        <v>0.3</v>
      </c>
      <c r="AH3990" s="157">
        <v>0.26621999999999996</v>
      </c>
      <c r="AI3990" s="152">
        <f t="shared" si="3154"/>
        <v>5040</v>
      </c>
      <c r="AK3990" s="156" t="s">
        <v>691</v>
      </c>
      <c r="AL3990" s="574" t="s">
        <v>690</v>
      </c>
      <c r="AM3990" s="198">
        <f t="shared" si="3166"/>
        <v>1512</v>
      </c>
      <c r="AN3990" s="199">
        <f t="shared" si="3167"/>
        <v>46388</v>
      </c>
      <c r="AO3990" s="159" t="s">
        <v>692</v>
      </c>
      <c r="AP3990" s="781" t="s">
        <v>642</v>
      </c>
      <c r="AQ3990" s="782">
        <v>12063755</v>
      </c>
      <c r="AR3990" s="782">
        <v>12061353</v>
      </c>
      <c r="AS3990" s="782">
        <v>12061354</v>
      </c>
      <c r="AT3990" s="782"/>
      <c r="AU3990" s="783" t="s">
        <v>568</v>
      </c>
      <c r="AV3990" s="782">
        <v>12095301</v>
      </c>
      <c r="AW3990" s="783" t="s">
        <v>568</v>
      </c>
      <c r="AX3990" s="781"/>
      <c r="AY3990" s="796" t="s">
        <v>2460</v>
      </c>
      <c r="AZ3990" s="796" t="s">
        <v>2461</v>
      </c>
      <c r="BA3990" s="796" t="s">
        <v>2462</v>
      </c>
      <c r="BB3990" s="209">
        <v>23099860</v>
      </c>
    </row>
    <row r="3991" spans="1:54" ht="25" customHeight="1">
      <c r="A3991" s="142" t="s">
        <v>3156</v>
      </c>
      <c r="B3991" s="213">
        <v>46419</v>
      </c>
      <c r="C3991" s="214">
        <v>46419</v>
      </c>
      <c r="D3991" s="215">
        <f t="shared" ref="D3991" si="3170">IF(B3991="","",YEAR(B3991))</f>
        <v>2027</v>
      </c>
      <c r="E3991" s="214" t="e">
        <f>VLOOKUP($B3991,Week!$A$1:$C$1462,2,0)</f>
        <v>#N/A</v>
      </c>
      <c r="F3991" s="216" t="str">
        <f t="shared" ref="F3991" si="3171">IF(B3991="","",TEXT(B3991,"[$-409]mmm"))</f>
        <v>Feb</v>
      </c>
      <c r="G3991" s="215"/>
      <c r="H3991" s="215" t="s">
        <v>134</v>
      </c>
      <c r="I3991" s="215" t="s">
        <v>2772</v>
      </c>
      <c r="J3991" s="209" t="s">
        <v>2932</v>
      </c>
      <c r="K3991" s="217" t="s">
        <v>2534</v>
      </c>
      <c r="L3991" s="217" t="s">
        <v>2167</v>
      </c>
      <c r="M3991" s="209" t="s">
        <v>2235</v>
      </c>
      <c r="N3991" s="480" t="s">
        <v>2236</v>
      </c>
      <c r="O3991" s="215" t="s">
        <v>2233</v>
      </c>
      <c r="P3991" s="218">
        <v>24</v>
      </c>
      <c r="Q3991" s="218">
        <v>3</v>
      </c>
      <c r="R3991" s="219">
        <v>6.0000000000000001E-3</v>
      </c>
      <c r="S3991" s="215" t="s">
        <v>55</v>
      </c>
      <c r="T3991" s="215" t="s">
        <v>112</v>
      </c>
      <c r="U3991" s="852" t="s">
        <v>739</v>
      </c>
      <c r="V3991" s="220">
        <v>210</v>
      </c>
      <c r="W3991" s="220"/>
      <c r="X3991" s="221"/>
      <c r="Y3991" s="222">
        <f t="shared" si="3133"/>
        <v>-210</v>
      </c>
      <c r="Z3991" s="223">
        <f t="shared" si="3134"/>
        <v>5040</v>
      </c>
      <c r="AA3991" s="223">
        <f t="shared" si="3163"/>
        <v>15120</v>
      </c>
      <c r="AB3991" s="807">
        <v>2.4E-2</v>
      </c>
      <c r="AC3991" s="220">
        <f t="shared" si="3136"/>
        <v>120.96000000000001</v>
      </c>
      <c r="AD3991" s="443"/>
      <c r="AE3991" s="210">
        <f t="shared" si="3164"/>
        <v>9.0720000000000009E-2</v>
      </c>
      <c r="AF3991" s="210">
        <f t="shared" si="3138"/>
        <v>0.16800000000000001</v>
      </c>
      <c r="AG3991" s="211">
        <f t="shared" si="3153"/>
        <v>0.3</v>
      </c>
      <c r="AH3991" s="157">
        <v>0.26621999999999996</v>
      </c>
      <c r="AI3991" s="152">
        <f t="shared" si="3154"/>
        <v>5040</v>
      </c>
      <c r="AK3991" s="156" t="s">
        <v>691</v>
      </c>
      <c r="AL3991" s="574" t="s">
        <v>690</v>
      </c>
      <c r="AM3991" s="198">
        <f t="shared" si="3166"/>
        <v>1512</v>
      </c>
      <c r="AN3991" s="199">
        <f t="shared" si="3167"/>
        <v>46419</v>
      </c>
      <c r="AO3991" s="159" t="s">
        <v>692</v>
      </c>
      <c r="AP3991" s="781" t="s">
        <v>642</v>
      </c>
      <c r="AQ3991" s="782">
        <v>12063755</v>
      </c>
      <c r="AR3991" s="782">
        <v>12061353</v>
      </c>
      <c r="AS3991" s="782">
        <v>12061354</v>
      </c>
      <c r="AT3991" s="782"/>
      <c r="AU3991" s="783" t="s">
        <v>568</v>
      </c>
      <c r="AV3991" s="782">
        <v>12095301</v>
      </c>
      <c r="AW3991" s="783" t="s">
        <v>568</v>
      </c>
      <c r="AX3991" s="781"/>
      <c r="AY3991" s="796" t="s">
        <v>2460</v>
      </c>
      <c r="AZ3991" s="796" t="s">
        <v>2461</v>
      </c>
      <c r="BA3991" s="796" t="s">
        <v>2462</v>
      </c>
      <c r="BB3991" s="209">
        <v>23099860</v>
      </c>
    </row>
    <row r="3992" spans="1:54" ht="24.65" customHeight="1">
      <c r="A3992" s="142" t="s">
        <v>3156</v>
      </c>
      <c r="B3992" s="757">
        <v>46327</v>
      </c>
      <c r="C3992" s="758">
        <v>46327</v>
      </c>
      <c r="D3992" s="185">
        <f t="shared" ref="D3992" si="3172">IF(B3992="","",YEAR(B3992))</f>
        <v>2026</v>
      </c>
      <c r="E3992" s="758" t="e">
        <f>VLOOKUP($B3992,Week!$A$1:$C$1462,2,0)</f>
        <v>#N/A</v>
      </c>
      <c r="F3992" s="759" t="str">
        <f t="shared" ref="F3992" si="3173">IF(B3992="","",TEXT(B3992,"[$-409]mmm"))</f>
        <v>Nov</v>
      </c>
      <c r="G3992" s="863"/>
      <c r="H3992" s="761" t="s">
        <v>424</v>
      </c>
      <c r="I3992" s="761" t="s">
        <v>2772</v>
      </c>
      <c r="J3992" s="762" t="s">
        <v>425</v>
      </c>
      <c r="K3992" s="763" t="s">
        <v>3059</v>
      </c>
      <c r="L3992" s="300" t="s">
        <v>2167</v>
      </c>
      <c r="M3992" s="762" t="s">
        <v>3060</v>
      </c>
      <c r="N3992" s="761" t="s">
        <v>3058</v>
      </c>
      <c r="O3992" s="761" t="s">
        <v>230</v>
      </c>
      <c r="P3992" s="764">
        <v>12</v>
      </c>
      <c r="Q3992" s="764">
        <v>5</v>
      </c>
      <c r="R3992" s="765">
        <v>6.0000000000000001E-3</v>
      </c>
      <c r="S3992" s="761" t="s">
        <v>55</v>
      </c>
      <c r="T3992" s="761" t="s">
        <v>112</v>
      </c>
      <c r="U3992" s="761" t="s">
        <v>57</v>
      </c>
      <c r="V3992" s="766">
        <v>1410</v>
      </c>
      <c r="W3992" s="766"/>
      <c r="X3992" s="767"/>
      <c r="Y3992" s="768">
        <f t="shared" ref="Y3992" si="3174">(W3992+X3992)-V3992</f>
        <v>-1410</v>
      </c>
      <c r="Z3992" s="769">
        <f t="shared" ref="Z3992" si="3175">IF(Y3992&lt;0,((V3992*P3992)-((W3992+X3992)*P3992)),0)</f>
        <v>16920</v>
      </c>
      <c r="AA3992" s="769">
        <f t="shared" ref="AA3992" si="3176">Q3992*Z3992</f>
        <v>84600</v>
      </c>
      <c r="AB3992" s="837">
        <v>7.4999999999999997E-3</v>
      </c>
      <c r="AC3992" s="766">
        <f t="shared" ref="AC3992" si="3177">Z3992*AB3992</f>
        <v>126.89999999999999</v>
      </c>
      <c r="AD3992" s="485" t="s">
        <v>2779</v>
      </c>
      <c r="AE3992" s="210">
        <f t="shared" ref="AE3992" si="3178">SUM(Q3992*R3992*Z3992)/1000</f>
        <v>0.50759999999999994</v>
      </c>
      <c r="AF3992" s="210">
        <f t="shared" ref="AF3992" si="3179">AE3992/0.54</f>
        <v>0.93999999999999984</v>
      </c>
      <c r="AG3992" s="211">
        <f t="shared" ref="AG3992" si="3180">MID(O3992,1,3)/1000</f>
        <v>0.25800000000000001</v>
      </c>
      <c r="AH3992" s="157">
        <f t="shared" ref="AH3992" si="3181">(Z3992*AG3992)/1000</f>
        <v>4.3653599999999999</v>
      </c>
      <c r="AI3992" s="152">
        <f t="shared" ref="AI3992" si="3182">V3992*P3992</f>
        <v>16920</v>
      </c>
      <c r="AK3992" s="156" t="s">
        <v>691</v>
      </c>
      <c r="AL3992" s="212" t="s">
        <v>690</v>
      </c>
      <c r="AM3992" s="198">
        <f t="shared" ref="AM3992" si="3183">AG3992*Z3992</f>
        <v>4365.3599999999997</v>
      </c>
      <c r="AN3992" s="199">
        <f t="shared" ref="AN3992" si="3184">B3992</f>
        <v>46327</v>
      </c>
      <c r="AO3992" s="159" t="s">
        <v>692</v>
      </c>
      <c r="AP3992" s="783" t="s">
        <v>609</v>
      </c>
      <c r="AQ3992" s="782">
        <v>12071839</v>
      </c>
      <c r="AR3992" s="782">
        <v>12095778</v>
      </c>
      <c r="AS3992" s="782">
        <v>12095777</v>
      </c>
      <c r="AT3992" s="782" t="s">
        <v>3102</v>
      </c>
      <c r="AU3992" s="782"/>
      <c r="AV3992" s="782">
        <v>12099364</v>
      </c>
      <c r="AW3992" s="782"/>
      <c r="AX3992" s="781"/>
      <c r="AY3992" s="782"/>
      <c r="AZ3992" s="782"/>
      <c r="BA3992" s="781"/>
      <c r="BB3992" s="209">
        <v>23053185</v>
      </c>
    </row>
    <row r="3993" spans="1:54" ht="24.65" customHeight="1">
      <c r="A3993" s="142" t="s">
        <v>3156</v>
      </c>
      <c r="B3993" s="757">
        <v>46357</v>
      </c>
      <c r="C3993" s="758">
        <v>46357</v>
      </c>
      <c r="D3993" s="185">
        <f>IF(B3993="","",YEAR(B3993))</f>
        <v>2026</v>
      </c>
      <c r="E3993" s="758" t="e">
        <f>VLOOKUP($B3993,Week!$A$1:$C$1462,2,0)</f>
        <v>#N/A</v>
      </c>
      <c r="F3993" s="759" t="str">
        <f>IF(B3993="","",TEXT(B3993,"[$-409]mmm"))</f>
        <v>Dec</v>
      </c>
      <c r="G3993" s="863"/>
      <c r="H3993" s="761" t="s">
        <v>424</v>
      </c>
      <c r="I3993" s="761" t="s">
        <v>2772</v>
      </c>
      <c r="J3993" s="762" t="s">
        <v>425</v>
      </c>
      <c r="K3993" s="763" t="s">
        <v>3059</v>
      </c>
      <c r="L3993" s="300" t="s">
        <v>2167</v>
      </c>
      <c r="M3993" s="762" t="s">
        <v>3060</v>
      </c>
      <c r="N3993" s="761" t="s">
        <v>3058</v>
      </c>
      <c r="O3993" s="761" t="s">
        <v>230</v>
      </c>
      <c r="P3993" s="764">
        <v>12</v>
      </c>
      <c r="Q3993" s="764">
        <v>5</v>
      </c>
      <c r="R3993" s="765">
        <v>6.0000000000000001E-3</v>
      </c>
      <c r="S3993" s="761" t="s">
        <v>55</v>
      </c>
      <c r="T3993" s="761" t="s">
        <v>112</v>
      </c>
      <c r="U3993" s="761" t="s">
        <v>57</v>
      </c>
      <c r="V3993" s="766">
        <v>1176</v>
      </c>
      <c r="W3993" s="766"/>
      <c r="X3993" s="767"/>
      <c r="Y3993" s="768">
        <f t="shared" ref="Y3993" si="3185">(W3993+X3993)-V3993</f>
        <v>-1176</v>
      </c>
      <c r="Z3993" s="769">
        <f t="shared" ref="Z3993" si="3186">IF(Y3993&lt;0,((V3993*P3993)-((W3993+X3993)*P3993)),0)</f>
        <v>14112</v>
      </c>
      <c r="AA3993" s="769">
        <f t="shared" ref="AA3993" si="3187">Q3993*Z3993</f>
        <v>70560</v>
      </c>
      <c r="AB3993" s="837">
        <v>7.4999999999999997E-3</v>
      </c>
      <c r="AC3993" s="766">
        <f t="shared" ref="AC3993" si="3188">Z3993*AB3993</f>
        <v>105.83999999999999</v>
      </c>
      <c r="AD3993" s="485" t="s">
        <v>2779</v>
      </c>
      <c r="AE3993" s="210">
        <f t="shared" ref="AE3993" si="3189">SUM(Q3993*R3993*Z3993)/1000</f>
        <v>0.42335999999999996</v>
      </c>
      <c r="AF3993" s="210">
        <f t="shared" ref="AF3993" si="3190">AE3993/0.54</f>
        <v>0.78399999999999992</v>
      </c>
      <c r="AG3993" s="211">
        <f t="shared" ref="AG3993" si="3191">MID(O3993,1,3)/1000</f>
        <v>0.25800000000000001</v>
      </c>
      <c r="AH3993" s="157">
        <f t="shared" ref="AH3993" si="3192">(Z3993*AG3993)/1000</f>
        <v>3.6408960000000001</v>
      </c>
      <c r="AI3993" s="152">
        <f t="shared" ref="AI3993" si="3193">V3993*P3993</f>
        <v>14112</v>
      </c>
      <c r="AK3993" s="156" t="s">
        <v>691</v>
      </c>
      <c r="AL3993" s="212" t="s">
        <v>690</v>
      </c>
      <c r="AM3993" s="198">
        <f t="shared" ref="AM3993" si="3194">AG3993*Z3993</f>
        <v>3640.8960000000002</v>
      </c>
      <c r="AN3993" s="199">
        <f t="shared" ref="AN3993" si="3195">B3993</f>
        <v>46357</v>
      </c>
      <c r="AO3993" s="159" t="s">
        <v>692</v>
      </c>
      <c r="AP3993" s="783" t="s">
        <v>609</v>
      </c>
      <c r="AQ3993" s="782">
        <v>12071839</v>
      </c>
      <c r="AR3993" s="782">
        <v>12095778</v>
      </c>
      <c r="AS3993" s="782">
        <v>12095777</v>
      </c>
      <c r="AT3993" s="782" t="s">
        <v>3102</v>
      </c>
      <c r="AU3993" s="782"/>
      <c r="AV3993" s="782">
        <v>12099364</v>
      </c>
      <c r="AW3993" s="782"/>
      <c r="AX3993" s="781"/>
      <c r="AY3993" s="782"/>
      <c r="AZ3993" s="782"/>
      <c r="BA3993" s="781"/>
      <c r="BB3993" s="209">
        <v>23053185</v>
      </c>
    </row>
    <row r="3994" spans="1:54" ht="25" customHeight="1">
      <c r="A3994" s="142" t="s">
        <v>3156</v>
      </c>
      <c r="B3994" s="258">
        <v>46357</v>
      </c>
      <c r="C3994" s="259">
        <v>46357</v>
      </c>
      <c r="D3994" s="260">
        <f>IF(B3994="","",YEAR(B3994))</f>
        <v>2026</v>
      </c>
      <c r="E3994" s="259" t="e">
        <f>VLOOKUP($B3994,Week!$A$1:$C$1462,2,0)</f>
        <v>#N/A</v>
      </c>
      <c r="F3994" s="261" t="str">
        <f>IF(B3994="","",TEXT(B3994,"[$-409]mmm"))</f>
        <v>Dec</v>
      </c>
      <c r="G3994" s="260"/>
      <c r="H3994" s="260" t="s">
        <v>424</v>
      </c>
      <c r="I3994" s="260" t="s">
        <v>2772</v>
      </c>
      <c r="J3994" s="263" t="s">
        <v>653</v>
      </c>
      <c r="K3994" s="264" t="s">
        <v>1649</v>
      </c>
      <c r="L3994" s="264" t="s">
        <v>2167</v>
      </c>
      <c r="M3994" s="263" t="s">
        <v>2355</v>
      </c>
      <c r="N3994" s="260" t="s">
        <v>2398</v>
      </c>
      <c r="O3994" s="260" t="s">
        <v>415</v>
      </c>
      <c r="P3994" s="265">
        <v>24</v>
      </c>
      <c r="Q3994" s="265">
        <v>5</v>
      </c>
      <c r="R3994" s="266">
        <v>6.0000000000000001E-3</v>
      </c>
      <c r="S3994" s="260" t="s">
        <v>55</v>
      </c>
      <c r="T3994" s="260" t="s">
        <v>112</v>
      </c>
      <c r="U3994" s="621" t="s">
        <v>1894</v>
      </c>
      <c r="V3994" s="267">
        <f>14112/24</f>
        <v>588</v>
      </c>
      <c r="W3994" s="267"/>
      <c r="X3994" s="268"/>
      <c r="Y3994" s="269">
        <f>(W3994+X3994)-V3994</f>
        <v>-588</v>
      </c>
      <c r="Z3994" s="270">
        <f>IF(Y3994&lt;0,((V3994*P3994)-((W3994+X3994)*P3994)),0)</f>
        <v>14112</v>
      </c>
      <c r="AA3994" s="270">
        <f>Q3994*Z3994</f>
        <v>70560</v>
      </c>
      <c r="AB3994" s="811">
        <v>3.8699999999999998E-2</v>
      </c>
      <c r="AC3994" s="267">
        <f>Z3994*AB3994</f>
        <v>546.13440000000003</v>
      </c>
      <c r="AD3994" s="307" t="s">
        <v>2956</v>
      </c>
      <c r="AE3994" s="210">
        <f>SUM(Q3994*R3994*Z3994)/1000</f>
        <v>0.42335999999999996</v>
      </c>
      <c r="AF3994" s="210">
        <f>AE3994/0.54</f>
        <v>0.78399999999999992</v>
      </c>
      <c r="AG3994" s="211">
        <f>MID(O3994,1,3)/1000</f>
        <v>0.25800000000000001</v>
      </c>
      <c r="AH3994" s="157">
        <f>(Z3994*AG3994)/1000</f>
        <v>3.6408960000000001</v>
      </c>
      <c r="AI3994" s="152">
        <f>V3994*P3994</f>
        <v>14112</v>
      </c>
      <c r="AK3994" s="156" t="s">
        <v>691</v>
      </c>
      <c r="AL3994" s="212" t="s">
        <v>690</v>
      </c>
      <c r="AM3994" s="198">
        <f>AG3994*Z3994</f>
        <v>3640.8960000000002</v>
      </c>
      <c r="AN3994" s="199">
        <f>B3994</f>
        <v>46357</v>
      </c>
      <c r="AO3994" s="159" t="s">
        <v>692</v>
      </c>
      <c r="AP3994" s="781" t="s">
        <v>642</v>
      </c>
      <c r="AQ3994" s="782">
        <v>12071839</v>
      </c>
      <c r="AR3994" s="782">
        <v>12095778</v>
      </c>
      <c r="AS3994" s="782">
        <v>12095777</v>
      </c>
      <c r="AT3994" s="782">
        <v>12096090</v>
      </c>
      <c r="AU3994" s="781"/>
      <c r="AV3994" s="782">
        <v>12096087</v>
      </c>
      <c r="AW3994" s="782"/>
      <c r="AX3994" s="782"/>
      <c r="AY3994" s="782">
        <v>12096088</v>
      </c>
      <c r="AZ3994" s="782"/>
      <c r="BA3994" s="781"/>
      <c r="BB3994" s="209">
        <v>23105470</v>
      </c>
    </row>
    <row r="3995" spans="1:54" ht="25" customHeight="1">
      <c r="A3995" s="142" t="s">
        <v>3156</v>
      </c>
      <c r="B3995" s="546">
        <v>46419</v>
      </c>
      <c r="C3995" s="547">
        <v>46419</v>
      </c>
      <c r="D3995" s="185">
        <f>IF(B3995="","",YEAR(B3995))</f>
        <v>2027</v>
      </c>
      <c r="E3995" s="547" t="e">
        <f>VLOOKUP($B3995,Week!$A$1:$C$1462,2,0)</f>
        <v>#N/A</v>
      </c>
      <c r="F3995" s="548" t="str">
        <f>IF(B3995="","",TEXT(B3995,"[$-409]mmm"))</f>
        <v>Feb</v>
      </c>
      <c r="G3995" s="575"/>
      <c r="H3995" s="575" t="s">
        <v>424</v>
      </c>
      <c r="I3995" s="575" t="s">
        <v>2772</v>
      </c>
      <c r="J3995" s="576" t="s">
        <v>535</v>
      </c>
      <c r="K3995" s="577" t="s">
        <v>176</v>
      </c>
      <c r="L3995" s="300" t="s">
        <v>2167</v>
      </c>
      <c r="M3995" s="576" t="s">
        <v>3087</v>
      </c>
      <c r="N3995" s="575" t="s">
        <v>537</v>
      </c>
      <c r="O3995" s="575" t="s">
        <v>187</v>
      </c>
      <c r="P3995" s="552">
        <v>8</v>
      </c>
      <c r="Q3995" s="552">
        <v>5</v>
      </c>
      <c r="R3995" s="553">
        <v>7.4999999999999997E-3</v>
      </c>
      <c r="S3995" s="575" t="s">
        <v>111</v>
      </c>
      <c r="T3995" s="575" t="s">
        <v>112</v>
      </c>
      <c r="U3995" s="575" t="s">
        <v>57</v>
      </c>
      <c r="V3995" s="554">
        <v>400</v>
      </c>
      <c r="W3995" s="554"/>
      <c r="X3995" s="555"/>
      <c r="Y3995" s="556">
        <f>(W3995+X3995)-V3995</f>
        <v>-400</v>
      </c>
      <c r="Z3995" s="557">
        <f>IF(Y3995&lt;0,((V3995*P3995)-((W3995+X3995)*P3995)),0)</f>
        <v>3200</v>
      </c>
      <c r="AA3995" s="557">
        <f>Q3995*Z3995</f>
        <v>16000</v>
      </c>
      <c r="AB3995" s="833">
        <v>7.4999999999999997E-3</v>
      </c>
      <c r="AC3995" s="554">
        <f>Z3995*AB3995</f>
        <v>24</v>
      </c>
      <c r="AD3995" s="307" t="s">
        <v>2354</v>
      </c>
      <c r="AE3995" s="210"/>
      <c r="AF3995" s="210"/>
      <c r="AG3995" s="211">
        <v>0.14499999999999999</v>
      </c>
      <c r="AH3995" s="157">
        <f>(Z3995*AG3995)/1000</f>
        <v>0.46399999999999997</v>
      </c>
      <c r="AI3995" s="152">
        <v>19800</v>
      </c>
      <c r="AK3995" s="156" t="s">
        <v>691</v>
      </c>
      <c r="AL3995" s="212" t="s">
        <v>690</v>
      </c>
      <c r="AM3995" s="198">
        <f>AG3995*Z3995</f>
        <v>463.99999999999994</v>
      </c>
      <c r="AN3995" s="199">
        <f>B3995</f>
        <v>46419</v>
      </c>
      <c r="AO3995" s="159" t="s">
        <v>692</v>
      </c>
      <c r="AP3995" s="781"/>
      <c r="AQ3995" s="782">
        <v>12071839</v>
      </c>
      <c r="AR3995" s="782">
        <v>12080260</v>
      </c>
      <c r="AS3995" s="782">
        <v>12080259</v>
      </c>
      <c r="AT3995" s="782">
        <v>12096465</v>
      </c>
      <c r="AU3995" s="782"/>
      <c r="AV3995" s="782">
        <v>12098093</v>
      </c>
      <c r="AW3995" s="781"/>
      <c r="AX3995" s="781"/>
      <c r="AY3995" s="782">
        <v>12054938</v>
      </c>
      <c r="AZ3995" s="781"/>
      <c r="BA3995" s="781"/>
    </row>
    <row r="3996" spans="1:54" ht="25" customHeight="1">
      <c r="A3996" s="142" t="s">
        <v>3156</v>
      </c>
      <c r="B3996" s="200">
        <v>46419</v>
      </c>
      <c r="C3996" s="201">
        <v>46419</v>
      </c>
      <c r="D3996" s="185">
        <f>IF(B3996="","",YEAR(B3996))</f>
        <v>2027</v>
      </c>
      <c r="E3996" s="201" t="e">
        <f>VLOOKUP($B3996,Week!$A$1:$C$1462,2,0)</f>
        <v>#N/A</v>
      </c>
      <c r="F3996" s="202" t="str">
        <f>IF(B3996="","",TEXT(B3996,"[$-409]mmm"))</f>
        <v>Feb</v>
      </c>
      <c r="G3996" s="512"/>
      <c r="H3996" s="512" t="s">
        <v>424</v>
      </c>
      <c r="I3996" s="512" t="s">
        <v>2772</v>
      </c>
      <c r="J3996" s="513" t="s">
        <v>535</v>
      </c>
      <c r="K3996" s="514" t="s">
        <v>227</v>
      </c>
      <c r="L3996" s="300" t="s">
        <v>2167</v>
      </c>
      <c r="M3996" s="513" t="s">
        <v>539</v>
      </c>
      <c r="N3996" s="512" t="s">
        <v>540</v>
      </c>
      <c r="O3996" s="512" t="s">
        <v>304</v>
      </c>
      <c r="P3996" s="203">
        <v>8</v>
      </c>
      <c r="Q3996" s="203">
        <v>5</v>
      </c>
      <c r="R3996" s="204">
        <v>7.4999999999999997E-3</v>
      </c>
      <c r="S3996" s="512" t="s">
        <v>111</v>
      </c>
      <c r="T3996" s="512" t="s">
        <v>112</v>
      </c>
      <c r="U3996" s="512" t="s">
        <v>57</v>
      </c>
      <c r="V3996" s="205">
        <v>1000</v>
      </c>
      <c r="W3996" s="205"/>
      <c r="X3996" s="206"/>
      <c r="Y3996" s="207">
        <f>(W3996+X3996)-V3996</f>
        <v>-1000</v>
      </c>
      <c r="Z3996" s="208">
        <f>IF(Y3996&lt;0,((V3996*P3996)-((W3996+X3996)*P3996)),0)</f>
        <v>8000</v>
      </c>
      <c r="AA3996" s="208">
        <f>Q3996*Z3996</f>
        <v>40000</v>
      </c>
      <c r="AB3996" s="806">
        <v>7.4999999999999997E-3</v>
      </c>
      <c r="AC3996" s="205">
        <f>Z3996*AB3996</f>
        <v>60</v>
      </c>
      <c r="AD3996" s="307" t="s">
        <v>2354</v>
      </c>
      <c r="AE3996" s="210"/>
      <c r="AF3996" s="210"/>
      <c r="AG3996" s="211">
        <f t="shared" ref="AG3996" si="3196">MID(O3996,1,3)/1000</f>
        <v>0.25800000000000001</v>
      </c>
      <c r="AH3996" s="157">
        <f>(Z3996*AG3996)/1000</f>
        <v>2.0640000000000001</v>
      </c>
      <c r="AI3996" s="152">
        <f t="shared" ref="AI3996" si="3197">V3996*P3996</f>
        <v>8000</v>
      </c>
      <c r="AK3996" s="156" t="s">
        <v>691</v>
      </c>
      <c r="AL3996" s="212" t="s">
        <v>690</v>
      </c>
      <c r="AM3996" s="198">
        <f>AG3996*Z3996</f>
        <v>2064</v>
      </c>
      <c r="AN3996" s="199">
        <f>B3996</f>
        <v>46419</v>
      </c>
      <c r="AO3996" s="159" t="s">
        <v>692</v>
      </c>
      <c r="AP3996" s="781"/>
      <c r="AQ3996" s="782">
        <v>12071839</v>
      </c>
      <c r="AR3996" s="782">
        <v>12095778</v>
      </c>
      <c r="AS3996" s="782">
        <v>12095777</v>
      </c>
      <c r="AT3996" s="782">
        <v>12096464</v>
      </c>
      <c r="AU3996" s="782"/>
      <c r="AV3996" s="782">
        <v>12098094</v>
      </c>
      <c r="AW3996" s="781"/>
      <c r="AX3996" s="781"/>
      <c r="AY3996" s="781" t="s">
        <v>541</v>
      </c>
      <c r="AZ3996" s="781"/>
      <c r="BA3996" s="781"/>
    </row>
    <row r="3997" spans="1:54" ht="24.75" customHeight="1">
      <c r="A3997" s="142" t="s">
        <v>3156</v>
      </c>
      <c r="B3997" s="535">
        <v>46419</v>
      </c>
      <c r="C3997" s="535">
        <v>46419</v>
      </c>
      <c r="D3997" s="537">
        <f t="shared" ref="D3997:D3999" si="3198">IF(B3997="","",YEAR(B3997))</f>
        <v>2027</v>
      </c>
      <c r="E3997" s="537" t="e">
        <f>VLOOKUP($B3997,Week!$A$1:$C$1462,2,0)</f>
        <v>#N/A</v>
      </c>
      <c r="F3997" s="536" t="str">
        <f t="shared" ref="F3997:F3999" si="3199">IF(B3997="","",TEXT(B3997,"[$-409]mmm"))</f>
        <v>Feb</v>
      </c>
      <c r="G3997" s="537"/>
      <c r="H3997" s="537" t="s">
        <v>424</v>
      </c>
      <c r="I3997" s="537" t="s">
        <v>2772</v>
      </c>
      <c r="J3997" s="538" t="s">
        <v>535</v>
      </c>
      <c r="K3997" s="539" t="s">
        <v>1648</v>
      </c>
      <c r="L3997" s="539" t="s">
        <v>2167</v>
      </c>
      <c r="M3997" s="935" t="s">
        <v>2725</v>
      </c>
      <c r="N3997" s="537" t="s">
        <v>2726</v>
      </c>
      <c r="O3997" s="537" t="s">
        <v>2253</v>
      </c>
      <c r="P3997" s="540">
        <v>8</v>
      </c>
      <c r="Q3997" s="540">
        <v>5</v>
      </c>
      <c r="R3997" s="541">
        <v>6.8100000000000001E-3</v>
      </c>
      <c r="S3997" s="537" t="s">
        <v>40</v>
      </c>
      <c r="T3997" s="537" t="s">
        <v>112</v>
      </c>
      <c r="U3997" s="843" t="s">
        <v>1894</v>
      </c>
      <c r="V3997" s="542">
        <v>500</v>
      </c>
      <c r="W3997" s="542"/>
      <c r="X3997" s="543"/>
      <c r="Y3997" s="544">
        <f t="shared" ref="Y3997:Y3999" si="3200">(W3997+X3997)-V3997</f>
        <v>-500</v>
      </c>
      <c r="Z3997" s="545">
        <f t="shared" ref="Z3997:Z3999" si="3201">IF(Y3997&lt;0,((V3997*P3997)-((W3997+X3997)*P3997)),0)</f>
        <v>4000</v>
      </c>
      <c r="AA3997" s="545">
        <f t="shared" ref="AA3997:AA3999" si="3202">Q3997*Z3997</f>
        <v>20000</v>
      </c>
      <c r="AB3997" s="936">
        <v>7.4999999999999997E-3</v>
      </c>
      <c r="AC3997" s="542">
        <f t="shared" ref="AC3997:AC3999" si="3203">Z3997*AB3997</f>
        <v>30</v>
      </c>
      <c r="AD3997" s="307" t="s">
        <v>2354</v>
      </c>
      <c r="AE3997" s="210">
        <f t="shared" ref="AE3997:AE3999" si="3204">SUM(Q3997*R3997*Z3997)/1000</f>
        <v>0.13619999999999999</v>
      </c>
      <c r="AF3997" s="210">
        <f t="shared" ref="AF3997:AF3999" si="3205">AE3997/0.54</f>
        <v>0.25222222222222218</v>
      </c>
      <c r="AG3997" s="211">
        <f t="shared" ref="AG3997:AG3999" si="3206">MID(O3997,1,3)/1000</f>
        <v>0.14699999999999999</v>
      </c>
      <c r="AH3997" s="157">
        <f t="shared" ref="AH3997:AH3999" si="3207">(Z3997*AG3997)/1000</f>
        <v>0.58799999999999997</v>
      </c>
      <c r="AI3997" s="152">
        <f t="shared" ref="AI3997:AI3999" si="3208">V3997*P3997</f>
        <v>4000</v>
      </c>
      <c r="AK3997" s="156" t="s">
        <v>691</v>
      </c>
      <c r="AL3997" s="574" t="s">
        <v>690</v>
      </c>
      <c r="AM3997" s="198">
        <f t="shared" ref="AM3997:AM3999" si="3209">AG3997*Z3997</f>
        <v>588</v>
      </c>
      <c r="AN3997" s="199">
        <f t="shared" ref="AN3997:AN3999" si="3210">B3997</f>
        <v>46419</v>
      </c>
      <c r="AO3997" s="159" t="s">
        <v>692</v>
      </c>
      <c r="AP3997" s="781"/>
      <c r="AQ3997" s="782">
        <v>12071839</v>
      </c>
      <c r="AR3997" s="782">
        <v>12080260</v>
      </c>
      <c r="AS3997" s="782">
        <v>12080259</v>
      </c>
      <c r="AT3997" s="782">
        <v>12097454</v>
      </c>
      <c r="AU3997" s="781"/>
      <c r="AV3997" s="782">
        <v>12097455</v>
      </c>
      <c r="AW3997" s="782"/>
      <c r="AX3997" s="782"/>
      <c r="AY3997" s="782"/>
      <c r="AZ3997" s="782"/>
      <c r="BA3997" s="781"/>
      <c r="BB3997" s="209">
        <v>23053185</v>
      </c>
    </row>
    <row r="3998" spans="1:54" ht="24.75" customHeight="1">
      <c r="A3998" s="142" t="s">
        <v>3156</v>
      </c>
      <c r="B3998" s="358">
        <v>46419</v>
      </c>
      <c r="C3998" s="358">
        <v>46419</v>
      </c>
      <c r="D3998" s="359">
        <f>IF(B3998="","",YEAR(B3998))</f>
        <v>2027</v>
      </c>
      <c r="E3998" s="359" t="e">
        <f>VLOOKUP($B3998,Week!$A$1:$C$1462,2,0)</f>
        <v>#N/A</v>
      </c>
      <c r="F3998" s="360" t="str">
        <f>IF(B3998="","",TEXT(B3998,"[$-409]mmm"))</f>
        <v>Feb</v>
      </c>
      <c r="G3998" s="359"/>
      <c r="H3998" s="359" t="s">
        <v>424</v>
      </c>
      <c r="I3998" s="359" t="s">
        <v>2772</v>
      </c>
      <c r="J3998" s="361" t="s">
        <v>535</v>
      </c>
      <c r="K3998" s="362" t="s">
        <v>2721</v>
      </c>
      <c r="L3998" s="362" t="s">
        <v>2167</v>
      </c>
      <c r="M3998" s="361" t="s">
        <v>2722</v>
      </c>
      <c r="N3998" s="359" t="s">
        <v>2723</v>
      </c>
      <c r="O3998" s="359" t="s">
        <v>2724</v>
      </c>
      <c r="P3998" s="363">
        <v>8</v>
      </c>
      <c r="Q3998" s="363">
        <v>5</v>
      </c>
      <c r="R3998" s="364">
        <v>6.8100000000000001E-3</v>
      </c>
      <c r="S3998" s="359" t="s">
        <v>40</v>
      </c>
      <c r="T3998" s="359" t="s">
        <v>112</v>
      </c>
      <c r="U3998" s="436" t="s">
        <v>1894</v>
      </c>
      <c r="V3998" s="365">
        <v>500</v>
      </c>
      <c r="W3998" s="365"/>
      <c r="X3998" s="366"/>
      <c r="Y3998" s="367">
        <f t="shared" ref="Y3998" si="3211">(W3998+X3998)-V3998</f>
        <v>-500</v>
      </c>
      <c r="Z3998" s="368">
        <f t="shared" ref="Z3998" si="3212">IF(Y3998&lt;0,((V3998*P3998)-((W3998+X3998)*P3998)),0)</f>
        <v>4000</v>
      </c>
      <c r="AA3998" s="368">
        <f t="shared" ref="AA3998" si="3213">Q3998*Z3998</f>
        <v>20000</v>
      </c>
      <c r="AB3998" s="903">
        <v>3.8699999999999998E-2</v>
      </c>
      <c r="AC3998" s="365">
        <f t="shared" ref="AC3998" si="3214">Z3998*AB3998</f>
        <v>154.79999999999998</v>
      </c>
      <c r="AD3998" s="307" t="s">
        <v>2354</v>
      </c>
      <c r="AE3998" s="210">
        <f t="shared" ref="AE3998" si="3215">SUM(Q3998*R3998*Z3998)/1000</f>
        <v>0.13619999999999999</v>
      </c>
      <c r="AF3998" s="210">
        <f t="shared" ref="AF3998" si="3216">AE3998/0.54</f>
        <v>0.25222222222222218</v>
      </c>
      <c r="AG3998" s="211">
        <f t="shared" ref="AG3998" si="3217">MID(O3998,1,3)/1000</f>
        <v>0.307</v>
      </c>
      <c r="AH3998" s="157">
        <f t="shared" ref="AH3998" si="3218">(Z3998*AG3998)/1000</f>
        <v>1.228</v>
      </c>
      <c r="AI3998" s="152">
        <f t="shared" ref="AI3998" si="3219">V3998*P3998</f>
        <v>4000</v>
      </c>
      <c r="AK3998" s="156" t="s">
        <v>691</v>
      </c>
      <c r="AL3998" s="574" t="s">
        <v>690</v>
      </c>
      <c r="AM3998" s="198">
        <f t="shared" ref="AM3998" si="3220">AG3998*Z3998</f>
        <v>1228</v>
      </c>
      <c r="AN3998" s="199">
        <f t="shared" ref="AN3998" si="3221">B3998</f>
        <v>46419</v>
      </c>
      <c r="AO3998" s="159" t="s">
        <v>692</v>
      </c>
      <c r="AP3998" s="781"/>
      <c r="AQ3998" s="782">
        <v>12063755</v>
      </c>
      <c r="AR3998" s="782">
        <v>12081257</v>
      </c>
      <c r="AS3998" s="782">
        <v>12081260</v>
      </c>
      <c r="AT3998" s="782">
        <v>12097456</v>
      </c>
      <c r="AU3998" s="781"/>
      <c r="AV3998" s="782">
        <v>12097457</v>
      </c>
      <c r="AW3998" s="782"/>
      <c r="AX3998" s="782"/>
      <c r="AY3998" s="782"/>
      <c r="AZ3998" s="782"/>
      <c r="BA3998" s="781"/>
      <c r="BB3998" s="209">
        <v>23053185</v>
      </c>
    </row>
    <row r="3999" spans="1:54" ht="24.75" customHeight="1">
      <c r="A3999" s="142" t="s">
        <v>3156</v>
      </c>
      <c r="B3999" s="535">
        <v>46419</v>
      </c>
      <c r="C3999" s="535">
        <v>46419</v>
      </c>
      <c r="D3999" s="537">
        <f t="shared" si="3198"/>
        <v>2027</v>
      </c>
      <c r="E3999" s="537" t="e">
        <f>VLOOKUP($B3999,Week!$A$1:$C$1462,2,0)</f>
        <v>#N/A</v>
      </c>
      <c r="F3999" s="536" t="str">
        <f t="shared" si="3199"/>
        <v>Feb</v>
      </c>
      <c r="G3999" s="537"/>
      <c r="H3999" s="537" t="s">
        <v>424</v>
      </c>
      <c r="I3999" s="537" t="s">
        <v>2772</v>
      </c>
      <c r="J3999" s="538" t="s">
        <v>535</v>
      </c>
      <c r="K3999" s="539" t="s">
        <v>2727</v>
      </c>
      <c r="L3999" s="539" t="s">
        <v>2167</v>
      </c>
      <c r="M3999" s="935" t="s">
        <v>2728</v>
      </c>
      <c r="N3999" s="537" t="s">
        <v>2729</v>
      </c>
      <c r="O3999" s="537" t="s">
        <v>2253</v>
      </c>
      <c r="P3999" s="540">
        <v>8</v>
      </c>
      <c r="Q3999" s="540">
        <v>5</v>
      </c>
      <c r="R3999" s="541">
        <v>6.8100000000000001E-3</v>
      </c>
      <c r="S3999" s="537" t="s">
        <v>40</v>
      </c>
      <c r="T3999" s="537" t="s">
        <v>112</v>
      </c>
      <c r="U3999" s="937" t="s">
        <v>2730</v>
      </c>
      <c r="V3999" s="542">
        <v>500</v>
      </c>
      <c r="W3999" s="542"/>
      <c r="X3999" s="543"/>
      <c r="Y3999" s="544">
        <f t="shared" si="3200"/>
        <v>-500</v>
      </c>
      <c r="Z3999" s="545">
        <f t="shared" si="3201"/>
        <v>4000</v>
      </c>
      <c r="AA3999" s="545">
        <f t="shared" si="3202"/>
        <v>20000</v>
      </c>
      <c r="AB3999" s="936">
        <v>7.4999999999999997E-3</v>
      </c>
      <c r="AC3999" s="542">
        <f t="shared" si="3203"/>
        <v>30</v>
      </c>
      <c r="AD3999" s="307" t="s">
        <v>2354</v>
      </c>
      <c r="AE3999" s="210">
        <f t="shared" si="3204"/>
        <v>0.13619999999999999</v>
      </c>
      <c r="AF3999" s="210">
        <f t="shared" si="3205"/>
        <v>0.25222222222222218</v>
      </c>
      <c r="AG3999" s="211">
        <f t="shared" si="3206"/>
        <v>0.14699999999999999</v>
      </c>
      <c r="AH3999" s="157">
        <f t="shared" si="3207"/>
        <v>0.58799999999999997</v>
      </c>
      <c r="AI3999" s="152">
        <f t="shared" si="3208"/>
        <v>4000</v>
      </c>
      <c r="AK3999" s="156" t="s">
        <v>691</v>
      </c>
      <c r="AL3999" s="574" t="s">
        <v>690</v>
      </c>
      <c r="AM3999" s="198">
        <f t="shared" si="3209"/>
        <v>588</v>
      </c>
      <c r="AN3999" s="199">
        <f t="shared" si="3210"/>
        <v>46419</v>
      </c>
      <c r="AO3999" s="159" t="s">
        <v>692</v>
      </c>
      <c r="AP3999" s="781"/>
      <c r="AQ3999" s="782">
        <v>12071839</v>
      </c>
      <c r="AR3999" s="782">
        <v>12080260</v>
      </c>
      <c r="AS3999" s="782">
        <v>12080259</v>
      </c>
      <c r="AT3999" s="782">
        <v>12097450</v>
      </c>
      <c r="AU3999" s="781"/>
      <c r="AV3999" s="782">
        <v>12097451</v>
      </c>
      <c r="AW3999" s="782"/>
      <c r="AX3999" s="782"/>
      <c r="AY3999" s="782"/>
      <c r="AZ3999" s="782"/>
      <c r="BA3999" s="781"/>
      <c r="BB3999" s="209">
        <v>23053185</v>
      </c>
    </row>
    <row r="4000" spans="1:54" ht="24.75" customHeight="1">
      <c r="A4000" s="142" t="s">
        <v>3156</v>
      </c>
      <c r="B4000" s="358">
        <v>46419</v>
      </c>
      <c r="C4000" s="358">
        <v>46419</v>
      </c>
      <c r="D4000" s="359">
        <f>IF(B4000="","",YEAR(B4000))</f>
        <v>2027</v>
      </c>
      <c r="E4000" s="359" t="e">
        <f>VLOOKUP($B4000,Week!$A$1:$C$1462,2,0)</f>
        <v>#N/A</v>
      </c>
      <c r="F4000" s="360" t="str">
        <f>IF(B4000="","",TEXT(B4000,"[$-409]mmm"))</f>
        <v>Feb</v>
      </c>
      <c r="G4000" s="359"/>
      <c r="H4000" s="359" t="s">
        <v>424</v>
      </c>
      <c r="I4000" s="359" t="s">
        <v>2772</v>
      </c>
      <c r="J4000" s="361" t="s">
        <v>535</v>
      </c>
      <c r="K4000" s="362" t="s">
        <v>2759</v>
      </c>
      <c r="L4000" s="362" t="s">
        <v>2167</v>
      </c>
      <c r="M4000" s="361" t="s">
        <v>2758</v>
      </c>
      <c r="N4000" s="359" t="s">
        <v>2732</v>
      </c>
      <c r="O4000" s="359" t="s">
        <v>2731</v>
      </c>
      <c r="P4000" s="363">
        <v>8</v>
      </c>
      <c r="Q4000" s="363">
        <v>3</v>
      </c>
      <c r="R4000" s="364">
        <v>6.0000000000000001E-3</v>
      </c>
      <c r="S4000" s="359" t="s">
        <v>55</v>
      </c>
      <c r="T4000" s="359" t="s">
        <v>112</v>
      </c>
      <c r="U4000" s="905" t="s">
        <v>2730</v>
      </c>
      <c r="V4000" s="365">
        <v>500</v>
      </c>
      <c r="W4000" s="365"/>
      <c r="X4000" s="366"/>
      <c r="Y4000" s="367">
        <f>(W4000+X4000)-V4000</f>
        <v>-500</v>
      </c>
      <c r="Z4000" s="368">
        <f>IF(Y4000&lt;0,((V4000*P4000)-((W4000+X4000)*P4000)),0)</f>
        <v>4000</v>
      </c>
      <c r="AA4000" s="368">
        <f>Q4000*Z4000</f>
        <v>12000</v>
      </c>
      <c r="AB4000" s="903">
        <v>3.8699999999999998E-2</v>
      </c>
      <c r="AC4000" s="365">
        <f>Z4000*AB4000</f>
        <v>154.79999999999998</v>
      </c>
      <c r="AD4000" s="307" t="s">
        <v>2354</v>
      </c>
      <c r="AE4000" s="210">
        <f>SUM(Q4000*R4000*Z4000)/1000</f>
        <v>7.2000000000000008E-2</v>
      </c>
      <c r="AF4000" s="210">
        <f>AE4000/0.54</f>
        <v>0.13333333333333333</v>
      </c>
      <c r="AG4000" s="211">
        <f>MID(O4000,1,3)/1000</f>
        <v>0.315</v>
      </c>
      <c r="AH4000" s="157">
        <f>(Z4000*AG4000)/1000</f>
        <v>1.26</v>
      </c>
      <c r="AI4000" s="152">
        <f>V4000*P4000</f>
        <v>4000</v>
      </c>
      <c r="AK4000" s="156" t="s">
        <v>691</v>
      </c>
      <c r="AL4000" s="574" t="s">
        <v>690</v>
      </c>
      <c r="AM4000" s="198">
        <f>AG4000*Z4000</f>
        <v>1260</v>
      </c>
      <c r="AN4000" s="199">
        <f>B4000</f>
        <v>46419</v>
      </c>
      <c r="AO4000" s="159" t="s">
        <v>692</v>
      </c>
      <c r="AP4000" s="781"/>
      <c r="AQ4000" s="782">
        <v>12063755</v>
      </c>
      <c r="AR4000" s="782">
        <v>12081257</v>
      </c>
      <c r="AS4000" s="782">
        <v>12081260</v>
      </c>
      <c r="AT4000" s="782">
        <v>12097452</v>
      </c>
      <c r="AU4000" s="781"/>
      <c r="AV4000" s="782">
        <v>12097453</v>
      </c>
      <c r="AW4000" s="782"/>
      <c r="AX4000" s="782"/>
      <c r="AY4000" s="782"/>
      <c r="AZ4000" s="782"/>
      <c r="BA4000" s="781"/>
      <c r="BB4000" s="209">
        <v>23053185</v>
      </c>
    </row>
    <row r="4001" spans="1:54" ht="25" customHeight="1">
      <c r="A4001" s="440" t="s">
        <v>3156</v>
      </c>
      <c r="B4001" s="743">
        <v>46388</v>
      </c>
      <c r="C4001" s="743">
        <v>46388</v>
      </c>
      <c r="D4001" s="746">
        <f t="shared" ref="D4001" si="3222">IF(B4001="","",YEAR(B4001))</f>
        <v>2027</v>
      </c>
      <c r="E4001" s="858" t="e">
        <f>VLOOKUP($B4001,Week!$A$1:$C$1462,2,0)</f>
        <v>#N/A</v>
      </c>
      <c r="F4001" s="859" t="str">
        <f t="shared" ref="F4001" si="3223">IF(B4001="","",TEXT(B4001,"[$-409]mmm"))</f>
        <v>Jan</v>
      </c>
      <c r="G4001" s="746"/>
      <c r="H4001" s="746" t="s">
        <v>424</v>
      </c>
      <c r="I4001" s="746" t="s">
        <v>2772</v>
      </c>
      <c r="J4001" s="747" t="s">
        <v>425</v>
      </c>
      <c r="K4001" s="748" t="s">
        <v>1651</v>
      </c>
      <c r="L4001" s="748" t="s">
        <v>2167</v>
      </c>
      <c r="M4001" s="747" t="s">
        <v>2260</v>
      </c>
      <c r="N4001" s="746" t="s">
        <v>2257</v>
      </c>
      <c r="O4001" s="746" t="s">
        <v>2254</v>
      </c>
      <c r="P4001" s="749">
        <v>6</v>
      </c>
      <c r="Q4001" s="749">
        <v>3</v>
      </c>
      <c r="R4001" s="849">
        <v>6.1999999999999998E-3</v>
      </c>
      <c r="S4001" s="746" t="s">
        <v>55</v>
      </c>
      <c r="T4001" s="746" t="s">
        <v>112</v>
      </c>
      <c r="U4001" s="860" t="s">
        <v>1633</v>
      </c>
      <c r="V4001" s="750">
        <v>8000</v>
      </c>
      <c r="W4001" s="750"/>
      <c r="X4001" s="751"/>
      <c r="Y4001" s="752">
        <f t="shared" ref="Y4001" si="3224">(W4001+X4001)-V4001</f>
        <v>-8000</v>
      </c>
      <c r="Z4001" s="753">
        <f t="shared" ref="Z4001" si="3225">IF(Y4001&lt;0,((V4001*P4001)-((W4001+X4001)*P4001)),0)</f>
        <v>48000</v>
      </c>
      <c r="AA4001" s="753">
        <f t="shared" ref="AA4001" si="3226">Q4001*Z4001</f>
        <v>144000</v>
      </c>
      <c r="AB4001" s="838">
        <v>6.5000000000000002E-2</v>
      </c>
      <c r="AC4001" s="750">
        <f t="shared" ref="AC4001" si="3227">Z4001*AB4001</f>
        <v>3120</v>
      </c>
      <c r="AD4001" s="513" t="s">
        <v>3137</v>
      </c>
      <c r="AE4001" s="210">
        <f t="shared" ref="AE4001" si="3228">SUM(Q4001*R4001*Z4001)/1000</f>
        <v>0.89279999999999993</v>
      </c>
      <c r="AF4001" s="210">
        <f t="shared" ref="AF4001" si="3229">AE4001/0.54</f>
        <v>1.6533333333333331</v>
      </c>
      <c r="AG4001" s="211">
        <f t="shared" ref="AG4001" si="3230">MID(O4001,1,3)/1000</f>
        <v>0.3</v>
      </c>
      <c r="AH4001" s="157">
        <f t="shared" ref="AH4001" si="3231">(Z4001*AG4001)/1000</f>
        <v>14.4</v>
      </c>
      <c r="AI4001" s="152">
        <f t="shared" ref="AI4001" si="3232">V4001*P4001</f>
        <v>48000</v>
      </c>
      <c r="AK4001" s="156" t="s">
        <v>691</v>
      </c>
      <c r="AL4001" s="212" t="s">
        <v>690</v>
      </c>
      <c r="AM4001" s="198">
        <f t="shared" ref="AM4001" si="3233">AG4001*Z4001</f>
        <v>14400</v>
      </c>
      <c r="AN4001" s="199">
        <f t="shared" ref="AN4001" si="3234">B4001</f>
        <v>46388</v>
      </c>
      <c r="AO4001" s="159" t="s">
        <v>692</v>
      </c>
      <c r="AP4001" s="781"/>
      <c r="AQ4001" s="782"/>
      <c r="AR4001" s="782" t="s">
        <v>2379</v>
      </c>
      <c r="AS4001" s="782"/>
      <c r="AT4001" s="782">
        <v>12095581</v>
      </c>
      <c r="AU4001" s="783"/>
      <c r="AV4001" s="782">
        <v>12096149</v>
      </c>
      <c r="AW4001" s="782"/>
      <c r="AX4001" s="782"/>
      <c r="AY4001" s="782"/>
      <c r="AZ4001" s="782"/>
      <c r="BA4001" s="782"/>
      <c r="BB4001" s="209">
        <v>23105543</v>
      </c>
    </row>
    <row r="4002" spans="1:54" ht="24.65" customHeight="1">
      <c r="A4002" s="142" t="s">
        <v>3156</v>
      </c>
      <c r="B4002" s="283">
        <v>46327</v>
      </c>
      <c r="C4002" s="284">
        <v>46327</v>
      </c>
      <c r="D4002" s="185">
        <f t="shared" ref="D4002:D4009" si="3235">IF(B4002="","",YEAR(B4002))</f>
        <v>2026</v>
      </c>
      <c r="E4002" s="284" t="e">
        <f>VLOOKUP($B4002,Week!$A$1:$C$1462,2,0)</f>
        <v>#N/A</v>
      </c>
      <c r="F4002" s="285" t="str">
        <f t="shared" ref="F4002:F4009" si="3236">IF(B4002="","",TEXT(B4002,"[$-409]mmm"))</f>
        <v>Nov</v>
      </c>
      <c r="G4002" s="631"/>
      <c r="H4002" s="624" t="s">
        <v>104</v>
      </c>
      <c r="I4002" s="624" t="s">
        <v>2772</v>
      </c>
      <c r="J4002" s="625" t="s">
        <v>105</v>
      </c>
      <c r="K4002" s="288" t="s">
        <v>51</v>
      </c>
      <c r="L4002" s="300" t="s">
        <v>2167</v>
      </c>
      <c r="M4002" s="287" t="s">
        <v>595</v>
      </c>
      <c r="N4002" s="286" t="s">
        <v>597</v>
      </c>
      <c r="O4002" s="286" t="s">
        <v>187</v>
      </c>
      <c r="P4002" s="289">
        <v>8</v>
      </c>
      <c r="Q4002" s="289">
        <v>5</v>
      </c>
      <c r="R4002" s="290">
        <v>6.0000000000000001E-3</v>
      </c>
      <c r="S4002" s="286" t="s">
        <v>55</v>
      </c>
      <c r="T4002" s="286" t="s">
        <v>112</v>
      </c>
      <c r="U4002" s="286" t="s">
        <v>57</v>
      </c>
      <c r="V4002" s="291">
        <f>6400/8</f>
        <v>800</v>
      </c>
      <c r="W4002" s="291"/>
      <c r="X4002" s="292"/>
      <c r="Y4002" s="293">
        <f t="shared" ref="Y4002" si="3237">(W4002+X4002)-V4002</f>
        <v>-800</v>
      </c>
      <c r="Z4002" s="294">
        <f t="shared" ref="Z4002" si="3238">IF(Y4002&lt;0,((V4002*P4002)-((W4002+X4002)*P4002)),0)</f>
        <v>6400</v>
      </c>
      <c r="AA4002" s="294">
        <f t="shared" ref="AA4002" si="3239">Q4002*Z4002</f>
        <v>32000</v>
      </c>
      <c r="AB4002" s="813">
        <v>7.4999999999999997E-3</v>
      </c>
      <c r="AC4002" s="291">
        <f t="shared" ref="AC4002" si="3240">Z4002*AB4002</f>
        <v>48</v>
      </c>
      <c r="AD4002" s="918" t="s">
        <v>2895</v>
      </c>
      <c r="AE4002" s="210">
        <f t="shared" ref="AE4002" si="3241">SUM(Q4002*R4002*Z4002)/1000</f>
        <v>0.192</v>
      </c>
      <c r="AF4002" s="210">
        <f t="shared" ref="AF4002:AF4009" si="3242">AE4002/0.54</f>
        <v>0.35555555555555551</v>
      </c>
      <c r="AG4002" s="211">
        <v>0.14499999999999999</v>
      </c>
      <c r="AH4002" s="157">
        <f t="shared" ref="AH4002" si="3243">(Z4002*AG4002)/1000</f>
        <v>0.92799999999999994</v>
      </c>
      <c r="AI4002" s="152">
        <v>19800</v>
      </c>
      <c r="AK4002" s="156" t="s">
        <v>691</v>
      </c>
      <c r="AL4002" s="212" t="s">
        <v>690</v>
      </c>
      <c r="AM4002" s="198">
        <f t="shared" ref="AM4002" si="3244">AG4002*Z4002</f>
        <v>927.99999999999989</v>
      </c>
      <c r="AN4002" s="199">
        <f t="shared" ref="AN4002" si="3245">B4002</f>
        <v>46327</v>
      </c>
      <c r="AO4002" s="159" t="s">
        <v>692</v>
      </c>
      <c r="AP4002" s="781"/>
      <c r="AQ4002" s="782">
        <v>12071839</v>
      </c>
      <c r="AR4002" s="782">
        <v>12047514</v>
      </c>
      <c r="AS4002" s="782">
        <v>12047515</v>
      </c>
      <c r="AT4002" s="782">
        <v>12098748</v>
      </c>
      <c r="AU4002" s="781"/>
      <c r="AV4002" s="782">
        <v>12098749</v>
      </c>
      <c r="AW4002" s="782"/>
      <c r="AX4002" s="782"/>
      <c r="AY4002" s="782"/>
      <c r="AZ4002" s="782"/>
      <c r="BA4002" s="781"/>
      <c r="BB4002" s="209">
        <v>23053185</v>
      </c>
    </row>
    <row r="4003" spans="1:54" ht="24.65" customHeight="1">
      <c r="A4003" s="142" t="s">
        <v>3156</v>
      </c>
      <c r="B4003" s="283">
        <v>46357</v>
      </c>
      <c r="C4003" s="284">
        <v>46357</v>
      </c>
      <c r="D4003" s="185">
        <f t="shared" si="3235"/>
        <v>2026</v>
      </c>
      <c r="E4003" s="284" t="e">
        <f>VLOOKUP($B4003,Week!$A$1:$C$1462,2,0)</f>
        <v>#N/A</v>
      </c>
      <c r="F4003" s="285" t="str">
        <f t="shared" si="3236"/>
        <v>Dec</v>
      </c>
      <c r="G4003" s="631"/>
      <c r="H4003" s="624" t="s">
        <v>104</v>
      </c>
      <c r="I4003" s="624" t="s">
        <v>2772</v>
      </c>
      <c r="J4003" s="625" t="s">
        <v>105</v>
      </c>
      <c r="K4003" s="288" t="s">
        <v>51</v>
      </c>
      <c r="L4003" s="300" t="s">
        <v>2167</v>
      </c>
      <c r="M4003" s="287" t="s">
        <v>595</v>
      </c>
      <c r="N4003" s="286" t="s">
        <v>597</v>
      </c>
      <c r="O4003" s="286" t="s">
        <v>187</v>
      </c>
      <c r="P4003" s="289">
        <v>8</v>
      </c>
      <c r="Q4003" s="289">
        <v>5</v>
      </c>
      <c r="R4003" s="290">
        <v>6.0000000000000001E-3</v>
      </c>
      <c r="S4003" s="286" t="s">
        <v>55</v>
      </c>
      <c r="T4003" s="286" t="s">
        <v>112</v>
      </c>
      <c r="U4003" s="286" t="s">
        <v>57</v>
      </c>
      <c r="V4003" s="291">
        <f>4800/8</f>
        <v>600</v>
      </c>
      <c r="W4003" s="291"/>
      <c r="X4003" s="292"/>
      <c r="Y4003" s="293">
        <f t="shared" ref="Y4003:Y4009" si="3246">(W4003+X4003)-V4003</f>
        <v>-600</v>
      </c>
      <c r="Z4003" s="294">
        <f t="shared" ref="Z4003:Z4009" si="3247">IF(Y4003&lt;0,((V4003*P4003)-((W4003+X4003)*P4003)),0)</f>
        <v>4800</v>
      </c>
      <c r="AA4003" s="294">
        <f t="shared" ref="AA4003:AA4009" si="3248">Q4003*Z4003</f>
        <v>24000</v>
      </c>
      <c r="AB4003" s="813">
        <v>7.4999999999999997E-3</v>
      </c>
      <c r="AC4003" s="291">
        <f t="shared" ref="AC4003:AC4009" si="3249">Z4003*AB4003</f>
        <v>36</v>
      </c>
      <c r="AD4003" s="918" t="s">
        <v>2895</v>
      </c>
      <c r="AE4003" s="210">
        <f t="shared" ref="AE4003:AE4009" si="3250">SUM(Q4003*R4003*Z4003)/1000</f>
        <v>0.14399999999999999</v>
      </c>
      <c r="AF4003" s="210">
        <f t="shared" si="3242"/>
        <v>0.26666666666666661</v>
      </c>
      <c r="AG4003" s="211">
        <v>0.14499999999999999</v>
      </c>
      <c r="AH4003" s="157">
        <f t="shared" ref="AH4003:AH4009" si="3251">(Z4003*AG4003)/1000</f>
        <v>0.69599999999999995</v>
      </c>
      <c r="AI4003" s="152">
        <v>19800</v>
      </c>
      <c r="AK4003" s="156" t="s">
        <v>691</v>
      </c>
      <c r="AL4003" s="212" t="s">
        <v>690</v>
      </c>
      <c r="AM4003" s="198">
        <f t="shared" ref="AM4003:AM4009" si="3252">AG4003*Z4003</f>
        <v>696</v>
      </c>
      <c r="AN4003" s="199">
        <f t="shared" ref="AN4003:AN4009" si="3253">B4003</f>
        <v>46357</v>
      </c>
      <c r="AO4003" s="159" t="s">
        <v>692</v>
      </c>
      <c r="AP4003" s="781"/>
      <c r="AQ4003" s="782">
        <v>12071839</v>
      </c>
      <c r="AR4003" s="782">
        <v>12047514</v>
      </c>
      <c r="AS4003" s="782">
        <v>12047515</v>
      </c>
      <c r="AT4003" s="782">
        <v>12098748</v>
      </c>
      <c r="AU4003" s="781"/>
      <c r="AV4003" s="782">
        <v>12098749</v>
      </c>
      <c r="AW4003" s="782"/>
      <c r="AX4003" s="782"/>
      <c r="AY4003" s="782"/>
      <c r="AZ4003" s="782"/>
      <c r="BA4003" s="781"/>
      <c r="BB4003" s="209">
        <v>23053185</v>
      </c>
    </row>
    <row r="4004" spans="1:54" ht="24.65" customHeight="1">
      <c r="A4004" s="142" t="s">
        <v>3156</v>
      </c>
      <c r="B4004" s="283">
        <v>46388</v>
      </c>
      <c r="C4004" s="284">
        <v>46388</v>
      </c>
      <c r="D4004" s="185">
        <f t="shared" si="3235"/>
        <v>2027</v>
      </c>
      <c r="E4004" s="284" t="e">
        <f>VLOOKUP($B4004,Week!$A$1:$C$1462,2,0)</f>
        <v>#N/A</v>
      </c>
      <c r="F4004" s="285" t="str">
        <f t="shared" si="3236"/>
        <v>Jan</v>
      </c>
      <c r="G4004" s="631"/>
      <c r="H4004" s="624" t="s">
        <v>104</v>
      </c>
      <c r="I4004" s="624" t="s">
        <v>2772</v>
      </c>
      <c r="J4004" s="625" t="s">
        <v>105</v>
      </c>
      <c r="K4004" s="288" t="s">
        <v>51</v>
      </c>
      <c r="L4004" s="300" t="s">
        <v>2167</v>
      </c>
      <c r="M4004" s="287" t="s">
        <v>595</v>
      </c>
      <c r="N4004" s="286" t="s">
        <v>597</v>
      </c>
      <c r="O4004" s="286" t="s">
        <v>187</v>
      </c>
      <c r="P4004" s="289">
        <v>8</v>
      </c>
      <c r="Q4004" s="289">
        <v>5</v>
      </c>
      <c r="R4004" s="290">
        <v>6.0000000000000001E-3</v>
      </c>
      <c r="S4004" s="286" t="s">
        <v>55</v>
      </c>
      <c r="T4004" s="286" t="s">
        <v>112</v>
      </c>
      <c r="U4004" s="286" t="s">
        <v>57</v>
      </c>
      <c r="V4004" s="291">
        <v>5300</v>
      </c>
      <c r="W4004" s="291"/>
      <c r="X4004" s="292"/>
      <c r="Y4004" s="293">
        <f t="shared" ref="Y4004:Y4005" si="3254">(W4004+X4004)-V4004</f>
        <v>-5300</v>
      </c>
      <c r="Z4004" s="294">
        <f t="shared" ref="Z4004:Z4005" si="3255">IF(Y4004&lt;0,((V4004*P4004)-((W4004+X4004)*P4004)),0)</f>
        <v>42400</v>
      </c>
      <c r="AA4004" s="294">
        <f t="shared" ref="AA4004:AA4005" si="3256">Q4004*Z4004</f>
        <v>212000</v>
      </c>
      <c r="AB4004" s="813">
        <v>7.4999999999999997E-3</v>
      </c>
      <c r="AC4004" s="291">
        <f t="shared" ref="AC4004:AC4005" si="3257">Z4004*AB4004</f>
        <v>318</v>
      </c>
      <c r="AD4004" s="918" t="s">
        <v>2895</v>
      </c>
      <c r="AE4004" s="210">
        <f t="shared" ref="AE4004:AE4005" si="3258">SUM(Q4004*R4004*Z4004)/1000</f>
        <v>1.272</v>
      </c>
      <c r="AF4004" s="210">
        <f t="shared" ref="AF4004:AF4005" si="3259">AE4004/0.54</f>
        <v>2.3555555555555556</v>
      </c>
      <c r="AG4004" s="211">
        <v>0.14499999999999999</v>
      </c>
      <c r="AH4004" s="157">
        <f t="shared" ref="AH4004:AH4005" si="3260">(Z4004*AG4004)/1000</f>
        <v>6.1479999999999997</v>
      </c>
      <c r="AI4004" s="152">
        <v>19800</v>
      </c>
      <c r="AK4004" s="156" t="s">
        <v>691</v>
      </c>
      <c r="AL4004" s="212" t="s">
        <v>690</v>
      </c>
      <c r="AM4004" s="198">
        <f t="shared" ref="AM4004:AM4005" si="3261">AG4004*Z4004</f>
        <v>6148</v>
      </c>
      <c r="AN4004" s="199">
        <f t="shared" ref="AN4004:AN4005" si="3262">B4004</f>
        <v>46388</v>
      </c>
      <c r="AO4004" s="159" t="s">
        <v>692</v>
      </c>
      <c r="AP4004" s="781"/>
      <c r="AQ4004" s="782">
        <v>12071839</v>
      </c>
      <c r="AR4004" s="782">
        <v>12047514</v>
      </c>
      <c r="AS4004" s="782">
        <v>12047515</v>
      </c>
      <c r="AT4004" s="782">
        <v>12098748</v>
      </c>
      <c r="AU4004" s="781"/>
      <c r="AV4004" s="782">
        <v>12098749</v>
      </c>
      <c r="AW4004" s="782"/>
      <c r="AX4004" s="782"/>
      <c r="AY4004" s="782"/>
      <c r="AZ4004" s="782"/>
      <c r="BA4004" s="781"/>
      <c r="BB4004" s="209">
        <v>23053185</v>
      </c>
    </row>
    <row r="4005" spans="1:54" ht="24.65" customHeight="1">
      <c r="A4005" s="142" t="s">
        <v>3156</v>
      </c>
      <c r="B4005" s="283">
        <v>46419</v>
      </c>
      <c r="C4005" s="284">
        <v>46419</v>
      </c>
      <c r="D4005" s="185">
        <f t="shared" si="3235"/>
        <v>2027</v>
      </c>
      <c r="E4005" s="284" t="e">
        <f>VLOOKUP($B4005,Week!$A$1:$C$1462,2,0)</f>
        <v>#N/A</v>
      </c>
      <c r="F4005" s="285" t="str">
        <f t="shared" si="3236"/>
        <v>Feb</v>
      </c>
      <c r="G4005" s="631"/>
      <c r="H4005" s="624" t="s">
        <v>104</v>
      </c>
      <c r="I4005" s="624" t="s">
        <v>2772</v>
      </c>
      <c r="J4005" s="625" t="s">
        <v>105</v>
      </c>
      <c r="K4005" s="288" t="s">
        <v>51</v>
      </c>
      <c r="L4005" s="300" t="s">
        <v>2167</v>
      </c>
      <c r="M4005" s="287" t="s">
        <v>595</v>
      </c>
      <c r="N4005" s="286" t="s">
        <v>597</v>
      </c>
      <c r="O4005" s="286" t="s">
        <v>187</v>
      </c>
      <c r="P4005" s="289">
        <v>8</v>
      </c>
      <c r="Q4005" s="289">
        <v>5</v>
      </c>
      <c r="R4005" s="290">
        <v>6.0000000000000001E-3</v>
      </c>
      <c r="S4005" s="286" t="s">
        <v>55</v>
      </c>
      <c r="T4005" s="286" t="s">
        <v>112</v>
      </c>
      <c r="U4005" s="286" t="s">
        <v>57</v>
      </c>
      <c r="V4005" s="291">
        <v>300</v>
      </c>
      <c r="W4005" s="291"/>
      <c r="X4005" s="292"/>
      <c r="Y4005" s="293">
        <f t="shared" si="3254"/>
        <v>-300</v>
      </c>
      <c r="Z4005" s="294">
        <f t="shared" si="3255"/>
        <v>2400</v>
      </c>
      <c r="AA4005" s="294">
        <f t="shared" si="3256"/>
        <v>12000</v>
      </c>
      <c r="AB4005" s="813">
        <v>7.4999999999999997E-3</v>
      </c>
      <c r="AC4005" s="291">
        <f t="shared" si="3257"/>
        <v>18</v>
      </c>
      <c r="AD4005" s="918" t="s">
        <v>2895</v>
      </c>
      <c r="AE4005" s="210">
        <f t="shared" si="3258"/>
        <v>7.1999999999999995E-2</v>
      </c>
      <c r="AF4005" s="210">
        <f t="shared" si="3259"/>
        <v>0.1333333333333333</v>
      </c>
      <c r="AG4005" s="211">
        <v>0.14499999999999999</v>
      </c>
      <c r="AH4005" s="157">
        <f t="shared" si="3260"/>
        <v>0.34799999999999998</v>
      </c>
      <c r="AI4005" s="152">
        <v>19800</v>
      </c>
      <c r="AK4005" s="156" t="s">
        <v>691</v>
      </c>
      <c r="AL4005" s="212" t="s">
        <v>690</v>
      </c>
      <c r="AM4005" s="198">
        <f t="shared" si="3261"/>
        <v>348</v>
      </c>
      <c r="AN4005" s="199">
        <f t="shared" si="3262"/>
        <v>46419</v>
      </c>
      <c r="AO4005" s="159" t="s">
        <v>692</v>
      </c>
      <c r="AP4005" s="781"/>
      <c r="AQ4005" s="782">
        <v>12071839</v>
      </c>
      <c r="AR4005" s="782">
        <v>12047514</v>
      </c>
      <c r="AS4005" s="782">
        <v>12047515</v>
      </c>
      <c r="AT4005" s="782">
        <v>12098748</v>
      </c>
      <c r="AU4005" s="781"/>
      <c r="AV4005" s="782">
        <v>12098749</v>
      </c>
      <c r="AW4005" s="782"/>
      <c r="AX4005" s="782"/>
      <c r="AY4005" s="782"/>
      <c r="AZ4005" s="782"/>
      <c r="BA4005" s="781"/>
      <c r="BB4005" s="209">
        <v>23053185</v>
      </c>
    </row>
    <row r="4006" spans="1:54" ht="24.65" customHeight="1">
      <c r="A4006" s="142" t="s">
        <v>3156</v>
      </c>
      <c r="B4006" s="369">
        <v>46357</v>
      </c>
      <c r="C4006" s="370">
        <v>46357</v>
      </c>
      <c r="D4006" s="185">
        <f t="shared" si="3235"/>
        <v>2026</v>
      </c>
      <c r="E4006" s="370" t="e">
        <f>VLOOKUP($B4006,Week!$A$1:$C$1462,2,0)</f>
        <v>#N/A</v>
      </c>
      <c r="F4006" s="372" t="str">
        <f t="shared" si="3236"/>
        <v>Dec</v>
      </c>
      <c r="G4006" s="439"/>
      <c r="H4006" s="371" t="s">
        <v>104</v>
      </c>
      <c r="I4006" s="371" t="s">
        <v>2772</v>
      </c>
      <c r="J4006" s="373" t="s">
        <v>105</v>
      </c>
      <c r="K4006" s="374" t="s">
        <v>593</v>
      </c>
      <c r="L4006" s="300" t="s">
        <v>2167</v>
      </c>
      <c r="M4006" s="373" t="s">
        <v>594</v>
      </c>
      <c r="N4006" s="371" t="s">
        <v>687</v>
      </c>
      <c r="O4006" s="371" t="s">
        <v>415</v>
      </c>
      <c r="P4006" s="375">
        <v>24</v>
      </c>
      <c r="Q4006" s="375">
        <v>5</v>
      </c>
      <c r="R4006" s="376">
        <v>6.0000000000000001E-3</v>
      </c>
      <c r="S4006" s="371" t="s">
        <v>55</v>
      </c>
      <c r="T4006" s="371" t="s">
        <v>112</v>
      </c>
      <c r="U4006" s="371" t="s">
        <v>57</v>
      </c>
      <c r="V4006" s="377">
        <f>52800/24</f>
        <v>2200</v>
      </c>
      <c r="W4006" s="377"/>
      <c r="X4006" s="378"/>
      <c r="Y4006" s="379">
        <f t="shared" si="3246"/>
        <v>-2200</v>
      </c>
      <c r="Z4006" s="380">
        <f t="shared" si="3247"/>
        <v>52800</v>
      </c>
      <c r="AA4006" s="380">
        <f t="shared" si="3248"/>
        <v>264000</v>
      </c>
      <c r="AB4006" s="820">
        <v>7.4999999999999997E-3</v>
      </c>
      <c r="AC4006" s="377">
        <f t="shared" si="3249"/>
        <v>396</v>
      </c>
      <c r="AD4006" s="918" t="s">
        <v>2895</v>
      </c>
      <c r="AE4006" s="210">
        <f t="shared" si="3250"/>
        <v>1.5840000000000001</v>
      </c>
      <c r="AF4006" s="210">
        <f t="shared" si="3242"/>
        <v>2.9333333333333331</v>
      </c>
      <c r="AG4006" s="211">
        <f t="shared" ref="AG4006" si="3263">MID(O4006,1,3)/1000</f>
        <v>0.25800000000000001</v>
      </c>
      <c r="AH4006" s="157">
        <f t="shared" si="3251"/>
        <v>13.622399999999999</v>
      </c>
      <c r="AI4006" s="152">
        <f t="shared" ref="AI4006" si="3264">V4006*P4006</f>
        <v>52800</v>
      </c>
      <c r="AK4006" s="156" t="s">
        <v>691</v>
      </c>
      <c r="AL4006" s="212" t="s">
        <v>690</v>
      </c>
      <c r="AM4006" s="198">
        <f t="shared" si="3252"/>
        <v>13622.4</v>
      </c>
      <c r="AN4006" s="199">
        <f t="shared" si="3253"/>
        <v>46357</v>
      </c>
      <c r="AO4006" s="159" t="s">
        <v>692</v>
      </c>
      <c r="AP4006" s="783"/>
      <c r="AQ4006" s="782">
        <v>12071839</v>
      </c>
      <c r="AR4006" s="782">
        <v>12042650</v>
      </c>
      <c r="AS4006" s="782">
        <v>12042649</v>
      </c>
      <c r="AT4006" s="782">
        <v>12085742</v>
      </c>
      <c r="AU4006" s="781"/>
      <c r="AV4006" s="782">
        <v>12085744</v>
      </c>
      <c r="AW4006" s="782">
        <v>12049607</v>
      </c>
      <c r="AX4006" s="782"/>
      <c r="AY4006" s="782">
        <v>12094129</v>
      </c>
      <c r="AZ4006" s="782"/>
      <c r="BA4006" s="781"/>
      <c r="BB4006" s="209">
        <v>23053185</v>
      </c>
    </row>
    <row r="4007" spans="1:54" ht="24.65" customHeight="1">
      <c r="A4007" s="142" t="s">
        <v>3156</v>
      </c>
      <c r="B4007" s="369">
        <v>46388</v>
      </c>
      <c r="C4007" s="370">
        <v>46388</v>
      </c>
      <c r="D4007" s="185">
        <f t="shared" ref="D4007:D4008" si="3265">IF(B4007="","",YEAR(B4007))</f>
        <v>2027</v>
      </c>
      <c r="E4007" s="370" t="e">
        <f>VLOOKUP($B4007,Week!$A$1:$C$1462,2,0)</f>
        <v>#N/A</v>
      </c>
      <c r="F4007" s="372" t="str">
        <f t="shared" ref="F4007:F4008" si="3266">IF(B4007="","",TEXT(B4007,"[$-409]mmm"))</f>
        <v>Jan</v>
      </c>
      <c r="G4007" s="439"/>
      <c r="H4007" s="371" t="s">
        <v>104</v>
      </c>
      <c r="I4007" s="371" t="s">
        <v>2772</v>
      </c>
      <c r="J4007" s="373" t="s">
        <v>105</v>
      </c>
      <c r="K4007" s="374" t="s">
        <v>593</v>
      </c>
      <c r="L4007" s="300" t="s">
        <v>2167</v>
      </c>
      <c r="M4007" s="373" t="s">
        <v>594</v>
      </c>
      <c r="N4007" s="371" t="s">
        <v>687</v>
      </c>
      <c r="O4007" s="371" t="s">
        <v>415</v>
      </c>
      <c r="P4007" s="375">
        <v>24</v>
      </c>
      <c r="Q4007" s="375">
        <v>5</v>
      </c>
      <c r="R4007" s="376">
        <v>6.0000000000000001E-3</v>
      </c>
      <c r="S4007" s="371" t="s">
        <v>55</v>
      </c>
      <c r="T4007" s="371" t="s">
        <v>112</v>
      </c>
      <c r="U4007" s="371" t="s">
        <v>57</v>
      </c>
      <c r="V4007" s="377">
        <v>2300</v>
      </c>
      <c r="W4007" s="377"/>
      <c r="X4007" s="378"/>
      <c r="Y4007" s="379">
        <f t="shared" ref="Y4007:Y4008" si="3267">(W4007+X4007)-V4007</f>
        <v>-2300</v>
      </c>
      <c r="Z4007" s="380">
        <f t="shared" ref="Z4007:Z4008" si="3268">IF(Y4007&lt;0,((V4007*P4007)-((W4007+X4007)*P4007)),0)</f>
        <v>55200</v>
      </c>
      <c r="AA4007" s="380">
        <f t="shared" ref="AA4007:AA4008" si="3269">Q4007*Z4007</f>
        <v>276000</v>
      </c>
      <c r="AB4007" s="820">
        <v>7.4999999999999997E-3</v>
      </c>
      <c r="AC4007" s="377">
        <f t="shared" ref="AC4007:AC4008" si="3270">Z4007*AB4007</f>
        <v>414</v>
      </c>
      <c r="AD4007" s="918" t="s">
        <v>2895</v>
      </c>
      <c r="AE4007" s="210">
        <f t="shared" ref="AE4007:AE4008" si="3271">SUM(Q4007*R4007*Z4007)/1000</f>
        <v>1.6559999999999999</v>
      </c>
      <c r="AF4007" s="210">
        <f t="shared" ref="AF4007:AF4008" si="3272">AE4007/0.54</f>
        <v>3.0666666666666664</v>
      </c>
      <c r="AG4007" s="211">
        <f t="shared" ref="AG4007:AG4008" si="3273">MID(O4007,1,3)/1000</f>
        <v>0.25800000000000001</v>
      </c>
      <c r="AH4007" s="157">
        <f t="shared" ref="AH4007:AH4008" si="3274">(Z4007*AG4007)/1000</f>
        <v>14.2416</v>
      </c>
      <c r="AI4007" s="152">
        <f t="shared" ref="AI4007:AI4008" si="3275">V4007*P4007</f>
        <v>55200</v>
      </c>
      <c r="AK4007" s="156" t="s">
        <v>691</v>
      </c>
      <c r="AL4007" s="212" t="s">
        <v>690</v>
      </c>
      <c r="AM4007" s="198">
        <f t="shared" ref="AM4007:AM4008" si="3276">AG4007*Z4007</f>
        <v>14241.6</v>
      </c>
      <c r="AN4007" s="199">
        <f t="shared" ref="AN4007:AN4008" si="3277">B4007</f>
        <v>46388</v>
      </c>
      <c r="AO4007" s="159" t="s">
        <v>692</v>
      </c>
      <c r="AP4007" s="783"/>
      <c r="AQ4007" s="782">
        <v>12071839</v>
      </c>
      <c r="AR4007" s="782">
        <v>12042650</v>
      </c>
      <c r="AS4007" s="782">
        <v>12042649</v>
      </c>
      <c r="AT4007" s="782">
        <v>12085742</v>
      </c>
      <c r="AU4007" s="781"/>
      <c r="AV4007" s="782">
        <v>12085744</v>
      </c>
      <c r="AW4007" s="782">
        <v>12049607</v>
      </c>
      <c r="AX4007" s="782"/>
      <c r="AY4007" s="782">
        <v>12094129</v>
      </c>
      <c r="AZ4007" s="782"/>
      <c r="BA4007" s="781"/>
      <c r="BB4007" s="209">
        <v>23053185</v>
      </c>
    </row>
    <row r="4008" spans="1:54" ht="24.65" customHeight="1">
      <c r="A4008" s="142" t="s">
        <v>3156</v>
      </c>
      <c r="B4008" s="369">
        <v>46419</v>
      </c>
      <c r="C4008" s="370">
        <v>46419</v>
      </c>
      <c r="D4008" s="185">
        <f t="shared" si="3265"/>
        <v>2027</v>
      </c>
      <c r="E4008" s="370" t="e">
        <f>VLOOKUP($B4008,Week!$A$1:$C$1462,2,0)</f>
        <v>#N/A</v>
      </c>
      <c r="F4008" s="372" t="str">
        <f t="shared" si="3266"/>
        <v>Feb</v>
      </c>
      <c r="G4008" s="439"/>
      <c r="H4008" s="371" t="s">
        <v>104</v>
      </c>
      <c r="I4008" s="371" t="s">
        <v>2772</v>
      </c>
      <c r="J4008" s="373" t="s">
        <v>105</v>
      </c>
      <c r="K4008" s="374" t="s">
        <v>593</v>
      </c>
      <c r="L4008" s="300" t="s">
        <v>2167</v>
      </c>
      <c r="M4008" s="373" t="s">
        <v>594</v>
      </c>
      <c r="N4008" s="371" t="s">
        <v>687</v>
      </c>
      <c r="O4008" s="371" t="s">
        <v>415</v>
      </c>
      <c r="P4008" s="375">
        <v>24</v>
      </c>
      <c r="Q4008" s="375">
        <v>5</v>
      </c>
      <c r="R4008" s="376">
        <v>6.0000000000000001E-3</v>
      </c>
      <c r="S4008" s="371" t="s">
        <v>55</v>
      </c>
      <c r="T4008" s="371" t="s">
        <v>112</v>
      </c>
      <c r="U4008" s="371" t="s">
        <v>57</v>
      </c>
      <c r="V4008" s="377">
        <v>1100</v>
      </c>
      <c r="W4008" s="377"/>
      <c r="X4008" s="378"/>
      <c r="Y4008" s="379">
        <f t="shared" si="3267"/>
        <v>-1100</v>
      </c>
      <c r="Z4008" s="380">
        <f t="shared" si="3268"/>
        <v>26400</v>
      </c>
      <c r="AA4008" s="380">
        <f t="shared" si="3269"/>
        <v>132000</v>
      </c>
      <c r="AB4008" s="820">
        <v>7.4999999999999997E-3</v>
      </c>
      <c r="AC4008" s="377">
        <f t="shared" si="3270"/>
        <v>198</v>
      </c>
      <c r="AD4008" s="918" t="s">
        <v>2895</v>
      </c>
      <c r="AE4008" s="210">
        <f t="shared" si="3271"/>
        <v>0.79200000000000004</v>
      </c>
      <c r="AF4008" s="210">
        <f t="shared" si="3272"/>
        <v>1.4666666666666666</v>
      </c>
      <c r="AG4008" s="211">
        <f t="shared" si="3273"/>
        <v>0.25800000000000001</v>
      </c>
      <c r="AH4008" s="157">
        <f t="shared" si="3274"/>
        <v>6.8111999999999995</v>
      </c>
      <c r="AI4008" s="152">
        <f t="shared" si="3275"/>
        <v>26400</v>
      </c>
      <c r="AK4008" s="156" t="s">
        <v>691</v>
      </c>
      <c r="AL4008" s="212" t="s">
        <v>690</v>
      </c>
      <c r="AM4008" s="198">
        <f t="shared" si="3276"/>
        <v>6811.2</v>
      </c>
      <c r="AN4008" s="199">
        <f t="shared" si="3277"/>
        <v>46419</v>
      </c>
      <c r="AO4008" s="159" t="s">
        <v>692</v>
      </c>
      <c r="AP4008" s="783"/>
      <c r="AQ4008" s="782">
        <v>12071839</v>
      </c>
      <c r="AR4008" s="782">
        <v>12042650</v>
      </c>
      <c r="AS4008" s="782">
        <v>12042649</v>
      </c>
      <c r="AT4008" s="782">
        <v>12085742</v>
      </c>
      <c r="AU4008" s="781"/>
      <c r="AV4008" s="782">
        <v>12085744</v>
      </c>
      <c r="AW4008" s="782">
        <v>12049607</v>
      </c>
      <c r="AX4008" s="782"/>
      <c r="AY4008" s="782">
        <v>12094129</v>
      </c>
      <c r="AZ4008" s="782"/>
      <c r="BA4008" s="781"/>
      <c r="BB4008" s="209">
        <v>23053185</v>
      </c>
    </row>
    <row r="4009" spans="1:54" ht="24.65" customHeight="1">
      <c r="A4009" s="142" t="s">
        <v>3156</v>
      </c>
      <c r="B4009" s="466">
        <v>46327</v>
      </c>
      <c r="C4009" s="467">
        <v>46327</v>
      </c>
      <c r="D4009" s="185">
        <f t="shared" si="3235"/>
        <v>2026</v>
      </c>
      <c r="E4009" s="467" t="e">
        <f>VLOOKUP($B4009,Week!$A$1:$C$1462,2,0)</f>
        <v>#N/A</v>
      </c>
      <c r="F4009" s="469" t="str">
        <f t="shared" si="3236"/>
        <v>Nov</v>
      </c>
      <c r="G4009" s="641"/>
      <c r="H4009" s="482" t="s">
        <v>104</v>
      </c>
      <c r="I4009" s="482" t="s">
        <v>2772</v>
      </c>
      <c r="J4009" s="483" t="s">
        <v>105</v>
      </c>
      <c r="K4009" s="484" t="s">
        <v>51</v>
      </c>
      <c r="L4009" s="300" t="s">
        <v>2167</v>
      </c>
      <c r="M4009" s="483" t="s">
        <v>674</v>
      </c>
      <c r="N4009" s="482" t="s">
        <v>677</v>
      </c>
      <c r="O4009" s="482" t="s">
        <v>501</v>
      </c>
      <c r="P4009" s="473">
        <v>36</v>
      </c>
      <c r="Q4009" s="473">
        <v>5</v>
      </c>
      <c r="R4009" s="474">
        <v>6.0000000000000001E-3</v>
      </c>
      <c r="S4009" s="482" t="s">
        <v>55</v>
      </c>
      <c r="T4009" s="482" t="s">
        <v>112</v>
      </c>
      <c r="U4009" s="482" t="s">
        <v>57</v>
      </c>
      <c r="V4009" s="475">
        <f>21600/36</f>
        <v>600</v>
      </c>
      <c r="W4009" s="475"/>
      <c r="X4009" s="476"/>
      <c r="Y4009" s="477">
        <f t="shared" si="3246"/>
        <v>-600</v>
      </c>
      <c r="Z4009" s="478">
        <f t="shared" si="3247"/>
        <v>21600</v>
      </c>
      <c r="AA4009" s="478">
        <f t="shared" si="3248"/>
        <v>108000</v>
      </c>
      <c r="AB4009" s="828">
        <v>7.4999999999999997E-3</v>
      </c>
      <c r="AC4009" s="475">
        <f t="shared" si="3249"/>
        <v>162</v>
      </c>
      <c r="AD4009" s="918" t="s">
        <v>2895</v>
      </c>
      <c r="AE4009" s="210">
        <f t="shared" si="3250"/>
        <v>0.64800000000000002</v>
      </c>
      <c r="AF4009" s="210">
        <f t="shared" si="3242"/>
        <v>1.2</v>
      </c>
      <c r="AG4009" s="211">
        <v>0.14499999999999999</v>
      </c>
      <c r="AH4009" s="157">
        <f t="shared" si="3251"/>
        <v>3.1320000000000001</v>
      </c>
      <c r="AI4009" s="152">
        <v>19800</v>
      </c>
      <c r="AK4009" s="156" t="s">
        <v>691</v>
      </c>
      <c r="AL4009" s="212" t="s">
        <v>690</v>
      </c>
      <c r="AM4009" s="198">
        <f t="shared" si="3252"/>
        <v>3132</v>
      </c>
      <c r="AN4009" s="199">
        <f t="shared" si="3253"/>
        <v>46327</v>
      </c>
      <c r="AO4009" s="159" t="s">
        <v>692</v>
      </c>
      <c r="AP4009" s="781"/>
      <c r="AQ4009" s="782">
        <v>12071839</v>
      </c>
      <c r="AR4009" s="782">
        <v>12047514</v>
      </c>
      <c r="AS4009" s="782">
        <v>12047515</v>
      </c>
      <c r="AT4009" s="782">
        <v>12085743</v>
      </c>
      <c r="AU4009" s="781"/>
      <c r="AV4009" s="782">
        <v>12098690</v>
      </c>
      <c r="AW4009" s="782">
        <v>12024404</v>
      </c>
      <c r="AX4009" s="782"/>
      <c r="AY4009" s="782">
        <v>12094238</v>
      </c>
      <c r="AZ4009" s="782"/>
      <c r="BA4009" s="781"/>
      <c r="BB4009" s="209">
        <v>23053185</v>
      </c>
    </row>
    <row r="4010" spans="1:54" ht="24.65" customHeight="1">
      <c r="A4010" s="142" t="s">
        <v>3156</v>
      </c>
      <c r="B4010" s="466">
        <v>46388</v>
      </c>
      <c r="C4010" s="467">
        <v>46388</v>
      </c>
      <c r="D4010" s="185">
        <f t="shared" ref="D4010" si="3278">IF(B4010="","",YEAR(B4010))</f>
        <v>2027</v>
      </c>
      <c r="E4010" s="467" t="e">
        <f>VLOOKUP($B4010,Week!$A$1:$C$1462,2,0)</f>
        <v>#N/A</v>
      </c>
      <c r="F4010" s="469" t="str">
        <f t="shared" ref="F4010" si="3279">IF(B4010="","",TEXT(B4010,"[$-409]mmm"))</f>
        <v>Jan</v>
      </c>
      <c r="G4010" s="641"/>
      <c r="H4010" s="482" t="s">
        <v>104</v>
      </c>
      <c r="I4010" s="482" t="s">
        <v>2772</v>
      </c>
      <c r="J4010" s="483" t="s">
        <v>105</v>
      </c>
      <c r="K4010" s="484" t="s">
        <v>51</v>
      </c>
      <c r="L4010" s="300" t="s">
        <v>2167</v>
      </c>
      <c r="M4010" s="483" t="s">
        <v>674</v>
      </c>
      <c r="N4010" s="482" t="s">
        <v>677</v>
      </c>
      <c r="O4010" s="482" t="s">
        <v>501</v>
      </c>
      <c r="P4010" s="473">
        <v>36</v>
      </c>
      <c r="Q4010" s="473">
        <v>5</v>
      </c>
      <c r="R4010" s="474">
        <v>6.0000000000000001E-3</v>
      </c>
      <c r="S4010" s="482" t="s">
        <v>55</v>
      </c>
      <c r="T4010" s="482" t="s">
        <v>112</v>
      </c>
      <c r="U4010" s="482" t="s">
        <v>57</v>
      </c>
      <c r="V4010" s="475">
        <f>750</f>
        <v>750</v>
      </c>
      <c r="W4010" s="475"/>
      <c r="X4010" s="476"/>
      <c r="Y4010" s="477">
        <f t="shared" ref="Y4010:Y4011" si="3280">(W4010+X4010)-V4010</f>
        <v>-750</v>
      </c>
      <c r="Z4010" s="478">
        <f t="shared" ref="Z4010:Z4011" si="3281">IF(Y4010&lt;0,((V4010*P4010)-((W4010+X4010)*P4010)),0)</f>
        <v>27000</v>
      </c>
      <c r="AA4010" s="478">
        <f t="shared" ref="AA4010:AA4011" si="3282">Q4010*Z4010</f>
        <v>135000</v>
      </c>
      <c r="AB4010" s="828">
        <v>7.4999999999999997E-3</v>
      </c>
      <c r="AC4010" s="475">
        <f t="shared" ref="AC4010:AC4011" si="3283">Z4010*AB4010</f>
        <v>202.5</v>
      </c>
      <c r="AD4010" s="918" t="s">
        <v>2895</v>
      </c>
      <c r="AE4010" s="210">
        <f t="shared" ref="AE4010:AE4011" si="3284">SUM(Q4010*R4010*Z4010)/1000</f>
        <v>0.81</v>
      </c>
      <c r="AF4010" s="210">
        <f t="shared" ref="AF4010:AF4011" si="3285">AE4010/0.54</f>
        <v>1.5</v>
      </c>
      <c r="AG4010" s="211">
        <v>0.14499999999999999</v>
      </c>
      <c r="AH4010" s="157">
        <f t="shared" ref="AH4010:AH4011" si="3286">(Z4010*AG4010)/1000</f>
        <v>3.9149999999999996</v>
      </c>
      <c r="AI4010" s="152">
        <v>19800</v>
      </c>
      <c r="AK4010" s="156" t="s">
        <v>691</v>
      </c>
      <c r="AL4010" s="212" t="s">
        <v>690</v>
      </c>
      <c r="AM4010" s="198">
        <f t="shared" ref="AM4010:AM4011" si="3287">AG4010*Z4010</f>
        <v>3914.9999999999995</v>
      </c>
      <c r="AN4010" s="199">
        <f t="shared" ref="AN4010:AN4011" si="3288">B4010</f>
        <v>46388</v>
      </c>
      <c r="AO4010" s="159" t="s">
        <v>692</v>
      </c>
      <c r="AP4010" s="781"/>
      <c r="AQ4010" s="782">
        <v>12071839</v>
      </c>
      <c r="AR4010" s="782">
        <v>12047514</v>
      </c>
      <c r="AS4010" s="782">
        <v>12047515</v>
      </c>
      <c r="AT4010" s="782">
        <v>12085743</v>
      </c>
      <c r="AU4010" s="781"/>
      <c r="AV4010" s="782">
        <v>12098690</v>
      </c>
      <c r="AW4010" s="782">
        <v>12024404</v>
      </c>
      <c r="AX4010" s="782"/>
      <c r="AY4010" s="782">
        <v>12094238</v>
      </c>
      <c r="AZ4010" s="782"/>
      <c r="BA4010" s="781"/>
      <c r="BB4010" s="209">
        <v>23053185</v>
      </c>
    </row>
    <row r="4011" spans="1:54" ht="24.65" customHeight="1">
      <c r="A4011" s="142" t="s">
        <v>3156</v>
      </c>
      <c r="B4011" s="224">
        <v>46388</v>
      </c>
      <c r="C4011" s="224">
        <v>46388</v>
      </c>
      <c r="D4011" s="185">
        <f t="shared" ref="D4011" si="3289">IF(B4011="","",YEAR(B4011))</f>
        <v>2027</v>
      </c>
      <c r="E4011" s="224" t="e">
        <f>VLOOKUP($B4011,Week!$A$1:$C$1462,2,0)</f>
        <v>#N/A</v>
      </c>
      <c r="F4011" s="226" t="str">
        <f t="shared" ref="F4011" si="3290">IF(B4011="","",TEXT(B4011,"[$-409]mmm"))</f>
        <v>Jan</v>
      </c>
      <c r="G4011" s="642"/>
      <c r="H4011" s="225" t="s">
        <v>104</v>
      </c>
      <c r="I4011" s="225" t="s">
        <v>2772</v>
      </c>
      <c r="J4011" s="227" t="s">
        <v>105</v>
      </c>
      <c r="K4011" s="228" t="s">
        <v>676</v>
      </c>
      <c r="L4011" s="300" t="s">
        <v>2167</v>
      </c>
      <c r="M4011" s="227" t="s">
        <v>108</v>
      </c>
      <c r="N4011" s="225" t="s">
        <v>688</v>
      </c>
      <c r="O4011" s="225" t="s">
        <v>428</v>
      </c>
      <c r="P4011" s="229">
        <v>24</v>
      </c>
      <c r="Q4011" s="229">
        <v>5</v>
      </c>
      <c r="R4011" s="230">
        <v>6.0000000000000001E-3</v>
      </c>
      <c r="S4011" s="225" t="s">
        <v>55</v>
      </c>
      <c r="T4011" s="225" t="s">
        <v>112</v>
      </c>
      <c r="U4011" s="225" t="s">
        <v>113</v>
      </c>
      <c r="V4011" s="231">
        <f>170</f>
        <v>170</v>
      </c>
      <c r="W4011" s="231"/>
      <c r="X4011" s="232"/>
      <c r="Y4011" s="233">
        <f t="shared" si="3280"/>
        <v>-170</v>
      </c>
      <c r="Z4011" s="234">
        <f t="shared" si="3281"/>
        <v>4080</v>
      </c>
      <c r="AA4011" s="234">
        <f t="shared" si="3282"/>
        <v>20400</v>
      </c>
      <c r="AB4011" s="822">
        <v>9.7000000000000003E-3</v>
      </c>
      <c r="AC4011" s="231">
        <f t="shared" si="3283"/>
        <v>39.576000000000001</v>
      </c>
      <c r="AD4011" s="209"/>
      <c r="AE4011" s="210">
        <f t="shared" si="3284"/>
        <v>0.12239999999999999</v>
      </c>
      <c r="AF4011" s="210">
        <f t="shared" si="3285"/>
        <v>0.22666666666666666</v>
      </c>
      <c r="AG4011" s="211">
        <f t="shared" ref="AG4011" si="3291">MID(O4011,1,3)/1000</f>
        <v>0.308</v>
      </c>
      <c r="AH4011" s="157">
        <f t="shared" si="3286"/>
        <v>1.25664</v>
      </c>
      <c r="AI4011" s="152">
        <f t="shared" ref="AI4011" si="3292">V4011*P4011</f>
        <v>4080</v>
      </c>
      <c r="AK4011" s="156" t="s">
        <v>691</v>
      </c>
      <c r="AL4011" s="212" t="s">
        <v>690</v>
      </c>
      <c r="AM4011" s="198">
        <f t="shared" si="3287"/>
        <v>1256.6399999999999</v>
      </c>
      <c r="AN4011" s="199">
        <f t="shared" si="3288"/>
        <v>46388</v>
      </c>
      <c r="AO4011" s="159" t="s">
        <v>692</v>
      </c>
      <c r="AP4011" s="783" t="s">
        <v>629</v>
      </c>
      <c r="AQ4011" s="782">
        <v>12063755</v>
      </c>
      <c r="AR4011" s="782">
        <v>12061353</v>
      </c>
      <c r="AS4011" s="782">
        <v>12061354</v>
      </c>
      <c r="AT4011" s="782">
        <v>12085752</v>
      </c>
      <c r="AU4011" s="781"/>
      <c r="AV4011" s="782">
        <v>12069473</v>
      </c>
      <c r="AW4011" s="782">
        <v>12068154</v>
      </c>
      <c r="AX4011" s="782"/>
      <c r="AY4011" s="782">
        <v>12085753</v>
      </c>
      <c r="AZ4011" s="782"/>
      <c r="BA4011" s="781"/>
      <c r="BB4011" s="209">
        <v>23054743</v>
      </c>
    </row>
    <row r="4012" spans="1:54" ht="24.75" customHeight="1">
      <c r="A4012" s="142" t="s">
        <v>3156</v>
      </c>
      <c r="B4012" s="602">
        <v>46357</v>
      </c>
      <c r="C4012" s="861">
        <v>46388</v>
      </c>
      <c r="D4012" s="604">
        <f t="shared" ref="D4012:D4024" si="3293">IF(B4012="","",YEAR(B4012))</f>
        <v>2026</v>
      </c>
      <c r="E4012" s="603" t="e">
        <f>VLOOKUP($B4012,Week!$A$1:$C$1462,2,0)</f>
        <v>#N/A</v>
      </c>
      <c r="F4012" s="605" t="str">
        <f t="shared" ref="F4012:F4024" si="3294">IF(B4012="","",TEXT(B4012,"[$-409]mmm"))</f>
        <v>Dec</v>
      </c>
      <c r="G4012" s="938"/>
      <c r="H4012" s="604" t="s">
        <v>260</v>
      </c>
      <c r="I4012" s="604" t="s">
        <v>2702</v>
      </c>
      <c r="J4012" s="939" t="s">
        <v>2240</v>
      </c>
      <c r="K4012" s="607" t="s">
        <v>94</v>
      </c>
      <c r="L4012" s="607" t="s">
        <v>2167</v>
      </c>
      <c r="M4012" s="606" t="s">
        <v>2338</v>
      </c>
      <c r="N4012" s="604" t="s">
        <v>2997</v>
      </c>
      <c r="O4012" s="604" t="s">
        <v>54</v>
      </c>
      <c r="P4012" s="608">
        <v>24</v>
      </c>
      <c r="Q4012" s="608">
        <v>5</v>
      </c>
      <c r="R4012" s="609">
        <v>6.1999999999999998E-3</v>
      </c>
      <c r="S4012" s="604" t="s">
        <v>352</v>
      </c>
      <c r="T4012" s="604" t="s">
        <v>56</v>
      </c>
      <c r="U4012" s="604" t="s">
        <v>57</v>
      </c>
      <c r="V4012" s="610">
        <f>12500</f>
        <v>12500</v>
      </c>
      <c r="W4012" s="610"/>
      <c r="X4012" s="611"/>
      <c r="Y4012" s="612">
        <f>(W4012+X4012)-V4012</f>
        <v>-12500</v>
      </c>
      <c r="Z4012" s="613">
        <f>IF(Y4012&lt;0,((V4012*P4012)-((W4012+X4012)*P4012)),0)</f>
        <v>300000</v>
      </c>
      <c r="AA4012" s="613">
        <f>Q4012*Z4012</f>
        <v>1500000</v>
      </c>
      <c r="AB4012" s="836">
        <v>7.4999999999999997E-3</v>
      </c>
      <c r="AC4012" s="610">
        <f>Z4012*AB4012</f>
        <v>2250</v>
      </c>
      <c r="AD4012" s="443"/>
      <c r="AE4012" s="210">
        <f>SUM(Q4012*R4012*Z4012)/1000</f>
        <v>9.3000000000000007</v>
      </c>
      <c r="AF4012" s="210">
        <f>AE4012/0.54</f>
        <v>17.222222222222221</v>
      </c>
      <c r="AG4012" s="211">
        <f>MID(O4012,1,3)/1000</f>
        <v>0.13500000000000001</v>
      </c>
      <c r="AH4012" s="157">
        <f>(Z4012*AG4012)/1000</f>
        <v>40.5</v>
      </c>
      <c r="AI4012" s="152">
        <f>V4012*P4012</f>
        <v>300000</v>
      </c>
      <c r="AK4012" s="156" t="s">
        <v>691</v>
      </c>
      <c r="AL4012" s="574" t="s">
        <v>690</v>
      </c>
      <c r="AM4012" s="198">
        <f>AG4012*Z4012</f>
        <v>40500</v>
      </c>
      <c r="AN4012" s="199">
        <f>B4012</f>
        <v>46357</v>
      </c>
      <c r="AO4012" s="159" t="s">
        <v>692</v>
      </c>
      <c r="AP4012" s="783" t="s">
        <v>622</v>
      </c>
      <c r="AQ4012" s="782">
        <v>12071839</v>
      </c>
      <c r="AR4012" s="782">
        <v>12099098</v>
      </c>
      <c r="AS4012" s="782">
        <v>12068233</v>
      </c>
      <c r="AT4012" s="781"/>
      <c r="AU4012" s="781"/>
      <c r="AV4012" s="782">
        <v>12099466</v>
      </c>
      <c r="AW4012" s="781"/>
      <c r="AX4012" s="781"/>
      <c r="AY4012" s="782">
        <v>12099097</v>
      </c>
      <c r="AZ4012" s="782"/>
      <c r="BA4012" s="781"/>
      <c r="BB4012" s="209">
        <v>23053184</v>
      </c>
    </row>
    <row r="4013" spans="1:54" ht="24.75" customHeight="1">
      <c r="A4013" s="142" t="s">
        <v>3156</v>
      </c>
      <c r="B4013" s="602">
        <v>46388</v>
      </c>
      <c r="C4013" s="861">
        <v>46419</v>
      </c>
      <c r="D4013" s="604">
        <f t="shared" ref="D4013:D4014" si="3295">IF(B4013="","",YEAR(B4013))</f>
        <v>2027</v>
      </c>
      <c r="E4013" s="603" t="e">
        <f>VLOOKUP($B4013,Week!$A$1:$C$1462,2,0)</f>
        <v>#N/A</v>
      </c>
      <c r="F4013" s="605" t="str">
        <f t="shared" ref="F4013:F4014" si="3296">IF(B4013="","",TEXT(B4013,"[$-409]mmm"))</f>
        <v>Jan</v>
      </c>
      <c r="G4013" s="938"/>
      <c r="H4013" s="604" t="s">
        <v>260</v>
      </c>
      <c r="I4013" s="604" t="s">
        <v>2702</v>
      </c>
      <c r="J4013" s="939" t="s">
        <v>2240</v>
      </c>
      <c r="K4013" s="607" t="s">
        <v>94</v>
      </c>
      <c r="L4013" s="607" t="s">
        <v>2167</v>
      </c>
      <c r="M4013" s="606" t="s">
        <v>2338</v>
      </c>
      <c r="N4013" s="604" t="s">
        <v>2997</v>
      </c>
      <c r="O4013" s="604" t="s">
        <v>54</v>
      </c>
      <c r="P4013" s="608">
        <v>24</v>
      </c>
      <c r="Q4013" s="608">
        <v>5</v>
      </c>
      <c r="R4013" s="609">
        <v>6.1999999999999998E-3</v>
      </c>
      <c r="S4013" s="604" t="s">
        <v>352</v>
      </c>
      <c r="T4013" s="604" t="s">
        <v>56</v>
      </c>
      <c r="U4013" s="604" t="s">
        <v>57</v>
      </c>
      <c r="V4013" s="610">
        <f>12500</f>
        <v>12500</v>
      </c>
      <c r="W4013" s="610"/>
      <c r="X4013" s="611"/>
      <c r="Y4013" s="612">
        <f t="shared" ref="Y4013:Y4014" si="3297">(W4013+X4013)-V4013</f>
        <v>-12500</v>
      </c>
      <c r="Z4013" s="613">
        <f t="shared" ref="Z4013:Z4014" si="3298">IF(Y4013&lt;0,((V4013*P4013)-((W4013+X4013)*P4013)),0)</f>
        <v>300000</v>
      </c>
      <c r="AA4013" s="613">
        <f t="shared" ref="AA4013:AA4014" si="3299">Q4013*Z4013</f>
        <v>1500000</v>
      </c>
      <c r="AB4013" s="836">
        <v>7.4999999999999997E-3</v>
      </c>
      <c r="AC4013" s="610">
        <f t="shared" ref="AC4013:AC4014" si="3300">Z4013*AB4013</f>
        <v>2250</v>
      </c>
      <c r="AD4013" s="443"/>
      <c r="AE4013" s="210">
        <f t="shared" ref="AE4013:AE4014" si="3301">SUM(Q4013*R4013*Z4013)/1000</f>
        <v>9.3000000000000007</v>
      </c>
      <c r="AF4013" s="210">
        <f t="shared" ref="AF4013:AF4014" si="3302">AE4013/0.54</f>
        <v>17.222222222222221</v>
      </c>
      <c r="AG4013" s="211">
        <f t="shared" ref="AG4013:AG4014" si="3303">MID(O4013,1,3)/1000</f>
        <v>0.13500000000000001</v>
      </c>
      <c r="AH4013" s="157">
        <f t="shared" ref="AH4013:AH4014" si="3304">(Z4013*AG4013)/1000</f>
        <v>40.5</v>
      </c>
      <c r="AI4013" s="152">
        <f t="shared" ref="AI4013:AI4014" si="3305">V4013*P4013</f>
        <v>300000</v>
      </c>
      <c r="AK4013" s="156" t="s">
        <v>691</v>
      </c>
      <c r="AL4013" s="574" t="s">
        <v>690</v>
      </c>
      <c r="AM4013" s="198">
        <f t="shared" ref="AM4013:AM4014" si="3306">AG4013*Z4013</f>
        <v>40500</v>
      </c>
      <c r="AN4013" s="199">
        <f t="shared" ref="AN4013:AN4014" si="3307">B4013</f>
        <v>46388</v>
      </c>
      <c r="AO4013" s="159" t="s">
        <v>692</v>
      </c>
      <c r="AP4013" s="783" t="s">
        <v>622</v>
      </c>
      <c r="AQ4013" s="782">
        <v>12071839</v>
      </c>
      <c r="AR4013" s="782">
        <v>12099098</v>
      </c>
      <c r="AS4013" s="782">
        <v>12068233</v>
      </c>
      <c r="AT4013" s="781"/>
      <c r="AU4013" s="781"/>
      <c r="AV4013" s="782">
        <v>12099466</v>
      </c>
      <c r="AW4013" s="781"/>
      <c r="AX4013" s="781"/>
      <c r="AY4013" s="782">
        <v>12099097</v>
      </c>
      <c r="AZ4013" s="782"/>
      <c r="BA4013" s="781"/>
      <c r="BB4013" s="209">
        <v>23053184</v>
      </c>
    </row>
    <row r="4014" spans="1:54" ht="24.75" customHeight="1">
      <c r="A4014" s="142" t="s">
        <v>3156</v>
      </c>
      <c r="B4014" s="602">
        <v>46419</v>
      </c>
      <c r="C4014" s="861">
        <v>46447</v>
      </c>
      <c r="D4014" s="604">
        <f t="shared" si="3295"/>
        <v>2027</v>
      </c>
      <c r="E4014" s="603" t="e">
        <f>VLOOKUP($B4014,Week!$A$1:$C$1462,2,0)</f>
        <v>#N/A</v>
      </c>
      <c r="F4014" s="605" t="str">
        <f t="shared" si="3296"/>
        <v>Feb</v>
      </c>
      <c r="G4014" s="938"/>
      <c r="H4014" s="604" t="s">
        <v>260</v>
      </c>
      <c r="I4014" s="604" t="s">
        <v>2702</v>
      </c>
      <c r="J4014" s="939" t="s">
        <v>2240</v>
      </c>
      <c r="K4014" s="607" t="s">
        <v>94</v>
      </c>
      <c r="L4014" s="607" t="s">
        <v>2167</v>
      </c>
      <c r="M4014" s="606" t="s">
        <v>2338</v>
      </c>
      <c r="N4014" s="604" t="s">
        <v>2997</v>
      </c>
      <c r="O4014" s="604" t="s">
        <v>54</v>
      </c>
      <c r="P4014" s="608">
        <v>24</v>
      </c>
      <c r="Q4014" s="608">
        <v>5</v>
      </c>
      <c r="R4014" s="609">
        <v>6.1999999999999998E-3</v>
      </c>
      <c r="S4014" s="604" t="s">
        <v>352</v>
      </c>
      <c r="T4014" s="604" t="s">
        <v>56</v>
      </c>
      <c r="U4014" s="604" t="s">
        <v>57</v>
      </c>
      <c r="V4014" s="610">
        <f>12500</f>
        <v>12500</v>
      </c>
      <c r="W4014" s="610"/>
      <c r="X4014" s="611"/>
      <c r="Y4014" s="612">
        <f t="shared" si="3297"/>
        <v>-12500</v>
      </c>
      <c r="Z4014" s="613">
        <f t="shared" si="3298"/>
        <v>300000</v>
      </c>
      <c r="AA4014" s="613">
        <f t="shared" si="3299"/>
        <v>1500000</v>
      </c>
      <c r="AB4014" s="836">
        <v>7.4999999999999997E-3</v>
      </c>
      <c r="AC4014" s="610">
        <f t="shared" si="3300"/>
        <v>2250</v>
      </c>
      <c r="AD4014" s="443"/>
      <c r="AE4014" s="210">
        <f t="shared" si="3301"/>
        <v>9.3000000000000007</v>
      </c>
      <c r="AF4014" s="210">
        <f t="shared" si="3302"/>
        <v>17.222222222222221</v>
      </c>
      <c r="AG4014" s="211">
        <f t="shared" si="3303"/>
        <v>0.13500000000000001</v>
      </c>
      <c r="AH4014" s="157">
        <f t="shared" si="3304"/>
        <v>40.5</v>
      </c>
      <c r="AI4014" s="152">
        <f t="shared" si="3305"/>
        <v>300000</v>
      </c>
      <c r="AK4014" s="156" t="s">
        <v>691</v>
      </c>
      <c r="AL4014" s="574" t="s">
        <v>690</v>
      </c>
      <c r="AM4014" s="198">
        <f t="shared" si="3306"/>
        <v>40500</v>
      </c>
      <c r="AN4014" s="199">
        <f t="shared" si="3307"/>
        <v>46419</v>
      </c>
      <c r="AO4014" s="159" t="s">
        <v>692</v>
      </c>
      <c r="AP4014" s="783" t="s">
        <v>622</v>
      </c>
      <c r="AQ4014" s="782">
        <v>12071839</v>
      </c>
      <c r="AR4014" s="782">
        <v>12099098</v>
      </c>
      <c r="AS4014" s="782">
        <v>12068233</v>
      </c>
      <c r="AT4014" s="781"/>
      <c r="AU4014" s="781"/>
      <c r="AV4014" s="782">
        <v>12099466</v>
      </c>
      <c r="AW4014" s="781"/>
      <c r="AX4014" s="781"/>
      <c r="AY4014" s="782">
        <v>12099097</v>
      </c>
      <c r="AZ4014" s="782"/>
      <c r="BA4014" s="781"/>
      <c r="BB4014" s="209">
        <v>23053184</v>
      </c>
    </row>
    <row r="4015" spans="1:54" ht="24.65" customHeight="1">
      <c r="A4015" s="142" t="s">
        <v>3156</v>
      </c>
      <c r="B4015" s="411">
        <v>46357</v>
      </c>
      <c r="C4015" s="645">
        <v>46388</v>
      </c>
      <c r="D4015" s="185">
        <f t="shared" si="3293"/>
        <v>2026</v>
      </c>
      <c r="E4015" s="412" t="e">
        <f>VLOOKUP($B4015,Week!$A$1:$C$1462,2,0)</f>
        <v>#N/A</v>
      </c>
      <c r="F4015" s="413" t="str">
        <f t="shared" si="3294"/>
        <v>Dec</v>
      </c>
      <c r="G4015" s="414"/>
      <c r="H4015" s="414" t="s">
        <v>260</v>
      </c>
      <c r="I4015" s="414" t="s">
        <v>2702</v>
      </c>
      <c r="J4015" s="415" t="s">
        <v>261</v>
      </c>
      <c r="K4015" s="416" t="s">
        <v>94</v>
      </c>
      <c r="L4015" s="300" t="s">
        <v>2167</v>
      </c>
      <c r="M4015" s="415" t="s">
        <v>2339</v>
      </c>
      <c r="N4015" s="414" t="s">
        <v>263</v>
      </c>
      <c r="O4015" s="414" t="s">
        <v>195</v>
      </c>
      <c r="P4015" s="417">
        <v>24</v>
      </c>
      <c r="Q4015" s="417">
        <v>5</v>
      </c>
      <c r="R4015" s="418">
        <v>8.0000000000000002E-3</v>
      </c>
      <c r="S4015" s="414" t="s">
        <v>40</v>
      </c>
      <c r="T4015" s="414" t="s">
        <v>56</v>
      </c>
      <c r="U4015" s="414" t="s">
        <v>57</v>
      </c>
      <c r="V4015" s="419">
        <v>10000</v>
      </c>
      <c r="W4015" s="419"/>
      <c r="X4015" s="420"/>
      <c r="Y4015" s="421">
        <f t="shared" ref="Y4015:Y4024" si="3308">(W4015+X4015)-V4015</f>
        <v>-10000</v>
      </c>
      <c r="Z4015" s="422">
        <f t="shared" ref="Z4015:Z4024" si="3309">IF(Y4015&lt;0,((V4015*P4015)-((W4015+X4015)*P4015)),0)</f>
        <v>240000</v>
      </c>
      <c r="AA4015" s="422">
        <f t="shared" ref="AA4015:AA4024" si="3310">Q4015*Z4015</f>
        <v>1200000</v>
      </c>
      <c r="AB4015" s="825">
        <v>7.4999999999999997E-3</v>
      </c>
      <c r="AC4015" s="419">
        <f t="shared" ref="AC4015:AC4024" si="3311">Z4015*AB4015</f>
        <v>1800</v>
      </c>
      <c r="AD4015" s="209"/>
      <c r="AE4015" s="210">
        <f t="shared" ref="AE4015:AE4024" si="3312">SUM(Q4015*R4015*Z4015)/1000</f>
        <v>9.6</v>
      </c>
      <c r="AF4015" s="210">
        <f t="shared" ref="AF4015:AF4024" si="3313">AE4015/0.54</f>
        <v>17.777777777777775</v>
      </c>
      <c r="AG4015" s="211">
        <f t="shared" ref="AG4015:AG4021" si="3314">MID(O4015,1,3)/1000</f>
        <v>0.14499999999999999</v>
      </c>
      <c r="AH4015" s="157">
        <f t="shared" ref="AH4015:AH4024" si="3315">(Z4015*AG4015)/1000</f>
        <v>34.799999999999997</v>
      </c>
      <c r="AI4015" s="152">
        <f t="shared" ref="AI4015:AI4024" si="3316">V4015*P4015</f>
        <v>240000</v>
      </c>
      <c r="AK4015" s="156" t="s">
        <v>691</v>
      </c>
      <c r="AL4015" s="212" t="s">
        <v>690</v>
      </c>
      <c r="AM4015" s="198">
        <f t="shared" ref="AM4015:AM4024" si="3317">AG4015*Z4015</f>
        <v>34800</v>
      </c>
      <c r="AN4015" s="199">
        <f t="shared" ref="AN4015:AN4024" si="3318">B4015</f>
        <v>46357</v>
      </c>
      <c r="AO4015" s="159" t="s">
        <v>692</v>
      </c>
      <c r="AP4015" s="783" t="s">
        <v>609</v>
      </c>
      <c r="AQ4015" s="782">
        <v>12071839</v>
      </c>
      <c r="AR4015" s="782">
        <v>12047514</v>
      </c>
      <c r="AS4015" s="782">
        <v>12047515</v>
      </c>
      <c r="AT4015" s="781"/>
      <c r="AU4015" s="781"/>
      <c r="AV4015" s="782">
        <v>12080613</v>
      </c>
      <c r="AW4015" s="781"/>
      <c r="AX4015" s="781"/>
      <c r="AY4015" s="782">
        <v>12094241</v>
      </c>
      <c r="AZ4015" s="782">
        <v>12094242</v>
      </c>
      <c r="BA4015" s="781"/>
      <c r="BB4015" s="209">
        <v>23053185</v>
      </c>
    </row>
    <row r="4016" spans="1:54" ht="24.65" customHeight="1">
      <c r="A4016" s="142" t="s">
        <v>3156</v>
      </c>
      <c r="B4016" s="411">
        <v>46388</v>
      </c>
      <c r="C4016" s="645">
        <v>46419</v>
      </c>
      <c r="D4016" s="185">
        <f t="shared" ref="D4016:D4017" si="3319">IF(B4016="","",YEAR(B4016))</f>
        <v>2027</v>
      </c>
      <c r="E4016" s="412" t="e">
        <f>VLOOKUP($B4016,Week!$A$1:$C$1462,2,0)</f>
        <v>#N/A</v>
      </c>
      <c r="F4016" s="413" t="str">
        <f t="shared" ref="F4016:F4017" si="3320">IF(B4016="","",TEXT(B4016,"[$-409]mmm"))</f>
        <v>Jan</v>
      </c>
      <c r="G4016" s="414"/>
      <c r="H4016" s="414" t="s">
        <v>260</v>
      </c>
      <c r="I4016" s="414" t="s">
        <v>2702</v>
      </c>
      <c r="J4016" s="415" t="s">
        <v>261</v>
      </c>
      <c r="K4016" s="416" t="s">
        <v>94</v>
      </c>
      <c r="L4016" s="300" t="s">
        <v>2167</v>
      </c>
      <c r="M4016" s="415" t="s">
        <v>2339</v>
      </c>
      <c r="N4016" s="414" t="s">
        <v>263</v>
      </c>
      <c r="O4016" s="414" t="s">
        <v>195</v>
      </c>
      <c r="P4016" s="417">
        <v>24</v>
      </c>
      <c r="Q4016" s="417">
        <v>5</v>
      </c>
      <c r="R4016" s="418">
        <v>8.0000000000000002E-3</v>
      </c>
      <c r="S4016" s="414" t="s">
        <v>40</v>
      </c>
      <c r="T4016" s="414" t="s">
        <v>56</v>
      </c>
      <c r="U4016" s="414" t="s">
        <v>57</v>
      </c>
      <c r="V4016" s="419">
        <v>10000</v>
      </c>
      <c r="W4016" s="419"/>
      <c r="X4016" s="420"/>
      <c r="Y4016" s="421">
        <f t="shared" ref="Y4016:Y4017" si="3321">(W4016+X4016)-V4016</f>
        <v>-10000</v>
      </c>
      <c r="Z4016" s="422">
        <f t="shared" ref="Z4016:Z4017" si="3322">IF(Y4016&lt;0,((V4016*P4016)-((W4016+X4016)*P4016)),0)</f>
        <v>240000</v>
      </c>
      <c r="AA4016" s="422">
        <f t="shared" ref="AA4016:AA4017" si="3323">Q4016*Z4016</f>
        <v>1200000</v>
      </c>
      <c r="AB4016" s="825">
        <v>7.4999999999999997E-3</v>
      </c>
      <c r="AC4016" s="419">
        <f t="shared" ref="AC4016:AC4017" si="3324">Z4016*AB4016</f>
        <v>1800</v>
      </c>
      <c r="AD4016" s="209"/>
      <c r="AE4016" s="210">
        <f>SUM(Q4016*R4016*Z4016)/1000</f>
        <v>9.6</v>
      </c>
      <c r="AF4016" s="210">
        <f>AE4016/0.54</f>
        <v>17.777777777777775</v>
      </c>
      <c r="AG4016" s="211">
        <f t="shared" ref="AG4016:AG4017" si="3325">MID(O4016,1,3)/1000</f>
        <v>0.14499999999999999</v>
      </c>
      <c r="AH4016" s="157">
        <f t="shared" ref="AH4016:AH4017" si="3326">(Z4016*AG4016)/1000</f>
        <v>34.799999999999997</v>
      </c>
      <c r="AI4016" s="152">
        <f t="shared" ref="AI4016:AI4017" si="3327">V4016*P4016</f>
        <v>240000</v>
      </c>
      <c r="AK4016" s="156" t="s">
        <v>691</v>
      </c>
      <c r="AL4016" s="212" t="s">
        <v>690</v>
      </c>
      <c r="AM4016" s="198">
        <f t="shared" ref="AM4016:AM4017" si="3328">AG4016*Z4016</f>
        <v>34800</v>
      </c>
      <c r="AN4016" s="199">
        <f t="shared" ref="AN4016:AN4017" si="3329">B4016</f>
        <v>46388</v>
      </c>
      <c r="AO4016" s="159" t="s">
        <v>692</v>
      </c>
      <c r="AP4016" s="783" t="s">
        <v>609</v>
      </c>
      <c r="AQ4016" s="782">
        <v>12071839</v>
      </c>
      <c r="AR4016" s="782">
        <v>12047514</v>
      </c>
      <c r="AS4016" s="782">
        <v>12047515</v>
      </c>
      <c r="AT4016" s="781"/>
      <c r="AU4016" s="781"/>
      <c r="AV4016" s="782">
        <v>12080613</v>
      </c>
      <c r="AW4016" s="781"/>
      <c r="AX4016" s="781"/>
      <c r="AY4016" s="782">
        <v>12094241</v>
      </c>
      <c r="AZ4016" s="782">
        <v>12094242</v>
      </c>
      <c r="BA4016" s="781"/>
      <c r="BB4016" s="209">
        <v>23053185</v>
      </c>
    </row>
    <row r="4017" spans="1:54" ht="24.65" customHeight="1">
      <c r="A4017" s="142" t="s">
        <v>3156</v>
      </c>
      <c r="B4017" s="411">
        <v>46419</v>
      </c>
      <c r="C4017" s="645">
        <v>46447</v>
      </c>
      <c r="D4017" s="185">
        <f t="shared" si="3319"/>
        <v>2027</v>
      </c>
      <c r="E4017" s="412" t="e">
        <f>VLOOKUP($B4017,Week!$A$1:$C$1462,2,0)</f>
        <v>#N/A</v>
      </c>
      <c r="F4017" s="413" t="str">
        <f t="shared" si="3320"/>
        <v>Feb</v>
      </c>
      <c r="G4017" s="414"/>
      <c r="H4017" s="414" t="s">
        <v>260</v>
      </c>
      <c r="I4017" s="414" t="s">
        <v>2702</v>
      </c>
      <c r="J4017" s="415" t="s">
        <v>261</v>
      </c>
      <c r="K4017" s="416" t="s">
        <v>94</v>
      </c>
      <c r="L4017" s="300" t="s">
        <v>2167</v>
      </c>
      <c r="M4017" s="415" t="s">
        <v>2339</v>
      </c>
      <c r="N4017" s="414" t="s">
        <v>263</v>
      </c>
      <c r="O4017" s="414" t="s">
        <v>195</v>
      </c>
      <c r="P4017" s="417">
        <v>24</v>
      </c>
      <c r="Q4017" s="417">
        <v>5</v>
      </c>
      <c r="R4017" s="418">
        <v>8.0000000000000002E-3</v>
      </c>
      <c r="S4017" s="414" t="s">
        <v>40</v>
      </c>
      <c r="T4017" s="414" t="s">
        <v>56</v>
      </c>
      <c r="U4017" s="414" t="s">
        <v>57</v>
      </c>
      <c r="V4017" s="419">
        <v>10000</v>
      </c>
      <c r="W4017" s="419"/>
      <c r="X4017" s="420"/>
      <c r="Y4017" s="421">
        <f t="shared" si="3321"/>
        <v>-10000</v>
      </c>
      <c r="Z4017" s="422">
        <f t="shared" si="3322"/>
        <v>240000</v>
      </c>
      <c r="AA4017" s="422">
        <f t="shared" si="3323"/>
        <v>1200000</v>
      </c>
      <c r="AB4017" s="825">
        <v>7.4999999999999997E-3</v>
      </c>
      <c r="AC4017" s="419">
        <f t="shared" si="3324"/>
        <v>1800</v>
      </c>
      <c r="AD4017" s="209"/>
      <c r="AE4017" s="210">
        <f t="shared" ref="AE4017" si="3330">SUM(Q4017*R4017*Z4017)/1000</f>
        <v>9.6</v>
      </c>
      <c r="AF4017" s="210">
        <f t="shared" ref="AF4017" si="3331">AE4017/0.54</f>
        <v>17.777777777777775</v>
      </c>
      <c r="AG4017" s="211">
        <f t="shared" si="3325"/>
        <v>0.14499999999999999</v>
      </c>
      <c r="AH4017" s="157">
        <f t="shared" si="3326"/>
        <v>34.799999999999997</v>
      </c>
      <c r="AI4017" s="152">
        <f t="shared" si="3327"/>
        <v>240000</v>
      </c>
      <c r="AK4017" s="156" t="s">
        <v>691</v>
      </c>
      <c r="AL4017" s="212" t="s">
        <v>690</v>
      </c>
      <c r="AM4017" s="198">
        <f t="shared" si="3328"/>
        <v>34800</v>
      </c>
      <c r="AN4017" s="199">
        <f t="shared" si="3329"/>
        <v>46419</v>
      </c>
      <c r="AO4017" s="159" t="s">
        <v>692</v>
      </c>
      <c r="AP4017" s="783" t="s">
        <v>609</v>
      </c>
      <c r="AQ4017" s="782">
        <v>12071839</v>
      </c>
      <c r="AR4017" s="782">
        <v>12047514</v>
      </c>
      <c r="AS4017" s="782">
        <v>12047515</v>
      </c>
      <c r="AT4017" s="781"/>
      <c r="AU4017" s="781"/>
      <c r="AV4017" s="782">
        <v>12080613</v>
      </c>
      <c r="AW4017" s="781"/>
      <c r="AX4017" s="781"/>
      <c r="AY4017" s="782">
        <v>12094241</v>
      </c>
      <c r="AZ4017" s="782">
        <v>12094242</v>
      </c>
      <c r="BA4017" s="781"/>
      <c r="BB4017" s="209">
        <v>23053185</v>
      </c>
    </row>
    <row r="4018" spans="1:54" ht="25" customHeight="1">
      <c r="A4018" s="142" t="s">
        <v>3156</v>
      </c>
      <c r="B4018" s="950">
        <v>46357</v>
      </c>
      <c r="C4018" s="951">
        <v>46388</v>
      </c>
      <c r="D4018" s="215">
        <f t="shared" ref="D4018" si="3332">IF(B4018="","",YEAR(B4018))</f>
        <v>2026</v>
      </c>
      <c r="E4018" s="214" t="e">
        <f>VLOOKUP($B4018,Week!$A$1:$C$1462,2,0)</f>
        <v>#N/A</v>
      </c>
      <c r="F4018" s="216" t="str">
        <f t="shared" ref="F4018" si="3333">IF(B4018="","",TEXT(B4018,"[$-409]mmm"))</f>
        <v>Dec</v>
      </c>
      <c r="G4018" s="952"/>
      <c r="H4018" s="952" t="s">
        <v>260</v>
      </c>
      <c r="I4018" s="215" t="s">
        <v>2702</v>
      </c>
      <c r="J4018" s="953" t="s">
        <v>2702</v>
      </c>
      <c r="K4018" s="954" t="s">
        <v>2703</v>
      </c>
      <c r="L4018" s="217" t="s">
        <v>2167</v>
      </c>
      <c r="M4018" s="953" t="s">
        <v>2899</v>
      </c>
      <c r="N4018" s="955" t="s">
        <v>2704</v>
      </c>
      <c r="O4018" s="952" t="s">
        <v>1635</v>
      </c>
      <c r="P4018" s="956">
        <v>24</v>
      </c>
      <c r="Q4018" s="956">
        <v>3</v>
      </c>
      <c r="R4018" s="957">
        <v>6.1999999999999998E-3</v>
      </c>
      <c r="S4018" s="952" t="s">
        <v>352</v>
      </c>
      <c r="T4018" s="952" t="s">
        <v>56</v>
      </c>
      <c r="U4018" s="958" t="s">
        <v>739</v>
      </c>
      <c r="V4018" s="959">
        <v>2400</v>
      </c>
      <c r="W4018" s="959"/>
      <c r="X4018" s="960"/>
      <c r="Y4018" s="961">
        <f t="shared" si="3308"/>
        <v>-2400</v>
      </c>
      <c r="Z4018" s="962">
        <f t="shared" si="3309"/>
        <v>57600</v>
      </c>
      <c r="AA4018" s="962">
        <f t="shared" si="3310"/>
        <v>172800</v>
      </c>
      <c r="AB4018" s="963">
        <v>1.83E-2</v>
      </c>
      <c r="AC4018" s="959">
        <f t="shared" si="3311"/>
        <v>1054.08</v>
      </c>
      <c r="AD4018" s="443"/>
      <c r="AE4018" s="210">
        <f t="shared" si="3312"/>
        <v>1.0713599999999999</v>
      </c>
      <c r="AF4018" s="210">
        <f t="shared" si="3313"/>
        <v>1.9839999999999995</v>
      </c>
      <c r="AG4018" s="211">
        <f t="shared" si="3314"/>
        <v>0.25</v>
      </c>
      <c r="AH4018" s="157">
        <v>0.26621999999999996</v>
      </c>
      <c r="AI4018" s="152">
        <f t="shared" si="3316"/>
        <v>57600</v>
      </c>
      <c r="AK4018" s="156" t="s">
        <v>691</v>
      </c>
      <c r="AL4018" s="574" t="s">
        <v>690</v>
      </c>
      <c r="AM4018" s="198">
        <f t="shared" si="3317"/>
        <v>14400</v>
      </c>
      <c r="AN4018" s="199">
        <f t="shared" si="3318"/>
        <v>46357</v>
      </c>
      <c r="AO4018" s="159" t="s">
        <v>692</v>
      </c>
      <c r="AP4018" s="781" t="s">
        <v>642</v>
      </c>
      <c r="AQ4018" s="782">
        <v>12071839</v>
      </c>
      <c r="AR4018" s="782">
        <v>12042650</v>
      </c>
      <c r="AS4018" s="782">
        <v>12042649</v>
      </c>
      <c r="AT4018" s="782"/>
      <c r="AU4018" s="783"/>
      <c r="AV4018" s="782">
        <v>12097895</v>
      </c>
      <c r="AW4018" s="783"/>
      <c r="AX4018" s="781"/>
      <c r="AY4018" s="796">
        <v>12097893</v>
      </c>
      <c r="AZ4018" s="796">
        <v>12097894</v>
      </c>
      <c r="BA4018" s="796" t="s">
        <v>2462</v>
      </c>
      <c r="BB4018" s="209">
        <v>23099860</v>
      </c>
    </row>
    <row r="4019" spans="1:54" ht="25" customHeight="1">
      <c r="A4019" s="142" t="s">
        <v>3156</v>
      </c>
      <c r="B4019" s="950">
        <v>46388</v>
      </c>
      <c r="C4019" s="951">
        <v>46419</v>
      </c>
      <c r="D4019" s="215">
        <f t="shared" ref="D4019:D4020" si="3334">IF(B4019="","",YEAR(B4019))</f>
        <v>2027</v>
      </c>
      <c r="E4019" s="214" t="e">
        <f>VLOOKUP($B4019,Week!$A$1:$C$1462,2,0)</f>
        <v>#N/A</v>
      </c>
      <c r="F4019" s="216" t="str">
        <f t="shared" ref="F4019:F4020" si="3335">IF(B4019="","",TEXT(B4019,"[$-409]mmm"))</f>
        <v>Jan</v>
      </c>
      <c r="G4019" s="952"/>
      <c r="H4019" s="952" t="s">
        <v>260</v>
      </c>
      <c r="I4019" s="215" t="s">
        <v>2702</v>
      </c>
      <c r="J4019" s="953" t="s">
        <v>2702</v>
      </c>
      <c r="K4019" s="954" t="s">
        <v>2703</v>
      </c>
      <c r="L4019" s="217" t="s">
        <v>2167</v>
      </c>
      <c r="M4019" s="953" t="s">
        <v>2899</v>
      </c>
      <c r="N4019" s="955" t="s">
        <v>2704</v>
      </c>
      <c r="O4019" s="952" t="s">
        <v>1635</v>
      </c>
      <c r="P4019" s="956">
        <v>24</v>
      </c>
      <c r="Q4019" s="956">
        <v>3</v>
      </c>
      <c r="R4019" s="957">
        <v>6.1999999999999998E-3</v>
      </c>
      <c r="S4019" s="952" t="s">
        <v>352</v>
      </c>
      <c r="T4019" s="952" t="s">
        <v>56</v>
      </c>
      <c r="U4019" s="958" t="s">
        <v>739</v>
      </c>
      <c r="V4019" s="959">
        <v>2400</v>
      </c>
      <c r="W4019" s="959"/>
      <c r="X4019" s="960"/>
      <c r="Y4019" s="961">
        <f t="shared" ref="Y4019:Y4020" si="3336">(W4019+X4019)-V4019</f>
        <v>-2400</v>
      </c>
      <c r="Z4019" s="962">
        <f t="shared" ref="Z4019:Z4020" si="3337">IF(Y4019&lt;0,((V4019*P4019)-((W4019+X4019)*P4019)),0)</f>
        <v>57600</v>
      </c>
      <c r="AA4019" s="962">
        <f t="shared" ref="AA4019:AA4020" si="3338">Q4019*Z4019</f>
        <v>172800</v>
      </c>
      <c r="AB4019" s="963">
        <v>1.83E-2</v>
      </c>
      <c r="AC4019" s="959">
        <f t="shared" ref="AC4019:AC4020" si="3339">Z4019*AB4019</f>
        <v>1054.08</v>
      </c>
      <c r="AD4019" s="443"/>
      <c r="AE4019" s="210">
        <f t="shared" ref="AE4019:AE4020" si="3340">SUM(Q4019*R4019*Z4019)/1000</f>
        <v>1.0713599999999999</v>
      </c>
      <c r="AF4019" s="210">
        <f t="shared" ref="AF4019:AF4020" si="3341">AE4019/0.54</f>
        <v>1.9839999999999995</v>
      </c>
      <c r="AG4019" s="211">
        <f t="shared" ref="AG4019:AG4020" si="3342">MID(O4019,1,3)/1000</f>
        <v>0.25</v>
      </c>
      <c r="AH4019" s="157">
        <v>0.26621999999999996</v>
      </c>
      <c r="AI4019" s="152">
        <f t="shared" ref="AI4019:AI4020" si="3343">V4019*P4019</f>
        <v>57600</v>
      </c>
      <c r="AK4019" s="156" t="s">
        <v>691</v>
      </c>
      <c r="AL4019" s="574" t="s">
        <v>690</v>
      </c>
      <c r="AM4019" s="198">
        <f t="shared" ref="AM4019:AM4020" si="3344">AG4019*Z4019</f>
        <v>14400</v>
      </c>
      <c r="AN4019" s="199">
        <f t="shared" ref="AN4019:AN4020" si="3345">B4019</f>
        <v>46388</v>
      </c>
      <c r="AO4019" s="159" t="s">
        <v>692</v>
      </c>
      <c r="AP4019" s="781" t="s">
        <v>642</v>
      </c>
      <c r="AQ4019" s="782">
        <v>12071839</v>
      </c>
      <c r="AR4019" s="782">
        <v>12042650</v>
      </c>
      <c r="AS4019" s="782">
        <v>12042649</v>
      </c>
      <c r="AT4019" s="782"/>
      <c r="AU4019" s="783"/>
      <c r="AV4019" s="782">
        <v>12097895</v>
      </c>
      <c r="AW4019" s="783"/>
      <c r="AX4019" s="781"/>
      <c r="AY4019" s="796">
        <v>12097893</v>
      </c>
      <c r="AZ4019" s="796">
        <v>12097894</v>
      </c>
      <c r="BA4019" s="796" t="s">
        <v>2462</v>
      </c>
      <c r="BB4019" s="209">
        <v>23099860</v>
      </c>
    </row>
    <row r="4020" spans="1:54" ht="25" customHeight="1">
      <c r="A4020" s="142" t="s">
        <v>3156</v>
      </c>
      <c r="B4020" s="950">
        <v>46419</v>
      </c>
      <c r="C4020" s="951">
        <v>46447</v>
      </c>
      <c r="D4020" s="215">
        <f t="shared" si="3334"/>
        <v>2027</v>
      </c>
      <c r="E4020" s="214" t="e">
        <f>VLOOKUP($B4020,Week!$A$1:$C$1462,2,0)</f>
        <v>#N/A</v>
      </c>
      <c r="F4020" s="216" t="str">
        <f t="shared" si="3335"/>
        <v>Feb</v>
      </c>
      <c r="G4020" s="952"/>
      <c r="H4020" s="952" t="s">
        <v>260</v>
      </c>
      <c r="I4020" s="215" t="s">
        <v>2702</v>
      </c>
      <c r="J4020" s="953" t="s">
        <v>2702</v>
      </c>
      <c r="K4020" s="954" t="s">
        <v>2703</v>
      </c>
      <c r="L4020" s="217" t="s">
        <v>2167</v>
      </c>
      <c r="M4020" s="953" t="s">
        <v>2899</v>
      </c>
      <c r="N4020" s="955" t="s">
        <v>2704</v>
      </c>
      <c r="O4020" s="952" t="s">
        <v>1635</v>
      </c>
      <c r="P4020" s="956">
        <v>24</v>
      </c>
      <c r="Q4020" s="956">
        <v>3</v>
      </c>
      <c r="R4020" s="957">
        <v>6.1999999999999998E-3</v>
      </c>
      <c r="S4020" s="952" t="s">
        <v>352</v>
      </c>
      <c r="T4020" s="952" t="s">
        <v>56</v>
      </c>
      <c r="U4020" s="958" t="s">
        <v>739</v>
      </c>
      <c r="V4020" s="959">
        <v>2400</v>
      </c>
      <c r="W4020" s="959"/>
      <c r="X4020" s="960"/>
      <c r="Y4020" s="961">
        <f t="shared" si="3336"/>
        <v>-2400</v>
      </c>
      <c r="Z4020" s="962">
        <f t="shared" si="3337"/>
        <v>57600</v>
      </c>
      <c r="AA4020" s="962">
        <f t="shared" si="3338"/>
        <v>172800</v>
      </c>
      <c r="AB4020" s="963">
        <v>1.83E-2</v>
      </c>
      <c r="AC4020" s="959">
        <f t="shared" si="3339"/>
        <v>1054.08</v>
      </c>
      <c r="AD4020" s="443"/>
      <c r="AE4020" s="210">
        <f t="shared" si="3340"/>
        <v>1.0713599999999999</v>
      </c>
      <c r="AF4020" s="210">
        <f t="shared" si="3341"/>
        <v>1.9839999999999995</v>
      </c>
      <c r="AG4020" s="211">
        <f t="shared" si="3342"/>
        <v>0.25</v>
      </c>
      <c r="AH4020" s="157">
        <v>0.26621999999999996</v>
      </c>
      <c r="AI4020" s="152">
        <f t="shared" si="3343"/>
        <v>57600</v>
      </c>
      <c r="AK4020" s="156" t="s">
        <v>691</v>
      </c>
      <c r="AL4020" s="574" t="s">
        <v>690</v>
      </c>
      <c r="AM4020" s="198">
        <f t="shared" si="3344"/>
        <v>14400</v>
      </c>
      <c r="AN4020" s="199">
        <f t="shared" si="3345"/>
        <v>46419</v>
      </c>
      <c r="AO4020" s="159" t="s">
        <v>692</v>
      </c>
      <c r="AP4020" s="781" t="s">
        <v>642</v>
      </c>
      <c r="AQ4020" s="782">
        <v>12071839</v>
      </c>
      <c r="AR4020" s="782">
        <v>12042650</v>
      </c>
      <c r="AS4020" s="782">
        <v>12042649</v>
      </c>
      <c r="AT4020" s="782"/>
      <c r="AU4020" s="783"/>
      <c r="AV4020" s="782">
        <v>12097895</v>
      </c>
      <c r="AW4020" s="783"/>
      <c r="AX4020" s="781"/>
      <c r="AY4020" s="796">
        <v>12097893</v>
      </c>
      <c r="AZ4020" s="796">
        <v>12097894</v>
      </c>
      <c r="BA4020" s="796" t="s">
        <v>2462</v>
      </c>
      <c r="BB4020" s="209">
        <v>23099860</v>
      </c>
    </row>
    <row r="4021" spans="1:54" ht="25" customHeight="1">
      <c r="A4021" s="142" t="s">
        <v>3156</v>
      </c>
      <c r="B4021" s="357">
        <v>46357</v>
      </c>
      <c r="C4021" s="776">
        <v>46388</v>
      </c>
      <c r="D4021" s="185">
        <f t="shared" si="3293"/>
        <v>2026</v>
      </c>
      <c r="E4021" s="358" t="e">
        <f>VLOOKUP($B4021,Week!$A$1:$C$1462,2,0)</f>
        <v>#N/A</v>
      </c>
      <c r="F4021" s="360" t="str">
        <f t="shared" si="3294"/>
        <v>Dec</v>
      </c>
      <c r="G4021" s="359"/>
      <c r="H4021" s="359" t="s">
        <v>518</v>
      </c>
      <c r="I4021" s="359" t="s">
        <v>2702</v>
      </c>
      <c r="J4021" s="361" t="s">
        <v>70</v>
      </c>
      <c r="K4021" s="362" t="s">
        <v>94</v>
      </c>
      <c r="L4021" s="300" t="s">
        <v>2167</v>
      </c>
      <c r="M4021" s="361" t="s">
        <v>2341</v>
      </c>
      <c r="N4021" s="359" t="s">
        <v>589</v>
      </c>
      <c r="O4021" s="359" t="s">
        <v>97</v>
      </c>
      <c r="P4021" s="363">
        <v>12</v>
      </c>
      <c r="Q4021" s="363">
        <v>5</v>
      </c>
      <c r="R4021" s="364">
        <v>8.0000000000000002E-3</v>
      </c>
      <c r="S4021" s="359" t="s">
        <v>40</v>
      </c>
      <c r="T4021" s="359" t="s">
        <v>56</v>
      </c>
      <c r="U4021" s="359" t="s">
        <v>57</v>
      </c>
      <c r="V4021" s="365">
        <f>1750</f>
        <v>1750</v>
      </c>
      <c r="W4021" s="365"/>
      <c r="X4021" s="366"/>
      <c r="Y4021" s="367">
        <f t="shared" si="3308"/>
        <v>-1750</v>
      </c>
      <c r="Z4021" s="368">
        <f t="shared" si="3309"/>
        <v>21000</v>
      </c>
      <c r="AA4021" s="368">
        <f t="shared" si="3310"/>
        <v>105000</v>
      </c>
      <c r="AB4021" s="819">
        <v>7.4999999999999997E-3</v>
      </c>
      <c r="AC4021" s="365">
        <f t="shared" si="3311"/>
        <v>157.5</v>
      </c>
      <c r="AD4021" s="209"/>
      <c r="AE4021" s="210">
        <f t="shared" si="3312"/>
        <v>0.84</v>
      </c>
      <c r="AF4021" s="210">
        <f t="shared" si="3313"/>
        <v>1.5555555555555554</v>
      </c>
      <c r="AG4021" s="211">
        <f t="shared" si="3314"/>
        <v>0.14499999999999999</v>
      </c>
      <c r="AH4021" s="157">
        <f t="shared" si="3315"/>
        <v>3.0449999999999999</v>
      </c>
      <c r="AI4021" s="152">
        <f t="shared" si="3316"/>
        <v>21000</v>
      </c>
      <c r="AK4021" s="156" t="s">
        <v>691</v>
      </c>
      <c r="AL4021" s="574" t="s">
        <v>690</v>
      </c>
      <c r="AM4021" s="198">
        <f t="shared" si="3317"/>
        <v>3045</v>
      </c>
      <c r="AN4021" s="199">
        <f t="shared" si="3318"/>
        <v>46357</v>
      </c>
      <c r="AO4021" s="159" t="s">
        <v>692</v>
      </c>
      <c r="AP4021" s="783" t="s">
        <v>628</v>
      </c>
      <c r="AQ4021" s="782">
        <v>12071839</v>
      </c>
      <c r="AR4021" s="782">
        <v>12047514</v>
      </c>
      <c r="AS4021" s="782">
        <v>12047515</v>
      </c>
      <c r="AT4021" s="782"/>
      <c r="AU4021" s="781"/>
      <c r="AV4021" s="782">
        <v>12080617</v>
      </c>
      <c r="AW4021" s="782"/>
      <c r="AX4021" s="782"/>
      <c r="AY4021" s="782">
        <v>12094231</v>
      </c>
      <c r="AZ4021" s="782">
        <v>1209232</v>
      </c>
      <c r="BA4021" s="781"/>
      <c r="BB4021" s="209">
        <v>23053185</v>
      </c>
    </row>
    <row r="4022" spans="1:54" ht="25" customHeight="1">
      <c r="A4022" s="142" t="s">
        <v>3156</v>
      </c>
      <c r="B4022" s="357">
        <v>46388</v>
      </c>
      <c r="C4022" s="776">
        <v>46419</v>
      </c>
      <c r="D4022" s="185">
        <f t="shared" ref="D4022:D4023" si="3346">IF(B4022="","",YEAR(B4022))</f>
        <v>2027</v>
      </c>
      <c r="E4022" s="358" t="e">
        <f>VLOOKUP($B4022,Week!$A$1:$C$1462,2,0)</f>
        <v>#N/A</v>
      </c>
      <c r="F4022" s="360" t="str">
        <f t="shared" ref="F4022:F4023" si="3347">IF(B4022="","",TEXT(B4022,"[$-409]mmm"))</f>
        <v>Jan</v>
      </c>
      <c r="G4022" s="359"/>
      <c r="H4022" s="359" t="s">
        <v>518</v>
      </c>
      <c r="I4022" s="359" t="s">
        <v>2702</v>
      </c>
      <c r="J4022" s="361" t="s">
        <v>70</v>
      </c>
      <c r="K4022" s="362" t="s">
        <v>94</v>
      </c>
      <c r="L4022" s="300" t="s">
        <v>2167</v>
      </c>
      <c r="M4022" s="361" t="s">
        <v>2341</v>
      </c>
      <c r="N4022" s="359" t="s">
        <v>589</v>
      </c>
      <c r="O4022" s="359" t="s">
        <v>97</v>
      </c>
      <c r="P4022" s="363">
        <v>12</v>
      </c>
      <c r="Q4022" s="363">
        <v>5</v>
      </c>
      <c r="R4022" s="364">
        <v>8.0000000000000002E-3</v>
      </c>
      <c r="S4022" s="359" t="s">
        <v>40</v>
      </c>
      <c r="T4022" s="359" t="s">
        <v>56</v>
      </c>
      <c r="U4022" s="359" t="s">
        <v>57</v>
      </c>
      <c r="V4022" s="365">
        <f>1750</f>
        <v>1750</v>
      </c>
      <c r="W4022" s="365"/>
      <c r="X4022" s="366"/>
      <c r="Y4022" s="367">
        <f t="shared" ref="Y4022:Y4023" si="3348">(W4022+X4022)-V4022</f>
        <v>-1750</v>
      </c>
      <c r="Z4022" s="368">
        <f t="shared" ref="Z4022:Z4023" si="3349">IF(Y4022&lt;0,((V4022*P4022)-((W4022+X4022)*P4022)),0)</f>
        <v>21000</v>
      </c>
      <c r="AA4022" s="368">
        <f t="shared" ref="AA4022:AA4023" si="3350">Q4022*Z4022</f>
        <v>105000</v>
      </c>
      <c r="AB4022" s="819">
        <v>7.4999999999999997E-3</v>
      </c>
      <c r="AC4022" s="365">
        <f t="shared" ref="AC4022:AC4023" si="3351">Z4022*AB4022</f>
        <v>157.5</v>
      </c>
      <c r="AD4022" s="209"/>
      <c r="AE4022" s="210">
        <f t="shared" ref="AE4022:AE4023" si="3352">SUM(Q4022*R4022*Z4022)/1000</f>
        <v>0.84</v>
      </c>
      <c r="AF4022" s="210">
        <f t="shared" ref="AF4022:AF4023" si="3353">AE4022/0.54</f>
        <v>1.5555555555555554</v>
      </c>
      <c r="AG4022" s="211">
        <f t="shared" ref="AG4022:AG4023" si="3354">MID(O4022,1,3)/1000</f>
        <v>0.14499999999999999</v>
      </c>
      <c r="AH4022" s="157">
        <f t="shared" ref="AH4022:AH4023" si="3355">(Z4022*AG4022)/1000</f>
        <v>3.0449999999999999</v>
      </c>
      <c r="AI4022" s="152">
        <f t="shared" ref="AI4022:AI4023" si="3356">V4022*P4022</f>
        <v>21000</v>
      </c>
      <c r="AK4022" s="156" t="s">
        <v>691</v>
      </c>
      <c r="AL4022" s="574" t="s">
        <v>690</v>
      </c>
      <c r="AM4022" s="198">
        <f t="shared" ref="AM4022:AM4023" si="3357">AG4022*Z4022</f>
        <v>3045</v>
      </c>
      <c r="AN4022" s="199">
        <f t="shared" ref="AN4022:AN4023" si="3358">B4022</f>
        <v>46388</v>
      </c>
      <c r="AO4022" s="159" t="s">
        <v>692</v>
      </c>
      <c r="AP4022" s="783" t="s">
        <v>628</v>
      </c>
      <c r="AQ4022" s="782">
        <v>12071839</v>
      </c>
      <c r="AR4022" s="782">
        <v>12047514</v>
      </c>
      <c r="AS4022" s="782">
        <v>12047515</v>
      </c>
      <c r="AT4022" s="782"/>
      <c r="AU4022" s="781"/>
      <c r="AV4022" s="782">
        <v>12080617</v>
      </c>
      <c r="AW4022" s="782"/>
      <c r="AX4022" s="782"/>
      <c r="AY4022" s="782">
        <v>12094231</v>
      </c>
      <c r="AZ4022" s="782">
        <v>1209232</v>
      </c>
      <c r="BA4022" s="781"/>
      <c r="BB4022" s="209">
        <v>23053185</v>
      </c>
    </row>
    <row r="4023" spans="1:54" ht="25" customHeight="1">
      <c r="A4023" s="142" t="s">
        <v>3156</v>
      </c>
      <c r="B4023" s="357">
        <v>46419</v>
      </c>
      <c r="C4023" s="776">
        <v>46447</v>
      </c>
      <c r="D4023" s="185">
        <f t="shared" si="3346"/>
        <v>2027</v>
      </c>
      <c r="E4023" s="358" t="e">
        <f>VLOOKUP($B4023,Week!$A$1:$C$1462,2,0)</f>
        <v>#N/A</v>
      </c>
      <c r="F4023" s="360" t="str">
        <f t="shared" si="3347"/>
        <v>Feb</v>
      </c>
      <c r="G4023" s="359"/>
      <c r="H4023" s="359" t="s">
        <v>518</v>
      </c>
      <c r="I4023" s="359" t="s">
        <v>2702</v>
      </c>
      <c r="J4023" s="361" t="s">
        <v>70</v>
      </c>
      <c r="K4023" s="362" t="s">
        <v>94</v>
      </c>
      <c r="L4023" s="300" t="s">
        <v>2167</v>
      </c>
      <c r="M4023" s="361" t="s">
        <v>2341</v>
      </c>
      <c r="N4023" s="359" t="s">
        <v>589</v>
      </c>
      <c r="O4023" s="359" t="s">
        <v>97</v>
      </c>
      <c r="P4023" s="363">
        <v>12</v>
      </c>
      <c r="Q4023" s="363">
        <v>5</v>
      </c>
      <c r="R4023" s="364">
        <v>8.0000000000000002E-3</v>
      </c>
      <c r="S4023" s="359" t="s">
        <v>40</v>
      </c>
      <c r="T4023" s="359" t="s">
        <v>56</v>
      </c>
      <c r="U4023" s="359" t="s">
        <v>57</v>
      </c>
      <c r="V4023" s="365">
        <f>1750</f>
        <v>1750</v>
      </c>
      <c r="W4023" s="365"/>
      <c r="X4023" s="366"/>
      <c r="Y4023" s="367">
        <f t="shared" si="3348"/>
        <v>-1750</v>
      </c>
      <c r="Z4023" s="368">
        <f t="shared" si="3349"/>
        <v>21000</v>
      </c>
      <c r="AA4023" s="368">
        <f t="shared" si="3350"/>
        <v>105000</v>
      </c>
      <c r="AB4023" s="819">
        <v>7.4999999999999997E-3</v>
      </c>
      <c r="AC4023" s="365">
        <f t="shared" si="3351"/>
        <v>157.5</v>
      </c>
      <c r="AD4023" s="209"/>
      <c r="AE4023" s="210">
        <f t="shared" si="3352"/>
        <v>0.84</v>
      </c>
      <c r="AF4023" s="210">
        <f t="shared" si="3353"/>
        <v>1.5555555555555554</v>
      </c>
      <c r="AG4023" s="211">
        <f t="shared" si="3354"/>
        <v>0.14499999999999999</v>
      </c>
      <c r="AH4023" s="157">
        <f t="shared" si="3355"/>
        <v>3.0449999999999999</v>
      </c>
      <c r="AI4023" s="152">
        <f t="shared" si="3356"/>
        <v>21000</v>
      </c>
      <c r="AK4023" s="156" t="s">
        <v>691</v>
      </c>
      <c r="AL4023" s="574" t="s">
        <v>690</v>
      </c>
      <c r="AM4023" s="198">
        <f t="shared" si="3357"/>
        <v>3045</v>
      </c>
      <c r="AN4023" s="199">
        <f t="shared" si="3358"/>
        <v>46419</v>
      </c>
      <c r="AO4023" s="159" t="s">
        <v>692</v>
      </c>
      <c r="AP4023" s="783" t="s">
        <v>628</v>
      </c>
      <c r="AQ4023" s="782">
        <v>12071839</v>
      </c>
      <c r="AR4023" s="782">
        <v>12047514</v>
      </c>
      <c r="AS4023" s="782">
        <v>12047515</v>
      </c>
      <c r="AT4023" s="782"/>
      <c r="AU4023" s="781"/>
      <c r="AV4023" s="782">
        <v>12080617</v>
      </c>
      <c r="AW4023" s="782"/>
      <c r="AX4023" s="782"/>
      <c r="AY4023" s="782">
        <v>12094231</v>
      </c>
      <c r="AZ4023" s="782">
        <v>1209232</v>
      </c>
      <c r="BA4023" s="781"/>
      <c r="BB4023" s="209">
        <v>23053185</v>
      </c>
    </row>
    <row r="4024" spans="1:54" ht="25" customHeight="1">
      <c r="A4024" s="142" t="s">
        <v>3156</v>
      </c>
      <c r="B4024" s="424">
        <v>46357</v>
      </c>
      <c r="C4024" s="647">
        <v>46388</v>
      </c>
      <c r="D4024" s="185">
        <f t="shared" si="3293"/>
        <v>2026</v>
      </c>
      <c r="E4024" s="425" t="e">
        <f>VLOOKUP($B4024,Week!$A$1:$C$1462,2,0)</f>
        <v>#N/A</v>
      </c>
      <c r="F4024" s="426" t="str">
        <f t="shared" si="3294"/>
        <v>Dec</v>
      </c>
      <c r="G4024" s="427"/>
      <c r="H4024" s="427" t="s">
        <v>518</v>
      </c>
      <c r="I4024" s="427" t="s">
        <v>2702</v>
      </c>
      <c r="J4024" s="428" t="s">
        <v>70</v>
      </c>
      <c r="K4024" s="429" t="s">
        <v>94</v>
      </c>
      <c r="L4024" s="300" t="s">
        <v>2167</v>
      </c>
      <c r="M4024" s="428" t="s">
        <v>2342</v>
      </c>
      <c r="N4024" s="427" t="s">
        <v>587</v>
      </c>
      <c r="O4024" s="427" t="s">
        <v>3198</v>
      </c>
      <c r="P4024" s="430">
        <v>18</v>
      </c>
      <c r="Q4024" s="430">
        <v>5</v>
      </c>
      <c r="R4024" s="431">
        <v>8.0000000000000002E-3</v>
      </c>
      <c r="S4024" s="427" t="s">
        <v>40</v>
      </c>
      <c r="T4024" s="427" t="s">
        <v>56</v>
      </c>
      <c r="U4024" s="427" t="s">
        <v>89</v>
      </c>
      <c r="V4024" s="432">
        <f>800</f>
        <v>800</v>
      </c>
      <c r="W4024" s="432"/>
      <c r="X4024" s="433"/>
      <c r="Y4024" s="434">
        <f t="shared" si="3308"/>
        <v>-800</v>
      </c>
      <c r="Z4024" s="435">
        <f t="shared" si="3309"/>
        <v>14400</v>
      </c>
      <c r="AA4024" s="435">
        <f t="shared" si="3310"/>
        <v>72000</v>
      </c>
      <c r="AB4024" s="826">
        <v>1</v>
      </c>
      <c r="AC4024" s="432">
        <f t="shared" si="3311"/>
        <v>14400</v>
      </c>
      <c r="AD4024" s="209"/>
      <c r="AE4024" s="210">
        <f t="shared" si="3312"/>
        <v>0.57599999999999996</v>
      </c>
      <c r="AF4024" s="210">
        <f t="shared" si="3313"/>
        <v>1.0666666666666664</v>
      </c>
      <c r="AG4024" s="211" t="e">
        <f t="shared" ref="AG4024" si="3359">(MID(O4024,1,3)/1000)/3</f>
        <v>#VALUE!</v>
      </c>
      <c r="AH4024" s="157" t="e">
        <f t="shared" si="3315"/>
        <v>#VALUE!</v>
      </c>
      <c r="AI4024" s="152">
        <f t="shared" si="3316"/>
        <v>14400</v>
      </c>
      <c r="AK4024" s="156" t="s">
        <v>691</v>
      </c>
      <c r="AL4024" s="212" t="s">
        <v>690</v>
      </c>
      <c r="AM4024" s="198" t="e">
        <f t="shared" si="3317"/>
        <v>#VALUE!</v>
      </c>
      <c r="AN4024" s="199">
        <f t="shared" si="3318"/>
        <v>46357</v>
      </c>
      <c r="AO4024" s="159" t="s">
        <v>692</v>
      </c>
      <c r="AP4024" s="783" t="s">
        <v>628</v>
      </c>
      <c r="AQ4024" s="782"/>
      <c r="AR4024" s="782"/>
      <c r="AS4024" s="782"/>
      <c r="AT4024" s="782"/>
      <c r="AU4024" s="781"/>
      <c r="AV4024" s="782">
        <v>12080791</v>
      </c>
      <c r="AW4024" s="782" t="s">
        <v>641</v>
      </c>
      <c r="AX4024" s="782" t="s">
        <v>533</v>
      </c>
      <c r="AY4024" s="782"/>
      <c r="AZ4024" s="782"/>
      <c r="BA4024" s="781"/>
      <c r="BB4024" s="209">
        <v>23053184</v>
      </c>
    </row>
    <row r="4025" spans="1:54" ht="25" customHeight="1">
      <c r="A4025" s="142" t="s">
        <v>3156</v>
      </c>
      <c r="B4025" s="424">
        <v>46388</v>
      </c>
      <c r="C4025" s="647">
        <v>46419</v>
      </c>
      <c r="D4025" s="185">
        <f t="shared" ref="D4025:D4026" si="3360">IF(B4025="","",YEAR(B4025))</f>
        <v>2027</v>
      </c>
      <c r="E4025" s="425" t="e">
        <f>VLOOKUP($B4025,Week!$A$1:$C$1462,2,0)</f>
        <v>#N/A</v>
      </c>
      <c r="F4025" s="426" t="str">
        <f t="shared" ref="F4025:F4026" si="3361">IF(B4025="","",TEXT(B4025,"[$-409]mmm"))</f>
        <v>Jan</v>
      </c>
      <c r="G4025" s="427"/>
      <c r="H4025" s="427" t="s">
        <v>518</v>
      </c>
      <c r="I4025" s="427" t="s">
        <v>2702</v>
      </c>
      <c r="J4025" s="428" t="s">
        <v>70</v>
      </c>
      <c r="K4025" s="429" t="s">
        <v>94</v>
      </c>
      <c r="L4025" s="300" t="s">
        <v>2167</v>
      </c>
      <c r="M4025" s="428" t="s">
        <v>2342</v>
      </c>
      <c r="N4025" s="427" t="s">
        <v>587</v>
      </c>
      <c r="O4025" s="427" t="s">
        <v>3198</v>
      </c>
      <c r="P4025" s="430">
        <v>18</v>
      </c>
      <c r="Q4025" s="430">
        <v>5</v>
      </c>
      <c r="R4025" s="431">
        <v>8.0000000000000002E-3</v>
      </c>
      <c r="S4025" s="427" t="s">
        <v>40</v>
      </c>
      <c r="T4025" s="427" t="s">
        <v>56</v>
      </c>
      <c r="U4025" s="427" t="s">
        <v>89</v>
      </c>
      <c r="V4025" s="432">
        <f>800</f>
        <v>800</v>
      </c>
      <c r="W4025" s="432"/>
      <c r="X4025" s="433"/>
      <c r="Y4025" s="434">
        <f t="shared" ref="Y4025:Y4026" si="3362">(W4025+X4025)-V4025</f>
        <v>-800</v>
      </c>
      <c r="Z4025" s="435">
        <f t="shared" ref="Z4025:Z4026" si="3363">IF(Y4025&lt;0,((V4025*P4025)-((W4025+X4025)*P4025)),0)</f>
        <v>14400</v>
      </c>
      <c r="AA4025" s="435">
        <f t="shared" ref="AA4025:AA4026" si="3364">Q4025*Z4025</f>
        <v>72000</v>
      </c>
      <c r="AB4025" s="826">
        <v>1</v>
      </c>
      <c r="AC4025" s="432">
        <f t="shared" ref="AC4025:AC4026" si="3365">Z4025*AB4025</f>
        <v>14400</v>
      </c>
      <c r="AD4025" s="209"/>
      <c r="AE4025" s="210">
        <f t="shared" ref="AE4025:AE4026" si="3366">SUM(Q4025*R4025*Z4025)/1000</f>
        <v>0.57599999999999996</v>
      </c>
      <c r="AF4025" s="210">
        <f t="shared" ref="AF4025:AF4026" si="3367">AE4025/0.54</f>
        <v>1.0666666666666664</v>
      </c>
      <c r="AG4025" s="211" t="e">
        <f t="shared" ref="AG4025:AG4026" si="3368">(MID(O4025,1,3)/1000)/3</f>
        <v>#VALUE!</v>
      </c>
      <c r="AH4025" s="157" t="e">
        <f t="shared" ref="AH4025:AH4026" si="3369">(Z4025*AG4025)/1000</f>
        <v>#VALUE!</v>
      </c>
      <c r="AI4025" s="152">
        <f t="shared" ref="AI4025:AI4026" si="3370">V4025*P4025</f>
        <v>14400</v>
      </c>
      <c r="AK4025" s="156" t="s">
        <v>691</v>
      </c>
      <c r="AL4025" s="212" t="s">
        <v>690</v>
      </c>
      <c r="AM4025" s="198" t="e">
        <f t="shared" ref="AM4025:AM4026" si="3371">AG4025*Z4025</f>
        <v>#VALUE!</v>
      </c>
      <c r="AN4025" s="199">
        <f t="shared" ref="AN4025:AN4026" si="3372">B4025</f>
        <v>46388</v>
      </c>
      <c r="AO4025" s="159" t="s">
        <v>692</v>
      </c>
      <c r="AP4025" s="783" t="s">
        <v>628</v>
      </c>
      <c r="AQ4025" s="782"/>
      <c r="AR4025" s="782"/>
      <c r="AS4025" s="782"/>
      <c r="AT4025" s="782"/>
      <c r="AU4025" s="781"/>
      <c r="AV4025" s="782">
        <v>12080791</v>
      </c>
      <c r="AW4025" s="782" t="s">
        <v>641</v>
      </c>
      <c r="AX4025" s="782" t="s">
        <v>533</v>
      </c>
      <c r="AY4025" s="782"/>
      <c r="AZ4025" s="782"/>
      <c r="BA4025" s="781"/>
      <c r="BB4025" s="209">
        <v>23053184</v>
      </c>
    </row>
    <row r="4026" spans="1:54" ht="25" customHeight="1">
      <c r="A4026" s="142" t="s">
        <v>3156</v>
      </c>
      <c r="B4026" s="424">
        <v>46419</v>
      </c>
      <c r="C4026" s="647">
        <v>46447</v>
      </c>
      <c r="D4026" s="185">
        <f t="shared" si="3360"/>
        <v>2027</v>
      </c>
      <c r="E4026" s="425" t="e">
        <f>VLOOKUP($B4026,Week!$A$1:$C$1462,2,0)</f>
        <v>#N/A</v>
      </c>
      <c r="F4026" s="426" t="str">
        <f t="shared" si="3361"/>
        <v>Feb</v>
      </c>
      <c r="G4026" s="427"/>
      <c r="H4026" s="427" t="s">
        <v>518</v>
      </c>
      <c r="I4026" s="427" t="s">
        <v>2702</v>
      </c>
      <c r="J4026" s="428" t="s">
        <v>70</v>
      </c>
      <c r="K4026" s="429" t="s">
        <v>94</v>
      </c>
      <c r="L4026" s="300" t="s">
        <v>2167</v>
      </c>
      <c r="M4026" s="428" t="s">
        <v>2342</v>
      </c>
      <c r="N4026" s="427" t="s">
        <v>587</v>
      </c>
      <c r="O4026" s="427" t="s">
        <v>3198</v>
      </c>
      <c r="P4026" s="430">
        <v>18</v>
      </c>
      <c r="Q4026" s="430">
        <v>5</v>
      </c>
      <c r="R4026" s="431">
        <v>8.0000000000000002E-3</v>
      </c>
      <c r="S4026" s="427" t="s">
        <v>40</v>
      </c>
      <c r="T4026" s="427" t="s">
        <v>56</v>
      </c>
      <c r="U4026" s="427" t="s">
        <v>89</v>
      </c>
      <c r="V4026" s="432">
        <f>800</f>
        <v>800</v>
      </c>
      <c r="W4026" s="432"/>
      <c r="X4026" s="433"/>
      <c r="Y4026" s="434">
        <f t="shared" si="3362"/>
        <v>-800</v>
      </c>
      <c r="Z4026" s="435">
        <f t="shared" si="3363"/>
        <v>14400</v>
      </c>
      <c r="AA4026" s="435">
        <f t="shared" si="3364"/>
        <v>72000</v>
      </c>
      <c r="AB4026" s="826">
        <v>1</v>
      </c>
      <c r="AC4026" s="432">
        <f t="shared" si="3365"/>
        <v>14400</v>
      </c>
      <c r="AD4026" s="209"/>
      <c r="AE4026" s="210">
        <f t="shared" si="3366"/>
        <v>0.57599999999999996</v>
      </c>
      <c r="AF4026" s="210">
        <f t="shared" si="3367"/>
        <v>1.0666666666666664</v>
      </c>
      <c r="AG4026" s="211" t="e">
        <f t="shared" si="3368"/>
        <v>#VALUE!</v>
      </c>
      <c r="AH4026" s="157" t="e">
        <f t="shared" si="3369"/>
        <v>#VALUE!</v>
      </c>
      <c r="AI4026" s="152">
        <f t="shared" si="3370"/>
        <v>14400</v>
      </c>
      <c r="AK4026" s="156" t="s">
        <v>691</v>
      </c>
      <c r="AL4026" s="212" t="s">
        <v>690</v>
      </c>
      <c r="AM4026" s="198" t="e">
        <f t="shared" si="3371"/>
        <v>#VALUE!</v>
      </c>
      <c r="AN4026" s="199">
        <f t="shared" si="3372"/>
        <v>46419</v>
      </c>
      <c r="AO4026" s="159" t="s">
        <v>692</v>
      </c>
      <c r="AP4026" s="783" t="s">
        <v>628</v>
      </c>
      <c r="AQ4026" s="782"/>
      <c r="AR4026" s="782"/>
      <c r="AS4026" s="782"/>
      <c r="AT4026" s="782"/>
      <c r="AU4026" s="781"/>
      <c r="AV4026" s="782">
        <v>12080791</v>
      </c>
      <c r="AW4026" s="782" t="s">
        <v>641</v>
      </c>
      <c r="AX4026" s="782" t="s">
        <v>533</v>
      </c>
      <c r="AY4026" s="782"/>
      <c r="AZ4026" s="782"/>
      <c r="BA4026" s="781"/>
      <c r="BB4026" s="209">
        <v>23053184</v>
      </c>
    </row>
    <row r="4027" spans="1:54" ht="25" customHeight="1">
      <c r="A4027" s="142" t="s">
        <v>3156</v>
      </c>
      <c r="B4027" s="271">
        <v>46357</v>
      </c>
      <c r="C4027" s="870">
        <v>46388</v>
      </c>
      <c r="D4027" s="185">
        <f t="shared" ref="D4027:D4033" si="3373">IF(B4027="","",YEAR(B4027))</f>
        <v>2026</v>
      </c>
      <c r="E4027" s="272" t="e">
        <f>VLOOKUP($B4027,Week!$A$1:$C$1462,2,0)</f>
        <v>#N/A</v>
      </c>
      <c r="F4027" s="273" t="str">
        <f t="shared" ref="F4027:F4033" si="3374">IF(B4027="","",TEXT(B4027,"[$-409]mmm"))</f>
        <v>Dec</v>
      </c>
      <c r="G4027" s="274"/>
      <c r="H4027" s="274" t="s">
        <v>518</v>
      </c>
      <c r="I4027" s="274" t="s">
        <v>2702</v>
      </c>
      <c r="J4027" s="275" t="s">
        <v>70</v>
      </c>
      <c r="K4027" s="276" t="s">
        <v>556</v>
      </c>
      <c r="L4027" s="300" t="s">
        <v>2167</v>
      </c>
      <c r="M4027" s="275" t="s">
        <v>520</v>
      </c>
      <c r="N4027" s="423" t="s">
        <v>586</v>
      </c>
      <c r="O4027" s="274" t="s">
        <v>585</v>
      </c>
      <c r="P4027" s="277">
        <v>12</v>
      </c>
      <c r="Q4027" s="277">
        <v>5</v>
      </c>
      <c r="R4027" s="278">
        <v>6.0000000000000001E-3</v>
      </c>
      <c r="S4027" s="274" t="s">
        <v>55</v>
      </c>
      <c r="T4027" s="274" t="s">
        <v>56</v>
      </c>
      <c r="U4027" s="274" t="s">
        <v>57</v>
      </c>
      <c r="V4027" s="279">
        <f>250</f>
        <v>250</v>
      </c>
      <c r="W4027" s="279"/>
      <c r="X4027" s="280"/>
      <c r="Y4027" s="281">
        <f t="shared" ref="Y4027" si="3375">(W4027+X4027)-V4027</f>
        <v>-250</v>
      </c>
      <c r="Z4027" s="282">
        <f t="shared" ref="Z4027" si="3376">IF(Y4027&lt;0,((V4027*P4027)-((W4027+X4027)*P4027)),0)</f>
        <v>3000</v>
      </c>
      <c r="AA4027" s="282">
        <f t="shared" ref="AA4027" si="3377">Q4027*Z4027</f>
        <v>15000</v>
      </c>
      <c r="AB4027" s="812">
        <v>7.4999999999999997E-3</v>
      </c>
      <c r="AC4027" s="279">
        <f t="shared" ref="AC4027" si="3378">Z4027*AB4027</f>
        <v>22.5</v>
      </c>
      <c r="AD4027" s="209"/>
      <c r="AE4027" s="210">
        <f t="shared" ref="AE4027" si="3379">SUM(Q4027*R4027*Z4027)/1000</f>
        <v>0.09</v>
      </c>
      <c r="AF4027" s="210">
        <f t="shared" ref="AF4027" si="3380">AE4027/0.54</f>
        <v>0.16666666666666666</v>
      </c>
      <c r="AG4027" s="211">
        <f t="shared" ref="AG4027" si="3381">MID(O4027,1,3)/1000</f>
        <v>0.13500000000000001</v>
      </c>
      <c r="AH4027" s="157">
        <f t="shared" ref="AH4027" si="3382">(Z4027*AG4027)/1000</f>
        <v>0.40500000000000003</v>
      </c>
      <c r="AI4027" s="152">
        <f t="shared" ref="AI4027" si="3383">V4027*P4027</f>
        <v>3000</v>
      </c>
      <c r="AK4027" s="156" t="s">
        <v>691</v>
      </c>
      <c r="AL4027" s="212" t="s">
        <v>690</v>
      </c>
      <c r="AM4027" s="198">
        <f t="shared" ref="AM4027" si="3384">AG4027*Z4027</f>
        <v>405</v>
      </c>
      <c r="AN4027" s="199">
        <f t="shared" ref="AN4027" si="3385">B4027</f>
        <v>46357</v>
      </c>
      <c r="AO4027" s="159" t="s">
        <v>692</v>
      </c>
      <c r="AP4027" s="781"/>
      <c r="AQ4027" s="782">
        <v>12071839</v>
      </c>
      <c r="AR4027" s="782">
        <v>12047514</v>
      </c>
      <c r="AS4027" s="782">
        <v>12047515</v>
      </c>
      <c r="AT4027" s="782"/>
      <c r="AU4027" s="781"/>
      <c r="AV4027" s="782">
        <v>12083307</v>
      </c>
      <c r="AW4027" s="782"/>
      <c r="AX4027" s="782"/>
      <c r="AY4027" s="782">
        <v>12094380</v>
      </c>
      <c r="AZ4027" s="782">
        <v>12094381</v>
      </c>
      <c r="BA4027" s="781"/>
      <c r="BB4027" s="209">
        <v>23053185</v>
      </c>
    </row>
    <row r="4028" spans="1:54" ht="25" customHeight="1">
      <c r="A4028" s="142" t="s">
        <v>3156</v>
      </c>
      <c r="B4028" s="271">
        <v>46388</v>
      </c>
      <c r="C4028" s="870">
        <v>46419</v>
      </c>
      <c r="D4028" s="185">
        <f t="shared" ref="D4028:D4029" si="3386">IF(B4028="","",YEAR(B4028))</f>
        <v>2027</v>
      </c>
      <c r="E4028" s="272" t="e">
        <f>VLOOKUP($B4028,Week!$A$1:$C$1462,2,0)</f>
        <v>#N/A</v>
      </c>
      <c r="F4028" s="273" t="str">
        <f t="shared" ref="F4028:F4029" si="3387">IF(B4028="","",TEXT(B4028,"[$-409]mmm"))</f>
        <v>Jan</v>
      </c>
      <c r="G4028" s="274"/>
      <c r="H4028" s="274" t="s">
        <v>518</v>
      </c>
      <c r="I4028" s="274" t="s">
        <v>2702</v>
      </c>
      <c r="J4028" s="275" t="s">
        <v>70</v>
      </c>
      <c r="K4028" s="276" t="s">
        <v>556</v>
      </c>
      <c r="L4028" s="300" t="s">
        <v>2167</v>
      </c>
      <c r="M4028" s="275" t="s">
        <v>520</v>
      </c>
      <c r="N4028" s="423" t="s">
        <v>586</v>
      </c>
      <c r="O4028" s="274" t="s">
        <v>585</v>
      </c>
      <c r="P4028" s="277">
        <v>12</v>
      </c>
      <c r="Q4028" s="277">
        <v>5</v>
      </c>
      <c r="R4028" s="278">
        <v>6.0000000000000001E-3</v>
      </c>
      <c r="S4028" s="274" t="s">
        <v>55</v>
      </c>
      <c r="T4028" s="274" t="s">
        <v>56</v>
      </c>
      <c r="U4028" s="274" t="s">
        <v>57</v>
      </c>
      <c r="V4028" s="279">
        <f>250</f>
        <v>250</v>
      </c>
      <c r="W4028" s="279"/>
      <c r="X4028" s="280"/>
      <c r="Y4028" s="281">
        <f t="shared" ref="Y4028:Y4029" si="3388">(W4028+X4028)-V4028</f>
        <v>-250</v>
      </c>
      <c r="Z4028" s="282">
        <f t="shared" ref="Z4028:Z4029" si="3389">IF(Y4028&lt;0,((V4028*P4028)-((W4028+X4028)*P4028)),0)</f>
        <v>3000</v>
      </c>
      <c r="AA4028" s="282">
        <f t="shared" ref="AA4028:AA4029" si="3390">Q4028*Z4028</f>
        <v>15000</v>
      </c>
      <c r="AB4028" s="812">
        <v>7.4999999999999997E-3</v>
      </c>
      <c r="AC4028" s="279">
        <f t="shared" ref="AC4028:AC4029" si="3391">Z4028*AB4028</f>
        <v>22.5</v>
      </c>
      <c r="AD4028" s="209"/>
      <c r="AE4028" s="210">
        <f t="shared" ref="AE4028:AE4029" si="3392">SUM(Q4028*R4028*Z4028)/1000</f>
        <v>0.09</v>
      </c>
      <c r="AF4028" s="210">
        <f t="shared" ref="AF4028:AF4029" si="3393">AE4028/0.54</f>
        <v>0.16666666666666666</v>
      </c>
      <c r="AG4028" s="211">
        <f t="shared" ref="AG4028:AG4029" si="3394">MID(O4028,1,3)/1000</f>
        <v>0.13500000000000001</v>
      </c>
      <c r="AH4028" s="157">
        <f t="shared" ref="AH4028:AH4029" si="3395">(Z4028*AG4028)/1000</f>
        <v>0.40500000000000003</v>
      </c>
      <c r="AI4028" s="152">
        <f t="shared" ref="AI4028:AI4029" si="3396">V4028*P4028</f>
        <v>3000</v>
      </c>
      <c r="AK4028" s="156" t="s">
        <v>691</v>
      </c>
      <c r="AL4028" s="212" t="s">
        <v>690</v>
      </c>
      <c r="AM4028" s="198">
        <f t="shared" ref="AM4028:AM4029" si="3397">AG4028*Z4028</f>
        <v>405</v>
      </c>
      <c r="AN4028" s="199">
        <f t="shared" ref="AN4028:AN4029" si="3398">B4028</f>
        <v>46388</v>
      </c>
      <c r="AO4028" s="159" t="s">
        <v>692</v>
      </c>
      <c r="AP4028" s="781"/>
      <c r="AQ4028" s="782">
        <v>12071839</v>
      </c>
      <c r="AR4028" s="782">
        <v>12047514</v>
      </c>
      <c r="AS4028" s="782">
        <v>12047515</v>
      </c>
      <c r="AT4028" s="782"/>
      <c r="AU4028" s="781"/>
      <c r="AV4028" s="782">
        <v>12083307</v>
      </c>
      <c r="AW4028" s="782"/>
      <c r="AX4028" s="782"/>
      <c r="AY4028" s="782">
        <v>12094380</v>
      </c>
      <c r="AZ4028" s="782">
        <v>12094381</v>
      </c>
      <c r="BA4028" s="781"/>
      <c r="BB4028" s="209">
        <v>23053185</v>
      </c>
    </row>
    <row r="4029" spans="1:54" ht="25" customHeight="1">
      <c r="A4029" s="142" t="s">
        <v>3156</v>
      </c>
      <c r="B4029" s="271">
        <v>46419</v>
      </c>
      <c r="C4029" s="870">
        <v>46447</v>
      </c>
      <c r="D4029" s="185">
        <f t="shared" si="3386"/>
        <v>2027</v>
      </c>
      <c r="E4029" s="272" t="e">
        <f>VLOOKUP($B4029,Week!$A$1:$C$1462,2,0)</f>
        <v>#N/A</v>
      </c>
      <c r="F4029" s="273" t="str">
        <f t="shared" si="3387"/>
        <v>Feb</v>
      </c>
      <c r="G4029" s="274"/>
      <c r="H4029" s="274" t="s">
        <v>518</v>
      </c>
      <c r="I4029" s="274" t="s">
        <v>2702</v>
      </c>
      <c r="J4029" s="275" t="s">
        <v>70</v>
      </c>
      <c r="K4029" s="276" t="s">
        <v>556</v>
      </c>
      <c r="L4029" s="300" t="s">
        <v>2167</v>
      </c>
      <c r="M4029" s="275" t="s">
        <v>520</v>
      </c>
      <c r="N4029" s="423" t="s">
        <v>586</v>
      </c>
      <c r="O4029" s="274" t="s">
        <v>585</v>
      </c>
      <c r="P4029" s="277">
        <v>12</v>
      </c>
      <c r="Q4029" s="277">
        <v>5</v>
      </c>
      <c r="R4029" s="278">
        <v>6.0000000000000001E-3</v>
      </c>
      <c r="S4029" s="274" t="s">
        <v>55</v>
      </c>
      <c r="T4029" s="274" t="s">
        <v>56</v>
      </c>
      <c r="U4029" s="274" t="s">
        <v>57</v>
      </c>
      <c r="V4029" s="279">
        <f>250</f>
        <v>250</v>
      </c>
      <c r="W4029" s="279"/>
      <c r="X4029" s="280"/>
      <c r="Y4029" s="281">
        <f t="shared" si="3388"/>
        <v>-250</v>
      </c>
      <c r="Z4029" s="282">
        <f t="shared" si="3389"/>
        <v>3000</v>
      </c>
      <c r="AA4029" s="282">
        <f t="shared" si="3390"/>
        <v>15000</v>
      </c>
      <c r="AB4029" s="812">
        <v>7.4999999999999997E-3</v>
      </c>
      <c r="AC4029" s="279">
        <f t="shared" si="3391"/>
        <v>22.5</v>
      </c>
      <c r="AD4029" s="209"/>
      <c r="AE4029" s="210">
        <f t="shared" si="3392"/>
        <v>0.09</v>
      </c>
      <c r="AF4029" s="210">
        <f t="shared" si="3393"/>
        <v>0.16666666666666666</v>
      </c>
      <c r="AG4029" s="211">
        <f t="shared" si="3394"/>
        <v>0.13500000000000001</v>
      </c>
      <c r="AH4029" s="157">
        <f t="shared" si="3395"/>
        <v>0.40500000000000003</v>
      </c>
      <c r="AI4029" s="152">
        <f t="shared" si="3396"/>
        <v>3000</v>
      </c>
      <c r="AK4029" s="156" t="s">
        <v>691</v>
      </c>
      <c r="AL4029" s="212" t="s">
        <v>690</v>
      </c>
      <c r="AM4029" s="198">
        <f t="shared" si="3397"/>
        <v>405</v>
      </c>
      <c r="AN4029" s="199">
        <f t="shared" si="3398"/>
        <v>46419</v>
      </c>
      <c r="AO4029" s="159" t="s">
        <v>692</v>
      </c>
      <c r="AP4029" s="781"/>
      <c r="AQ4029" s="782">
        <v>12071839</v>
      </c>
      <c r="AR4029" s="782">
        <v>12047514</v>
      </c>
      <c r="AS4029" s="782">
        <v>12047515</v>
      </c>
      <c r="AT4029" s="782"/>
      <c r="AU4029" s="781"/>
      <c r="AV4029" s="782">
        <v>12083307</v>
      </c>
      <c r="AW4029" s="782"/>
      <c r="AX4029" s="782"/>
      <c r="AY4029" s="782">
        <v>12094380</v>
      </c>
      <c r="AZ4029" s="782">
        <v>12094381</v>
      </c>
      <c r="BA4029" s="781"/>
      <c r="BB4029" s="209">
        <v>23053185</v>
      </c>
    </row>
    <row r="4030" spans="1:54" ht="25" customHeight="1">
      <c r="A4030" s="142" t="s">
        <v>3156</v>
      </c>
      <c r="B4030" s="332">
        <v>46357</v>
      </c>
      <c r="C4030" s="646">
        <v>46388</v>
      </c>
      <c r="D4030" s="185">
        <f t="shared" si="3373"/>
        <v>2026</v>
      </c>
      <c r="E4030" s="333" t="e">
        <f>VLOOKUP($B4030,Week!$A$1:$C$1462,2,0)</f>
        <v>#N/A</v>
      </c>
      <c r="F4030" s="334" t="str">
        <f t="shared" si="3374"/>
        <v>Dec</v>
      </c>
      <c r="G4030" s="335"/>
      <c r="H4030" s="335" t="s">
        <v>518</v>
      </c>
      <c r="I4030" s="335" t="s">
        <v>2702</v>
      </c>
      <c r="J4030" s="336" t="s">
        <v>70</v>
      </c>
      <c r="K4030" s="337" t="s">
        <v>582</v>
      </c>
      <c r="L4030" s="300" t="s">
        <v>2167</v>
      </c>
      <c r="M4030" s="336" t="s">
        <v>534</v>
      </c>
      <c r="N4030" s="530" t="s">
        <v>578</v>
      </c>
      <c r="O4030" s="335" t="s">
        <v>583</v>
      </c>
      <c r="P4030" s="338">
        <v>12</v>
      </c>
      <c r="Q4030" s="338">
        <v>3</v>
      </c>
      <c r="R4030" s="339">
        <v>6.0000000000000001E-3</v>
      </c>
      <c r="S4030" s="335" t="s">
        <v>55</v>
      </c>
      <c r="T4030" s="335" t="s">
        <v>56</v>
      </c>
      <c r="U4030" s="335" t="s">
        <v>57</v>
      </c>
      <c r="V4030" s="341">
        <f>200</f>
        <v>200</v>
      </c>
      <c r="W4030" s="341"/>
      <c r="X4030" s="342"/>
      <c r="Y4030" s="343">
        <f t="shared" ref="Y4030" si="3399">(W4030+X4030)-V4030</f>
        <v>-200</v>
      </c>
      <c r="Z4030" s="344">
        <f t="shared" ref="Z4030" si="3400">IF(Y4030&lt;0,((V4030*P4030)-((W4030+X4030)*P4030)),0)</f>
        <v>2400</v>
      </c>
      <c r="AA4030" s="344">
        <f t="shared" ref="AA4030" si="3401">Q4030*Z4030</f>
        <v>7200</v>
      </c>
      <c r="AB4030" s="817">
        <v>7.4999999999999997E-3</v>
      </c>
      <c r="AC4030" s="341">
        <f t="shared" ref="AC4030" si="3402">Z4030*AB4030</f>
        <v>18</v>
      </c>
      <c r="AD4030" s="209"/>
      <c r="AE4030" s="210">
        <f t="shared" ref="AE4030" si="3403">SUM(Q4030*R4030*Z4030)/1000</f>
        <v>4.3200000000000002E-2</v>
      </c>
      <c r="AF4030" s="210">
        <f t="shared" ref="AF4030" si="3404">AE4030/0.54</f>
        <v>0.08</v>
      </c>
      <c r="AG4030" s="211">
        <f t="shared" ref="AG4030" si="3405">MID(O4030,1,3)/1000</f>
        <v>0.191</v>
      </c>
      <c r="AH4030" s="157">
        <f t="shared" ref="AH4030" si="3406">(Z4030*AG4030)/1000</f>
        <v>0.45840000000000003</v>
      </c>
      <c r="AI4030" s="152">
        <f t="shared" ref="AI4030" si="3407">V4030*P4030</f>
        <v>2400</v>
      </c>
      <c r="AK4030" s="156" t="s">
        <v>691</v>
      </c>
      <c r="AL4030" s="212" t="s">
        <v>690</v>
      </c>
      <c r="AM4030" s="198">
        <f t="shared" ref="AM4030" si="3408">AG4030*Z4030</f>
        <v>458.40000000000003</v>
      </c>
      <c r="AN4030" s="199">
        <f t="shared" ref="AN4030" si="3409">B4030</f>
        <v>46357</v>
      </c>
      <c r="AO4030" s="159" t="s">
        <v>692</v>
      </c>
      <c r="AP4030" s="781"/>
      <c r="AQ4030" s="782">
        <v>12071839</v>
      </c>
      <c r="AR4030" s="782">
        <v>12042650</v>
      </c>
      <c r="AS4030" s="782">
        <v>12042649</v>
      </c>
      <c r="AT4030" s="782"/>
      <c r="AU4030" s="781"/>
      <c r="AV4030" s="782">
        <v>12083313</v>
      </c>
      <c r="AW4030" s="782"/>
      <c r="AX4030" s="782"/>
      <c r="AY4030" s="782">
        <v>12094233</v>
      </c>
      <c r="AZ4030" s="782">
        <v>12094234</v>
      </c>
      <c r="BA4030" s="781"/>
      <c r="BB4030" s="209">
        <v>23053185</v>
      </c>
    </row>
    <row r="4031" spans="1:54" ht="25" customHeight="1">
      <c r="A4031" s="142" t="s">
        <v>3156</v>
      </c>
      <c r="B4031" s="332">
        <v>46388</v>
      </c>
      <c r="C4031" s="646">
        <v>46419</v>
      </c>
      <c r="D4031" s="185">
        <f t="shared" ref="D4031:D4032" si="3410">IF(B4031="","",YEAR(B4031))</f>
        <v>2027</v>
      </c>
      <c r="E4031" s="333" t="e">
        <f>VLOOKUP($B4031,Week!$A$1:$C$1462,2,0)</f>
        <v>#N/A</v>
      </c>
      <c r="F4031" s="334" t="str">
        <f t="shared" ref="F4031:F4032" si="3411">IF(B4031="","",TEXT(B4031,"[$-409]mmm"))</f>
        <v>Jan</v>
      </c>
      <c r="G4031" s="335"/>
      <c r="H4031" s="335" t="s">
        <v>518</v>
      </c>
      <c r="I4031" s="335" t="s">
        <v>2702</v>
      </c>
      <c r="J4031" s="336" t="s">
        <v>70</v>
      </c>
      <c r="K4031" s="337" t="s">
        <v>582</v>
      </c>
      <c r="L4031" s="300" t="s">
        <v>2167</v>
      </c>
      <c r="M4031" s="336" t="s">
        <v>534</v>
      </c>
      <c r="N4031" s="530" t="s">
        <v>578</v>
      </c>
      <c r="O4031" s="335" t="s">
        <v>583</v>
      </c>
      <c r="P4031" s="338">
        <v>12</v>
      </c>
      <c r="Q4031" s="338">
        <v>3</v>
      </c>
      <c r="R4031" s="339">
        <v>6.0000000000000001E-3</v>
      </c>
      <c r="S4031" s="335" t="s">
        <v>55</v>
      </c>
      <c r="T4031" s="335" t="s">
        <v>56</v>
      </c>
      <c r="U4031" s="335" t="s">
        <v>57</v>
      </c>
      <c r="V4031" s="341">
        <f>200</f>
        <v>200</v>
      </c>
      <c r="W4031" s="341"/>
      <c r="X4031" s="342"/>
      <c r="Y4031" s="343">
        <f t="shared" ref="Y4031:Y4032" si="3412">(W4031+X4031)-V4031</f>
        <v>-200</v>
      </c>
      <c r="Z4031" s="344">
        <f t="shared" ref="Z4031:Z4032" si="3413">IF(Y4031&lt;0,((V4031*P4031)-((W4031+X4031)*P4031)),0)</f>
        <v>2400</v>
      </c>
      <c r="AA4031" s="344">
        <f t="shared" ref="AA4031:AA4032" si="3414">Q4031*Z4031</f>
        <v>7200</v>
      </c>
      <c r="AB4031" s="817">
        <v>7.4999999999999997E-3</v>
      </c>
      <c r="AC4031" s="341">
        <f t="shared" ref="AC4031:AC4032" si="3415">Z4031*AB4031</f>
        <v>18</v>
      </c>
      <c r="AD4031" s="209"/>
      <c r="AE4031" s="210">
        <f t="shared" ref="AE4031:AE4032" si="3416">SUM(Q4031*R4031*Z4031)/1000</f>
        <v>4.3200000000000002E-2</v>
      </c>
      <c r="AF4031" s="210">
        <f t="shared" ref="AF4031:AF4032" si="3417">AE4031/0.54</f>
        <v>0.08</v>
      </c>
      <c r="AG4031" s="211">
        <f t="shared" ref="AG4031:AG4032" si="3418">MID(O4031,1,3)/1000</f>
        <v>0.191</v>
      </c>
      <c r="AH4031" s="157">
        <f t="shared" ref="AH4031:AH4032" si="3419">(Z4031*AG4031)/1000</f>
        <v>0.45840000000000003</v>
      </c>
      <c r="AI4031" s="152">
        <f t="shared" ref="AI4031:AI4032" si="3420">V4031*P4031</f>
        <v>2400</v>
      </c>
      <c r="AK4031" s="156" t="s">
        <v>691</v>
      </c>
      <c r="AL4031" s="212" t="s">
        <v>690</v>
      </c>
      <c r="AM4031" s="198">
        <f t="shared" ref="AM4031:AM4032" si="3421">AG4031*Z4031</f>
        <v>458.40000000000003</v>
      </c>
      <c r="AN4031" s="199">
        <f t="shared" ref="AN4031:AN4032" si="3422">B4031</f>
        <v>46388</v>
      </c>
      <c r="AO4031" s="159" t="s">
        <v>692</v>
      </c>
      <c r="AP4031" s="781"/>
      <c r="AQ4031" s="782">
        <v>12071839</v>
      </c>
      <c r="AR4031" s="782">
        <v>12042650</v>
      </c>
      <c r="AS4031" s="782">
        <v>12042649</v>
      </c>
      <c r="AT4031" s="782"/>
      <c r="AU4031" s="781"/>
      <c r="AV4031" s="782">
        <v>12083313</v>
      </c>
      <c r="AW4031" s="782"/>
      <c r="AX4031" s="782"/>
      <c r="AY4031" s="782">
        <v>12094233</v>
      </c>
      <c r="AZ4031" s="782">
        <v>12094234</v>
      </c>
      <c r="BA4031" s="781"/>
      <c r="BB4031" s="209">
        <v>23053185</v>
      </c>
    </row>
    <row r="4032" spans="1:54" ht="25" customHeight="1">
      <c r="A4032" s="142" t="s">
        <v>3156</v>
      </c>
      <c r="B4032" s="332">
        <v>46419</v>
      </c>
      <c r="C4032" s="646">
        <v>46447</v>
      </c>
      <c r="D4032" s="185">
        <f t="shared" si="3410"/>
        <v>2027</v>
      </c>
      <c r="E4032" s="333" t="e">
        <f>VLOOKUP($B4032,Week!$A$1:$C$1462,2,0)</f>
        <v>#N/A</v>
      </c>
      <c r="F4032" s="334" t="str">
        <f t="shared" si="3411"/>
        <v>Feb</v>
      </c>
      <c r="G4032" s="335"/>
      <c r="H4032" s="335" t="s">
        <v>518</v>
      </c>
      <c r="I4032" s="335" t="s">
        <v>2702</v>
      </c>
      <c r="J4032" s="336" t="s">
        <v>70</v>
      </c>
      <c r="K4032" s="337" t="s">
        <v>582</v>
      </c>
      <c r="L4032" s="300" t="s">
        <v>2167</v>
      </c>
      <c r="M4032" s="336" t="s">
        <v>534</v>
      </c>
      <c r="N4032" s="530" t="s">
        <v>578</v>
      </c>
      <c r="O4032" s="335" t="s">
        <v>583</v>
      </c>
      <c r="P4032" s="338">
        <v>12</v>
      </c>
      <c r="Q4032" s="338">
        <v>3</v>
      </c>
      <c r="R4032" s="339">
        <v>6.0000000000000001E-3</v>
      </c>
      <c r="S4032" s="335" t="s">
        <v>55</v>
      </c>
      <c r="T4032" s="335" t="s">
        <v>56</v>
      </c>
      <c r="U4032" s="335" t="s">
        <v>57</v>
      </c>
      <c r="V4032" s="341">
        <f>200</f>
        <v>200</v>
      </c>
      <c r="W4032" s="341"/>
      <c r="X4032" s="342"/>
      <c r="Y4032" s="343">
        <f t="shared" si="3412"/>
        <v>-200</v>
      </c>
      <c r="Z4032" s="344">
        <f t="shared" si="3413"/>
        <v>2400</v>
      </c>
      <c r="AA4032" s="344">
        <f t="shared" si="3414"/>
        <v>7200</v>
      </c>
      <c r="AB4032" s="817">
        <v>7.4999999999999997E-3</v>
      </c>
      <c r="AC4032" s="341">
        <f t="shared" si="3415"/>
        <v>18</v>
      </c>
      <c r="AD4032" s="209"/>
      <c r="AE4032" s="210">
        <f t="shared" si="3416"/>
        <v>4.3200000000000002E-2</v>
      </c>
      <c r="AF4032" s="210">
        <f t="shared" si="3417"/>
        <v>0.08</v>
      </c>
      <c r="AG4032" s="211">
        <f t="shared" si="3418"/>
        <v>0.191</v>
      </c>
      <c r="AH4032" s="157">
        <f t="shared" si="3419"/>
        <v>0.45840000000000003</v>
      </c>
      <c r="AI4032" s="152">
        <f t="shared" si="3420"/>
        <v>2400</v>
      </c>
      <c r="AK4032" s="156" t="s">
        <v>691</v>
      </c>
      <c r="AL4032" s="212" t="s">
        <v>690</v>
      </c>
      <c r="AM4032" s="198">
        <f t="shared" si="3421"/>
        <v>458.40000000000003</v>
      </c>
      <c r="AN4032" s="199">
        <f t="shared" si="3422"/>
        <v>46419</v>
      </c>
      <c r="AO4032" s="159" t="s">
        <v>692</v>
      </c>
      <c r="AP4032" s="781"/>
      <c r="AQ4032" s="782">
        <v>12071839</v>
      </c>
      <c r="AR4032" s="782">
        <v>12042650</v>
      </c>
      <c r="AS4032" s="782">
        <v>12042649</v>
      </c>
      <c r="AT4032" s="782"/>
      <c r="AU4032" s="781"/>
      <c r="AV4032" s="782">
        <v>12083313</v>
      </c>
      <c r="AW4032" s="782"/>
      <c r="AX4032" s="782"/>
      <c r="AY4032" s="782">
        <v>12094233</v>
      </c>
      <c r="AZ4032" s="782">
        <v>12094234</v>
      </c>
      <c r="BA4032" s="781"/>
      <c r="BB4032" s="209">
        <v>23053185</v>
      </c>
    </row>
    <row r="4033" spans="1:54" ht="25" customHeight="1">
      <c r="A4033" s="142" t="s">
        <v>3156</v>
      </c>
      <c r="B4033" s="320">
        <v>46357</v>
      </c>
      <c r="C4033" s="844">
        <v>46388</v>
      </c>
      <c r="D4033" s="185">
        <f t="shared" si="3373"/>
        <v>2026</v>
      </c>
      <c r="E4033" s="321" t="e">
        <f>VLOOKUP($B4033,Week!$A$1:$C$1462,2,0)</f>
        <v>#N/A</v>
      </c>
      <c r="F4033" s="322" t="str">
        <f t="shared" si="3374"/>
        <v>Dec</v>
      </c>
      <c r="G4033" s="323"/>
      <c r="H4033" s="323" t="s">
        <v>518</v>
      </c>
      <c r="I4033" s="323" t="s">
        <v>2702</v>
      </c>
      <c r="J4033" s="324" t="s">
        <v>70</v>
      </c>
      <c r="K4033" s="325" t="s">
        <v>564</v>
      </c>
      <c r="L4033" s="300" t="s">
        <v>2167</v>
      </c>
      <c r="M4033" s="324" t="s">
        <v>2343</v>
      </c>
      <c r="N4033" s="323" t="s">
        <v>559</v>
      </c>
      <c r="O4033" s="323" t="s">
        <v>560</v>
      </c>
      <c r="P4033" s="326">
        <v>12</v>
      </c>
      <c r="Q4033" s="326">
        <v>3</v>
      </c>
      <c r="R4033" s="327">
        <v>8.0000000000000002E-3</v>
      </c>
      <c r="S4033" s="323" t="s">
        <v>40</v>
      </c>
      <c r="T4033" s="323" t="s">
        <v>56</v>
      </c>
      <c r="U4033" s="323" t="s">
        <v>57</v>
      </c>
      <c r="V4033" s="397">
        <f>500</f>
        <v>500</v>
      </c>
      <c r="W4033" s="328"/>
      <c r="X4033" s="329"/>
      <c r="Y4033" s="330">
        <f t="shared" ref="Y4033" si="3423">(W4033+X4033)-V4033</f>
        <v>-500</v>
      </c>
      <c r="Z4033" s="331">
        <f t="shared" ref="Z4033" si="3424">IF(Y4033&lt;0,((V4033*P4033)-((W4033+X4033)*P4033)),0)</f>
        <v>6000</v>
      </c>
      <c r="AA4033" s="331">
        <f t="shared" ref="AA4033" si="3425">Q4033*Z4033</f>
        <v>18000</v>
      </c>
      <c r="AB4033" s="816">
        <v>7.4999999999999997E-3</v>
      </c>
      <c r="AC4033" s="328">
        <f t="shared" ref="AC4033" si="3426">Z4033*AB4033</f>
        <v>45</v>
      </c>
      <c r="AD4033" s="209"/>
      <c r="AE4033" s="210">
        <f t="shared" ref="AE4033" si="3427">SUM(Q4033*R4033*Z4033)/1000</f>
        <v>0.14399999999999999</v>
      </c>
      <c r="AF4033" s="210">
        <f t="shared" ref="AF4033" si="3428">AE4033/0.54</f>
        <v>0.26666666666666661</v>
      </c>
      <c r="AG4033" s="211">
        <f t="shared" ref="AG4033" si="3429">MID(O4033,1,3)/1000</f>
        <v>0.22600000000000001</v>
      </c>
      <c r="AH4033" s="157">
        <f t="shared" ref="AH4033" si="3430">(Z4033*AG4033)/1000</f>
        <v>1.3560000000000001</v>
      </c>
      <c r="AI4033" s="152">
        <f t="shared" ref="AI4033" si="3431">V4033*P4033</f>
        <v>6000</v>
      </c>
      <c r="AK4033" s="156" t="s">
        <v>691</v>
      </c>
      <c r="AL4033" s="212" t="s">
        <v>690</v>
      </c>
      <c r="AM4033" s="198">
        <f t="shared" ref="AM4033" si="3432">AG4033*Z4033</f>
        <v>1356</v>
      </c>
      <c r="AN4033" s="199">
        <f t="shared" ref="AN4033" si="3433">B4033</f>
        <v>46357</v>
      </c>
      <c r="AO4033" s="159" t="s">
        <v>692</v>
      </c>
      <c r="AP4033" s="783" t="s">
        <v>623</v>
      </c>
      <c r="AQ4033" s="782">
        <v>12071839</v>
      </c>
      <c r="AR4033" s="782">
        <v>12042650</v>
      </c>
      <c r="AS4033" s="782">
        <v>12042649</v>
      </c>
      <c r="AT4033" s="782"/>
      <c r="AU4033" s="781"/>
      <c r="AV4033" s="782">
        <v>12083156</v>
      </c>
      <c r="AW4033" s="782"/>
      <c r="AX4033" s="782"/>
      <c r="AY4033" s="782">
        <v>12094235</v>
      </c>
      <c r="AZ4033" s="782">
        <v>12094236</v>
      </c>
      <c r="BA4033" s="781"/>
      <c r="BB4033" s="209">
        <v>23053185</v>
      </c>
    </row>
    <row r="4034" spans="1:54" ht="25" customHeight="1">
      <c r="A4034" s="142" t="s">
        <v>3156</v>
      </c>
      <c r="B4034" s="320">
        <v>46388</v>
      </c>
      <c r="C4034" s="844">
        <v>46419</v>
      </c>
      <c r="D4034" s="185">
        <f t="shared" ref="D4034:D4035" si="3434">IF(B4034="","",YEAR(B4034))</f>
        <v>2027</v>
      </c>
      <c r="E4034" s="321" t="e">
        <f>VLOOKUP($B4034,Week!$A$1:$C$1462,2,0)</f>
        <v>#N/A</v>
      </c>
      <c r="F4034" s="322" t="str">
        <f t="shared" ref="F4034:F4035" si="3435">IF(B4034="","",TEXT(B4034,"[$-409]mmm"))</f>
        <v>Jan</v>
      </c>
      <c r="G4034" s="323"/>
      <c r="H4034" s="323" t="s">
        <v>518</v>
      </c>
      <c r="I4034" s="323" t="s">
        <v>2702</v>
      </c>
      <c r="J4034" s="324" t="s">
        <v>70</v>
      </c>
      <c r="K4034" s="325" t="s">
        <v>564</v>
      </c>
      <c r="L4034" s="300" t="s">
        <v>2167</v>
      </c>
      <c r="M4034" s="324" t="s">
        <v>2343</v>
      </c>
      <c r="N4034" s="323" t="s">
        <v>559</v>
      </c>
      <c r="O4034" s="323" t="s">
        <v>560</v>
      </c>
      <c r="P4034" s="326">
        <v>12</v>
      </c>
      <c r="Q4034" s="326">
        <v>3</v>
      </c>
      <c r="R4034" s="327">
        <v>8.0000000000000002E-3</v>
      </c>
      <c r="S4034" s="323" t="s">
        <v>40</v>
      </c>
      <c r="T4034" s="323" t="s">
        <v>56</v>
      </c>
      <c r="U4034" s="323" t="s">
        <v>57</v>
      </c>
      <c r="V4034" s="397">
        <f>500</f>
        <v>500</v>
      </c>
      <c r="W4034" s="328"/>
      <c r="X4034" s="329"/>
      <c r="Y4034" s="330">
        <f t="shared" ref="Y4034:Y4035" si="3436">(W4034+X4034)-V4034</f>
        <v>-500</v>
      </c>
      <c r="Z4034" s="331">
        <f t="shared" ref="Z4034:Z4035" si="3437">IF(Y4034&lt;0,((V4034*P4034)-((W4034+X4034)*P4034)),0)</f>
        <v>6000</v>
      </c>
      <c r="AA4034" s="331">
        <f t="shared" ref="AA4034:AA4035" si="3438">Q4034*Z4034</f>
        <v>18000</v>
      </c>
      <c r="AB4034" s="816">
        <v>7.4999999999999997E-3</v>
      </c>
      <c r="AC4034" s="328">
        <f t="shared" ref="AC4034:AC4035" si="3439">Z4034*AB4034</f>
        <v>45</v>
      </c>
      <c r="AD4034" s="209"/>
      <c r="AE4034" s="210">
        <f t="shared" ref="AE4034:AE4035" si="3440">SUM(Q4034*R4034*Z4034)/1000</f>
        <v>0.14399999999999999</v>
      </c>
      <c r="AF4034" s="210">
        <f t="shared" ref="AF4034:AF4035" si="3441">AE4034/0.54</f>
        <v>0.26666666666666661</v>
      </c>
      <c r="AG4034" s="211">
        <f t="shared" ref="AG4034:AG4035" si="3442">MID(O4034,1,3)/1000</f>
        <v>0.22600000000000001</v>
      </c>
      <c r="AH4034" s="157">
        <f t="shared" ref="AH4034:AH4035" si="3443">(Z4034*AG4034)/1000</f>
        <v>1.3560000000000001</v>
      </c>
      <c r="AI4034" s="152">
        <f t="shared" ref="AI4034:AI4035" si="3444">V4034*P4034</f>
        <v>6000</v>
      </c>
      <c r="AK4034" s="156" t="s">
        <v>691</v>
      </c>
      <c r="AL4034" s="212" t="s">
        <v>690</v>
      </c>
      <c r="AM4034" s="198">
        <f t="shared" ref="AM4034:AM4035" si="3445">AG4034*Z4034</f>
        <v>1356</v>
      </c>
      <c r="AN4034" s="199">
        <f t="shared" ref="AN4034:AN4035" si="3446">B4034</f>
        <v>46388</v>
      </c>
      <c r="AO4034" s="159" t="s">
        <v>692</v>
      </c>
      <c r="AP4034" s="783" t="s">
        <v>623</v>
      </c>
      <c r="AQ4034" s="782">
        <v>12071839</v>
      </c>
      <c r="AR4034" s="782">
        <v>12042650</v>
      </c>
      <c r="AS4034" s="782">
        <v>12042649</v>
      </c>
      <c r="AT4034" s="782"/>
      <c r="AU4034" s="781"/>
      <c r="AV4034" s="782">
        <v>12083156</v>
      </c>
      <c r="AW4034" s="782"/>
      <c r="AX4034" s="782"/>
      <c r="AY4034" s="782">
        <v>12094235</v>
      </c>
      <c r="AZ4034" s="782">
        <v>12094236</v>
      </c>
      <c r="BA4034" s="781"/>
      <c r="BB4034" s="209">
        <v>23053185</v>
      </c>
    </row>
    <row r="4035" spans="1:54" ht="25" customHeight="1">
      <c r="A4035" s="142" t="s">
        <v>3156</v>
      </c>
      <c r="B4035" s="320">
        <v>46419</v>
      </c>
      <c r="C4035" s="844">
        <v>46447</v>
      </c>
      <c r="D4035" s="185">
        <f t="shared" si="3434"/>
        <v>2027</v>
      </c>
      <c r="E4035" s="321" t="e">
        <f>VLOOKUP($B4035,Week!$A$1:$C$1462,2,0)</f>
        <v>#N/A</v>
      </c>
      <c r="F4035" s="322" t="str">
        <f t="shared" si="3435"/>
        <v>Feb</v>
      </c>
      <c r="G4035" s="323"/>
      <c r="H4035" s="323" t="s">
        <v>518</v>
      </c>
      <c r="I4035" s="323" t="s">
        <v>2702</v>
      </c>
      <c r="J4035" s="324" t="s">
        <v>70</v>
      </c>
      <c r="K4035" s="325" t="s">
        <v>564</v>
      </c>
      <c r="L4035" s="300" t="s">
        <v>2167</v>
      </c>
      <c r="M4035" s="324" t="s">
        <v>2343</v>
      </c>
      <c r="N4035" s="323" t="s">
        <v>559</v>
      </c>
      <c r="O4035" s="323" t="s">
        <v>560</v>
      </c>
      <c r="P4035" s="326">
        <v>12</v>
      </c>
      <c r="Q4035" s="326">
        <v>3</v>
      </c>
      <c r="R4035" s="327">
        <v>8.0000000000000002E-3</v>
      </c>
      <c r="S4035" s="323" t="s">
        <v>40</v>
      </c>
      <c r="T4035" s="323" t="s">
        <v>56</v>
      </c>
      <c r="U4035" s="323" t="s">
        <v>57</v>
      </c>
      <c r="V4035" s="397">
        <f>500</f>
        <v>500</v>
      </c>
      <c r="W4035" s="328"/>
      <c r="X4035" s="329"/>
      <c r="Y4035" s="330">
        <f t="shared" si="3436"/>
        <v>-500</v>
      </c>
      <c r="Z4035" s="331">
        <f t="shared" si="3437"/>
        <v>6000</v>
      </c>
      <c r="AA4035" s="331">
        <f t="shared" si="3438"/>
        <v>18000</v>
      </c>
      <c r="AB4035" s="816">
        <v>7.4999999999999997E-3</v>
      </c>
      <c r="AC4035" s="328">
        <f t="shared" si="3439"/>
        <v>45</v>
      </c>
      <c r="AD4035" s="209"/>
      <c r="AE4035" s="210">
        <f t="shared" si="3440"/>
        <v>0.14399999999999999</v>
      </c>
      <c r="AF4035" s="210">
        <f t="shared" si="3441"/>
        <v>0.26666666666666661</v>
      </c>
      <c r="AG4035" s="211">
        <f t="shared" si="3442"/>
        <v>0.22600000000000001</v>
      </c>
      <c r="AH4035" s="157">
        <f t="shared" si="3443"/>
        <v>1.3560000000000001</v>
      </c>
      <c r="AI4035" s="152">
        <f t="shared" si="3444"/>
        <v>6000</v>
      </c>
      <c r="AK4035" s="156" t="s">
        <v>691</v>
      </c>
      <c r="AL4035" s="212" t="s">
        <v>690</v>
      </c>
      <c r="AM4035" s="198">
        <f t="shared" si="3445"/>
        <v>1356</v>
      </c>
      <c r="AN4035" s="199">
        <f t="shared" si="3446"/>
        <v>46419</v>
      </c>
      <c r="AO4035" s="159" t="s">
        <v>692</v>
      </c>
      <c r="AP4035" s="783" t="s">
        <v>623</v>
      </c>
      <c r="AQ4035" s="782">
        <v>12071839</v>
      </c>
      <c r="AR4035" s="782">
        <v>12042650</v>
      </c>
      <c r="AS4035" s="782">
        <v>12042649</v>
      </c>
      <c r="AT4035" s="782"/>
      <c r="AU4035" s="781"/>
      <c r="AV4035" s="782">
        <v>12083156</v>
      </c>
      <c r="AW4035" s="782"/>
      <c r="AX4035" s="782"/>
      <c r="AY4035" s="782">
        <v>12094235</v>
      </c>
      <c r="AZ4035" s="782">
        <v>12094236</v>
      </c>
      <c r="BA4035" s="781"/>
      <c r="BB4035" s="209">
        <v>23053185</v>
      </c>
    </row>
    <row r="4036" spans="1:54" ht="25" customHeight="1">
      <c r="B4036" s="213"/>
      <c r="C4036" s="578"/>
      <c r="D4036" s="185" t="str">
        <f>IF(B4036="","",YEAR(B4036))</f>
        <v/>
      </c>
      <c r="E4036" s="215" t="e">
        <f>VLOOKUP($B4036,Week!$A$1:$C$1462,2,0)</f>
        <v>#N/A</v>
      </c>
      <c r="F4036" s="216" t="str">
        <f>IF(B4036="","",TEXT(B4036,"[$-409]mmm"))</f>
        <v/>
      </c>
      <c r="G4036" s="215">
        <v>1</v>
      </c>
      <c r="H4036" s="215" t="s">
        <v>104</v>
      </c>
      <c r="I4036" s="215" t="s">
        <v>2772</v>
      </c>
      <c r="J4036" s="209" t="s">
        <v>105</v>
      </c>
      <c r="K4036" s="217" t="s">
        <v>107</v>
      </c>
      <c r="L4036" s="300" t="s">
        <v>2167</v>
      </c>
      <c r="M4036" s="209" t="s">
        <v>108</v>
      </c>
      <c r="N4036" s="215" t="s">
        <v>109</v>
      </c>
      <c r="O4036" s="215" t="s">
        <v>110</v>
      </c>
      <c r="P4036" s="218">
        <v>36</v>
      </c>
      <c r="Q4036" s="218">
        <v>5</v>
      </c>
      <c r="R4036" s="219">
        <v>7.4999999999999997E-3</v>
      </c>
      <c r="S4036" s="215" t="s">
        <v>111</v>
      </c>
      <c r="T4036" s="215" t="s">
        <v>112</v>
      </c>
      <c r="U4036" s="215" t="s">
        <v>113</v>
      </c>
      <c r="V4036" s="220">
        <v>792</v>
      </c>
      <c r="W4036" s="220"/>
      <c r="X4036" s="221"/>
      <c r="Y4036" s="222">
        <f>(W4036+X4036)-V4036</f>
        <v>-792</v>
      </c>
      <c r="Z4036" s="223">
        <f>IF(Y4036&lt;0,((V4036*P4036)-((W4036+X4036)*P4036)),0)</f>
        <v>28512</v>
      </c>
      <c r="AA4036" s="223">
        <f>Q4036*Z4036</f>
        <v>142560</v>
      </c>
      <c r="AB4036" s="807">
        <v>9.7000000000000003E-3</v>
      </c>
      <c r="AC4036" s="220">
        <f>Z4036*AB4036</f>
        <v>276.56639999999999</v>
      </c>
      <c r="AD4036" s="209" t="s">
        <v>3153</v>
      </c>
      <c r="AE4036" s="210">
        <f>SUM(Q4036*R4036*Z4036)/1000</f>
        <v>1.0692000000000002</v>
      </c>
      <c r="AF4036" s="210">
        <f>AE4036/0.54</f>
        <v>1.9800000000000002</v>
      </c>
      <c r="AG4036" s="211">
        <f>MID(O4036,1,3)/1000</f>
        <v>0.308</v>
      </c>
      <c r="AH4036" s="157">
        <f>(Z4036*AG4036)/1000</f>
        <v>8.7816960000000002</v>
      </c>
      <c r="AI4036" s="152">
        <f>V4036*P4036</f>
        <v>28512</v>
      </c>
      <c r="AK4036" s="156" t="s">
        <v>691</v>
      </c>
      <c r="AL4036" s="574" t="s">
        <v>690</v>
      </c>
      <c r="AM4036" s="198">
        <f>AG4036*Z4036</f>
        <v>8781.6959999999999</v>
      </c>
      <c r="AN4036" s="199">
        <f>B4036</f>
        <v>0</v>
      </c>
      <c r="AO4036" s="159" t="s">
        <v>692</v>
      </c>
      <c r="AP4036" s="781"/>
      <c r="AQ4036" s="782">
        <v>12063755</v>
      </c>
      <c r="AR4036" s="782">
        <v>12061353</v>
      </c>
      <c r="AS4036" s="782">
        <v>12061354</v>
      </c>
      <c r="AT4036" s="782">
        <v>12068566</v>
      </c>
      <c r="AU4036" s="781"/>
      <c r="AV4036" s="782">
        <v>12088206</v>
      </c>
      <c r="AW4036" s="782">
        <v>12088207</v>
      </c>
      <c r="AX4036" s="782"/>
      <c r="AY4036" s="782">
        <v>12068565</v>
      </c>
      <c r="AZ4036" s="782"/>
      <c r="BA4036" s="781"/>
      <c r="BB4036" s="209">
        <v>23054743</v>
      </c>
    </row>
    <row r="4037" spans="1:54" ht="25" customHeight="1">
      <c r="B4037" s="213"/>
      <c r="C4037" s="578"/>
      <c r="D4037" s="185" t="str">
        <f t="shared" ref="D4037:D4049" si="3447">IF(B4037="","",YEAR(B4037))</f>
        <v/>
      </c>
      <c r="E4037" s="215" t="e">
        <f>VLOOKUP($B4037,Week!$A$1:$C$1462,2,0)</f>
        <v>#N/A</v>
      </c>
      <c r="F4037" s="216" t="str">
        <f t="shared" ref="F4037:F4049" si="3448">IF(B4037="","",TEXT(B4037,"[$-409]mmm"))</f>
        <v/>
      </c>
      <c r="G4037" s="215">
        <v>2</v>
      </c>
      <c r="H4037" s="215" t="s">
        <v>104</v>
      </c>
      <c r="I4037" s="215" t="s">
        <v>2772</v>
      </c>
      <c r="J4037" s="209" t="s">
        <v>105</v>
      </c>
      <c r="K4037" s="217" t="s">
        <v>107</v>
      </c>
      <c r="L4037" s="300" t="s">
        <v>2167</v>
      </c>
      <c r="M4037" s="209" t="s">
        <v>108</v>
      </c>
      <c r="N4037" s="215" t="s">
        <v>109</v>
      </c>
      <c r="O4037" s="215" t="s">
        <v>110</v>
      </c>
      <c r="P4037" s="218">
        <v>36</v>
      </c>
      <c r="Q4037" s="218">
        <v>5</v>
      </c>
      <c r="R4037" s="219">
        <v>7.4999999999999997E-3</v>
      </c>
      <c r="S4037" s="215" t="s">
        <v>111</v>
      </c>
      <c r="T4037" s="215" t="s">
        <v>112</v>
      </c>
      <c r="U4037" s="215" t="s">
        <v>113</v>
      </c>
      <c r="V4037" s="220">
        <v>792</v>
      </c>
      <c r="W4037" s="220"/>
      <c r="X4037" s="221"/>
      <c r="Y4037" s="222">
        <f t="shared" ref="Y4037:Y4049" si="3449">(W4037+X4037)-V4037</f>
        <v>-792</v>
      </c>
      <c r="Z4037" s="223">
        <f t="shared" ref="Z4037:Z4049" si="3450">IF(Y4037&lt;0,((V4037*P4037)-((W4037+X4037)*P4037)),0)</f>
        <v>28512</v>
      </c>
      <c r="AA4037" s="223">
        <f t="shared" ref="AA4037:AA4049" si="3451">Q4037*Z4037</f>
        <v>142560</v>
      </c>
      <c r="AB4037" s="807">
        <v>9.7000000000000003E-3</v>
      </c>
      <c r="AC4037" s="220">
        <f t="shared" ref="AC4037:AC4049" si="3452">Z4037*AB4037</f>
        <v>276.56639999999999</v>
      </c>
      <c r="AD4037" s="209" t="s">
        <v>3153</v>
      </c>
      <c r="AE4037" s="210">
        <f t="shared" ref="AE4037:AE4049" si="3453">SUM(Q4037*R4037*Z4037)/1000</f>
        <v>1.0692000000000002</v>
      </c>
      <c r="AF4037" s="210">
        <f t="shared" ref="AF4037:AF4049" si="3454">AE4037/0.54</f>
        <v>1.9800000000000002</v>
      </c>
      <c r="AG4037" s="211">
        <f t="shared" ref="AG4037:AG4049" si="3455">MID(O4037,1,3)/1000</f>
        <v>0.308</v>
      </c>
      <c r="AH4037" s="157">
        <f t="shared" ref="AH4037:AH4049" si="3456">(Z4037*AG4037)/1000</f>
        <v>8.7816960000000002</v>
      </c>
      <c r="AI4037" s="152">
        <f t="shared" ref="AI4037:AI4049" si="3457">V4037*P4037</f>
        <v>28512</v>
      </c>
      <c r="AK4037" s="156" t="s">
        <v>691</v>
      </c>
      <c r="AL4037" s="574" t="s">
        <v>690</v>
      </c>
      <c r="AM4037" s="198">
        <f t="shared" ref="AM4037:AM4049" si="3458">AG4037*Z4037</f>
        <v>8781.6959999999999</v>
      </c>
      <c r="AN4037" s="199">
        <f t="shared" ref="AN4037:AN4049" si="3459">B4037</f>
        <v>0</v>
      </c>
      <c r="AO4037" s="159" t="s">
        <v>692</v>
      </c>
      <c r="AP4037" s="781"/>
      <c r="AQ4037" s="782">
        <v>12063755</v>
      </c>
      <c r="AR4037" s="782">
        <v>12061353</v>
      </c>
      <c r="AS4037" s="782">
        <v>12061354</v>
      </c>
      <c r="AT4037" s="782">
        <v>12068566</v>
      </c>
      <c r="AU4037" s="781"/>
      <c r="AV4037" s="782">
        <v>12088206</v>
      </c>
      <c r="AW4037" s="782">
        <v>12088207</v>
      </c>
      <c r="AX4037" s="782"/>
      <c r="AY4037" s="782">
        <v>12068565</v>
      </c>
      <c r="AZ4037" s="782"/>
      <c r="BA4037" s="781"/>
      <c r="BB4037" s="209">
        <v>23054743</v>
      </c>
    </row>
    <row r="4038" spans="1:54" ht="25" customHeight="1">
      <c r="B4038" s="213"/>
      <c r="C4038" s="578"/>
      <c r="D4038" s="185" t="str">
        <f t="shared" si="3447"/>
        <v/>
      </c>
      <c r="E4038" s="215" t="e">
        <f>VLOOKUP($B4038,Week!$A$1:$C$1462,2,0)</f>
        <v>#N/A</v>
      </c>
      <c r="F4038" s="216" t="str">
        <f t="shared" si="3448"/>
        <v/>
      </c>
      <c r="G4038" s="215">
        <v>3</v>
      </c>
      <c r="H4038" s="215" t="s">
        <v>104</v>
      </c>
      <c r="I4038" s="215" t="s">
        <v>2772</v>
      </c>
      <c r="J4038" s="209" t="s">
        <v>105</v>
      </c>
      <c r="K4038" s="217" t="s">
        <v>107</v>
      </c>
      <c r="L4038" s="300" t="s">
        <v>2167</v>
      </c>
      <c r="M4038" s="209" t="s">
        <v>108</v>
      </c>
      <c r="N4038" s="215" t="s">
        <v>109</v>
      </c>
      <c r="O4038" s="215" t="s">
        <v>110</v>
      </c>
      <c r="P4038" s="218">
        <v>36</v>
      </c>
      <c r="Q4038" s="218">
        <v>5</v>
      </c>
      <c r="R4038" s="219">
        <v>7.4999999999999997E-3</v>
      </c>
      <c r="S4038" s="215" t="s">
        <v>111</v>
      </c>
      <c r="T4038" s="215" t="s">
        <v>112</v>
      </c>
      <c r="U4038" s="215" t="s">
        <v>113</v>
      </c>
      <c r="V4038" s="220">
        <v>792</v>
      </c>
      <c r="W4038" s="220"/>
      <c r="X4038" s="221"/>
      <c r="Y4038" s="222">
        <f t="shared" si="3449"/>
        <v>-792</v>
      </c>
      <c r="Z4038" s="223">
        <f t="shared" si="3450"/>
        <v>28512</v>
      </c>
      <c r="AA4038" s="223">
        <f t="shared" si="3451"/>
        <v>142560</v>
      </c>
      <c r="AB4038" s="807">
        <v>9.7000000000000003E-3</v>
      </c>
      <c r="AC4038" s="220">
        <f t="shared" si="3452"/>
        <v>276.56639999999999</v>
      </c>
      <c r="AD4038" s="209" t="s">
        <v>3153</v>
      </c>
      <c r="AE4038" s="210">
        <f t="shared" si="3453"/>
        <v>1.0692000000000002</v>
      </c>
      <c r="AF4038" s="210">
        <f t="shared" si="3454"/>
        <v>1.9800000000000002</v>
      </c>
      <c r="AG4038" s="211">
        <f t="shared" si="3455"/>
        <v>0.308</v>
      </c>
      <c r="AH4038" s="157">
        <f t="shared" si="3456"/>
        <v>8.7816960000000002</v>
      </c>
      <c r="AI4038" s="152">
        <f t="shared" si="3457"/>
        <v>28512</v>
      </c>
      <c r="AK4038" s="156" t="s">
        <v>691</v>
      </c>
      <c r="AL4038" s="574" t="s">
        <v>690</v>
      </c>
      <c r="AM4038" s="198">
        <f t="shared" si="3458"/>
        <v>8781.6959999999999</v>
      </c>
      <c r="AN4038" s="199">
        <f t="shared" si="3459"/>
        <v>0</v>
      </c>
      <c r="AO4038" s="159" t="s">
        <v>692</v>
      </c>
      <c r="AP4038" s="781"/>
      <c r="AQ4038" s="782">
        <v>12063755</v>
      </c>
      <c r="AR4038" s="782">
        <v>12061353</v>
      </c>
      <c r="AS4038" s="782">
        <v>12061354</v>
      </c>
      <c r="AT4038" s="782">
        <v>12068566</v>
      </c>
      <c r="AU4038" s="781"/>
      <c r="AV4038" s="782">
        <v>12088206</v>
      </c>
      <c r="AW4038" s="782">
        <v>12088207</v>
      </c>
      <c r="AX4038" s="782"/>
      <c r="AY4038" s="782">
        <v>12068565</v>
      </c>
      <c r="AZ4038" s="782"/>
      <c r="BA4038" s="781"/>
      <c r="BB4038" s="209">
        <v>23054743</v>
      </c>
    </row>
    <row r="4039" spans="1:54" ht="25" customHeight="1">
      <c r="B4039" s="213"/>
      <c r="C4039" s="578"/>
      <c r="D4039" s="185" t="str">
        <f t="shared" si="3447"/>
        <v/>
      </c>
      <c r="E4039" s="215" t="e">
        <f>VLOOKUP($B4039,Week!$A$1:$C$1462,2,0)</f>
        <v>#N/A</v>
      </c>
      <c r="F4039" s="216" t="str">
        <f t="shared" si="3448"/>
        <v/>
      </c>
      <c r="G4039" s="215">
        <v>4</v>
      </c>
      <c r="H4039" s="215" t="s">
        <v>104</v>
      </c>
      <c r="I4039" s="215" t="s">
        <v>2772</v>
      </c>
      <c r="J4039" s="209" t="s">
        <v>105</v>
      </c>
      <c r="K4039" s="217" t="s">
        <v>107</v>
      </c>
      <c r="L4039" s="300" t="s">
        <v>2167</v>
      </c>
      <c r="M4039" s="209" t="s">
        <v>108</v>
      </c>
      <c r="N4039" s="215" t="s">
        <v>109</v>
      </c>
      <c r="O4039" s="215" t="s">
        <v>110</v>
      </c>
      <c r="P4039" s="218">
        <v>36</v>
      </c>
      <c r="Q4039" s="218">
        <v>5</v>
      </c>
      <c r="R4039" s="219">
        <v>7.4999999999999997E-3</v>
      </c>
      <c r="S4039" s="215" t="s">
        <v>111</v>
      </c>
      <c r="T4039" s="215" t="s">
        <v>112</v>
      </c>
      <c r="U4039" s="215" t="s">
        <v>113</v>
      </c>
      <c r="V4039" s="220">
        <v>792</v>
      </c>
      <c r="W4039" s="220"/>
      <c r="X4039" s="221"/>
      <c r="Y4039" s="222">
        <f t="shared" si="3449"/>
        <v>-792</v>
      </c>
      <c r="Z4039" s="223">
        <f t="shared" si="3450"/>
        <v>28512</v>
      </c>
      <c r="AA4039" s="223">
        <f t="shared" si="3451"/>
        <v>142560</v>
      </c>
      <c r="AB4039" s="807">
        <v>9.7000000000000003E-3</v>
      </c>
      <c r="AC4039" s="220">
        <f t="shared" si="3452"/>
        <v>276.56639999999999</v>
      </c>
      <c r="AD4039" s="209" t="s">
        <v>3155</v>
      </c>
      <c r="AE4039" s="210">
        <f t="shared" si="3453"/>
        <v>1.0692000000000002</v>
      </c>
      <c r="AF4039" s="210">
        <f t="shared" si="3454"/>
        <v>1.9800000000000002</v>
      </c>
      <c r="AG4039" s="211">
        <f t="shared" si="3455"/>
        <v>0.308</v>
      </c>
      <c r="AH4039" s="157">
        <f t="shared" si="3456"/>
        <v>8.7816960000000002</v>
      </c>
      <c r="AI4039" s="152">
        <f t="shared" si="3457"/>
        <v>28512</v>
      </c>
      <c r="AK4039" s="156" t="s">
        <v>691</v>
      </c>
      <c r="AL4039" s="574" t="s">
        <v>690</v>
      </c>
      <c r="AM4039" s="198">
        <f t="shared" si="3458"/>
        <v>8781.6959999999999</v>
      </c>
      <c r="AN4039" s="199">
        <f t="shared" si="3459"/>
        <v>0</v>
      </c>
      <c r="AO4039" s="159" t="s">
        <v>692</v>
      </c>
      <c r="AP4039" s="781"/>
      <c r="AQ4039" s="782">
        <v>12063755</v>
      </c>
      <c r="AR4039" s="782">
        <v>12061353</v>
      </c>
      <c r="AS4039" s="782">
        <v>12061354</v>
      </c>
      <c r="AT4039" s="782">
        <v>12068566</v>
      </c>
      <c r="AU4039" s="781"/>
      <c r="AV4039" s="782">
        <v>12088206</v>
      </c>
      <c r="AW4039" s="782">
        <v>12088207</v>
      </c>
      <c r="AX4039" s="782"/>
      <c r="AY4039" s="782">
        <v>12068565</v>
      </c>
      <c r="AZ4039" s="782"/>
      <c r="BA4039" s="781"/>
      <c r="BB4039" s="209">
        <v>23054743</v>
      </c>
    </row>
    <row r="4040" spans="1:54" ht="25" customHeight="1">
      <c r="B4040" s="213"/>
      <c r="C4040" s="578"/>
      <c r="D4040" s="185" t="str">
        <f t="shared" si="3447"/>
        <v/>
      </c>
      <c r="E4040" s="215" t="e">
        <f>VLOOKUP($B4040,Week!$A$1:$C$1462,2,0)</f>
        <v>#N/A</v>
      </c>
      <c r="F4040" s="216" t="str">
        <f t="shared" si="3448"/>
        <v/>
      </c>
      <c r="G4040" s="215">
        <v>5</v>
      </c>
      <c r="H4040" s="215" t="s">
        <v>104</v>
      </c>
      <c r="I4040" s="215" t="s">
        <v>2772</v>
      </c>
      <c r="J4040" s="209" t="s">
        <v>105</v>
      </c>
      <c r="K4040" s="217" t="s">
        <v>107</v>
      </c>
      <c r="L4040" s="300" t="s">
        <v>2167</v>
      </c>
      <c r="M4040" s="209" t="s">
        <v>108</v>
      </c>
      <c r="N4040" s="215" t="s">
        <v>109</v>
      </c>
      <c r="O4040" s="215" t="s">
        <v>110</v>
      </c>
      <c r="P4040" s="218">
        <v>36</v>
      </c>
      <c r="Q4040" s="218">
        <v>5</v>
      </c>
      <c r="R4040" s="219">
        <v>7.4999999999999997E-3</v>
      </c>
      <c r="S4040" s="215" t="s">
        <v>111</v>
      </c>
      <c r="T4040" s="215" t="s">
        <v>112</v>
      </c>
      <c r="U4040" s="215" t="s">
        <v>113</v>
      </c>
      <c r="V4040" s="220">
        <v>792</v>
      </c>
      <c r="W4040" s="220"/>
      <c r="X4040" s="221"/>
      <c r="Y4040" s="222">
        <f t="shared" si="3449"/>
        <v>-792</v>
      </c>
      <c r="Z4040" s="223">
        <f t="shared" si="3450"/>
        <v>28512</v>
      </c>
      <c r="AA4040" s="223">
        <f t="shared" si="3451"/>
        <v>142560</v>
      </c>
      <c r="AB4040" s="807">
        <v>9.7000000000000003E-3</v>
      </c>
      <c r="AC4040" s="220">
        <f t="shared" si="3452"/>
        <v>276.56639999999999</v>
      </c>
      <c r="AD4040" s="209"/>
      <c r="AE4040" s="210">
        <f t="shared" si="3453"/>
        <v>1.0692000000000002</v>
      </c>
      <c r="AF4040" s="210">
        <f t="shared" si="3454"/>
        <v>1.9800000000000002</v>
      </c>
      <c r="AG4040" s="211">
        <f t="shared" si="3455"/>
        <v>0.308</v>
      </c>
      <c r="AH4040" s="157">
        <f t="shared" si="3456"/>
        <v>8.7816960000000002</v>
      </c>
      <c r="AI4040" s="152">
        <f t="shared" si="3457"/>
        <v>28512</v>
      </c>
      <c r="AK4040" s="156" t="s">
        <v>691</v>
      </c>
      <c r="AL4040" s="574" t="s">
        <v>690</v>
      </c>
      <c r="AM4040" s="198">
        <f t="shared" si="3458"/>
        <v>8781.6959999999999</v>
      </c>
      <c r="AN4040" s="199">
        <f t="shared" si="3459"/>
        <v>0</v>
      </c>
      <c r="AO4040" s="159" t="s">
        <v>692</v>
      </c>
      <c r="AP4040" s="781"/>
      <c r="AQ4040" s="782">
        <v>12063755</v>
      </c>
      <c r="AR4040" s="782">
        <v>12061353</v>
      </c>
      <c r="AS4040" s="782">
        <v>12061354</v>
      </c>
      <c r="AT4040" s="782">
        <v>12068566</v>
      </c>
      <c r="AU4040" s="781"/>
      <c r="AV4040" s="782">
        <v>12088206</v>
      </c>
      <c r="AW4040" s="782">
        <v>12088207</v>
      </c>
      <c r="AX4040" s="782"/>
      <c r="AY4040" s="782">
        <v>12068565</v>
      </c>
      <c r="AZ4040" s="782"/>
      <c r="BA4040" s="781"/>
      <c r="BB4040" s="209">
        <v>23054743</v>
      </c>
    </row>
    <row r="4041" spans="1:54" ht="25" customHeight="1">
      <c r="B4041" s="213"/>
      <c r="C4041" s="578"/>
      <c r="D4041" s="185" t="str">
        <f t="shared" si="3447"/>
        <v/>
      </c>
      <c r="E4041" s="215" t="e">
        <f>VLOOKUP($B4041,Week!$A$1:$C$1462,2,0)</f>
        <v>#N/A</v>
      </c>
      <c r="F4041" s="216" t="str">
        <f t="shared" si="3448"/>
        <v/>
      </c>
      <c r="G4041" s="215">
        <v>6</v>
      </c>
      <c r="H4041" s="215" t="s">
        <v>104</v>
      </c>
      <c r="I4041" s="215" t="s">
        <v>2772</v>
      </c>
      <c r="J4041" s="209" t="s">
        <v>105</v>
      </c>
      <c r="K4041" s="217" t="s">
        <v>107</v>
      </c>
      <c r="L4041" s="300" t="s">
        <v>2167</v>
      </c>
      <c r="M4041" s="209" t="s">
        <v>108</v>
      </c>
      <c r="N4041" s="215" t="s">
        <v>109</v>
      </c>
      <c r="O4041" s="215" t="s">
        <v>110</v>
      </c>
      <c r="P4041" s="218">
        <v>36</v>
      </c>
      <c r="Q4041" s="218">
        <v>5</v>
      </c>
      <c r="R4041" s="219">
        <v>7.4999999999999997E-3</v>
      </c>
      <c r="S4041" s="215" t="s">
        <v>111</v>
      </c>
      <c r="T4041" s="215" t="s">
        <v>112</v>
      </c>
      <c r="U4041" s="215" t="s">
        <v>113</v>
      </c>
      <c r="V4041" s="220">
        <v>792</v>
      </c>
      <c r="W4041" s="220"/>
      <c r="X4041" s="221"/>
      <c r="Y4041" s="222">
        <f t="shared" si="3449"/>
        <v>-792</v>
      </c>
      <c r="Z4041" s="223">
        <f t="shared" si="3450"/>
        <v>28512</v>
      </c>
      <c r="AA4041" s="223">
        <f t="shared" si="3451"/>
        <v>142560</v>
      </c>
      <c r="AB4041" s="807">
        <v>9.7000000000000003E-3</v>
      </c>
      <c r="AC4041" s="220">
        <f t="shared" si="3452"/>
        <v>276.56639999999999</v>
      </c>
      <c r="AD4041" s="209"/>
      <c r="AE4041" s="210">
        <f t="shared" si="3453"/>
        <v>1.0692000000000002</v>
      </c>
      <c r="AF4041" s="210">
        <f t="shared" si="3454"/>
        <v>1.9800000000000002</v>
      </c>
      <c r="AG4041" s="211">
        <f t="shared" si="3455"/>
        <v>0.308</v>
      </c>
      <c r="AH4041" s="157">
        <f t="shared" si="3456"/>
        <v>8.7816960000000002</v>
      </c>
      <c r="AI4041" s="152">
        <f t="shared" si="3457"/>
        <v>28512</v>
      </c>
      <c r="AK4041" s="156" t="s">
        <v>691</v>
      </c>
      <c r="AL4041" s="574" t="s">
        <v>690</v>
      </c>
      <c r="AM4041" s="198">
        <f t="shared" si="3458"/>
        <v>8781.6959999999999</v>
      </c>
      <c r="AN4041" s="199">
        <f t="shared" si="3459"/>
        <v>0</v>
      </c>
      <c r="AO4041" s="159" t="s">
        <v>692</v>
      </c>
      <c r="AP4041" s="781"/>
      <c r="AQ4041" s="782">
        <v>12063755</v>
      </c>
      <c r="AR4041" s="782">
        <v>12061353</v>
      </c>
      <c r="AS4041" s="782">
        <v>12061354</v>
      </c>
      <c r="AT4041" s="782">
        <v>12068566</v>
      </c>
      <c r="AU4041" s="781"/>
      <c r="AV4041" s="782">
        <v>12088206</v>
      </c>
      <c r="AW4041" s="782">
        <v>12088207</v>
      </c>
      <c r="AX4041" s="782"/>
      <c r="AY4041" s="782">
        <v>12068565</v>
      </c>
      <c r="AZ4041" s="782"/>
      <c r="BA4041" s="781"/>
      <c r="BB4041" s="209">
        <v>23054743</v>
      </c>
    </row>
    <row r="4042" spans="1:54" ht="25" customHeight="1">
      <c r="B4042" s="213"/>
      <c r="C4042" s="578"/>
      <c r="D4042" s="185" t="str">
        <f t="shared" si="3447"/>
        <v/>
      </c>
      <c r="E4042" s="215" t="e">
        <f>VLOOKUP($B4042,Week!$A$1:$C$1462,2,0)</f>
        <v>#N/A</v>
      </c>
      <c r="F4042" s="216" t="str">
        <f t="shared" si="3448"/>
        <v/>
      </c>
      <c r="G4042" s="215">
        <v>7</v>
      </c>
      <c r="H4042" s="215" t="s">
        <v>104</v>
      </c>
      <c r="I4042" s="215" t="s">
        <v>2772</v>
      </c>
      <c r="J4042" s="209" t="s">
        <v>105</v>
      </c>
      <c r="K4042" s="217" t="s">
        <v>107</v>
      </c>
      <c r="L4042" s="300" t="s">
        <v>2167</v>
      </c>
      <c r="M4042" s="209" t="s">
        <v>108</v>
      </c>
      <c r="N4042" s="215" t="s">
        <v>109</v>
      </c>
      <c r="O4042" s="215" t="s">
        <v>110</v>
      </c>
      <c r="P4042" s="218">
        <v>36</v>
      </c>
      <c r="Q4042" s="218">
        <v>5</v>
      </c>
      <c r="R4042" s="219">
        <v>7.4999999999999997E-3</v>
      </c>
      <c r="S4042" s="215" t="s">
        <v>111</v>
      </c>
      <c r="T4042" s="215" t="s">
        <v>112</v>
      </c>
      <c r="U4042" s="215" t="s">
        <v>113</v>
      </c>
      <c r="V4042" s="220">
        <v>792</v>
      </c>
      <c r="W4042" s="220"/>
      <c r="X4042" s="221"/>
      <c r="Y4042" s="222">
        <f t="shared" si="3449"/>
        <v>-792</v>
      </c>
      <c r="Z4042" s="223">
        <f t="shared" si="3450"/>
        <v>28512</v>
      </c>
      <c r="AA4042" s="223">
        <f t="shared" si="3451"/>
        <v>142560</v>
      </c>
      <c r="AB4042" s="807">
        <v>9.7000000000000003E-3</v>
      </c>
      <c r="AC4042" s="220">
        <f t="shared" si="3452"/>
        <v>276.56639999999999</v>
      </c>
      <c r="AD4042" s="209"/>
      <c r="AE4042" s="210">
        <f t="shared" si="3453"/>
        <v>1.0692000000000002</v>
      </c>
      <c r="AF4042" s="210">
        <f t="shared" si="3454"/>
        <v>1.9800000000000002</v>
      </c>
      <c r="AG4042" s="211">
        <f t="shared" si="3455"/>
        <v>0.308</v>
      </c>
      <c r="AH4042" s="157">
        <f t="shared" si="3456"/>
        <v>8.7816960000000002</v>
      </c>
      <c r="AI4042" s="152">
        <f t="shared" si="3457"/>
        <v>28512</v>
      </c>
      <c r="AK4042" s="156" t="s">
        <v>691</v>
      </c>
      <c r="AL4042" s="574" t="s">
        <v>690</v>
      </c>
      <c r="AM4042" s="198">
        <f t="shared" si="3458"/>
        <v>8781.6959999999999</v>
      </c>
      <c r="AN4042" s="199">
        <f t="shared" si="3459"/>
        <v>0</v>
      </c>
      <c r="AO4042" s="159" t="s">
        <v>692</v>
      </c>
      <c r="AP4042" s="781"/>
      <c r="AQ4042" s="782">
        <v>12063755</v>
      </c>
      <c r="AR4042" s="782">
        <v>12061353</v>
      </c>
      <c r="AS4042" s="782">
        <v>12061354</v>
      </c>
      <c r="AT4042" s="782">
        <v>12068566</v>
      </c>
      <c r="AU4042" s="781"/>
      <c r="AV4042" s="782">
        <v>12088206</v>
      </c>
      <c r="AW4042" s="782">
        <v>12088207</v>
      </c>
      <c r="AX4042" s="782"/>
      <c r="AY4042" s="782">
        <v>12068565</v>
      </c>
      <c r="AZ4042" s="782"/>
      <c r="BA4042" s="781"/>
      <c r="BB4042" s="209">
        <v>23054743</v>
      </c>
    </row>
    <row r="4043" spans="1:54" ht="25" customHeight="1">
      <c r="B4043" s="213"/>
      <c r="C4043" s="578"/>
      <c r="D4043" s="185" t="str">
        <f t="shared" si="3447"/>
        <v/>
      </c>
      <c r="E4043" s="215" t="e">
        <f>VLOOKUP($B4043,Week!$A$1:$C$1462,2,0)</f>
        <v>#N/A</v>
      </c>
      <c r="F4043" s="216" t="str">
        <f t="shared" si="3448"/>
        <v/>
      </c>
      <c r="G4043" s="215">
        <v>8</v>
      </c>
      <c r="H4043" s="215" t="s">
        <v>104</v>
      </c>
      <c r="I4043" s="215" t="s">
        <v>2772</v>
      </c>
      <c r="J4043" s="209" t="s">
        <v>105</v>
      </c>
      <c r="K4043" s="217" t="s">
        <v>107</v>
      </c>
      <c r="L4043" s="300" t="s">
        <v>2167</v>
      </c>
      <c r="M4043" s="209" t="s">
        <v>108</v>
      </c>
      <c r="N4043" s="215" t="s">
        <v>109</v>
      </c>
      <c r="O4043" s="215" t="s">
        <v>110</v>
      </c>
      <c r="P4043" s="218">
        <v>36</v>
      </c>
      <c r="Q4043" s="218">
        <v>5</v>
      </c>
      <c r="R4043" s="219">
        <v>7.4999999999999997E-3</v>
      </c>
      <c r="S4043" s="215" t="s">
        <v>111</v>
      </c>
      <c r="T4043" s="215" t="s">
        <v>112</v>
      </c>
      <c r="U4043" s="215" t="s">
        <v>113</v>
      </c>
      <c r="V4043" s="220">
        <v>792</v>
      </c>
      <c r="W4043" s="220"/>
      <c r="X4043" s="221"/>
      <c r="Y4043" s="222">
        <f t="shared" si="3449"/>
        <v>-792</v>
      </c>
      <c r="Z4043" s="223">
        <f t="shared" si="3450"/>
        <v>28512</v>
      </c>
      <c r="AA4043" s="223">
        <f t="shared" si="3451"/>
        <v>142560</v>
      </c>
      <c r="AB4043" s="807">
        <v>9.7000000000000003E-3</v>
      </c>
      <c r="AC4043" s="220">
        <f t="shared" si="3452"/>
        <v>276.56639999999999</v>
      </c>
      <c r="AD4043" s="209"/>
      <c r="AE4043" s="210">
        <f t="shared" si="3453"/>
        <v>1.0692000000000002</v>
      </c>
      <c r="AF4043" s="210">
        <f t="shared" si="3454"/>
        <v>1.9800000000000002</v>
      </c>
      <c r="AG4043" s="211">
        <f t="shared" si="3455"/>
        <v>0.308</v>
      </c>
      <c r="AH4043" s="157">
        <f t="shared" si="3456"/>
        <v>8.7816960000000002</v>
      </c>
      <c r="AI4043" s="152">
        <f t="shared" si="3457"/>
        <v>28512</v>
      </c>
      <c r="AK4043" s="156" t="s">
        <v>691</v>
      </c>
      <c r="AL4043" s="574" t="s">
        <v>690</v>
      </c>
      <c r="AM4043" s="198">
        <f t="shared" si="3458"/>
        <v>8781.6959999999999</v>
      </c>
      <c r="AN4043" s="199">
        <f t="shared" si="3459"/>
        <v>0</v>
      </c>
      <c r="AO4043" s="159" t="s">
        <v>692</v>
      </c>
      <c r="AP4043" s="781"/>
      <c r="AQ4043" s="782">
        <v>12063755</v>
      </c>
      <c r="AR4043" s="782">
        <v>12061353</v>
      </c>
      <c r="AS4043" s="782">
        <v>12061354</v>
      </c>
      <c r="AT4043" s="782">
        <v>12068566</v>
      </c>
      <c r="AU4043" s="781"/>
      <c r="AV4043" s="782">
        <v>12088206</v>
      </c>
      <c r="AW4043" s="782">
        <v>12088207</v>
      </c>
      <c r="AX4043" s="782"/>
      <c r="AY4043" s="782">
        <v>12068565</v>
      </c>
      <c r="AZ4043" s="782"/>
      <c r="BA4043" s="781"/>
      <c r="BB4043" s="209">
        <v>23054743</v>
      </c>
    </row>
    <row r="4044" spans="1:54" ht="25" customHeight="1">
      <c r="B4044" s="213"/>
      <c r="C4044" s="578"/>
      <c r="D4044" s="185" t="str">
        <f t="shared" si="3447"/>
        <v/>
      </c>
      <c r="E4044" s="215" t="e">
        <f>VLOOKUP($B4044,Week!$A$1:$C$1462,2,0)</f>
        <v>#N/A</v>
      </c>
      <c r="F4044" s="216" t="str">
        <f t="shared" si="3448"/>
        <v/>
      </c>
      <c r="G4044" s="215">
        <v>9</v>
      </c>
      <c r="H4044" s="215" t="s">
        <v>104</v>
      </c>
      <c r="I4044" s="215" t="s">
        <v>2772</v>
      </c>
      <c r="J4044" s="209" t="s">
        <v>105</v>
      </c>
      <c r="K4044" s="217" t="s">
        <v>107</v>
      </c>
      <c r="L4044" s="300" t="s">
        <v>2167</v>
      </c>
      <c r="M4044" s="209" t="s">
        <v>108</v>
      </c>
      <c r="N4044" s="215" t="s">
        <v>109</v>
      </c>
      <c r="O4044" s="215" t="s">
        <v>110</v>
      </c>
      <c r="P4044" s="218">
        <v>36</v>
      </c>
      <c r="Q4044" s="218">
        <v>5</v>
      </c>
      <c r="R4044" s="219">
        <v>7.4999999999999997E-3</v>
      </c>
      <c r="S4044" s="215" t="s">
        <v>111</v>
      </c>
      <c r="T4044" s="215" t="s">
        <v>112</v>
      </c>
      <c r="U4044" s="215" t="s">
        <v>113</v>
      </c>
      <c r="V4044" s="220">
        <v>792</v>
      </c>
      <c r="W4044" s="220"/>
      <c r="X4044" s="221"/>
      <c r="Y4044" s="222">
        <f t="shared" si="3449"/>
        <v>-792</v>
      </c>
      <c r="Z4044" s="223">
        <f t="shared" si="3450"/>
        <v>28512</v>
      </c>
      <c r="AA4044" s="223">
        <f t="shared" si="3451"/>
        <v>142560</v>
      </c>
      <c r="AB4044" s="807">
        <v>9.7000000000000003E-3</v>
      </c>
      <c r="AC4044" s="220">
        <f t="shared" si="3452"/>
        <v>276.56639999999999</v>
      </c>
      <c r="AD4044" s="209"/>
      <c r="AE4044" s="210">
        <f t="shared" si="3453"/>
        <v>1.0692000000000002</v>
      </c>
      <c r="AF4044" s="210">
        <f t="shared" si="3454"/>
        <v>1.9800000000000002</v>
      </c>
      <c r="AG4044" s="211">
        <f t="shared" si="3455"/>
        <v>0.308</v>
      </c>
      <c r="AH4044" s="157">
        <f t="shared" si="3456"/>
        <v>8.7816960000000002</v>
      </c>
      <c r="AI4044" s="152">
        <f t="shared" si="3457"/>
        <v>28512</v>
      </c>
      <c r="AK4044" s="156" t="s">
        <v>691</v>
      </c>
      <c r="AL4044" s="574" t="s">
        <v>690</v>
      </c>
      <c r="AM4044" s="198">
        <f t="shared" si="3458"/>
        <v>8781.6959999999999</v>
      </c>
      <c r="AN4044" s="199">
        <f t="shared" si="3459"/>
        <v>0</v>
      </c>
      <c r="AO4044" s="159" t="s">
        <v>692</v>
      </c>
      <c r="AP4044" s="781"/>
      <c r="AQ4044" s="782">
        <v>12063755</v>
      </c>
      <c r="AR4044" s="782">
        <v>12061353</v>
      </c>
      <c r="AS4044" s="782">
        <v>12061354</v>
      </c>
      <c r="AT4044" s="782">
        <v>12068566</v>
      </c>
      <c r="AU4044" s="781"/>
      <c r="AV4044" s="782">
        <v>12088206</v>
      </c>
      <c r="AW4044" s="782">
        <v>12088207</v>
      </c>
      <c r="AX4044" s="782"/>
      <c r="AY4044" s="782">
        <v>12068565</v>
      </c>
      <c r="AZ4044" s="782"/>
      <c r="BA4044" s="781"/>
      <c r="BB4044" s="209">
        <v>23054743</v>
      </c>
    </row>
    <row r="4045" spans="1:54" ht="25" customHeight="1">
      <c r="B4045" s="213"/>
      <c r="C4045" s="578"/>
      <c r="D4045" s="185" t="str">
        <f t="shared" si="3447"/>
        <v/>
      </c>
      <c r="E4045" s="215" t="e">
        <f>VLOOKUP($B4045,Week!$A$1:$C$1462,2,0)</f>
        <v>#N/A</v>
      </c>
      <c r="F4045" s="216" t="str">
        <f t="shared" si="3448"/>
        <v/>
      </c>
      <c r="G4045" s="215">
        <v>10</v>
      </c>
      <c r="H4045" s="215" t="s">
        <v>104</v>
      </c>
      <c r="I4045" s="215" t="s">
        <v>2772</v>
      </c>
      <c r="J4045" s="209" t="s">
        <v>105</v>
      </c>
      <c r="K4045" s="217" t="s">
        <v>107</v>
      </c>
      <c r="L4045" s="300" t="s">
        <v>2167</v>
      </c>
      <c r="M4045" s="209" t="s">
        <v>108</v>
      </c>
      <c r="N4045" s="215" t="s">
        <v>109</v>
      </c>
      <c r="O4045" s="215" t="s">
        <v>110</v>
      </c>
      <c r="P4045" s="218">
        <v>36</v>
      </c>
      <c r="Q4045" s="218">
        <v>5</v>
      </c>
      <c r="R4045" s="219">
        <v>7.4999999999999997E-3</v>
      </c>
      <c r="S4045" s="215" t="s">
        <v>111</v>
      </c>
      <c r="T4045" s="215" t="s">
        <v>112</v>
      </c>
      <c r="U4045" s="215" t="s">
        <v>113</v>
      </c>
      <c r="V4045" s="220">
        <v>792</v>
      </c>
      <c r="W4045" s="220"/>
      <c r="X4045" s="221"/>
      <c r="Y4045" s="222">
        <f t="shared" si="3449"/>
        <v>-792</v>
      </c>
      <c r="Z4045" s="223">
        <f t="shared" si="3450"/>
        <v>28512</v>
      </c>
      <c r="AA4045" s="223">
        <f t="shared" si="3451"/>
        <v>142560</v>
      </c>
      <c r="AB4045" s="807">
        <v>9.7000000000000003E-3</v>
      </c>
      <c r="AC4045" s="220">
        <f t="shared" si="3452"/>
        <v>276.56639999999999</v>
      </c>
      <c r="AD4045" s="209"/>
      <c r="AE4045" s="210">
        <f t="shared" si="3453"/>
        <v>1.0692000000000002</v>
      </c>
      <c r="AF4045" s="210">
        <f t="shared" si="3454"/>
        <v>1.9800000000000002</v>
      </c>
      <c r="AG4045" s="211">
        <f t="shared" si="3455"/>
        <v>0.308</v>
      </c>
      <c r="AH4045" s="157">
        <f t="shared" si="3456"/>
        <v>8.7816960000000002</v>
      </c>
      <c r="AI4045" s="152">
        <f t="shared" si="3457"/>
        <v>28512</v>
      </c>
      <c r="AK4045" s="156" t="s">
        <v>691</v>
      </c>
      <c r="AL4045" s="574" t="s">
        <v>690</v>
      </c>
      <c r="AM4045" s="198">
        <f t="shared" si="3458"/>
        <v>8781.6959999999999</v>
      </c>
      <c r="AN4045" s="199">
        <f t="shared" si="3459"/>
        <v>0</v>
      </c>
      <c r="AO4045" s="159" t="s">
        <v>692</v>
      </c>
      <c r="AP4045" s="781"/>
      <c r="AQ4045" s="782">
        <v>12063755</v>
      </c>
      <c r="AR4045" s="782">
        <v>12061353</v>
      </c>
      <c r="AS4045" s="782">
        <v>12061354</v>
      </c>
      <c r="AT4045" s="782">
        <v>12068566</v>
      </c>
      <c r="AU4045" s="781"/>
      <c r="AV4045" s="782">
        <v>12088206</v>
      </c>
      <c r="AW4045" s="782">
        <v>12088207</v>
      </c>
      <c r="AX4045" s="782"/>
      <c r="AY4045" s="782">
        <v>12068565</v>
      </c>
      <c r="AZ4045" s="782"/>
      <c r="BA4045" s="781"/>
      <c r="BB4045" s="209">
        <v>23054743</v>
      </c>
    </row>
    <row r="4046" spans="1:54" ht="25" customHeight="1">
      <c r="B4046" s="213"/>
      <c r="C4046" s="578"/>
      <c r="D4046" s="185" t="str">
        <f t="shared" si="3447"/>
        <v/>
      </c>
      <c r="E4046" s="215" t="e">
        <f>VLOOKUP($B4046,Week!$A$1:$C$1462,2,0)</f>
        <v>#N/A</v>
      </c>
      <c r="F4046" s="216" t="str">
        <f t="shared" si="3448"/>
        <v/>
      </c>
      <c r="G4046" s="215">
        <v>11</v>
      </c>
      <c r="H4046" s="215" t="s">
        <v>104</v>
      </c>
      <c r="I4046" s="215" t="s">
        <v>2772</v>
      </c>
      <c r="J4046" s="209" t="s">
        <v>105</v>
      </c>
      <c r="K4046" s="217" t="s">
        <v>107</v>
      </c>
      <c r="L4046" s="300" t="s">
        <v>2167</v>
      </c>
      <c r="M4046" s="209" t="s">
        <v>108</v>
      </c>
      <c r="N4046" s="215" t="s">
        <v>109</v>
      </c>
      <c r="O4046" s="215" t="s">
        <v>110</v>
      </c>
      <c r="P4046" s="218">
        <v>36</v>
      </c>
      <c r="Q4046" s="218">
        <v>5</v>
      </c>
      <c r="R4046" s="219">
        <v>7.4999999999999997E-3</v>
      </c>
      <c r="S4046" s="215" t="s">
        <v>111</v>
      </c>
      <c r="T4046" s="215" t="s">
        <v>112</v>
      </c>
      <c r="U4046" s="215" t="s">
        <v>113</v>
      </c>
      <c r="V4046" s="220">
        <v>792</v>
      </c>
      <c r="W4046" s="220"/>
      <c r="X4046" s="221"/>
      <c r="Y4046" s="222">
        <f t="shared" si="3449"/>
        <v>-792</v>
      </c>
      <c r="Z4046" s="223">
        <f t="shared" si="3450"/>
        <v>28512</v>
      </c>
      <c r="AA4046" s="223">
        <f t="shared" si="3451"/>
        <v>142560</v>
      </c>
      <c r="AB4046" s="807">
        <v>9.7000000000000003E-3</v>
      </c>
      <c r="AC4046" s="220">
        <f t="shared" si="3452"/>
        <v>276.56639999999999</v>
      </c>
      <c r="AD4046" s="209"/>
      <c r="AE4046" s="210">
        <f t="shared" si="3453"/>
        <v>1.0692000000000002</v>
      </c>
      <c r="AF4046" s="210">
        <f t="shared" si="3454"/>
        <v>1.9800000000000002</v>
      </c>
      <c r="AG4046" s="211">
        <f t="shared" si="3455"/>
        <v>0.308</v>
      </c>
      <c r="AH4046" s="157">
        <f t="shared" si="3456"/>
        <v>8.7816960000000002</v>
      </c>
      <c r="AI4046" s="152">
        <f t="shared" si="3457"/>
        <v>28512</v>
      </c>
      <c r="AK4046" s="156" t="s">
        <v>691</v>
      </c>
      <c r="AL4046" s="574" t="s">
        <v>690</v>
      </c>
      <c r="AM4046" s="198">
        <f t="shared" si="3458"/>
        <v>8781.6959999999999</v>
      </c>
      <c r="AN4046" s="199">
        <f t="shared" si="3459"/>
        <v>0</v>
      </c>
      <c r="AO4046" s="159" t="s">
        <v>692</v>
      </c>
      <c r="AP4046" s="781"/>
      <c r="AQ4046" s="782">
        <v>12063755</v>
      </c>
      <c r="AR4046" s="782">
        <v>12061353</v>
      </c>
      <c r="AS4046" s="782">
        <v>12061354</v>
      </c>
      <c r="AT4046" s="782">
        <v>12068566</v>
      </c>
      <c r="AU4046" s="781"/>
      <c r="AV4046" s="782">
        <v>12088206</v>
      </c>
      <c r="AW4046" s="782">
        <v>12088207</v>
      </c>
      <c r="AX4046" s="782"/>
      <c r="AY4046" s="782">
        <v>12068565</v>
      </c>
      <c r="AZ4046" s="782"/>
      <c r="BA4046" s="781"/>
      <c r="BB4046" s="209">
        <v>23054743</v>
      </c>
    </row>
    <row r="4047" spans="1:54" ht="25" customHeight="1">
      <c r="B4047" s="213"/>
      <c r="C4047" s="578"/>
      <c r="D4047" s="185" t="str">
        <f t="shared" si="3447"/>
        <v/>
      </c>
      <c r="E4047" s="215" t="e">
        <f>VLOOKUP($B4047,Week!$A$1:$C$1462,2,0)</f>
        <v>#N/A</v>
      </c>
      <c r="F4047" s="216" t="str">
        <f t="shared" si="3448"/>
        <v/>
      </c>
      <c r="G4047" s="215">
        <v>12</v>
      </c>
      <c r="H4047" s="215" t="s">
        <v>104</v>
      </c>
      <c r="I4047" s="215" t="s">
        <v>2772</v>
      </c>
      <c r="J4047" s="209" t="s">
        <v>105</v>
      </c>
      <c r="K4047" s="217" t="s">
        <v>107</v>
      </c>
      <c r="L4047" s="300" t="s">
        <v>2167</v>
      </c>
      <c r="M4047" s="209" t="s">
        <v>108</v>
      </c>
      <c r="N4047" s="215" t="s">
        <v>109</v>
      </c>
      <c r="O4047" s="215" t="s">
        <v>110</v>
      </c>
      <c r="P4047" s="218">
        <v>36</v>
      </c>
      <c r="Q4047" s="218">
        <v>5</v>
      </c>
      <c r="R4047" s="219">
        <v>7.4999999999999997E-3</v>
      </c>
      <c r="S4047" s="215" t="s">
        <v>111</v>
      </c>
      <c r="T4047" s="215" t="s">
        <v>112</v>
      </c>
      <c r="U4047" s="215" t="s">
        <v>113</v>
      </c>
      <c r="V4047" s="220">
        <v>792</v>
      </c>
      <c r="W4047" s="220"/>
      <c r="X4047" s="221"/>
      <c r="Y4047" s="222">
        <f t="shared" si="3449"/>
        <v>-792</v>
      </c>
      <c r="Z4047" s="223">
        <f t="shared" si="3450"/>
        <v>28512</v>
      </c>
      <c r="AA4047" s="223">
        <f t="shared" si="3451"/>
        <v>142560</v>
      </c>
      <c r="AB4047" s="807">
        <v>9.7000000000000003E-3</v>
      </c>
      <c r="AC4047" s="220">
        <f t="shared" si="3452"/>
        <v>276.56639999999999</v>
      </c>
      <c r="AD4047" s="209"/>
      <c r="AE4047" s="210">
        <f t="shared" si="3453"/>
        <v>1.0692000000000002</v>
      </c>
      <c r="AF4047" s="210">
        <f t="shared" si="3454"/>
        <v>1.9800000000000002</v>
      </c>
      <c r="AG4047" s="211">
        <f t="shared" si="3455"/>
        <v>0.308</v>
      </c>
      <c r="AH4047" s="157">
        <f t="shared" si="3456"/>
        <v>8.7816960000000002</v>
      </c>
      <c r="AI4047" s="152">
        <f t="shared" si="3457"/>
        <v>28512</v>
      </c>
      <c r="AK4047" s="156" t="s">
        <v>691</v>
      </c>
      <c r="AL4047" s="574" t="s">
        <v>690</v>
      </c>
      <c r="AM4047" s="198">
        <f t="shared" si="3458"/>
        <v>8781.6959999999999</v>
      </c>
      <c r="AN4047" s="199">
        <f t="shared" si="3459"/>
        <v>0</v>
      </c>
      <c r="AO4047" s="159" t="s">
        <v>692</v>
      </c>
      <c r="AP4047" s="781"/>
      <c r="AQ4047" s="782">
        <v>12063755</v>
      </c>
      <c r="AR4047" s="782">
        <v>12061353</v>
      </c>
      <c r="AS4047" s="782">
        <v>12061354</v>
      </c>
      <c r="AT4047" s="782">
        <v>12068566</v>
      </c>
      <c r="AU4047" s="781"/>
      <c r="AV4047" s="782">
        <v>12088206</v>
      </c>
      <c r="AW4047" s="782">
        <v>12088207</v>
      </c>
      <c r="AX4047" s="782"/>
      <c r="AY4047" s="782">
        <v>12068565</v>
      </c>
      <c r="AZ4047" s="782"/>
      <c r="BA4047" s="781"/>
      <c r="BB4047" s="209">
        <v>23054743</v>
      </c>
    </row>
    <row r="4048" spans="1:54" ht="25" customHeight="1">
      <c r="B4048" s="213"/>
      <c r="C4048" s="578"/>
      <c r="D4048" s="185" t="str">
        <f t="shared" si="3447"/>
        <v/>
      </c>
      <c r="E4048" s="215" t="e">
        <f>VLOOKUP($B4048,Week!$A$1:$C$1462,2,0)</f>
        <v>#N/A</v>
      </c>
      <c r="F4048" s="216" t="str">
        <f t="shared" si="3448"/>
        <v/>
      </c>
      <c r="G4048" s="215">
        <v>13</v>
      </c>
      <c r="H4048" s="215" t="s">
        <v>104</v>
      </c>
      <c r="I4048" s="215" t="s">
        <v>2772</v>
      </c>
      <c r="J4048" s="209" t="s">
        <v>105</v>
      </c>
      <c r="K4048" s="217" t="s">
        <v>107</v>
      </c>
      <c r="L4048" s="300" t="s">
        <v>2167</v>
      </c>
      <c r="M4048" s="209" t="s">
        <v>108</v>
      </c>
      <c r="N4048" s="215" t="s">
        <v>109</v>
      </c>
      <c r="O4048" s="215" t="s">
        <v>110</v>
      </c>
      <c r="P4048" s="218">
        <v>36</v>
      </c>
      <c r="Q4048" s="218">
        <v>5</v>
      </c>
      <c r="R4048" s="219">
        <v>7.4999999999999997E-3</v>
      </c>
      <c r="S4048" s="215" t="s">
        <v>111</v>
      </c>
      <c r="T4048" s="215" t="s">
        <v>112</v>
      </c>
      <c r="U4048" s="215" t="s">
        <v>113</v>
      </c>
      <c r="V4048" s="220">
        <v>792</v>
      </c>
      <c r="W4048" s="220"/>
      <c r="X4048" s="221"/>
      <c r="Y4048" s="222">
        <f t="shared" si="3449"/>
        <v>-792</v>
      </c>
      <c r="Z4048" s="223">
        <f t="shared" si="3450"/>
        <v>28512</v>
      </c>
      <c r="AA4048" s="223">
        <f t="shared" si="3451"/>
        <v>142560</v>
      </c>
      <c r="AB4048" s="807">
        <v>9.7000000000000003E-3</v>
      </c>
      <c r="AC4048" s="220">
        <f t="shared" si="3452"/>
        <v>276.56639999999999</v>
      </c>
      <c r="AD4048" s="209"/>
      <c r="AE4048" s="210">
        <f t="shared" si="3453"/>
        <v>1.0692000000000002</v>
      </c>
      <c r="AF4048" s="210">
        <f t="shared" si="3454"/>
        <v>1.9800000000000002</v>
      </c>
      <c r="AG4048" s="211">
        <f t="shared" si="3455"/>
        <v>0.308</v>
      </c>
      <c r="AH4048" s="157">
        <f t="shared" si="3456"/>
        <v>8.7816960000000002</v>
      </c>
      <c r="AI4048" s="152">
        <f t="shared" si="3457"/>
        <v>28512</v>
      </c>
      <c r="AK4048" s="156" t="s">
        <v>691</v>
      </c>
      <c r="AL4048" s="574" t="s">
        <v>690</v>
      </c>
      <c r="AM4048" s="198">
        <f t="shared" si="3458"/>
        <v>8781.6959999999999</v>
      </c>
      <c r="AN4048" s="199">
        <f t="shared" si="3459"/>
        <v>0</v>
      </c>
      <c r="AO4048" s="159" t="s">
        <v>692</v>
      </c>
      <c r="AP4048" s="781"/>
      <c r="AQ4048" s="782">
        <v>12063755</v>
      </c>
      <c r="AR4048" s="782">
        <v>12061353</v>
      </c>
      <c r="AS4048" s="782">
        <v>12061354</v>
      </c>
      <c r="AT4048" s="782">
        <v>12068566</v>
      </c>
      <c r="AU4048" s="781"/>
      <c r="AV4048" s="782">
        <v>12088206</v>
      </c>
      <c r="AW4048" s="782">
        <v>12088207</v>
      </c>
      <c r="AX4048" s="782"/>
      <c r="AY4048" s="782">
        <v>12068565</v>
      </c>
      <c r="AZ4048" s="782"/>
      <c r="BA4048" s="781"/>
      <c r="BB4048" s="209">
        <v>23054743</v>
      </c>
    </row>
    <row r="4049" spans="2:54" ht="25" customHeight="1">
      <c r="B4049" s="213"/>
      <c r="C4049" s="578"/>
      <c r="D4049" s="185" t="str">
        <f t="shared" si="3447"/>
        <v/>
      </c>
      <c r="E4049" s="215" t="e">
        <f>VLOOKUP($B4049,Week!$A$1:$C$1462,2,0)</f>
        <v>#N/A</v>
      </c>
      <c r="F4049" s="216" t="str">
        <f t="shared" si="3448"/>
        <v/>
      </c>
      <c r="G4049" s="215">
        <v>14</v>
      </c>
      <c r="H4049" s="215" t="s">
        <v>104</v>
      </c>
      <c r="I4049" s="215" t="s">
        <v>2772</v>
      </c>
      <c r="J4049" s="209" t="s">
        <v>105</v>
      </c>
      <c r="K4049" s="217" t="s">
        <v>107</v>
      </c>
      <c r="L4049" s="300" t="s">
        <v>2167</v>
      </c>
      <c r="M4049" s="209" t="s">
        <v>108</v>
      </c>
      <c r="N4049" s="215" t="s">
        <v>109</v>
      </c>
      <c r="O4049" s="215" t="s">
        <v>110</v>
      </c>
      <c r="P4049" s="218">
        <v>36</v>
      </c>
      <c r="Q4049" s="218">
        <v>5</v>
      </c>
      <c r="R4049" s="219">
        <v>7.4999999999999997E-3</v>
      </c>
      <c r="S4049" s="215" t="s">
        <v>111</v>
      </c>
      <c r="T4049" s="215" t="s">
        <v>112</v>
      </c>
      <c r="U4049" s="215" t="s">
        <v>113</v>
      </c>
      <c r="V4049" s="220">
        <v>792</v>
      </c>
      <c r="W4049" s="220"/>
      <c r="X4049" s="221"/>
      <c r="Y4049" s="222">
        <f t="shared" si="3449"/>
        <v>-792</v>
      </c>
      <c r="Z4049" s="223">
        <f t="shared" si="3450"/>
        <v>28512</v>
      </c>
      <c r="AA4049" s="223">
        <f t="shared" si="3451"/>
        <v>142560</v>
      </c>
      <c r="AB4049" s="807">
        <v>9.7000000000000003E-3</v>
      </c>
      <c r="AC4049" s="220">
        <f t="shared" si="3452"/>
        <v>276.56639999999999</v>
      </c>
      <c r="AD4049" s="209"/>
      <c r="AE4049" s="210">
        <f t="shared" si="3453"/>
        <v>1.0692000000000002</v>
      </c>
      <c r="AF4049" s="210">
        <f t="shared" si="3454"/>
        <v>1.9800000000000002</v>
      </c>
      <c r="AG4049" s="211">
        <f t="shared" si="3455"/>
        <v>0.308</v>
      </c>
      <c r="AH4049" s="157">
        <f t="shared" si="3456"/>
        <v>8.7816960000000002</v>
      </c>
      <c r="AI4049" s="152">
        <f t="shared" si="3457"/>
        <v>28512</v>
      </c>
      <c r="AK4049" s="156" t="s">
        <v>691</v>
      </c>
      <c r="AL4049" s="574" t="s">
        <v>690</v>
      </c>
      <c r="AM4049" s="198">
        <f t="shared" si="3458"/>
        <v>8781.6959999999999</v>
      </c>
      <c r="AN4049" s="199">
        <f t="shared" si="3459"/>
        <v>0</v>
      </c>
      <c r="AO4049" s="159" t="s">
        <v>692</v>
      </c>
      <c r="AP4049" s="781"/>
      <c r="AQ4049" s="782">
        <v>12063755</v>
      </c>
      <c r="AR4049" s="782">
        <v>12061353</v>
      </c>
      <c r="AS4049" s="782">
        <v>12061354</v>
      </c>
      <c r="AT4049" s="782">
        <v>12068566</v>
      </c>
      <c r="AU4049" s="781"/>
      <c r="AV4049" s="782">
        <v>12088206</v>
      </c>
      <c r="AW4049" s="782">
        <v>12088207</v>
      </c>
      <c r="AX4049" s="782"/>
      <c r="AY4049" s="782">
        <v>12068565</v>
      </c>
      <c r="AZ4049" s="782"/>
      <c r="BA4049" s="781"/>
      <c r="BB4049" s="209">
        <v>23054743</v>
      </c>
    </row>
    <row r="4050" spans="2:54" ht="25" customHeight="1">
      <c r="B4050" s="213"/>
      <c r="C4050" s="578"/>
      <c r="D4050" s="185" t="str">
        <f t="shared" ref="D4050:D4058" si="3460">IF(B4050="","",YEAR(B4050))</f>
        <v/>
      </c>
      <c r="E4050" s="215" t="e">
        <f>VLOOKUP($B4050,Week!$A$1:$C$1462,2,0)</f>
        <v>#N/A</v>
      </c>
      <c r="F4050" s="216" t="str">
        <f t="shared" ref="F4050:F4058" si="3461">IF(B4050="","",TEXT(B4050,"[$-409]mmm"))</f>
        <v/>
      </c>
      <c r="G4050" s="215">
        <v>15</v>
      </c>
      <c r="H4050" s="215" t="s">
        <v>104</v>
      </c>
      <c r="I4050" s="215" t="s">
        <v>2772</v>
      </c>
      <c r="J4050" s="209" t="s">
        <v>105</v>
      </c>
      <c r="K4050" s="217" t="s">
        <v>107</v>
      </c>
      <c r="L4050" s="300" t="s">
        <v>2167</v>
      </c>
      <c r="M4050" s="209" t="s">
        <v>108</v>
      </c>
      <c r="N4050" s="215" t="s">
        <v>109</v>
      </c>
      <c r="O4050" s="215" t="s">
        <v>110</v>
      </c>
      <c r="P4050" s="218">
        <v>36</v>
      </c>
      <c r="Q4050" s="218">
        <v>5</v>
      </c>
      <c r="R4050" s="219">
        <v>7.4999999999999997E-3</v>
      </c>
      <c r="S4050" s="215" t="s">
        <v>111</v>
      </c>
      <c r="T4050" s="215" t="s">
        <v>112</v>
      </c>
      <c r="U4050" s="215" t="s">
        <v>113</v>
      </c>
      <c r="V4050" s="220">
        <v>792</v>
      </c>
      <c r="W4050" s="220"/>
      <c r="X4050" s="221"/>
      <c r="Y4050" s="222">
        <f t="shared" ref="Y4050:Y4058" si="3462">(W4050+X4050)-V4050</f>
        <v>-792</v>
      </c>
      <c r="Z4050" s="223">
        <f t="shared" ref="Z4050:Z4058" si="3463">IF(Y4050&lt;0,((V4050*P4050)-((W4050+X4050)*P4050)),0)</f>
        <v>28512</v>
      </c>
      <c r="AA4050" s="223">
        <f t="shared" ref="AA4050:AA4058" si="3464">Q4050*Z4050</f>
        <v>142560</v>
      </c>
      <c r="AB4050" s="807">
        <v>9.7000000000000003E-3</v>
      </c>
      <c r="AC4050" s="220">
        <f t="shared" ref="AC4050:AC4058" si="3465">Z4050*AB4050</f>
        <v>276.56639999999999</v>
      </c>
      <c r="AD4050" s="209"/>
      <c r="AE4050" s="210">
        <f t="shared" ref="AE4050:AE4058" si="3466">SUM(Q4050*R4050*Z4050)/1000</f>
        <v>1.0692000000000002</v>
      </c>
      <c r="AF4050" s="210">
        <f t="shared" ref="AF4050:AF4058" si="3467">AE4050/0.54</f>
        <v>1.9800000000000002</v>
      </c>
      <c r="AG4050" s="211">
        <f t="shared" ref="AG4050:AG4058" si="3468">MID(O4050,1,3)/1000</f>
        <v>0.308</v>
      </c>
      <c r="AH4050" s="157">
        <f t="shared" ref="AH4050:AH4058" si="3469">(Z4050*AG4050)/1000</f>
        <v>8.7816960000000002</v>
      </c>
      <c r="AI4050" s="152">
        <f t="shared" ref="AI4050:AI4058" si="3470">V4050*P4050</f>
        <v>28512</v>
      </c>
      <c r="AK4050" s="156" t="s">
        <v>691</v>
      </c>
      <c r="AL4050" s="574" t="s">
        <v>690</v>
      </c>
      <c r="AM4050" s="198">
        <f t="shared" ref="AM4050:AM4058" si="3471">AG4050*Z4050</f>
        <v>8781.6959999999999</v>
      </c>
      <c r="AN4050" s="199">
        <f t="shared" ref="AN4050:AN4058" si="3472">B4050</f>
        <v>0</v>
      </c>
      <c r="AO4050" s="159" t="s">
        <v>692</v>
      </c>
      <c r="AP4050" s="781"/>
      <c r="AQ4050" s="782">
        <v>12063755</v>
      </c>
      <c r="AR4050" s="782">
        <v>12061353</v>
      </c>
      <c r="AS4050" s="782">
        <v>12061354</v>
      </c>
      <c r="AT4050" s="782">
        <v>12068566</v>
      </c>
      <c r="AU4050" s="781"/>
      <c r="AV4050" s="782">
        <v>12088206</v>
      </c>
      <c r="AW4050" s="782">
        <v>12088207</v>
      </c>
      <c r="AX4050" s="782"/>
      <c r="AY4050" s="782">
        <v>12068565</v>
      </c>
      <c r="AZ4050" s="782"/>
      <c r="BA4050" s="781"/>
      <c r="BB4050" s="209">
        <v>23054743</v>
      </c>
    </row>
    <row r="4051" spans="2:54" ht="25" customHeight="1">
      <c r="B4051" s="213"/>
      <c r="C4051" s="578"/>
      <c r="D4051" s="185" t="str">
        <f t="shared" si="3460"/>
        <v/>
      </c>
      <c r="E4051" s="215" t="e">
        <f>VLOOKUP($B4051,Week!$A$1:$C$1462,2,0)</f>
        <v>#N/A</v>
      </c>
      <c r="F4051" s="216" t="str">
        <f t="shared" si="3461"/>
        <v/>
      </c>
      <c r="G4051" s="215">
        <v>16</v>
      </c>
      <c r="H4051" s="215" t="s">
        <v>104</v>
      </c>
      <c r="I4051" s="215" t="s">
        <v>2772</v>
      </c>
      <c r="J4051" s="209" t="s">
        <v>105</v>
      </c>
      <c r="K4051" s="217" t="s">
        <v>107</v>
      </c>
      <c r="L4051" s="300" t="s">
        <v>2167</v>
      </c>
      <c r="M4051" s="209" t="s">
        <v>108</v>
      </c>
      <c r="N4051" s="215" t="s">
        <v>109</v>
      </c>
      <c r="O4051" s="215" t="s">
        <v>110</v>
      </c>
      <c r="P4051" s="218">
        <v>36</v>
      </c>
      <c r="Q4051" s="218">
        <v>5</v>
      </c>
      <c r="R4051" s="219">
        <v>7.4999999999999997E-3</v>
      </c>
      <c r="S4051" s="215" t="s">
        <v>111</v>
      </c>
      <c r="T4051" s="215" t="s">
        <v>112</v>
      </c>
      <c r="U4051" s="215" t="s">
        <v>113</v>
      </c>
      <c r="V4051" s="220">
        <v>792</v>
      </c>
      <c r="W4051" s="220"/>
      <c r="X4051" s="221"/>
      <c r="Y4051" s="222">
        <f t="shared" si="3462"/>
        <v>-792</v>
      </c>
      <c r="Z4051" s="223">
        <f t="shared" si="3463"/>
        <v>28512</v>
      </c>
      <c r="AA4051" s="223">
        <f t="shared" si="3464"/>
        <v>142560</v>
      </c>
      <c r="AB4051" s="807">
        <v>9.7000000000000003E-3</v>
      </c>
      <c r="AC4051" s="220">
        <f t="shared" si="3465"/>
        <v>276.56639999999999</v>
      </c>
      <c r="AD4051" s="209"/>
      <c r="AE4051" s="210">
        <f t="shared" si="3466"/>
        <v>1.0692000000000002</v>
      </c>
      <c r="AF4051" s="210">
        <f t="shared" si="3467"/>
        <v>1.9800000000000002</v>
      </c>
      <c r="AG4051" s="211">
        <f t="shared" si="3468"/>
        <v>0.308</v>
      </c>
      <c r="AH4051" s="157">
        <f t="shared" si="3469"/>
        <v>8.7816960000000002</v>
      </c>
      <c r="AI4051" s="152">
        <f t="shared" si="3470"/>
        <v>28512</v>
      </c>
      <c r="AK4051" s="156" t="s">
        <v>691</v>
      </c>
      <c r="AL4051" s="574" t="s">
        <v>690</v>
      </c>
      <c r="AM4051" s="198">
        <f t="shared" si="3471"/>
        <v>8781.6959999999999</v>
      </c>
      <c r="AN4051" s="199">
        <f t="shared" si="3472"/>
        <v>0</v>
      </c>
      <c r="AO4051" s="159" t="s">
        <v>692</v>
      </c>
      <c r="AP4051" s="781"/>
      <c r="AQ4051" s="782">
        <v>12063755</v>
      </c>
      <c r="AR4051" s="782">
        <v>12061353</v>
      </c>
      <c r="AS4051" s="782">
        <v>12061354</v>
      </c>
      <c r="AT4051" s="782">
        <v>12068566</v>
      </c>
      <c r="AU4051" s="781"/>
      <c r="AV4051" s="782">
        <v>12088206</v>
      </c>
      <c r="AW4051" s="782">
        <v>12088207</v>
      </c>
      <c r="AX4051" s="782"/>
      <c r="AY4051" s="782">
        <v>12068565</v>
      </c>
      <c r="AZ4051" s="782"/>
      <c r="BA4051" s="781"/>
      <c r="BB4051" s="209">
        <v>23054743</v>
      </c>
    </row>
    <row r="4052" spans="2:54" ht="25" customHeight="1">
      <c r="B4052" s="213"/>
      <c r="C4052" s="578"/>
      <c r="D4052" s="185" t="str">
        <f t="shared" si="3460"/>
        <v/>
      </c>
      <c r="E4052" s="215" t="e">
        <f>VLOOKUP($B4052,Week!$A$1:$C$1462,2,0)</f>
        <v>#N/A</v>
      </c>
      <c r="F4052" s="216" t="str">
        <f t="shared" si="3461"/>
        <v/>
      </c>
      <c r="G4052" s="215">
        <v>17</v>
      </c>
      <c r="H4052" s="215" t="s">
        <v>104</v>
      </c>
      <c r="I4052" s="215" t="s">
        <v>2772</v>
      </c>
      <c r="J4052" s="209" t="s">
        <v>105</v>
      </c>
      <c r="K4052" s="217" t="s">
        <v>107</v>
      </c>
      <c r="L4052" s="300" t="s">
        <v>2167</v>
      </c>
      <c r="M4052" s="209" t="s">
        <v>108</v>
      </c>
      <c r="N4052" s="215" t="s">
        <v>109</v>
      </c>
      <c r="O4052" s="215" t="s">
        <v>110</v>
      </c>
      <c r="P4052" s="218">
        <v>36</v>
      </c>
      <c r="Q4052" s="218">
        <v>5</v>
      </c>
      <c r="R4052" s="219">
        <v>7.4999999999999997E-3</v>
      </c>
      <c r="S4052" s="215" t="s">
        <v>111</v>
      </c>
      <c r="T4052" s="215" t="s">
        <v>112</v>
      </c>
      <c r="U4052" s="215" t="s">
        <v>113</v>
      </c>
      <c r="V4052" s="220">
        <v>792</v>
      </c>
      <c r="W4052" s="220"/>
      <c r="X4052" s="221"/>
      <c r="Y4052" s="222">
        <f t="shared" si="3462"/>
        <v>-792</v>
      </c>
      <c r="Z4052" s="223">
        <f t="shared" si="3463"/>
        <v>28512</v>
      </c>
      <c r="AA4052" s="223">
        <f t="shared" si="3464"/>
        <v>142560</v>
      </c>
      <c r="AB4052" s="807">
        <v>9.7000000000000003E-3</v>
      </c>
      <c r="AC4052" s="220">
        <f t="shared" si="3465"/>
        <v>276.56639999999999</v>
      </c>
      <c r="AD4052" s="209"/>
      <c r="AE4052" s="210">
        <f t="shared" si="3466"/>
        <v>1.0692000000000002</v>
      </c>
      <c r="AF4052" s="210">
        <f t="shared" si="3467"/>
        <v>1.9800000000000002</v>
      </c>
      <c r="AG4052" s="211">
        <f t="shared" si="3468"/>
        <v>0.308</v>
      </c>
      <c r="AH4052" s="157">
        <f t="shared" si="3469"/>
        <v>8.7816960000000002</v>
      </c>
      <c r="AI4052" s="152">
        <f t="shared" si="3470"/>
        <v>28512</v>
      </c>
      <c r="AK4052" s="156" t="s">
        <v>691</v>
      </c>
      <c r="AL4052" s="574" t="s">
        <v>690</v>
      </c>
      <c r="AM4052" s="198">
        <f t="shared" si="3471"/>
        <v>8781.6959999999999</v>
      </c>
      <c r="AN4052" s="199">
        <f t="shared" si="3472"/>
        <v>0</v>
      </c>
      <c r="AO4052" s="159" t="s">
        <v>692</v>
      </c>
      <c r="AP4052" s="781"/>
      <c r="AQ4052" s="782">
        <v>12063755</v>
      </c>
      <c r="AR4052" s="782">
        <v>12061353</v>
      </c>
      <c r="AS4052" s="782">
        <v>12061354</v>
      </c>
      <c r="AT4052" s="782">
        <v>12068566</v>
      </c>
      <c r="AU4052" s="781"/>
      <c r="AV4052" s="782">
        <v>12088206</v>
      </c>
      <c r="AW4052" s="782">
        <v>12088207</v>
      </c>
      <c r="AX4052" s="782"/>
      <c r="AY4052" s="782">
        <v>12068565</v>
      </c>
      <c r="AZ4052" s="782"/>
      <c r="BA4052" s="781"/>
      <c r="BB4052" s="209">
        <v>23054743</v>
      </c>
    </row>
    <row r="4053" spans="2:54" ht="25" customHeight="1">
      <c r="B4053" s="213"/>
      <c r="C4053" s="578"/>
      <c r="D4053" s="185" t="str">
        <f t="shared" si="3460"/>
        <v/>
      </c>
      <c r="E4053" s="215" t="e">
        <f>VLOOKUP($B4053,Week!$A$1:$C$1462,2,0)</f>
        <v>#N/A</v>
      </c>
      <c r="F4053" s="216" t="str">
        <f t="shared" si="3461"/>
        <v/>
      </c>
      <c r="G4053" s="215">
        <v>18</v>
      </c>
      <c r="H4053" s="215" t="s">
        <v>104</v>
      </c>
      <c r="I4053" s="215" t="s">
        <v>2772</v>
      </c>
      <c r="J4053" s="209" t="s">
        <v>105</v>
      </c>
      <c r="K4053" s="217" t="s">
        <v>107</v>
      </c>
      <c r="L4053" s="300" t="s">
        <v>2167</v>
      </c>
      <c r="M4053" s="209" t="s">
        <v>108</v>
      </c>
      <c r="N4053" s="215" t="s">
        <v>109</v>
      </c>
      <c r="O4053" s="215" t="s">
        <v>110</v>
      </c>
      <c r="P4053" s="218">
        <v>36</v>
      </c>
      <c r="Q4053" s="218">
        <v>5</v>
      </c>
      <c r="R4053" s="219">
        <v>7.4999999999999997E-3</v>
      </c>
      <c r="S4053" s="215" t="s">
        <v>111</v>
      </c>
      <c r="T4053" s="215" t="s">
        <v>112</v>
      </c>
      <c r="U4053" s="215" t="s">
        <v>113</v>
      </c>
      <c r="V4053" s="220">
        <v>792</v>
      </c>
      <c r="W4053" s="220"/>
      <c r="X4053" s="221"/>
      <c r="Y4053" s="222">
        <f t="shared" si="3462"/>
        <v>-792</v>
      </c>
      <c r="Z4053" s="223">
        <f t="shared" si="3463"/>
        <v>28512</v>
      </c>
      <c r="AA4053" s="223">
        <f t="shared" si="3464"/>
        <v>142560</v>
      </c>
      <c r="AB4053" s="807">
        <v>9.7000000000000003E-3</v>
      </c>
      <c r="AC4053" s="220">
        <f t="shared" si="3465"/>
        <v>276.56639999999999</v>
      </c>
      <c r="AD4053" s="209"/>
      <c r="AE4053" s="210">
        <f t="shared" si="3466"/>
        <v>1.0692000000000002</v>
      </c>
      <c r="AF4053" s="210">
        <f t="shared" si="3467"/>
        <v>1.9800000000000002</v>
      </c>
      <c r="AG4053" s="211">
        <f t="shared" si="3468"/>
        <v>0.308</v>
      </c>
      <c r="AH4053" s="157">
        <f t="shared" si="3469"/>
        <v>8.7816960000000002</v>
      </c>
      <c r="AI4053" s="152">
        <f t="shared" si="3470"/>
        <v>28512</v>
      </c>
      <c r="AK4053" s="156" t="s">
        <v>691</v>
      </c>
      <c r="AL4053" s="574" t="s">
        <v>690</v>
      </c>
      <c r="AM4053" s="198">
        <f t="shared" si="3471"/>
        <v>8781.6959999999999</v>
      </c>
      <c r="AN4053" s="199">
        <f t="shared" si="3472"/>
        <v>0</v>
      </c>
      <c r="AO4053" s="159" t="s">
        <v>692</v>
      </c>
      <c r="AP4053" s="781"/>
      <c r="AQ4053" s="782">
        <v>12063755</v>
      </c>
      <c r="AR4053" s="782">
        <v>12061353</v>
      </c>
      <c r="AS4053" s="782">
        <v>12061354</v>
      </c>
      <c r="AT4053" s="782">
        <v>12068566</v>
      </c>
      <c r="AU4053" s="781"/>
      <c r="AV4053" s="782">
        <v>12088206</v>
      </c>
      <c r="AW4053" s="782">
        <v>12088207</v>
      </c>
      <c r="AX4053" s="782"/>
      <c r="AY4053" s="782">
        <v>12068565</v>
      </c>
      <c r="AZ4053" s="782"/>
      <c r="BA4053" s="781"/>
      <c r="BB4053" s="209">
        <v>23054743</v>
      </c>
    </row>
    <row r="4054" spans="2:54" ht="25" customHeight="1">
      <c r="B4054" s="213"/>
      <c r="C4054" s="578"/>
      <c r="D4054" s="185" t="str">
        <f t="shared" si="3460"/>
        <v/>
      </c>
      <c r="E4054" s="215" t="e">
        <f>VLOOKUP($B4054,Week!$A$1:$C$1462,2,0)</f>
        <v>#N/A</v>
      </c>
      <c r="F4054" s="216" t="str">
        <f t="shared" si="3461"/>
        <v/>
      </c>
      <c r="G4054" s="215">
        <v>19</v>
      </c>
      <c r="H4054" s="215" t="s">
        <v>104</v>
      </c>
      <c r="I4054" s="215" t="s">
        <v>2772</v>
      </c>
      <c r="J4054" s="209" t="s">
        <v>105</v>
      </c>
      <c r="K4054" s="217" t="s">
        <v>107</v>
      </c>
      <c r="L4054" s="300" t="s">
        <v>2167</v>
      </c>
      <c r="M4054" s="209" t="s">
        <v>108</v>
      </c>
      <c r="N4054" s="215" t="s">
        <v>109</v>
      </c>
      <c r="O4054" s="215" t="s">
        <v>110</v>
      </c>
      <c r="P4054" s="218">
        <v>36</v>
      </c>
      <c r="Q4054" s="218">
        <v>5</v>
      </c>
      <c r="R4054" s="219">
        <v>7.4999999999999997E-3</v>
      </c>
      <c r="S4054" s="215" t="s">
        <v>111</v>
      </c>
      <c r="T4054" s="215" t="s">
        <v>112</v>
      </c>
      <c r="U4054" s="215" t="s">
        <v>113</v>
      </c>
      <c r="V4054" s="220">
        <v>792</v>
      </c>
      <c r="W4054" s="220"/>
      <c r="X4054" s="221"/>
      <c r="Y4054" s="222">
        <f t="shared" si="3462"/>
        <v>-792</v>
      </c>
      <c r="Z4054" s="223">
        <f t="shared" si="3463"/>
        <v>28512</v>
      </c>
      <c r="AA4054" s="223">
        <f t="shared" si="3464"/>
        <v>142560</v>
      </c>
      <c r="AB4054" s="807">
        <v>9.7000000000000003E-3</v>
      </c>
      <c r="AC4054" s="220">
        <f t="shared" si="3465"/>
        <v>276.56639999999999</v>
      </c>
      <c r="AD4054" s="209"/>
      <c r="AE4054" s="210">
        <f t="shared" si="3466"/>
        <v>1.0692000000000002</v>
      </c>
      <c r="AF4054" s="210">
        <f t="shared" si="3467"/>
        <v>1.9800000000000002</v>
      </c>
      <c r="AG4054" s="211">
        <f t="shared" si="3468"/>
        <v>0.308</v>
      </c>
      <c r="AH4054" s="157">
        <f t="shared" si="3469"/>
        <v>8.7816960000000002</v>
      </c>
      <c r="AI4054" s="152">
        <f t="shared" si="3470"/>
        <v>28512</v>
      </c>
      <c r="AK4054" s="156" t="s">
        <v>691</v>
      </c>
      <c r="AL4054" s="574" t="s">
        <v>690</v>
      </c>
      <c r="AM4054" s="198">
        <f t="shared" si="3471"/>
        <v>8781.6959999999999</v>
      </c>
      <c r="AN4054" s="199">
        <f t="shared" si="3472"/>
        <v>0</v>
      </c>
      <c r="AO4054" s="159" t="s">
        <v>692</v>
      </c>
      <c r="AP4054" s="781"/>
      <c r="AQ4054" s="782">
        <v>12063755</v>
      </c>
      <c r="AR4054" s="782">
        <v>12061353</v>
      </c>
      <c r="AS4054" s="782">
        <v>12061354</v>
      </c>
      <c r="AT4054" s="782">
        <v>12068566</v>
      </c>
      <c r="AU4054" s="781"/>
      <c r="AV4054" s="782">
        <v>12088206</v>
      </c>
      <c r="AW4054" s="782">
        <v>12088207</v>
      </c>
      <c r="AX4054" s="782"/>
      <c r="AY4054" s="782">
        <v>12068565</v>
      </c>
      <c r="AZ4054" s="782"/>
      <c r="BA4054" s="781"/>
      <c r="BB4054" s="209">
        <v>23054743</v>
      </c>
    </row>
    <row r="4055" spans="2:54" ht="25" customHeight="1">
      <c r="B4055" s="213"/>
      <c r="C4055" s="578"/>
      <c r="D4055" s="185" t="str">
        <f t="shared" si="3460"/>
        <v/>
      </c>
      <c r="E4055" s="215" t="e">
        <f>VLOOKUP($B4055,Week!$A$1:$C$1462,2,0)</f>
        <v>#N/A</v>
      </c>
      <c r="F4055" s="216" t="str">
        <f t="shared" si="3461"/>
        <v/>
      </c>
      <c r="G4055" s="215">
        <v>20</v>
      </c>
      <c r="H4055" s="215" t="s">
        <v>104</v>
      </c>
      <c r="I4055" s="215" t="s">
        <v>2772</v>
      </c>
      <c r="J4055" s="209" t="s">
        <v>105</v>
      </c>
      <c r="K4055" s="217" t="s">
        <v>107</v>
      </c>
      <c r="L4055" s="300" t="s">
        <v>2167</v>
      </c>
      <c r="M4055" s="209" t="s">
        <v>108</v>
      </c>
      <c r="N4055" s="215" t="s">
        <v>109</v>
      </c>
      <c r="O4055" s="215" t="s">
        <v>110</v>
      </c>
      <c r="P4055" s="218">
        <v>36</v>
      </c>
      <c r="Q4055" s="218">
        <v>5</v>
      </c>
      <c r="R4055" s="219">
        <v>7.4999999999999997E-3</v>
      </c>
      <c r="S4055" s="215" t="s">
        <v>111</v>
      </c>
      <c r="T4055" s="215" t="s">
        <v>112</v>
      </c>
      <c r="U4055" s="215" t="s">
        <v>113</v>
      </c>
      <c r="V4055" s="220">
        <v>792</v>
      </c>
      <c r="W4055" s="220"/>
      <c r="X4055" s="221"/>
      <c r="Y4055" s="222">
        <f t="shared" si="3462"/>
        <v>-792</v>
      </c>
      <c r="Z4055" s="223">
        <f t="shared" si="3463"/>
        <v>28512</v>
      </c>
      <c r="AA4055" s="223">
        <f t="shared" si="3464"/>
        <v>142560</v>
      </c>
      <c r="AB4055" s="807">
        <v>9.7000000000000003E-3</v>
      </c>
      <c r="AC4055" s="220">
        <f t="shared" si="3465"/>
        <v>276.56639999999999</v>
      </c>
      <c r="AD4055" s="209"/>
      <c r="AE4055" s="210">
        <f t="shared" si="3466"/>
        <v>1.0692000000000002</v>
      </c>
      <c r="AF4055" s="210">
        <f t="shared" si="3467"/>
        <v>1.9800000000000002</v>
      </c>
      <c r="AG4055" s="211">
        <f t="shared" si="3468"/>
        <v>0.308</v>
      </c>
      <c r="AH4055" s="157">
        <f t="shared" si="3469"/>
        <v>8.7816960000000002</v>
      </c>
      <c r="AI4055" s="152">
        <f t="shared" si="3470"/>
        <v>28512</v>
      </c>
      <c r="AK4055" s="156" t="s">
        <v>691</v>
      </c>
      <c r="AL4055" s="574" t="s">
        <v>690</v>
      </c>
      <c r="AM4055" s="198">
        <f t="shared" si="3471"/>
        <v>8781.6959999999999</v>
      </c>
      <c r="AN4055" s="199">
        <f t="shared" si="3472"/>
        <v>0</v>
      </c>
      <c r="AO4055" s="159" t="s">
        <v>692</v>
      </c>
      <c r="AP4055" s="781"/>
      <c r="AQ4055" s="782">
        <v>12063755</v>
      </c>
      <c r="AR4055" s="782">
        <v>12061353</v>
      </c>
      <c r="AS4055" s="782">
        <v>12061354</v>
      </c>
      <c r="AT4055" s="782">
        <v>12068566</v>
      </c>
      <c r="AU4055" s="781"/>
      <c r="AV4055" s="782">
        <v>12088206</v>
      </c>
      <c r="AW4055" s="782">
        <v>12088207</v>
      </c>
      <c r="AX4055" s="782"/>
      <c r="AY4055" s="782">
        <v>12068565</v>
      </c>
      <c r="AZ4055" s="782"/>
      <c r="BA4055" s="781"/>
      <c r="BB4055" s="209">
        <v>23054743</v>
      </c>
    </row>
    <row r="4056" spans="2:54" ht="25" customHeight="1">
      <c r="B4056" s="213"/>
      <c r="C4056" s="578"/>
      <c r="D4056" s="185" t="str">
        <f t="shared" si="3460"/>
        <v/>
      </c>
      <c r="E4056" s="215" t="e">
        <f>VLOOKUP($B4056,Week!$A$1:$C$1462,2,0)</f>
        <v>#N/A</v>
      </c>
      <c r="F4056" s="216" t="str">
        <f t="shared" si="3461"/>
        <v/>
      </c>
      <c r="G4056" s="215">
        <v>21</v>
      </c>
      <c r="H4056" s="215" t="s">
        <v>104</v>
      </c>
      <c r="I4056" s="215" t="s">
        <v>2772</v>
      </c>
      <c r="J4056" s="209" t="s">
        <v>105</v>
      </c>
      <c r="K4056" s="217" t="s">
        <v>107</v>
      </c>
      <c r="L4056" s="300" t="s">
        <v>2167</v>
      </c>
      <c r="M4056" s="209" t="s">
        <v>108</v>
      </c>
      <c r="N4056" s="215" t="s">
        <v>109</v>
      </c>
      <c r="O4056" s="215" t="s">
        <v>110</v>
      </c>
      <c r="P4056" s="218">
        <v>36</v>
      </c>
      <c r="Q4056" s="218">
        <v>5</v>
      </c>
      <c r="R4056" s="219">
        <v>7.4999999999999997E-3</v>
      </c>
      <c r="S4056" s="215" t="s">
        <v>111</v>
      </c>
      <c r="T4056" s="215" t="s">
        <v>112</v>
      </c>
      <c r="U4056" s="215" t="s">
        <v>113</v>
      </c>
      <c r="V4056" s="220">
        <v>792</v>
      </c>
      <c r="W4056" s="220"/>
      <c r="X4056" s="221"/>
      <c r="Y4056" s="222">
        <f t="shared" si="3462"/>
        <v>-792</v>
      </c>
      <c r="Z4056" s="223">
        <f t="shared" si="3463"/>
        <v>28512</v>
      </c>
      <c r="AA4056" s="223">
        <f t="shared" si="3464"/>
        <v>142560</v>
      </c>
      <c r="AB4056" s="807">
        <v>9.7000000000000003E-3</v>
      </c>
      <c r="AC4056" s="220">
        <f t="shared" si="3465"/>
        <v>276.56639999999999</v>
      </c>
      <c r="AD4056" s="209"/>
      <c r="AE4056" s="210">
        <f t="shared" si="3466"/>
        <v>1.0692000000000002</v>
      </c>
      <c r="AF4056" s="210">
        <f t="shared" si="3467"/>
        <v>1.9800000000000002</v>
      </c>
      <c r="AG4056" s="211">
        <f t="shared" si="3468"/>
        <v>0.308</v>
      </c>
      <c r="AH4056" s="157">
        <f t="shared" si="3469"/>
        <v>8.7816960000000002</v>
      </c>
      <c r="AI4056" s="152">
        <f t="shared" si="3470"/>
        <v>28512</v>
      </c>
      <c r="AK4056" s="156" t="s">
        <v>691</v>
      </c>
      <c r="AL4056" s="574" t="s">
        <v>690</v>
      </c>
      <c r="AM4056" s="198">
        <f t="shared" si="3471"/>
        <v>8781.6959999999999</v>
      </c>
      <c r="AN4056" s="199">
        <f t="shared" si="3472"/>
        <v>0</v>
      </c>
      <c r="AO4056" s="159" t="s">
        <v>692</v>
      </c>
      <c r="AP4056" s="781"/>
      <c r="AQ4056" s="782">
        <v>12063755</v>
      </c>
      <c r="AR4056" s="782">
        <v>12061353</v>
      </c>
      <c r="AS4056" s="782">
        <v>12061354</v>
      </c>
      <c r="AT4056" s="782">
        <v>12068566</v>
      </c>
      <c r="AU4056" s="781"/>
      <c r="AV4056" s="782">
        <v>12088206</v>
      </c>
      <c r="AW4056" s="782">
        <v>12088207</v>
      </c>
      <c r="AX4056" s="782"/>
      <c r="AY4056" s="782">
        <v>12068565</v>
      </c>
      <c r="AZ4056" s="782"/>
      <c r="BA4056" s="781"/>
      <c r="BB4056" s="209">
        <v>23054743</v>
      </c>
    </row>
    <row r="4057" spans="2:54" ht="25" customHeight="1">
      <c r="B4057" s="213"/>
      <c r="C4057" s="578"/>
      <c r="D4057" s="185" t="str">
        <f t="shared" si="3460"/>
        <v/>
      </c>
      <c r="E4057" s="215" t="e">
        <f>VLOOKUP($B4057,Week!$A$1:$C$1462,2,0)</f>
        <v>#N/A</v>
      </c>
      <c r="F4057" s="216" t="str">
        <f t="shared" si="3461"/>
        <v/>
      </c>
      <c r="G4057" s="215">
        <v>22</v>
      </c>
      <c r="H4057" s="215" t="s">
        <v>104</v>
      </c>
      <c r="I4057" s="215" t="s">
        <v>2772</v>
      </c>
      <c r="J4057" s="209" t="s">
        <v>105</v>
      </c>
      <c r="K4057" s="217" t="s">
        <v>107</v>
      </c>
      <c r="L4057" s="300" t="s">
        <v>2167</v>
      </c>
      <c r="M4057" s="209" t="s">
        <v>108</v>
      </c>
      <c r="N4057" s="215" t="s">
        <v>109</v>
      </c>
      <c r="O4057" s="215" t="s">
        <v>110</v>
      </c>
      <c r="P4057" s="218">
        <v>36</v>
      </c>
      <c r="Q4057" s="218">
        <v>5</v>
      </c>
      <c r="R4057" s="219">
        <v>7.4999999999999997E-3</v>
      </c>
      <c r="S4057" s="215" t="s">
        <v>111</v>
      </c>
      <c r="T4057" s="215" t="s">
        <v>112</v>
      </c>
      <c r="U4057" s="215" t="s">
        <v>113</v>
      </c>
      <c r="V4057" s="220">
        <v>792</v>
      </c>
      <c r="W4057" s="220"/>
      <c r="X4057" s="221"/>
      <c r="Y4057" s="222">
        <f t="shared" si="3462"/>
        <v>-792</v>
      </c>
      <c r="Z4057" s="223">
        <f t="shared" si="3463"/>
        <v>28512</v>
      </c>
      <c r="AA4057" s="223">
        <f t="shared" si="3464"/>
        <v>142560</v>
      </c>
      <c r="AB4057" s="807">
        <v>9.7000000000000003E-3</v>
      </c>
      <c r="AC4057" s="220">
        <f t="shared" si="3465"/>
        <v>276.56639999999999</v>
      </c>
      <c r="AD4057" s="209"/>
      <c r="AE4057" s="210">
        <f t="shared" si="3466"/>
        <v>1.0692000000000002</v>
      </c>
      <c r="AF4057" s="210">
        <f t="shared" si="3467"/>
        <v>1.9800000000000002</v>
      </c>
      <c r="AG4057" s="211">
        <f t="shared" si="3468"/>
        <v>0.308</v>
      </c>
      <c r="AH4057" s="157">
        <f t="shared" si="3469"/>
        <v>8.7816960000000002</v>
      </c>
      <c r="AI4057" s="152">
        <f t="shared" si="3470"/>
        <v>28512</v>
      </c>
      <c r="AK4057" s="156" t="s">
        <v>691</v>
      </c>
      <c r="AL4057" s="574" t="s">
        <v>690</v>
      </c>
      <c r="AM4057" s="198">
        <f t="shared" si="3471"/>
        <v>8781.6959999999999</v>
      </c>
      <c r="AN4057" s="199">
        <f t="shared" si="3472"/>
        <v>0</v>
      </c>
      <c r="AO4057" s="159" t="s">
        <v>692</v>
      </c>
      <c r="AP4057" s="781"/>
      <c r="AQ4057" s="782">
        <v>12063755</v>
      </c>
      <c r="AR4057" s="782">
        <v>12061353</v>
      </c>
      <c r="AS4057" s="782">
        <v>12061354</v>
      </c>
      <c r="AT4057" s="782">
        <v>12068566</v>
      </c>
      <c r="AU4057" s="781"/>
      <c r="AV4057" s="782">
        <v>12088206</v>
      </c>
      <c r="AW4057" s="782">
        <v>12088207</v>
      </c>
      <c r="AX4057" s="782"/>
      <c r="AY4057" s="782">
        <v>12068565</v>
      </c>
      <c r="AZ4057" s="782"/>
      <c r="BA4057" s="781"/>
      <c r="BB4057" s="209">
        <v>23054743</v>
      </c>
    </row>
    <row r="4058" spans="2:54" ht="25" customHeight="1">
      <c r="B4058" s="213"/>
      <c r="C4058" s="578"/>
      <c r="D4058" s="185" t="str">
        <f t="shared" si="3460"/>
        <v/>
      </c>
      <c r="E4058" s="215" t="e">
        <f>VLOOKUP($B4058,Week!$A$1:$C$1462,2,0)</f>
        <v>#N/A</v>
      </c>
      <c r="F4058" s="216" t="str">
        <f t="shared" si="3461"/>
        <v/>
      </c>
      <c r="G4058" s="215">
        <v>23</v>
      </c>
      <c r="H4058" s="215" t="s">
        <v>104</v>
      </c>
      <c r="I4058" s="215" t="s">
        <v>2772</v>
      </c>
      <c r="J4058" s="209" t="s">
        <v>105</v>
      </c>
      <c r="K4058" s="217" t="s">
        <v>107</v>
      </c>
      <c r="L4058" s="300" t="s">
        <v>2167</v>
      </c>
      <c r="M4058" s="209" t="s">
        <v>108</v>
      </c>
      <c r="N4058" s="215" t="s">
        <v>109</v>
      </c>
      <c r="O4058" s="215" t="s">
        <v>110</v>
      </c>
      <c r="P4058" s="218">
        <v>36</v>
      </c>
      <c r="Q4058" s="218">
        <v>5</v>
      </c>
      <c r="R4058" s="219">
        <v>7.4999999999999997E-3</v>
      </c>
      <c r="S4058" s="215" t="s">
        <v>111</v>
      </c>
      <c r="T4058" s="215" t="s">
        <v>112</v>
      </c>
      <c r="U4058" s="215" t="s">
        <v>113</v>
      </c>
      <c r="V4058" s="220">
        <v>792</v>
      </c>
      <c r="W4058" s="220"/>
      <c r="X4058" s="221"/>
      <c r="Y4058" s="222">
        <f t="shared" si="3462"/>
        <v>-792</v>
      </c>
      <c r="Z4058" s="223">
        <f t="shared" si="3463"/>
        <v>28512</v>
      </c>
      <c r="AA4058" s="223">
        <f t="shared" si="3464"/>
        <v>142560</v>
      </c>
      <c r="AB4058" s="807">
        <v>9.7000000000000003E-3</v>
      </c>
      <c r="AC4058" s="220">
        <f t="shared" si="3465"/>
        <v>276.56639999999999</v>
      </c>
      <c r="AD4058" s="209"/>
      <c r="AE4058" s="210">
        <f t="shared" si="3466"/>
        <v>1.0692000000000002</v>
      </c>
      <c r="AF4058" s="210">
        <f t="shared" si="3467"/>
        <v>1.9800000000000002</v>
      </c>
      <c r="AG4058" s="211">
        <f t="shared" si="3468"/>
        <v>0.308</v>
      </c>
      <c r="AH4058" s="157">
        <f t="shared" si="3469"/>
        <v>8.7816960000000002</v>
      </c>
      <c r="AI4058" s="152">
        <f t="shared" si="3470"/>
        <v>28512</v>
      </c>
      <c r="AK4058" s="156" t="s">
        <v>691</v>
      </c>
      <c r="AL4058" s="574" t="s">
        <v>690</v>
      </c>
      <c r="AM4058" s="198">
        <f t="shared" si="3471"/>
        <v>8781.6959999999999</v>
      </c>
      <c r="AN4058" s="199">
        <f t="shared" si="3472"/>
        <v>0</v>
      </c>
      <c r="AO4058" s="159" t="s">
        <v>692</v>
      </c>
      <c r="AP4058" s="781"/>
      <c r="AQ4058" s="782">
        <v>12063755</v>
      </c>
      <c r="AR4058" s="782">
        <v>12061353</v>
      </c>
      <c r="AS4058" s="782">
        <v>12061354</v>
      </c>
      <c r="AT4058" s="782">
        <v>12068566</v>
      </c>
      <c r="AU4058" s="781"/>
      <c r="AV4058" s="782">
        <v>12088206</v>
      </c>
      <c r="AW4058" s="782">
        <v>12088207</v>
      </c>
      <c r="AX4058" s="782"/>
      <c r="AY4058" s="782">
        <v>12068565</v>
      </c>
      <c r="AZ4058" s="782"/>
      <c r="BA4058" s="781"/>
      <c r="BB4058" s="209">
        <v>23054743</v>
      </c>
    </row>
    <row r="4059" spans="2:54" ht="25" customHeight="1">
      <c r="B4059" s="213"/>
      <c r="C4059" s="578"/>
      <c r="D4059" s="185" t="str">
        <f t="shared" ref="D4059:D4071" si="3473">IF(B4059="","",YEAR(B4059))</f>
        <v/>
      </c>
      <c r="E4059" s="215" t="e">
        <f>VLOOKUP($B4059,Week!$A$1:$C$1462,2,0)</f>
        <v>#N/A</v>
      </c>
      <c r="F4059" s="216" t="str">
        <f t="shared" ref="F4059:F4071" si="3474">IF(B4059="","",TEXT(B4059,"[$-409]mmm"))</f>
        <v/>
      </c>
      <c r="G4059" s="215">
        <v>24</v>
      </c>
      <c r="H4059" s="215" t="s">
        <v>104</v>
      </c>
      <c r="I4059" s="215" t="s">
        <v>2772</v>
      </c>
      <c r="J4059" s="209" t="s">
        <v>105</v>
      </c>
      <c r="K4059" s="217" t="s">
        <v>107</v>
      </c>
      <c r="L4059" s="300" t="s">
        <v>2167</v>
      </c>
      <c r="M4059" s="209" t="s">
        <v>108</v>
      </c>
      <c r="N4059" s="215" t="s">
        <v>109</v>
      </c>
      <c r="O4059" s="215" t="s">
        <v>110</v>
      </c>
      <c r="P4059" s="218">
        <v>36</v>
      </c>
      <c r="Q4059" s="218">
        <v>5</v>
      </c>
      <c r="R4059" s="219">
        <v>7.4999999999999997E-3</v>
      </c>
      <c r="S4059" s="215" t="s">
        <v>111</v>
      </c>
      <c r="T4059" s="215" t="s">
        <v>112</v>
      </c>
      <c r="U4059" s="215" t="s">
        <v>113</v>
      </c>
      <c r="V4059" s="220">
        <v>792</v>
      </c>
      <c r="W4059" s="220"/>
      <c r="X4059" s="221"/>
      <c r="Y4059" s="222">
        <f t="shared" ref="Y4059:Y4070" si="3475">(W4059+X4059)-V4059</f>
        <v>-792</v>
      </c>
      <c r="Z4059" s="223">
        <f t="shared" ref="Z4059:Z4070" si="3476">IF(Y4059&lt;0,((V4059*P4059)-((W4059+X4059)*P4059)),0)</f>
        <v>28512</v>
      </c>
      <c r="AA4059" s="223">
        <f t="shared" ref="AA4059:AA4071" si="3477">Q4059*Z4059</f>
        <v>142560</v>
      </c>
      <c r="AB4059" s="807">
        <v>9.7000000000000003E-3</v>
      </c>
      <c r="AC4059" s="220">
        <f t="shared" ref="AC4059:AC4070" si="3478">Z4059*AB4059</f>
        <v>276.56639999999999</v>
      </c>
      <c r="AD4059" s="209"/>
      <c r="AE4059" s="210">
        <f t="shared" ref="AE4059:AE4070" si="3479">SUM(Q4059*R4059*Z4059)/1000</f>
        <v>1.0692000000000002</v>
      </c>
      <c r="AF4059" s="210">
        <f t="shared" ref="AF4059:AF4070" si="3480">AE4059/0.54</f>
        <v>1.9800000000000002</v>
      </c>
      <c r="AG4059" s="211">
        <f t="shared" ref="AG4059:AG4070" si="3481">MID(O4059,1,3)/1000</f>
        <v>0.308</v>
      </c>
      <c r="AH4059" s="157">
        <f t="shared" ref="AH4059:AH4070" si="3482">(Z4059*AG4059)/1000</f>
        <v>8.7816960000000002</v>
      </c>
      <c r="AI4059" s="152">
        <f t="shared" ref="AI4059:AI4070" si="3483">V4059*P4059</f>
        <v>28512</v>
      </c>
      <c r="AK4059" s="156" t="s">
        <v>691</v>
      </c>
      <c r="AL4059" s="574" t="s">
        <v>690</v>
      </c>
      <c r="AM4059" s="198">
        <f t="shared" ref="AM4059:AM4071" si="3484">AG4059*Z4059</f>
        <v>8781.6959999999999</v>
      </c>
      <c r="AN4059" s="199">
        <f t="shared" ref="AN4059:AN4071" si="3485">B4059</f>
        <v>0</v>
      </c>
      <c r="AO4059" s="159" t="s">
        <v>692</v>
      </c>
      <c r="AP4059" s="781"/>
      <c r="AQ4059" s="782">
        <v>12063755</v>
      </c>
      <c r="AR4059" s="782">
        <v>12061353</v>
      </c>
      <c r="AS4059" s="782">
        <v>12061354</v>
      </c>
      <c r="AT4059" s="782">
        <v>12068566</v>
      </c>
      <c r="AU4059" s="781"/>
      <c r="AV4059" s="782">
        <v>12088206</v>
      </c>
      <c r="AW4059" s="782">
        <v>12088207</v>
      </c>
      <c r="AX4059" s="782"/>
      <c r="AY4059" s="782">
        <v>12068565</v>
      </c>
      <c r="AZ4059" s="782"/>
      <c r="BA4059" s="781"/>
      <c r="BB4059" s="209">
        <v>23054743</v>
      </c>
    </row>
    <row r="4060" spans="2:54" ht="25" customHeight="1">
      <c r="B4060" s="213"/>
      <c r="C4060" s="578"/>
      <c r="D4060" s="185" t="str">
        <f t="shared" si="3473"/>
        <v/>
      </c>
      <c r="E4060" s="215" t="e">
        <f>VLOOKUP($B4060,Week!$A$1:$C$1462,2,0)</f>
        <v>#N/A</v>
      </c>
      <c r="F4060" s="216" t="str">
        <f t="shared" si="3474"/>
        <v/>
      </c>
      <c r="G4060" s="215">
        <v>25</v>
      </c>
      <c r="H4060" s="215" t="s">
        <v>104</v>
      </c>
      <c r="I4060" s="215" t="s">
        <v>2772</v>
      </c>
      <c r="J4060" s="209" t="s">
        <v>105</v>
      </c>
      <c r="K4060" s="217" t="s">
        <v>107</v>
      </c>
      <c r="L4060" s="300" t="s">
        <v>2167</v>
      </c>
      <c r="M4060" s="209" t="s">
        <v>108</v>
      </c>
      <c r="N4060" s="215" t="s">
        <v>109</v>
      </c>
      <c r="O4060" s="215" t="s">
        <v>110</v>
      </c>
      <c r="P4060" s="218">
        <v>36</v>
      </c>
      <c r="Q4060" s="218">
        <v>5</v>
      </c>
      <c r="R4060" s="219">
        <v>7.4999999999999997E-3</v>
      </c>
      <c r="S4060" s="215" t="s">
        <v>111</v>
      </c>
      <c r="T4060" s="215" t="s">
        <v>112</v>
      </c>
      <c r="U4060" s="215" t="s">
        <v>113</v>
      </c>
      <c r="V4060" s="220">
        <v>792</v>
      </c>
      <c r="W4060" s="220"/>
      <c r="X4060" s="221"/>
      <c r="Y4060" s="222">
        <f t="shared" si="3475"/>
        <v>-792</v>
      </c>
      <c r="Z4060" s="223">
        <f t="shared" si="3476"/>
        <v>28512</v>
      </c>
      <c r="AA4060" s="223">
        <f t="shared" si="3477"/>
        <v>142560</v>
      </c>
      <c r="AB4060" s="807">
        <v>9.7000000000000003E-3</v>
      </c>
      <c r="AC4060" s="220">
        <f t="shared" si="3478"/>
        <v>276.56639999999999</v>
      </c>
      <c r="AD4060" s="209"/>
      <c r="AE4060" s="210">
        <f t="shared" si="3479"/>
        <v>1.0692000000000002</v>
      </c>
      <c r="AF4060" s="210">
        <f t="shared" si="3480"/>
        <v>1.9800000000000002</v>
      </c>
      <c r="AG4060" s="211">
        <f t="shared" si="3481"/>
        <v>0.308</v>
      </c>
      <c r="AH4060" s="157">
        <f t="shared" si="3482"/>
        <v>8.7816960000000002</v>
      </c>
      <c r="AI4060" s="152">
        <f t="shared" si="3483"/>
        <v>28512</v>
      </c>
      <c r="AK4060" s="156" t="s">
        <v>691</v>
      </c>
      <c r="AL4060" s="574" t="s">
        <v>690</v>
      </c>
      <c r="AM4060" s="198">
        <f t="shared" si="3484"/>
        <v>8781.6959999999999</v>
      </c>
      <c r="AN4060" s="199">
        <f t="shared" si="3485"/>
        <v>0</v>
      </c>
      <c r="AO4060" s="159" t="s">
        <v>692</v>
      </c>
      <c r="AP4060" s="781"/>
      <c r="AQ4060" s="782">
        <v>12063755</v>
      </c>
      <c r="AR4060" s="782">
        <v>12061353</v>
      </c>
      <c r="AS4060" s="782">
        <v>12061354</v>
      </c>
      <c r="AT4060" s="782">
        <v>12068566</v>
      </c>
      <c r="AU4060" s="781"/>
      <c r="AV4060" s="782">
        <v>12088206</v>
      </c>
      <c r="AW4060" s="782">
        <v>12088207</v>
      </c>
      <c r="AX4060" s="782"/>
      <c r="AY4060" s="782">
        <v>12068565</v>
      </c>
      <c r="AZ4060" s="782"/>
      <c r="BA4060" s="781"/>
      <c r="BB4060" s="209">
        <v>23054743</v>
      </c>
    </row>
    <row r="4061" spans="2:54" ht="25" customHeight="1">
      <c r="B4061" s="213"/>
      <c r="C4061" s="578"/>
      <c r="D4061" s="185" t="str">
        <f t="shared" si="3473"/>
        <v/>
      </c>
      <c r="E4061" s="215" t="e">
        <f>VLOOKUP($B4061,Week!$A$1:$C$1462,2,0)</f>
        <v>#N/A</v>
      </c>
      <c r="F4061" s="216" t="str">
        <f t="shared" si="3474"/>
        <v/>
      </c>
      <c r="G4061" s="215">
        <v>26</v>
      </c>
      <c r="H4061" s="215" t="s">
        <v>104</v>
      </c>
      <c r="I4061" s="215" t="s">
        <v>2772</v>
      </c>
      <c r="J4061" s="209" t="s">
        <v>105</v>
      </c>
      <c r="K4061" s="217" t="s">
        <v>107</v>
      </c>
      <c r="L4061" s="300" t="s">
        <v>2167</v>
      </c>
      <c r="M4061" s="209" t="s">
        <v>108</v>
      </c>
      <c r="N4061" s="215" t="s">
        <v>109</v>
      </c>
      <c r="O4061" s="215" t="s">
        <v>110</v>
      </c>
      <c r="P4061" s="218">
        <v>36</v>
      </c>
      <c r="Q4061" s="218">
        <v>5</v>
      </c>
      <c r="R4061" s="219">
        <v>7.4999999999999997E-3</v>
      </c>
      <c r="S4061" s="215" t="s">
        <v>111</v>
      </c>
      <c r="T4061" s="215" t="s">
        <v>112</v>
      </c>
      <c r="U4061" s="215" t="s">
        <v>113</v>
      </c>
      <c r="V4061" s="220">
        <v>792</v>
      </c>
      <c r="W4061" s="220"/>
      <c r="X4061" s="221"/>
      <c r="Y4061" s="222">
        <f t="shared" si="3475"/>
        <v>-792</v>
      </c>
      <c r="Z4061" s="223">
        <f t="shared" si="3476"/>
        <v>28512</v>
      </c>
      <c r="AA4061" s="223">
        <f t="shared" si="3477"/>
        <v>142560</v>
      </c>
      <c r="AB4061" s="807">
        <v>9.7000000000000003E-3</v>
      </c>
      <c r="AC4061" s="220">
        <f t="shared" si="3478"/>
        <v>276.56639999999999</v>
      </c>
      <c r="AD4061" s="209"/>
      <c r="AE4061" s="210">
        <f t="shared" si="3479"/>
        <v>1.0692000000000002</v>
      </c>
      <c r="AF4061" s="210">
        <f t="shared" si="3480"/>
        <v>1.9800000000000002</v>
      </c>
      <c r="AG4061" s="211">
        <f t="shared" si="3481"/>
        <v>0.308</v>
      </c>
      <c r="AH4061" s="157">
        <f t="shared" si="3482"/>
        <v>8.7816960000000002</v>
      </c>
      <c r="AI4061" s="152">
        <f t="shared" si="3483"/>
        <v>28512</v>
      </c>
      <c r="AK4061" s="156" t="s">
        <v>691</v>
      </c>
      <c r="AL4061" s="574" t="s">
        <v>690</v>
      </c>
      <c r="AM4061" s="198">
        <f t="shared" si="3484"/>
        <v>8781.6959999999999</v>
      </c>
      <c r="AN4061" s="199">
        <f t="shared" si="3485"/>
        <v>0</v>
      </c>
      <c r="AO4061" s="159" t="s">
        <v>692</v>
      </c>
      <c r="AP4061" s="781"/>
      <c r="AQ4061" s="782">
        <v>12063755</v>
      </c>
      <c r="AR4061" s="782">
        <v>12061353</v>
      </c>
      <c r="AS4061" s="782">
        <v>12061354</v>
      </c>
      <c r="AT4061" s="782">
        <v>12068566</v>
      </c>
      <c r="AU4061" s="781"/>
      <c r="AV4061" s="782">
        <v>12088206</v>
      </c>
      <c r="AW4061" s="782">
        <v>12088207</v>
      </c>
      <c r="AX4061" s="782"/>
      <c r="AY4061" s="782">
        <v>12068565</v>
      </c>
      <c r="AZ4061" s="782"/>
      <c r="BA4061" s="781"/>
      <c r="BB4061" s="209">
        <v>23054743</v>
      </c>
    </row>
    <row r="4062" spans="2:54" ht="25" customHeight="1">
      <c r="B4062" s="213"/>
      <c r="C4062" s="578"/>
      <c r="D4062" s="185" t="str">
        <f t="shared" si="3473"/>
        <v/>
      </c>
      <c r="E4062" s="215" t="e">
        <f>VLOOKUP($B4062,Week!$A$1:$C$1462,2,0)</f>
        <v>#N/A</v>
      </c>
      <c r="F4062" s="216" t="str">
        <f t="shared" si="3474"/>
        <v/>
      </c>
      <c r="G4062" s="215">
        <v>27</v>
      </c>
      <c r="H4062" s="215" t="s">
        <v>104</v>
      </c>
      <c r="I4062" s="215" t="s">
        <v>2772</v>
      </c>
      <c r="J4062" s="209" t="s">
        <v>105</v>
      </c>
      <c r="K4062" s="217" t="s">
        <v>107</v>
      </c>
      <c r="L4062" s="300" t="s">
        <v>2167</v>
      </c>
      <c r="M4062" s="209" t="s">
        <v>108</v>
      </c>
      <c r="N4062" s="215" t="s">
        <v>109</v>
      </c>
      <c r="O4062" s="215" t="s">
        <v>110</v>
      </c>
      <c r="P4062" s="218">
        <v>36</v>
      </c>
      <c r="Q4062" s="218">
        <v>5</v>
      </c>
      <c r="R4062" s="219">
        <v>7.4999999999999997E-3</v>
      </c>
      <c r="S4062" s="215" t="s">
        <v>111</v>
      </c>
      <c r="T4062" s="215" t="s">
        <v>112</v>
      </c>
      <c r="U4062" s="215" t="s">
        <v>113</v>
      </c>
      <c r="V4062" s="220">
        <v>792</v>
      </c>
      <c r="W4062" s="220"/>
      <c r="X4062" s="221"/>
      <c r="Y4062" s="222">
        <f t="shared" si="3475"/>
        <v>-792</v>
      </c>
      <c r="Z4062" s="223">
        <f t="shared" si="3476"/>
        <v>28512</v>
      </c>
      <c r="AA4062" s="223">
        <f t="shared" si="3477"/>
        <v>142560</v>
      </c>
      <c r="AB4062" s="807">
        <v>9.7000000000000003E-3</v>
      </c>
      <c r="AC4062" s="220">
        <f t="shared" si="3478"/>
        <v>276.56639999999999</v>
      </c>
      <c r="AD4062" s="209"/>
      <c r="AE4062" s="210">
        <f t="shared" si="3479"/>
        <v>1.0692000000000002</v>
      </c>
      <c r="AF4062" s="210">
        <f t="shared" si="3480"/>
        <v>1.9800000000000002</v>
      </c>
      <c r="AG4062" s="211">
        <f t="shared" si="3481"/>
        <v>0.308</v>
      </c>
      <c r="AH4062" s="157">
        <f t="shared" si="3482"/>
        <v>8.7816960000000002</v>
      </c>
      <c r="AI4062" s="152">
        <f t="shared" si="3483"/>
        <v>28512</v>
      </c>
      <c r="AK4062" s="156" t="s">
        <v>691</v>
      </c>
      <c r="AL4062" s="574" t="s">
        <v>690</v>
      </c>
      <c r="AM4062" s="198">
        <f t="shared" si="3484"/>
        <v>8781.6959999999999</v>
      </c>
      <c r="AN4062" s="199">
        <f t="shared" si="3485"/>
        <v>0</v>
      </c>
      <c r="AO4062" s="159" t="s">
        <v>692</v>
      </c>
      <c r="AP4062" s="781"/>
      <c r="AQ4062" s="782">
        <v>12063755</v>
      </c>
      <c r="AR4062" s="782">
        <v>12061353</v>
      </c>
      <c r="AS4062" s="782">
        <v>12061354</v>
      </c>
      <c r="AT4062" s="782">
        <v>12068566</v>
      </c>
      <c r="AU4062" s="781"/>
      <c r="AV4062" s="782">
        <v>12088206</v>
      </c>
      <c r="AW4062" s="782">
        <v>12088207</v>
      </c>
      <c r="AX4062" s="782"/>
      <c r="AY4062" s="782">
        <v>12068565</v>
      </c>
      <c r="AZ4062" s="782"/>
      <c r="BA4062" s="781"/>
      <c r="BB4062" s="209">
        <v>23054743</v>
      </c>
    </row>
    <row r="4063" spans="2:54" ht="25" customHeight="1">
      <c r="B4063" s="213"/>
      <c r="C4063" s="578"/>
      <c r="D4063" s="185" t="str">
        <f t="shared" si="3473"/>
        <v/>
      </c>
      <c r="E4063" s="215" t="e">
        <f>VLOOKUP($B4063,Week!$A$1:$C$1462,2,0)</f>
        <v>#N/A</v>
      </c>
      <c r="F4063" s="216" t="str">
        <f t="shared" si="3474"/>
        <v/>
      </c>
      <c r="G4063" s="215">
        <v>28</v>
      </c>
      <c r="H4063" s="215" t="s">
        <v>104</v>
      </c>
      <c r="I4063" s="215" t="s">
        <v>2772</v>
      </c>
      <c r="J4063" s="209" t="s">
        <v>105</v>
      </c>
      <c r="K4063" s="217" t="s">
        <v>107</v>
      </c>
      <c r="L4063" s="300" t="s">
        <v>2167</v>
      </c>
      <c r="M4063" s="209" t="s">
        <v>108</v>
      </c>
      <c r="N4063" s="215" t="s">
        <v>109</v>
      </c>
      <c r="O4063" s="215" t="s">
        <v>110</v>
      </c>
      <c r="P4063" s="218">
        <v>36</v>
      </c>
      <c r="Q4063" s="218">
        <v>5</v>
      </c>
      <c r="R4063" s="219">
        <v>7.4999999999999997E-3</v>
      </c>
      <c r="S4063" s="215" t="s">
        <v>111</v>
      </c>
      <c r="T4063" s="215" t="s">
        <v>112</v>
      </c>
      <c r="U4063" s="215" t="s">
        <v>113</v>
      </c>
      <c r="V4063" s="220">
        <v>792</v>
      </c>
      <c r="W4063" s="220"/>
      <c r="X4063" s="221"/>
      <c r="Y4063" s="222">
        <f t="shared" si="3475"/>
        <v>-792</v>
      </c>
      <c r="Z4063" s="223">
        <f t="shared" si="3476"/>
        <v>28512</v>
      </c>
      <c r="AA4063" s="223">
        <f t="shared" si="3477"/>
        <v>142560</v>
      </c>
      <c r="AB4063" s="807">
        <v>9.7000000000000003E-3</v>
      </c>
      <c r="AC4063" s="220">
        <f t="shared" si="3478"/>
        <v>276.56639999999999</v>
      </c>
      <c r="AD4063" s="209"/>
      <c r="AE4063" s="210">
        <f t="shared" si="3479"/>
        <v>1.0692000000000002</v>
      </c>
      <c r="AF4063" s="210">
        <f t="shared" si="3480"/>
        <v>1.9800000000000002</v>
      </c>
      <c r="AG4063" s="211">
        <f t="shared" si="3481"/>
        <v>0.308</v>
      </c>
      <c r="AH4063" s="157">
        <f t="shared" si="3482"/>
        <v>8.7816960000000002</v>
      </c>
      <c r="AI4063" s="152">
        <f t="shared" si="3483"/>
        <v>28512</v>
      </c>
      <c r="AK4063" s="156" t="s">
        <v>691</v>
      </c>
      <c r="AL4063" s="574" t="s">
        <v>690</v>
      </c>
      <c r="AM4063" s="198">
        <f t="shared" si="3484"/>
        <v>8781.6959999999999</v>
      </c>
      <c r="AN4063" s="199">
        <f t="shared" si="3485"/>
        <v>0</v>
      </c>
      <c r="AO4063" s="159" t="s">
        <v>692</v>
      </c>
      <c r="AP4063" s="781"/>
      <c r="AQ4063" s="782">
        <v>12063755</v>
      </c>
      <c r="AR4063" s="782">
        <v>12061353</v>
      </c>
      <c r="AS4063" s="782">
        <v>12061354</v>
      </c>
      <c r="AT4063" s="782">
        <v>12068566</v>
      </c>
      <c r="AU4063" s="781"/>
      <c r="AV4063" s="782">
        <v>12088206</v>
      </c>
      <c r="AW4063" s="782">
        <v>12088207</v>
      </c>
      <c r="AX4063" s="782"/>
      <c r="AY4063" s="782">
        <v>12068565</v>
      </c>
      <c r="AZ4063" s="782"/>
      <c r="BA4063" s="781"/>
      <c r="BB4063" s="209">
        <v>23054743</v>
      </c>
    </row>
    <row r="4064" spans="2:54" ht="25" customHeight="1">
      <c r="B4064" s="213"/>
      <c r="C4064" s="578"/>
      <c r="D4064" s="185" t="str">
        <f t="shared" si="3473"/>
        <v/>
      </c>
      <c r="E4064" s="215" t="e">
        <f>VLOOKUP($B4064,Week!$A$1:$C$1462,2,0)</f>
        <v>#N/A</v>
      </c>
      <c r="F4064" s="216" t="str">
        <f t="shared" si="3474"/>
        <v/>
      </c>
      <c r="G4064" s="215">
        <v>29</v>
      </c>
      <c r="H4064" s="215" t="s">
        <v>104</v>
      </c>
      <c r="I4064" s="215" t="s">
        <v>2772</v>
      </c>
      <c r="J4064" s="209" t="s">
        <v>105</v>
      </c>
      <c r="K4064" s="217" t="s">
        <v>107</v>
      </c>
      <c r="L4064" s="300" t="s">
        <v>2167</v>
      </c>
      <c r="M4064" s="209" t="s">
        <v>108</v>
      </c>
      <c r="N4064" s="215" t="s">
        <v>109</v>
      </c>
      <c r="O4064" s="215" t="s">
        <v>110</v>
      </c>
      <c r="P4064" s="218">
        <v>36</v>
      </c>
      <c r="Q4064" s="218">
        <v>5</v>
      </c>
      <c r="R4064" s="219">
        <v>7.4999999999999997E-3</v>
      </c>
      <c r="S4064" s="215" t="s">
        <v>111</v>
      </c>
      <c r="T4064" s="215" t="s">
        <v>112</v>
      </c>
      <c r="U4064" s="215" t="s">
        <v>113</v>
      </c>
      <c r="V4064" s="220">
        <v>792</v>
      </c>
      <c r="W4064" s="220"/>
      <c r="X4064" s="221"/>
      <c r="Y4064" s="222">
        <f t="shared" si="3475"/>
        <v>-792</v>
      </c>
      <c r="Z4064" s="223">
        <f t="shared" si="3476"/>
        <v>28512</v>
      </c>
      <c r="AA4064" s="223">
        <f t="shared" si="3477"/>
        <v>142560</v>
      </c>
      <c r="AB4064" s="807">
        <v>9.7000000000000003E-3</v>
      </c>
      <c r="AC4064" s="220">
        <f t="shared" si="3478"/>
        <v>276.56639999999999</v>
      </c>
      <c r="AD4064" s="209"/>
      <c r="AE4064" s="210">
        <f t="shared" si="3479"/>
        <v>1.0692000000000002</v>
      </c>
      <c r="AF4064" s="210">
        <f t="shared" si="3480"/>
        <v>1.9800000000000002</v>
      </c>
      <c r="AG4064" s="211">
        <f t="shared" si="3481"/>
        <v>0.308</v>
      </c>
      <c r="AH4064" s="157">
        <f t="shared" si="3482"/>
        <v>8.7816960000000002</v>
      </c>
      <c r="AI4064" s="152">
        <f t="shared" si="3483"/>
        <v>28512</v>
      </c>
      <c r="AK4064" s="156" t="s">
        <v>691</v>
      </c>
      <c r="AL4064" s="574" t="s">
        <v>690</v>
      </c>
      <c r="AM4064" s="198">
        <f t="shared" si="3484"/>
        <v>8781.6959999999999</v>
      </c>
      <c r="AN4064" s="199">
        <f t="shared" si="3485"/>
        <v>0</v>
      </c>
      <c r="AO4064" s="159" t="s">
        <v>692</v>
      </c>
      <c r="AP4064" s="781"/>
      <c r="AQ4064" s="782">
        <v>12063755</v>
      </c>
      <c r="AR4064" s="782">
        <v>12061353</v>
      </c>
      <c r="AS4064" s="782">
        <v>12061354</v>
      </c>
      <c r="AT4064" s="782">
        <v>12068566</v>
      </c>
      <c r="AU4064" s="781"/>
      <c r="AV4064" s="782">
        <v>12088206</v>
      </c>
      <c r="AW4064" s="782">
        <v>12088207</v>
      </c>
      <c r="AX4064" s="782"/>
      <c r="AY4064" s="782">
        <v>12068565</v>
      </c>
      <c r="AZ4064" s="782"/>
      <c r="BA4064" s="781"/>
      <c r="BB4064" s="209">
        <v>23054743</v>
      </c>
    </row>
    <row r="4065" spans="1:54" ht="25" customHeight="1">
      <c r="B4065" s="213"/>
      <c r="C4065" s="578"/>
      <c r="D4065" s="185" t="str">
        <f t="shared" si="3473"/>
        <v/>
      </c>
      <c r="E4065" s="215" t="e">
        <f>VLOOKUP($B4065,Week!$A$1:$C$1462,2,0)</f>
        <v>#N/A</v>
      </c>
      <c r="F4065" s="216" t="str">
        <f t="shared" si="3474"/>
        <v/>
      </c>
      <c r="G4065" s="215">
        <v>30</v>
      </c>
      <c r="H4065" s="215" t="s">
        <v>104</v>
      </c>
      <c r="I4065" s="215" t="s">
        <v>2772</v>
      </c>
      <c r="J4065" s="209" t="s">
        <v>105</v>
      </c>
      <c r="K4065" s="217" t="s">
        <v>107</v>
      </c>
      <c r="L4065" s="300" t="s">
        <v>2167</v>
      </c>
      <c r="M4065" s="209" t="s">
        <v>108</v>
      </c>
      <c r="N4065" s="215" t="s">
        <v>109</v>
      </c>
      <c r="O4065" s="215" t="s">
        <v>110</v>
      </c>
      <c r="P4065" s="218">
        <v>36</v>
      </c>
      <c r="Q4065" s="218">
        <v>5</v>
      </c>
      <c r="R4065" s="219">
        <v>7.4999999999999997E-3</v>
      </c>
      <c r="S4065" s="215" t="s">
        <v>111</v>
      </c>
      <c r="T4065" s="215" t="s">
        <v>112</v>
      </c>
      <c r="U4065" s="215" t="s">
        <v>113</v>
      </c>
      <c r="V4065" s="220">
        <v>792</v>
      </c>
      <c r="W4065" s="220"/>
      <c r="X4065" s="221"/>
      <c r="Y4065" s="222">
        <f t="shared" si="3475"/>
        <v>-792</v>
      </c>
      <c r="Z4065" s="223">
        <f t="shared" si="3476"/>
        <v>28512</v>
      </c>
      <c r="AA4065" s="223">
        <f t="shared" si="3477"/>
        <v>142560</v>
      </c>
      <c r="AB4065" s="807">
        <v>9.7000000000000003E-3</v>
      </c>
      <c r="AC4065" s="220">
        <f t="shared" si="3478"/>
        <v>276.56639999999999</v>
      </c>
      <c r="AD4065" s="209"/>
      <c r="AE4065" s="210">
        <f t="shared" si="3479"/>
        <v>1.0692000000000002</v>
      </c>
      <c r="AF4065" s="210">
        <f t="shared" si="3480"/>
        <v>1.9800000000000002</v>
      </c>
      <c r="AG4065" s="211">
        <f t="shared" si="3481"/>
        <v>0.308</v>
      </c>
      <c r="AH4065" s="157">
        <f t="shared" si="3482"/>
        <v>8.7816960000000002</v>
      </c>
      <c r="AI4065" s="152">
        <f t="shared" si="3483"/>
        <v>28512</v>
      </c>
      <c r="AK4065" s="156" t="s">
        <v>691</v>
      </c>
      <c r="AL4065" s="574" t="s">
        <v>690</v>
      </c>
      <c r="AM4065" s="198">
        <f t="shared" si="3484"/>
        <v>8781.6959999999999</v>
      </c>
      <c r="AN4065" s="199">
        <f t="shared" si="3485"/>
        <v>0</v>
      </c>
      <c r="AO4065" s="159" t="s">
        <v>692</v>
      </c>
      <c r="AP4065" s="781"/>
      <c r="AQ4065" s="782">
        <v>12063755</v>
      </c>
      <c r="AR4065" s="782">
        <v>12061353</v>
      </c>
      <c r="AS4065" s="782">
        <v>12061354</v>
      </c>
      <c r="AT4065" s="782">
        <v>12068566</v>
      </c>
      <c r="AU4065" s="781"/>
      <c r="AV4065" s="782">
        <v>12088206</v>
      </c>
      <c r="AW4065" s="782">
        <v>12088207</v>
      </c>
      <c r="AX4065" s="782"/>
      <c r="AY4065" s="782">
        <v>12068565</v>
      </c>
      <c r="AZ4065" s="782"/>
      <c r="BA4065" s="781"/>
      <c r="BB4065" s="209">
        <v>23054743</v>
      </c>
    </row>
    <row r="4066" spans="1:54" ht="25" customHeight="1">
      <c r="B4066" s="213"/>
      <c r="C4066" s="578"/>
      <c r="D4066" s="185" t="str">
        <f t="shared" si="3473"/>
        <v/>
      </c>
      <c r="E4066" s="215" t="e">
        <f>VLOOKUP($B4066,Week!$A$1:$C$1462,2,0)</f>
        <v>#N/A</v>
      </c>
      <c r="F4066" s="216" t="str">
        <f t="shared" si="3474"/>
        <v/>
      </c>
      <c r="G4066" s="215">
        <v>31</v>
      </c>
      <c r="H4066" s="215" t="s">
        <v>104</v>
      </c>
      <c r="I4066" s="215" t="s">
        <v>2772</v>
      </c>
      <c r="J4066" s="209" t="s">
        <v>105</v>
      </c>
      <c r="K4066" s="217" t="s">
        <v>107</v>
      </c>
      <c r="L4066" s="300" t="s">
        <v>2167</v>
      </c>
      <c r="M4066" s="209" t="s">
        <v>108</v>
      </c>
      <c r="N4066" s="215" t="s">
        <v>109</v>
      </c>
      <c r="O4066" s="215" t="s">
        <v>110</v>
      </c>
      <c r="P4066" s="218">
        <v>36</v>
      </c>
      <c r="Q4066" s="218">
        <v>5</v>
      </c>
      <c r="R4066" s="219">
        <v>7.4999999999999997E-3</v>
      </c>
      <c r="S4066" s="215" t="s">
        <v>111</v>
      </c>
      <c r="T4066" s="215" t="s">
        <v>112</v>
      </c>
      <c r="U4066" s="215" t="s">
        <v>113</v>
      </c>
      <c r="V4066" s="220">
        <v>792</v>
      </c>
      <c r="W4066" s="220"/>
      <c r="X4066" s="221"/>
      <c r="Y4066" s="222">
        <f t="shared" si="3475"/>
        <v>-792</v>
      </c>
      <c r="Z4066" s="223">
        <f t="shared" si="3476"/>
        <v>28512</v>
      </c>
      <c r="AA4066" s="223">
        <f t="shared" si="3477"/>
        <v>142560</v>
      </c>
      <c r="AB4066" s="807">
        <v>9.7000000000000003E-3</v>
      </c>
      <c r="AC4066" s="220">
        <f t="shared" si="3478"/>
        <v>276.56639999999999</v>
      </c>
      <c r="AD4066" s="209"/>
      <c r="AE4066" s="210">
        <f t="shared" si="3479"/>
        <v>1.0692000000000002</v>
      </c>
      <c r="AF4066" s="210">
        <f t="shared" si="3480"/>
        <v>1.9800000000000002</v>
      </c>
      <c r="AG4066" s="211">
        <f t="shared" si="3481"/>
        <v>0.308</v>
      </c>
      <c r="AH4066" s="157">
        <f t="shared" si="3482"/>
        <v>8.7816960000000002</v>
      </c>
      <c r="AI4066" s="152">
        <f t="shared" si="3483"/>
        <v>28512</v>
      </c>
      <c r="AK4066" s="156" t="s">
        <v>691</v>
      </c>
      <c r="AL4066" s="574" t="s">
        <v>690</v>
      </c>
      <c r="AM4066" s="198">
        <f t="shared" si="3484"/>
        <v>8781.6959999999999</v>
      </c>
      <c r="AN4066" s="199">
        <f t="shared" si="3485"/>
        <v>0</v>
      </c>
      <c r="AO4066" s="159" t="s">
        <v>692</v>
      </c>
      <c r="AP4066" s="781"/>
      <c r="AQ4066" s="782">
        <v>12063755</v>
      </c>
      <c r="AR4066" s="782">
        <v>12061353</v>
      </c>
      <c r="AS4066" s="782">
        <v>12061354</v>
      </c>
      <c r="AT4066" s="782">
        <v>12068566</v>
      </c>
      <c r="AU4066" s="781"/>
      <c r="AV4066" s="782">
        <v>12088206</v>
      </c>
      <c r="AW4066" s="782">
        <v>12088207</v>
      </c>
      <c r="AX4066" s="782"/>
      <c r="AY4066" s="782">
        <v>12068565</v>
      </c>
      <c r="AZ4066" s="782"/>
      <c r="BA4066" s="781"/>
      <c r="BB4066" s="209">
        <v>23054743</v>
      </c>
    </row>
    <row r="4067" spans="1:54" ht="25" customHeight="1">
      <c r="B4067" s="213"/>
      <c r="C4067" s="578"/>
      <c r="D4067" s="185" t="str">
        <f t="shared" si="3473"/>
        <v/>
      </c>
      <c r="E4067" s="215" t="e">
        <f>VLOOKUP($B4067,Week!$A$1:$C$1462,2,0)</f>
        <v>#N/A</v>
      </c>
      <c r="F4067" s="216" t="str">
        <f t="shared" si="3474"/>
        <v/>
      </c>
      <c r="G4067" s="215">
        <v>32</v>
      </c>
      <c r="H4067" s="215" t="s">
        <v>104</v>
      </c>
      <c r="I4067" s="215" t="s">
        <v>2772</v>
      </c>
      <c r="J4067" s="209" t="s">
        <v>105</v>
      </c>
      <c r="K4067" s="217" t="s">
        <v>107</v>
      </c>
      <c r="L4067" s="300" t="s">
        <v>2167</v>
      </c>
      <c r="M4067" s="209" t="s">
        <v>108</v>
      </c>
      <c r="N4067" s="215" t="s">
        <v>109</v>
      </c>
      <c r="O4067" s="215" t="s">
        <v>110</v>
      </c>
      <c r="P4067" s="218">
        <v>36</v>
      </c>
      <c r="Q4067" s="218">
        <v>5</v>
      </c>
      <c r="R4067" s="219">
        <v>7.4999999999999997E-3</v>
      </c>
      <c r="S4067" s="215" t="s">
        <v>111</v>
      </c>
      <c r="T4067" s="215" t="s">
        <v>112</v>
      </c>
      <c r="U4067" s="215" t="s">
        <v>113</v>
      </c>
      <c r="V4067" s="220">
        <v>792</v>
      </c>
      <c r="W4067" s="220"/>
      <c r="X4067" s="221"/>
      <c r="Y4067" s="222">
        <f t="shared" si="3475"/>
        <v>-792</v>
      </c>
      <c r="Z4067" s="223">
        <f t="shared" si="3476"/>
        <v>28512</v>
      </c>
      <c r="AA4067" s="223">
        <f t="shared" si="3477"/>
        <v>142560</v>
      </c>
      <c r="AB4067" s="807">
        <v>9.7000000000000003E-3</v>
      </c>
      <c r="AC4067" s="220">
        <f t="shared" si="3478"/>
        <v>276.56639999999999</v>
      </c>
      <c r="AD4067" s="209"/>
      <c r="AE4067" s="210">
        <f t="shared" si="3479"/>
        <v>1.0692000000000002</v>
      </c>
      <c r="AF4067" s="210">
        <f t="shared" si="3480"/>
        <v>1.9800000000000002</v>
      </c>
      <c r="AG4067" s="211">
        <f t="shared" si="3481"/>
        <v>0.308</v>
      </c>
      <c r="AH4067" s="157">
        <f t="shared" si="3482"/>
        <v>8.7816960000000002</v>
      </c>
      <c r="AI4067" s="152">
        <f t="shared" si="3483"/>
        <v>28512</v>
      </c>
      <c r="AK4067" s="156" t="s">
        <v>691</v>
      </c>
      <c r="AL4067" s="574" t="s">
        <v>690</v>
      </c>
      <c r="AM4067" s="198">
        <f t="shared" si="3484"/>
        <v>8781.6959999999999</v>
      </c>
      <c r="AN4067" s="199">
        <f t="shared" si="3485"/>
        <v>0</v>
      </c>
      <c r="AO4067" s="159" t="s">
        <v>692</v>
      </c>
      <c r="AP4067" s="781"/>
      <c r="AQ4067" s="782">
        <v>12063755</v>
      </c>
      <c r="AR4067" s="782">
        <v>12061353</v>
      </c>
      <c r="AS4067" s="782">
        <v>12061354</v>
      </c>
      <c r="AT4067" s="782">
        <v>12068566</v>
      </c>
      <c r="AU4067" s="781"/>
      <c r="AV4067" s="782">
        <v>12088206</v>
      </c>
      <c r="AW4067" s="782">
        <v>12088207</v>
      </c>
      <c r="AX4067" s="782"/>
      <c r="AY4067" s="782">
        <v>12068565</v>
      </c>
      <c r="AZ4067" s="782"/>
      <c r="BA4067" s="781"/>
      <c r="BB4067" s="209">
        <v>23054743</v>
      </c>
    </row>
    <row r="4068" spans="1:54" ht="25" customHeight="1">
      <c r="B4068" s="213"/>
      <c r="C4068" s="578"/>
      <c r="D4068" s="185" t="str">
        <f t="shared" si="3473"/>
        <v/>
      </c>
      <c r="E4068" s="215" t="e">
        <f>VLOOKUP($B4068,Week!$A$1:$C$1462,2,0)</f>
        <v>#N/A</v>
      </c>
      <c r="F4068" s="216" t="str">
        <f t="shared" si="3474"/>
        <v/>
      </c>
      <c r="G4068" s="215">
        <v>33</v>
      </c>
      <c r="H4068" s="215" t="s">
        <v>104</v>
      </c>
      <c r="I4068" s="215" t="s">
        <v>2772</v>
      </c>
      <c r="J4068" s="209" t="s">
        <v>105</v>
      </c>
      <c r="K4068" s="217" t="s">
        <v>107</v>
      </c>
      <c r="L4068" s="300" t="s">
        <v>2167</v>
      </c>
      <c r="M4068" s="209" t="s">
        <v>108</v>
      </c>
      <c r="N4068" s="215" t="s">
        <v>109</v>
      </c>
      <c r="O4068" s="215" t="s">
        <v>110</v>
      </c>
      <c r="P4068" s="218">
        <v>36</v>
      </c>
      <c r="Q4068" s="218">
        <v>5</v>
      </c>
      <c r="R4068" s="219">
        <v>7.4999999999999997E-3</v>
      </c>
      <c r="S4068" s="215" t="s">
        <v>111</v>
      </c>
      <c r="T4068" s="215" t="s">
        <v>112</v>
      </c>
      <c r="U4068" s="215" t="s">
        <v>113</v>
      </c>
      <c r="V4068" s="220">
        <v>792</v>
      </c>
      <c r="W4068" s="220"/>
      <c r="X4068" s="221"/>
      <c r="Y4068" s="222">
        <f t="shared" si="3475"/>
        <v>-792</v>
      </c>
      <c r="Z4068" s="223">
        <f t="shared" si="3476"/>
        <v>28512</v>
      </c>
      <c r="AA4068" s="223">
        <f t="shared" si="3477"/>
        <v>142560</v>
      </c>
      <c r="AB4068" s="807">
        <v>9.7000000000000003E-3</v>
      </c>
      <c r="AC4068" s="220">
        <f t="shared" si="3478"/>
        <v>276.56639999999999</v>
      </c>
      <c r="AD4068" s="209"/>
      <c r="AE4068" s="210">
        <f t="shared" si="3479"/>
        <v>1.0692000000000002</v>
      </c>
      <c r="AF4068" s="210">
        <f t="shared" si="3480"/>
        <v>1.9800000000000002</v>
      </c>
      <c r="AG4068" s="211">
        <f t="shared" si="3481"/>
        <v>0.308</v>
      </c>
      <c r="AH4068" s="157">
        <f t="shared" si="3482"/>
        <v>8.7816960000000002</v>
      </c>
      <c r="AI4068" s="152">
        <f t="shared" si="3483"/>
        <v>28512</v>
      </c>
      <c r="AK4068" s="156" t="s">
        <v>691</v>
      </c>
      <c r="AL4068" s="574" t="s">
        <v>690</v>
      </c>
      <c r="AM4068" s="198">
        <f t="shared" si="3484"/>
        <v>8781.6959999999999</v>
      </c>
      <c r="AN4068" s="199">
        <f t="shared" si="3485"/>
        <v>0</v>
      </c>
      <c r="AO4068" s="159" t="s">
        <v>692</v>
      </c>
      <c r="AP4068" s="781"/>
      <c r="AQ4068" s="782">
        <v>12063755</v>
      </c>
      <c r="AR4068" s="782">
        <v>12061353</v>
      </c>
      <c r="AS4068" s="782">
        <v>12061354</v>
      </c>
      <c r="AT4068" s="782">
        <v>12068566</v>
      </c>
      <c r="AU4068" s="781"/>
      <c r="AV4068" s="782">
        <v>12088206</v>
      </c>
      <c r="AW4068" s="782">
        <v>12088207</v>
      </c>
      <c r="AX4068" s="782"/>
      <c r="AY4068" s="782">
        <v>12068565</v>
      </c>
      <c r="AZ4068" s="782"/>
      <c r="BA4068" s="781"/>
      <c r="BB4068" s="209">
        <v>23054743</v>
      </c>
    </row>
    <row r="4069" spans="1:54" ht="25" customHeight="1">
      <c r="B4069" s="213"/>
      <c r="C4069" s="578"/>
      <c r="D4069" s="185" t="str">
        <f t="shared" si="3473"/>
        <v/>
      </c>
      <c r="E4069" s="215" t="e">
        <f>VLOOKUP($B4069,Week!$A$1:$C$1462,2,0)</f>
        <v>#N/A</v>
      </c>
      <c r="F4069" s="216" t="str">
        <f t="shared" si="3474"/>
        <v/>
      </c>
      <c r="G4069" s="215">
        <v>34</v>
      </c>
      <c r="H4069" s="215" t="s">
        <v>104</v>
      </c>
      <c r="I4069" s="215" t="s">
        <v>2772</v>
      </c>
      <c r="J4069" s="209" t="s">
        <v>105</v>
      </c>
      <c r="K4069" s="217" t="s">
        <v>107</v>
      </c>
      <c r="L4069" s="300" t="s">
        <v>2167</v>
      </c>
      <c r="M4069" s="209" t="s">
        <v>108</v>
      </c>
      <c r="N4069" s="215" t="s">
        <v>109</v>
      </c>
      <c r="O4069" s="215" t="s">
        <v>110</v>
      </c>
      <c r="P4069" s="218">
        <v>36</v>
      </c>
      <c r="Q4069" s="218">
        <v>5</v>
      </c>
      <c r="R4069" s="219">
        <v>7.4999999999999997E-3</v>
      </c>
      <c r="S4069" s="215" t="s">
        <v>111</v>
      </c>
      <c r="T4069" s="215" t="s">
        <v>112</v>
      </c>
      <c r="U4069" s="215" t="s">
        <v>113</v>
      </c>
      <c r="V4069" s="220">
        <v>792</v>
      </c>
      <c r="W4069" s="220"/>
      <c r="X4069" s="221"/>
      <c r="Y4069" s="222">
        <f t="shared" si="3475"/>
        <v>-792</v>
      </c>
      <c r="Z4069" s="223">
        <f t="shared" si="3476"/>
        <v>28512</v>
      </c>
      <c r="AA4069" s="223">
        <f t="shared" si="3477"/>
        <v>142560</v>
      </c>
      <c r="AB4069" s="807">
        <v>9.7000000000000003E-3</v>
      </c>
      <c r="AC4069" s="220">
        <f t="shared" si="3478"/>
        <v>276.56639999999999</v>
      </c>
      <c r="AD4069" s="209"/>
      <c r="AE4069" s="210">
        <f t="shared" si="3479"/>
        <v>1.0692000000000002</v>
      </c>
      <c r="AF4069" s="210">
        <f t="shared" si="3480"/>
        <v>1.9800000000000002</v>
      </c>
      <c r="AG4069" s="211">
        <f t="shared" si="3481"/>
        <v>0.308</v>
      </c>
      <c r="AH4069" s="157">
        <f t="shared" si="3482"/>
        <v>8.7816960000000002</v>
      </c>
      <c r="AI4069" s="152">
        <f t="shared" si="3483"/>
        <v>28512</v>
      </c>
      <c r="AK4069" s="156" t="s">
        <v>691</v>
      </c>
      <c r="AL4069" s="574" t="s">
        <v>690</v>
      </c>
      <c r="AM4069" s="198">
        <f t="shared" si="3484"/>
        <v>8781.6959999999999</v>
      </c>
      <c r="AN4069" s="199">
        <f t="shared" si="3485"/>
        <v>0</v>
      </c>
      <c r="AO4069" s="159" t="s">
        <v>692</v>
      </c>
      <c r="AP4069" s="781"/>
      <c r="AQ4069" s="782">
        <v>12063755</v>
      </c>
      <c r="AR4069" s="782">
        <v>12061353</v>
      </c>
      <c r="AS4069" s="782">
        <v>12061354</v>
      </c>
      <c r="AT4069" s="782">
        <v>12068566</v>
      </c>
      <c r="AU4069" s="781"/>
      <c r="AV4069" s="782">
        <v>12088206</v>
      </c>
      <c r="AW4069" s="782">
        <v>12088207</v>
      </c>
      <c r="AX4069" s="782"/>
      <c r="AY4069" s="782">
        <v>12068565</v>
      </c>
      <c r="AZ4069" s="782"/>
      <c r="BA4069" s="781"/>
      <c r="BB4069" s="209">
        <v>23054743</v>
      </c>
    </row>
    <row r="4070" spans="1:54" ht="25" customHeight="1">
      <c r="B4070" s="213"/>
      <c r="C4070" s="578"/>
      <c r="D4070" s="185" t="str">
        <f t="shared" si="3473"/>
        <v/>
      </c>
      <c r="E4070" s="215" t="e">
        <f>VLOOKUP($B4070,Week!$A$1:$C$1462,2,0)</f>
        <v>#N/A</v>
      </c>
      <c r="F4070" s="216" t="str">
        <f t="shared" si="3474"/>
        <v/>
      </c>
      <c r="G4070" s="215">
        <v>35</v>
      </c>
      <c r="H4070" s="215" t="s">
        <v>104</v>
      </c>
      <c r="I4070" s="215" t="s">
        <v>2772</v>
      </c>
      <c r="J4070" s="209" t="s">
        <v>105</v>
      </c>
      <c r="K4070" s="217" t="s">
        <v>107</v>
      </c>
      <c r="L4070" s="300" t="s">
        <v>2167</v>
      </c>
      <c r="M4070" s="209" t="s">
        <v>108</v>
      </c>
      <c r="N4070" s="215" t="s">
        <v>109</v>
      </c>
      <c r="O4070" s="215" t="s">
        <v>110</v>
      </c>
      <c r="P4070" s="218">
        <v>36</v>
      </c>
      <c r="Q4070" s="218">
        <v>5</v>
      </c>
      <c r="R4070" s="219">
        <v>7.4999999999999997E-3</v>
      </c>
      <c r="S4070" s="215" t="s">
        <v>111</v>
      </c>
      <c r="T4070" s="215" t="s">
        <v>112</v>
      </c>
      <c r="U4070" s="215" t="s">
        <v>113</v>
      </c>
      <c r="V4070" s="220">
        <v>792</v>
      </c>
      <c r="W4070" s="220"/>
      <c r="X4070" s="221"/>
      <c r="Y4070" s="222">
        <f t="shared" si="3475"/>
        <v>-792</v>
      </c>
      <c r="Z4070" s="223">
        <f t="shared" si="3476"/>
        <v>28512</v>
      </c>
      <c r="AA4070" s="223">
        <f t="shared" si="3477"/>
        <v>142560</v>
      </c>
      <c r="AB4070" s="807">
        <v>9.7000000000000003E-3</v>
      </c>
      <c r="AC4070" s="220">
        <f t="shared" si="3478"/>
        <v>276.56639999999999</v>
      </c>
      <c r="AD4070" s="209"/>
      <c r="AE4070" s="210">
        <f t="shared" si="3479"/>
        <v>1.0692000000000002</v>
      </c>
      <c r="AF4070" s="210">
        <f t="shared" si="3480"/>
        <v>1.9800000000000002</v>
      </c>
      <c r="AG4070" s="211">
        <f t="shared" si="3481"/>
        <v>0.308</v>
      </c>
      <c r="AH4070" s="157">
        <f t="shared" si="3482"/>
        <v>8.7816960000000002</v>
      </c>
      <c r="AI4070" s="152">
        <f t="shared" si="3483"/>
        <v>28512</v>
      </c>
      <c r="AK4070" s="156" t="s">
        <v>691</v>
      </c>
      <c r="AL4070" s="574" t="s">
        <v>690</v>
      </c>
      <c r="AM4070" s="198">
        <f t="shared" si="3484"/>
        <v>8781.6959999999999</v>
      </c>
      <c r="AN4070" s="199">
        <f t="shared" si="3485"/>
        <v>0</v>
      </c>
      <c r="AO4070" s="159" t="s">
        <v>692</v>
      </c>
      <c r="AP4070" s="781"/>
      <c r="AQ4070" s="782">
        <v>12063755</v>
      </c>
      <c r="AR4070" s="782">
        <v>12061353</v>
      </c>
      <c r="AS4070" s="782">
        <v>12061354</v>
      </c>
      <c r="AT4070" s="782">
        <v>12068566</v>
      </c>
      <c r="AU4070" s="781"/>
      <c r="AV4070" s="782">
        <v>12088206</v>
      </c>
      <c r="AW4070" s="782">
        <v>12088207</v>
      </c>
      <c r="AX4070" s="782"/>
      <c r="AY4070" s="782">
        <v>12068565</v>
      </c>
      <c r="AZ4070" s="782"/>
      <c r="BA4070" s="781"/>
      <c r="BB4070" s="209">
        <v>23054743</v>
      </c>
    </row>
    <row r="4071" spans="1:54" ht="25" customHeight="1">
      <c r="A4071" s="463"/>
      <c r="B4071" s="649"/>
      <c r="C4071" s="650"/>
      <c r="D4071" s="185" t="str">
        <f t="shared" si="3473"/>
        <v/>
      </c>
      <c r="E4071" s="651" t="e">
        <f>VLOOKUP($B4071,Week!$A$1:$C$1462,2,0)</f>
        <v>#N/A</v>
      </c>
      <c r="F4071" s="652" t="str">
        <f t="shared" si="3474"/>
        <v/>
      </c>
      <c r="G4071" s="651"/>
      <c r="H4071" s="651"/>
      <c r="I4071" s="651"/>
      <c r="J4071" s="653"/>
      <c r="K4071" s="654"/>
      <c r="L4071" s="654"/>
      <c r="M4071" s="653"/>
      <c r="N4071" s="651"/>
      <c r="O4071" s="651"/>
      <c r="P4071" s="655"/>
      <c r="Q4071" s="655"/>
      <c r="R4071" s="656"/>
      <c r="S4071" s="651"/>
      <c r="T4071" s="651"/>
      <c r="U4071" s="651"/>
      <c r="V4071" s="657"/>
      <c r="W4071" s="657"/>
      <c r="X4071" s="658"/>
      <c r="Y4071" s="659"/>
      <c r="Z4071" s="660"/>
      <c r="AA4071" s="660">
        <f t="shared" si="3477"/>
        <v>0</v>
      </c>
      <c r="AB4071" s="839"/>
      <c r="AC4071" s="657"/>
      <c r="AD4071" s="653"/>
      <c r="AE4071" s="661"/>
      <c r="AF4071" s="661"/>
      <c r="AG4071" s="211"/>
      <c r="AK4071" s="156" t="s">
        <v>691</v>
      </c>
      <c r="AM4071" s="198">
        <f t="shared" si="3484"/>
        <v>0</v>
      </c>
      <c r="AN4071" s="199">
        <f t="shared" si="3485"/>
        <v>0</v>
      </c>
      <c r="AO4071" s="159" t="s">
        <v>692</v>
      </c>
      <c r="AP4071" s="781"/>
      <c r="AQ4071" s="782"/>
      <c r="AR4071" s="782"/>
      <c r="AS4071" s="782"/>
      <c r="AT4071" s="782"/>
      <c r="AU4071" s="781"/>
      <c r="AV4071" s="782"/>
      <c r="AW4071" s="782"/>
      <c r="AX4071" s="782"/>
      <c r="AY4071" s="782"/>
      <c r="AZ4071" s="782"/>
      <c r="BA4071" s="781"/>
      <c r="BB4071" s="209"/>
    </row>
  </sheetData>
  <autoFilter ref="A4:BB4071" xr:uid="{00000000-0001-0000-0000-000000000000}">
    <filterColumn colId="1">
      <filters blank="1">
        <dateGroupItem year="2027" dateTimeGrouping="year"/>
        <dateGroupItem year="2026" dateTimeGrouping="year"/>
      </filters>
    </filterColumn>
  </autoFilter>
  <phoneticPr fontId="12" type="noConversion"/>
  <conditionalFormatting sqref="B4:F4">
    <cfRule type="cellIs" dxfId="11" priority="1" stopIfTrue="1" operator="equal">
      <formula>41790.5</formula>
    </cfRule>
  </conditionalFormatting>
  <pageMargins left="0.15748031496063" right="0.15748031496063" top="0.23622047244094499" bottom="0.35433070866141703" header="0.15748031496063" footer="0.15748031496063"/>
  <pageSetup paperSize="9" scale="45" fitToHeight="20" orientation="landscape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43CF3-2D03-4A7E-BFA6-5845C36740B2}">
  <dimension ref="B1:J14"/>
  <sheetViews>
    <sheetView zoomScale="180" zoomScaleNormal="180" workbookViewId="0">
      <selection activeCell="E5" sqref="E5"/>
    </sheetView>
  </sheetViews>
  <sheetFormatPr defaultRowHeight="14"/>
  <cols>
    <col min="1" max="1" width="4.83203125" customWidth="1"/>
    <col min="2" max="2" width="15.1640625" customWidth="1"/>
    <col min="5" max="5" width="27.25" customWidth="1"/>
  </cols>
  <sheetData>
    <row r="1" spans="2:10" ht="22.9" customHeight="1">
      <c r="C1" t="s">
        <v>2812</v>
      </c>
      <c r="D1" t="s">
        <v>2813</v>
      </c>
      <c r="E1" t="s">
        <v>2817</v>
      </c>
      <c r="F1" t="s">
        <v>2815</v>
      </c>
      <c r="G1" t="s">
        <v>2816</v>
      </c>
      <c r="I1" t="s">
        <v>2818</v>
      </c>
      <c r="J1" t="s">
        <v>2819</v>
      </c>
    </row>
    <row r="2" spans="2:10">
      <c r="B2" s="909">
        <v>46041</v>
      </c>
      <c r="C2">
        <v>6</v>
      </c>
      <c r="D2">
        <v>8</v>
      </c>
      <c r="E2">
        <v>2</v>
      </c>
      <c r="F2">
        <v>14</v>
      </c>
      <c r="G2">
        <f>8300</f>
        <v>8300</v>
      </c>
      <c r="H2">
        <f>F2*G2</f>
        <v>116200</v>
      </c>
      <c r="I2">
        <f t="shared" ref="I2:I7" si="0">140000</f>
        <v>140000</v>
      </c>
      <c r="J2" s="910">
        <f t="shared" ref="J2:J7" si="1">H2-I2</f>
        <v>-23800</v>
      </c>
    </row>
    <row r="3" spans="2:10">
      <c r="B3" s="909">
        <v>46042</v>
      </c>
      <c r="C3">
        <v>6</v>
      </c>
      <c r="D3">
        <v>8</v>
      </c>
      <c r="E3">
        <v>2</v>
      </c>
      <c r="F3">
        <v>14</v>
      </c>
      <c r="G3">
        <f>8300</f>
        <v>8300</v>
      </c>
      <c r="H3">
        <f>F3*G3</f>
        <v>116200</v>
      </c>
      <c r="I3">
        <f t="shared" si="0"/>
        <v>140000</v>
      </c>
      <c r="J3" s="910">
        <f t="shared" si="1"/>
        <v>-23800</v>
      </c>
    </row>
    <row r="4" spans="2:10">
      <c r="B4" s="909">
        <v>46043</v>
      </c>
      <c r="C4">
        <v>6</v>
      </c>
      <c r="D4">
        <v>8</v>
      </c>
      <c r="E4">
        <v>2</v>
      </c>
      <c r="F4">
        <v>14</v>
      </c>
      <c r="G4">
        <f>8300</f>
        <v>8300</v>
      </c>
      <c r="H4" s="913">
        <f>74784</f>
        <v>74784</v>
      </c>
      <c r="I4">
        <f t="shared" si="0"/>
        <v>140000</v>
      </c>
      <c r="J4" s="910">
        <f t="shared" si="1"/>
        <v>-65216</v>
      </c>
    </row>
    <row r="5" spans="2:10">
      <c r="B5" s="909">
        <v>46044</v>
      </c>
      <c r="C5">
        <v>6</v>
      </c>
      <c r="D5">
        <v>8</v>
      </c>
      <c r="E5">
        <v>2</v>
      </c>
      <c r="F5">
        <v>14</v>
      </c>
      <c r="G5">
        <f>8300</f>
        <v>8300</v>
      </c>
      <c r="H5" s="913">
        <f>74784</f>
        <v>74784</v>
      </c>
      <c r="I5">
        <f t="shared" si="0"/>
        <v>140000</v>
      </c>
      <c r="J5" s="910">
        <f t="shared" si="1"/>
        <v>-65216</v>
      </c>
    </row>
    <row r="6" spans="2:10">
      <c r="B6" s="909">
        <v>46045</v>
      </c>
      <c r="C6">
        <v>6</v>
      </c>
      <c r="D6">
        <v>8</v>
      </c>
      <c r="E6">
        <v>2</v>
      </c>
      <c r="F6">
        <v>14</v>
      </c>
      <c r="G6">
        <f>8300</f>
        <v>8300</v>
      </c>
      <c r="H6" s="913">
        <f>74784</f>
        <v>74784</v>
      </c>
      <c r="I6">
        <f t="shared" si="0"/>
        <v>140000</v>
      </c>
      <c r="J6" s="910">
        <f t="shared" si="1"/>
        <v>-65216</v>
      </c>
    </row>
    <row r="7" spans="2:10">
      <c r="B7" s="909">
        <v>46046</v>
      </c>
      <c r="C7">
        <v>6</v>
      </c>
      <c r="D7">
        <v>8</v>
      </c>
      <c r="E7">
        <v>2</v>
      </c>
      <c r="F7">
        <v>14</v>
      </c>
      <c r="G7">
        <f>8300</f>
        <v>8300</v>
      </c>
      <c r="H7">
        <f>F7*G7</f>
        <v>116200</v>
      </c>
      <c r="I7">
        <f t="shared" si="0"/>
        <v>140000</v>
      </c>
      <c r="J7" s="910">
        <f t="shared" si="1"/>
        <v>-23800</v>
      </c>
    </row>
    <row r="8" spans="2:10">
      <c r="B8" s="909"/>
      <c r="C8" t="s">
        <v>2814</v>
      </c>
    </row>
    <row r="9" spans="2:10">
      <c r="G9" t="s">
        <v>2820</v>
      </c>
      <c r="H9">
        <f>SUM(H2:H8)</f>
        <v>572952</v>
      </c>
      <c r="I9">
        <f>SUM(I2:I8)</f>
        <v>840000</v>
      </c>
      <c r="J9" s="914">
        <f>SUM(J2:J8)</f>
        <v>-267048</v>
      </c>
    </row>
    <row r="11" spans="2:10">
      <c r="B11" s="911" t="s">
        <v>2821</v>
      </c>
      <c r="C11">
        <v>6</v>
      </c>
      <c r="D11">
        <v>8</v>
      </c>
      <c r="E11">
        <v>2</v>
      </c>
      <c r="F11">
        <v>14</v>
      </c>
      <c r="G11">
        <f>8300</f>
        <v>8300</v>
      </c>
      <c r="H11">
        <f>F11*G11</f>
        <v>116200</v>
      </c>
      <c r="I11">
        <f>140000</f>
        <v>140000</v>
      </c>
      <c r="J11" s="910">
        <f>H11-I11</f>
        <v>-23800</v>
      </c>
    </row>
    <row r="13" spans="2:10">
      <c r="B13" s="911" t="s">
        <v>2822</v>
      </c>
      <c r="C13">
        <v>6</v>
      </c>
      <c r="D13">
        <v>8</v>
      </c>
      <c r="E13">
        <v>2</v>
      </c>
      <c r="F13">
        <v>10</v>
      </c>
      <c r="G13">
        <f>8300</f>
        <v>8300</v>
      </c>
      <c r="H13">
        <f>F13*G13</f>
        <v>83000</v>
      </c>
      <c r="I13">
        <f>83000</f>
        <v>83000</v>
      </c>
      <c r="J13">
        <f>H13-I13</f>
        <v>0</v>
      </c>
    </row>
    <row r="14" spans="2:10">
      <c r="B14" s="912" t="s">
        <v>2823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3:Y24"/>
  <sheetViews>
    <sheetView topLeftCell="A3" zoomScale="110" zoomScaleNormal="110" workbookViewId="0">
      <selection activeCell="T17" sqref="T17"/>
    </sheetView>
  </sheetViews>
  <sheetFormatPr defaultRowHeight="14"/>
  <cols>
    <col min="1" max="1" width="13.1640625" bestFit="1" customWidth="1"/>
    <col min="2" max="2" width="16.25" bestFit="1" customWidth="1"/>
    <col min="3" max="3" width="5.58203125" bestFit="1" customWidth="1"/>
    <col min="4" max="4" width="4.58203125" bestFit="1" customWidth="1"/>
    <col min="5" max="5" width="6.58203125" bestFit="1" customWidth="1"/>
    <col min="6" max="7" width="5.58203125" bestFit="1" customWidth="1"/>
    <col min="8" max="8" width="15" bestFit="1" customWidth="1"/>
    <col min="9" max="10" width="5.58203125" bestFit="1" customWidth="1"/>
    <col min="11" max="13" width="6.58203125" bestFit="1" customWidth="1"/>
    <col min="14" max="14" width="19.83203125" bestFit="1" customWidth="1"/>
    <col min="15" max="15" width="20.1640625" bestFit="1" customWidth="1"/>
    <col min="17" max="17" width="11.4140625" bestFit="1" customWidth="1"/>
    <col min="18" max="18" width="14.58203125" bestFit="1" customWidth="1"/>
    <col min="19" max="19" width="10.25" bestFit="1" customWidth="1"/>
    <col min="21" max="21" width="11.4140625" bestFit="1" customWidth="1"/>
    <col min="22" max="22" width="17.75" bestFit="1" customWidth="1"/>
    <col min="23" max="23" width="10.25" bestFit="1" customWidth="1"/>
    <col min="25" max="25" width="12.25" customWidth="1"/>
  </cols>
  <sheetData>
    <row r="3" spans="1:25" ht="17.5">
      <c r="B3" s="79" t="s">
        <v>2056</v>
      </c>
      <c r="Q3" s="841" t="s">
        <v>2166</v>
      </c>
      <c r="R3" s="842"/>
      <c r="U3" s="841" t="s">
        <v>2167</v>
      </c>
      <c r="V3" s="842"/>
    </row>
    <row r="4" spans="1:25">
      <c r="B4" s="794" t="s">
        <v>2058</v>
      </c>
      <c r="C4" s="794"/>
      <c r="D4" s="794"/>
      <c r="E4" s="794"/>
      <c r="F4" s="794"/>
      <c r="G4" s="794"/>
      <c r="H4" s="786" t="s">
        <v>2057</v>
      </c>
      <c r="I4" s="973"/>
      <c r="J4" s="973"/>
      <c r="K4" s="973"/>
      <c r="L4" s="973"/>
      <c r="M4" s="973"/>
      <c r="N4" s="790" t="s">
        <v>2130</v>
      </c>
      <c r="O4" t="s">
        <v>2131</v>
      </c>
    </row>
    <row r="5" spans="1:25">
      <c r="A5" s="79" t="s">
        <v>2055</v>
      </c>
      <c r="B5" s="792" t="s">
        <v>55</v>
      </c>
      <c r="C5" s="792" t="s">
        <v>111</v>
      </c>
      <c r="D5" s="792" t="s">
        <v>217</v>
      </c>
      <c r="E5" s="792" t="s">
        <v>40</v>
      </c>
      <c r="F5" s="792" t="s">
        <v>76</v>
      </c>
      <c r="G5" s="792" t="s">
        <v>352</v>
      </c>
      <c r="H5" s="787" t="s">
        <v>55</v>
      </c>
      <c r="I5" s="787" t="s">
        <v>111</v>
      </c>
      <c r="J5" s="787" t="s">
        <v>217</v>
      </c>
      <c r="K5" s="787" t="s">
        <v>40</v>
      </c>
      <c r="L5" s="787" t="s">
        <v>76</v>
      </c>
      <c r="M5" s="787" t="s">
        <v>352</v>
      </c>
      <c r="N5" s="790"/>
      <c r="Q5" s="79" t="s">
        <v>2168</v>
      </c>
      <c r="R5" t="s">
        <v>2166</v>
      </c>
      <c r="U5" s="79" t="s">
        <v>2168</v>
      </c>
      <c r="V5" t="s">
        <v>2167</v>
      </c>
    </row>
    <row r="6" spans="1:25">
      <c r="A6" s="20">
        <v>2024</v>
      </c>
      <c r="B6" s="793"/>
      <c r="C6" s="793"/>
      <c r="D6" s="793"/>
      <c r="E6" s="793"/>
      <c r="F6" s="793"/>
      <c r="G6" s="793"/>
      <c r="H6" s="788"/>
      <c r="I6" s="974"/>
      <c r="J6" s="974"/>
      <c r="K6" s="974"/>
      <c r="L6" s="974"/>
      <c r="M6" s="974"/>
      <c r="N6" s="791"/>
      <c r="O6" s="789"/>
      <c r="S6" s="790">
        <f>300000</f>
        <v>300000</v>
      </c>
      <c r="T6" s="790" t="s">
        <v>3171</v>
      </c>
      <c r="W6" s="790">
        <f>8300*8</f>
        <v>66400</v>
      </c>
      <c r="X6" s="790" t="s">
        <v>3171</v>
      </c>
      <c r="Y6" s="964" t="s">
        <v>3172</v>
      </c>
    </row>
    <row r="7" spans="1:25">
      <c r="A7" s="20">
        <v>2025</v>
      </c>
      <c r="B7" s="793">
        <v>8.6400000000000008E-4</v>
      </c>
      <c r="C7" s="793">
        <v>0</v>
      </c>
      <c r="D7" s="793">
        <v>0</v>
      </c>
      <c r="E7" s="793">
        <v>7.2000000000174613E-5</v>
      </c>
      <c r="F7" s="793">
        <v>1.9612799999999997E-3</v>
      </c>
      <c r="G7" s="793">
        <v>0</v>
      </c>
      <c r="H7" s="788">
        <v>1.6000000000000001E-3</v>
      </c>
      <c r="I7" s="974">
        <v>0</v>
      </c>
      <c r="J7" s="974">
        <v>0</v>
      </c>
      <c r="K7" s="974">
        <v>1.3333333333365668E-4</v>
      </c>
      <c r="L7" s="974">
        <v>3.6319999999999994E-3</v>
      </c>
      <c r="M7" s="974">
        <v>0</v>
      </c>
      <c r="N7" s="791">
        <v>2.8972800000001742E-3</v>
      </c>
      <c r="O7" s="789">
        <v>5.3653333333336557E-3</v>
      </c>
      <c r="Q7" s="79" t="s">
        <v>439</v>
      </c>
      <c r="R7" t="s">
        <v>2163</v>
      </c>
      <c r="S7" t="s">
        <v>2164</v>
      </c>
      <c r="T7" s="790"/>
      <c r="U7" s="79" t="s">
        <v>439</v>
      </c>
      <c r="V7" s="26" t="s">
        <v>2165</v>
      </c>
      <c r="W7" t="s">
        <v>2164</v>
      </c>
      <c r="X7" s="790"/>
      <c r="Y7" s="964"/>
    </row>
    <row r="8" spans="1:25">
      <c r="A8" s="20">
        <v>2026</v>
      </c>
      <c r="B8" s="793"/>
      <c r="C8" s="793"/>
      <c r="D8" s="793"/>
      <c r="E8" s="793"/>
      <c r="F8" s="793"/>
      <c r="G8" s="793"/>
      <c r="H8" s="788"/>
      <c r="I8" s="974"/>
      <c r="J8" s="974"/>
      <c r="K8" s="974"/>
      <c r="L8" s="974"/>
      <c r="M8" s="974"/>
      <c r="N8" s="791"/>
      <c r="O8" s="789"/>
      <c r="Q8" s="20">
        <v>2026</v>
      </c>
      <c r="R8" s="11"/>
      <c r="S8" s="11"/>
      <c r="T8" s="790"/>
      <c r="U8" s="20">
        <v>2026</v>
      </c>
      <c r="V8" s="11"/>
      <c r="W8" s="11"/>
      <c r="X8" s="790"/>
      <c r="Y8" s="964"/>
    </row>
    <row r="9" spans="1:25">
      <c r="A9" s="58" t="s">
        <v>2122</v>
      </c>
      <c r="B9" s="793">
        <v>0</v>
      </c>
      <c r="C9" s="793">
        <v>0</v>
      </c>
      <c r="D9" s="793"/>
      <c r="E9" s="793">
        <v>0</v>
      </c>
      <c r="F9" s="793">
        <v>0</v>
      </c>
      <c r="G9" s="793">
        <v>0</v>
      </c>
      <c r="H9" s="788">
        <v>0</v>
      </c>
      <c r="I9" s="974">
        <v>0</v>
      </c>
      <c r="J9" s="974"/>
      <c r="K9" s="974">
        <v>0</v>
      </c>
      <c r="L9" s="974">
        <v>0</v>
      </c>
      <c r="M9" s="974">
        <v>0</v>
      </c>
      <c r="N9" s="791">
        <v>0</v>
      </c>
      <c r="O9" s="789">
        <v>0</v>
      </c>
      <c r="Q9" s="58" t="s">
        <v>2122</v>
      </c>
      <c r="R9" s="11">
        <v>0</v>
      </c>
      <c r="S9" s="967">
        <v>0</v>
      </c>
      <c r="T9" s="968"/>
      <c r="U9" s="58" t="s">
        <v>2122</v>
      </c>
      <c r="V9" s="966">
        <v>0</v>
      </c>
      <c r="W9" s="11">
        <v>0</v>
      </c>
      <c r="X9" s="970"/>
      <c r="Y9" s="964"/>
    </row>
    <row r="10" spans="1:25">
      <c r="A10" s="58" t="s">
        <v>2123</v>
      </c>
      <c r="B10" s="793">
        <v>0</v>
      </c>
      <c r="C10" s="793">
        <v>0</v>
      </c>
      <c r="D10" s="793">
        <v>0</v>
      </c>
      <c r="E10" s="793">
        <v>0</v>
      </c>
      <c r="F10" s="793">
        <v>0</v>
      </c>
      <c r="G10" s="793">
        <v>0</v>
      </c>
      <c r="H10" s="788">
        <v>0</v>
      </c>
      <c r="I10" s="974">
        <v>0</v>
      </c>
      <c r="J10" s="974">
        <v>0</v>
      </c>
      <c r="K10" s="974">
        <v>0</v>
      </c>
      <c r="L10" s="974">
        <v>0</v>
      </c>
      <c r="M10" s="974">
        <v>0</v>
      </c>
      <c r="N10" s="791">
        <v>0</v>
      </c>
      <c r="O10" s="789">
        <v>0</v>
      </c>
      <c r="Q10" s="58" t="s">
        <v>2123</v>
      </c>
      <c r="R10" s="11">
        <v>0</v>
      </c>
      <c r="S10" s="967">
        <v>0</v>
      </c>
      <c r="T10" s="968"/>
      <c r="U10" s="58" t="s">
        <v>2123</v>
      </c>
      <c r="V10" s="966">
        <v>0</v>
      </c>
      <c r="W10" s="11">
        <v>0</v>
      </c>
      <c r="X10" s="970"/>
      <c r="Y10" s="964"/>
    </row>
    <row r="11" spans="1:25">
      <c r="A11" s="58" t="s">
        <v>2121</v>
      </c>
      <c r="B11" s="793">
        <v>0</v>
      </c>
      <c r="C11" s="793">
        <v>0</v>
      </c>
      <c r="D11" s="793">
        <v>0</v>
      </c>
      <c r="E11" s="793">
        <v>0</v>
      </c>
      <c r="F11" s="793">
        <v>0</v>
      </c>
      <c r="G11" s="793">
        <v>0</v>
      </c>
      <c r="H11" s="788">
        <v>0</v>
      </c>
      <c r="I11" s="974">
        <v>0</v>
      </c>
      <c r="J11" s="974">
        <v>0</v>
      </c>
      <c r="K11" s="974">
        <v>0</v>
      </c>
      <c r="L11" s="974">
        <v>0</v>
      </c>
      <c r="M11" s="974">
        <v>0</v>
      </c>
      <c r="N11" s="791">
        <v>0</v>
      </c>
      <c r="O11" s="789">
        <v>0</v>
      </c>
      <c r="Q11" s="58" t="s">
        <v>2121</v>
      </c>
      <c r="R11" s="11">
        <v>0</v>
      </c>
      <c r="S11" s="967">
        <v>0</v>
      </c>
      <c r="T11" s="968"/>
      <c r="U11" s="58" t="s">
        <v>2121</v>
      </c>
      <c r="V11" s="966">
        <v>0</v>
      </c>
      <c r="W11" s="11">
        <v>0</v>
      </c>
      <c r="X11" s="970"/>
      <c r="Y11" s="964"/>
    </row>
    <row r="12" spans="1:25">
      <c r="A12" s="58" t="s">
        <v>2124</v>
      </c>
      <c r="B12" s="793">
        <v>0</v>
      </c>
      <c r="C12" s="793">
        <v>0</v>
      </c>
      <c r="D12" s="793">
        <v>0</v>
      </c>
      <c r="E12" s="793">
        <v>0</v>
      </c>
      <c r="F12" s="793">
        <v>0</v>
      </c>
      <c r="G12" s="793">
        <v>0</v>
      </c>
      <c r="H12" s="788">
        <v>0</v>
      </c>
      <c r="I12" s="974">
        <v>0</v>
      </c>
      <c r="J12" s="974">
        <v>0</v>
      </c>
      <c r="K12" s="974">
        <v>0</v>
      </c>
      <c r="L12" s="974">
        <v>0</v>
      </c>
      <c r="M12" s="974">
        <v>0</v>
      </c>
      <c r="N12" s="791">
        <v>0</v>
      </c>
      <c r="O12" s="789">
        <v>0</v>
      </c>
      <c r="Q12" s="58" t="s">
        <v>2124</v>
      </c>
      <c r="R12" s="11">
        <v>0</v>
      </c>
      <c r="S12" s="967">
        <v>0</v>
      </c>
      <c r="T12" s="968"/>
      <c r="U12" s="58" t="s">
        <v>2124</v>
      </c>
      <c r="V12" s="966">
        <v>0</v>
      </c>
      <c r="W12" s="11">
        <v>0</v>
      </c>
      <c r="X12" s="970"/>
      <c r="Y12" s="964"/>
    </row>
    <row r="13" spans="1:25">
      <c r="A13" s="58" t="s">
        <v>2125</v>
      </c>
      <c r="B13" s="793">
        <v>0</v>
      </c>
      <c r="C13" s="793">
        <v>0</v>
      </c>
      <c r="D13" s="793">
        <v>0</v>
      </c>
      <c r="E13" s="793">
        <v>0</v>
      </c>
      <c r="F13" s="793">
        <v>0</v>
      </c>
      <c r="G13" s="793">
        <v>0</v>
      </c>
      <c r="H13" s="788">
        <v>0</v>
      </c>
      <c r="I13" s="974">
        <v>0</v>
      </c>
      <c r="J13" s="974">
        <v>0</v>
      </c>
      <c r="K13" s="974">
        <v>0</v>
      </c>
      <c r="L13" s="974">
        <v>0</v>
      </c>
      <c r="M13" s="974">
        <v>0</v>
      </c>
      <c r="N13" s="791">
        <v>0</v>
      </c>
      <c r="O13" s="789">
        <v>0</v>
      </c>
      <c r="Q13" s="58" t="s">
        <v>2125</v>
      </c>
      <c r="R13" s="11">
        <v>0</v>
      </c>
      <c r="S13" s="967">
        <v>0</v>
      </c>
      <c r="T13" s="968"/>
      <c r="U13" s="58" t="s">
        <v>2125</v>
      </c>
      <c r="V13" s="966">
        <v>0</v>
      </c>
      <c r="W13" s="11">
        <v>0</v>
      </c>
      <c r="X13" s="970"/>
      <c r="Y13" s="964"/>
    </row>
    <row r="14" spans="1:25">
      <c r="A14" s="58" t="s">
        <v>2220</v>
      </c>
      <c r="B14" s="793">
        <v>0</v>
      </c>
      <c r="C14" s="793">
        <v>0</v>
      </c>
      <c r="D14" s="793"/>
      <c r="E14" s="793">
        <v>0</v>
      </c>
      <c r="F14" s="793">
        <v>0</v>
      </c>
      <c r="G14" s="793">
        <v>0</v>
      </c>
      <c r="H14" s="788">
        <v>0</v>
      </c>
      <c r="I14" s="974">
        <v>0</v>
      </c>
      <c r="J14" s="974"/>
      <c r="K14" s="974">
        <v>0</v>
      </c>
      <c r="L14" s="974">
        <v>0</v>
      </c>
      <c r="M14" s="974">
        <v>0</v>
      </c>
      <c r="N14" s="791">
        <v>0</v>
      </c>
      <c r="O14" s="789">
        <v>0</v>
      </c>
      <c r="Q14" s="58" t="s">
        <v>2220</v>
      </c>
      <c r="R14" s="11">
        <v>0</v>
      </c>
      <c r="S14" s="967">
        <v>0</v>
      </c>
      <c r="T14" s="968"/>
      <c r="U14" s="58" t="s">
        <v>2220</v>
      </c>
      <c r="V14" s="966">
        <v>0</v>
      </c>
      <c r="W14" s="11">
        <v>0</v>
      </c>
      <c r="X14" s="970"/>
      <c r="Y14" s="964"/>
    </row>
    <row r="15" spans="1:25">
      <c r="A15" s="58" t="s">
        <v>2879</v>
      </c>
      <c r="B15" s="793">
        <v>0</v>
      </c>
      <c r="C15" s="793">
        <v>0</v>
      </c>
      <c r="D15" s="793">
        <v>0</v>
      </c>
      <c r="E15" s="793">
        <v>0</v>
      </c>
      <c r="F15" s="793">
        <v>0</v>
      </c>
      <c r="G15" s="793">
        <v>0</v>
      </c>
      <c r="H15" s="788">
        <v>0</v>
      </c>
      <c r="I15" s="974">
        <v>0</v>
      </c>
      <c r="J15" s="974">
        <v>0</v>
      </c>
      <c r="K15" s="974">
        <v>0</v>
      </c>
      <c r="L15" s="974">
        <v>0</v>
      </c>
      <c r="M15" s="974">
        <v>0</v>
      </c>
      <c r="N15" s="791">
        <v>0</v>
      </c>
      <c r="O15" s="789">
        <v>0</v>
      </c>
      <c r="Q15" s="58" t="s">
        <v>2879</v>
      </c>
      <c r="R15" s="11">
        <v>0</v>
      </c>
      <c r="S15" s="967">
        <v>0</v>
      </c>
      <c r="T15" s="968"/>
      <c r="U15" s="58" t="s">
        <v>2879</v>
      </c>
      <c r="V15" s="966">
        <v>0</v>
      </c>
      <c r="W15" s="11">
        <v>0</v>
      </c>
      <c r="X15" s="970"/>
      <c r="Y15" s="964"/>
    </row>
    <row r="16" spans="1:25">
      <c r="A16" s="58" t="s">
        <v>2242</v>
      </c>
      <c r="B16" s="793">
        <v>3.3948000000000006E-2</v>
      </c>
      <c r="C16" s="793">
        <v>0</v>
      </c>
      <c r="D16" s="793"/>
      <c r="E16" s="793">
        <v>0</v>
      </c>
      <c r="F16" s="793">
        <v>0</v>
      </c>
      <c r="G16" s="793">
        <v>0</v>
      </c>
      <c r="H16" s="788">
        <v>6.2866666666666668E-2</v>
      </c>
      <c r="I16" s="974">
        <v>0</v>
      </c>
      <c r="J16" s="974"/>
      <c r="K16" s="974">
        <v>0</v>
      </c>
      <c r="L16" s="974">
        <v>0</v>
      </c>
      <c r="M16" s="974">
        <v>0</v>
      </c>
      <c r="N16" s="791">
        <v>3.3948000000000006E-2</v>
      </c>
      <c r="O16" s="789">
        <v>6.2866666666666668E-2</v>
      </c>
      <c r="Q16" s="58" t="s">
        <v>2242</v>
      </c>
      <c r="R16" s="11">
        <v>0</v>
      </c>
      <c r="S16" s="967">
        <v>0</v>
      </c>
      <c r="T16" s="969">
        <f>GETPIVOTDATA("short PCS.",$Q$7,"year",2026,"Month","Aug")/S6</f>
        <v>0</v>
      </c>
      <c r="U16" s="58" t="s">
        <v>2242</v>
      </c>
      <c r="V16" s="966">
        <v>1886</v>
      </c>
      <c r="W16" s="11">
        <v>5658</v>
      </c>
      <c r="X16" s="971">
        <f>GETPIVOTDATA("short cup",$U$7,"year",2026,"Month","Aug")/W6</f>
        <v>2.8403614457831326E-2</v>
      </c>
      <c r="Y16" s="965">
        <f>T16+X16</f>
        <v>2.8403614457831326E-2</v>
      </c>
    </row>
    <row r="17" spans="1:25">
      <c r="A17" s="58" t="s">
        <v>2312</v>
      </c>
      <c r="B17" s="793">
        <v>5.119844399999999</v>
      </c>
      <c r="C17" s="793">
        <v>17.401102500000004</v>
      </c>
      <c r="D17" s="793"/>
      <c r="E17" s="793">
        <v>16.151321599999999</v>
      </c>
      <c r="F17" s="793">
        <v>10.358010000000002</v>
      </c>
      <c r="G17" s="793">
        <v>9.3577344</v>
      </c>
      <c r="H17" s="788">
        <v>9.4811933333333318</v>
      </c>
      <c r="I17" s="974">
        <v>32.224263888888892</v>
      </c>
      <c r="J17" s="974"/>
      <c r="K17" s="974">
        <v>29.909854814814814</v>
      </c>
      <c r="L17" s="974">
        <v>19.1815</v>
      </c>
      <c r="M17" s="974">
        <v>17.329137777777778</v>
      </c>
      <c r="N17" s="791">
        <v>58.3880129</v>
      </c>
      <c r="O17" s="789">
        <v>108.1259498148148</v>
      </c>
      <c r="Q17" s="58" t="s">
        <v>2312</v>
      </c>
      <c r="R17" s="11">
        <v>93380</v>
      </c>
      <c r="S17" s="967">
        <v>1897320</v>
      </c>
      <c r="T17" s="969">
        <f>GETPIVOTDATA("short PCS.",$Q$7,"year",2026,"Month","Sep")/S6</f>
        <v>6.3243999999999998</v>
      </c>
      <c r="U17" s="58" t="s">
        <v>2312</v>
      </c>
      <c r="V17" s="966">
        <v>1383460</v>
      </c>
      <c r="W17" s="11">
        <v>6396617</v>
      </c>
      <c r="X17" s="971">
        <f>GETPIVOTDATA("short cup",$U$7,"year",2026,"Month","Sep")/W6</f>
        <v>20.835240963855423</v>
      </c>
      <c r="Y17" s="965">
        <f t="shared" ref="Y17:Y23" si="0">T17+X17</f>
        <v>27.159640963855423</v>
      </c>
    </row>
    <row r="18" spans="1:25">
      <c r="A18" s="58" t="s">
        <v>3094</v>
      </c>
      <c r="B18" s="793">
        <v>3.3555600000000005</v>
      </c>
      <c r="C18" s="793">
        <v>14.6934</v>
      </c>
      <c r="D18" s="793"/>
      <c r="E18" s="793">
        <v>36.487608000000009</v>
      </c>
      <c r="F18" s="793">
        <v>17.727792000000001</v>
      </c>
      <c r="G18" s="793">
        <v>25.317456</v>
      </c>
      <c r="H18" s="788">
        <v>6.2140000000000004</v>
      </c>
      <c r="I18" s="974">
        <v>27.21</v>
      </c>
      <c r="J18" s="974"/>
      <c r="K18" s="974">
        <v>67.569644444444435</v>
      </c>
      <c r="L18" s="974">
        <v>32.829244444444441</v>
      </c>
      <c r="M18" s="974">
        <v>46.884177777777779</v>
      </c>
      <c r="N18" s="791">
        <v>97.581816000000003</v>
      </c>
      <c r="O18" s="789">
        <v>180.70706666666666</v>
      </c>
      <c r="Q18" s="58" t="s">
        <v>3094</v>
      </c>
      <c r="R18" s="11">
        <v>220120</v>
      </c>
      <c r="S18" s="967">
        <v>3968800</v>
      </c>
      <c r="T18" s="969">
        <f>GETPIVOTDATA("short PCS.",$Q$7,"year",2026,"Month","Oct")/S6</f>
        <v>13.229333333333333</v>
      </c>
      <c r="U18" s="58" t="s">
        <v>3094</v>
      </c>
      <c r="V18" s="966">
        <v>2034660</v>
      </c>
      <c r="W18" s="11">
        <v>9745920</v>
      </c>
      <c r="X18" s="971">
        <f>GETPIVOTDATA("short cup",$U$7,"year",2026,"Month","Oct")/W6</f>
        <v>30.642469879518071</v>
      </c>
      <c r="Y18" s="965">
        <f t="shared" si="0"/>
        <v>43.871803212851404</v>
      </c>
    </row>
    <row r="19" spans="1:25">
      <c r="A19" s="58" t="s">
        <v>3095</v>
      </c>
      <c r="B19" s="793">
        <v>2.5350239999999999</v>
      </c>
      <c r="C19" s="793"/>
      <c r="D19" s="793"/>
      <c r="E19" s="793"/>
      <c r="F19" s="793"/>
      <c r="G19" s="793"/>
      <c r="H19" s="788">
        <v>4.6944888888888885</v>
      </c>
      <c r="I19" s="974"/>
      <c r="J19" s="974"/>
      <c r="K19" s="974"/>
      <c r="L19" s="974"/>
      <c r="M19" s="974"/>
      <c r="N19" s="791">
        <v>2.5350239999999999</v>
      </c>
      <c r="O19" s="789">
        <v>4.6944888888888885</v>
      </c>
      <c r="Q19" s="58" t="s">
        <v>3154</v>
      </c>
      <c r="R19" s="11">
        <v>257980</v>
      </c>
      <c r="S19" s="967">
        <v>3177360</v>
      </c>
      <c r="T19" s="969">
        <f>GETPIVOTDATA("short PCS.",$Q$7,"year",2026,"Month","Dec")/S6</f>
        <v>10.591200000000001</v>
      </c>
      <c r="U19" s="58" t="s">
        <v>3095</v>
      </c>
      <c r="V19" s="966">
        <v>108760</v>
      </c>
      <c r="W19" s="11">
        <v>416120</v>
      </c>
      <c r="X19" s="971">
        <f>GETPIVOTDATA("short cup",$U$7,"year",2026,"Month","Nov")/W6</f>
        <v>1.6379518072289156</v>
      </c>
      <c r="Y19" s="965">
        <f t="shared" si="0"/>
        <v>12.229151807228916</v>
      </c>
    </row>
    <row r="20" spans="1:25">
      <c r="A20" s="58" t="s">
        <v>3154</v>
      </c>
      <c r="B20" s="793">
        <v>4.7570399999999999</v>
      </c>
      <c r="C20" s="793">
        <v>6.4055999999999997</v>
      </c>
      <c r="D20" s="793"/>
      <c r="E20" s="793">
        <v>33.280168799999998</v>
      </c>
      <c r="F20" s="793">
        <v>4.3965360000000002</v>
      </c>
      <c r="G20" s="793">
        <v>10.371360000000001</v>
      </c>
      <c r="H20" s="788">
        <v>8.809333333333333</v>
      </c>
      <c r="I20" s="974">
        <v>11.862222222222222</v>
      </c>
      <c r="J20" s="974"/>
      <c r="K20" s="974">
        <v>61.629942222222226</v>
      </c>
      <c r="L20" s="974">
        <v>8.1417333333333328</v>
      </c>
      <c r="M20" s="974">
        <v>19.20622222222222</v>
      </c>
      <c r="N20" s="791">
        <v>59.210704799999995</v>
      </c>
      <c r="O20" s="789">
        <v>109.64945333333334</v>
      </c>
      <c r="Q20" s="20">
        <v>2027</v>
      </c>
      <c r="R20" s="11"/>
      <c r="S20" s="11"/>
      <c r="T20" s="969"/>
      <c r="U20" s="58" t="s">
        <v>3154</v>
      </c>
      <c r="V20" s="966">
        <v>1049696</v>
      </c>
      <c r="W20" s="11">
        <v>4989368</v>
      </c>
      <c r="X20" s="971">
        <f>GETPIVOTDATA("short cup",$U$7,"year",2026,"Month","Dec")/W6</f>
        <v>15.80867469879518</v>
      </c>
      <c r="Y20" s="965">
        <f t="shared" si="0"/>
        <v>15.80867469879518</v>
      </c>
    </row>
    <row r="21" spans="1:25">
      <c r="A21" s="20">
        <v>2027</v>
      </c>
      <c r="B21" s="793"/>
      <c r="C21" s="793"/>
      <c r="D21" s="793"/>
      <c r="E21" s="793"/>
      <c r="F21" s="793"/>
      <c r="G21" s="793"/>
      <c r="H21" s="788"/>
      <c r="I21" s="974"/>
      <c r="J21" s="974"/>
      <c r="K21" s="974"/>
      <c r="L21" s="974"/>
      <c r="M21" s="974"/>
      <c r="N21" s="791"/>
      <c r="O21" s="789"/>
      <c r="Q21" s="58" t="s">
        <v>2122</v>
      </c>
      <c r="R21" s="11">
        <v>433196</v>
      </c>
      <c r="S21" s="967">
        <v>5681168</v>
      </c>
      <c r="T21" s="790">
        <f>GETPIVOTDATA("short PCS.",$Q$7,"year",2027,"Month","Jan")/S6</f>
        <v>18.937226666666668</v>
      </c>
      <c r="U21" s="20">
        <v>2027</v>
      </c>
      <c r="V21" s="11"/>
      <c r="W21" s="11"/>
      <c r="X21" s="790"/>
      <c r="Y21" s="964"/>
    </row>
    <row r="22" spans="1:25">
      <c r="A22" s="58" t="s">
        <v>2122</v>
      </c>
      <c r="B22" s="793">
        <v>10.197624000000001</v>
      </c>
      <c r="C22" s="793">
        <v>5.5080000000000009</v>
      </c>
      <c r="D22" s="793">
        <v>5.76</v>
      </c>
      <c r="E22" s="793">
        <v>19.557657600000002</v>
      </c>
      <c r="F22" s="793">
        <v>30.000283680000003</v>
      </c>
      <c r="G22" s="793">
        <v>10.371360000000001</v>
      </c>
      <c r="H22" s="788">
        <v>18.884488888888885</v>
      </c>
      <c r="I22" s="974">
        <v>10.199999999999999</v>
      </c>
      <c r="J22" s="974">
        <v>10.666666666666666</v>
      </c>
      <c r="K22" s="974">
        <v>36.217884444444437</v>
      </c>
      <c r="L22" s="974">
        <v>55.556080888888886</v>
      </c>
      <c r="M22" s="974">
        <v>19.20622222222222</v>
      </c>
      <c r="N22" s="791">
        <v>81.39492528000001</v>
      </c>
      <c r="O22" s="789">
        <v>150.73134311111107</v>
      </c>
      <c r="Q22" s="58" t="s">
        <v>2123</v>
      </c>
      <c r="R22" s="11">
        <v>25400</v>
      </c>
      <c r="S22" s="967">
        <v>283200</v>
      </c>
      <c r="T22">
        <f>GETPIVOTDATA("short PCS.",$Q$7,"year",2027,"Month","Feb")/S6</f>
        <v>0.94399999999999995</v>
      </c>
      <c r="U22" s="58" t="s">
        <v>2122</v>
      </c>
      <c r="V22" s="966">
        <v>1239292</v>
      </c>
      <c r="W22" s="11">
        <v>5635820</v>
      </c>
      <c r="X22">
        <f>GETPIVOTDATA("short cup",$U$7,"year",2027,"Month","Jan")/W6</f>
        <v>18.664036144578315</v>
      </c>
      <c r="Y22" s="965">
        <f t="shared" si="0"/>
        <v>19.608036144578314</v>
      </c>
    </row>
    <row r="23" spans="1:25">
      <c r="A23" s="58" t="s">
        <v>2123</v>
      </c>
      <c r="B23" s="793">
        <v>4.0618800000000004</v>
      </c>
      <c r="C23" s="793">
        <v>6.1652399999999989</v>
      </c>
      <c r="D23" s="793"/>
      <c r="E23" s="793">
        <v>13.736280000000002</v>
      </c>
      <c r="F23" s="793">
        <v>1.6344000000000001</v>
      </c>
      <c r="G23" s="793">
        <v>10.371360000000001</v>
      </c>
      <c r="H23" s="788">
        <v>7.5219999999999994</v>
      </c>
      <c r="I23" s="974">
        <v>11.417111111111108</v>
      </c>
      <c r="J23" s="974"/>
      <c r="K23" s="974">
        <v>25.437555555555551</v>
      </c>
      <c r="L23" s="974">
        <v>3.0266666666666664</v>
      </c>
      <c r="M23" s="974">
        <v>19.20622222222222</v>
      </c>
      <c r="N23" s="791">
        <v>35.969160000000002</v>
      </c>
      <c r="O23" s="789">
        <v>66.609555555555545</v>
      </c>
      <c r="Q23" s="20" t="s">
        <v>702</v>
      </c>
      <c r="R23" s="11">
        <v>1030076</v>
      </c>
      <c r="S23" s="11">
        <v>15007848</v>
      </c>
      <c r="T23">
        <f>GETPIVOTDATA("short PCS.",$Q$7,"year",2027,"Month","Feb")/S6</f>
        <v>0.94399999999999995</v>
      </c>
      <c r="U23" s="58" t="s">
        <v>2123</v>
      </c>
      <c r="V23" s="966">
        <v>1038584</v>
      </c>
      <c r="W23" s="11">
        <v>4910572</v>
      </c>
      <c r="X23">
        <f>GETPIVOTDATA("short cup",$U$7,"year",2027,"Month","Feb")/W6</f>
        <v>15.641325301204819</v>
      </c>
      <c r="Y23" s="965">
        <f t="shared" si="0"/>
        <v>16.585325301204819</v>
      </c>
    </row>
    <row r="24" spans="1:25">
      <c r="A24" s="20" t="s">
        <v>702</v>
      </c>
      <c r="B24" s="793">
        <v>30.061784400000001</v>
      </c>
      <c r="C24" s="793">
        <v>50.173342500000004</v>
      </c>
      <c r="D24" s="793">
        <v>5.76</v>
      </c>
      <c r="E24" s="793">
        <v>119.21310800000002</v>
      </c>
      <c r="F24" s="793">
        <v>64.118982960000011</v>
      </c>
      <c r="G24" s="793">
        <v>65.789270400000007</v>
      </c>
      <c r="H24" s="788">
        <v>55.669971111111103</v>
      </c>
      <c r="I24" s="974">
        <v>92.913597222222222</v>
      </c>
      <c r="J24" s="974">
        <v>10.666666666666666</v>
      </c>
      <c r="K24" s="974">
        <v>220.76501481481478</v>
      </c>
      <c r="L24" s="974">
        <v>118.73885733333333</v>
      </c>
      <c r="M24" s="974">
        <v>121.83198222222222</v>
      </c>
      <c r="N24" s="791">
        <v>335.11648825999998</v>
      </c>
      <c r="O24" s="789">
        <v>620.58608937037025</v>
      </c>
      <c r="U24" s="20" t="s">
        <v>702</v>
      </c>
      <c r="V24" s="11">
        <v>6856338</v>
      </c>
      <c r="W24" s="11">
        <v>32100075</v>
      </c>
    </row>
  </sheetData>
  <pageMargins left="0.7" right="0.7" top="0.75" bottom="0.75" header="0.3" footer="0.3"/>
  <pageSetup paperSize="9" orientation="portrait" r:id="rId4"/>
  <customProperties>
    <customPr name="EpmWorksheetKeyString_GUID" r:id="rId5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E5BC6-9CF6-4BCD-BC6D-6E259E3AC301}">
  <dimension ref="A3:C17"/>
  <sheetViews>
    <sheetView workbookViewId="0">
      <selection activeCell="A5" sqref="A5:A17"/>
    </sheetView>
  </sheetViews>
  <sheetFormatPr defaultRowHeight="14"/>
  <cols>
    <col min="1" max="1" width="13.58203125" bestFit="1" customWidth="1"/>
    <col min="2" max="2" width="8.9140625" bestFit="1" customWidth="1"/>
    <col min="3" max="3" width="6.6640625" bestFit="1" customWidth="1"/>
    <col min="4" max="4" width="11.75" bestFit="1" customWidth="1"/>
  </cols>
  <sheetData>
    <row r="3" spans="1:3">
      <c r="A3" s="79" t="s">
        <v>3262</v>
      </c>
    </row>
    <row r="4" spans="1:3">
      <c r="A4" s="79" t="s">
        <v>3</v>
      </c>
      <c r="B4" s="79" t="s">
        <v>18</v>
      </c>
      <c r="C4" t="s">
        <v>703</v>
      </c>
    </row>
    <row r="5" spans="1:3">
      <c r="A5" s="5">
        <v>46279</v>
      </c>
      <c r="B5" t="s">
        <v>701</v>
      </c>
    </row>
    <row r="6" spans="1:3">
      <c r="A6" s="5">
        <v>46280</v>
      </c>
      <c r="B6" t="s">
        <v>701</v>
      </c>
    </row>
    <row r="7" spans="1:3">
      <c r="A7" s="5">
        <v>46281</v>
      </c>
      <c r="B7" t="s">
        <v>2973</v>
      </c>
      <c r="C7" s="1033">
        <v>1518.6666666666663</v>
      </c>
    </row>
    <row r="8" spans="1:3">
      <c r="A8" s="5">
        <v>46282</v>
      </c>
      <c r="B8" t="s">
        <v>55</v>
      </c>
      <c r="C8" s="1033">
        <v>1333.3333333333333</v>
      </c>
    </row>
    <row r="9" spans="1:3">
      <c r="B9" t="s">
        <v>76</v>
      </c>
      <c r="C9" s="1033">
        <v>2855.1555555555556</v>
      </c>
    </row>
    <row r="10" spans="1:3">
      <c r="B10" t="s">
        <v>352</v>
      </c>
      <c r="C10" s="1033">
        <v>1102.2222222222222</v>
      </c>
    </row>
    <row r="11" spans="1:3">
      <c r="A11" s="5">
        <v>46283</v>
      </c>
      <c r="B11" t="s">
        <v>55</v>
      </c>
      <c r="C11" s="1033">
        <v>1333.3333333333333</v>
      </c>
    </row>
    <row r="12" spans="1:3">
      <c r="B12" t="s">
        <v>76</v>
      </c>
      <c r="C12" s="1033">
        <v>3450.4</v>
      </c>
    </row>
    <row r="13" spans="1:3">
      <c r="A13" s="5">
        <v>46284</v>
      </c>
      <c r="B13" t="s">
        <v>55</v>
      </c>
      <c r="C13" s="1033">
        <v>1089.5466666666664</v>
      </c>
    </row>
    <row r="14" spans="1:3">
      <c r="B14" t="s">
        <v>111</v>
      </c>
      <c r="C14" s="1033">
        <v>1980.0000000000002</v>
      </c>
    </row>
    <row r="15" spans="1:3">
      <c r="B15" t="s">
        <v>40</v>
      </c>
      <c r="C15" s="1033">
        <v>3637.0370370370374</v>
      </c>
    </row>
    <row r="16" spans="1:3">
      <c r="A16" s="5">
        <v>46285</v>
      </c>
      <c r="B16" t="s">
        <v>55</v>
      </c>
      <c r="C16" s="1033">
        <v>1045.1133333333332</v>
      </c>
    </row>
    <row r="17" spans="2:3">
      <c r="B17" t="s">
        <v>111</v>
      </c>
      <c r="C17" s="1033">
        <v>5940.0000000000009</v>
      </c>
    </row>
  </sheetData>
  <pageMargins left="0.7" right="0.7" top="0.75" bottom="0.75" header="0.3" footer="0.3"/>
  <customProperties>
    <customPr name="EpmWorksheetKeyString_GU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CC57-BEE0-4C16-AA85-2DA0D0AD16CD}">
  <dimension ref="A1:U161"/>
  <sheetViews>
    <sheetView zoomScale="60" zoomScaleNormal="60" workbookViewId="0">
      <selection activeCell="F4" sqref="F4"/>
    </sheetView>
  </sheetViews>
  <sheetFormatPr defaultRowHeight="22.5"/>
  <cols>
    <col min="1" max="1" width="24.25" style="978" bestFit="1" customWidth="1"/>
    <col min="2" max="2" width="27.58203125" style="978" customWidth="1"/>
    <col min="3" max="3" width="27.58203125" style="978" hidden="1" customWidth="1"/>
    <col min="4" max="4" width="20.83203125" style="978" customWidth="1"/>
    <col min="5" max="5" width="20.83203125" style="978" hidden="1" customWidth="1"/>
    <col min="6" max="6" width="26.4140625" style="978" customWidth="1"/>
    <col min="7" max="7" width="26.4140625" style="978" hidden="1" customWidth="1"/>
    <col min="8" max="8" width="26.4140625" style="978" customWidth="1"/>
    <col min="9" max="9" width="26.4140625" style="978" hidden="1" customWidth="1"/>
    <col min="10" max="10" width="27.83203125" style="978" customWidth="1"/>
    <col min="11" max="11" width="21.25" style="978" hidden="1" customWidth="1"/>
    <col min="12" max="12" width="24.4140625" style="978" customWidth="1"/>
    <col min="13" max="13" width="23.4140625" style="978" hidden="1" customWidth="1"/>
    <col min="14" max="14" width="23.4140625" style="978" customWidth="1"/>
    <col min="15" max="15" width="29.83203125" style="977" customWidth="1"/>
    <col min="16" max="16384" width="8.6640625" style="978"/>
  </cols>
  <sheetData>
    <row r="1" spans="1:21" ht="25">
      <c r="A1" s="975" t="str">
        <f>IF(A3&gt;0,"Week "&amp;WEEKNUM(A3,1)," ")</f>
        <v>Week 37</v>
      </c>
      <c r="B1" s="976"/>
      <c r="C1" s="975" t="str">
        <f>IF(C3&gt;0,"Week "&amp;WEEKNUM(C3,1)," ")</f>
        <v>Week 37</v>
      </c>
      <c r="D1" s="976"/>
      <c r="E1" s="975" t="str">
        <f>IF(E3&gt;0,"Week "&amp;WEEKNUM(E3,1)," ")</f>
        <v>Week 38</v>
      </c>
      <c r="F1" s="976"/>
      <c r="G1" s="975" t="str">
        <f>IF(G3&gt;0,"Week "&amp;WEEKNUM(G3,1)," ")</f>
        <v>Week 38</v>
      </c>
      <c r="H1" s="976"/>
      <c r="I1" s="975" t="str">
        <f>IF(I3&gt;0,"Week "&amp;WEEKNUM(I3,1)," ")</f>
        <v>Week 38</v>
      </c>
      <c r="J1" s="976"/>
      <c r="K1" s="975" t="str">
        <f>IF(K3&gt;0,"Week "&amp;WEEKNUM(K3,1)," ")</f>
        <v>Week 38</v>
      </c>
      <c r="L1" s="976"/>
      <c r="M1" s="976"/>
      <c r="N1" s="976"/>
      <c r="O1" s="976"/>
    </row>
    <row r="2" spans="1:21">
      <c r="A2" s="979"/>
      <c r="B2" s="980"/>
      <c r="C2" s="979"/>
      <c r="D2" s="980"/>
      <c r="E2" s="979"/>
      <c r="F2" s="980"/>
      <c r="G2" s="979"/>
      <c r="H2" s="980"/>
      <c r="I2" s="979"/>
      <c r="J2" s="980"/>
      <c r="K2" s="979"/>
      <c r="L2" s="980"/>
      <c r="M2" s="979"/>
      <c r="N2" s="980"/>
    </row>
    <row r="3" spans="1:21" ht="25">
      <c r="A3" s="981">
        <v>46275</v>
      </c>
      <c r="B3" s="982" t="str">
        <f>TEXT(B4,"ddd")</f>
        <v>พฤ.</v>
      </c>
      <c r="C3" s="981">
        <v>46276</v>
      </c>
      <c r="D3" s="982" t="str">
        <f>TEXT(D4,"ddd")</f>
        <v>ศ.</v>
      </c>
      <c r="E3" s="981">
        <v>46279</v>
      </c>
      <c r="F3" s="982" t="str">
        <f>TEXT(F4,"ddd")</f>
        <v>จ.</v>
      </c>
      <c r="G3" s="981">
        <v>46280</v>
      </c>
      <c r="H3" s="982" t="str">
        <f>TEXT(H4,"ddd")</f>
        <v>อ.</v>
      </c>
      <c r="I3" s="981">
        <v>46280</v>
      </c>
      <c r="J3" s="982" t="str">
        <f>TEXT(J4,"ddd")</f>
        <v>อ.</v>
      </c>
      <c r="K3" s="981">
        <v>46281</v>
      </c>
      <c r="L3" s="982" t="str">
        <f>TEXT(L4,"ddd")</f>
        <v>พ.</v>
      </c>
      <c r="M3" s="981">
        <v>46282</v>
      </c>
      <c r="N3" s="982" t="str">
        <f>TEXT(N4,"ddd")</f>
        <v>พฤ.</v>
      </c>
      <c r="O3" s="983" t="s">
        <v>703</v>
      </c>
    </row>
    <row r="4" spans="1:21" ht="25">
      <c r="A4" s="984" t="s">
        <v>3221</v>
      </c>
      <c r="B4" s="985">
        <f>A3</f>
        <v>46275</v>
      </c>
      <c r="C4" s="984" t="s">
        <v>3221</v>
      </c>
      <c r="D4" s="985">
        <f>C3</f>
        <v>46276</v>
      </c>
      <c r="E4" s="984" t="s">
        <v>3221</v>
      </c>
      <c r="F4" s="985">
        <f>E3</f>
        <v>46279</v>
      </c>
      <c r="G4" s="984" t="s">
        <v>3221</v>
      </c>
      <c r="H4" s="985">
        <f>G3</f>
        <v>46280</v>
      </c>
      <c r="I4" s="984" t="s">
        <v>3221</v>
      </c>
      <c r="J4" s="985">
        <f>I3</f>
        <v>46280</v>
      </c>
      <c r="K4" s="984" t="s">
        <v>3221</v>
      </c>
      <c r="L4" s="985">
        <f>K3</f>
        <v>46281</v>
      </c>
      <c r="M4" s="984" t="s">
        <v>3221</v>
      </c>
      <c r="N4" s="985">
        <f>M3</f>
        <v>46282</v>
      </c>
      <c r="O4" s="986"/>
    </row>
    <row r="5" spans="1:21" ht="75">
      <c r="A5" s="987" t="s">
        <v>3222</v>
      </c>
      <c r="B5" s="988" t="s">
        <v>3223</v>
      </c>
      <c r="C5" s="987" t="s">
        <v>3222</v>
      </c>
      <c r="D5" s="988" t="s">
        <v>3224</v>
      </c>
      <c r="E5" s="987" t="s">
        <v>3222</v>
      </c>
      <c r="F5" s="988" t="s">
        <v>3223</v>
      </c>
      <c r="G5" s="987" t="s">
        <v>3222</v>
      </c>
      <c r="H5" s="988" t="s">
        <v>3225</v>
      </c>
      <c r="I5" s="987" t="s">
        <v>3222</v>
      </c>
      <c r="J5" s="988" t="s">
        <v>3225</v>
      </c>
      <c r="K5" s="987" t="s">
        <v>3222</v>
      </c>
      <c r="L5" s="988" t="s">
        <v>3225</v>
      </c>
      <c r="M5" s="987" t="s">
        <v>3222</v>
      </c>
      <c r="N5" s="988" t="s">
        <v>3225</v>
      </c>
      <c r="O5" s="986"/>
    </row>
    <row r="6" spans="1:21" ht="25">
      <c r="A6" s="989" t="s">
        <v>3226</v>
      </c>
      <c r="B6" s="990" t="s">
        <v>3227</v>
      </c>
      <c r="C6" s="989" t="s">
        <v>3226</v>
      </c>
      <c r="D6" s="990" t="s">
        <v>3228</v>
      </c>
      <c r="E6" s="989" t="s">
        <v>3226</v>
      </c>
      <c r="F6" s="990" t="s">
        <v>3227</v>
      </c>
      <c r="G6" s="989" t="s">
        <v>3226</v>
      </c>
      <c r="H6" s="990" t="s">
        <v>3227</v>
      </c>
      <c r="I6" s="989" t="s">
        <v>3226</v>
      </c>
      <c r="J6" s="990" t="s">
        <v>3227</v>
      </c>
      <c r="K6" s="989" t="s">
        <v>3226</v>
      </c>
      <c r="L6" s="990" t="s">
        <v>3227</v>
      </c>
      <c r="M6" s="989" t="s">
        <v>3226</v>
      </c>
      <c r="N6" s="990" t="s">
        <v>3227</v>
      </c>
      <c r="O6" s="986"/>
    </row>
    <row r="7" spans="1:21" ht="25">
      <c r="A7" s="991" t="s">
        <v>3229</v>
      </c>
      <c r="B7" s="992"/>
      <c r="C7" s="991" t="s">
        <v>3229</v>
      </c>
      <c r="D7" s="992"/>
      <c r="E7" s="991" t="s">
        <v>3229</v>
      </c>
      <c r="F7" s="992"/>
      <c r="G7" s="991" t="s">
        <v>3229</v>
      </c>
      <c r="H7" s="992"/>
      <c r="I7" s="991" t="s">
        <v>3229</v>
      </c>
      <c r="J7" s="992"/>
      <c r="K7" s="991" t="s">
        <v>3229</v>
      </c>
      <c r="L7" s="992"/>
      <c r="M7" s="991" t="s">
        <v>3229</v>
      </c>
      <c r="N7" s="992"/>
      <c r="O7" s="986"/>
    </row>
    <row r="8" spans="1:21">
      <c r="A8" s="989" t="s">
        <v>3230</v>
      </c>
      <c r="B8" s="993">
        <v>80</v>
      </c>
      <c r="C8" s="989" t="s">
        <v>3230</v>
      </c>
      <c r="D8" s="993">
        <v>80</v>
      </c>
      <c r="E8" s="989" t="s">
        <v>3230</v>
      </c>
      <c r="F8" s="993">
        <v>80</v>
      </c>
      <c r="G8" s="989" t="s">
        <v>3230</v>
      </c>
      <c r="H8" s="993">
        <v>80</v>
      </c>
      <c r="I8" s="989" t="s">
        <v>3230</v>
      </c>
      <c r="J8" s="993">
        <v>80</v>
      </c>
      <c r="K8" s="989" t="s">
        <v>3230</v>
      </c>
      <c r="L8" s="993">
        <v>80</v>
      </c>
      <c r="M8" s="989" t="s">
        <v>3230</v>
      </c>
      <c r="N8" s="993">
        <v>80</v>
      </c>
      <c r="O8" s="986"/>
    </row>
    <row r="9" spans="1:21">
      <c r="A9" s="989" t="s">
        <v>3231</v>
      </c>
      <c r="B9" s="994" t="s">
        <v>3232</v>
      </c>
      <c r="C9" s="989" t="s">
        <v>3231</v>
      </c>
      <c r="D9" s="994" t="s">
        <v>3232</v>
      </c>
      <c r="E9" s="989" t="s">
        <v>3231</v>
      </c>
      <c r="F9" s="994" t="s">
        <v>3232</v>
      </c>
      <c r="G9" s="989" t="s">
        <v>3231</v>
      </c>
      <c r="H9" s="994" t="s">
        <v>3232</v>
      </c>
      <c r="I9" s="989" t="s">
        <v>3231</v>
      </c>
      <c r="J9" s="994" t="s">
        <v>3232</v>
      </c>
      <c r="K9" s="989" t="s">
        <v>3231</v>
      </c>
      <c r="L9" s="994" t="s">
        <v>3232</v>
      </c>
      <c r="M9" s="989" t="s">
        <v>3231</v>
      </c>
      <c r="N9" s="994" t="s">
        <v>3232</v>
      </c>
      <c r="O9" s="986"/>
    </row>
    <row r="10" spans="1:21">
      <c r="A10" s="989" t="s">
        <v>3233</v>
      </c>
      <c r="B10" s="993">
        <v>6000</v>
      </c>
      <c r="C10" s="989" t="s">
        <v>3233</v>
      </c>
      <c r="D10" s="993">
        <v>5500</v>
      </c>
      <c r="E10" s="989" t="s">
        <v>3233</v>
      </c>
      <c r="F10" s="993">
        <v>6000</v>
      </c>
      <c r="G10" s="989" t="s">
        <v>3233</v>
      </c>
      <c r="H10" s="993">
        <v>5000</v>
      </c>
      <c r="I10" s="989" t="s">
        <v>3233</v>
      </c>
      <c r="J10" s="993">
        <v>5000</v>
      </c>
      <c r="K10" s="989" t="s">
        <v>3233</v>
      </c>
      <c r="L10" s="993">
        <v>5000</v>
      </c>
      <c r="M10" s="989" t="s">
        <v>3233</v>
      </c>
      <c r="N10" s="995">
        <v>5000</v>
      </c>
      <c r="O10" s="996"/>
      <c r="U10" s="978" t="s">
        <v>3268</v>
      </c>
    </row>
    <row r="11" spans="1:21">
      <c r="A11" s="997" t="s">
        <v>3234</v>
      </c>
      <c r="B11" s="998">
        <f>IFERROR($B$10*INDEX([2]Master!$B$3:$T$21,MATCH($A11,[2]Master!$A$3:$A$21,0),MATCH("S."&amp;B$8,[2]Master!$B$2:$T$2,0)),0)</f>
        <v>0</v>
      </c>
      <c r="C11" s="997" t="s">
        <v>3234</v>
      </c>
      <c r="D11" s="998">
        <f>IFERROR($D$10*INDEX([2]Master!$B$3:$T$21,MATCH($A11,[2]Master!$A$3:$A$21,0),MATCH("S."&amp;D$8,[2]Master!$B$2:$T$2,0)),0)</f>
        <v>0</v>
      </c>
      <c r="E11" s="997" t="s">
        <v>3234</v>
      </c>
      <c r="F11" s="998">
        <f>IFERROR($F$10*INDEX([2]Master!$B$3:$T$21,MATCH($A11,[2]Master!$A$3:$A$21,0),MATCH("S."&amp;F$8,[2]Master!$B$2:$T$2,0)),0)</f>
        <v>0</v>
      </c>
      <c r="G11" s="997" t="s">
        <v>3234</v>
      </c>
      <c r="H11" s="998">
        <f>IFERROR($H$10*INDEX([2]Master!$B$3:$T$21,MATCH($A11,[2]Master!$A$3:$A$21,0),MATCH("S."&amp;H$8,[2]Master!$B$2:$T$2,0)),0)</f>
        <v>0</v>
      </c>
      <c r="I11" s="997" t="s">
        <v>3234</v>
      </c>
      <c r="J11" s="998">
        <f>IFERROR($J$10*INDEX([2]Master!$B$3:$T$21,MATCH($A11,[2]Master!$A$3:$A$21,0),MATCH("S."&amp;J$8,[2]Master!$B$2:$T$2,0)),0)</f>
        <v>0</v>
      </c>
      <c r="K11" s="997" t="s">
        <v>3234</v>
      </c>
      <c r="L11" s="998">
        <f>IFERROR($J$10*INDEX([2]Master!$B$3:$T$21,MATCH($A11,[2]Master!$A$3:$A$21,0),MATCH("S."&amp;L$8,[2]Master!$B$2:$T$2,0)),0)</f>
        <v>0</v>
      </c>
      <c r="M11" s="997" t="s">
        <v>3234</v>
      </c>
      <c r="N11" s="999">
        <f>IFERROR($J$10*INDEX([2]Master!$B$3:$T$21,MATCH($A11,[2]Master!$A$3:$A$21,0),MATCH("S."&amp;N$8,[2]Master!$B$2:$T$2,0)),0)</f>
        <v>0</v>
      </c>
      <c r="O11" s="1000">
        <f>SUM(B11:N11)</f>
        <v>0</v>
      </c>
    </row>
    <row r="12" spans="1:21">
      <c r="A12" s="989" t="s">
        <v>3235</v>
      </c>
      <c r="B12" s="1001">
        <f>IFERROR($B$10*INDEX([2]Master!$B$3:$T$21,MATCH($A12,[2]Master!$A$3:$A$21,0),MATCH("S."&amp;B$8,[2]Master!$B$2:$T$2,0)),0)</f>
        <v>213.788302085509</v>
      </c>
      <c r="C12" s="1002" t="s">
        <v>3235</v>
      </c>
      <c r="D12" s="1001">
        <f>IFERROR($D$10*INDEX([2]Master!$B$3:$T$21,MATCH($A12,[2]Master!$A$3:$A$21,0),MATCH("S."&amp;D$8,[2]Master!$B$2:$T$2,0)),0)</f>
        <v>195.97261024504991</v>
      </c>
      <c r="E12" s="1002" t="s">
        <v>3235</v>
      </c>
      <c r="F12" s="1001">
        <f>IFERROR($F$10*INDEX([2]Master!$B$3:$T$21,MATCH($A12,[2]Master!$A$3:$A$21,0),MATCH("S."&amp;F$8,[2]Master!$B$2:$T$2,0)),0)</f>
        <v>213.788302085509</v>
      </c>
      <c r="G12" s="1002" t="s">
        <v>3235</v>
      </c>
      <c r="H12" s="1001">
        <f>IFERROR($H$10*INDEX([2]Master!$B$3:$T$21,MATCH($A12,[2]Master!$A$3:$A$21,0),MATCH("S."&amp;H$8,[2]Master!$B$2:$T$2,0)),0)</f>
        <v>178.15691840459081</v>
      </c>
      <c r="I12" s="1002" t="s">
        <v>3235</v>
      </c>
      <c r="J12" s="1001">
        <f>IFERROR($J$10*INDEX([2]Master!$B$3:$T$21,MATCH($A12,[2]Master!$A$3:$A$21,0),MATCH("S."&amp;J$8,[2]Master!$B$2:$T$2,0)),0)</f>
        <v>178.15691840459081</v>
      </c>
      <c r="K12" s="1002" t="s">
        <v>3235</v>
      </c>
      <c r="L12" s="1001">
        <f>IFERROR($J$10*INDEX([2]Master!$B$3:$T$21,MATCH($A12,[2]Master!$A$3:$A$21,0),MATCH("S."&amp;L$8,[2]Master!$B$2:$T$2,0)),0)</f>
        <v>178.15691840459081</v>
      </c>
      <c r="M12" s="1002" t="s">
        <v>3235</v>
      </c>
      <c r="N12" s="1003">
        <f>IFERROR($J$10*INDEX([2]Master!$B$3:$T$21,MATCH($A12,[2]Master!$A$3:$A$21,0),MATCH("S."&amp;N$8,[2]Master!$B$2:$T$2,0)),0)</f>
        <v>178.15691840459081</v>
      </c>
      <c r="O12" s="1004">
        <f t="shared" ref="O12:O26" si="0">SUM(B12:N12)</f>
        <v>1336.1768880344312</v>
      </c>
      <c r="U12" s="978" t="s">
        <v>40</v>
      </c>
    </row>
    <row r="13" spans="1:21">
      <c r="A13" s="1005" t="s">
        <v>3236</v>
      </c>
      <c r="B13" s="1001">
        <f>IFERROR($B$10*INDEX([2]Master!$B$3:$T$21,MATCH($A13,[2]Master!$A$3:$A$21,0),MATCH("S."&amp;B$8,[2]Master!$B$2:$T$2,0)),0)</f>
        <v>242.3737781110006</v>
      </c>
      <c r="C13" s="1002" t="s">
        <v>3236</v>
      </c>
      <c r="D13" s="1001">
        <f>IFERROR($D$10*INDEX([2]Master!$B$3:$T$21,MATCH($A13,[2]Master!$A$3:$A$21,0),MATCH("S."&amp;D$8,[2]Master!$B$2:$T$2,0)),0)</f>
        <v>222.17596326841721</v>
      </c>
      <c r="E13" s="1002" t="s">
        <v>3236</v>
      </c>
      <c r="F13" s="1001">
        <f>IFERROR($F$10*INDEX([2]Master!$B$3:$T$21,MATCH($A13,[2]Master!$A$3:$A$21,0),MATCH("S."&amp;F$8,[2]Master!$B$2:$T$2,0)),0)</f>
        <v>242.3737781110006</v>
      </c>
      <c r="G13" s="1002" t="s">
        <v>3236</v>
      </c>
      <c r="H13" s="1001">
        <f>IFERROR($H$10*INDEX([2]Master!$B$3:$T$21,MATCH($A13,[2]Master!$A$3:$A$21,0),MATCH("S."&amp;H$8,[2]Master!$B$2:$T$2,0)),0)</f>
        <v>201.97814842583384</v>
      </c>
      <c r="I13" s="1002" t="s">
        <v>3236</v>
      </c>
      <c r="J13" s="1001">
        <f>IFERROR($J$10*INDEX([2]Master!$B$3:$T$21,MATCH($A13,[2]Master!$A$3:$A$21,0),MATCH("S."&amp;J$8,[2]Master!$B$2:$T$2,0)),0)</f>
        <v>201.97814842583384</v>
      </c>
      <c r="K13" s="1002" t="s">
        <v>3236</v>
      </c>
      <c r="L13" s="1001">
        <f>IFERROR($J$10*INDEX([2]Master!$B$3:$T$21,MATCH($A13,[2]Master!$A$3:$A$21,0),MATCH("S."&amp;L$8,[2]Master!$B$2:$T$2,0)),0)</f>
        <v>201.97814842583384</v>
      </c>
      <c r="M13" s="1002" t="s">
        <v>3236</v>
      </c>
      <c r="N13" s="1003">
        <f>IFERROR($J$10*INDEX([2]Master!$B$3:$T$21,MATCH($A13,[2]Master!$A$3:$A$21,0),MATCH("S."&amp;N$8,[2]Master!$B$2:$T$2,0)),0)</f>
        <v>201.97814842583384</v>
      </c>
      <c r="O13" s="1004">
        <f t="shared" si="0"/>
        <v>1514.8361131937536</v>
      </c>
      <c r="U13" s="978" t="s">
        <v>40</v>
      </c>
    </row>
    <row r="14" spans="1:21">
      <c r="A14" s="1006" t="s">
        <v>3237</v>
      </c>
      <c r="B14" s="998">
        <f>IFERROR($B$10*INDEX([2]Master!$B$3:$T$21,MATCH($A14,[2]Master!$A$3:$A$21,0),MATCH("S."&amp;B$8,[2]Master!$B$2:$T$2,0)),0)</f>
        <v>51.290887524115043</v>
      </c>
      <c r="C14" s="1006" t="s">
        <v>3237</v>
      </c>
      <c r="D14" s="998">
        <f>IFERROR($D$10*INDEX([2]Master!$B$3:$T$21,MATCH($A14,[2]Master!$A$3:$A$21,0),MATCH("S."&amp;D$8,[2]Master!$B$2:$T$2,0)),0)</f>
        <v>47.01664689710546</v>
      </c>
      <c r="E14" s="1006" t="s">
        <v>3237</v>
      </c>
      <c r="F14" s="998">
        <f>IFERROR($F$10*INDEX([2]Master!$B$3:$T$21,MATCH($A14,[2]Master!$A$3:$A$21,0),MATCH("S."&amp;F$8,[2]Master!$B$2:$T$2,0)),0)</f>
        <v>51.290887524115043</v>
      </c>
      <c r="G14" s="1006" t="s">
        <v>3237</v>
      </c>
      <c r="H14" s="998">
        <f>IFERROR($H$10*INDEX([2]Master!$B$3:$T$21,MATCH($A14,[2]Master!$A$3:$A$21,0),MATCH("S."&amp;H$8,[2]Master!$B$2:$T$2,0)),0)</f>
        <v>42.74240627009587</v>
      </c>
      <c r="I14" s="1006" t="s">
        <v>3237</v>
      </c>
      <c r="J14" s="998">
        <f>IFERROR($J$10*INDEX([2]Master!$B$3:$T$21,MATCH($A14,[2]Master!$A$3:$A$21,0),MATCH("S."&amp;J$8,[2]Master!$B$2:$T$2,0)),0)</f>
        <v>42.74240627009587</v>
      </c>
      <c r="K14" s="1006" t="s">
        <v>3237</v>
      </c>
      <c r="L14" s="998">
        <f>IFERROR($J$10*INDEX([2]Master!$B$3:$T$21,MATCH($A14,[2]Master!$A$3:$A$21,0),MATCH("S."&amp;L$8,[2]Master!$B$2:$T$2,0)),0)</f>
        <v>42.74240627009587</v>
      </c>
      <c r="M14" s="1006" t="s">
        <v>3237</v>
      </c>
      <c r="N14" s="999">
        <f>IFERROR($J$10*INDEX([2]Master!$B$3:$T$21,MATCH($A14,[2]Master!$A$3:$A$21,0),MATCH("S."&amp;N$8,[2]Master!$B$2:$T$2,0)),0)</f>
        <v>42.74240627009587</v>
      </c>
      <c r="O14" s="1000">
        <f t="shared" si="0"/>
        <v>320.56804702571901</v>
      </c>
      <c r="U14" s="978" t="s">
        <v>40</v>
      </c>
    </row>
    <row r="15" spans="1:21">
      <c r="A15" s="1005" t="s">
        <v>3238</v>
      </c>
      <c r="B15" s="998">
        <f>IFERROR($B$10*INDEX([2]Master!$B$3:$T$21,MATCH($A15,[2]Master!$A$3:$A$21,0),MATCH("S."&amp;B$8,[2]Master!$B$2:$T$2,0)),0)</f>
        <v>2165.6460403118517</v>
      </c>
      <c r="C15" s="1005" t="s">
        <v>3238</v>
      </c>
      <c r="D15" s="998">
        <f>IFERROR($D$10*INDEX([2]Master!$B$3:$T$21,MATCH($A15,[2]Master!$A$3:$A$21,0),MATCH("S."&amp;D$8,[2]Master!$B$2:$T$2,0)),0)</f>
        <v>1985.1755369525306</v>
      </c>
      <c r="E15" s="1005" t="s">
        <v>3238</v>
      </c>
      <c r="F15" s="998">
        <f>IFERROR($F$10*INDEX([2]Master!$B$3:$T$21,MATCH($A15,[2]Master!$A$3:$A$21,0),MATCH("S."&amp;F$8,[2]Master!$B$2:$T$2,0)),0)</f>
        <v>2165.6460403118517</v>
      </c>
      <c r="G15" s="1005" t="s">
        <v>3238</v>
      </c>
      <c r="H15" s="998">
        <f>IFERROR($H$10*INDEX([2]Master!$B$3:$T$21,MATCH($A15,[2]Master!$A$3:$A$21,0),MATCH("S."&amp;H$8,[2]Master!$B$2:$T$2,0)),0)</f>
        <v>1804.7050335932097</v>
      </c>
      <c r="I15" s="1005" t="s">
        <v>3238</v>
      </c>
      <c r="J15" s="998">
        <f>IFERROR($J$10*INDEX([2]Master!$B$3:$T$21,MATCH($A15,[2]Master!$A$3:$A$21,0),MATCH("S."&amp;J$8,[2]Master!$B$2:$T$2,0)),0)</f>
        <v>1804.7050335932097</v>
      </c>
      <c r="K15" s="1005" t="s">
        <v>3238</v>
      </c>
      <c r="L15" s="998">
        <f>IFERROR($J$10*INDEX([2]Master!$B$3:$T$21,MATCH($A15,[2]Master!$A$3:$A$21,0),MATCH("S."&amp;L$8,[2]Master!$B$2:$T$2,0)),0)</f>
        <v>1804.7050335932097</v>
      </c>
      <c r="M15" s="1005" t="s">
        <v>3238</v>
      </c>
      <c r="N15" s="999">
        <f>IFERROR($J$10*INDEX([2]Master!$B$3:$T$21,MATCH($A15,[2]Master!$A$3:$A$21,0),MATCH("S."&amp;N$8,[2]Master!$B$2:$T$2,0)),0)</f>
        <v>1804.7050335932097</v>
      </c>
      <c r="O15" s="1000">
        <f t="shared" si="0"/>
        <v>13535.287751949072</v>
      </c>
      <c r="U15" s="978" t="s">
        <v>40</v>
      </c>
    </row>
    <row r="16" spans="1:21">
      <c r="A16" s="1007" t="s">
        <v>3239</v>
      </c>
      <c r="B16" s="998">
        <f>IFERROR($B$10*INDEX([2]Master!$B$3:$T$21,MATCH($A16,[2]Master!$A$3:$A$21,0),MATCH("S."&amp;B$8,[2]Master!$B$2:$T$2,0)),0)</f>
        <v>191.42769538575294</v>
      </c>
      <c r="C16" s="1007" t="s">
        <v>3239</v>
      </c>
      <c r="D16" s="998">
        <f>IFERROR($D$10*INDEX([2]Master!$B$3:$T$21,MATCH($A16,[2]Master!$A$3:$A$21,0),MATCH("S."&amp;D$8,[2]Master!$B$2:$T$2,0)),0)</f>
        <v>175.4753874369402</v>
      </c>
      <c r="E16" s="1007" t="s">
        <v>3239</v>
      </c>
      <c r="F16" s="998">
        <f>IFERROR($F$10*INDEX([2]Master!$B$3:$T$21,MATCH($A16,[2]Master!$A$3:$A$21,0),MATCH("S."&amp;F$8,[2]Master!$B$2:$T$2,0)),0)</f>
        <v>191.42769538575294</v>
      </c>
      <c r="G16" s="1007" t="s">
        <v>3239</v>
      </c>
      <c r="H16" s="998">
        <f>IFERROR($H$10*INDEX([2]Master!$B$3:$T$21,MATCH($A16,[2]Master!$A$3:$A$21,0),MATCH("S."&amp;H$8,[2]Master!$B$2:$T$2,0)),0)</f>
        <v>159.52307948812745</v>
      </c>
      <c r="I16" s="1007" t="s">
        <v>3239</v>
      </c>
      <c r="J16" s="998">
        <f>IFERROR($J$10*INDEX([2]Master!$B$3:$T$21,MATCH($A16,[2]Master!$A$3:$A$21,0),MATCH("S."&amp;J$8,[2]Master!$B$2:$T$2,0)),0)</f>
        <v>159.52307948812745</v>
      </c>
      <c r="K16" s="1007" t="s">
        <v>3239</v>
      </c>
      <c r="L16" s="998">
        <f>IFERROR($J$10*INDEX([2]Master!$B$3:$T$21,MATCH($A16,[2]Master!$A$3:$A$21,0),MATCH("S."&amp;L$8,[2]Master!$B$2:$T$2,0)),0)</f>
        <v>159.52307948812745</v>
      </c>
      <c r="M16" s="1007" t="s">
        <v>3239</v>
      </c>
      <c r="N16" s="999">
        <f>IFERROR($J$10*INDEX([2]Master!$B$3:$T$21,MATCH($A16,[2]Master!$A$3:$A$21,0),MATCH("S."&amp;N$8,[2]Master!$B$2:$T$2,0)),0)</f>
        <v>159.52307948812745</v>
      </c>
      <c r="O16" s="1000">
        <f t="shared" si="0"/>
        <v>1196.4230961609558</v>
      </c>
      <c r="U16" s="978" t="s">
        <v>40</v>
      </c>
    </row>
    <row r="17" spans="1:21">
      <c r="A17" s="1008" t="s">
        <v>3240</v>
      </c>
      <c r="B17" s="998">
        <f>IFERROR($B$10*INDEX([2]Master!$B$3:$T$21,MATCH($A17,[2]Master!$A$3:$A$21,0),MATCH("S."&amp;B$8,[2]Master!$B$2:$T$2,0)),0)</f>
        <v>1635.8884794598607</v>
      </c>
      <c r="C17" s="1008" t="s">
        <v>3240</v>
      </c>
      <c r="D17" s="998">
        <f>IFERROR($D$10*INDEX([2]Master!$B$3:$T$21,MATCH($A17,[2]Master!$A$3:$A$21,0),MATCH("S."&amp;D$8,[2]Master!$B$2:$T$2,0)),0)</f>
        <v>1499.5644395048723</v>
      </c>
      <c r="E17" s="1008" t="s">
        <v>3240</v>
      </c>
      <c r="F17" s="998">
        <f>IFERROR($F$10*INDEX([2]Master!$B$3:$T$21,MATCH($A17,[2]Master!$A$3:$A$21,0),MATCH("S."&amp;F$8,[2]Master!$B$2:$T$2,0)),0)</f>
        <v>1635.8884794598607</v>
      </c>
      <c r="G17" s="1008" t="s">
        <v>3240</v>
      </c>
      <c r="H17" s="998">
        <f>IFERROR($H$10*INDEX([2]Master!$B$3:$T$21,MATCH($A17,[2]Master!$A$3:$A$21,0),MATCH("S."&amp;H$8,[2]Master!$B$2:$T$2,0)),0)</f>
        <v>1363.2403995498839</v>
      </c>
      <c r="I17" s="1008" t="s">
        <v>3240</v>
      </c>
      <c r="J17" s="998">
        <f>IFERROR($J$10*INDEX([2]Master!$B$3:$T$21,MATCH($A17,[2]Master!$A$3:$A$21,0),MATCH("S."&amp;J$8,[2]Master!$B$2:$T$2,0)),0)</f>
        <v>1363.2403995498839</v>
      </c>
      <c r="K17" s="1008" t="s">
        <v>3240</v>
      </c>
      <c r="L17" s="998">
        <f>IFERROR($J$10*INDEX([2]Master!$B$3:$T$21,MATCH($A17,[2]Master!$A$3:$A$21,0),MATCH("S."&amp;L$8,[2]Master!$B$2:$T$2,0)),0)</f>
        <v>1363.2403995498839</v>
      </c>
      <c r="M17" s="1008" t="s">
        <v>3240</v>
      </c>
      <c r="N17" s="999">
        <f>IFERROR($J$10*INDEX([2]Master!$B$3:$T$21,MATCH($A17,[2]Master!$A$3:$A$21,0),MATCH("S."&amp;N$8,[2]Master!$B$2:$T$2,0)),0)</f>
        <v>1363.2403995498839</v>
      </c>
      <c r="O17" s="1000">
        <f t="shared" si="0"/>
        <v>10224.30299662413</v>
      </c>
      <c r="U17" s="978" t="s">
        <v>3266</v>
      </c>
    </row>
    <row r="18" spans="1:21">
      <c r="A18" s="1005" t="s">
        <v>3241</v>
      </c>
      <c r="B18" s="998">
        <f>IFERROR($B$10*INDEX([2]Master!$B$3:$T$21,MATCH($A18,[2]Master!$A$3:$A$21,0),MATCH("S."&amp;B$8,[2]Master!$B$2:$T$2,0)),0)</f>
        <v>200.00608406559419</v>
      </c>
      <c r="C18" s="1005" t="s">
        <v>3241</v>
      </c>
      <c r="D18" s="998">
        <f>IFERROR($D$10*INDEX([2]Master!$B$3:$T$21,MATCH($A18,[2]Master!$A$3:$A$21,0),MATCH("S."&amp;D$8,[2]Master!$B$2:$T$2,0)),0)</f>
        <v>183.33891039346136</v>
      </c>
      <c r="E18" s="1005" t="s">
        <v>3241</v>
      </c>
      <c r="F18" s="998">
        <f>IFERROR($F$10*INDEX([2]Master!$B$3:$T$21,MATCH($A18,[2]Master!$A$3:$A$21,0),MATCH("S."&amp;F$8,[2]Master!$B$2:$T$2,0)),0)</f>
        <v>200.00608406559419</v>
      </c>
      <c r="G18" s="1005" t="s">
        <v>3241</v>
      </c>
      <c r="H18" s="998">
        <f>IFERROR($H$10*INDEX([2]Master!$B$3:$T$21,MATCH($A18,[2]Master!$A$3:$A$21,0),MATCH("S."&amp;H$8,[2]Master!$B$2:$T$2,0)),0)</f>
        <v>166.6717367213285</v>
      </c>
      <c r="I18" s="1005" t="s">
        <v>3241</v>
      </c>
      <c r="J18" s="998">
        <f>IFERROR($J$10*INDEX([2]Master!$B$3:$T$21,MATCH($A18,[2]Master!$A$3:$A$21,0),MATCH("S."&amp;J$8,[2]Master!$B$2:$T$2,0)),0)</f>
        <v>166.6717367213285</v>
      </c>
      <c r="K18" s="1005" t="s">
        <v>3241</v>
      </c>
      <c r="L18" s="998">
        <f>IFERROR($J$10*INDEX([2]Master!$B$3:$T$21,MATCH($A18,[2]Master!$A$3:$A$21,0),MATCH("S."&amp;L$8,[2]Master!$B$2:$T$2,0)),0)</f>
        <v>166.6717367213285</v>
      </c>
      <c r="M18" s="1005" t="s">
        <v>3241</v>
      </c>
      <c r="N18" s="999">
        <f>IFERROR($J$10*INDEX([2]Master!$B$3:$T$21,MATCH($A18,[2]Master!$A$3:$A$21,0),MATCH("S."&amp;N$8,[2]Master!$B$2:$T$2,0)),0)</f>
        <v>166.6717367213285</v>
      </c>
      <c r="O18" s="1000">
        <f t="shared" si="0"/>
        <v>1250.0380254099637</v>
      </c>
      <c r="U18" s="978" t="s">
        <v>3266</v>
      </c>
    </row>
    <row r="19" spans="1:21">
      <c r="A19" s="1005" t="s">
        <v>3242</v>
      </c>
      <c r="B19" s="998">
        <f>IFERROR($B$10*INDEX([2]Master!$B$3:$T$21,MATCH($A19,[2]Master!$A$3:$A$21,0),MATCH("S."&amp;B$8,[2]Master!$B$2:$T$2,0)),0)</f>
        <v>9.1759492415522015</v>
      </c>
      <c r="C19" s="1005" t="s">
        <v>3242</v>
      </c>
      <c r="D19" s="998">
        <f>IFERROR($D$10*INDEX([2]Master!$B$3:$T$21,MATCH($A19,[2]Master!$A$3:$A$21,0),MATCH("S."&amp;D$8,[2]Master!$B$2:$T$2,0)),0)</f>
        <v>8.4112868047561857</v>
      </c>
      <c r="E19" s="1005" t="s">
        <v>3242</v>
      </c>
      <c r="F19" s="998">
        <f>IFERROR($F$10*INDEX([2]Master!$B$3:$T$21,MATCH($A19,[2]Master!$A$3:$A$21,0),MATCH("S."&amp;F$8,[2]Master!$B$2:$T$2,0)),0)</f>
        <v>9.1759492415522015</v>
      </c>
      <c r="G19" s="1005" t="s">
        <v>3242</v>
      </c>
      <c r="H19" s="998">
        <f>IFERROR($H$10*INDEX([2]Master!$B$3:$T$21,MATCH($A19,[2]Master!$A$3:$A$21,0),MATCH("S."&amp;H$8,[2]Master!$B$2:$T$2,0)),0)</f>
        <v>7.6466243679601682</v>
      </c>
      <c r="I19" s="1005" t="s">
        <v>3242</v>
      </c>
      <c r="J19" s="998">
        <f>IFERROR($J$10*INDEX([2]Master!$B$3:$T$21,MATCH($A19,[2]Master!$A$3:$A$21,0),MATCH("S."&amp;J$8,[2]Master!$B$2:$T$2,0)),0)</f>
        <v>7.6466243679601682</v>
      </c>
      <c r="K19" s="1005" t="s">
        <v>3242</v>
      </c>
      <c r="L19" s="998">
        <f>IFERROR($J$10*INDEX([2]Master!$B$3:$T$21,MATCH($A19,[2]Master!$A$3:$A$21,0),MATCH("S."&amp;L$8,[2]Master!$B$2:$T$2,0)),0)</f>
        <v>7.6466243679601682</v>
      </c>
      <c r="M19" s="1005" t="s">
        <v>3242</v>
      </c>
      <c r="N19" s="999">
        <f>IFERROR($J$10*INDEX([2]Master!$B$3:$T$21,MATCH($A19,[2]Master!$A$3:$A$21,0),MATCH("S."&amp;N$8,[2]Master!$B$2:$T$2,0)),0)</f>
        <v>7.6466243679601682</v>
      </c>
      <c r="O19" s="1000">
        <f t="shared" si="0"/>
        <v>57.349682759701267</v>
      </c>
      <c r="U19" s="978" t="s">
        <v>3266</v>
      </c>
    </row>
    <row r="20" spans="1:21">
      <c r="A20" s="1007" t="s">
        <v>3243</v>
      </c>
      <c r="B20" s="998">
        <f>IFERROR($B$10*INDEX([2]Master!$B$3:$T$21,MATCH($A20,[2]Master!$A$3:$A$21,0),MATCH("S."&amp;B$8,[2]Master!$B$2:$T$2,0)),0)</f>
        <v>792.0942632088146</v>
      </c>
      <c r="C20" s="1007" t="s">
        <v>3243</v>
      </c>
      <c r="D20" s="998">
        <f>IFERROR($D$10*INDEX([2]Master!$B$3:$T$21,MATCH($A20,[2]Master!$A$3:$A$21,0),MATCH("S."&amp;D$8,[2]Master!$B$2:$T$2,0)),0)</f>
        <v>726.08640794141343</v>
      </c>
      <c r="E20" s="1007" t="s">
        <v>3243</v>
      </c>
      <c r="F20" s="998">
        <f>IFERROR($F$10*INDEX([2]Master!$B$3:$T$21,MATCH($A20,[2]Master!$A$3:$A$21,0),MATCH("S."&amp;F$8,[2]Master!$B$2:$T$2,0)),0)</f>
        <v>792.0942632088146</v>
      </c>
      <c r="G20" s="1007" t="s">
        <v>3243</v>
      </c>
      <c r="H20" s="998">
        <f>IFERROR($H$10*INDEX([2]Master!$B$3:$T$21,MATCH($A20,[2]Master!$A$3:$A$21,0),MATCH("S."&amp;H$8,[2]Master!$B$2:$T$2,0)),0)</f>
        <v>660.07855267401214</v>
      </c>
      <c r="I20" s="1007" t="s">
        <v>3243</v>
      </c>
      <c r="J20" s="998">
        <f>IFERROR($J$10*INDEX([2]Master!$B$3:$T$21,MATCH($A20,[2]Master!$A$3:$A$21,0),MATCH("S."&amp;J$8,[2]Master!$B$2:$T$2,0)),0)</f>
        <v>660.07855267401214</v>
      </c>
      <c r="K20" s="1007" t="s">
        <v>3243</v>
      </c>
      <c r="L20" s="998">
        <f>IFERROR($J$10*INDEX([2]Master!$B$3:$T$21,MATCH($A20,[2]Master!$A$3:$A$21,0),MATCH("S."&amp;L$8,[2]Master!$B$2:$T$2,0)),0)</f>
        <v>660.07855267401214</v>
      </c>
      <c r="M20" s="1007" t="s">
        <v>3243</v>
      </c>
      <c r="N20" s="999">
        <f>IFERROR($J$10*INDEX([2]Master!$B$3:$T$21,MATCH($A20,[2]Master!$A$3:$A$21,0),MATCH("S."&amp;N$8,[2]Master!$B$2:$T$2,0)),0)</f>
        <v>660.07855267401214</v>
      </c>
      <c r="O20" s="1000">
        <f t="shared" si="0"/>
        <v>4950.5891450550907</v>
      </c>
      <c r="U20" s="978" t="s">
        <v>3266</v>
      </c>
    </row>
    <row r="21" spans="1:21">
      <c r="A21" s="1007" t="s">
        <v>3244</v>
      </c>
      <c r="B21" s="998">
        <f>IFERROR($B$10*INDEX([2]Master!$B$3:$T$21,MATCH($A21,[2]Master!$A$3:$A$21,0),MATCH("S."&amp;B$8,[2]Master!$B$2:$T$2,0)),0)</f>
        <v>0</v>
      </c>
      <c r="C21" s="1007" t="s">
        <v>3244</v>
      </c>
      <c r="D21" s="998">
        <f>IFERROR($D$10*INDEX([2]Master!$B$3:$T$21,MATCH($A21,[2]Master!$A$3:$A$21,0),MATCH("S."&amp;D$8,[2]Master!$B$2:$T$2,0)),0)</f>
        <v>0</v>
      </c>
      <c r="E21" s="1007" t="s">
        <v>3244</v>
      </c>
      <c r="F21" s="998">
        <f>IFERROR($F$10*INDEX([2]Master!$B$3:$T$21,MATCH($A21,[2]Master!$A$3:$A$21,0),MATCH("S."&amp;F$8,[2]Master!$B$2:$T$2,0)),0)</f>
        <v>0</v>
      </c>
      <c r="G21" s="1007" t="s">
        <v>3244</v>
      </c>
      <c r="H21" s="998">
        <f>IFERROR($H$10*INDEX([2]Master!$B$3:$T$21,MATCH($A21,[2]Master!$A$3:$A$21,0),MATCH("S."&amp;H$8,[2]Master!$B$2:$T$2,0)),0)</f>
        <v>0</v>
      </c>
      <c r="I21" s="1007" t="s">
        <v>3244</v>
      </c>
      <c r="J21" s="998">
        <f>IFERROR($J$10*INDEX([2]Master!$B$3:$T$21,MATCH($A21,[2]Master!$A$3:$A$21,0),MATCH("S."&amp;J$8,[2]Master!$B$2:$T$2,0)),0)</f>
        <v>0</v>
      </c>
      <c r="K21" s="1007" t="s">
        <v>3244</v>
      </c>
      <c r="L21" s="998">
        <f>IFERROR($J$10*INDEX([2]Master!$B$3:$T$21,MATCH($A21,[2]Master!$A$3:$A$21,0),MATCH("S."&amp;L$8,[2]Master!$B$2:$T$2,0)),0)</f>
        <v>0</v>
      </c>
      <c r="M21" s="1007" t="s">
        <v>3244</v>
      </c>
      <c r="N21" s="999">
        <f>IFERROR($J$10*INDEX([2]Master!$B$3:$T$21,MATCH($A21,[2]Master!$A$3:$A$21,0),MATCH("S."&amp;N$8,[2]Master!$B$2:$T$2,0)),0)</f>
        <v>0</v>
      </c>
      <c r="O21" s="1000">
        <f t="shared" si="0"/>
        <v>0</v>
      </c>
      <c r="U21" s="978" t="s">
        <v>3266</v>
      </c>
    </row>
    <row r="22" spans="1:21">
      <c r="A22" s="1005" t="s">
        <v>3245</v>
      </c>
      <c r="B22" s="998">
        <f>IFERROR($B$10*INDEX([2]Master!$B$3:$T$21,MATCH($A22,[2]Master!$A$3:$A$21,0),MATCH("S."&amp;B$8,[2]Master!$B$2:$T$2,0)),0)</f>
        <v>364.80490158303843</v>
      </c>
      <c r="C22" s="1005" t="s">
        <v>3245</v>
      </c>
      <c r="D22" s="998">
        <f>IFERROR($D$10*INDEX([2]Master!$B$3:$T$21,MATCH($A22,[2]Master!$A$3:$A$21,0),MATCH("S."&amp;D$8,[2]Master!$B$2:$T$2,0)),0)</f>
        <v>334.40449311778525</v>
      </c>
      <c r="E22" s="1005" t="s">
        <v>3245</v>
      </c>
      <c r="F22" s="998">
        <f>IFERROR($F$10*INDEX([2]Master!$B$3:$T$21,MATCH($A22,[2]Master!$A$3:$A$21,0),MATCH("S."&amp;F$8,[2]Master!$B$2:$T$2,0)),0)</f>
        <v>364.80490158303843</v>
      </c>
      <c r="G22" s="1005" t="s">
        <v>3245</v>
      </c>
      <c r="H22" s="998">
        <f>IFERROR($H$10*INDEX([2]Master!$B$3:$T$21,MATCH($A22,[2]Master!$A$3:$A$21,0),MATCH("S."&amp;H$8,[2]Master!$B$2:$T$2,0)),0)</f>
        <v>304.00408465253201</v>
      </c>
      <c r="I22" s="1005" t="s">
        <v>3245</v>
      </c>
      <c r="J22" s="998">
        <f>IFERROR($J$10*INDEX([2]Master!$B$3:$T$21,MATCH($A22,[2]Master!$A$3:$A$21,0),MATCH("S."&amp;J$8,[2]Master!$B$2:$T$2,0)),0)</f>
        <v>304.00408465253201</v>
      </c>
      <c r="K22" s="1005" t="s">
        <v>3245</v>
      </c>
      <c r="L22" s="998">
        <f>IFERROR($J$10*INDEX([2]Master!$B$3:$T$21,MATCH($A22,[2]Master!$A$3:$A$21,0),MATCH("S."&amp;L$8,[2]Master!$B$2:$T$2,0)),0)</f>
        <v>304.00408465253201</v>
      </c>
      <c r="M22" s="1005" t="s">
        <v>3245</v>
      </c>
      <c r="N22" s="999">
        <f>IFERROR($J$10*INDEX([2]Master!$B$3:$T$21,MATCH($A22,[2]Master!$A$3:$A$21,0),MATCH("S."&amp;N$8,[2]Master!$B$2:$T$2,0)),0)</f>
        <v>304.00408465253201</v>
      </c>
      <c r="O22" s="1000">
        <f t="shared" si="0"/>
        <v>2280.0306348939903</v>
      </c>
      <c r="U22" s="978" t="s">
        <v>3267</v>
      </c>
    </row>
    <row r="23" spans="1:21">
      <c r="A23" s="1005" t="s">
        <v>3246</v>
      </c>
      <c r="B23" s="998">
        <f>IFERROR($B$10*INDEX([2]Master!$B$3:$T$21,MATCH($A23,[2]Master!$A$3:$A$21,0),MATCH("S."&amp;B$8,[2]Master!$B$2:$T$2,0)),0)</f>
        <v>3.0985484194744357</v>
      </c>
      <c r="C23" s="1005" t="s">
        <v>3246</v>
      </c>
      <c r="D23" s="998">
        <f>IFERROR($D$10*INDEX([2]Master!$B$3:$T$21,MATCH($A23,[2]Master!$A$3:$A$21,0),MATCH("S."&amp;D$8,[2]Master!$B$2:$T$2,0)),0)</f>
        <v>2.8403360511848992</v>
      </c>
      <c r="E23" s="1005" t="s">
        <v>3246</v>
      </c>
      <c r="F23" s="998">
        <f>IFERROR($F$10*INDEX([2]Master!$B$3:$T$21,MATCH($A23,[2]Master!$A$3:$A$21,0),MATCH("S."&amp;F$8,[2]Master!$B$2:$T$2,0)),0)</f>
        <v>3.0985484194744357</v>
      </c>
      <c r="G23" s="1005" t="s">
        <v>3246</v>
      </c>
      <c r="H23" s="998">
        <f>IFERROR($H$10*INDEX([2]Master!$B$3:$T$21,MATCH($A23,[2]Master!$A$3:$A$21,0),MATCH("S."&amp;H$8,[2]Master!$B$2:$T$2,0)),0)</f>
        <v>2.5821236828953631</v>
      </c>
      <c r="I23" s="1005" t="s">
        <v>3246</v>
      </c>
      <c r="J23" s="998">
        <f>IFERROR($J$10*INDEX([2]Master!$B$3:$T$21,MATCH($A23,[2]Master!$A$3:$A$21,0),MATCH("S."&amp;J$8,[2]Master!$B$2:$T$2,0)),0)</f>
        <v>2.5821236828953631</v>
      </c>
      <c r="K23" s="1005" t="s">
        <v>3246</v>
      </c>
      <c r="L23" s="998">
        <f>IFERROR($J$10*INDEX([2]Master!$B$3:$T$21,MATCH($A23,[2]Master!$A$3:$A$21,0),MATCH("S."&amp;L$8,[2]Master!$B$2:$T$2,0)),0)</f>
        <v>2.5821236828953631</v>
      </c>
      <c r="M23" s="1005" t="s">
        <v>3246</v>
      </c>
      <c r="N23" s="999">
        <f>IFERROR($J$10*INDEX([2]Master!$B$3:$T$21,MATCH($A23,[2]Master!$A$3:$A$21,0),MATCH("S."&amp;N$8,[2]Master!$B$2:$T$2,0)),0)</f>
        <v>2.5821236828953631</v>
      </c>
      <c r="O23" s="1000">
        <f t="shared" si="0"/>
        <v>19.365927621715226</v>
      </c>
      <c r="U23" s="978" t="s">
        <v>3267</v>
      </c>
    </row>
    <row r="24" spans="1:21">
      <c r="A24" s="1007" t="s">
        <v>3247</v>
      </c>
      <c r="B24" s="998">
        <f>IFERROR($B$10*INDEX([2]Master!$B$3:$T$21,MATCH($A24,[2]Master!$A$3:$A$21,0),MATCH("S."&amp;B$8,[2]Master!$B$2:$T$2,0)),0)</f>
        <v>63.505115005932183</v>
      </c>
      <c r="C24" s="1007" t="s">
        <v>3247</v>
      </c>
      <c r="D24" s="998">
        <f>IFERROR($D$10*INDEX([2]Master!$B$3:$T$21,MATCH($A24,[2]Master!$A$3:$A$21,0),MATCH("S."&amp;D$8,[2]Master!$B$2:$T$2,0)),0)</f>
        <v>58.213022088771169</v>
      </c>
      <c r="E24" s="1007" t="s">
        <v>3247</v>
      </c>
      <c r="F24" s="998">
        <f>IFERROR($F$10*INDEX([2]Master!$B$3:$T$21,MATCH($A24,[2]Master!$A$3:$A$21,0),MATCH("S."&amp;F$8,[2]Master!$B$2:$T$2,0)),0)</f>
        <v>63.505115005932183</v>
      </c>
      <c r="G24" s="1007" t="s">
        <v>3247</v>
      </c>
      <c r="H24" s="998">
        <f>IFERROR($H$10*INDEX([2]Master!$B$3:$T$21,MATCH($A24,[2]Master!$A$3:$A$21,0),MATCH("S."&amp;H$8,[2]Master!$B$2:$T$2,0)),0)</f>
        <v>52.920929171610155</v>
      </c>
      <c r="I24" s="1007" t="s">
        <v>3247</v>
      </c>
      <c r="J24" s="998">
        <f>IFERROR($J$10*INDEX([2]Master!$B$3:$T$21,MATCH($A24,[2]Master!$A$3:$A$21,0),MATCH("S."&amp;J$8,[2]Master!$B$2:$T$2,0)),0)</f>
        <v>52.920929171610155</v>
      </c>
      <c r="K24" s="1007" t="s">
        <v>3247</v>
      </c>
      <c r="L24" s="998">
        <f>IFERROR($J$10*INDEX([2]Master!$B$3:$T$21,MATCH($A24,[2]Master!$A$3:$A$21,0),MATCH("S."&amp;L$8,[2]Master!$B$2:$T$2,0)),0)</f>
        <v>52.920929171610155</v>
      </c>
      <c r="M24" s="1007" t="s">
        <v>3247</v>
      </c>
      <c r="N24" s="999">
        <f>IFERROR($J$10*INDEX([2]Master!$B$3:$T$21,MATCH($A24,[2]Master!$A$3:$A$21,0),MATCH("S."&amp;N$8,[2]Master!$B$2:$T$2,0)),0)</f>
        <v>52.920929171610155</v>
      </c>
      <c r="O24" s="1000">
        <f t="shared" si="0"/>
        <v>396.90696878707621</v>
      </c>
      <c r="U24" s="978" t="s">
        <v>3267</v>
      </c>
    </row>
    <row r="25" spans="1:21">
      <c r="A25" s="1009" t="s">
        <v>3248</v>
      </c>
      <c r="B25" s="1010">
        <f>B10-SUM(B11:B24)</f>
        <v>66.899955597503322</v>
      </c>
      <c r="C25" s="1009" t="s">
        <v>3248</v>
      </c>
      <c r="D25" s="1010">
        <f t="shared" ref="D25:J25" si="1">D10-SUM(D11:D24)</f>
        <v>61.324959297712667</v>
      </c>
      <c r="E25" s="1009" t="s">
        <v>3248</v>
      </c>
      <c r="F25" s="1010">
        <f t="shared" si="1"/>
        <v>66.899955597503322</v>
      </c>
      <c r="G25" s="1009" t="s">
        <v>3248</v>
      </c>
      <c r="H25" s="1010">
        <f t="shared" si="1"/>
        <v>55.749962997921102</v>
      </c>
      <c r="I25" s="1009" t="s">
        <v>3248</v>
      </c>
      <c r="J25" s="1010">
        <f t="shared" si="1"/>
        <v>55.749962997921102</v>
      </c>
      <c r="K25" s="1009" t="s">
        <v>3248</v>
      </c>
      <c r="L25" s="1010">
        <f t="shared" ref="L25" si="2">L10-SUM(L11:L24)</f>
        <v>55.749962997921102</v>
      </c>
      <c r="M25" s="1009" t="s">
        <v>3248</v>
      </c>
      <c r="N25" s="1011">
        <f t="shared" ref="N25" si="3">N10-SUM(N11:N24)</f>
        <v>55.749962997921102</v>
      </c>
      <c r="O25" s="1000">
        <f t="shared" si="0"/>
        <v>418.12472248440372</v>
      </c>
    </row>
    <row r="26" spans="1:21" ht="25">
      <c r="A26" s="1012" t="s">
        <v>3249</v>
      </c>
      <c r="B26" s="1013">
        <f>SUM(B11:B25)</f>
        <v>6000</v>
      </c>
      <c r="C26" s="1012" t="s">
        <v>3249</v>
      </c>
      <c r="D26" s="1013">
        <f>SUM(D11:D25)</f>
        <v>5500</v>
      </c>
      <c r="E26" s="1012" t="s">
        <v>3249</v>
      </c>
      <c r="F26" s="1013">
        <f>SUM(F11:F25)</f>
        <v>6000</v>
      </c>
      <c r="G26" s="1012" t="s">
        <v>3249</v>
      </c>
      <c r="H26" s="1013">
        <f>SUM(H11:H25)</f>
        <v>5000</v>
      </c>
      <c r="I26" s="1012" t="s">
        <v>3249</v>
      </c>
      <c r="J26" s="1013">
        <f>SUM(J11:J25)</f>
        <v>5000</v>
      </c>
      <c r="K26" s="1012" t="s">
        <v>3249</v>
      </c>
      <c r="L26" s="1013">
        <f>SUM(L11:L25)</f>
        <v>5000</v>
      </c>
      <c r="M26" s="1012" t="s">
        <v>3249</v>
      </c>
      <c r="N26" s="1013">
        <f>SUM(N11:N25)</f>
        <v>5000</v>
      </c>
      <c r="O26" s="1014">
        <f t="shared" si="0"/>
        <v>37500</v>
      </c>
    </row>
    <row r="27" spans="1:21">
      <c r="A27" s="1015" t="s">
        <v>3250</v>
      </c>
      <c r="B27" s="1016" t="s">
        <v>3251</v>
      </c>
      <c r="C27" s="1015" t="s">
        <v>3250</v>
      </c>
      <c r="D27" s="1016" t="s">
        <v>3251</v>
      </c>
      <c r="E27" s="1015" t="s">
        <v>3250</v>
      </c>
      <c r="F27" s="1016" t="s">
        <v>3251</v>
      </c>
      <c r="G27" s="1015" t="s">
        <v>3250</v>
      </c>
      <c r="H27" s="1016" t="s">
        <v>3251</v>
      </c>
      <c r="I27" s="1015" t="s">
        <v>3250</v>
      </c>
      <c r="J27" s="1016" t="s">
        <v>3251</v>
      </c>
      <c r="K27" s="1015" t="s">
        <v>3250</v>
      </c>
      <c r="L27" s="1016" t="s">
        <v>3251</v>
      </c>
      <c r="M27" s="1015" t="s">
        <v>3250</v>
      </c>
      <c r="N27" s="1016" t="s">
        <v>3251</v>
      </c>
    </row>
    <row r="28" spans="1:21">
      <c r="A28" s="1017" t="s">
        <v>3252</v>
      </c>
      <c r="B28" s="1018">
        <v>20</v>
      </c>
      <c r="C28" s="1017" t="s">
        <v>3252</v>
      </c>
      <c r="D28" s="1018">
        <v>20</v>
      </c>
      <c r="E28" s="1017" t="s">
        <v>3252</v>
      </c>
      <c r="F28" s="1018">
        <v>20</v>
      </c>
      <c r="G28" s="1017" t="s">
        <v>3252</v>
      </c>
      <c r="H28" s="1018">
        <v>20</v>
      </c>
      <c r="I28" s="1017" t="s">
        <v>3252</v>
      </c>
      <c r="J28" s="1018">
        <v>20</v>
      </c>
      <c r="K28" s="1017" t="s">
        <v>3252</v>
      </c>
      <c r="L28" s="1018">
        <v>20</v>
      </c>
      <c r="M28" s="1017" t="s">
        <v>3252</v>
      </c>
      <c r="N28" s="1018">
        <v>20</v>
      </c>
    </row>
    <row r="29" spans="1:21" ht="25">
      <c r="A29" s="1019" t="s">
        <v>3253</v>
      </c>
      <c r="B29" s="1020"/>
      <c r="C29" s="1019" t="s">
        <v>3253</v>
      </c>
      <c r="D29" s="1020"/>
      <c r="E29" s="1019" t="s">
        <v>3253</v>
      </c>
      <c r="F29" s="1020"/>
      <c r="G29" s="1019" t="s">
        <v>3253</v>
      </c>
      <c r="H29" s="1020"/>
      <c r="I29" s="1019" t="s">
        <v>3253</v>
      </c>
      <c r="J29" s="1020"/>
      <c r="K29" s="1019" t="s">
        <v>3253</v>
      </c>
      <c r="L29" s="1020"/>
      <c r="M29" s="1019" t="s">
        <v>3253</v>
      </c>
      <c r="N29" s="1020"/>
    </row>
    <row r="30" spans="1:21">
      <c r="A30" s="1021" t="s">
        <v>3254</v>
      </c>
      <c r="B30" s="1022">
        <v>0.05</v>
      </c>
      <c r="C30" s="1021" t="s">
        <v>3254</v>
      </c>
      <c r="D30" s="1022">
        <v>0.05</v>
      </c>
      <c r="E30" s="1021" t="s">
        <v>3254</v>
      </c>
      <c r="F30" s="1022">
        <v>0.05</v>
      </c>
      <c r="G30" s="1021" t="s">
        <v>3254</v>
      </c>
      <c r="H30" s="1022">
        <v>0.05</v>
      </c>
      <c r="I30" s="1021" t="s">
        <v>3254</v>
      </c>
      <c r="J30" s="1022">
        <v>0.05</v>
      </c>
      <c r="K30" s="1021" t="s">
        <v>3254</v>
      </c>
      <c r="L30" s="1022">
        <v>0.05</v>
      </c>
      <c r="M30" s="1021" t="s">
        <v>3254</v>
      </c>
      <c r="N30" s="1022">
        <v>0.05</v>
      </c>
    </row>
    <row r="31" spans="1:21">
      <c r="A31" s="1023" t="s">
        <v>3255</v>
      </c>
      <c r="B31" s="1024">
        <v>1.79</v>
      </c>
      <c r="C31" s="1023" t="s">
        <v>3255</v>
      </c>
      <c r="D31" s="1024">
        <v>1.79</v>
      </c>
      <c r="E31" s="1023" t="s">
        <v>3255</v>
      </c>
      <c r="F31" s="1024">
        <v>1.79</v>
      </c>
      <c r="G31" s="1023" t="s">
        <v>3255</v>
      </c>
      <c r="H31" s="1024">
        <v>1.79</v>
      </c>
      <c r="I31" s="1023" t="s">
        <v>3255</v>
      </c>
      <c r="J31" s="1024">
        <v>1.79</v>
      </c>
      <c r="K31" s="1023" t="s">
        <v>3255</v>
      </c>
      <c r="L31" s="1024">
        <v>1.79</v>
      </c>
      <c r="M31" s="1023" t="s">
        <v>3255</v>
      </c>
      <c r="N31" s="1024">
        <v>1.79</v>
      </c>
    </row>
    <row r="32" spans="1:21">
      <c r="A32" s="1025" t="s">
        <v>3256</v>
      </c>
      <c r="B32" s="1026">
        <v>10</v>
      </c>
      <c r="C32" s="1025" t="s">
        <v>3256</v>
      </c>
      <c r="D32" s="1026">
        <v>10</v>
      </c>
      <c r="E32" s="1025" t="s">
        <v>3256</v>
      </c>
      <c r="F32" s="1026">
        <v>10</v>
      </c>
      <c r="G32" s="1025" t="s">
        <v>3256</v>
      </c>
      <c r="H32" s="1026">
        <v>10</v>
      </c>
      <c r="I32" s="1025" t="s">
        <v>3256</v>
      </c>
      <c r="J32" s="1026">
        <v>10</v>
      </c>
      <c r="K32" s="1025" t="s">
        <v>3256</v>
      </c>
      <c r="L32" s="1026">
        <v>10</v>
      </c>
      <c r="M32" s="1025" t="s">
        <v>3256</v>
      </c>
      <c r="N32" s="1026">
        <v>10</v>
      </c>
    </row>
    <row r="33" spans="1:14">
      <c r="A33" s="1027" t="s">
        <v>3257</v>
      </c>
      <c r="B33" s="1027">
        <v>5</v>
      </c>
      <c r="C33" s="1027" t="s">
        <v>3257</v>
      </c>
      <c r="D33" s="1027">
        <v>5</v>
      </c>
      <c r="E33" s="1027" t="s">
        <v>3257</v>
      </c>
      <c r="F33" s="1027">
        <v>5</v>
      </c>
      <c r="G33" s="1027" t="s">
        <v>3257</v>
      </c>
      <c r="H33" s="1027">
        <v>5</v>
      </c>
      <c r="I33" s="1027" t="s">
        <v>3257</v>
      </c>
      <c r="J33" s="1027">
        <v>5</v>
      </c>
      <c r="K33" s="1027" t="s">
        <v>3257</v>
      </c>
      <c r="L33" s="1027">
        <v>5</v>
      </c>
      <c r="M33" s="1027" t="s">
        <v>3257</v>
      </c>
      <c r="N33" s="1027">
        <v>5</v>
      </c>
    </row>
    <row r="34" spans="1:14">
      <c r="A34" s="1028" t="s">
        <v>3258</v>
      </c>
      <c r="B34" s="1028"/>
      <c r="C34" s="1028" t="s">
        <v>3258</v>
      </c>
      <c r="D34" s="1028"/>
      <c r="E34" s="1028" t="s">
        <v>3258</v>
      </c>
      <c r="F34" s="1028"/>
      <c r="G34" s="1028" t="s">
        <v>3258</v>
      </c>
      <c r="H34" s="1028"/>
      <c r="I34" s="1028" t="s">
        <v>3258</v>
      </c>
      <c r="J34" s="1028"/>
      <c r="K34" s="1028" t="s">
        <v>3258</v>
      </c>
      <c r="L34" s="1028"/>
      <c r="M34" s="1028" t="s">
        <v>3258</v>
      </c>
      <c r="N34" s="1028"/>
    </row>
    <row r="35" spans="1:14">
      <c r="A35" s="1029" t="s">
        <v>3259</v>
      </c>
      <c r="B35" s="1028"/>
      <c r="C35" s="1029" t="s">
        <v>3259</v>
      </c>
      <c r="D35" s="1028"/>
      <c r="E35" s="1029" t="s">
        <v>3259</v>
      </c>
      <c r="F35" s="1028"/>
      <c r="G35" s="1029" t="s">
        <v>3259</v>
      </c>
      <c r="H35" s="1028"/>
      <c r="I35" s="1029" t="s">
        <v>3259</v>
      </c>
      <c r="J35" s="1028"/>
      <c r="K35" s="1029" t="s">
        <v>3259</v>
      </c>
      <c r="L35" s="1028"/>
      <c r="M35" s="1029" t="s">
        <v>3259</v>
      </c>
      <c r="N35" s="1028"/>
    </row>
    <row r="36" spans="1:14">
      <c r="A36" s="1030" t="s">
        <v>3260</v>
      </c>
      <c r="B36" s="1030"/>
      <c r="C36" s="1030" t="s">
        <v>3260</v>
      </c>
      <c r="D36" s="1030"/>
      <c r="E36" s="1030" t="s">
        <v>3260</v>
      </c>
      <c r="F36" s="1030"/>
      <c r="G36" s="1030" t="s">
        <v>3260</v>
      </c>
      <c r="H36" s="1030"/>
      <c r="I36" s="1030" t="s">
        <v>3260</v>
      </c>
      <c r="J36" s="1030"/>
      <c r="K36" s="1030" t="s">
        <v>3260</v>
      </c>
      <c r="L36" s="1030"/>
      <c r="M36" s="1030" t="s">
        <v>3260</v>
      </c>
      <c r="N36" s="1030"/>
    </row>
    <row r="37" spans="1:14" ht="25">
      <c r="A37" s="1031" t="s">
        <v>3261</v>
      </c>
      <c r="B37" s="1031"/>
      <c r="C37" s="1031" t="s">
        <v>3261</v>
      </c>
      <c r="D37" s="1031"/>
      <c r="E37" s="1031" t="s">
        <v>3261</v>
      </c>
      <c r="F37" s="1031"/>
      <c r="G37" s="1031" t="s">
        <v>3261</v>
      </c>
      <c r="H37" s="1031"/>
      <c r="I37" s="1031" t="s">
        <v>3261</v>
      </c>
      <c r="J37" s="1031"/>
      <c r="K37" s="1031" t="s">
        <v>3261</v>
      </c>
      <c r="L37" s="1031"/>
      <c r="M37" s="1031" t="s">
        <v>3261</v>
      </c>
      <c r="N37" s="1031"/>
    </row>
    <row r="38" spans="1:14">
      <c r="A38" s="1032"/>
      <c r="B38" s="1032"/>
      <c r="C38" s="1032"/>
      <c r="D38" s="1032"/>
      <c r="E38" s="1032"/>
      <c r="F38" s="1032"/>
      <c r="G38" s="1032"/>
      <c r="H38" s="1032"/>
      <c r="I38" s="1032"/>
      <c r="J38" s="1032"/>
      <c r="K38" s="1032"/>
      <c r="L38" s="1032"/>
      <c r="M38" s="1032"/>
      <c r="N38" s="1032"/>
    </row>
    <row r="39" spans="1:14">
      <c r="A39" s="1032"/>
      <c r="B39" s="1032"/>
      <c r="C39" s="1032"/>
      <c r="D39" s="1032"/>
      <c r="E39" s="1032"/>
      <c r="F39" s="1032"/>
      <c r="G39" s="1032"/>
      <c r="H39" s="1032"/>
      <c r="I39" s="1032"/>
      <c r="J39" s="1032"/>
      <c r="K39" s="1032"/>
      <c r="L39" s="1032"/>
      <c r="M39" s="1032"/>
      <c r="N39" s="1032"/>
    </row>
    <row r="40" spans="1:14">
      <c r="A40" s="1032"/>
      <c r="B40" s="1032"/>
      <c r="C40" s="1032"/>
      <c r="D40" s="1032"/>
      <c r="E40" s="1032"/>
      <c r="F40" s="1032"/>
      <c r="G40" s="1032"/>
      <c r="H40" s="1032"/>
      <c r="I40" s="1032"/>
      <c r="J40" s="1032"/>
      <c r="K40" s="1032"/>
      <c r="L40" s="1032"/>
      <c r="M40" s="1032"/>
      <c r="N40" s="1032"/>
    </row>
    <row r="41" spans="1:14">
      <c r="A41" s="1032"/>
      <c r="B41" s="1032"/>
      <c r="C41" s="1032"/>
      <c r="D41" s="1032"/>
      <c r="E41" s="1032"/>
      <c r="F41" s="1032"/>
      <c r="G41" s="1032"/>
      <c r="H41" s="1032"/>
      <c r="I41" s="1032"/>
      <c r="J41" s="1032"/>
      <c r="K41" s="1032"/>
      <c r="L41" s="1032"/>
      <c r="M41" s="1032"/>
      <c r="N41" s="1032"/>
    </row>
    <row r="42" spans="1:14">
      <c r="A42" s="1032"/>
      <c r="B42" s="1032"/>
      <c r="C42" s="1032"/>
      <c r="D42" s="1032"/>
      <c r="E42" s="1032"/>
      <c r="F42" s="1032"/>
      <c r="G42" s="1032"/>
      <c r="H42" s="1032"/>
      <c r="I42" s="1032"/>
      <c r="J42" s="1032"/>
      <c r="K42" s="1032"/>
      <c r="L42" s="1032"/>
      <c r="M42" s="1032"/>
      <c r="N42" s="1032"/>
    </row>
    <row r="43" spans="1:14">
      <c r="A43" s="1032"/>
      <c r="B43" s="1032"/>
      <c r="C43" s="1032"/>
      <c r="D43" s="1032"/>
      <c r="E43" s="1032"/>
      <c r="F43" s="1032"/>
      <c r="G43" s="1032"/>
      <c r="H43" s="1032"/>
      <c r="I43" s="1032"/>
      <c r="J43" s="1032"/>
      <c r="K43" s="1032"/>
      <c r="L43" s="1032"/>
      <c r="M43" s="1032"/>
      <c r="N43" s="1032"/>
    </row>
    <row r="44" spans="1:14">
      <c r="A44" s="1032"/>
      <c r="B44" s="1032"/>
      <c r="C44" s="1032"/>
      <c r="D44" s="1032"/>
      <c r="E44" s="1032"/>
      <c r="F44" s="1032"/>
      <c r="G44" s="1032"/>
      <c r="H44" s="1032"/>
      <c r="I44" s="1032"/>
      <c r="J44" s="1032"/>
      <c r="K44" s="1032"/>
      <c r="L44" s="1032"/>
      <c r="M44" s="1032"/>
      <c r="N44" s="1032"/>
    </row>
    <row r="45" spans="1:14">
      <c r="A45" s="1032"/>
      <c r="B45" s="1032"/>
      <c r="C45" s="1032"/>
      <c r="D45" s="1032"/>
      <c r="E45" s="1032"/>
      <c r="F45" s="1032"/>
      <c r="G45" s="1032"/>
      <c r="H45" s="1032"/>
      <c r="I45" s="1032"/>
      <c r="J45" s="1032"/>
      <c r="K45" s="1032"/>
      <c r="L45" s="1032"/>
      <c r="M45" s="1032"/>
      <c r="N45" s="1032"/>
    </row>
    <row r="46" spans="1:14">
      <c r="A46" s="1032"/>
      <c r="B46" s="1032"/>
      <c r="C46" s="1032"/>
      <c r="D46" s="1032"/>
      <c r="E46" s="1032"/>
      <c r="F46" s="1032"/>
      <c r="G46" s="1032"/>
      <c r="H46" s="1032"/>
      <c r="I46" s="1032"/>
      <c r="J46" s="1032"/>
      <c r="K46" s="1032"/>
      <c r="L46" s="1032"/>
      <c r="M46" s="1032"/>
      <c r="N46" s="1032"/>
    </row>
    <row r="47" spans="1:14">
      <c r="A47" s="1032"/>
      <c r="B47" s="1032"/>
      <c r="C47" s="1032"/>
      <c r="D47" s="1032"/>
      <c r="E47" s="1032"/>
      <c r="F47" s="1032"/>
      <c r="G47" s="1032"/>
      <c r="H47" s="1032"/>
      <c r="I47" s="1032"/>
      <c r="J47" s="1032"/>
      <c r="K47" s="1032"/>
      <c r="L47" s="1032"/>
      <c r="M47" s="1032"/>
      <c r="N47" s="1032"/>
    </row>
    <row r="48" spans="1:14">
      <c r="A48" s="1032"/>
      <c r="B48" s="1032"/>
      <c r="C48" s="1032"/>
      <c r="D48" s="1032"/>
      <c r="E48" s="1032"/>
      <c r="F48" s="1032"/>
      <c r="G48" s="1032"/>
      <c r="H48" s="1032"/>
      <c r="I48" s="1032"/>
      <c r="J48" s="1032"/>
      <c r="K48" s="1032"/>
      <c r="L48" s="1032"/>
      <c r="M48" s="1032"/>
      <c r="N48" s="1032"/>
    </row>
    <row r="49" spans="1:14">
      <c r="A49" s="1032"/>
      <c r="B49" s="1032"/>
      <c r="C49" s="1032"/>
      <c r="D49" s="1032"/>
      <c r="E49" s="1032"/>
      <c r="F49" s="1032"/>
      <c r="G49" s="1032"/>
      <c r="H49" s="1032"/>
      <c r="I49" s="1032"/>
      <c r="J49" s="1032"/>
      <c r="K49" s="1032"/>
      <c r="L49" s="1032"/>
      <c r="M49" s="1032"/>
      <c r="N49" s="1032"/>
    </row>
    <row r="50" spans="1:14">
      <c r="A50" s="1032"/>
      <c r="B50" s="1032"/>
      <c r="C50" s="1032"/>
      <c r="D50" s="1032"/>
      <c r="E50" s="1032"/>
      <c r="F50" s="1032"/>
      <c r="G50" s="1032"/>
      <c r="H50" s="1032"/>
      <c r="I50" s="1032"/>
      <c r="J50" s="1032"/>
      <c r="K50" s="1032"/>
      <c r="L50" s="1032"/>
      <c r="M50" s="1032"/>
      <c r="N50" s="1032"/>
    </row>
    <row r="51" spans="1:14">
      <c r="A51" s="1032"/>
      <c r="B51" s="1032"/>
      <c r="C51" s="1032"/>
      <c r="D51" s="1032"/>
      <c r="E51" s="1032"/>
      <c r="F51" s="1032"/>
      <c r="G51" s="1032"/>
      <c r="H51" s="1032"/>
      <c r="I51" s="1032"/>
      <c r="J51" s="1032"/>
      <c r="K51" s="1032"/>
      <c r="L51" s="1032"/>
      <c r="M51" s="1032"/>
      <c r="N51" s="1032"/>
    </row>
    <row r="52" spans="1:14">
      <c r="A52" s="1032"/>
      <c r="B52" s="1032"/>
      <c r="C52" s="1032"/>
      <c r="D52" s="1032"/>
      <c r="E52" s="1032"/>
      <c r="F52" s="1032"/>
      <c r="G52" s="1032"/>
      <c r="H52" s="1032"/>
      <c r="I52" s="1032"/>
      <c r="J52" s="1032"/>
      <c r="K52" s="1032"/>
      <c r="L52" s="1032"/>
      <c r="M52" s="1032"/>
      <c r="N52" s="1032"/>
    </row>
    <row r="53" spans="1:14">
      <c r="A53" s="1032"/>
      <c r="B53" s="1032"/>
      <c r="C53" s="1032"/>
      <c r="D53" s="1032"/>
      <c r="E53" s="1032"/>
      <c r="F53" s="1032"/>
      <c r="G53" s="1032"/>
      <c r="H53" s="1032"/>
      <c r="I53" s="1032"/>
      <c r="J53" s="1032"/>
      <c r="K53" s="1032"/>
      <c r="L53" s="1032"/>
      <c r="M53" s="1032"/>
      <c r="N53" s="1032"/>
    </row>
    <row r="54" spans="1:14">
      <c r="A54" s="1032"/>
      <c r="B54" s="1032"/>
      <c r="C54" s="1032"/>
      <c r="D54" s="1032"/>
      <c r="E54" s="1032"/>
      <c r="F54" s="1032"/>
      <c r="G54" s="1032"/>
      <c r="H54" s="1032"/>
      <c r="I54" s="1032"/>
      <c r="J54" s="1032"/>
      <c r="K54" s="1032"/>
      <c r="L54" s="1032"/>
      <c r="M54" s="1032"/>
      <c r="N54" s="1032"/>
    </row>
    <row r="55" spans="1:14">
      <c r="A55" s="1032"/>
      <c r="B55" s="1032"/>
      <c r="C55" s="1032"/>
      <c r="D55" s="1032"/>
      <c r="E55" s="1032"/>
      <c r="F55" s="1032"/>
      <c r="G55" s="1032"/>
      <c r="H55" s="1032"/>
      <c r="I55" s="1032"/>
      <c r="J55" s="1032"/>
      <c r="K55" s="1032"/>
      <c r="L55" s="1032"/>
      <c r="M55" s="1032"/>
      <c r="N55" s="1032"/>
    </row>
    <row r="56" spans="1:14">
      <c r="A56" s="1032"/>
      <c r="B56" s="1032"/>
      <c r="C56" s="1032"/>
      <c r="D56" s="1032"/>
      <c r="E56" s="1032"/>
      <c r="F56" s="1032"/>
      <c r="G56" s="1032"/>
      <c r="H56" s="1032"/>
      <c r="I56" s="1032"/>
      <c r="J56" s="1032"/>
      <c r="K56" s="1032"/>
      <c r="L56" s="1032"/>
      <c r="M56" s="1032"/>
      <c r="N56" s="1032"/>
    </row>
    <row r="57" spans="1:14">
      <c r="A57" s="1032"/>
      <c r="B57" s="1032"/>
      <c r="C57" s="1032"/>
      <c r="D57" s="1032"/>
      <c r="E57" s="1032"/>
      <c r="F57" s="1032"/>
      <c r="G57" s="1032"/>
      <c r="H57" s="1032"/>
      <c r="I57" s="1032"/>
      <c r="J57" s="1032"/>
      <c r="K57" s="1032"/>
      <c r="L57" s="1032"/>
      <c r="M57" s="1032"/>
      <c r="N57" s="1032"/>
    </row>
    <row r="58" spans="1:14">
      <c r="A58" s="1032"/>
      <c r="B58" s="1032"/>
      <c r="C58" s="1032"/>
      <c r="D58" s="1032"/>
      <c r="E58" s="1032"/>
      <c r="F58" s="1032"/>
      <c r="G58" s="1032"/>
      <c r="H58" s="1032"/>
      <c r="I58" s="1032"/>
      <c r="J58" s="1032"/>
      <c r="K58" s="1032"/>
      <c r="L58" s="1032"/>
      <c r="M58" s="1032"/>
      <c r="N58" s="1032"/>
    </row>
    <row r="59" spans="1:14">
      <c r="A59" s="1032"/>
      <c r="B59" s="1032"/>
      <c r="C59" s="1032"/>
      <c r="D59" s="1032"/>
      <c r="E59" s="1032"/>
      <c r="F59" s="1032"/>
      <c r="G59" s="1032"/>
      <c r="H59" s="1032"/>
      <c r="I59" s="1032"/>
      <c r="J59" s="1032"/>
      <c r="K59" s="1032"/>
      <c r="L59" s="1032"/>
      <c r="M59" s="1032"/>
      <c r="N59" s="1032"/>
    </row>
    <row r="60" spans="1:14">
      <c r="A60" s="1032"/>
      <c r="B60" s="1032"/>
      <c r="C60" s="1032"/>
      <c r="D60" s="1032"/>
      <c r="E60" s="1032"/>
      <c r="F60" s="1032"/>
      <c r="G60" s="1032"/>
      <c r="H60" s="1032"/>
      <c r="I60" s="1032"/>
      <c r="J60" s="1032"/>
      <c r="K60" s="1032"/>
      <c r="L60" s="1032"/>
      <c r="M60" s="1032"/>
      <c r="N60" s="1032"/>
    </row>
    <row r="61" spans="1:14">
      <c r="A61" s="1032"/>
      <c r="B61" s="1032"/>
      <c r="C61" s="1032"/>
      <c r="D61" s="1032"/>
      <c r="E61" s="1032"/>
      <c r="F61" s="1032"/>
      <c r="G61" s="1032"/>
      <c r="H61" s="1032"/>
      <c r="I61" s="1032"/>
      <c r="J61" s="1032"/>
      <c r="K61" s="1032"/>
      <c r="L61" s="1032"/>
      <c r="M61" s="1032"/>
      <c r="N61" s="1032"/>
    </row>
    <row r="62" spans="1:14">
      <c r="A62" s="1032"/>
      <c r="B62" s="1032"/>
      <c r="C62" s="1032"/>
      <c r="D62" s="1032"/>
      <c r="E62" s="1032"/>
      <c r="F62" s="1032"/>
      <c r="G62" s="1032"/>
      <c r="H62" s="1032"/>
      <c r="I62" s="1032"/>
      <c r="J62" s="1032"/>
      <c r="K62" s="1032"/>
      <c r="L62" s="1032"/>
      <c r="M62" s="1032"/>
      <c r="N62" s="1032"/>
    </row>
    <row r="63" spans="1:14">
      <c r="A63" s="1032"/>
      <c r="B63" s="1032"/>
      <c r="C63" s="1032"/>
      <c r="D63" s="1032"/>
      <c r="E63" s="1032"/>
      <c r="F63" s="1032"/>
      <c r="G63" s="1032"/>
      <c r="H63" s="1032"/>
      <c r="I63" s="1032"/>
      <c r="J63" s="1032"/>
      <c r="K63" s="1032"/>
      <c r="L63" s="1032"/>
      <c r="M63" s="1032"/>
      <c r="N63" s="1032"/>
    </row>
    <row r="64" spans="1:14">
      <c r="A64" s="1032"/>
      <c r="B64" s="1032"/>
      <c r="C64" s="1032"/>
      <c r="D64" s="1032"/>
      <c r="E64" s="1032"/>
      <c r="F64" s="1032"/>
      <c r="G64" s="1032"/>
      <c r="H64" s="1032"/>
      <c r="I64" s="1032"/>
      <c r="J64" s="1032"/>
      <c r="K64" s="1032"/>
      <c r="L64" s="1032"/>
      <c r="M64" s="1032"/>
      <c r="N64" s="1032"/>
    </row>
    <row r="65" spans="1:14">
      <c r="A65" s="1032"/>
      <c r="B65" s="1032"/>
      <c r="C65" s="1032"/>
      <c r="D65" s="1032"/>
      <c r="E65" s="1032"/>
      <c r="F65" s="1032"/>
      <c r="G65" s="1032"/>
      <c r="H65" s="1032"/>
      <c r="I65" s="1032"/>
      <c r="J65" s="1032"/>
      <c r="K65" s="1032"/>
      <c r="L65" s="1032"/>
      <c r="M65" s="1032"/>
      <c r="N65" s="1032"/>
    </row>
    <row r="66" spans="1:14">
      <c r="A66" s="1032"/>
      <c r="B66" s="1032"/>
      <c r="C66" s="1032"/>
      <c r="D66" s="1032"/>
      <c r="E66" s="1032"/>
      <c r="F66" s="1032"/>
      <c r="G66" s="1032"/>
      <c r="H66" s="1032"/>
      <c r="I66" s="1032"/>
      <c r="J66" s="1032"/>
      <c r="K66" s="1032"/>
      <c r="L66" s="1032"/>
      <c r="M66" s="1032"/>
      <c r="N66" s="1032"/>
    </row>
    <row r="67" spans="1:14">
      <c r="A67" s="1032"/>
      <c r="B67" s="1032"/>
      <c r="C67" s="1032"/>
      <c r="D67" s="1032"/>
      <c r="E67" s="1032"/>
      <c r="F67" s="1032"/>
      <c r="G67" s="1032"/>
      <c r="H67" s="1032"/>
      <c r="I67" s="1032"/>
      <c r="J67" s="1032"/>
      <c r="K67" s="1032"/>
      <c r="L67" s="1032"/>
      <c r="M67" s="1032"/>
      <c r="N67" s="1032"/>
    </row>
    <row r="68" spans="1:14">
      <c r="A68" s="1032"/>
      <c r="B68" s="1032"/>
      <c r="C68" s="1032"/>
      <c r="D68" s="1032"/>
      <c r="E68" s="1032"/>
      <c r="F68" s="1032"/>
      <c r="G68" s="1032"/>
      <c r="H68" s="1032"/>
      <c r="I68" s="1032"/>
      <c r="J68" s="1032"/>
      <c r="K68" s="1032"/>
      <c r="L68" s="1032"/>
      <c r="M68" s="1032"/>
      <c r="N68" s="1032"/>
    </row>
    <row r="69" spans="1:14">
      <c r="A69" s="1032"/>
      <c r="B69" s="1032"/>
      <c r="C69" s="1032"/>
      <c r="D69" s="1032"/>
      <c r="E69" s="1032"/>
      <c r="F69" s="1032"/>
      <c r="G69" s="1032"/>
      <c r="H69" s="1032"/>
      <c r="I69" s="1032"/>
      <c r="J69" s="1032"/>
      <c r="K69" s="1032"/>
      <c r="L69" s="1032"/>
      <c r="M69" s="1032"/>
      <c r="N69" s="1032"/>
    </row>
    <row r="70" spans="1:14">
      <c r="A70" s="1032"/>
      <c r="B70" s="1032"/>
      <c r="C70" s="1032"/>
      <c r="D70" s="1032"/>
      <c r="E70" s="1032"/>
      <c r="F70" s="1032"/>
      <c r="G70" s="1032"/>
      <c r="H70" s="1032"/>
      <c r="I70" s="1032"/>
      <c r="J70" s="1032"/>
      <c r="K70" s="1032"/>
      <c r="L70" s="1032"/>
      <c r="M70" s="1032"/>
      <c r="N70" s="1032"/>
    </row>
    <row r="71" spans="1:14">
      <c r="A71" s="1032"/>
      <c r="B71" s="1032"/>
      <c r="C71" s="1032"/>
      <c r="D71" s="1032"/>
      <c r="E71" s="1032"/>
      <c r="F71" s="1032"/>
      <c r="G71" s="1032"/>
      <c r="H71" s="1032"/>
      <c r="I71" s="1032"/>
      <c r="J71" s="1032"/>
      <c r="K71" s="1032"/>
      <c r="L71" s="1032"/>
      <c r="M71" s="1032"/>
      <c r="N71" s="1032"/>
    </row>
    <row r="72" spans="1:14">
      <c r="A72" s="1032"/>
      <c r="B72" s="1032"/>
      <c r="C72" s="1032"/>
      <c r="D72" s="1032"/>
      <c r="E72" s="1032"/>
      <c r="F72" s="1032"/>
      <c r="G72" s="1032"/>
      <c r="H72" s="1032"/>
      <c r="I72" s="1032"/>
      <c r="J72" s="1032"/>
      <c r="K72" s="1032"/>
      <c r="L72" s="1032"/>
      <c r="M72" s="1032"/>
      <c r="N72" s="1032"/>
    </row>
    <row r="73" spans="1:14">
      <c r="A73" s="1032"/>
      <c r="B73" s="1032"/>
      <c r="C73" s="1032"/>
      <c r="D73" s="1032"/>
      <c r="E73" s="1032"/>
      <c r="F73" s="1032"/>
      <c r="G73" s="1032"/>
      <c r="H73" s="1032"/>
      <c r="I73" s="1032"/>
      <c r="J73" s="1032"/>
      <c r="K73" s="1032"/>
      <c r="L73" s="1032"/>
      <c r="M73" s="1032"/>
      <c r="N73" s="1032"/>
    </row>
    <row r="74" spans="1:14">
      <c r="A74" s="1032"/>
      <c r="B74" s="1032"/>
      <c r="C74" s="1032"/>
      <c r="D74" s="1032"/>
      <c r="E74" s="1032"/>
      <c r="F74" s="1032"/>
      <c r="G74" s="1032"/>
      <c r="H74" s="1032"/>
      <c r="I74" s="1032"/>
      <c r="J74" s="1032"/>
      <c r="K74" s="1032"/>
      <c r="L74" s="1032"/>
      <c r="M74" s="1032"/>
      <c r="N74" s="1032"/>
    </row>
    <row r="75" spans="1:14">
      <c r="A75" s="1032"/>
      <c r="B75" s="1032"/>
      <c r="C75" s="1032"/>
      <c r="D75" s="1032"/>
      <c r="E75" s="1032"/>
      <c r="F75" s="1032"/>
      <c r="G75" s="1032"/>
      <c r="H75" s="1032"/>
      <c r="I75" s="1032"/>
      <c r="J75" s="1032"/>
      <c r="K75" s="1032"/>
      <c r="L75" s="1032"/>
      <c r="M75" s="1032"/>
      <c r="N75" s="1032"/>
    </row>
    <row r="76" spans="1:14">
      <c r="A76" s="1032"/>
      <c r="B76" s="1032"/>
      <c r="C76" s="1032"/>
      <c r="D76" s="1032"/>
      <c r="E76" s="1032"/>
      <c r="F76" s="1032"/>
      <c r="G76" s="1032"/>
      <c r="H76" s="1032"/>
      <c r="I76" s="1032"/>
      <c r="J76" s="1032"/>
      <c r="K76" s="1032"/>
      <c r="L76" s="1032"/>
      <c r="M76" s="1032"/>
      <c r="N76" s="1032"/>
    </row>
    <row r="77" spans="1:14">
      <c r="A77" s="1032"/>
      <c r="B77" s="1032"/>
      <c r="C77" s="1032"/>
      <c r="D77" s="1032"/>
      <c r="E77" s="1032"/>
      <c r="F77" s="1032"/>
      <c r="G77" s="1032"/>
      <c r="H77" s="1032"/>
      <c r="I77" s="1032"/>
      <c r="J77" s="1032"/>
      <c r="K77" s="1032"/>
      <c r="L77" s="1032"/>
      <c r="M77" s="1032"/>
      <c r="N77" s="1032"/>
    </row>
    <row r="78" spans="1:14">
      <c r="A78" s="1032"/>
      <c r="B78" s="1032"/>
      <c r="C78" s="1032"/>
      <c r="D78" s="1032"/>
      <c r="E78" s="1032"/>
      <c r="F78" s="1032"/>
      <c r="G78" s="1032"/>
      <c r="H78" s="1032"/>
      <c r="I78" s="1032"/>
      <c r="J78" s="1032"/>
      <c r="K78" s="1032"/>
      <c r="L78" s="1032"/>
      <c r="M78" s="1032"/>
      <c r="N78" s="1032"/>
    </row>
    <row r="79" spans="1:14">
      <c r="A79" s="1032"/>
      <c r="B79" s="1032"/>
      <c r="C79" s="1032"/>
      <c r="D79" s="1032"/>
      <c r="E79" s="1032"/>
      <c r="F79" s="1032"/>
      <c r="G79" s="1032"/>
      <c r="H79" s="1032"/>
      <c r="I79" s="1032"/>
      <c r="J79" s="1032"/>
      <c r="K79" s="1032"/>
      <c r="L79" s="1032"/>
      <c r="M79" s="1032"/>
      <c r="N79" s="1032"/>
    </row>
    <row r="80" spans="1:14">
      <c r="A80" s="1032"/>
      <c r="B80" s="1032"/>
      <c r="C80" s="1032"/>
      <c r="D80" s="1032"/>
      <c r="E80" s="1032"/>
      <c r="F80" s="1032"/>
      <c r="G80" s="1032"/>
      <c r="H80" s="1032"/>
      <c r="I80" s="1032"/>
      <c r="J80" s="1032"/>
      <c r="K80" s="1032"/>
      <c r="L80" s="1032"/>
      <c r="M80" s="1032"/>
      <c r="N80" s="1032"/>
    </row>
    <row r="81" spans="1:14">
      <c r="A81" s="1032"/>
      <c r="B81" s="1032"/>
      <c r="C81" s="1032"/>
      <c r="D81" s="1032"/>
      <c r="E81" s="1032"/>
      <c r="F81" s="1032"/>
      <c r="G81" s="1032"/>
      <c r="H81" s="1032"/>
      <c r="I81" s="1032"/>
      <c r="J81" s="1032"/>
      <c r="K81" s="1032"/>
      <c r="L81" s="1032"/>
      <c r="M81" s="1032"/>
      <c r="N81" s="1032"/>
    </row>
    <row r="82" spans="1:14">
      <c r="A82" s="1032"/>
      <c r="B82" s="1032"/>
      <c r="C82" s="1032"/>
      <c r="D82" s="1032"/>
      <c r="E82" s="1032"/>
      <c r="F82" s="1032"/>
      <c r="G82" s="1032"/>
      <c r="H82" s="1032"/>
      <c r="I82" s="1032"/>
      <c r="J82" s="1032"/>
      <c r="K82" s="1032"/>
      <c r="L82" s="1032"/>
      <c r="M82" s="1032"/>
      <c r="N82" s="1032"/>
    </row>
    <row r="83" spans="1:14">
      <c r="A83" s="1032"/>
      <c r="B83" s="1032"/>
      <c r="C83" s="1032"/>
      <c r="D83" s="1032"/>
      <c r="E83" s="1032"/>
      <c r="F83" s="1032"/>
      <c r="G83" s="1032"/>
      <c r="H83" s="1032"/>
      <c r="I83" s="1032"/>
      <c r="J83" s="1032"/>
      <c r="K83" s="1032"/>
      <c r="L83" s="1032"/>
      <c r="M83" s="1032"/>
      <c r="N83" s="1032"/>
    </row>
    <row r="84" spans="1:14">
      <c r="A84" s="1032"/>
      <c r="B84" s="1032"/>
      <c r="C84" s="1032"/>
      <c r="D84" s="1032"/>
      <c r="E84" s="1032"/>
      <c r="F84" s="1032"/>
      <c r="G84" s="1032"/>
      <c r="H84" s="1032"/>
      <c r="I84" s="1032"/>
      <c r="J84" s="1032"/>
      <c r="K84" s="1032"/>
      <c r="L84" s="1032"/>
      <c r="M84" s="1032"/>
      <c r="N84" s="1032"/>
    </row>
    <row r="85" spans="1:14">
      <c r="A85" s="1032"/>
      <c r="B85" s="1032"/>
      <c r="C85" s="1032"/>
      <c r="D85" s="1032"/>
      <c r="E85" s="1032"/>
      <c r="F85" s="1032"/>
      <c r="G85" s="1032"/>
      <c r="H85" s="1032"/>
      <c r="I85" s="1032"/>
      <c r="J85" s="1032"/>
      <c r="K85" s="1032"/>
      <c r="L85" s="1032"/>
      <c r="M85" s="1032"/>
      <c r="N85" s="1032"/>
    </row>
    <row r="86" spans="1:14">
      <c r="A86" s="1032"/>
      <c r="B86" s="1032"/>
      <c r="C86" s="1032"/>
      <c r="D86" s="1032"/>
      <c r="E86" s="1032"/>
      <c r="F86" s="1032"/>
      <c r="G86" s="1032"/>
      <c r="H86" s="1032"/>
      <c r="I86" s="1032"/>
      <c r="J86" s="1032"/>
      <c r="K86" s="1032"/>
      <c r="L86" s="1032"/>
      <c r="M86" s="1032"/>
      <c r="N86" s="1032"/>
    </row>
    <row r="87" spans="1:14">
      <c r="A87" s="1032"/>
      <c r="B87" s="1032"/>
      <c r="C87" s="1032"/>
      <c r="D87" s="1032"/>
      <c r="E87" s="1032"/>
      <c r="F87" s="1032"/>
      <c r="G87" s="1032"/>
      <c r="H87" s="1032"/>
      <c r="I87" s="1032"/>
      <c r="J87" s="1032"/>
      <c r="K87" s="1032"/>
      <c r="L87" s="1032"/>
      <c r="M87" s="1032"/>
      <c r="N87" s="1032"/>
    </row>
    <row r="88" spans="1:14">
      <c r="A88" s="1032"/>
      <c r="B88" s="1032"/>
      <c r="C88" s="1032"/>
      <c r="D88" s="1032"/>
      <c r="E88" s="1032"/>
      <c r="F88" s="1032"/>
      <c r="G88" s="1032"/>
      <c r="H88" s="1032"/>
      <c r="I88" s="1032"/>
      <c r="J88" s="1032"/>
      <c r="K88" s="1032"/>
      <c r="L88" s="1032"/>
      <c r="M88" s="1032"/>
      <c r="N88" s="1032"/>
    </row>
    <row r="89" spans="1:14">
      <c r="A89" s="1032"/>
      <c r="B89" s="1032"/>
      <c r="C89" s="1032"/>
      <c r="D89" s="1032"/>
      <c r="E89" s="1032"/>
      <c r="F89" s="1032"/>
      <c r="G89" s="1032"/>
      <c r="H89" s="1032"/>
      <c r="I89" s="1032"/>
      <c r="J89" s="1032"/>
      <c r="K89" s="1032"/>
      <c r="L89" s="1032"/>
      <c r="M89" s="1032"/>
      <c r="N89" s="1032"/>
    </row>
    <row r="90" spans="1:14">
      <c r="A90" s="1032"/>
      <c r="B90" s="1032"/>
      <c r="C90" s="1032"/>
      <c r="D90" s="1032"/>
      <c r="E90" s="1032"/>
      <c r="F90" s="1032"/>
      <c r="G90" s="1032"/>
      <c r="H90" s="1032"/>
      <c r="I90" s="1032"/>
      <c r="J90" s="1032"/>
      <c r="K90" s="1032"/>
      <c r="L90" s="1032"/>
      <c r="M90" s="1032"/>
      <c r="N90" s="1032"/>
    </row>
    <row r="91" spans="1:14">
      <c r="A91" s="1032"/>
      <c r="B91" s="1032"/>
      <c r="C91" s="1032"/>
      <c r="D91" s="1032"/>
      <c r="E91" s="1032"/>
      <c r="F91" s="1032"/>
      <c r="G91" s="1032"/>
      <c r="H91" s="1032"/>
      <c r="I91" s="1032"/>
      <c r="J91" s="1032"/>
      <c r="K91" s="1032"/>
      <c r="L91" s="1032"/>
      <c r="M91" s="1032"/>
      <c r="N91" s="1032"/>
    </row>
    <row r="92" spans="1:14">
      <c r="A92" s="1032"/>
      <c r="B92" s="1032"/>
      <c r="C92" s="1032"/>
      <c r="D92" s="1032"/>
      <c r="E92" s="1032"/>
      <c r="F92" s="1032"/>
      <c r="G92" s="1032"/>
      <c r="H92" s="1032"/>
      <c r="I92" s="1032"/>
      <c r="J92" s="1032"/>
      <c r="K92" s="1032"/>
      <c r="L92" s="1032"/>
      <c r="M92" s="1032"/>
      <c r="N92" s="1032"/>
    </row>
    <row r="93" spans="1:14">
      <c r="A93" s="1032"/>
      <c r="B93" s="1032"/>
      <c r="C93" s="1032"/>
      <c r="D93" s="1032"/>
      <c r="E93" s="1032"/>
      <c r="F93" s="1032"/>
      <c r="G93" s="1032"/>
      <c r="H93" s="1032"/>
      <c r="I93" s="1032"/>
      <c r="J93" s="1032"/>
      <c r="K93" s="1032"/>
      <c r="L93" s="1032"/>
      <c r="M93" s="1032"/>
      <c r="N93" s="1032"/>
    </row>
    <row r="94" spans="1:14">
      <c r="A94" s="1032"/>
      <c r="B94" s="1032"/>
      <c r="C94" s="1032"/>
      <c r="D94" s="1032"/>
      <c r="E94" s="1032"/>
      <c r="F94" s="1032"/>
      <c r="G94" s="1032"/>
      <c r="H94" s="1032"/>
      <c r="I94" s="1032"/>
      <c r="J94" s="1032"/>
      <c r="K94" s="1032"/>
      <c r="L94" s="1032"/>
      <c r="M94" s="1032"/>
      <c r="N94" s="1032"/>
    </row>
    <row r="95" spans="1:14">
      <c r="A95" s="1032"/>
      <c r="B95" s="1032"/>
      <c r="C95" s="1032"/>
      <c r="D95" s="1032"/>
      <c r="E95" s="1032"/>
      <c r="F95" s="1032"/>
      <c r="G95" s="1032"/>
      <c r="H95" s="1032"/>
      <c r="I95" s="1032"/>
      <c r="J95" s="1032"/>
      <c r="K95" s="1032"/>
      <c r="L95" s="1032"/>
      <c r="M95" s="1032"/>
      <c r="N95" s="1032"/>
    </row>
    <row r="96" spans="1:14">
      <c r="A96" s="1032"/>
      <c r="B96" s="1032"/>
      <c r="C96" s="1032"/>
      <c r="D96" s="1032"/>
      <c r="E96" s="1032"/>
      <c r="F96" s="1032"/>
      <c r="G96" s="1032"/>
      <c r="H96" s="1032"/>
      <c r="I96" s="1032"/>
      <c r="J96" s="1032"/>
      <c r="K96" s="1032"/>
      <c r="L96" s="1032"/>
      <c r="M96" s="1032"/>
      <c r="N96" s="1032"/>
    </row>
    <row r="97" spans="1:14">
      <c r="A97" s="1032"/>
      <c r="B97" s="1032"/>
      <c r="C97" s="1032"/>
      <c r="D97" s="1032"/>
      <c r="E97" s="1032"/>
      <c r="F97" s="1032"/>
      <c r="G97" s="1032"/>
      <c r="H97" s="1032"/>
      <c r="I97" s="1032"/>
      <c r="J97" s="1032"/>
      <c r="K97" s="1032"/>
      <c r="L97" s="1032"/>
      <c r="M97" s="1032"/>
      <c r="N97" s="1032"/>
    </row>
    <row r="98" spans="1:14">
      <c r="A98" s="1032"/>
      <c r="B98" s="1032"/>
      <c r="C98" s="1032"/>
      <c r="D98" s="1032"/>
      <c r="E98" s="1032"/>
      <c r="F98" s="1032"/>
      <c r="G98" s="1032"/>
      <c r="H98" s="1032"/>
      <c r="I98" s="1032"/>
      <c r="J98" s="1032"/>
      <c r="K98" s="1032"/>
      <c r="L98" s="1032"/>
      <c r="M98" s="1032"/>
      <c r="N98" s="1032"/>
    </row>
    <row r="99" spans="1:14">
      <c r="A99" s="1032"/>
      <c r="B99" s="1032"/>
      <c r="C99" s="1032"/>
      <c r="D99" s="1032"/>
      <c r="E99" s="1032"/>
      <c r="F99" s="1032"/>
      <c r="G99" s="1032"/>
      <c r="H99" s="1032"/>
      <c r="I99" s="1032"/>
      <c r="J99" s="1032"/>
      <c r="K99" s="1032"/>
      <c r="L99" s="1032"/>
      <c r="M99" s="1032"/>
      <c r="N99" s="1032"/>
    </row>
    <row r="100" spans="1:14">
      <c r="A100" s="1032"/>
      <c r="B100" s="1032"/>
      <c r="C100" s="1032"/>
      <c r="D100" s="1032"/>
      <c r="E100" s="1032"/>
      <c r="F100" s="1032"/>
      <c r="G100" s="1032"/>
      <c r="H100" s="1032"/>
      <c r="I100" s="1032"/>
      <c r="J100" s="1032"/>
      <c r="K100" s="1032"/>
      <c r="L100" s="1032"/>
      <c r="M100" s="1032"/>
      <c r="N100" s="1032"/>
    </row>
    <row r="101" spans="1:14">
      <c r="A101" s="1032"/>
      <c r="B101" s="1032"/>
      <c r="C101" s="1032"/>
      <c r="D101" s="1032"/>
      <c r="E101" s="1032"/>
      <c r="F101" s="1032"/>
      <c r="G101" s="1032"/>
      <c r="H101" s="1032"/>
      <c r="I101" s="1032"/>
      <c r="J101" s="1032"/>
      <c r="K101" s="1032"/>
      <c r="L101" s="1032"/>
      <c r="M101" s="1032"/>
      <c r="N101" s="1032"/>
    </row>
    <row r="102" spans="1:14">
      <c r="A102" s="1032"/>
      <c r="B102" s="1032"/>
      <c r="C102" s="1032"/>
      <c r="D102" s="1032"/>
      <c r="E102" s="1032"/>
      <c r="F102" s="1032"/>
      <c r="G102" s="1032"/>
      <c r="H102" s="1032"/>
      <c r="I102" s="1032"/>
      <c r="J102" s="1032"/>
      <c r="K102" s="1032"/>
      <c r="L102" s="1032"/>
      <c r="M102" s="1032"/>
      <c r="N102" s="1032"/>
    </row>
    <row r="103" spans="1:14">
      <c r="A103" s="1032"/>
      <c r="B103" s="1032"/>
      <c r="C103" s="1032"/>
      <c r="D103" s="1032"/>
      <c r="E103" s="1032"/>
      <c r="F103" s="1032"/>
      <c r="G103" s="1032"/>
      <c r="H103" s="1032"/>
      <c r="I103" s="1032"/>
      <c r="J103" s="1032"/>
      <c r="K103" s="1032"/>
      <c r="L103" s="1032"/>
      <c r="M103" s="1032"/>
      <c r="N103" s="1032"/>
    </row>
    <row r="104" spans="1:14">
      <c r="A104" s="1032"/>
      <c r="B104" s="1032"/>
      <c r="C104" s="1032"/>
      <c r="D104" s="1032"/>
      <c r="E104" s="1032"/>
      <c r="F104" s="1032"/>
      <c r="G104" s="1032"/>
      <c r="H104" s="1032"/>
      <c r="I104" s="1032"/>
      <c r="J104" s="1032"/>
      <c r="K104" s="1032"/>
      <c r="L104" s="1032"/>
      <c r="M104" s="1032"/>
      <c r="N104" s="1032"/>
    </row>
    <row r="105" spans="1:14">
      <c r="A105" s="1032"/>
      <c r="B105" s="1032"/>
      <c r="C105" s="1032"/>
      <c r="D105" s="1032"/>
      <c r="E105" s="1032"/>
      <c r="F105" s="1032"/>
      <c r="G105" s="1032"/>
      <c r="H105" s="1032"/>
      <c r="I105" s="1032"/>
      <c r="J105" s="1032"/>
      <c r="K105" s="1032"/>
      <c r="L105" s="1032"/>
      <c r="M105" s="1032"/>
      <c r="N105" s="1032"/>
    </row>
    <row r="106" spans="1:14">
      <c r="A106" s="1032"/>
      <c r="B106" s="1032"/>
      <c r="C106" s="1032"/>
      <c r="D106" s="1032"/>
      <c r="E106" s="1032"/>
      <c r="F106" s="1032"/>
      <c r="G106" s="1032"/>
      <c r="H106" s="1032"/>
      <c r="I106" s="1032"/>
      <c r="J106" s="1032"/>
      <c r="K106" s="1032"/>
      <c r="L106" s="1032"/>
      <c r="M106" s="1032"/>
      <c r="N106" s="1032"/>
    </row>
    <row r="107" spans="1:14">
      <c r="A107" s="1032"/>
      <c r="B107" s="1032"/>
      <c r="C107" s="1032"/>
      <c r="D107" s="1032"/>
      <c r="E107" s="1032"/>
      <c r="F107" s="1032"/>
      <c r="G107" s="1032"/>
      <c r="H107" s="1032"/>
      <c r="I107" s="1032"/>
      <c r="J107" s="1032"/>
      <c r="K107" s="1032"/>
      <c r="L107" s="1032"/>
      <c r="M107" s="1032"/>
      <c r="N107" s="1032"/>
    </row>
    <row r="108" spans="1:14">
      <c r="A108" s="1032"/>
      <c r="B108" s="1032"/>
      <c r="C108" s="1032"/>
      <c r="D108" s="1032"/>
      <c r="E108" s="1032"/>
      <c r="F108" s="1032"/>
      <c r="G108" s="1032"/>
      <c r="H108" s="1032"/>
      <c r="I108" s="1032"/>
      <c r="J108" s="1032"/>
      <c r="K108" s="1032"/>
      <c r="L108" s="1032"/>
      <c r="M108" s="1032"/>
      <c r="N108" s="1032"/>
    </row>
    <row r="109" spans="1:14">
      <c r="A109" s="1032"/>
      <c r="B109" s="1032"/>
      <c r="C109" s="1032"/>
      <c r="D109" s="1032"/>
      <c r="E109" s="1032"/>
      <c r="F109" s="1032"/>
      <c r="G109" s="1032"/>
      <c r="H109" s="1032"/>
      <c r="I109" s="1032"/>
      <c r="J109" s="1032"/>
      <c r="K109" s="1032"/>
      <c r="L109" s="1032"/>
      <c r="M109" s="1032"/>
      <c r="N109" s="1032"/>
    </row>
    <row r="110" spans="1:14">
      <c r="A110" s="1032"/>
      <c r="B110" s="1032"/>
      <c r="C110" s="1032"/>
      <c r="D110" s="1032"/>
      <c r="E110" s="1032"/>
      <c r="F110" s="1032"/>
      <c r="G110" s="1032"/>
      <c r="H110" s="1032"/>
      <c r="I110" s="1032"/>
      <c r="J110" s="1032"/>
      <c r="K110" s="1032"/>
      <c r="L110" s="1032"/>
      <c r="M110" s="1032"/>
      <c r="N110" s="1032"/>
    </row>
    <row r="111" spans="1:14">
      <c r="A111" s="1032"/>
      <c r="B111" s="1032"/>
      <c r="C111" s="1032"/>
      <c r="D111" s="1032"/>
      <c r="E111" s="1032"/>
      <c r="F111" s="1032"/>
      <c r="G111" s="1032"/>
      <c r="H111" s="1032"/>
      <c r="I111" s="1032"/>
      <c r="J111" s="1032"/>
      <c r="K111" s="1032"/>
      <c r="L111" s="1032"/>
      <c r="M111" s="1032"/>
      <c r="N111" s="1032"/>
    </row>
    <row r="112" spans="1:14">
      <c r="A112" s="1032"/>
      <c r="B112" s="1032"/>
      <c r="C112" s="1032"/>
      <c r="D112" s="1032"/>
      <c r="E112" s="1032"/>
      <c r="F112" s="1032"/>
      <c r="G112" s="1032"/>
      <c r="H112" s="1032"/>
      <c r="I112" s="1032"/>
      <c r="J112" s="1032"/>
      <c r="K112" s="1032"/>
      <c r="L112" s="1032"/>
      <c r="M112" s="1032"/>
      <c r="N112" s="1032"/>
    </row>
    <row r="113" spans="1:14">
      <c r="A113" s="1032"/>
      <c r="B113" s="1032"/>
      <c r="C113" s="1032"/>
      <c r="D113" s="1032"/>
      <c r="E113" s="1032"/>
      <c r="F113" s="1032"/>
      <c r="G113" s="1032"/>
      <c r="H113" s="1032"/>
      <c r="I113" s="1032"/>
      <c r="J113" s="1032"/>
      <c r="K113" s="1032"/>
      <c r="L113" s="1032"/>
      <c r="M113" s="1032"/>
      <c r="N113" s="1032"/>
    </row>
    <row r="114" spans="1:14">
      <c r="A114" s="1032"/>
      <c r="B114" s="1032"/>
      <c r="C114" s="1032"/>
      <c r="D114" s="1032"/>
      <c r="E114" s="1032"/>
      <c r="F114" s="1032"/>
      <c r="G114" s="1032"/>
      <c r="H114" s="1032"/>
      <c r="I114" s="1032"/>
      <c r="J114" s="1032"/>
      <c r="K114" s="1032"/>
      <c r="L114" s="1032"/>
      <c r="M114" s="1032"/>
      <c r="N114" s="1032"/>
    </row>
    <row r="115" spans="1:14">
      <c r="A115" s="1032"/>
      <c r="B115" s="1032"/>
      <c r="C115" s="1032"/>
      <c r="D115" s="1032"/>
      <c r="E115" s="1032"/>
      <c r="F115" s="1032"/>
      <c r="G115" s="1032"/>
      <c r="H115" s="1032"/>
      <c r="I115" s="1032"/>
      <c r="J115" s="1032"/>
      <c r="K115" s="1032"/>
      <c r="L115" s="1032"/>
      <c r="M115" s="1032"/>
      <c r="N115" s="1032"/>
    </row>
    <row r="116" spans="1:14">
      <c r="A116" s="1032"/>
      <c r="B116" s="1032"/>
      <c r="C116" s="1032"/>
      <c r="D116" s="1032"/>
      <c r="E116" s="1032"/>
      <c r="F116" s="1032"/>
      <c r="G116" s="1032"/>
      <c r="H116" s="1032"/>
      <c r="I116" s="1032"/>
      <c r="J116" s="1032"/>
      <c r="K116" s="1032"/>
      <c r="L116" s="1032"/>
      <c r="M116" s="1032"/>
      <c r="N116" s="1032"/>
    </row>
    <row r="117" spans="1:14">
      <c r="A117" s="1032"/>
      <c r="B117" s="1032"/>
      <c r="C117" s="1032"/>
      <c r="D117" s="1032"/>
      <c r="E117" s="1032"/>
      <c r="F117" s="1032"/>
      <c r="G117" s="1032"/>
      <c r="H117" s="1032"/>
      <c r="I117" s="1032"/>
      <c r="J117" s="1032"/>
      <c r="K117" s="1032"/>
      <c r="L117" s="1032"/>
      <c r="M117" s="1032"/>
      <c r="N117" s="1032"/>
    </row>
    <row r="118" spans="1:14">
      <c r="A118" s="1032"/>
      <c r="B118" s="1032"/>
      <c r="C118" s="1032"/>
      <c r="D118" s="1032"/>
      <c r="E118" s="1032"/>
      <c r="F118" s="1032"/>
      <c r="G118" s="1032"/>
      <c r="H118" s="1032"/>
      <c r="I118" s="1032"/>
      <c r="J118" s="1032"/>
      <c r="K118" s="1032"/>
      <c r="L118" s="1032"/>
      <c r="M118" s="1032"/>
      <c r="N118" s="1032"/>
    </row>
    <row r="119" spans="1:14">
      <c r="A119" s="1032"/>
      <c r="B119" s="1032"/>
      <c r="C119" s="1032"/>
      <c r="D119" s="1032"/>
      <c r="E119" s="1032"/>
      <c r="F119" s="1032"/>
      <c r="G119" s="1032"/>
      <c r="H119" s="1032"/>
      <c r="I119" s="1032"/>
      <c r="J119" s="1032"/>
      <c r="K119" s="1032"/>
      <c r="L119" s="1032"/>
      <c r="M119" s="1032"/>
      <c r="N119" s="1032"/>
    </row>
    <row r="120" spans="1:14">
      <c r="A120" s="1032"/>
      <c r="B120" s="1032"/>
      <c r="C120" s="1032"/>
      <c r="D120" s="1032"/>
      <c r="E120" s="1032"/>
      <c r="F120" s="1032"/>
      <c r="G120" s="1032"/>
      <c r="H120" s="1032"/>
      <c r="I120" s="1032"/>
      <c r="J120" s="1032"/>
      <c r="K120" s="1032"/>
      <c r="L120" s="1032"/>
      <c r="M120" s="1032"/>
      <c r="N120" s="1032"/>
    </row>
    <row r="121" spans="1:14">
      <c r="A121" s="1032"/>
      <c r="B121" s="1032"/>
      <c r="C121" s="1032"/>
      <c r="D121" s="1032"/>
      <c r="E121" s="1032"/>
      <c r="F121" s="1032"/>
      <c r="G121" s="1032"/>
      <c r="H121" s="1032"/>
      <c r="I121" s="1032"/>
      <c r="J121" s="1032"/>
      <c r="K121" s="1032"/>
      <c r="L121" s="1032"/>
      <c r="M121" s="1032"/>
      <c r="N121" s="1032"/>
    </row>
    <row r="122" spans="1:14">
      <c r="A122" s="1032"/>
      <c r="B122" s="1032"/>
      <c r="C122" s="1032"/>
      <c r="D122" s="1032"/>
      <c r="E122" s="1032"/>
      <c r="F122" s="1032"/>
      <c r="G122" s="1032"/>
      <c r="H122" s="1032"/>
      <c r="I122" s="1032"/>
      <c r="J122" s="1032"/>
      <c r="K122" s="1032"/>
      <c r="L122" s="1032"/>
      <c r="M122" s="1032"/>
      <c r="N122" s="1032"/>
    </row>
    <row r="123" spans="1:14">
      <c r="A123" s="1032"/>
      <c r="B123" s="1032"/>
      <c r="C123" s="1032"/>
      <c r="D123" s="1032"/>
      <c r="E123" s="1032"/>
      <c r="F123" s="1032"/>
      <c r="G123" s="1032"/>
      <c r="H123" s="1032"/>
      <c r="I123" s="1032"/>
      <c r="J123" s="1032"/>
      <c r="K123" s="1032"/>
      <c r="L123" s="1032"/>
      <c r="M123" s="1032"/>
      <c r="N123" s="1032"/>
    </row>
    <row r="124" spans="1:14">
      <c r="A124" s="1032"/>
      <c r="B124" s="1032"/>
      <c r="C124" s="1032"/>
      <c r="D124" s="1032"/>
      <c r="E124" s="1032"/>
      <c r="F124" s="1032"/>
      <c r="G124" s="1032"/>
      <c r="H124" s="1032"/>
      <c r="I124" s="1032"/>
      <c r="J124" s="1032"/>
      <c r="K124" s="1032"/>
      <c r="L124" s="1032"/>
      <c r="M124" s="1032"/>
      <c r="N124" s="1032"/>
    </row>
    <row r="125" spans="1:14">
      <c r="A125" s="1032"/>
      <c r="B125" s="1032"/>
      <c r="C125" s="1032"/>
      <c r="D125" s="1032"/>
      <c r="E125" s="1032"/>
      <c r="F125" s="1032"/>
      <c r="G125" s="1032"/>
      <c r="H125" s="1032"/>
      <c r="I125" s="1032"/>
      <c r="J125" s="1032"/>
      <c r="K125" s="1032"/>
      <c r="L125" s="1032"/>
      <c r="M125" s="1032"/>
      <c r="N125" s="1032"/>
    </row>
    <row r="126" spans="1:14">
      <c r="A126" s="1032"/>
      <c r="B126" s="1032"/>
      <c r="C126" s="1032"/>
      <c r="D126" s="1032"/>
      <c r="E126" s="1032"/>
      <c r="F126" s="1032"/>
      <c r="G126" s="1032"/>
      <c r="H126" s="1032"/>
      <c r="I126" s="1032"/>
      <c r="J126" s="1032"/>
      <c r="K126" s="1032"/>
      <c r="L126" s="1032"/>
      <c r="M126" s="1032"/>
      <c r="N126" s="1032"/>
    </row>
    <row r="127" spans="1:14">
      <c r="A127" s="1032"/>
      <c r="B127" s="1032"/>
      <c r="C127" s="1032"/>
      <c r="D127" s="1032"/>
      <c r="E127" s="1032"/>
      <c r="F127" s="1032"/>
      <c r="G127" s="1032"/>
      <c r="H127" s="1032"/>
      <c r="I127" s="1032"/>
      <c r="J127" s="1032"/>
      <c r="K127" s="1032"/>
      <c r="L127" s="1032"/>
      <c r="M127" s="1032"/>
      <c r="N127" s="1032"/>
    </row>
    <row r="128" spans="1:14">
      <c r="A128" s="1032"/>
      <c r="B128" s="1032"/>
      <c r="C128" s="1032"/>
      <c r="D128" s="1032"/>
      <c r="E128" s="1032"/>
      <c r="F128" s="1032"/>
      <c r="G128" s="1032"/>
      <c r="H128" s="1032"/>
      <c r="I128" s="1032"/>
      <c r="J128" s="1032"/>
      <c r="K128" s="1032"/>
      <c r="L128" s="1032"/>
      <c r="M128" s="1032"/>
      <c r="N128" s="1032"/>
    </row>
    <row r="129" spans="1:14">
      <c r="A129" s="1032"/>
      <c r="B129" s="1032"/>
      <c r="C129" s="1032"/>
      <c r="D129" s="1032"/>
      <c r="E129" s="1032"/>
      <c r="F129" s="1032"/>
      <c r="G129" s="1032"/>
      <c r="H129" s="1032"/>
      <c r="I129" s="1032"/>
      <c r="J129" s="1032"/>
      <c r="K129" s="1032"/>
      <c r="L129" s="1032"/>
      <c r="M129" s="1032"/>
      <c r="N129" s="1032"/>
    </row>
    <row r="130" spans="1:14">
      <c r="A130" s="1032"/>
      <c r="B130" s="1032"/>
      <c r="C130" s="1032"/>
      <c r="D130" s="1032"/>
      <c r="E130" s="1032"/>
      <c r="F130" s="1032"/>
      <c r="G130" s="1032"/>
      <c r="H130" s="1032"/>
      <c r="I130" s="1032"/>
      <c r="J130" s="1032"/>
      <c r="K130" s="1032"/>
      <c r="L130" s="1032"/>
      <c r="M130" s="1032"/>
      <c r="N130" s="1032"/>
    </row>
    <row r="131" spans="1:14">
      <c r="A131" s="1032"/>
      <c r="B131" s="1032"/>
      <c r="C131" s="1032"/>
      <c r="D131" s="1032"/>
      <c r="E131" s="1032"/>
      <c r="F131" s="1032"/>
      <c r="G131" s="1032"/>
      <c r="H131" s="1032"/>
      <c r="I131" s="1032"/>
      <c r="J131" s="1032"/>
      <c r="K131" s="1032"/>
      <c r="L131" s="1032"/>
      <c r="M131" s="1032"/>
      <c r="N131" s="1032"/>
    </row>
    <row r="132" spans="1:14">
      <c r="A132" s="1032"/>
      <c r="B132" s="1032"/>
      <c r="C132" s="1032"/>
      <c r="D132" s="1032"/>
      <c r="E132" s="1032"/>
      <c r="F132" s="1032"/>
      <c r="G132" s="1032"/>
      <c r="H132" s="1032"/>
      <c r="I132" s="1032"/>
      <c r="J132" s="1032"/>
      <c r="K132" s="1032"/>
      <c r="L132" s="1032"/>
      <c r="M132" s="1032"/>
      <c r="N132" s="1032"/>
    </row>
    <row r="133" spans="1:14">
      <c r="A133" s="1032"/>
      <c r="B133" s="1032"/>
      <c r="C133" s="1032"/>
      <c r="D133" s="1032"/>
      <c r="E133" s="1032"/>
      <c r="F133" s="1032"/>
      <c r="G133" s="1032"/>
      <c r="H133" s="1032"/>
      <c r="I133" s="1032"/>
      <c r="J133" s="1032"/>
      <c r="K133" s="1032"/>
      <c r="L133" s="1032"/>
      <c r="M133" s="1032"/>
      <c r="N133" s="1032"/>
    </row>
    <row r="134" spans="1:14">
      <c r="A134" s="1032"/>
      <c r="B134" s="1032"/>
      <c r="C134" s="1032"/>
      <c r="D134" s="1032"/>
      <c r="E134" s="1032"/>
      <c r="F134" s="1032"/>
      <c r="G134" s="1032"/>
      <c r="H134" s="1032"/>
      <c r="I134" s="1032"/>
      <c r="J134" s="1032"/>
      <c r="K134" s="1032"/>
      <c r="L134" s="1032"/>
      <c r="M134" s="1032"/>
      <c r="N134" s="1032"/>
    </row>
    <row r="135" spans="1:14">
      <c r="A135" s="1032"/>
      <c r="B135" s="1032"/>
      <c r="C135" s="1032"/>
      <c r="D135" s="1032"/>
      <c r="E135" s="1032"/>
      <c r="F135" s="1032"/>
      <c r="G135" s="1032"/>
      <c r="H135" s="1032"/>
      <c r="I135" s="1032"/>
      <c r="J135" s="1032"/>
      <c r="K135" s="1032"/>
      <c r="L135" s="1032"/>
      <c r="M135" s="1032"/>
      <c r="N135" s="1032"/>
    </row>
    <row r="136" spans="1:14">
      <c r="A136" s="1032"/>
      <c r="B136" s="1032"/>
      <c r="C136" s="1032"/>
      <c r="D136" s="1032"/>
      <c r="E136" s="1032"/>
      <c r="F136" s="1032"/>
      <c r="G136" s="1032"/>
      <c r="H136" s="1032"/>
      <c r="I136" s="1032"/>
      <c r="J136" s="1032"/>
      <c r="K136" s="1032"/>
      <c r="L136" s="1032"/>
      <c r="M136" s="1032"/>
      <c r="N136" s="1032"/>
    </row>
    <row r="137" spans="1:14">
      <c r="A137" s="1032"/>
      <c r="B137" s="1032"/>
      <c r="C137" s="1032"/>
      <c r="D137" s="1032"/>
      <c r="E137" s="1032"/>
      <c r="F137" s="1032"/>
      <c r="G137" s="1032"/>
      <c r="H137" s="1032"/>
      <c r="I137" s="1032"/>
      <c r="J137" s="1032"/>
      <c r="K137" s="1032"/>
      <c r="L137" s="1032"/>
      <c r="M137" s="1032"/>
      <c r="N137" s="1032"/>
    </row>
    <row r="138" spans="1:14">
      <c r="A138" s="1032"/>
      <c r="B138" s="1032"/>
      <c r="C138" s="1032"/>
      <c r="D138" s="1032"/>
      <c r="E138" s="1032"/>
      <c r="F138" s="1032"/>
      <c r="G138" s="1032"/>
      <c r="H138" s="1032"/>
      <c r="I138" s="1032"/>
      <c r="J138" s="1032"/>
      <c r="K138" s="1032"/>
      <c r="L138" s="1032"/>
      <c r="M138" s="1032"/>
      <c r="N138" s="1032"/>
    </row>
    <row r="139" spans="1:14">
      <c r="A139" s="1032"/>
      <c r="B139" s="1032"/>
      <c r="C139" s="1032"/>
      <c r="D139" s="1032"/>
      <c r="E139" s="1032"/>
      <c r="F139" s="1032"/>
      <c r="G139" s="1032"/>
      <c r="H139" s="1032"/>
      <c r="I139" s="1032"/>
      <c r="J139" s="1032"/>
      <c r="K139" s="1032"/>
      <c r="L139" s="1032"/>
      <c r="M139" s="1032"/>
      <c r="N139" s="1032"/>
    </row>
    <row r="140" spans="1:14">
      <c r="A140" s="1032"/>
      <c r="B140" s="1032"/>
      <c r="C140" s="1032"/>
      <c r="D140" s="1032"/>
      <c r="E140" s="1032"/>
      <c r="F140" s="1032"/>
      <c r="G140" s="1032"/>
      <c r="H140" s="1032"/>
      <c r="I140" s="1032"/>
      <c r="J140" s="1032"/>
      <c r="K140" s="1032"/>
      <c r="L140" s="1032"/>
      <c r="M140" s="1032"/>
      <c r="N140" s="1032"/>
    </row>
    <row r="141" spans="1:14">
      <c r="A141" s="1032"/>
      <c r="B141" s="1032"/>
      <c r="C141" s="1032"/>
      <c r="D141" s="1032"/>
      <c r="E141" s="1032"/>
      <c r="F141" s="1032"/>
      <c r="G141" s="1032"/>
      <c r="H141" s="1032"/>
      <c r="I141" s="1032"/>
      <c r="J141" s="1032"/>
      <c r="K141" s="1032"/>
      <c r="L141" s="1032"/>
      <c r="M141" s="1032"/>
      <c r="N141" s="1032"/>
    </row>
    <row r="142" spans="1:14">
      <c r="A142" s="1032"/>
      <c r="B142" s="1032"/>
      <c r="C142" s="1032"/>
      <c r="D142" s="1032"/>
      <c r="E142" s="1032"/>
      <c r="F142" s="1032"/>
      <c r="G142" s="1032"/>
      <c r="H142" s="1032"/>
      <c r="I142" s="1032"/>
      <c r="J142" s="1032"/>
      <c r="K142" s="1032"/>
      <c r="L142" s="1032"/>
      <c r="M142" s="1032"/>
      <c r="N142" s="1032"/>
    </row>
    <row r="143" spans="1:14">
      <c r="A143" s="1032"/>
      <c r="B143" s="1032"/>
      <c r="C143" s="1032"/>
      <c r="D143" s="1032"/>
      <c r="E143" s="1032"/>
      <c r="F143" s="1032"/>
      <c r="G143" s="1032"/>
      <c r="H143" s="1032"/>
      <c r="I143" s="1032"/>
      <c r="J143" s="1032"/>
      <c r="K143" s="1032"/>
      <c r="L143" s="1032"/>
      <c r="M143" s="1032"/>
      <c r="N143" s="1032"/>
    </row>
    <row r="144" spans="1:14">
      <c r="A144" s="1032"/>
      <c r="B144" s="1032"/>
      <c r="C144" s="1032"/>
      <c r="D144" s="1032"/>
      <c r="E144" s="1032"/>
      <c r="F144" s="1032"/>
      <c r="G144" s="1032"/>
      <c r="H144" s="1032"/>
      <c r="I144" s="1032"/>
      <c r="J144" s="1032"/>
      <c r="K144" s="1032"/>
      <c r="L144" s="1032"/>
      <c r="M144" s="1032"/>
      <c r="N144" s="1032"/>
    </row>
    <row r="145" spans="1:14">
      <c r="A145" s="1032"/>
      <c r="B145" s="1032"/>
      <c r="C145" s="1032"/>
      <c r="D145" s="1032"/>
      <c r="E145" s="1032"/>
      <c r="F145" s="1032"/>
      <c r="G145" s="1032"/>
      <c r="H145" s="1032"/>
      <c r="I145" s="1032"/>
      <c r="J145" s="1032"/>
      <c r="K145" s="1032"/>
      <c r="L145" s="1032"/>
      <c r="M145" s="1032"/>
      <c r="N145" s="1032"/>
    </row>
    <row r="146" spans="1:14">
      <c r="A146" s="1032"/>
      <c r="B146" s="1032"/>
      <c r="C146" s="1032"/>
      <c r="D146" s="1032"/>
      <c r="E146" s="1032"/>
      <c r="F146" s="1032"/>
      <c r="G146" s="1032"/>
      <c r="H146" s="1032"/>
      <c r="I146" s="1032"/>
      <c r="J146" s="1032"/>
      <c r="K146" s="1032"/>
      <c r="L146" s="1032"/>
      <c r="M146" s="1032"/>
      <c r="N146" s="1032"/>
    </row>
    <row r="147" spans="1:14">
      <c r="A147" s="1032"/>
      <c r="B147" s="1032"/>
      <c r="C147" s="1032"/>
      <c r="D147" s="1032"/>
      <c r="E147" s="1032"/>
      <c r="F147" s="1032"/>
      <c r="G147" s="1032"/>
      <c r="H147" s="1032"/>
      <c r="I147" s="1032"/>
      <c r="J147" s="1032"/>
      <c r="K147" s="1032"/>
      <c r="L147" s="1032"/>
      <c r="M147" s="1032"/>
      <c r="N147" s="1032"/>
    </row>
    <row r="148" spans="1:14">
      <c r="A148" s="1032"/>
      <c r="B148" s="1032"/>
      <c r="C148" s="1032"/>
      <c r="D148" s="1032"/>
      <c r="E148" s="1032"/>
      <c r="F148" s="1032"/>
      <c r="G148" s="1032"/>
      <c r="H148" s="1032"/>
      <c r="I148" s="1032"/>
      <c r="J148" s="1032"/>
      <c r="K148" s="1032"/>
      <c r="L148" s="1032"/>
      <c r="M148" s="1032"/>
      <c r="N148" s="1032"/>
    </row>
    <row r="149" spans="1:14">
      <c r="A149" s="1032"/>
      <c r="B149" s="1032"/>
      <c r="C149" s="1032"/>
      <c r="D149" s="1032"/>
      <c r="E149" s="1032"/>
      <c r="F149" s="1032"/>
      <c r="G149" s="1032"/>
      <c r="H149" s="1032"/>
      <c r="I149" s="1032"/>
      <c r="J149" s="1032"/>
      <c r="K149" s="1032"/>
      <c r="L149" s="1032"/>
      <c r="M149" s="1032"/>
      <c r="N149" s="1032"/>
    </row>
    <row r="150" spans="1:14">
      <c r="A150" s="1032"/>
      <c r="B150" s="1032"/>
      <c r="C150" s="1032"/>
      <c r="D150" s="1032"/>
      <c r="E150" s="1032"/>
      <c r="F150" s="1032"/>
      <c r="G150" s="1032"/>
      <c r="H150" s="1032"/>
      <c r="I150" s="1032"/>
      <c r="J150" s="1032"/>
      <c r="K150" s="1032"/>
      <c r="L150" s="1032"/>
      <c r="M150" s="1032"/>
      <c r="N150" s="1032"/>
    </row>
    <row r="151" spans="1:14">
      <c r="A151" s="1032"/>
      <c r="B151" s="1032"/>
      <c r="C151" s="1032"/>
      <c r="D151" s="1032"/>
      <c r="E151" s="1032"/>
      <c r="F151" s="1032"/>
      <c r="G151" s="1032"/>
      <c r="H151" s="1032"/>
      <c r="I151" s="1032"/>
      <c r="J151" s="1032"/>
      <c r="K151" s="1032"/>
      <c r="L151" s="1032"/>
      <c r="M151" s="1032"/>
      <c r="N151" s="1032"/>
    </row>
    <row r="152" spans="1:14">
      <c r="A152" s="1032"/>
      <c r="B152" s="1032"/>
      <c r="C152" s="1032"/>
      <c r="D152" s="1032"/>
      <c r="E152" s="1032"/>
      <c r="F152" s="1032"/>
      <c r="G152" s="1032"/>
      <c r="H152" s="1032"/>
      <c r="I152" s="1032"/>
      <c r="J152" s="1032"/>
      <c r="K152" s="1032"/>
      <c r="L152" s="1032"/>
      <c r="M152" s="1032"/>
      <c r="N152" s="1032"/>
    </row>
    <row r="153" spans="1:14">
      <c r="A153" s="1032"/>
      <c r="B153" s="1032"/>
      <c r="C153" s="1032"/>
      <c r="D153" s="1032"/>
      <c r="E153" s="1032"/>
      <c r="F153" s="1032"/>
      <c r="G153" s="1032"/>
      <c r="H153" s="1032"/>
      <c r="I153" s="1032"/>
      <c r="J153" s="1032"/>
      <c r="K153" s="1032"/>
      <c r="L153" s="1032"/>
      <c r="M153" s="1032"/>
      <c r="N153" s="1032"/>
    </row>
    <row r="154" spans="1:14">
      <c r="A154" s="1032"/>
      <c r="B154" s="1032"/>
      <c r="C154" s="1032"/>
      <c r="D154" s="1032"/>
      <c r="E154" s="1032"/>
      <c r="F154" s="1032"/>
      <c r="G154" s="1032"/>
      <c r="H154" s="1032"/>
      <c r="I154" s="1032"/>
      <c r="J154" s="1032"/>
      <c r="K154" s="1032"/>
      <c r="L154" s="1032"/>
      <c r="M154" s="1032"/>
      <c r="N154" s="1032"/>
    </row>
    <row r="155" spans="1:14">
      <c r="A155" s="1032"/>
      <c r="B155" s="1032"/>
      <c r="C155" s="1032"/>
      <c r="D155" s="1032"/>
      <c r="E155" s="1032"/>
      <c r="F155" s="1032"/>
      <c r="G155" s="1032"/>
      <c r="H155" s="1032"/>
      <c r="I155" s="1032"/>
      <c r="J155" s="1032"/>
      <c r="K155" s="1032"/>
      <c r="L155" s="1032"/>
      <c r="M155" s="1032"/>
      <c r="N155" s="1032"/>
    </row>
    <row r="156" spans="1:14">
      <c r="A156" s="1032"/>
      <c r="B156" s="1032"/>
      <c r="C156" s="1032"/>
      <c r="D156" s="1032"/>
      <c r="E156" s="1032"/>
      <c r="F156" s="1032"/>
      <c r="G156" s="1032"/>
      <c r="H156" s="1032"/>
      <c r="I156" s="1032"/>
      <c r="J156" s="1032"/>
      <c r="K156" s="1032"/>
      <c r="L156" s="1032"/>
      <c r="M156" s="1032"/>
      <c r="N156" s="1032"/>
    </row>
    <row r="157" spans="1:14">
      <c r="A157" s="1032"/>
      <c r="B157" s="1032"/>
      <c r="C157" s="1032"/>
      <c r="D157" s="1032"/>
      <c r="E157" s="1032"/>
      <c r="F157" s="1032"/>
      <c r="G157" s="1032"/>
      <c r="H157" s="1032"/>
      <c r="I157" s="1032"/>
      <c r="J157" s="1032"/>
      <c r="K157" s="1032"/>
      <c r="L157" s="1032"/>
      <c r="M157" s="1032"/>
      <c r="N157" s="1032"/>
    </row>
    <row r="158" spans="1:14">
      <c r="A158" s="1032"/>
      <c r="B158" s="1032"/>
      <c r="C158" s="1032"/>
      <c r="D158" s="1032"/>
      <c r="E158" s="1032"/>
      <c r="F158" s="1032"/>
      <c r="G158" s="1032"/>
      <c r="H158" s="1032"/>
      <c r="I158" s="1032"/>
      <c r="J158" s="1032"/>
      <c r="K158" s="1032"/>
      <c r="L158" s="1032"/>
      <c r="M158" s="1032"/>
      <c r="N158" s="1032"/>
    </row>
    <row r="159" spans="1:14">
      <c r="A159" s="1032"/>
      <c r="B159" s="1032"/>
      <c r="C159" s="1032"/>
      <c r="D159" s="1032"/>
      <c r="E159" s="1032"/>
      <c r="F159" s="1032"/>
      <c r="G159" s="1032"/>
      <c r="H159" s="1032"/>
      <c r="I159" s="1032"/>
      <c r="J159" s="1032"/>
      <c r="K159" s="1032"/>
      <c r="L159" s="1032"/>
      <c r="M159" s="1032"/>
      <c r="N159" s="1032"/>
    </row>
    <row r="160" spans="1:14">
      <c r="A160" s="1032"/>
      <c r="B160" s="1032"/>
      <c r="C160" s="1032"/>
      <c r="D160" s="1032"/>
      <c r="E160" s="1032"/>
      <c r="F160" s="1032"/>
      <c r="G160" s="1032"/>
      <c r="H160" s="1032"/>
      <c r="I160" s="1032"/>
      <c r="J160" s="1032"/>
      <c r="K160" s="1032"/>
      <c r="L160" s="1032"/>
      <c r="M160" s="1032"/>
      <c r="N160" s="1032"/>
    </row>
    <row r="161" spans="1:14">
      <c r="A161" s="1032"/>
      <c r="B161" s="1032"/>
      <c r="C161" s="1032"/>
      <c r="D161" s="1032"/>
      <c r="E161" s="1032"/>
      <c r="F161" s="1032"/>
      <c r="G161" s="1032"/>
      <c r="H161" s="1032"/>
      <c r="I161" s="1032"/>
      <c r="J161" s="1032"/>
      <c r="K161" s="1032"/>
      <c r="L161" s="1032"/>
      <c r="M161" s="1032"/>
      <c r="N161" s="1032"/>
    </row>
  </sheetData>
  <conditionalFormatting sqref="A28">
    <cfRule type="colorScale" priority="28">
      <colorScale>
        <cfvo type="num" val="0"/>
        <cfvo type="num" val="20"/>
        <cfvo type="num" val="40"/>
        <color rgb="FFFF6173"/>
        <color theme="7" tint="0.79998168889431442"/>
        <color rgb="FF00B050"/>
      </colorScale>
    </cfRule>
  </conditionalFormatting>
  <conditionalFormatting sqref="A31">
    <cfRule type="colorScale" priority="27">
      <colorScale>
        <cfvo type="num" val="1"/>
        <cfvo type="num" val="5"/>
        <color theme="0"/>
        <color rgb="FFFFC000"/>
      </colorScale>
    </cfRule>
  </conditionalFormatting>
  <conditionalFormatting sqref="A9:N9">
    <cfRule type="cellIs" dxfId="10" priority="1" operator="equal">
      <formula>"Close"</formula>
    </cfRule>
    <cfRule type="cellIs" dxfId="9" priority="2" operator="equal">
      <formula>"SURE"</formula>
    </cfRule>
    <cfRule type="cellIs" dxfId="8" priority="3" operator="equal">
      <formula>"4ล้อ Q001"</formula>
    </cfRule>
    <cfRule type="cellIs" dxfId="7" priority="4" operator="equal">
      <formula>"6ล้อ Q001"</formula>
    </cfRule>
    <cfRule type="cellIs" dxfId="6" priority="5" operator="equal">
      <formula>"4ล้อ BK44"</formula>
    </cfRule>
    <cfRule type="cellIs" dxfId="5" priority="6" operator="equal">
      <formula>"6ล้อ BK44"</formula>
    </cfRule>
    <cfRule type="cellIs" dxfId="4" priority="7" operator="equal">
      <formula>"10ล้อ BK44"</formula>
    </cfRule>
    <cfRule type="cellIs" dxfId="3" priority="8" operator="equal">
      <formula>"10ล้อ Q001"</formula>
    </cfRule>
  </conditionalFormatting>
  <conditionalFormatting sqref="D31 B31 F31 H31 J31">
    <cfRule type="colorScale" priority="25">
      <colorScale>
        <cfvo type="num" val="1"/>
        <cfvo type="num" val="5"/>
        <color theme="0"/>
        <color rgb="FFFFC000"/>
      </colorScale>
    </cfRule>
  </conditionalFormatting>
  <conditionalFormatting sqref="C28">
    <cfRule type="colorScale" priority="24">
      <colorScale>
        <cfvo type="num" val="0"/>
        <cfvo type="num" val="20"/>
        <cfvo type="num" val="40"/>
        <color rgb="FFFF6173"/>
        <color theme="7" tint="0.79998168889431442"/>
        <color rgb="FF00B050"/>
      </colorScale>
    </cfRule>
  </conditionalFormatting>
  <conditionalFormatting sqref="C31">
    <cfRule type="colorScale" priority="23">
      <colorScale>
        <cfvo type="num" val="1"/>
        <cfvo type="num" val="5"/>
        <color theme="0"/>
        <color rgb="FFFFC000"/>
      </colorScale>
    </cfRule>
  </conditionalFormatting>
  <conditionalFormatting sqref="B28 D28 F28 H28 J28">
    <cfRule type="colorScale" priority="26">
      <colorScale>
        <cfvo type="num" val="0"/>
        <cfvo type="num" val="20"/>
        <cfvo type="num" val="40"/>
        <color rgb="FFFF6173"/>
        <color theme="7" tint="0.79998168889431442"/>
        <color rgb="FF00B050"/>
      </colorScale>
    </cfRule>
  </conditionalFormatting>
  <conditionalFormatting sqref="E28">
    <cfRule type="colorScale" priority="22">
      <colorScale>
        <cfvo type="num" val="0"/>
        <cfvo type="num" val="20"/>
        <cfvo type="num" val="40"/>
        <color rgb="FFFF6173"/>
        <color theme="7" tint="0.79998168889431442"/>
        <color rgb="FF00B050"/>
      </colorScale>
    </cfRule>
  </conditionalFormatting>
  <conditionalFormatting sqref="E31">
    <cfRule type="colorScale" priority="21">
      <colorScale>
        <cfvo type="num" val="1"/>
        <cfvo type="num" val="5"/>
        <color theme="0"/>
        <color rgb="FFFFC000"/>
      </colorScale>
    </cfRule>
  </conditionalFormatting>
  <conditionalFormatting sqref="G28">
    <cfRule type="colorScale" priority="20">
      <colorScale>
        <cfvo type="num" val="0"/>
        <cfvo type="num" val="20"/>
        <cfvo type="num" val="40"/>
        <color rgb="FFFF6173"/>
        <color theme="7" tint="0.79998168889431442"/>
        <color rgb="FF00B050"/>
      </colorScale>
    </cfRule>
  </conditionalFormatting>
  <conditionalFormatting sqref="G31">
    <cfRule type="colorScale" priority="19">
      <colorScale>
        <cfvo type="num" val="1"/>
        <cfvo type="num" val="5"/>
        <color theme="0"/>
        <color rgb="FFFFC000"/>
      </colorScale>
    </cfRule>
  </conditionalFormatting>
  <conditionalFormatting sqref="I28">
    <cfRule type="colorScale" priority="18">
      <colorScale>
        <cfvo type="num" val="0"/>
        <cfvo type="num" val="20"/>
        <cfvo type="num" val="40"/>
        <color rgb="FFFF6173"/>
        <color theme="7" tint="0.79998168889431442"/>
        <color rgb="FF00B050"/>
      </colorScale>
    </cfRule>
  </conditionalFormatting>
  <conditionalFormatting sqref="I31">
    <cfRule type="colorScale" priority="17">
      <colorScale>
        <cfvo type="num" val="1"/>
        <cfvo type="num" val="5"/>
        <color theme="0"/>
        <color rgb="FFFFC000"/>
      </colorScale>
    </cfRule>
  </conditionalFormatting>
  <conditionalFormatting sqref="K28">
    <cfRule type="colorScale" priority="14">
      <colorScale>
        <cfvo type="num" val="0"/>
        <cfvo type="num" val="20"/>
        <cfvo type="num" val="40"/>
        <color rgb="FFFF6173"/>
        <color theme="7" tint="0.79998168889431442"/>
        <color rgb="FF00B050"/>
      </colorScale>
    </cfRule>
  </conditionalFormatting>
  <conditionalFormatting sqref="K31">
    <cfRule type="colorScale" priority="13">
      <colorScale>
        <cfvo type="num" val="1"/>
        <cfvo type="num" val="5"/>
        <color theme="0"/>
        <color rgb="FFFFC000"/>
      </colorScale>
    </cfRule>
  </conditionalFormatting>
  <conditionalFormatting sqref="L28">
    <cfRule type="colorScale" priority="16">
      <colorScale>
        <cfvo type="num" val="0"/>
        <cfvo type="num" val="20"/>
        <cfvo type="num" val="40"/>
        <color rgb="FFFF6173"/>
        <color theme="7" tint="0.79998168889431442"/>
        <color rgb="FF00B050"/>
      </colorScale>
    </cfRule>
  </conditionalFormatting>
  <conditionalFormatting sqref="L31">
    <cfRule type="colorScale" priority="15">
      <colorScale>
        <cfvo type="num" val="1"/>
        <cfvo type="num" val="5"/>
        <color theme="0"/>
        <color rgb="FFFFC000"/>
      </colorScale>
    </cfRule>
  </conditionalFormatting>
  <conditionalFormatting sqref="M28">
    <cfRule type="colorScale" priority="10">
      <colorScale>
        <cfvo type="num" val="0"/>
        <cfvo type="num" val="20"/>
        <cfvo type="num" val="40"/>
        <color rgb="FFFF6173"/>
        <color theme="7" tint="0.79998168889431442"/>
        <color rgb="FF00B050"/>
      </colorScale>
    </cfRule>
  </conditionalFormatting>
  <conditionalFormatting sqref="M31">
    <cfRule type="colorScale" priority="9">
      <colorScale>
        <cfvo type="num" val="1"/>
        <cfvo type="num" val="5"/>
        <color theme="0"/>
        <color rgb="FFFFC000"/>
      </colorScale>
    </cfRule>
  </conditionalFormatting>
  <conditionalFormatting sqref="N28">
    <cfRule type="colorScale" priority="12">
      <colorScale>
        <cfvo type="num" val="0"/>
        <cfvo type="num" val="20"/>
        <cfvo type="num" val="40"/>
        <color rgb="FFFF6173"/>
        <color theme="7" tint="0.79998168889431442"/>
        <color rgb="FF00B050"/>
      </colorScale>
    </cfRule>
  </conditionalFormatting>
  <conditionalFormatting sqref="N31">
    <cfRule type="colorScale" priority="11">
      <colorScale>
        <cfvo type="num" val="1"/>
        <cfvo type="num" val="5"/>
        <color theme="0"/>
        <color rgb="FFFFC000"/>
      </colorScale>
    </cfRule>
  </conditionalFormatting>
  <pageMargins left="0.7" right="0.7" top="0.75" bottom="0.75" header="0.3" footer="0.3"/>
  <customProperties>
    <customPr name="EpmWorksheetKeyString_GUID" r:id="rId1"/>
  </customPropertie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E3D3E-E0D6-48BC-A6AC-FBF32435BCB7}">
  <dimension ref="B2:AF25"/>
  <sheetViews>
    <sheetView topLeftCell="B13" workbookViewId="0">
      <selection activeCell="G23" sqref="G23"/>
    </sheetView>
  </sheetViews>
  <sheetFormatPr defaultRowHeight="16"/>
  <cols>
    <col min="1" max="1" width="8.6640625" style="1036"/>
    <col min="2" max="2" width="12.25" style="1036" bestFit="1" customWidth="1"/>
    <col min="3" max="3" width="9.5" style="1036" customWidth="1"/>
    <col min="4" max="4" width="7.75" style="1036" bestFit="1" customWidth="1"/>
    <col min="5" max="5" width="6.5" style="1036" customWidth="1"/>
    <col min="6" max="6" width="5.33203125" style="1036" bestFit="1" customWidth="1"/>
    <col min="7" max="7" width="20.33203125" style="1036" bestFit="1" customWidth="1"/>
    <col min="8" max="8" width="8.1640625" style="1036" bestFit="1" customWidth="1"/>
    <col min="9" max="9" width="9.1640625" style="1036" bestFit="1" customWidth="1"/>
    <col min="10" max="10" width="31.25" style="1036" bestFit="1" customWidth="1"/>
    <col min="11" max="11" width="13.6640625" style="1036" bestFit="1" customWidth="1"/>
    <col min="12" max="12" width="7.33203125" style="1036" bestFit="1" customWidth="1"/>
    <col min="13" max="13" width="3.08203125" style="1036" bestFit="1" customWidth="1"/>
    <col min="14" max="14" width="5.4140625" style="1036" bestFit="1" customWidth="1"/>
    <col min="15" max="15" width="4.75" style="1036" bestFit="1" customWidth="1"/>
    <col min="16" max="16" width="6" style="1036" bestFit="1" customWidth="1"/>
    <col min="17" max="17" width="3.83203125" style="1036" bestFit="1" customWidth="1"/>
    <col min="18" max="18" width="6.4140625" style="1036" bestFit="1" customWidth="1"/>
    <col min="19" max="19" width="3.25" style="1036" bestFit="1" customWidth="1"/>
    <col min="20" max="20" width="3.58203125" style="1036" bestFit="1" customWidth="1"/>
    <col min="21" max="21" width="7.9140625" style="1036" bestFit="1" customWidth="1"/>
    <col min="22" max="22" width="8.33203125" style="1036" bestFit="1" customWidth="1"/>
    <col min="23" max="23" width="5.75" style="1036" bestFit="1" customWidth="1"/>
    <col min="24" max="24" width="14.33203125" style="1036" bestFit="1" customWidth="1"/>
    <col min="25" max="25" width="6" style="1036" bestFit="1" customWidth="1"/>
    <col min="26" max="26" width="5.9140625" style="1036" bestFit="1" customWidth="1"/>
    <col min="27" max="27" width="21.5" style="1036" bestFit="1" customWidth="1"/>
    <col min="28" max="28" width="6.58203125" style="1036" bestFit="1" customWidth="1"/>
    <col min="29" max="29" width="7.9140625" style="1036" bestFit="1" customWidth="1"/>
    <col min="30" max="30" width="3.9140625" style="1036" bestFit="1" customWidth="1"/>
    <col min="31" max="31" width="5.9140625" style="1036" bestFit="1" customWidth="1"/>
    <col min="32" max="32" width="6.33203125" style="1036" bestFit="1" customWidth="1"/>
    <col min="33" max="16384" width="8.6640625" style="1036"/>
  </cols>
  <sheetData>
    <row r="2" spans="2:32">
      <c r="B2" s="1036" t="s">
        <v>3263</v>
      </c>
      <c r="C2" s="1034">
        <v>46275</v>
      </c>
    </row>
    <row r="3" spans="2:32">
      <c r="B3" s="1036" t="s">
        <v>3264</v>
      </c>
      <c r="C3" s="1034">
        <v>46281</v>
      </c>
    </row>
    <row r="5" spans="2:32" ht="32">
      <c r="B5" s="1037" t="s">
        <v>3</v>
      </c>
      <c r="C5" s="1038" t="s">
        <v>4</v>
      </c>
      <c r="D5" s="1039" t="s">
        <v>2765</v>
      </c>
      <c r="E5" s="1039" t="s">
        <v>8</v>
      </c>
      <c r="F5" s="1039" t="s">
        <v>2771</v>
      </c>
      <c r="G5" s="1039" t="s">
        <v>9</v>
      </c>
      <c r="H5" s="1040" t="s">
        <v>10</v>
      </c>
      <c r="I5" s="1040" t="s">
        <v>2168</v>
      </c>
      <c r="J5" s="1041" t="s">
        <v>12</v>
      </c>
      <c r="K5" s="1042" t="s">
        <v>13</v>
      </c>
      <c r="L5" s="1039" t="s">
        <v>14</v>
      </c>
      <c r="M5" s="1043" t="s">
        <v>15</v>
      </c>
      <c r="N5" s="1043" t="s">
        <v>16</v>
      </c>
      <c r="O5" s="1044" t="s">
        <v>17</v>
      </c>
      <c r="P5" s="1039" t="s">
        <v>18</v>
      </c>
      <c r="Q5" s="1039" t="s">
        <v>19</v>
      </c>
      <c r="R5" s="1039" t="s">
        <v>20</v>
      </c>
      <c r="S5" s="1043" t="s">
        <v>21</v>
      </c>
      <c r="T5" s="1045" t="s">
        <v>23</v>
      </c>
      <c r="U5" s="1046" t="s">
        <v>22</v>
      </c>
      <c r="V5" s="1047" t="s">
        <v>24</v>
      </c>
      <c r="W5" s="1048" t="s">
        <v>25</v>
      </c>
      <c r="X5" s="1049" t="s">
        <v>514</v>
      </c>
      <c r="Y5" s="1050" t="s">
        <v>27</v>
      </c>
      <c r="Z5" s="1043" t="s">
        <v>126</v>
      </c>
      <c r="AA5" s="1051" t="s">
        <v>28</v>
      </c>
      <c r="AB5" s="1052" t="s">
        <v>2059</v>
      </c>
      <c r="AC5" s="1053" t="s">
        <v>511</v>
      </c>
      <c r="AD5" s="1054"/>
      <c r="AE5" s="1055" t="s">
        <v>31</v>
      </c>
      <c r="AF5" s="1056" t="s">
        <v>32</v>
      </c>
    </row>
    <row r="6" spans="2:32">
      <c r="B6" s="1034" cm="1">
        <f t="array" ref="B6:AF15">_xlfn.UNIQUE(_xlfn.HSTACK(_xlfn._xlws.FILTER(แผนผลิต!B5:C10000,(แผนผลิต!B5:B10000&gt;=$C$2)*(แผนผลิต!B5:B10000&lt;=$C$3)),_xlfn._xlws.FILTER(แผนผลิต!G5:AI10000,(แผนผลิต!B5:B10000&gt;=$C$2)*(แผนผลิต!B5:B10000&lt;=$C$3))))</f>
        <v>46275</v>
      </c>
      <c r="C6" s="1034" t="str">
        <v>10-2026</v>
      </c>
      <c r="D6" s="1036" t="str">
        <v>ขายภายใน</v>
      </c>
      <c r="E6" s="1036" t="str">
        <v>.7-11</v>
      </c>
      <c r="F6" s="1036" t="str">
        <v>CPFGS</v>
      </c>
      <c r="G6" s="1036" t="str">
        <v>Seven  ถ้วยดำ</v>
      </c>
      <c r="H6" s="1036" t="str">
        <v>E+Wonton</v>
      </c>
      <c r="I6" s="1036" t="str">
        <v>Cooked Wonton</v>
      </c>
      <c r="J6" s="1036" t="str">
        <v>เกี๊ยวกุ้ง_ตราซีพี_(145กรัมx24)(7-11)</v>
      </c>
      <c r="K6" s="1036" t="str">
        <v>082S81A24005P04001</v>
      </c>
      <c r="L6" s="1036" t="str">
        <v>145g*24</v>
      </c>
      <c r="M6" s="1036">
        <v>24</v>
      </c>
      <c r="N6" s="1036">
        <v>5</v>
      </c>
      <c r="O6" s="1036">
        <v>8.0000000000000002E-3</v>
      </c>
      <c r="P6" s="1036" t="str">
        <v>M</v>
      </c>
      <c r="Q6" s="1036" t="str">
        <v>STPP</v>
      </c>
      <c r="R6" s="1036" t="str">
        <v>Regular</v>
      </c>
      <c r="S6" s="1036">
        <v>4842</v>
      </c>
      <c r="T6" s="1036">
        <v>0</v>
      </c>
      <c r="U6" s="1036">
        <v>0</v>
      </c>
      <c r="V6" s="1036">
        <v>-4842</v>
      </c>
      <c r="W6" s="1036">
        <v>116208</v>
      </c>
      <c r="X6" s="1036">
        <v>581040</v>
      </c>
      <c r="Y6" s="1036">
        <v>7.4999999999999997E-3</v>
      </c>
      <c r="Z6" s="1036">
        <v>871.56</v>
      </c>
      <c r="AA6" s="1036">
        <v>0</v>
      </c>
      <c r="AB6" s="1036">
        <v>4.64832</v>
      </c>
      <c r="AC6" s="1036">
        <v>8.6079999999999988</v>
      </c>
      <c r="AD6" s="1036">
        <v>0.14499999999999999</v>
      </c>
      <c r="AE6" s="1036">
        <v>16.850159999999999</v>
      </c>
      <c r="AF6" s="1036">
        <v>116208</v>
      </c>
    </row>
    <row r="7" spans="2:32">
      <c r="B7" s="1034">
        <v>46276</v>
      </c>
      <c r="C7" s="1034" t="str">
        <v>10-2026</v>
      </c>
      <c r="D7" s="1036" t="str">
        <v>ขายภายใน</v>
      </c>
      <c r="E7" s="1036" t="str">
        <v>.7-11</v>
      </c>
      <c r="F7" s="1036" t="str">
        <v>CPFGS</v>
      </c>
      <c r="G7" s="1036" t="str">
        <v>ถ้วยใหม่</v>
      </c>
      <c r="H7" s="1036" t="str">
        <v>E+Wonton</v>
      </c>
      <c r="I7" s="1036" t="str">
        <v>Cooked Wonton</v>
      </c>
      <c r="J7" s="1036" t="str">
        <v>เกี๊ยวกุ้ง ตรา อีซี่ โก 24x5 PCS</v>
      </c>
      <c r="K7" s="1036" t="str">
        <v>082S81A24005P0E001</v>
      </c>
      <c r="L7" s="1036" t="str">
        <v>135g*24</v>
      </c>
      <c r="M7" s="1036">
        <v>24</v>
      </c>
      <c r="N7" s="1036">
        <v>5</v>
      </c>
      <c r="O7" s="1036">
        <v>6.1999999999999998E-3</v>
      </c>
      <c r="P7" s="1036" t="str">
        <v>SS</v>
      </c>
      <c r="Q7" s="1036" t="str">
        <v>STPP</v>
      </c>
      <c r="R7" s="1036" t="str">
        <v>Regular</v>
      </c>
      <c r="S7" s="1036">
        <v>4842</v>
      </c>
      <c r="T7" s="1036">
        <v>0</v>
      </c>
      <c r="U7" s="1036">
        <v>0</v>
      </c>
      <c r="V7" s="1036">
        <v>-4842</v>
      </c>
      <c r="W7" s="1036">
        <v>116208</v>
      </c>
      <c r="X7" s="1036">
        <v>581040</v>
      </c>
      <c r="Y7" s="1036">
        <v>7.4999999999999997E-3</v>
      </c>
      <c r="Z7" s="1036">
        <v>871.56</v>
      </c>
      <c r="AA7" s="1036">
        <v>0</v>
      </c>
      <c r="AB7" s="1036">
        <v>3.6024479999999999</v>
      </c>
      <c r="AC7" s="1036">
        <v>6.6711999999999989</v>
      </c>
      <c r="AD7" s="1036">
        <v>0.13500000000000001</v>
      </c>
      <c r="AE7" s="1036">
        <v>15.688080000000001</v>
      </c>
      <c r="AF7" s="1036">
        <v>116208</v>
      </c>
    </row>
    <row r="8" spans="2:32">
      <c r="B8" s="1034">
        <v>46277</v>
      </c>
      <c r="C8" s="1034" t="str">
        <v>10-2026</v>
      </c>
      <c r="D8" s="1036" t="str">
        <v>ขายภายใน</v>
      </c>
      <c r="E8" s="1036" t="str">
        <v>.7-11</v>
      </c>
      <c r="F8" s="1036" t="str">
        <v>CPFGS</v>
      </c>
      <c r="G8" s="1036" t="str">
        <v>Seven  ถ้วยดำ</v>
      </c>
      <c r="H8" s="1036" t="str">
        <v>E+Wonton</v>
      </c>
      <c r="I8" s="1036" t="str">
        <v>Cooked Wonton</v>
      </c>
      <c r="J8" s="1036" t="str">
        <v>เกี๊ยวกุ้ง_ตราซีพี_(145กรัมx24)(7-11)</v>
      </c>
      <c r="K8" s="1036" t="str">
        <v>082S81A24005P04001</v>
      </c>
      <c r="L8" s="1036" t="str">
        <v>145g*24</v>
      </c>
      <c r="M8" s="1036">
        <v>24</v>
      </c>
      <c r="N8" s="1036">
        <v>5</v>
      </c>
      <c r="O8" s="1036">
        <v>8.0000000000000002E-3</v>
      </c>
      <c r="P8" s="1036" t="str">
        <v>M</v>
      </c>
      <c r="Q8" s="1036" t="str">
        <v>STPP</v>
      </c>
      <c r="R8" s="1036" t="str">
        <v>Regular</v>
      </c>
      <c r="S8" s="1036">
        <v>4842</v>
      </c>
      <c r="T8" s="1036">
        <v>0</v>
      </c>
      <c r="U8" s="1036">
        <v>0</v>
      </c>
      <c r="V8" s="1036">
        <v>-4842</v>
      </c>
      <c r="W8" s="1036">
        <v>116208</v>
      </c>
      <c r="X8" s="1036">
        <v>581040</v>
      </c>
      <c r="Y8" s="1036">
        <v>7.4999999999999997E-3</v>
      </c>
      <c r="Z8" s="1036">
        <v>871.56</v>
      </c>
      <c r="AA8" s="1036">
        <v>0</v>
      </c>
      <c r="AB8" s="1036">
        <v>4.64832</v>
      </c>
      <c r="AC8" s="1036">
        <v>8.6079999999999988</v>
      </c>
      <c r="AD8" s="1036">
        <v>0.14499999999999999</v>
      </c>
      <c r="AE8" s="1036">
        <v>16.850159999999999</v>
      </c>
      <c r="AF8" s="1036">
        <v>116208</v>
      </c>
    </row>
    <row r="9" spans="2:32">
      <c r="B9" s="1034">
        <v>46278</v>
      </c>
      <c r="C9" s="1034">
        <v>46303</v>
      </c>
      <c r="D9" s="1036" t="str">
        <v>DRY2600219</v>
      </c>
      <c r="E9" s="1036" t="str">
        <v>AUS</v>
      </c>
      <c r="F9" s="1036" t="str">
        <v>CPFNW</v>
      </c>
      <c r="G9" s="1036" t="str">
        <v>CPF Australia Pty Ltd.</v>
      </c>
      <c r="H9" s="1036" t="str">
        <v>Wonton ND+V</v>
      </c>
      <c r="I9" s="1036" t="str">
        <v>Cooked Wonton</v>
      </c>
      <c r="J9" s="1036" t="str">
        <v xml:space="preserve">Cooked Wonton ND No Egg with Pumpkin
+ Yu Choy </v>
      </c>
      <c r="K9" s="1036" t="str">
        <v>082SJ9U36005P00001</v>
      </c>
      <c r="L9" s="1036" t="str">
        <v>308g*6c*6in</v>
      </c>
      <c r="M9" s="1036">
        <v>36</v>
      </c>
      <c r="N9" s="1036">
        <v>5</v>
      </c>
      <c r="O9" s="1036">
        <v>7.4999999999999997E-3</v>
      </c>
      <c r="P9" s="1036" t="str">
        <v>HC</v>
      </c>
      <c r="Q9" s="1036" t="str">
        <v>Salt</v>
      </c>
      <c r="R9" s="1036" t="str">
        <v>Regular</v>
      </c>
      <c r="S9" s="1036">
        <v>792</v>
      </c>
      <c r="T9" s="1036">
        <v>0</v>
      </c>
      <c r="U9" s="1036">
        <v>35.305555555555557</v>
      </c>
      <c r="V9" s="1036">
        <v>-756.69444444444446</v>
      </c>
      <c r="W9" s="1036">
        <v>27241</v>
      </c>
      <c r="X9" s="1036">
        <v>136205</v>
      </c>
      <c r="Y9" s="1036">
        <v>7.4999999999999997E-3</v>
      </c>
      <c r="Z9" s="1036">
        <v>204.3075</v>
      </c>
      <c r="AA9" s="1036">
        <v>0</v>
      </c>
      <c r="AB9" s="1036">
        <v>1.0215375</v>
      </c>
      <c r="AC9" s="1036">
        <v>1.8917361111111111</v>
      </c>
      <c r="AD9" s="1036">
        <v>0.308</v>
      </c>
      <c r="AE9" s="1036">
        <v>8.3902279999999987</v>
      </c>
      <c r="AF9" s="1036">
        <v>28512</v>
      </c>
    </row>
    <row r="10" spans="2:32">
      <c r="B10" s="1034">
        <v>46278</v>
      </c>
      <c r="C10" s="1034">
        <v>46303</v>
      </c>
      <c r="D10" s="1036" t="str">
        <v>DRY2600220</v>
      </c>
      <c r="E10" s="1036" t="str">
        <v>AUS</v>
      </c>
      <c r="F10" s="1036" t="str">
        <v>CPFNW</v>
      </c>
      <c r="G10" s="1036" t="str">
        <v>CPF Australia Pty Ltd.</v>
      </c>
      <c r="H10" s="1036" t="str">
        <v>Wonton ND+V</v>
      </c>
      <c r="I10" s="1036" t="str">
        <v>Cooked Wonton</v>
      </c>
      <c r="J10" s="1036" t="str">
        <v xml:space="preserve">Cooked Wonton ND No Egg with Pumpkin
+ Yu Choy </v>
      </c>
      <c r="K10" s="1036" t="str">
        <v>082SJ9U36005P00001</v>
      </c>
      <c r="L10" s="1036" t="str">
        <v>308g*6c*6in</v>
      </c>
      <c r="M10" s="1036">
        <v>36</v>
      </c>
      <c r="N10" s="1036">
        <v>5</v>
      </c>
      <c r="O10" s="1036">
        <v>7.4999999999999997E-3</v>
      </c>
      <c r="P10" s="1036" t="str">
        <v>HC</v>
      </c>
      <c r="Q10" s="1036" t="str">
        <v>Salt</v>
      </c>
      <c r="R10" s="1036" t="str">
        <v>Regular</v>
      </c>
      <c r="S10" s="1036">
        <v>792</v>
      </c>
      <c r="T10" s="1036">
        <v>0</v>
      </c>
      <c r="U10" s="1036">
        <v>0</v>
      </c>
      <c r="V10" s="1036">
        <v>-792</v>
      </c>
      <c r="W10" s="1036">
        <v>28512</v>
      </c>
      <c r="X10" s="1036">
        <v>142560</v>
      </c>
      <c r="Y10" s="1036">
        <v>7.4999999999999997E-3</v>
      </c>
      <c r="Z10" s="1036">
        <v>213.84</v>
      </c>
      <c r="AA10" s="1036">
        <v>0</v>
      </c>
      <c r="AB10" s="1036">
        <v>1.0692000000000002</v>
      </c>
      <c r="AC10" s="1036">
        <v>1.9800000000000002</v>
      </c>
      <c r="AD10" s="1036">
        <v>0.308</v>
      </c>
      <c r="AE10" s="1036">
        <v>8.7816960000000002</v>
      </c>
      <c r="AF10" s="1036">
        <v>28512</v>
      </c>
    </row>
    <row r="11" spans="2:32">
      <c r="B11" s="1034">
        <v>46278</v>
      </c>
      <c r="C11" s="1034">
        <v>46303</v>
      </c>
      <c r="D11" s="1036" t="str">
        <v>DRY2600221</v>
      </c>
      <c r="E11" s="1036" t="str">
        <v>AUS</v>
      </c>
      <c r="F11" s="1036" t="str">
        <v>CPFNW</v>
      </c>
      <c r="G11" s="1036" t="str">
        <v>CPF Australia Pty Ltd.</v>
      </c>
      <c r="H11" s="1036" t="str">
        <v>Wonton ND+V</v>
      </c>
      <c r="I11" s="1036" t="str">
        <v>Cooked Wonton</v>
      </c>
      <c r="J11" s="1036" t="str">
        <v xml:space="preserve">Cooked Wonton ND No Egg with Pumpkin
+ Yu Choy </v>
      </c>
      <c r="K11" s="1036" t="str">
        <v>082SJ9U36005P00001</v>
      </c>
      <c r="L11" s="1036" t="str">
        <v>308g*6c*6in</v>
      </c>
      <c r="M11" s="1036">
        <v>36</v>
      </c>
      <c r="N11" s="1036">
        <v>5</v>
      </c>
      <c r="O11" s="1036">
        <v>7.4999999999999997E-3</v>
      </c>
      <c r="P11" s="1036" t="str">
        <v>HC</v>
      </c>
      <c r="Q11" s="1036" t="str">
        <v>Salt</v>
      </c>
      <c r="R11" s="1036" t="str">
        <v>Regular</v>
      </c>
      <c r="S11" s="1036">
        <v>792</v>
      </c>
      <c r="T11" s="1036">
        <v>0</v>
      </c>
      <c r="U11" s="1036">
        <v>0</v>
      </c>
      <c r="V11" s="1036">
        <v>-792</v>
      </c>
      <c r="W11" s="1036">
        <v>28512</v>
      </c>
      <c r="X11" s="1036">
        <v>142560</v>
      </c>
      <c r="Y11" s="1036">
        <v>7.4999999999999997E-3</v>
      </c>
      <c r="Z11" s="1036">
        <v>213.84</v>
      </c>
      <c r="AA11" s="1036">
        <v>0</v>
      </c>
      <c r="AB11" s="1036">
        <v>1.0692000000000002</v>
      </c>
      <c r="AC11" s="1036">
        <v>1.9800000000000002</v>
      </c>
      <c r="AD11" s="1036">
        <v>0.308</v>
      </c>
      <c r="AE11" s="1036">
        <v>8.7816960000000002</v>
      </c>
      <c r="AF11" s="1036">
        <v>28512</v>
      </c>
    </row>
    <row r="12" spans="2:32">
      <c r="B12" s="1034">
        <v>46278</v>
      </c>
      <c r="C12" s="1034">
        <v>46310</v>
      </c>
      <c r="D12" s="1036" t="str">
        <v>DRY2600234</v>
      </c>
      <c r="E12" s="1036" t="str">
        <v>AUS</v>
      </c>
      <c r="F12" s="1036" t="str">
        <v>CPFNW</v>
      </c>
      <c r="G12" s="1036" t="str">
        <v>CPF Australia Pty Ltd.(Woolworth)</v>
      </c>
      <c r="H12" s="1036" t="str">
        <v>Wonton ND+V</v>
      </c>
      <c r="I12" s="1036" t="str">
        <v>Cooked Wonton</v>
      </c>
      <c r="J12" s="1036" t="str">
        <v xml:space="preserve">Cooked Wonton ND No Egg with Pumpkin
+ Yu Choy </v>
      </c>
      <c r="K12" s="1036" t="str">
        <v>082SJ9U05004P00001</v>
      </c>
      <c r="L12" s="1036" t="str">
        <v>305g*5</v>
      </c>
      <c r="M12" s="1036">
        <v>5</v>
      </c>
      <c r="N12" s="1036">
        <v>4</v>
      </c>
      <c r="O12" s="1036">
        <v>7.4999999999999997E-3</v>
      </c>
      <c r="P12" s="1036" t="str">
        <v>HC</v>
      </c>
      <c r="Q12" s="1036" t="str">
        <v>Salt</v>
      </c>
      <c r="R12" s="1036" t="str">
        <v>Regular</v>
      </c>
      <c r="S12" s="1036">
        <v>5076</v>
      </c>
      <c r="T12" s="1036">
        <v>0</v>
      </c>
      <c r="U12" s="1036">
        <v>22.6</v>
      </c>
      <c r="V12" s="1036">
        <v>-5053.3999999999996</v>
      </c>
      <c r="W12" s="1036">
        <v>25267</v>
      </c>
      <c r="X12" s="1036">
        <v>101068</v>
      </c>
      <c r="Y12" s="1036">
        <v>7.4999999999999997E-3</v>
      </c>
      <c r="Z12" s="1036">
        <v>189.5025</v>
      </c>
      <c r="AA12" s="1036" t="str">
        <v>ถ้าว,ฝา สีขาว</v>
      </c>
      <c r="AB12" s="1036">
        <v>0.75800999999999996</v>
      </c>
      <c r="AC12" s="1036">
        <v>1.4037222222222221</v>
      </c>
      <c r="AD12" s="1036">
        <v>0.30499999999999999</v>
      </c>
      <c r="AE12" s="1036">
        <v>7.7064349999999999</v>
      </c>
      <c r="AF12" s="1036">
        <v>25380</v>
      </c>
    </row>
    <row r="13" spans="2:32">
      <c r="B13" s="1034">
        <v>46279</v>
      </c>
      <c r="C13" s="1034">
        <v>0</v>
      </c>
      <c r="D13" s="1036">
        <v>0</v>
      </c>
      <c r="E13" s="1036">
        <v>0</v>
      </c>
      <c r="F13" s="1036">
        <v>0</v>
      </c>
      <c r="G13" s="1036">
        <v>0</v>
      </c>
      <c r="H13" s="1036">
        <v>0</v>
      </c>
      <c r="I13" s="1036">
        <v>0</v>
      </c>
      <c r="J13" s="1036">
        <v>0</v>
      </c>
      <c r="K13" s="1036">
        <v>0</v>
      </c>
      <c r="L13" s="1036">
        <v>0</v>
      </c>
      <c r="M13" s="1036">
        <v>0</v>
      </c>
      <c r="N13" s="1036">
        <v>0</v>
      </c>
      <c r="O13" s="1036">
        <v>0</v>
      </c>
      <c r="P13" s="1036">
        <v>0</v>
      </c>
      <c r="Q13" s="1036">
        <v>0</v>
      </c>
      <c r="R13" s="1036">
        <v>0</v>
      </c>
      <c r="S13" s="1036">
        <v>0</v>
      </c>
      <c r="T13" s="1036">
        <v>0</v>
      </c>
      <c r="U13" s="1036">
        <v>0</v>
      </c>
      <c r="V13" s="1036">
        <v>0</v>
      </c>
      <c r="W13" s="1036">
        <v>0</v>
      </c>
      <c r="X13" s="1036">
        <v>0</v>
      </c>
      <c r="Y13" s="1036">
        <v>0</v>
      </c>
      <c r="Z13" s="1036">
        <v>0</v>
      </c>
      <c r="AA13" s="1036">
        <v>0</v>
      </c>
      <c r="AB13" s="1036">
        <v>0</v>
      </c>
      <c r="AC13" s="1036">
        <v>0</v>
      </c>
      <c r="AD13" s="1036">
        <v>0</v>
      </c>
      <c r="AE13" s="1036">
        <v>0</v>
      </c>
      <c r="AF13" s="1036">
        <v>0</v>
      </c>
    </row>
    <row r="14" spans="2:32">
      <c r="B14" s="1034">
        <v>46280</v>
      </c>
      <c r="C14" s="1034">
        <v>0</v>
      </c>
      <c r="D14" s="1036">
        <v>0</v>
      </c>
      <c r="E14" s="1036">
        <v>0</v>
      </c>
      <c r="F14" s="1036">
        <v>0</v>
      </c>
      <c r="G14" s="1036">
        <v>0</v>
      </c>
      <c r="H14" s="1036">
        <v>0</v>
      </c>
      <c r="I14" s="1036">
        <v>0</v>
      </c>
      <c r="J14" s="1036">
        <v>0</v>
      </c>
      <c r="K14" s="1036">
        <v>0</v>
      </c>
      <c r="L14" s="1036">
        <v>0</v>
      </c>
      <c r="M14" s="1036">
        <v>0</v>
      </c>
      <c r="N14" s="1036">
        <v>0</v>
      </c>
      <c r="O14" s="1036">
        <v>0</v>
      </c>
      <c r="P14" s="1036">
        <v>0</v>
      </c>
      <c r="Q14" s="1036">
        <v>0</v>
      </c>
      <c r="R14" s="1036">
        <v>0</v>
      </c>
      <c r="S14" s="1036">
        <v>0</v>
      </c>
      <c r="T14" s="1036">
        <v>0</v>
      </c>
      <c r="U14" s="1036">
        <v>0</v>
      </c>
      <c r="V14" s="1036">
        <v>0</v>
      </c>
      <c r="W14" s="1036">
        <v>0</v>
      </c>
      <c r="X14" s="1036">
        <v>0</v>
      </c>
      <c r="Y14" s="1036">
        <v>0</v>
      </c>
      <c r="Z14" s="1036">
        <v>0</v>
      </c>
      <c r="AA14" s="1036">
        <v>0</v>
      </c>
      <c r="AB14" s="1036">
        <v>0</v>
      </c>
      <c r="AC14" s="1036">
        <v>0</v>
      </c>
      <c r="AD14" s="1036">
        <v>0</v>
      </c>
      <c r="AE14" s="1036">
        <v>0</v>
      </c>
      <c r="AF14" s="1036">
        <v>0</v>
      </c>
    </row>
    <row r="15" spans="2:32">
      <c r="B15" s="1034">
        <v>46281</v>
      </c>
      <c r="C15" s="1034">
        <v>46294</v>
      </c>
      <c r="D15" s="1036" t="str">
        <v>DRY2600175</v>
      </c>
      <c r="E15" s="1036" t="str">
        <v>UK</v>
      </c>
      <c r="F15" s="1036" t="str">
        <v>CPFNW</v>
      </c>
      <c r="G15" s="1036" t="str">
        <v>Westbridge Foods Limited (One UK)</v>
      </c>
      <c r="H15" s="1036" t="str">
        <v>Noodles+BC</v>
      </c>
      <c r="I15" s="1036" t="str">
        <v>Cooked Wonton</v>
      </c>
      <c r="J15" s="1036" t="str">
        <v>Crispy Chilli Oil Biang Biang Noodles+BC "Kitchen Joy"</v>
      </c>
      <c r="K15" s="1036" t="str">
        <v>082SLKW12310G00001</v>
      </c>
      <c r="L15" s="1036" t="str">
        <v>310g*12ถ้วย</v>
      </c>
      <c r="M15" s="1036">
        <v>12</v>
      </c>
      <c r="N15" s="1036">
        <v>3</v>
      </c>
      <c r="O15" s="1036">
        <v>0.01</v>
      </c>
      <c r="P15" s="1036" t="str">
        <v>Aubergine</v>
      </c>
      <c r="Q15" s="1036" t="str">
        <v>-</v>
      </c>
      <c r="R15" s="1036" t="str">
        <v>Soy Sauce</v>
      </c>
      <c r="S15" s="1036">
        <v>2278</v>
      </c>
      <c r="T15" s="1036">
        <v>0</v>
      </c>
      <c r="U15" s="1036">
        <v>0</v>
      </c>
      <c r="V15" s="1036">
        <v>-2278</v>
      </c>
      <c r="W15" s="1036">
        <v>27336</v>
      </c>
      <c r="X15" s="1036">
        <v>82008</v>
      </c>
      <c r="Y15" s="1036">
        <v>0</v>
      </c>
      <c r="Z15" s="1036">
        <v>0</v>
      </c>
      <c r="AA15" s="1036" t="str">
        <v>ถ้าว,ฝา สีขาว New Package 1,800/HR</v>
      </c>
      <c r="AB15" s="1036">
        <v>0.82007999999999992</v>
      </c>
      <c r="AC15" s="1036">
        <v>1.5186666666666664</v>
      </c>
      <c r="AD15" s="1036">
        <v>0.31</v>
      </c>
      <c r="AE15" s="1036">
        <v>0.26621999999999996</v>
      </c>
      <c r="AF15" s="1036">
        <v>27336</v>
      </c>
    </row>
    <row r="16" spans="2:32">
      <c r="B16" s="1035"/>
    </row>
    <row r="17" spans="2:5">
      <c r="B17" s="1035"/>
    </row>
    <row r="18" spans="2:5">
      <c r="B18" s="1035" t="s">
        <v>3265</v>
      </c>
      <c r="C18" s="1036" t="s">
        <v>40</v>
      </c>
      <c r="D18" s="1036" t="s">
        <v>3266</v>
      </c>
      <c r="E18" s="1036" t="s">
        <v>3267</v>
      </c>
    </row>
    <row r="19" spans="2:5">
      <c r="B19" s="1057" cm="1">
        <f t="array" ref="B19:B25">_xlfn.UNIQUE(B6:B15)</f>
        <v>46275</v>
      </c>
      <c r="C19" s="1058" cm="1">
        <f t="array" ref="C19">SUMPRODUCT((Assortment!$B$4:$S$4=$B19)*(Assortment!$U$11:$U$25=C$18)*IFERROR(Assortment!$B$11:$S$25*1,0))</f>
        <v>2864.5267034182293</v>
      </c>
      <c r="D19" s="1058" cm="1">
        <f t="array" ref="D19">SUMPRODUCT((Assortment!$B$4:$S$4=$B19)*(Assortment!$U$11:$U$25=D$18)*IFERROR(Assortment!$B$11:$S$25*1,0))</f>
        <v>2637.1647759758216</v>
      </c>
      <c r="E19" s="1058" cm="1">
        <f t="array" ref="E19">SUMPRODUCT((Assortment!$B$4:$S$4=$B19)*(Assortment!$U$11:$U$25=E$18)*IFERROR(Assortment!$B$11:$S$25*1,0))</f>
        <v>431.40856500844501</v>
      </c>
    </row>
    <row r="20" spans="2:5">
      <c r="B20" s="1057">
        <v>46276</v>
      </c>
      <c r="C20" s="1058" cm="1">
        <f t="array" ref="C20">SUMPRODUCT((Assortment!$B$4:$S$4=$B20)*(Assortment!$U$11:$U$25=C$18)*IFERROR(Assortment!$B$11:$S$25*1,0))</f>
        <v>2625.8161448000433</v>
      </c>
      <c r="D20" s="1058" cm="1">
        <f t="array" ref="D20">SUMPRODUCT((Assortment!$B$4:$S$4=$B20)*(Assortment!$U$11:$U$25=D$18)*IFERROR(Assortment!$B$11:$S$25*1,0))</f>
        <v>2417.4010446445036</v>
      </c>
      <c r="E20" s="1058" cm="1">
        <f t="array" ref="E20">SUMPRODUCT((Assortment!$B$4:$S$4=$B20)*(Assortment!$U$11:$U$25=E$18)*IFERROR(Assortment!$B$11:$S$25*1,0))</f>
        <v>395.45785125774137</v>
      </c>
    </row>
    <row r="21" spans="2:5">
      <c r="B21" s="1057">
        <v>46277</v>
      </c>
      <c r="C21" s="1058" cm="1">
        <f t="array" ref="C21">SUMPRODUCT((Assortment!$B$4:$S$4=$B21)*(Assortment!$U$11:$U$25=C$18)*IFERROR(Assortment!$B$11:$S$25*1,0))</f>
        <v>0</v>
      </c>
      <c r="D21" s="1058" cm="1">
        <f t="array" ref="D21">SUMPRODUCT((Assortment!$B$4:$S$4=$B21)*(Assortment!$U$11:$U$25=D$18)*IFERROR(Assortment!$B$11:$S$25*1,0))</f>
        <v>0</v>
      </c>
      <c r="E21" s="1058" cm="1">
        <f t="array" ref="E21">SUMPRODUCT((Assortment!$B$4:$S$4=$B21)*(Assortment!$U$11:$U$25=E$18)*IFERROR(Assortment!$B$11:$S$25*1,0))</f>
        <v>0</v>
      </c>
    </row>
    <row r="22" spans="2:5">
      <c r="B22" s="1057">
        <v>46278</v>
      </c>
      <c r="C22" s="1058" cm="1">
        <f t="array" ref="C22">SUMPRODUCT((Assortment!$B$4:$S$4=$B22)*(Assortment!$U$11:$U$25=C$18)*IFERROR(Assortment!$B$11:$S$25*1,0))</f>
        <v>0</v>
      </c>
      <c r="D22" s="1058" cm="1">
        <f t="array" ref="D22">SUMPRODUCT((Assortment!$B$4:$S$4=$B22)*(Assortment!$U$11:$U$25=D$18)*IFERROR(Assortment!$B$11:$S$25*1,0))</f>
        <v>0</v>
      </c>
      <c r="E22" s="1058" cm="1">
        <f t="array" ref="E22">SUMPRODUCT((Assortment!$B$4:$S$4=$B22)*(Assortment!$U$11:$U$25=E$18)*IFERROR(Assortment!$B$11:$S$25*1,0))</f>
        <v>0</v>
      </c>
    </row>
    <row r="23" spans="2:5">
      <c r="B23" s="1057">
        <v>46279</v>
      </c>
      <c r="C23" s="1058" cm="1">
        <f t="array" ref="C23">SUMPRODUCT((Assortment!$B$4:$S$4=$B23)*(Assortment!$U$11:$U$25=C$18)*IFERROR(Assortment!$B$11:$S$25*1,0))</f>
        <v>2864.5267034182293</v>
      </c>
      <c r="D23" s="1058" cm="1">
        <f t="array" ref="D23">SUMPRODUCT((Assortment!$B$4:$S$4=$B23)*(Assortment!$U$11:$U$25=D$18)*IFERROR(Assortment!$B$11:$S$25*1,0))</f>
        <v>2637.1647759758216</v>
      </c>
      <c r="E23" s="1058" cm="1">
        <f t="array" ref="E23">SUMPRODUCT((Assortment!$B$4:$S$4=$B23)*(Assortment!$U$11:$U$25=E$18)*IFERROR(Assortment!$B$11:$S$25*1,0))</f>
        <v>431.40856500844501</v>
      </c>
    </row>
    <row r="24" spans="2:5">
      <c r="B24" s="1057">
        <v>46280</v>
      </c>
      <c r="C24" s="1058" cm="1">
        <f t="array" ref="C24">SUMPRODUCT((Assortment!$B$4:$S$4=$B24)*(Assortment!$U$11:$U$25=C$18)*IFERROR(Assortment!$B$11:$S$25*1,0))</f>
        <v>4774.2111723637154</v>
      </c>
      <c r="D24" s="1058" cm="1">
        <f t="array" ref="D24">SUMPRODUCT((Assortment!$B$4:$S$4=$B24)*(Assortment!$U$11:$U$25=D$18)*IFERROR(Assortment!$B$11:$S$25*1,0))</f>
        <v>4395.2746266263694</v>
      </c>
      <c r="E24" s="1058" cm="1">
        <f t="array" ref="E24">SUMPRODUCT((Assortment!$B$4:$S$4=$B24)*(Assortment!$U$11:$U$25=E$18)*IFERROR(Assortment!$B$11:$S$25*1,0))</f>
        <v>719.01427501407511</v>
      </c>
    </row>
    <row r="25" spans="2:5">
      <c r="B25" s="1057">
        <v>46281</v>
      </c>
      <c r="C25" s="1058" cm="1">
        <f t="array" ref="C25">SUMPRODUCT((Assortment!$B$4:$S$4=$B25)*(Assortment!$U$11:$U$25=C$18)*IFERROR(Assortment!$B$11:$S$25*1,0))</f>
        <v>2387.1055861818577</v>
      </c>
      <c r="D25" s="1058" cm="1">
        <f t="array" ref="D25">SUMPRODUCT((Assortment!$B$4:$S$4=$B25)*(Assortment!$U$11:$U$25=D$18)*IFERROR(Assortment!$B$11:$S$25*1,0))</f>
        <v>2197.6373133131847</v>
      </c>
      <c r="E25" s="1058" cm="1">
        <f t="array" ref="E25">SUMPRODUCT((Assortment!$B$4:$S$4=$B25)*(Assortment!$U$11:$U$25=E$18)*IFERROR(Assortment!$B$11:$S$25*1,0))</f>
        <v>359.50713750703756</v>
      </c>
    </row>
  </sheetData>
  <conditionalFormatting sqref="B5:C5">
    <cfRule type="cellIs" dxfId="0" priority="1" stopIfTrue="1" operator="equal">
      <formula>41790.5</formula>
    </cfRule>
  </conditionalFormatting>
  <pageMargins left="0.7" right="0.7" top="0.75" bottom="0.75" header="0.3" footer="0.3"/>
  <customProperties>
    <customPr name="EpmWorksheetKeyString_GUID" r:id="rId1"/>
  </customPropertie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8CCAF0-82FA-49E3-B6D4-C8EE7D1D242F}">
          <x14:formula1>
            <xm:f>แผนผลิต!$B5:$B100000</xm:f>
          </x14:formula1>
          <xm:sqref>C2:C3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423F9-4338-466B-B58B-AE41246292C2}">
  <dimension ref="A1"/>
  <sheetViews>
    <sheetView workbookViewId="0"/>
  </sheetViews>
  <sheetFormatPr defaultRowHeight="14"/>
  <sheetData/>
  <pageMargins left="0.7" right="0.7" top="0.75" bottom="0.75" header="0.3" footer="0.3"/>
  <customProperties>
    <customPr name="EpmWorksheetKeyString_GU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7924-3032-403A-A2B8-43A19F102CC0}">
  <dimension ref="A1"/>
  <sheetViews>
    <sheetView tabSelected="1" workbookViewId="0"/>
  </sheetViews>
  <sheetFormatPr defaultRowHeight="14"/>
  <sheetData/>
  <pageMargins left="0.7" right="0.7" top="0.75" bottom="0.75" header="0.3" footer="0.3"/>
  <customProperties>
    <customPr name="EpmWorksheetKeyString_GU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AX33"/>
  <sheetViews>
    <sheetView showGridLines="0" showZeros="0" zoomScale="77" zoomScaleNormal="77" workbookViewId="0">
      <pane xSplit="7" ySplit="4" topLeftCell="H9" activePane="bottomRight" state="frozen"/>
      <selection pane="topRight" activeCell="H1" sqref="H1"/>
      <selection pane="bottomLeft" activeCell="A3" sqref="A3"/>
      <selection pane="bottomRight" activeCell="L21" sqref="L21"/>
    </sheetView>
  </sheetViews>
  <sheetFormatPr defaultColWidth="8.83203125" defaultRowHeight="16.5"/>
  <cols>
    <col min="1" max="1" width="12.1640625" style="666" customWidth="1"/>
    <col min="2" max="2" width="13.75" style="722" customWidth="1"/>
    <col min="3" max="3" width="13" style="723" customWidth="1"/>
    <col min="4" max="4" width="11.4140625" style="676" hidden="1" customWidth="1"/>
    <col min="5" max="5" width="14.1640625" style="724" hidden="1" customWidth="1"/>
    <col min="6" max="6" width="13.83203125" style="676" customWidth="1"/>
    <col min="7" max="7" width="13.25" style="676" customWidth="1"/>
    <col min="8" max="8" width="21.25" style="120" customWidth="1"/>
    <col min="9" max="9" width="17.58203125" style="674" customWidth="1"/>
    <col min="10" max="10" width="35.58203125" style="120" customWidth="1"/>
    <col min="11" max="11" width="22.25" style="676" customWidth="1"/>
    <col min="12" max="12" width="13.83203125" style="676" customWidth="1"/>
    <col min="13" max="13" width="5.58203125" style="677" customWidth="1"/>
    <col min="14" max="14" width="5.4140625" style="677" customWidth="1"/>
    <col min="15" max="15" width="6.4140625" style="678" customWidth="1"/>
    <col min="16" max="16" width="6.25" style="676" customWidth="1"/>
    <col min="17" max="17" width="6.4140625" style="676" customWidth="1"/>
    <col min="18" max="18" width="12.75" style="676" customWidth="1"/>
    <col min="19" max="19" width="8" style="119" customWidth="1"/>
    <col min="20" max="20" width="8.4140625" style="119" customWidth="1"/>
    <col min="21" max="21" width="8.4140625" style="679" customWidth="1"/>
    <col min="22" max="22" width="9" style="680" customWidth="1"/>
    <col min="23" max="23" width="11.1640625" style="681" customWidth="1"/>
    <col min="24" max="24" width="10.1640625" style="681" customWidth="1"/>
    <col min="25" max="25" width="7.4140625" style="677" customWidth="1"/>
    <col min="26" max="26" width="9.58203125" style="119" customWidth="1"/>
    <col min="27" max="27" width="36.25" style="120" customWidth="1"/>
    <col min="28" max="28" width="9" style="118" customWidth="1"/>
    <col min="29" max="29" width="7.25" style="118" customWidth="1"/>
    <col min="30" max="30" width="9" style="682" customWidth="1"/>
    <col min="31" max="31" width="9" style="118" customWidth="1"/>
    <col min="32" max="32" width="10.1640625" style="119" customWidth="1"/>
    <col min="33" max="34" width="9" style="120" customWidth="1"/>
    <col min="35" max="35" width="27.25" style="120" customWidth="1"/>
    <col min="36" max="37" width="11.75" style="120" customWidth="1"/>
    <col min="38" max="38" width="11.75" style="124" customWidth="1"/>
    <col min="39" max="39" width="12.75" style="120" customWidth="1"/>
    <col min="40" max="43" width="12.4140625" style="672" customWidth="1"/>
    <col min="44" max="44" width="13.25" style="672" customWidth="1"/>
    <col min="45" max="45" width="12.4140625" style="672" customWidth="1"/>
    <col min="46" max="46" width="15.83203125" style="672" customWidth="1"/>
    <col min="47" max="47" width="14.25" style="672" customWidth="1"/>
    <col min="48" max="48" width="13.1640625" style="672" customWidth="1"/>
    <col min="49" max="49" width="13.83203125" style="672" customWidth="1"/>
    <col min="50" max="50" width="12.4140625" style="672" customWidth="1"/>
    <col min="51" max="16384" width="8.83203125" style="120"/>
  </cols>
  <sheetData>
    <row r="1" spans="1:50" s="156" customFormat="1" ht="26.5" customHeight="1">
      <c r="A1" s="142"/>
      <c r="B1" s="740" t="s">
        <v>1654</v>
      </c>
      <c r="C1" s="726"/>
      <c r="D1" s="727"/>
      <c r="E1" s="728"/>
      <c r="F1" s="727"/>
      <c r="G1" s="727"/>
      <c r="H1" s="729"/>
      <c r="I1" s="730"/>
      <c r="J1" s="739"/>
      <c r="K1" s="730" t="s">
        <v>1655</v>
      </c>
      <c r="L1" s="727"/>
      <c r="M1" s="731"/>
      <c r="N1" s="731"/>
      <c r="O1" s="732"/>
      <c r="P1" s="727"/>
      <c r="Q1" s="727"/>
      <c r="R1" s="727"/>
      <c r="S1" s="733"/>
      <c r="T1" s="733"/>
      <c r="U1" s="734"/>
      <c r="V1" s="735"/>
      <c r="W1" s="736"/>
      <c r="X1" s="741" t="s">
        <v>1658</v>
      </c>
      <c r="Y1" s="731"/>
      <c r="Z1" s="733"/>
      <c r="AA1" s="729"/>
      <c r="AB1" s="737"/>
      <c r="AC1" s="738"/>
      <c r="AD1" s="158"/>
      <c r="AE1" s="157"/>
      <c r="AF1" s="152"/>
      <c r="AL1" s="15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49"/>
    </row>
    <row r="2" spans="1:50" s="156" customFormat="1" ht="27.65" customHeight="1">
      <c r="A2" s="142"/>
      <c r="B2" s="740" t="s">
        <v>1653</v>
      </c>
      <c r="C2" s="726"/>
      <c r="D2" s="727"/>
      <c r="E2" s="728"/>
      <c r="F2" s="727"/>
      <c r="G2" s="727"/>
      <c r="H2" s="729"/>
      <c r="I2" s="730"/>
      <c r="J2" s="739"/>
      <c r="K2" s="730" t="s">
        <v>1656</v>
      </c>
      <c r="L2" s="727"/>
      <c r="M2" s="731"/>
      <c r="N2" s="731"/>
      <c r="O2" s="732"/>
      <c r="P2" s="727"/>
      <c r="Q2" s="727"/>
      <c r="R2" s="727"/>
      <c r="S2" s="733"/>
      <c r="T2" s="733"/>
      <c r="U2" s="734"/>
      <c r="V2" s="735"/>
      <c r="W2" s="736"/>
      <c r="X2" s="741" t="s">
        <v>1657</v>
      </c>
      <c r="Y2" s="731"/>
      <c r="Z2" s="733"/>
      <c r="AA2" s="729"/>
      <c r="AB2" s="737"/>
      <c r="AC2" s="738"/>
      <c r="AD2" s="158"/>
      <c r="AE2" s="157"/>
      <c r="AF2" s="152"/>
      <c r="AL2" s="15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49"/>
      <c r="AX2" s="149"/>
    </row>
    <row r="3" spans="1:50" ht="31.5" customHeight="1">
      <c r="B3" s="667" t="s">
        <v>0</v>
      </c>
      <c r="C3" s="668"/>
      <c r="D3" s="669" t="s">
        <v>1</v>
      </c>
      <c r="E3" s="670" t="s">
        <v>1</v>
      </c>
      <c r="F3" s="671">
        <f>แผนผลิต!G3</f>
        <v>46274</v>
      </c>
      <c r="G3" s="672"/>
      <c r="H3" s="673"/>
      <c r="J3" s="675"/>
    </row>
    <row r="4" spans="1:50" s="182" customFormat="1" ht="35.15" customHeight="1">
      <c r="A4" s="683"/>
      <c r="B4" s="684" t="s">
        <v>3</v>
      </c>
      <c r="C4" s="685" t="s">
        <v>4</v>
      </c>
      <c r="D4" s="686" t="s">
        <v>5</v>
      </c>
      <c r="E4" s="687" t="s">
        <v>6</v>
      </c>
      <c r="F4" s="688" t="s">
        <v>7</v>
      </c>
      <c r="G4" s="688" t="s">
        <v>8</v>
      </c>
      <c r="H4" s="688" t="s">
        <v>9</v>
      </c>
      <c r="I4" s="689" t="s">
        <v>11</v>
      </c>
      <c r="J4" s="686" t="s">
        <v>12</v>
      </c>
      <c r="K4" s="690" t="s">
        <v>13</v>
      </c>
      <c r="L4" s="688" t="s">
        <v>14</v>
      </c>
      <c r="M4" s="691" t="s">
        <v>15</v>
      </c>
      <c r="N4" s="691" t="s">
        <v>16</v>
      </c>
      <c r="O4" s="692" t="s">
        <v>17</v>
      </c>
      <c r="P4" s="688" t="s">
        <v>18</v>
      </c>
      <c r="Q4" s="688" t="s">
        <v>19</v>
      </c>
      <c r="R4" s="688" t="s">
        <v>20</v>
      </c>
      <c r="S4" s="691" t="s">
        <v>21</v>
      </c>
      <c r="T4" s="693" t="s">
        <v>23</v>
      </c>
      <c r="U4" s="694" t="s">
        <v>22</v>
      </c>
      <c r="V4" s="695" t="s">
        <v>24</v>
      </c>
      <c r="W4" s="696" t="s">
        <v>25</v>
      </c>
      <c r="X4" s="697" t="s">
        <v>514</v>
      </c>
      <c r="Y4" s="167" t="s">
        <v>27</v>
      </c>
      <c r="Z4" s="691" t="s">
        <v>126</v>
      </c>
      <c r="AA4" s="698" t="s">
        <v>28</v>
      </c>
      <c r="AB4" s="699" t="s">
        <v>510</v>
      </c>
      <c r="AC4" s="700" t="s">
        <v>511</v>
      </c>
      <c r="AD4" s="701"/>
      <c r="AE4" s="702" t="s">
        <v>31</v>
      </c>
      <c r="AF4" s="703" t="s">
        <v>32</v>
      </c>
      <c r="AG4" s="179" t="s">
        <v>33</v>
      </c>
      <c r="AH4" s="179"/>
      <c r="AI4" s="179"/>
      <c r="AJ4" s="179"/>
      <c r="AK4" s="180"/>
      <c r="AL4" s="181"/>
      <c r="AM4" s="704" t="s">
        <v>645</v>
      </c>
      <c r="AN4" s="705" t="s">
        <v>35</v>
      </c>
      <c r="AO4" s="705" t="s">
        <v>36</v>
      </c>
      <c r="AP4" s="705" t="s">
        <v>37</v>
      </c>
      <c r="AQ4" s="705" t="s">
        <v>38</v>
      </c>
      <c r="AR4" s="706" t="s">
        <v>39</v>
      </c>
      <c r="AS4" s="706" t="s">
        <v>40</v>
      </c>
      <c r="AT4" s="706" t="s">
        <v>41</v>
      </c>
      <c r="AU4" s="706" t="s">
        <v>42</v>
      </c>
      <c r="AV4" s="706" t="s">
        <v>43</v>
      </c>
      <c r="AW4" s="706" t="s">
        <v>44</v>
      </c>
      <c r="AX4" s="706" t="s">
        <v>45</v>
      </c>
    </row>
    <row r="5" spans="1:50" ht="25" customHeight="1">
      <c r="A5" s="102" t="s">
        <v>438</v>
      </c>
      <c r="B5" s="103">
        <v>45399</v>
      </c>
      <c r="C5" s="104">
        <v>45404</v>
      </c>
      <c r="D5" s="105" t="str">
        <f>VLOOKUP($B5,Week!$A$1:$C$1462,2,0)</f>
        <v>Week16</v>
      </c>
      <c r="E5" s="106">
        <f>VLOOKUP(B5,Week!$A$1:$C$1462,3,0)</f>
        <v>45383</v>
      </c>
      <c r="F5" s="107" t="s">
        <v>1083</v>
      </c>
      <c r="G5" s="105" t="s">
        <v>104</v>
      </c>
      <c r="H5" s="108" t="s">
        <v>105</v>
      </c>
      <c r="I5" s="662" t="s">
        <v>433</v>
      </c>
      <c r="J5" s="108" t="s">
        <v>565</v>
      </c>
      <c r="K5" s="105" t="s">
        <v>567</v>
      </c>
      <c r="L5" s="105" t="s">
        <v>566</v>
      </c>
      <c r="M5" s="109">
        <v>16</v>
      </c>
      <c r="N5" s="109">
        <v>6</v>
      </c>
      <c r="O5" s="110">
        <v>8.1300000000000001E-3</v>
      </c>
      <c r="P5" s="105" t="s">
        <v>40</v>
      </c>
      <c r="Q5" s="105" t="s">
        <v>112</v>
      </c>
      <c r="R5" s="105" t="s">
        <v>662</v>
      </c>
      <c r="S5" s="111">
        <v>930</v>
      </c>
      <c r="T5" s="111">
        <f>832</f>
        <v>832</v>
      </c>
      <c r="U5" s="112">
        <f>98</f>
        <v>98</v>
      </c>
      <c r="V5" s="113">
        <f t="shared" ref="V5:V10" si="0">(T5+U5)-S5</f>
        <v>0</v>
      </c>
      <c r="W5" s="114">
        <f t="shared" ref="W5:W10" si="1">IF(V5&lt;0,((S5*M5)-((T5+U5)*M5)),0)</f>
        <v>0</v>
      </c>
      <c r="X5" s="114"/>
      <c r="Y5" s="109">
        <v>1</v>
      </c>
      <c r="Z5" s="111">
        <f t="shared" ref="Z5:Z10" si="2">Y5*S5*M5</f>
        <v>14880</v>
      </c>
      <c r="AA5" s="115" t="s">
        <v>573</v>
      </c>
      <c r="AB5" s="116">
        <f t="shared" ref="AB5:AB14" si="3">SUM(N5*O5*W5)/1000</f>
        <v>0</v>
      </c>
      <c r="AC5" s="116">
        <f t="shared" ref="AC5:AC10" si="4">AB5/0.54</f>
        <v>0</v>
      </c>
      <c r="AD5" s="117">
        <f t="shared" ref="AD5:AD10" si="5">MID(L5,1,3)/1000</f>
        <v>0.11700000000000001</v>
      </c>
      <c r="AE5" s="118">
        <f t="shared" ref="AE5:AE10" si="6">(W5*AD5)/1000</f>
        <v>0</v>
      </c>
      <c r="AF5" s="119">
        <f t="shared" ref="AF5:AF10" si="7">S5*M5</f>
        <v>14880</v>
      </c>
      <c r="AH5" s="120" t="s">
        <v>691</v>
      </c>
      <c r="AI5" s="121" t="s">
        <v>690</v>
      </c>
      <c r="AJ5" s="122">
        <f t="shared" ref="AJ5:AJ14" si="8">AD5*W5</f>
        <v>0</v>
      </c>
      <c r="AK5" s="123">
        <f t="shared" ref="AK5:AK21" si="9">B5</f>
        <v>45399</v>
      </c>
      <c r="AL5" s="124" t="s">
        <v>692</v>
      </c>
      <c r="AM5" s="125"/>
      <c r="AN5" s="126"/>
      <c r="AO5" s="126">
        <v>12080450</v>
      </c>
      <c r="AP5" s="126"/>
      <c r="AQ5" s="126">
        <v>12083198</v>
      </c>
      <c r="AR5" s="127"/>
      <c r="AS5" s="126">
        <v>12080491</v>
      </c>
      <c r="AT5" s="126"/>
      <c r="AU5" s="126" t="s">
        <v>627</v>
      </c>
      <c r="AV5" s="126"/>
      <c r="AW5" s="126"/>
      <c r="AX5" s="127"/>
    </row>
    <row r="6" spans="1:50" ht="25" customHeight="1">
      <c r="A6" s="102" t="s">
        <v>438</v>
      </c>
      <c r="B6" s="103">
        <v>45400</v>
      </c>
      <c r="C6" s="104">
        <v>45404</v>
      </c>
      <c r="D6" s="105" t="str">
        <f>VLOOKUP($B6,Week!$A$1:$C$1462,2,0)</f>
        <v>Week16</v>
      </c>
      <c r="E6" s="106">
        <f>VLOOKUP(B6,Week!$A$1:$C$1462,3,0)</f>
        <v>45383</v>
      </c>
      <c r="F6" s="107" t="s">
        <v>1083</v>
      </c>
      <c r="G6" s="105" t="s">
        <v>104</v>
      </c>
      <c r="H6" s="108" t="s">
        <v>105</v>
      </c>
      <c r="I6" s="662" t="s">
        <v>433</v>
      </c>
      <c r="J6" s="108" t="s">
        <v>565</v>
      </c>
      <c r="K6" s="105" t="s">
        <v>567</v>
      </c>
      <c r="L6" s="105" t="s">
        <v>566</v>
      </c>
      <c r="M6" s="109">
        <v>16</v>
      </c>
      <c r="N6" s="109">
        <v>6</v>
      </c>
      <c r="O6" s="110">
        <v>8.1300000000000001E-3</v>
      </c>
      <c r="P6" s="105" t="s">
        <v>40</v>
      </c>
      <c r="Q6" s="105" t="s">
        <v>112</v>
      </c>
      <c r="R6" s="105" t="s">
        <v>662</v>
      </c>
      <c r="S6" s="111">
        <f>1200-930</f>
        <v>270</v>
      </c>
      <c r="T6" s="111">
        <v>270</v>
      </c>
      <c r="U6" s="112"/>
      <c r="V6" s="113">
        <f>(T6+U6)-S6</f>
        <v>0</v>
      </c>
      <c r="W6" s="114">
        <f>IF(V6&lt;0,((S6*M6)-((T6+U6)*M6)),0)</f>
        <v>0</v>
      </c>
      <c r="X6" s="114"/>
      <c r="Y6" s="109">
        <v>1</v>
      </c>
      <c r="Z6" s="111">
        <f>Y6*S6*M6</f>
        <v>4320</v>
      </c>
      <c r="AA6" s="115" t="s">
        <v>573</v>
      </c>
      <c r="AB6" s="116">
        <f t="shared" si="3"/>
        <v>0</v>
      </c>
      <c r="AC6" s="116">
        <f>AB6/0.54</f>
        <v>0</v>
      </c>
      <c r="AD6" s="117">
        <f>MID(L6,1,3)/1000</f>
        <v>0.11700000000000001</v>
      </c>
      <c r="AE6" s="118">
        <f>(W6*AD6)/1000</f>
        <v>0</v>
      </c>
      <c r="AF6" s="119">
        <f>S6*M6</f>
        <v>4320</v>
      </c>
      <c r="AH6" s="120" t="s">
        <v>691</v>
      </c>
      <c r="AI6" s="121" t="s">
        <v>690</v>
      </c>
      <c r="AJ6" s="122">
        <f t="shared" si="8"/>
        <v>0</v>
      </c>
      <c r="AK6" s="123">
        <f t="shared" si="9"/>
        <v>45400</v>
      </c>
      <c r="AL6" s="124" t="s">
        <v>692</v>
      </c>
      <c r="AM6" s="125"/>
      <c r="AN6" s="126"/>
      <c r="AO6" s="126">
        <v>12080450</v>
      </c>
      <c r="AP6" s="126"/>
      <c r="AQ6" s="126">
        <v>12083198</v>
      </c>
      <c r="AR6" s="127"/>
      <c r="AS6" s="126">
        <v>12080491</v>
      </c>
      <c r="AT6" s="126"/>
      <c r="AU6" s="126" t="s">
        <v>627</v>
      </c>
      <c r="AV6" s="126"/>
      <c r="AW6" s="126"/>
      <c r="AX6" s="127"/>
    </row>
    <row r="7" spans="1:50" ht="25" customHeight="1">
      <c r="A7" s="102" t="s">
        <v>438</v>
      </c>
      <c r="B7" s="103">
        <v>45400</v>
      </c>
      <c r="C7" s="104">
        <v>45404</v>
      </c>
      <c r="D7" s="105" t="str">
        <f>VLOOKUP($B7,Week!$A$1:$C$1462,2,0)</f>
        <v>Week16</v>
      </c>
      <c r="E7" s="106">
        <f>VLOOKUP(B7,Week!$A$1:$C$1462,3,0)</f>
        <v>45383</v>
      </c>
      <c r="F7" s="107" t="s">
        <v>1207</v>
      </c>
      <c r="G7" s="105" t="s">
        <v>104</v>
      </c>
      <c r="H7" s="108" t="s">
        <v>105</v>
      </c>
      <c r="I7" s="662" t="s">
        <v>433</v>
      </c>
      <c r="J7" s="108" t="s">
        <v>565</v>
      </c>
      <c r="K7" s="105" t="s">
        <v>567</v>
      </c>
      <c r="L7" s="105" t="s">
        <v>566</v>
      </c>
      <c r="M7" s="109">
        <v>16</v>
      </c>
      <c r="N7" s="109">
        <v>6</v>
      </c>
      <c r="O7" s="110">
        <v>8.1300000000000001E-3</v>
      </c>
      <c r="P7" s="105" t="s">
        <v>40</v>
      </c>
      <c r="Q7" s="105" t="s">
        <v>112</v>
      </c>
      <c r="R7" s="105" t="s">
        <v>662</v>
      </c>
      <c r="S7" s="111">
        <v>732</v>
      </c>
      <c r="T7" s="111">
        <f>732</f>
        <v>732</v>
      </c>
      <c r="U7" s="112"/>
      <c r="V7" s="113">
        <f>(T7+U7)-S7</f>
        <v>0</v>
      </c>
      <c r="W7" s="114">
        <f>IF(V7&lt;0,((S7*M7)-((T7+U7)*M7)),0)</f>
        <v>0</v>
      </c>
      <c r="X7" s="114"/>
      <c r="Y7" s="109">
        <v>1</v>
      </c>
      <c r="Z7" s="111">
        <f>Y7*S7*M7</f>
        <v>11712</v>
      </c>
      <c r="AA7" s="115" t="s">
        <v>573</v>
      </c>
      <c r="AB7" s="116">
        <f t="shared" si="3"/>
        <v>0</v>
      </c>
      <c r="AC7" s="116">
        <f>AB7/0.54</f>
        <v>0</v>
      </c>
      <c r="AD7" s="117">
        <f>MID(L7,1,3)/1000</f>
        <v>0.11700000000000001</v>
      </c>
      <c r="AE7" s="118">
        <f>(W7*AD7)/1000</f>
        <v>0</v>
      </c>
      <c r="AF7" s="119">
        <f>S7*M7</f>
        <v>11712</v>
      </c>
      <c r="AH7" s="120" t="s">
        <v>691</v>
      </c>
      <c r="AI7" s="121" t="s">
        <v>690</v>
      </c>
      <c r="AJ7" s="122">
        <f t="shared" si="8"/>
        <v>0</v>
      </c>
      <c r="AK7" s="123">
        <f t="shared" si="9"/>
        <v>45400</v>
      </c>
      <c r="AL7" s="124" t="s">
        <v>692</v>
      </c>
      <c r="AM7" s="125"/>
      <c r="AN7" s="126"/>
      <c r="AO7" s="126">
        <v>12080450</v>
      </c>
      <c r="AP7" s="126"/>
      <c r="AQ7" s="126">
        <v>12083198</v>
      </c>
      <c r="AR7" s="127"/>
      <c r="AS7" s="126">
        <v>12080491</v>
      </c>
      <c r="AT7" s="126"/>
      <c r="AU7" s="126" t="s">
        <v>627</v>
      </c>
      <c r="AV7" s="126"/>
      <c r="AW7" s="126"/>
      <c r="AX7" s="127"/>
    </row>
    <row r="8" spans="1:50" ht="25" customHeight="1">
      <c r="A8" s="102" t="s">
        <v>438</v>
      </c>
      <c r="B8" s="103">
        <v>45401</v>
      </c>
      <c r="C8" s="104">
        <v>45404</v>
      </c>
      <c r="D8" s="105" t="str">
        <f>VLOOKUP($B8,Week!$A$1:$C$1462,2,0)</f>
        <v>Week16</v>
      </c>
      <c r="E8" s="106">
        <f>VLOOKUP(B8,Week!$A$1:$C$1462,3,0)</f>
        <v>45383</v>
      </c>
      <c r="F8" s="107" t="s">
        <v>1207</v>
      </c>
      <c r="G8" s="105" t="s">
        <v>104</v>
      </c>
      <c r="H8" s="108" t="s">
        <v>105</v>
      </c>
      <c r="I8" s="662" t="s">
        <v>433</v>
      </c>
      <c r="J8" s="108" t="s">
        <v>565</v>
      </c>
      <c r="K8" s="105" t="s">
        <v>567</v>
      </c>
      <c r="L8" s="105" t="s">
        <v>566</v>
      </c>
      <c r="M8" s="109">
        <v>16</v>
      </c>
      <c r="N8" s="109">
        <v>6</v>
      </c>
      <c r="O8" s="110">
        <v>8.1300000000000001E-3</v>
      </c>
      <c r="P8" s="105" t="s">
        <v>40</v>
      </c>
      <c r="Q8" s="105" t="s">
        <v>112</v>
      </c>
      <c r="R8" s="105" t="s">
        <v>662</v>
      </c>
      <c r="S8" s="111">
        <f>1200-732</f>
        <v>468</v>
      </c>
      <c r="T8" s="111">
        <v>468</v>
      </c>
      <c r="U8" s="112"/>
      <c r="V8" s="113">
        <f t="shared" si="0"/>
        <v>0</v>
      </c>
      <c r="W8" s="114">
        <f t="shared" si="1"/>
        <v>0</v>
      </c>
      <c r="X8" s="114"/>
      <c r="Y8" s="109">
        <v>1</v>
      </c>
      <c r="Z8" s="111">
        <f t="shared" si="2"/>
        <v>7488</v>
      </c>
      <c r="AA8" s="115" t="s">
        <v>573</v>
      </c>
      <c r="AB8" s="116">
        <f t="shared" si="3"/>
        <v>0</v>
      </c>
      <c r="AC8" s="116">
        <f t="shared" si="4"/>
        <v>0</v>
      </c>
      <c r="AD8" s="117">
        <f t="shared" si="5"/>
        <v>0.11700000000000001</v>
      </c>
      <c r="AE8" s="118">
        <f t="shared" si="6"/>
        <v>0</v>
      </c>
      <c r="AF8" s="119">
        <f t="shared" si="7"/>
        <v>7488</v>
      </c>
      <c r="AH8" s="120" t="s">
        <v>691</v>
      </c>
      <c r="AI8" s="121" t="s">
        <v>690</v>
      </c>
      <c r="AJ8" s="122">
        <f t="shared" si="8"/>
        <v>0</v>
      </c>
      <c r="AK8" s="123">
        <f t="shared" si="9"/>
        <v>45401</v>
      </c>
      <c r="AL8" s="124" t="s">
        <v>692</v>
      </c>
      <c r="AM8" s="125"/>
      <c r="AN8" s="126"/>
      <c r="AO8" s="126">
        <v>12080450</v>
      </c>
      <c r="AP8" s="126"/>
      <c r="AQ8" s="126">
        <v>12083198</v>
      </c>
      <c r="AR8" s="127"/>
      <c r="AS8" s="126">
        <v>12080491</v>
      </c>
      <c r="AT8" s="126"/>
      <c r="AU8" s="126" t="s">
        <v>627</v>
      </c>
      <c r="AV8" s="126"/>
      <c r="AW8" s="126"/>
      <c r="AX8" s="127"/>
    </row>
    <row r="9" spans="1:50" ht="25" customHeight="1">
      <c r="A9" s="102" t="s">
        <v>438</v>
      </c>
      <c r="B9" s="103">
        <v>45408</v>
      </c>
      <c r="C9" s="104">
        <v>45411</v>
      </c>
      <c r="D9" s="105" t="str">
        <f>VLOOKUP($B9,Week!$A$1:$C$1462,2,0)</f>
        <v>Week17</v>
      </c>
      <c r="E9" s="106">
        <f>VLOOKUP(B9,Week!$A$1:$C$1462,3,0)</f>
        <v>45383</v>
      </c>
      <c r="F9" s="107" t="s">
        <v>1252</v>
      </c>
      <c r="G9" s="105" t="s">
        <v>104</v>
      </c>
      <c r="H9" s="108" t="s">
        <v>105</v>
      </c>
      <c r="I9" s="662" t="s">
        <v>433</v>
      </c>
      <c r="J9" s="108" t="s">
        <v>565</v>
      </c>
      <c r="K9" s="105" t="s">
        <v>567</v>
      </c>
      <c r="L9" s="105" t="s">
        <v>566</v>
      </c>
      <c r="M9" s="109">
        <v>16</v>
      </c>
      <c r="N9" s="109">
        <v>6</v>
      </c>
      <c r="O9" s="110">
        <v>8.1300000000000001E-3</v>
      </c>
      <c r="P9" s="105" t="s">
        <v>40</v>
      </c>
      <c r="Q9" s="105" t="s">
        <v>112</v>
      </c>
      <c r="R9" s="105" t="s">
        <v>662</v>
      </c>
      <c r="S9" s="111">
        <f>700</f>
        <v>700</v>
      </c>
      <c r="T9" s="111">
        <f>700-394+394</f>
        <v>700</v>
      </c>
      <c r="U9" s="112"/>
      <c r="V9" s="113">
        <f>(T9+U9)-S9</f>
        <v>0</v>
      </c>
      <c r="W9" s="114">
        <f>IF(V9&lt;0,((S9*M9)-((T9+U9)*M9)),0)</f>
        <v>0</v>
      </c>
      <c r="X9" s="114"/>
      <c r="Y9" s="109">
        <v>1</v>
      </c>
      <c r="Z9" s="111">
        <f>Y9*S9*M9</f>
        <v>11200</v>
      </c>
      <c r="AA9" s="115" t="s">
        <v>573</v>
      </c>
      <c r="AB9" s="116">
        <f t="shared" si="3"/>
        <v>0</v>
      </c>
      <c r="AC9" s="116">
        <f>AB9/0.54</f>
        <v>0</v>
      </c>
      <c r="AD9" s="117">
        <f>MID(L9,1,3)/1000</f>
        <v>0.11700000000000001</v>
      </c>
      <c r="AE9" s="118">
        <f>(W9*AD9)/1000</f>
        <v>0</v>
      </c>
      <c r="AF9" s="119">
        <f>S9*M9</f>
        <v>11200</v>
      </c>
      <c r="AH9" s="120" t="s">
        <v>691</v>
      </c>
      <c r="AI9" s="121" t="s">
        <v>690</v>
      </c>
      <c r="AJ9" s="122">
        <f t="shared" si="8"/>
        <v>0</v>
      </c>
      <c r="AK9" s="123">
        <f t="shared" si="9"/>
        <v>45408</v>
      </c>
      <c r="AL9" s="124" t="s">
        <v>692</v>
      </c>
      <c r="AM9" s="125"/>
      <c r="AN9" s="126"/>
      <c r="AO9" s="126">
        <v>12080450</v>
      </c>
      <c r="AP9" s="126"/>
      <c r="AQ9" s="126">
        <v>12083198</v>
      </c>
      <c r="AR9" s="127"/>
      <c r="AS9" s="126">
        <v>12080491</v>
      </c>
      <c r="AT9" s="126"/>
      <c r="AU9" s="126" t="s">
        <v>627</v>
      </c>
      <c r="AV9" s="126"/>
      <c r="AW9" s="126"/>
      <c r="AX9" s="127"/>
    </row>
    <row r="10" spans="1:50" ht="25" customHeight="1">
      <c r="A10" s="102" t="s">
        <v>438</v>
      </c>
      <c r="B10" s="103">
        <v>45408</v>
      </c>
      <c r="C10" s="104">
        <v>45425</v>
      </c>
      <c r="D10" s="105" t="str">
        <f>VLOOKUP($B10,Week!$A$1:$C$1462,2,0)</f>
        <v>Week17</v>
      </c>
      <c r="E10" s="106">
        <f>VLOOKUP(B10,Week!$A$1:$C$1462,3,0)</f>
        <v>45383</v>
      </c>
      <c r="F10" s="107" t="s">
        <v>1249</v>
      </c>
      <c r="G10" s="105" t="s">
        <v>104</v>
      </c>
      <c r="H10" s="108" t="s">
        <v>105</v>
      </c>
      <c r="I10" s="662" t="s">
        <v>433</v>
      </c>
      <c r="J10" s="108" t="s">
        <v>565</v>
      </c>
      <c r="K10" s="105" t="s">
        <v>567</v>
      </c>
      <c r="L10" s="105" t="s">
        <v>566</v>
      </c>
      <c r="M10" s="109">
        <v>16</v>
      </c>
      <c r="N10" s="109">
        <v>6</v>
      </c>
      <c r="O10" s="110">
        <v>8.1300000000000001E-3</v>
      </c>
      <c r="P10" s="105" t="s">
        <v>40</v>
      </c>
      <c r="Q10" s="105" t="s">
        <v>112</v>
      </c>
      <c r="R10" s="105" t="s">
        <v>662</v>
      </c>
      <c r="S10" s="111">
        <f>1200</f>
        <v>1200</v>
      </c>
      <c r="T10" s="111">
        <f>1200</f>
        <v>1200</v>
      </c>
      <c r="U10" s="112"/>
      <c r="V10" s="113">
        <f t="shared" si="0"/>
        <v>0</v>
      </c>
      <c r="W10" s="114">
        <f t="shared" si="1"/>
        <v>0</v>
      </c>
      <c r="X10" s="114"/>
      <c r="Y10" s="109">
        <v>1</v>
      </c>
      <c r="Z10" s="111">
        <f t="shared" si="2"/>
        <v>19200</v>
      </c>
      <c r="AA10" s="115" t="s">
        <v>573</v>
      </c>
      <c r="AB10" s="116">
        <f t="shared" si="3"/>
        <v>0</v>
      </c>
      <c r="AC10" s="116">
        <f t="shared" si="4"/>
        <v>0</v>
      </c>
      <c r="AD10" s="117">
        <f t="shared" si="5"/>
        <v>0.11700000000000001</v>
      </c>
      <c r="AE10" s="118">
        <f t="shared" si="6"/>
        <v>0</v>
      </c>
      <c r="AF10" s="119">
        <f t="shared" si="7"/>
        <v>19200</v>
      </c>
      <c r="AH10" s="120" t="s">
        <v>691</v>
      </c>
      <c r="AI10" s="121" t="s">
        <v>690</v>
      </c>
      <c r="AJ10" s="122">
        <f t="shared" si="8"/>
        <v>0</v>
      </c>
      <c r="AK10" s="123">
        <f t="shared" si="9"/>
        <v>45408</v>
      </c>
      <c r="AL10" s="124" t="s">
        <v>692</v>
      </c>
      <c r="AM10" s="125"/>
      <c r="AN10" s="126"/>
      <c r="AO10" s="126">
        <v>12080450</v>
      </c>
      <c r="AP10" s="126"/>
      <c r="AQ10" s="126">
        <v>12083198</v>
      </c>
      <c r="AR10" s="127"/>
      <c r="AS10" s="126">
        <v>12080491</v>
      </c>
      <c r="AT10" s="126"/>
      <c r="AU10" s="126" t="s">
        <v>627</v>
      </c>
      <c r="AV10" s="126"/>
      <c r="AW10" s="126"/>
      <c r="AX10" s="127"/>
    </row>
    <row r="11" spans="1:50" ht="25" customHeight="1">
      <c r="A11" s="102" t="s">
        <v>438</v>
      </c>
      <c r="B11" s="103">
        <v>45425</v>
      </c>
      <c r="C11" s="104">
        <v>45432</v>
      </c>
      <c r="D11" s="105" t="str">
        <f>VLOOKUP($B11,Week!$A$1:$C$1462,2,0)</f>
        <v>Week20</v>
      </c>
      <c r="E11" s="106">
        <f>VLOOKUP(B11,Week!$A$1:$C$1462,3,0)</f>
        <v>45413</v>
      </c>
      <c r="F11" s="107" t="s">
        <v>1208</v>
      </c>
      <c r="G11" s="105" t="s">
        <v>104</v>
      </c>
      <c r="H11" s="108" t="s">
        <v>105</v>
      </c>
      <c r="I11" s="662" t="s">
        <v>433</v>
      </c>
      <c r="J11" s="108" t="s">
        <v>565</v>
      </c>
      <c r="K11" s="105" t="s">
        <v>567</v>
      </c>
      <c r="L11" s="105" t="s">
        <v>566</v>
      </c>
      <c r="M11" s="109">
        <v>16</v>
      </c>
      <c r="N11" s="109">
        <v>6</v>
      </c>
      <c r="O11" s="110">
        <v>8.1300000000000001E-3</v>
      </c>
      <c r="P11" s="105" t="s">
        <v>40</v>
      </c>
      <c r="Q11" s="105" t="s">
        <v>112</v>
      </c>
      <c r="R11" s="105" t="s">
        <v>662</v>
      </c>
      <c r="S11" s="111">
        <v>650</v>
      </c>
      <c r="T11" s="111">
        <f>25+625</f>
        <v>650</v>
      </c>
      <c r="U11" s="112"/>
      <c r="V11" s="113">
        <f>(T11+U11)-S11</f>
        <v>0</v>
      </c>
      <c r="W11" s="114">
        <f>IF(V11&lt;0,((S11*M11)-((T11+U11)*M11)),0)</f>
        <v>0</v>
      </c>
      <c r="X11" s="114"/>
      <c r="Y11" s="109">
        <v>1</v>
      </c>
      <c r="Z11" s="111">
        <f>Y11*S11*M11</f>
        <v>10400</v>
      </c>
      <c r="AA11" s="115" t="s">
        <v>573</v>
      </c>
      <c r="AB11" s="116">
        <f t="shared" si="3"/>
        <v>0</v>
      </c>
      <c r="AC11" s="116">
        <f>AB11/0.54</f>
        <v>0</v>
      </c>
      <c r="AD11" s="117">
        <f>MID(L11,1,3)/1000</f>
        <v>0.11700000000000001</v>
      </c>
      <c r="AE11" s="118">
        <f>(W11*AD11)/1000</f>
        <v>0</v>
      </c>
      <c r="AF11" s="119">
        <f>S11*M11</f>
        <v>10400</v>
      </c>
      <c r="AH11" s="120" t="s">
        <v>691</v>
      </c>
      <c r="AI11" s="121" t="s">
        <v>690</v>
      </c>
      <c r="AJ11" s="122">
        <f t="shared" si="8"/>
        <v>0</v>
      </c>
      <c r="AK11" s="123">
        <f t="shared" si="9"/>
        <v>45425</v>
      </c>
      <c r="AL11" s="124" t="s">
        <v>692</v>
      </c>
      <c r="AM11" s="125"/>
      <c r="AN11" s="126"/>
      <c r="AO11" s="126">
        <v>12080450</v>
      </c>
      <c r="AP11" s="126"/>
      <c r="AQ11" s="126">
        <v>12083198</v>
      </c>
      <c r="AR11" s="127"/>
      <c r="AS11" s="126">
        <v>12080491</v>
      </c>
      <c r="AT11" s="126"/>
      <c r="AU11" s="126" t="s">
        <v>627</v>
      </c>
      <c r="AV11" s="126"/>
      <c r="AW11" s="126"/>
      <c r="AX11" s="127"/>
    </row>
    <row r="12" spans="1:50" ht="25" customHeight="1">
      <c r="A12" s="102" t="s">
        <v>438</v>
      </c>
      <c r="B12" s="103">
        <v>45425</v>
      </c>
      <c r="C12" s="104">
        <v>45437</v>
      </c>
      <c r="D12" s="105" t="str">
        <f>VLOOKUP($B12,Week!$A$1:$C$1462,2,0)</f>
        <v>Week20</v>
      </c>
      <c r="E12" s="106">
        <f>VLOOKUP(B12,Week!$A$1:$C$1462,3,0)</f>
        <v>45413</v>
      </c>
      <c r="F12" s="107" t="s">
        <v>1298</v>
      </c>
      <c r="G12" s="105" t="s">
        <v>104</v>
      </c>
      <c r="H12" s="108" t="s">
        <v>105</v>
      </c>
      <c r="I12" s="662" t="s">
        <v>433</v>
      </c>
      <c r="J12" s="108" t="s">
        <v>565</v>
      </c>
      <c r="K12" s="105" t="s">
        <v>567</v>
      </c>
      <c r="L12" s="105" t="s">
        <v>566</v>
      </c>
      <c r="M12" s="109">
        <v>16</v>
      </c>
      <c r="N12" s="109">
        <v>6</v>
      </c>
      <c r="O12" s="110">
        <v>8.1300000000000001E-3</v>
      </c>
      <c r="P12" s="105" t="s">
        <v>40</v>
      </c>
      <c r="Q12" s="105" t="s">
        <v>112</v>
      </c>
      <c r="R12" s="105" t="s">
        <v>662</v>
      </c>
      <c r="S12" s="111">
        <f>650</f>
        <v>650</v>
      </c>
      <c r="T12" s="111">
        <f>650</f>
        <v>650</v>
      </c>
      <c r="U12" s="112"/>
      <c r="V12" s="113">
        <f>(T12+U12)-S12</f>
        <v>0</v>
      </c>
      <c r="W12" s="114">
        <f>IF(V12&lt;0,((S12*M12)-((T12+U12)*M12)),0)</f>
        <v>0</v>
      </c>
      <c r="X12" s="114"/>
      <c r="Y12" s="109">
        <v>1</v>
      </c>
      <c r="Z12" s="111">
        <f>Y12*S12*M12</f>
        <v>10400</v>
      </c>
      <c r="AA12" s="115" t="s">
        <v>573</v>
      </c>
      <c r="AB12" s="116">
        <f t="shared" si="3"/>
        <v>0</v>
      </c>
      <c r="AC12" s="116">
        <f>AB12/0.54</f>
        <v>0</v>
      </c>
      <c r="AD12" s="117">
        <f>MID(L12,1,3)/1000</f>
        <v>0.11700000000000001</v>
      </c>
      <c r="AE12" s="118">
        <f>(W12*AD12)/1000</f>
        <v>0</v>
      </c>
      <c r="AF12" s="119">
        <f>S12*M12</f>
        <v>10400</v>
      </c>
      <c r="AH12" s="120" t="s">
        <v>691</v>
      </c>
      <c r="AI12" s="121" t="s">
        <v>690</v>
      </c>
      <c r="AJ12" s="122">
        <f t="shared" si="8"/>
        <v>0</v>
      </c>
      <c r="AK12" s="123">
        <f t="shared" si="9"/>
        <v>45425</v>
      </c>
      <c r="AL12" s="124" t="s">
        <v>692</v>
      </c>
      <c r="AM12" s="125"/>
      <c r="AN12" s="126"/>
      <c r="AO12" s="126">
        <v>12080450</v>
      </c>
      <c r="AP12" s="126"/>
      <c r="AQ12" s="126">
        <v>12083198</v>
      </c>
      <c r="AR12" s="127"/>
      <c r="AS12" s="126">
        <v>12080491</v>
      </c>
      <c r="AT12" s="126"/>
      <c r="AU12" s="126" t="s">
        <v>627</v>
      </c>
      <c r="AV12" s="126"/>
      <c r="AW12" s="126"/>
      <c r="AX12" s="127"/>
    </row>
    <row r="13" spans="1:50" ht="25" customHeight="1">
      <c r="A13" s="102" t="s">
        <v>438</v>
      </c>
      <c r="B13" s="103">
        <v>45425</v>
      </c>
      <c r="C13" s="104">
        <v>45437</v>
      </c>
      <c r="D13" s="105" t="str">
        <f>VLOOKUP($B13,Week!$A$1:$C$1462,2,0)</f>
        <v>Week20</v>
      </c>
      <c r="E13" s="106">
        <f>VLOOKUP(B13,Week!$A$1:$C$1462,3,0)</f>
        <v>45413</v>
      </c>
      <c r="F13" s="107" t="s">
        <v>1276</v>
      </c>
      <c r="G13" s="105" t="s">
        <v>104</v>
      </c>
      <c r="H13" s="108" t="s">
        <v>105</v>
      </c>
      <c r="I13" s="662" t="s">
        <v>433</v>
      </c>
      <c r="J13" s="108" t="s">
        <v>565</v>
      </c>
      <c r="K13" s="105" t="s">
        <v>567</v>
      </c>
      <c r="L13" s="105" t="s">
        <v>566</v>
      </c>
      <c r="M13" s="109">
        <v>16</v>
      </c>
      <c r="N13" s="109">
        <v>6</v>
      </c>
      <c r="O13" s="110">
        <v>8.1300000000000001E-3</v>
      </c>
      <c r="P13" s="105" t="s">
        <v>40</v>
      </c>
      <c r="Q13" s="105" t="s">
        <v>112</v>
      </c>
      <c r="R13" s="105" t="s">
        <v>662</v>
      </c>
      <c r="S13" s="111">
        <f>61</f>
        <v>61</v>
      </c>
      <c r="T13" s="111">
        <f>1336-625-650</f>
        <v>61</v>
      </c>
      <c r="U13" s="112"/>
      <c r="V13" s="113">
        <f>(T13+U13)-S13</f>
        <v>0</v>
      </c>
      <c r="W13" s="114">
        <f>IF(V13&lt;0,((S13*M13)-((T13+U13)*M13)),0)</f>
        <v>0</v>
      </c>
      <c r="X13" s="114"/>
      <c r="Y13" s="109">
        <v>1</v>
      </c>
      <c r="Z13" s="111">
        <f>Y13*S13*M13</f>
        <v>976</v>
      </c>
      <c r="AA13" s="115" t="s">
        <v>573</v>
      </c>
      <c r="AB13" s="116">
        <f t="shared" si="3"/>
        <v>0</v>
      </c>
      <c r="AC13" s="116">
        <f>AB13/0.54</f>
        <v>0</v>
      </c>
      <c r="AD13" s="117">
        <f>MID(L13,1,3)/1000</f>
        <v>0.11700000000000001</v>
      </c>
      <c r="AE13" s="118">
        <f>(W13*AD13)/1000</f>
        <v>0</v>
      </c>
      <c r="AF13" s="119">
        <f>S13*M13</f>
        <v>976</v>
      </c>
      <c r="AH13" s="120" t="s">
        <v>691</v>
      </c>
      <c r="AI13" s="121" t="s">
        <v>690</v>
      </c>
      <c r="AJ13" s="122">
        <f t="shared" si="8"/>
        <v>0</v>
      </c>
      <c r="AK13" s="123">
        <f t="shared" si="9"/>
        <v>45425</v>
      </c>
      <c r="AL13" s="124" t="s">
        <v>692</v>
      </c>
      <c r="AM13" s="125"/>
      <c r="AN13" s="126"/>
      <c r="AO13" s="126">
        <v>12080450</v>
      </c>
      <c r="AP13" s="126"/>
      <c r="AQ13" s="126">
        <v>12083198</v>
      </c>
      <c r="AR13" s="127"/>
      <c r="AS13" s="126">
        <v>12080491</v>
      </c>
      <c r="AT13" s="126"/>
      <c r="AU13" s="126" t="s">
        <v>627</v>
      </c>
      <c r="AV13" s="126"/>
      <c r="AW13" s="126"/>
      <c r="AX13" s="127"/>
    </row>
    <row r="14" spans="1:50" ht="25" customHeight="1">
      <c r="A14" s="102" t="s">
        <v>438</v>
      </c>
      <c r="B14" s="103">
        <v>45426</v>
      </c>
      <c r="C14" s="104">
        <v>45437</v>
      </c>
      <c r="D14" s="105" t="str">
        <f>VLOOKUP($B14,Week!$A$1:$C$1462,2,0)</f>
        <v>Week20</v>
      </c>
      <c r="E14" s="106">
        <f>VLOOKUP(B14,Week!$A$1:$C$1462,3,0)</f>
        <v>45413</v>
      </c>
      <c r="F14" s="107" t="s">
        <v>1276</v>
      </c>
      <c r="G14" s="105" t="s">
        <v>104</v>
      </c>
      <c r="H14" s="108" t="s">
        <v>105</v>
      </c>
      <c r="I14" s="662" t="s">
        <v>433</v>
      </c>
      <c r="J14" s="108" t="s">
        <v>565</v>
      </c>
      <c r="K14" s="105" t="s">
        <v>567</v>
      </c>
      <c r="L14" s="105" t="s">
        <v>566</v>
      </c>
      <c r="M14" s="109">
        <v>16</v>
      </c>
      <c r="N14" s="109">
        <v>6</v>
      </c>
      <c r="O14" s="110">
        <v>8.1300000000000001E-3</v>
      </c>
      <c r="P14" s="105" t="s">
        <v>40</v>
      </c>
      <c r="Q14" s="105" t="s">
        <v>112</v>
      </c>
      <c r="R14" s="105" t="s">
        <v>662</v>
      </c>
      <c r="S14" s="111">
        <f>650-61</f>
        <v>589</v>
      </c>
      <c r="T14" s="111">
        <v>589</v>
      </c>
      <c r="U14" s="112"/>
      <c r="V14" s="113">
        <f>(T14+U14)-S14</f>
        <v>0</v>
      </c>
      <c r="W14" s="114">
        <f>IF(V14&lt;0,((S14*M14)-((T14+U14)*M14)),0)</f>
        <v>0</v>
      </c>
      <c r="X14" s="114"/>
      <c r="Y14" s="109">
        <v>1</v>
      </c>
      <c r="Z14" s="111">
        <f>Y14*S14*M14</f>
        <v>9424</v>
      </c>
      <c r="AA14" s="115" t="s">
        <v>573</v>
      </c>
      <c r="AB14" s="116">
        <f t="shared" si="3"/>
        <v>0</v>
      </c>
      <c r="AC14" s="116">
        <f>AB14/0.54</f>
        <v>0</v>
      </c>
      <c r="AD14" s="117">
        <f>MID(L14,1,3)/1000</f>
        <v>0.11700000000000001</v>
      </c>
      <c r="AE14" s="118">
        <f>(W14*AD14)/1000</f>
        <v>0</v>
      </c>
      <c r="AF14" s="119">
        <f>S14*M14</f>
        <v>9424</v>
      </c>
      <c r="AH14" s="120" t="s">
        <v>691</v>
      </c>
      <c r="AI14" s="121" t="s">
        <v>690</v>
      </c>
      <c r="AJ14" s="122">
        <f t="shared" si="8"/>
        <v>0</v>
      </c>
      <c r="AK14" s="123">
        <f t="shared" si="9"/>
        <v>45426</v>
      </c>
      <c r="AL14" s="124" t="s">
        <v>692</v>
      </c>
      <c r="AM14" s="125"/>
      <c r="AN14" s="126"/>
      <c r="AO14" s="126">
        <v>12080450</v>
      </c>
      <c r="AP14" s="126"/>
      <c r="AQ14" s="126">
        <v>12083198</v>
      </c>
      <c r="AR14" s="127"/>
      <c r="AS14" s="126">
        <v>12080491</v>
      </c>
      <c r="AT14" s="126"/>
      <c r="AU14" s="126" t="s">
        <v>627</v>
      </c>
      <c r="AV14" s="126"/>
      <c r="AW14" s="126"/>
      <c r="AX14" s="127"/>
    </row>
    <row r="15" spans="1:50" ht="25" customHeight="1">
      <c r="A15" s="102" t="s">
        <v>438</v>
      </c>
      <c r="B15" s="103">
        <v>45426</v>
      </c>
      <c r="C15" s="104">
        <v>45460</v>
      </c>
      <c r="D15" s="105" t="str">
        <f>VLOOKUP($B15,Week!$A$1:$C$1462,2,0)</f>
        <v>Week20</v>
      </c>
      <c r="E15" s="106">
        <f>VLOOKUP(B15,Week!$A$1:$C$1462,3,0)</f>
        <v>45413</v>
      </c>
      <c r="F15" s="107" t="s">
        <v>1250</v>
      </c>
      <c r="G15" s="105" t="s">
        <v>104</v>
      </c>
      <c r="H15" s="108" t="s">
        <v>105</v>
      </c>
      <c r="I15" s="662" t="s">
        <v>433</v>
      </c>
      <c r="J15" s="108" t="s">
        <v>565</v>
      </c>
      <c r="K15" s="105" t="s">
        <v>567</v>
      </c>
      <c r="L15" s="105" t="s">
        <v>566</v>
      </c>
      <c r="M15" s="109">
        <v>16</v>
      </c>
      <c r="N15" s="109">
        <v>6</v>
      </c>
      <c r="O15" s="110">
        <v>8.1300000000000001E-3</v>
      </c>
      <c r="P15" s="105" t="s">
        <v>40</v>
      </c>
      <c r="Q15" s="105" t="s">
        <v>112</v>
      </c>
      <c r="R15" s="105" t="s">
        <v>662</v>
      </c>
      <c r="S15" s="111">
        <f>650</f>
        <v>650</v>
      </c>
      <c r="T15" s="111">
        <v>650</v>
      </c>
      <c r="U15" s="112"/>
      <c r="V15" s="113">
        <f t="shared" ref="V15:V21" si="10">(T15+U15)-S15</f>
        <v>0</v>
      </c>
      <c r="W15" s="114">
        <f t="shared" ref="W15:W21" si="11">IF(V15&lt;0,((S15*M15)-((T15+U15)*M15)),0)</f>
        <v>0</v>
      </c>
      <c r="X15" s="114"/>
      <c r="Y15" s="109">
        <v>1</v>
      </c>
      <c r="Z15" s="111">
        <f t="shared" ref="Z15:Z21" si="12">Y15*S15*M15</f>
        <v>10400</v>
      </c>
      <c r="AA15" s="115" t="s">
        <v>573</v>
      </c>
      <c r="AB15" s="116">
        <f t="shared" ref="AB15:AB21" si="13">SUM(N15*O15*W15)/1000</f>
        <v>0</v>
      </c>
      <c r="AC15" s="116">
        <f t="shared" ref="AC15:AC21" si="14">AB15/0.54</f>
        <v>0</v>
      </c>
      <c r="AD15" s="117">
        <f t="shared" ref="AD15:AD21" si="15">MID(L15,1,3)/1000</f>
        <v>0.11700000000000001</v>
      </c>
      <c r="AE15" s="118">
        <f t="shared" ref="AE15:AE21" si="16">(W15*AD15)/1000</f>
        <v>0</v>
      </c>
      <c r="AF15" s="119">
        <f t="shared" ref="AF15:AF21" si="17">S15*M15</f>
        <v>10400</v>
      </c>
      <c r="AH15" s="120" t="s">
        <v>691</v>
      </c>
      <c r="AI15" s="121" t="s">
        <v>690</v>
      </c>
      <c r="AJ15" s="122">
        <f t="shared" ref="AJ15:AJ21" si="18">AD15*W15</f>
        <v>0</v>
      </c>
      <c r="AK15" s="123">
        <f t="shared" si="9"/>
        <v>45426</v>
      </c>
      <c r="AL15" s="124" t="s">
        <v>692</v>
      </c>
      <c r="AM15" s="125"/>
      <c r="AN15" s="126"/>
      <c r="AO15" s="126">
        <v>12080450</v>
      </c>
      <c r="AP15" s="126"/>
      <c r="AQ15" s="126">
        <v>12083198</v>
      </c>
      <c r="AR15" s="127"/>
      <c r="AS15" s="126">
        <v>12080491</v>
      </c>
      <c r="AT15" s="126"/>
      <c r="AU15" s="126" t="s">
        <v>627</v>
      </c>
      <c r="AV15" s="126"/>
      <c r="AW15" s="126"/>
      <c r="AX15" s="127"/>
    </row>
    <row r="16" spans="1:50" ht="25" customHeight="1">
      <c r="A16" s="102" t="s">
        <v>438</v>
      </c>
      <c r="B16" s="103">
        <v>45427</v>
      </c>
      <c r="C16" s="104">
        <v>45460</v>
      </c>
      <c r="D16" s="105" t="str">
        <f>VLOOKUP($B16,Week!$A$1:$C$1462,2,0)</f>
        <v>Week20</v>
      </c>
      <c r="E16" s="106">
        <f>VLOOKUP(B16,Week!$A$1:$C$1462,3,0)</f>
        <v>45413</v>
      </c>
      <c r="F16" s="107" t="s">
        <v>1251</v>
      </c>
      <c r="G16" s="105" t="s">
        <v>104</v>
      </c>
      <c r="H16" s="108" t="s">
        <v>105</v>
      </c>
      <c r="I16" s="662" t="s">
        <v>433</v>
      </c>
      <c r="J16" s="108" t="s">
        <v>565</v>
      </c>
      <c r="K16" s="105" t="s">
        <v>567</v>
      </c>
      <c r="L16" s="105" t="s">
        <v>566</v>
      </c>
      <c r="M16" s="109">
        <v>16</v>
      </c>
      <c r="N16" s="109">
        <v>6</v>
      </c>
      <c r="O16" s="110">
        <v>8.1300000000000001E-3</v>
      </c>
      <c r="P16" s="105" t="s">
        <v>40</v>
      </c>
      <c r="Q16" s="105" t="s">
        <v>112</v>
      </c>
      <c r="R16" s="105" t="s">
        <v>662</v>
      </c>
      <c r="S16" s="111">
        <f>66</f>
        <v>66</v>
      </c>
      <c r="T16" s="111">
        <f>1305-589-650</f>
        <v>66</v>
      </c>
      <c r="U16" s="112"/>
      <c r="V16" s="113">
        <f>(T16+U16)-S16</f>
        <v>0</v>
      </c>
      <c r="W16" s="114">
        <f>IF(V16&lt;0,((S16*M16)-((T16+U16)*M16)),0)</f>
        <v>0</v>
      </c>
      <c r="X16" s="114"/>
      <c r="Y16" s="109">
        <v>1</v>
      </c>
      <c r="Z16" s="111">
        <f>Y16*S16*M16</f>
        <v>1056</v>
      </c>
      <c r="AA16" s="115" t="s">
        <v>573</v>
      </c>
      <c r="AB16" s="116">
        <f>SUM(N16*O16*W16)/1000</f>
        <v>0</v>
      </c>
      <c r="AC16" s="116">
        <f>AB16/0.54</f>
        <v>0</v>
      </c>
      <c r="AD16" s="117">
        <f>MID(L16,1,3)/1000</f>
        <v>0.11700000000000001</v>
      </c>
      <c r="AE16" s="118">
        <f>(W16*AD16)/1000</f>
        <v>0</v>
      </c>
      <c r="AF16" s="119">
        <f>S16*M16</f>
        <v>1056</v>
      </c>
      <c r="AH16" s="120" t="s">
        <v>691</v>
      </c>
      <c r="AI16" s="121" t="s">
        <v>690</v>
      </c>
      <c r="AJ16" s="122">
        <f>AD16*W16</f>
        <v>0</v>
      </c>
      <c r="AK16" s="123">
        <f t="shared" si="9"/>
        <v>45427</v>
      </c>
      <c r="AL16" s="124" t="s">
        <v>692</v>
      </c>
      <c r="AM16" s="125"/>
      <c r="AN16" s="126"/>
      <c r="AO16" s="126">
        <v>12080450</v>
      </c>
      <c r="AP16" s="126"/>
      <c r="AQ16" s="126">
        <v>12083198</v>
      </c>
      <c r="AR16" s="127"/>
      <c r="AS16" s="126">
        <v>12080491</v>
      </c>
      <c r="AT16" s="126"/>
      <c r="AU16" s="126" t="s">
        <v>627</v>
      </c>
      <c r="AV16" s="126"/>
      <c r="AW16" s="126"/>
      <c r="AX16" s="127"/>
    </row>
    <row r="17" spans="1:50" ht="25" customHeight="1">
      <c r="A17" s="102" t="s">
        <v>438</v>
      </c>
      <c r="B17" s="103">
        <v>45427</v>
      </c>
      <c r="C17" s="104">
        <v>45460</v>
      </c>
      <c r="D17" s="105" t="str">
        <f>VLOOKUP($B17,Week!$A$1:$C$1462,2,0)</f>
        <v>Week20</v>
      </c>
      <c r="E17" s="106">
        <f>VLOOKUP(B17,Week!$A$1:$C$1462,3,0)</f>
        <v>45413</v>
      </c>
      <c r="F17" s="107" t="s">
        <v>1251</v>
      </c>
      <c r="G17" s="105" t="s">
        <v>104</v>
      </c>
      <c r="H17" s="108" t="s">
        <v>105</v>
      </c>
      <c r="I17" s="662" t="s">
        <v>433</v>
      </c>
      <c r="J17" s="108" t="s">
        <v>565</v>
      </c>
      <c r="K17" s="105" t="s">
        <v>567</v>
      </c>
      <c r="L17" s="105" t="s">
        <v>566</v>
      </c>
      <c r="M17" s="109">
        <v>16</v>
      </c>
      <c r="N17" s="109">
        <v>6</v>
      </c>
      <c r="O17" s="110">
        <v>8.1300000000000001E-3</v>
      </c>
      <c r="P17" s="105" t="s">
        <v>40</v>
      </c>
      <c r="Q17" s="105" t="s">
        <v>112</v>
      </c>
      <c r="R17" s="105" t="s">
        <v>662</v>
      </c>
      <c r="S17" s="111">
        <f>650-66</f>
        <v>584</v>
      </c>
      <c r="T17" s="111">
        <f>584</f>
        <v>584</v>
      </c>
      <c r="U17" s="112"/>
      <c r="V17" s="113">
        <f t="shared" si="10"/>
        <v>0</v>
      </c>
      <c r="W17" s="114">
        <f t="shared" si="11"/>
        <v>0</v>
      </c>
      <c r="X17" s="114"/>
      <c r="Y17" s="109">
        <v>1</v>
      </c>
      <c r="Z17" s="111">
        <f t="shared" si="12"/>
        <v>9344</v>
      </c>
      <c r="AA17" s="115" t="s">
        <v>573</v>
      </c>
      <c r="AB17" s="116">
        <f t="shared" si="13"/>
        <v>0</v>
      </c>
      <c r="AC17" s="116">
        <f t="shared" si="14"/>
        <v>0</v>
      </c>
      <c r="AD17" s="117">
        <f t="shared" si="15"/>
        <v>0.11700000000000001</v>
      </c>
      <c r="AE17" s="118">
        <f t="shared" si="16"/>
        <v>0</v>
      </c>
      <c r="AF17" s="119">
        <f t="shared" si="17"/>
        <v>9344</v>
      </c>
      <c r="AH17" s="120" t="s">
        <v>691</v>
      </c>
      <c r="AI17" s="121" t="s">
        <v>690</v>
      </c>
      <c r="AJ17" s="122">
        <f t="shared" si="18"/>
        <v>0</v>
      </c>
      <c r="AK17" s="123">
        <f t="shared" si="9"/>
        <v>45427</v>
      </c>
      <c r="AL17" s="124" t="s">
        <v>692</v>
      </c>
      <c r="AM17" s="125"/>
      <c r="AN17" s="126"/>
      <c r="AO17" s="126">
        <v>12080450</v>
      </c>
      <c r="AP17" s="126"/>
      <c r="AQ17" s="126">
        <v>12083198</v>
      </c>
      <c r="AR17" s="127"/>
      <c r="AS17" s="126">
        <v>12080491</v>
      </c>
      <c r="AT17" s="126"/>
      <c r="AU17" s="126" t="s">
        <v>627</v>
      </c>
      <c r="AV17" s="126"/>
      <c r="AW17" s="126"/>
      <c r="AX17" s="127"/>
    </row>
    <row r="18" spans="1:50" ht="25" customHeight="1">
      <c r="A18" s="102" t="s">
        <v>438</v>
      </c>
      <c r="B18" s="103">
        <v>45427</v>
      </c>
      <c r="C18" s="104">
        <v>45456</v>
      </c>
      <c r="D18" s="105" t="str">
        <f>VLOOKUP($B18,Week!$A$1:$C$1462,2,0)</f>
        <v>Week20</v>
      </c>
      <c r="E18" s="106">
        <f>VLOOKUP(B18,Week!$A$1:$C$1462,3,0)</f>
        <v>45413</v>
      </c>
      <c r="F18" s="107" t="s">
        <v>1297</v>
      </c>
      <c r="G18" s="105" t="s">
        <v>104</v>
      </c>
      <c r="H18" s="108" t="s">
        <v>105</v>
      </c>
      <c r="I18" s="662" t="s">
        <v>433</v>
      </c>
      <c r="J18" s="108" t="s">
        <v>565</v>
      </c>
      <c r="K18" s="105" t="s">
        <v>567</v>
      </c>
      <c r="L18" s="105" t="s">
        <v>566</v>
      </c>
      <c r="M18" s="109">
        <v>16</v>
      </c>
      <c r="N18" s="109">
        <v>6</v>
      </c>
      <c r="O18" s="110">
        <v>8.1300000000000001E-3</v>
      </c>
      <c r="P18" s="105" t="s">
        <v>40</v>
      </c>
      <c r="Q18" s="105" t="s">
        <v>112</v>
      </c>
      <c r="R18" s="105" t="s">
        <v>662</v>
      </c>
      <c r="S18" s="111">
        <f>700</f>
        <v>700</v>
      </c>
      <c r="T18" s="111">
        <f>700</f>
        <v>700</v>
      </c>
      <c r="U18" s="112"/>
      <c r="V18" s="113">
        <f>(T18+U18)-S18</f>
        <v>0</v>
      </c>
      <c r="W18" s="114">
        <f>IF(V18&lt;0,((S18*M18)-((T18+U18)*M18)),0)</f>
        <v>0</v>
      </c>
      <c r="X18" s="114"/>
      <c r="Y18" s="109">
        <v>1</v>
      </c>
      <c r="Z18" s="111">
        <f>Y18*S18*M18</f>
        <v>11200</v>
      </c>
      <c r="AA18" s="115" t="s">
        <v>573</v>
      </c>
      <c r="AB18" s="116">
        <f>SUM(N18*O18*W18)/1000</f>
        <v>0</v>
      </c>
      <c r="AC18" s="116">
        <f>AB18/0.54</f>
        <v>0</v>
      </c>
      <c r="AD18" s="117">
        <f>MID(L18,1,3)/1000</f>
        <v>0.11700000000000001</v>
      </c>
      <c r="AE18" s="118">
        <f>(W18*AD18)/1000</f>
        <v>0</v>
      </c>
      <c r="AF18" s="119">
        <f>S18*M18</f>
        <v>11200</v>
      </c>
      <c r="AH18" s="120" t="s">
        <v>691</v>
      </c>
      <c r="AI18" s="121" t="s">
        <v>690</v>
      </c>
      <c r="AJ18" s="122">
        <f>AD18*W18</f>
        <v>0</v>
      </c>
      <c r="AK18" s="123">
        <f t="shared" si="9"/>
        <v>45427</v>
      </c>
      <c r="AL18" s="124" t="s">
        <v>692</v>
      </c>
      <c r="AM18" s="125"/>
      <c r="AN18" s="126"/>
      <c r="AO18" s="126">
        <v>12080450</v>
      </c>
      <c r="AP18" s="126"/>
      <c r="AQ18" s="126">
        <v>12083198</v>
      </c>
      <c r="AR18" s="127"/>
      <c r="AS18" s="126">
        <v>12080491</v>
      </c>
      <c r="AT18" s="126"/>
      <c r="AU18" s="126" t="s">
        <v>627</v>
      </c>
      <c r="AV18" s="126"/>
      <c r="AW18" s="126"/>
      <c r="AX18" s="127"/>
    </row>
    <row r="19" spans="1:50" ht="25" customHeight="1">
      <c r="A19" s="102" t="s">
        <v>438</v>
      </c>
      <c r="B19" s="103">
        <v>45472</v>
      </c>
      <c r="C19" s="104">
        <v>45625</v>
      </c>
      <c r="D19" s="105" t="str">
        <f>VLOOKUP($B19,Week!$A$1:$C$1462,2,0)</f>
        <v>Week26</v>
      </c>
      <c r="E19" s="106">
        <f>VLOOKUP(B19,Week!$A$1:$C$1462,3,0)</f>
        <v>45444</v>
      </c>
      <c r="F19" s="107" t="s">
        <v>1413</v>
      </c>
      <c r="G19" s="105" t="s">
        <v>104</v>
      </c>
      <c r="H19" s="108" t="s">
        <v>105</v>
      </c>
      <c r="I19" s="662" t="s">
        <v>433</v>
      </c>
      <c r="J19" s="108" t="s">
        <v>565</v>
      </c>
      <c r="K19" s="105" t="s">
        <v>567</v>
      </c>
      <c r="L19" s="105" t="s">
        <v>566</v>
      </c>
      <c r="M19" s="109">
        <v>16</v>
      </c>
      <c r="N19" s="109">
        <v>6</v>
      </c>
      <c r="O19" s="110">
        <v>8.1300000000000001E-3</v>
      </c>
      <c r="P19" s="105" t="s">
        <v>40</v>
      </c>
      <c r="Q19" s="105" t="s">
        <v>112</v>
      </c>
      <c r="R19" s="105" t="s">
        <v>662</v>
      </c>
      <c r="S19" s="111">
        <f>700-16</f>
        <v>684</v>
      </c>
      <c r="T19" s="111">
        <f>16+212</f>
        <v>228</v>
      </c>
      <c r="U19" s="112">
        <f>452</f>
        <v>452</v>
      </c>
      <c r="V19" s="113">
        <f>(T19+U19)-S19</f>
        <v>-4</v>
      </c>
      <c r="W19" s="114">
        <f>IF(V19&lt;0,((S19*M19)-((T19+U19)*M19)),0)</f>
        <v>64</v>
      </c>
      <c r="X19" s="114"/>
      <c r="Y19" s="109">
        <v>1</v>
      </c>
      <c r="Z19" s="111">
        <f>Y19*S19*M19</f>
        <v>10944</v>
      </c>
      <c r="AA19" s="115" t="s">
        <v>1467</v>
      </c>
      <c r="AB19" s="116">
        <f>SUM(N19*O19*W19)/1000</f>
        <v>3.1219200000000003E-3</v>
      </c>
      <c r="AC19" s="116">
        <f>AB19/0.54</f>
        <v>5.7813333333333336E-3</v>
      </c>
      <c r="AD19" s="117">
        <f>MID(L19,1,3)/1000</f>
        <v>0.11700000000000001</v>
      </c>
      <c r="AE19" s="118">
        <f>(W19*AD19)/1000</f>
        <v>7.4880000000000007E-3</v>
      </c>
      <c r="AF19" s="119">
        <f>S19*M19</f>
        <v>10944</v>
      </c>
      <c r="AH19" s="120" t="s">
        <v>691</v>
      </c>
      <c r="AI19" s="121" t="s">
        <v>690</v>
      </c>
      <c r="AJ19" s="122">
        <f>AD19*W19</f>
        <v>7.4880000000000004</v>
      </c>
      <c r="AK19" s="123">
        <f t="shared" si="9"/>
        <v>45472</v>
      </c>
      <c r="AL19" s="124" t="s">
        <v>692</v>
      </c>
      <c r="AM19" s="125"/>
      <c r="AN19" s="126"/>
      <c r="AO19" s="126">
        <v>12080450</v>
      </c>
      <c r="AP19" s="126"/>
      <c r="AQ19" s="126">
        <v>12083198</v>
      </c>
      <c r="AR19" s="127"/>
      <c r="AS19" s="126">
        <v>12080491</v>
      </c>
      <c r="AT19" s="126"/>
      <c r="AU19" s="126" t="s">
        <v>627</v>
      </c>
      <c r="AV19" s="126"/>
      <c r="AW19" s="126"/>
      <c r="AX19" s="127"/>
    </row>
    <row r="20" spans="1:50" ht="25" customHeight="1">
      <c r="A20" s="102" t="s">
        <v>438</v>
      </c>
      <c r="B20" s="128">
        <v>45472</v>
      </c>
      <c r="C20" s="129">
        <v>45474</v>
      </c>
      <c r="D20" s="130" t="str">
        <f>VLOOKUP($B20,Week!$A$1:$C$1462,2,0)</f>
        <v>Week26</v>
      </c>
      <c r="E20" s="131">
        <f>VLOOKUP(B20,Week!$A$1:$C$1462,3,0)</f>
        <v>45444</v>
      </c>
      <c r="F20" s="132" t="s">
        <v>1391</v>
      </c>
      <c r="G20" s="130" t="s">
        <v>675</v>
      </c>
      <c r="H20" s="133" t="s">
        <v>709</v>
      </c>
      <c r="I20" s="663" t="s">
        <v>671</v>
      </c>
      <c r="J20" s="133" t="s">
        <v>661</v>
      </c>
      <c r="K20" s="130" t="s">
        <v>714</v>
      </c>
      <c r="L20" s="130" t="s">
        <v>566</v>
      </c>
      <c r="M20" s="134">
        <v>16</v>
      </c>
      <c r="N20" s="134">
        <v>6</v>
      </c>
      <c r="O20" s="135">
        <v>8.1300000000000001E-3</v>
      </c>
      <c r="P20" s="130" t="s">
        <v>55</v>
      </c>
      <c r="Q20" s="130" t="s">
        <v>112</v>
      </c>
      <c r="R20" s="130" t="s">
        <v>662</v>
      </c>
      <c r="S20" s="136">
        <f>216-56</f>
        <v>160</v>
      </c>
      <c r="T20" s="136">
        <f>6</f>
        <v>6</v>
      </c>
      <c r="U20" s="137">
        <v>154</v>
      </c>
      <c r="V20" s="138">
        <f t="shared" si="10"/>
        <v>0</v>
      </c>
      <c r="W20" s="139">
        <f t="shared" si="11"/>
        <v>0</v>
      </c>
      <c r="X20" s="139"/>
      <c r="Y20" s="134">
        <v>1</v>
      </c>
      <c r="Z20" s="136">
        <f t="shared" si="12"/>
        <v>2560</v>
      </c>
      <c r="AA20" s="133" t="s">
        <v>660</v>
      </c>
      <c r="AB20" s="140">
        <f t="shared" si="13"/>
        <v>0</v>
      </c>
      <c r="AC20" s="140">
        <f t="shared" si="14"/>
        <v>0</v>
      </c>
      <c r="AD20" s="117">
        <f t="shared" si="15"/>
        <v>0.11700000000000001</v>
      </c>
      <c r="AE20" s="118">
        <f t="shared" si="16"/>
        <v>0</v>
      </c>
      <c r="AF20" s="119">
        <f t="shared" si="17"/>
        <v>2560</v>
      </c>
      <c r="AH20" s="120" t="s">
        <v>691</v>
      </c>
      <c r="AI20" s="141" t="s">
        <v>690</v>
      </c>
      <c r="AJ20" s="122">
        <f t="shared" si="18"/>
        <v>0</v>
      </c>
      <c r="AK20" s="123">
        <f t="shared" si="9"/>
        <v>45472</v>
      </c>
      <c r="AL20" s="124" t="s">
        <v>692</v>
      </c>
      <c r="AM20" s="125"/>
      <c r="AN20" s="126"/>
      <c r="AO20" s="126">
        <v>12080450</v>
      </c>
      <c r="AP20" s="126"/>
      <c r="AQ20" s="126">
        <v>12083198</v>
      </c>
      <c r="AR20" s="127"/>
      <c r="AS20" s="126">
        <v>12080491</v>
      </c>
      <c r="AT20" s="126"/>
      <c r="AU20" s="126" t="s">
        <v>627</v>
      </c>
      <c r="AV20" s="126"/>
      <c r="AW20" s="126"/>
      <c r="AX20" s="127"/>
    </row>
    <row r="21" spans="1:50" ht="25" customHeight="1">
      <c r="A21" s="102" t="s">
        <v>438</v>
      </c>
      <c r="B21" s="128">
        <v>45472</v>
      </c>
      <c r="C21" s="129">
        <v>45488</v>
      </c>
      <c r="D21" s="130" t="str">
        <f>VLOOKUP($B21,Week!$A$1:$C$1462,2,0)</f>
        <v>Week26</v>
      </c>
      <c r="E21" s="131">
        <f>VLOOKUP(B21,Week!$A$1:$C$1462,3,0)</f>
        <v>45444</v>
      </c>
      <c r="F21" s="132" t="s">
        <v>1349</v>
      </c>
      <c r="G21" s="130" t="s">
        <v>311</v>
      </c>
      <c r="H21" s="133" t="s">
        <v>738</v>
      </c>
      <c r="I21" s="663" t="s">
        <v>671</v>
      </c>
      <c r="J21" s="133" t="s">
        <v>661</v>
      </c>
      <c r="K21" s="130" t="s">
        <v>666</v>
      </c>
      <c r="L21" s="130" t="s">
        <v>566</v>
      </c>
      <c r="M21" s="134">
        <v>16</v>
      </c>
      <c r="N21" s="134">
        <v>6</v>
      </c>
      <c r="O21" s="135">
        <v>8.1300000000000001E-3</v>
      </c>
      <c r="P21" s="130" t="s">
        <v>55</v>
      </c>
      <c r="Q21" s="130" t="s">
        <v>112</v>
      </c>
      <c r="R21" s="130" t="s">
        <v>662</v>
      </c>
      <c r="S21" s="136">
        <v>300</v>
      </c>
      <c r="T21" s="136"/>
      <c r="U21" s="137">
        <v>300</v>
      </c>
      <c r="V21" s="138">
        <f t="shared" si="10"/>
        <v>0</v>
      </c>
      <c r="W21" s="139">
        <f t="shared" si="11"/>
        <v>0</v>
      </c>
      <c r="X21" s="139"/>
      <c r="Y21" s="134">
        <v>1</v>
      </c>
      <c r="Z21" s="136">
        <f t="shared" si="12"/>
        <v>4800</v>
      </c>
      <c r="AA21" s="133" t="s">
        <v>660</v>
      </c>
      <c r="AB21" s="140">
        <f t="shared" si="13"/>
        <v>0</v>
      </c>
      <c r="AC21" s="140">
        <f t="shared" si="14"/>
        <v>0</v>
      </c>
      <c r="AD21" s="117">
        <f t="shared" si="15"/>
        <v>0.11700000000000001</v>
      </c>
      <c r="AE21" s="118">
        <f t="shared" si="16"/>
        <v>0</v>
      </c>
      <c r="AF21" s="119">
        <f t="shared" si="17"/>
        <v>4800</v>
      </c>
      <c r="AH21" s="120" t="s">
        <v>691</v>
      </c>
      <c r="AI21" s="141" t="s">
        <v>690</v>
      </c>
      <c r="AJ21" s="122">
        <f t="shared" si="18"/>
        <v>0</v>
      </c>
      <c r="AK21" s="123">
        <f t="shared" si="9"/>
        <v>45472</v>
      </c>
      <c r="AL21" s="124" t="s">
        <v>692</v>
      </c>
      <c r="AM21" s="125"/>
      <c r="AN21" s="126"/>
      <c r="AO21" s="126">
        <v>12080450</v>
      </c>
      <c r="AP21" s="126"/>
      <c r="AQ21" s="126">
        <v>12083198</v>
      </c>
      <c r="AR21" s="127"/>
      <c r="AS21" s="126">
        <v>12080491</v>
      </c>
      <c r="AT21" s="126"/>
      <c r="AU21" s="126" t="s">
        <v>627</v>
      </c>
      <c r="AV21" s="126"/>
      <c r="AW21" s="126"/>
      <c r="AX21" s="127"/>
    </row>
    <row r="22" spans="1:50" ht="25" customHeight="1">
      <c r="B22" s="707">
        <v>45389</v>
      </c>
      <c r="C22" s="708"/>
      <c r="D22" s="709" t="str">
        <f>VLOOKUP($B22,Week!$A$1:$C$1462,2,0)</f>
        <v>Week14</v>
      </c>
      <c r="E22" s="710">
        <f>VLOOKUP(B22,Week!$A$1:$C$1462,3,0)</f>
        <v>45383</v>
      </c>
      <c r="F22" s="709"/>
      <c r="G22" s="709"/>
      <c r="H22" s="711"/>
      <c r="I22" s="712"/>
      <c r="J22" s="711"/>
      <c r="K22" s="709"/>
      <c r="L22" s="709"/>
      <c r="M22" s="713"/>
      <c r="N22" s="713"/>
      <c r="O22" s="714"/>
      <c r="P22" s="709"/>
      <c r="Q22" s="709"/>
      <c r="R22" s="709"/>
      <c r="S22" s="715"/>
      <c r="T22" s="715"/>
      <c r="U22" s="716"/>
      <c r="V22" s="717"/>
      <c r="W22" s="718"/>
      <c r="X22" s="718"/>
      <c r="Y22" s="713"/>
      <c r="Z22" s="715"/>
      <c r="AA22" s="711"/>
      <c r="AB22" s="719">
        <f>SUM(N22*O22*W22)/1000</f>
        <v>0</v>
      </c>
      <c r="AC22" s="719"/>
      <c r="AD22" s="720"/>
      <c r="AE22" s="721"/>
      <c r="AH22" s="120" t="s">
        <v>691</v>
      </c>
      <c r="AJ22" s="122">
        <f>AD22*W22</f>
        <v>0</v>
      </c>
      <c r="AK22" s="123">
        <f>B22</f>
        <v>45389</v>
      </c>
      <c r="AL22" s="124" t="s">
        <v>692</v>
      </c>
      <c r="AM22" s="125"/>
      <c r="AN22" s="126"/>
      <c r="AO22" s="126"/>
      <c r="AP22" s="126"/>
      <c r="AQ22" s="126"/>
      <c r="AR22" s="127"/>
      <c r="AS22" s="126"/>
      <c r="AT22" s="126"/>
      <c r="AU22" s="126"/>
      <c r="AV22" s="126"/>
      <c r="AW22" s="126"/>
      <c r="AX22" s="127"/>
    </row>
    <row r="25" spans="1:50">
      <c r="R25" s="725"/>
    </row>
    <row r="26" spans="1:50">
      <c r="AB26" s="118" t="s">
        <v>435</v>
      </c>
      <c r="AC26" s="118" t="s">
        <v>436</v>
      </c>
    </row>
    <row r="27" spans="1:50">
      <c r="A27" s="120"/>
      <c r="B27" s="120"/>
      <c r="C27" s="120"/>
      <c r="F27" s="120"/>
      <c r="G27" s="120"/>
      <c r="K27" s="120"/>
      <c r="M27" s="120"/>
      <c r="N27" s="120"/>
      <c r="O27" s="676"/>
      <c r="AB27" s="118" t="s">
        <v>437</v>
      </c>
      <c r="AC27" s="118" t="s">
        <v>437</v>
      </c>
      <c r="AD27" s="120"/>
      <c r="AE27" s="120"/>
      <c r="AF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</row>
    <row r="28" spans="1:50">
      <c r="A28" s="120"/>
      <c r="B28" s="120"/>
      <c r="C28" s="120"/>
      <c r="F28" s="120"/>
      <c r="G28" s="120"/>
      <c r="K28" s="120"/>
      <c r="M28" s="120"/>
      <c r="N28" s="120"/>
      <c r="O28" s="676"/>
      <c r="P28" s="676" t="s">
        <v>40</v>
      </c>
      <c r="Q28" s="676">
        <v>8</v>
      </c>
      <c r="AA28" s="120" t="s">
        <v>40</v>
      </c>
      <c r="AB28" s="118">
        <f>SUMIF($P5:$P5,$P$28,AB5:AB5)</f>
        <v>0</v>
      </c>
      <c r="AC28" s="118">
        <f>SUMIF($P5:$P5,$P$28,AC5:AC5)</f>
        <v>0</v>
      </c>
      <c r="AD28" s="120"/>
      <c r="AE28" s="120"/>
      <c r="AF28" s="120"/>
      <c r="AN28" s="120"/>
      <c r="AO28" s="120"/>
      <c r="AP28" s="120"/>
      <c r="AQ28" s="120"/>
      <c r="AR28" s="120"/>
      <c r="AS28" s="120"/>
      <c r="AT28" s="120"/>
      <c r="AU28" s="120"/>
      <c r="AV28" s="120"/>
      <c r="AW28" s="120"/>
      <c r="AX28" s="120"/>
    </row>
    <row r="29" spans="1:50">
      <c r="A29" s="120"/>
      <c r="B29" s="120"/>
      <c r="C29" s="120"/>
      <c r="F29" s="120"/>
      <c r="G29" s="120"/>
      <c r="K29" s="120"/>
      <c r="M29" s="120"/>
      <c r="N29" s="120"/>
      <c r="O29" s="676"/>
      <c r="P29" s="676" t="s">
        <v>76</v>
      </c>
      <c r="Q29" s="676">
        <v>7</v>
      </c>
      <c r="AA29" s="120" t="s">
        <v>76</v>
      </c>
      <c r="AB29" s="118">
        <f>SUMIF($P5:$P5,$P$29,AB5:AB5)</f>
        <v>0</v>
      </c>
      <c r="AC29" s="118">
        <f>SUMIF($P5:$P5,$P$29,AC5:AC5)</f>
        <v>0</v>
      </c>
      <c r="AD29" s="120"/>
      <c r="AE29" s="120"/>
      <c r="AF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</row>
    <row r="30" spans="1:50">
      <c r="A30" s="120"/>
      <c r="B30" s="120"/>
      <c r="C30" s="120"/>
      <c r="F30" s="120"/>
      <c r="G30" s="120"/>
      <c r="K30" s="120"/>
      <c r="M30" s="120"/>
      <c r="N30" s="120"/>
      <c r="O30" s="676"/>
      <c r="P30" s="676" t="s">
        <v>352</v>
      </c>
      <c r="Q30" s="676">
        <v>6.5</v>
      </c>
      <c r="AA30" s="120" t="s">
        <v>352</v>
      </c>
      <c r="AB30" s="118">
        <f>SUMIF($P5:$P5,$P$30,AB5:AB5)</f>
        <v>0</v>
      </c>
      <c r="AC30" s="118">
        <f>SUMIF($P5:$P5,$P$30,AC5:AC5)</f>
        <v>0</v>
      </c>
      <c r="AD30" s="120"/>
      <c r="AE30" s="120"/>
      <c r="AF30" s="120"/>
      <c r="AN30" s="120"/>
      <c r="AO30" s="120"/>
      <c r="AP30" s="120"/>
      <c r="AQ30" s="120"/>
      <c r="AR30" s="120"/>
      <c r="AS30" s="120"/>
      <c r="AT30" s="120"/>
      <c r="AU30" s="120"/>
      <c r="AV30" s="120"/>
      <c r="AW30" s="120"/>
      <c r="AX30" s="120"/>
    </row>
    <row r="31" spans="1:50">
      <c r="A31" s="120"/>
      <c r="B31" s="120"/>
      <c r="C31" s="120"/>
      <c r="F31" s="120"/>
      <c r="G31" s="120"/>
      <c r="K31" s="120"/>
      <c r="M31" s="120"/>
      <c r="N31" s="120"/>
      <c r="O31" s="676"/>
      <c r="P31" s="676" t="s">
        <v>111</v>
      </c>
      <c r="Q31" s="676">
        <v>9</v>
      </c>
      <c r="AA31" s="120" t="s">
        <v>111</v>
      </c>
      <c r="AB31" s="118">
        <f>SUMIF($P5:$P5,$P$31,AB5:AB5)</f>
        <v>0</v>
      </c>
      <c r="AC31" s="118">
        <f>SUMIF($P5:$P5,$P$31,AC5:AC5)</f>
        <v>0</v>
      </c>
      <c r="AD31" s="120"/>
      <c r="AE31" s="120"/>
      <c r="AF31" s="120"/>
      <c r="AN31" s="120"/>
      <c r="AO31" s="120"/>
      <c r="AP31" s="120"/>
      <c r="AQ31" s="120"/>
      <c r="AR31" s="120"/>
      <c r="AS31" s="120"/>
      <c r="AT31" s="120"/>
      <c r="AU31" s="120"/>
      <c r="AV31" s="120"/>
      <c r="AW31" s="120"/>
      <c r="AX31" s="120"/>
    </row>
    <row r="32" spans="1:50">
      <c r="A32" s="120"/>
      <c r="B32" s="120"/>
      <c r="C32" s="120"/>
      <c r="F32" s="120"/>
      <c r="G32" s="120"/>
      <c r="K32" s="120"/>
      <c r="M32" s="120"/>
      <c r="N32" s="120"/>
      <c r="O32" s="676"/>
      <c r="P32" s="676" t="s">
        <v>55</v>
      </c>
      <c r="Q32" s="676">
        <v>8</v>
      </c>
      <c r="AA32" s="120" t="s">
        <v>55</v>
      </c>
      <c r="AB32" s="118">
        <f>SUMIF($P5:$P5,$P$32,AB5:AB5)</f>
        <v>0</v>
      </c>
      <c r="AC32" s="118">
        <f>SUMIF($P5:$P5,$P$32,AC5:AC5)</f>
        <v>0</v>
      </c>
      <c r="AD32" s="120"/>
      <c r="AE32" s="120"/>
      <c r="AF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</row>
    <row r="33" spans="16:17">
      <c r="P33" s="676" t="s">
        <v>590</v>
      </c>
      <c r="Q33" s="676">
        <v>11</v>
      </c>
    </row>
  </sheetData>
  <autoFilter ref="A4:AX4" xr:uid="{00000000-0009-0000-0000-000002000000}"/>
  <conditionalFormatting sqref="B4:E4">
    <cfRule type="cellIs" dxfId="2" priority="1" stopIfTrue="1" operator="equal">
      <formula>41790.5</formula>
    </cfRule>
  </conditionalFormatting>
  <pageMargins left="0.15748031496063" right="0.15748031496063" top="0.23622047244094499" bottom="0.35433070866141703" header="0.15748031496063" footer="0.15748031496063"/>
  <pageSetup paperSize="9" scale="45" fitToHeight="20" orientation="landscape" r:id="rId1"/>
  <customProperties>
    <customPr name="EpmWorksheetKeyString_GUID" r:id="rId2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J78"/>
  <sheetViews>
    <sheetView topLeftCell="A7" zoomScale="130" zoomScaleNormal="130" workbookViewId="0">
      <selection activeCell="D20" sqref="D20"/>
    </sheetView>
  </sheetViews>
  <sheetFormatPr defaultColWidth="8.83203125" defaultRowHeight="15"/>
  <cols>
    <col min="1" max="1" width="16.75" style="90" customWidth="1"/>
    <col min="2" max="2" width="8.4140625" style="91" customWidth="1"/>
    <col min="3" max="3" width="9.75" style="90" customWidth="1"/>
    <col min="4" max="4" width="19.75" style="90" customWidth="1"/>
    <col min="5" max="5" width="20.4140625" style="90" customWidth="1"/>
    <col min="6" max="6" width="9.4140625" style="90" customWidth="1"/>
    <col min="7" max="7" width="13.4140625" style="90" customWidth="1"/>
    <col min="8" max="8" width="12.1640625" style="90" customWidth="1"/>
    <col min="9" max="9" width="6.83203125" style="90" customWidth="1"/>
    <col min="10" max="10" width="7" style="90" customWidth="1"/>
    <col min="11" max="16384" width="8.83203125" style="90"/>
  </cols>
  <sheetData>
    <row r="1" spans="1:10">
      <c r="C1" s="90" t="s">
        <v>1364</v>
      </c>
      <c r="F1" s="90" t="s">
        <v>1358</v>
      </c>
      <c r="G1" s="90" t="s">
        <v>1365</v>
      </c>
    </row>
    <row r="2" spans="1:10">
      <c r="A2" s="90" t="s">
        <v>1359</v>
      </c>
      <c r="C2" s="92">
        <v>45386</v>
      </c>
      <c r="D2" s="92"/>
    </row>
    <row r="3" spans="1:10" ht="14.5" customHeight="1">
      <c r="A3" s="90" t="s">
        <v>1360</v>
      </c>
      <c r="C3" s="92">
        <v>45388</v>
      </c>
      <c r="D3" s="92"/>
    </row>
    <row r="4" spans="1:10">
      <c r="A4" s="90" t="s">
        <v>1361</v>
      </c>
      <c r="B4" s="91" t="s">
        <v>1393</v>
      </c>
      <c r="C4" s="101">
        <v>45387</v>
      </c>
      <c r="D4" s="101"/>
      <c r="E4" s="93">
        <v>3.5</v>
      </c>
      <c r="F4" s="98"/>
      <c r="G4" s="99"/>
    </row>
    <row r="5" spans="1:10">
      <c r="A5" s="90" t="s">
        <v>1361</v>
      </c>
      <c r="B5" s="91">
        <v>15</v>
      </c>
      <c r="C5" s="101">
        <v>45388</v>
      </c>
      <c r="D5" s="101"/>
      <c r="E5" s="93">
        <v>3.5</v>
      </c>
      <c r="F5" s="98"/>
      <c r="G5" s="99"/>
    </row>
    <row r="6" spans="1:10">
      <c r="A6" s="90" t="s">
        <v>1361</v>
      </c>
      <c r="B6" s="91">
        <v>15</v>
      </c>
      <c r="C6" s="92">
        <v>45390</v>
      </c>
      <c r="D6" s="92"/>
      <c r="E6" s="93">
        <v>3.5</v>
      </c>
      <c r="F6" s="101">
        <v>45390</v>
      </c>
      <c r="G6" s="93">
        <v>3.7</v>
      </c>
      <c r="H6" s="90">
        <f>142560</f>
        <v>142560</v>
      </c>
      <c r="I6" s="90" t="s">
        <v>36</v>
      </c>
      <c r="J6" s="91" t="s">
        <v>1393</v>
      </c>
    </row>
    <row r="7" spans="1:10">
      <c r="B7" s="91">
        <v>15</v>
      </c>
      <c r="C7" s="92">
        <v>45391</v>
      </c>
      <c r="D7" s="92"/>
      <c r="E7" s="93">
        <v>3.5</v>
      </c>
    </row>
    <row r="8" spans="1:10">
      <c r="B8" s="91">
        <v>14</v>
      </c>
      <c r="C8" s="92">
        <v>45392</v>
      </c>
      <c r="D8" s="92"/>
      <c r="E8" s="93">
        <v>3.5</v>
      </c>
      <c r="F8" s="92"/>
    </row>
    <row r="9" spans="1:10">
      <c r="B9" s="91">
        <v>14</v>
      </c>
      <c r="C9" s="92">
        <v>45393</v>
      </c>
      <c r="D9" s="92"/>
      <c r="E9" s="93">
        <v>3.5</v>
      </c>
      <c r="F9" s="92">
        <v>45393</v>
      </c>
      <c r="G9" s="93">
        <v>3.7</v>
      </c>
      <c r="H9" s="90">
        <f>142560</f>
        <v>142560</v>
      </c>
      <c r="I9" s="90" t="s">
        <v>36</v>
      </c>
      <c r="J9" s="91">
        <v>15</v>
      </c>
    </row>
    <row r="10" spans="1:10">
      <c r="B10" s="91">
        <v>14</v>
      </c>
      <c r="C10" s="92">
        <v>45394</v>
      </c>
      <c r="D10" s="92"/>
      <c r="E10" s="93">
        <v>3.5</v>
      </c>
      <c r="F10" s="92">
        <v>45394</v>
      </c>
      <c r="G10" s="93">
        <v>3.7</v>
      </c>
      <c r="H10" s="90">
        <f>142560</f>
        <v>142560</v>
      </c>
      <c r="I10" s="90" t="s">
        <v>36</v>
      </c>
      <c r="J10" s="91">
        <v>15</v>
      </c>
    </row>
    <row r="11" spans="1:10">
      <c r="C11" s="92">
        <v>45399</v>
      </c>
      <c r="D11" s="94" t="s">
        <v>1362</v>
      </c>
      <c r="F11" s="92">
        <v>45399</v>
      </c>
      <c r="G11" s="93">
        <v>3.7</v>
      </c>
      <c r="H11" s="90">
        <f>142560</f>
        <v>142560</v>
      </c>
      <c r="I11" s="90" t="s">
        <v>36</v>
      </c>
      <c r="J11" s="91">
        <v>15</v>
      </c>
    </row>
    <row r="12" spans="1:10">
      <c r="A12" s="94" t="s">
        <v>1368</v>
      </c>
      <c r="C12" s="92">
        <v>45400</v>
      </c>
      <c r="D12" s="94" t="s">
        <v>1362</v>
      </c>
      <c r="F12" s="92">
        <v>45400</v>
      </c>
      <c r="G12" s="93">
        <v>3.7</v>
      </c>
      <c r="H12" s="90">
        <f>142560</f>
        <v>142560</v>
      </c>
      <c r="I12" s="90" t="s">
        <v>36</v>
      </c>
      <c r="J12" s="90">
        <v>14</v>
      </c>
    </row>
    <row r="13" spans="1:10">
      <c r="A13" s="94" t="s">
        <v>1368</v>
      </c>
      <c r="C13" s="92">
        <v>45401</v>
      </c>
      <c r="D13" s="94" t="s">
        <v>1362</v>
      </c>
      <c r="F13" s="92"/>
    </row>
    <row r="14" spans="1:10">
      <c r="C14" s="92">
        <v>45402</v>
      </c>
      <c r="D14" s="94" t="s">
        <v>1362</v>
      </c>
      <c r="F14" s="92"/>
    </row>
    <row r="15" spans="1:10">
      <c r="B15" s="91">
        <v>16</v>
      </c>
      <c r="C15" s="92">
        <v>45404</v>
      </c>
      <c r="D15" s="92"/>
      <c r="E15" s="95">
        <v>3.5</v>
      </c>
      <c r="F15" s="92">
        <v>45404</v>
      </c>
      <c r="G15" s="95">
        <v>3.7</v>
      </c>
      <c r="H15" s="90">
        <f>142560</f>
        <v>142560</v>
      </c>
      <c r="I15" s="90" t="s">
        <v>36</v>
      </c>
      <c r="J15" s="90">
        <v>14</v>
      </c>
    </row>
    <row r="16" spans="1:10">
      <c r="B16" s="91">
        <v>16</v>
      </c>
      <c r="C16" s="92">
        <v>45405</v>
      </c>
      <c r="D16" s="92"/>
      <c r="E16" s="95">
        <v>3.5</v>
      </c>
      <c r="F16" s="92">
        <v>45405</v>
      </c>
      <c r="G16" s="95">
        <v>3.7</v>
      </c>
      <c r="H16" s="90">
        <f>142560</f>
        <v>142560</v>
      </c>
      <c r="I16" s="90" t="s">
        <v>36</v>
      </c>
      <c r="J16" s="90">
        <v>14</v>
      </c>
    </row>
    <row r="17" spans="2:10">
      <c r="B17" s="91" t="s">
        <v>1394</v>
      </c>
      <c r="C17" s="92">
        <v>45406</v>
      </c>
      <c r="D17" s="92"/>
      <c r="E17" s="95">
        <v>3.5</v>
      </c>
      <c r="F17" s="92">
        <v>45406</v>
      </c>
      <c r="G17" s="95">
        <v>3.7</v>
      </c>
      <c r="H17" s="90">
        <f>142560</f>
        <v>142560</v>
      </c>
      <c r="I17" s="90" t="s">
        <v>36</v>
      </c>
      <c r="J17" s="90">
        <v>16</v>
      </c>
    </row>
    <row r="18" spans="2:10">
      <c r="B18" s="91">
        <v>17</v>
      </c>
      <c r="C18" s="92">
        <v>45407</v>
      </c>
      <c r="D18" s="92"/>
      <c r="E18" s="95">
        <v>3.5</v>
      </c>
    </row>
    <row r="19" spans="2:10">
      <c r="B19" s="91">
        <v>17</v>
      </c>
      <c r="C19" s="92">
        <v>45408</v>
      </c>
      <c r="D19" s="92"/>
      <c r="E19" s="95">
        <v>3.5</v>
      </c>
      <c r="F19" s="92">
        <v>45408</v>
      </c>
      <c r="G19" s="95">
        <v>3.7</v>
      </c>
      <c r="H19" s="90">
        <f>142560</f>
        <v>142560</v>
      </c>
      <c r="I19" s="90" t="s">
        <v>36</v>
      </c>
      <c r="J19" s="90">
        <v>16</v>
      </c>
    </row>
    <row r="20" spans="2:10">
      <c r="B20" s="91">
        <v>17</v>
      </c>
      <c r="C20" s="92">
        <v>45409</v>
      </c>
      <c r="D20" s="92"/>
      <c r="E20" s="94">
        <v>3.5</v>
      </c>
      <c r="F20" s="92"/>
    </row>
    <row r="21" spans="2:10">
      <c r="B21" s="91">
        <v>18</v>
      </c>
      <c r="C21" s="92">
        <v>45411</v>
      </c>
      <c r="D21" s="92"/>
      <c r="E21" s="94">
        <v>3.5</v>
      </c>
      <c r="F21" s="92">
        <v>45411</v>
      </c>
      <c r="G21" s="94">
        <v>3.7</v>
      </c>
      <c r="H21" s="90">
        <f>142560</f>
        <v>142560</v>
      </c>
      <c r="I21" s="90" t="s">
        <v>36</v>
      </c>
      <c r="J21" s="90">
        <v>16</v>
      </c>
    </row>
    <row r="22" spans="2:10">
      <c r="B22" s="91">
        <v>18</v>
      </c>
      <c r="C22" s="92">
        <v>45412</v>
      </c>
      <c r="D22" s="92"/>
      <c r="E22" s="94">
        <v>3.5</v>
      </c>
      <c r="F22" s="92">
        <v>45412</v>
      </c>
      <c r="G22" s="94">
        <v>3.7</v>
      </c>
      <c r="H22" s="90">
        <f>142560</f>
        <v>142560</v>
      </c>
      <c r="I22" s="90" t="s">
        <v>36</v>
      </c>
      <c r="J22" s="90">
        <v>16</v>
      </c>
    </row>
    <row r="23" spans="2:10">
      <c r="B23" s="91">
        <v>18</v>
      </c>
      <c r="C23" s="92">
        <v>45414</v>
      </c>
      <c r="D23" s="92"/>
      <c r="E23" s="94">
        <v>3.5</v>
      </c>
      <c r="F23" s="92">
        <v>45414</v>
      </c>
      <c r="G23" s="94">
        <v>3.7</v>
      </c>
      <c r="H23" s="90">
        <f>142560</f>
        <v>142560</v>
      </c>
      <c r="I23" s="90" t="s">
        <v>36</v>
      </c>
      <c r="J23" s="90" t="s">
        <v>1394</v>
      </c>
    </row>
    <row r="24" spans="2:10">
      <c r="B24" s="96" t="s">
        <v>1395</v>
      </c>
      <c r="C24" s="92">
        <v>45415</v>
      </c>
      <c r="D24" s="92"/>
      <c r="E24" s="94">
        <v>3.5</v>
      </c>
      <c r="F24" s="92">
        <v>45415</v>
      </c>
      <c r="G24" s="94">
        <v>3.7</v>
      </c>
      <c r="H24" s="90">
        <f>142560</f>
        <v>142560</v>
      </c>
      <c r="I24" s="90" t="s">
        <v>36</v>
      </c>
      <c r="J24" s="90">
        <v>17</v>
      </c>
    </row>
    <row r="25" spans="2:10">
      <c r="B25" s="91">
        <v>19</v>
      </c>
      <c r="C25" s="92">
        <v>45416</v>
      </c>
      <c r="D25" s="92"/>
      <c r="E25" s="94">
        <v>3.5</v>
      </c>
      <c r="F25" s="92">
        <v>45416</v>
      </c>
      <c r="G25" s="94">
        <v>3.7</v>
      </c>
      <c r="H25" s="90">
        <f>142560</f>
        <v>142560</v>
      </c>
      <c r="I25" s="90" t="s">
        <v>36</v>
      </c>
      <c r="J25" s="90">
        <v>17</v>
      </c>
    </row>
    <row r="26" spans="2:10">
      <c r="B26" s="91">
        <v>19</v>
      </c>
      <c r="C26" s="92">
        <v>45418</v>
      </c>
      <c r="D26" s="94" t="s">
        <v>1362</v>
      </c>
      <c r="E26" s="97">
        <v>1.5</v>
      </c>
    </row>
    <row r="27" spans="2:10">
      <c r="B27" s="91">
        <v>19</v>
      </c>
      <c r="C27" s="92">
        <v>45419</v>
      </c>
      <c r="D27" s="94" t="s">
        <v>1362</v>
      </c>
      <c r="E27" s="97">
        <v>1.5</v>
      </c>
    </row>
    <row r="28" spans="2:10">
      <c r="B28" s="91">
        <v>20</v>
      </c>
      <c r="C28" s="92">
        <v>45420</v>
      </c>
      <c r="D28" s="94" t="s">
        <v>1362</v>
      </c>
      <c r="E28" s="97">
        <v>1.5</v>
      </c>
      <c r="F28" s="92">
        <v>45420</v>
      </c>
      <c r="G28" s="97">
        <v>3.7</v>
      </c>
      <c r="H28" s="90">
        <f>142560</f>
        <v>142560</v>
      </c>
      <c r="I28" s="90" t="s">
        <v>36</v>
      </c>
      <c r="J28" s="90">
        <v>18</v>
      </c>
    </row>
    <row r="29" spans="2:10">
      <c r="B29" s="91">
        <v>20</v>
      </c>
      <c r="C29" s="92">
        <v>45421</v>
      </c>
      <c r="D29" s="94" t="s">
        <v>1362</v>
      </c>
      <c r="E29" s="97">
        <v>1.5</v>
      </c>
      <c r="F29" s="92">
        <v>45421</v>
      </c>
      <c r="G29" s="97">
        <v>3.7</v>
      </c>
      <c r="H29" s="90">
        <f>142560</f>
        <v>142560</v>
      </c>
      <c r="I29" s="90" t="s">
        <v>36</v>
      </c>
      <c r="J29" s="90">
        <v>18</v>
      </c>
    </row>
    <row r="30" spans="2:10">
      <c r="B30" s="91">
        <v>20</v>
      </c>
      <c r="C30" s="92">
        <v>45422</v>
      </c>
      <c r="D30" s="94" t="s">
        <v>1362</v>
      </c>
      <c r="E30" s="97">
        <v>1.5</v>
      </c>
      <c r="F30" s="92">
        <v>45422</v>
      </c>
      <c r="G30" s="97">
        <v>3.7</v>
      </c>
      <c r="H30" s="90">
        <f>142560</f>
        <v>142560</v>
      </c>
      <c r="I30" s="90" t="s">
        <v>36</v>
      </c>
      <c r="J30" s="90">
        <v>18</v>
      </c>
    </row>
    <row r="31" spans="2:10">
      <c r="B31" s="96" t="s">
        <v>1396</v>
      </c>
      <c r="C31" s="92">
        <v>45423</v>
      </c>
      <c r="D31" s="94" t="s">
        <v>1362</v>
      </c>
      <c r="E31" s="97">
        <v>1.5</v>
      </c>
      <c r="F31" s="92">
        <v>45423</v>
      </c>
      <c r="G31" s="97">
        <v>3.7</v>
      </c>
      <c r="H31" s="90">
        <f>142560</f>
        <v>142560</v>
      </c>
      <c r="I31" s="90" t="s">
        <v>36</v>
      </c>
      <c r="J31" s="90">
        <v>19</v>
      </c>
    </row>
    <row r="32" spans="2:10">
      <c r="C32" s="92">
        <v>45425</v>
      </c>
      <c r="D32" s="92"/>
      <c r="E32" s="95">
        <v>3.5</v>
      </c>
    </row>
    <row r="33" spans="2:10">
      <c r="C33" s="92">
        <v>45426</v>
      </c>
      <c r="D33" s="92"/>
      <c r="E33" s="95">
        <v>3.5</v>
      </c>
      <c r="F33" s="92"/>
    </row>
    <row r="34" spans="2:10">
      <c r="B34" s="91">
        <v>21</v>
      </c>
      <c r="C34" s="92">
        <v>45427</v>
      </c>
      <c r="D34" s="92"/>
      <c r="E34" s="95">
        <v>3.5</v>
      </c>
      <c r="F34" s="92">
        <v>45427</v>
      </c>
      <c r="G34" s="95">
        <v>3.7</v>
      </c>
      <c r="H34" s="90">
        <f>142560</f>
        <v>142560</v>
      </c>
      <c r="I34" s="90" t="s">
        <v>36</v>
      </c>
      <c r="J34" s="90">
        <v>19</v>
      </c>
    </row>
    <row r="35" spans="2:10">
      <c r="B35" s="91">
        <v>21</v>
      </c>
      <c r="C35" s="92">
        <v>45428</v>
      </c>
      <c r="D35" s="92"/>
      <c r="E35" s="95">
        <v>3.5</v>
      </c>
      <c r="F35" s="92">
        <v>45428</v>
      </c>
      <c r="G35" s="95">
        <v>3.7</v>
      </c>
      <c r="H35" s="90">
        <f>142560</f>
        <v>142560</v>
      </c>
      <c r="I35" s="90" t="s">
        <v>36</v>
      </c>
      <c r="J35" s="90">
        <v>19</v>
      </c>
    </row>
    <row r="36" spans="2:10">
      <c r="B36" s="91">
        <v>22</v>
      </c>
      <c r="C36" s="92">
        <v>45429</v>
      </c>
      <c r="D36" s="92"/>
      <c r="E36" s="95">
        <v>3.5</v>
      </c>
      <c r="F36" s="92">
        <v>45429</v>
      </c>
      <c r="G36" s="95">
        <v>3.7</v>
      </c>
      <c r="H36" s="90">
        <f>142560</f>
        <v>142560</v>
      </c>
      <c r="I36" s="90" t="s">
        <v>36</v>
      </c>
      <c r="J36" s="90">
        <v>20</v>
      </c>
    </row>
    <row r="37" spans="2:10">
      <c r="B37" s="91">
        <v>22</v>
      </c>
      <c r="C37" s="92">
        <v>45430</v>
      </c>
      <c r="D37" s="92"/>
      <c r="E37" s="95">
        <v>3.5</v>
      </c>
      <c r="F37" s="92">
        <v>45430</v>
      </c>
      <c r="G37" s="95">
        <v>3.7</v>
      </c>
      <c r="H37" s="90">
        <f>142560</f>
        <v>142560</v>
      </c>
      <c r="I37" s="90" t="s">
        <v>36</v>
      </c>
      <c r="J37" s="90">
        <v>20</v>
      </c>
    </row>
    <row r="38" spans="2:10">
      <c r="B38" s="91">
        <v>22</v>
      </c>
      <c r="C38" s="92">
        <v>45432</v>
      </c>
      <c r="D38" s="92"/>
      <c r="E38" s="93">
        <v>3.5</v>
      </c>
    </row>
    <row r="39" spans="2:10">
      <c r="B39" s="96" t="s">
        <v>1397</v>
      </c>
      <c r="C39" s="92">
        <v>45433</v>
      </c>
      <c r="D39" s="92"/>
      <c r="E39" s="93">
        <v>3.5</v>
      </c>
    </row>
    <row r="40" spans="2:10">
      <c r="B40" s="91">
        <v>23</v>
      </c>
      <c r="C40" s="92">
        <v>45434</v>
      </c>
      <c r="D40" s="92"/>
      <c r="E40" s="93">
        <v>3.5</v>
      </c>
      <c r="F40" s="92">
        <v>45434</v>
      </c>
      <c r="G40" s="93">
        <v>3.7</v>
      </c>
      <c r="H40" s="90">
        <f>142560</f>
        <v>142560</v>
      </c>
      <c r="I40" s="90" t="s">
        <v>36</v>
      </c>
      <c r="J40" s="90">
        <v>20</v>
      </c>
    </row>
    <row r="41" spans="2:10">
      <c r="B41" s="91">
        <v>23</v>
      </c>
      <c r="C41" s="92">
        <v>45435</v>
      </c>
      <c r="D41" s="92"/>
      <c r="E41" s="93">
        <v>3.5</v>
      </c>
      <c r="F41" s="92">
        <v>45435</v>
      </c>
      <c r="G41" s="93">
        <v>3.7</v>
      </c>
      <c r="H41" s="90">
        <f>142560</f>
        <v>142560</v>
      </c>
      <c r="I41" s="90" t="s">
        <v>36</v>
      </c>
      <c r="J41" s="90">
        <v>21</v>
      </c>
    </row>
    <row r="42" spans="2:10">
      <c r="B42" s="91">
        <v>23</v>
      </c>
      <c r="C42" s="92">
        <v>45436</v>
      </c>
      <c r="D42" s="92"/>
      <c r="E42" s="93">
        <v>3.5</v>
      </c>
      <c r="F42" s="92">
        <v>45436</v>
      </c>
      <c r="G42" s="93">
        <v>3.7</v>
      </c>
      <c r="H42" s="90">
        <f>142560</f>
        <v>142560</v>
      </c>
      <c r="I42" s="90" t="s">
        <v>36</v>
      </c>
      <c r="J42" s="90">
        <v>21</v>
      </c>
    </row>
    <row r="43" spans="2:10">
      <c r="B43" s="91">
        <v>24</v>
      </c>
      <c r="C43" s="92">
        <v>45437</v>
      </c>
      <c r="D43" s="92"/>
      <c r="E43" s="93">
        <v>3.5</v>
      </c>
      <c r="F43" s="92">
        <v>45437</v>
      </c>
      <c r="G43" s="93">
        <v>3.7</v>
      </c>
      <c r="H43" s="90">
        <f>142560</f>
        <v>142560</v>
      </c>
      <c r="I43" s="90" t="s">
        <v>36</v>
      </c>
      <c r="J43" s="90">
        <v>21</v>
      </c>
    </row>
    <row r="44" spans="2:10">
      <c r="C44" s="92">
        <v>45439</v>
      </c>
      <c r="D44" s="92"/>
      <c r="E44" s="97">
        <v>3.5</v>
      </c>
      <c r="F44" s="92">
        <v>45441</v>
      </c>
      <c r="G44" s="97">
        <v>3.7</v>
      </c>
      <c r="H44" s="90">
        <f t="shared" ref="H44:H49" si="0">142560</f>
        <v>142560</v>
      </c>
      <c r="I44" s="90" t="s">
        <v>36</v>
      </c>
      <c r="J44" s="90">
        <v>22</v>
      </c>
    </row>
    <row r="45" spans="2:10">
      <c r="B45" s="91">
        <v>24</v>
      </c>
      <c r="C45" s="92">
        <v>45440</v>
      </c>
      <c r="D45" s="92"/>
      <c r="E45" s="97">
        <v>3.5</v>
      </c>
      <c r="F45" s="92">
        <v>45441</v>
      </c>
      <c r="G45" s="97">
        <v>3.7</v>
      </c>
      <c r="H45" s="90">
        <f t="shared" si="0"/>
        <v>142560</v>
      </c>
      <c r="I45" s="90" t="s">
        <v>36</v>
      </c>
      <c r="J45" s="90">
        <v>22</v>
      </c>
    </row>
    <row r="46" spans="2:10">
      <c r="B46" s="91">
        <v>24</v>
      </c>
      <c r="C46" s="92">
        <v>45441</v>
      </c>
      <c r="D46" s="92"/>
      <c r="E46" s="97">
        <v>3.5</v>
      </c>
      <c r="F46" s="92"/>
    </row>
    <row r="47" spans="2:10">
      <c r="B47" s="96" t="s">
        <v>1398</v>
      </c>
      <c r="C47" s="92">
        <v>45442</v>
      </c>
      <c r="D47" s="92"/>
      <c r="E47" s="97">
        <v>3.5</v>
      </c>
      <c r="F47" s="92"/>
    </row>
    <row r="48" spans="2:10">
      <c r="B48" s="96">
        <v>25</v>
      </c>
      <c r="C48" s="92">
        <v>45443</v>
      </c>
      <c r="D48" s="92"/>
      <c r="E48" s="97">
        <v>3.5</v>
      </c>
      <c r="F48" s="92">
        <v>45443</v>
      </c>
      <c r="G48" s="97">
        <v>3.7</v>
      </c>
      <c r="H48" s="90">
        <f t="shared" si="0"/>
        <v>142560</v>
      </c>
      <c r="I48" s="90" t="s">
        <v>36</v>
      </c>
      <c r="J48" s="90">
        <v>22</v>
      </c>
    </row>
    <row r="49" spans="2:10">
      <c r="B49" s="96">
        <v>25</v>
      </c>
      <c r="C49" s="92">
        <v>45444</v>
      </c>
      <c r="D49" s="92"/>
      <c r="E49" s="97">
        <v>3.5</v>
      </c>
      <c r="F49" s="92">
        <v>45444</v>
      </c>
      <c r="G49" s="97">
        <v>3.7</v>
      </c>
      <c r="H49" s="90">
        <f t="shared" si="0"/>
        <v>142560</v>
      </c>
      <c r="I49" s="90" t="s">
        <v>36</v>
      </c>
      <c r="J49" s="90">
        <v>22</v>
      </c>
    </row>
    <row r="50" spans="2:10">
      <c r="B50" s="96">
        <v>25</v>
      </c>
      <c r="C50" s="92">
        <v>45447</v>
      </c>
      <c r="D50" s="92"/>
      <c r="E50" s="95">
        <v>3.5</v>
      </c>
      <c r="F50" s="92"/>
    </row>
    <row r="51" spans="2:10">
      <c r="B51" s="91">
        <v>26</v>
      </c>
      <c r="C51" s="92">
        <v>45448</v>
      </c>
      <c r="D51" s="92"/>
      <c r="E51" s="95">
        <v>3.5</v>
      </c>
      <c r="F51" s="92"/>
    </row>
    <row r="52" spans="2:10">
      <c r="B52" s="91">
        <v>26</v>
      </c>
      <c r="C52" s="92">
        <v>45449</v>
      </c>
      <c r="D52" s="92"/>
      <c r="E52" s="95">
        <v>3.5</v>
      </c>
      <c r="F52" s="92">
        <v>45449</v>
      </c>
      <c r="G52" s="95">
        <v>3.7</v>
      </c>
      <c r="H52" s="90">
        <f>142560</f>
        <v>142560</v>
      </c>
      <c r="I52" s="90" t="s">
        <v>36</v>
      </c>
      <c r="J52" s="90">
        <v>23</v>
      </c>
    </row>
    <row r="53" spans="2:10">
      <c r="B53" s="91">
        <v>26</v>
      </c>
      <c r="C53" s="92">
        <v>45450</v>
      </c>
      <c r="D53" s="92"/>
      <c r="E53" s="95">
        <v>3.5</v>
      </c>
      <c r="F53" s="92">
        <v>45450</v>
      </c>
      <c r="G53" s="95">
        <v>3.7</v>
      </c>
      <c r="H53" s="90">
        <f>142560</f>
        <v>142560</v>
      </c>
      <c r="I53" s="90" t="s">
        <v>36</v>
      </c>
      <c r="J53" s="90">
        <v>23</v>
      </c>
    </row>
    <row r="54" spans="2:10">
      <c r="B54" s="96" t="s">
        <v>1399</v>
      </c>
      <c r="C54" s="92">
        <v>45451</v>
      </c>
      <c r="D54" s="92"/>
      <c r="E54" s="95">
        <v>3.5</v>
      </c>
      <c r="F54" s="92">
        <v>45451</v>
      </c>
      <c r="G54" s="95">
        <v>3.7</v>
      </c>
      <c r="H54" s="90">
        <f>142560</f>
        <v>142560</v>
      </c>
      <c r="I54" s="90" t="s">
        <v>36</v>
      </c>
      <c r="J54" s="90">
        <v>24</v>
      </c>
    </row>
    <row r="55" spans="2:10">
      <c r="C55" s="92">
        <v>45453</v>
      </c>
      <c r="D55" s="92"/>
      <c r="E55" s="95">
        <v>3.5</v>
      </c>
    </row>
    <row r="56" spans="2:10">
      <c r="B56" s="91">
        <v>27</v>
      </c>
      <c r="C56" s="92">
        <v>45454</v>
      </c>
      <c r="D56" s="92"/>
      <c r="E56" s="93">
        <v>3.5</v>
      </c>
    </row>
    <row r="57" spans="2:10">
      <c r="B57" s="91">
        <v>27</v>
      </c>
      <c r="C57" s="92">
        <v>45455</v>
      </c>
      <c r="D57" s="92"/>
      <c r="E57" s="93">
        <v>3.5</v>
      </c>
      <c r="F57" s="92">
        <v>45455</v>
      </c>
      <c r="G57" s="93">
        <v>3.7</v>
      </c>
      <c r="H57" s="90">
        <f>142560</f>
        <v>142560</v>
      </c>
      <c r="I57" s="90" t="s">
        <v>36</v>
      </c>
      <c r="J57" s="90">
        <v>24</v>
      </c>
    </row>
    <row r="58" spans="2:10">
      <c r="B58" s="91">
        <v>27</v>
      </c>
      <c r="C58" s="92">
        <v>45456</v>
      </c>
      <c r="D58" s="92"/>
      <c r="E58" s="93">
        <v>3.5</v>
      </c>
      <c r="F58" s="92">
        <v>45456</v>
      </c>
      <c r="G58" s="93">
        <v>3.7</v>
      </c>
      <c r="H58" s="90">
        <f>142560</f>
        <v>142560</v>
      </c>
      <c r="I58" s="90" t="s">
        <v>36</v>
      </c>
      <c r="J58" s="90">
        <v>24</v>
      </c>
    </row>
    <row r="59" spans="2:10">
      <c r="B59" s="91">
        <v>28</v>
      </c>
      <c r="C59" s="92">
        <v>45457</v>
      </c>
      <c r="D59" s="92"/>
      <c r="E59" s="93">
        <v>3.5</v>
      </c>
      <c r="F59" s="92">
        <v>45457</v>
      </c>
      <c r="G59" s="93">
        <v>3.7</v>
      </c>
      <c r="H59" s="90">
        <f>142560</f>
        <v>142560</v>
      </c>
      <c r="I59" s="90" t="s">
        <v>36</v>
      </c>
      <c r="J59" s="90">
        <v>25</v>
      </c>
    </row>
    <row r="60" spans="2:10">
      <c r="B60" s="91">
        <v>28</v>
      </c>
      <c r="C60" s="92">
        <v>45458</v>
      </c>
      <c r="D60" s="92"/>
      <c r="E60" s="93">
        <v>3.5</v>
      </c>
      <c r="F60" s="92">
        <v>45458</v>
      </c>
      <c r="G60" s="93">
        <v>3.7</v>
      </c>
      <c r="H60" s="90">
        <f>142560</f>
        <v>142560</v>
      </c>
      <c r="I60" s="90" t="s">
        <v>36</v>
      </c>
      <c r="J60" s="90">
        <v>25</v>
      </c>
    </row>
    <row r="61" spans="2:10">
      <c r="B61" s="91">
        <v>28</v>
      </c>
      <c r="C61" s="92">
        <v>45460</v>
      </c>
      <c r="D61" s="92"/>
      <c r="E61" s="97">
        <v>3.5</v>
      </c>
    </row>
    <row r="62" spans="2:10">
      <c r="B62" s="96" t="s">
        <v>1400</v>
      </c>
      <c r="C62" s="92">
        <v>45461</v>
      </c>
      <c r="D62" s="92"/>
      <c r="E62" s="97">
        <v>3.5</v>
      </c>
      <c r="F62" s="92"/>
    </row>
    <row r="63" spans="2:10">
      <c r="B63" s="96">
        <v>29</v>
      </c>
      <c r="C63" s="92">
        <v>45462</v>
      </c>
      <c r="D63" s="92"/>
      <c r="E63" s="97">
        <v>3.5</v>
      </c>
      <c r="F63" s="92"/>
    </row>
    <row r="64" spans="2:10">
      <c r="B64" s="96">
        <v>29</v>
      </c>
      <c r="C64" s="92">
        <v>45463</v>
      </c>
      <c r="D64" s="92"/>
      <c r="E64" s="97">
        <v>3.5</v>
      </c>
      <c r="F64" s="92">
        <v>45463</v>
      </c>
      <c r="G64" s="97">
        <v>3.7</v>
      </c>
      <c r="H64" s="90">
        <f>142560</f>
        <v>142560</v>
      </c>
      <c r="I64" s="90" t="s">
        <v>36</v>
      </c>
      <c r="J64" s="90">
        <v>25</v>
      </c>
    </row>
    <row r="65" spans="2:10">
      <c r="B65" s="96">
        <v>29</v>
      </c>
      <c r="C65" s="92">
        <v>45464</v>
      </c>
      <c r="D65" s="92"/>
      <c r="E65" s="97">
        <v>3.5</v>
      </c>
      <c r="F65" s="92">
        <v>45464</v>
      </c>
      <c r="G65" s="97">
        <v>3.7</v>
      </c>
      <c r="H65" s="90">
        <f>142560</f>
        <v>142560</v>
      </c>
      <c r="I65" s="90" t="s">
        <v>36</v>
      </c>
      <c r="J65" s="90">
        <v>26</v>
      </c>
    </row>
    <row r="66" spans="2:10">
      <c r="B66" s="91">
        <v>1</v>
      </c>
      <c r="C66" s="92">
        <v>45465</v>
      </c>
      <c r="D66" s="92"/>
      <c r="E66" s="97">
        <v>3.5</v>
      </c>
      <c r="F66" s="92">
        <v>45465</v>
      </c>
      <c r="G66" s="97">
        <v>3.7</v>
      </c>
      <c r="H66" s="90">
        <f>142560</f>
        <v>142560</v>
      </c>
      <c r="I66" s="90" t="s">
        <v>36</v>
      </c>
      <c r="J66" s="90">
        <v>26</v>
      </c>
    </row>
    <row r="67" spans="2:10">
      <c r="B67" s="91">
        <v>1</v>
      </c>
      <c r="C67" s="92">
        <v>45467</v>
      </c>
      <c r="D67" s="92"/>
      <c r="E67" s="95">
        <v>3.5</v>
      </c>
    </row>
    <row r="68" spans="2:10">
      <c r="B68" s="91">
        <v>1</v>
      </c>
      <c r="C68" s="92">
        <v>45468</v>
      </c>
      <c r="D68" s="92"/>
      <c r="E68" s="95">
        <v>3.5</v>
      </c>
      <c r="F68" s="92"/>
    </row>
    <row r="69" spans="2:10">
      <c r="B69" s="100" t="s">
        <v>1401</v>
      </c>
      <c r="C69" s="92">
        <v>45469</v>
      </c>
      <c r="D69" s="92"/>
      <c r="E69" s="95">
        <v>3.5</v>
      </c>
      <c r="F69" s="92">
        <v>45469</v>
      </c>
      <c r="G69" s="95">
        <v>3.7</v>
      </c>
      <c r="H69" s="90">
        <f>142560</f>
        <v>142560</v>
      </c>
      <c r="I69" s="90" t="s">
        <v>36</v>
      </c>
      <c r="J69" s="90">
        <v>27</v>
      </c>
    </row>
    <row r="70" spans="2:10">
      <c r="B70" s="100">
        <v>2</v>
      </c>
      <c r="C70" s="92">
        <v>45470</v>
      </c>
      <c r="D70" s="92"/>
      <c r="E70" s="95">
        <v>3.5</v>
      </c>
      <c r="F70" s="92">
        <v>45470</v>
      </c>
      <c r="G70" s="95">
        <v>3.7</v>
      </c>
      <c r="H70" s="90">
        <f>142560</f>
        <v>142560</v>
      </c>
      <c r="I70" s="90" t="s">
        <v>36</v>
      </c>
      <c r="J70" s="90">
        <v>27</v>
      </c>
    </row>
    <row r="71" spans="2:10">
      <c r="B71" s="91">
        <v>2</v>
      </c>
      <c r="C71" s="92">
        <v>45471</v>
      </c>
      <c r="D71" s="92"/>
      <c r="E71" s="95">
        <v>3.5</v>
      </c>
      <c r="F71" s="92">
        <v>45471</v>
      </c>
      <c r="G71" s="95">
        <v>3.7</v>
      </c>
      <c r="H71" s="90">
        <f>142560</f>
        <v>142560</v>
      </c>
      <c r="I71" s="90" t="s">
        <v>36</v>
      </c>
      <c r="J71" s="90">
        <v>27</v>
      </c>
    </row>
    <row r="72" spans="2:10">
      <c r="B72" s="91">
        <v>2</v>
      </c>
      <c r="C72" s="92">
        <v>45472</v>
      </c>
      <c r="D72" s="92"/>
      <c r="E72" s="95">
        <v>3.5</v>
      </c>
      <c r="F72" s="92">
        <v>45472</v>
      </c>
      <c r="G72" s="95">
        <v>3.7</v>
      </c>
      <c r="H72" s="90">
        <f>142560</f>
        <v>142560</v>
      </c>
      <c r="I72" s="90" t="s">
        <v>36</v>
      </c>
      <c r="J72" s="90">
        <v>28</v>
      </c>
    </row>
    <row r="73" spans="2:10">
      <c r="C73" s="92">
        <v>45474</v>
      </c>
      <c r="D73" s="92"/>
      <c r="E73" s="93">
        <v>3.5</v>
      </c>
    </row>
    <row r="74" spans="2:10">
      <c r="C74" s="92">
        <v>45475</v>
      </c>
      <c r="D74" s="92"/>
      <c r="E74" s="93">
        <v>3.5</v>
      </c>
    </row>
    <row r="75" spans="2:10">
      <c r="C75" s="92">
        <v>45476</v>
      </c>
      <c r="D75" s="92"/>
      <c r="E75" s="93">
        <v>3.5</v>
      </c>
      <c r="F75" s="92">
        <v>45476</v>
      </c>
      <c r="G75" s="93">
        <v>3.7</v>
      </c>
    </row>
    <row r="76" spans="2:10">
      <c r="C76" s="92">
        <v>45477</v>
      </c>
      <c r="D76" s="92"/>
      <c r="E76" s="93">
        <v>3.5</v>
      </c>
      <c r="F76" s="92">
        <v>45477</v>
      </c>
      <c r="G76" s="93">
        <v>3.7</v>
      </c>
    </row>
    <row r="77" spans="2:10">
      <c r="C77" s="92">
        <v>45478</v>
      </c>
      <c r="D77" s="92"/>
      <c r="E77" s="93">
        <v>3.5</v>
      </c>
      <c r="F77" s="92">
        <v>45478</v>
      </c>
      <c r="G77" s="93">
        <v>3.7</v>
      </c>
    </row>
    <row r="78" spans="2:10">
      <c r="C78" s="92">
        <v>45479</v>
      </c>
      <c r="D78" s="92"/>
      <c r="E78" s="93">
        <v>3.5</v>
      </c>
      <c r="F78" s="92">
        <v>45479</v>
      </c>
      <c r="G78" s="93">
        <v>3.7</v>
      </c>
    </row>
  </sheetData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3:E735"/>
  <sheetViews>
    <sheetView showGridLines="0" topLeftCell="A19" workbookViewId="0">
      <selection activeCell="K15" sqref="K15"/>
    </sheetView>
  </sheetViews>
  <sheetFormatPr defaultRowHeight="14"/>
  <cols>
    <col min="1" max="1" width="22.4140625" customWidth="1"/>
    <col min="2" max="2" width="25.58203125" bestFit="1" customWidth="1"/>
    <col min="3" max="3" width="12" bestFit="1" customWidth="1"/>
  </cols>
  <sheetData>
    <row r="3" spans="1:5">
      <c r="A3" s="79" t="s">
        <v>704</v>
      </c>
    </row>
    <row r="4" spans="1:5">
      <c r="A4" s="79" t="s">
        <v>3</v>
      </c>
      <c r="B4" s="79" t="s">
        <v>11</v>
      </c>
      <c r="C4" t="s">
        <v>703</v>
      </c>
      <c r="E4">
        <f>160000</f>
        <v>160000</v>
      </c>
    </row>
    <row r="5" spans="1:5">
      <c r="A5" s="80">
        <v>44958</v>
      </c>
      <c r="B5" t="s">
        <v>107</v>
      </c>
      <c r="C5">
        <v>0</v>
      </c>
      <c r="D5">
        <v>110016</v>
      </c>
      <c r="E5" s="81">
        <f>D5/$E$4</f>
        <v>0.68759999999999999</v>
      </c>
    </row>
    <row r="6" spans="1:5">
      <c r="A6" s="80">
        <v>44959</v>
      </c>
      <c r="B6" t="s">
        <v>107</v>
      </c>
      <c r="C6">
        <v>0</v>
      </c>
      <c r="D6">
        <v>110016</v>
      </c>
      <c r="E6" s="81">
        <f t="shared" ref="E6:E44" si="0">D6/$E$4</f>
        <v>0.68759999999999999</v>
      </c>
    </row>
    <row r="7" spans="1:5">
      <c r="A7" s="80">
        <v>44960</v>
      </c>
      <c r="B7" t="s">
        <v>107</v>
      </c>
      <c r="C7">
        <v>0</v>
      </c>
      <c r="D7">
        <v>110016</v>
      </c>
      <c r="E7" s="81">
        <f t="shared" si="0"/>
        <v>0.68759999999999999</v>
      </c>
    </row>
    <row r="8" spans="1:5">
      <c r="A8" s="80">
        <v>44961</v>
      </c>
      <c r="B8" t="s">
        <v>107</v>
      </c>
      <c r="C8">
        <v>0</v>
      </c>
      <c r="D8">
        <v>110033</v>
      </c>
      <c r="E8" s="81">
        <f t="shared" si="0"/>
        <v>0.68770624999999996</v>
      </c>
    </row>
    <row r="9" spans="1:5">
      <c r="A9" s="80">
        <v>44962</v>
      </c>
      <c r="B9" t="s">
        <v>701</v>
      </c>
      <c r="E9" s="81">
        <f t="shared" si="0"/>
        <v>0</v>
      </c>
    </row>
    <row r="10" spans="1:5">
      <c r="A10" s="80">
        <v>44963</v>
      </c>
      <c r="B10" t="s">
        <v>107</v>
      </c>
      <c r="C10">
        <v>0</v>
      </c>
      <c r="D10">
        <v>120024</v>
      </c>
      <c r="E10" s="81">
        <f t="shared" si="0"/>
        <v>0.75014999999999998</v>
      </c>
    </row>
    <row r="11" spans="1:5">
      <c r="A11" s="80">
        <v>44964</v>
      </c>
      <c r="B11" t="s">
        <v>107</v>
      </c>
      <c r="C11">
        <v>0</v>
      </c>
      <c r="D11">
        <v>120024</v>
      </c>
      <c r="E11" s="81">
        <f t="shared" si="0"/>
        <v>0.75014999999999998</v>
      </c>
    </row>
    <row r="12" spans="1:5">
      <c r="A12" s="80">
        <v>44965</v>
      </c>
      <c r="B12" t="s">
        <v>107</v>
      </c>
      <c r="C12">
        <v>0</v>
      </c>
      <c r="D12">
        <v>120024</v>
      </c>
      <c r="E12" s="81">
        <f t="shared" si="0"/>
        <v>0.75014999999999998</v>
      </c>
    </row>
    <row r="13" spans="1:5">
      <c r="A13" s="80">
        <v>44966</v>
      </c>
      <c r="B13" t="s">
        <v>593</v>
      </c>
      <c r="C13">
        <v>0</v>
      </c>
      <c r="D13">
        <v>120024</v>
      </c>
      <c r="E13" s="81">
        <f t="shared" si="0"/>
        <v>0.75014999999999998</v>
      </c>
    </row>
    <row r="14" spans="1:5">
      <c r="B14" t="s">
        <v>107</v>
      </c>
      <c r="C14">
        <v>0</v>
      </c>
      <c r="D14">
        <v>120024</v>
      </c>
      <c r="E14" s="81">
        <f t="shared" si="0"/>
        <v>0.75014999999999998</v>
      </c>
    </row>
    <row r="15" spans="1:5">
      <c r="A15" s="80">
        <v>44967</v>
      </c>
      <c r="B15" t="s">
        <v>94</v>
      </c>
      <c r="C15">
        <v>3</v>
      </c>
      <c r="D15">
        <v>39575</v>
      </c>
      <c r="E15" s="81">
        <f t="shared" si="0"/>
        <v>0.24734375</v>
      </c>
    </row>
    <row r="16" spans="1:5">
      <c r="A16" s="80">
        <v>44968</v>
      </c>
      <c r="B16" t="s">
        <v>51</v>
      </c>
      <c r="C16">
        <v>0</v>
      </c>
      <c r="D16">
        <v>89815</v>
      </c>
      <c r="E16" s="81">
        <f t="shared" si="0"/>
        <v>0.56134375000000003</v>
      </c>
    </row>
    <row r="17" spans="1:5">
      <c r="B17" t="s">
        <v>176</v>
      </c>
      <c r="C17">
        <v>1</v>
      </c>
      <c r="E17" s="81">
        <f t="shared" si="0"/>
        <v>0</v>
      </c>
    </row>
    <row r="18" spans="1:5">
      <c r="A18" s="80">
        <v>44969</v>
      </c>
      <c r="B18" t="s">
        <v>701</v>
      </c>
      <c r="D18">
        <v>13440</v>
      </c>
      <c r="E18" s="81">
        <f t="shared" si="0"/>
        <v>8.4000000000000005E-2</v>
      </c>
    </row>
    <row r="19" spans="1:5">
      <c r="A19" s="80">
        <v>44970</v>
      </c>
      <c r="B19" t="s">
        <v>593</v>
      </c>
      <c r="C19">
        <v>0</v>
      </c>
      <c r="D19">
        <v>51616</v>
      </c>
      <c r="E19" s="81">
        <f t="shared" si="0"/>
        <v>0.3226</v>
      </c>
    </row>
    <row r="20" spans="1:5">
      <c r="B20" t="s">
        <v>107</v>
      </c>
      <c r="C20">
        <v>4428</v>
      </c>
      <c r="D20">
        <v>9333</v>
      </c>
      <c r="E20" s="81">
        <f t="shared" si="0"/>
        <v>5.8331250000000001E-2</v>
      </c>
    </row>
    <row r="21" spans="1:5">
      <c r="A21" s="80">
        <v>44971</v>
      </c>
      <c r="B21" t="s">
        <v>556</v>
      </c>
      <c r="C21">
        <v>0</v>
      </c>
      <c r="D21">
        <v>11103</v>
      </c>
      <c r="E21" s="81">
        <f t="shared" si="0"/>
        <v>6.9393750000000004E-2</v>
      </c>
    </row>
    <row r="22" spans="1:5">
      <c r="B22" t="s">
        <v>94</v>
      </c>
      <c r="C22">
        <v>0</v>
      </c>
      <c r="D22">
        <v>13440</v>
      </c>
      <c r="E22" s="81">
        <f t="shared" si="0"/>
        <v>8.4000000000000005E-2</v>
      </c>
    </row>
    <row r="23" spans="1:5">
      <c r="B23" t="s">
        <v>564</v>
      </c>
      <c r="C23">
        <v>0</v>
      </c>
      <c r="D23">
        <v>93600</v>
      </c>
      <c r="E23" s="81">
        <f t="shared" si="0"/>
        <v>0.58499999999999996</v>
      </c>
    </row>
    <row r="24" spans="1:5">
      <c r="B24" t="s">
        <v>667</v>
      </c>
      <c r="C24">
        <v>0</v>
      </c>
      <c r="D24">
        <v>13440</v>
      </c>
      <c r="E24" s="81">
        <f t="shared" si="0"/>
        <v>8.4000000000000005E-2</v>
      </c>
    </row>
    <row r="25" spans="1:5">
      <c r="B25" t="s">
        <v>98</v>
      </c>
      <c r="C25">
        <v>15</v>
      </c>
      <c r="D25">
        <v>3500</v>
      </c>
      <c r="E25" s="81">
        <f t="shared" si="0"/>
        <v>2.1874999999999999E-2</v>
      </c>
    </row>
    <row r="26" spans="1:5">
      <c r="A26" s="80">
        <v>44972</v>
      </c>
      <c r="B26" t="s">
        <v>107</v>
      </c>
      <c r="C26">
        <v>0</v>
      </c>
      <c r="D26">
        <v>74478</v>
      </c>
      <c r="E26" s="81">
        <f t="shared" si="0"/>
        <v>0.4654875</v>
      </c>
    </row>
    <row r="27" spans="1:5">
      <c r="A27" s="80">
        <v>44973</v>
      </c>
      <c r="B27" t="s">
        <v>94</v>
      </c>
      <c r="C27">
        <v>0</v>
      </c>
      <c r="D27">
        <v>13440</v>
      </c>
      <c r="E27" s="81">
        <f t="shared" si="0"/>
        <v>8.4000000000000005E-2</v>
      </c>
    </row>
    <row r="28" spans="1:5">
      <c r="B28" t="s">
        <v>667</v>
      </c>
      <c r="C28">
        <v>0</v>
      </c>
      <c r="D28">
        <v>2031</v>
      </c>
      <c r="E28" s="81">
        <f t="shared" si="0"/>
        <v>1.269375E-2</v>
      </c>
    </row>
    <row r="29" spans="1:5">
      <c r="A29" s="80">
        <v>44974</v>
      </c>
      <c r="B29" t="s">
        <v>433</v>
      </c>
      <c r="C29">
        <v>0</v>
      </c>
      <c r="D29">
        <v>54000</v>
      </c>
      <c r="E29" s="81">
        <f t="shared" si="0"/>
        <v>0.33750000000000002</v>
      </c>
    </row>
    <row r="30" spans="1:5">
      <c r="A30" s="80">
        <v>44975</v>
      </c>
      <c r="B30" t="s">
        <v>433</v>
      </c>
      <c r="C30">
        <v>0</v>
      </c>
      <c r="D30">
        <v>16339</v>
      </c>
      <c r="E30" s="81">
        <f t="shared" si="0"/>
        <v>0.10211874999999999</v>
      </c>
    </row>
    <row r="31" spans="1:5">
      <c r="A31" s="80">
        <v>44976</v>
      </c>
      <c r="B31" t="s">
        <v>701</v>
      </c>
      <c r="E31" s="81">
        <f t="shared" si="0"/>
        <v>0</v>
      </c>
    </row>
    <row r="32" spans="1:5">
      <c r="A32" s="80">
        <v>44977</v>
      </c>
      <c r="B32" t="s">
        <v>176</v>
      </c>
      <c r="C32">
        <v>0</v>
      </c>
      <c r="D32">
        <v>81000</v>
      </c>
      <c r="E32" s="81">
        <f t="shared" si="0"/>
        <v>0.50624999999999998</v>
      </c>
    </row>
    <row r="33" spans="1:5">
      <c r="A33" s="80">
        <v>44978</v>
      </c>
      <c r="B33" t="s">
        <v>176</v>
      </c>
      <c r="C33">
        <v>0</v>
      </c>
      <c r="D33">
        <v>46368</v>
      </c>
      <c r="E33" s="81">
        <f t="shared" si="0"/>
        <v>0.2898</v>
      </c>
    </row>
    <row r="34" spans="1:5">
      <c r="A34" s="80">
        <v>44979</v>
      </c>
      <c r="B34" t="s">
        <v>176</v>
      </c>
      <c r="C34">
        <v>0</v>
      </c>
      <c r="D34">
        <v>67457</v>
      </c>
      <c r="E34" s="81">
        <f t="shared" si="0"/>
        <v>0.42160625000000002</v>
      </c>
    </row>
    <row r="35" spans="1:5">
      <c r="A35" s="80">
        <v>44980</v>
      </c>
      <c r="B35" t="s">
        <v>176</v>
      </c>
      <c r="C35">
        <v>0</v>
      </c>
      <c r="E35" s="81">
        <f t="shared" si="0"/>
        <v>0</v>
      </c>
    </row>
    <row r="36" spans="1:5">
      <c r="B36" t="s">
        <v>107</v>
      </c>
      <c r="C36">
        <v>0</v>
      </c>
      <c r="D36">
        <v>120000</v>
      </c>
      <c r="E36" s="81">
        <f t="shared" si="0"/>
        <v>0.75</v>
      </c>
    </row>
    <row r="37" spans="1:5">
      <c r="B37" t="s">
        <v>204</v>
      </c>
      <c r="C37">
        <v>0</v>
      </c>
      <c r="D37">
        <v>120000</v>
      </c>
      <c r="E37" s="81">
        <f t="shared" si="0"/>
        <v>0.75</v>
      </c>
    </row>
    <row r="38" spans="1:5">
      <c r="A38" s="80">
        <v>44981</v>
      </c>
      <c r="B38" t="s">
        <v>107</v>
      </c>
      <c r="C38">
        <v>0</v>
      </c>
      <c r="D38">
        <v>120000</v>
      </c>
      <c r="E38" s="81">
        <f t="shared" si="0"/>
        <v>0.75</v>
      </c>
    </row>
    <row r="39" spans="1:5">
      <c r="A39" s="80">
        <v>44982</v>
      </c>
      <c r="B39" t="s">
        <v>664</v>
      </c>
      <c r="C39">
        <v>0</v>
      </c>
      <c r="D39">
        <v>96000</v>
      </c>
      <c r="E39" s="81">
        <f t="shared" si="0"/>
        <v>0.6</v>
      </c>
    </row>
    <row r="40" spans="1:5">
      <c r="B40" t="s">
        <v>107</v>
      </c>
      <c r="C40">
        <v>0</v>
      </c>
      <c r="E40" s="81">
        <f t="shared" si="0"/>
        <v>0</v>
      </c>
    </row>
    <row r="41" spans="1:5">
      <c r="A41" s="80">
        <v>44983</v>
      </c>
      <c r="B41" t="s">
        <v>701</v>
      </c>
      <c r="D41">
        <v>125568</v>
      </c>
      <c r="E41" s="81">
        <f t="shared" si="0"/>
        <v>0.78480000000000005</v>
      </c>
    </row>
    <row r="42" spans="1:5">
      <c r="A42" s="80">
        <v>44984</v>
      </c>
      <c r="B42" t="s">
        <v>176</v>
      </c>
      <c r="C42">
        <v>0</v>
      </c>
      <c r="D42">
        <v>30229</v>
      </c>
      <c r="E42" s="81">
        <f t="shared" si="0"/>
        <v>0.18893125</v>
      </c>
    </row>
    <row r="43" spans="1:5">
      <c r="A43" s="80">
        <v>44985</v>
      </c>
      <c r="B43" t="s">
        <v>176</v>
      </c>
      <c r="C43">
        <v>0</v>
      </c>
      <c r="E43" s="81">
        <f t="shared" si="0"/>
        <v>0</v>
      </c>
    </row>
    <row r="44" spans="1:5">
      <c r="B44" t="s">
        <v>107</v>
      </c>
      <c r="C44">
        <v>0</v>
      </c>
      <c r="D44">
        <v>120000</v>
      </c>
      <c r="E44" s="81">
        <f t="shared" si="0"/>
        <v>0.75</v>
      </c>
    </row>
    <row r="45" spans="1:5">
      <c r="A45" s="80">
        <v>44987</v>
      </c>
      <c r="B45" t="s">
        <v>701</v>
      </c>
    </row>
    <row r="46" spans="1:5">
      <c r="A46" s="80">
        <v>44988</v>
      </c>
      <c r="B46" t="s">
        <v>701</v>
      </c>
    </row>
    <row r="47" spans="1:5">
      <c r="A47" s="80">
        <v>45048</v>
      </c>
      <c r="B47" t="s">
        <v>176</v>
      </c>
      <c r="C47">
        <v>0</v>
      </c>
    </row>
    <row r="48" spans="1:5">
      <c r="A48" s="80">
        <v>45049</v>
      </c>
      <c r="B48" t="s">
        <v>176</v>
      </c>
      <c r="C48">
        <v>0</v>
      </c>
    </row>
    <row r="49" spans="1:3">
      <c r="A49" s="80">
        <v>45050</v>
      </c>
      <c r="B49" t="s">
        <v>176</v>
      </c>
      <c r="C49">
        <v>0</v>
      </c>
    </row>
    <row r="50" spans="1:3">
      <c r="B50" t="s">
        <v>107</v>
      </c>
      <c r="C50">
        <v>0</v>
      </c>
    </row>
    <row r="51" spans="1:3">
      <c r="A51" s="80">
        <v>44989</v>
      </c>
      <c r="B51" t="s">
        <v>701</v>
      </c>
    </row>
    <row r="52" spans="1:3">
      <c r="A52" s="80">
        <v>44992</v>
      </c>
      <c r="B52" t="s">
        <v>701</v>
      </c>
    </row>
    <row r="53" spans="1:3">
      <c r="A53" s="80">
        <v>44993</v>
      </c>
      <c r="B53" t="s">
        <v>701</v>
      </c>
    </row>
    <row r="54" spans="1:3">
      <c r="A54" s="80">
        <v>44994</v>
      </c>
      <c r="B54" t="s">
        <v>556</v>
      </c>
      <c r="C54">
        <v>0</v>
      </c>
    </row>
    <row r="55" spans="1:3">
      <c r="B55" t="s">
        <v>564</v>
      </c>
      <c r="C55">
        <v>756</v>
      </c>
    </row>
    <row r="56" spans="1:3">
      <c r="B56" t="s">
        <v>176</v>
      </c>
      <c r="C56">
        <v>0</v>
      </c>
    </row>
    <row r="57" spans="1:3">
      <c r="B57" t="s">
        <v>204</v>
      </c>
      <c r="C57">
        <v>0</v>
      </c>
    </row>
    <row r="58" spans="1:3">
      <c r="A58" s="80">
        <v>44995</v>
      </c>
      <c r="B58" t="s">
        <v>667</v>
      </c>
      <c r="C58">
        <v>0</v>
      </c>
    </row>
    <row r="59" spans="1:3">
      <c r="B59" t="s">
        <v>176</v>
      </c>
      <c r="C59">
        <v>0</v>
      </c>
    </row>
    <row r="60" spans="1:3">
      <c r="A60" s="80">
        <v>44996</v>
      </c>
      <c r="B60" t="s">
        <v>176</v>
      </c>
      <c r="C60">
        <v>0</v>
      </c>
    </row>
    <row r="61" spans="1:3">
      <c r="B61" t="s">
        <v>107</v>
      </c>
      <c r="C61">
        <v>72</v>
      </c>
    </row>
    <row r="62" spans="1:3">
      <c r="A62" s="80">
        <v>45001</v>
      </c>
      <c r="B62" t="s">
        <v>176</v>
      </c>
      <c r="C62">
        <v>0</v>
      </c>
    </row>
    <row r="63" spans="1:3">
      <c r="A63" s="80">
        <v>45002</v>
      </c>
      <c r="B63" t="s">
        <v>107</v>
      </c>
      <c r="C63">
        <v>0</v>
      </c>
    </row>
    <row r="64" spans="1:3">
      <c r="A64" s="80">
        <v>45003</v>
      </c>
      <c r="B64" t="s">
        <v>176</v>
      </c>
      <c r="C64">
        <v>35</v>
      </c>
    </row>
    <row r="65" spans="1:3">
      <c r="B65" t="s">
        <v>107</v>
      </c>
      <c r="C65">
        <v>11</v>
      </c>
    </row>
    <row r="66" spans="1:3">
      <c r="B66" t="s">
        <v>204</v>
      </c>
      <c r="C66">
        <v>91</v>
      </c>
    </row>
    <row r="67" spans="1:3">
      <c r="A67" s="80">
        <v>45017</v>
      </c>
      <c r="B67" t="s">
        <v>701</v>
      </c>
    </row>
    <row r="68" spans="1:3">
      <c r="A68" s="80">
        <v>45019</v>
      </c>
      <c r="B68" t="s">
        <v>671</v>
      </c>
      <c r="C68">
        <v>0</v>
      </c>
    </row>
    <row r="69" spans="1:3">
      <c r="B69" t="s">
        <v>433</v>
      </c>
      <c r="C69">
        <v>0</v>
      </c>
    </row>
    <row r="70" spans="1:3">
      <c r="B70" t="s">
        <v>176</v>
      </c>
      <c r="C70">
        <v>0</v>
      </c>
    </row>
    <row r="71" spans="1:3">
      <c r="A71" s="80">
        <v>45020</v>
      </c>
      <c r="B71" t="s">
        <v>433</v>
      </c>
      <c r="C71">
        <v>0</v>
      </c>
    </row>
    <row r="72" spans="1:3">
      <c r="B72" t="s">
        <v>176</v>
      </c>
      <c r="C72">
        <v>0</v>
      </c>
    </row>
    <row r="73" spans="1:3">
      <c r="A73" s="80">
        <v>45021</v>
      </c>
      <c r="B73" t="s">
        <v>433</v>
      </c>
      <c r="C73">
        <v>0</v>
      </c>
    </row>
    <row r="74" spans="1:3">
      <c r="B74" t="s">
        <v>664</v>
      </c>
      <c r="C74">
        <v>0</v>
      </c>
    </row>
    <row r="75" spans="1:3">
      <c r="B75" t="s">
        <v>176</v>
      </c>
      <c r="C75">
        <v>0</v>
      </c>
    </row>
    <row r="76" spans="1:3">
      <c r="B76" t="s">
        <v>107</v>
      </c>
      <c r="C76">
        <v>0</v>
      </c>
    </row>
    <row r="77" spans="1:3">
      <c r="A77" s="80">
        <v>45022</v>
      </c>
      <c r="B77" t="s">
        <v>433</v>
      </c>
      <c r="C77">
        <v>0</v>
      </c>
    </row>
    <row r="78" spans="1:3">
      <c r="B78" t="s">
        <v>176</v>
      </c>
      <c r="C78">
        <v>0</v>
      </c>
    </row>
    <row r="79" spans="1:3">
      <c r="A79" s="80">
        <v>45023</v>
      </c>
      <c r="B79" t="s">
        <v>433</v>
      </c>
      <c r="C79">
        <v>0</v>
      </c>
    </row>
    <row r="80" spans="1:3">
      <c r="B80" t="s">
        <v>176</v>
      </c>
      <c r="C80">
        <v>0</v>
      </c>
    </row>
    <row r="81" spans="1:3">
      <c r="A81" s="80">
        <v>45024</v>
      </c>
      <c r="B81" t="s">
        <v>107</v>
      </c>
      <c r="C81">
        <v>0</v>
      </c>
    </row>
    <row r="82" spans="1:3">
      <c r="B82" t="s">
        <v>665</v>
      </c>
      <c r="C82">
        <v>0</v>
      </c>
    </row>
    <row r="83" spans="1:3">
      <c r="A83" s="80">
        <v>45026</v>
      </c>
      <c r="B83" t="s">
        <v>51</v>
      </c>
      <c r="C83">
        <v>0</v>
      </c>
    </row>
    <row r="84" spans="1:3">
      <c r="B84" t="s">
        <v>176</v>
      </c>
      <c r="C84">
        <v>0</v>
      </c>
    </row>
    <row r="85" spans="1:3">
      <c r="A85" s="80">
        <v>45027</v>
      </c>
      <c r="B85" t="s">
        <v>51</v>
      </c>
      <c r="C85">
        <v>0</v>
      </c>
    </row>
    <row r="86" spans="1:3">
      <c r="B86" t="s">
        <v>176</v>
      </c>
      <c r="C86">
        <v>0</v>
      </c>
    </row>
    <row r="87" spans="1:3">
      <c r="A87" s="80">
        <v>45028</v>
      </c>
      <c r="B87" t="s">
        <v>176</v>
      </c>
      <c r="C87">
        <v>0</v>
      </c>
    </row>
    <row r="88" spans="1:3">
      <c r="A88" s="80">
        <v>45034</v>
      </c>
      <c r="B88" t="s">
        <v>593</v>
      </c>
      <c r="C88">
        <v>0</v>
      </c>
    </row>
    <row r="89" spans="1:3">
      <c r="B89" t="s">
        <v>176</v>
      </c>
      <c r="C89">
        <v>0</v>
      </c>
    </row>
    <row r="90" spans="1:3">
      <c r="B90" t="s">
        <v>665</v>
      </c>
      <c r="C90">
        <v>0</v>
      </c>
    </row>
    <row r="91" spans="1:3">
      <c r="A91" s="80">
        <v>45035</v>
      </c>
      <c r="B91" t="s">
        <v>94</v>
      </c>
      <c r="C91">
        <v>0</v>
      </c>
    </row>
    <row r="92" spans="1:3">
      <c r="B92" t="s">
        <v>593</v>
      </c>
      <c r="C92">
        <v>0</v>
      </c>
    </row>
    <row r="93" spans="1:3">
      <c r="A93" s="80">
        <v>45036</v>
      </c>
      <c r="B93" t="s">
        <v>94</v>
      </c>
      <c r="C93">
        <v>0</v>
      </c>
    </row>
    <row r="94" spans="1:3">
      <c r="A94" s="80">
        <v>45037</v>
      </c>
      <c r="B94" t="s">
        <v>582</v>
      </c>
      <c r="C94">
        <v>0</v>
      </c>
    </row>
    <row r="95" spans="1:3">
      <c r="B95" t="s">
        <v>94</v>
      </c>
      <c r="C95">
        <v>0</v>
      </c>
    </row>
    <row r="96" spans="1:3">
      <c r="B96" t="s">
        <v>564</v>
      </c>
      <c r="C96">
        <v>0</v>
      </c>
    </row>
    <row r="97" spans="1:3">
      <c r="B97" t="s">
        <v>667</v>
      </c>
      <c r="C97">
        <v>0</v>
      </c>
    </row>
    <row r="98" spans="1:3">
      <c r="A98" s="80">
        <v>45038</v>
      </c>
      <c r="B98" t="s">
        <v>593</v>
      </c>
      <c r="C98">
        <v>193</v>
      </c>
    </row>
    <row r="99" spans="1:3">
      <c r="B99" t="s">
        <v>107</v>
      </c>
      <c r="C99">
        <v>4</v>
      </c>
    </row>
    <row r="100" spans="1:3">
      <c r="A100" s="80">
        <v>45040</v>
      </c>
      <c r="B100" t="s">
        <v>176</v>
      </c>
      <c r="C100">
        <v>0</v>
      </c>
    </row>
    <row r="101" spans="1:3">
      <c r="A101" s="80">
        <v>45041</v>
      </c>
      <c r="B101" t="s">
        <v>664</v>
      </c>
      <c r="C101">
        <v>5</v>
      </c>
    </row>
    <row r="102" spans="1:3">
      <c r="B102" t="s">
        <v>51</v>
      </c>
      <c r="C102">
        <v>0</v>
      </c>
    </row>
    <row r="103" spans="1:3">
      <c r="B103" t="s">
        <v>176</v>
      </c>
      <c r="C103">
        <v>0</v>
      </c>
    </row>
    <row r="104" spans="1:3">
      <c r="A104" s="80">
        <v>45042</v>
      </c>
      <c r="B104" t="s">
        <v>94</v>
      </c>
      <c r="C104">
        <v>0</v>
      </c>
    </row>
    <row r="105" spans="1:3">
      <c r="B105" t="s">
        <v>176</v>
      </c>
      <c r="C105">
        <v>0</v>
      </c>
    </row>
    <row r="106" spans="1:3">
      <c r="A106" s="80">
        <v>45043</v>
      </c>
      <c r="B106" t="s">
        <v>94</v>
      </c>
      <c r="C106">
        <v>0</v>
      </c>
    </row>
    <row r="107" spans="1:3">
      <c r="B107" t="s">
        <v>667</v>
      </c>
      <c r="C107">
        <v>0</v>
      </c>
    </row>
    <row r="108" spans="1:3">
      <c r="B108" t="s">
        <v>98</v>
      </c>
      <c r="C108">
        <v>0</v>
      </c>
    </row>
    <row r="109" spans="1:3">
      <c r="A109" s="80">
        <v>45044</v>
      </c>
      <c r="B109" t="s">
        <v>176</v>
      </c>
      <c r="C109">
        <v>0</v>
      </c>
    </row>
    <row r="110" spans="1:3">
      <c r="B110" t="s">
        <v>107</v>
      </c>
      <c r="C110">
        <v>0</v>
      </c>
    </row>
    <row r="111" spans="1:3">
      <c r="A111" s="80">
        <v>45053</v>
      </c>
      <c r="B111" t="s">
        <v>701</v>
      </c>
    </row>
    <row r="112" spans="1:3">
      <c r="A112" s="80">
        <v>45060</v>
      </c>
      <c r="B112" t="s">
        <v>701</v>
      </c>
    </row>
    <row r="113" spans="1:3">
      <c r="A113" s="80">
        <v>45061</v>
      </c>
      <c r="B113" t="s">
        <v>676</v>
      </c>
      <c r="C113">
        <v>0</v>
      </c>
    </row>
    <row r="114" spans="1:3">
      <c r="B114" t="s">
        <v>51</v>
      </c>
      <c r="C114">
        <v>2</v>
      </c>
    </row>
    <row r="115" spans="1:3">
      <c r="B115" t="s">
        <v>176</v>
      </c>
      <c r="C115">
        <v>0</v>
      </c>
    </row>
    <row r="116" spans="1:3">
      <c r="B116" t="s">
        <v>204</v>
      </c>
      <c r="C116">
        <v>1</v>
      </c>
    </row>
    <row r="117" spans="1:3">
      <c r="A117" s="80">
        <v>45062</v>
      </c>
      <c r="B117" t="s">
        <v>593</v>
      </c>
      <c r="C117">
        <v>0</v>
      </c>
    </row>
    <row r="118" spans="1:3">
      <c r="B118" t="s">
        <v>176</v>
      </c>
      <c r="C118">
        <v>0</v>
      </c>
    </row>
    <row r="119" spans="1:3">
      <c r="A119" s="80">
        <v>45063</v>
      </c>
      <c r="B119" t="s">
        <v>582</v>
      </c>
      <c r="C119">
        <v>0</v>
      </c>
    </row>
    <row r="120" spans="1:3">
      <c r="B120" t="s">
        <v>94</v>
      </c>
      <c r="C120">
        <v>0</v>
      </c>
    </row>
    <row r="121" spans="1:3">
      <c r="B121" t="s">
        <v>667</v>
      </c>
      <c r="C121">
        <v>252</v>
      </c>
    </row>
    <row r="122" spans="1:3">
      <c r="B122" t="s">
        <v>593</v>
      </c>
      <c r="C122">
        <v>0</v>
      </c>
    </row>
    <row r="123" spans="1:3">
      <c r="A123" s="80">
        <v>45064</v>
      </c>
      <c r="B123" t="s">
        <v>556</v>
      </c>
      <c r="C123">
        <v>0</v>
      </c>
    </row>
    <row r="124" spans="1:3">
      <c r="B124" t="s">
        <v>94</v>
      </c>
      <c r="C124">
        <v>0</v>
      </c>
    </row>
    <row r="125" spans="1:3">
      <c r="A125" s="80">
        <v>45067</v>
      </c>
      <c r="B125" t="s">
        <v>701</v>
      </c>
    </row>
    <row r="126" spans="1:3">
      <c r="A126" s="80">
        <v>45069</v>
      </c>
      <c r="B126" t="s">
        <v>593</v>
      </c>
      <c r="C126">
        <v>291</v>
      </c>
    </row>
    <row r="127" spans="1:3">
      <c r="B127" t="s">
        <v>176</v>
      </c>
      <c r="C127">
        <v>0</v>
      </c>
    </row>
    <row r="128" spans="1:3">
      <c r="B128" t="s">
        <v>204</v>
      </c>
      <c r="C128">
        <v>0</v>
      </c>
    </row>
    <row r="129" spans="1:3">
      <c r="A129" s="80">
        <v>45070</v>
      </c>
      <c r="B129" t="s">
        <v>176</v>
      </c>
      <c r="C129">
        <v>0</v>
      </c>
    </row>
    <row r="130" spans="1:3">
      <c r="A130" s="80">
        <v>45071</v>
      </c>
      <c r="B130" t="s">
        <v>94</v>
      </c>
      <c r="C130">
        <v>0</v>
      </c>
    </row>
    <row r="131" spans="1:3">
      <c r="A131" s="80">
        <v>45072</v>
      </c>
      <c r="B131" t="s">
        <v>94</v>
      </c>
      <c r="C131">
        <v>0</v>
      </c>
    </row>
    <row r="132" spans="1:3">
      <c r="A132" s="80">
        <v>45073</v>
      </c>
      <c r="B132" t="s">
        <v>176</v>
      </c>
      <c r="C132">
        <v>0</v>
      </c>
    </row>
    <row r="133" spans="1:3">
      <c r="B133" t="s">
        <v>707</v>
      </c>
      <c r="C133">
        <v>0</v>
      </c>
    </row>
    <row r="134" spans="1:3">
      <c r="A134" s="80">
        <v>45074</v>
      </c>
      <c r="B134" t="s">
        <v>701</v>
      </c>
    </row>
    <row r="135" spans="1:3">
      <c r="A135" s="80">
        <v>45076</v>
      </c>
      <c r="B135" t="s">
        <v>176</v>
      </c>
      <c r="C135">
        <v>0</v>
      </c>
    </row>
    <row r="136" spans="1:3">
      <c r="B136" t="s">
        <v>107</v>
      </c>
      <c r="C136">
        <v>0</v>
      </c>
    </row>
    <row r="137" spans="1:3">
      <c r="A137" s="80">
        <v>45077</v>
      </c>
      <c r="B137" t="s">
        <v>94</v>
      </c>
      <c r="C137">
        <v>0</v>
      </c>
    </row>
    <row r="138" spans="1:3">
      <c r="A138" s="80">
        <v>45078</v>
      </c>
      <c r="B138" t="s">
        <v>582</v>
      </c>
      <c r="C138">
        <v>0</v>
      </c>
    </row>
    <row r="139" spans="1:3">
      <c r="B139" t="s">
        <v>556</v>
      </c>
      <c r="C139">
        <v>0</v>
      </c>
    </row>
    <row r="140" spans="1:3">
      <c r="B140" t="s">
        <v>94</v>
      </c>
      <c r="C140">
        <v>0</v>
      </c>
    </row>
    <row r="141" spans="1:3">
      <c r="B141" t="s">
        <v>564</v>
      </c>
      <c r="C141">
        <v>0</v>
      </c>
    </row>
    <row r="142" spans="1:3">
      <c r="B142" t="s">
        <v>98</v>
      </c>
      <c r="C142">
        <v>0</v>
      </c>
    </row>
    <row r="143" spans="1:3">
      <c r="A143" s="80">
        <v>45080</v>
      </c>
      <c r="B143" t="s">
        <v>701</v>
      </c>
    </row>
    <row r="144" spans="1:3">
      <c r="A144" s="80">
        <v>45081</v>
      </c>
      <c r="B144" t="s">
        <v>701</v>
      </c>
    </row>
    <row r="145" spans="1:3">
      <c r="A145" s="80">
        <v>45084</v>
      </c>
      <c r="B145" t="s">
        <v>94</v>
      </c>
      <c r="C145">
        <v>0</v>
      </c>
    </row>
    <row r="146" spans="1:3">
      <c r="A146" s="80">
        <v>45085</v>
      </c>
      <c r="B146" t="s">
        <v>94</v>
      </c>
      <c r="C146">
        <v>0</v>
      </c>
    </row>
    <row r="147" spans="1:3">
      <c r="A147" s="80">
        <v>45086</v>
      </c>
      <c r="B147" t="s">
        <v>680</v>
      </c>
      <c r="C147">
        <v>360</v>
      </c>
    </row>
    <row r="148" spans="1:3">
      <c r="B148" t="s">
        <v>176</v>
      </c>
      <c r="C148">
        <v>0</v>
      </c>
    </row>
    <row r="149" spans="1:3">
      <c r="A149" s="80">
        <v>45087</v>
      </c>
      <c r="B149" t="s">
        <v>433</v>
      </c>
      <c r="C149">
        <v>0</v>
      </c>
    </row>
    <row r="150" spans="1:3">
      <c r="B150" t="s">
        <v>176</v>
      </c>
      <c r="C150">
        <v>0</v>
      </c>
    </row>
    <row r="151" spans="1:3">
      <c r="A151" s="80">
        <v>45088</v>
      </c>
      <c r="B151" t="s">
        <v>701</v>
      </c>
    </row>
    <row r="152" spans="1:3">
      <c r="A152" s="80">
        <v>45089</v>
      </c>
      <c r="B152" t="s">
        <v>176</v>
      </c>
      <c r="C152">
        <v>0</v>
      </c>
    </row>
    <row r="153" spans="1:3">
      <c r="A153" s="80">
        <v>45090</v>
      </c>
      <c r="B153" t="s">
        <v>593</v>
      </c>
      <c r="C153">
        <v>0</v>
      </c>
    </row>
    <row r="154" spans="1:3">
      <c r="B154" t="s">
        <v>176</v>
      </c>
      <c r="C154">
        <v>0</v>
      </c>
    </row>
    <row r="155" spans="1:3">
      <c r="B155" t="s">
        <v>107</v>
      </c>
      <c r="C155">
        <v>0</v>
      </c>
    </row>
    <row r="156" spans="1:3">
      <c r="B156" t="s">
        <v>204</v>
      </c>
      <c r="C156">
        <v>0</v>
      </c>
    </row>
    <row r="157" spans="1:3">
      <c r="A157" s="80">
        <v>45091</v>
      </c>
      <c r="B157" t="s">
        <v>671</v>
      </c>
      <c r="C157">
        <v>0</v>
      </c>
    </row>
    <row r="158" spans="1:3">
      <c r="B158" t="s">
        <v>176</v>
      </c>
      <c r="C158">
        <v>0</v>
      </c>
    </row>
    <row r="159" spans="1:3">
      <c r="B159" t="s">
        <v>107</v>
      </c>
      <c r="C159">
        <v>0</v>
      </c>
    </row>
    <row r="160" spans="1:3">
      <c r="A160" s="80">
        <v>45092</v>
      </c>
      <c r="B160" t="s">
        <v>176</v>
      </c>
      <c r="C160">
        <v>0</v>
      </c>
    </row>
    <row r="161" spans="1:3">
      <c r="A161" s="80">
        <v>45095</v>
      </c>
      <c r="B161" t="s">
        <v>701</v>
      </c>
    </row>
    <row r="162" spans="1:3">
      <c r="A162" s="80">
        <v>45098</v>
      </c>
      <c r="B162" t="s">
        <v>681</v>
      </c>
      <c r="C162">
        <v>41</v>
      </c>
    </row>
    <row r="163" spans="1:3">
      <c r="B163" t="s">
        <v>176</v>
      </c>
      <c r="C163">
        <v>0</v>
      </c>
    </row>
    <row r="164" spans="1:3">
      <c r="B164" t="s">
        <v>107</v>
      </c>
      <c r="C164">
        <v>0</v>
      </c>
    </row>
    <row r="165" spans="1:3">
      <c r="B165" t="s">
        <v>707</v>
      </c>
      <c r="C165">
        <v>0</v>
      </c>
    </row>
    <row r="166" spans="1:3">
      <c r="A166" s="80">
        <v>45099</v>
      </c>
      <c r="B166" t="s">
        <v>176</v>
      </c>
      <c r="C166">
        <v>0</v>
      </c>
    </row>
    <row r="167" spans="1:3">
      <c r="B167" t="s">
        <v>107</v>
      </c>
      <c r="C167">
        <v>0</v>
      </c>
    </row>
    <row r="168" spans="1:3">
      <c r="A168" s="80">
        <v>45100</v>
      </c>
      <c r="B168" t="s">
        <v>664</v>
      </c>
      <c r="C168">
        <v>0</v>
      </c>
    </row>
    <row r="169" spans="1:3">
      <c r="B169" t="s">
        <v>107</v>
      </c>
      <c r="C169">
        <v>1</v>
      </c>
    </row>
    <row r="170" spans="1:3">
      <c r="A170" s="80">
        <v>45102</v>
      </c>
      <c r="B170" t="s">
        <v>701</v>
      </c>
    </row>
    <row r="171" spans="1:3">
      <c r="A171" s="80">
        <v>45103</v>
      </c>
      <c r="B171" t="s">
        <v>671</v>
      </c>
      <c r="C171">
        <v>0</v>
      </c>
    </row>
    <row r="172" spans="1:3">
      <c r="B172" t="s">
        <v>433</v>
      </c>
      <c r="C172">
        <v>0</v>
      </c>
    </row>
    <row r="173" spans="1:3">
      <c r="B173" t="s">
        <v>680</v>
      </c>
      <c r="C173">
        <v>0</v>
      </c>
    </row>
    <row r="174" spans="1:3">
      <c r="B174" t="s">
        <v>51</v>
      </c>
      <c r="C174">
        <v>79</v>
      </c>
    </row>
    <row r="175" spans="1:3">
      <c r="B175" t="s">
        <v>176</v>
      </c>
      <c r="C175">
        <v>0</v>
      </c>
    </row>
    <row r="176" spans="1:3">
      <c r="B176" t="s">
        <v>107</v>
      </c>
      <c r="C176">
        <v>0</v>
      </c>
    </row>
    <row r="177" spans="1:3">
      <c r="A177" s="80">
        <v>45104</v>
      </c>
      <c r="B177" t="s">
        <v>433</v>
      </c>
      <c r="C177">
        <v>0</v>
      </c>
    </row>
    <row r="178" spans="1:3">
      <c r="B178" t="s">
        <v>107</v>
      </c>
      <c r="C178">
        <v>0</v>
      </c>
    </row>
    <row r="179" spans="1:3">
      <c r="A179" s="80">
        <v>45105</v>
      </c>
      <c r="B179" t="s">
        <v>433</v>
      </c>
      <c r="C179">
        <v>0</v>
      </c>
    </row>
    <row r="180" spans="1:3">
      <c r="B180" t="s">
        <v>176</v>
      </c>
      <c r="C180">
        <v>0</v>
      </c>
    </row>
    <row r="181" spans="1:3">
      <c r="A181" s="80">
        <v>45106</v>
      </c>
      <c r="B181" t="s">
        <v>94</v>
      </c>
      <c r="C181">
        <v>0</v>
      </c>
    </row>
    <row r="182" spans="1:3">
      <c r="B182" t="s">
        <v>176</v>
      </c>
      <c r="C182">
        <v>0</v>
      </c>
    </row>
    <row r="183" spans="1:3">
      <c r="A183" s="80">
        <v>45107</v>
      </c>
      <c r="B183" t="s">
        <v>582</v>
      </c>
      <c r="C183">
        <v>0</v>
      </c>
    </row>
    <row r="184" spans="1:3">
      <c r="B184" t="s">
        <v>556</v>
      </c>
      <c r="C184">
        <v>0</v>
      </c>
    </row>
    <row r="185" spans="1:3">
      <c r="B185" t="s">
        <v>94</v>
      </c>
      <c r="C185">
        <v>0</v>
      </c>
    </row>
    <row r="186" spans="1:3">
      <c r="B186" t="s">
        <v>564</v>
      </c>
      <c r="C186">
        <v>0</v>
      </c>
    </row>
    <row r="187" spans="1:3">
      <c r="B187" t="s">
        <v>667</v>
      </c>
      <c r="C187">
        <v>0</v>
      </c>
    </row>
    <row r="188" spans="1:3">
      <c r="B188" t="s">
        <v>98</v>
      </c>
      <c r="C188">
        <v>0</v>
      </c>
    </row>
    <row r="189" spans="1:3">
      <c r="A189" s="80">
        <v>45109</v>
      </c>
      <c r="B189" t="s">
        <v>701</v>
      </c>
    </row>
    <row r="190" spans="1:3">
      <c r="A190" s="80">
        <v>45112</v>
      </c>
      <c r="B190" t="s">
        <v>667</v>
      </c>
      <c r="C190">
        <v>0</v>
      </c>
    </row>
    <row r="191" spans="1:3">
      <c r="B191" t="s">
        <v>107</v>
      </c>
      <c r="C191">
        <v>0</v>
      </c>
    </row>
    <row r="192" spans="1:3">
      <c r="A192" s="80">
        <v>45113</v>
      </c>
      <c r="B192" t="s">
        <v>671</v>
      </c>
      <c r="C192">
        <v>0</v>
      </c>
    </row>
    <row r="193" spans="1:3">
      <c r="B193" t="s">
        <v>107</v>
      </c>
      <c r="C193">
        <v>0</v>
      </c>
    </row>
    <row r="194" spans="1:3">
      <c r="A194" s="80">
        <v>45114</v>
      </c>
      <c r="B194" t="s">
        <v>671</v>
      </c>
      <c r="C194">
        <v>0</v>
      </c>
    </row>
    <row r="195" spans="1:3">
      <c r="B195" t="s">
        <v>107</v>
      </c>
      <c r="C195">
        <v>0</v>
      </c>
    </row>
    <row r="196" spans="1:3">
      <c r="A196" s="80">
        <v>45115</v>
      </c>
      <c r="B196" t="s">
        <v>670</v>
      </c>
      <c r="C196">
        <v>0</v>
      </c>
    </row>
    <row r="197" spans="1:3">
      <c r="B197" t="s">
        <v>107</v>
      </c>
      <c r="C197">
        <v>1</v>
      </c>
    </row>
    <row r="198" spans="1:3">
      <c r="A198" s="80">
        <v>45116</v>
      </c>
      <c r="B198" t="s">
        <v>701</v>
      </c>
    </row>
    <row r="199" spans="1:3">
      <c r="A199" s="80">
        <v>45119</v>
      </c>
      <c r="B199" t="s">
        <v>593</v>
      </c>
      <c r="C199">
        <v>0</v>
      </c>
    </row>
    <row r="200" spans="1:3">
      <c r="B200" t="s">
        <v>680</v>
      </c>
      <c r="C200">
        <v>0</v>
      </c>
    </row>
    <row r="201" spans="1:3">
      <c r="B201" t="s">
        <v>176</v>
      </c>
      <c r="C201">
        <v>0</v>
      </c>
    </row>
    <row r="202" spans="1:3">
      <c r="B202" t="s">
        <v>204</v>
      </c>
      <c r="C202">
        <v>0</v>
      </c>
    </row>
    <row r="203" spans="1:3">
      <c r="A203" s="80">
        <v>45120</v>
      </c>
      <c r="B203" t="s">
        <v>593</v>
      </c>
      <c r="C203">
        <v>0</v>
      </c>
    </row>
    <row r="204" spans="1:3">
      <c r="B204" t="s">
        <v>51</v>
      </c>
      <c r="C204">
        <v>0</v>
      </c>
    </row>
    <row r="205" spans="1:3">
      <c r="B205" t="s">
        <v>176</v>
      </c>
      <c r="C205">
        <v>677</v>
      </c>
    </row>
    <row r="206" spans="1:3">
      <c r="B206" t="s">
        <v>204</v>
      </c>
      <c r="C206">
        <v>0</v>
      </c>
    </row>
    <row r="207" spans="1:3">
      <c r="A207" s="80">
        <v>45121</v>
      </c>
      <c r="B207" t="s">
        <v>107</v>
      </c>
      <c r="C207">
        <v>0</v>
      </c>
    </row>
    <row r="208" spans="1:3">
      <c r="A208" s="80">
        <v>45122</v>
      </c>
      <c r="B208" t="s">
        <v>107</v>
      </c>
      <c r="C208">
        <v>0</v>
      </c>
    </row>
    <row r="209" spans="1:3">
      <c r="B209" t="s">
        <v>707</v>
      </c>
      <c r="C209">
        <v>0</v>
      </c>
    </row>
    <row r="210" spans="1:3">
      <c r="A210" s="80">
        <v>45123</v>
      </c>
      <c r="B210" t="s">
        <v>701</v>
      </c>
    </row>
    <row r="211" spans="1:3">
      <c r="A211" s="80">
        <v>45130</v>
      </c>
      <c r="B211" t="s">
        <v>701</v>
      </c>
    </row>
    <row r="212" spans="1:3">
      <c r="A212" s="80">
        <v>45131</v>
      </c>
      <c r="B212" t="s">
        <v>433</v>
      </c>
      <c r="C212">
        <v>0</v>
      </c>
    </row>
    <row r="213" spans="1:3">
      <c r="B213" t="s">
        <v>593</v>
      </c>
      <c r="C213">
        <v>0</v>
      </c>
    </row>
    <row r="214" spans="1:3">
      <c r="B214" t="s">
        <v>176</v>
      </c>
      <c r="C214">
        <v>0</v>
      </c>
    </row>
    <row r="215" spans="1:3">
      <c r="B215" t="s">
        <v>204</v>
      </c>
      <c r="C215">
        <v>0</v>
      </c>
    </row>
    <row r="216" spans="1:3">
      <c r="A216" s="80">
        <v>45132</v>
      </c>
      <c r="B216" t="s">
        <v>107</v>
      </c>
      <c r="C216">
        <v>5</v>
      </c>
    </row>
    <row r="217" spans="1:3">
      <c r="A217" s="80">
        <v>45133</v>
      </c>
      <c r="B217" t="s">
        <v>94</v>
      </c>
      <c r="C217">
        <v>0</v>
      </c>
    </row>
    <row r="218" spans="1:3">
      <c r="B218" t="s">
        <v>98</v>
      </c>
      <c r="C218">
        <v>0</v>
      </c>
    </row>
    <row r="219" spans="1:3">
      <c r="B219" t="s">
        <v>72</v>
      </c>
      <c r="C219">
        <v>0</v>
      </c>
    </row>
    <row r="220" spans="1:3">
      <c r="A220" s="80">
        <v>45134</v>
      </c>
      <c r="B220" t="s">
        <v>582</v>
      </c>
      <c r="C220">
        <v>0</v>
      </c>
    </row>
    <row r="221" spans="1:3">
      <c r="B221" t="s">
        <v>556</v>
      </c>
      <c r="C221">
        <v>0</v>
      </c>
    </row>
    <row r="222" spans="1:3">
      <c r="B222" t="s">
        <v>94</v>
      </c>
      <c r="C222">
        <v>0</v>
      </c>
    </row>
    <row r="223" spans="1:3">
      <c r="B223" t="s">
        <v>564</v>
      </c>
      <c r="C223">
        <v>0</v>
      </c>
    </row>
    <row r="224" spans="1:3">
      <c r="B224" t="s">
        <v>667</v>
      </c>
      <c r="C224">
        <v>0</v>
      </c>
    </row>
    <row r="225" spans="1:3">
      <c r="A225" s="80">
        <v>45135</v>
      </c>
      <c r="B225" t="s">
        <v>701</v>
      </c>
    </row>
    <row r="226" spans="1:3">
      <c r="A226" s="80">
        <v>45136</v>
      </c>
      <c r="B226" t="s">
        <v>593</v>
      </c>
      <c r="C226">
        <v>0</v>
      </c>
    </row>
    <row r="227" spans="1:3">
      <c r="B227" t="s">
        <v>176</v>
      </c>
      <c r="C227">
        <v>0</v>
      </c>
    </row>
    <row r="228" spans="1:3">
      <c r="B228" t="s">
        <v>107</v>
      </c>
      <c r="C228">
        <v>0</v>
      </c>
    </row>
    <row r="229" spans="1:3">
      <c r="A229" s="80">
        <v>45137</v>
      </c>
      <c r="B229" t="s">
        <v>701</v>
      </c>
    </row>
    <row r="230" spans="1:3">
      <c r="A230" s="80">
        <v>45138</v>
      </c>
      <c r="B230" t="s">
        <v>107</v>
      </c>
      <c r="C230">
        <v>0</v>
      </c>
    </row>
    <row r="231" spans="1:3">
      <c r="A231" s="80">
        <v>45139</v>
      </c>
      <c r="B231" t="s">
        <v>107</v>
      </c>
      <c r="C231">
        <v>0</v>
      </c>
    </row>
    <row r="232" spans="1:3">
      <c r="A232" s="80">
        <v>45140</v>
      </c>
      <c r="B232" t="s">
        <v>107</v>
      </c>
      <c r="C232">
        <v>0</v>
      </c>
    </row>
    <row r="233" spans="1:3">
      <c r="A233" s="80">
        <v>45141</v>
      </c>
      <c r="B233" t="s">
        <v>107</v>
      </c>
      <c r="C233">
        <v>0</v>
      </c>
    </row>
    <row r="234" spans="1:3">
      <c r="A234" s="80">
        <v>45142</v>
      </c>
      <c r="B234" t="s">
        <v>176</v>
      </c>
      <c r="C234">
        <v>0</v>
      </c>
    </row>
    <row r="235" spans="1:3">
      <c r="B235" t="s">
        <v>204</v>
      </c>
      <c r="C235">
        <v>0</v>
      </c>
    </row>
    <row r="236" spans="1:3">
      <c r="A236" s="80">
        <v>45144</v>
      </c>
      <c r="B236" t="s">
        <v>701</v>
      </c>
    </row>
    <row r="237" spans="1:3">
      <c r="A237" s="80">
        <v>45145</v>
      </c>
      <c r="B237" t="s">
        <v>433</v>
      </c>
      <c r="C237">
        <v>0</v>
      </c>
    </row>
    <row r="238" spans="1:3">
      <c r="B238" t="s">
        <v>176</v>
      </c>
      <c r="C238">
        <v>0</v>
      </c>
    </row>
    <row r="239" spans="1:3">
      <c r="A239" s="80">
        <v>45146</v>
      </c>
      <c r="B239" t="s">
        <v>593</v>
      </c>
      <c r="C239">
        <v>0</v>
      </c>
    </row>
    <row r="240" spans="1:3">
      <c r="B240" t="s">
        <v>51</v>
      </c>
      <c r="C240">
        <v>0</v>
      </c>
    </row>
    <row r="241" spans="1:3">
      <c r="B241" t="s">
        <v>107</v>
      </c>
      <c r="C241">
        <v>0</v>
      </c>
    </row>
    <row r="242" spans="1:3">
      <c r="A242" s="80">
        <v>45147</v>
      </c>
      <c r="B242" t="s">
        <v>51</v>
      </c>
      <c r="C242">
        <v>0</v>
      </c>
    </row>
    <row r="243" spans="1:3">
      <c r="B243" t="s">
        <v>176</v>
      </c>
      <c r="C243">
        <v>0</v>
      </c>
    </row>
    <row r="244" spans="1:3">
      <c r="A244" s="80">
        <v>45148</v>
      </c>
      <c r="B244" t="s">
        <v>676</v>
      </c>
      <c r="C244">
        <v>0</v>
      </c>
    </row>
    <row r="245" spans="1:3">
      <c r="B245" t="s">
        <v>107</v>
      </c>
      <c r="C245">
        <v>0</v>
      </c>
    </row>
    <row r="246" spans="1:3">
      <c r="A246" s="80">
        <v>45150</v>
      </c>
      <c r="B246" t="s">
        <v>701</v>
      </c>
    </row>
    <row r="247" spans="1:3">
      <c r="A247" s="80">
        <v>45151</v>
      </c>
      <c r="B247" t="s">
        <v>701</v>
      </c>
    </row>
    <row r="248" spans="1:3">
      <c r="A248" s="80">
        <v>45152</v>
      </c>
      <c r="B248" t="s">
        <v>176</v>
      </c>
      <c r="C248">
        <v>0</v>
      </c>
    </row>
    <row r="249" spans="1:3">
      <c r="B249" t="s">
        <v>204</v>
      </c>
      <c r="C249">
        <v>0</v>
      </c>
    </row>
    <row r="250" spans="1:3">
      <c r="A250" s="80">
        <v>45153</v>
      </c>
      <c r="B250" t="s">
        <v>107</v>
      </c>
      <c r="C250">
        <v>0</v>
      </c>
    </row>
    <row r="251" spans="1:3">
      <c r="A251" s="80">
        <v>45154</v>
      </c>
      <c r="B251" t="s">
        <v>107</v>
      </c>
      <c r="C251">
        <v>0</v>
      </c>
    </row>
    <row r="252" spans="1:3">
      <c r="B252" t="s">
        <v>707</v>
      </c>
      <c r="C252">
        <v>0</v>
      </c>
    </row>
    <row r="253" spans="1:3">
      <c r="A253" s="80">
        <v>45158</v>
      </c>
      <c r="B253" t="s">
        <v>701</v>
      </c>
    </row>
    <row r="254" spans="1:3">
      <c r="A254" s="80">
        <v>45159</v>
      </c>
      <c r="B254" t="s">
        <v>176</v>
      </c>
      <c r="C254">
        <v>0</v>
      </c>
    </row>
    <row r="255" spans="1:3">
      <c r="A255" s="80">
        <v>45160</v>
      </c>
      <c r="B255" t="s">
        <v>107</v>
      </c>
      <c r="C255">
        <v>0</v>
      </c>
    </row>
    <row r="256" spans="1:3">
      <c r="A256" s="80">
        <v>45161</v>
      </c>
      <c r="B256" t="s">
        <v>433</v>
      </c>
      <c r="C256">
        <v>0</v>
      </c>
    </row>
    <row r="257" spans="1:3">
      <c r="B257" t="s">
        <v>107</v>
      </c>
      <c r="C257">
        <v>0</v>
      </c>
    </row>
    <row r="258" spans="1:3">
      <c r="A258" s="80">
        <v>45164</v>
      </c>
      <c r="B258" t="s">
        <v>107</v>
      </c>
      <c r="C258">
        <v>0</v>
      </c>
    </row>
    <row r="259" spans="1:3">
      <c r="A259" s="80">
        <v>45165</v>
      </c>
      <c r="B259" t="s">
        <v>701</v>
      </c>
    </row>
    <row r="260" spans="1:3">
      <c r="A260" s="80">
        <v>45166</v>
      </c>
      <c r="B260" t="s">
        <v>593</v>
      </c>
      <c r="C260">
        <v>0</v>
      </c>
    </row>
    <row r="261" spans="1:3">
      <c r="B261" t="s">
        <v>176</v>
      </c>
      <c r="C261">
        <v>0</v>
      </c>
    </row>
    <row r="262" spans="1:3">
      <c r="B262" t="s">
        <v>107</v>
      </c>
      <c r="C262">
        <v>0</v>
      </c>
    </row>
    <row r="263" spans="1:3">
      <c r="A263" s="80">
        <v>45167</v>
      </c>
      <c r="B263" t="s">
        <v>107</v>
      </c>
      <c r="C263">
        <v>0</v>
      </c>
    </row>
    <row r="264" spans="1:3">
      <c r="B264" t="s">
        <v>665</v>
      </c>
      <c r="C264">
        <v>0</v>
      </c>
    </row>
    <row r="265" spans="1:3">
      <c r="A265" s="80">
        <v>45168</v>
      </c>
      <c r="B265" t="s">
        <v>94</v>
      </c>
      <c r="C265">
        <v>0</v>
      </c>
    </row>
    <row r="266" spans="1:3">
      <c r="B266" t="s">
        <v>98</v>
      </c>
      <c r="C266">
        <v>0</v>
      </c>
    </row>
    <row r="267" spans="1:3">
      <c r="B267" t="s">
        <v>176</v>
      </c>
      <c r="C267">
        <v>0</v>
      </c>
    </row>
    <row r="268" spans="1:3">
      <c r="A268" s="80">
        <v>45169</v>
      </c>
      <c r="B268" t="s">
        <v>51</v>
      </c>
      <c r="C268">
        <v>0</v>
      </c>
    </row>
    <row r="269" spans="1:3">
      <c r="B269" t="s">
        <v>176</v>
      </c>
      <c r="C269">
        <v>0</v>
      </c>
    </row>
    <row r="270" spans="1:3">
      <c r="B270" t="s">
        <v>204</v>
      </c>
      <c r="C270">
        <v>0</v>
      </c>
    </row>
    <row r="271" spans="1:3">
      <c r="A271" s="80">
        <v>45172</v>
      </c>
      <c r="B271" t="s">
        <v>701</v>
      </c>
    </row>
    <row r="272" spans="1:3">
      <c r="A272" s="80">
        <v>45173</v>
      </c>
      <c r="B272" t="s">
        <v>107</v>
      </c>
      <c r="C272">
        <v>0</v>
      </c>
    </row>
    <row r="273" spans="1:3">
      <c r="A273" s="80">
        <v>45174</v>
      </c>
      <c r="B273" t="s">
        <v>107</v>
      </c>
      <c r="C273">
        <v>0</v>
      </c>
    </row>
    <row r="274" spans="1:3">
      <c r="A274" s="80">
        <v>45175</v>
      </c>
      <c r="B274" t="s">
        <v>107</v>
      </c>
      <c r="C274">
        <v>0</v>
      </c>
    </row>
    <row r="275" spans="1:3">
      <c r="A275" s="80">
        <v>45176</v>
      </c>
      <c r="B275" t="s">
        <v>593</v>
      </c>
      <c r="C275">
        <v>0</v>
      </c>
    </row>
    <row r="276" spans="1:3">
      <c r="B276" t="s">
        <v>176</v>
      </c>
      <c r="C276">
        <v>0</v>
      </c>
    </row>
    <row r="277" spans="1:3">
      <c r="A277" s="80">
        <v>45177</v>
      </c>
      <c r="B277" t="s">
        <v>176</v>
      </c>
      <c r="C277">
        <v>0</v>
      </c>
    </row>
    <row r="278" spans="1:3">
      <c r="B278" t="s">
        <v>107</v>
      </c>
      <c r="C278">
        <v>0</v>
      </c>
    </row>
    <row r="279" spans="1:3">
      <c r="A279" s="80">
        <v>45179</v>
      </c>
      <c r="B279" t="s">
        <v>701</v>
      </c>
    </row>
    <row r="280" spans="1:3">
      <c r="A280" s="80">
        <v>45180</v>
      </c>
      <c r="B280" t="s">
        <v>701</v>
      </c>
    </row>
    <row r="281" spans="1:3">
      <c r="A281" s="80">
        <v>45181</v>
      </c>
      <c r="B281" t="s">
        <v>701</v>
      </c>
    </row>
    <row r="282" spans="1:3">
      <c r="A282" s="80">
        <v>45182</v>
      </c>
      <c r="B282" t="s">
        <v>701</v>
      </c>
    </row>
    <row r="283" spans="1:3">
      <c r="A283" s="80">
        <v>45183</v>
      </c>
      <c r="B283" t="s">
        <v>701</v>
      </c>
    </row>
    <row r="284" spans="1:3">
      <c r="A284" s="80">
        <v>45184</v>
      </c>
      <c r="B284" t="s">
        <v>176</v>
      </c>
      <c r="C284">
        <v>0</v>
      </c>
    </row>
    <row r="285" spans="1:3">
      <c r="B285" t="s">
        <v>107</v>
      </c>
      <c r="C285">
        <v>0</v>
      </c>
    </row>
    <row r="286" spans="1:3">
      <c r="A286" s="80">
        <v>45185</v>
      </c>
      <c r="B286" t="s">
        <v>107</v>
      </c>
      <c r="C286">
        <v>0</v>
      </c>
    </row>
    <row r="287" spans="1:3">
      <c r="A287" s="80">
        <v>45186</v>
      </c>
      <c r="B287" t="s">
        <v>701</v>
      </c>
    </row>
    <row r="288" spans="1:3">
      <c r="A288" s="80">
        <v>45187</v>
      </c>
      <c r="B288" t="s">
        <v>671</v>
      </c>
      <c r="C288">
        <v>0</v>
      </c>
    </row>
    <row r="289" spans="1:3">
      <c r="B289" t="s">
        <v>433</v>
      </c>
      <c r="C289">
        <v>0</v>
      </c>
    </row>
    <row r="290" spans="1:3">
      <c r="B290" t="s">
        <v>664</v>
      </c>
      <c r="C290">
        <v>0</v>
      </c>
    </row>
    <row r="291" spans="1:3">
      <c r="B291" t="s">
        <v>176</v>
      </c>
      <c r="C291">
        <v>0</v>
      </c>
    </row>
    <row r="292" spans="1:3">
      <c r="A292" s="80">
        <v>45188</v>
      </c>
      <c r="B292" t="s">
        <v>681</v>
      </c>
      <c r="C292">
        <v>0</v>
      </c>
    </row>
    <row r="293" spans="1:3">
      <c r="B293" t="s">
        <v>680</v>
      </c>
      <c r="C293">
        <v>0</v>
      </c>
    </row>
    <row r="294" spans="1:3">
      <c r="B294" t="s">
        <v>176</v>
      </c>
      <c r="C294">
        <v>0</v>
      </c>
    </row>
    <row r="295" spans="1:3">
      <c r="B295" t="s">
        <v>227</v>
      </c>
      <c r="C295">
        <v>0</v>
      </c>
    </row>
    <row r="296" spans="1:3">
      <c r="B296" t="s">
        <v>204</v>
      </c>
      <c r="C296">
        <v>0</v>
      </c>
    </row>
    <row r="297" spans="1:3">
      <c r="A297" s="80">
        <v>45189</v>
      </c>
      <c r="B297" t="s">
        <v>671</v>
      </c>
      <c r="C297">
        <v>0</v>
      </c>
    </row>
    <row r="298" spans="1:3">
      <c r="B298" t="s">
        <v>433</v>
      </c>
      <c r="C298">
        <v>0</v>
      </c>
    </row>
    <row r="299" spans="1:3">
      <c r="B299" t="s">
        <v>94</v>
      </c>
      <c r="C299">
        <v>0</v>
      </c>
    </row>
    <row r="300" spans="1:3">
      <c r="A300" s="80">
        <v>45190</v>
      </c>
      <c r="B300" t="s">
        <v>433</v>
      </c>
      <c r="C300">
        <v>0</v>
      </c>
    </row>
    <row r="301" spans="1:3">
      <c r="B301" t="s">
        <v>94</v>
      </c>
      <c r="C301">
        <v>0</v>
      </c>
    </row>
    <row r="302" spans="1:3">
      <c r="A302" s="80">
        <v>45191</v>
      </c>
      <c r="B302" t="s">
        <v>433</v>
      </c>
      <c r="C302">
        <v>0</v>
      </c>
    </row>
    <row r="303" spans="1:3">
      <c r="B303" t="s">
        <v>94</v>
      </c>
      <c r="C303">
        <v>0</v>
      </c>
    </row>
    <row r="304" spans="1:3">
      <c r="B304" t="s">
        <v>564</v>
      </c>
      <c r="C304">
        <v>0</v>
      </c>
    </row>
    <row r="305" spans="1:3">
      <c r="B305" t="s">
        <v>98</v>
      </c>
      <c r="C305">
        <v>0</v>
      </c>
    </row>
    <row r="306" spans="1:3">
      <c r="A306" s="80">
        <v>45192</v>
      </c>
      <c r="B306" t="s">
        <v>433</v>
      </c>
      <c r="C306">
        <v>2</v>
      </c>
    </row>
    <row r="307" spans="1:3">
      <c r="B307" t="s">
        <v>664</v>
      </c>
      <c r="C307">
        <v>0</v>
      </c>
    </row>
    <row r="308" spans="1:3">
      <c r="B308" t="s">
        <v>204</v>
      </c>
      <c r="C308">
        <v>0</v>
      </c>
    </row>
    <row r="309" spans="1:3">
      <c r="A309" s="80">
        <v>45193</v>
      </c>
      <c r="B309" t="s">
        <v>701</v>
      </c>
    </row>
    <row r="310" spans="1:3">
      <c r="A310" s="80">
        <v>45194</v>
      </c>
      <c r="B310" t="s">
        <v>433</v>
      </c>
      <c r="C310">
        <v>0</v>
      </c>
    </row>
    <row r="311" spans="1:3">
      <c r="B311" t="s">
        <v>176</v>
      </c>
      <c r="C311">
        <v>0</v>
      </c>
    </row>
    <row r="312" spans="1:3">
      <c r="B312" t="s">
        <v>365</v>
      </c>
      <c r="C312">
        <v>0</v>
      </c>
    </row>
    <row r="313" spans="1:3">
      <c r="A313" s="80">
        <v>45196</v>
      </c>
      <c r="B313" t="s">
        <v>176</v>
      </c>
      <c r="C313">
        <v>0</v>
      </c>
    </row>
    <row r="314" spans="1:3">
      <c r="B314" t="s">
        <v>227</v>
      </c>
      <c r="C314">
        <v>0</v>
      </c>
    </row>
    <row r="315" spans="1:3">
      <c r="B315" t="s">
        <v>204</v>
      </c>
      <c r="C315">
        <v>0</v>
      </c>
    </row>
    <row r="316" spans="1:3">
      <c r="A316" s="80">
        <v>45197</v>
      </c>
      <c r="B316" t="s">
        <v>176</v>
      </c>
      <c r="C316">
        <v>0</v>
      </c>
    </row>
    <row r="317" spans="1:3">
      <c r="A317" s="80">
        <v>45198</v>
      </c>
      <c r="B317" t="s">
        <v>176</v>
      </c>
      <c r="C317">
        <v>0</v>
      </c>
    </row>
    <row r="318" spans="1:3">
      <c r="B318" t="s">
        <v>107</v>
      </c>
      <c r="C318">
        <v>0</v>
      </c>
    </row>
    <row r="319" spans="1:3">
      <c r="A319" s="80">
        <v>45199</v>
      </c>
      <c r="B319" t="s">
        <v>107</v>
      </c>
      <c r="C319">
        <v>0</v>
      </c>
    </row>
    <row r="320" spans="1:3">
      <c r="A320" s="80">
        <v>45200</v>
      </c>
      <c r="B320" t="s">
        <v>701</v>
      </c>
    </row>
    <row r="321" spans="1:3">
      <c r="A321" s="80">
        <v>45202</v>
      </c>
      <c r="B321" t="s">
        <v>593</v>
      </c>
      <c r="C321">
        <v>0</v>
      </c>
    </row>
    <row r="322" spans="1:3">
      <c r="B322" t="s">
        <v>681</v>
      </c>
      <c r="C322">
        <v>0</v>
      </c>
    </row>
    <row r="323" spans="1:3">
      <c r="B323" t="s">
        <v>107</v>
      </c>
      <c r="C323">
        <v>0</v>
      </c>
    </row>
    <row r="324" spans="1:3">
      <c r="B324" t="s">
        <v>665</v>
      </c>
      <c r="C324">
        <v>0</v>
      </c>
    </row>
    <row r="325" spans="1:3">
      <c r="B325" t="s">
        <v>707</v>
      </c>
      <c r="C325">
        <v>0</v>
      </c>
    </row>
    <row r="326" spans="1:3">
      <c r="A326" s="80">
        <v>45203</v>
      </c>
      <c r="B326" t="s">
        <v>664</v>
      </c>
      <c r="C326">
        <v>0</v>
      </c>
    </row>
    <row r="327" spans="1:3">
      <c r="B327" t="s">
        <v>176</v>
      </c>
      <c r="C327">
        <v>0</v>
      </c>
    </row>
    <row r="328" spans="1:3">
      <c r="B328" t="s">
        <v>204</v>
      </c>
      <c r="C328">
        <v>0</v>
      </c>
    </row>
    <row r="329" spans="1:3">
      <c r="A329" s="80">
        <v>45204</v>
      </c>
      <c r="B329" t="s">
        <v>671</v>
      </c>
      <c r="C329">
        <v>0</v>
      </c>
    </row>
    <row r="330" spans="1:3">
      <c r="B330" t="s">
        <v>433</v>
      </c>
      <c r="C330">
        <v>0</v>
      </c>
    </row>
    <row r="331" spans="1:3">
      <c r="B331" t="s">
        <v>94</v>
      </c>
      <c r="C331">
        <v>0</v>
      </c>
    </row>
    <row r="332" spans="1:3">
      <c r="B332" t="s">
        <v>564</v>
      </c>
      <c r="C332">
        <v>0</v>
      </c>
    </row>
    <row r="333" spans="1:3">
      <c r="B333" t="s">
        <v>98</v>
      </c>
      <c r="C333">
        <v>0</v>
      </c>
    </row>
    <row r="334" spans="1:3">
      <c r="A334" s="80">
        <v>45205</v>
      </c>
      <c r="B334" t="s">
        <v>94</v>
      </c>
      <c r="C334">
        <v>0</v>
      </c>
    </row>
    <row r="335" spans="1:3">
      <c r="A335" s="80">
        <v>45206</v>
      </c>
      <c r="B335" t="s">
        <v>744</v>
      </c>
      <c r="C335">
        <v>0</v>
      </c>
    </row>
    <row r="336" spans="1:3">
      <c r="A336" s="80">
        <v>45207</v>
      </c>
      <c r="B336" t="s">
        <v>701</v>
      </c>
    </row>
    <row r="337" spans="1:3">
      <c r="A337" s="80">
        <v>45208</v>
      </c>
      <c r="B337" t="s">
        <v>744</v>
      </c>
      <c r="C337">
        <v>0</v>
      </c>
    </row>
    <row r="338" spans="1:3">
      <c r="A338" s="80">
        <v>45209</v>
      </c>
      <c r="B338" t="s">
        <v>176</v>
      </c>
      <c r="C338">
        <v>0</v>
      </c>
    </row>
    <row r="339" spans="1:3">
      <c r="A339" s="80">
        <v>45210</v>
      </c>
      <c r="B339" t="s">
        <v>107</v>
      </c>
      <c r="C339">
        <v>230</v>
      </c>
    </row>
    <row r="340" spans="1:3">
      <c r="A340" s="80">
        <v>45211</v>
      </c>
      <c r="B340" t="s">
        <v>593</v>
      </c>
      <c r="C340">
        <v>0</v>
      </c>
    </row>
    <row r="341" spans="1:3">
      <c r="B341" t="s">
        <v>51</v>
      </c>
      <c r="C341">
        <v>0</v>
      </c>
    </row>
    <row r="342" spans="1:3">
      <c r="B342" t="s">
        <v>176</v>
      </c>
      <c r="C342">
        <v>0</v>
      </c>
    </row>
    <row r="343" spans="1:3">
      <c r="A343" s="80">
        <v>45212</v>
      </c>
      <c r="B343" t="s">
        <v>701</v>
      </c>
    </row>
    <row r="344" spans="1:3">
      <c r="A344" s="80">
        <v>45213</v>
      </c>
      <c r="B344" t="s">
        <v>744</v>
      </c>
      <c r="C344">
        <v>48</v>
      </c>
    </row>
    <row r="345" spans="1:3">
      <c r="A345" s="80">
        <v>45214</v>
      </c>
      <c r="B345" t="s">
        <v>701</v>
      </c>
    </row>
    <row r="346" spans="1:3">
      <c r="A346" s="80">
        <v>45215</v>
      </c>
      <c r="B346" t="s">
        <v>744</v>
      </c>
      <c r="C346">
        <v>0</v>
      </c>
    </row>
    <row r="347" spans="1:3">
      <c r="A347" s="80">
        <v>45216</v>
      </c>
      <c r="B347" t="s">
        <v>1020</v>
      </c>
      <c r="C347">
        <v>0</v>
      </c>
    </row>
    <row r="348" spans="1:3">
      <c r="A348" s="80">
        <v>45217</v>
      </c>
      <c r="B348" t="s">
        <v>94</v>
      </c>
      <c r="C348">
        <v>0</v>
      </c>
    </row>
    <row r="349" spans="1:3">
      <c r="B349" t="s">
        <v>176</v>
      </c>
      <c r="C349">
        <v>0</v>
      </c>
    </row>
    <row r="350" spans="1:3">
      <c r="B350" t="s">
        <v>1020</v>
      </c>
      <c r="C350">
        <v>0</v>
      </c>
    </row>
    <row r="351" spans="1:3">
      <c r="A351" s="80">
        <v>45218</v>
      </c>
      <c r="B351" t="s">
        <v>744</v>
      </c>
      <c r="C351">
        <v>0</v>
      </c>
    </row>
    <row r="352" spans="1:3">
      <c r="A352" s="80">
        <v>45219</v>
      </c>
      <c r="B352" t="s">
        <v>744</v>
      </c>
      <c r="C352">
        <v>0</v>
      </c>
    </row>
    <row r="353" spans="1:3">
      <c r="A353" s="80">
        <v>45220</v>
      </c>
      <c r="B353" t="s">
        <v>744</v>
      </c>
      <c r="C353">
        <v>0</v>
      </c>
    </row>
    <row r="354" spans="1:3">
      <c r="A354" s="80">
        <v>45221</v>
      </c>
      <c r="B354" t="s">
        <v>701</v>
      </c>
    </row>
    <row r="355" spans="1:3">
      <c r="A355" s="80">
        <v>45222</v>
      </c>
      <c r="B355" t="s">
        <v>701</v>
      </c>
    </row>
    <row r="356" spans="1:3">
      <c r="A356" s="80">
        <v>45223</v>
      </c>
      <c r="B356" t="s">
        <v>744</v>
      </c>
      <c r="C356">
        <v>0</v>
      </c>
    </row>
    <row r="357" spans="1:3">
      <c r="A357" s="80">
        <v>45224</v>
      </c>
      <c r="B357" t="s">
        <v>744</v>
      </c>
      <c r="C357">
        <v>0</v>
      </c>
    </row>
    <row r="358" spans="1:3">
      <c r="A358" s="80">
        <v>45225</v>
      </c>
      <c r="B358" t="s">
        <v>107</v>
      </c>
      <c r="C358">
        <v>2196</v>
      </c>
    </row>
    <row r="359" spans="1:3">
      <c r="B359" t="s">
        <v>665</v>
      </c>
      <c r="C359">
        <v>0</v>
      </c>
    </row>
    <row r="360" spans="1:3">
      <c r="A360" s="80">
        <v>45226</v>
      </c>
      <c r="B360" t="s">
        <v>744</v>
      </c>
      <c r="C360">
        <v>0</v>
      </c>
    </row>
    <row r="361" spans="1:3">
      <c r="A361" s="80">
        <v>45227</v>
      </c>
      <c r="B361" t="s">
        <v>744</v>
      </c>
      <c r="C361">
        <v>0</v>
      </c>
    </row>
    <row r="362" spans="1:3">
      <c r="A362" s="80">
        <v>45228</v>
      </c>
      <c r="B362" t="s">
        <v>701</v>
      </c>
    </row>
    <row r="363" spans="1:3">
      <c r="A363" s="80">
        <v>45229</v>
      </c>
      <c r="B363" t="s">
        <v>701</v>
      </c>
    </row>
    <row r="364" spans="1:3">
      <c r="A364" s="80">
        <v>45232</v>
      </c>
      <c r="B364" t="s">
        <v>744</v>
      </c>
      <c r="C364">
        <v>0</v>
      </c>
    </row>
    <row r="365" spans="1:3">
      <c r="A365" s="80">
        <v>45233</v>
      </c>
      <c r="B365" t="s">
        <v>744</v>
      </c>
      <c r="C365">
        <v>0</v>
      </c>
    </row>
    <row r="366" spans="1:3">
      <c r="A366" s="80">
        <v>45234</v>
      </c>
      <c r="B366" t="s">
        <v>176</v>
      </c>
      <c r="C366">
        <v>0</v>
      </c>
    </row>
    <row r="367" spans="1:3">
      <c r="B367" t="s">
        <v>744</v>
      </c>
      <c r="C367">
        <v>0</v>
      </c>
    </row>
    <row r="368" spans="1:3">
      <c r="A368" s="80">
        <v>45235</v>
      </c>
      <c r="B368" t="s">
        <v>701</v>
      </c>
    </row>
    <row r="369" spans="1:3">
      <c r="A369" s="80">
        <v>45236</v>
      </c>
      <c r="B369" t="s">
        <v>176</v>
      </c>
      <c r="C369">
        <v>0</v>
      </c>
    </row>
    <row r="370" spans="1:3">
      <c r="B370" t="s">
        <v>744</v>
      </c>
      <c r="C370">
        <v>0</v>
      </c>
    </row>
    <row r="371" spans="1:3">
      <c r="A371" s="80">
        <v>45237</v>
      </c>
      <c r="B371" t="s">
        <v>176</v>
      </c>
      <c r="C371">
        <v>0</v>
      </c>
    </row>
    <row r="372" spans="1:3">
      <c r="B372" t="s">
        <v>744</v>
      </c>
      <c r="C372">
        <v>0</v>
      </c>
    </row>
    <row r="373" spans="1:3">
      <c r="A373" s="80">
        <v>45238</v>
      </c>
      <c r="B373" t="s">
        <v>744</v>
      </c>
      <c r="C373">
        <v>0</v>
      </c>
    </row>
    <row r="374" spans="1:3">
      <c r="A374" s="80">
        <v>45239</v>
      </c>
      <c r="B374" t="s">
        <v>176</v>
      </c>
      <c r="C374">
        <v>0</v>
      </c>
    </row>
    <row r="375" spans="1:3">
      <c r="B375" t="s">
        <v>1020</v>
      </c>
      <c r="C375">
        <v>0</v>
      </c>
    </row>
    <row r="376" spans="1:3">
      <c r="A376" s="80">
        <v>45240</v>
      </c>
      <c r="B376" t="s">
        <v>744</v>
      </c>
      <c r="C376">
        <v>0</v>
      </c>
    </row>
    <row r="377" spans="1:3">
      <c r="A377" s="80">
        <v>45241</v>
      </c>
      <c r="B377" t="s">
        <v>676</v>
      </c>
      <c r="C377">
        <v>9</v>
      </c>
    </row>
    <row r="378" spans="1:3">
      <c r="B378" t="s">
        <v>107</v>
      </c>
      <c r="C378">
        <v>0</v>
      </c>
    </row>
    <row r="379" spans="1:3">
      <c r="B379" t="s">
        <v>665</v>
      </c>
      <c r="C379">
        <v>6</v>
      </c>
    </row>
    <row r="380" spans="1:3">
      <c r="A380" s="80">
        <v>45242</v>
      </c>
      <c r="B380" t="s">
        <v>701</v>
      </c>
    </row>
    <row r="381" spans="1:3">
      <c r="A381" s="80">
        <v>45243</v>
      </c>
      <c r="B381" t="s">
        <v>744</v>
      </c>
      <c r="C381">
        <v>0</v>
      </c>
    </row>
    <row r="382" spans="1:3">
      <c r="A382" s="80">
        <v>45244</v>
      </c>
      <c r="B382" t="s">
        <v>744</v>
      </c>
      <c r="C382">
        <v>0</v>
      </c>
    </row>
    <row r="383" spans="1:3">
      <c r="A383" s="80">
        <v>45245</v>
      </c>
      <c r="B383" t="s">
        <v>744</v>
      </c>
      <c r="C383">
        <v>0</v>
      </c>
    </row>
    <row r="384" spans="1:3">
      <c r="A384" s="80">
        <v>45246</v>
      </c>
      <c r="B384" t="s">
        <v>94</v>
      </c>
      <c r="C384">
        <v>0</v>
      </c>
    </row>
    <row r="385" spans="1:3">
      <c r="B385" t="s">
        <v>1020</v>
      </c>
      <c r="C385">
        <v>0</v>
      </c>
    </row>
    <row r="386" spans="1:3">
      <c r="A386" s="80">
        <v>45247</v>
      </c>
      <c r="B386" t="s">
        <v>94</v>
      </c>
      <c r="C386">
        <v>0</v>
      </c>
    </row>
    <row r="387" spans="1:3">
      <c r="B387" t="s">
        <v>1020</v>
      </c>
      <c r="C387">
        <v>0</v>
      </c>
    </row>
    <row r="388" spans="1:3">
      <c r="A388" s="80">
        <v>45248</v>
      </c>
      <c r="B388" t="s">
        <v>107</v>
      </c>
      <c r="C388">
        <v>0</v>
      </c>
    </row>
    <row r="389" spans="1:3">
      <c r="B389" t="s">
        <v>665</v>
      </c>
      <c r="C389">
        <v>0</v>
      </c>
    </row>
    <row r="390" spans="1:3">
      <c r="A390" s="80">
        <v>45249</v>
      </c>
      <c r="B390" t="s">
        <v>701</v>
      </c>
    </row>
    <row r="391" spans="1:3">
      <c r="A391" s="80">
        <v>45250</v>
      </c>
      <c r="B391" t="s">
        <v>744</v>
      </c>
      <c r="C391">
        <v>0</v>
      </c>
    </row>
    <row r="392" spans="1:3">
      <c r="A392" s="80">
        <v>45251</v>
      </c>
      <c r="B392" t="s">
        <v>744</v>
      </c>
      <c r="C392">
        <v>0</v>
      </c>
    </row>
    <row r="393" spans="1:3">
      <c r="A393" s="80">
        <v>45252</v>
      </c>
      <c r="B393" t="s">
        <v>744</v>
      </c>
      <c r="C393">
        <v>0</v>
      </c>
    </row>
    <row r="394" spans="1:3">
      <c r="A394" s="80">
        <v>45253</v>
      </c>
      <c r="B394" t="s">
        <v>593</v>
      </c>
      <c r="C394">
        <v>0</v>
      </c>
    </row>
    <row r="395" spans="1:3">
      <c r="B395" t="s">
        <v>707</v>
      </c>
      <c r="C395">
        <v>0</v>
      </c>
    </row>
    <row r="396" spans="1:3">
      <c r="B396" t="s">
        <v>744</v>
      </c>
      <c r="C396">
        <v>0</v>
      </c>
    </row>
    <row r="397" spans="1:3">
      <c r="A397" s="80">
        <v>45254</v>
      </c>
      <c r="B397" t="s">
        <v>593</v>
      </c>
      <c r="C397">
        <v>0</v>
      </c>
    </row>
    <row r="398" spans="1:3">
      <c r="B398" t="s">
        <v>176</v>
      </c>
      <c r="C398">
        <v>0</v>
      </c>
    </row>
    <row r="399" spans="1:3">
      <c r="A399" s="80">
        <v>45255</v>
      </c>
      <c r="B399" t="s">
        <v>664</v>
      </c>
      <c r="C399">
        <v>0</v>
      </c>
    </row>
    <row r="400" spans="1:3">
      <c r="B400" t="s">
        <v>107</v>
      </c>
      <c r="C400">
        <v>0</v>
      </c>
    </row>
    <row r="401" spans="1:3">
      <c r="B401" t="s">
        <v>665</v>
      </c>
      <c r="C401">
        <v>0</v>
      </c>
    </row>
    <row r="402" spans="1:3">
      <c r="A402" s="80">
        <v>45256</v>
      </c>
      <c r="B402" t="s">
        <v>701</v>
      </c>
    </row>
    <row r="403" spans="1:3">
      <c r="A403" s="80">
        <v>45257</v>
      </c>
      <c r="B403" t="s">
        <v>176</v>
      </c>
      <c r="C403">
        <v>0</v>
      </c>
    </row>
    <row r="404" spans="1:3">
      <c r="B404" t="s">
        <v>204</v>
      </c>
      <c r="C404">
        <v>0</v>
      </c>
    </row>
    <row r="405" spans="1:3">
      <c r="B405" t="s">
        <v>744</v>
      </c>
      <c r="C405">
        <v>0</v>
      </c>
    </row>
    <row r="406" spans="1:3">
      <c r="A406" s="80">
        <v>45258</v>
      </c>
      <c r="B406" t="s">
        <v>744</v>
      </c>
      <c r="C406">
        <v>0</v>
      </c>
    </row>
    <row r="407" spans="1:3">
      <c r="A407" s="80">
        <v>45259</v>
      </c>
      <c r="B407" t="s">
        <v>94</v>
      </c>
      <c r="C407">
        <v>0</v>
      </c>
    </row>
    <row r="408" spans="1:3">
      <c r="B408" t="s">
        <v>176</v>
      </c>
      <c r="C408">
        <v>0</v>
      </c>
    </row>
    <row r="409" spans="1:3">
      <c r="A409" s="80">
        <v>45260</v>
      </c>
      <c r="B409" t="s">
        <v>744</v>
      </c>
      <c r="C409">
        <v>0</v>
      </c>
    </row>
    <row r="410" spans="1:3">
      <c r="A410" s="80">
        <v>45261</v>
      </c>
      <c r="B410" t="s">
        <v>744</v>
      </c>
      <c r="C410">
        <v>0</v>
      </c>
    </row>
    <row r="411" spans="1:3">
      <c r="A411" s="80">
        <v>45262</v>
      </c>
      <c r="B411" t="s">
        <v>744</v>
      </c>
      <c r="C411">
        <v>0</v>
      </c>
    </row>
    <row r="412" spans="1:3">
      <c r="A412" s="80">
        <v>45263</v>
      </c>
      <c r="B412" t="s">
        <v>701</v>
      </c>
    </row>
    <row r="413" spans="1:3">
      <c r="A413" s="80">
        <v>45264</v>
      </c>
      <c r="B413" t="s">
        <v>671</v>
      </c>
      <c r="C413">
        <v>0</v>
      </c>
    </row>
    <row r="414" spans="1:3">
      <c r="B414" t="s">
        <v>433</v>
      </c>
      <c r="C414">
        <v>0</v>
      </c>
    </row>
    <row r="415" spans="1:3">
      <c r="A415" s="80">
        <v>45265</v>
      </c>
      <c r="B415" t="s">
        <v>701</v>
      </c>
    </row>
    <row r="416" spans="1:3">
      <c r="A416" s="80">
        <v>45266</v>
      </c>
      <c r="B416" t="s">
        <v>51</v>
      </c>
      <c r="C416">
        <v>0</v>
      </c>
    </row>
    <row r="417" spans="1:3">
      <c r="B417" t="s">
        <v>107</v>
      </c>
      <c r="C417">
        <v>0</v>
      </c>
    </row>
    <row r="418" spans="1:3">
      <c r="A418" s="80">
        <v>45267</v>
      </c>
      <c r="B418" t="s">
        <v>744</v>
      </c>
      <c r="C418">
        <v>0</v>
      </c>
    </row>
    <row r="419" spans="1:3">
      <c r="A419" s="80">
        <v>45268</v>
      </c>
      <c r="B419" t="s">
        <v>744</v>
      </c>
      <c r="C419">
        <v>0</v>
      </c>
    </row>
    <row r="420" spans="1:3">
      <c r="A420" s="80">
        <v>45269</v>
      </c>
      <c r="B420" t="s">
        <v>94</v>
      </c>
      <c r="C420">
        <v>0</v>
      </c>
    </row>
    <row r="421" spans="1:3">
      <c r="B421" t="s">
        <v>1020</v>
      </c>
      <c r="C421">
        <v>420</v>
      </c>
    </row>
    <row r="422" spans="1:3">
      <c r="A422" s="80">
        <v>45270</v>
      </c>
      <c r="B422" t="s">
        <v>701</v>
      </c>
    </row>
    <row r="423" spans="1:3">
      <c r="A423" s="80">
        <v>45271</v>
      </c>
      <c r="B423" t="s">
        <v>107</v>
      </c>
      <c r="C423">
        <v>0</v>
      </c>
    </row>
    <row r="424" spans="1:3">
      <c r="B424" t="s">
        <v>744</v>
      </c>
      <c r="C424">
        <v>0</v>
      </c>
    </row>
    <row r="425" spans="1:3">
      <c r="A425" s="80">
        <v>45272</v>
      </c>
      <c r="B425" t="s">
        <v>176</v>
      </c>
      <c r="C425">
        <v>0</v>
      </c>
    </row>
    <row r="426" spans="1:3">
      <c r="B426" t="s">
        <v>744</v>
      </c>
      <c r="C426">
        <v>0</v>
      </c>
    </row>
    <row r="427" spans="1:3">
      <c r="A427" s="80">
        <v>45273</v>
      </c>
      <c r="B427" t="s">
        <v>593</v>
      </c>
      <c r="C427">
        <v>0</v>
      </c>
    </row>
    <row r="428" spans="1:3">
      <c r="B428" t="s">
        <v>107</v>
      </c>
      <c r="C428">
        <v>0</v>
      </c>
    </row>
    <row r="429" spans="1:3">
      <c r="A429" s="80">
        <v>45274</v>
      </c>
      <c r="B429" t="s">
        <v>107</v>
      </c>
      <c r="C429">
        <v>0</v>
      </c>
    </row>
    <row r="430" spans="1:3">
      <c r="B430" t="s">
        <v>665</v>
      </c>
      <c r="C430">
        <v>0</v>
      </c>
    </row>
    <row r="431" spans="1:3">
      <c r="A431" s="80">
        <v>45275</v>
      </c>
      <c r="B431" t="s">
        <v>94</v>
      </c>
      <c r="C431">
        <v>0</v>
      </c>
    </row>
    <row r="432" spans="1:3">
      <c r="B432" t="s">
        <v>1020</v>
      </c>
      <c r="C432">
        <v>0</v>
      </c>
    </row>
    <row r="433" spans="1:3">
      <c r="A433" s="80">
        <v>45276</v>
      </c>
      <c r="B433" t="s">
        <v>94</v>
      </c>
      <c r="C433">
        <v>0</v>
      </c>
    </row>
    <row r="434" spans="1:3">
      <c r="B434" t="s">
        <v>1020</v>
      </c>
      <c r="C434">
        <v>0</v>
      </c>
    </row>
    <row r="435" spans="1:3">
      <c r="A435" s="80">
        <v>45277</v>
      </c>
      <c r="B435" t="s">
        <v>701</v>
      </c>
    </row>
    <row r="436" spans="1:3">
      <c r="A436" s="80">
        <v>45278</v>
      </c>
      <c r="B436" t="s">
        <v>94</v>
      </c>
      <c r="C436">
        <v>0</v>
      </c>
    </row>
    <row r="437" spans="1:3">
      <c r="B437" t="s">
        <v>176</v>
      </c>
      <c r="C437">
        <v>0</v>
      </c>
    </row>
    <row r="438" spans="1:3">
      <c r="B438" t="s">
        <v>107</v>
      </c>
      <c r="C438">
        <v>0</v>
      </c>
    </row>
    <row r="439" spans="1:3">
      <c r="A439" s="80">
        <v>45279</v>
      </c>
      <c r="B439" t="s">
        <v>107</v>
      </c>
      <c r="C439">
        <v>0</v>
      </c>
    </row>
    <row r="440" spans="1:3">
      <c r="A440" s="80">
        <v>45280</v>
      </c>
      <c r="B440" t="s">
        <v>94</v>
      </c>
      <c r="C440">
        <v>0</v>
      </c>
    </row>
    <row r="441" spans="1:3">
      <c r="A441" s="80">
        <v>45281</v>
      </c>
      <c r="B441" t="s">
        <v>1020</v>
      </c>
      <c r="C441">
        <v>0</v>
      </c>
    </row>
    <row r="442" spans="1:3">
      <c r="A442" s="80">
        <v>45282</v>
      </c>
      <c r="B442" t="s">
        <v>107</v>
      </c>
      <c r="C442">
        <v>0</v>
      </c>
    </row>
    <row r="443" spans="1:3">
      <c r="A443" s="80">
        <v>45283</v>
      </c>
      <c r="B443" t="s">
        <v>176</v>
      </c>
      <c r="C443">
        <v>0</v>
      </c>
    </row>
    <row r="444" spans="1:3">
      <c r="B444" t="s">
        <v>107</v>
      </c>
      <c r="C444">
        <v>7</v>
      </c>
    </row>
    <row r="445" spans="1:3">
      <c r="B445" t="s">
        <v>665</v>
      </c>
      <c r="C445">
        <v>0</v>
      </c>
    </row>
    <row r="446" spans="1:3">
      <c r="A446" s="80">
        <v>45284</v>
      </c>
      <c r="B446" t="s">
        <v>701</v>
      </c>
    </row>
    <row r="447" spans="1:3">
      <c r="A447" s="80">
        <v>45285</v>
      </c>
      <c r="B447" t="s">
        <v>176</v>
      </c>
      <c r="C447">
        <v>0</v>
      </c>
    </row>
    <row r="448" spans="1:3">
      <c r="B448" t="s">
        <v>204</v>
      </c>
      <c r="C448">
        <v>0</v>
      </c>
    </row>
    <row r="449" spans="1:3">
      <c r="A449" s="80">
        <v>45286</v>
      </c>
      <c r="B449" t="s">
        <v>176</v>
      </c>
      <c r="C449">
        <v>0</v>
      </c>
    </row>
    <row r="450" spans="1:3">
      <c r="A450" s="80">
        <v>45287</v>
      </c>
      <c r="B450" t="s">
        <v>701</v>
      </c>
    </row>
    <row r="451" spans="1:3">
      <c r="A451" s="80">
        <v>45288</v>
      </c>
      <c r="B451" t="s">
        <v>701</v>
      </c>
    </row>
    <row r="452" spans="1:3">
      <c r="A452" s="80">
        <v>45289</v>
      </c>
      <c r="B452" t="s">
        <v>701</v>
      </c>
    </row>
    <row r="453" spans="1:3">
      <c r="A453" s="80">
        <v>45290</v>
      </c>
      <c r="B453" t="s">
        <v>701</v>
      </c>
    </row>
    <row r="454" spans="1:3">
      <c r="A454" s="80">
        <v>45291</v>
      </c>
      <c r="B454" t="s">
        <v>701</v>
      </c>
    </row>
    <row r="455" spans="1:3">
      <c r="A455" s="80">
        <v>45292</v>
      </c>
      <c r="B455" t="s">
        <v>701</v>
      </c>
    </row>
    <row r="456" spans="1:3">
      <c r="A456" s="80">
        <v>45293</v>
      </c>
      <c r="B456" t="s">
        <v>701</v>
      </c>
    </row>
    <row r="457" spans="1:3">
      <c r="A457" s="80">
        <v>45294</v>
      </c>
      <c r="B457" t="s">
        <v>433</v>
      </c>
      <c r="C457">
        <v>0</v>
      </c>
    </row>
    <row r="458" spans="1:3">
      <c r="B458" t="s">
        <v>176</v>
      </c>
      <c r="C458">
        <v>0</v>
      </c>
    </row>
    <row r="459" spans="1:3">
      <c r="B459" t="s">
        <v>665</v>
      </c>
      <c r="C459">
        <v>0</v>
      </c>
    </row>
    <row r="460" spans="1:3">
      <c r="A460" s="80">
        <v>45295</v>
      </c>
      <c r="B460" t="s">
        <v>176</v>
      </c>
      <c r="C460">
        <v>0</v>
      </c>
    </row>
    <row r="461" spans="1:3">
      <c r="B461" t="s">
        <v>665</v>
      </c>
      <c r="C461">
        <v>0</v>
      </c>
    </row>
    <row r="462" spans="1:3">
      <c r="A462" s="80">
        <v>45296</v>
      </c>
      <c r="B462" t="s">
        <v>433</v>
      </c>
      <c r="C462">
        <v>0</v>
      </c>
    </row>
    <row r="463" spans="1:3">
      <c r="B463" t="s">
        <v>176</v>
      </c>
      <c r="C463">
        <v>0</v>
      </c>
    </row>
    <row r="464" spans="1:3">
      <c r="A464" s="80">
        <v>45297</v>
      </c>
      <c r="B464" t="s">
        <v>94</v>
      </c>
      <c r="C464">
        <v>0</v>
      </c>
    </row>
    <row r="465" spans="1:3">
      <c r="B465" t="s">
        <v>564</v>
      </c>
      <c r="C465">
        <v>0</v>
      </c>
    </row>
    <row r="466" spans="1:3">
      <c r="B466" t="s">
        <v>98</v>
      </c>
      <c r="C466">
        <v>0</v>
      </c>
    </row>
    <row r="467" spans="1:3">
      <c r="B467" t="s">
        <v>593</v>
      </c>
      <c r="C467">
        <v>0</v>
      </c>
    </row>
    <row r="468" spans="1:3">
      <c r="B468" t="s">
        <v>1020</v>
      </c>
      <c r="C468">
        <v>0</v>
      </c>
    </row>
    <row r="469" spans="1:3">
      <c r="A469" s="80">
        <v>45298</v>
      </c>
      <c r="B469" t="s">
        <v>433</v>
      </c>
      <c r="C469">
        <v>0</v>
      </c>
    </row>
    <row r="470" spans="1:3">
      <c r="B470" t="s">
        <v>701</v>
      </c>
    </row>
    <row r="471" spans="1:3">
      <c r="A471" s="80">
        <v>45299</v>
      </c>
      <c r="B471" t="s">
        <v>107</v>
      </c>
      <c r="C471">
        <v>0</v>
      </c>
    </row>
    <row r="472" spans="1:3">
      <c r="A472" s="80">
        <v>45300</v>
      </c>
      <c r="B472" t="s">
        <v>51</v>
      </c>
      <c r="C472">
        <v>0</v>
      </c>
    </row>
    <row r="473" spans="1:3">
      <c r="B473" t="s">
        <v>107</v>
      </c>
      <c r="C473">
        <v>0</v>
      </c>
    </row>
    <row r="474" spans="1:3">
      <c r="A474" s="80">
        <v>45301</v>
      </c>
      <c r="B474" t="s">
        <v>593</v>
      </c>
      <c r="C474">
        <v>0</v>
      </c>
    </row>
    <row r="475" spans="1:3">
      <c r="B475" t="s">
        <v>107</v>
      </c>
      <c r="C475">
        <v>0</v>
      </c>
    </row>
    <row r="476" spans="1:3">
      <c r="A476" s="80">
        <v>45302</v>
      </c>
      <c r="B476" t="s">
        <v>593</v>
      </c>
      <c r="C476">
        <v>0</v>
      </c>
    </row>
    <row r="477" spans="1:3">
      <c r="B477" t="s">
        <v>107</v>
      </c>
      <c r="C477">
        <v>0</v>
      </c>
    </row>
    <row r="478" spans="1:3">
      <c r="A478" s="80">
        <v>45303</v>
      </c>
      <c r="B478" t="s">
        <v>593</v>
      </c>
      <c r="C478">
        <v>0</v>
      </c>
    </row>
    <row r="479" spans="1:3">
      <c r="B479" t="s">
        <v>107</v>
      </c>
      <c r="C479">
        <v>0</v>
      </c>
    </row>
    <row r="480" spans="1:3">
      <c r="B480" t="s">
        <v>665</v>
      </c>
      <c r="C480">
        <v>0</v>
      </c>
    </row>
    <row r="481" spans="1:3">
      <c r="A481" s="80">
        <v>45304</v>
      </c>
      <c r="B481" t="s">
        <v>107</v>
      </c>
      <c r="C481">
        <v>0</v>
      </c>
    </row>
    <row r="482" spans="1:3">
      <c r="A482" s="80">
        <v>45305</v>
      </c>
      <c r="B482" t="s">
        <v>701</v>
      </c>
    </row>
    <row r="483" spans="1:3">
      <c r="A483" s="80">
        <v>45306</v>
      </c>
      <c r="B483" t="s">
        <v>433</v>
      </c>
      <c r="C483">
        <v>0</v>
      </c>
    </row>
    <row r="484" spans="1:3">
      <c r="B484" t="s">
        <v>176</v>
      </c>
      <c r="C484">
        <v>0</v>
      </c>
    </row>
    <row r="485" spans="1:3">
      <c r="B485" t="s">
        <v>107</v>
      </c>
      <c r="C485">
        <v>0</v>
      </c>
    </row>
    <row r="486" spans="1:3">
      <c r="A486" s="80">
        <v>45307</v>
      </c>
      <c r="B486" t="s">
        <v>51</v>
      </c>
      <c r="C486">
        <v>0</v>
      </c>
    </row>
    <row r="487" spans="1:3">
      <c r="B487" t="s">
        <v>176</v>
      </c>
      <c r="C487">
        <v>0</v>
      </c>
    </row>
    <row r="488" spans="1:3">
      <c r="A488" s="80">
        <v>45308</v>
      </c>
      <c r="B488" t="s">
        <v>433</v>
      </c>
      <c r="C488">
        <v>0</v>
      </c>
    </row>
    <row r="489" spans="1:3">
      <c r="B489" t="s">
        <v>94</v>
      </c>
      <c r="C489">
        <v>0</v>
      </c>
    </row>
    <row r="490" spans="1:3">
      <c r="B490" t="s">
        <v>176</v>
      </c>
      <c r="C490">
        <v>0</v>
      </c>
    </row>
    <row r="491" spans="1:3">
      <c r="A491" s="80">
        <v>45309</v>
      </c>
      <c r="B491" t="s">
        <v>433</v>
      </c>
      <c r="C491">
        <v>0</v>
      </c>
    </row>
    <row r="492" spans="1:3">
      <c r="B492" t="s">
        <v>681</v>
      </c>
      <c r="C492">
        <v>0</v>
      </c>
    </row>
    <row r="493" spans="1:3">
      <c r="B493" t="s">
        <v>176</v>
      </c>
      <c r="C493">
        <v>0</v>
      </c>
    </row>
    <row r="494" spans="1:3">
      <c r="A494" s="80">
        <v>45310</v>
      </c>
      <c r="B494" t="s">
        <v>671</v>
      </c>
      <c r="C494">
        <v>0</v>
      </c>
    </row>
    <row r="495" spans="1:3">
      <c r="B495" t="s">
        <v>664</v>
      </c>
      <c r="C495">
        <v>0</v>
      </c>
    </row>
    <row r="496" spans="1:3">
      <c r="B496" t="s">
        <v>176</v>
      </c>
      <c r="C496">
        <v>0</v>
      </c>
    </row>
    <row r="497" spans="1:3">
      <c r="A497" s="80">
        <v>45311</v>
      </c>
      <c r="B497" t="s">
        <v>680</v>
      </c>
      <c r="C497">
        <v>0</v>
      </c>
    </row>
    <row r="498" spans="1:3">
      <c r="B498" t="s">
        <v>107</v>
      </c>
      <c r="C498">
        <v>0</v>
      </c>
    </row>
    <row r="499" spans="1:3">
      <c r="A499" s="80">
        <v>45312</v>
      </c>
      <c r="B499" t="s">
        <v>701</v>
      </c>
    </row>
    <row r="500" spans="1:3">
      <c r="A500" s="80">
        <v>45313</v>
      </c>
      <c r="B500" t="s">
        <v>593</v>
      </c>
      <c r="C500">
        <v>0</v>
      </c>
    </row>
    <row r="501" spans="1:3">
      <c r="B501" t="s">
        <v>107</v>
      </c>
      <c r="C501">
        <v>0</v>
      </c>
    </row>
    <row r="502" spans="1:3">
      <c r="A502" s="80">
        <v>45314</v>
      </c>
      <c r="B502" t="s">
        <v>51</v>
      </c>
      <c r="C502">
        <v>0</v>
      </c>
    </row>
    <row r="503" spans="1:3">
      <c r="B503" t="s">
        <v>176</v>
      </c>
      <c r="C503">
        <v>0</v>
      </c>
    </row>
    <row r="504" spans="1:3">
      <c r="B504" t="s">
        <v>107</v>
      </c>
      <c r="C504">
        <v>0</v>
      </c>
    </row>
    <row r="505" spans="1:3">
      <c r="B505" t="s">
        <v>204</v>
      </c>
      <c r="C505">
        <v>0</v>
      </c>
    </row>
    <row r="506" spans="1:3">
      <c r="A506" s="80">
        <v>45315</v>
      </c>
      <c r="B506" t="s">
        <v>94</v>
      </c>
      <c r="C506">
        <v>0</v>
      </c>
    </row>
    <row r="507" spans="1:3">
      <c r="B507" t="s">
        <v>564</v>
      </c>
      <c r="C507">
        <v>0</v>
      </c>
    </row>
    <row r="508" spans="1:3">
      <c r="B508" t="s">
        <v>98</v>
      </c>
      <c r="C508">
        <v>0</v>
      </c>
    </row>
    <row r="509" spans="1:3">
      <c r="B509" t="s">
        <v>176</v>
      </c>
      <c r="C509">
        <v>0</v>
      </c>
    </row>
    <row r="510" spans="1:3">
      <c r="A510" s="80">
        <v>45316</v>
      </c>
      <c r="B510" t="s">
        <v>94</v>
      </c>
      <c r="C510">
        <v>0</v>
      </c>
    </row>
    <row r="511" spans="1:3">
      <c r="B511" t="s">
        <v>1020</v>
      </c>
      <c r="C511">
        <v>0</v>
      </c>
    </row>
    <row r="512" spans="1:3">
      <c r="A512" s="80">
        <v>45317</v>
      </c>
      <c r="B512" t="s">
        <v>107</v>
      </c>
      <c r="C512">
        <v>0</v>
      </c>
    </row>
    <row r="513" spans="1:3">
      <c r="A513" s="80">
        <v>45318</v>
      </c>
      <c r="B513" t="s">
        <v>664</v>
      </c>
      <c r="C513">
        <v>0</v>
      </c>
    </row>
    <row r="514" spans="1:3">
      <c r="B514" t="s">
        <v>107</v>
      </c>
      <c r="C514">
        <v>0</v>
      </c>
    </row>
    <row r="515" spans="1:3">
      <c r="A515" s="80">
        <v>45319</v>
      </c>
      <c r="B515" t="s">
        <v>701</v>
      </c>
    </row>
    <row r="516" spans="1:3">
      <c r="A516" s="80">
        <v>45320</v>
      </c>
      <c r="B516" t="s">
        <v>176</v>
      </c>
      <c r="C516">
        <v>0</v>
      </c>
    </row>
    <row r="517" spans="1:3">
      <c r="A517" s="80">
        <v>45321</v>
      </c>
      <c r="B517" t="s">
        <v>107</v>
      </c>
      <c r="C517">
        <v>0</v>
      </c>
    </row>
    <row r="518" spans="1:3">
      <c r="A518" s="80">
        <v>45322</v>
      </c>
      <c r="B518" t="s">
        <v>107</v>
      </c>
      <c r="C518">
        <v>0</v>
      </c>
    </row>
    <row r="519" spans="1:3">
      <c r="A519" s="80">
        <v>45323</v>
      </c>
      <c r="B519" t="s">
        <v>593</v>
      </c>
      <c r="C519">
        <v>0</v>
      </c>
    </row>
    <row r="520" spans="1:3">
      <c r="B520" t="s">
        <v>107</v>
      </c>
      <c r="C520">
        <v>0</v>
      </c>
    </row>
    <row r="521" spans="1:3">
      <c r="B521" t="s">
        <v>665</v>
      </c>
      <c r="C521">
        <v>0</v>
      </c>
    </row>
    <row r="522" spans="1:3">
      <c r="A522" s="80">
        <v>45324</v>
      </c>
      <c r="B522" t="s">
        <v>94</v>
      </c>
      <c r="C522">
        <v>0</v>
      </c>
    </row>
    <row r="523" spans="1:3">
      <c r="A523" s="80">
        <v>45325</v>
      </c>
      <c r="B523" t="s">
        <v>681</v>
      </c>
      <c r="C523">
        <v>0</v>
      </c>
    </row>
    <row r="524" spans="1:3">
      <c r="B524" t="s">
        <v>107</v>
      </c>
      <c r="C524">
        <v>0</v>
      </c>
    </row>
    <row r="525" spans="1:3">
      <c r="A525" s="80">
        <v>45326</v>
      </c>
      <c r="B525" t="s">
        <v>701</v>
      </c>
    </row>
    <row r="526" spans="1:3">
      <c r="A526" s="80">
        <v>45327</v>
      </c>
      <c r="B526" t="s">
        <v>433</v>
      </c>
      <c r="C526">
        <v>0</v>
      </c>
    </row>
    <row r="527" spans="1:3">
      <c r="B527" t="s">
        <v>176</v>
      </c>
      <c r="C527">
        <v>0</v>
      </c>
    </row>
    <row r="528" spans="1:3">
      <c r="B528" t="s">
        <v>365</v>
      </c>
      <c r="C528">
        <v>0</v>
      </c>
    </row>
    <row r="529" spans="1:3">
      <c r="A529" s="80">
        <v>45328</v>
      </c>
      <c r="B529" t="s">
        <v>433</v>
      </c>
      <c r="C529">
        <v>0</v>
      </c>
    </row>
    <row r="530" spans="1:3">
      <c r="B530" t="s">
        <v>107</v>
      </c>
      <c r="C530">
        <v>0</v>
      </c>
    </row>
    <row r="531" spans="1:3">
      <c r="A531" s="80">
        <v>45329</v>
      </c>
      <c r="B531" t="s">
        <v>433</v>
      </c>
      <c r="C531">
        <v>0</v>
      </c>
    </row>
    <row r="532" spans="1:3">
      <c r="B532" t="s">
        <v>107</v>
      </c>
      <c r="C532">
        <v>0</v>
      </c>
    </row>
    <row r="533" spans="1:3">
      <c r="A533" s="80">
        <v>45330</v>
      </c>
      <c r="B533" t="s">
        <v>593</v>
      </c>
      <c r="C533">
        <v>0</v>
      </c>
    </row>
    <row r="534" spans="1:3">
      <c r="B534" t="s">
        <v>107</v>
      </c>
      <c r="C534">
        <v>0</v>
      </c>
    </row>
    <row r="535" spans="1:3">
      <c r="A535" s="80">
        <v>45331</v>
      </c>
      <c r="B535" t="s">
        <v>176</v>
      </c>
      <c r="C535">
        <v>0</v>
      </c>
    </row>
    <row r="536" spans="1:3">
      <c r="A536" s="80">
        <v>45332</v>
      </c>
      <c r="B536" t="s">
        <v>701</v>
      </c>
    </row>
    <row r="537" spans="1:3">
      <c r="A537" s="80">
        <v>45333</v>
      </c>
      <c r="B537" t="s">
        <v>701</v>
      </c>
    </row>
    <row r="538" spans="1:3">
      <c r="A538" s="80">
        <v>45334</v>
      </c>
      <c r="B538" t="s">
        <v>701</v>
      </c>
    </row>
    <row r="539" spans="1:3">
      <c r="A539" s="80">
        <v>45335</v>
      </c>
      <c r="B539" t="s">
        <v>176</v>
      </c>
      <c r="C539">
        <v>0</v>
      </c>
    </row>
    <row r="540" spans="1:3">
      <c r="A540" s="80">
        <v>45336</v>
      </c>
      <c r="B540" t="s">
        <v>176</v>
      </c>
      <c r="C540">
        <v>0</v>
      </c>
    </row>
    <row r="541" spans="1:3">
      <c r="B541" t="s">
        <v>701</v>
      </c>
    </row>
    <row r="542" spans="1:3">
      <c r="A542" s="80">
        <v>45337</v>
      </c>
      <c r="B542" t="s">
        <v>94</v>
      </c>
      <c r="C542">
        <v>0</v>
      </c>
    </row>
    <row r="543" spans="1:3">
      <c r="B543" t="s">
        <v>107</v>
      </c>
      <c r="C543">
        <v>0</v>
      </c>
    </row>
    <row r="544" spans="1:3">
      <c r="A544" s="80">
        <v>45338</v>
      </c>
      <c r="B544" t="s">
        <v>107</v>
      </c>
      <c r="C544">
        <v>0</v>
      </c>
    </row>
    <row r="545" spans="1:3">
      <c r="B545" t="s">
        <v>1020</v>
      </c>
      <c r="C545">
        <v>0</v>
      </c>
    </row>
    <row r="546" spans="1:3">
      <c r="A546" s="80">
        <v>45339</v>
      </c>
      <c r="B546" t="s">
        <v>107</v>
      </c>
      <c r="C546">
        <v>0</v>
      </c>
    </row>
    <row r="547" spans="1:3">
      <c r="A547" s="80">
        <v>45340</v>
      </c>
      <c r="B547" t="s">
        <v>701</v>
      </c>
    </row>
    <row r="548" spans="1:3">
      <c r="A548" s="80">
        <v>45341</v>
      </c>
      <c r="B548" t="s">
        <v>107</v>
      </c>
      <c r="C548">
        <v>0</v>
      </c>
    </row>
    <row r="549" spans="1:3">
      <c r="A549" s="80">
        <v>45342</v>
      </c>
      <c r="B549" t="s">
        <v>593</v>
      </c>
      <c r="C549">
        <v>0</v>
      </c>
    </row>
    <row r="550" spans="1:3">
      <c r="B550" t="s">
        <v>51</v>
      </c>
      <c r="C550">
        <v>0</v>
      </c>
    </row>
    <row r="551" spans="1:3">
      <c r="B551" t="s">
        <v>176</v>
      </c>
      <c r="C551">
        <v>0</v>
      </c>
    </row>
    <row r="552" spans="1:3">
      <c r="B552" t="s">
        <v>204</v>
      </c>
      <c r="C552">
        <v>0</v>
      </c>
    </row>
    <row r="553" spans="1:3">
      <c r="A553" s="80">
        <v>45343</v>
      </c>
      <c r="B553" t="s">
        <v>593</v>
      </c>
      <c r="C553">
        <v>0</v>
      </c>
    </row>
    <row r="554" spans="1:3">
      <c r="B554" t="s">
        <v>107</v>
      </c>
      <c r="C554">
        <v>0</v>
      </c>
    </row>
    <row r="555" spans="1:3">
      <c r="A555" s="80">
        <v>45344</v>
      </c>
      <c r="B555" t="s">
        <v>94</v>
      </c>
      <c r="C555">
        <v>0</v>
      </c>
    </row>
    <row r="556" spans="1:3">
      <c r="B556" t="s">
        <v>98</v>
      </c>
      <c r="C556">
        <v>0</v>
      </c>
    </row>
    <row r="557" spans="1:3">
      <c r="A557" s="80">
        <v>45345</v>
      </c>
      <c r="B557" t="s">
        <v>94</v>
      </c>
      <c r="C557">
        <v>0</v>
      </c>
    </row>
    <row r="558" spans="1:3">
      <c r="B558" t="s">
        <v>593</v>
      </c>
      <c r="C558">
        <v>0</v>
      </c>
    </row>
    <row r="559" spans="1:3">
      <c r="B559" t="s">
        <v>107</v>
      </c>
      <c r="C559">
        <v>0</v>
      </c>
    </row>
    <row r="560" spans="1:3">
      <c r="B560" t="s">
        <v>1020</v>
      </c>
      <c r="C560">
        <v>0</v>
      </c>
    </row>
    <row r="561" spans="1:3">
      <c r="A561" s="80">
        <v>45346</v>
      </c>
      <c r="B561" t="s">
        <v>176</v>
      </c>
      <c r="C561">
        <v>0</v>
      </c>
    </row>
    <row r="562" spans="1:3">
      <c r="A562" s="80">
        <v>45347</v>
      </c>
      <c r="B562" t="s">
        <v>701</v>
      </c>
    </row>
    <row r="563" spans="1:3">
      <c r="A563" s="80">
        <v>45348</v>
      </c>
      <c r="B563" t="s">
        <v>107</v>
      </c>
      <c r="C563">
        <v>0</v>
      </c>
    </row>
    <row r="564" spans="1:3">
      <c r="A564" s="80">
        <v>45349</v>
      </c>
      <c r="B564" t="s">
        <v>593</v>
      </c>
      <c r="C564">
        <v>0</v>
      </c>
    </row>
    <row r="565" spans="1:3">
      <c r="B565" t="s">
        <v>107</v>
      </c>
      <c r="C565">
        <v>0</v>
      </c>
    </row>
    <row r="566" spans="1:3">
      <c r="A566" s="80">
        <v>45350</v>
      </c>
      <c r="B566" t="s">
        <v>94</v>
      </c>
      <c r="C566">
        <v>0</v>
      </c>
    </row>
    <row r="567" spans="1:3">
      <c r="A567" s="80">
        <v>45351</v>
      </c>
      <c r="B567" t="s">
        <v>107</v>
      </c>
      <c r="C567">
        <v>0</v>
      </c>
    </row>
    <row r="568" spans="1:3">
      <c r="B568" t="s">
        <v>665</v>
      </c>
      <c r="C568">
        <v>0</v>
      </c>
    </row>
    <row r="569" spans="1:3">
      <c r="A569" s="80">
        <v>45352</v>
      </c>
      <c r="B569" t="s">
        <v>671</v>
      </c>
      <c r="C569">
        <v>0</v>
      </c>
    </row>
    <row r="570" spans="1:3">
      <c r="B570" t="s">
        <v>433</v>
      </c>
      <c r="C570">
        <v>0</v>
      </c>
    </row>
    <row r="571" spans="1:3">
      <c r="A571" s="80">
        <v>45353</v>
      </c>
      <c r="B571" t="s">
        <v>51</v>
      </c>
      <c r="C571">
        <v>0</v>
      </c>
    </row>
    <row r="572" spans="1:3">
      <c r="B572" t="s">
        <v>176</v>
      </c>
      <c r="C572">
        <v>0</v>
      </c>
    </row>
    <row r="573" spans="1:3">
      <c r="A573" s="80">
        <v>45354</v>
      </c>
      <c r="B573" t="s">
        <v>701</v>
      </c>
    </row>
    <row r="574" spans="1:3">
      <c r="A574" s="80">
        <v>45355</v>
      </c>
      <c r="B574" t="s">
        <v>176</v>
      </c>
      <c r="C574">
        <v>0</v>
      </c>
    </row>
    <row r="575" spans="1:3">
      <c r="A575" s="80">
        <v>45356</v>
      </c>
      <c r="B575" t="s">
        <v>107</v>
      </c>
      <c r="C575">
        <v>0</v>
      </c>
    </row>
    <row r="576" spans="1:3">
      <c r="A576" s="80">
        <v>45357</v>
      </c>
      <c r="B576" t="s">
        <v>593</v>
      </c>
      <c r="C576">
        <v>0</v>
      </c>
    </row>
    <row r="577" spans="1:3">
      <c r="B577" t="s">
        <v>107</v>
      </c>
      <c r="C577">
        <v>0</v>
      </c>
    </row>
    <row r="578" spans="1:3">
      <c r="A578" s="80">
        <v>45358</v>
      </c>
      <c r="B578" t="s">
        <v>593</v>
      </c>
      <c r="C578">
        <v>0</v>
      </c>
    </row>
    <row r="579" spans="1:3">
      <c r="B579" t="s">
        <v>107</v>
      </c>
      <c r="C579">
        <v>0</v>
      </c>
    </row>
    <row r="580" spans="1:3">
      <c r="A580" s="80">
        <v>45359</v>
      </c>
      <c r="B580" t="s">
        <v>107</v>
      </c>
      <c r="C580">
        <v>0</v>
      </c>
    </row>
    <row r="581" spans="1:3">
      <c r="A581" s="80">
        <v>45360</v>
      </c>
      <c r="B581" t="s">
        <v>107</v>
      </c>
      <c r="C581">
        <v>0</v>
      </c>
    </row>
    <row r="582" spans="1:3">
      <c r="A582" s="80">
        <v>45361</v>
      </c>
      <c r="B582" t="s">
        <v>107</v>
      </c>
      <c r="C582">
        <v>0</v>
      </c>
    </row>
    <row r="583" spans="1:3">
      <c r="A583" s="80">
        <v>45362</v>
      </c>
      <c r="B583" t="s">
        <v>176</v>
      </c>
      <c r="C583">
        <v>0</v>
      </c>
    </row>
    <row r="584" spans="1:3">
      <c r="A584" s="80">
        <v>45363</v>
      </c>
      <c r="B584" t="s">
        <v>107</v>
      </c>
      <c r="C584">
        <v>0</v>
      </c>
    </row>
    <row r="585" spans="1:3">
      <c r="A585" s="80">
        <v>45364</v>
      </c>
      <c r="B585" t="s">
        <v>51</v>
      </c>
      <c r="C585">
        <v>0</v>
      </c>
    </row>
    <row r="586" spans="1:3">
      <c r="B586" t="s">
        <v>176</v>
      </c>
      <c r="C586">
        <v>0</v>
      </c>
    </row>
    <row r="587" spans="1:3">
      <c r="B587" t="s">
        <v>665</v>
      </c>
      <c r="C587">
        <v>0</v>
      </c>
    </row>
    <row r="588" spans="1:3">
      <c r="B588" t="s">
        <v>744</v>
      </c>
      <c r="C588">
        <v>0</v>
      </c>
    </row>
    <row r="589" spans="1:3">
      <c r="A589" s="80">
        <v>45365</v>
      </c>
      <c r="B589" t="s">
        <v>107</v>
      </c>
      <c r="C589">
        <v>0</v>
      </c>
    </row>
    <row r="590" spans="1:3">
      <c r="A590" s="80">
        <v>45366</v>
      </c>
      <c r="B590" t="s">
        <v>107</v>
      </c>
      <c r="C590">
        <v>0</v>
      </c>
    </row>
    <row r="591" spans="1:3">
      <c r="A591" s="80">
        <v>45367</v>
      </c>
      <c r="B591" t="s">
        <v>107</v>
      </c>
      <c r="C591">
        <v>0</v>
      </c>
    </row>
    <row r="592" spans="1:3">
      <c r="B592" t="s">
        <v>665</v>
      </c>
      <c r="C592">
        <v>0</v>
      </c>
    </row>
    <row r="593" spans="1:3">
      <c r="A593" s="80">
        <v>45368</v>
      </c>
      <c r="B593" t="s">
        <v>593</v>
      </c>
      <c r="C593">
        <v>0</v>
      </c>
    </row>
    <row r="594" spans="1:3">
      <c r="B594" t="s">
        <v>107</v>
      </c>
      <c r="C594">
        <v>0</v>
      </c>
    </row>
    <row r="595" spans="1:3">
      <c r="A595" s="80">
        <v>45369</v>
      </c>
      <c r="B595" t="s">
        <v>176</v>
      </c>
      <c r="C595">
        <v>0</v>
      </c>
    </row>
    <row r="596" spans="1:3">
      <c r="A596" s="80">
        <v>45370</v>
      </c>
      <c r="B596" t="s">
        <v>593</v>
      </c>
      <c r="C596">
        <v>0</v>
      </c>
    </row>
    <row r="597" spans="1:3">
      <c r="B597" t="s">
        <v>107</v>
      </c>
      <c r="C597">
        <v>0</v>
      </c>
    </row>
    <row r="598" spans="1:3">
      <c r="A598" s="80">
        <v>45371</v>
      </c>
      <c r="B598" t="s">
        <v>94</v>
      </c>
      <c r="C598">
        <v>0</v>
      </c>
    </row>
    <row r="599" spans="1:3">
      <c r="B599" t="s">
        <v>98</v>
      </c>
      <c r="C599">
        <v>0</v>
      </c>
    </row>
    <row r="600" spans="1:3">
      <c r="B600" t="s">
        <v>1020</v>
      </c>
      <c r="C600">
        <v>8154</v>
      </c>
    </row>
    <row r="601" spans="1:3">
      <c r="A601" s="80">
        <v>45372</v>
      </c>
      <c r="B601" t="s">
        <v>94</v>
      </c>
      <c r="C601">
        <v>0</v>
      </c>
    </row>
    <row r="602" spans="1:3">
      <c r="B602" t="s">
        <v>564</v>
      </c>
      <c r="C602">
        <v>0</v>
      </c>
    </row>
    <row r="603" spans="1:3">
      <c r="A603" s="80">
        <v>45373</v>
      </c>
      <c r="B603" t="s">
        <v>107</v>
      </c>
      <c r="C603">
        <v>0</v>
      </c>
    </row>
    <row r="604" spans="1:3">
      <c r="A604" s="80">
        <v>45374</v>
      </c>
      <c r="B604" t="s">
        <v>107</v>
      </c>
      <c r="C604">
        <v>0</v>
      </c>
    </row>
    <row r="605" spans="1:3">
      <c r="A605" s="80">
        <v>45375</v>
      </c>
      <c r="B605" t="s">
        <v>593</v>
      </c>
      <c r="C605">
        <v>0</v>
      </c>
    </row>
    <row r="606" spans="1:3">
      <c r="B606" t="s">
        <v>680</v>
      </c>
      <c r="C606">
        <v>755</v>
      </c>
    </row>
    <row r="607" spans="1:3">
      <c r="B607" t="s">
        <v>107</v>
      </c>
      <c r="C607">
        <v>300</v>
      </c>
    </row>
    <row r="608" spans="1:3">
      <c r="A608" s="80">
        <v>45376</v>
      </c>
      <c r="B608" t="s">
        <v>176</v>
      </c>
      <c r="C608">
        <v>0</v>
      </c>
    </row>
    <row r="609" spans="1:3">
      <c r="B609" t="s">
        <v>365</v>
      </c>
      <c r="C609">
        <v>0</v>
      </c>
    </row>
    <row r="610" spans="1:3">
      <c r="A610" s="80">
        <v>45377</v>
      </c>
      <c r="B610" t="s">
        <v>176</v>
      </c>
      <c r="C610">
        <v>0</v>
      </c>
    </row>
    <row r="611" spans="1:3">
      <c r="A611" s="80">
        <v>45378</v>
      </c>
      <c r="B611" t="s">
        <v>681</v>
      </c>
      <c r="C611">
        <v>0</v>
      </c>
    </row>
    <row r="612" spans="1:3">
      <c r="B612" t="s">
        <v>176</v>
      </c>
      <c r="C612">
        <v>0</v>
      </c>
    </row>
    <row r="613" spans="1:3">
      <c r="A613" s="80">
        <v>45379</v>
      </c>
      <c r="B613" t="s">
        <v>107</v>
      </c>
      <c r="C613">
        <v>0</v>
      </c>
    </row>
    <row r="614" spans="1:3">
      <c r="A614" s="80">
        <v>45380</v>
      </c>
      <c r="B614" t="s">
        <v>107</v>
      </c>
      <c r="C614">
        <v>0</v>
      </c>
    </row>
    <row r="615" spans="1:3">
      <c r="A615" s="80">
        <v>45381</v>
      </c>
      <c r="B615" t="s">
        <v>107</v>
      </c>
      <c r="C615">
        <v>0</v>
      </c>
    </row>
    <row r="616" spans="1:3">
      <c r="B616" t="s">
        <v>665</v>
      </c>
      <c r="C616">
        <v>0</v>
      </c>
    </row>
    <row r="617" spans="1:3">
      <c r="A617" s="80">
        <v>45382</v>
      </c>
      <c r="B617" t="s">
        <v>701</v>
      </c>
    </row>
    <row r="618" spans="1:3">
      <c r="A618" s="80">
        <v>45383</v>
      </c>
      <c r="B618" t="s">
        <v>665</v>
      </c>
      <c r="C618">
        <v>120000</v>
      </c>
    </row>
    <row r="619" spans="1:3">
      <c r="A619" s="80">
        <v>45384</v>
      </c>
      <c r="B619" t="s">
        <v>107</v>
      </c>
      <c r="C619">
        <v>150012</v>
      </c>
    </row>
    <row r="620" spans="1:3">
      <c r="A620" s="80">
        <v>45385</v>
      </c>
      <c r="B620" t="s">
        <v>593</v>
      </c>
      <c r="C620">
        <v>41124</v>
      </c>
    </row>
    <row r="621" spans="1:3">
      <c r="B621" t="s">
        <v>51</v>
      </c>
      <c r="C621">
        <v>9370</v>
      </c>
    </row>
    <row r="622" spans="1:3">
      <c r="B622" t="s">
        <v>176</v>
      </c>
      <c r="C622">
        <v>94512</v>
      </c>
    </row>
    <row r="623" spans="1:3">
      <c r="A623" s="80">
        <v>45386</v>
      </c>
      <c r="B623" t="s">
        <v>176</v>
      </c>
      <c r="C623">
        <v>78410</v>
      </c>
    </row>
    <row r="624" spans="1:3">
      <c r="B624" t="s">
        <v>204</v>
      </c>
      <c r="C624">
        <v>20228</v>
      </c>
    </row>
    <row r="625" spans="1:3">
      <c r="B625" t="s">
        <v>744</v>
      </c>
      <c r="C625">
        <v>46368</v>
      </c>
    </row>
    <row r="626" spans="1:3">
      <c r="A626" s="80">
        <v>45387</v>
      </c>
      <c r="B626" t="s">
        <v>107</v>
      </c>
      <c r="C626">
        <v>150012</v>
      </c>
    </row>
    <row r="627" spans="1:3">
      <c r="A627" s="80">
        <v>45388</v>
      </c>
      <c r="B627" t="s">
        <v>107</v>
      </c>
      <c r="C627">
        <v>150012</v>
      </c>
    </row>
    <row r="628" spans="1:3">
      <c r="A628" s="80">
        <v>45389</v>
      </c>
      <c r="B628" t="s">
        <v>701</v>
      </c>
    </row>
    <row r="629" spans="1:3">
      <c r="A629" s="80">
        <v>45390</v>
      </c>
      <c r="B629" t="s">
        <v>593</v>
      </c>
      <c r="C629">
        <v>26681</v>
      </c>
    </row>
    <row r="630" spans="1:3">
      <c r="B630" t="s">
        <v>107</v>
      </c>
      <c r="C630">
        <v>28034</v>
      </c>
    </row>
    <row r="631" spans="1:3">
      <c r="B631" t="s">
        <v>665</v>
      </c>
      <c r="C631">
        <v>72000</v>
      </c>
    </row>
    <row r="632" spans="1:3">
      <c r="A632" s="80">
        <v>45391</v>
      </c>
      <c r="B632" t="s">
        <v>94</v>
      </c>
      <c r="C632">
        <v>32532</v>
      </c>
    </row>
    <row r="633" spans="1:3">
      <c r="B633" t="s">
        <v>1020</v>
      </c>
      <c r="C633">
        <v>112541</v>
      </c>
    </row>
    <row r="634" spans="1:3">
      <c r="A634" s="80">
        <v>45392</v>
      </c>
      <c r="B634" t="s">
        <v>94</v>
      </c>
      <c r="C634">
        <v>133686</v>
      </c>
    </row>
    <row r="635" spans="1:3">
      <c r="B635" t="s">
        <v>564</v>
      </c>
      <c r="C635">
        <v>4364</v>
      </c>
    </row>
    <row r="636" spans="1:3">
      <c r="B636" t="s">
        <v>98</v>
      </c>
      <c r="C636">
        <v>8410</v>
      </c>
    </row>
    <row r="637" spans="1:3">
      <c r="A637" s="80">
        <v>45393</v>
      </c>
      <c r="B637" t="s">
        <v>676</v>
      </c>
      <c r="C637">
        <v>4500</v>
      </c>
    </row>
    <row r="638" spans="1:3">
      <c r="B638" t="s">
        <v>107</v>
      </c>
      <c r="C638">
        <v>145512</v>
      </c>
    </row>
    <row r="639" spans="1:3">
      <c r="A639" s="80">
        <v>45394</v>
      </c>
      <c r="B639" t="s">
        <v>107</v>
      </c>
      <c r="C639">
        <v>150012</v>
      </c>
    </row>
    <row r="640" spans="1:3">
      <c r="A640" s="80">
        <v>45395</v>
      </c>
      <c r="B640" t="s">
        <v>701</v>
      </c>
    </row>
    <row r="641" spans="1:3">
      <c r="A641" s="80">
        <v>45396</v>
      </c>
      <c r="B641" t="s">
        <v>701</v>
      </c>
    </row>
    <row r="642" spans="1:3">
      <c r="A642" s="80">
        <v>45397</v>
      </c>
      <c r="B642" t="s">
        <v>701</v>
      </c>
    </row>
    <row r="643" spans="1:3">
      <c r="A643" s="80">
        <v>45398</v>
      </c>
      <c r="B643" t="s">
        <v>701</v>
      </c>
    </row>
    <row r="644" spans="1:3">
      <c r="A644" s="80">
        <v>45399</v>
      </c>
      <c r="B644" t="s">
        <v>593</v>
      </c>
      <c r="C644">
        <v>31200</v>
      </c>
    </row>
    <row r="645" spans="1:3">
      <c r="B645" t="s">
        <v>176</v>
      </c>
      <c r="C645">
        <v>108816</v>
      </c>
    </row>
    <row r="646" spans="1:3">
      <c r="A646" s="80">
        <v>45400</v>
      </c>
      <c r="B646" t="s">
        <v>107</v>
      </c>
      <c r="C646">
        <v>152712</v>
      </c>
    </row>
    <row r="647" spans="1:3">
      <c r="A647" s="80">
        <v>45401</v>
      </c>
      <c r="B647" t="s">
        <v>107</v>
      </c>
      <c r="C647">
        <v>142560</v>
      </c>
    </row>
    <row r="648" spans="1:3">
      <c r="A648" s="80">
        <v>45402</v>
      </c>
      <c r="B648" t="s">
        <v>107</v>
      </c>
      <c r="C648">
        <v>142560</v>
      </c>
    </row>
    <row r="649" spans="1:3">
      <c r="A649" s="80">
        <v>45403</v>
      </c>
      <c r="B649" t="s">
        <v>107</v>
      </c>
      <c r="C649">
        <v>199584</v>
      </c>
    </row>
    <row r="650" spans="1:3">
      <c r="A650" s="80">
        <v>45404</v>
      </c>
      <c r="B650" t="s">
        <v>665</v>
      </c>
      <c r="C650">
        <v>88647</v>
      </c>
    </row>
    <row r="651" spans="1:3">
      <c r="A651" s="80">
        <v>45405</v>
      </c>
      <c r="B651" t="s">
        <v>107</v>
      </c>
      <c r="C651">
        <v>85536</v>
      </c>
    </row>
    <row r="652" spans="1:3">
      <c r="A652" s="80">
        <v>45406</v>
      </c>
      <c r="B652" t="s">
        <v>94</v>
      </c>
      <c r="C652">
        <v>137400</v>
      </c>
    </row>
    <row r="653" spans="1:3">
      <c r="B653" t="s">
        <v>564</v>
      </c>
      <c r="C653">
        <v>7608</v>
      </c>
    </row>
    <row r="654" spans="1:3">
      <c r="A654" s="80">
        <v>45407</v>
      </c>
      <c r="B654" t="s">
        <v>94</v>
      </c>
      <c r="C654">
        <v>42222</v>
      </c>
    </row>
    <row r="655" spans="1:3">
      <c r="B655" t="s">
        <v>98</v>
      </c>
      <c r="C655">
        <v>11172</v>
      </c>
    </row>
    <row r="656" spans="1:3">
      <c r="B656" t="s">
        <v>1020</v>
      </c>
      <c r="C656">
        <v>92171</v>
      </c>
    </row>
    <row r="657" spans="1:3">
      <c r="A657" s="80">
        <v>45408</v>
      </c>
      <c r="B657" t="s">
        <v>176</v>
      </c>
      <c r="C657">
        <v>138136</v>
      </c>
    </row>
    <row r="658" spans="1:3">
      <c r="A658" s="80">
        <v>45409</v>
      </c>
      <c r="B658" t="s">
        <v>107</v>
      </c>
      <c r="C658">
        <v>142560</v>
      </c>
    </row>
    <row r="659" spans="1:3">
      <c r="A659" s="80">
        <v>45410</v>
      </c>
      <c r="B659" t="s">
        <v>107</v>
      </c>
      <c r="C659">
        <v>142560</v>
      </c>
    </row>
    <row r="660" spans="1:3">
      <c r="A660" s="80">
        <v>45411</v>
      </c>
      <c r="B660" t="s">
        <v>107</v>
      </c>
      <c r="C660">
        <v>85536</v>
      </c>
    </row>
    <row r="661" spans="1:3">
      <c r="A661" s="80">
        <v>45412</v>
      </c>
      <c r="B661" t="s">
        <v>107</v>
      </c>
      <c r="C661">
        <v>142560</v>
      </c>
    </row>
    <row r="662" spans="1:3">
      <c r="A662" s="80">
        <v>45413</v>
      </c>
      <c r="B662" t="s">
        <v>701</v>
      </c>
    </row>
    <row r="663" spans="1:3">
      <c r="A663" s="80">
        <v>45414</v>
      </c>
      <c r="B663" t="s">
        <v>176</v>
      </c>
      <c r="C663">
        <v>128160</v>
      </c>
    </row>
    <row r="664" spans="1:3">
      <c r="B664" t="s">
        <v>204</v>
      </c>
      <c r="C664">
        <v>11852</v>
      </c>
    </row>
    <row r="665" spans="1:3">
      <c r="A665" s="80">
        <v>45415</v>
      </c>
      <c r="B665" t="s">
        <v>107</v>
      </c>
      <c r="C665">
        <v>142560</v>
      </c>
    </row>
    <row r="666" spans="1:3">
      <c r="A666" s="80">
        <v>45416</v>
      </c>
      <c r="B666" t="s">
        <v>107</v>
      </c>
      <c r="C666">
        <v>114048</v>
      </c>
    </row>
    <row r="667" spans="1:3">
      <c r="A667" s="80">
        <v>45417</v>
      </c>
      <c r="B667" t="s">
        <v>107</v>
      </c>
      <c r="C667">
        <v>68953</v>
      </c>
    </row>
    <row r="668" spans="1:3">
      <c r="B668" t="s">
        <v>665</v>
      </c>
      <c r="C668">
        <v>72000</v>
      </c>
    </row>
    <row r="669" spans="1:3">
      <c r="A669" s="80">
        <v>45418</v>
      </c>
      <c r="B669" t="s">
        <v>665</v>
      </c>
      <c r="C669">
        <v>88704</v>
      </c>
    </row>
    <row r="670" spans="1:3">
      <c r="A670" s="80">
        <v>45419</v>
      </c>
      <c r="B670" t="s">
        <v>593</v>
      </c>
      <c r="C670">
        <v>50400</v>
      </c>
    </row>
    <row r="671" spans="1:3">
      <c r="B671" t="s">
        <v>107</v>
      </c>
      <c r="C671">
        <v>57024</v>
      </c>
    </row>
    <row r="672" spans="1:3">
      <c r="A672" s="80">
        <v>45420</v>
      </c>
      <c r="B672" t="s">
        <v>593</v>
      </c>
      <c r="C672">
        <v>15200</v>
      </c>
    </row>
    <row r="673" spans="1:3">
      <c r="B673" t="s">
        <v>51</v>
      </c>
      <c r="C673">
        <v>11200</v>
      </c>
    </row>
    <row r="674" spans="1:3">
      <c r="B674" t="s">
        <v>176</v>
      </c>
      <c r="C674">
        <v>113616</v>
      </c>
    </row>
    <row r="675" spans="1:3">
      <c r="A675" s="80">
        <v>45421</v>
      </c>
      <c r="B675" t="s">
        <v>107</v>
      </c>
      <c r="C675">
        <v>142560</v>
      </c>
    </row>
    <row r="676" spans="1:3">
      <c r="A676" s="80">
        <v>45422</v>
      </c>
      <c r="B676" t="s">
        <v>107</v>
      </c>
      <c r="C676">
        <v>142560</v>
      </c>
    </row>
    <row r="677" spans="1:3">
      <c r="A677" s="80">
        <v>45423</v>
      </c>
      <c r="B677" t="s">
        <v>107</v>
      </c>
      <c r="C677">
        <v>142560</v>
      </c>
    </row>
    <row r="678" spans="1:3">
      <c r="A678" s="80">
        <v>45424</v>
      </c>
      <c r="B678" t="s">
        <v>664</v>
      </c>
      <c r="C678">
        <v>60480</v>
      </c>
    </row>
    <row r="679" spans="1:3">
      <c r="B679" t="s">
        <v>107</v>
      </c>
      <c r="C679">
        <v>52646</v>
      </c>
    </row>
    <row r="680" spans="1:3">
      <c r="B680" t="s">
        <v>665</v>
      </c>
      <c r="C680">
        <v>30823.333333333332</v>
      </c>
    </row>
    <row r="681" spans="1:3">
      <c r="A681" s="80">
        <v>45425</v>
      </c>
      <c r="B681" t="s">
        <v>593</v>
      </c>
      <c r="C681">
        <v>30400</v>
      </c>
    </row>
    <row r="682" spans="1:3">
      <c r="B682" t="s">
        <v>176</v>
      </c>
      <c r="C682">
        <v>46368</v>
      </c>
    </row>
    <row r="683" spans="1:3">
      <c r="A683" s="80">
        <v>45426</v>
      </c>
      <c r="B683" t="s">
        <v>176</v>
      </c>
      <c r="C683">
        <v>150000</v>
      </c>
    </row>
    <row r="684" spans="1:3">
      <c r="A684" s="80">
        <v>45427</v>
      </c>
      <c r="B684" t="s">
        <v>94</v>
      </c>
      <c r="C684">
        <v>150000</v>
      </c>
    </row>
    <row r="685" spans="1:3">
      <c r="A685" s="80">
        <v>45428</v>
      </c>
      <c r="B685" t="s">
        <v>107</v>
      </c>
      <c r="C685">
        <v>142560</v>
      </c>
    </row>
    <row r="686" spans="1:3">
      <c r="A686" s="80">
        <v>45429</v>
      </c>
      <c r="B686" t="s">
        <v>107</v>
      </c>
      <c r="C686">
        <v>142560</v>
      </c>
    </row>
    <row r="687" spans="1:3">
      <c r="A687" s="80">
        <v>45430</v>
      </c>
      <c r="B687" t="s">
        <v>107</v>
      </c>
      <c r="C687">
        <v>142560</v>
      </c>
    </row>
    <row r="688" spans="1:3">
      <c r="A688" s="80">
        <v>45431</v>
      </c>
      <c r="B688" t="s">
        <v>107</v>
      </c>
      <c r="C688">
        <v>142560</v>
      </c>
    </row>
    <row r="689" spans="1:3">
      <c r="A689" s="80">
        <v>45432</v>
      </c>
      <c r="B689" t="s">
        <v>51</v>
      </c>
      <c r="C689">
        <v>22400</v>
      </c>
    </row>
    <row r="690" spans="1:3">
      <c r="B690" t="s">
        <v>176</v>
      </c>
      <c r="C690">
        <v>60000</v>
      </c>
    </row>
    <row r="691" spans="1:3">
      <c r="A691" s="80">
        <v>45433</v>
      </c>
      <c r="B691" t="s">
        <v>593</v>
      </c>
      <c r="C691">
        <v>31200</v>
      </c>
    </row>
    <row r="692" spans="1:3">
      <c r="B692" t="s">
        <v>107</v>
      </c>
      <c r="C692">
        <v>114048</v>
      </c>
    </row>
    <row r="693" spans="1:3">
      <c r="A693" s="80">
        <v>45434</v>
      </c>
      <c r="B693" t="s">
        <v>107</v>
      </c>
      <c r="C693">
        <v>142560</v>
      </c>
    </row>
    <row r="694" spans="1:3">
      <c r="A694" s="80">
        <v>45435</v>
      </c>
      <c r="B694" t="s">
        <v>107</v>
      </c>
      <c r="C694">
        <v>142560</v>
      </c>
    </row>
    <row r="695" spans="1:3">
      <c r="A695" s="80">
        <v>45436</v>
      </c>
      <c r="B695" t="s">
        <v>593</v>
      </c>
      <c r="C695">
        <v>30400</v>
      </c>
    </row>
    <row r="696" spans="1:3">
      <c r="B696" t="s">
        <v>107</v>
      </c>
      <c r="C696">
        <v>114048</v>
      </c>
    </row>
    <row r="697" spans="1:3">
      <c r="A697" s="80">
        <v>45437</v>
      </c>
      <c r="B697" t="s">
        <v>593</v>
      </c>
      <c r="C697">
        <v>31200</v>
      </c>
    </row>
    <row r="698" spans="1:3">
      <c r="B698" t="s">
        <v>107</v>
      </c>
      <c r="C698">
        <v>39312</v>
      </c>
    </row>
    <row r="699" spans="1:3">
      <c r="B699" t="s">
        <v>665</v>
      </c>
      <c r="C699">
        <v>72000</v>
      </c>
    </row>
    <row r="700" spans="1:3">
      <c r="A700" s="80">
        <v>45438</v>
      </c>
      <c r="B700" t="s">
        <v>107</v>
      </c>
      <c r="C700">
        <v>142560</v>
      </c>
    </row>
    <row r="701" spans="1:3">
      <c r="A701" s="80">
        <v>45439</v>
      </c>
      <c r="B701" t="s">
        <v>51</v>
      </c>
      <c r="C701">
        <v>22400</v>
      </c>
    </row>
    <row r="702" spans="1:3">
      <c r="B702" t="s">
        <v>176</v>
      </c>
      <c r="C702">
        <v>60000</v>
      </c>
    </row>
    <row r="703" spans="1:3">
      <c r="A703" s="80">
        <v>45440</v>
      </c>
      <c r="B703" t="s">
        <v>176</v>
      </c>
      <c r="C703">
        <v>123641</v>
      </c>
    </row>
    <row r="704" spans="1:3">
      <c r="B704" t="s">
        <v>227</v>
      </c>
      <c r="C704">
        <v>18131</v>
      </c>
    </row>
    <row r="705" spans="1:3">
      <c r="A705" s="80">
        <v>45443</v>
      </c>
      <c r="B705" t="s">
        <v>176</v>
      </c>
      <c r="C705">
        <v>139104</v>
      </c>
    </row>
    <row r="706" spans="1:3">
      <c r="B706" t="s">
        <v>204</v>
      </c>
      <c r="C706">
        <v>10800</v>
      </c>
    </row>
    <row r="707" spans="1:3">
      <c r="A707" s="80">
        <v>45446</v>
      </c>
      <c r="B707" t="s">
        <v>701</v>
      </c>
    </row>
    <row r="708" spans="1:3">
      <c r="A708" s="80">
        <v>45447</v>
      </c>
      <c r="B708" t="s">
        <v>593</v>
      </c>
      <c r="C708">
        <v>63216</v>
      </c>
    </row>
    <row r="709" spans="1:3">
      <c r="B709" t="s">
        <v>176</v>
      </c>
      <c r="C709">
        <v>76800</v>
      </c>
    </row>
    <row r="710" spans="1:3">
      <c r="A710" s="80">
        <v>45448</v>
      </c>
      <c r="B710" t="s">
        <v>51</v>
      </c>
      <c r="C710">
        <v>47800</v>
      </c>
    </row>
    <row r="711" spans="1:3">
      <c r="B711" t="s">
        <v>176</v>
      </c>
      <c r="C711">
        <v>71808</v>
      </c>
    </row>
    <row r="712" spans="1:3">
      <c r="B712" t="s">
        <v>204</v>
      </c>
      <c r="C712">
        <v>20400</v>
      </c>
    </row>
    <row r="713" spans="1:3">
      <c r="A713" s="80">
        <v>45449</v>
      </c>
      <c r="B713" t="s">
        <v>593</v>
      </c>
      <c r="C713">
        <v>31200</v>
      </c>
    </row>
    <row r="714" spans="1:3">
      <c r="B714" t="s">
        <v>681</v>
      </c>
      <c r="C714">
        <v>4000</v>
      </c>
    </row>
    <row r="715" spans="1:3">
      <c r="B715" t="s">
        <v>176</v>
      </c>
      <c r="C715">
        <v>92736</v>
      </c>
    </row>
    <row r="716" spans="1:3">
      <c r="A716" s="80">
        <v>45450</v>
      </c>
      <c r="B716" t="s">
        <v>107</v>
      </c>
      <c r="C716">
        <v>142560</v>
      </c>
    </row>
    <row r="717" spans="1:3">
      <c r="A717" s="80">
        <v>45451</v>
      </c>
      <c r="B717" t="s">
        <v>107</v>
      </c>
      <c r="C717">
        <v>142560</v>
      </c>
    </row>
    <row r="718" spans="1:3">
      <c r="A718" s="80">
        <v>45452</v>
      </c>
      <c r="B718" t="s">
        <v>664</v>
      </c>
      <c r="C718">
        <v>4000</v>
      </c>
    </row>
    <row r="719" spans="1:3">
      <c r="B719" t="s">
        <v>107</v>
      </c>
      <c r="C719">
        <v>39840</v>
      </c>
    </row>
    <row r="720" spans="1:3">
      <c r="B720" t="s">
        <v>665</v>
      </c>
      <c r="C720">
        <v>72352</v>
      </c>
    </row>
    <row r="721" spans="1:3">
      <c r="A721" s="80">
        <v>45453</v>
      </c>
      <c r="B721" t="s">
        <v>593</v>
      </c>
      <c r="C721">
        <v>31200</v>
      </c>
    </row>
    <row r="722" spans="1:3">
      <c r="B722" t="s">
        <v>176</v>
      </c>
      <c r="C722">
        <v>46368</v>
      </c>
    </row>
    <row r="723" spans="1:3">
      <c r="A723" s="80">
        <v>45454</v>
      </c>
      <c r="B723" t="s">
        <v>680</v>
      </c>
      <c r="C723">
        <v>54708</v>
      </c>
    </row>
    <row r="724" spans="1:3">
      <c r="A724" s="80">
        <v>45455</v>
      </c>
      <c r="B724" t="s">
        <v>176</v>
      </c>
      <c r="C724">
        <v>140000</v>
      </c>
    </row>
    <row r="725" spans="1:3">
      <c r="A725" s="80">
        <v>45456</v>
      </c>
      <c r="B725" t="s">
        <v>176</v>
      </c>
      <c r="C725">
        <v>150000</v>
      </c>
    </row>
    <row r="726" spans="1:3">
      <c r="A726" s="80">
        <v>45457</v>
      </c>
      <c r="B726" t="s">
        <v>107</v>
      </c>
      <c r="C726">
        <v>142560</v>
      </c>
    </row>
    <row r="727" spans="1:3">
      <c r="A727" s="80">
        <v>45458</v>
      </c>
      <c r="B727" t="s">
        <v>107</v>
      </c>
      <c r="C727">
        <v>142560</v>
      </c>
    </row>
    <row r="728" spans="1:3">
      <c r="A728" s="80">
        <v>45460</v>
      </c>
      <c r="B728" t="s">
        <v>593</v>
      </c>
      <c r="C728">
        <v>31200</v>
      </c>
    </row>
    <row r="729" spans="1:3">
      <c r="B729" t="s">
        <v>176</v>
      </c>
      <c r="C729">
        <v>46368</v>
      </c>
    </row>
    <row r="730" spans="1:3">
      <c r="A730" s="80">
        <v>45466</v>
      </c>
      <c r="B730" t="s">
        <v>107</v>
      </c>
      <c r="C730">
        <v>114048</v>
      </c>
    </row>
    <row r="731" spans="1:3">
      <c r="A731" s="80">
        <v>45467</v>
      </c>
      <c r="B731" t="s">
        <v>176</v>
      </c>
      <c r="C731">
        <v>92736</v>
      </c>
    </row>
    <row r="732" spans="1:3">
      <c r="A732" s="80">
        <v>45468</v>
      </c>
      <c r="B732" t="s">
        <v>176</v>
      </c>
      <c r="C732">
        <v>150000</v>
      </c>
    </row>
    <row r="733" spans="1:3">
      <c r="A733" s="80">
        <v>45473</v>
      </c>
      <c r="B733" t="s">
        <v>701</v>
      </c>
    </row>
    <row r="734" spans="1:3">
      <c r="A734" s="80">
        <v>45474</v>
      </c>
      <c r="B734" t="s">
        <v>176</v>
      </c>
      <c r="C734">
        <v>46368</v>
      </c>
    </row>
    <row r="735" spans="1:3">
      <c r="A735" t="s">
        <v>702</v>
      </c>
      <c r="C735">
        <v>9197417.3333333321</v>
      </c>
    </row>
  </sheetData>
  <pageMargins left="0.7" right="0.7" top="0.75" bottom="0.75" header="0.3" footer="0.3"/>
  <customProperties>
    <customPr name="EpmWorksheetKeyString_GUID" r:id="rId2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AU194"/>
  <sheetViews>
    <sheetView showGridLines="0" showZeros="0" zoomScale="80" zoomScaleNormal="80" workbookViewId="0">
      <pane xSplit="3" ySplit="2" topLeftCell="G171" activePane="bottomRight" state="frozen"/>
      <selection pane="topRight" activeCell="D1" sqref="D1"/>
      <selection pane="bottomLeft" activeCell="A3" sqref="A3"/>
      <selection pane="bottomRight" activeCell="H148" sqref="H148"/>
    </sheetView>
  </sheetViews>
  <sheetFormatPr defaultRowHeight="14"/>
  <cols>
    <col min="1" max="1" width="9" style="26" customWidth="1"/>
    <col min="2" max="2" width="13.4140625" style="31" customWidth="1"/>
    <col min="3" max="3" width="12.58203125" style="31" customWidth="1"/>
    <col min="4" max="5" width="10.4140625" style="10" customWidth="1"/>
    <col min="6" max="6" width="14" style="10" customWidth="1"/>
    <col min="7" max="7" width="9" style="10" customWidth="1"/>
    <col min="8" max="8" width="35.1640625" customWidth="1"/>
    <col min="9" max="9" width="13.83203125" customWidth="1"/>
    <col min="10" max="10" width="17.4140625" customWidth="1"/>
    <col min="11" max="11" width="37.4140625" customWidth="1"/>
    <col min="12" max="12" width="22.4140625" style="10" bestFit="1" customWidth="1"/>
    <col min="13" max="13" width="16.4140625" style="58" customWidth="1"/>
    <col min="14" max="15" width="9" style="53" customWidth="1"/>
    <col min="16" max="16" width="9" style="12" customWidth="1"/>
    <col min="17" max="18" width="9" style="10" customWidth="1"/>
    <col min="19" max="19" width="12.4140625" customWidth="1"/>
    <col min="20" max="20" width="10.1640625" style="11" customWidth="1"/>
    <col min="21" max="21" width="9" style="67" customWidth="1"/>
    <col min="22" max="22" width="9" style="11" customWidth="1"/>
    <col min="23" max="23" width="9" style="71" customWidth="1"/>
    <col min="24" max="27" width="9" style="11" customWidth="1"/>
    <col min="28" max="28" width="19.4140625" customWidth="1"/>
    <col min="29" max="30" width="9" style="11" customWidth="1"/>
    <col min="31" max="31" width="9" style="12" customWidth="1"/>
    <col min="32" max="32" width="9" style="17" customWidth="1"/>
    <col min="33" max="33" width="10.1640625" style="11" customWidth="1"/>
    <col min="37" max="37" width="13.58203125" style="20" customWidth="1"/>
    <col min="38" max="38" width="14.4140625" style="20" customWidth="1"/>
    <col min="39" max="39" width="14" style="20" customWidth="1"/>
    <col min="40" max="40" width="22.4140625" style="20" bestFit="1" customWidth="1"/>
    <col min="41" max="41" width="15.4140625" style="20" bestFit="1" customWidth="1"/>
    <col min="42" max="42" width="24" style="20" customWidth="1"/>
    <col min="43" max="43" width="14.4140625" style="20" customWidth="1"/>
    <col min="44" max="44" width="19.83203125" style="20" customWidth="1"/>
    <col min="45" max="45" width="20" style="20" customWidth="1"/>
    <col min="46" max="46" width="16.1640625" style="20" bestFit="1" customWidth="1"/>
    <col min="47" max="47" width="13.58203125" style="20" bestFit="1" customWidth="1"/>
  </cols>
  <sheetData>
    <row r="1" spans="1:47" ht="31.5" customHeight="1">
      <c r="B1" s="75" t="s">
        <v>0</v>
      </c>
      <c r="C1" s="30">
        <v>43981</v>
      </c>
      <c r="D1" s="29" t="s">
        <v>1</v>
      </c>
      <c r="E1" s="29" t="s">
        <v>1</v>
      </c>
      <c r="G1" s="10" t="s">
        <v>2</v>
      </c>
      <c r="I1" s="29" t="s">
        <v>1</v>
      </c>
    </row>
    <row r="2" spans="1:47" s="4" customFormat="1" ht="35.15" customHeight="1">
      <c r="A2" s="1"/>
      <c r="B2" s="9" t="s">
        <v>3</v>
      </c>
      <c r="C2" s="32" t="s">
        <v>4</v>
      </c>
      <c r="D2" s="6" t="s">
        <v>5</v>
      </c>
      <c r="E2" s="6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6" t="s">
        <v>12</v>
      </c>
      <c r="L2" s="51" t="s">
        <v>13</v>
      </c>
      <c r="M2" s="7" t="s">
        <v>14</v>
      </c>
      <c r="N2" s="52" t="s">
        <v>15</v>
      </c>
      <c r="O2" s="52" t="s">
        <v>16</v>
      </c>
      <c r="P2" s="56" t="s">
        <v>17</v>
      </c>
      <c r="Q2" s="7" t="s">
        <v>18</v>
      </c>
      <c r="R2" s="7" t="s">
        <v>19</v>
      </c>
      <c r="S2" s="7" t="s">
        <v>20</v>
      </c>
      <c r="T2" s="52" t="s">
        <v>21</v>
      </c>
      <c r="U2" s="68" t="s">
        <v>22</v>
      </c>
      <c r="V2" s="63" t="s">
        <v>23</v>
      </c>
      <c r="W2" s="72" t="s">
        <v>24</v>
      </c>
      <c r="X2" s="64" t="s">
        <v>25</v>
      </c>
      <c r="Y2" s="65" t="s">
        <v>26</v>
      </c>
      <c r="Z2" s="66" t="s">
        <v>27</v>
      </c>
      <c r="AA2" s="52" t="s">
        <v>126</v>
      </c>
      <c r="AB2" s="8" t="s">
        <v>28</v>
      </c>
      <c r="AC2" s="33" t="s">
        <v>29</v>
      </c>
      <c r="AD2" s="34" t="s">
        <v>30</v>
      </c>
      <c r="AE2" s="13"/>
      <c r="AF2" s="18" t="s">
        <v>31</v>
      </c>
      <c r="AG2" s="2" t="s">
        <v>32</v>
      </c>
      <c r="AH2" s="3" t="s">
        <v>33</v>
      </c>
      <c r="AI2" s="3"/>
      <c r="AJ2" s="21" t="s">
        <v>34</v>
      </c>
      <c r="AK2" s="22" t="s">
        <v>35</v>
      </c>
      <c r="AL2" s="22" t="s">
        <v>36</v>
      </c>
      <c r="AM2" s="22" t="s">
        <v>37</v>
      </c>
      <c r="AN2" s="22" t="s">
        <v>38</v>
      </c>
      <c r="AO2" s="23" t="s">
        <v>39</v>
      </c>
      <c r="AP2" s="23" t="s">
        <v>40</v>
      </c>
      <c r="AQ2" s="23" t="s">
        <v>41</v>
      </c>
      <c r="AR2" s="23" t="s">
        <v>42</v>
      </c>
      <c r="AS2" s="23" t="s">
        <v>43</v>
      </c>
      <c r="AT2" s="23" t="s">
        <v>44</v>
      </c>
      <c r="AU2" s="23" t="s">
        <v>45</v>
      </c>
    </row>
    <row r="3" spans="1:47" ht="25" customHeight="1">
      <c r="B3" s="35">
        <v>43952</v>
      </c>
      <c r="C3" s="35"/>
      <c r="D3" s="36" t="s">
        <v>465</v>
      </c>
      <c r="E3" s="36">
        <v>43953</v>
      </c>
      <c r="F3" s="36"/>
      <c r="G3" s="36"/>
      <c r="H3" s="37"/>
      <c r="I3" s="37"/>
      <c r="J3" s="37"/>
      <c r="K3" s="37"/>
      <c r="L3" s="36"/>
      <c r="M3" s="59"/>
      <c r="N3" s="54"/>
      <c r="O3" s="54"/>
      <c r="P3" s="57"/>
      <c r="Q3" s="36"/>
      <c r="R3" s="36"/>
      <c r="S3" s="36"/>
      <c r="T3" s="38"/>
      <c r="U3" s="69"/>
      <c r="V3" s="38"/>
      <c r="W3" s="73"/>
      <c r="X3" s="38"/>
      <c r="Y3" s="38"/>
      <c r="Z3" s="38"/>
      <c r="AA3" s="38"/>
      <c r="AB3" s="37"/>
      <c r="AC3" s="38"/>
      <c r="AD3" s="38"/>
      <c r="AE3" s="14"/>
      <c r="AF3" s="19"/>
      <c r="AJ3" s="24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</row>
    <row r="4" spans="1:47" ht="25" customHeight="1">
      <c r="A4" s="26" t="s">
        <v>46</v>
      </c>
      <c r="B4" s="39">
        <v>43953</v>
      </c>
      <c r="C4" s="39">
        <v>43957</v>
      </c>
      <c r="D4" s="40" t="e">
        <v>#N/A</v>
      </c>
      <c r="E4" s="40">
        <v>43953</v>
      </c>
      <c r="F4" s="40" t="s">
        <v>47</v>
      </c>
      <c r="G4" s="40" t="s">
        <v>48</v>
      </c>
      <c r="H4" s="41" t="s">
        <v>49</v>
      </c>
      <c r="I4" s="41" t="s">
        <v>50</v>
      </c>
      <c r="J4" s="41" t="s">
        <v>51</v>
      </c>
      <c r="K4" s="41" t="s">
        <v>52</v>
      </c>
      <c r="L4" s="40" t="s">
        <v>53</v>
      </c>
      <c r="M4" s="60" t="s">
        <v>54</v>
      </c>
      <c r="N4" s="55">
        <v>24</v>
      </c>
      <c r="O4" s="55">
        <v>5</v>
      </c>
      <c r="P4" s="28">
        <v>8.0000000000000002E-3</v>
      </c>
      <c r="Q4" s="40" t="s">
        <v>55</v>
      </c>
      <c r="R4" s="40" t="s">
        <v>56</v>
      </c>
      <c r="S4" s="40" t="s">
        <v>57</v>
      </c>
      <c r="T4" s="42">
        <v>2000</v>
      </c>
      <c r="U4" s="70"/>
      <c r="V4" s="42">
        <f>77+1923</f>
        <v>2000</v>
      </c>
      <c r="W4" s="74">
        <f>(V4+U4)-T4</f>
        <v>0</v>
      </c>
      <c r="X4" s="42">
        <f>IF(W4&lt;0,((T4*N4)-((V4+U4)*N4)),0)</f>
        <v>0</v>
      </c>
      <c r="Y4" s="42"/>
      <c r="Z4" s="42"/>
      <c r="AA4" s="42"/>
      <c r="AB4" s="41"/>
      <c r="AC4" s="42">
        <f>((X4*O4)/5400)*29.25</f>
        <v>0</v>
      </c>
      <c r="AD4" s="42">
        <f>AC4/0.54</f>
        <v>0</v>
      </c>
      <c r="AE4" s="12">
        <f>MID(M4,1,3)/1000</f>
        <v>0.13500000000000001</v>
      </c>
      <c r="AF4" s="17">
        <f>(X4*AE4)/1000</f>
        <v>0</v>
      </c>
      <c r="AG4" s="11">
        <f>T4*N4</f>
        <v>48000</v>
      </c>
      <c r="AJ4" s="24"/>
      <c r="AK4" s="25">
        <v>12062338</v>
      </c>
      <c r="AL4" s="25">
        <v>12047514</v>
      </c>
      <c r="AM4" s="25">
        <v>12047515</v>
      </c>
      <c r="AN4" s="25"/>
      <c r="AO4" s="25"/>
      <c r="AP4" s="25" t="s">
        <v>58</v>
      </c>
      <c r="AQ4" s="25"/>
      <c r="AR4" s="25"/>
      <c r="AS4" s="25" t="s">
        <v>59</v>
      </c>
      <c r="AT4" s="25" t="s">
        <v>60</v>
      </c>
      <c r="AU4" s="25"/>
    </row>
    <row r="5" spans="1:47" ht="25" customHeight="1">
      <c r="A5" s="26" t="s">
        <v>46</v>
      </c>
      <c r="B5" s="39">
        <v>43953</v>
      </c>
      <c r="C5" s="39">
        <v>43957</v>
      </c>
      <c r="D5" s="40" t="s">
        <v>465</v>
      </c>
      <c r="E5" s="40">
        <v>43953</v>
      </c>
      <c r="F5" s="40" t="s">
        <v>47</v>
      </c>
      <c r="G5" s="40" t="s">
        <v>48</v>
      </c>
      <c r="H5" s="41" t="s">
        <v>49</v>
      </c>
      <c r="I5" s="41" t="s">
        <v>61</v>
      </c>
      <c r="J5" s="41" t="s">
        <v>62</v>
      </c>
      <c r="K5" s="41" t="s">
        <v>63</v>
      </c>
      <c r="L5" s="40" t="s">
        <v>64</v>
      </c>
      <c r="M5" s="60" t="s">
        <v>65</v>
      </c>
      <c r="N5" s="55">
        <v>24</v>
      </c>
      <c r="O5" s="55">
        <v>3</v>
      </c>
      <c r="P5" s="28">
        <v>8.0000000000000002E-3</v>
      </c>
      <c r="Q5" s="40" t="s">
        <v>55</v>
      </c>
      <c r="R5" s="40" t="s">
        <v>56</v>
      </c>
      <c r="S5" s="40" t="s">
        <v>57</v>
      </c>
      <c r="T5" s="42">
        <v>1500</v>
      </c>
      <c r="U5" s="70"/>
      <c r="V5" s="42">
        <f>4+1+1495</f>
        <v>1500</v>
      </c>
      <c r="W5" s="74">
        <f>(V5+U5)-T5</f>
        <v>0</v>
      </c>
      <c r="X5" s="42">
        <f>IF(W5&lt;0,((T5*N5)-((V5+U5)*N5)),0)</f>
        <v>0</v>
      </c>
      <c r="Y5" s="42"/>
      <c r="Z5" s="42"/>
      <c r="AA5" s="42"/>
      <c r="AB5" s="41"/>
      <c r="AC5" s="42">
        <f>((X5*O5)/5400)*29.25</f>
        <v>0</v>
      </c>
      <c r="AD5" s="42">
        <f>AC5/0.54</f>
        <v>0</v>
      </c>
      <c r="AE5" s="12">
        <f>MID(M5,1,3)/1000</f>
        <v>0.216</v>
      </c>
      <c r="AF5" s="17">
        <f>(X5*AE5)/1000</f>
        <v>0</v>
      </c>
      <c r="AG5" s="11">
        <f>T5*N5</f>
        <v>36000</v>
      </c>
      <c r="AJ5" s="24"/>
      <c r="AK5" s="25">
        <v>12062338</v>
      </c>
      <c r="AL5" s="25">
        <v>12042650</v>
      </c>
      <c r="AM5" s="25">
        <v>12042649</v>
      </c>
      <c r="AN5" s="25"/>
      <c r="AO5" s="25"/>
      <c r="AP5" s="25" t="s">
        <v>66</v>
      </c>
      <c r="AQ5" s="25"/>
      <c r="AR5" s="25"/>
      <c r="AS5" s="25" t="s">
        <v>67</v>
      </c>
      <c r="AT5" s="25">
        <v>12069367</v>
      </c>
      <c r="AU5" s="25"/>
    </row>
    <row r="6" spans="1:47" ht="25" customHeight="1">
      <c r="B6" s="39">
        <v>43953</v>
      </c>
      <c r="C6" s="39" t="s">
        <v>68</v>
      </c>
      <c r="D6" s="40" t="s">
        <v>465</v>
      </c>
      <c r="E6" s="40">
        <v>43953</v>
      </c>
      <c r="F6" s="40" t="s">
        <v>47</v>
      </c>
      <c r="G6" s="40" t="s">
        <v>69</v>
      </c>
      <c r="H6" s="41" t="s">
        <v>70</v>
      </c>
      <c r="I6" s="41" t="s">
        <v>71</v>
      </c>
      <c r="J6" s="41" t="s">
        <v>72</v>
      </c>
      <c r="K6" s="41" t="s">
        <v>73</v>
      </c>
      <c r="L6" s="40" t="s">
        <v>74</v>
      </c>
      <c r="M6" s="60" t="s">
        <v>75</v>
      </c>
      <c r="N6" s="55">
        <v>16</v>
      </c>
      <c r="O6" s="55">
        <v>20</v>
      </c>
      <c r="P6" s="28">
        <v>7.0000000000000001E-3</v>
      </c>
      <c r="Q6" s="40" t="s">
        <v>76</v>
      </c>
      <c r="R6" s="40" t="s">
        <v>56</v>
      </c>
      <c r="S6" s="40" t="s">
        <v>77</v>
      </c>
      <c r="T6" s="42">
        <v>160</v>
      </c>
      <c r="U6" s="70"/>
      <c r="V6" s="42">
        <f>9+160</f>
        <v>169</v>
      </c>
      <c r="W6" s="74">
        <f>(V6+U6)-T6</f>
        <v>9</v>
      </c>
      <c r="X6" s="42">
        <f>IF(W6&lt;0,((T6*N6)-((V6+U6)*N6)),0)</f>
        <v>0</v>
      </c>
      <c r="Y6" s="42">
        <f>X6*O6</f>
        <v>0</v>
      </c>
      <c r="Z6" s="42"/>
      <c r="AA6" s="42"/>
      <c r="AB6" s="41"/>
      <c r="AC6" s="42">
        <f>SUM(O6*P6*X6)</f>
        <v>0</v>
      </c>
      <c r="AD6" s="42">
        <f>AC6/0.54</f>
        <v>0</v>
      </c>
      <c r="AE6" s="12">
        <f>20*0.017</f>
        <v>0.34</v>
      </c>
      <c r="AF6" s="17">
        <f>(X6*AE6)/1000</f>
        <v>0</v>
      </c>
      <c r="AG6" s="11">
        <f>T6*N6</f>
        <v>2560</v>
      </c>
      <c r="AJ6" s="24"/>
      <c r="AK6" s="25"/>
      <c r="AL6" s="25"/>
      <c r="AM6" s="25"/>
      <c r="AN6" s="25"/>
      <c r="AO6" s="25"/>
      <c r="AP6" s="25" t="s">
        <v>78</v>
      </c>
      <c r="AQ6" s="25"/>
      <c r="AR6" s="25" t="s">
        <v>79</v>
      </c>
      <c r="AS6" s="25" t="s">
        <v>80</v>
      </c>
      <c r="AT6" s="25"/>
      <c r="AU6" s="25"/>
    </row>
    <row r="7" spans="1:47" ht="25" customHeight="1">
      <c r="A7" s="27" t="s">
        <v>120</v>
      </c>
      <c r="B7" s="39">
        <v>43953</v>
      </c>
      <c r="C7" s="39">
        <v>43965</v>
      </c>
      <c r="D7" s="40" t="s">
        <v>465</v>
      </c>
      <c r="E7" s="40">
        <v>43953</v>
      </c>
      <c r="F7" s="40" t="s">
        <v>81</v>
      </c>
      <c r="G7" s="40" t="s">
        <v>82</v>
      </c>
      <c r="H7" s="41" t="s">
        <v>83</v>
      </c>
      <c r="I7" s="41" t="s">
        <v>84</v>
      </c>
      <c r="J7" s="41" t="s">
        <v>85</v>
      </c>
      <c r="K7" s="41" t="s">
        <v>86</v>
      </c>
      <c r="L7" s="40" t="s">
        <v>87</v>
      </c>
      <c r="M7" s="60" t="s">
        <v>88</v>
      </c>
      <c r="N7" s="55">
        <v>8</v>
      </c>
      <c r="O7" s="55">
        <v>50</v>
      </c>
      <c r="P7" s="28">
        <v>6.8100000000000001E-3</v>
      </c>
      <c r="Q7" s="40" t="s">
        <v>76</v>
      </c>
      <c r="R7" s="40" t="s">
        <v>56</v>
      </c>
      <c r="S7" s="40" t="s">
        <v>89</v>
      </c>
      <c r="T7" s="42">
        <f>750+97</f>
        <v>847</v>
      </c>
      <c r="U7" s="70"/>
      <c r="V7" s="42">
        <f>19+828</f>
        <v>847</v>
      </c>
      <c r="W7" s="74">
        <f>(V7+U7)-T7</f>
        <v>0</v>
      </c>
      <c r="X7" s="42">
        <f>IF(W7&lt;0,((T7*N7)-((V7+U7)*N7)),0)</f>
        <v>0</v>
      </c>
      <c r="Y7" s="42">
        <f>O7*X7</f>
        <v>0</v>
      </c>
      <c r="Z7" s="42">
        <v>6</v>
      </c>
      <c r="AA7" s="42">
        <f>X7*Z7</f>
        <v>0</v>
      </c>
      <c r="AB7" s="41" t="s">
        <v>90</v>
      </c>
      <c r="AC7" s="42">
        <f>SUM(O7*P7*X7)</f>
        <v>0</v>
      </c>
      <c r="AD7" s="42">
        <f>AC7/0.54</f>
        <v>0</v>
      </c>
      <c r="AE7" s="12">
        <f>MID(M7,1,3)/1000</f>
        <v>0.63</v>
      </c>
      <c r="AF7" s="17">
        <f>(X7*AE7)/1000</f>
        <v>0</v>
      </c>
      <c r="AG7" s="11">
        <f>T7*N7</f>
        <v>6776</v>
      </c>
      <c r="AJ7" s="24" t="s">
        <v>91</v>
      </c>
      <c r="AK7" s="25">
        <v>12004862</v>
      </c>
      <c r="AL7" s="25">
        <v>12055234</v>
      </c>
      <c r="AM7" s="25"/>
      <c r="AN7" s="25" t="s">
        <v>92</v>
      </c>
      <c r="AO7" s="25"/>
      <c r="AP7" s="25">
        <v>12056200</v>
      </c>
      <c r="AQ7" s="25"/>
      <c r="AR7" s="25" t="s">
        <v>93</v>
      </c>
      <c r="AS7" s="25"/>
      <c r="AT7" s="25"/>
      <c r="AU7" s="25"/>
    </row>
    <row r="8" spans="1:47" ht="25" customHeight="1">
      <c r="B8" s="35">
        <v>43954</v>
      </c>
      <c r="C8" s="35"/>
      <c r="D8" s="36" t="s">
        <v>127</v>
      </c>
      <c r="E8" s="36">
        <v>43953</v>
      </c>
      <c r="F8" s="36"/>
      <c r="G8" s="36"/>
      <c r="H8" s="37"/>
      <c r="I8" s="37"/>
      <c r="J8" s="37"/>
      <c r="K8" s="37"/>
      <c r="L8" s="36"/>
      <c r="M8" s="59"/>
      <c r="N8" s="54"/>
      <c r="O8" s="54"/>
      <c r="P8" s="57"/>
      <c r="Q8" s="36"/>
      <c r="R8" s="36"/>
      <c r="S8" s="36"/>
      <c r="T8" s="38"/>
      <c r="U8" s="69"/>
      <c r="V8" s="38"/>
      <c r="W8" s="73"/>
      <c r="X8" s="38"/>
      <c r="Y8" s="38"/>
      <c r="Z8" s="38"/>
      <c r="AA8" s="38"/>
      <c r="AB8" s="37"/>
      <c r="AC8" s="38"/>
      <c r="AD8" s="38"/>
      <c r="AE8" s="14"/>
      <c r="AF8" s="19"/>
      <c r="AJ8" s="24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</row>
    <row r="9" spans="1:47" ht="25" customHeight="1">
      <c r="A9" s="26" t="s">
        <v>46</v>
      </c>
      <c r="B9" s="39">
        <v>43955</v>
      </c>
      <c r="C9" s="39">
        <v>43959</v>
      </c>
      <c r="D9" s="40" t="s">
        <v>127</v>
      </c>
      <c r="E9" s="40">
        <v>43953</v>
      </c>
      <c r="F9" s="40" t="s">
        <v>47</v>
      </c>
      <c r="G9" s="40" t="s">
        <v>48</v>
      </c>
      <c r="H9" s="41" t="s">
        <v>49</v>
      </c>
      <c r="I9" s="41" t="s">
        <v>61</v>
      </c>
      <c r="J9" s="41" t="s">
        <v>62</v>
      </c>
      <c r="K9" s="41" t="s">
        <v>63</v>
      </c>
      <c r="L9" s="40" t="s">
        <v>64</v>
      </c>
      <c r="M9" s="60" t="s">
        <v>65</v>
      </c>
      <c r="N9" s="55">
        <v>24</v>
      </c>
      <c r="O9" s="55">
        <v>3</v>
      </c>
      <c r="P9" s="28">
        <v>8.0000000000000002E-3</v>
      </c>
      <c r="Q9" s="40" t="s">
        <v>55</v>
      </c>
      <c r="R9" s="40" t="s">
        <v>56</v>
      </c>
      <c r="S9" s="40" t="s">
        <v>57</v>
      </c>
      <c r="T9" s="42">
        <f>1400</f>
        <v>1400</v>
      </c>
      <c r="U9" s="70">
        <f>(35+23)/24</f>
        <v>2.4166666666666665</v>
      </c>
      <c r="V9" s="42">
        <f>2+1390</f>
        <v>1392</v>
      </c>
      <c r="W9" s="74">
        <f>(V9+U9)-T9</f>
        <v>-5.5833333333332575</v>
      </c>
      <c r="X9" s="42">
        <f>IF(W9&lt;0,((T9*N9)-((V9+U9)*N9)),0)</f>
        <v>134</v>
      </c>
      <c r="Y9" s="42">
        <f t="shared" ref="Y9:Y40" si="0">X9*O9</f>
        <v>402</v>
      </c>
      <c r="Z9" s="42"/>
      <c r="AA9" s="42"/>
      <c r="AB9" s="41"/>
      <c r="AC9" s="42">
        <f>((X9*O9)/5400)*29.25</f>
        <v>2.1774999999999998</v>
      </c>
      <c r="AD9" s="42">
        <f>AC9/0.54</f>
        <v>4.0324074074074066</v>
      </c>
      <c r="AE9" s="12">
        <f>MID(M9,1,3)/1000</f>
        <v>0.216</v>
      </c>
      <c r="AF9" s="17">
        <f>(X9*AE9)/1000</f>
        <v>2.8943999999999998E-2</v>
      </c>
      <c r="AG9" s="11">
        <f>T9*N9</f>
        <v>33600</v>
      </c>
      <c r="AJ9" s="24"/>
      <c r="AK9" s="25">
        <v>12062338</v>
      </c>
      <c r="AL9" s="25">
        <v>12042650</v>
      </c>
      <c r="AM9" s="25">
        <v>12042649</v>
      </c>
      <c r="AN9" s="25"/>
      <c r="AO9" s="25"/>
      <c r="AP9" s="25" t="s">
        <v>66</v>
      </c>
      <c r="AQ9" s="25"/>
      <c r="AR9" s="25"/>
      <c r="AS9" s="25" t="s">
        <v>67</v>
      </c>
      <c r="AT9" s="25">
        <v>12069367</v>
      </c>
      <c r="AU9" s="25"/>
    </row>
    <row r="10" spans="1:47" ht="25" customHeight="1">
      <c r="A10" s="26" t="s">
        <v>46</v>
      </c>
      <c r="B10" s="39">
        <v>43955</v>
      </c>
      <c r="C10" s="39">
        <v>43959</v>
      </c>
      <c r="D10" s="40" t="s">
        <v>127</v>
      </c>
      <c r="E10" s="40">
        <v>43953</v>
      </c>
      <c r="F10" s="40" t="s">
        <v>47</v>
      </c>
      <c r="G10" s="40" t="s">
        <v>48</v>
      </c>
      <c r="H10" s="41" t="s">
        <v>49</v>
      </c>
      <c r="I10" s="41" t="s">
        <v>71</v>
      </c>
      <c r="J10" s="41" t="s">
        <v>94</v>
      </c>
      <c r="K10" s="41" t="s">
        <v>95</v>
      </c>
      <c r="L10" s="40" t="s">
        <v>96</v>
      </c>
      <c r="M10" s="60" t="s">
        <v>97</v>
      </c>
      <c r="N10" s="55">
        <v>12</v>
      </c>
      <c r="O10" s="55">
        <v>5</v>
      </c>
      <c r="P10" s="28">
        <v>8.0000000000000002E-3</v>
      </c>
      <c r="Q10" s="40" t="s">
        <v>40</v>
      </c>
      <c r="R10" s="40" t="s">
        <v>56</v>
      </c>
      <c r="S10" s="40" t="s">
        <v>57</v>
      </c>
      <c r="T10" s="42">
        <v>4000</v>
      </c>
      <c r="U10" s="70"/>
      <c r="V10" s="42">
        <f>272+3728</f>
        <v>4000</v>
      </c>
      <c r="W10" s="74">
        <f t="shared" ref="W10:W49" si="1">(V10+U10)-T10</f>
        <v>0</v>
      </c>
      <c r="X10" s="42">
        <f t="shared" ref="X10:X49" si="2">IF(W10&lt;0,((T10*N10)-((V10+U10)*N10)),0)</f>
        <v>0</v>
      </c>
      <c r="Y10" s="42">
        <f t="shared" si="0"/>
        <v>0</v>
      </c>
      <c r="Z10" s="42"/>
      <c r="AA10" s="42"/>
      <c r="AB10" s="41"/>
      <c r="AC10" s="42">
        <f>SUM(O10*P10*X10)</f>
        <v>0</v>
      </c>
      <c r="AD10" s="42">
        <f>AC10/0.54</f>
        <v>0</v>
      </c>
      <c r="AE10" s="12">
        <f>MID(M10,1,3)/1000</f>
        <v>0.14499999999999999</v>
      </c>
      <c r="AF10" s="17">
        <f>(X10*AE10)/1000</f>
        <v>0</v>
      </c>
      <c r="AG10" s="11">
        <f>T10*N10</f>
        <v>48000</v>
      </c>
      <c r="AJ10" s="24"/>
      <c r="AK10" s="25">
        <v>12062338</v>
      </c>
      <c r="AL10" s="25">
        <v>12047514</v>
      </c>
      <c r="AM10" s="25">
        <v>12047515</v>
      </c>
      <c r="AN10" s="25"/>
      <c r="AO10" s="25"/>
      <c r="AP10" s="25">
        <v>12072220</v>
      </c>
      <c r="AQ10" s="25"/>
      <c r="AR10" s="25"/>
      <c r="AS10" s="25">
        <v>12064579</v>
      </c>
      <c r="AT10" s="25">
        <v>12064577</v>
      </c>
      <c r="AU10" s="25"/>
    </row>
    <row r="11" spans="1:47" ht="25" customHeight="1">
      <c r="A11" s="26" t="s">
        <v>46</v>
      </c>
      <c r="B11" s="39">
        <v>43955</v>
      </c>
      <c r="C11" s="39">
        <v>43959</v>
      </c>
      <c r="D11" s="40" t="s">
        <v>127</v>
      </c>
      <c r="E11" s="40">
        <v>43953</v>
      </c>
      <c r="F11" s="40" t="s">
        <v>47</v>
      </c>
      <c r="G11" s="40" t="s">
        <v>48</v>
      </c>
      <c r="H11" s="41" t="s">
        <v>49</v>
      </c>
      <c r="I11" s="41" t="s">
        <v>71</v>
      </c>
      <c r="J11" s="41" t="s">
        <v>98</v>
      </c>
      <c r="K11" s="41" t="s">
        <v>99</v>
      </c>
      <c r="L11" s="40" t="s">
        <v>100</v>
      </c>
      <c r="M11" s="60" t="s">
        <v>101</v>
      </c>
      <c r="N11" s="55">
        <v>12</v>
      </c>
      <c r="O11" s="55">
        <v>5</v>
      </c>
      <c r="P11" s="28">
        <v>8.0000000000000002E-3</v>
      </c>
      <c r="Q11" s="40" t="s">
        <v>40</v>
      </c>
      <c r="R11" s="40" t="s">
        <v>56</v>
      </c>
      <c r="S11" s="41" t="s">
        <v>102</v>
      </c>
      <c r="T11" s="42">
        <v>2700</v>
      </c>
      <c r="U11" s="70"/>
      <c r="V11" s="42">
        <v>2700</v>
      </c>
      <c r="W11" s="74">
        <f t="shared" si="1"/>
        <v>0</v>
      </c>
      <c r="X11" s="42">
        <f t="shared" si="2"/>
        <v>0</v>
      </c>
      <c r="Y11" s="42">
        <f t="shared" si="0"/>
        <v>0</v>
      </c>
      <c r="Z11" s="42"/>
      <c r="AA11" s="42"/>
      <c r="AB11" s="41"/>
      <c r="AC11" s="42">
        <f>SUM(O11*P11*X11)</f>
        <v>0</v>
      </c>
      <c r="AD11" s="42">
        <f>AC11/0.54</f>
        <v>0</v>
      </c>
      <c r="AE11" s="12">
        <f>MID(M11,1,3)/1000</f>
        <v>0.115</v>
      </c>
      <c r="AF11" s="17">
        <f>(X11*AE11)/1000</f>
        <v>0</v>
      </c>
      <c r="AG11" s="11">
        <f>T11*N11</f>
        <v>32400</v>
      </c>
      <c r="AJ11" s="24"/>
      <c r="AK11" s="25">
        <v>12062338</v>
      </c>
      <c r="AL11" s="25">
        <v>12047514</v>
      </c>
      <c r="AM11" s="25">
        <v>12047515</v>
      </c>
      <c r="AN11" s="25"/>
      <c r="AO11" s="25"/>
      <c r="AP11" s="25">
        <v>12072447</v>
      </c>
      <c r="AQ11" s="25"/>
      <c r="AR11" s="25"/>
      <c r="AS11" s="25">
        <v>12064574</v>
      </c>
      <c r="AT11" s="25">
        <v>12064576</v>
      </c>
      <c r="AU11" s="25"/>
    </row>
    <row r="12" spans="1:47" ht="25" customHeight="1">
      <c r="A12" s="27" t="s">
        <v>120</v>
      </c>
      <c r="B12" s="39">
        <v>43955</v>
      </c>
      <c r="C12" s="39">
        <v>43965</v>
      </c>
      <c r="D12" s="40" t="s">
        <v>127</v>
      </c>
      <c r="E12" s="40">
        <v>43953</v>
      </c>
      <c r="F12" s="40" t="s">
        <v>81</v>
      </c>
      <c r="G12" s="40" t="s">
        <v>82</v>
      </c>
      <c r="H12" s="41" t="s">
        <v>83</v>
      </c>
      <c r="I12" s="41" t="s">
        <v>84</v>
      </c>
      <c r="J12" s="41" t="s">
        <v>85</v>
      </c>
      <c r="K12" s="41" t="s">
        <v>86</v>
      </c>
      <c r="L12" s="40" t="s">
        <v>87</v>
      </c>
      <c r="M12" s="60" t="s">
        <v>88</v>
      </c>
      <c r="N12" s="55">
        <v>8</v>
      </c>
      <c r="O12" s="55">
        <v>50</v>
      </c>
      <c r="P12" s="28">
        <v>6.8100000000000001E-3</v>
      </c>
      <c r="Q12" s="40" t="s">
        <v>76</v>
      </c>
      <c r="R12" s="40" t="s">
        <v>56</v>
      </c>
      <c r="S12" s="40" t="s">
        <v>89</v>
      </c>
      <c r="T12" s="42">
        <v>809</v>
      </c>
      <c r="U12" s="70"/>
      <c r="V12" s="42">
        <v>809</v>
      </c>
      <c r="W12" s="74">
        <f t="shared" si="1"/>
        <v>0</v>
      </c>
      <c r="X12" s="42">
        <f t="shared" si="2"/>
        <v>0</v>
      </c>
      <c r="Y12" s="42">
        <f t="shared" si="0"/>
        <v>0</v>
      </c>
      <c r="Z12" s="42">
        <v>6</v>
      </c>
      <c r="AA12" s="42">
        <f>X12*Z12</f>
        <v>0</v>
      </c>
      <c r="AB12" s="41" t="s">
        <v>90</v>
      </c>
      <c r="AC12" s="42">
        <f>SUM(O12*P12*X12)</f>
        <v>0</v>
      </c>
      <c r="AD12" s="42">
        <f>AC12/0.54</f>
        <v>0</v>
      </c>
      <c r="AE12" s="12">
        <f>MID(M12,1,3)/1000</f>
        <v>0.63</v>
      </c>
      <c r="AF12" s="17">
        <f>(X12*AE12)/1000</f>
        <v>0</v>
      </c>
      <c r="AG12" s="11">
        <f>T12*N12</f>
        <v>6472</v>
      </c>
      <c r="AJ12" s="24" t="s">
        <v>91</v>
      </c>
      <c r="AK12" s="25">
        <v>12004862</v>
      </c>
      <c r="AL12" s="25">
        <v>12055234</v>
      </c>
      <c r="AM12" s="25"/>
      <c r="AN12" s="25" t="s">
        <v>92</v>
      </c>
      <c r="AO12" s="25"/>
      <c r="AP12" s="25">
        <v>12056200</v>
      </c>
      <c r="AQ12" s="25"/>
      <c r="AR12" s="25" t="s">
        <v>93</v>
      </c>
      <c r="AS12" s="25"/>
      <c r="AT12" s="25"/>
      <c r="AU12" s="25"/>
    </row>
    <row r="13" spans="1:47" ht="25" customHeight="1">
      <c r="B13" s="39">
        <v>43956</v>
      </c>
      <c r="C13" s="39">
        <v>43964</v>
      </c>
      <c r="D13" s="40" t="s">
        <v>127</v>
      </c>
      <c r="E13" s="40">
        <v>43953</v>
      </c>
      <c r="F13" s="40" t="s">
        <v>103</v>
      </c>
      <c r="G13" s="40" t="s">
        <v>104</v>
      </c>
      <c r="H13" s="41" t="s">
        <v>105</v>
      </c>
      <c r="I13" s="41" t="s">
        <v>106</v>
      </c>
      <c r="J13" s="41" t="s">
        <v>107</v>
      </c>
      <c r="K13" s="41" t="s">
        <v>108</v>
      </c>
      <c r="L13" s="40" t="s">
        <v>109</v>
      </c>
      <c r="M13" s="60" t="s">
        <v>110</v>
      </c>
      <c r="N13" s="55">
        <v>36</v>
      </c>
      <c r="O13" s="55">
        <v>5</v>
      </c>
      <c r="P13" s="28">
        <v>7.4999999999999997E-3</v>
      </c>
      <c r="Q13" s="40" t="s">
        <v>111</v>
      </c>
      <c r="R13" s="40" t="s">
        <v>112</v>
      </c>
      <c r="S13" s="40" t="s">
        <v>113</v>
      </c>
      <c r="T13" s="42">
        <f>792-556</f>
        <v>236</v>
      </c>
      <c r="U13" s="70"/>
      <c r="V13" s="42">
        <v>236</v>
      </c>
      <c r="W13" s="74">
        <f t="shared" si="1"/>
        <v>0</v>
      </c>
      <c r="X13" s="42">
        <f t="shared" si="2"/>
        <v>0</v>
      </c>
      <c r="Y13" s="42">
        <f t="shared" si="0"/>
        <v>0</v>
      </c>
      <c r="Z13" s="42"/>
      <c r="AA13" s="42"/>
      <c r="AB13" s="41"/>
      <c r="AC13" s="42">
        <f>SUM(O13*P13*X13)</f>
        <v>0</v>
      </c>
      <c r="AD13" s="42">
        <f>AC13/0.54</f>
        <v>0</v>
      </c>
      <c r="AE13" s="12">
        <f>MID(M13,1,3)/1000</f>
        <v>0.308</v>
      </c>
      <c r="AF13" s="17">
        <f>(X13*AE13)/1000</f>
        <v>0</v>
      </c>
      <c r="AG13" s="11">
        <f>T13*N13</f>
        <v>8496</v>
      </c>
      <c r="AJ13" s="24"/>
      <c r="AK13" s="25">
        <v>12063755</v>
      </c>
      <c r="AL13" s="25">
        <v>12061353</v>
      </c>
      <c r="AM13" s="25">
        <v>12061354</v>
      </c>
      <c r="AN13" s="25">
        <v>12068566</v>
      </c>
      <c r="AO13" s="25"/>
      <c r="AP13" s="25">
        <v>12068565</v>
      </c>
      <c r="AQ13" s="25" t="s">
        <v>114</v>
      </c>
      <c r="AR13" s="25"/>
      <c r="AS13" s="25">
        <v>12068565</v>
      </c>
      <c r="AT13" s="25"/>
      <c r="AU13" s="25"/>
    </row>
    <row r="14" spans="1:47" ht="25" customHeight="1">
      <c r="B14" s="39">
        <v>43956</v>
      </c>
      <c r="C14" s="39">
        <v>43964</v>
      </c>
      <c r="D14" s="40" t="s">
        <v>127</v>
      </c>
      <c r="E14" s="40">
        <v>43953</v>
      </c>
      <c r="F14" s="40" t="s">
        <v>115</v>
      </c>
      <c r="G14" s="40" t="s">
        <v>104</v>
      </c>
      <c r="H14" s="41" t="s">
        <v>105</v>
      </c>
      <c r="I14" s="41" t="s">
        <v>106</v>
      </c>
      <c r="J14" s="41" t="s">
        <v>107</v>
      </c>
      <c r="K14" s="41" t="s">
        <v>108</v>
      </c>
      <c r="L14" s="40" t="s">
        <v>109</v>
      </c>
      <c r="M14" s="60" t="s">
        <v>110</v>
      </c>
      <c r="N14" s="55">
        <v>36</v>
      </c>
      <c r="O14" s="55">
        <v>5</v>
      </c>
      <c r="P14" s="28">
        <v>7.4999999999999997E-3</v>
      </c>
      <c r="Q14" s="40" t="s">
        <v>111</v>
      </c>
      <c r="R14" s="40" t="s">
        <v>112</v>
      </c>
      <c r="S14" s="40" t="s">
        <v>113</v>
      </c>
      <c r="T14" s="42">
        <v>792</v>
      </c>
      <c r="U14" s="70"/>
      <c r="V14" s="42">
        <v>792</v>
      </c>
      <c r="W14" s="74">
        <f t="shared" si="1"/>
        <v>0</v>
      </c>
      <c r="X14" s="42">
        <f t="shared" si="2"/>
        <v>0</v>
      </c>
      <c r="Y14" s="42">
        <f t="shared" si="0"/>
        <v>0</v>
      </c>
      <c r="Z14" s="42"/>
      <c r="AA14" s="42"/>
      <c r="AB14" s="41"/>
      <c r="AC14" s="42">
        <f t="shared" ref="AC14:AC19" si="3">SUM(O14*P14*X14)</f>
        <v>0</v>
      </c>
      <c r="AD14" s="42">
        <f t="shared" ref="AD14:AD19" si="4">AC14/0.54</f>
        <v>0</v>
      </c>
      <c r="AE14" s="12">
        <f t="shared" ref="AE14:AE19" si="5">MID(M14,1,3)/1000</f>
        <v>0.308</v>
      </c>
      <c r="AF14" s="17">
        <f t="shared" ref="AF14:AF19" si="6">(X14*AE14)/1000</f>
        <v>0</v>
      </c>
      <c r="AG14" s="11">
        <f t="shared" ref="AG14:AG19" si="7">T14*N14</f>
        <v>28512</v>
      </c>
      <c r="AJ14" s="24"/>
      <c r="AK14" s="25">
        <v>12063755</v>
      </c>
      <c r="AL14" s="25">
        <v>12061353</v>
      </c>
      <c r="AM14" s="25">
        <v>12061354</v>
      </c>
      <c r="AN14" s="25">
        <v>12068566</v>
      </c>
      <c r="AO14" s="25"/>
      <c r="AP14" s="25">
        <v>12068565</v>
      </c>
      <c r="AQ14" s="25" t="s">
        <v>114</v>
      </c>
      <c r="AR14" s="25"/>
      <c r="AS14" s="25">
        <v>12068565</v>
      </c>
      <c r="AT14" s="25"/>
      <c r="AU14" s="25"/>
    </row>
    <row r="15" spans="1:47" ht="25" customHeight="1">
      <c r="B15" s="39">
        <v>43956</v>
      </c>
      <c r="C15" s="39">
        <v>43964</v>
      </c>
      <c r="D15" s="40" t="s">
        <v>127</v>
      </c>
      <c r="E15" s="40">
        <v>43953</v>
      </c>
      <c r="F15" s="40" t="s">
        <v>116</v>
      </c>
      <c r="G15" s="40" t="s">
        <v>104</v>
      </c>
      <c r="H15" s="41" t="s">
        <v>105</v>
      </c>
      <c r="I15" s="41" t="s">
        <v>106</v>
      </c>
      <c r="J15" s="41" t="s">
        <v>107</v>
      </c>
      <c r="K15" s="41" t="s">
        <v>108</v>
      </c>
      <c r="L15" s="40" t="s">
        <v>109</v>
      </c>
      <c r="M15" s="60" t="s">
        <v>110</v>
      </c>
      <c r="N15" s="55">
        <v>36</v>
      </c>
      <c r="O15" s="55">
        <v>5</v>
      </c>
      <c r="P15" s="28">
        <v>7.4999999999999997E-3</v>
      </c>
      <c r="Q15" s="40" t="s">
        <v>111</v>
      </c>
      <c r="R15" s="40" t="s">
        <v>112</v>
      </c>
      <c r="S15" s="40" t="s">
        <v>113</v>
      </c>
      <c r="T15" s="42">
        <v>792</v>
      </c>
      <c r="U15" s="70"/>
      <c r="V15" s="42">
        <v>792</v>
      </c>
      <c r="W15" s="74">
        <f t="shared" si="1"/>
        <v>0</v>
      </c>
      <c r="X15" s="42">
        <f t="shared" si="2"/>
        <v>0</v>
      </c>
      <c r="Y15" s="42">
        <f t="shared" si="0"/>
        <v>0</v>
      </c>
      <c r="Z15" s="42"/>
      <c r="AA15" s="42"/>
      <c r="AB15" s="41"/>
      <c r="AC15" s="42">
        <f t="shared" si="3"/>
        <v>0</v>
      </c>
      <c r="AD15" s="42">
        <f t="shared" si="4"/>
        <v>0</v>
      </c>
      <c r="AE15" s="12">
        <f t="shared" si="5"/>
        <v>0.308</v>
      </c>
      <c r="AF15" s="17">
        <f t="shared" si="6"/>
        <v>0</v>
      </c>
      <c r="AG15" s="11">
        <f t="shared" si="7"/>
        <v>28512</v>
      </c>
      <c r="AJ15" s="24"/>
      <c r="AK15" s="25">
        <v>12063755</v>
      </c>
      <c r="AL15" s="25">
        <v>12061353</v>
      </c>
      <c r="AM15" s="25">
        <v>12061354</v>
      </c>
      <c r="AN15" s="25">
        <v>12068566</v>
      </c>
      <c r="AO15" s="25"/>
      <c r="AP15" s="25">
        <v>12068565</v>
      </c>
      <c r="AQ15" s="25" t="s">
        <v>114</v>
      </c>
      <c r="AR15" s="25"/>
      <c r="AS15" s="25">
        <v>12068565</v>
      </c>
      <c r="AT15" s="25"/>
      <c r="AU15" s="25"/>
    </row>
    <row r="16" spans="1:47" ht="25" customHeight="1">
      <c r="B16" s="39">
        <v>43956</v>
      </c>
      <c r="C16" s="39">
        <v>43964</v>
      </c>
      <c r="D16" s="40" t="s">
        <v>127</v>
      </c>
      <c r="E16" s="40">
        <v>43953</v>
      </c>
      <c r="F16" s="40" t="s">
        <v>117</v>
      </c>
      <c r="G16" s="40" t="s">
        <v>104</v>
      </c>
      <c r="H16" s="41" t="s">
        <v>105</v>
      </c>
      <c r="I16" s="41" t="s">
        <v>106</v>
      </c>
      <c r="J16" s="41" t="s">
        <v>107</v>
      </c>
      <c r="K16" s="41" t="s">
        <v>108</v>
      </c>
      <c r="L16" s="40" t="s">
        <v>109</v>
      </c>
      <c r="M16" s="60" t="s">
        <v>110</v>
      </c>
      <c r="N16" s="55">
        <v>36</v>
      </c>
      <c r="O16" s="55">
        <v>5</v>
      </c>
      <c r="P16" s="28">
        <v>7.4999999999999997E-3</v>
      </c>
      <c r="Q16" s="40" t="s">
        <v>111</v>
      </c>
      <c r="R16" s="40" t="s">
        <v>112</v>
      </c>
      <c r="S16" s="40" t="s">
        <v>113</v>
      </c>
      <c r="T16" s="42">
        <v>792</v>
      </c>
      <c r="U16" s="70"/>
      <c r="V16" s="42">
        <v>792</v>
      </c>
      <c r="W16" s="74">
        <f t="shared" si="1"/>
        <v>0</v>
      </c>
      <c r="X16" s="42">
        <f t="shared" si="2"/>
        <v>0</v>
      </c>
      <c r="Y16" s="42">
        <f t="shared" si="0"/>
        <v>0</v>
      </c>
      <c r="Z16" s="42"/>
      <c r="AA16" s="42"/>
      <c r="AB16" s="41"/>
      <c r="AC16" s="42">
        <f t="shared" si="3"/>
        <v>0</v>
      </c>
      <c r="AD16" s="42">
        <f t="shared" si="4"/>
        <v>0</v>
      </c>
      <c r="AE16" s="12">
        <f t="shared" si="5"/>
        <v>0.308</v>
      </c>
      <c r="AF16" s="17">
        <f t="shared" si="6"/>
        <v>0</v>
      </c>
      <c r="AG16" s="11">
        <f t="shared" si="7"/>
        <v>28512</v>
      </c>
      <c r="AJ16" s="24"/>
      <c r="AK16" s="25">
        <v>12063755</v>
      </c>
      <c r="AL16" s="25">
        <v>12061353</v>
      </c>
      <c r="AM16" s="25">
        <v>12061354</v>
      </c>
      <c r="AN16" s="25">
        <v>12068566</v>
      </c>
      <c r="AO16" s="25"/>
      <c r="AP16" s="25">
        <v>12068565</v>
      </c>
      <c r="AQ16" s="25" t="s">
        <v>114</v>
      </c>
      <c r="AR16" s="25"/>
      <c r="AS16" s="25">
        <v>12068565</v>
      </c>
      <c r="AT16" s="25"/>
      <c r="AU16" s="25"/>
    </row>
    <row r="17" spans="1:47" ht="25" customHeight="1">
      <c r="B17" s="39">
        <v>43956</v>
      </c>
      <c r="C17" s="39">
        <v>43965</v>
      </c>
      <c r="D17" s="40" t="s">
        <v>127</v>
      </c>
      <c r="E17" s="40">
        <v>43953</v>
      </c>
      <c r="F17" s="40" t="s">
        <v>118</v>
      </c>
      <c r="G17" s="40" t="s">
        <v>104</v>
      </c>
      <c r="H17" s="41" t="s">
        <v>105</v>
      </c>
      <c r="I17" s="41" t="s">
        <v>106</v>
      </c>
      <c r="J17" s="41" t="s">
        <v>107</v>
      </c>
      <c r="K17" s="41" t="s">
        <v>108</v>
      </c>
      <c r="L17" s="40" t="s">
        <v>109</v>
      </c>
      <c r="M17" s="60" t="s">
        <v>110</v>
      </c>
      <c r="N17" s="55">
        <v>36</v>
      </c>
      <c r="O17" s="55">
        <v>5</v>
      </c>
      <c r="P17" s="28">
        <v>7.4999999999999997E-3</v>
      </c>
      <c r="Q17" s="40" t="s">
        <v>111</v>
      </c>
      <c r="R17" s="40" t="s">
        <v>112</v>
      </c>
      <c r="S17" s="40" t="s">
        <v>113</v>
      </c>
      <c r="T17" s="42">
        <v>792</v>
      </c>
      <c r="U17" s="70"/>
      <c r="V17" s="42">
        <v>792</v>
      </c>
      <c r="W17" s="74">
        <f t="shared" si="1"/>
        <v>0</v>
      </c>
      <c r="X17" s="42">
        <f t="shared" si="2"/>
        <v>0</v>
      </c>
      <c r="Y17" s="42">
        <f t="shared" si="0"/>
        <v>0</v>
      </c>
      <c r="Z17" s="42"/>
      <c r="AA17" s="42"/>
      <c r="AB17" s="41"/>
      <c r="AC17" s="42">
        <f t="shared" si="3"/>
        <v>0</v>
      </c>
      <c r="AD17" s="42">
        <f t="shared" si="4"/>
        <v>0</v>
      </c>
      <c r="AE17" s="12">
        <f t="shared" si="5"/>
        <v>0.308</v>
      </c>
      <c r="AF17" s="17">
        <f t="shared" si="6"/>
        <v>0</v>
      </c>
      <c r="AG17" s="11">
        <f t="shared" si="7"/>
        <v>28512</v>
      </c>
      <c r="AJ17" s="24"/>
      <c r="AK17" s="25">
        <v>12063755</v>
      </c>
      <c r="AL17" s="25">
        <v>12061353</v>
      </c>
      <c r="AM17" s="25">
        <v>12061354</v>
      </c>
      <c r="AN17" s="25">
        <v>12068566</v>
      </c>
      <c r="AO17" s="25"/>
      <c r="AP17" s="25">
        <v>12068565</v>
      </c>
      <c r="AQ17" s="25" t="s">
        <v>114</v>
      </c>
      <c r="AR17" s="25"/>
      <c r="AS17" s="25">
        <v>12068565</v>
      </c>
      <c r="AT17" s="25"/>
      <c r="AU17" s="25"/>
    </row>
    <row r="18" spans="1:47" ht="25" customHeight="1">
      <c r="B18" s="39">
        <v>43956</v>
      </c>
      <c r="C18" s="39">
        <v>43965</v>
      </c>
      <c r="D18" s="40" t="s">
        <v>127</v>
      </c>
      <c r="E18" s="40">
        <v>43953</v>
      </c>
      <c r="F18" s="40" t="s">
        <v>119</v>
      </c>
      <c r="G18" s="40" t="s">
        <v>104</v>
      </c>
      <c r="H18" s="41" t="s">
        <v>105</v>
      </c>
      <c r="I18" s="41" t="s">
        <v>106</v>
      </c>
      <c r="J18" s="41" t="s">
        <v>107</v>
      </c>
      <c r="K18" s="41" t="s">
        <v>108</v>
      </c>
      <c r="L18" s="40" t="s">
        <v>109</v>
      </c>
      <c r="M18" s="60" t="s">
        <v>110</v>
      </c>
      <c r="N18" s="55">
        <v>36</v>
      </c>
      <c r="O18" s="55">
        <v>5</v>
      </c>
      <c r="P18" s="28">
        <v>7.4999999999999997E-3</v>
      </c>
      <c r="Q18" s="40" t="s">
        <v>111</v>
      </c>
      <c r="R18" s="40" t="s">
        <v>112</v>
      </c>
      <c r="S18" s="40" t="s">
        <v>113</v>
      </c>
      <c r="T18" s="42">
        <v>390</v>
      </c>
      <c r="U18" s="70"/>
      <c r="V18" s="42">
        <f>270+120</f>
        <v>390</v>
      </c>
      <c r="W18" s="74">
        <f t="shared" si="1"/>
        <v>0</v>
      </c>
      <c r="X18" s="42">
        <f t="shared" si="2"/>
        <v>0</v>
      </c>
      <c r="Y18" s="42">
        <f t="shared" si="0"/>
        <v>0</v>
      </c>
      <c r="Z18" s="42"/>
      <c r="AA18" s="42"/>
      <c r="AB18" s="41"/>
      <c r="AC18" s="42">
        <f t="shared" si="3"/>
        <v>0</v>
      </c>
      <c r="AD18" s="42">
        <f t="shared" si="4"/>
        <v>0</v>
      </c>
      <c r="AE18" s="12">
        <f t="shared" si="5"/>
        <v>0.308</v>
      </c>
      <c r="AF18" s="17">
        <f t="shared" si="6"/>
        <v>0</v>
      </c>
      <c r="AG18" s="11">
        <f t="shared" si="7"/>
        <v>14040</v>
      </c>
      <c r="AJ18" s="24"/>
      <c r="AK18" s="25">
        <v>12063755</v>
      </c>
      <c r="AL18" s="25">
        <v>12061353</v>
      </c>
      <c r="AM18" s="25">
        <v>12061354</v>
      </c>
      <c r="AN18" s="25">
        <v>12068566</v>
      </c>
      <c r="AO18" s="25"/>
      <c r="AP18" s="25">
        <v>12068565</v>
      </c>
      <c r="AQ18" s="25" t="s">
        <v>114</v>
      </c>
      <c r="AR18" s="25"/>
      <c r="AS18" s="25">
        <v>12068565</v>
      </c>
      <c r="AT18" s="25"/>
      <c r="AU18" s="25"/>
    </row>
    <row r="19" spans="1:47" ht="25" customHeight="1">
      <c r="A19" s="27" t="s">
        <v>120</v>
      </c>
      <c r="B19" s="39">
        <v>43956</v>
      </c>
      <c r="C19" s="39">
        <v>43965</v>
      </c>
      <c r="D19" s="40" t="s">
        <v>127</v>
      </c>
      <c r="E19" s="40">
        <v>43953</v>
      </c>
      <c r="F19" s="40" t="s">
        <v>81</v>
      </c>
      <c r="G19" s="40" t="s">
        <v>82</v>
      </c>
      <c r="H19" s="41" t="s">
        <v>83</v>
      </c>
      <c r="I19" s="41" t="s">
        <v>84</v>
      </c>
      <c r="J19" s="41" t="s">
        <v>85</v>
      </c>
      <c r="K19" s="41" t="s">
        <v>86</v>
      </c>
      <c r="L19" s="40" t="s">
        <v>87</v>
      </c>
      <c r="M19" s="60" t="s">
        <v>88</v>
      </c>
      <c r="N19" s="55">
        <v>8</v>
      </c>
      <c r="O19" s="55">
        <v>50</v>
      </c>
      <c r="P19" s="28">
        <v>6.8100000000000001E-3</v>
      </c>
      <c r="Q19" s="40" t="s">
        <v>76</v>
      </c>
      <c r="R19" s="40" t="s">
        <v>56</v>
      </c>
      <c r="S19" s="40" t="s">
        <v>89</v>
      </c>
      <c r="T19" s="42">
        <v>928</v>
      </c>
      <c r="U19" s="70"/>
      <c r="V19" s="42">
        <v>928</v>
      </c>
      <c r="W19" s="74">
        <f t="shared" si="1"/>
        <v>0</v>
      </c>
      <c r="X19" s="42">
        <f t="shared" si="2"/>
        <v>0</v>
      </c>
      <c r="Y19" s="42">
        <f t="shared" si="0"/>
        <v>0</v>
      </c>
      <c r="Z19" s="42">
        <v>6</v>
      </c>
      <c r="AA19" s="42">
        <f>X19*Z19</f>
        <v>0</v>
      </c>
      <c r="AB19" s="41" t="s">
        <v>90</v>
      </c>
      <c r="AC19" s="42">
        <f t="shared" si="3"/>
        <v>0</v>
      </c>
      <c r="AD19" s="42">
        <f t="shared" si="4"/>
        <v>0</v>
      </c>
      <c r="AE19" s="12">
        <f t="shared" si="5"/>
        <v>0.63</v>
      </c>
      <c r="AF19" s="17">
        <f t="shared" si="6"/>
        <v>0</v>
      </c>
      <c r="AG19" s="11">
        <f t="shared" si="7"/>
        <v>7424</v>
      </c>
      <c r="AJ19" s="24" t="s">
        <v>91</v>
      </c>
      <c r="AK19" s="25">
        <v>12004862</v>
      </c>
      <c r="AL19" s="25">
        <v>12055234</v>
      </c>
      <c r="AM19" s="25"/>
      <c r="AN19" s="25" t="s">
        <v>92</v>
      </c>
      <c r="AO19" s="25"/>
      <c r="AP19" s="25">
        <v>12056200</v>
      </c>
      <c r="AQ19" s="25"/>
      <c r="AR19" s="25" t="s">
        <v>93</v>
      </c>
      <c r="AS19" s="25"/>
      <c r="AT19" s="25"/>
      <c r="AU19" s="25"/>
    </row>
    <row r="20" spans="1:47" ht="25" customHeight="1">
      <c r="B20" s="39">
        <v>43957</v>
      </c>
      <c r="C20" s="39">
        <v>43965</v>
      </c>
      <c r="D20" s="40" t="s">
        <v>127</v>
      </c>
      <c r="E20" s="40">
        <v>43953</v>
      </c>
      <c r="F20" s="40" t="s">
        <v>119</v>
      </c>
      <c r="G20" s="40" t="s">
        <v>104</v>
      </c>
      <c r="H20" s="41" t="s">
        <v>105</v>
      </c>
      <c r="I20" s="41" t="s">
        <v>106</v>
      </c>
      <c r="J20" s="41" t="s">
        <v>107</v>
      </c>
      <c r="K20" s="41" t="s">
        <v>108</v>
      </c>
      <c r="L20" s="40" t="s">
        <v>109</v>
      </c>
      <c r="M20" s="60" t="s">
        <v>110</v>
      </c>
      <c r="N20" s="55">
        <v>36</v>
      </c>
      <c r="O20" s="55">
        <v>5</v>
      </c>
      <c r="P20" s="28">
        <v>7.4999999999999997E-3</v>
      </c>
      <c r="Q20" s="40" t="s">
        <v>111</v>
      </c>
      <c r="R20" s="40" t="s">
        <v>112</v>
      </c>
      <c r="S20" s="40" t="s">
        <v>113</v>
      </c>
      <c r="T20" s="42">
        <v>402</v>
      </c>
      <c r="U20" s="70"/>
      <c r="V20" s="42">
        <v>402</v>
      </c>
      <c r="W20" s="74">
        <f t="shared" si="1"/>
        <v>0</v>
      </c>
      <c r="X20" s="42">
        <f t="shared" si="2"/>
        <v>0</v>
      </c>
      <c r="Y20" s="42">
        <f t="shared" si="0"/>
        <v>0</v>
      </c>
      <c r="Z20" s="42"/>
      <c r="AA20" s="42"/>
      <c r="AB20" s="41"/>
      <c r="AC20" s="42">
        <v>0</v>
      </c>
      <c r="AD20" s="42">
        <v>0</v>
      </c>
      <c r="AE20" s="12">
        <v>0.308</v>
      </c>
      <c r="AF20" s="17">
        <v>0</v>
      </c>
      <c r="AG20" s="11">
        <v>14472</v>
      </c>
      <c r="AJ20" s="24"/>
      <c r="AK20" s="25">
        <v>12063755</v>
      </c>
      <c r="AL20" s="25">
        <v>12061353</v>
      </c>
      <c r="AM20" s="25">
        <v>12061354</v>
      </c>
      <c r="AN20" s="25">
        <v>12068566</v>
      </c>
      <c r="AO20" s="25"/>
      <c r="AP20" s="25">
        <v>12068565</v>
      </c>
      <c r="AQ20" s="25" t="s">
        <v>114</v>
      </c>
      <c r="AR20" s="25"/>
      <c r="AS20" s="25">
        <v>12068565</v>
      </c>
      <c r="AT20" s="25"/>
      <c r="AU20" s="25"/>
    </row>
    <row r="21" spans="1:47" ht="25" customHeight="1">
      <c r="B21" s="39">
        <v>43957</v>
      </c>
      <c r="C21" s="39">
        <v>43966</v>
      </c>
      <c r="D21" s="40" t="s">
        <v>127</v>
      </c>
      <c r="E21" s="40">
        <v>43953</v>
      </c>
      <c r="F21" s="40" t="s">
        <v>121</v>
      </c>
      <c r="G21" s="40" t="s">
        <v>104</v>
      </c>
      <c r="H21" s="41" t="s">
        <v>105</v>
      </c>
      <c r="I21" s="41" t="s">
        <v>106</v>
      </c>
      <c r="J21" s="41" t="s">
        <v>107</v>
      </c>
      <c r="K21" s="41" t="s">
        <v>108</v>
      </c>
      <c r="L21" s="40" t="s">
        <v>109</v>
      </c>
      <c r="M21" s="60" t="s">
        <v>110</v>
      </c>
      <c r="N21" s="55">
        <v>36</v>
      </c>
      <c r="O21" s="55">
        <v>5</v>
      </c>
      <c r="P21" s="28">
        <v>7.4999999999999997E-3</v>
      </c>
      <c r="Q21" s="40" t="s">
        <v>111</v>
      </c>
      <c r="R21" s="40" t="s">
        <v>112</v>
      </c>
      <c r="S21" s="40" t="s">
        <v>113</v>
      </c>
      <c r="T21" s="42">
        <v>792</v>
      </c>
      <c r="U21" s="70"/>
      <c r="V21" s="42">
        <v>792</v>
      </c>
      <c r="W21" s="74">
        <f t="shared" si="1"/>
        <v>0</v>
      </c>
      <c r="X21" s="42">
        <f t="shared" si="2"/>
        <v>0</v>
      </c>
      <c r="Y21" s="42">
        <f t="shared" si="0"/>
        <v>0</v>
      </c>
      <c r="Z21" s="42"/>
      <c r="AA21" s="42"/>
      <c r="AB21" s="41"/>
      <c r="AC21" s="42">
        <v>0</v>
      </c>
      <c r="AD21" s="42">
        <v>0</v>
      </c>
      <c r="AE21" s="12">
        <v>0.308</v>
      </c>
      <c r="AF21" s="17">
        <v>0</v>
      </c>
      <c r="AG21" s="11">
        <v>28512</v>
      </c>
      <c r="AJ21" s="24"/>
      <c r="AK21" s="25">
        <v>12063755</v>
      </c>
      <c r="AL21" s="25">
        <v>12061353</v>
      </c>
      <c r="AM21" s="25">
        <v>12061354</v>
      </c>
      <c r="AN21" s="25">
        <v>12068566</v>
      </c>
      <c r="AO21" s="25"/>
      <c r="AP21" s="25">
        <v>12068565</v>
      </c>
      <c r="AQ21" s="25" t="s">
        <v>114</v>
      </c>
      <c r="AR21" s="25"/>
      <c r="AS21" s="25">
        <v>12068565</v>
      </c>
      <c r="AT21" s="25"/>
      <c r="AU21" s="25"/>
    </row>
    <row r="22" spans="1:47" ht="25" customHeight="1">
      <c r="B22" s="39">
        <v>43957</v>
      </c>
      <c r="C22" s="39">
        <v>43966</v>
      </c>
      <c r="D22" s="40" t="s">
        <v>127</v>
      </c>
      <c r="E22" s="40">
        <v>43953</v>
      </c>
      <c r="F22" s="40" t="s">
        <v>122</v>
      </c>
      <c r="G22" s="40" t="s">
        <v>104</v>
      </c>
      <c r="H22" s="41" t="s">
        <v>105</v>
      </c>
      <c r="I22" s="41" t="s">
        <v>106</v>
      </c>
      <c r="J22" s="41" t="s">
        <v>107</v>
      </c>
      <c r="K22" s="41" t="s">
        <v>108</v>
      </c>
      <c r="L22" s="40" t="s">
        <v>109</v>
      </c>
      <c r="M22" s="60" t="s">
        <v>110</v>
      </c>
      <c r="N22" s="55">
        <v>36</v>
      </c>
      <c r="O22" s="55">
        <v>5</v>
      </c>
      <c r="P22" s="28">
        <v>7.4999999999999997E-3</v>
      </c>
      <c r="Q22" s="40" t="s">
        <v>111</v>
      </c>
      <c r="R22" s="40" t="s">
        <v>112</v>
      </c>
      <c r="S22" s="40" t="s">
        <v>113</v>
      </c>
      <c r="T22" s="42">
        <v>792</v>
      </c>
      <c r="U22" s="70"/>
      <c r="V22" s="42">
        <v>792</v>
      </c>
      <c r="W22" s="74">
        <f t="shared" si="1"/>
        <v>0</v>
      </c>
      <c r="X22" s="42">
        <f t="shared" si="2"/>
        <v>0</v>
      </c>
      <c r="Y22" s="42">
        <f t="shared" si="0"/>
        <v>0</v>
      </c>
      <c r="Z22" s="42"/>
      <c r="AA22" s="42"/>
      <c r="AB22" s="41"/>
      <c r="AC22" s="42">
        <v>0</v>
      </c>
      <c r="AD22" s="42">
        <v>0</v>
      </c>
      <c r="AE22" s="12">
        <v>0.308</v>
      </c>
      <c r="AF22" s="17">
        <v>0</v>
      </c>
      <c r="AG22" s="11">
        <v>28512</v>
      </c>
      <c r="AJ22" s="24"/>
      <c r="AK22" s="25">
        <v>12063755</v>
      </c>
      <c r="AL22" s="25">
        <v>12061353</v>
      </c>
      <c r="AM22" s="25">
        <v>12061354</v>
      </c>
      <c r="AN22" s="25">
        <v>12068566</v>
      </c>
      <c r="AO22" s="25"/>
      <c r="AP22" s="25">
        <v>12068565</v>
      </c>
      <c r="AQ22" s="25" t="s">
        <v>114</v>
      </c>
      <c r="AR22" s="25"/>
      <c r="AS22" s="25">
        <v>12068565</v>
      </c>
      <c r="AT22" s="25"/>
      <c r="AU22" s="25"/>
    </row>
    <row r="23" spans="1:47" ht="25" customHeight="1">
      <c r="B23" s="39">
        <v>43957</v>
      </c>
      <c r="C23" s="39">
        <v>43966</v>
      </c>
      <c r="D23" s="40" t="s">
        <v>127</v>
      </c>
      <c r="E23" s="40">
        <v>43953</v>
      </c>
      <c r="F23" s="40" t="s">
        <v>123</v>
      </c>
      <c r="G23" s="40" t="s">
        <v>104</v>
      </c>
      <c r="H23" s="41" t="s">
        <v>105</v>
      </c>
      <c r="I23" s="41" t="s">
        <v>106</v>
      </c>
      <c r="J23" s="41" t="s">
        <v>107</v>
      </c>
      <c r="K23" s="41" t="s">
        <v>108</v>
      </c>
      <c r="L23" s="40" t="s">
        <v>109</v>
      </c>
      <c r="M23" s="60" t="s">
        <v>110</v>
      </c>
      <c r="N23" s="55">
        <v>36</v>
      </c>
      <c r="O23" s="55">
        <v>5</v>
      </c>
      <c r="P23" s="28">
        <v>7.4999999999999997E-3</v>
      </c>
      <c r="Q23" s="40" t="s">
        <v>111</v>
      </c>
      <c r="R23" s="40" t="s">
        <v>112</v>
      </c>
      <c r="S23" s="40" t="s">
        <v>113</v>
      </c>
      <c r="T23" s="42">
        <v>792</v>
      </c>
      <c r="U23" s="70"/>
      <c r="V23" s="42">
        <v>792</v>
      </c>
      <c r="W23" s="74">
        <f t="shared" si="1"/>
        <v>0</v>
      </c>
      <c r="X23" s="42">
        <f t="shared" si="2"/>
        <v>0</v>
      </c>
      <c r="Y23" s="42">
        <f t="shared" si="0"/>
        <v>0</v>
      </c>
      <c r="Z23" s="42"/>
      <c r="AA23" s="42"/>
      <c r="AB23" s="41"/>
      <c r="AC23" s="42">
        <v>0</v>
      </c>
      <c r="AD23" s="42">
        <v>0</v>
      </c>
      <c r="AE23" s="12">
        <v>0.308</v>
      </c>
      <c r="AF23" s="17">
        <v>0</v>
      </c>
      <c r="AG23" s="11">
        <v>28512</v>
      </c>
      <c r="AJ23" s="24"/>
      <c r="AK23" s="25">
        <v>12063755</v>
      </c>
      <c r="AL23" s="25">
        <v>12061353</v>
      </c>
      <c r="AM23" s="25">
        <v>12061354</v>
      </c>
      <c r="AN23" s="25">
        <v>12068566</v>
      </c>
      <c r="AO23" s="25"/>
      <c r="AP23" s="25">
        <v>12068565</v>
      </c>
      <c r="AQ23" s="25" t="s">
        <v>114</v>
      </c>
      <c r="AR23" s="25"/>
      <c r="AS23" s="25">
        <v>12068565</v>
      </c>
      <c r="AT23" s="25"/>
      <c r="AU23" s="25"/>
    </row>
    <row r="24" spans="1:47" ht="25" customHeight="1">
      <c r="B24" s="39">
        <v>43957</v>
      </c>
      <c r="C24" s="39">
        <v>43970</v>
      </c>
      <c r="D24" s="40" t="s">
        <v>127</v>
      </c>
      <c r="E24" s="40">
        <v>43953</v>
      </c>
      <c r="F24" s="40" t="s">
        <v>124</v>
      </c>
      <c r="G24" s="40" t="s">
        <v>104</v>
      </c>
      <c r="H24" s="41" t="s">
        <v>105</v>
      </c>
      <c r="I24" s="41" t="s">
        <v>106</v>
      </c>
      <c r="J24" s="41" t="s">
        <v>107</v>
      </c>
      <c r="K24" s="41" t="s">
        <v>108</v>
      </c>
      <c r="L24" s="40" t="s">
        <v>109</v>
      </c>
      <c r="M24" s="60" t="s">
        <v>110</v>
      </c>
      <c r="N24" s="55">
        <v>36</v>
      </c>
      <c r="O24" s="55">
        <v>5</v>
      </c>
      <c r="P24" s="28">
        <v>7.4999999999999997E-3</v>
      </c>
      <c r="Q24" s="40" t="s">
        <v>111</v>
      </c>
      <c r="R24" s="40" t="s">
        <v>112</v>
      </c>
      <c r="S24" s="40" t="s">
        <v>113</v>
      </c>
      <c r="T24" s="42">
        <v>792</v>
      </c>
      <c r="U24" s="70"/>
      <c r="V24" s="42">
        <v>792</v>
      </c>
      <c r="W24" s="74">
        <f t="shared" si="1"/>
        <v>0</v>
      </c>
      <c r="X24" s="42">
        <f t="shared" si="2"/>
        <v>0</v>
      </c>
      <c r="Y24" s="42">
        <f t="shared" si="0"/>
        <v>0</v>
      </c>
      <c r="Z24" s="42"/>
      <c r="AA24" s="42"/>
      <c r="AB24" s="41"/>
      <c r="AC24" s="42">
        <v>0</v>
      </c>
      <c r="AD24" s="42">
        <v>0</v>
      </c>
      <c r="AE24" s="12">
        <v>0.308</v>
      </c>
      <c r="AF24" s="17">
        <v>0</v>
      </c>
      <c r="AG24" s="11">
        <v>28512</v>
      </c>
      <c r="AJ24" s="24"/>
      <c r="AK24" s="25">
        <v>12063755</v>
      </c>
      <c r="AL24" s="25">
        <v>12061353</v>
      </c>
      <c r="AM24" s="25">
        <v>12061354</v>
      </c>
      <c r="AN24" s="25">
        <v>12068566</v>
      </c>
      <c r="AO24" s="25"/>
      <c r="AP24" s="25">
        <v>12068565</v>
      </c>
      <c r="AQ24" s="25" t="s">
        <v>114</v>
      </c>
      <c r="AR24" s="25"/>
      <c r="AS24" s="25">
        <v>12068565</v>
      </c>
      <c r="AT24" s="25"/>
      <c r="AU24" s="25"/>
    </row>
    <row r="25" spans="1:47" ht="25" customHeight="1">
      <c r="B25" s="39">
        <v>43957</v>
      </c>
      <c r="C25" s="39">
        <v>43970</v>
      </c>
      <c r="D25" s="40" t="s">
        <v>127</v>
      </c>
      <c r="E25" s="40">
        <v>43953</v>
      </c>
      <c r="F25" s="40" t="s">
        <v>125</v>
      </c>
      <c r="G25" s="40" t="s">
        <v>104</v>
      </c>
      <c r="H25" s="41" t="s">
        <v>105</v>
      </c>
      <c r="I25" s="41" t="s">
        <v>106</v>
      </c>
      <c r="J25" s="41" t="s">
        <v>107</v>
      </c>
      <c r="K25" s="41" t="s">
        <v>108</v>
      </c>
      <c r="L25" s="40" t="s">
        <v>109</v>
      </c>
      <c r="M25" s="60" t="s">
        <v>110</v>
      </c>
      <c r="N25" s="55">
        <v>36</v>
      </c>
      <c r="O25" s="55">
        <v>5</v>
      </c>
      <c r="P25" s="28">
        <v>7.4999999999999997E-3</v>
      </c>
      <c r="Q25" s="40" t="s">
        <v>111</v>
      </c>
      <c r="R25" s="40" t="s">
        <v>112</v>
      </c>
      <c r="S25" s="40" t="s">
        <v>113</v>
      </c>
      <c r="T25" s="42">
        <v>279</v>
      </c>
      <c r="U25" s="70"/>
      <c r="V25" s="42">
        <v>279</v>
      </c>
      <c r="W25" s="74">
        <f t="shared" si="1"/>
        <v>0</v>
      </c>
      <c r="X25" s="42">
        <f t="shared" si="2"/>
        <v>0</v>
      </c>
      <c r="Y25" s="42">
        <f t="shared" si="0"/>
        <v>0</v>
      </c>
      <c r="Z25" s="42"/>
      <c r="AA25" s="42"/>
      <c r="AB25" s="41"/>
      <c r="AC25" s="42">
        <v>0</v>
      </c>
      <c r="AD25" s="42">
        <v>0</v>
      </c>
      <c r="AE25" s="12">
        <v>0.308</v>
      </c>
      <c r="AF25" s="17">
        <v>0</v>
      </c>
      <c r="AG25" s="11">
        <v>10044</v>
      </c>
      <c r="AJ25" s="24"/>
      <c r="AK25" s="25">
        <v>12063755</v>
      </c>
      <c r="AL25" s="25">
        <v>12061353</v>
      </c>
      <c r="AM25" s="25">
        <v>12061354</v>
      </c>
      <c r="AN25" s="25">
        <v>12068566</v>
      </c>
      <c r="AO25" s="25"/>
      <c r="AP25" s="25">
        <v>12068565</v>
      </c>
      <c r="AQ25" s="25" t="s">
        <v>114</v>
      </c>
      <c r="AR25" s="25"/>
      <c r="AS25" s="25">
        <v>12068565</v>
      </c>
      <c r="AT25" s="25"/>
      <c r="AU25" s="25"/>
    </row>
    <row r="26" spans="1:47" ht="25" customHeight="1">
      <c r="A26" s="27" t="s">
        <v>120</v>
      </c>
      <c r="B26" s="39">
        <v>43957</v>
      </c>
      <c r="C26" s="39">
        <v>43965</v>
      </c>
      <c r="D26" s="40" t="s">
        <v>127</v>
      </c>
      <c r="E26" s="40">
        <v>43953</v>
      </c>
      <c r="F26" s="40" t="s">
        <v>81</v>
      </c>
      <c r="G26" s="40" t="s">
        <v>82</v>
      </c>
      <c r="H26" s="41" t="s">
        <v>83</v>
      </c>
      <c r="I26" s="41" t="s">
        <v>84</v>
      </c>
      <c r="J26" s="41" t="s">
        <v>85</v>
      </c>
      <c r="K26" s="41" t="s">
        <v>86</v>
      </c>
      <c r="L26" s="40" t="s">
        <v>87</v>
      </c>
      <c r="M26" s="60" t="s">
        <v>88</v>
      </c>
      <c r="N26" s="55">
        <v>8</v>
      </c>
      <c r="O26" s="55">
        <v>50</v>
      </c>
      <c r="P26" s="28">
        <v>6.8100000000000001E-3</v>
      </c>
      <c r="Q26" s="40" t="s">
        <v>76</v>
      </c>
      <c r="R26" s="40" t="s">
        <v>56</v>
      </c>
      <c r="S26" s="40" t="s">
        <v>89</v>
      </c>
      <c r="T26" s="42">
        <v>922</v>
      </c>
      <c r="U26" s="70"/>
      <c r="V26" s="42">
        <v>922</v>
      </c>
      <c r="W26" s="74">
        <f t="shared" si="1"/>
        <v>0</v>
      </c>
      <c r="X26" s="42">
        <f t="shared" si="2"/>
        <v>0</v>
      </c>
      <c r="Y26" s="42">
        <f t="shared" si="0"/>
        <v>0</v>
      </c>
      <c r="Z26" s="42">
        <v>6</v>
      </c>
      <c r="AA26" s="42">
        <v>0</v>
      </c>
      <c r="AB26" s="41" t="s">
        <v>90</v>
      </c>
      <c r="AC26" s="42">
        <v>0</v>
      </c>
      <c r="AD26" s="42">
        <v>0</v>
      </c>
      <c r="AE26" s="12">
        <v>0.63</v>
      </c>
      <c r="AF26" s="17">
        <v>0</v>
      </c>
      <c r="AG26" s="11">
        <v>7376</v>
      </c>
      <c r="AJ26" s="24" t="s">
        <v>91</v>
      </c>
      <c r="AK26" s="25">
        <v>12004862</v>
      </c>
      <c r="AL26" s="25">
        <v>12055234</v>
      </c>
      <c r="AM26" s="25"/>
      <c r="AN26" s="25" t="s">
        <v>92</v>
      </c>
      <c r="AO26" s="25"/>
      <c r="AP26" s="25">
        <v>12056200</v>
      </c>
      <c r="AQ26" s="25"/>
      <c r="AR26" s="25" t="s">
        <v>93</v>
      </c>
      <c r="AS26" s="25"/>
      <c r="AT26" s="25"/>
      <c r="AU26" s="25"/>
    </row>
    <row r="27" spans="1:47" ht="25" customHeight="1">
      <c r="B27" s="39">
        <v>43958</v>
      </c>
      <c r="C27" s="39">
        <v>43970</v>
      </c>
      <c r="D27" s="40" t="s">
        <v>127</v>
      </c>
      <c r="E27" s="40">
        <v>43953</v>
      </c>
      <c r="F27" s="40" t="s">
        <v>125</v>
      </c>
      <c r="G27" s="40" t="s">
        <v>104</v>
      </c>
      <c r="H27" s="41" t="s">
        <v>105</v>
      </c>
      <c r="I27" s="41" t="s">
        <v>106</v>
      </c>
      <c r="J27" s="41" t="s">
        <v>107</v>
      </c>
      <c r="K27" s="41" t="s">
        <v>108</v>
      </c>
      <c r="L27" s="40" t="s">
        <v>109</v>
      </c>
      <c r="M27" s="60" t="s">
        <v>110</v>
      </c>
      <c r="N27" s="55">
        <v>36</v>
      </c>
      <c r="O27" s="55">
        <v>5</v>
      </c>
      <c r="P27" s="28">
        <v>7.4999999999999997E-3</v>
      </c>
      <c r="Q27" s="40" t="s">
        <v>111</v>
      </c>
      <c r="R27" s="40" t="s">
        <v>112</v>
      </c>
      <c r="S27" s="40" t="s">
        <v>113</v>
      </c>
      <c r="T27" s="42">
        <v>513</v>
      </c>
      <c r="U27" s="70"/>
      <c r="V27" s="42">
        <v>513</v>
      </c>
      <c r="W27" s="74">
        <f t="shared" si="1"/>
        <v>0</v>
      </c>
      <c r="X27" s="42">
        <f t="shared" si="2"/>
        <v>0</v>
      </c>
      <c r="Y27" s="42">
        <f t="shared" si="0"/>
        <v>0</v>
      </c>
      <c r="Z27" s="42"/>
      <c r="AA27" s="42"/>
      <c r="AB27" s="41"/>
      <c r="AC27" s="42">
        <v>0</v>
      </c>
      <c r="AD27" s="42">
        <v>0</v>
      </c>
      <c r="AE27" s="12">
        <v>0.308</v>
      </c>
      <c r="AF27" s="17">
        <v>0</v>
      </c>
      <c r="AG27" s="11">
        <v>18468</v>
      </c>
      <c r="AJ27" s="24"/>
      <c r="AK27" s="25">
        <v>12063755</v>
      </c>
      <c r="AL27" s="25">
        <v>12061353</v>
      </c>
      <c r="AM27" s="25">
        <v>12061354</v>
      </c>
      <c r="AN27" s="25">
        <v>12068566</v>
      </c>
      <c r="AO27" s="25"/>
      <c r="AP27" s="25">
        <v>12068565</v>
      </c>
      <c r="AQ27" s="25" t="s">
        <v>114</v>
      </c>
      <c r="AR27" s="25"/>
      <c r="AS27" s="25">
        <v>12068565</v>
      </c>
      <c r="AT27" s="25"/>
      <c r="AU27" s="25"/>
    </row>
    <row r="28" spans="1:47" ht="25" customHeight="1">
      <c r="B28" s="39">
        <v>43958</v>
      </c>
      <c r="C28" s="39">
        <v>43970</v>
      </c>
      <c r="D28" s="40" t="s">
        <v>127</v>
      </c>
      <c r="E28" s="40">
        <v>43953</v>
      </c>
      <c r="F28" s="40" t="s">
        <v>128</v>
      </c>
      <c r="G28" s="40" t="s">
        <v>104</v>
      </c>
      <c r="H28" s="41" t="s">
        <v>105</v>
      </c>
      <c r="I28" s="41" t="s">
        <v>106</v>
      </c>
      <c r="J28" s="41" t="s">
        <v>107</v>
      </c>
      <c r="K28" s="41" t="s">
        <v>108</v>
      </c>
      <c r="L28" s="40" t="s">
        <v>109</v>
      </c>
      <c r="M28" s="60" t="s">
        <v>110</v>
      </c>
      <c r="N28" s="55">
        <v>36</v>
      </c>
      <c r="O28" s="55">
        <v>5</v>
      </c>
      <c r="P28" s="28">
        <v>7.4999999999999997E-3</v>
      </c>
      <c r="Q28" s="40" t="s">
        <v>111</v>
      </c>
      <c r="R28" s="40" t="s">
        <v>112</v>
      </c>
      <c r="S28" s="40" t="s">
        <v>113</v>
      </c>
      <c r="T28" s="42">
        <v>792</v>
      </c>
      <c r="U28" s="70"/>
      <c r="V28" s="42">
        <v>792</v>
      </c>
      <c r="W28" s="74">
        <f t="shared" si="1"/>
        <v>0</v>
      </c>
      <c r="X28" s="42">
        <f t="shared" si="2"/>
        <v>0</v>
      </c>
      <c r="Y28" s="42">
        <f t="shared" si="0"/>
        <v>0</v>
      </c>
      <c r="Z28" s="42"/>
      <c r="AA28" s="42"/>
      <c r="AB28" s="41"/>
      <c r="AC28" s="42">
        <v>0</v>
      </c>
      <c r="AD28" s="42">
        <v>0</v>
      </c>
      <c r="AE28" s="12">
        <v>0.308</v>
      </c>
      <c r="AF28" s="17">
        <v>0</v>
      </c>
      <c r="AG28" s="11">
        <v>28512</v>
      </c>
      <c r="AJ28" s="24"/>
      <c r="AK28" s="25">
        <v>12063755</v>
      </c>
      <c r="AL28" s="25">
        <v>12061353</v>
      </c>
      <c r="AM28" s="25">
        <v>12061354</v>
      </c>
      <c r="AN28" s="25">
        <v>12068566</v>
      </c>
      <c r="AO28" s="25"/>
      <c r="AP28" s="25">
        <v>12068565</v>
      </c>
      <c r="AQ28" s="25" t="s">
        <v>114</v>
      </c>
      <c r="AR28" s="25"/>
      <c r="AS28" s="25">
        <v>12068565</v>
      </c>
      <c r="AT28" s="25"/>
      <c r="AU28" s="25"/>
    </row>
    <row r="29" spans="1:47" ht="25" customHeight="1">
      <c r="B29" s="39">
        <v>43958</v>
      </c>
      <c r="C29" s="39">
        <v>43971</v>
      </c>
      <c r="D29" s="40" t="s">
        <v>127</v>
      </c>
      <c r="E29" s="40">
        <v>43953</v>
      </c>
      <c r="F29" s="40" t="s">
        <v>129</v>
      </c>
      <c r="G29" s="40" t="s">
        <v>104</v>
      </c>
      <c r="H29" s="41" t="s">
        <v>105</v>
      </c>
      <c r="I29" s="41" t="s">
        <v>106</v>
      </c>
      <c r="J29" s="41" t="s">
        <v>107</v>
      </c>
      <c r="K29" s="41" t="s">
        <v>108</v>
      </c>
      <c r="L29" s="40" t="s">
        <v>109</v>
      </c>
      <c r="M29" s="60" t="s">
        <v>110</v>
      </c>
      <c r="N29" s="55">
        <v>36</v>
      </c>
      <c r="O29" s="55">
        <v>5</v>
      </c>
      <c r="P29" s="28">
        <v>7.4999999999999997E-3</v>
      </c>
      <c r="Q29" s="40" t="s">
        <v>111</v>
      </c>
      <c r="R29" s="40" t="s">
        <v>112</v>
      </c>
      <c r="S29" s="40" t="s">
        <v>113</v>
      </c>
      <c r="T29" s="42">
        <v>792</v>
      </c>
      <c r="U29" s="70"/>
      <c r="V29" s="42">
        <v>792</v>
      </c>
      <c r="W29" s="74">
        <f t="shared" si="1"/>
        <v>0</v>
      </c>
      <c r="X29" s="42">
        <f t="shared" si="2"/>
        <v>0</v>
      </c>
      <c r="Y29" s="42">
        <f t="shared" si="0"/>
        <v>0</v>
      </c>
      <c r="Z29" s="42"/>
      <c r="AA29" s="42"/>
      <c r="AB29" s="41"/>
      <c r="AC29" s="42">
        <v>0</v>
      </c>
      <c r="AD29" s="42">
        <v>0</v>
      </c>
      <c r="AE29" s="12">
        <v>0.308</v>
      </c>
      <c r="AF29" s="17">
        <v>0</v>
      </c>
      <c r="AG29" s="11">
        <v>28512</v>
      </c>
      <c r="AJ29" s="24"/>
      <c r="AK29" s="25">
        <v>12063755</v>
      </c>
      <c r="AL29" s="25">
        <v>12061353</v>
      </c>
      <c r="AM29" s="25">
        <v>12061354</v>
      </c>
      <c r="AN29" s="25">
        <v>12068566</v>
      </c>
      <c r="AO29" s="25"/>
      <c r="AP29" s="25">
        <v>12068565</v>
      </c>
      <c r="AQ29" s="25" t="s">
        <v>114</v>
      </c>
      <c r="AR29" s="25"/>
      <c r="AS29" s="25">
        <v>12068565</v>
      </c>
      <c r="AT29" s="25"/>
      <c r="AU29" s="25"/>
    </row>
    <row r="30" spans="1:47" ht="25" customHeight="1">
      <c r="B30" s="39">
        <v>43958</v>
      </c>
      <c r="C30" s="39">
        <v>43971</v>
      </c>
      <c r="D30" s="40" t="s">
        <v>127</v>
      </c>
      <c r="E30" s="40">
        <v>43953</v>
      </c>
      <c r="F30" s="40" t="s">
        <v>130</v>
      </c>
      <c r="G30" s="40" t="s">
        <v>104</v>
      </c>
      <c r="H30" s="41" t="s">
        <v>105</v>
      </c>
      <c r="I30" s="41" t="s">
        <v>106</v>
      </c>
      <c r="J30" s="41" t="s">
        <v>107</v>
      </c>
      <c r="K30" s="41" t="s">
        <v>108</v>
      </c>
      <c r="L30" s="40" t="s">
        <v>109</v>
      </c>
      <c r="M30" s="60" t="s">
        <v>110</v>
      </c>
      <c r="N30" s="55">
        <v>36</v>
      </c>
      <c r="O30" s="55">
        <v>5</v>
      </c>
      <c r="P30" s="28">
        <v>7.4999999999999997E-3</v>
      </c>
      <c r="Q30" s="40" t="s">
        <v>111</v>
      </c>
      <c r="R30" s="40" t="s">
        <v>112</v>
      </c>
      <c r="S30" s="40" t="s">
        <v>113</v>
      </c>
      <c r="T30" s="42">
        <v>792</v>
      </c>
      <c r="U30" s="70"/>
      <c r="V30" s="42">
        <v>792</v>
      </c>
      <c r="W30" s="74">
        <f t="shared" si="1"/>
        <v>0</v>
      </c>
      <c r="X30" s="42">
        <f t="shared" si="2"/>
        <v>0</v>
      </c>
      <c r="Y30" s="42">
        <f t="shared" si="0"/>
        <v>0</v>
      </c>
      <c r="Z30" s="42"/>
      <c r="AA30" s="42"/>
      <c r="AB30" s="41"/>
      <c r="AC30" s="42">
        <v>0</v>
      </c>
      <c r="AD30" s="42">
        <v>0</v>
      </c>
      <c r="AE30" s="12">
        <v>0.308</v>
      </c>
      <c r="AF30" s="17">
        <v>0</v>
      </c>
      <c r="AG30" s="11">
        <v>28512</v>
      </c>
      <c r="AJ30" s="24"/>
      <c r="AK30" s="25">
        <v>12063755</v>
      </c>
      <c r="AL30" s="25">
        <v>12061353</v>
      </c>
      <c r="AM30" s="25">
        <v>12061354</v>
      </c>
      <c r="AN30" s="25">
        <v>12068566</v>
      </c>
      <c r="AO30" s="25"/>
      <c r="AP30" s="25">
        <v>12068565</v>
      </c>
      <c r="AQ30" s="25" t="s">
        <v>114</v>
      </c>
      <c r="AR30" s="25"/>
      <c r="AS30" s="25">
        <v>12068565</v>
      </c>
      <c r="AT30" s="25"/>
      <c r="AU30" s="25"/>
    </row>
    <row r="31" spans="1:47" ht="25" customHeight="1">
      <c r="B31" s="39">
        <v>43958</v>
      </c>
      <c r="C31" s="39">
        <v>43971</v>
      </c>
      <c r="D31" s="40" t="s">
        <v>127</v>
      </c>
      <c r="E31" s="40">
        <v>43953</v>
      </c>
      <c r="F31" s="40" t="s">
        <v>131</v>
      </c>
      <c r="G31" s="40" t="s">
        <v>104</v>
      </c>
      <c r="H31" s="41" t="s">
        <v>105</v>
      </c>
      <c r="I31" s="41" t="s">
        <v>106</v>
      </c>
      <c r="J31" s="41" t="s">
        <v>107</v>
      </c>
      <c r="K31" s="41" t="s">
        <v>108</v>
      </c>
      <c r="L31" s="40" t="s">
        <v>109</v>
      </c>
      <c r="M31" s="60" t="s">
        <v>110</v>
      </c>
      <c r="N31" s="55">
        <v>36</v>
      </c>
      <c r="O31" s="55">
        <v>5</v>
      </c>
      <c r="P31" s="28">
        <v>7.4999999999999997E-3</v>
      </c>
      <c r="Q31" s="40" t="s">
        <v>111</v>
      </c>
      <c r="R31" s="40" t="s">
        <v>112</v>
      </c>
      <c r="S31" s="40" t="s">
        <v>113</v>
      </c>
      <c r="T31" s="42">
        <v>792</v>
      </c>
      <c r="U31" s="70"/>
      <c r="V31" s="42">
        <v>792</v>
      </c>
      <c r="W31" s="74">
        <f t="shared" si="1"/>
        <v>0</v>
      </c>
      <c r="X31" s="42">
        <f t="shared" si="2"/>
        <v>0</v>
      </c>
      <c r="Y31" s="42">
        <f t="shared" si="0"/>
        <v>0</v>
      </c>
      <c r="Z31" s="42"/>
      <c r="AA31" s="42"/>
      <c r="AB31" s="41"/>
      <c r="AC31" s="42">
        <v>0</v>
      </c>
      <c r="AD31" s="42">
        <v>0</v>
      </c>
      <c r="AE31" s="12">
        <v>0.308</v>
      </c>
      <c r="AF31" s="17">
        <v>0</v>
      </c>
      <c r="AG31" s="11">
        <v>28512</v>
      </c>
      <c r="AJ31" s="24"/>
      <c r="AK31" s="25">
        <v>12063755</v>
      </c>
      <c r="AL31" s="25">
        <v>12061353</v>
      </c>
      <c r="AM31" s="25">
        <v>12061354</v>
      </c>
      <c r="AN31" s="25">
        <v>12068566</v>
      </c>
      <c r="AO31" s="25"/>
      <c r="AP31" s="25">
        <v>12068565</v>
      </c>
      <c r="AQ31" s="25" t="s">
        <v>114</v>
      </c>
      <c r="AR31" s="25"/>
      <c r="AS31" s="25">
        <v>12068565</v>
      </c>
      <c r="AT31" s="25"/>
      <c r="AU31" s="25"/>
    </row>
    <row r="32" spans="1:47" ht="25" customHeight="1">
      <c r="B32" s="39">
        <v>43958</v>
      </c>
      <c r="C32" s="39">
        <v>43973</v>
      </c>
      <c r="D32" s="40" t="s">
        <v>127</v>
      </c>
      <c r="E32" s="40">
        <v>43953</v>
      </c>
      <c r="F32" s="40" t="s">
        <v>132</v>
      </c>
      <c r="G32" s="40" t="s">
        <v>104</v>
      </c>
      <c r="H32" s="41" t="s">
        <v>105</v>
      </c>
      <c r="I32" s="41" t="s">
        <v>106</v>
      </c>
      <c r="J32" s="41" t="s">
        <v>107</v>
      </c>
      <c r="K32" s="41" t="s">
        <v>108</v>
      </c>
      <c r="L32" s="40" t="s">
        <v>109</v>
      </c>
      <c r="M32" s="60" t="s">
        <v>110</v>
      </c>
      <c r="N32" s="55">
        <v>36</v>
      </c>
      <c r="O32" s="55">
        <v>5</v>
      </c>
      <c r="P32" s="28">
        <v>7.4999999999999997E-3</v>
      </c>
      <c r="Q32" s="40" t="s">
        <v>111</v>
      </c>
      <c r="R32" s="40" t="s">
        <v>112</v>
      </c>
      <c r="S32" s="40" t="s">
        <v>113</v>
      </c>
      <c r="T32" s="42">
        <v>165</v>
      </c>
      <c r="U32" s="70"/>
      <c r="V32" s="42">
        <v>165</v>
      </c>
      <c r="W32" s="74">
        <f t="shared" si="1"/>
        <v>0</v>
      </c>
      <c r="X32" s="42">
        <f t="shared" si="2"/>
        <v>0</v>
      </c>
      <c r="Y32" s="42">
        <f t="shared" si="0"/>
        <v>0</v>
      </c>
      <c r="Z32" s="42"/>
      <c r="AA32" s="42"/>
      <c r="AB32" s="41"/>
      <c r="AC32" s="42">
        <v>0</v>
      </c>
      <c r="AD32" s="42">
        <v>0</v>
      </c>
      <c r="AE32" s="12">
        <v>0.308</v>
      </c>
      <c r="AF32" s="17">
        <v>0</v>
      </c>
      <c r="AG32" s="11">
        <v>5940</v>
      </c>
      <c r="AJ32" s="24"/>
      <c r="AK32" s="25">
        <v>12063755</v>
      </c>
      <c r="AL32" s="25">
        <v>12061353</v>
      </c>
      <c r="AM32" s="25">
        <v>12061354</v>
      </c>
      <c r="AN32" s="25">
        <v>12068566</v>
      </c>
      <c r="AO32" s="25"/>
      <c r="AP32" s="25">
        <v>12068565</v>
      </c>
      <c r="AQ32" s="25" t="s">
        <v>114</v>
      </c>
      <c r="AR32" s="25"/>
      <c r="AS32" s="25">
        <v>12068565</v>
      </c>
      <c r="AT32" s="25"/>
      <c r="AU32" s="25"/>
    </row>
    <row r="33" spans="1:47" ht="25" customHeight="1">
      <c r="A33" s="27" t="s">
        <v>120</v>
      </c>
      <c r="B33" s="39">
        <v>43958</v>
      </c>
      <c r="C33" s="39">
        <v>43965</v>
      </c>
      <c r="D33" s="40" t="s">
        <v>127</v>
      </c>
      <c r="E33" s="40">
        <v>43953</v>
      </c>
      <c r="F33" s="40" t="s">
        <v>81</v>
      </c>
      <c r="G33" s="40" t="s">
        <v>82</v>
      </c>
      <c r="H33" s="41" t="s">
        <v>83</v>
      </c>
      <c r="I33" s="41" t="s">
        <v>84</v>
      </c>
      <c r="J33" s="41" t="s">
        <v>85</v>
      </c>
      <c r="K33" s="41" t="s">
        <v>86</v>
      </c>
      <c r="L33" s="40" t="s">
        <v>87</v>
      </c>
      <c r="M33" s="60" t="s">
        <v>88</v>
      </c>
      <c r="N33" s="55">
        <v>8</v>
      </c>
      <c r="O33" s="55">
        <v>50</v>
      </c>
      <c r="P33" s="28">
        <v>6.8100000000000001E-3</v>
      </c>
      <c r="Q33" s="40" t="s">
        <v>76</v>
      </c>
      <c r="R33" s="40" t="s">
        <v>56</v>
      </c>
      <c r="S33" s="40" t="s">
        <v>89</v>
      </c>
      <c r="T33" s="42">
        <v>855</v>
      </c>
      <c r="U33" s="70"/>
      <c r="V33" s="42">
        <v>855</v>
      </c>
      <c r="W33" s="74">
        <f t="shared" si="1"/>
        <v>0</v>
      </c>
      <c r="X33" s="42">
        <f t="shared" si="2"/>
        <v>0</v>
      </c>
      <c r="Y33" s="42">
        <f t="shared" si="0"/>
        <v>0</v>
      </c>
      <c r="Z33" s="42">
        <v>6</v>
      </c>
      <c r="AA33" s="42">
        <v>0</v>
      </c>
      <c r="AB33" s="41" t="s">
        <v>90</v>
      </c>
      <c r="AC33" s="42">
        <v>0</v>
      </c>
      <c r="AD33" s="42">
        <v>0</v>
      </c>
      <c r="AE33" s="12">
        <v>0.63</v>
      </c>
      <c r="AF33" s="17">
        <v>0</v>
      </c>
      <c r="AG33" s="11">
        <v>6840</v>
      </c>
      <c r="AJ33" s="24" t="s">
        <v>91</v>
      </c>
      <c r="AK33" s="25">
        <v>12004862</v>
      </c>
      <c r="AL33" s="25">
        <v>12055234</v>
      </c>
      <c r="AM33" s="25"/>
      <c r="AN33" s="25" t="s">
        <v>92</v>
      </c>
      <c r="AO33" s="25"/>
      <c r="AP33" s="25">
        <v>12056200</v>
      </c>
      <c r="AQ33" s="25"/>
      <c r="AR33" s="25" t="s">
        <v>93</v>
      </c>
      <c r="AS33" s="25"/>
      <c r="AT33" s="25"/>
      <c r="AU33" s="25"/>
    </row>
    <row r="34" spans="1:47" ht="25" customHeight="1">
      <c r="B34" s="39">
        <v>43959</v>
      </c>
      <c r="C34" s="39">
        <v>43963</v>
      </c>
      <c r="D34" s="40" t="s">
        <v>127</v>
      </c>
      <c r="E34" s="40">
        <v>43953</v>
      </c>
      <c r="F34" s="40" t="s">
        <v>133</v>
      </c>
      <c r="G34" s="40" t="s">
        <v>134</v>
      </c>
      <c r="H34" s="41" t="s">
        <v>135</v>
      </c>
      <c r="I34" s="41" t="s">
        <v>106</v>
      </c>
      <c r="J34" s="41" t="s">
        <v>107</v>
      </c>
      <c r="K34" s="41" t="s">
        <v>136</v>
      </c>
      <c r="L34" s="40" t="s">
        <v>137</v>
      </c>
      <c r="M34" s="60" t="s">
        <v>138</v>
      </c>
      <c r="N34" s="55">
        <v>24</v>
      </c>
      <c r="O34" s="55">
        <v>3</v>
      </c>
      <c r="P34" s="28">
        <v>7.4999999999999997E-3</v>
      </c>
      <c r="Q34" s="40" t="s">
        <v>111</v>
      </c>
      <c r="R34" s="40" t="s">
        <v>56</v>
      </c>
      <c r="S34" s="40" t="s">
        <v>139</v>
      </c>
      <c r="T34" s="42">
        <v>500</v>
      </c>
      <c r="U34" s="70"/>
      <c r="V34" s="42"/>
      <c r="W34" s="74">
        <f t="shared" si="1"/>
        <v>-500</v>
      </c>
      <c r="X34" s="42">
        <f t="shared" si="2"/>
        <v>12000</v>
      </c>
      <c r="Y34" s="42">
        <f t="shared" si="0"/>
        <v>36000</v>
      </c>
      <c r="Z34" s="42">
        <v>1</v>
      </c>
      <c r="AA34" s="42">
        <v>0</v>
      </c>
      <c r="AB34" s="41"/>
      <c r="AC34" s="42">
        <v>0</v>
      </c>
      <c r="AD34" s="42">
        <v>0</v>
      </c>
      <c r="AE34" s="12">
        <v>0.219</v>
      </c>
      <c r="AF34" s="17">
        <v>0</v>
      </c>
      <c r="AG34" s="11">
        <v>12000</v>
      </c>
      <c r="AJ34" s="24"/>
      <c r="AK34" s="25">
        <v>12062338</v>
      </c>
      <c r="AL34" s="25" t="s">
        <v>140</v>
      </c>
      <c r="AM34" s="25" t="s">
        <v>141</v>
      </c>
      <c r="AN34" s="25"/>
      <c r="AO34" s="25" t="s">
        <v>142</v>
      </c>
      <c r="AP34" s="25" t="s">
        <v>143</v>
      </c>
      <c r="AQ34" s="25" t="s">
        <v>144</v>
      </c>
      <c r="AR34" s="25"/>
      <c r="AS34" s="25" t="s">
        <v>145</v>
      </c>
      <c r="AT34" s="25" t="s">
        <v>146</v>
      </c>
      <c r="AU34" s="25" t="s">
        <v>147</v>
      </c>
    </row>
    <row r="35" spans="1:47" ht="25" customHeight="1">
      <c r="B35" s="39">
        <v>43959</v>
      </c>
      <c r="C35" s="39">
        <v>43973</v>
      </c>
      <c r="D35" s="40" t="s">
        <v>127</v>
      </c>
      <c r="E35" s="40">
        <v>43953</v>
      </c>
      <c r="F35" s="40" t="s">
        <v>132</v>
      </c>
      <c r="G35" s="40" t="s">
        <v>104</v>
      </c>
      <c r="H35" s="41" t="s">
        <v>105</v>
      </c>
      <c r="I35" s="41" t="s">
        <v>106</v>
      </c>
      <c r="J35" s="41" t="s">
        <v>107</v>
      </c>
      <c r="K35" s="41" t="s">
        <v>108</v>
      </c>
      <c r="L35" s="40" t="s">
        <v>109</v>
      </c>
      <c r="M35" s="60" t="s">
        <v>110</v>
      </c>
      <c r="N35" s="55">
        <v>36</v>
      </c>
      <c r="O35" s="55">
        <v>5</v>
      </c>
      <c r="P35" s="28">
        <v>7.4999999999999997E-3</v>
      </c>
      <c r="Q35" s="40" t="s">
        <v>111</v>
      </c>
      <c r="R35" s="40" t="s">
        <v>112</v>
      </c>
      <c r="S35" s="40" t="s">
        <v>113</v>
      </c>
      <c r="T35" s="42">
        <v>627</v>
      </c>
      <c r="U35" s="70"/>
      <c r="V35" s="42"/>
      <c r="W35" s="74">
        <f t="shared" si="1"/>
        <v>-627</v>
      </c>
      <c r="X35" s="42">
        <f t="shared" si="2"/>
        <v>22572</v>
      </c>
      <c r="Y35" s="42">
        <f t="shared" si="0"/>
        <v>112860</v>
      </c>
      <c r="Z35" s="42"/>
      <c r="AA35" s="42"/>
      <c r="AB35" s="41"/>
      <c r="AC35" s="42">
        <v>0</v>
      </c>
      <c r="AD35" s="42">
        <v>0</v>
      </c>
      <c r="AE35" s="12">
        <v>0.308</v>
      </c>
      <c r="AF35" s="17">
        <v>0</v>
      </c>
      <c r="AG35" s="11">
        <v>22572</v>
      </c>
      <c r="AJ35" s="24"/>
      <c r="AK35" s="25">
        <v>12063755</v>
      </c>
      <c r="AL35" s="25">
        <v>12061353</v>
      </c>
      <c r="AM35" s="25">
        <v>12061354</v>
      </c>
      <c r="AN35" s="25">
        <v>12068566</v>
      </c>
      <c r="AO35" s="25"/>
      <c r="AP35" s="25">
        <v>12068565</v>
      </c>
      <c r="AQ35" s="25" t="s">
        <v>114</v>
      </c>
      <c r="AR35" s="25"/>
      <c r="AS35" s="25">
        <v>12068565</v>
      </c>
      <c r="AT35" s="25"/>
      <c r="AU35" s="25"/>
    </row>
    <row r="36" spans="1:47" ht="25" customHeight="1">
      <c r="B36" s="39">
        <v>43959</v>
      </c>
      <c r="C36" s="39">
        <v>43973</v>
      </c>
      <c r="D36" s="40" t="s">
        <v>127</v>
      </c>
      <c r="E36" s="40">
        <v>43953</v>
      </c>
      <c r="F36" s="40" t="s">
        <v>148</v>
      </c>
      <c r="G36" s="40" t="s">
        <v>104</v>
      </c>
      <c r="H36" s="41" t="s">
        <v>105</v>
      </c>
      <c r="I36" s="41" t="s">
        <v>106</v>
      </c>
      <c r="J36" s="41" t="s">
        <v>107</v>
      </c>
      <c r="K36" s="41" t="s">
        <v>108</v>
      </c>
      <c r="L36" s="40" t="s">
        <v>109</v>
      </c>
      <c r="M36" s="60" t="s">
        <v>110</v>
      </c>
      <c r="N36" s="55">
        <v>36</v>
      </c>
      <c r="O36" s="55">
        <v>5</v>
      </c>
      <c r="P36" s="28">
        <v>7.4999999999999997E-3</v>
      </c>
      <c r="Q36" s="40" t="s">
        <v>111</v>
      </c>
      <c r="R36" s="40" t="s">
        <v>112</v>
      </c>
      <c r="S36" s="40" t="s">
        <v>113</v>
      </c>
      <c r="T36" s="42">
        <v>792</v>
      </c>
      <c r="U36" s="70"/>
      <c r="V36" s="42"/>
      <c r="W36" s="74">
        <f t="shared" si="1"/>
        <v>-792</v>
      </c>
      <c r="X36" s="42">
        <f t="shared" si="2"/>
        <v>28512</v>
      </c>
      <c r="Y36" s="42">
        <f t="shared" si="0"/>
        <v>142560</v>
      </c>
      <c r="Z36" s="42"/>
      <c r="AA36" s="42"/>
      <c r="AB36" s="41"/>
      <c r="AC36" s="42">
        <v>0</v>
      </c>
      <c r="AD36" s="42">
        <v>0</v>
      </c>
      <c r="AE36" s="12">
        <v>0.308</v>
      </c>
      <c r="AF36" s="17">
        <v>0</v>
      </c>
      <c r="AG36" s="11">
        <v>28512</v>
      </c>
      <c r="AJ36" s="24"/>
      <c r="AK36" s="25">
        <v>12063755</v>
      </c>
      <c r="AL36" s="25">
        <v>12061353</v>
      </c>
      <c r="AM36" s="25">
        <v>12061354</v>
      </c>
      <c r="AN36" s="25">
        <v>12068566</v>
      </c>
      <c r="AO36" s="25"/>
      <c r="AP36" s="25">
        <v>12068565</v>
      </c>
      <c r="AQ36" s="25" t="s">
        <v>114</v>
      </c>
      <c r="AR36" s="25"/>
      <c r="AS36" s="25">
        <v>12068565</v>
      </c>
      <c r="AT36" s="25"/>
      <c r="AU36" s="25"/>
    </row>
    <row r="37" spans="1:47" ht="25" customHeight="1">
      <c r="B37" s="39">
        <v>43959</v>
      </c>
      <c r="C37" s="39">
        <v>43977</v>
      </c>
      <c r="D37" s="40" t="s">
        <v>127</v>
      </c>
      <c r="E37" s="40">
        <v>43953</v>
      </c>
      <c r="F37" s="40" t="s">
        <v>149</v>
      </c>
      <c r="G37" s="40" t="s">
        <v>104</v>
      </c>
      <c r="H37" s="41" t="s">
        <v>105</v>
      </c>
      <c r="I37" s="41" t="s">
        <v>106</v>
      </c>
      <c r="J37" s="41" t="s">
        <v>107</v>
      </c>
      <c r="K37" s="41" t="s">
        <v>108</v>
      </c>
      <c r="L37" s="40" t="s">
        <v>109</v>
      </c>
      <c r="M37" s="60" t="s">
        <v>110</v>
      </c>
      <c r="N37" s="55">
        <v>36</v>
      </c>
      <c r="O37" s="55">
        <v>5</v>
      </c>
      <c r="P37" s="28">
        <v>7.4999999999999997E-3</v>
      </c>
      <c r="Q37" s="40" t="s">
        <v>111</v>
      </c>
      <c r="R37" s="40" t="s">
        <v>112</v>
      </c>
      <c r="S37" s="40" t="s">
        <v>113</v>
      </c>
      <c r="T37" s="42">
        <v>762</v>
      </c>
      <c r="U37" s="70"/>
      <c r="V37" s="42"/>
      <c r="W37" s="74">
        <f t="shared" si="1"/>
        <v>-762</v>
      </c>
      <c r="X37" s="42">
        <f t="shared" si="2"/>
        <v>27432</v>
      </c>
      <c r="Y37" s="42">
        <f t="shared" si="0"/>
        <v>137160</v>
      </c>
      <c r="Z37" s="42"/>
      <c r="AA37" s="42"/>
      <c r="AB37" s="41"/>
      <c r="AC37" s="42">
        <v>0</v>
      </c>
      <c r="AD37" s="42">
        <v>0</v>
      </c>
      <c r="AE37" s="12">
        <v>0.308</v>
      </c>
      <c r="AF37" s="17">
        <v>0</v>
      </c>
      <c r="AG37" s="11">
        <v>27432</v>
      </c>
      <c r="AJ37" s="24"/>
      <c r="AK37" s="25">
        <v>12063755</v>
      </c>
      <c r="AL37" s="25">
        <v>12061353</v>
      </c>
      <c r="AM37" s="25">
        <v>12061354</v>
      </c>
      <c r="AN37" s="25">
        <v>12068566</v>
      </c>
      <c r="AO37" s="25"/>
      <c r="AP37" s="25">
        <v>12068565</v>
      </c>
      <c r="AQ37" s="25" t="s">
        <v>114</v>
      </c>
      <c r="AR37" s="25"/>
      <c r="AS37" s="25">
        <v>12068565</v>
      </c>
      <c r="AT37" s="25"/>
      <c r="AU37" s="25"/>
    </row>
    <row r="38" spans="1:47" ht="25" customHeight="1">
      <c r="B38" s="39">
        <v>43959</v>
      </c>
      <c r="C38" s="39">
        <v>43978</v>
      </c>
      <c r="D38" s="40" t="s">
        <v>127</v>
      </c>
      <c r="E38" s="40">
        <v>43953</v>
      </c>
      <c r="F38" s="40" t="s">
        <v>150</v>
      </c>
      <c r="G38" s="40" t="s">
        <v>104</v>
      </c>
      <c r="H38" s="41" t="s">
        <v>105</v>
      </c>
      <c r="I38" s="41" t="s">
        <v>106</v>
      </c>
      <c r="J38" s="41" t="s">
        <v>107</v>
      </c>
      <c r="K38" s="41" t="s">
        <v>108</v>
      </c>
      <c r="L38" s="40" t="s">
        <v>109</v>
      </c>
      <c r="M38" s="60" t="s">
        <v>110</v>
      </c>
      <c r="N38" s="55">
        <v>36</v>
      </c>
      <c r="O38" s="55">
        <v>5</v>
      </c>
      <c r="P38" s="28">
        <v>7.4999999999999997E-3</v>
      </c>
      <c r="Q38" s="40" t="s">
        <v>111</v>
      </c>
      <c r="R38" s="40" t="s">
        <v>112</v>
      </c>
      <c r="S38" s="40" t="s">
        <v>113</v>
      </c>
      <c r="T38" s="42">
        <v>792</v>
      </c>
      <c r="U38" s="70"/>
      <c r="V38" s="42"/>
      <c r="W38" s="74">
        <f t="shared" si="1"/>
        <v>-792</v>
      </c>
      <c r="X38" s="42">
        <f t="shared" si="2"/>
        <v>28512</v>
      </c>
      <c r="Y38" s="42">
        <f t="shared" si="0"/>
        <v>142560</v>
      </c>
      <c r="Z38" s="42"/>
      <c r="AA38" s="42"/>
      <c r="AB38" s="41"/>
      <c r="AC38" s="42">
        <v>0</v>
      </c>
      <c r="AD38" s="42">
        <v>0</v>
      </c>
      <c r="AE38" s="12">
        <v>0.308</v>
      </c>
      <c r="AF38" s="17">
        <v>0</v>
      </c>
      <c r="AG38" s="11">
        <v>28512</v>
      </c>
      <c r="AJ38" s="24"/>
      <c r="AK38" s="25">
        <v>12063755</v>
      </c>
      <c r="AL38" s="25">
        <v>12061353</v>
      </c>
      <c r="AM38" s="25">
        <v>12061354</v>
      </c>
      <c r="AN38" s="25">
        <v>12068566</v>
      </c>
      <c r="AO38" s="25"/>
      <c r="AP38" s="25">
        <v>12068565</v>
      </c>
      <c r="AQ38" s="25" t="s">
        <v>114</v>
      </c>
      <c r="AR38" s="25"/>
      <c r="AS38" s="25">
        <v>12068565</v>
      </c>
      <c r="AT38" s="25"/>
      <c r="AU38" s="25"/>
    </row>
    <row r="39" spans="1:47" ht="25" customHeight="1">
      <c r="B39" s="39">
        <v>43959</v>
      </c>
      <c r="C39" s="39">
        <v>43978</v>
      </c>
      <c r="D39" s="40" t="s">
        <v>127</v>
      </c>
      <c r="E39" s="40">
        <v>43953</v>
      </c>
      <c r="F39" s="40" t="s">
        <v>151</v>
      </c>
      <c r="G39" s="40" t="s">
        <v>104</v>
      </c>
      <c r="H39" s="41" t="s">
        <v>105</v>
      </c>
      <c r="I39" s="41" t="s">
        <v>106</v>
      </c>
      <c r="J39" s="41" t="s">
        <v>107</v>
      </c>
      <c r="K39" s="41" t="s">
        <v>108</v>
      </c>
      <c r="L39" s="40" t="s">
        <v>109</v>
      </c>
      <c r="M39" s="60" t="s">
        <v>110</v>
      </c>
      <c r="N39" s="55">
        <v>36</v>
      </c>
      <c r="O39" s="55">
        <v>5</v>
      </c>
      <c r="P39" s="28">
        <v>7.4999999999999997E-3</v>
      </c>
      <c r="Q39" s="40" t="s">
        <v>111</v>
      </c>
      <c r="R39" s="40" t="s">
        <v>112</v>
      </c>
      <c r="S39" s="40" t="s">
        <v>113</v>
      </c>
      <c r="T39" s="42">
        <v>420</v>
      </c>
      <c r="U39" s="70"/>
      <c r="V39" s="42"/>
      <c r="W39" s="74">
        <f t="shared" si="1"/>
        <v>-420</v>
      </c>
      <c r="X39" s="42">
        <f t="shared" si="2"/>
        <v>15120</v>
      </c>
      <c r="Y39" s="42">
        <f t="shared" si="0"/>
        <v>75600</v>
      </c>
      <c r="Z39" s="42"/>
      <c r="AA39" s="42"/>
      <c r="AB39" s="41"/>
      <c r="AC39" s="42">
        <v>0</v>
      </c>
      <c r="AD39" s="42">
        <v>0</v>
      </c>
      <c r="AE39" s="12">
        <v>0.308</v>
      </c>
      <c r="AF39" s="17">
        <v>0</v>
      </c>
      <c r="AG39" s="11">
        <v>15120</v>
      </c>
      <c r="AJ39" s="24"/>
      <c r="AK39" s="25">
        <v>12063755</v>
      </c>
      <c r="AL39" s="25">
        <v>12061353</v>
      </c>
      <c r="AM39" s="25">
        <v>12061354</v>
      </c>
      <c r="AN39" s="25">
        <v>12068566</v>
      </c>
      <c r="AO39" s="25"/>
      <c r="AP39" s="25">
        <v>12068565</v>
      </c>
      <c r="AQ39" s="25" t="s">
        <v>114</v>
      </c>
      <c r="AR39" s="25"/>
      <c r="AS39" s="25">
        <v>12068565</v>
      </c>
      <c r="AT39" s="25"/>
      <c r="AU39" s="25"/>
    </row>
    <row r="40" spans="1:47" ht="25" customHeight="1">
      <c r="A40" s="27" t="s">
        <v>120</v>
      </c>
      <c r="B40" s="39">
        <v>43959</v>
      </c>
      <c r="C40" s="39">
        <v>43952</v>
      </c>
      <c r="D40" s="40" t="s">
        <v>127</v>
      </c>
      <c r="E40" s="40">
        <v>43953</v>
      </c>
      <c r="F40" s="40" t="s">
        <v>47</v>
      </c>
      <c r="G40" s="78" t="s">
        <v>152</v>
      </c>
      <c r="H40" s="41" t="s">
        <v>70</v>
      </c>
      <c r="I40" s="41" t="s">
        <v>84</v>
      </c>
      <c r="J40" s="41" t="s">
        <v>153</v>
      </c>
      <c r="K40" s="41" t="s">
        <v>154</v>
      </c>
      <c r="L40" s="40" t="s">
        <v>155</v>
      </c>
      <c r="M40" s="60" t="s">
        <v>156</v>
      </c>
      <c r="N40" s="55">
        <v>8</v>
      </c>
      <c r="O40" s="55">
        <v>50</v>
      </c>
      <c r="P40" s="28">
        <v>8.1300000000000001E-3</v>
      </c>
      <c r="Q40" s="40" t="s">
        <v>40</v>
      </c>
      <c r="R40" s="40" t="s">
        <v>56</v>
      </c>
      <c r="S40" s="40" t="s">
        <v>77</v>
      </c>
      <c r="T40" s="42">
        <v>100</v>
      </c>
      <c r="U40" s="70"/>
      <c r="V40" s="42"/>
      <c r="W40" s="74">
        <f t="shared" si="1"/>
        <v>-100</v>
      </c>
      <c r="X40" s="42">
        <f t="shared" si="2"/>
        <v>800</v>
      </c>
      <c r="Y40" s="42">
        <f t="shared" si="0"/>
        <v>40000</v>
      </c>
      <c r="Z40" s="42"/>
      <c r="AA40" s="42">
        <v>0</v>
      </c>
      <c r="AB40" s="41"/>
      <c r="AC40" s="42">
        <v>0</v>
      </c>
      <c r="AD40" s="42">
        <v>0</v>
      </c>
      <c r="AE40" s="12">
        <v>0.6</v>
      </c>
      <c r="AF40" s="17">
        <v>0</v>
      </c>
      <c r="AG40" s="11">
        <v>800</v>
      </c>
      <c r="AJ40" s="24" t="s">
        <v>157</v>
      </c>
      <c r="AK40" s="25" t="s">
        <v>158</v>
      </c>
      <c r="AL40" s="25" t="s">
        <v>159</v>
      </c>
      <c r="AM40" s="25"/>
      <c r="AN40" s="25" t="s">
        <v>160</v>
      </c>
      <c r="AO40" s="25"/>
      <c r="AP40" s="25" t="s">
        <v>161</v>
      </c>
      <c r="AQ40" s="25"/>
      <c r="AR40" s="25" t="s">
        <v>162</v>
      </c>
      <c r="AS40" s="25"/>
      <c r="AT40" s="25"/>
      <c r="AU40" s="25"/>
    </row>
    <row r="41" spans="1:47" ht="25" customHeight="1">
      <c r="A41" s="27" t="s">
        <v>120</v>
      </c>
      <c r="B41" s="39">
        <v>43959</v>
      </c>
      <c r="C41" s="39">
        <v>43963</v>
      </c>
      <c r="D41" s="40" t="s">
        <v>127</v>
      </c>
      <c r="E41" s="40">
        <v>43953</v>
      </c>
      <c r="F41" s="40" t="s">
        <v>163</v>
      </c>
      <c r="G41" s="40" t="s">
        <v>134</v>
      </c>
      <c r="H41" s="41" t="s">
        <v>164</v>
      </c>
      <c r="I41" s="41" t="s">
        <v>84</v>
      </c>
      <c r="J41" s="41" t="s">
        <v>153</v>
      </c>
      <c r="K41" s="41" t="s">
        <v>165</v>
      </c>
      <c r="L41" s="40" t="s">
        <v>166</v>
      </c>
      <c r="M41" s="60" t="s">
        <v>167</v>
      </c>
      <c r="N41" s="55">
        <v>20</v>
      </c>
      <c r="O41" s="55">
        <v>12</v>
      </c>
      <c r="P41" s="28">
        <v>6.8100000000000001E-3</v>
      </c>
      <c r="Q41" s="40" t="s">
        <v>76</v>
      </c>
      <c r="R41" s="40" t="s">
        <v>56</v>
      </c>
      <c r="S41" s="40" t="s">
        <v>89</v>
      </c>
      <c r="T41" s="42">
        <v>1400</v>
      </c>
      <c r="U41" s="70"/>
      <c r="V41" s="42"/>
      <c r="W41" s="74">
        <f t="shared" si="1"/>
        <v>-1400</v>
      </c>
      <c r="X41" s="42">
        <f t="shared" si="2"/>
        <v>28000</v>
      </c>
      <c r="Y41" s="42">
        <f t="shared" ref="Y41:Y49" si="8">X41*O41</f>
        <v>336000</v>
      </c>
      <c r="Z41" s="42">
        <v>2</v>
      </c>
      <c r="AA41" s="42">
        <v>0</v>
      </c>
      <c r="AB41" s="41" t="s">
        <v>168</v>
      </c>
      <c r="AC41" s="42">
        <v>0</v>
      </c>
      <c r="AD41" s="42">
        <v>0</v>
      </c>
      <c r="AE41" s="12">
        <v>0.154</v>
      </c>
      <c r="AF41" s="17">
        <v>0</v>
      </c>
      <c r="AG41" s="11">
        <v>28000</v>
      </c>
      <c r="AJ41" s="24"/>
      <c r="AK41" s="25" t="s">
        <v>158</v>
      </c>
      <c r="AL41" s="25" t="s">
        <v>169</v>
      </c>
      <c r="AM41" s="25"/>
      <c r="AN41" s="25" t="s">
        <v>170</v>
      </c>
      <c r="AO41" s="25"/>
      <c r="AP41" s="25" t="s">
        <v>171</v>
      </c>
      <c r="AQ41" s="25"/>
      <c r="AR41" s="25" t="s">
        <v>172</v>
      </c>
      <c r="AS41" s="25"/>
      <c r="AT41" s="25"/>
      <c r="AU41" s="25"/>
    </row>
    <row r="42" spans="1:47" ht="25" customHeight="1">
      <c r="B42" s="39">
        <v>43960</v>
      </c>
      <c r="C42" s="39">
        <v>44025</v>
      </c>
      <c r="D42" s="40" t="s">
        <v>127</v>
      </c>
      <c r="E42" s="40">
        <v>43953</v>
      </c>
      <c r="F42" s="40" t="s">
        <v>173</v>
      </c>
      <c r="G42" s="40" t="s">
        <v>104</v>
      </c>
      <c r="H42" s="41" t="s">
        <v>174</v>
      </c>
      <c r="I42" s="41" t="s">
        <v>175</v>
      </c>
      <c r="J42" s="41" t="s">
        <v>176</v>
      </c>
      <c r="K42" s="41" t="s">
        <v>177</v>
      </c>
      <c r="L42" s="40" t="s">
        <v>178</v>
      </c>
      <c r="M42" s="60" t="s">
        <v>179</v>
      </c>
      <c r="N42" s="55">
        <v>36</v>
      </c>
      <c r="O42" s="55">
        <v>5</v>
      </c>
      <c r="P42" s="28">
        <v>8.0000000000000002E-3</v>
      </c>
      <c r="Q42" s="40" t="s">
        <v>40</v>
      </c>
      <c r="R42" s="40" t="s">
        <v>112</v>
      </c>
      <c r="S42" s="40" t="s">
        <v>57</v>
      </c>
      <c r="T42" s="42">
        <v>550</v>
      </c>
      <c r="U42" s="70">
        <v>7.4722222222222223</v>
      </c>
      <c r="V42" s="42">
        <v>544</v>
      </c>
      <c r="W42" s="74">
        <f t="shared" si="1"/>
        <v>1.4722222222221717</v>
      </c>
      <c r="X42" s="42">
        <f t="shared" si="2"/>
        <v>0</v>
      </c>
      <c r="Y42" s="42">
        <f t="shared" si="8"/>
        <v>0</v>
      </c>
      <c r="Z42" s="42"/>
      <c r="AA42" s="42"/>
      <c r="AB42" s="41"/>
      <c r="AC42" s="42">
        <v>0</v>
      </c>
      <c r="AD42" s="42">
        <v>0</v>
      </c>
      <c r="AE42" s="12">
        <v>0.14499999999999999</v>
      </c>
      <c r="AF42" s="17">
        <v>0</v>
      </c>
      <c r="AG42" s="11">
        <v>19800</v>
      </c>
      <c r="AJ42" s="24" t="s">
        <v>180</v>
      </c>
      <c r="AK42" s="25">
        <v>12062338</v>
      </c>
      <c r="AL42" s="25">
        <v>12047514</v>
      </c>
      <c r="AM42" s="25">
        <v>12047515</v>
      </c>
      <c r="AN42" s="25" t="s">
        <v>181</v>
      </c>
      <c r="AO42" s="25"/>
      <c r="AP42" s="25" t="s">
        <v>182</v>
      </c>
      <c r="AQ42" s="25" t="s">
        <v>183</v>
      </c>
      <c r="AR42" s="25"/>
      <c r="AS42" s="25" t="s">
        <v>184</v>
      </c>
      <c r="AT42" s="25"/>
      <c r="AU42" s="25"/>
    </row>
    <row r="43" spans="1:47" ht="25" customHeight="1">
      <c r="B43" s="39">
        <v>43960</v>
      </c>
      <c r="C43" s="39">
        <v>43979</v>
      </c>
      <c r="D43" s="40" t="s">
        <v>127</v>
      </c>
      <c r="E43" s="40">
        <v>43953</v>
      </c>
      <c r="F43" s="40" t="s">
        <v>185</v>
      </c>
      <c r="G43" s="40" t="s">
        <v>104</v>
      </c>
      <c r="H43" s="41" t="s">
        <v>105</v>
      </c>
      <c r="I43" s="41" t="s">
        <v>175</v>
      </c>
      <c r="J43" s="41" t="s">
        <v>176</v>
      </c>
      <c r="K43" s="41" t="s">
        <v>177</v>
      </c>
      <c r="L43" s="40" t="s">
        <v>186</v>
      </c>
      <c r="M43" s="60" t="s">
        <v>187</v>
      </c>
      <c r="N43" s="55">
        <v>8</v>
      </c>
      <c r="O43" s="55">
        <v>5</v>
      </c>
      <c r="P43" s="28">
        <v>8.0000000000000002E-3</v>
      </c>
      <c r="Q43" s="40" t="s">
        <v>40</v>
      </c>
      <c r="R43" s="40" t="s">
        <v>112</v>
      </c>
      <c r="S43" s="40" t="s">
        <v>57</v>
      </c>
      <c r="T43" s="42">
        <v>1000</v>
      </c>
      <c r="U43" s="70"/>
      <c r="V43" s="42">
        <v>1000</v>
      </c>
      <c r="W43" s="74">
        <f t="shared" si="1"/>
        <v>0</v>
      </c>
      <c r="X43" s="42">
        <f t="shared" si="2"/>
        <v>0</v>
      </c>
      <c r="Y43" s="42">
        <f t="shared" si="8"/>
        <v>0</v>
      </c>
      <c r="Z43" s="42"/>
      <c r="AA43" s="42"/>
      <c r="AB43" s="41"/>
      <c r="AC43" s="42">
        <v>0</v>
      </c>
      <c r="AD43" s="42">
        <v>0</v>
      </c>
      <c r="AE43" s="12">
        <v>0.14499999999999999</v>
      </c>
      <c r="AF43" s="17">
        <v>0.26621999999999996</v>
      </c>
      <c r="AG43" s="11">
        <v>8000</v>
      </c>
      <c r="AJ43" s="24" t="s">
        <v>188</v>
      </c>
      <c r="AK43" s="25">
        <v>12062338</v>
      </c>
      <c r="AL43" s="25">
        <v>12047514</v>
      </c>
      <c r="AM43" s="25">
        <v>12047515</v>
      </c>
      <c r="AN43" s="25" t="s">
        <v>189</v>
      </c>
      <c r="AO43" s="25"/>
      <c r="AP43" s="25" t="s">
        <v>190</v>
      </c>
      <c r="AQ43" s="25"/>
      <c r="AR43" s="25"/>
      <c r="AS43" s="25"/>
      <c r="AT43" s="25"/>
      <c r="AU43" s="25"/>
    </row>
    <row r="44" spans="1:47" ht="25" customHeight="1">
      <c r="B44" s="39">
        <v>43960</v>
      </c>
      <c r="C44" s="39">
        <v>43984</v>
      </c>
      <c r="D44" s="40" t="s">
        <v>127</v>
      </c>
      <c r="E44" s="40">
        <v>43953</v>
      </c>
      <c r="F44" s="40" t="s">
        <v>191</v>
      </c>
      <c r="G44" s="40" t="s">
        <v>104</v>
      </c>
      <c r="H44" s="41" t="s">
        <v>105</v>
      </c>
      <c r="I44" s="41" t="s">
        <v>175</v>
      </c>
      <c r="J44" s="41" t="s">
        <v>176</v>
      </c>
      <c r="K44" s="41" t="s">
        <v>177</v>
      </c>
      <c r="L44" s="40" t="s">
        <v>186</v>
      </c>
      <c r="M44" s="60" t="s">
        <v>187</v>
      </c>
      <c r="N44" s="55">
        <v>8</v>
      </c>
      <c r="O44" s="55">
        <v>5</v>
      </c>
      <c r="P44" s="28">
        <v>8.0000000000000002E-3</v>
      </c>
      <c r="Q44" s="40" t="s">
        <v>40</v>
      </c>
      <c r="R44" s="40" t="s">
        <v>112</v>
      </c>
      <c r="S44" s="40" t="s">
        <v>57</v>
      </c>
      <c r="T44" s="42">
        <v>3322.125</v>
      </c>
      <c r="U44" s="70"/>
      <c r="V44" s="42">
        <v>3322.125</v>
      </c>
      <c r="W44" s="74">
        <f t="shared" si="1"/>
        <v>0</v>
      </c>
      <c r="X44" s="42">
        <f t="shared" si="2"/>
        <v>0</v>
      </c>
      <c r="Y44" s="42">
        <f t="shared" si="8"/>
        <v>0</v>
      </c>
      <c r="Z44" s="42"/>
      <c r="AA44" s="42"/>
      <c r="AB44" s="41"/>
      <c r="AC44" s="42">
        <v>0</v>
      </c>
      <c r="AD44" s="42">
        <v>0</v>
      </c>
      <c r="AE44" s="12">
        <v>0.14499999999999999</v>
      </c>
      <c r="AF44" s="17">
        <v>0.26621999999999996</v>
      </c>
      <c r="AG44" s="11">
        <v>26577</v>
      </c>
      <c r="AJ44" s="24" t="s">
        <v>188</v>
      </c>
      <c r="AK44" s="25">
        <v>12062338</v>
      </c>
      <c r="AL44" s="25">
        <v>12047514</v>
      </c>
      <c r="AM44" s="25">
        <v>12047515</v>
      </c>
      <c r="AN44" s="25" t="s">
        <v>189</v>
      </c>
      <c r="AO44" s="25"/>
      <c r="AP44" s="25" t="s">
        <v>190</v>
      </c>
      <c r="AQ44" s="25"/>
      <c r="AR44" s="25"/>
      <c r="AS44" s="25"/>
      <c r="AT44" s="25"/>
      <c r="AU44" s="25"/>
    </row>
    <row r="45" spans="1:47" ht="25" customHeight="1">
      <c r="B45" s="39">
        <v>43960</v>
      </c>
      <c r="C45" s="39">
        <v>43963</v>
      </c>
      <c r="D45" s="40" t="s">
        <v>127</v>
      </c>
      <c r="E45" s="40">
        <v>43953</v>
      </c>
      <c r="F45" s="40" t="s">
        <v>192</v>
      </c>
      <c r="G45" s="40" t="s">
        <v>134</v>
      </c>
      <c r="H45" s="41" t="s">
        <v>164</v>
      </c>
      <c r="I45" s="41" t="s">
        <v>175</v>
      </c>
      <c r="J45" s="41" t="s">
        <v>176</v>
      </c>
      <c r="K45" s="41" t="s">
        <v>193</v>
      </c>
      <c r="L45" s="40" t="s">
        <v>194</v>
      </c>
      <c r="M45" s="60" t="s">
        <v>195</v>
      </c>
      <c r="N45" s="55">
        <v>24</v>
      </c>
      <c r="O45" s="55">
        <v>5</v>
      </c>
      <c r="P45" s="28">
        <v>8.0000000000000002E-3</v>
      </c>
      <c r="Q45" s="40" t="s">
        <v>40</v>
      </c>
      <c r="R45" s="40" t="s">
        <v>56</v>
      </c>
      <c r="S45" s="40" t="s">
        <v>57</v>
      </c>
      <c r="T45" s="42">
        <v>511</v>
      </c>
      <c r="U45" s="70"/>
      <c r="V45" s="42">
        <v>511</v>
      </c>
      <c r="W45" s="74">
        <f t="shared" si="1"/>
        <v>0</v>
      </c>
      <c r="X45" s="42">
        <f t="shared" si="2"/>
        <v>0</v>
      </c>
      <c r="Y45" s="42">
        <f t="shared" si="8"/>
        <v>0</v>
      </c>
      <c r="Z45" s="42"/>
      <c r="AA45" s="42"/>
      <c r="AB45" s="41"/>
      <c r="AC45" s="42">
        <v>0</v>
      </c>
      <c r="AD45" s="42">
        <v>0</v>
      </c>
      <c r="AE45" s="12">
        <v>0.14499999999999999</v>
      </c>
      <c r="AF45" s="17">
        <v>0</v>
      </c>
      <c r="AG45" s="11">
        <v>12264</v>
      </c>
      <c r="AJ45" s="24" t="s">
        <v>196</v>
      </c>
      <c r="AK45" s="25">
        <v>12062338</v>
      </c>
      <c r="AL45" s="25">
        <v>12047514</v>
      </c>
      <c r="AM45" s="25">
        <v>12047515</v>
      </c>
      <c r="AN45" s="25"/>
      <c r="AO45" s="25" t="s">
        <v>197</v>
      </c>
      <c r="AP45" s="25" t="s">
        <v>198</v>
      </c>
      <c r="AQ45" s="25" t="s">
        <v>199</v>
      </c>
      <c r="AR45" s="25"/>
      <c r="AS45" s="25" t="s">
        <v>200</v>
      </c>
      <c r="AT45" s="25" t="s">
        <v>201</v>
      </c>
      <c r="AU45" s="25" t="s">
        <v>202</v>
      </c>
    </row>
    <row r="46" spans="1:47" ht="25" customHeight="1">
      <c r="B46" s="39">
        <v>43960</v>
      </c>
      <c r="C46" s="39">
        <v>43963</v>
      </c>
      <c r="D46" s="40" t="s">
        <v>127</v>
      </c>
      <c r="E46" s="40">
        <v>43953</v>
      </c>
      <c r="F46" s="40" t="s">
        <v>203</v>
      </c>
      <c r="G46" s="40" t="s">
        <v>134</v>
      </c>
      <c r="H46" s="41" t="s">
        <v>164</v>
      </c>
      <c r="I46" s="41" t="s">
        <v>175</v>
      </c>
      <c r="J46" s="41" t="s">
        <v>204</v>
      </c>
      <c r="K46" s="41" t="s">
        <v>193</v>
      </c>
      <c r="L46" s="40" t="s">
        <v>205</v>
      </c>
      <c r="M46" s="60" t="s">
        <v>206</v>
      </c>
      <c r="N46" s="55">
        <v>24</v>
      </c>
      <c r="O46" s="55">
        <v>5</v>
      </c>
      <c r="P46" s="28">
        <v>8.0000000000000002E-3</v>
      </c>
      <c r="Q46" s="40" t="s">
        <v>40</v>
      </c>
      <c r="R46" s="40" t="s">
        <v>56</v>
      </c>
      <c r="S46" s="41" t="s">
        <v>102</v>
      </c>
      <c r="T46" s="42">
        <v>500</v>
      </c>
      <c r="U46" s="70"/>
      <c r="V46" s="42">
        <v>500</v>
      </c>
      <c r="W46" s="74">
        <f t="shared" si="1"/>
        <v>0</v>
      </c>
      <c r="X46" s="42">
        <f t="shared" si="2"/>
        <v>0</v>
      </c>
      <c r="Y46" s="42">
        <f t="shared" si="8"/>
        <v>0</v>
      </c>
      <c r="Z46" s="42">
        <v>1</v>
      </c>
      <c r="AA46" s="42">
        <v>0</v>
      </c>
      <c r="AB46" s="41"/>
      <c r="AC46" s="42">
        <v>0</v>
      </c>
      <c r="AD46" s="42">
        <v>0</v>
      </c>
      <c r="AE46" s="12">
        <v>0.115</v>
      </c>
      <c r="AF46" s="17">
        <v>0</v>
      </c>
      <c r="AG46" s="11">
        <v>12000</v>
      </c>
      <c r="AJ46" s="24" t="s">
        <v>207</v>
      </c>
      <c r="AK46" s="25">
        <v>12062338</v>
      </c>
      <c r="AL46" s="25">
        <v>12047514</v>
      </c>
      <c r="AM46" s="25">
        <v>12047515</v>
      </c>
      <c r="AN46" s="25"/>
      <c r="AO46" s="25" t="s">
        <v>197</v>
      </c>
      <c r="AP46" s="25" t="s">
        <v>208</v>
      </c>
      <c r="AQ46" s="25" t="s">
        <v>199</v>
      </c>
      <c r="AR46" s="25"/>
      <c r="AS46" s="25" t="s">
        <v>209</v>
      </c>
      <c r="AT46" s="25" t="s">
        <v>210</v>
      </c>
      <c r="AU46" s="25" t="s">
        <v>211</v>
      </c>
    </row>
    <row r="47" spans="1:47" ht="25" customHeight="1">
      <c r="A47" s="26" t="s">
        <v>212</v>
      </c>
      <c r="B47" s="39">
        <v>43960</v>
      </c>
      <c r="C47" s="39">
        <v>43983</v>
      </c>
      <c r="D47" s="40" t="s">
        <v>127</v>
      </c>
      <c r="E47" s="40">
        <v>43953</v>
      </c>
      <c r="F47" s="40" t="s">
        <v>47</v>
      </c>
      <c r="G47" s="40" t="s">
        <v>48</v>
      </c>
      <c r="H47" s="41" t="s">
        <v>49</v>
      </c>
      <c r="I47" s="41" t="s">
        <v>50</v>
      </c>
      <c r="J47" s="41" t="s">
        <v>51</v>
      </c>
      <c r="K47" s="41" t="s">
        <v>52</v>
      </c>
      <c r="L47" s="40" t="s">
        <v>53</v>
      </c>
      <c r="M47" s="60" t="s">
        <v>54</v>
      </c>
      <c r="N47" s="55">
        <v>24</v>
      </c>
      <c r="O47" s="55">
        <v>5</v>
      </c>
      <c r="P47" s="28">
        <v>8.0000000000000002E-3</v>
      </c>
      <c r="Q47" s="40" t="s">
        <v>55</v>
      </c>
      <c r="R47" s="40" t="s">
        <v>56</v>
      </c>
      <c r="S47" s="40" t="s">
        <v>57</v>
      </c>
      <c r="T47" s="42">
        <v>1500</v>
      </c>
      <c r="U47" s="70"/>
      <c r="V47" s="42">
        <v>1500</v>
      </c>
      <c r="W47" s="74">
        <f t="shared" si="1"/>
        <v>0</v>
      </c>
      <c r="X47" s="42">
        <f t="shared" si="2"/>
        <v>0</v>
      </c>
      <c r="Y47" s="42">
        <f t="shared" si="8"/>
        <v>0</v>
      </c>
      <c r="Z47" s="42"/>
      <c r="AA47" s="42"/>
      <c r="AB47" s="41"/>
      <c r="AC47" s="42">
        <v>0</v>
      </c>
      <c r="AD47" s="42">
        <v>0</v>
      </c>
      <c r="AE47" s="12">
        <v>0.13500000000000001</v>
      </c>
      <c r="AF47" s="17">
        <v>0</v>
      </c>
      <c r="AG47" s="11">
        <v>36000</v>
      </c>
      <c r="AJ47" s="24"/>
      <c r="AK47" s="25">
        <v>12062338</v>
      </c>
      <c r="AL47" s="25">
        <v>12047514</v>
      </c>
      <c r="AM47" s="25">
        <v>12047515</v>
      </c>
      <c r="AN47" s="25"/>
      <c r="AO47" s="25"/>
      <c r="AP47" s="25" t="s">
        <v>58</v>
      </c>
      <c r="AQ47" s="25"/>
      <c r="AR47" s="25"/>
      <c r="AS47" s="25" t="s">
        <v>59</v>
      </c>
      <c r="AT47" s="25" t="s">
        <v>60</v>
      </c>
      <c r="AU47" s="25"/>
    </row>
    <row r="48" spans="1:47" ht="25" customHeight="1">
      <c r="A48" s="27" t="s">
        <v>120</v>
      </c>
      <c r="B48" s="39">
        <v>43960</v>
      </c>
      <c r="C48" s="39">
        <v>43966</v>
      </c>
      <c r="D48" s="40" t="s">
        <v>127</v>
      </c>
      <c r="E48" s="40">
        <v>43953</v>
      </c>
      <c r="F48" s="40" t="s">
        <v>213</v>
      </c>
      <c r="G48" s="40" t="s">
        <v>134</v>
      </c>
      <c r="H48" s="41" t="s">
        <v>164</v>
      </c>
      <c r="I48" s="41" t="s">
        <v>84</v>
      </c>
      <c r="J48" s="41" t="s">
        <v>153</v>
      </c>
      <c r="K48" s="41" t="s">
        <v>214</v>
      </c>
      <c r="L48" s="40" t="s">
        <v>215</v>
      </c>
      <c r="M48" s="60" t="s">
        <v>216</v>
      </c>
      <c r="N48" s="55">
        <v>20</v>
      </c>
      <c r="O48" s="55">
        <v>8</v>
      </c>
      <c r="P48" s="28">
        <v>1.5E-3</v>
      </c>
      <c r="Q48" s="76" t="s">
        <v>217</v>
      </c>
      <c r="R48" s="40" t="s">
        <v>56</v>
      </c>
      <c r="S48" s="40" t="s">
        <v>89</v>
      </c>
      <c r="T48" s="42">
        <v>500</v>
      </c>
      <c r="U48" s="70"/>
      <c r="V48" s="42">
        <v>500</v>
      </c>
      <c r="W48" s="74">
        <f t="shared" si="1"/>
        <v>0</v>
      </c>
      <c r="X48" s="42">
        <f t="shared" si="2"/>
        <v>0</v>
      </c>
      <c r="Y48" s="42">
        <f t="shared" si="8"/>
        <v>0</v>
      </c>
      <c r="Z48" s="42">
        <v>2</v>
      </c>
      <c r="AA48" s="42">
        <v>0</v>
      </c>
      <c r="AB48" s="41" t="s">
        <v>218</v>
      </c>
      <c r="AC48" s="42">
        <v>0</v>
      </c>
      <c r="AD48" s="42">
        <v>0</v>
      </c>
      <c r="AE48" s="12">
        <v>0.19400000000000001</v>
      </c>
      <c r="AF48" s="17">
        <v>0</v>
      </c>
      <c r="AG48" s="11">
        <v>10000</v>
      </c>
      <c r="AJ48" s="24"/>
      <c r="AK48" s="25"/>
      <c r="AL48" s="25" t="s">
        <v>219</v>
      </c>
      <c r="AM48" s="25"/>
      <c r="AN48" s="25">
        <v>12064478</v>
      </c>
      <c r="AO48" s="25"/>
      <c r="AP48" s="25" t="s">
        <v>220</v>
      </c>
      <c r="AQ48" s="25"/>
      <c r="AR48" s="25" t="s">
        <v>221</v>
      </c>
      <c r="AS48" s="25"/>
      <c r="AT48" s="25"/>
      <c r="AU48" s="25"/>
    </row>
    <row r="49" spans="1:47" ht="25" customHeight="1">
      <c r="A49" s="27" t="s">
        <v>120</v>
      </c>
      <c r="B49" s="39">
        <v>43960</v>
      </c>
      <c r="C49" s="39">
        <v>43966</v>
      </c>
      <c r="D49" s="40" t="s">
        <v>127</v>
      </c>
      <c r="E49" s="40">
        <v>43953</v>
      </c>
      <c r="F49" s="40" t="s">
        <v>222</v>
      </c>
      <c r="G49" s="40" t="s">
        <v>134</v>
      </c>
      <c r="H49" s="41" t="s">
        <v>164</v>
      </c>
      <c r="I49" s="41" t="s">
        <v>84</v>
      </c>
      <c r="J49" s="41" t="s">
        <v>153</v>
      </c>
      <c r="K49" s="41" t="s">
        <v>165</v>
      </c>
      <c r="L49" s="40" t="s">
        <v>166</v>
      </c>
      <c r="M49" s="60" t="s">
        <v>167</v>
      </c>
      <c r="N49" s="55">
        <v>20</v>
      </c>
      <c r="O49" s="55">
        <v>12</v>
      </c>
      <c r="P49" s="28">
        <v>6.8100000000000001E-3</v>
      </c>
      <c r="Q49" s="40" t="s">
        <v>76</v>
      </c>
      <c r="R49" s="40" t="s">
        <v>56</v>
      </c>
      <c r="S49" s="40" t="s">
        <v>89</v>
      </c>
      <c r="T49" s="42">
        <v>1134</v>
      </c>
      <c r="U49" s="70"/>
      <c r="V49" s="42">
        <v>1134</v>
      </c>
      <c r="W49" s="74">
        <f t="shared" si="1"/>
        <v>0</v>
      </c>
      <c r="X49" s="42">
        <f t="shared" si="2"/>
        <v>0</v>
      </c>
      <c r="Y49" s="42">
        <f t="shared" si="8"/>
        <v>0</v>
      </c>
      <c r="Z49" s="42">
        <v>2</v>
      </c>
      <c r="AA49" s="42">
        <v>0</v>
      </c>
      <c r="AB49" s="41" t="s">
        <v>168</v>
      </c>
      <c r="AC49" s="42">
        <v>0</v>
      </c>
      <c r="AD49" s="42">
        <v>0</v>
      </c>
      <c r="AE49" s="12">
        <v>0.154</v>
      </c>
      <c r="AF49" s="17">
        <v>0</v>
      </c>
      <c r="AG49" s="11">
        <v>22680</v>
      </c>
      <c r="AJ49" s="24"/>
      <c r="AK49" s="25" t="s">
        <v>158</v>
      </c>
      <c r="AL49" s="25" t="s">
        <v>169</v>
      </c>
      <c r="AM49" s="25"/>
      <c r="AN49" s="25" t="s">
        <v>170</v>
      </c>
      <c r="AO49" s="25"/>
      <c r="AP49" s="25" t="s">
        <v>171</v>
      </c>
      <c r="AQ49" s="25"/>
      <c r="AR49" s="25" t="s">
        <v>172</v>
      </c>
      <c r="AS49" s="25"/>
      <c r="AT49" s="25"/>
      <c r="AU49" s="25"/>
    </row>
    <row r="50" spans="1:47" ht="25" customHeight="1">
      <c r="B50" s="35">
        <v>43961</v>
      </c>
      <c r="C50" s="35"/>
      <c r="D50" s="36" t="s">
        <v>223</v>
      </c>
      <c r="E50" s="36">
        <v>43953</v>
      </c>
      <c r="F50" s="36"/>
      <c r="G50" s="36"/>
      <c r="H50" s="37"/>
      <c r="I50" s="37"/>
      <c r="J50" s="37"/>
      <c r="K50" s="37"/>
      <c r="L50" s="36"/>
      <c r="M50" s="59"/>
      <c r="N50" s="54"/>
      <c r="O50" s="54"/>
      <c r="P50" s="57"/>
      <c r="Q50" s="36"/>
      <c r="R50" s="36"/>
      <c r="S50" s="36"/>
      <c r="T50" s="38"/>
      <c r="U50" s="69"/>
      <c r="V50" s="38"/>
      <c r="W50" s="73"/>
      <c r="X50" s="38"/>
      <c r="Y50" s="38"/>
      <c r="Z50" s="38"/>
      <c r="AA50" s="38"/>
      <c r="AB50" s="37"/>
      <c r="AC50" s="38"/>
      <c r="AD50" s="38"/>
      <c r="AE50" s="14"/>
      <c r="AF50" s="19"/>
      <c r="AJ50" s="24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</row>
    <row r="51" spans="1:47" ht="25" customHeight="1">
      <c r="B51" s="39">
        <v>43962</v>
      </c>
      <c r="C51" s="39">
        <v>43980</v>
      </c>
      <c r="D51" s="40" t="s">
        <v>223</v>
      </c>
      <c r="E51" s="40">
        <v>43953</v>
      </c>
      <c r="F51" s="40" t="s">
        <v>224</v>
      </c>
      <c r="G51" s="40" t="s">
        <v>225</v>
      </c>
      <c r="H51" s="41" t="s">
        <v>226</v>
      </c>
      <c r="I51" s="41" t="s">
        <v>106</v>
      </c>
      <c r="J51" s="41" t="s">
        <v>227</v>
      </c>
      <c r="K51" s="41" t="s">
        <v>228</v>
      </c>
      <c r="L51" s="40" t="s">
        <v>229</v>
      </c>
      <c r="M51" s="60" t="s">
        <v>230</v>
      </c>
      <c r="N51" s="55">
        <v>12</v>
      </c>
      <c r="O51" s="55">
        <v>5</v>
      </c>
      <c r="P51" s="28">
        <v>8.0000000000000002E-3</v>
      </c>
      <c r="Q51" s="40" t="s">
        <v>40</v>
      </c>
      <c r="R51" s="40" t="s">
        <v>112</v>
      </c>
      <c r="S51" s="40" t="s">
        <v>57</v>
      </c>
      <c r="T51" s="42">
        <v>2600</v>
      </c>
      <c r="U51" s="70">
        <f>(538+30662)/12-2600</f>
        <v>0</v>
      </c>
      <c r="V51" s="42">
        <v>2600</v>
      </c>
      <c r="W51" s="74">
        <f t="shared" ref="W51:W66" si="9">(V51+U51)-T51</f>
        <v>0</v>
      </c>
      <c r="X51" s="42">
        <f t="shared" ref="X51:X66" si="10">IF(W51&lt;0,((T51*N51)-((V51+U51)*N51)),0)</f>
        <v>0</v>
      </c>
      <c r="Y51" s="42"/>
      <c r="Z51" s="42"/>
      <c r="AA51" s="42"/>
      <c r="AB51" s="41"/>
      <c r="AC51" s="42">
        <f t="shared" ref="AC51:AC74" si="11">SUM(O51*P51*X51)</f>
        <v>0</v>
      </c>
      <c r="AD51" s="42">
        <f t="shared" ref="AD51:AD66" si="12">AC51/0.54</f>
        <v>0</v>
      </c>
      <c r="AE51" s="12">
        <f t="shared" ref="AE51:AE66" si="13">MID(M51,1,3)/1000</f>
        <v>0.25800000000000001</v>
      </c>
      <c r="AF51" s="17">
        <f t="shared" ref="AF51:AF74" si="14">(X51*AE51)/1000</f>
        <v>0</v>
      </c>
      <c r="AG51" s="11">
        <f t="shared" ref="AG51:AG66" si="15">T51*N51</f>
        <v>31200</v>
      </c>
      <c r="AJ51" s="24" t="s">
        <v>231</v>
      </c>
      <c r="AK51" s="25">
        <v>12062338</v>
      </c>
      <c r="AL51" s="25">
        <v>12042650</v>
      </c>
      <c r="AM51" s="25">
        <v>12042649</v>
      </c>
      <c r="AN51" s="25" t="s">
        <v>232</v>
      </c>
      <c r="AO51" s="25"/>
      <c r="AP51" s="25" t="s">
        <v>233</v>
      </c>
      <c r="AQ51" s="25"/>
      <c r="AR51" s="25"/>
      <c r="AS51" s="25"/>
      <c r="AT51" s="25"/>
      <c r="AU51" s="25"/>
    </row>
    <row r="52" spans="1:47" ht="25" customHeight="1">
      <c r="B52" s="39">
        <v>43962</v>
      </c>
      <c r="C52" s="39">
        <v>43969</v>
      </c>
      <c r="D52" s="40" t="s">
        <v>223</v>
      </c>
      <c r="E52" s="40">
        <v>43953</v>
      </c>
      <c r="F52" s="40" t="s">
        <v>234</v>
      </c>
      <c r="G52" s="40" t="s">
        <v>82</v>
      </c>
      <c r="H52" s="41" t="s">
        <v>235</v>
      </c>
      <c r="I52" s="41" t="s">
        <v>106</v>
      </c>
      <c r="J52" s="41" t="s">
        <v>227</v>
      </c>
      <c r="K52" s="41" t="s">
        <v>236</v>
      </c>
      <c r="L52" s="40" t="s">
        <v>237</v>
      </c>
      <c r="M52" s="60" t="s">
        <v>238</v>
      </c>
      <c r="N52" s="55">
        <v>24</v>
      </c>
      <c r="O52" s="55">
        <v>5</v>
      </c>
      <c r="P52" s="28">
        <v>8.0000000000000002E-3</v>
      </c>
      <c r="Q52" s="40" t="s">
        <v>40</v>
      </c>
      <c r="R52" s="40" t="s">
        <v>56</v>
      </c>
      <c r="S52" s="40" t="s">
        <v>89</v>
      </c>
      <c r="T52" s="42">
        <v>250</v>
      </c>
      <c r="U52" s="70"/>
      <c r="V52" s="42">
        <f>16+234</f>
        <v>250</v>
      </c>
      <c r="W52" s="74">
        <f t="shared" si="9"/>
        <v>0</v>
      </c>
      <c r="X52" s="42">
        <f t="shared" si="10"/>
        <v>0</v>
      </c>
      <c r="Y52" s="42"/>
      <c r="Z52" s="42">
        <v>1</v>
      </c>
      <c r="AA52" s="42">
        <f t="shared" ref="AA52:AA61" si="16">X52*Z52</f>
        <v>0</v>
      </c>
      <c r="AB52" s="41"/>
      <c r="AC52" s="42">
        <f t="shared" si="11"/>
        <v>0</v>
      </c>
      <c r="AD52" s="42">
        <f t="shared" si="12"/>
        <v>0</v>
      </c>
      <c r="AE52" s="12">
        <f t="shared" si="13"/>
        <v>0.183</v>
      </c>
      <c r="AF52" s="17">
        <f t="shared" si="14"/>
        <v>0</v>
      </c>
      <c r="AG52" s="11">
        <f t="shared" si="15"/>
        <v>6000</v>
      </c>
      <c r="AJ52" s="24"/>
      <c r="AK52" s="25">
        <v>12062338</v>
      </c>
      <c r="AL52" s="25">
        <v>12042650</v>
      </c>
      <c r="AM52" s="25">
        <v>12042649</v>
      </c>
      <c r="AN52" s="25"/>
      <c r="AO52" s="25" t="s">
        <v>239</v>
      </c>
      <c r="AP52" s="25" t="s">
        <v>240</v>
      </c>
      <c r="AQ52" s="25" t="s">
        <v>241</v>
      </c>
      <c r="AR52" s="25"/>
      <c r="AS52" s="25" t="s">
        <v>242</v>
      </c>
      <c r="AT52" s="25" t="s">
        <v>243</v>
      </c>
      <c r="AU52" s="25" t="s">
        <v>244</v>
      </c>
    </row>
    <row r="53" spans="1:47" ht="25" customHeight="1">
      <c r="B53" s="39">
        <v>43962</v>
      </c>
      <c r="C53" s="39">
        <v>43971</v>
      </c>
      <c r="D53" s="40" t="s">
        <v>223</v>
      </c>
      <c r="E53" s="40">
        <v>43953</v>
      </c>
      <c r="F53" s="40" t="s">
        <v>245</v>
      </c>
      <c r="G53" s="40" t="s">
        <v>82</v>
      </c>
      <c r="H53" s="41" t="s">
        <v>235</v>
      </c>
      <c r="I53" s="41" t="s">
        <v>106</v>
      </c>
      <c r="J53" s="41" t="s">
        <v>227</v>
      </c>
      <c r="K53" s="41" t="s">
        <v>236</v>
      </c>
      <c r="L53" s="40" t="s">
        <v>237</v>
      </c>
      <c r="M53" s="60" t="s">
        <v>238</v>
      </c>
      <c r="N53" s="55">
        <v>24</v>
      </c>
      <c r="O53" s="55">
        <v>5</v>
      </c>
      <c r="P53" s="28">
        <v>8.0000000000000002E-3</v>
      </c>
      <c r="Q53" s="40" t="s">
        <v>40</v>
      </c>
      <c r="R53" s="40" t="s">
        <v>56</v>
      </c>
      <c r="S53" s="40" t="s">
        <v>89</v>
      </c>
      <c r="T53" s="42">
        <v>250</v>
      </c>
      <c r="U53" s="70"/>
      <c r="V53" s="42">
        <v>250</v>
      </c>
      <c r="W53" s="74">
        <f t="shared" si="9"/>
        <v>0</v>
      </c>
      <c r="X53" s="42">
        <f t="shared" si="10"/>
        <v>0</v>
      </c>
      <c r="Y53" s="42"/>
      <c r="Z53" s="42">
        <v>1</v>
      </c>
      <c r="AA53" s="42">
        <f t="shared" si="16"/>
        <v>0</v>
      </c>
      <c r="AB53" s="41"/>
      <c r="AC53" s="42">
        <f t="shared" si="11"/>
        <v>0</v>
      </c>
      <c r="AD53" s="42">
        <f t="shared" si="12"/>
        <v>0</v>
      </c>
      <c r="AE53" s="12">
        <f t="shared" si="13"/>
        <v>0.183</v>
      </c>
      <c r="AF53" s="17">
        <f t="shared" si="14"/>
        <v>0</v>
      </c>
      <c r="AG53" s="11">
        <f t="shared" si="15"/>
        <v>6000</v>
      </c>
      <c r="AJ53" s="24"/>
      <c r="AK53" s="25">
        <v>12062338</v>
      </c>
      <c r="AL53" s="25">
        <v>12042650</v>
      </c>
      <c r="AM53" s="25">
        <v>12042649</v>
      </c>
      <c r="AN53" s="25"/>
      <c r="AO53" s="25" t="s">
        <v>239</v>
      </c>
      <c r="AP53" s="25" t="s">
        <v>240</v>
      </c>
      <c r="AQ53" s="25" t="s">
        <v>241</v>
      </c>
      <c r="AR53" s="25"/>
      <c r="AS53" s="25" t="s">
        <v>242</v>
      </c>
      <c r="AT53" s="25" t="s">
        <v>243</v>
      </c>
      <c r="AU53" s="25" t="s">
        <v>244</v>
      </c>
    </row>
    <row r="54" spans="1:47" ht="25" customHeight="1">
      <c r="B54" s="39">
        <v>43962</v>
      </c>
      <c r="C54" s="39">
        <v>43969</v>
      </c>
      <c r="D54" s="40" t="s">
        <v>223</v>
      </c>
      <c r="E54" s="40">
        <v>43953</v>
      </c>
      <c r="F54" s="40" t="s">
        <v>234</v>
      </c>
      <c r="G54" s="40" t="s">
        <v>82</v>
      </c>
      <c r="H54" s="41" t="s">
        <v>235</v>
      </c>
      <c r="I54" s="41" t="s">
        <v>106</v>
      </c>
      <c r="J54" s="41" t="s">
        <v>246</v>
      </c>
      <c r="K54" s="41" t="s">
        <v>247</v>
      </c>
      <c r="L54" s="40" t="s">
        <v>248</v>
      </c>
      <c r="M54" s="60" t="s">
        <v>249</v>
      </c>
      <c r="N54" s="55">
        <v>24</v>
      </c>
      <c r="O54" s="55">
        <v>3</v>
      </c>
      <c r="P54" s="28">
        <v>8.0000000000000002E-3</v>
      </c>
      <c r="Q54" s="40" t="s">
        <v>40</v>
      </c>
      <c r="R54" s="40" t="s">
        <v>56</v>
      </c>
      <c r="S54" s="41" t="s">
        <v>250</v>
      </c>
      <c r="T54" s="42">
        <v>150</v>
      </c>
      <c r="U54" s="70"/>
      <c r="V54" s="42">
        <f>1+149</f>
        <v>150</v>
      </c>
      <c r="W54" s="74">
        <f t="shared" si="9"/>
        <v>0</v>
      </c>
      <c r="X54" s="42">
        <f t="shared" si="10"/>
        <v>0</v>
      </c>
      <c r="Y54" s="42"/>
      <c r="Z54" s="42">
        <v>1</v>
      </c>
      <c r="AA54" s="42">
        <f>X54*Z54</f>
        <v>0</v>
      </c>
      <c r="AB54" s="41"/>
      <c r="AC54" s="42">
        <f>SUM(O54*P54*X54)</f>
        <v>0</v>
      </c>
      <c r="AD54" s="42">
        <f t="shared" si="12"/>
        <v>0</v>
      </c>
      <c r="AE54" s="12">
        <f t="shared" si="13"/>
        <v>0.184</v>
      </c>
      <c r="AF54" s="17">
        <f>(X54*AE54)/1000</f>
        <v>0</v>
      </c>
      <c r="AG54" s="11">
        <f t="shared" si="15"/>
        <v>3600</v>
      </c>
      <c r="AJ54" s="24"/>
      <c r="AK54" s="25">
        <v>12062338</v>
      </c>
      <c r="AL54" s="25">
        <v>12042650</v>
      </c>
      <c r="AM54" s="25">
        <v>12042649</v>
      </c>
      <c r="AN54" s="25"/>
      <c r="AO54" s="25" t="s">
        <v>239</v>
      </c>
      <c r="AP54" s="25" t="s">
        <v>251</v>
      </c>
      <c r="AQ54" s="25">
        <v>12055578</v>
      </c>
      <c r="AR54" s="25"/>
      <c r="AS54" s="25" t="s">
        <v>252</v>
      </c>
      <c r="AT54" s="25" t="s">
        <v>253</v>
      </c>
      <c r="AU54" s="25" t="s">
        <v>254</v>
      </c>
    </row>
    <row r="55" spans="1:47" ht="25" customHeight="1">
      <c r="B55" s="39">
        <v>43962</v>
      </c>
      <c r="C55" s="39">
        <v>43971</v>
      </c>
      <c r="D55" s="40" t="s">
        <v>223</v>
      </c>
      <c r="E55" s="40">
        <v>43953</v>
      </c>
      <c r="F55" s="40" t="s">
        <v>245</v>
      </c>
      <c r="G55" s="40" t="s">
        <v>82</v>
      </c>
      <c r="H55" s="41" t="s">
        <v>235</v>
      </c>
      <c r="I55" s="41" t="s">
        <v>106</v>
      </c>
      <c r="J55" s="41" t="s">
        <v>246</v>
      </c>
      <c r="K55" s="41" t="s">
        <v>247</v>
      </c>
      <c r="L55" s="40" t="s">
        <v>248</v>
      </c>
      <c r="M55" s="60" t="s">
        <v>249</v>
      </c>
      <c r="N55" s="55">
        <v>24</v>
      </c>
      <c r="O55" s="55">
        <v>3</v>
      </c>
      <c r="P55" s="28">
        <v>8.0000000000000002E-3</v>
      </c>
      <c r="Q55" s="40" t="s">
        <v>40</v>
      </c>
      <c r="R55" s="40" t="s">
        <v>56</v>
      </c>
      <c r="S55" s="41" t="s">
        <v>250</v>
      </c>
      <c r="T55" s="42">
        <v>150</v>
      </c>
      <c r="U55" s="70"/>
      <c r="V55" s="42">
        <v>150</v>
      </c>
      <c r="W55" s="74">
        <f t="shared" si="9"/>
        <v>0</v>
      </c>
      <c r="X55" s="42">
        <f t="shared" si="10"/>
        <v>0</v>
      </c>
      <c r="Y55" s="42"/>
      <c r="Z55" s="42">
        <v>1</v>
      </c>
      <c r="AA55" s="42">
        <f t="shared" si="16"/>
        <v>0</v>
      </c>
      <c r="AB55" s="41"/>
      <c r="AC55" s="42">
        <f t="shared" si="11"/>
        <v>0</v>
      </c>
      <c r="AD55" s="42">
        <f t="shared" si="12"/>
        <v>0</v>
      </c>
      <c r="AE55" s="12">
        <f t="shared" si="13"/>
        <v>0.184</v>
      </c>
      <c r="AF55" s="17">
        <f t="shared" si="14"/>
        <v>0</v>
      </c>
      <c r="AG55" s="11">
        <f t="shared" si="15"/>
        <v>3600</v>
      </c>
      <c r="AJ55" s="24"/>
      <c r="AK55" s="25">
        <v>12062338</v>
      </c>
      <c r="AL55" s="25">
        <v>12042650</v>
      </c>
      <c r="AM55" s="25">
        <v>12042649</v>
      </c>
      <c r="AN55" s="25"/>
      <c r="AO55" s="25" t="s">
        <v>239</v>
      </c>
      <c r="AP55" s="25" t="s">
        <v>251</v>
      </c>
      <c r="AQ55" s="25">
        <v>12055578</v>
      </c>
      <c r="AR55" s="25"/>
      <c r="AS55" s="25" t="s">
        <v>252</v>
      </c>
      <c r="AT55" s="25" t="s">
        <v>253</v>
      </c>
      <c r="AU55" s="25" t="s">
        <v>254</v>
      </c>
    </row>
    <row r="56" spans="1:47" ht="25" customHeight="1">
      <c r="A56" s="26" t="s">
        <v>255</v>
      </c>
      <c r="B56" s="39">
        <v>43962</v>
      </c>
      <c r="C56" s="39">
        <v>43978</v>
      </c>
      <c r="D56" s="40" t="s">
        <v>223</v>
      </c>
      <c r="E56" s="40">
        <v>43953</v>
      </c>
      <c r="F56" s="40" t="s">
        <v>255</v>
      </c>
      <c r="G56" s="40" t="s">
        <v>104</v>
      </c>
      <c r="H56" s="41" t="s">
        <v>105</v>
      </c>
      <c r="I56" s="41" t="s">
        <v>106</v>
      </c>
      <c r="J56" s="41" t="s">
        <v>107</v>
      </c>
      <c r="K56" s="41" t="s">
        <v>108</v>
      </c>
      <c r="L56" s="40" t="s">
        <v>109</v>
      </c>
      <c r="M56" s="60" t="s">
        <v>110</v>
      </c>
      <c r="N56" s="55">
        <v>36</v>
      </c>
      <c r="O56" s="55">
        <v>5</v>
      </c>
      <c r="P56" s="28">
        <v>7.4999999999999997E-3</v>
      </c>
      <c r="Q56" s="40" t="s">
        <v>111</v>
      </c>
      <c r="R56" s="40" t="s">
        <v>112</v>
      </c>
      <c r="S56" s="40" t="s">
        <v>113</v>
      </c>
      <c r="T56" s="42">
        <v>120</v>
      </c>
      <c r="U56" s="70"/>
      <c r="V56" s="42">
        <v>120</v>
      </c>
      <c r="W56" s="74">
        <f t="shared" si="9"/>
        <v>0</v>
      </c>
      <c r="X56" s="42">
        <f t="shared" si="10"/>
        <v>0</v>
      </c>
      <c r="Y56" s="42"/>
      <c r="Z56" s="42"/>
      <c r="AA56" s="42"/>
      <c r="AB56" s="41"/>
      <c r="AC56" s="42">
        <f>SUM(O56*P56*X56)</f>
        <v>0</v>
      </c>
      <c r="AD56" s="42">
        <f t="shared" si="12"/>
        <v>0</v>
      </c>
      <c r="AE56" s="12">
        <f t="shared" si="13"/>
        <v>0.308</v>
      </c>
      <c r="AF56" s="17">
        <f>(X56*AE56)/1000</f>
        <v>0</v>
      </c>
      <c r="AG56" s="11">
        <f t="shared" si="15"/>
        <v>4320</v>
      </c>
      <c r="AJ56" s="24"/>
      <c r="AK56" s="25">
        <v>12063755</v>
      </c>
      <c r="AL56" s="25">
        <v>12061353</v>
      </c>
      <c r="AM56" s="25">
        <v>12061354</v>
      </c>
      <c r="AN56" s="25">
        <v>12068566</v>
      </c>
      <c r="AO56" s="25"/>
      <c r="AP56" s="25">
        <v>12068565</v>
      </c>
      <c r="AQ56" s="25" t="s">
        <v>114</v>
      </c>
      <c r="AR56" s="25"/>
      <c r="AS56" s="25">
        <v>12068565</v>
      </c>
      <c r="AT56" s="25"/>
      <c r="AU56" s="25"/>
    </row>
    <row r="57" spans="1:47" ht="25" customHeight="1">
      <c r="B57" s="39">
        <v>43962</v>
      </c>
      <c r="C57" s="39">
        <v>43978</v>
      </c>
      <c r="D57" s="40" t="s">
        <v>223</v>
      </c>
      <c r="E57" s="40">
        <v>43953</v>
      </c>
      <c r="F57" s="40" t="s">
        <v>151</v>
      </c>
      <c r="G57" s="40" t="s">
        <v>104</v>
      </c>
      <c r="H57" s="41" t="s">
        <v>105</v>
      </c>
      <c r="I57" s="41" t="s">
        <v>106</v>
      </c>
      <c r="J57" s="41" t="s">
        <v>107</v>
      </c>
      <c r="K57" s="41" t="s">
        <v>108</v>
      </c>
      <c r="L57" s="40" t="s">
        <v>109</v>
      </c>
      <c r="M57" s="60" t="s">
        <v>110</v>
      </c>
      <c r="N57" s="55">
        <v>36</v>
      </c>
      <c r="O57" s="55">
        <v>5</v>
      </c>
      <c r="P57" s="28">
        <v>7.4999999999999997E-3</v>
      </c>
      <c r="Q57" s="40" t="s">
        <v>111</v>
      </c>
      <c r="R57" s="40" t="s">
        <v>112</v>
      </c>
      <c r="S57" s="40" t="s">
        <v>113</v>
      </c>
      <c r="T57" s="42">
        <f>792-420</f>
        <v>372</v>
      </c>
      <c r="U57" s="70"/>
      <c r="V57" s="42">
        <v>372</v>
      </c>
      <c r="W57" s="74">
        <f t="shared" si="9"/>
        <v>0</v>
      </c>
      <c r="X57" s="42">
        <f t="shared" si="10"/>
        <v>0</v>
      </c>
      <c r="Y57" s="42"/>
      <c r="Z57" s="42"/>
      <c r="AA57" s="42"/>
      <c r="AB57" s="41"/>
      <c r="AC57" s="42">
        <f>SUM(O57*P57*X57)</f>
        <v>0</v>
      </c>
      <c r="AD57" s="42">
        <f t="shared" si="12"/>
        <v>0</v>
      </c>
      <c r="AE57" s="12">
        <f t="shared" si="13"/>
        <v>0.308</v>
      </c>
      <c r="AF57" s="17">
        <f>(X57*AE57)/1000</f>
        <v>0</v>
      </c>
      <c r="AG57" s="11">
        <f t="shared" si="15"/>
        <v>13392</v>
      </c>
      <c r="AJ57" s="24"/>
      <c r="AK57" s="25">
        <v>12063755</v>
      </c>
      <c r="AL57" s="25">
        <v>12061353</v>
      </c>
      <c r="AM57" s="25">
        <v>12061354</v>
      </c>
      <c r="AN57" s="25">
        <v>12068566</v>
      </c>
      <c r="AO57" s="25"/>
      <c r="AP57" s="25">
        <v>12068565</v>
      </c>
      <c r="AQ57" s="25" t="s">
        <v>114</v>
      </c>
      <c r="AR57" s="25"/>
      <c r="AS57" s="25">
        <v>12068565</v>
      </c>
      <c r="AT57" s="25"/>
      <c r="AU57" s="25"/>
    </row>
    <row r="58" spans="1:47" ht="25" customHeight="1">
      <c r="B58" s="39">
        <v>43962</v>
      </c>
      <c r="C58" s="39">
        <v>43978</v>
      </c>
      <c r="D58" s="40" t="s">
        <v>223</v>
      </c>
      <c r="E58" s="40">
        <v>43953</v>
      </c>
      <c r="F58" s="40" t="s">
        <v>256</v>
      </c>
      <c r="G58" s="40" t="s">
        <v>104</v>
      </c>
      <c r="H58" s="41" t="s">
        <v>105</v>
      </c>
      <c r="I58" s="41" t="s">
        <v>106</v>
      </c>
      <c r="J58" s="41" t="s">
        <v>107</v>
      </c>
      <c r="K58" s="41" t="s">
        <v>108</v>
      </c>
      <c r="L58" s="40" t="s">
        <v>109</v>
      </c>
      <c r="M58" s="60" t="s">
        <v>110</v>
      </c>
      <c r="N58" s="55">
        <v>36</v>
      </c>
      <c r="O58" s="55">
        <v>5</v>
      </c>
      <c r="P58" s="28">
        <v>7.4999999999999997E-3</v>
      </c>
      <c r="Q58" s="40" t="s">
        <v>111</v>
      </c>
      <c r="R58" s="40" t="s">
        <v>112</v>
      </c>
      <c r="S58" s="40" t="s">
        <v>113</v>
      </c>
      <c r="T58" s="42">
        <v>792</v>
      </c>
      <c r="U58" s="70"/>
      <c r="V58" s="42">
        <v>792</v>
      </c>
      <c r="W58" s="74">
        <f t="shared" si="9"/>
        <v>0</v>
      </c>
      <c r="X58" s="42">
        <f t="shared" si="10"/>
        <v>0</v>
      </c>
      <c r="Y58" s="42"/>
      <c r="Z58" s="42"/>
      <c r="AA58" s="42"/>
      <c r="AB58" s="41"/>
      <c r="AC58" s="42">
        <f>SUM(O58*P58*X58)</f>
        <v>0</v>
      </c>
      <c r="AD58" s="42">
        <f t="shared" si="12"/>
        <v>0</v>
      </c>
      <c r="AE58" s="12">
        <f t="shared" si="13"/>
        <v>0.308</v>
      </c>
      <c r="AF58" s="17">
        <f>(X58*AE58)/1000</f>
        <v>0</v>
      </c>
      <c r="AG58" s="11">
        <f t="shared" si="15"/>
        <v>28512</v>
      </c>
      <c r="AJ58" s="24"/>
      <c r="AK58" s="25">
        <v>12063755</v>
      </c>
      <c r="AL58" s="25">
        <v>12061353</v>
      </c>
      <c r="AM58" s="25">
        <v>12061354</v>
      </c>
      <c r="AN58" s="25">
        <v>12068566</v>
      </c>
      <c r="AO58" s="25"/>
      <c r="AP58" s="25">
        <v>12068565</v>
      </c>
      <c r="AQ58" s="25" t="s">
        <v>114</v>
      </c>
      <c r="AR58" s="25"/>
      <c r="AS58" s="25">
        <v>12068565</v>
      </c>
      <c r="AT58" s="25"/>
      <c r="AU58" s="25"/>
    </row>
    <row r="59" spans="1:47" ht="25" customHeight="1">
      <c r="B59" s="39">
        <v>43962</v>
      </c>
      <c r="C59" s="39">
        <v>43978</v>
      </c>
      <c r="D59" s="40" t="s">
        <v>223</v>
      </c>
      <c r="E59" s="40">
        <v>43953</v>
      </c>
      <c r="F59" s="40" t="s">
        <v>257</v>
      </c>
      <c r="G59" s="40" t="s">
        <v>104</v>
      </c>
      <c r="H59" s="41" t="s">
        <v>105</v>
      </c>
      <c r="I59" s="41" t="s">
        <v>106</v>
      </c>
      <c r="J59" s="41" t="s">
        <v>107</v>
      </c>
      <c r="K59" s="41" t="s">
        <v>108</v>
      </c>
      <c r="L59" s="40" t="s">
        <v>109</v>
      </c>
      <c r="M59" s="60" t="s">
        <v>110</v>
      </c>
      <c r="N59" s="55">
        <v>36</v>
      </c>
      <c r="O59" s="55">
        <v>5</v>
      </c>
      <c r="P59" s="28">
        <v>7.4999999999999997E-3</v>
      </c>
      <c r="Q59" s="40" t="s">
        <v>111</v>
      </c>
      <c r="R59" s="40" t="s">
        <v>112</v>
      </c>
      <c r="S59" s="40" t="s">
        <v>113</v>
      </c>
      <c r="T59" s="42">
        <v>328</v>
      </c>
      <c r="U59" s="70"/>
      <c r="V59" s="42">
        <f>1612-120-372-792</f>
        <v>328</v>
      </c>
      <c r="W59" s="74">
        <f t="shared" si="9"/>
        <v>0</v>
      </c>
      <c r="X59" s="42">
        <f t="shared" si="10"/>
        <v>0</v>
      </c>
      <c r="Y59" s="42"/>
      <c r="Z59" s="42"/>
      <c r="AA59" s="42"/>
      <c r="AB59" s="41"/>
      <c r="AC59" s="42">
        <f>SUM(O59*P59*X59)</f>
        <v>0</v>
      </c>
      <c r="AD59" s="42">
        <f t="shared" si="12"/>
        <v>0</v>
      </c>
      <c r="AE59" s="12">
        <f t="shared" si="13"/>
        <v>0.308</v>
      </c>
      <c r="AF59" s="17">
        <f>(X59*AE59)/1000</f>
        <v>0</v>
      </c>
      <c r="AG59" s="11">
        <f t="shared" si="15"/>
        <v>11808</v>
      </c>
      <c r="AJ59" s="24"/>
      <c r="AK59" s="25">
        <v>12063755</v>
      </c>
      <c r="AL59" s="25">
        <v>12061353</v>
      </c>
      <c r="AM59" s="25">
        <v>12061354</v>
      </c>
      <c r="AN59" s="25">
        <v>12068566</v>
      </c>
      <c r="AO59" s="25"/>
      <c r="AP59" s="25">
        <v>12068565</v>
      </c>
      <c r="AQ59" s="25" t="s">
        <v>114</v>
      </c>
      <c r="AR59" s="25"/>
      <c r="AS59" s="25">
        <v>12068565</v>
      </c>
      <c r="AT59" s="25"/>
      <c r="AU59" s="25"/>
    </row>
    <row r="60" spans="1:47" ht="25" customHeight="1">
      <c r="A60" s="27" t="s">
        <v>120</v>
      </c>
      <c r="B60" s="39">
        <v>43962</v>
      </c>
      <c r="C60" s="39">
        <v>43966</v>
      </c>
      <c r="D60" s="40" t="s">
        <v>223</v>
      </c>
      <c r="E60" s="40">
        <v>43953</v>
      </c>
      <c r="F60" s="40" t="s">
        <v>222</v>
      </c>
      <c r="G60" s="40" t="s">
        <v>134</v>
      </c>
      <c r="H60" s="41" t="s">
        <v>164</v>
      </c>
      <c r="I60" s="41" t="s">
        <v>84</v>
      </c>
      <c r="J60" s="41" t="s">
        <v>153</v>
      </c>
      <c r="K60" s="41" t="s">
        <v>165</v>
      </c>
      <c r="L60" s="40" t="s">
        <v>166</v>
      </c>
      <c r="M60" s="60" t="s">
        <v>167</v>
      </c>
      <c r="N60" s="55">
        <v>20</v>
      </c>
      <c r="O60" s="55">
        <v>12</v>
      </c>
      <c r="P60" s="28">
        <v>6.8100000000000001E-3</v>
      </c>
      <c r="Q60" s="40" t="s">
        <v>76</v>
      </c>
      <c r="R60" s="40" t="s">
        <v>56</v>
      </c>
      <c r="S60" s="40" t="s">
        <v>89</v>
      </c>
      <c r="T60" s="42">
        <f>1655-1134+44</f>
        <v>565</v>
      </c>
      <c r="U60" s="70"/>
      <c r="V60" s="42">
        <f>521+44</f>
        <v>565</v>
      </c>
      <c r="W60" s="74">
        <f t="shared" si="9"/>
        <v>0</v>
      </c>
      <c r="X60" s="42">
        <f t="shared" si="10"/>
        <v>0</v>
      </c>
      <c r="Y60" s="42">
        <f>O60*X60</f>
        <v>0</v>
      </c>
      <c r="Z60" s="42">
        <v>2</v>
      </c>
      <c r="AA60" s="42">
        <f t="shared" si="16"/>
        <v>0</v>
      </c>
      <c r="AB60" s="41" t="s">
        <v>168</v>
      </c>
      <c r="AC60" s="42">
        <f t="shared" si="11"/>
        <v>0</v>
      </c>
      <c r="AD60" s="42">
        <f t="shared" si="12"/>
        <v>0</v>
      </c>
      <c r="AE60" s="12">
        <f t="shared" si="13"/>
        <v>0.154</v>
      </c>
      <c r="AF60" s="17">
        <f t="shared" si="14"/>
        <v>0</v>
      </c>
      <c r="AG60" s="11">
        <f t="shared" si="15"/>
        <v>11300</v>
      </c>
      <c r="AJ60" s="24"/>
      <c r="AK60" s="25" t="s">
        <v>158</v>
      </c>
      <c r="AL60" s="25" t="s">
        <v>169</v>
      </c>
      <c r="AM60" s="25"/>
      <c r="AN60" s="25" t="s">
        <v>170</v>
      </c>
      <c r="AO60" s="25"/>
      <c r="AP60" s="25" t="s">
        <v>171</v>
      </c>
      <c r="AQ60" s="25"/>
      <c r="AR60" s="25" t="s">
        <v>172</v>
      </c>
      <c r="AS60" s="25"/>
      <c r="AT60" s="25"/>
      <c r="AU60" s="25"/>
    </row>
    <row r="61" spans="1:47" ht="25" customHeight="1">
      <c r="A61" s="27" t="s">
        <v>120</v>
      </c>
      <c r="B61" s="39">
        <v>43962</v>
      </c>
      <c r="C61" s="39">
        <v>43969</v>
      </c>
      <c r="D61" s="40" t="s">
        <v>223</v>
      </c>
      <c r="E61" s="40">
        <v>43953</v>
      </c>
      <c r="F61" s="40" t="s">
        <v>234</v>
      </c>
      <c r="G61" s="40" t="s">
        <v>82</v>
      </c>
      <c r="H61" s="41" t="s">
        <v>235</v>
      </c>
      <c r="I61" s="41" t="s">
        <v>84</v>
      </c>
      <c r="J61" s="41" t="s">
        <v>85</v>
      </c>
      <c r="K61" s="41" t="s">
        <v>165</v>
      </c>
      <c r="L61" s="40" t="s">
        <v>258</v>
      </c>
      <c r="M61" s="60" t="s">
        <v>167</v>
      </c>
      <c r="N61" s="55">
        <v>20</v>
      </c>
      <c r="O61" s="55">
        <v>12</v>
      </c>
      <c r="P61" s="28">
        <v>6.8100000000000001E-3</v>
      </c>
      <c r="Q61" s="40" t="s">
        <v>76</v>
      </c>
      <c r="R61" s="40" t="s">
        <v>56</v>
      </c>
      <c r="S61" s="40" t="s">
        <v>89</v>
      </c>
      <c r="T61" s="42">
        <v>1200</v>
      </c>
      <c r="U61" s="70"/>
      <c r="V61" s="42">
        <f>59+1041+100</f>
        <v>1200</v>
      </c>
      <c r="W61" s="74">
        <f t="shared" si="9"/>
        <v>0</v>
      </c>
      <c r="X61" s="42">
        <f t="shared" si="10"/>
        <v>0</v>
      </c>
      <c r="Y61" s="42">
        <f>O61*X61</f>
        <v>0</v>
      </c>
      <c r="Z61" s="42">
        <v>2</v>
      </c>
      <c r="AA61" s="42">
        <f t="shared" si="16"/>
        <v>0</v>
      </c>
      <c r="AB61" s="41"/>
      <c r="AC61" s="42">
        <f t="shared" si="11"/>
        <v>0</v>
      </c>
      <c r="AD61" s="42">
        <f t="shared" si="12"/>
        <v>0</v>
      </c>
      <c r="AE61" s="12">
        <f t="shared" si="13"/>
        <v>0.154</v>
      </c>
      <c r="AF61" s="17">
        <f t="shared" si="14"/>
        <v>0</v>
      </c>
      <c r="AG61" s="11">
        <f t="shared" si="15"/>
        <v>24000</v>
      </c>
      <c r="AJ61" s="24"/>
      <c r="AK61" s="25">
        <v>12033473</v>
      </c>
      <c r="AL61" s="25" t="s">
        <v>169</v>
      </c>
      <c r="AM61" s="25"/>
      <c r="AN61" s="25" t="s">
        <v>259</v>
      </c>
      <c r="AO61" s="25"/>
      <c r="AP61" s="25">
        <v>12027007</v>
      </c>
      <c r="AQ61" s="25"/>
      <c r="AR61" s="25" t="s">
        <v>172</v>
      </c>
      <c r="AS61" s="25"/>
      <c r="AT61" s="25"/>
      <c r="AU61" s="25"/>
    </row>
    <row r="62" spans="1:47" ht="25" customHeight="1">
      <c r="B62" s="39">
        <v>43963</v>
      </c>
      <c r="C62" s="39">
        <v>43969</v>
      </c>
      <c r="D62" s="40" t="s">
        <v>223</v>
      </c>
      <c r="E62" s="40">
        <v>43953</v>
      </c>
      <c r="F62" s="40" t="s">
        <v>47</v>
      </c>
      <c r="G62" s="40" t="s">
        <v>260</v>
      </c>
      <c r="H62" s="41" t="s">
        <v>261</v>
      </c>
      <c r="I62" s="41" t="s">
        <v>175</v>
      </c>
      <c r="J62" s="41" t="s">
        <v>176</v>
      </c>
      <c r="K62" s="41" t="s">
        <v>262</v>
      </c>
      <c r="L62" s="40" t="s">
        <v>263</v>
      </c>
      <c r="M62" s="60" t="s">
        <v>195</v>
      </c>
      <c r="N62" s="55">
        <v>24</v>
      </c>
      <c r="O62" s="55">
        <v>5</v>
      </c>
      <c r="P62" s="28">
        <v>8.0000000000000002E-3</v>
      </c>
      <c r="Q62" s="40" t="s">
        <v>40</v>
      </c>
      <c r="R62" s="40" t="s">
        <v>56</v>
      </c>
      <c r="S62" s="40" t="s">
        <v>57</v>
      </c>
      <c r="T62" s="42">
        <v>3080</v>
      </c>
      <c r="U62" s="70"/>
      <c r="V62" s="42">
        <f>3080</f>
        <v>3080</v>
      </c>
      <c r="W62" s="74">
        <f t="shared" si="9"/>
        <v>0</v>
      </c>
      <c r="X62" s="42">
        <f t="shared" si="10"/>
        <v>0</v>
      </c>
      <c r="Y62" s="42"/>
      <c r="Z62" s="42"/>
      <c r="AA62" s="42"/>
      <c r="AB62" s="41"/>
      <c r="AC62" s="42">
        <f>SUM(O62*P62*X62)</f>
        <v>0</v>
      </c>
      <c r="AD62" s="42">
        <f t="shared" si="12"/>
        <v>0</v>
      </c>
      <c r="AE62" s="12">
        <f t="shared" si="13"/>
        <v>0.14499999999999999</v>
      </c>
      <c r="AF62" s="17">
        <f>(X62*AE62)/1000</f>
        <v>0</v>
      </c>
      <c r="AG62" s="11">
        <f t="shared" si="15"/>
        <v>73920</v>
      </c>
      <c r="AJ62" s="24"/>
      <c r="AK62" s="25">
        <v>12062338</v>
      </c>
      <c r="AL62" s="25">
        <v>12047514</v>
      </c>
      <c r="AM62" s="25">
        <v>12047515</v>
      </c>
      <c r="AN62" s="25"/>
      <c r="AO62" s="25"/>
      <c r="AP62" s="25" t="s">
        <v>264</v>
      </c>
      <c r="AQ62" s="25"/>
      <c r="AR62" s="25"/>
      <c r="AS62" s="25">
        <v>12064588</v>
      </c>
      <c r="AT62" s="25" t="s">
        <v>265</v>
      </c>
      <c r="AU62" s="25"/>
    </row>
    <row r="63" spans="1:47" ht="25" customHeight="1">
      <c r="B63" s="39">
        <v>43963</v>
      </c>
      <c r="C63" s="39">
        <v>43977</v>
      </c>
      <c r="D63" s="40" t="s">
        <v>223</v>
      </c>
      <c r="E63" s="40">
        <v>43953</v>
      </c>
      <c r="F63" s="40" t="s">
        <v>266</v>
      </c>
      <c r="G63" s="40" t="s">
        <v>267</v>
      </c>
      <c r="H63" s="41" t="s">
        <v>268</v>
      </c>
      <c r="I63" s="41" t="s">
        <v>106</v>
      </c>
      <c r="J63" s="41" t="s">
        <v>107</v>
      </c>
      <c r="K63" s="41" t="s">
        <v>136</v>
      </c>
      <c r="L63" s="40" t="s">
        <v>269</v>
      </c>
      <c r="M63" s="60" t="s">
        <v>270</v>
      </c>
      <c r="N63" s="55">
        <v>12</v>
      </c>
      <c r="O63" s="55">
        <v>3</v>
      </c>
      <c r="P63" s="28">
        <v>7.4999999999999997E-3</v>
      </c>
      <c r="Q63" s="40" t="s">
        <v>111</v>
      </c>
      <c r="R63" s="40" t="s">
        <v>112</v>
      </c>
      <c r="S63" s="40" t="s">
        <v>57</v>
      </c>
      <c r="T63" s="42">
        <v>2520</v>
      </c>
      <c r="U63" s="70"/>
      <c r="V63" s="42">
        <f>12+2432</f>
        <v>2444</v>
      </c>
      <c r="W63" s="74">
        <f t="shared" si="9"/>
        <v>-76</v>
      </c>
      <c r="X63" s="42">
        <f t="shared" si="10"/>
        <v>912</v>
      </c>
      <c r="Y63" s="42"/>
      <c r="Z63" s="42"/>
      <c r="AA63" s="42"/>
      <c r="AB63" s="41"/>
      <c r="AC63" s="42">
        <f>SUM(O63*P63*X63)</f>
        <v>20.52</v>
      </c>
      <c r="AD63" s="42">
        <f t="shared" si="12"/>
        <v>38</v>
      </c>
      <c r="AE63" s="12">
        <f t="shared" si="13"/>
        <v>0.309</v>
      </c>
      <c r="AF63" s="17">
        <f>(X63*AE63)/1000</f>
        <v>0.281808</v>
      </c>
      <c r="AG63" s="11">
        <f t="shared" si="15"/>
        <v>30240</v>
      </c>
      <c r="AJ63" s="24"/>
      <c r="AK63" s="25" t="s">
        <v>271</v>
      </c>
      <c r="AL63" s="25">
        <v>12061353</v>
      </c>
      <c r="AM63" s="25">
        <v>12061354</v>
      </c>
      <c r="AN63" s="25"/>
      <c r="AO63" s="25"/>
      <c r="AP63" s="25">
        <v>12073316</v>
      </c>
      <c r="AQ63" s="25"/>
      <c r="AR63" s="25"/>
      <c r="AS63" s="25">
        <v>12073342</v>
      </c>
      <c r="AT63" s="25">
        <v>12073344</v>
      </c>
      <c r="AU63" s="25">
        <v>12073343</v>
      </c>
    </row>
    <row r="64" spans="1:47" ht="25" customHeight="1">
      <c r="B64" s="39">
        <v>43963</v>
      </c>
      <c r="C64" s="39">
        <v>43978</v>
      </c>
      <c r="D64" s="40" t="s">
        <v>223</v>
      </c>
      <c r="E64" s="40">
        <v>43953</v>
      </c>
      <c r="F64" s="40" t="s">
        <v>257</v>
      </c>
      <c r="G64" s="40" t="s">
        <v>104</v>
      </c>
      <c r="H64" s="41" t="s">
        <v>105</v>
      </c>
      <c r="I64" s="41" t="s">
        <v>106</v>
      </c>
      <c r="J64" s="41" t="s">
        <v>107</v>
      </c>
      <c r="K64" s="41" t="s">
        <v>108</v>
      </c>
      <c r="L64" s="40" t="s">
        <v>109</v>
      </c>
      <c r="M64" s="60" t="s">
        <v>110</v>
      </c>
      <c r="N64" s="55">
        <v>36</v>
      </c>
      <c r="O64" s="55">
        <v>5</v>
      </c>
      <c r="P64" s="28">
        <v>7.4999999999999997E-3</v>
      </c>
      <c r="Q64" s="40" t="s">
        <v>111</v>
      </c>
      <c r="R64" s="40" t="s">
        <v>112</v>
      </c>
      <c r="S64" s="40" t="s">
        <v>113</v>
      </c>
      <c r="T64" s="42">
        <f>792-328</f>
        <v>464</v>
      </c>
      <c r="U64" s="70"/>
      <c r="V64" s="42">
        <v>464</v>
      </c>
      <c r="W64" s="74">
        <f>(V64+U64)-T64</f>
        <v>0</v>
      </c>
      <c r="X64" s="42">
        <f>IF(W64&lt;0,((T64*N64)-((V64+U64)*N64)),0)</f>
        <v>0</v>
      </c>
      <c r="Y64" s="42"/>
      <c r="Z64" s="42"/>
      <c r="AA64" s="42"/>
      <c r="AB64" s="41"/>
      <c r="AC64" s="42">
        <f>SUM(O64*P64*X64)</f>
        <v>0</v>
      </c>
      <c r="AD64" s="42">
        <f>AC64/0.54</f>
        <v>0</v>
      </c>
      <c r="AE64" s="12">
        <f>MID(M64,1,3)/1000</f>
        <v>0.308</v>
      </c>
      <c r="AF64" s="17">
        <f>(X64*AE64)/1000</f>
        <v>0</v>
      </c>
      <c r="AG64" s="11">
        <f>T64*N64</f>
        <v>16704</v>
      </c>
      <c r="AJ64" s="24"/>
      <c r="AK64" s="25">
        <v>12063755</v>
      </c>
      <c r="AL64" s="25">
        <v>12061353</v>
      </c>
      <c r="AM64" s="25">
        <v>12061354</v>
      </c>
      <c r="AN64" s="25">
        <v>12068566</v>
      </c>
      <c r="AO64" s="25"/>
      <c r="AP64" s="25">
        <v>12068565</v>
      </c>
      <c r="AQ64" s="25" t="s">
        <v>114</v>
      </c>
      <c r="AR64" s="25"/>
      <c r="AS64" s="25">
        <v>12068565</v>
      </c>
      <c r="AT64" s="25"/>
      <c r="AU64" s="25"/>
    </row>
    <row r="65" spans="1:47" ht="25" customHeight="1">
      <c r="B65" s="39">
        <v>43963</v>
      </c>
      <c r="C65" s="39">
        <v>43978</v>
      </c>
      <c r="D65" s="40" t="s">
        <v>223</v>
      </c>
      <c r="E65" s="40">
        <v>43953</v>
      </c>
      <c r="F65" s="40" t="s">
        <v>272</v>
      </c>
      <c r="G65" s="40" t="s">
        <v>104</v>
      </c>
      <c r="H65" s="41" t="s">
        <v>105</v>
      </c>
      <c r="I65" s="41" t="s">
        <v>106</v>
      </c>
      <c r="J65" s="41" t="s">
        <v>107</v>
      </c>
      <c r="K65" s="41" t="s">
        <v>108</v>
      </c>
      <c r="L65" s="40" t="s">
        <v>109</v>
      </c>
      <c r="M65" s="60" t="s">
        <v>110</v>
      </c>
      <c r="N65" s="55">
        <v>36</v>
      </c>
      <c r="O65" s="55">
        <v>5</v>
      </c>
      <c r="P65" s="28">
        <v>7.4999999999999997E-3</v>
      </c>
      <c r="Q65" s="40" t="s">
        <v>111</v>
      </c>
      <c r="R65" s="40" t="s">
        <v>112</v>
      </c>
      <c r="S65" s="40" t="s">
        <v>113</v>
      </c>
      <c r="T65" s="42">
        <v>637</v>
      </c>
      <c r="U65" s="70"/>
      <c r="V65" s="42">
        <f>637</f>
        <v>637</v>
      </c>
      <c r="W65" s="74">
        <f t="shared" si="9"/>
        <v>0</v>
      </c>
      <c r="X65" s="42">
        <f t="shared" si="10"/>
        <v>0</v>
      </c>
      <c r="Y65" s="42"/>
      <c r="Z65" s="42"/>
      <c r="AA65" s="42"/>
      <c r="AB65" s="41"/>
      <c r="AC65" s="42">
        <f t="shared" si="11"/>
        <v>0</v>
      </c>
      <c r="AD65" s="42">
        <f t="shared" si="12"/>
        <v>0</v>
      </c>
      <c r="AE65" s="12">
        <f t="shared" si="13"/>
        <v>0.308</v>
      </c>
      <c r="AF65" s="17">
        <f t="shared" si="14"/>
        <v>0</v>
      </c>
      <c r="AG65" s="11">
        <f t="shared" si="15"/>
        <v>22932</v>
      </c>
      <c r="AJ65" s="24"/>
      <c r="AK65" s="25">
        <v>12063755</v>
      </c>
      <c r="AL65" s="25">
        <v>12061353</v>
      </c>
      <c r="AM65" s="25">
        <v>12061354</v>
      </c>
      <c r="AN65" s="25">
        <v>12068566</v>
      </c>
      <c r="AO65" s="25"/>
      <c r="AP65" s="25">
        <v>12068565</v>
      </c>
      <c r="AQ65" s="25" t="s">
        <v>114</v>
      </c>
      <c r="AR65" s="25"/>
      <c r="AS65" s="25">
        <v>12068565</v>
      </c>
      <c r="AT65" s="25"/>
      <c r="AU65" s="25"/>
    </row>
    <row r="66" spans="1:47" ht="25" customHeight="1">
      <c r="A66" s="27" t="s">
        <v>120</v>
      </c>
      <c r="B66" s="39">
        <v>43963</v>
      </c>
      <c r="C66" s="39">
        <v>43969</v>
      </c>
      <c r="D66" s="40" t="s">
        <v>223</v>
      </c>
      <c r="E66" s="40">
        <v>43953</v>
      </c>
      <c r="F66" s="40" t="s">
        <v>234</v>
      </c>
      <c r="G66" s="40" t="s">
        <v>82</v>
      </c>
      <c r="H66" s="41" t="s">
        <v>235</v>
      </c>
      <c r="I66" s="41" t="s">
        <v>84</v>
      </c>
      <c r="J66" s="41" t="s">
        <v>85</v>
      </c>
      <c r="K66" s="41" t="s">
        <v>86</v>
      </c>
      <c r="L66" s="40" t="s">
        <v>273</v>
      </c>
      <c r="M66" s="60" t="s">
        <v>88</v>
      </c>
      <c r="N66" s="55">
        <v>8</v>
      </c>
      <c r="O66" s="55">
        <v>50</v>
      </c>
      <c r="P66" s="28">
        <v>6.8100000000000001E-3</v>
      </c>
      <c r="Q66" s="40" t="s">
        <v>76</v>
      </c>
      <c r="R66" s="40" t="s">
        <v>56</v>
      </c>
      <c r="S66" s="40" t="s">
        <v>89</v>
      </c>
      <c r="T66" s="42">
        <v>800</v>
      </c>
      <c r="U66" s="70"/>
      <c r="V66" s="42">
        <v>800</v>
      </c>
      <c r="W66" s="74">
        <f t="shared" si="9"/>
        <v>0</v>
      </c>
      <c r="X66" s="42">
        <f t="shared" si="10"/>
        <v>0</v>
      </c>
      <c r="Y66" s="42">
        <f>O66*X66</f>
        <v>0</v>
      </c>
      <c r="Z66" s="42">
        <v>6</v>
      </c>
      <c r="AA66" s="42">
        <f>X66*Z66</f>
        <v>0</v>
      </c>
      <c r="AB66" s="41"/>
      <c r="AC66" s="42">
        <f t="shared" si="11"/>
        <v>0</v>
      </c>
      <c r="AD66" s="42">
        <f t="shared" si="12"/>
        <v>0</v>
      </c>
      <c r="AE66" s="12">
        <f t="shared" si="13"/>
        <v>0.63</v>
      </c>
      <c r="AF66" s="17">
        <f t="shared" si="14"/>
        <v>0</v>
      </c>
      <c r="AG66" s="11">
        <f t="shared" si="15"/>
        <v>6400</v>
      </c>
      <c r="AJ66" s="24"/>
      <c r="AK66" s="25">
        <v>12004862</v>
      </c>
      <c r="AL66" s="25">
        <v>12055234</v>
      </c>
      <c r="AM66" s="25"/>
      <c r="AN66" s="25" t="s">
        <v>92</v>
      </c>
      <c r="AO66" s="25"/>
      <c r="AP66" s="25">
        <v>12056200</v>
      </c>
      <c r="AQ66" s="25"/>
      <c r="AR66" s="25" t="s">
        <v>93</v>
      </c>
      <c r="AS66" s="25"/>
      <c r="AT66" s="25"/>
      <c r="AU66" s="25"/>
    </row>
    <row r="67" spans="1:47" ht="25" customHeight="1">
      <c r="B67" s="39">
        <v>43964</v>
      </c>
      <c r="C67" s="39">
        <v>43978</v>
      </c>
      <c r="D67" s="40" t="s">
        <v>223</v>
      </c>
      <c r="E67" s="40">
        <v>43953</v>
      </c>
      <c r="F67" s="40" t="s">
        <v>272</v>
      </c>
      <c r="G67" s="40" t="s">
        <v>104</v>
      </c>
      <c r="H67" s="41" t="s">
        <v>105</v>
      </c>
      <c r="I67" s="41" t="s">
        <v>106</v>
      </c>
      <c r="J67" s="41" t="s">
        <v>107</v>
      </c>
      <c r="K67" s="41" t="s">
        <v>108</v>
      </c>
      <c r="L67" s="40" t="s">
        <v>109</v>
      </c>
      <c r="M67" s="60" t="s">
        <v>110</v>
      </c>
      <c r="N67" s="55">
        <v>36</v>
      </c>
      <c r="O67" s="55">
        <v>5</v>
      </c>
      <c r="P67" s="28">
        <v>7.4999999999999997E-3</v>
      </c>
      <c r="Q67" s="40" t="s">
        <v>111</v>
      </c>
      <c r="R67" s="40" t="s">
        <v>112</v>
      </c>
      <c r="S67" s="40" t="s">
        <v>113</v>
      </c>
      <c r="T67" s="42">
        <f>792-637</f>
        <v>155</v>
      </c>
      <c r="U67" s="70"/>
      <c r="V67" s="42">
        <v>155</v>
      </c>
      <c r="W67" s="74">
        <f>(V67+U67)-T67</f>
        <v>0</v>
      </c>
      <c r="X67" s="42">
        <f>IF(W67&lt;0,((T67*N67)-((V67+U67)*N67)),0)</f>
        <v>0</v>
      </c>
      <c r="Y67" s="42"/>
      <c r="Z67" s="42"/>
      <c r="AA67" s="42"/>
      <c r="AB67" s="41"/>
      <c r="AC67" s="42">
        <f>SUM(O67*P67*X67)</f>
        <v>0</v>
      </c>
      <c r="AD67" s="42">
        <f>AC67/0.54</f>
        <v>0</v>
      </c>
      <c r="AE67" s="12">
        <f>MID(M67,1,3)/1000</f>
        <v>0.308</v>
      </c>
      <c r="AF67" s="17">
        <f>(X67*AE67)/1000</f>
        <v>0</v>
      </c>
      <c r="AG67" s="11">
        <f>T67*N67</f>
        <v>5580</v>
      </c>
      <c r="AJ67" s="24"/>
      <c r="AK67" s="25">
        <v>12063755</v>
      </c>
      <c r="AL67" s="25">
        <v>12061353</v>
      </c>
      <c r="AM67" s="25">
        <v>12061354</v>
      </c>
      <c r="AN67" s="25">
        <v>12068566</v>
      </c>
      <c r="AO67" s="25"/>
      <c r="AP67" s="25">
        <v>12068565</v>
      </c>
      <c r="AQ67" s="25" t="s">
        <v>114</v>
      </c>
      <c r="AR67" s="25"/>
      <c r="AS67" s="25">
        <v>12068565</v>
      </c>
      <c r="AT67" s="25"/>
      <c r="AU67" s="25"/>
    </row>
    <row r="68" spans="1:47" ht="25" customHeight="1">
      <c r="B68" s="39">
        <v>43964</v>
      </c>
      <c r="C68" s="39">
        <v>43980</v>
      </c>
      <c r="D68" s="40" t="s">
        <v>223</v>
      </c>
      <c r="E68" s="40">
        <v>43953</v>
      </c>
      <c r="F68" s="40" t="s">
        <v>274</v>
      </c>
      <c r="G68" s="40" t="s">
        <v>104</v>
      </c>
      <c r="H68" s="41" t="s">
        <v>105</v>
      </c>
      <c r="I68" s="41" t="s">
        <v>106</v>
      </c>
      <c r="J68" s="41" t="s">
        <v>107</v>
      </c>
      <c r="K68" s="41" t="s">
        <v>108</v>
      </c>
      <c r="L68" s="40" t="s">
        <v>109</v>
      </c>
      <c r="M68" s="60" t="s">
        <v>110</v>
      </c>
      <c r="N68" s="55">
        <v>36</v>
      </c>
      <c r="O68" s="55">
        <v>5</v>
      </c>
      <c r="P68" s="28">
        <v>7.4999999999999997E-3</v>
      </c>
      <c r="Q68" s="40" t="s">
        <v>111</v>
      </c>
      <c r="R68" s="40" t="s">
        <v>112</v>
      </c>
      <c r="S68" s="40" t="s">
        <v>113</v>
      </c>
      <c r="T68" s="42">
        <v>792</v>
      </c>
      <c r="U68" s="70"/>
      <c r="V68" s="42">
        <v>792</v>
      </c>
      <c r="W68" s="74">
        <f t="shared" ref="W68:W77" si="17">(V68+U68)-T68</f>
        <v>0</v>
      </c>
      <c r="X68" s="42">
        <f t="shared" ref="X68:X77" si="18">IF(W68&lt;0,((T68*N68)-((V68+U68)*N68)),0)</f>
        <v>0</v>
      </c>
      <c r="Y68" s="42"/>
      <c r="Z68" s="42"/>
      <c r="AA68" s="42"/>
      <c r="AB68" s="41"/>
      <c r="AC68" s="42">
        <f>SUM(O68*P68*X68)</f>
        <v>0</v>
      </c>
      <c r="AD68" s="42">
        <f t="shared" ref="AD68:AD77" si="19">AC68/0.54</f>
        <v>0</v>
      </c>
      <c r="AE68" s="12">
        <f t="shared" ref="AE68:AE77" si="20">MID(M68,1,3)/1000</f>
        <v>0.308</v>
      </c>
      <c r="AF68" s="17">
        <f>(X68*AE68)/1000</f>
        <v>0</v>
      </c>
      <c r="AG68" s="11">
        <f t="shared" ref="AG68:AG77" si="21">T68*N68</f>
        <v>28512</v>
      </c>
      <c r="AJ68" s="24"/>
      <c r="AK68" s="25">
        <v>12063755</v>
      </c>
      <c r="AL68" s="25">
        <v>12061353</v>
      </c>
      <c r="AM68" s="25">
        <v>12061354</v>
      </c>
      <c r="AN68" s="25">
        <v>12068566</v>
      </c>
      <c r="AO68" s="25"/>
      <c r="AP68" s="25">
        <v>12068565</v>
      </c>
      <c r="AQ68" s="25" t="s">
        <v>114</v>
      </c>
      <c r="AR68" s="25"/>
      <c r="AS68" s="25">
        <v>12068565</v>
      </c>
      <c r="AT68" s="25"/>
      <c r="AU68" s="25"/>
    </row>
    <row r="69" spans="1:47" ht="25" customHeight="1">
      <c r="B69" s="39">
        <v>43964</v>
      </c>
      <c r="C69" s="39">
        <v>43980</v>
      </c>
      <c r="D69" s="40" t="s">
        <v>223</v>
      </c>
      <c r="E69" s="40">
        <v>43953</v>
      </c>
      <c r="F69" s="40" t="s">
        <v>275</v>
      </c>
      <c r="G69" s="40" t="s">
        <v>104</v>
      </c>
      <c r="H69" s="41" t="s">
        <v>105</v>
      </c>
      <c r="I69" s="41" t="s">
        <v>106</v>
      </c>
      <c r="J69" s="41" t="s">
        <v>107</v>
      </c>
      <c r="K69" s="41" t="s">
        <v>108</v>
      </c>
      <c r="L69" s="40" t="s">
        <v>109</v>
      </c>
      <c r="M69" s="60" t="s">
        <v>110</v>
      </c>
      <c r="N69" s="55">
        <v>36</v>
      </c>
      <c r="O69" s="55">
        <v>5</v>
      </c>
      <c r="P69" s="28">
        <v>7.4999999999999997E-3</v>
      </c>
      <c r="Q69" s="40" t="s">
        <v>111</v>
      </c>
      <c r="R69" s="40" t="s">
        <v>112</v>
      </c>
      <c r="S69" s="40" t="s">
        <v>113</v>
      </c>
      <c r="T69" s="42">
        <v>792</v>
      </c>
      <c r="U69" s="70"/>
      <c r="V69" s="42">
        <v>792</v>
      </c>
      <c r="W69" s="74">
        <f t="shared" si="17"/>
        <v>0</v>
      </c>
      <c r="X69" s="42">
        <f t="shared" si="18"/>
        <v>0</v>
      </c>
      <c r="Y69" s="42"/>
      <c r="Z69" s="42"/>
      <c r="AA69" s="42"/>
      <c r="AB69" s="41"/>
      <c r="AC69" s="42">
        <f>SUM(O69*P69*X69)</f>
        <v>0</v>
      </c>
      <c r="AD69" s="42">
        <f t="shared" si="19"/>
        <v>0</v>
      </c>
      <c r="AE69" s="12">
        <f t="shared" si="20"/>
        <v>0.308</v>
      </c>
      <c r="AF69" s="17">
        <f>(X69*AE69)/1000</f>
        <v>0</v>
      </c>
      <c r="AG69" s="11">
        <f t="shared" si="21"/>
        <v>28512</v>
      </c>
      <c r="AJ69" s="24"/>
      <c r="AK69" s="25">
        <v>12063755</v>
      </c>
      <c r="AL69" s="25">
        <v>12061353</v>
      </c>
      <c r="AM69" s="25">
        <v>12061354</v>
      </c>
      <c r="AN69" s="25">
        <v>12068566</v>
      </c>
      <c r="AO69" s="25"/>
      <c r="AP69" s="25">
        <v>12068565</v>
      </c>
      <c r="AQ69" s="25" t="s">
        <v>114</v>
      </c>
      <c r="AR69" s="25"/>
      <c r="AS69" s="25">
        <v>12068565</v>
      </c>
      <c r="AT69" s="25"/>
      <c r="AU69" s="25"/>
    </row>
    <row r="70" spans="1:47" ht="25" customHeight="1">
      <c r="B70" s="39">
        <v>43964</v>
      </c>
      <c r="C70" s="39">
        <v>43980</v>
      </c>
      <c r="D70" s="40" t="s">
        <v>223</v>
      </c>
      <c r="E70" s="40">
        <v>43953</v>
      </c>
      <c r="F70" s="40" t="s">
        <v>276</v>
      </c>
      <c r="G70" s="40" t="s">
        <v>104</v>
      </c>
      <c r="H70" s="41" t="s">
        <v>105</v>
      </c>
      <c r="I70" s="41" t="s">
        <v>106</v>
      </c>
      <c r="J70" s="41" t="s">
        <v>107</v>
      </c>
      <c r="K70" s="41" t="s">
        <v>108</v>
      </c>
      <c r="L70" s="40" t="s">
        <v>109</v>
      </c>
      <c r="M70" s="60" t="s">
        <v>110</v>
      </c>
      <c r="N70" s="55">
        <v>36</v>
      </c>
      <c r="O70" s="55">
        <v>5</v>
      </c>
      <c r="P70" s="28">
        <v>7.4999999999999997E-3</v>
      </c>
      <c r="Q70" s="40" t="s">
        <v>111</v>
      </c>
      <c r="R70" s="40" t="s">
        <v>112</v>
      </c>
      <c r="S70" s="40" t="s">
        <v>113</v>
      </c>
      <c r="T70" s="42">
        <v>792</v>
      </c>
      <c r="U70" s="70"/>
      <c r="V70" s="42">
        <v>792</v>
      </c>
      <c r="W70" s="74">
        <f t="shared" si="17"/>
        <v>0</v>
      </c>
      <c r="X70" s="42">
        <f t="shared" si="18"/>
        <v>0</v>
      </c>
      <c r="Y70" s="42"/>
      <c r="Z70" s="42"/>
      <c r="AA70" s="42"/>
      <c r="AB70" s="41"/>
      <c r="AC70" s="42">
        <f>SUM(O70*P70*X70)</f>
        <v>0</v>
      </c>
      <c r="AD70" s="42">
        <f t="shared" si="19"/>
        <v>0</v>
      </c>
      <c r="AE70" s="12">
        <f t="shared" si="20"/>
        <v>0.308</v>
      </c>
      <c r="AF70" s="17">
        <f>(X70*AE70)/1000</f>
        <v>0</v>
      </c>
      <c r="AG70" s="11">
        <f t="shared" si="21"/>
        <v>28512</v>
      </c>
      <c r="AJ70" s="24"/>
      <c r="AK70" s="25">
        <v>12063755</v>
      </c>
      <c r="AL70" s="25">
        <v>12061353</v>
      </c>
      <c r="AM70" s="25">
        <v>12061354</v>
      </c>
      <c r="AN70" s="25">
        <v>12068566</v>
      </c>
      <c r="AO70" s="25"/>
      <c r="AP70" s="25">
        <v>12068565</v>
      </c>
      <c r="AQ70" s="25" t="s">
        <v>114</v>
      </c>
      <c r="AR70" s="25"/>
      <c r="AS70" s="25">
        <v>12068565</v>
      </c>
      <c r="AT70" s="25"/>
      <c r="AU70" s="25"/>
    </row>
    <row r="71" spans="1:47" ht="25" customHeight="1">
      <c r="B71" s="39">
        <v>43964</v>
      </c>
      <c r="C71" s="39">
        <v>43980</v>
      </c>
      <c r="D71" s="40" t="s">
        <v>223</v>
      </c>
      <c r="E71" s="40">
        <v>43953</v>
      </c>
      <c r="F71" s="40" t="s">
        <v>277</v>
      </c>
      <c r="G71" s="40" t="s">
        <v>104</v>
      </c>
      <c r="H71" s="41" t="s">
        <v>105</v>
      </c>
      <c r="I71" s="41" t="s">
        <v>106</v>
      </c>
      <c r="J71" s="41" t="s">
        <v>107</v>
      </c>
      <c r="K71" s="41" t="s">
        <v>108</v>
      </c>
      <c r="L71" s="40" t="s">
        <v>109</v>
      </c>
      <c r="M71" s="60" t="s">
        <v>110</v>
      </c>
      <c r="N71" s="55">
        <v>36</v>
      </c>
      <c r="O71" s="55">
        <v>5</v>
      </c>
      <c r="P71" s="28">
        <v>7.4999999999999997E-3</v>
      </c>
      <c r="Q71" s="40" t="s">
        <v>111</v>
      </c>
      <c r="R71" s="40" t="s">
        <v>112</v>
      </c>
      <c r="S71" s="40" t="s">
        <v>113</v>
      </c>
      <c r="T71" s="42">
        <v>792</v>
      </c>
      <c r="U71" s="70"/>
      <c r="V71" s="42">
        <v>792</v>
      </c>
      <c r="W71" s="74">
        <f t="shared" si="17"/>
        <v>0</v>
      </c>
      <c r="X71" s="42">
        <f t="shared" si="18"/>
        <v>0</v>
      </c>
      <c r="Y71" s="42"/>
      <c r="Z71" s="42"/>
      <c r="AA71" s="42"/>
      <c r="AB71" s="41"/>
      <c r="AC71" s="42">
        <f t="shared" si="11"/>
        <v>0</v>
      </c>
      <c r="AD71" s="42">
        <f t="shared" si="19"/>
        <v>0</v>
      </c>
      <c r="AE71" s="12">
        <f t="shared" si="20"/>
        <v>0.308</v>
      </c>
      <c r="AF71" s="17">
        <f t="shared" si="14"/>
        <v>0</v>
      </c>
      <c r="AG71" s="11">
        <f t="shared" si="21"/>
        <v>28512</v>
      </c>
      <c r="AJ71" s="24"/>
      <c r="AK71" s="25">
        <v>12063755</v>
      </c>
      <c r="AL71" s="25">
        <v>12061353</v>
      </c>
      <c r="AM71" s="25">
        <v>12061354</v>
      </c>
      <c r="AN71" s="25">
        <v>12068566</v>
      </c>
      <c r="AO71" s="25"/>
      <c r="AP71" s="25">
        <v>12068565</v>
      </c>
      <c r="AQ71" s="25" t="s">
        <v>114</v>
      </c>
      <c r="AR71" s="25"/>
      <c r="AS71" s="25">
        <v>12068565</v>
      </c>
      <c r="AT71" s="25"/>
      <c r="AU71" s="25"/>
    </row>
    <row r="72" spans="1:47" ht="25" customHeight="1">
      <c r="B72" s="39">
        <v>43964</v>
      </c>
      <c r="C72" s="39">
        <v>43980</v>
      </c>
      <c r="D72" s="40" t="s">
        <v>223</v>
      </c>
      <c r="E72" s="40">
        <v>43953</v>
      </c>
      <c r="F72" s="40" t="s">
        <v>278</v>
      </c>
      <c r="G72" s="40" t="s">
        <v>104</v>
      </c>
      <c r="H72" s="41" t="s">
        <v>105</v>
      </c>
      <c r="I72" s="41" t="s">
        <v>106</v>
      </c>
      <c r="J72" s="41" t="s">
        <v>107</v>
      </c>
      <c r="K72" s="41" t="s">
        <v>108</v>
      </c>
      <c r="L72" s="40" t="s">
        <v>109</v>
      </c>
      <c r="M72" s="60" t="s">
        <v>110</v>
      </c>
      <c r="N72" s="55">
        <v>36</v>
      </c>
      <c r="O72" s="55">
        <v>5</v>
      </c>
      <c r="P72" s="28">
        <v>7.4999999999999997E-3</v>
      </c>
      <c r="Q72" s="40" t="s">
        <v>111</v>
      </c>
      <c r="R72" s="40" t="s">
        <v>112</v>
      </c>
      <c r="S72" s="40" t="s">
        <v>113</v>
      </c>
      <c r="T72" s="42">
        <f>552+60</f>
        <v>612</v>
      </c>
      <c r="U72" s="70"/>
      <c r="V72" s="42">
        <v>612</v>
      </c>
      <c r="W72" s="74">
        <f t="shared" si="17"/>
        <v>0</v>
      </c>
      <c r="X72" s="42">
        <f t="shared" si="18"/>
        <v>0</v>
      </c>
      <c r="Y72" s="42"/>
      <c r="Z72" s="42"/>
      <c r="AA72" s="42"/>
      <c r="AB72" s="41"/>
      <c r="AC72" s="42">
        <f t="shared" si="11"/>
        <v>0</v>
      </c>
      <c r="AD72" s="42">
        <f t="shared" si="19"/>
        <v>0</v>
      </c>
      <c r="AE72" s="12">
        <f t="shared" si="20"/>
        <v>0.308</v>
      </c>
      <c r="AF72" s="17">
        <f t="shared" si="14"/>
        <v>0</v>
      </c>
      <c r="AG72" s="11">
        <f t="shared" si="21"/>
        <v>22032</v>
      </c>
      <c r="AJ72" s="24"/>
      <c r="AK72" s="25">
        <v>12063755</v>
      </c>
      <c r="AL72" s="25">
        <v>12061353</v>
      </c>
      <c r="AM72" s="25">
        <v>12061354</v>
      </c>
      <c r="AN72" s="25">
        <v>12068566</v>
      </c>
      <c r="AO72" s="25"/>
      <c r="AP72" s="25">
        <v>12068565</v>
      </c>
      <c r="AQ72" s="25" t="s">
        <v>114</v>
      </c>
      <c r="AR72" s="25"/>
      <c r="AS72" s="25">
        <v>12068565</v>
      </c>
      <c r="AT72" s="25"/>
      <c r="AU72" s="25"/>
    </row>
    <row r="73" spans="1:47" ht="25" customHeight="1">
      <c r="A73" s="27" t="s">
        <v>120</v>
      </c>
      <c r="B73" s="39">
        <v>43964</v>
      </c>
      <c r="C73" s="39">
        <v>43971</v>
      </c>
      <c r="D73" s="40" t="s">
        <v>223</v>
      </c>
      <c r="E73" s="40">
        <v>43953</v>
      </c>
      <c r="F73" s="40" t="s">
        <v>245</v>
      </c>
      <c r="G73" s="40" t="s">
        <v>82</v>
      </c>
      <c r="H73" s="41" t="s">
        <v>235</v>
      </c>
      <c r="I73" s="41" t="s">
        <v>84</v>
      </c>
      <c r="J73" s="41" t="s">
        <v>85</v>
      </c>
      <c r="K73" s="41" t="s">
        <v>86</v>
      </c>
      <c r="L73" s="40" t="s">
        <v>273</v>
      </c>
      <c r="M73" s="60" t="s">
        <v>88</v>
      </c>
      <c r="N73" s="55">
        <v>8</v>
      </c>
      <c r="O73" s="55">
        <v>50</v>
      </c>
      <c r="P73" s="28">
        <v>6.8100000000000001E-3</v>
      </c>
      <c r="Q73" s="40" t="s">
        <v>76</v>
      </c>
      <c r="R73" s="40" t="s">
        <v>56</v>
      </c>
      <c r="S73" s="40" t="s">
        <v>89</v>
      </c>
      <c r="T73" s="42">
        <v>800</v>
      </c>
      <c r="U73" s="70"/>
      <c r="V73" s="42">
        <v>800</v>
      </c>
      <c r="W73" s="74">
        <f t="shared" si="17"/>
        <v>0</v>
      </c>
      <c r="X73" s="42">
        <f t="shared" si="18"/>
        <v>0</v>
      </c>
      <c r="Y73" s="42">
        <f>O73*X73</f>
        <v>0</v>
      </c>
      <c r="Z73" s="42">
        <v>6</v>
      </c>
      <c r="AA73" s="42">
        <f>X73*Z73</f>
        <v>0</v>
      </c>
      <c r="AB73" s="41"/>
      <c r="AC73" s="42">
        <f t="shared" si="11"/>
        <v>0</v>
      </c>
      <c r="AD73" s="42">
        <f t="shared" si="19"/>
        <v>0</v>
      </c>
      <c r="AE73" s="12">
        <f t="shared" si="20"/>
        <v>0.63</v>
      </c>
      <c r="AF73" s="17">
        <f t="shared" si="14"/>
        <v>0</v>
      </c>
      <c r="AG73" s="11">
        <f t="shared" si="21"/>
        <v>6400</v>
      </c>
      <c r="AJ73" s="24"/>
      <c r="AK73" s="25">
        <v>12004862</v>
      </c>
      <c r="AL73" s="25">
        <v>12055234</v>
      </c>
      <c r="AM73" s="25"/>
      <c r="AN73" s="25" t="s">
        <v>92</v>
      </c>
      <c r="AO73" s="25"/>
      <c r="AP73" s="25">
        <v>12056200</v>
      </c>
      <c r="AQ73" s="25"/>
      <c r="AR73" s="25" t="s">
        <v>93</v>
      </c>
      <c r="AS73" s="25"/>
      <c r="AT73" s="25"/>
      <c r="AU73" s="25"/>
    </row>
    <row r="74" spans="1:47" ht="25" customHeight="1">
      <c r="A74" s="27" t="s">
        <v>120</v>
      </c>
      <c r="B74" s="39">
        <v>43964</v>
      </c>
      <c r="C74" s="39">
        <v>43971</v>
      </c>
      <c r="D74" s="40" t="s">
        <v>223</v>
      </c>
      <c r="E74" s="40">
        <v>43953</v>
      </c>
      <c r="F74" s="40" t="s">
        <v>245</v>
      </c>
      <c r="G74" s="40" t="s">
        <v>82</v>
      </c>
      <c r="H74" s="41" t="s">
        <v>235</v>
      </c>
      <c r="I74" s="41" t="s">
        <v>84</v>
      </c>
      <c r="J74" s="41" t="s">
        <v>85</v>
      </c>
      <c r="K74" s="41" t="s">
        <v>165</v>
      </c>
      <c r="L74" s="40" t="s">
        <v>258</v>
      </c>
      <c r="M74" s="60" t="s">
        <v>167</v>
      </c>
      <c r="N74" s="55">
        <v>20</v>
      </c>
      <c r="O74" s="55">
        <v>12</v>
      </c>
      <c r="P74" s="28">
        <v>6.8100000000000001E-3</v>
      </c>
      <c r="Q74" s="40" t="s">
        <v>76</v>
      </c>
      <c r="R74" s="40" t="s">
        <v>56</v>
      </c>
      <c r="S74" s="40" t="s">
        <v>89</v>
      </c>
      <c r="T74" s="42">
        <v>157</v>
      </c>
      <c r="U74" s="70"/>
      <c r="V74" s="42">
        <v>157</v>
      </c>
      <c r="W74" s="74">
        <f t="shared" si="17"/>
        <v>0</v>
      </c>
      <c r="X74" s="42">
        <f t="shared" si="18"/>
        <v>0</v>
      </c>
      <c r="Y74" s="42">
        <f>O74*X74</f>
        <v>0</v>
      </c>
      <c r="Z74" s="42">
        <v>2</v>
      </c>
      <c r="AA74" s="42">
        <f>X74*Z74</f>
        <v>0</v>
      </c>
      <c r="AB74" s="41"/>
      <c r="AC74" s="42">
        <f t="shared" si="11"/>
        <v>0</v>
      </c>
      <c r="AD74" s="42">
        <f t="shared" si="19"/>
        <v>0</v>
      </c>
      <c r="AE74" s="12">
        <f t="shared" si="20"/>
        <v>0.154</v>
      </c>
      <c r="AF74" s="17">
        <f t="shared" si="14"/>
        <v>0</v>
      </c>
      <c r="AG74" s="11">
        <f t="shared" si="21"/>
        <v>3140</v>
      </c>
      <c r="AJ74" s="24"/>
      <c r="AK74" s="25">
        <v>12033473</v>
      </c>
      <c r="AL74" s="25" t="s">
        <v>169</v>
      </c>
      <c r="AM74" s="25"/>
      <c r="AN74" s="25" t="s">
        <v>259</v>
      </c>
      <c r="AO74" s="25"/>
      <c r="AP74" s="25">
        <v>12027007</v>
      </c>
      <c r="AQ74" s="25"/>
      <c r="AR74" s="25" t="s">
        <v>172</v>
      </c>
      <c r="AS74" s="25"/>
      <c r="AT74" s="25"/>
      <c r="AU74" s="25"/>
    </row>
    <row r="75" spans="1:47" ht="25" customHeight="1">
      <c r="B75" s="39">
        <v>43965</v>
      </c>
      <c r="C75" s="39">
        <v>43980</v>
      </c>
      <c r="D75" s="40" t="s">
        <v>223</v>
      </c>
      <c r="E75" s="40">
        <v>43953</v>
      </c>
      <c r="F75" s="40" t="s">
        <v>278</v>
      </c>
      <c r="G75" s="40" t="s">
        <v>104</v>
      </c>
      <c r="H75" s="41" t="s">
        <v>105</v>
      </c>
      <c r="I75" s="41" t="s">
        <v>106</v>
      </c>
      <c r="J75" s="41" t="s">
        <v>107</v>
      </c>
      <c r="K75" s="41" t="s">
        <v>108</v>
      </c>
      <c r="L75" s="40" t="s">
        <v>109</v>
      </c>
      <c r="M75" s="60" t="s">
        <v>110</v>
      </c>
      <c r="N75" s="55">
        <v>36</v>
      </c>
      <c r="O75" s="55">
        <v>5</v>
      </c>
      <c r="P75" s="28">
        <v>7.4999999999999997E-3</v>
      </c>
      <c r="Q75" s="40" t="s">
        <v>111</v>
      </c>
      <c r="R75" s="40" t="s">
        <v>112</v>
      </c>
      <c r="S75" s="40" t="s">
        <v>113</v>
      </c>
      <c r="T75" s="42">
        <f>792-612</f>
        <v>180</v>
      </c>
      <c r="U75" s="70"/>
      <c r="V75" s="42">
        <f>792-612</f>
        <v>180</v>
      </c>
      <c r="W75" s="74">
        <f t="shared" si="17"/>
        <v>0</v>
      </c>
      <c r="X75" s="42">
        <f t="shared" si="18"/>
        <v>0</v>
      </c>
      <c r="Y75" s="42"/>
      <c r="Z75" s="42"/>
      <c r="AA75" s="42"/>
      <c r="AB75" s="41"/>
      <c r="AC75" s="42">
        <f>SUM(O75*P75*X75)</f>
        <v>0</v>
      </c>
      <c r="AD75" s="42">
        <f t="shared" si="19"/>
        <v>0</v>
      </c>
      <c r="AE75" s="12">
        <f t="shared" si="20"/>
        <v>0.308</v>
      </c>
      <c r="AF75" s="17">
        <f>(X75*AE75)/1000</f>
        <v>0</v>
      </c>
      <c r="AG75" s="11">
        <f t="shared" si="21"/>
        <v>6480</v>
      </c>
      <c r="AJ75" s="24"/>
      <c r="AK75" s="25">
        <v>12063755</v>
      </c>
      <c r="AL75" s="25">
        <v>12061353</v>
      </c>
      <c r="AM75" s="25">
        <v>12061354</v>
      </c>
      <c r="AN75" s="25">
        <v>12068566</v>
      </c>
      <c r="AO75" s="25"/>
      <c r="AP75" s="25">
        <v>12068565</v>
      </c>
      <c r="AQ75" s="25" t="s">
        <v>114</v>
      </c>
      <c r="AR75" s="25"/>
      <c r="AS75" s="25">
        <v>12068565</v>
      </c>
      <c r="AT75" s="25"/>
      <c r="AU75" s="25"/>
    </row>
    <row r="76" spans="1:47" ht="25" customHeight="1">
      <c r="B76" s="39">
        <v>43965</v>
      </c>
      <c r="C76" s="39">
        <v>43986</v>
      </c>
      <c r="D76" s="40" t="s">
        <v>223</v>
      </c>
      <c r="E76" s="40">
        <v>43953</v>
      </c>
      <c r="F76" s="40" t="s">
        <v>279</v>
      </c>
      <c r="G76" s="40" t="s">
        <v>104</v>
      </c>
      <c r="H76" s="41" t="s">
        <v>105</v>
      </c>
      <c r="I76" s="41" t="s">
        <v>106</v>
      </c>
      <c r="J76" s="41" t="s">
        <v>107</v>
      </c>
      <c r="K76" s="41" t="s">
        <v>108</v>
      </c>
      <c r="L76" s="40" t="s">
        <v>109</v>
      </c>
      <c r="M76" s="60" t="s">
        <v>110</v>
      </c>
      <c r="N76" s="55">
        <v>36</v>
      </c>
      <c r="O76" s="55">
        <v>5</v>
      </c>
      <c r="P76" s="28">
        <v>7.4999999999999997E-3</v>
      </c>
      <c r="Q76" s="40" t="s">
        <v>111</v>
      </c>
      <c r="R76" s="40" t="s">
        <v>112</v>
      </c>
      <c r="S76" s="40" t="s">
        <v>113</v>
      </c>
      <c r="T76" s="42">
        <v>792</v>
      </c>
      <c r="U76" s="70"/>
      <c r="V76" s="42">
        <v>792</v>
      </c>
      <c r="W76" s="74">
        <f t="shared" si="17"/>
        <v>0</v>
      </c>
      <c r="X76" s="42">
        <f t="shared" si="18"/>
        <v>0</v>
      </c>
      <c r="Y76" s="42"/>
      <c r="Z76" s="42"/>
      <c r="AA76" s="42"/>
      <c r="AB76" s="41"/>
      <c r="AC76" s="42">
        <f>SUM(O76*P76*X76)</f>
        <v>0</v>
      </c>
      <c r="AD76" s="42">
        <f t="shared" si="19"/>
        <v>0</v>
      </c>
      <c r="AE76" s="12">
        <f t="shared" si="20"/>
        <v>0.308</v>
      </c>
      <c r="AF76" s="17">
        <f>(X76*AE76)/1000</f>
        <v>0</v>
      </c>
      <c r="AG76" s="11">
        <f t="shared" si="21"/>
        <v>28512</v>
      </c>
      <c r="AJ76" s="24"/>
      <c r="AK76" s="25">
        <v>12063755</v>
      </c>
      <c r="AL76" s="25">
        <v>12061353</v>
      </c>
      <c r="AM76" s="25">
        <v>12061354</v>
      </c>
      <c r="AN76" s="25">
        <v>12068566</v>
      </c>
      <c r="AO76" s="25"/>
      <c r="AP76" s="25">
        <v>12068565</v>
      </c>
      <c r="AQ76" s="25" t="s">
        <v>114</v>
      </c>
      <c r="AR76" s="25"/>
      <c r="AS76" s="25">
        <v>12068565</v>
      </c>
      <c r="AT76" s="25"/>
      <c r="AU76" s="25"/>
    </row>
    <row r="77" spans="1:47" ht="25" customHeight="1">
      <c r="B77" s="39">
        <v>43965</v>
      </c>
      <c r="C77" s="39">
        <v>43986</v>
      </c>
      <c r="D77" s="40" t="s">
        <v>223</v>
      </c>
      <c r="E77" s="40">
        <v>43953</v>
      </c>
      <c r="F77" s="40" t="s">
        <v>280</v>
      </c>
      <c r="G77" s="40" t="s">
        <v>104</v>
      </c>
      <c r="H77" s="41" t="s">
        <v>105</v>
      </c>
      <c r="I77" s="41" t="s">
        <v>106</v>
      </c>
      <c r="J77" s="41" t="s">
        <v>107</v>
      </c>
      <c r="K77" s="41" t="s">
        <v>108</v>
      </c>
      <c r="L77" s="40" t="s">
        <v>109</v>
      </c>
      <c r="M77" s="60" t="s">
        <v>110</v>
      </c>
      <c r="N77" s="55">
        <v>36</v>
      </c>
      <c r="O77" s="55">
        <v>5</v>
      </c>
      <c r="P77" s="28">
        <v>7.4999999999999997E-3</v>
      </c>
      <c r="Q77" s="40" t="s">
        <v>111</v>
      </c>
      <c r="R77" s="40" t="s">
        <v>112</v>
      </c>
      <c r="S77" s="40" t="s">
        <v>113</v>
      </c>
      <c r="T77" s="42">
        <v>792</v>
      </c>
      <c r="U77" s="70"/>
      <c r="V77" s="42">
        <v>792</v>
      </c>
      <c r="W77" s="74">
        <f t="shared" si="17"/>
        <v>0</v>
      </c>
      <c r="X77" s="42">
        <f t="shared" si="18"/>
        <v>0</v>
      </c>
      <c r="Y77" s="42"/>
      <c r="Z77" s="42"/>
      <c r="AA77" s="42"/>
      <c r="AB77" s="41"/>
      <c r="AC77" s="42">
        <f>SUM(O77*P77*X77)</f>
        <v>0</v>
      </c>
      <c r="AD77" s="42">
        <f t="shared" si="19"/>
        <v>0</v>
      </c>
      <c r="AE77" s="12">
        <f t="shared" si="20"/>
        <v>0.308</v>
      </c>
      <c r="AF77" s="17">
        <f>(X77*AE77)/1000</f>
        <v>0</v>
      </c>
      <c r="AG77" s="11">
        <f t="shared" si="21"/>
        <v>28512</v>
      </c>
      <c r="AJ77" s="24"/>
      <c r="AK77" s="25">
        <v>12063755</v>
      </c>
      <c r="AL77" s="25">
        <v>12061353</v>
      </c>
      <c r="AM77" s="25">
        <v>12061354</v>
      </c>
      <c r="AN77" s="25">
        <v>12068566</v>
      </c>
      <c r="AO77" s="25"/>
      <c r="AP77" s="25">
        <v>12068565</v>
      </c>
      <c r="AQ77" s="25" t="s">
        <v>114</v>
      </c>
      <c r="AR77" s="25"/>
      <c r="AS77" s="25">
        <v>12068565</v>
      </c>
      <c r="AT77" s="25"/>
      <c r="AU77" s="25"/>
    </row>
    <row r="78" spans="1:47" ht="25" customHeight="1">
      <c r="B78" s="39">
        <v>43965</v>
      </c>
      <c r="C78" s="39">
        <v>43986</v>
      </c>
      <c r="D78" s="40" t="s">
        <v>223</v>
      </c>
      <c r="E78" s="40">
        <v>43953</v>
      </c>
      <c r="F78" s="40" t="s">
        <v>281</v>
      </c>
      <c r="G78" s="40" t="s">
        <v>104</v>
      </c>
      <c r="H78" s="41" t="s">
        <v>105</v>
      </c>
      <c r="I78" s="41" t="s">
        <v>106</v>
      </c>
      <c r="J78" s="41" t="s">
        <v>107</v>
      </c>
      <c r="K78" s="41" t="s">
        <v>108</v>
      </c>
      <c r="L78" s="40" t="s">
        <v>109</v>
      </c>
      <c r="M78" s="60" t="s">
        <v>110</v>
      </c>
      <c r="N78" s="55">
        <v>36</v>
      </c>
      <c r="O78" s="55">
        <v>5</v>
      </c>
      <c r="P78" s="28">
        <v>7.4999999999999997E-3</v>
      </c>
      <c r="Q78" s="40" t="s">
        <v>111</v>
      </c>
      <c r="R78" s="40" t="s">
        <v>112</v>
      </c>
      <c r="S78" s="40" t="s">
        <v>113</v>
      </c>
      <c r="T78" s="42">
        <v>792</v>
      </c>
      <c r="U78" s="70"/>
      <c r="V78" s="42">
        <v>792</v>
      </c>
      <c r="W78" s="74">
        <f>(V78+U78)-T78</f>
        <v>0</v>
      </c>
      <c r="X78" s="42">
        <f>IF(W78&lt;0,((T78*N78)-((V78+U78)*N78)),0)</f>
        <v>0</v>
      </c>
      <c r="Y78" s="42"/>
      <c r="Z78" s="42"/>
      <c r="AA78" s="42"/>
      <c r="AB78" s="41"/>
      <c r="AC78" s="42">
        <f>SUM(O78*P78*X78)</f>
        <v>0</v>
      </c>
      <c r="AD78" s="42">
        <f>AC78/0.54</f>
        <v>0</v>
      </c>
      <c r="AE78" s="12">
        <f>MID(M78,1,3)/1000</f>
        <v>0.308</v>
      </c>
      <c r="AF78" s="17">
        <f>(X78*AE78)/1000</f>
        <v>0</v>
      </c>
      <c r="AG78" s="11">
        <f>T78*N78</f>
        <v>28512</v>
      </c>
      <c r="AJ78" s="24"/>
      <c r="AK78" s="25">
        <v>12063755</v>
      </c>
      <c r="AL78" s="25">
        <v>12061353</v>
      </c>
      <c r="AM78" s="25">
        <v>12061354</v>
      </c>
      <c r="AN78" s="25">
        <v>12068566</v>
      </c>
      <c r="AO78" s="25"/>
      <c r="AP78" s="25">
        <v>12068565</v>
      </c>
      <c r="AQ78" s="25" t="s">
        <v>114</v>
      </c>
      <c r="AR78" s="25"/>
      <c r="AS78" s="25">
        <v>12068565</v>
      </c>
      <c r="AT78" s="25"/>
      <c r="AU78" s="25"/>
    </row>
    <row r="79" spans="1:47" ht="25" customHeight="1">
      <c r="B79" s="39">
        <v>43965</v>
      </c>
      <c r="C79" s="39">
        <v>43986</v>
      </c>
      <c r="D79" s="40" t="s">
        <v>223</v>
      </c>
      <c r="E79" s="40">
        <v>43953</v>
      </c>
      <c r="F79" s="40" t="s">
        <v>282</v>
      </c>
      <c r="G79" s="40" t="s">
        <v>104</v>
      </c>
      <c r="H79" s="41" t="s">
        <v>105</v>
      </c>
      <c r="I79" s="41" t="s">
        <v>106</v>
      </c>
      <c r="J79" s="41" t="s">
        <v>107</v>
      </c>
      <c r="K79" s="41" t="s">
        <v>108</v>
      </c>
      <c r="L79" s="40" t="s">
        <v>109</v>
      </c>
      <c r="M79" s="60" t="s">
        <v>110</v>
      </c>
      <c r="N79" s="55">
        <v>36</v>
      </c>
      <c r="O79" s="55">
        <v>5</v>
      </c>
      <c r="P79" s="28">
        <v>7.4999999999999997E-3</v>
      </c>
      <c r="Q79" s="40" t="s">
        <v>111</v>
      </c>
      <c r="R79" s="40" t="s">
        <v>112</v>
      </c>
      <c r="S79" s="40" t="s">
        <v>113</v>
      </c>
      <c r="T79" s="42">
        <v>792</v>
      </c>
      <c r="U79" s="70"/>
      <c r="V79" s="42">
        <v>792</v>
      </c>
      <c r="W79" s="74">
        <f>(V79+U79)-T79</f>
        <v>0</v>
      </c>
      <c r="X79" s="42">
        <f>IF(W79&lt;0,((T79*N79)-((V79+U79)*N79)),0)</f>
        <v>0</v>
      </c>
      <c r="Y79" s="42"/>
      <c r="Z79" s="42"/>
      <c r="AA79" s="42"/>
      <c r="AB79" s="41"/>
      <c r="AC79" s="42">
        <f>SUM(O79*P79*X79)</f>
        <v>0</v>
      </c>
      <c r="AD79" s="42">
        <f>AC79/0.54</f>
        <v>0</v>
      </c>
      <c r="AE79" s="12">
        <f>MID(M79,1,3)/1000</f>
        <v>0.308</v>
      </c>
      <c r="AF79" s="17">
        <f>(X79*AE79)/1000</f>
        <v>0</v>
      </c>
      <c r="AG79" s="11">
        <f>T79*N79</f>
        <v>28512</v>
      </c>
      <c r="AJ79" s="24"/>
      <c r="AK79" s="25">
        <v>12063755</v>
      </c>
      <c r="AL79" s="25">
        <v>12061353</v>
      </c>
      <c r="AM79" s="25">
        <v>12061354</v>
      </c>
      <c r="AN79" s="25">
        <v>12068566</v>
      </c>
      <c r="AO79" s="25"/>
      <c r="AP79" s="25">
        <v>12068565</v>
      </c>
      <c r="AQ79" s="25" t="s">
        <v>114</v>
      </c>
      <c r="AR79" s="25"/>
      <c r="AS79" s="25">
        <v>12068565</v>
      </c>
      <c r="AT79" s="25"/>
      <c r="AU79" s="25"/>
    </row>
    <row r="80" spans="1:47" ht="25" customHeight="1">
      <c r="B80" s="39">
        <v>43965</v>
      </c>
      <c r="C80" s="39">
        <v>43987</v>
      </c>
      <c r="D80" s="40" t="s">
        <v>223</v>
      </c>
      <c r="E80" s="40">
        <v>43953</v>
      </c>
      <c r="F80" s="40" t="s">
        <v>283</v>
      </c>
      <c r="G80" s="40" t="s">
        <v>104</v>
      </c>
      <c r="H80" s="41" t="s">
        <v>105</v>
      </c>
      <c r="I80" s="41" t="s">
        <v>106</v>
      </c>
      <c r="J80" s="41" t="s">
        <v>107</v>
      </c>
      <c r="K80" s="41" t="s">
        <v>108</v>
      </c>
      <c r="L80" s="40" t="s">
        <v>109</v>
      </c>
      <c r="M80" s="60" t="s">
        <v>110</v>
      </c>
      <c r="N80" s="55">
        <v>36</v>
      </c>
      <c r="O80" s="55">
        <v>5</v>
      </c>
      <c r="P80" s="28">
        <v>7.4999999999999997E-3</v>
      </c>
      <c r="Q80" s="40" t="s">
        <v>111</v>
      </c>
      <c r="R80" s="40" t="s">
        <v>112</v>
      </c>
      <c r="S80" s="40" t="s">
        <v>113</v>
      </c>
      <c r="T80" s="42">
        <v>70</v>
      </c>
      <c r="U80" s="70"/>
      <c r="V80" s="42">
        <f>3418-180-792-792-792-792</f>
        <v>70</v>
      </c>
      <c r="W80" s="74">
        <f t="shared" ref="W80:W95" si="22">(V80+U80)-T80</f>
        <v>0</v>
      </c>
      <c r="X80" s="42">
        <f t="shared" ref="X80:X95" si="23">IF(W80&lt;0,((T80*N80)-((V80+U80)*N80)),0)</f>
        <v>0</v>
      </c>
      <c r="Y80" s="42"/>
      <c r="Z80" s="42"/>
      <c r="AA80" s="42"/>
      <c r="AB80" s="41"/>
      <c r="AC80" s="42">
        <f t="shared" ref="AC80:AC95" si="24">SUM(O80*P80*X80)</f>
        <v>0</v>
      </c>
      <c r="AD80" s="42">
        <f t="shared" ref="AD80:AD95" si="25">AC80/0.54</f>
        <v>0</v>
      </c>
      <c r="AE80" s="12">
        <f t="shared" ref="AE80:AE95" si="26">MID(M80,1,3)/1000</f>
        <v>0.308</v>
      </c>
      <c r="AF80" s="17">
        <f t="shared" ref="AF80:AF95" si="27">(X80*AE80)/1000</f>
        <v>0</v>
      </c>
      <c r="AG80" s="11">
        <f t="shared" ref="AG80:AG95" si="28">T80*N80</f>
        <v>2520</v>
      </c>
      <c r="AJ80" s="24"/>
      <c r="AK80" s="25">
        <v>12063755</v>
      </c>
      <c r="AL80" s="25">
        <v>12061353</v>
      </c>
      <c r="AM80" s="25">
        <v>12061354</v>
      </c>
      <c r="AN80" s="25">
        <v>12068566</v>
      </c>
      <c r="AO80" s="25"/>
      <c r="AP80" s="25">
        <v>12068565</v>
      </c>
      <c r="AQ80" s="25" t="s">
        <v>114</v>
      </c>
      <c r="AR80" s="25"/>
      <c r="AS80" s="25">
        <v>12068565</v>
      </c>
      <c r="AT80" s="25"/>
      <c r="AU80" s="25"/>
    </row>
    <row r="81" spans="1:47" ht="25" customHeight="1">
      <c r="A81" s="27" t="s">
        <v>120</v>
      </c>
      <c r="B81" s="39">
        <v>43965</v>
      </c>
      <c r="C81" s="39">
        <v>43971</v>
      </c>
      <c r="D81" s="40" t="s">
        <v>223</v>
      </c>
      <c r="E81" s="40">
        <v>43953</v>
      </c>
      <c r="F81" s="40" t="s">
        <v>245</v>
      </c>
      <c r="G81" s="40" t="s">
        <v>82</v>
      </c>
      <c r="H81" s="41" t="s">
        <v>235</v>
      </c>
      <c r="I81" s="41" t="s">
        <v>84</v>
      </c>
      <c r="J81" s="41" t="s">
        <v>85</v>
      </c>
      <c r="K81" s="41" t="s">
        <v>165</v>
      </c>
      <c r="L81" s="40" t="s">
        <v>258</v>
      </c>
      <c r="M81" s="60" t="s">
        <v>167</v>
      </c>
      <c r="N81" s="55">
        <v>20</v>
      </c>
      <c r="O81" s="55">
        <v>12</v>
      </c>
      <c r="P81" s="28">
        <v>6.8100000000000001E-3</v>
      </c>
      <c r="Q81" s="40" t="s">
        <v>76</v>
      </c>
      <c r="R81" s="40" t="s">
        <v>56</v>
      </c>
      <c r="S81" s="40" t="s">
        <v>89</v>
      </c>
      <c r="T81" s="42">
        <f>1200-157</f>
        <v>1043</v>
      </c>
      <c r="U81" s="70"/>
      <c r="V81" s="42">
        <v>1043</v>
      </c>
      <c r="W81" s="74">
        <f t="shared" si="22"/>
        <v>0</v>
      </c>
      <c r="X81" s="42">
        <f t="shared" si="23"/>
        <v>0</v>
      </c>
      <c r="Y81" s="42">
        <f>O81*X81</f>
        <v>0</v>
      </c>
      <c r="Z81" s="42">
        <v>2</v>
      </c>
      <c r="AA81" s="42">
        <f>X81*Z81</f>
        <v>0</v>
      </c>
      <c r="AB81" s="41"/>
      <c r="AC81" s="42">
        <f t="shared" si="24"/>
        <v>0</v>
      </c>
      <c r="AD81" s="42">
        <f t="shared" si="25"/>
        <v>0</v>
      </c>
      <c r="AE81" s="12">
        <f t="shared" si="26"/>
        <v>0.154</v>
      </c>
      <c r="AF81" s="17">
        <f t="shared" si="27"/>
        <v>0</v>
      </c>
      <c r="AG81" s="11">
        <f t="shared" si="28"/>
        <v>20860</v>
      </c>
      <c r="AJ81" s="24"/>
      <c r="AK81" s="25">
        <v>12033473</v>
      </c>
      <c r="AL81" s="25" t="s">
        <v>169</v>
      </c>
      <c r="AM81" s="25"/>
      <c r="AN81" s="25" t="s">
        <v>259</v>
      </c>
      <c r="AO81" s="25"/>
      <c r="AP81" s="25">
        <v>12027007</v>
      </c>
      <c r="AQ81" s="25"/>
      <c r="AR81" s="25" t="s">
        <v>172</v>
      </c>
      <c r="AS81" s="25"/>
      <c r="AT81" s="25"/>
      <c r="AU81" s="25"/>
    </row>
    <row r="82" spans="1:47" ht="25" customHeight="1">
      <c r="A82" s="27" t="s">
        <v>120</v>
      </c>
      <c r="B82" s="39">
        <v>43965</v>
      </c>
      <c r="C82" s="39">
        <v>43976</v>
      </c>
      <c r="D82" s="40" t="s">
        <v>223</v>
      </c>
      <c r="E82" s="40">
        <v>43953</v>
      </c>
      <c r="F82" s="40" t="s">
        <v>284</v>
      </c>
      <c r="G82" s="40" t="s">
        <v>500</v>
      </c>
      <c r="H82" s="41" t="s">
        <v>285</v>
      </c>
      <c r="I82" s="41" t="s">
        <v>84</v>
      </c>
      <c r="J82" s="41" t="s">
        <v>153</v>
      </c>
      <c r="K82" s="41" t="s">
        <v>165</v>
      </c>
      <c r="L82" s="40" t="s">
        <v>286</v>
      </c>
      <c r="M82" s="60" t="s">
        <v>287</v>
      </c>
      <c r="N82" s="55">
        <v>40</v>
      </c>
      <c r="O82" s="55">
        <v>12</v>
      </c>
      <c r="P82" s="28">
        <v>6.8100000000000001E-3</v>
      </c>
      <c r="Q82" s="40" t="s">
        <v>76</v>
      </c>
      <c r="R82" s="40" t="s">
        <v>56</v>
      </c>
      <c r="S82" s="40" t="s">
        <v>89</v>
      </c>
      <c r="T82" s="42">
        <v>194</v>
      </c>
      <c r="U82" s="70"/>
      <c r="V82" s="42">
        <v>194</v>
      </c>
      <c r="W82" s="74">
        <f t="shared" si="22"/>
        <v>0</v>
      </c>
      <c r="X82" s="42">
        <f t="shared" si="23"/>
        <v>0</v>
      </c>
      <c r="Y82" s="42">
        <f>O82*X82</f>
        <v>0</v>
      </c>
      <c r="Z82" s="42">
        <v>2</v>
      </c>
      <c r="AA82" s="42">
        <f>X82*Z82</f>
        <v>0</v>
      </c>
      <c r="AB82" s="41"/>
      <c r="AC82" s="42">
        <f t="shared" si="24"/>
        <v>0</v>
      </c>
      <c r="AD82" s="42">
        <f t="shared" si="25"/>
        <v>0</v>
      </c>
      <c r="AE82" s="12">
        <f t="shared" si="26"/>
        <v>0.154</v>
      </c>
      <c r="AF82" s="17">
        <f t="shared" si="27"/>
        <v>0</v>
      </c>
      <c r="AG82" s="11">
        <f t="shared" si="28"/>
        <v>7760</v>
      </c>
      <c r="AJ82" s="24" t="s">
        <v>288</v>
      </c>
      <c r="AK82" s="25">
        <v>12033473</v>
      </c>
      <c r="AL82" s="25">
        <v>12019692</v>
      </c>
      <c r="AM82" s="25"/>
      <c r="AN82" s="25" t="s">
        <v>289</v>
      </c>
      <c r="AO82" s="25"/>
      <c r="AP82" s="25">
        <v>12055895</v>
      </c>
      <c r="AQ82" s="25">
        <v>12034747</v>
      </c>
      <c r="AR82" s="25">
        <v>12045309</v>
      </c>
      <c r="AS82" s="25" t="s">
        <v>290</v>
      </c>
      <c r="AT82" s="25"/>
      <c r="AU82" s="25"/>
    </row>
    <row r="83" spans="1:47" ht="25" customHeight="1">
      <c r="B83" s="39">
        <v>43966</v>
      </c>
      <c r="C83" s="39">
        <v>43987</v>
      </c>
      <c r="D83" s="40" t="s">
        <v>223</v>
      </c>
      <c r="E83" s="40">
        <v>43953</v>
      </c>
      <c r="F83" s="40" t="s">
        <v>283</v>
      </c>
      <c r="G83" s="40" t="s">
        <v>104</v>
      </c>
      <c r="H83" s="41" t="s">
        <v>105</v>
      </c>
      <c r="I83" s="41" t="s">
        <v>106</v>
      </c>
      <c r="J83" s="41" t="s">
        <v>107</v>
      </c>
      <c r="K83" s="41" t="s">
        <v>108</v>
      </c>
      <c r="L83" s="40" t="s">
        <v>109</v>
      </c>
      <c r="M83" s="60" t="s">
        <v>110</v>
      </c>
      <c r="N83" s="55">
        <v>36</v>
      </c>
      <c r="O83" s="55">
        <v>5</v>
      </c>
      <c r="P83" s="28">
        <v>7.4999999999999997E-3</v>
      </c>
      <c r="Q83" s="40" t="s">
        <v>111</v>
      </c>
      <c r="R83" s="40" t="s">
        <v>112</v>
      </c>
      <c r="S83" s="40" t="s">
        <v>113</v>
      </c>
      <c r="T83" s="42">
        <f>792-70</f>
        <v>722</v>
      </c>
      <c r="U83" s="70"/>
      <c r="V83" s="42">
        <f>792-70</f>
        <v>722</v>
      </c>
      <c r="W83" s="74">
        <f t="shared" si="22"/>
        <v>0</v>
      </c>
      <c r="X83" s="42">
        <f t="shared" si="23"/>
        <v>0</v>
      </c>
      <c r="Y83" s="42"/>
      <c r="Z83" s="42"/>
      <c r="AA83" s="42"/>
      <c r="AB83" s="41"/>
      <c r="AC83" s="42">
        <f t="shared" si="24"/>
        <v>0</v>
      </c>
      <c r="AD83" s="42">
        <f t="shared" si="25"/>
        <v>0</v>
      </c>
      <c r="AE83" s="12">
        <f t="shared" si="26"/>
        <v>0.308</v>
      </c>
      <c r="AF83" s="17">
        <f t="shared" si="27"/>
        <v>0</v>
      </c>
      <c r="AG83" s="11">
        <f t="shared" si="28"/>
        <v>25992</v>
      </c>
      <c r="AJ83" s="24"/>
      <c r="AK83" s="25">
        <v>12063755</v>
      </c>
      <c r="AL83" s="25">
        <v>12061353</v>
      </c>
      <c r="AM83" s="25">
        <v>12061354</v>
      </c>
      <c r="AN83" s="25">
        <v>12068566</v>
      </c>
      <c r="AO83" s="25"/>
      <c r="AP83" s="25">
        <v>12068565</v>
      </c>
      <c r="AQ83" s="25" t="s">
        <v>114</v>
      </c>
      <c r="AR83" s="25"/>
      <c r="AS83" s="25">
        <v>12068565</v>
      </c>
      <c r="AT83" s="25"/>
      <c r="AU83" s="25"/>
    </row>
    <row r="84" spans="1:47" ht="25" customHeight="1">
      <c r="B84" s="39">
        <v>43966</v>
      </c>
      <c r="C84" s="39">
        <v>43987</v>
      </c>
      <c r="D84" s="40" t="s">
        <v>223</v>
      </c>
      <c r="E84" s="40">
        <v>43953</v>
      </c>
      <c r="F84" s="40" t="s">
        <v>291</v>
      </c>
      <c r="G84" s="40" t="s">
        <v>104</v>
      </c>
      <c r="H84" s="41" t="s">
        <v>105</v>
      </c>
      <c r="I84" s="41" t="s">
        <v>106</v>
      </c>
      <c r="J84" s="41" t="s">
        <v>107</v>
      </c>
      <c r="K84" s="41" t="s">
        <v>108</v>
      </c>
      <c r="L84" s="40" t="s">
        <v>109</v>
      </c>
      <c r="M84" s="60" t="s">
        <v>110</v>
      </c>
      <c r="N84" s="55">
        <v>36</v>
      </c>
      <c r="O84" s="55">
        <v>5</v>
      </c>
      <c r="P84" s="28">
        <v>7.4999999999999997E-3</v>
      </c>
      <c r="Q84" s="40" t="s">
        <v>111</v>
      </c>
      <c r="R84" s="40" t="s">
        <v>112</v>
      </c>
      <c r="S84" s="40" t="s">
        <v>113</v>
      </c>
      <c r="T84" s="42">
        <v>792</v>
      </c>
      <c r="U84" s="70"/>
      <c r="V84" s="42">
        <v>792</v>
      </c>
      <c r="W84" s="74">
        <f t="shared" si="22"/>
        <v>0</v>
      </c>
      <c r="X84" s="42">
        <f t="shared" si="23"/>
        <v>0</v>
      </c>
      <c r="Y84" s="42"/>
      <c r="Z84" s="42"/>
      <c r="AA84" s="42"/>
      <c r="AB84" s="41"/>
      <c r="AC84" s="42">
        <f t="shared" si="24"/>
        <v>0</v>
      </c>
      <c r="AD84" s="42">
        <f t="shared" si="25"/>
        <v>0</v>
      </c>
      <c r="AE84" s="12">
        <f t="shared" si="26"/>
        <v>0.308</v>
      </c>
      <c r="AF84" s="17">
        <f t="shared" si="27"/>
        <v>0</v>
      </c>
      <c r="AG84" s="11">
        <f t="shared" si="28"/>
        <v>28512</v>
      </c>
      <c r="AJ84" s="24"/>
      <c r="AK84" s="25">
        <v>12063755</v>
      </c>
      <c r="AL84" s="25">
        <v>12061353</v>
      </c>
      <c r="AM84" s="25">
        <v>12061354</v>
      </c>
      <c r="AN84" s="25">
        <v>12068566</v>
      </c>
      <c r="AO84" s="25"/>
      <c r="AP84" s="25">
        <v>12068565</v>
      </c>
      <c r="AQ84" s="25" t="s">
        <v>114</v>
      </c>
      <c r="AR84" s="25"/>
      <c r="AS84" s="25">
        <v>12068565</v>
      </c>
      <c r="AT84" s="25"/>
      <c r="AU84" s="25"/>
    </row>
    <row r="85" spans="1:47" ht="25" customHeight="1">
      <c r="B85" s="39">
        <v>43966</v>
      </c>
      <c r="C85" s="39">
        <v>43992</v>
      </c>
      <c r="D85" s="40" t="s">
        <v>223</v>
      </c>
      <c r="E85" s="40">
        <v>43953</v>
      </c>
      <c r="F85" s="40" t="s">
        <v>292</v>
      </c>
      <c r="G85" s="40" t="s">
        <v>104</v>
      </c>
      <c r="H85" s="41" t="s">
        <v>105</v>
      </c>
      <c r="I85" s="41" t="s">
        <v>106</v>
      </c>
      <c r="J85" s="41" t="s">
        <v>107</v>
      </c>
      <c r="K85" s="41" t="s">
        <v>108</v>
      </c>
      <c r="L85" s="40" t="s">
        <v>109</v>
      </c>
      <c r="M85" s="60" t="s">
        <v>110</v>
      </c>
      <c r="N85" s="55">
        <v>36</v>
      </c>
      <c r="O85" s="55">
        <v>5</v>
      </c>
      <c r="P85" s="28">
        <v>7.4999999999999997E-3</v>
      </c>
      <c r="Q85" s="40" t="s">
        <v>111</v>
      </c>
      <c r="R85" s="40" t="s">
        <v>112</v>
      </c>
      <c r="S85" s="40" t="s">
        <v>113</v>
      </c>
      <c r="T85" s="42">
        <v>792</v>
      </c>
      <c r="U85" s="70"/>
      <c r="V85" s="42">
        <v>792</v>
      </c>
      <c r="W85" s="74">
        <f t="shared" si="22"/>
        <v>0</v>
      </c>
      <c r="X85" s="42">
        <f t="shared" si="23"/>
        <v>0</v>
      </c>
      <c r="Y85" s="42"/>
      <c r="Z85" s="42"/>
      <c r="AA85" s="42"/>
      <c r="AB85" s="41"/>
      <c r="AC85" s="42">
        <f t="shared" si="24"/>
        <v>0</v>
      </c>
      <c r="AD85" s="42">
        <f t="shared" si="25"/>
        <v>0</v>
      </c>
      <c r="AE85" s="12">
        <f t="shared" si="26"/>
        <v>0.308</v>
      </c>
      <c r="AF85" s="17">
        <f t="shared" si="27"/>
        <v>0</v>
      </c>
      <c r="AG85" s="11">
        <f t="shared" si="28"/>
        <v>28512</v>
      </c>
      <c r="AJ85" s="24"/>
      <c r="AK85" s="25">
        <v>12063755</v>
      </c>
      <c r="AL85" s="25">
        <v>12061353</v>
      </c>
      <c r="AM85" s="25">
        <v>12061354</v>
      </c>
      <c r="AN85" s="25">
        <v>12068566</v>
      </c>
      <c r="AO85" s="25"/>
      <c r="AP85" s="25">
        <v>12068565</v>
      </c>
      <c r="AQ85" s="25" t="s">
        <v>114</v>
      </c>
      <c r="AR85" s="25"/>
      <c r="AS85" s="25">
        <v>12068565</v>
      </c>
      <c r="AT85" s="25"/>
      <c r="AU85" s="25"/>
    </row>
    <row r="86" spans="1:47" ht="25" customHeight="1">
      <c r="B86" s="39">
        <v>43966</v>
      </c>
      <c r="C86" s="39">
        <v>43992</v>
      </c>
      <c r="D86" s="40" t="s">
        <v>223</v>
      </c>
      <c r="E86" s="40">
        <v>43953</v>
      </c>
      <c r="F86" s="40" t="s">
        <v>293</v>
      </c>
      <c r="G86" s="40" t="s">
        <v>104</v>
      </c>
      <c r="H86" s="41" t="s">
        <v>105</v>
      </c>
      <c r="I86" s="41" t="s">
        <v>106</v>
      </c>
      <c r="J86" s="41" t="s">
        <v>107</v>
      </c>
      <c r="K86" s="41" t="s">
        <v>108</v>
      </c>
      <c r="L86" s="40" t="s">
        <v>109</v>
      </c>
      <c r="M86" s="60" t="s">
        <v>110</v>
      </c>
      <c r="N86" s="55">
        <v>36</v>
      </c>
      <c r="O86" s="55">
        <v>5</v>
      </c>
      <c r="P86" s="28">
        <v>7.4999999999999997E-3</v>
      </c>
      <c r="Q86" s="40" t="s">
        <v>111</v>
      </c>
      <c r="R86" s="40" t="s">
        <v>112</v>
      </c>
      <c r="S86" s="40" t="s">
        <v>113</v>
      </c>
      <c r="T86" s="42">
        <v>792</v>
      </c>
      <c r="U86" s="70"/>
      <c r="V86" s="42">
        <v>792</v>
      </c>
      <c r="W86" s="74">
        <f t="shared" si="22"/>
        <v>0</v>
      </c>
      <c r="X86" s="42">
        <f t="shared" si="23"/>
        <v>0</v>
      </c>
      <c r="Y86" s="42"/>
      <c r="Z86" s="42"/>
      <c r="AA86" s="42"/>
      <c r="AB86" s="41"/>
      <c r="AC86" s="42">
        <f t="shared" si="24"/>
        <v>0</v>
      </c>
      <c r="AD86" s="42">
        <f t="shared" si="25"/>
        <v>0</v>
      </c>
      <c r="AE86" s="12">
        <f t="shared" si="26"/>
        <v>0.308</v>
      </c>
      <c r="AF86" s="17">
        <f t="shared" si="27"/>
        <v>0</v>
      </c>
      <c r="AG86" s="11">
        <f t="shared" si="28"/>
        <v>28512</v>
      </c>
      <c r="AJ86" s="24"/>
      <c r="AK86" s="25">
        <v>12063755</v>
      </c>
      <c r="AL86" s="25">
        <v>12061353</v>
      </c>
      <c r="AM86" s="25">
        <v>12061354</v>
      </c>
      <c r="AN86" s="25">
        <v>12068566</v>
      </c>
      <c r="AO86" s="25"/>
      <c r="AP86" s="25">
        <v>12068565</v>
      </c>
      <c r="AQ86" s="25" t="s">
        <v>114</v>
      </c>
      <c r="AR86" s="25"/>
      <c r="AS86" s="25">
        <v>12068565</v>
      </c>
      <c r="AT86" s="25"/>
      <c r="AU86" s="25"/>
    </row>
    <row r="87" spans="1:47" ht="25" customHeight="1">
      <c r="B87" s="39">
        <v>43966</v>
      </c>
      <c r="C87" s="39">
        <v>43992</v>
      </c>
      <c r="D87" s="40" t="s">
        <v>223</v>
      </c>
      <c r="E87" s="40">
        <v>43953</v>
      </c>
      <c r="F87" s="40" t="s">
        <v>294</v>
      </c>
      <c r="G87" s="40" t="s">
        <v>104</v>
      </c>
      <c r="H87" s="41" t="s">
        <v>105</v>
      </c>
      <c r="I87" s="41" t="s">
        <v>106</v>
      </c>
      <c r="J87" s="41" t="s">
        <v>107</v>
      </c>
      <c r="K87" s="41" t="s">
        <v>108</v>
      </c>
      <c r="L87" s="40" t="s">
        <v>109</v>
      </c>
      <c r="M87" s="60" t="s">
        <v>110</v>
      </c>
      <c r="N87" s="55">
        <v>36</v>
      </c>
      <c r="O87" s="55">
        <v>5</v>
      </c>
      <c r="P87" s="28">
        <v>7.4999999999999997E-3</v>
      </c>
      <c r="Q87" s="40" t="s">
        <v>111</v>
      </c>
      <c r="R87" s="40" t="s">
        <v>112</v>
      </c>
      <c r="S87" s="40" t="s">
        <v>113</v>
      </c>
      <c r="T87" s="42">
        <v>792</v>
      </c>
      <c r="U87" s="70"/>
      <c r="V87" s="42">
        <v>792</v>
      </c>
      <c r="W87" s="74">
        <f t="shared" si="22"/>
        <v>0</v>
      </c>
      <c r="X87" s="42">
        <f t="shared" si="23"/>
        <v>0</v>
      </c>
      <c r="Y87" s="42"/>
      <c r="Z87" s="42"/>
      <c r="AA87" s="42"/>
      <c r="AB87" s="41"/>
      <c r="AC87" s="42">
        <f t="shared" si="24"/>
        <v>0</v>
      </c>
      <c r="AD87" s="42">
        <f t="shared" si="25"/>
        <v>0</v>
      </c>
      <c r="AE87" s="12">
        <f t="shared" si="26"/>
        <v>0.308</v>
      </c>
      <c r="AF87" s="17">
        <f t="shared" si="27"/>
        <v>0</v>
      </c>
      <c r="AG87" s="11">
        <f t="shared" si="28"/>
        <v>28512</v>
      </c>
      <c r="AJ87" s="24"/>
      <c r="AK87" s="25">
        <v>12063755</v>
      </c>
      <c r="AL87" s="25">
        <v>12061353</v>
      </c>
      <c r="AM87" s="25">
        <v>12061354</v>
      </c>
      <c r="AN87" s="25">
        <v>12068566</v>
      </c>
      <c r="AO87" s="25"/>
      <c r="AP87" s="25">
        <v>12068565</v>
      </c>
      <c r="AQ87" s="25" t="s">
        <v>114</v>
      </c>
      <c r="AR87" s="25"/>
      <c r="AS87" s="25">
        <v>12068565</v>
      </c>
      <c r="AT87" s="25"/>
      <c r="AU87" s="25"/>
    </row>
    <row r="88" spans="1:47" ht="25" customHeight="1">
      <c r="B88" s="39">
        <v>43966</v>
      </c>
      <c r="C88" s="39">
        <v>43993</v>
      </c>
      <c r="D88" s="40" t="s">
        <v>223</v>
      </c>
      <c r="E88" s="40">
        <v>43953</v>
      </c>
      <c r="F88" s="40" t="s">
        <v>295</v>
      </c>
      <c r="G88" s="40" t="s">
        <v>104</v>
      </c>
      <c r="H88" s="41" t="s">
        <v>105</v>
      </c>
      <c r="I88" s="41" t="s">
        <v>106</v>
      </c>
      <c r="J88" s="41" t="s">
        <v>107</v>
      </c>
      <c r="K88" s="41" t="s">
        <v>108</v>
      </c>
      <c r="L88" s="40" t="s">
        <v>109</v>
      </c>
      <c r="M88" s="60" t="s">
        <v>110</v>
      </c>
      <c r="N88" s="55">
        <v>36</v>
      </c>
      <c r="O88" s="55">
        <v>5</v>
      </c>
      <c r="P88" s="28">
        <v>7.4999999999999997E-3</v>
      </c>
      <c r="Q88" s="40" t="s">
        <v>111</v>
      </c>
      <c r="R88" s="40" t="s">
        <v>112</v>
      </c>
      <c r="S88" s="40" t="s">
        <v>113</v>
      </c>
      <c r="T88" s="42">
        <v>2</v>
      </c>
      <c r="U88" s="70"/>
      <c r="V88" s="42">
        <v>2</v>
      </c>
      <c r="W88" s="74">
        <f t="shared" si="22"/>
        <v>0</v>
      </c>
      <c r="X88" s="42">
        <f t="shared" si="23"/>
        <v>0</v>
      </c>
      <c r="Y88" s="42"/>
      <c r="Z88" s="42"/>
      <c r="AA88" s="42"/>
      <c r="AB88" s="41"/>
      <c r="AC88" s="42">
        <f t="shared" si="24"/>
        <v>0</v>
      </c>
      <c r="AD88" s="42">
        <f t="shared" si="25"/>
        <v>0</v>
      </c>
      <c r="AE88" s="15">
        <f t="shared" si="26"/>
        <v>0.308</v>
      </c>
      <c r="AF88" s="17">
        <f t="shared" si="27"/>
        <v>0</v>
      </c>
      <c r="AG88" s="11">
        <f t="shared" si="28"/>
        <v>72</v>
      </c>
      <c r="AJ88" s="24"/>
      <c r="AK88" s="25">
        <v>12063755</v>
      </c>
      <c r="AL88" s="25">
        <v>12061353</v>
      </c>
      <c r="AM88" s="25">
        <v>12061354</v>
      </c>
      <c r="AN88" s="25">
        <v>12068566</v>
      </c>
      <c r="AO88" s="25"/>
      <c r="AP88" s="25">
        <v>12068565</v>
      </c>
      <c r="AQ88" s="25" t="s">
        <v>114</v>
      </c>
      <c r="AR88" s="25"/>
      <c r="AS88" s="25">
        <v>12068565</v>
      </c>
      <c r="AT88" s="25"/>
      <c r="AU88" s="25"/>
    </row>
    <row r="89" spans="1:47" ht="25" customHeight="1">
      <c r="A89" s="27" t="s">
        <v>120</v>
      </c>
      <c r="B89" s="39">
        <v>43966</v>
      </c>
      <c r="C89" s="39">
        <v>43976</v>
      </c>
      <c r="D89" s="40" t="s">
        <v>223</v>
      </c>
      <c r="E89" s="40">
        <v>43953</v>
      </c>
      <c r="F89" s="40" t="s">
        <v>284</v>
      </c>
      <c r="G89" s="40" t="s">
        <v>500</v>
      </c>
      <c r="H89" s="41" t="s">
        <v>285</v>
      </c>
      <c r="I89" s="41" t="s">
        <v>84</v>
      </c>
      <c r="J89" s="41" t="s">
        <v>153</v>
      </c>
      <c r="K89" s="41" t="s">
        <v>165</v>
      </c>
      <c r="L89" s="40" t="s">
        <v>286</v>
      </c>
      <c r="M89" s="60" t="s">
        <v>287</v>
      </c>
      <c r="N89" s="55">
        <v>40</v>
      </c>
      <c r="O89" s="55">
        <v>12</v>
      </c>
      <c r="P89" s="28">
        <v>6.8100000000000001E-3</v>
      </c>
      <c r="Q89" s="40" t="s">
        <v>76</v>
      </c>
      <c r="R89" s="40" t="s">
        <v>56</v>
      </c>
      <c r="S89" s="40" t="s">
        <v>89</v>
      </c>
      <c r="T89" s="42">
        <v>806</v>
      </c>
      <c r="U89" s="70"/>
      <c r="V89" s="42">
        <v>806</v>
      </c>
      <c r="W89" s="74">
        <f t="shared" si="22"/>
        <v>0</v>
      </c>
      <c r="X89" s="42">
        <f t="shared" si="23"/>
        <v>0</v>
      </c>
      <c r="Y89" s="42">
        <f>O89*X89</f>
        <v>0</v>
      </c>
      <c r="Z89" s="42">
        <v>2</v>
      </c>
      <c r="AA89" s="42">
        <f>X89*Z89</f>
        <v>0</v>
      </c>
      <c r="AB89" s="41"/>
      <c r="AC89" s="42">
        <f t="shared" si="24"/>
        <v>0</v>
      </c>
      <c r="AD89" s="42">
        <f t="shared" si="25"/>
        <v>0</v>
      </c>
      <c r="AE89" s="15">
        <f t="shared" si="26"/>
        <v>0.154</v>
      </c>
      <c r="AF89" s="17">
        <f t="shared" si="27"/>
        <v>0</v>
      </c>
      <c r="AG89" s="11">
        <f t="shared" si="28"/>
        <v>32240</v>
      </c>
      <c r="AJ89" s="24" t="s">
        <v>288</v>
      </c>
      <c r="AK89" s="25">
        <v>12033473</v>
      </c>
      <c r="AL89" s="25">
        <v>12019692</v>
      </c>
      <c r="AM89" s="25"/>
      <c r="AN89" s="25" t="s">
        <v>289</v>
      </c>
      <c r="AO89" s="25"/>
      <c r="AP89" s="25">
        <v>12055895</v>
      </c>
      <c r="AQ89" s="25">
        <v>12034747</v>
      </c>
      <c r="AR89" s="25">
        <v>12045309</v>
      </c>
      <c r="AS89" s="25" t="s">
        <v>290</v>
      </c>
      <c r="AT89" s="25"/>
      <c r="AU89" s="25"/>
    </row>
    <row r="90" spans="1:47" ht="25" customHeight="1">
      <c r="B90" s="39">
        <v>43967</v>
      </c>
      <c r="C90" s="39">
        <v>43993</v>
      </c>
      <c r="D90" s="40" t="s">
        <v>223</v>
      </c>
      <c r="E90" s="40">
        <v>43953</v>
      </c>
      <c r="F90" s="40" t="s">
        <v>295</v>
      </c>
      <c r="G90" s="40" t="s">
        <v>104</v>
      </c>
      <c r="H90" s="41" t="s">
        <v>105</v>
      </c>
      <c r="I90" s="41" t="s">
        <v>106</v>
      </c>
      <c r="J90" s="41" t="s">
        <v>107</v>
      </c>
      <c r="K90" s="41" t="s">
        <v>108</v>
      </c>
      <c r="L90" s="40" t="s">
        <v>109</v>
      </c>
      <c r="M90" s="60" t="s">
        <v>110</v>
      </c>
      <c r="N90" s="55">
        <v>36</v>
      </c>
      <c r="O90" s="55">
        <v>5</v>
      </c>
      <c r="P90" s="28">
        <v>7.4999999999999997E-3</v>
      </c>
      <c r="Q90" s="40" t="s">
        <v>111</v>
      </c>
      <c r="R90" s="40" t="s">
        <v>112</v>
      </c>
      <c r="S90" s="40" t="s">
        <v>113</v>
      </c>
      <c r="T90" s="42">
        <f>792-2</f>
        <v>790</v>
      </c>
      <c r="U90" s="70"/>
      <c r="V90" s="42">
        <v>790</v>
      </c>
      <c r="W90" s="74">
        <f t="shared" si="22"/>
        <v>0</v>
      </c>
      <c r="X90" s="42">
        <f t="shared" si="23"/>
        <v>0</v>
      </c>
      <c r="Y90" s="42"/>
      <c r="Z90" s="42"/>
      <c r="AA90" s="42"/>
      <c r="AB90" s="41"/>
      <c r="AC90" s="42">
        <f t="shared" si="24"/>
        <v>0</v>
      </c>
      <c r="AD90" s="42">
        <f t="shared" si="25"/>
        <v>0</v>
      </c>
      <c r="AE90" s="15">
        <f t="shared" si="26"/>
        <v>0.308</v>
      </c>
      <c r="AF90" s="17">
        <f t="shared" si="27"/>
        <v>0</v>
      </c>
      <c r="AG90" s="11">
        <f t="shared" si="28"/>
        <v>28440</v>
      </c>
      <c r="AJ90" s="24"/>
      <c r="AK90" s="25">
        <v>12063755</v>
      </c>
      <c r="AL90" s="25">
        <v>12061353</v>
      </c>
      <c r="AM90" s="25">
        <v>12061354</v>
      </c>
      <c r="AN90" s="25">
        <v>12068566</v>
      </c>
      <c r="AO90" s="25"/>
      <c r="AP90" s="25">
        <v>12068565</v>
      </c>
      <c r="AQ90" s="25" t="s">
        <v>114</v>
      </c>
      <c r="AR90" s="25"/>
      <c r="AS90" s="25">
        <v>12068565</v>
      </c>
      <c r="AT90" s="25"/>
      <c r="AU90" s="25"/>
    </row>
    <row r="91" spans="1:47" ht="25" customHeight="1">
      <c r="B91" s="39">
        <v>43967</v>
      </c>
      <c r="C91" s="39">
        <v>43993</v>
      </c>
      <c r="D91" s="40" t="s">
        <v>223</v>
      </c>
      <c r="E91" s="40">
        <v>43953</v>
      </c>
      <c r="F91" s="40" t="s">
        <v>296</v>
      </c>
      <c r="G91" s="40" t="s">
        <v>104</v>
      </c>
      <c r="H91" s="41" t="s">
        <v>105</v>
      </c>
      <c r="I91" s="41" t="s">
        <v>106</v>
      </c>
      <c r="J91" s="41" t="s">
        <v>107</v>
      </c>
      <c r="K91" s="41" t="s">
        <v>108</v>
      </c>
      <c r="L91" s="40" t="s">
        <v>109</v>
      </c>
      <c r="M91" s="60" t="s">
        <v>110</v>
      </c>
      <c r="N91" s="55">
        <v>36</v>
      </c>
      <c r="O91" s="55">
        <v>5</v>
      </c>
      <c r="P91" s="28">
        <v>7.4999999999999997E-3</v>
      </c>
      <c r="Q91" s="40" t="s">
        <v>111</v>
      </c>
      <c r="R91" s="40" t="s">
        <v>112</v>
      </c>
      <c r="S91" s="40" t="s">
        <v>113</v>
      </c>
      <c r="T91" s="42">
        <v>792</v>
      </c>
      <c r="U91" s="70"/>
      <c r="V91" s="42">
        <v>792</v>
      </c>
      <c r="W91" s="74">
        <f t="shared" si="22"/>
        <v>0</v>
      </c>
      <c r="X91" s="42">
        <f t="shared" si="23"/>
        <v>0</v>
      </c>
      <c r="Y91" s="42"/>
      <c r="Z91" s="42"/>
      <c r="AA91" s="42"/>
      <c r="AB91" s="41"/>
      <c r="AC91" s="42">
        <f t="shared" si="24"/>
        <v>0</v>
      </c>
      <c r="AD91" s="42">
        <f t="shared" si="25"/>
        <v>0</v>
      </c>
      <c r="AE91" s="15">
        <f t="shared" si="26"/>
        <v>0.308</v>
      </c>
      <c r="AF91" s="17">
        <f t="shared" si="27"/>
        <v>0</v>
      </c>
      <c r="AG91" s="11">
        <f t="shared" si="28"/>
        <v>28512</v>
      </c>
      <c r="AJ91" s="24"/>
      <c r="AK91" s="25">
        <v>12063755</v>
      </c>
      <c r="AL91" s="25">
        <v>12061353</v>
      </c>
      <c r="AM91" s="25">
        <v>12061354</v>
      </c>
      <c r="AN91" s="25">
        <v>12068566</v>
      </c>
      <c r="AO91" s="25"/>
      <c r="AP91" s="25">
        <v>12068565</v>
      </c>
      <c r="AQ91" s="25" t="s">
        <v>114</v>
      </c>
      <c r="AR91" s="25"/>
      <c r="AS91" s="25">
        <v>12068565</v>
      </c>
      <c r="AT91" s="25"/>
      <c r="AU91" s="25"/>
    </row>
    <row r="92" spans="1:47" ht="25" customHeight="1">
      <c r="B92" s="39">
        <v>43967</v>
      </c>
      <c r="C92" s="39">
        <v>43994</v>
      </c>
      <c r="D92" s="40" t="s">
        <v>223</v>
      </c>
      <c r="E92" s="40">
        <v>43953</v>
      </c>
      <c r="F92" s="40" t="s">
        <v>297</v>
      </c>
      <c r="G92" s="40" t="s">
        <v>104</v>
      </c>
      <c r="H92" s="41" t="s">
        <v>105</v>
      </c>
      <c r="I92" s="41" t="s">
        <v>106</v>
      </c>
      <c r="J92" s="41" t="s">
        <v>107</v>
      </c>
      <c r="K92" s="41" t="s">
        <v>108</v>
      </c>
      <c r="L92" s="40" t="s">
        <v>109</v>
      </c>
      <c r="M92" s="60" t="s">
        <v>110</v>
      </c>
      <c r="N92" s="55">
        <v>36</v>
      </c>
      <c r="O92" s="55">
        <v>5</v>
      </c>
      <c r="P92" s="28">
        <v>7.4999999999999997E-3</v>
      </c>
      <c r="Q92" s="40" t="s">
        <v>111</v>
      </c>
      <c r="R92" s="40" t="s">
        <v>112</v>
      </c>
      <c r="S92" s="40" t="s">
        <v>113</v>
      </c>
      <c r="T92" s="42">
        <v>792</v>
      </c>
      <c r="U92" s="70"/>
      <c r="V92" s="42">
        <v>792</v>
      </c>
      <c r="W92" s="74">
        <f t="shared" si="22"/>
        <v>0</v>
      </c>
      <c r="X92" s="42">
        <f t="shared" si="23"/>
        <v>0</v>
      </c>
      <c r="Y92" s="42"/>
      <c r="Z92" s="42"/>
      <c r="AA92" s="42"/>
      <c r="AB92" s="41"/>
      <c r="AC92" s="42">
        <f t="shared" si="24"/>
        <v>0</v>
      </c>
      <c r="AD92" s="42">
        <f t="shared" si="25"/>
        <v>0</v>
      </c>
      <c r="AE92" s="15">
        <f t="shared" si="26"/>
        <v>0.308</v>
      </c>
      <c r="AF92" s="17">
        <f t="shared" si="27"/>
        <v>0</v>
      </c>
      <c r="AG92" s="11">
        <f t="shared" si="28"/>
        <v>28512</v>
      </c>
      <c r="AJ92" s="24"/>
      <c r="AK92" s="25">
        <v>12063755</v>
      </c>
      <c r="AL92" s="25">
        <v>12061353</v>
      </c>
      <c r="AM92" s="25">
        <v>12061354</v>
      </c>
      <c r="AN92" s="25">
        <v>12068566</v>
      </c>
      <c r="AO92" s="25"/>
      <c r="AP92" s="25">
        <v>12068565</v>
      </c>
      <c r="AQ92" s="25" t="s">
        <v>114</v>
      </c>
      <c r="AR92" s="25"/>
      <c r="AS92" s="25">
        <v>12068565</v>
      </c>
      <c r="AT92" s="25"/>
      <c r="AU92" s="25"/>
    </row>
    <row r="93" spans="1:47" ht="25" customHeight="1">
      <c r="B93" s="39">
        <v>43967</v>
      </c>
      <c r="C93" s="39">
        <v>43994</v>
      </c>
      <c r="D93" s="40" t="s">
        <v>223</v>
      </c>
      <c r="E93" s="40">
        <v>43953</v>
      </c>
      <c r="F93" s="40" t="s">
        <v>298</v>
      </c>
      <c r="G93" s="40" t="s">
        <v>104</v>
      </c>
      <c r="H93" s="41" t="s">
        <v>105</v>
      </c>
      <c r="I93" s="41" t="s">
        <v>106</v>
      </c>
      <c r="J93" s="41" t="s">
        <v>107</v>
      </c>
      <c r="K93" s="41" t="s">
        <v>108</v>
      </c>
      <c r="L93" s="40" t="s">
        <v>109</v>
      </c>
      <c r="M93" s="60" t="s">
        <v>110</v>
      </c>
      <c r="N93" s="55">
        <v>36</v>
      </c>
      <c r="O93" s="55">
        <v>5</v>
      </c>
      <c r="P93" s="28">
        <v>7.4999999999999997E-3</v>
      </c>
      <c r="Q93" s="40" t="s">
        <v>111</v>
      </c>
      <c r="R93" s="40" t="s">
        <v>112</v>
      </c>
      <c r="S93" s="40" t="s">
        <v>113</v>
      </c>
      <c r="T93" s="42">
        <v>792</v>
      </c>
      <c r="U93" s="70"/>
      <c r="V93" s="42">
        <v>792</v>
      </c>
      <c r="W93" s="74">
        <f t="shared" si="22"/>
        <v>0</v>
      </c>
      <c r="X93" s="42">
        <f t="shared" si="23"/>
        <v>0</v>
      </c>
      <c r="Y93" s="42"/>
      <c r="Z93" s="42"/>
      <c r="AA93" s="42"/>
      <c r="AB93" s="41"/>
      <c r="AC93" s="42">
        <f t="shared" si="24"/>
        <v>0</v>
      </c>
      <c r="AD93" s="42">
        <f t="shared" si="25"/>
        <v>0</v>
      </c>
      <c r="AE93" s="15">
        <f t="shared" si="26"/>
        <v>0.308</v>
      </c>
      <c r="AF93" s="17">
        <f t="shared" si="27"/>
        <v>0</v>
      </c>
      <c r="AG93" s="11">
        <f t="shared" si="28"/>
        <v>28512</v>
      </c>
      <c r="AJ93" s="24"/>
      <c r="AK93" s="25">
        <v>12063755</v>
      </c>
      <c r="AL93" s="25">
        <v>12061353</v>
      </c>
      <c r="AM93" s="25">
        <v>12061354</v>
      </c>
      <c r="AN93" s="25">
        <v>12068566</v>
      </c>
      <c r="AO93" s="25"/>
      <c r="AP93" s="25">
        <v>12068565</v>
      </c>
      <c r="AQ93" s="25" t="s">
        <v>114</v>
      </c>
      <c r="AR93" s="25"/>
      <c r="AS93" s="25">
        <v>12068565</v>
      </c>
      <c r="AT93" s="25"/>
      <c r="AU93" s="25"/>
    </row>
    <row r="94" spans="1:47" ht="25" customHeight="1">
      <c r="B94" s="39">
        <v>43967</v>
      </c>
      <c r="C94" s="39">
        <v>43994</v>
      </c>
      <c r="D94" s="40" t="s">
        <v>223</v>
      </c>
      <c r="E94" s="40">
        <v>43953</v>
      </c>
      <c r="F94" s="40" t="s">
        <v>299</v>
      </c>
      <c r="G94" s="40" t="s">
        <v>104</v>
      </c>
      <c r="H94" s="41" t="s">
        <v>105</v>
      </c>
      <c r="I94" s="41" t="s">
        <v>106</v>
      </c>
      <c r="J94" s="41" t="s">
        <v>107</v>
      </c>
      <c r="K94" s="41" t="s">
        <v>108</v>
      </c>
      <c r="L94" s="40" t="s">
        <v>109</v>
      </c>
      <c r="M94" s="60" t="s">
        <v>110</v>
      </c>
      <c r="N94" s="55">
        <v>36</v>
      </c>
      <c r="O94" s="55">
        <v>5</v>
      </c>
      <c r="P94" s="28">
        <v>7.4999999999999997E-3</v>
      </c>
      <c r="Q94" s="40" t="s">
        <v>111</v>
      </c>
      <c r="R94" s="40" t="s">
        <v>112</v>
      </c>
      <c r="S94" s="40" t="s">
        <v>113</v>
      </c>
      <c r="T94" s="42">
        <v>161</v>
      </c>
      <c r="U94" s="70"/>
      <c r="V94" s="42">
        <f>3327-790-792-792-792</f>
        <v>161</v>
      </c>
      <c r="W94" s="74">
        <f t="shared" si="22"/>
        <v>0</v>
      </c>
      <c r="X94" s="42">
        <f t="shared" si="23"/>
        <v>0</v>
      </c>
      <c r="Y94" s="42"/>
      <c r="Z94" s="42"/>
      <c r="AA94" s="42"/>
      <c r="AB94" s="41"/>
      <c r="AC94" s="42">
        <f t="shared" si="24"/>
        <v>0</v>
      </c>
      <c r="AD94" s="42">
        <f t="shared" si="25"/>
        <v>0</v>
      </c>
      <c r="AE94" s="15">
        <f t="shared" si="26"/>
        <v>0.308</v>
      </c>
      <c r="AF94" s="17">
        <f t="shared" si="27"/>
        <v>0</v>
      </c>
      <c r="AG94" s="11">
        <f t="shared" si="28"/>
        <v>5796</v>
      </c>
      <c r="AJ94" s="24"/>
      <c r="AK94" s="25">
        <v>12063755</v>
      </c>
      <c r="AL94" s="25">
        <v>12061353</v>
      </c>
      <c r="AM94" s="25">
        <v>12061354</v>
      </c>
      <c r="AN94" s="25">
        <v>12068566</v>
      </c>
      <c r="AO94" s="25"/>
      <c r="AP94" s="25">
        <v>12068565</v>
      </c>
      <c r="AQ94" s="25" t="s">
        <v>114</v>
      </c>
      <c r="AR94" s="25"/>
      <c r="AS94" s="25">
        <v>12068565</v>
      </c>
      <c r="AT94" s="25"/>
      <c r="AU94" s="25"/>
    </row>
    <row r="95" spans="1:47" ht="25" customHeight="1">
      <c r="A95" s="27" t="s">
        <v>120</v>
      </c>
      <c r="B95" s="39">
        <v>43967</v>
      </c>
      <c r="C95" s="39">
        <v>43976</v>
      </c>
      <c r="D95" s="40" t="s">
        <v>223</v>
      </c>
      <c r="E95" s="40">
        <v>43953</v>
      </c>
      <c r="F95" s="40" t="s">
        <v>284</v>
      </c>
      <c r="G95" s="40" t="s">
        <v>500</v>
      </c>
      <c r="H95" s="41" t="s">
        <v>285</v>
      </c>
      <c r="I95" s="41" t="s">
        <v>84</v>
      </c>
      <c r="J95" s="41" t="s">
        <v>153</v>
      </c>
      <c r="K95" s="41" t="s">
        <v>165</v>
      </c>
      <c r="L95" s="40" t="s">
        <v>286</v>
      </c>
      <c r="M95" s="60" t="s">
        <v>287</v>
      </c>
      <c r="N95" s="55">
        <v>40</v>
      </c>
      <c r="O95" s="55">
        <v>12</v>
      </c>
      <c r="P95" s="28">
        <v>6.8100000000000001E-3</v>
      </c>
      <c r="Q95" s="40" t="s">
        <v>76</v>
      </c>
      <c r="R95" s="40" t="s">
        <v>56</v>
      </c>
      <c r="S95" s="40" t="s">
        <v>89</v>
      </c>
      <c r="T95" s="42">
        <f>1624-194-806</f>
        <v>624</v>
      </c>
      <c r="U95" s="70"/>
      <c r="V95" s="42">
        <v>624</v>
      </c>
      <c r="W95" s="74">
        <f t="shared" si="22"/>
        <v>0</v>
      </c>
      <c r="X95" s="42">
        <f t="shared" si="23"/>
        <v>0</v>
      </c>
      <c r="Y95" s="42">
        <f>O95*X95</f>
        <v>0</v>
      </c>
      <c r="Z95" s="42">
        <v>2</v>
      </c>
      <c r="AA95" s="42">
        <f>X95*Z95</f>
        <v>0</v>
      </c>
      <c r="AB95" s="41"/>
      <c r="AC95" s="42">
        <f t="shared" si="24"/>
        <v>0</v>
      </c>
      <c r="AD95" s="42">
        <f t="shared" si="25"/>
        <v>0</v>
      </c>
      <c r="AE95" s="15">
        <f t="shared" si="26"/>
        <v>0.154</v>
      </c>
      <c r="AF95" s="17">
        <f t="shared" si="27"/>
        <v>0</v>
      </c>
      <c r="AG95" s="11">
        <f t="shared" si="28"/>
        <v>24960</v>
      </c>
      <c r="AJ95" s="24" t="s">
        <v>288</v>
      </c>
      <c r="AK95" s="25">
        <v>12033473</v>
      </c>
      <c r="AL95" s="25">
        <v>12019692</v>
      </c>
      <c r="AM95" s="25"/>
      <c r="AN95" s="25" t="s">
        <v>289</v>
      </c>
      <c r="AO95" s="25"/>
      <c r="AP95" s="25">
        <v>12055895</v>
      </c>
      <c r="AQ95" s="25">
        <v>12034747</v>
      </c>
      <c r="AR95" s="25">
        <v>12045309</v>
      </c>
      <c r="AS95" s="25" t="s">
        <v>290</v>
      </c>
      <c r="AT95" s="25"/>
      <c r="AU95" s="25"/>
    </row>
    <row r="96" spans="1:47" ht="25" customHeight="1">
      <c r="A96" s="27" t="s">
        <v>120</v>
      </c>
      <c r="B96" s="39">
        <v>43967</v>
      </c>
      <c r="C96" s="39">
        <v>43976</v>
      </c>
      <c r="D96" s="40" t="s">
        <v>223</v>
      </c>
      <c r="E96" s="40">
        <v>43953</v>
      </c>
      <c r="F96" s="40" t="s">
        <v>300</v>
      </c>
      <c r="G96" s="40" t="s">
        <v>82</v>
      </c>
      <c r="H96" s="41" t="s">
        <v>235</v>
      </c>
      <c r="I96" s="41" t="s">
        <v>84</v>
      </c>
      <c r="J96" s="41" t="s">
        <v>85</v>
      </c>
      <c r="K96" s="41" t="s">
        <v>86</v>
      </c>
      <c r="L96" s="40" t="s">
        <v>273</v>
      </c>
      <c r="M96" s="60" t="s">
        <v>88</v>
      </c>
      <c r="N96" s="55">
        <v>8</v>
      </c>
      <c r="O96" s="55">
        <v>50</v>
      </c>
      <c r="P96" s="28">
        <v>6.8100000000000001E-3</v>
      </c>
      <c r="Q96" s="40" t="s">
        <v>76</v>
      </c>
      <c r="R96" s="40" t="s">
        <v>56</v>
      </c>
      <c r="S96" s="40" t="s">
        <v>89</v>
      </c>
      <c r="T96" s="42">
        <v>360</v>
      </c>
      <c r="U96" s="70"/>
      <c r="V96" s="42">
        <f>282+78</f>
        <v>360</v>
      </c>
      <c r="W96" s="74">
        <f>(V96+U96)-T96</f>
        <v>0</v>
      </c>
      <c r="X96" s="42">
        <f>IF(W96&lt;0,((T96*N96)-((V96+U96)*N96)),0)</f>
        <v>0</v>
      </c>
      <c r="Y96" s="42">
        <f>O96*X96</f>
        <v>0</v>
      </c>
      <c r="Z96" s="42">
        <v>6</v>
      </c>
      <c r="AA96" s="42">
        <f>X96*Z96</f>
        <v>0</v>
      </c>
      <c r="AB96" s="41"/>
      <c r="AC96" s="42">
        <f>SUM(O96*P96*X96)</f>
        <v>0</v>
      </c>
      <c r="AD96" s="42">
        <f>AC96/0.54</f>
        <v>0</v>
      </c>
      <c r="AE96" s="15">
        <f>MID(M96,1,3)/1000</f>
        <v>0.63</v>
      </c>
      <c r="AF96" s="17">
        <f>(X96*AE96)/1000</f>
        <v>0</v>
      </c>
      <c r="AG96" s="11">
        <f>T96*N96</f>
        <v>2880</v>
      </c>
      <c r="AJ96" s="24"/>
      <c r="AK96" s="25">
        <v>12004862</v>
      </c>
      <c r="AL96" s="25">
        <v>12055234</v>
      </c>
      <c r="AM96" s="25"/>
      <c r="AN96" s="25" t="s">
        <v>92</v>
      </c>
      <c r="AO96" s="25"/>
      <c r="AP96" s="25">
        <v>12056200</v>
      </c>
      <c r="AQ96" s="25"/>
      <c r="AR96" s="25" t="s">
        <v>93</v>
      </c>
      <c r="AS96" s="25"/>
      <c r="AT96" s="25"/>
      <c r="AU96" s="25"/>
    </row>
    <row r="97" spans="1:47" ht="25" customHeight="1">
      <c r="B97" s="35">
        <v>43968</v>
      </c>
      <c r="C97" s="35"/>
      <c r="D97" s="36" t="s">
        <v>466</v>
      </c>
      <c r="E97" s="36">
        <v>43953</v>
      </c>
      <c r="F97" s="36"/>
      <c r="G97" s="36"/>
      <c r="H97" s="37"/>
      <c r="I97" s="37"/>
      <c r="J97" s="37"/>
      <c r="K97" s="37"/>
      <c r="L97" s="36"/>
      <c r="M97" s="59"/>
      <c r="N97" s="54"/>
      <c r="O97" s="54"/>
      <c r="P97" s="57"/>
      <c r="Q97" s="36"/>
      <c r="R97" s="36"/>
      <c r="S97" s="36"/>
      <c r="T97" s="38"/>
      <c r="U97" s="69"/>
      <c r="V97" s="38"/>
      <c r="W97" s="73"/>
      <c r="X97" s="38"/>
      <c r="Y97" s="38"/>
      <c r="Z97" s="38"/>
      <c r="AA97" s="38"/>
      <c r="AB97" s="37"/>
      <c r="AC97" s="38"/>
      <c r="AD97" s="38"/>
      <c r="AE97" s="16"/>
      <c r="AF97" s="19"/>
      <c r="AJ97" s="24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</row>
    <row r="98" spans="1:47" ht="25" customHeight="1">
      <c r="B98" s="39">
        <v>43969</v>
      </c>
      <c r="C98" s="39">
        <v>43984</v>
      </c>
      <c r="D98" s="40" t="s">
        <v>466</v>
      </c>
      <c r="E98" s="40">
        <v>43953</v>
      </c>
      <c r="F98" s="40" t="s">
        <v>191</v>
      </c>
      <c r="G98" s="40" t="s">
        <v>104</v>
      </c>
      <c r="H98" s="41" t="s">
        <v>105</v>
      </c>
      <c r="I98" s="41" t="s">
        <v>175</v>
      </c>
      <c r="J98" s="41" t="s">
        <v>176</v>
      </c>
      <c r="K98" s="41" t="s">
        <v>177</v>
      </c>
      <c r="L98" s="40" t="s">
        <v>186</v>
      </c>
      <c r="M98" s="60" t="s">
        <v>187</v>
      </c>
      <c r="N98" s="55">
        <v>8</v>
      </c>
      <c r="O98" s="55">
        <v>5</v>
      </c>
      <c r="P98" s="28">
        <v>8.0000000000000002E-3</v>
      </c>
      <c r="Q98" s="40" t="s">
        <v>40</v>
      </c>
      <c r="R98" s="40" t="s">
        <v>112</v>
      </c>
      <c r="S98" s="40" t="s">
        <v>57</v>
      </c>
      <c r="T98" s="42">
        <f>(40000-26577)/8</f>
        <v>1677.875</v>
      </c>
      <c r="U98" s="70">
        <f>(13423)/8</f>
        <v>1677.875</v>
      </c>
      <c r="V98" s="42"/>
      <c r="W98" s="74">
        <f t="shared" ref="W98:W141" si="29">(V98+U98)-T98</f>
        <v>0</v>
      </c>
      <c r="X98" s="42">
        <f t="shared" ref="X98:X141" si="30">IF(W98&lt;0,((T98*N98)-((V98+U98)*N98)),0)</f>
        <v>0</v>
      </c>
      <c r="Y98" s="42"/>
      <c r="Z98" s="42"/>
      <c r="AA98" s="42"/>
      <c r="AB98" s="41"/>
      <c r="AC98" s="42">
        <f t="shared" ref="AC98:AC138" si="31">SUM(O98*P98*X98)</f>
        <v>0</v>
      </c>
      <c r="AD98" s="42">
        <f>AC98/0.54</f>
        <v>0</v>
      </c>
      <c r="AE98" s="15">
        <f t="shared" ref="AE98:AE126" si="32">MID(M98,1,3)/1000</f>
        <v>0.14499999999999999</v>
      </c>
      <c r="AF98" s="17">
        <v>0.26621999999999996</v>
      </c>
      <c r="AG98" s="11">
        <f>T98*N98</f>
        <v>13423</v>
      </c>
      <c r="AJ98" s="24" t="s">
        <v>188</v>
      </c>
      <c r="AK98" s="25">
        <v>12062338</v>
      </c>
      <c r="AL98" s="25">
        <v>12047514</v>
      </c>
      <c r="AM98" s="25">
        <v>12047515</v>
      </c>
      <c r="AN98" s="25" t="s">
        <v>189</v>
      </c>
      <c r="AO98" s="25"/>
      <c r="AP98" s="25" t="s">
        <v>190</v>
      </c>
      <c r="AQ98" s="25"/>
      <c r="AR98" s="25"/>
      <c r="AS98" s="25"/>
      <c r="AT98" s="25"/>
      <c r="AU98" s="25"/>
    </row>
    <row r="99" spans="1:47" ht="25" customHeight="1">
      <c r="B99" s="39">
        <v>43969</v>
      </c>
      <c r="C99" s="39">
        <v>43987</v>
      </c>
      <c r="D99" s="40" t="s">
        <v>466</v>
      </c>
      <c r="E99" s="40">
        <v>43953</v>
      </c>
      <c r="F99" s="40" t="s">
        <v>301</v>
      </c>
      <c r="G99" s="40" t="s">
        <v>225</v>
      </c>
      <c r="H99" s="41" t="s">
        <v>226</v>
      </c>
      <c r="I99" s="41" t="s">
        <v>106</v>
      </c>
      <c r="J99" s="41" t="s">
        <v>227</v>
      </c>
      <c r="K99" s="41" t="s">
        <v>228</v>
      </c>
      <c r="L99" s="40" t="s">
        <v>229</v>
      </c>
      <c r="M99" s="60" t="s">
        <v>230</v>
      </c>
      <c r="N99" s="55">
        <v>12</v>
      </c>
      <c r="O99" s="55">
        <v>5</v>
      </c>
      <c r="P99" s="28">
        <v>8.0000000000000002E-3</v>
      </c>
      <c r="Q99" s="40" t="s">
        <v>40</v>
      </c>
      <c r="R99" s="40" t="s">
        <v>112</v>
      </c>
      <c r="S99" s="40" t="s">
        <v>57</v>
      </c>
      <c r="T99" s="42">
        <v>2600</v>
      </c>
      <c r="U99" s="70"/>
      <c r="V99" s="42">
        <f>2600-28</f>
        <v>2572</v>
      </c>
      <c r="W99" s="74">
        <f t="shared" si="29"/>
        <v>-28</v>
      </c>
      <c r="X99" s="42">
        <f t="shared" si="30"/>
        <v>336</v>
      </c>
      <c r="Y99" s="42"/>
      <c r="Z99" s="42"/>
      <c r="AA99" s="42"/>
      <c r="AB99" s="41"/>
      <c r="AC99" s="42">
        <f t="shared" si="31"/>
        <v>13.44</v>
      </c>
      <c r="AD99" s="42">
        <f>AC99/0.54</f>
        <v>24.888888888888886</v>
      </c>
      <c r="AE99" s="15">
        <f t="shared" si="32"/>
        <v>0.25800000000000001</v>
      </c>
      <c r="AF99" s="17">
        <f t="shared" ref="AF99:AF126" si="33">(X99*AE99)/1000</f>
        <v>8.6688000000000001E-2</v>
      </c>
      <c r="AG99" s="11">
        <f>T99*N99</f>
        <v>31200</v>
      </c>
      <c r="AJ99" s="24" t="s">
        <v>231</v>
      </c>
      <c r="AK99" s="25">
        <v>12062338</v>
      </c>
      <c r="AL99" s="25">
        <v>12042650</v>
      </c>
      <c r="AM99" s="25">
        <v>12042649</v>
      </c>
      <c r="AN99" s="25" t="s">
        <v>232</v>
      </c>
      <c r="AO99" s="25"/>
      <c r="AP99" s="25" t="s">
        <v>233</v>
      </c>
      <c r="AQ99" s="25"/>
      <c r="AR99" s="25"/>
      <c r="AS99" s="25"/>
      <c r="AT99" s="25"/>
      <c r="AU99" s="25"/>
    </row>
    <row r="100" spans="1:47" ht="25" customHeight="1">
      <c r="B100" s="39">
        <v>43969</v>
      </c>
      <c r="C100" s="39">
        <v>43978</v>
      </c>
      <c r="D100" s="40" t="s">
        <v>466</v>
      </c>
      <c r="E100" s="40">
        <v>43953</v>
      </c>
      <c r="F100" s="40" t="s">
        <v>302</v>
      </c>
      <c r="G100" s="40" t="s">
        <v>104</v>
      </c>
      <c r="H100" s="41" t="s">
        <v>105</v>
      </c>
      <c r="I100" s="41" t="s">
        <v>106</v>
      </c>
      <c r="J100" s="41" t="s">
        <v>227</v>
      </c>
      <c r="K100" s="41" t="s">
        <v>236</v>
      </c>
      <c r="L100" s="40" t="s">
        <v>303</v>
      </c>
      <c r="M100" s="60" t="s">
        <v>304</v>
      </c>
      <c r="N100" s="55">
        <v>8</v>
      </c>
      <c r="O100" s="55">
        <v>5</v>
      </c>
      <c r="P100" s="28">
        <v>8.0000000000000002E-3</v>
      </c>
      <c r="Q100" s="40" t="s">
        <v>40</v>
      </c>
      <c r="R100" s="40" t="s">
        <v>112</v>
      </c>
      <c r="S100" s="40" t="s">
        <v>57</v>
      </c>
      <c r="T100" s="42">
        <v>2987</v>
      </c>
      <c r="U100" s="70"/>
      <c r="V100" s="42">
        <v>2987</v>
      </c>
      <c r="W100" s="74">
        <f t="shared" si="29"/>
        <v>0</v>
      </c>
      <c r="X100" s="42">
        <f t="shared" si="30"/>
        <v>0</v>
      </c>
      <c r="Y100" s="42"/>
      <c r="Z100" s="42"/>
      <c r="AA100" s="42"/>
      <c r="AB100" s="41"/>
      <c r="AC100" s="42">
        <f t="shared" si="31"/>
        <v>0</v>
      </c>
      <c r="AD100" s="42">
        <f>AC100/0.54</f>
        <v>0</v>
      </c>
      <c r="AE100" s="15">
        <f t="shared" si="32"/>
        <v>0.25800000000000001</v>
      </c>
      <c r="AF100" s="17">
        <f t="shared" si="33"/>
        <v>0</v>
      </c>
      <c r="AG100" s="11">
        <f>T100*N100</f>
        <v>23896</v>
      </c>
      <c r="AJ100" s="24" t="s">
        <v>305</v>
      </c>
      <c r="AK100" s="25">
        <v>12062338</v>
      </c>
      <c r="AL100" s="25">
        <v>12042650</v>
      </c>
      <c r="AM100" s="25">
        <v>12042649</v>
      </c>
      <c r="AN100" s="25" t="s">
        <v>306</v>
      </c>
      <c r="AO100" s="25"/>
      <c r="AP100" s="25" t="s">
        <v>307</v>
      </c>
      <c r="AQ100" s="25"/>
      <c r="AR100" s="25"/>
      <c r="AS100" s="25"/>
      <c r="AT100" s="25"/>
      <c r="AU100" s="25"/>
    </row>
    <row r="101" spans="1:47" ht="25" customHeight="1">
      <c r="A101" s="27" t="s">
        <v>120</v>
      </c>
      <c r="B101" s="39">
        <v>43969</v>
      </c>
      <c r="C101" s="39">
        <v>43976</v>
      </c>
      <c r="D101" s="40" t="s">
        <v>466</v>
      </c>
      <c r="E101" s="40">
        <v>43953</v>
      </c>
      <c r="F101" s="40" t="s">
        <v>300</v>
      </c>
      <c r="G101" s="40" t="s">
        <v>82</v>
      </c>
      <c r="H101" s="41" t="s">
        <v>235</v>
      </c>
      <c r="I101" s="41" t="s">
        <v>84</v>
      </c>
      <c r="J101" s="41" t="s">
        <v>85</v>
      </c>
      <c r="K101" s="41" t="s">
        <v>86</v>
      </c>
      <c r="L101" s="40" t="s">
        <v>273</v>
      </c>
      <c r="M101" s="60" t="s">
        <v>88</v>
      </c>
      <c r="N101" s="55">
        <v>8</v>
      </c>
      <c r="O101" s="55">
        <v>50</v>
      </c>
      <c r="P101" s="28">
        <v>6.8100000000000001E-3</v>
      </c>
      <c r="Q101" s="40" t="s">
        <v>76</v>
      </c>
      <c r="R101" s="40" t="s">
        <v>56</v>
      </c>
      <c r="S101" s="40" t="s">
        <v>89</v>
      </c>
      <c r="T101" s="42">
        <f>1156-360</f>
        <v>796</v>
      </c>
      <c r="U101" s="70"/>
      <c r="V101" s="42">
        <v>796</v>
      </c>
      <c r="W101" s="74">
        <f t="shared" si="29"/>
        <v>0</v>
      </c>
      <c r="X101" s="42">
        <f t="shared" si="30"/>
        <v>0</v>
      </c>
      <c r="Y101" s="42">
        <f>O101*X101</f>
        <v>0</v>
      </c>
      <c r="Z101" s="42">
        <v>6</v>
      </c>
      <c r="AA101" s="42">
        <f>X101*Z101</f>
        <v>0</v>
      </c>
      <c r="AB101" s="41"/>
      <c r="AC101" s="42">
        <f t="shared" si="31"/>
        <v>0</v>
      </c>
      <c r="AD101" s="42">
        <f t="shared" ref="AD101:AD134" si="34">AC101/0.54</f>
        <v>0</v>
      </c>
      <c r="AE101" s="15">
        <f t="shared" si="32"/>
        <v>0.63</v>
      </c>
      <c r="AF101" s="17">
        <f t="shared" si="33"/>
        <v>0</v>
      </c>
      <c r="AG101" s="11">
        <f t="shared" ref="AG101:AG127" si="35">T101*N101</f>
        <v>6368</v>
      </c>
      <c r="AJ101" s="24"/>
      <c r="AK101" s="25">
        <v>12004862</v>
      </c>
      <c r="AL101" s="25">
        <v>12055234</v>
      </c>
      <c r="AM101" s="25"/>
      <c r="AN101" s="25" t="s">
        <v>92</v>
      </c>
      <c r="AO101" s="25"/>
      <c r="AP101" s="25">
        <v>12056200</v>
      </c>
      <c r="AQ101" s="25"/>
      <c r="AR101" s="25" t="s">
        <v>93</v>
      </c>
      <c r="AS101" s="25"/>
      <c r="AT101" s="25"/>
      <c r="AU101" s="25"/>
    </row>
    <row r="102" spans="1:47" ht="25" customHeight="1">
      <c r="A102" s="27" t="s">
        <v>120</v>
      </c>
      <c r="B102" s="39">
        <v>43969</v>
      </c>
      <c r="C102" s="39">
        <v>43976</v>
      </c>
      <c r="D102" s="40" t="s">
        <v>466</v>
      </c>
      <c r="E102" s="40">
        <v>43953</v>
      </c>
      <c r="F102" s="40" t="s">
        <v>300</v>
      </c>
      <c r="G102" s="40" t="s">
        <v>82</v>
      </c>
      <c r="H102" s="41" t="s">
        <v>235</v>
      </c>
      <c r="I102" s="41" t="s">
        <v>84</v>
      </c>
      <c r="J102" s="41" t="s">
        <v>85</v>
      </c>
      <c r="K102" s="41" t="s">
        <v>165</v>
      </c>
      <c r="L102" s="40" t="s">
        <v>258</v>
      </c>
      <c r="M102" s="60" t="s">
        <v>167</v>
      </c>
      <c r="N102" s="55">
        <v>20</v>
      </c>
      <c r="O102" s="55">
        <v>12</v>
      </c>
      <c r="P102" s="28">
        <v>6.8100000000000001E-3</v>
      </c>
      <c r="Q102" s="40" t="s">
        <v>76</v>
      </c>
      <c r="R102" s="40" t="s">
        <v>56</v>
      </c>
      <c r="S102" s="40" t="s">
        <v>89</v>
      </c>
      <c r="T102" s="42">
        <v>379</v>
      </c>
      <c r="U102" s="70"/>
      <c r="V102" s="42">
        <v>379</v>
      </c>
      <c r="W102" s="74">
        <f t="shared" si="29"/>
        <v>0</v>
      </c>
      <c r="X102" s="42">
        <f t="shared" si="30"/>
        <v>0</v>
      </c>
      <c r="Y102" s="42">
        <f>O102*X102</f>
        <v>0</v>
      </c>
      <c r="Z102" s="42">
        <v>2</v>
      </c>
      <c r="AA102" s="42">
        <f>X102*Z102</f>
        <v>0</v>
      </c>
      <c r="AB102" s="41"/>
      <c r="AC102" s="42">
        <f t="shared" si="31"/>
        <v>0</v>
      </c>
      <c r="AD102" s="42">
        <f t="shared" si="34"/>
        <v>0</v>
      </c>
      <c r="AE102" s="15">
        <f t="shared" si="32"/>
        <v>0.154</v>
      </c>
      <c r="AF102" s="17">
        <f t="shared" si="33"/>
        <v>0</v>
      </c>
      <c r="AG102" s="11">
        <f t="shared" si="35"/>
        <v>7580</v>
      </c>
      <c r="AJ102" s="24"/>
      <c r="AK102" s="25">
        <v>12033473</v>
      </c>
      <c r="AL102" s="25" t="s">
        <v>169</v>
      </c>
      <c r="AM102" s="25"/>
      <c r="AN102" s="25" t="s">
        <v>259</v>
      </c>
      <c r="AO102" s="25"/>
      <c r="AP102" s="25">
        <v>12027007</v>
      </c>
      <c r="AQ102" s="25"/>
      <c r="AR102" s="25" t="s">
        <v>172</v>
      </c>
      <c r="AS102" s="25"/>
      <c r="AT102" s="25"/>
      <c r="AU102" s="25"/>
    </row>
    <row r="103" spans="1:47" ht="25" customHeight="1">
      <c r="B103" s="39">
        <v>43970</v>
      </c>
      <c r="C103" s="39">
        <v>43978</v>
      </c>
      <c r="D103" s="40" t="s">
        <v>466</v>
      </c>
      <c r="E103" s="40">
        <v>43953</v>
      </c>
      <c r="F103" s="40" t="s">
        <v>302</v>
      </c>
      <c r="G103" s="40" t="s">
        <v>104</v>
      </c>
      <c r="H103" s="41" t="s">
        <v>105</v>
      </c>
      <c r="I103" s="41" t="s">
        <v>106</v>
      </c>
      <c r="J103" s="41" t="s">
        <v>227</v>
      </c>
      <c r="K103" s="41" t="s">
        <v>236</v>
      </c>
      <c r="L103" s="40" t="s">
        <v>303</v>
      </c>
      <c r="M103" s="60" t="s">
        <v>304</v>
      </c>
      <c r="N103" s="55">
        <v>8</v>
      </c>
      <c r="O103" s="55">
        <v>5</v>
      </c>
      <c r="P103" s="28">
        <v>8.0000000000000002E-3</v>
      </c>
      <c r="Q103" s="40" t="s">
        <v>40</v>
      </c>
      <c r="R103" s="40" t="s">
        <v>112</v>
      </c>
      <c r="S103" s="40" t="s">
        <v>57</v>
      </c>
      <c r="T103" s="42">
        <f>3500-2987</f>
        <v>513</v>
      </c>
      <c r="U103" s="70"/>
      <c r="V103" s="42">
        <v>513</v>
      </c>
      <c r="W103" s="74">
        <f t="shared" si="29"/>
        <v>0</v>
      </c>
      <c r="X103" s="42">
        <f t="shared" si="30"/>
        <v>0</v>
      </c>
      <c r="Y103" s="42"/>
      <c r="Z103" s="42"/>
      <c r="AA103" s="42"/>
      <c r="AB103" s="41"/>
      <c r="AC103" s="42">
        <f t="shared" si="31"/>
        <v>0</v>
      </c>
      <c r="AD103" s="42">
        <f>AC103/0.54</f>
        <v>0</v>
      </c>
      <c r="AE103" s="15">
        <f t="shared" si="32"/>
        <v>0.25800000000000001</v>
      </c>
      <c r="AF103" s="17">
        <f t="shared" si="33"/>
        <v>0</v>
      </c>
      <c r="AG103" s="11">
        <f>T103*N103</f>
        <v>4104</v>
      </c>
      <c r="AJ103" s="24" t="s">
        <v>305</v>
      </c>
      <c r="AK103" s="25">
        <v>12062338</v>
      </c>
      <c r="AL103" s="25">
        <v>12042650</v>
      </c>
      <c r="AM103" s="25">
        <v>12042649</v>
      </c>
      <c r="AN103" s="25" t="s">
        <v>306</v>
      </c>
      <c r="AO103" s="25"/>
      <c r="AP103" s="25" t="s">
        <v>307</v>
      </c>
      <c r="AQ103" s="25"/>
      <c r="AR103" s="25"/>
      <c r="AS103" s="25"/>
      <c r="AT103" s="25"/>
      <c r="AU103" s="25"/>
    </row>
    <row r="104" spans="1:47" ht="25" customHeight="1">
      <c r="B104" s="39">
        <v>43970</v>
      </c>
      <c r="C104" s="39">
        <v>43979</v>
      </c>
      <c r="D104" s="40" t="s">
        <v>466</v>
      </c>
      <c r="E104" s="40">
        <v>43953</v>
      </c>
      <c r="F104" s="40" t="s">
        <v>185</v>
      </c>
      <c r="G104" s="40" t="s">
        <v>104</v>
      </c>
      <c r="H104" s="41" t="s">
        <v>105</v>
      </c>
      <c r="I104" s="41" t="s">
        <v>106</v>
      </c>
      <c r="J104" s="41" t="s">
        <v>227</v>
      </c>
      <c r="K104" s="41" t="s">
        <v>236</v>
      </c>
      <c r="L104" s="40" t="s">
        <v>303</v>
      </c>
      <c r="M104" s="60" t="s">
        <v>304</v>
      </c>
      <c r="N104" s="55">
        <v>8</v>
      </c>
      <c r="O104" s="55">
        <v>5</v>
      </c>
      <c r="P104" s="28">
        <v>8.0000000000000002E-3</v>
      </c>
      <c r="Q104" s="40" t="s">
        <v>40</v>
      </c>
      <c r="R104" s="40" t="s">
        <v>112</v>
      </c>
      <c r="S104" s="40" t="s">
        <v>57</v>
      </c>
      <c r="T104" s="42">
        <v>1000</v>
      </c>
      <c r="U104" s="70"/>
      <c r="V104" s="42">
        <v>1000</v>
      </c>
      <c r="W104" s="74">
        <f t="shared" si="29"/>
        <v>0</v>
      </c>
      <c r="X104" s="42">
        <f t="shared" si="30"/>
        <v>0</v>
      </c>
      <c r="Y104" s="42"/>
      <c r="Z104" s="42"/>
      <c r="AA104" s="42"/>
      <c r="AB104" s="41"/>
      <c r="AC104" s="42">
        <f t="shared" si="31"/>
        <v>0</v>
      </c>
      <c r="AD104" s="42">
        <f>AC104/0.54</f>
        <v>0</v>
      </c>
      <c r="AE104" s="15">
        <f t="shared" si="32"/>
        <v>0.25800000000000001</v>
      </c>
      <c r="AF104" s="17">
        <f t="shared" si="33"/>
        <v>0</v>
      </c>
      <c r="AG104" s="11">
        <f>T104*N104</f>
        <v>8000</v>
      </c>
      <c r="AJ104" s="24" t="s">
        <v>305</v>
      </c>
      <c r="AK104" s="25">
        <v>12062338</v>
      </c>
      <c r="AL104" s="25">
        <v>12042650</v>
      </c>
      <c r="AM104" s="25">
        <v>12042649</v>
      </c>
      <c r="AN104" s="25" t="s">
        <v>306</v>
      </c>
      <c r="AO104" s="25"/>
      <c r="AP104" s="25" t="s">
        <v>307</v>
      </c>
      <c r="AQ104" s="25"/>
      <c r="AR104" s="25"/>
      <c r="AS104" s="25"/>
      <c r="AT104" s="25"/>
      <c r="AU104" s="25"/>
    </row>
    <row r="105" spans="1:47" ht="25" customHeight="1">
      <c r="B105" s="39">
        <v>43970</v>
      </c>
      <c r="C105" s="39">
        <v>43984</v>
      </c>
      <c r="D105" s="40" t="s">
        <v>466</v>
      </c>
      <c r="E105" s="40">
        <v>43953</v>
      </c>
      <c r="F105" s="40" t="s">
        <v>308</v>
      </c>
      <c r="G105" s="40" t="s">
        <v>82</v>
      </c>
      <c r="H105" s="41" t="s">
        <v>235</v>
      </c>
      <c r="I105" s="41" t="s">
        <v>106</v>
      </c>
      <c r="J105" s="41" t="s">
        <v>227</v>
      </c>
      <c r="K105" s="41" t="s">
        <v>236</v>
      </c>
      <c r="L105" s="40" t="s">
        <v>237</v>
      </c>
      <c r="M105" s="60" t="s">
        <v>238</v>
      </c>
      <c r="N105" s="55">
        <v>24</v>
      </c>
      <c r="O105" s="55">
        <v>5</v>
      </c>
      <c r="P105" s="28">
        <v>8.0000000000000002E-3</v>
      </c>
      <c r="Q105" s="40" t="s">
        <v>40</v>
      </c>
      <c r="R105" s="40" t="s">
        <v>56</v>
      </c>
      <c r="S105" s="40" t="s">
        <v>89</v>
      </c>
      <c r="T105" s="42">
        <v>250</v>
      </c>
      <c r="U105" s="70"/>
      <c r="V105" s="42">
        <f>4+246</f>
        <v>250</v>
      </c>
      <c r="W105" s="74">
        <f t="shared" si="29"/>
        <v>0</v>
      </c>
      <c r="X105" s="42">
        <f t="shared" si="30"/>
        <v>0</v>
      </c>
      <c r="Y105" s="42"/>
      <c r="Z105" s="42">
        <v>1</v>
      </c>
      <c r="AA105" s="42">
        <f>X105*Z105</f>
        <v>0</v>
      </c>
      <c r="AB105" s="41"/>
      <c r="AC105" s="42">
        <f t="shared" si="31"/>
        <v>0</v>
      </c>
      <c r="AD105" s="42">
        <f>AC105/0.54</f>
        <v>0</v>
      </c>
      <c r="AE105" s="15">
        <f t="shared" si="32"/>
        <v>0.183</v>
      </c>
      <c r="AF105" s="17">
        <f t="shared" si="33"/>
        <v>0</v>
      </c>
      <c r="AG105" s="11">
        <f>T105*N105</f>
        <v>6000</v>
      </c>
      <c r="AJ105" s="24"/>
      <c r="AK105" s="25">
        <v>12062338</v>
      </c>
      <c r="AL105" s="25">
        <v>12042650</v>
      </c>
      <c r="AM105" s="25">
        <v>12042649</v>
      </c>
      <c r="AN105" s="25"/>
      <c r="AO105" s="25" t="s">
        <v>239</v>
      </c>
      <c r="AP105" s="25" t="s">
        <v>240</v>
      </c>
      <c r="AQ105" s="25" t="s">
        <v>241</v>
      </c>
      <c r="AR105" s="25"/>
      <c r="AS105" s="25" t="s">
        <v>242</v>
      </c>
      <c r="AT105" s="25" t="s">
        <v>243</v>
      </c>
      <c r="AU105" s="25" t="s">
        <v>244</v>
      </c>
    </row>
    <row r="106" spans="1:47" ht="25" customHeight="1">
      <c r="B106" s="39">
        <v>43970</v>
      </c>
      <c r="C106" s="39">
        <v>43984</v>
      </c>
      <c r="D106" s="40" t="s">
        <v>466</v>
      </c>
      <c r="E106" s="40">
        <v>43953</v>
      </c>
      <c r="F106" s="40" t="s">
        <v>308</v>
      </c>
      <c r="G106" s="40" t="s">
        <v>82</v>
      </c>
      <c r="H106" s="41" t="s">
        <v>235</v>
      </c>
      <c r="I106" s="41" t="s">
        <v>106</v>
      </c>
      <c r="J106" s="41" t="s">
        <v>246</v>
      </c>
      <c r="K106" s="41" t="s">
        <v>247</v>
      </c>
      <c r="L106" s="40" t="s">
        <v>248</v>
      </c>
      <c r="M106" s="60" t="s">
        <v>249</v>
      </c>
      <c r="N106" s="55">
        <v>24</v>
      </c>
      <c r="O106" s="55">
        <v>3</v>
      </c>
      <c r="P106" s="28">
        <v>8.0000000000000002E-3</v>
      </c>
      <c r="Q106" s="40" t="s">
        <v>40</v>
      </c>
      <c r="R106" s="40" t="s">
        <v>56</v>
      </c>
      <c r="S106" s="41" t="s">
        <v>250</v>
      </c>
      <c r="T106" s="42">
        <v>150</v>
      </c>
      <c r="U106" s="70"/>
      <c r="V106" s="42">
        <f>5+145</f>
        <v>150</v>
      </c>
      <c r="W106" s="74">
        <f t="shared" si="29"/>
        <v>0</v>
      </c>
      <c r="X106" s="42">
        <f t="shared" si="30"/>
        <v>0</v>
      </c>
      <c r="Y106" s="42"/>
      <c r="Z106" s="42">
        <v>1</v>
      </c>
      <c r="AA106" s="42">
        <f>X106*Z106</f>
        <v>0</v>
      </c>
      <c r="AB106" s="41"/>
      <c r="AC106" s="42">
        <f t="shared" si="31"/>
        <v>0</v>
      </c>
      <c r="AD106" s="42">
        <f>AC106/0.54</f>
        <v>0</v>
      </c>
      <c r="AE106" s="15">
        <f t="shared" si="32"/>
        <v>0.184</v>
      </c>
      <c r="AF106" s="17">
        <f t="shared" si="33"/>
        <v>0</v>
      </c>
      <c r="AG106" s="11">
        <f>T106*N106</f>
        <v>3600</v>
      </c>
      <c r="AJ106" s="24"/>
      <c r="AK106" s="25">
        <v>12062338</v>
      </c>
      <c r="AL106" s="25">
        <v>12042650</v>
      </c>
      <c r="AM106" s="25">
        <v>12042649</v>
      </c>
      <c r="AN106" s="25"/>
      <c r="AO106" s="25" t="s">
        <v>239</v>
      </c>
      <c r="AP106" s="25" t="s">
        <v>251</v>
      </c>
      <c r="AQ106" s="25">
        <v>12055578</v>
      </c>
      <c r="AR106" s="25"/>
      <c r="AS106" s="25" t="s">
        <v>252</v>
      </c>
      <c r="AT106" s="25" t="s">
        <v>253</v>
      </c>
      <c r="AU106" s="25" t="s">
        <v>254</v>
      </c>
    </row>
    <row r="107" spans="1:47" ht="25" customHeight="1">
      <c r="B107" s="39">
        <v>43970</v>
      </c>
      <c r="C107" s="39">
        <v>43984</v>
      </c>
      <c r="D107" s="43" t="s">
        <v>466</v>
      </c>
      <c r="E107" s="43">
        <v>43953</v>
      </c>
      <c r="F107" s="43" t="s">
        <v>309</v>
      </c>
      <c r="G107" s="43" t="s">
        <v>267</v>
      </c>
      <c r="H107" s="44" t="s">
        <v>268</v>
      </c>
      <c r="I107" s="44" t="s">
        <v>106</v>
      </c>
      <c r="J107" s="44" t="s">
        <v>107</v>
      </c>
      <c r="K107" s="44" t="s">
        <v>136</v>
      </c>
      <c r="L107" s="43" t="s">
        <v>269</v>
      </c>
      <c r="M107" s="61" t="s">
        <v>270</v>
      </c>
      <c r="N107" s="55">
        <v>12</v>
      </c>
      <c r="O107" s="55">
        <v>3</v>
      </c>
      <c r="P107" s="28">
        <v>7.4999999999999997E-3</v>
      </c>
      <c r="Q107" s="43" t="s">
        <v>111</v>
      </c>
      <c r="R107" s="43" t="s">
        <v>112</v>
      </c>
      <c r="S107" s="43" t="s">
        <v>57</v>
      </c>
      <c r="T107" s="42">
        <f>2520+76</f>
        <v>2596</v>
      </c>
      <c r="U107" s="70"/>
      <c r="V107" s="42">
        <v>2596</v>
      </c>
      <c r="W107" s="74">
        <f t="shared" si="29"/>
        <v>0</v>
      </c>
      <c r="X107" s="42">
        <f t="shared" si="30"/>
        <v>0</v>
      </c>
      <c r="Y107" s="42"/>
      <c r="Z107" s="42"/>
      <c r="AA107" s="42"/>
      <c r="AB107" s="44"/>
      <c r="AC107" s="42">
        <f t="shared" si="31"/>
        <v>0</v>
      </c>
      <c r="AD107" s="42">
        <f>AC107/0.54</f>
        <v>0</v>
      </c>
      <c r="AE107" s="15">
        <f t="shared" si="32"/>
        <v>0.309</v>
      </c>
      <c r="AF107" s="17">
        <f t="shared" si="33"/>
        <v>0</v>
      </c>
      <c r="AG107" s="11">
        <f>T107*N107</f>
        <v>31152</v>
      </c>
      <c r="AJ107" s="24"/>
      <c r="AK107" s="25" t="s">
        <v>271</v>
      </c>
      <c r="AL107" s="25">
        <v>12061353</v>
      </c>
      <c r="AM107" s="25">
        <v>12061354</v>
      </c>
      <c r="AN107" s="25"/>
      <c r="AO107" s="25"/>
      <c r="AP107" s="25">
        <v>12073316</v>
      </c>
      <c r="AQ107" s="25"/>
      <c r="AR107" s="25"/>
      <c r="AS107" s="25">
        <v>12073342</v>
      </c>
      <c r="AT107" s="25">
        <v>12073344</v>
      </c>
      <c r="AU107" s="25">
        <v>12073343</v>
      </c>
    </row>
    <row r="108" spans="1:47" ht="25" customHeight="1">
      <c r="B108" s="39">
        <v>43970</v>
      </c>
      <c r="C108" s="39">
        <v>43983</v>
      </c>
      <c r="D108" s="43" t="s">
        <v>466</v>
      </c>
      <c r="E108" s="43">
        <v>43953</v>
      </c>
      <c r="F108" s="43" t="s">
        <v>310</v>
      </c>
      <c r="G108" s="43" t="s">
        <v>311</v>
      </c>
      <c r="H108" s="44" t="s">
        <v>312</v>
      </c>
      <c r="I108" s="44" t="s">
        <v>106</v>
      </c>
      <c r="J108" s="44" t="s">
        <v>107</v>
      </c>
      <c r="K108" s="44" t="s">
        <v>313</v>
      </c>
      <c r="L108" s="43" t="s">
        <v>314</v>
      </c>
      <c r="M108" s="61" t="s">
        <v>110</v>
      </c>
      <c r="N108" s="55">
        <v>36</v>
      </c>
      <c r="O108" s="55">
        <v>5</v>
      </c>
      <c r="P108" s="28">
        <v>7.4999999999999997E-3</v>
      </c>
      <c r="Q108" s="43" t="s">
        <v>111</v>
      </c>
      <c r="R108" s="43" t="s">
        <v>112</v>
      </c>
      <c r="S108" s="43" t="s">
        <v>57</v>
      </c>
      <c r="T108" s="42">
        <v>792</v>
      </c>
      <c r="U108" s="70"/>
      <c r="V108" s="42">
        <f>747+45</f>
        <v>792</v>
      </c>
      <c r="W108" s="74">
        <f t="shared" si="29"/>
        <v>0</v>
      </c>
      <c r="X108" s="42">
        <f t="shared" si="30"/>
        <v>0</v>
      </c>
      <c r="Y108" s="42"/>
      <c r="Z108" s="42"/>
      <c r="AA108" s="42"/>
      <c r="AB108" s="44"/>
      <c r="AC108" s="42">
        <f t="shared" si="31"/>
        <v>0</v>
      </c>
      <c r="AD108" s="42">
        <f t="shared" si="34"/>
        <v>0</v>
      </c>
      <c r="AE108" s="15">
        <f t="shared" si="32"/>
        <v>0.308</v>
      </c>
      <c r="AF108" s="17">
        <f t="shared" si="33"/>
        <v>0</v>
      </c>
      <c r="AG108" s="11">
        <f t="shared" si="35"/>
        <v>28512</v>
      </c>
      <c r="AJ108" s="24"/>
      <c r="AK108" s="25">
        <v>12063755</v>
      </c>
      <c r="AL108" s="25">
        <v>12061353</v>
      </c>
      <c r="AM108" s="25">
        <v>12061354</v>
      </c>
      <c r="AN108" s="25" t="s">
        <v>315</v>
      </c>
      <c r="AO108" s="25"/>
      <c r="AP108" s="25" t="s">
        <v>316</v>
      </c>
      <c r="AQ108" s="25" t="s">
        <v>114</v>
      </c>
      <c r="AR108" s="25"/>
      <c r="AS108" s="25" t="s">
        <v>317</v>
      </c>
      <c r="AT108" s="25"/>
      <c r="AU108" s="25"/>
    </row>
    <row r="109" spans="1:47" ht="25" customHeight="1">
      <c r="B109" s="39">
        <v>43970</v>
      </c>
      <c r="C109" s="39">
        <v>43990</v>
      </c>
      <c r="D109" s="43" t="s">
        <v>466</v>
      </c>
      <c r="E109" s="43">
        <v>43953</v>
      </c>
      <c r="F109" s="43" t="s">
        <v>318</v>
      </c>
      <c r="G109" s="43" t="s">
        <v>311</v>
      </c>
      <c r="H109" s="44" t="s">
        <v>312</v>
      </c>
      <c r="I109" s="44" t="s">
        <v>106</v>
      </c>
      <c r="J109" s="44" t="s">
        <v>107</v>
      </c>
      <c r="K109" s="44" t="s">
        <v>313</v>
      </c>
      <c r="L109" s="43" t="s">
        <v>314</v>
      </c>
      <c r="M109" s="61" t="s">
        <v>110</v>
      </c>
      <c r="N109" s="55">
        <v>36</v>
      </c>
      <c r="O109" s="55">
        <v>5</v>
      </c>
      <c r="P109" s="28">
        <v>7.4999999999999997E-3</v>
      </c>
      <c r="Q109" s="43" t="s">
        <v>111</v>
      </c>
      <c r="R109" s="43" t="s">
        <v>112</v>
      </c>
      <c r="S109" s="43" t="s">
        <v>57</v>
      </c>
      <c r="T109" s="42">
        <v>792</v>
      </c>
      <c r="U109" s="70"/>
      <c r="V109" s="42">
        <v>792</v>
      </c>
      <c r="W109" s="74">
        <f t="shared" si="29"/>
        <v>0</v>
      </c>
      <c r="X109" s="42">
        <f t="shared" si="30"/>
        <v>0</v>
      </c>
      <c r="Y109" s="42"/>
      <c r="Z109" s="42"/>
      <c r="AA109" s="42"/>
      <c r="AB109" s="44"/>
      <c r="AC109" s="42">
        <f t="shared" si="31"/>
        <v>0</v>
      </c>
      <c r="AD109" s="42">
        <f t="shared" si="34"/>
        <v>0</v>
      </c>
      <c r="AE109" s="15">
        <f t="shared" si="32"/>
        <v>0.308</v>
      </c>
      <c r="AF109" s="17">
        <f t="shared" si="33"/>
        <v>0</v>
      </c>
      <c r="AG109" s="11">
        <f t="shared" si="35"/>
        <v>28512</v>
      </c>
      <c r="AJ109" s="24"/>
      <c r="AK109" s="25">
        <v>12063755</v>
      </c>
      <c r="AL109" s="25">
        <v>12061353</v>
      </c>
      <c r="AM109" s="25">
        <v>12061354</v>
      </c>
      <c r="AN109" s="25" t="s">
        <v>315</v>
      </c>
      <c r="AO109" s="25"/>
      <c r="AP109" s="25" t="s">
        <v>316</v>
      </c>
      <c r="AQ109" s="25" t="s">
        <v>114</v>
      </c>
      <c r="AR109" s="25"/>
      <c r="AS109" s="25" t="s">
        <v>317</v>
      </c>
      <c r="AT109" s="25"/>
      <c r="AU109" s="25"/>
    </row>
    <row r="110" spans="1:47" ht="25" customHeight="1">
      <c r="B110" s="39">
        <v>43970</v>
      </c>
      <c r="C110" s="39">
        <v>43997</v>
      </c>
      <c r="D110" s="43" t="s">
        <v>466</v>
      </c>
      <c r="E110" s="43">
        <v>43953</v>
      </c>
      <c r="F110" s="43" t="s">
        <v>319</v>
      </c>
      <c r="G110" s="43" t="s">
        <v>311</v>
      </c>
      <c r="H110" s="44" t="s">
        <v>312</v>
      </c>
      <c r="I110" s="44" t="s">
        <v>106</v>
      </c>
      <c r="J110" s="44" t="s">
        <v>107</v>
      </c>
      <c r="K110" s="44" t="s">
        <v>313</v>
      </c>
      <c r="L110" s="43" t="s">
        <v>314</v>
      </c>
      <c r="M110" s="61" t="s">
        <v>110</v>
      </c>
      <c r="N110" s="55">
        <v>36</v>
      </c>
      <c r="O110" s="55">
        <v>5</v>
      </c>
      <c r="P110" s="28">
        <v>7.4999999999999997E-3</v>
      </c>
      <c r="Q110" s="43" t="s">
        <v>111</v>
      </c>
      <c r="R110" s="43" t="s">
        <v>112</v>
      </c>
      <c r="S110" s="43" t="s">
        <v>57</v>
      </c>
      <c r="T110" s="42">
        <v>199</v>
      </c>
      <c r="U110" s="70">
        <f>13-13</f>
        <v>0</v>
      </c>
      <c r="V110" s="42">
        <f>199-13+13</f>
        <v>199</v>
      </c>
      <c r="W110" s="74">
        <f t="shared" si="29"/>
        <v>0</v>
      </c>
      <c r="X110" s="42">
        <f t="shared" si="30"/>
        <v>0</v>
      </c>
      <c r="Y110" s="42"/>
      <c r="Z110" s="42"/>
      <c r="AA110" s="42"/>
      <c r="AB110" s="44"/>
      <c r="AC110" s="42">
        <f t="shared" si="31"/>
        <v>0</v>
      </c>
      <c r="AD110" s="42">
        <f>AC110/0.54</f>
        <v>0</v>
      </c>
      <c r="AE110" s="15">
        <f t="shared" si="32"/>
        <v>0.308</v>
      </c>
      <c r="AF110" s="17">
        <f t="shared" si="33"/>
        <v>0</v>
      </c>
      <c r="AG110" s="11">
        <f>T110*N110</f>
        <v>7164</v>
      </c>
      <c r="AJ110" s="24"/>
      <c r="AK110" s="25">
        <v>12063755</v>
      </c>
      <c r="AL110" s="25">
        <v>12061353</v>
      </c>
      <c r="AM110" s="25">
        <v>12061354</v>
      </c>
      <c r="AN110" s="25" t="s">
        <v>315</v>
      </c>
      <c r="AO110" s="25"/>
      <c r="AP110" s="25" t="s">
        <v>316</v>
      </c>
      <c r="AQ110" s="25" t="s">
        <v>114</v>
      </c>
      <c r="AR110" s="25"/>
      <c r="AS110" s="25" t="s">
        <v>317</v>
      </c>
      <c r="AT110" s="25"/>
      <c r="AU110" s="25"/>
    </row>
    <row r="111" spans="1:47" ht="25" customHeight="1">
      <c r="A111" s="27" t="s">
        <v>120</v>
      </c>
      <c r="B111" s="39">
        <v>43970</v>
      </c>
      <c r="C111" s="39">
        <v>43976</v>
      </c>
      <c r="D111" s="43" t="s">
        <v>466</v>
      </c>
      <c r="E111" s="43">
        <v>43953</v>
      </c>
      <c r="F111" s="43" t="s">
        <v>300</v>
      </c>
      <c r="G111" s="43" t="s">
        <v>82</v>
      </c>
      <c r="H111" s="44" t="s">
        <v>235</v>
      </c>
      <c r="I111" s="44" t="s">
        <v>84</v>
      </c>
      <c r="J111" s="44" t="s">
        <v>85</v>
      </c>
      <c r="K111" s="44" t="s">
        <v>165</v>
      </c>
      <c r="L111" s="43" t="s">
        <v>258</v>
      </c>
      <c r="M111" s="61" t="s">
        <v>167</v>
      </c>
      <c r="N111" s="55">
        <v>20</v>
      </c>
      <c r="O111" s="55">
        <v>12</v>
      </c>
      <c r="P111" s="28">
        <v>6.8100000000000001E-3</v>
      </c>
      <c r="Q111" s="43" t="s">
        <v>76</v>
      </c>
      <c r="R111" s="43" t="s">
        <v>56</v>
      </c>
      <c r="S111" s="43" t="s">
        <v>89</v>
      </c>
      <c r="T111" s="42">
        <f>1672-379</f>
        <v>1293</v>
      </c>
      <c r="U111" s="70"/>
      <c r="V111" s="42">
        <v>1293</v>
      </c>
      <c r="W111" s="74">
        <f t="shared" si="29"/>
        <v>0</v>
      </c>
      <c r="X111" s="42">
        <f t="shared" si="30"/>
        <v>0</v>
      </c>
      <c r="Y111" s="42">
        <f>O111*X111</f>
        <v>0</v>
      </c>
      <c r="Z111" s="42">
        <v>2</v>
      </c>
      <c r="AA111" s="42">
        <f>X111*Z111</f>
        <v>0</v>
      </c>
      <c r="AB111" s="44"/>
      <c r="AC111" s="42">
        <f t="shared" si="31"/>
        <v>0</v>
      </c>
      <c r="AD111" s="42">
        <f t="shared" si="34"/>
        <v>0</v>
      </c>
      <c r="AE111" s="15">
        <f t="shared" si="32"/>
        <v>0.154</v>
      </c>
      <c r="AF111" s="17">
        <f t="shared" si="33"/>
        <v>0</v>
      </c>
      <c r="AG111" s="11">
        <f t="shared" si="35"/>
        <v>25860</v>
      </c>
      <c r="AJ111" s="24"/>
      <c r="AK111" s="25">
        <v>12033473</v>
      </c>
      <c r="AL111" s="25" t="s">
        <v>169</v>
      </c>
      <c r="AM111" s="25"/>
      <c r="AN111" s="25" t="s">
        <v>259</v>
      </c>
      <c r="AO111" s="25"/>
      <c r="AP111" s="25">
        <v>12027007</v>
      </c>
      <c r="AQ111" s="25"/>
      <c r="AR111" s="25" t="s">
        <v>172</v>
      </c>
      <c r="AS111" s="25"/>
      <c r="AT111" s="25"/>
      <c r="AU111" s="25"/>
    </row>
    <row r="112" spans="1:47" ht="25" customHeight="1">
      <c r="A112" s="27" t="s">
        <v>120</v>
      </c>
      <c r="B112" s="39">
        <v>43970</v>
      </c>
      <c r="C112" s="39">
        <v>43978</v>
      </c>
      <c r="D112" s="43" t="s">
        <v>466</v>
      </c>
      <c r="E112" s="43">
        <v>43953</v>
      </c>
      <c r="F112" s="43" t="s">
        <v>320</v>
      </c>
      <c r="G112" s="43" t="s">
        <v>82</v>
      </c>
      <c r="H112" s="44" t="s">
        <v>235</v>
      </c>
      <c r="I112" s="44" t="s">
        <v>84</v>
      </c>
      <c r="J112" s="44" t="s">
        <v>85</v>
      </c>
      <c r="K112" s="44" t="s">
        <v>165</v>
      </c>
      <c r="L112" s="43" t="s">
        <v>258</v>
      </c>
      <c r="M112" s="61" t="s">
        <v>167</v>
      </c>
      <c r="N112" s="55">
        <v>20</v>
      </c>
      <c r="O112" s="55">
        <v>12</v>
      </c>
      <c r="P112" s="28">
        <v>6.8100000000000001E-3</v>
      </c>
      <c r="Q112" s="43" t="s">
        <v>76</v>
      </c>
      <c r="R112" s="43" t="s">
        <v>56</v>
      </c>
      <c r="S112" s="43" t="s">
        <v>89</v>
      </c>
      <c r="T112" s="42">
        <v>279</v>
      </c>
      <c r="U112" s="70">
        <f>(1716)/20</f>
        <v>85.8</v>
      </c>
      <c r="V112" s="42">
        <f>279-86</f>
        <v>193</v>
      </c>
      <c r="W112" s="74">
        <f t="shared" si="29"/>
        <v>-0.19999999999998863</v>
      </c>
      <c r="X112" s="42">
        <f t="shared" si="30"/>
        <v>4</v>
      </c>
      <c r="Y112" s="42">
        <f>O112*X112</f>
        <v>48</v>
      </c>
      <c r="Z112" s="42">
        <v>2</v>
      </c>
      <c r="AA112" s="42">
        <f>X112*Z112</f>
        <v>8</v>
      </c>
      <c r="AB112" s="44"/>
      <c r="AC112" s="42">
        <f t="shared" si="31"/>
        <v>0.32688</v>
      </c>
      <c r="AD112" s="42">
        <f t="shared" si="34"/>
        <v>0.60533333333333328</v>
      </c>
      <c r="AE112" s="15">
        <f t="shared" si="32"/>
        <v>0.154</v>
      </c>
      <c r="AF112" s="17">
        <f t="shared" si="33"/>
        <v>6.1600000000000001E-4</v>
      </c>
      <c r="AG112" s="11">
        <f t="shared" si="35"/>
        <v>5580</v>
      </c>
      <c r="AJ112" s="24"/>
      <c r="AK112" s="25">
        <v>12033473</v>
      </c>
      <c r="AL112" s="25" t="s">
        <v>169</v>
      </c>
      <c r="AM112" s="25"/>
      <c r="AN112" s="25" t="s">
        <v>259</v>
      </c>
      <c r="AO112" s="25"/>
      <c r="AP112" s="25">
        <v>12027007</v>
      </c>
      <c r="AQ112" s="25"/>
      <c r="AR112" s="25" t="s">
        <v>172</v>
      </c>
      <c r="AS112" s="25"/>
      <c r="AT112" s="25"/>
      <c r="AU112" s="25"/>
    </row>
    <row r="113" spans="1:47" ht="25" customHeight="1">
      <c r="B113" s="39">
        <v>43971</v>
      </c>
      <c r="C113" s="39">
        <v>43994</v>
      </c>
      <c r="D113" s="43" t="s">
        <v>466</v>
      </c>
      <c r="E113" s="43">
        <v>43953</v>
      </c>
      <c r="F113" s="43" t="s">
        <v>299</v>
      </c>
      <c r="G113" s="43" t="s">
        <v>104</v>
      </c>
      <c r="H113" s="44" t="s">
        <v>105</v>
      </c>
      <c r="I113" s="44" t="s">
        <v>106</v>
      </c>
      <c r="J113" s="44" t="s">
        <v>107</v>
      </c>
      <c r="K113" s="44" t="s">
        <v>108</v>
      </c>
      <c r="L113" s="43" t="s">
        <v>109</v>
      </c>
      <c r="M113" s="61" t="s">
        <v>110</v>
      </c>
      <c r="N113" s="55">
        <v>36</v>
      </c>
      <c r="O113" s="55">
        <v>5</v>
      </c>
      <c r="P113" s="28">
        <v>7.4999999999999997E-3</v>
      </c>
      <c r="Q113" s="43" t="s">
        <v>111</v>
      </c>
      <c r="R113" s="43" t="s">
        <v>112</v>
      </c>
      <c r="S113" s="43" t="s">
        <v>113</v>
      </c>
      <c r="T113" s="42">
        <f>792-161</f>
        <v>631</v>
      </c>
      <c r="U113" s="70"/>
      <c r="V113" s="42">
        <v>631</v>
      </c>
      <c r="W113" s="74">
        <f t="shared" si="29"/>
        <v>0</v>
      </c>
      <c r="X113" s="42">
        <f t="shared" si="30"/>
        <v>0</v>
      </c>
      <c r="Y113" s="42"/>
      <c r="Z113" s="42"/>
      <c r="AA113" s="42"/>
      <c r="AB113" s="44"/>
      <c r="AC113" s="42">
        <f t="shared" si="31"/>
        <v>0</v>
      </c>
      <c r="AD113" s="42">
        <f t="shared" si="34"/>
        <v>0</v>
      </c>
      <c r="AE113" s="15">
        <f t="shared" si="32"/>
        <v>0.308</v>
      </c>
      <c r="AF113" s="17">
        <f t="shared" si="33"/>
        <v>0</v>
      </c>
      <c r="AG113" s="11">
        <f t="shared" si="35"/>
        <v>22716</v>
      </c>
      <c r="AJ113" s="24"/>
      <c r="AK113" s="25">
        <v>12063755</v>
      </c>
      <c r="AL113" s="25">
        <v>12061353</v>
      </c>
      <c r="AM113" s="25">
        <v>12061354</v>
      </c>
      <c r="AN113" s="25">
        <v>12068566</v>
      </c>
      <c r="AO113" s="25"/>
      <c r="AP113" s="25">
        <v>12068565</v>
      </c>
      <c r="AQ113" s="25" t="s">
        <v>114</v>
      </c>
      <c r="AR113" s="25"/>
      <c r="AS113" s="25">
        <v>12068565</v>
      </c>
      <c r="AT113" s="25"/>
      <c r="AU113" s="25"/>
    </row>
    <row r="114" spans="1:47" ht="25" customHeight="1">
      <c r="B114" s="39">
        <v>43971</v>
      </c>
      <c r="C114" s="39">
        <v>43999</v>
      </c>
      <c r="D114" s="43" t="s">
        <v>466</v>
      </c>
      <c r="E114" s="43">
        <v>43953</v>
      </c>
      <c r="F114" s="43" t="s">
        <v>321</v>
      </c>
      <c r="G114" s="43" t="s">
        <v>104</v>
      </c>
      <c r="H114" s="44" t="s">
        <v>105</v>
      </c>
      <c r="I114" s="44" t="s">
        <v>106</v>
      </c>
      <c r="J114" s="44" t="s">
        <v>107</v>
      </c>
      <c r="K114" s="44" t="s">
        <v>108</v>
      </c>
      <c r="L114" s="43" t="s">
        <v>109</v>
      </c>
      <c r="M114" s="61" t="s">
        <v>110</v>
      </c>
      <c r="N114" s="55">
        <v>36</v>
      </c>
      <c r="O114" s="55">
        <v>5</v>
      </c>
      <c r="P114" s="28">
        <v>7.4999999999999997E-3</v>
      </c>
      <c r="Q114" s="43" t="s">
        <v>111</v>
      </c>
      <c r="R114" s="43" t="s">
        <v>112</v>
      </c>
      <c r="S114" s="43" t="s">
        <v>113</v>
      </c>
      <c r="T114" s="42">
        <v>792</v>
      </c>
      <c r="U114" s="70"/>
      <c r="V114" s="42">
        <v>792</v>
      </c>
      <c r="W114" s="74">
        <f t="shared" si="29"/>
        <v>0</v>
      </c>
      <c r="X114" s="42">
        <f t="shared" si="30"/>
        <v>0</v>
      </c>
      <c r="Y114" s="42"/>
      <c r="Z114" s="42"/>
      <c r="AA114" s="42"/>
      <c r="AB114" s="44"/>
      <c r="AC114" s="42">
        <f t="shared" si="31"/>
        <v>0</v>
      </c>
      <c r="AD114" s="42">
        <f t="shared" si="34"/>
        <v>0</v>
      </c>
      <c r="AE114" s="15">
        <f t="shared" si="32"/>
        <v>0.308</v>
      </c>
      <c r="AF114" s="17">
        <f t="shared" si="33"/>
        <v>0</v>
      </c>
      <c r="AG114" s="11">
        <f t="shared" si="35"/>
        <v>28512</v>
      </c>
      <c r="AJ114" s="24"/>
      <c r="AK114" s="25">
        <v>12063755</v>
      </c>
      <c r="AL114" s="25">
        <v>12061353</v>
      </c>
      <c r="AM114" s="25">
        <v>12061354</v>
      </c>
      <c r="AN114" s="25">
        <v>12068566</v>
      </c>
      <c r="AO114" s="25"/>
      <c r="AP114" s="25">
        <v>12068565</v>
      </c>
      <c r="AQ114" s="25" t="s">
        <v>114</v>
      </c>
      <c r="AR114" s="25"/>
      <c r="AS114" s="25">
        <v>12068565</v>
      </c>
      <c r="AT114" s="25"/>
      <c r="AU114" s="25"/>
    </row>
    <row r="115" spans="1:47" ht="25" customHeight="1">
      <c r="B115" s="39">
        <v>43971</v>
      </c>
      <c r="C115" s="39">
        <v>43999</v>
      </c>
      <c r="D115" s="43" t="s">
        <v>466</v>
      </c>
      <c r="E115" s="43">
        <v>43953</v>
      </c>
      <c r="F115" s="43" t="s">
        <v>322</v>
      </c>
      <c r="G115" s="43" t="s">
        <v>104</v>
      </c>
      <c r="H115" s="44" t="s">
        <v>105</v>
      </c>
      <c r="I115" s="44" t="s">
        <v>106</v>
      </c>
      <c r="J115" s="44" t="s">
        <v>107</v>
      </c>
      <c r="K115" s="44" t="s">
        <v>108</v>
      </c>
      <c r="L115" s="43" t="s">
        <v>109</v>
      </c>
      <c r="M115" s="61" t="s">
        <v>110</v>
      </c>
      <c r="N115" s="55">
        <v>36</v>
      </c>
      <c r="O115" s="55">
        <v>5</v>
      </c>
      <c r="P115" s="28">
        <v>7.4999999999999997E-3</v>
      </c>
      <c r="Q115" s="43" t="s">
        <v>111</v>
      </c>
      <c r="R115" s="43" t="s">
        <v>112</v>
      </c>
      <c r="S115" s="43" t="s">
        <v>113</v>
      </c>
      <c r="T115" s="42">
        <v>466</v>
      </c>
      <c r="U115" s="70"/>
      <c r="V115" s="42">
        <v>466</v>
      </c>
      <c r="W115" s="74">
        <f t="shared" si="29"/>
        <v>0</v>
      </c>
      <c r="X115" s="42">
        <f t="shared" si="30"/>
        <v>0</v>
      </c>
      <c r="Y115" s="42"/>
      <c r="Z115" s="42"/>
      <c r="AA115" s="42"/>
      <c r="AB115" s="44"/>
      <c r="AC115" s="42">
        <f t="shared" si="31"/>
        <v>0</v>
      </c>
      <c r="AD115" s="42">
        <f t="shared" si="34"/>
        <v>0</v>
      </c>
      <c r="AE115" s="15">
        <f t="shared" si="32"/>
        <v>0.308</v>
      </c>
      <c r="AF115" s="17">
        <f t="shared" si="33"/>
        <v>0</v>
      </c>
      <c r="AG115" s="11">
        <f t="shared" si="35"/>
        <v>16776</v>
      </c>
      <c r="AJ115" s="24"/>
      <c r="AK115" s="25">
        <v>12063755</v>
      </c>
      <c r="AL115" s="25">
        <v>12061353</v>
      </c>
      <c r="AM115" s="25">
        <v>12061354</v>
      </c>
      <c r="AN115" s="25">
        <v>12068566</v>
      </c>
      <c r="AO115" s="25"/>
      <c r="AP115" s="25">
        <v>12068565</v>
      </c>
      <c r="AQ115" s="25" t="s">
        <v>114</v>
      </c>
      <c r="AR115" s="25"/>
      <c r="AS115" s="25">
        <v>12068565</v>
      </c>
      <c r="AT115" s="25"/>
      <c r="AU115" s="25"/>
    </row>
    <row r="116" spans="1:47" ht="25" customHeight="1">
      <c r="B116" s="39">
        <v>43971</v>
      </c>
      <c r="C116" s="39">
        <v>43998</v>
      </c>
      <c r="D116" s="43" t="s">
        <v>466</v>
      </c>
      <c r="E116" s="43">
        <v>43953</v>
      </c>
      <c r="F116" s="43" t="s">
        <v>319</v>
      </c>
      <c r="G116" s="43" t="s">
        <v>311</v>
      </c>
      <c r="H116" s="44" t="s">
        <v>312</v>
      </c>
      <c r="I116" s="44" t="s">
        <v>106</v>
      </c>
      <c r="J116" s="44" t="s">
        <v>107</v>
      </c>
      <c r="K116" s="44" t="s">
        <v>313</v>
      </c>
      <c r="L116" s="43" t="s">
        <v>314</v>
      </c>
      <c r="M116" s="61" t="s">
        <v>110</v>
      </c>
      <c r="N116" s="55">
        <v>36</v>
      </c>
      <c r="O116" s="55">
        <v>5</v>
      </c>
      <c r="P116" s="28">
        <v>7.4999999999999997E-3</v>
      </c>
      <c r="Q116" s="43" t="s">
        <v>111</v>
      </c>
      <c r="R116" s="43" t="s">
        <v>112</v>
      </c>
      <c r="S116" s="43" t="s">
        <v>57</v>
      </c>
      <c r="T116" s="42">
        <v>593</v>
      </c>
      <c r="U116" s="70">
        <f>13-13</f>
        <v>0</v>
      </c>
      <c r="V116" s="42">
        <v>593</v>
      </c>
      <c r="W116" s="74">
        <f>(V116+U116)-T116</f>
        <v>0</v>
      </c>
      <c r="X116" s="42">
        <f>IF(W116&lt;0,((T116*N116)-((V116+U116)*N116)),0)</f>
        <v>0</v>
      </c>
      <c r="Y116" s="42"/>
      <c r="Z116" s="42"/>
      <c r="AA116" s="42"/>
      <c r="AB116" s="44"/>
      <c r="AC116" s="42">
        <f>SUM(O116*P116*X116)</f>
        <v>0</v>
      </c>
      <c r="AD116" s="42">
        <f>AC116/0.54</f>
        <v>0</v>
      </c>
      <c r="AE116" s="15">
        <f>MID(M116,1,3)/1000</f>
        <v>0.308</v>
      </c>
      <c r="AF116" s="17">
        <f>(X116*AE116)/1000</f>
        <v>0</v>
      </c>
      <c r="AG116" s="11">
        <f>T116*N116</f>
        <v>21348</v>
      </c>
      <c r="AJ116" s="24"/>
      <c r="AK116" s="25">
        <v>12063755</v>
      </c>
      <c r="AL116" s="25">
        <v>12061353</v>
      </c>
      <c r="AM116" s="25">
        <v>12061354</v>
      </c>
      <c r="AN116" s="25" t="s">
        <v>315</v>
      </c>
      <c r="AO116" s="25"/>
      <c r="AP116" s="25" t="s">
        <v>316</v>
      </c>
      <c r="AQ116" s="25" t="s">
        <v>114</v>
      </c>
      <c r="AR116" s="25"/>
      <c r="AS116" s="25" t="s">
        <v>317</v>
      </c>
      <c r="AT116" s="25"/>
      <c r="AU116" s="25"/>
    </row>
    <row r="117" spans="1:47" ht="25" customHeight="1">
      <c r="B117" s="39">
        <v>43971</v>
      </c>
      <c r="C117" s="39">
        <v>43998</v>
      </c>
      <c r="D117" s="43" t="s">
        <v>466</v>
      </c>
      <c r="E117" s="43">
        <v>43953</v>
      </c>
      <c r="F117" s="43" t="s">
        <v>323</v>
      </c>
      <c r="G117" s="43" t="s">
        <v>311</v>
      </c>
      <c r="H117" s="44" t="s">
        <v>312</v>
      </c>
      <c r="I117" s="44" t="s">
        <v>106</v>
      </c>
      <c r="J117" s="44" t="s">
        <v>107</v>
      </c>
      <c r="K117" s="44" t="s">
        <v>313</v>
      </c>
      <c r="L117" s="43" t="s">
        <v>314</v>
      </c>
      <c r="M117" s="61" t="s">
        <v>110</v>
      </c>
      <c r="N117" s="55">
        <v>36</v>
      </c>
      <c r="O117" s="55">
        <v>5</v>
      </c>
      <c r="P117" s="28">
        <v>7.4999999999999997E-3</v>
      </c>
      <c r="Q117" s="43" t="s">
        <v>111</v>
      </c>
      <c r="R117" s="43" t="s">
        <v>112</v>
      </c>
      <c r="S117" s="43" t="s">
        <v>57</v>
      </c>
      <c r="T117" s="42">
        <v>792</v>
      </c>
      <c r="U117" s="70">
        <f>13-13</f>
        <v>0</v>
      </c>
      <c r="V117" s="42">
        <v>747</v>
      </c>
      <c r="W117" s="74">
        <f>(V117+U117)-T117</f>
        <v>-45</v>
      </c>
      <c r="X117" s="42">
        <f>IF(W117&lt;0,((T117*N117)-((V117+U117)*N117)),0)</f>
        <v>1620</v>
      </c>
      <c r="Y117" s="42"/>
      <c r="Z117" s="42"/>
      <c r="AA117" s="42"/>
      <c r="AB117" s="44"/>
      <c r="AC117" s="42">
        <f>SUM(O117*P117*X117)</f>
        <v>60.75</v>
      </c>
      <c r="AD117" s="42">
        <f>AC117/0.54</f>
        <v>112.49999999999999</v>
      </c>
      <c r="AE117" s="15">
        <f>MID(M117,1,3)/1000</f>
        <v>0.308</v>
      </c>
      <c r="AF117" s="17">
        <f>(X117*AE117)/1000</f>
        <v>0.49895999999999996</v>
      </c>
      <c r="AG117" s="11">
        <f>T117*N117</f>
        <v>28512</v>
      </c>
      <c r="AJ117" s="24"/>
      <c r="AK117" s="25">
        <v>12063755</v>
      </c>
      <c r="AL117" s="25">
        <v>12061353</v>
      </c>
      <c r="AM117" s="25">
        <v>12061354</v>
      </c>
      <c r="AN117" s="25" t="s">
        <v>315</v>
      </c>
      <c r="AO117" s="25"/>
      <c r="AP117" s="25" t="s">
        <v>316</v>
      </c>
      <c r="AQ117" s="25" t="s">
        <v>114</v>
      </c>
      <c r="AR117" s="25"/>
      <c r="AS117" s="25" t="s">
        <v>317</v>
      </c>
      <c r="AT117" s="25"/>
      <c r="AU117" s="25"/>
    </row>
    <row r="118" spans="1:47" ht="25" customHeight="1">
      <c r="B118" s="39">
        <v>43971</v>
      </c>
      <c r="C118" s="39">
        <v>43991</v>
      </c>
      <c r="D118" s="43" t="s">
        <v>466</v>
      </c>
      <c r="E118" s="43">
        <v>43953</v>
      </c>
      <c r="F118" s="43" t="s">
        <v>133</v>
      </c>
      <c r="G118" s="43" t="s">
        <v>134</v>
      </c>
      <c r="H118" s="44" t="s">
        <v>135</v>
      </c>
      <c r="I118" s="44" t="s">
        <v>106</v>
      </c>
      <c r="J118" s="44" t="s">
        <v>107</v>
      </c>
      <c r="K118" s="44" t="s">
        <v>136</v>
      </c>
      <c r="L118" s="43" t="s">
        <v>137</v>
      </c>
      <c r="M118" s="61" t="s">
        <v>138</v>
      </c>
      <c r="N118" s="55">
        <v>24</v>
      </c>
      <c r="O118" s="55">
        <v>3</v>
      </c>
      <c r="P118" s="28">
        <v>7.4999999999999997E-3</v>
      </c>
      <c r="Q118" s="43" t="s">
        <v>111</v>
      </c>
      <c r="R118" s="43" t="s">
        <v>56</v>
      </c>
      <c r="S118" s="43" t="s">
        <v>139</v>
      </c>
      <c r="T118" s="42">
        <v>500</v>
      </c>
      <c r="U118" s="70"/>
      <c r="V118" s="42">
        <f>6+494</f>
        <v>500</v>
      </c>
      <c r="W118" s="74">
        <f>(V118+U118)-T118</f>
        <v>0</v>
      </c>
      <c r="X118" s="42">
        <f>IF(W118&lt;0,((T118*N118)-((V118+U118)*N118)),0)</f>
        <v>0</v>
      </c>
      <c r="Y118" s="42"/>
      <c r="Z118" s="42">
        <v>1</v>
      </c>
      <c r="AA118" s="42">
        <f>X118*Z118</f>
        <v>0</v>
      </c>
      <c r="AB118" s="44"/>
      <c r="AC118" s="42">
        <f>SUM(O118*P118*X118)</f>
        <v>0</v>
      </c>
      <c r="AD118" s="42">
        <f>AC118/0.54</f>
        <v>0</v>
      </c>
      <c r="AE118" s="15">
        <f>MID(M118,1,3)/1000</f>
        <v>0.219</v>
      </c>
      <c r="AF118" s="17">
        <f>(X118*AE118)/1000</f>
        <v>0</v>
      </c>
      <c r="AG118" s="11">
        <f>T118*N118</f>
        <v>12000</v>
      </c>
      <c r="AJ118" s="24"/>
      <c r="AK118" s="25">
        <v>12062338</v>
      </c>
      <c r="AL118" s="25" t="s">
        <v>140</v>
      </c>
      <c r="AM118" s="25" t="s">
        <v>141</v>
      </c>
      <c r="AN118" s="25"/>
      <c r="AO118" s="25" t="s">
        <v>142</v>
      </c>
      <c r="AP118" s="25" t="s">
        <v>143</v>
      </c>
      <c r="AQ118" s="25" t="s">
        <v>144</v>
      </c>
      <c r="AR118" s="25"/>
      <c r="AS118" s="25" t="s">
        <v>145</v>
      </c>
      <c r="AT118" s="25" t="s">
        <v>146</v>
      </c>
      <c r="AU118" s="25" t="s">
        <v>147</v>
      </c>
    </row>
    <row r="119" spans="1:47" ht="25" customHeight="1">
      <c r="A119" s="27" t="s">
        <v>120</v>
      </c>
      <c r="B119" s="39">
        <v>43971</v>
      </c>
      <c r="C119" s="39">
        <v>43978</v>
      </c>
      <c r="D119" s="43" t="s">
        <v>466</v>
      </c>
      <c r="E119" s="43">
        <v>43953</v>
      </c>
      <c r="F119" s="43" t="s">
        <v>320</v>
      </c>
      <c r="G119" s="43" t="s">
        <v>82</v>
      </c>
      <c r="H119" s="44" t="s">
        <v>235</v>
      </c>
      <c r="I119" s="44" t="s">
        <v>84</v>
      </c>
      <c r="J119" s="44" t="s">
        <v>85</v>
      </c>
      <c r="K119" s="44" t="s">
        <v>165</v>
      </c>
      <c r="L119" s="43" t="s">
        <v>258</v>
      </c>
      <c r="M119" s="61" t="s">
        <v>167</v>
      </c>
      <c r="N119" s="55">
        <v>20</v>
      </c>
      <c r="O119" s="55">
        <v>12</v>
      </c>
      <c r="P119" s="28">
        <v>6.8100000000000001E-3</v>
      </c>
      <c r="Q119" s="43" t="s">
        <v>76</v>
      </c>
      <c r="R119" s="43" t="s">
        <v>56</v>
      </c>
      <c r="S119" s="43" t="s">
        <v>89</v>
      </c>
      <c r="T119" s="42">
        <v>1116</v>
      </c>
      <c r="U119" s="70"/>
      <c r="V119" s="42">
        <f>1116</f>
        <v>1116</v>
      </c>
      <c r="W119" s="74">
        <f t="shared" si="29"/>
        <v>0</v>
      </c>
      <c r="X119" s="42">
        <f t="shared" si="30"/>
        <v>0</v>
      </c>
      <c r="Y119" s="42">
        <f>O119*X119</f>
        <v>0</v>
      </c>
      <c r="Z119" s="42">
        <v>2</v>
      </c>
      <c r="AA119" s="42">
        <f>X119*Z119</f>
        <v>0</v>
      </c>
      <c r="AB119" s="44"/>
      <c r="AC119" s="42">
        <f t="shared" si="31"/>
        <v>0</v>
      </c>
      <c r="AD119" s="42">
        <f t="shared" si="34"/>
        <v>0</v>
      </c>
      <c r="AE119" s="15">
        <f t="shared" si="32"/>
        <v>0.154</v>
      </c>
      <c r="AF119" s="17">
        <f t="shared" si="33"/>
        <v>0</v>
      </c>
      <c r="AG119" s="11">
        <f t="shared" si="35"/>
        <v>22320</v>
      </c>
      <c r="AJ119" s="24"/>
      <c r="AK119" s="25">
        <v>12033473</v>
      </c>
      <c r="AL119" s="25" t="s">
        <v>169</v>
      </c>
      <c r="AM119" s="25"/>
      <c r="AN119" s="25" t="s">
        <v>259</v>
      </c>
      <c r="AO119" s="25"/>
      <c r="AP119" s="25">
        <v>12027007</v>
      </c>
      <c r="AQ119" s="25"/>
      <c r="AR119" s="25" t="s">
        <v>172</v>
      </c>
      <c r="AS119" s="25"/>
      <c r="AT119" s="25"/>
      <c r="AU119" s="25"/>
    </row>
    <row r="120" spans="1:47" ht="25" customHeight="1">
      <c r="A120" s="27" t="s">
        <v>120</v>
      </c>
      <c r="B120" s="39">
        <v>43971</v>
      </c>
      <c r="C120" s="39">
        <v>43978</v>
      </c>
      <c r="D120" s="43" t="s">
        <v>466</v>
      </c>
      <c r="E120" s="43">
        <v>43953</v>
      </c>
      <c r="F120" s="43" t="s">
        <v>320</v>
      </c>
      <c r="G120" s="43" t="s">
        <v>82</v>
      </c>
      <c r="H120" s="44" t="s">
        <v>235</v>
      </c>
      <c r="I120" s="44" t="s">
        <v>84</v>
      </c>
      <c r="J120" s="44" t="s">
        <v>85</v>
      </c>
      <c r="K120" s="44" t="s">
        <v>86</v>
      </c>
      <c r="L120" s="43" t="s">
        <v>273</v>
      </c>
      <c r="M120" s="61" t="s">
        <v>88</v>
      </c>
      <c r="N120" s="55">
        <v>8</v>
      </c>
      <c r="O120" s="55">
        <v>50</v>
      </c>
      <c r="P120" s="28">
        <v>6.8100000000000001E-3</v>
      </c>
      <c r="Q120" s="43" t="s">
        <v>76</v>
      </c>
      <c r="R120" s="43" t="s">
        <v>56</v>
      </c>
      <c r="S120" s="43" t="s">
        <v>89</v>
      </c>
      <c r="T120" s="42">
        <v>469</v>
      </c>
      <c r="U120" s="70"/>
      <c r="V120" s="42">
        <f>46+423</f>
        <v>469</v>
      </c>
      <c r="W120" s="74">
        <f t="shared" si="29"/>
        <v>0</v>
      </c>
      <c r="X120" s="42">
        <f t="shared" si="30"/>
        <v>0</v>
      </c>
      <c r="Y120" s="42">
        <f>O120*X120</f>
        <v>0</v>
      </c>
      <c r="Z120" s="42">
        <v>6</v>
      </c>
      <c r="AA120" s="42">
        <f>X120*Z120</f>
        <v>0</v>
      </c>
      <c r="AB120" s="44"/>
      <c r="AC120" s="42">
        <f t="shared" si="31"/>
        <v>0</v>
      </c>
      <c r="AD120" s="42">
        <f t="shared" si="34"/>
        <v>0</v>
      </c>
      <c r="AE120" s="15">
        <f t="shared" si="32"/>
        <v>0.63</v>
      </c>
      <c r="AF120" s="17">
        <f t="shared" si="33"/>
        <v>0</v>
      </c>
      <c r="AG120" s="11">
        <f t="shared" si="35"/>
        <v>3752</v>
      </c>
      <c r="AJ120" s="24"/>
      <c r="AK120" s="25">
        <v>12004862</v>
      </c>
      <c r="AL120" s="25">
        <v>12055234</v>
      </c>
      <c r="AM120" s="25"/>
      <c r="AN120" s="25" t="s">
        <v>92</v>
      </c>
      <c r="AO120" s="25"/>
      <c r="AP120" s="25">
        <v>12056200</v>
      </c>
      <c r="AQ120" s="25"/>
      <c r="AR120" s="25" t="s">
        <v>93</v>
      </c>
      <c r="AS120" s="25"/>
      <c r="AT120" s="25"/>
      <c r="AU120" s="25"/>
    </row>
    <row r="121" spans="1:47" ht="25" customHeight="1">
      <c r="B121" s="39">
        <v>43972</v>
      </c>
      <c r="C121" s="39">
        <v>43999</v>
      </c>
      <c r="D121" s="43" t="s">
        <v>466</v>
      </c>
      <c r="E121" s="43">
        <v>43953</v>
      </c>
      <c r="F121" s="43" t="s">
        <v>322</v>
      </c>
      <c r="G121" s="43" t="s">
        <v>104</v>
      </c>
      <c r="H121" s="44" t="s">
        <v>105</v>
      </c>
      <c r="I121" s="44" t="s">
        <v>106</v>
      </c>
      <c r="J121" s="44" t="s">
        <v>107</v>
      </c>
      <c r="K121" s="44" t="s">
        <v>108</v>
      </c>
      <c r="L121" s="43" t="s">
        <v>109</v>
      </c>
      <c r="M121" s="61" t="s">
        <v>110</v>
      </c>
      <c r="N121" s="55">
        <v>36</v>
      </c>
      <c r="O121" s="55">
        <v>5</v>
      </c>
      <c r="P121" s="28">
        <v>7.4999999999999997E-3</v>
      </c>
      <c r="Q121" s="43" t="s">
        <v>111</v>
      </c>
      <c r="R121" s="43" t="s">
        <v>112</v>
      </c>
      <c r="S121" s="43" t="s">
        <v>113</v>
      </c>
      <c r="T121" s="42">
        <f>792-466</f>
        <v>326</v>
      </c>
      <c r="U121" s="70"/>
      <c r="V121" s="42">
        <f>792-466</f>
        <v>326</v>
      </c>
      <c r="W121" s="74">
        <f t="shared" si="29"/>
        <v>0</v>
      </c>
      <c r="X121" s="42">
        <f t="shared" si="30"/>
        <v>0</v>
      </c>
      <c r="Y121" s="42"/>
      <c r="Z121" s="42"/>
      <c r="AA121" s="42"/>
      <c r="AB121" s="44"/>
      <c r="AC121" s="42">
        <f t="shared" si="31"/>
        <v>0</v>
      </c>
      <c r="AD121" s="42">
        <f t="shared" si="34"/>
        <v>0</v>
      </c>
      <c r="AE121" s="15">
        <f t="shared" si="32"/>
        <v>0.308</v>
      </c>
      <c r="AF121" s="17">
        <f t="shared" si="33"/>
        <v>0</v>
      </c>
      <c r="AG121" s="11">
        <f t="shared" si="35"/>
        <v>11736</v>
      </c>
      <c r="AJ121" s="24"/>
      <c r="AK121" s="25">
        <v>12063755</v>
      </c>
      <c r="AL121" s="25">
        <v>12061353</v>
      </c>
      <c r="AM121" s="25">
        <v>12061354</v>
      </c>
      <c r="AN121" s="25">
        <v>12068566</v>
      </c>
      <c r="AO121" s="25"/>
      <c r="AP121" s="25">
        <v>12068565</v>
      </c>
      <c r="AQ121" s="25" t="s">
        <v>114</v>
      </c>
      <c r="AR121" s="25"/>
      <c r="AS121" s="25">
        <v>12068565</v>
      </c>
      <c r="AT121" s="25"/>
      <c r="AU121" s="25"/>
    </row>
    <row r="122" spans="1:47" ht="25" customHeight="1">
      <c r="B122" s="39">
        <v>43972</v>
      </c>
      <c r="C122" s="39">
        <v>43999</v>
      </c>
      <c r="D122" s="43" t="s">
        <v>466</v>
      </c>
      <c r="E122" s="43">
        <v>43953</v>
      </c>
      <c r="F122" s="43" t="s">
        <v>324</v>
      </c>
      <c r="G122" s="43" t="s">
        <v>104</v>
      </c>
      <c r="H122" s="44" t="s">
        <v>105</v>
      </c>
      <c r="I122" s="44" t="s">
        <v>106</v>
      </c>
      <c r="J122" s="44" t="s">
        <v>107</v>
      </c>
      <c r="K122" s="44" t="s">
        <v>108</v>
      </c>
      <c r="L122" s="43" t="s">
        <v>109</v>
      </c>
      <c r="M122" s="61" t="s">
        <v>110</v>
      </c>
      <c r="N122" s="55">
        <v>36</v>
      </c>
      <c r="O122" s="55">
        <v>5</v>
      </c>
      <c r="P122" s="28">
        <v>7.4999999999999997E-3</v>
      </c>
      <c r="Q122" s="43" t="s">
        <v>111</v>
      </c>
      <c r="R122" s="43" t="s">
        <v>112</v>
      </c>
      <c r="S122" s="43" t="s">
        <v>113</v>
      </c>
      <c r="T122" s="42">
        <v>792</v>
      </c>
      <c r="U122" s="70"/>
      <c r="V122" s="42">
        <v>792</v>
      </c>
      <c r="W122" s="74">
        <f t="shared" si="29"/>
        <v>0</v>
      </c>
      <c r="X122" s="42">
        <f t="shared" si="30"/>
        <v>0</v>
      </c>
      <c r="Y122" s="42"/>
      <c r="Z122" s="42"/>
      <c r="AA122" s="42"/>
      <c r="AB122" s="44"/>
      <c r="AC122" s="42">
        <f t="shared" si="31"/>
        <v>0</v>
      </c>
      <c r="AD122" s="42">
        <f t="shared" si="34"/>
        <v>0</v>
      </c>
      <c r="AE122" s="15">
        <f t="shared" si="32"/>
        <v>0.308</v>
      </c>
      <c r="AF122" s="17">
        <f t="shared" si="33"/>
        <v>0</v>
      </c>
      <c r="AG122" s="11">
        <f t="shared" si="35"/>
        <v>28512</v>
      </c>
      <c r="AJ122" s="24"/>
      <c r="AK122" s="25">
        <v>12063755</v>
      </c>
      <c r="AL122" s="25">
        <v>12061353</v>
      </c>
      <c r="AM122" s="25">
        <v>12061354</v>
      </c>
      <c r="AN122" s="25">
        <v>12068566</v>
      </c>
      <c r="AO122" s="25"/>
      <c r="AP122" s="25">
        <v>12068565</v>
      </c>
      <c r="AQ122" s="25" t="s">
        <v>114</v>
      </c>
      <c r="AR122" s="25"/>
      <c r="AS122" s="25">
        <v>12068565</v>
      </c>
      <c r="AT122" s="25"/>
      <c r="AU122" s="25"/>
    </row>
    <row r="123" spans="1:47" ht="25" customHeight="1">
      <c r="B123" s="39">
        <v>43972</v>
      </c>
      <c r="C123" s="39">
        <v>44000</v>
      </c>
      <c r="D123" s="43" t="s">
        <v>466</v>
      </c>
      <c r="E123" s="43">
        <v>43953</v>
      </c>
      <c r="F123" s="43" t="s">
        <v>325</v>
      </c>
      <c r="G123" s="43" t="s">
        <v>104</v>
      </c>
      <c r="H123" s="44" t="s">
        <v>105</v>
      </c>
      <c r="I123" s="44" t="s">
        <v>106</v>
      </c>
      <c r="J123" s="44" t="s">
        <v>107</v>
      </c>
      <c r="K123" s="44" t="s">
        <v>108</v>
      </c>
      <c r="L123" s="43" t="s">
        <v>109</v>
      </c>
      <c r="M123" s="61" t="s">
        <v>110</v>
      </c>
      <c r="N123" s="55">
        <v>36</v>
      </c>
      <c r="O123" s="55">
        <v>5</v>
      </c>
      <c r="P123" s="28">
        <v>7.4999999999999997E-3</v>
      </c>
      <c r="Q123" s="43" t="s">
        <v>111</v>
      </c>
      <c r="R123" s="43" t="s">
        <v>112</v>
      </c>
      <c r="S123" s="43" t="s">
        <v>113</v>
      </c>
      <c r="T123" s="42">
        <v>792</v>
      </c>
      <c r="U123" s="70"/>
      <c r="V123" s="42">
        <v>792</v>
      </c>
      <c r="W123" s="74">
        <f t="shared" si="29"/>
        <v>0</v>
      </c>
      <c r="X123" s="42">
        <f t="shared" si="30"/>
        <v>0</v>
      </c>
      <c r="Y123" s="42"/>
      <c r="Z123" s="42"/>
      <c r="AA123" s="42"/>
      <c r="AB123" s="44"/>
      <c r="AC123" s="42">
        <f t="shared" si="31"/>
        <v>0</v>
      </c>
      <c r="AD123" s="42">
        <f t="shared" si="34"/>
        <v>0</v>
      </c>
      <c r="AE123" s="15">
        <f t="shared" si="32"/>
        <v>0.308</v>
      </c>
      <c r="AF123" s="17">
        <f t="shared" si="33"/>
        <v>0</v>
      </c>
      <c r="AG123" s="11">
        <f t="shared" si="35"/>
        <v>28512</v>
      </c>
      <c r="AJ123" s="24"/>
      <c r="AK123" s="25">
        <v>12063755</v>
      </c>
      <c r="AL123" s="25">
        <v>12061353</v>
      </c>
      <c r="AM123" s="25">
        <v>12061354</v>
      </c>
      <c r="AN123" s="25">
        <v>12068566</v>
      </c>
      <c r="AO123" s="25"/>
      <c r="AP123" s="25">
        <v>12068565</v>
      </c>
      <c r="AQ123" s="25" t="s">
        <v>114</v>
      </c>
      <c r="AR123" s="25"/>
      <c r="AS123" s="25">
        <v>12068565</v>
      </c>
      <c r="AT123" s="25"/>
      <c r="AU123" s="25"/>
    </row>
    <row r="124" spans="1:47" ht="25" customHeight="1">
      <c r="B124" s="39">
        <v>43972</v>
      </c>
      <c r="C124" s="39">
        <v>44000</v>
      </c>
      <c r="D124" s="43" t="s">
        <v>466</v>
      </c>
      <c r="E124" s="43">
        <v>43953</v>
      </c>
      <c r="F124" s="43" t="s">
        <v>326</v>
      </c>
      <c r="G124" s="43" t="s">
        <v>104</v>
      </c>
      <c r="H124" s="44" t="s">
        <v>105</v>
      </c>
      <c r="I124" s="44" t="s">
        <v>106</v>
      </c>
      <c r="J124" s="44" t="s">
        <v>107</v>
      </c>
      <c r="K124" s="44" t="s">
        <v>108</v>
      </c>
      <c r="L124" s="43" t="s">
        <v>109</v>
      </c>
      <c r="M124" s="61" t="s">
        <v>110</v>
      </c>
      <c r="N124" s="55">
        <v>36</v>
      </c>
      <c r="O124" s="55">
        <v>5</v>
      </c>
      <c r="P124" s="28">
        <v>7.4999999999999997E-3</v>
      </c>
      <c r="Q124" s="43" t="s">
        <v>111</v>
      </c>
      <c r="R124" s="43" t="s">
        <v>112</v>
      </c>
      <c r="S124" s="43" t="s">
        <v>113</v>
      </c>
      <c r="T124" s="42">
        <v>792</v>
      </c>
      <c r="U124" s="70"/>
      <c r="V124" s="42">
        <v>792</v>
      </c>
      <c r="W124" s="74">
        <f t="shared" si="29"/>
        <v>0</v>
      </c>
      <c r="X124" s="42">
        <f t="shared" si="30"/>
        <v>0</v>
      </c>
      <c r="Y124" s="42"/>
      <c r="Z124" s="42"/>
      <c r="AA124" s="42"/>
      <c r="AB124" s="44"/>
      <c r="AC124" s="42">
        <f t="shared" si="31"/>
        <v>0</v>
      </c>
      <c r="AD124" s="42">
        <f t="shared" si="34"/>
        <v>0</v>
      </c>
      <c r="AE124" s="15">
        <f t="shared" si="32"/>
        <v>0.308</v>
      </c>
      <c r="AF124" s="17">
        <f t="shared" si="33"/>
        <v>0</v>
      </c>
      <c r="AG124" s="11">
        <f t="shared" si="35"/>
        <v>28512</v>
      </c>
      <c r="AJ124" s="24"/>
      <c r="AK124" s="25">
        <v>12063755</v>
      </c>
      <c r="AL124" s="25">
        <v>12061353</v>
      </c>
      <c r="AM124" s="25">
        <v>12061354</v>
      </c>
      <c r="AN124" s="25">
        <v>12068566</v>
      </c>
      <c r="AO124" s="25"/>
      <c r="AP124" s="25">
        <v>12068565</v>
      </c>
      <c r="AQ124" s="25" t="s">
        <v>114</v>
      </c>
      <c r="AR124" s="25"/>
      <c r="AS124" s="25">
        <v>12068565</v>
      </c>
      <c r="AT124" s="25"/>
      <c r="AU124" s="25"/>
    </row>
    <row r="125" spans="1:47" ht="25" customHeight="1">
      <c r="B125" s="39">
        <v>43972</v>
      </c>
      <c r="C125" s="39">
        <v>44001</v>
      </c>
      <c r="D125" s="43" t="s">
        <v>466</v>
      </c>
      <c r="E125" s="43">
        <v>43953</v>
      </c>
      <c r="F125" s="43" t="s">
        <v>327</v>
      </c>
      <c r="G125" s="43" t="s">
        <v>104</v>
      </c>
      <c r="H125" s="44" t="s">
        <v>105</v>
      </c>
      <c r="I125" s="44" t="s">
        <v>106</v>
      </c>
      <c r="J125" s="44" t="s">
        <v>107</v>
      </c>
      <c r="K125" s="44" t="s">
        <v>108</v>
      </c>
      <c r="L125" s="43" t="s">
        <v>109</v>
      </c>
      <c r="M125" s="61" t="s">
        <v>110</v>
      </c>
      <c r="N125" s="55">
        <v>36</v>
      </c>
      <c r="O125" s="55">
        <v>5</v>
      </c>
      <c r="P125" s="28">
        <v>7.4999999999999997E-3</v>
      </c>
      <c r="Q125" s="43" t="s">
        <v>111</v>
      </c>
      <c r="R125" s="43" t="s">
        <v>112</v>
      </c>
      <c r="S125" s="43" t="s">
        <v>113</v>
      </c>
      <c r="T125" s="42">
        <v>792</v>
      </c>
      <c r="U125" s="70"/>
      <c r="V125" s="42">
        <v>792</v>
      </c>
      <c r="W125" s="74">
        <f t="shared" si="29"/>
        <v>0</v>
      </c>
      <c r="X125" s="42">
        <f t="shared" si="30"/>
        <v>0</v>
      </c>
      <c r="Y125" s="42"/>
      <c r="Z125" s="42"/>
      <c r="AA125" s="42"/>
      <c r="AB125" s="44"/>
      <c r="AC125" s="42">
        <f t="shared" si="31"/>
        <v>0</v>
      </c>
      <c r="AD125" s="42">
        <f t="shared" si="34"/>
        <v>0</v>
      </c>
      <c r="AE125" s="15">
        <f t="shared" si="32"/>
        <v>0.308</v>
      </c>
      <c r="AF125" s="17">
        <f t="shared" si="33"/>
        <v>0</v>
      </c>
      <c r="AG125" s="11">
        <f t="shared" si="35"/>
        <v>28512</v>
      </c>
      <c r="AJ125" s="24"/>
      <c r="AK125" s="25">
        <v>12063755</v>
      </c>
      <c r="AL125" s="25">
        <v>12061353</v>
      </c>
      <c r="AM125" s="25">
        <v>12061354</v>
      </c>
      <c r="AN125" s="25">
        <v>12068566</v>
      </c>
      <c r="AO125" s="25"/>
      <c r="AP125" s="25">
        <v>12068565</v>
      </c>
      <c r="AQ125" s="25" t="s">
        <v>114</v>
      </c>
      <c r="AR125" s="25"/>
      <c r="AS125" s="25">
        <v>12068565</v>
      </c>
      <c r="AT125" s="25"/>
      <c r="AU125" s="25"/>
    </row>
    <row r="126" spans="1:47" ht="25" customHeight="1">
      <c r="B126" s="39">
        <v>43972</v>
      </c>
      <c r="C126" s="39">
        <v>44001</v>
      </c>
      <c r="D126" s="43" t="s">
        <v>466</v>
      </c>
      <c r="E126" s="43">
        <v>43953</v>
      </c>
      <c r="F126" s="43" t="s">
        <v>328</v>
      </c>
      <c r="G126" s="43" t="s">
        <v>104</v>
      </c>
      <c r="H126" s="44" t="s">
        <v>105</v>
      </c>
      <c r="I126" s="44" t="s">
        <v>106</v>
      </c>
      <c r="J126" s="44" t="s">
        <v>107</v>
      </c>
      <c r="K126" s="44" t="s">
        <v>108</v>
      </c>
      <c r="L126" s="43" t="s">
        <v>109</v>
      </c>
      <c r="M126" s="61" t="s">
        <v>110</v>
      </c>
      <c r="N126" s="55">
        <v>36</v>
      </c>
      <c r="O126" s="55">
        <v>5</v>
      </c>
      <c r="P126" s="28">
        <v>7.4999999999999997E-3</v>
      </c>
      <c r="Q126" s="43" t="s">
        <v>111</v>
      </c>
      <c r="R126" s="43" t="s">
        <v>112</v>
      </c>
      <c r="S126" s="43" t="s">
        <v>113</v>
      </c>
      <c r="T126" s="42">
        <v>348</v>
      </c>
      <c r="U126" s="70"/>
      <c r="V126" s="42">
        <v>348</v>
      </c>
      <c r="W126" s="74">
        <f t="shared" si="29"/>
        <v>0</v>
      </c>
      <c r="X126" s="42">
        <f t="shared" si="30"/>
        <v>0</v>
      </c>
      <c r="Y126" s="42"/>
      <c r="Z126" s="42"/>
      <c r="AA126" s="42"/>
      <c r="AB126" s="44"/>
      <c r="AC126" s="42">
        <f t="shared" si="31"/>
        <v>0</v>
      </c>
      <c r="AD126" s="42">
        <f t="shared" si="34"/>
        <v>0</v>
      </c>
      <c r="AE126" s="15">
        <f t="shared" si="32"/>
        <v>0.308</v>
      </c>
      <c r="AF126" s="17">
        <f t="shared" si="33"/>
        <v>0</v>
      </c>
      <c r="AG126" s="11">
        <f t="shared" si="35"/>
        <v>12528</v>
      </c>
      <c r="AJ126" s="24"/>
      <c r="AK126" s="25">
        <v>12063755</v>
      </c>
      <c r="AL126" s="25">
        <v>12061353</v>
      </c>
      <c r="AM126" s="25">
        <v>12061354</v>
      </c>
      <c r="AN126" s="25">
        <v>12068566</v>
      </c>
      <c r="AO126" s="25"/>
      <c r="AP126" s="25">
        <v>12068565</v>
      </c>
      <c r="AQ126" s="25" t="s">
        <v>114</v>
      </c>
      <c r="AR126" s="25"/>
      <c r="AS126" s="25">
        <v>12068565</v>
      </c>
      <c r="AT126" s="25"/>
      <c r="AU126" s="25"/>
    </row>
    <row r="127" spans="1:47" ht="25" customHeight="1">
      <c r="A127" s="27" t="s">
        <v>120</v>
      </c>
      <c r="B127" s="39">
        <v>43972</v>
      </c>
      <c r="C127" s="39">
        <v>43978</v>
      </c>
      <c r="D127" s="43" t="s">
        <v>466</v>
      </c>
      <c r="E127" s="43">
        <v>43953</v>
      </c>
      <c r="F127" s="43" t="s">
        <v>320</v>
      </c>
      <c r="G127" s="43" t="s">
        <v>82</v>
      </c>
      <c r="H127" s="44" t="s">
        <v>235</v>
      </c>
      <c r="I127" s="44" t="s">
        <v>84</v>
      </c>
      <c r="J127" s="44" t="s">
        <v>85</v>
      </c>
      <c r="K127" s="44" t="s">
        <v>165</v>
      </c>
      <c r="L127" s="43" t="s">
        <v>258</v>
      </c>
      <c r="M127" s="61" t="s">
        <v>167</v>
      </c>
      <c r="N127" s="55">
        <v>20</v>
      </c>
      <c r="O127" s="55">
        <v>12</v>
      </c>
      <c r="P127" s="28">
        <v>6.8100000000000001E-3</v>
      </c>
      <c r="Q127" s="43" t="s">
        <v>76</v>
      </c>
      <c r="R127" s="43" t="s">
        <v>56</v>
      </c>
      <c r="S127" s="43" t="s">
        <v>89</v>
      </c>
      <c r="T127" s="42">
        <f>1672-279-1116</f>
        <v>277</v>
      </c>
      <c r="U127" s="70"/>
      <c r="V127" s="42">
        <f>272+5</f>
        <v>277</v>
      </c>
      <c r="W127" s="74">
        <f>(V127+U127)-T127</f>
        <v>0</v>
      </c>
      <c r="X127" s="42">
        <f>IF(W127&lt;0,((T127*N127)-((V127+U127)*N127)),0)</f>
        <v>0</v>
      </c>
      <c r="Y127" s="42">
        <f>O127*X127</f>
        <v>0</v>
      </c>
      <c r="Z127" s="42">
        <v>2</v>
      </c>
      <c r="AA127" s="42">
        <f>X127*Z127</f>
        <v>0</v>
      </c>
      <c r="AB127" s="44"/>
      <c r="AC127" s="42">
        <f>SUM(O127*P127*X127)</f>
        <v>0</v>
      </c>
      <c r="AD127" s="42">
        <f t="shared" si="34"/>
        <v>0</v>
      </c>
      <c r="AE127" s="15">
        <f>MID(M127,1,3)/1000</f>
        <v>0.154</v>
      </c>
      <c r="AF127" s="17">
        <f>(X127*AE127)/1000</f>
        <v>0</v>
      </c>
      <c r="AG127" s="11">
        <f t="shared" si="35"/>
        <v>5540</v>
      </c>
      <c r="AJ127" s="24"/>
      <c r="AK127" s="25">
        <v>12033473</v>
      </c>
      <c r="AL127" s="25" t="s">
        <v>169</v>
      </c>
      <c r="AM127" s="25"/>
      <c r="AN127" s="25" t="s">
        <v>259</v>
      </c>
      <c r="AO127" s="25"/>
      <c r="AP127" s="25">
        <v>12027007</v>
      </c>
      <c r="AQ127" s="25"/>
      <c r="AR127" s="25" t="s">
        <v>172</v>
      </c>
      <c r="AS127" s="25"/>
      <c r="AT127" s="25"/>
      <c r="AU127" s="25"/>
    </row>
    <row r="128" spans="1:47" ht="25" customHeight="1">
      <c r="A128" s="27" t="s">
        <v>120</v>
      </c>
      <c r="B128" s="39">
        <v>43972</v>
      </c>
      <c r="C128" s="39">
        <v>43978</v>
      </c>
      <c r="D128" s="43" t="s">
        <v>466</v>
      </c>
      <c r="E128" s="43">
        <v>43953</v>
      </c>
      <c r="F128" s="43" t="s">
        <v>320</v>
      </c>
      <c r="G128" s="43" t="s">
        <v>82</v>
      </c>
      <c r="H128" s="44" t="s">
        <v>235</v>
      </c>
      <c r="I128" s="44" t="s">
        <v>84</v>
      </c>
      <c r="J128" s="44" t="s">
        <v>85</v>
      </c>
      <c r="K128" s="44" t="s">
        <v>86</v>
      </c>
      <c r="L128" s="43" t="s">
        <v>273</v>
      </c>
      <c r="M128" s="61" t="s">
        <v>88</v>
      </c>
      <c r="N128" s="55">
        <v>8</v>
      </c>
      <c r="O128" s="55">
        <v>50</v>
      </c>
      <c r="P128" s="28">
        <v>6.8100000000000001E-3</v>
      </c>
      <c r="Q128" s="43" t="s">
        <v>76</v>
      </c>
      <c r="R128" s="43" t="s">
        <v>56</v>
      </c>
      <c r="S128" s="43" t="s">
        <v>89</v>
      </c>
      <c r="T128" s="42">
        <f>1156-469</f>
        <v>687</v>
      </c>
      <c r="U128" s="70"/>
      <c r="V128" s="42">
        <v>687</v>
      </c>
      <c r="W128" s="74">
        <f t="shared" si="29"/>
        <v>0</v>
      </c>
      <c r="X128" s="42">
        <f t="shared" si="30"/>
        <v>0</v>
      </c>
      <c r="Y128" s="42">
        <f>O128*X128</f>
        <v>0</v>
      </c>
      <c r="Z128" s="42">
        <v>6</v>
      </c>
      <c r="AA128" s="42">
        <f>X128*Z128</f>
        <v>0</v>
      </c>
      <c r="AB128" s="44"/>
      <c r="AC128" s="42">
        <f t="shared" si="31"/>
        <v>0</v>
      </c>
      <c r="AD128" s="42">
        <f t="shared" si="34"/>
        <v>0</v>
      </c>
      <c r="AE128" s="15">
        <f t="shared" ref="AE128:AE134" si="36">MID(M128,1,3)/1000</f>
        <v>0.63</v>
      </c>
      <c r="AF128" s="17">
        <f t="shared" ref="AF128:AF134" si="37">(X128*AE128)/1000</f>
        <v>0</v>
      </c>
      <c r="AG128" s="11" t="e">
        <f>#REF!*N128</f>
        <v>#REF!</v>
      </c>
      <c r="AJ128" s="24"/>
      <c r="AK128" s="25">
        <v>12004862</v>
      </c>
      <c r="AL128" s="25">
        <v>12055234</v>
      </c>
      <c r="AM128" s="25"/>
      <c r="AN128" s="25" t="s">
        <v>92</v>
      </c>
      <c r="AO128" s="25"/>
      <c r="AP128" s="25">
        <v>12056200</v>
      </c>
      <c r="AQ128" s="25"/>
      <c r="AR128" s="25" t="s">
        <v>93</v>
      </c>
      <c r="AS128" s="25"/>
      <c r="AT128" s="25"/>
      <c r="AU128" s="25"/>
    </row>
    <row r="129" spans="1:47" ht="25" customHeight="1">
      <c r="A129" s="27" t="s">
        <v>120</v>
      </c>
      <c r="B129" s="39">
        <v>43972</v>
      </c>
      <c r="C129" s="39">
        <v>43984</v>
      </c>
      <c r="D129" s="43" t="s">
        <v>466</v>
      </c>
      <c r="E129" s="43">
        <v>43953</v>
      </c>
      <c r="F129" s="43" t="s">
        <v>308</v>
      </c>
      <c r="G129" s="43" t="s">
        <v>82</v>
      </c>
      <c r="H129" s="44" t="s">
        <v>235</v>
      </c>
      <c r="I129" s="44" t="s">
        <v>84</v>
      </c>
      <c r="J129" s="44" t="s">
        <v>85</v>
      </c>
      <c r="K129" s="44" t="s">
        <v>86</v>
      </c>
      <c r="L129" s="43" t="s">
        <v>273</v>
      </c>
      <c r="M129" s="61" t="s">
        <v>88</v>
      </c>
      <c r="N129" s="55">
        <v>8</v>
      </c>
      <c r="O129" s="55">
        <v>50</v>
      </c>
      <c r="P129" s="28">
        <v>6.8100000000000001E-3</v>
      </c>
      <c r="Q129" s="43" t="s">
        <v>76</v>
      </c>
      <c r="R129" s="43" t="s">
        <v>56</v>
      </c>
      <c r="S129" s="43" t="s">
        <v>89</v>
      </c>
      <c r="T129" s="42">
        <v>329</v>
      </c>
      <c r="U129" s="70"/>
      <c r="V129" s="42">
        <v>329</v>
      </c>
      <c r="W129" s="74">
        <f t="shared" si="29"/>
        <v>0</v>
      </c>
      <c r="X129" s="42">
        <f t="shared" si="30"/>
        <v>0</v>
      </c>
      <c r="Y129" s="42">
        <f>O129*X129</f>
        <v>0</v>
      </c>
      <c r="Z129" s="42">
        <v>6</v>
      </c>
      <c r="AA129" s="42">
        <f>X129*Z129</f>
        <v>0</v>
      </c>
      <c r="AB129" s="44"/>
      <c r="AC129" s="42">
        <f t="shared" si="31"/>
        <v>0</v>
      </c>
      <c r="AD129" s="42">
        <f t="shared" si="34"/>
        <v>0</v>
      </c>
      <c r="AE129" s="15">
        <f t="shared" si="36"/>
        <v>0.63</v>
      </c>
      <c r="AF129" s="17">
        <f t="shared" si="37"/>
        <v>0</v>
      </c>
      <c r="AG129" s="11">
        <f t="shared" ref="AG129:AG141" si="38">T129*N129</f>
        <v>2632</v>
      </c>
      <c r="AJ129" s="24"/>
      <c r="AK129" s="25">
        <v>12004862</v>
      </c>
      <c r="AL129" s="25">
        <v>12055234</v>
      </c>
      <c r="AM129" s="25"/>
      <c r="AN129" s="25" t="s">
        <v>92</v>
      </c>
      <c r="AO129" s="25"/>
      <c r="AP129" s="25">
        <v>12056200</v>
      </c>
      <c r="AQ129" s="25"/>
      <c r="AR129" s="25" t="s">
        <v>93</v>
      </c>
      <c r="AS129" s="25"/>
      <c r="AT129" s="25"/>
      <c r="AU129" s="25"/>
    </row>
    <row r="130" spans="1:47" ht="25" customHeight="1">
      <c r="B130" s="39">
        <v>43973</v>
      </c>
      <c r="C130" s="39">
        <v>44001</v>
      </c>
      <c r="D130" s="43" t="s">
        <v>466</v>
      </c>
      <c r="E130" s="43">
        <v>43953</v>
      </c>
      <c r="F130" s="43" t="s">
        <v>328</v>
      </c>
      <c r="G130" s="43" t="s">
        <v>104</v>
      </c>
      <c r="H130" s="44" t="s">
        <v>105</v>
      </c>
      <c r="I130" s="44" t="s">
        <v>106</v>
      </c>
      <c r="J130" s="44" t="s">
        <v>107</v>
      </c>
      <c r="K130" s="44" t="s">
        <v>108</v>
      </c>
      <c r="L130" s="43" t="s">
        <v>109</v>
      </c>
      <c r="M130" s="61" t="s">
        <v>110</v>
      </c>
      <c r="N130" s="55">
        <v>36</v>
      </c>
      <c r="O130" s="55">
        <v>5</v>
      </c>
      <c r="P130" s="28">
        <v>7.4999999999999997E-3</v>
      </c>
      <c r="Q130" s="43" t="s">
        <v>111</v>
      </c>
      <c r="R130" s="43" t="s">
        <v>112</v>
      </c>
      <c r="S130" s="43" t="s">
        <v>113</v>
      </c>
      <c r="T130" s="42">
        <f>792-348</f>
        <v>444</v>
      </c>
      <c r="U130" s="70"/>
      <c r="V130" s="42">
        <f>792-348</f>
        <v>444</v>
      </c>
      <c r="W130" s="74">
        <f t="shared" si="29"/>
        <v>0</v>
      </c>
      <c r="X130" s="42">
        <f t="shared" si="30"/>
        <v>0</v>
      </c>
      <c r="Y130" s="42"/>
      <c r="Z130" s="42"/>
      <c r="AA130" s="42"/>
      <c r="AB130" s="44"/>
      <c r="AC130" s="42">
        <f t="shared" si="31"/>
        <v>0</v>
      </c>
      <c r="AD130" s="42">
        <f>AC130/0.54</f>
        <v>0</v>
      </c>
      <c r="AE130" s="15">
        <f>MID(M130,1,3)/1000</f>
        <v>0.308</v>
      </c>
      <c r="AF130" s="17">
        <f>(X130*AE130)/1000</f>
        <v>0</v>
      </c>
      <c r="AG130" s="11">
        <f t="shared" si="38"/>
        <v>15984</v>
      </c>
      <c r="AJ130" s="24"/>
      <c r="AK130" s="25">
        <v>12063755</v>
      </c>
      <c r="AL130" s="25">
        <v>12061353</v>
      </c>
      <c r="AM130" s="25">
        <v>12061354</v>
      </c>
      <c r="AN130" s="25">
        <v>12068566</v>
      </c>
      <c r="AO130" s="25"/>
      <c r="AP130" s="25">
        <v>12068565</v>
      </c>
      <c r="AQ130" s="25" t="s">
        <v>114</v>
      </c>
      <c r="AR130" s="25"/>
      <c r="AS130" s="25">
        <v>12068565</v>
      </c>
      <c r="AT130" s="25"/>
      <c r="AU130" s="25"/>
    </row>
    <row r="131" spans="1:47" ht="25" customHeight="1">
      <c r="B131" s="39">
        <v>43973</v>
      </c>
      <c r="C131" s="39">
        <v>44006</v>
      </c>
      <c r="D131" s="43" t="s">
        <v>466</v>
      </c>
      <c r="E131" s="43">
        <v>43953</v>
      </c>
      <c r="F131" s="43" t="s">
        <v>329</v>
      </c>
      <c r="G131" s="43" t="s">
        <v>104</v>
      </c>
      <c r="H131" s="44" t="s">
        <v>105</v>
      </c>
      <c r="I131" s="44" t="s">
        <v>106</v>
      </c>
      <c r="J131" s="44" t="s">
        <v>107</v>
      </c>
      <c r="K131" s="44" t="s">
        <v>108</v>
      </c>
      <c r="L131" s="43" t="s">
        <v>109</v>
      </c>
      <c r="M131" s="61" t="s">
        <v>110</v>
      </c>
      <c r="N131" s="55">
        <v>36</v>
      </c>
      <c r="O131" s="55">
        <v>5</v>
      </c>
      <c r="P131" s="28">
        <v>7.4999999999999997E-3</v>
      </c>
      <c r="Q131" s="43" t="s">
        <v>111</v>
      </c>
      <c r="R131" s="43" t="s">
        <v>112</v>
      </c>
      <c r="S131" s="43" t="s">
        <v>113</v>
      </c>
      <c r="T131" s="42">
        <v>792</v>
      </c>
      <c r="U131" s="70"/>
      <c r="V131" s="42">
        <v>792</v>
      </c>
      <c r="W131" s="74">
        <f t="shared" si="29"/>
        <v>0</v>
      </c>
      <c r="X131" s="42">
        <f t="shared" si="30"/>
        <v>0</v>
      </c>
      <c r="Y131" s="42"/>
      <c r="Z131" s="42"/>
      <c r="AA131" s="42"/>
      <c r="AB131" s="44"/>
      <c r="AC131" s="42">
        <f t="shared" si="31"/>
        <v>0</v>
      </c>
      <c r="AD131" s="42">
        <f>AC131/0.54</f>
        <v>0</v>
      </c>
      <c r="AE131" s="15">
        <f>MID(M131,1,3)/1000</f>
        <v>0.308</v>
      </c>
      <c r="AF131" s="17">
        <f>(X131*AE131)/1000</f>
        <v>0</v>
      </c>
      <c r="AG131" s="11">
        <f t="shared" si="38"/>
        <v>28512</v>
      </c>
      <c r="AJ131" s="24"/>
      <c r="AK131" s="25">
        <v>12063755</v>
      </c>
      <c r="AL131" s="25">
        <v>12061353</v>
      </c>
      <c r="AM131" s="25">
        <v>12061354</v>
      </c>
      <c r="AN131" s="25">
        <v>12068566</v>
      </c>
      <c r="AO131" s="25"/>
      <c r="AP131" s="25">
        <v>12068565</v>
      </c>
      <c r="AQ131" s="25" t="s">
        <v>114</v>
      </c>
      <c r="AR131" s="25"/>
      <c r="AS131" s="25">
        <v>12068565</v>
      </c>
      <c r="AT131" s="25"/>
      <c r="AU131" s="25"/>
    </row>
    <row r="132" spans="1:47" ht="25" customHeight="1">
      <c r="B132" s="39">
        <v>43973</v>
      </c>
      <c r="C132" s="39">
        <v>44006</v>
      </c>
      <c r="D132" s="43" t="s">
        <v>466</v>
      </c>
      <c r="E132" s="43">
        <v>43953</v>
      </c>
      <c r="F132" s="43" t="s">
        <v>330</v>
      </c>
      <c r="G132" s="43" t="s">
        <v>104</v>
      </c>
      <c r="H132" s="44" t="s">
        <v>105</v>
      </c>
      <c r="I132" s="44" t="s">
        <v>106</v>
      </c>
      <c r="J132" s="44" t="s">
        <v>107</v>
      </c>
      <c r="K132" s="44" t="s">
        <v>108</v>
      </c>
      <c r="L132" s="43" t="s">
        <v>109</v>
      </c>
      <c r="M132" s="61" t="s">
        <v>110</v>
      </c>
      <c r="N132" s="55">
        <v>36</v>
      </c>
      <c r="O132" s="55">
        <v>5</v>
      </c>
      <c r="P132" s="28">
        <v>7.4999999999999997E-3</v>
      </c>
      <c r="Q132" s="43" t="s">
        <v>111</v>
      </c>
      <c r="R132" s="43" t="s">
        <v>112</v>
      </c>
      <c r="S132" s="43" t="s">
        <v>113</v>
      </c>
      <c r="T132" s="42">
        <v>792</v>
      </c>
      <c r="U132" s="70"/>
      <c r="V132" s="42">
        <v>792</v>
      </c>
      <c r="W132" s="74">
        <f t="shared" si="29"/>
        <v>0</v>
      </c>
      <c r="X132" s="42">
        <f t="shared" si="30"/>
        <v>0</v>
      </c>
      <c r="Y132" s="42"/>
      <c r="Z132" s="42"/>
      <c r="AA132" s="42"/>
      <c r="AB132" s="44"/>
      <c r="AC132" s="42">
        <f t="shared" si="31"/>
        <v>0</v>
      </c>
      <c r="AD132" s="42">
        <f>AC132/0.54</f>
        <v>0</v>
      </c>
      <c r="AE132" s="15">
        <f>MID(M132,1,3)/1000</f>
        <v>0.308</v>
      </c>
      <c r="AF132" s="17">
        <f>(X132*AE132)/1000</f>
        <v>0</v>
      </c>
      <c r="AG132" s="11">
        <f t="shared" si="38"/>
        <v>28512</v>
      </c>
      <c r="AJ132" s="24"/>
      <c r="AK132" s="25">
        <v>12063755</v>
      </c>
      <c r="AL132" s="25">
        <v>12061353</v>
      </c>
      <c r="AM132" s="25">
        <v>12061354</v>
      </c>
      <c r="AN132" s="25">
        <v>12068566</v>
      </c>
      <c r="AO132" s="25"/>
      <c r="AP132" s="25">
        <v>12068565</v>
      </c>
      <c r="AQ132" s="25" t="s">
        <v>114</v>
      </c>
      <c r="AR132" s="25"/>
      <c r="AS132" s="25">
        <v>12068565</v>
      </c>
      <c r="AT132" s="25"/>
      <c r="AU132" s="25"/>
    </row>
    <row r="133" spans="1:47" ht="25" customHeight="1">
      <c r="B133" s="39">
        <v>43973</v>
      </c>
      <c r="C133" s="39">
        <v>44006</v>
      </c>
      <c r="D133" s="43" t="s">
        <v>466</v>
      </c>
      <c r="E133" s="43">
        <v>43953</v>
      </c>
      <c r="F133" s="43" t="s">
        <v>331</v>
      </c>
      <c r="G133" s="43" t="s">
        <v>104</v>
      </c>
      <c r="H133" s="44" t="s">
        <v>105</v>
      </c>
      <c r="I133" s="44" t="s">
        <v>106</v>
      </c>
      <c r="J133" s="44" t="s">
        <v>107</v>
      </c>
      <c r="K133" s="44" t="s">
        <v>108</v>
      </c>
      <c r="L133" s="43" t="s">
        <v>109</v>
      </c>
      <c r="M133" s="61" t="s">
        <v>110</v>
      </c>
      <c r="N133" s="55">
        <v>36</v>
      </c>
      <c r="O133" s="55">
        <v>5</v>
      </c>
      <c r="P133" s="28">
        <v>7.4999999999999997E-3</v>
      </c>
      <c r="Q133" s="43" t="s">
        <v>111</v>
      </c>
      <c r="R133" s="43" t="s">
        <v>112</v>
      </c>
      <c r="S133" s="43" t="s">
        <v>113</v>
      </c>
      <c r="T133" s="42">
        <v>792</v>
      </c>
      <c r="U133" s="70"/>
      <c r="V133" s="42">
        <v>792</v>
      </c>
      <c r="W133" s="74">
        <f t="shared" si="29"/>
        <v>0</v>
      </c>
      <c r="X133" s="42">
        <f t="shared" si="30"/>
        <v>0</v>
      </c>
      <c r="Y133" s="42"/>
      <c r="Z133" s="42"/>
      <c r="AA133" s="42"/>
      <c r="AB133" s="44"/>
      <c r="AC133" s="42">
        <f t="shared" si="31"/>
        <v>0</v>
      </c>
      <c r="AD133" s="42">
        <f>AC133/0.54</f>
        <v>0</v>
      </c>
      <c r="AE133" s="15">
        <f>MID(M133,1,3)/1000</f>
        <v>0.308</v>
      </c>
      <c r="AF133" s="17">
        <f>(X133*AE133)/1000</f>
        <v>0</v>
      </c>
      <c r="AG133" s="11">
        <f t="shared" si="38"/>
        <v>28512</v>
      </c>
      <c r="AJ133" s="24"/>
      <c r="AK133" s="25">
        <v>12063755</v>
      </c>
      <c r="AL133" s="25">
        <v>12061353</v>
      </c>
      <c r="AM133" s="25">
        <v>12061354</v>
      </c>
      <c r="AN133" s="25">
        <v>12068566</v>
      </c>
      <c r="AO133" s="25"/>
      <c r="AP133" s="25">
        <v>12068565</v>
      </c>
      <c r="AQ133" s="25" t="s">
        <v>114</v>
      </c>
      <c r="AR133" s="25"/>
      <c r="AS133" s="25">
        <v>12068565</v>
      </c>
      <c r="AT133" s="25"/>
      <c r="AU133" s="25"/>
    </row>
    <row r="134" spans="1:47" ht="25" customHeight="1">
      <c r="B134" s="39">
        <v>43973</v>
      </c>
      <c r="C134" s="39">
        <v>44007</v>
      </c>
      <c r="D134" s="43" t="s">
        <v>466</v>
      </c>
      <c r="E134" s="43">
        <v>43953</v>
      </c>
      <c r="F134" s="43" t="s">
        <v>332</v>
      </c>
      <c r="G134" s="43" t="s">
        <v>104</v>
      </c>
      <c r="H134" s="44" t="s">
        <v>105</v>
      </c>
      <c r="I134" s="44" t="s">
        <v>106</v>
      </c>
      <c r="J134" s="44" t="s">
        <v>107</v>
      </c>
      <c r="K134" s="44" t="s">
        <v>108</v>
      </c>
      <c r="L134" s="43" t="s">
        <v>109</v>
      </c>
      <c r="M134" s="61" t="s">
        <v>110</v>
      </c>
      <c r="N134" s="55">
        <v>36</v>
      </c>
      <c r="O134" s="55">
        <v>5</v>
      </c>
      <c r="P134" s="28">
        <v>7.4999999999999997E-3</v>
      </c>
      <c r="Q134" s="43" t="s">
        <v>111</v>
      </c>
      <c r="R134" s="43" t="s">
        <v>112</v>
      </c>
      <c r="S134" s="43" t="s">
        <v>113</v>
      </c>
      <c r="T134" s="42">
        <v>792</v>
      </c>
      <c r="U134" s="70"/>
      <c r="V134" s="42">
        <v>792</v>
      </c>
      <c r="W134" s="74">
        <f t="shared" si="29"/>
        <v>0</v>
      </c>
      <c r="X134" s="42">
        <f t="shared" si="30"/>
        <v>0</v>
      </c>
      <c r="Y134" s="42"/>
      <c r="Z134" s="42"/>
      <c r="AA134" s="42"/>
      <c r="AB134" s="44"/>
      <c r="AC134" s="42">
        <f t="shared" si="31"/>
        <v>0</v>
      </c>
      <c r="AD134" s="42">
        <f t="shared" si="34"/>
        <v>0</v>
      </c>
      <c r="AE134" s="15">
        <f t="shared" si="36"/>
        <v>0.308</v>
      </c>
      <c r="AF134" s="17">
        <f t="shared" si="37"/>
        <v>0</v>
      </c>
      <c r="AG134" s="11">
        <f t="shared" si="38"/>
        <v>28512</v>
      </c>
      <c r="AJ134" s="24"/>
      <c r="AK134" s="25">
        <v>12063755</v>
      </c>
      <c r="AL134" s="25">
        <v>12061353</v>
      </c>
      <c r="AM134" s="25">
        <v>12061354</v>
      </c>
      <c r="AN134" s="25">
        <v>12068566</v>
      </c>
      <c r="AO134" s="25"/>
      <c r="AP134" s="25">
        <v>12068565</v>
      </c>
      <c r="AQ134" s="25" t="s">
        <v>114</v>
      </c>
      <c r="AR134" s="25"/>
      <c r="AS134" s="25">
        <v>12068565</v>
      </c>
      <c r="AT134" s="25"/>
      <c r="AU134" s="25"/>
    </row>
    <row r="135" spans="1:47" ht="25" customHeight="1">
      <c r="B135" s="39">
        <v>43973</v>
      </c>
      <c r="C135" s="39">
        <v>44021</v>
      </c>
      <c r="D135" s="43" t="s">
        <v>466</v>
      </c>
      <c r="E135" s="43">
        <v>43953</v>
      </c>
      <c r="F135" s="43" t="s">
        <v>333</v>
      </c>
      <c r="G135" s="43" t="s">
        <v>104</v>
      </c>
      <c r="H135" s="44" t="s">
        <v>105</v>
      </c>
      <c r="I135" s="44" t="s">
        <v>106</v>
      </c>
      <c r="J135" s="44" t="s">
        <v>107</v>
      </c>
      <c r="K135" s="44" t="s">
        <v>108</v>
      </c>
      <c r="L135" s="43" t="s">
        <v>109</v>
      </c>
      <c r="M135" s="61" t="s">
        <v>110</v>
      </c>
      <c r="N135" s="55">
        <v>36</v>
      </c>
      <c r="O135" s="55">
        <v>5</v>
      </c>
      <c r="P135" s="28">
        <v>7.4999999999999997E-3</v>
      </c>
      <c r="Q135" s="43" t="s">
        <v>111</v>
      </c>
      <c r="R135" s="43" t="s">
        <v>112</v>
      </c>
      <c r="S135" s="43" t="s">
        <v>113</v>
      </c>
      <c r="T135" s="42">
        <f>638-444+21</f>
        <v>215</v>
      </c>
      <c r="U135" s="70"/>
      <c r="V135" s="42">
        <f>638-444+21</f>
        <v>215</v>
      </c>
      <c r="W135" s="74">
        <f t="shared" si="29"/>
        <v>0</v>
      </c>
      <c r="X135" s="42">
        <f t="shared" si="30"/>
        <v>0</v>
      </c>
      <c r="Y135" s="42"/>
      <c r="Z135" s="42"/>
      <c r="AA135" s="42"/>
      <c r="AB135" s="44"/>
      <c r="AC135" s="42">
        <f t="shared" si="31"/>
        <v>0</v>
      </c>
      <c r="AD135" s="42">
        <f>AC135/0.54</f>
        <v>0</v>
      </c>
      <c r="AE135" s="15">
        <f>MID(M135,1,3)/1000</f>
        <v>0.308</v>
      </c>
      <c r="AF135" s="17">
        <f>(X135*AE135)/1000</f>
        <v>0</v>
      </c>
      <c r="AG135" s="11">
        <f t="shared" si="38"/>
        <v>7740</v>
      </c>
      <c r="AJ135" s="24"/>
      <c r="AK135" s="25">
        <v>12063755</v>
      </c>
      <c r="AL135" s="25">
        <v>12061353</v>
      </c>
      <c r="AM135" s="25">
        <v>12061354</v>
      </c>
      <c r="AN135" s="25">
        <v>12068566</v>
      </c>
      <c r="AO135" s="25"/>
      <c r="AP135" s="25">
        <v>12068565</v>
      </c>
      <c r="AQ135" s="25" t="s">
        <v>114</v>
      </c>
      <c r="AR135" s="25"/>
      <c r="AS135" s="25">
        <v>12068565</v>
      </c>
      <c r="AT135" s="25"/>
      <c r="AU135" s="25"/>
    </row>
    <row r="136" spans="1:47" ht="25" customHeight="1">
      <c r="A136" s="27" t="s">
        <v>120</v>
      </c>
      <c r="B136" s="39">
        <v>43973</v>
      </c>
      <c r="C136" s="39">
        <v>43984</v>
      </c>
      <c r="D136" s="43" t="s">
        <v>466</v>
      </c>
      <c r="E136" s="43">
        <v>43953</v>
      </c>
      <c r="F136" s="43" t="s">
        <v>308</v>
      </c>
      <c r="G136" s="43" t="s">
        <v>82</v>
      </c>
      <c r="H136" s="44" t="s">
        <v>235</v>
      </c>
      <c r="I136" s="44" t="s">
        <v>84</v>
      </c>
      <c r="J136" s="44" t="s">
        <v>85</v>
      </c>
      <c r="K136" s="44" t="s">
        <v>86</v>
      </c>
      <c r="L136" s="43" t="s">
        <v>273</v>
      </c>
      <c r="M136" s="61" t="s">
        <v>88</v>
      </c>
      <c r="N136" s="55">
        <v>8</v>
      </c>
      <c r="O136" s="55">
        <v>50</v>
      </c>
      <c r="P136" s="28">
        <v>6.8100000000000001E-3</v>
      </c>
      <c r="Q136" s="43" t="s">
        <v>76</v>
      </c>
      <c r="R136" s="43" t="s">
        <v>56</v>
      </c>
      <c r="S136" s="43" t="s">
        <v>89</v>
      </c>
      <c r="T136" s="42">
        <f>800-329</f>
        <v>471</v>
      </c>
      <c r="U136" s="70"/>
      <c r="V136" s="42">
        <v>471</v>
      </c>
      <c r="W136" s="74">
        <f t="shared" si="29"/>
        <v>0</v>
      </c>
      <c r="X136" s="42">
        <f t="shared" si="30"/>
        <v>0</v>
      </c>
      <c r="Y136" s="42">
        <f>O136*X136</f>
        <v>0</v>
      </c>
      <c r="Z136" s="42">
        <v>6</v>
      </c>
      <c r="AA136" s="42">
        <f>X136*Z136</f>
        <v>0</v>
      </c>
      <c r="AB136" s="44"/>
      <c r="AC136" s="42">
        <f t="shared" si="31"/>
        <v>0</v>
      </c>
      <c r="AD136" s="42">
        <f t="shared" ref="AD136:AD141" si="39">AC136/0.54</f>
        <v>0</v>
      </c>
      <c r="AE136" s="15">
        <f t="shared" ref="AE136:AE141" si="40">MID(M136,1,3)/1000</f>
        <v>0.63</v>
      </c>
      <c r="AF136" s="17">
        <f t="shared" ref="AF136:AF141" si="41">(X136*AE136)/1000</f>
        <v>0</v>
      </c>
      <c r="AG136" s="11">
        <f t="shared" si="38"/>
        <v>3768</v>
      </c>
      <c r="AJ136" s="24"/>
      <c r="AK136" s="25">
        <v>12004862</v>
      </c>
      <c r="AL136" s="25">
        <v>12055234</v>
      </c>
      <c r="AM136" s="25"/>
      <c r="AN136" s="25" t="s">
        <v>92</v>
      </c>
      <c r="AO136" s="25"/>
      <c r="AP136" s="25">
        <v>12056200</v>
      </c>
      <c r="AQ136" s="25"/>
      <c r="AR136" s="25" t="s">
        <v>93</v>
      </c>
      <c r="AS136" s="25"/>
      <c r="AT136" s="25"/>
      <c r="AU136" s="25"/>
    </row>
    <row r="137" spans="1:47" ht="25" customHeight="1">
      <c r="A137" s="27" t="s">
        <v>120</v>
      </c>
      <c r="B137" s="39">
        <v>43973</v>
      </c>
      <c r="C137" s="39">
        <v>43984</v>
      </c>
      <c r="D137" s="43" t="s">
        <v>466</v>
      </c>
      <c r="E137" s="43">
        <v>43953</v>
      </c>
      <c r="F137" s="43" t="s">
        <v>308</v>
      </c>
      <c r="G137" s="43" t="s">
        <v>82</v>
      </c>
      <c r="H137" s="44" t="s">
        <v>235</v>
      </c>
      <c r="I137" s="44" t="s">
        <v>84</v>
      </c>
      <c r="J137" s="44" t="s">
        <v>85</v>
      </c>
      <c r="K137" s="44" t="s">
        <v>165</v>
      </c>
      <c r="L137" s="43" t="s">
        <v>258</v>
      </c>
      <c r="M137" s="61" t="s">
        <v>167</v>
      </c>
      <c r="N137" s="55">
        <v>20</v>
      </c>
      <c r="O137" s="55">
        <v>12</v>
      </c>
      <c r="P137" s="28">
        <v>6.8100000000000001E-3</v>
      </c>
      <c r="Q137" s="43" t="s">
        <v>76</v>
      </c>
      <c r="R137" s="43" t="s">
        <v>56</v>
      </c>
      <c r="S137" s="43" t="s">
        <v>89</v>
      </c>
      <c r="T137" s="42">
        <v>921</v>
      </c>
      <c r="U137" s="70"/>
      <c r="V137" s="42">
        <v>921</v>
      </c>
      <c r="W137" s="74">
        <f t="shared" si="29"/>
        <v>0</v>
      </c>
      <c r="X137" s="42">
        <f t="shared" si="30"/>
        <v>0</v>
      </c>
      <c r="Y137" s="42">
        <f>O137*X137</f>
        <v>0</v>
      </c>
      <c r="Z137" s="42">
        <v>2</v>
      </c>
      <c r="AA137" s="42">
        <f>X137*Z137</f>
        <v>0</v>
      </c>
      <c r="AB137" s="44"/>
      <c r="AC137" s="42">
        <f t="shared" si="31"/>
        <v>0</v>
      </c>
      <c r="AD137" s="42">
        <f t="shared" si="39"/>
        <v>0</v>
      </c>
      <c r="AE137" s="15">
        <f t="shared" si="40"/>
        <v>0.154</v>
      </c>
      <c r="AF137" s="17">
        <f t="shared" si="41"/>
        <v>0</v>
      </c>
      <c r="AG137" s="11">
        <f t="shared" si="38"/>
        <v>18420</v>
      </c>
      <c r="AJ137" s="24"/>
      <c r="AK137" s="25">
        <v>12033473</v>
      </c>
      <c r="AL137" s="25" t="s">
        <v>169</v>
      </c>
      <c r="AM137" s="25"/>
      <c r="AN137" s="25" t="s">
        <v>259</v>
      </c>
      <c r="AO137" s="25"/>
      <c r="AP137" s="25">
        <v>12027007</v>
      </c>
      <c r="AQ137" s="25"/>
      <c r="AR137" s="25" t="s">
        <v>172</v>
      </c>
      <c r="AS137" s="25"/>
      <c r="AT137" s="25"/>
      <c r="AU137" s="25"/>
    </row>
    <row r="138" spans="1:47" ht="25" customHeight="1">
      <c r="B138" s="39">
        <v>43974</v>
      </c>
      <c r="C138" s="39">
        <v>43987</v>
      </c>
      <c r="D138" s="43" t="s">
        <v>466</v>
      </c>
      <c r="E138" s="43">
        <v>43953</v>
      </c>
      <c r="F138" s="43" t="s">
        <v>334</v>
      </c>
      <c r="G138" s="43" t="s">
        <v>225</v>
      </c>
      <c r="H138" s="44" t="s">
        <v>335</v>
      </c>
      <c r="I138" s="44" t="s">
        <v>175</v>
      </c>
      <c r="J138" s="44" t="s">
        <v>176</v>
      </c>
      <c r="K138" s="44" t="s">
        <v>336</v>
      </c>
      <c r="L138" s="43" t="s">
        <v>337</v>
      </c>
      <c r="M138" s="61" t="s">
        <v>338</v>
      </c>
      <c r="N138" s="55">
        <v>36</v>
      </c>
      <c r="O138" s="55">
        <v>5</v>
      </c>
      <c r="P138" s="28">
        <v>7.4999999999999997E-3</v>
      </c>
      <c r="Q138" s="43" t="s">
        <v>111</v>
      </c>
      <c r="R138" s="43" t="s">
        <v>112</v>
      </c>
      <c r="S138" s="43" t="s">
        <v>113</v>
      </c>
      <c r="T138" s="42">
        <v>1288</v>
      </c>
      <c r="U138" s="70"/>
      <c r="V138" s="42">
        <f>1287+1</f>
        <v>1288</v>
      </c>
      <c r="W138" s="74">
        <f t="shared" si="29"/>
        <v>0</v>
      </c>
      <c r="X138" s="42">
        <f t="shared" si="30"/>
        <v>0</v>
      </c>
      <c r="Y138" s="42"/>
      <c r="Z138" s="42"/>
      <c r="AA138" s="42"/>
      <c r="AB138" s="44"/>
      <c r="AC138" s="42">
        <f t="shared" si="31"/>
        <v>0</v>
      </c>
      <c r="AD138" s="42">
        <f t="shared" si="39"/>
        <v>0</v>
      </c>
      <c r="AE138" s="15">
        <f t="shared" si="40"/>
        <v>0.14499999999999999</v>
      </c>
      <c r="AF138" s="17">
        <f t="shared" si="41"/>
        <v>0</v>
      </c>
      <c r="AG138" s="11">
        <f t="shared" si="38"/>
        <v>46368</v>
      </c>
      <c r="AJ138" s="24"/>
      <c r="AK138" s="25">
        <v>12062338</v>
      </c>
      <c r="AL138" s="25">
        <v>12047514</v>
      </c>
      <c r="AM138" s="25">
        <v>12047515</v>
      </c>
      <c r="AN138" s="25" t="s">
        <v>339</v>
      </c>
      <c r="AO138" s="25"/>
      <c r="AP138" s="25" t="s">
        <v>340</v>
      </c>
      <c r="AQ138" s="25" t="s">
        <v>341</v>
      </c>
      <c r="AR138" s="25"/>
      <c r="AS138" s="25" t="s">
        <v>342</v>
      </c>
      <c r="AT138" s="25"/>
      <c r="AU138" s="25"/>
    </row>
    <row r="139" spans="1:47" ht="25" customHeight="1">
      <c r="A139" s="26" t="s">
        <v>212</v>
      </c>
      <c r="B139" s="39">
        <v>43974</v>
      </c>
      <c r="C139" s="39">
        <v>43983</v>
      </c>
      <c r="D139" s="43" t="s">
        <v>466</v>
      </c>
      <c r="E139" s="43">
        <v>43953</v>
      </c>
      <c r="F139" s="43" t="s">
        <v>47</v>
      </c>
      <c r="G139" s="43" t="s">
        <v>48</v>
      </c>
      <c r="H139" s="44" t="s">
        <v>49</v>
      </c>
      <c r="I139" s="44" t="s">
        <v>50</v>
      </c>
      <c r="J139" s="44" t="s">
        <v>51</v>
      </c>
      <c r="K139" s="44" t="s">
        <v>52</v>
      </c>
      <c r="L139" s="43" t="s">
        <v>53</v>
      </c>
      <c r="M139" s="61" t="s">
        <v>54</v>
      </c>
      <c r="N139" s="55">
        <v>24</v>
      </c>
      <c r="O139" s="55">
        <v>5</v>
      </c>
      <c r="P139" s="28">
        <v>8.0000000000000002E-3</v>
      </c>
      <c r="Q139" s="43" t="s">
        <v>55</v>
      </c>
      <c r="R139" s="43" t="s">
        <v>56</v>
      </c>
      <c r="S139" s="43" t="s">
        <v>57</v>
      </c>
      <c r="T139" s="42">
        <f>2083+39</f>
        <v>2122</v>
      </c>
      <c r="U139" s="70"/>
      <c r="V139" s="42">
        <f>95+2027</f>
        <v>2122</v>
      </c>
      <c r="W139" s="74">
        <f t="shared" si="29"/>
        <v>0</v>
      </c>
      <c r="X139" s="42">
        <f t="shared" si="30"/>
        <v>0</v>
      </c>
      <c r="Y139" s="42"/>
      <c r="Z139" s="42"/>
      <c r="AA139" s="42"/>
      <c r="AB139" s="44"/>
      <c r="AC139" s="42">
        <f>((X139*O139)/5400)*29.25</f>
        <v>0</v>
      </c>
      <c r="AD139" s="42">
        <f t="shared" si="39"/>
        <v>0</v>
      </c>
      <c r="AE139" s="15">
        <f t="shared" si="40"/>
        <v>0.13500000000000001</v>
      </c>
      <c r="AF139" s="17">
        <f t="shared" si="41"/>
        <v>0</v>
      </c>
      <c r="AG139" s="11">
        <f t="shared" si="38"/>
        <v>50928</v>
      </c>
      <c r="AJ139" s="24"/>
      <c r="AK139" s="25">
        <v>12062338</v>
      </c>
      <c r="AL139" s="25">
        <v>12047514</v>
      </c>
      <c r="AM139" s="25">
        <v>12047515</v>
      </c>
      <c r="AN139" s="25"/>
      <c r="AO139" s="25"/>
      <c r="AP139" s="25" t="s">
        <v>58</v>
      </c>
      <c r="AQ139" s="25"/>
      <c r="AR139" s="25"/>
      <c r="AS139" s="25" t="s">
        <v>59</v>
      </c>
      <c r="AT139" s="25" t="s">
        <v>60</v>
      </c>
      <c r="AU139" s="25"/>
    </row>
    <row r="140" spans="1:47" ht="25" customHeight="1">
      <c r="A140" s="27" t="s">
        <v>120</v>
      </c>
      <c r="B140" s="39">
        <v>43974</v>
      </c>
      <c r="C140" s="39">
        <v>43984</v>
      </c>
      <c r="D140" s="43" t="s">
        <v>466</v>
      </c>
      <c r="E140" s="43">
        <v>43953</v>
      </c>
      <c r="F140" s="43" t="s">
        <v>308</v>
      </c>
      <c r="G140" s="43" t="s">
        <v>82</v>
      </c>
      <c r="H140" s="44" t="s">
        <v>235</v>
      </c>
      <c r="I140" s="44" t="s">
        <v>84</v>
      </c>
      <c r="J140" s="44" t="s">
        <v>85</v>
      </c>
      <c r="K140" s="44" t="s">
        <v>165</v>
      </c>
      <c r="L140" s="43" t="s">
        <v>258</v>
      </c>
      <c r="M140" s="61" t="s">
        <v>167</v>
      </c>
      <c r="N140" s="55">
        <v>20</v>
      </c>
      <c r="O140" s="55">
        <v>12</v>
      </c>
      <c r="P140" s="28">
        <v>6.8100000000000001E-3</v>
      </c>
      <c r="Q140" s="43" t="s">
        <v>76</v>
      </c>
      <c r="R140" s="43" t="s">
        <v>56</v>
      </c>
      <c r="S140" s="43" t="s">
        <v>89</v>
      </c>
      <c r="T140" s="42">
        <f>1200-921</f>
        <v>279</v>
      </c>
      <c r="U140" s="70"/>
      <c r="V140" s="42">
        <f>249+30</f>
        <v>279</v>
      </c>
      <c r="W140" s="74">
        <f t="shared" si="29"/>
        <v>0</v>
      </c>
      <c r="X140" s="42">
        <f t="shared" si="30"/>
        <v>0</v>
      </c>
      <c r="Y140" s="42">
        <f>O140*X140</f>
        <v>0</v>
      </c>
      <c r="Z140" s="42">
        <v>2</v>
      </c>
      <c r="AA140" s="42">
        <f>X140*Z140</f>
        <v>0</v>
      </c>
      <c r="AB140" s="44"/>
      <c r="AC140" s="42">
        <f>SUM(O140*P140*X140)</f>
        <v>0</v>
      </c>
      <c r="AD140" s="42">
        <f t="shared" si="39"/>
        <v>0</v>
      </c>
      <c r="AE140" s="15">
        <f t="shared" si="40"/>
        <v>0.154</v>
      </c>
      <c r="AF140" s="17">
        <f t="shared" si="41"/>
        <v>0</v>
      </c>
      <c r="AG140" s="11">
        <f t="shared" si="38"/>
        <v>5580</v>
      </c>
      <c r="AJ140" s="24"/>
      <c r="AK140" s="25">
        <v>12033473</v>
      </c>
      <c r="AL140" s="25" t="s">
        <v>169</v>
      </c>
      <c r="AM140" s="25"/>
      <c r="AN140" s="25" t="s">
        <v>259</v>
      </c>
      <c r="AO140" s="25"/>
      <c r="AP140" s="25">
        <v>12027007</v>
      </c>
      <c r="AQ140" s="25"/>
      <c r="AR140" s="25" t="s">
        <v>172</v>
      </c>
      <c r="AS140" s="25"/>
      <c r="AT140" s="25"/>
      <c r="AU140" s="25"/>
    </row>
    <row r="141" spans="1:47" ht="25" customHeight="1">
      <c r="A141" s="27" t="s">
        <v>120</v>
      </c>
      <c r="B141" s="39">
        <v>43974</v>
      </c>
      <c r="C141" s="39">
        <v>43983</v>
      </c>
      <c r="D141" s="43" t="s">
        <v>466</v>
      </c>
      <c r="E141" s="43">
        <v>43953</v>
      </c>
      <c r="F141" s="43" t="s">
        <v>343</v>
      </c>
      <c r="G141" s="43" t="s">
        <v>344</v>
      </c>
      <c r="H141" s="44" t="s">
        <v>345</v>
      </c>
      <c r="I141" s="44" t="s">
        <v>84</v>
      </c>
      <c r="J141" s="44" t="s">
        <v>153</v>
      </c>
      <c r="K141" s="44" t="s">
        <v>214</v>
      </c>
      <c r="L141" s="43" t="s">
        <v>346</v>
      </c>
      <c r="M141" s="61" t="s">
        <v>347</v>
      </c>
      <c r="N141" s="55">
        <v>18</v>
      </c>
      <c r="O141" s="55">
        <v>8</v>
      </c>
      <c r="P141" s="28">
        <v>6.8100000000000001E-3</v>
      </c>
      <c r="Q141" s="43" t="s">
        <v>76</v>
      </c>
      <c r="R141" s="43" t="s">
        <v>56</v>
      </c>
      <c r="S141" s="43" t="s">
        <v>89</v>
      </c>
      <c r="T141" s="42">
        <v>1200</v>
      </c>
      <c r="U141" s="70"/>
      <c r="V141" s="42">
        <f>1073+36+35+56</f>
        <v>1200</v>
      </c>
      <c r="W141" s="74">
        <f t="shared" si="29"/>
        <v>0</v>
      </c>
      <c r="X141" s="42">
        <f t="shared" si="30"/>
        <v>0</v>
      </c>
      <c r="Y141" s="42">
        <f>O141*X141</f>
        <v>0</v>
      </c>
      <c r="Z141" s="42">
        <v>1</v>
      </c>
      <c r="AA141" s="42">
        <f>X141*Z141</f>
        <v>0</v>
      </c>
      <c r="AB141" s="44"/>
      <c r="AC141" s="42">
        <f>SUM(O141*P141*X141)</f>
        <v>0</v>
      </c>
      <c r="AD141" s="42">
        <f t="shared" si="39"/>
        <v>0</v>
      </c>
      <c r="AE141" s="15">
        <f t="shared" si="40"/>
        <v>0.10100000000000001</v>
      </c>
      <c r="AF141" s="17">
        <f t="shared" si="41"/>
        <v>0</v>
      </c>
      <c r="AG141" s="11">
        <f t="shared" si="38"/>
        <v>21600</v>
      </c>
      <c r="AJ141" s="24" t="s">
        <v>157</v>
      </c>
      <c r="AK141" s="25" t="s">
        <v>158</v>
      </c>
      <c r="AL141" s="25" t="s">
        <v>159</v>
      </c>
      <c r="AM141" s="25"/>
      <c r="AN141" s="25" t="s">
        <v>160</v>
      </c>
      <c r="AO141" s="25"/>
      <c r="AP141" s="25" t="s">
        <v>161</v>
      </c>
      <c r="AQ141" s="25"/>
      <c r="AR141" s="25" t="s">
        <v>162</v>
      </c>
      <c r="AS141" s="25"/>
      <c r="AT141" s="25"/>
      <c r="AU141" s="25"/>
    </row>
    <row r="142" spans="1:47" ht="25" customHeight="1">
      <c r="A142" s="27" t="s">
        <v>120</v>
      </c>
      <c r="B142" s="39">
        <v>43974</v>
      </c>
      <c r="C142" s="39">
        <v>43984</v>
      </c>
      <c r="D142" s="43" t="s">
        <v>466</v>
      </c>
      <c r="E142" s="43">
        <v>43953</v>
      </c>
      <c r="F142" s="43" t="s">
        <v>348</v>
      </c>
      <c r="G142" s="43" t="s">
        <v>134</v>
      </c>
      <c r="H142" s="44" t="s">
        <v>164</v>
      </c>
      <c r="I142" s="44" t="s">
        <v>84</v>
      </c>
      <c r="J142" s="44" t="s">
        <v>153</v>
      </c>
      <c r="K142" s="44" t="s">
        <v>165</v>
      </c>
      <c r="L142" s="43" t="s">
        <v>166</v>
      </c>
      <c r="M142" s="61" t="s">
        <v>167</v>
      </c>
      <c r="N142" s="55">
        <v>20</v>
      </c>
      <c r="O142" s="55">
        <v>12</v>
      </c>
      <c r="P142" s="28">
        <v>6.8100000000000001E-3</v>
      </c>
      <c r="Q142" s="43" t="s">
        <v>76</v>
      </c>
      <c r="R142" s="43" t="s">
        <v>56</v>
      </c>
      <c r="S142" s="43" t="s">
        <v>89</v>
      </c>
      <c r="T142" s="42">
        <v>480</v>
      </c>
      <c r="U142" s="70"/>
      <c r="V142" s="42">
        <v>480</v>
      </c>
      <c r="W142" s="74">
        <f>(V142+U142)-T142</f>
        <v>0</v>
      </c>
      <c r="X142" s="42">
        <f>IF(W142&lt;0,((T142*N142)-((V142+U142)*N142)),0)</f>
        <v>0</v>
      </c>
      <c r="Y142" s="42">
        <f>O142*X142</f>
        <v>0</v>
      </c>
      <c r="Z142" s="42">
        <v>2</v>
      </c>
      <c r="AA142" s="42">
        <f>X142*Z142</f>
        <v>0</v>
      </c>
      <c r="AB142" s="44" t="s">
        <v>168</v>
      </c>
      <c r="AC142" s="42">
        <f>SUM(O142*P142*X142)</f>
        <v>0</v>
      </c>
      <c r="AD142" s="42">
        <f>AC142/0.54</f>
        <v>0</v>
      </c>
      <c r="AE142" s="15">
        <f>MID(M142,1,3)/1000</f>
        <v>0.154</v>
      </c>
      <c r="AF142" s="17">
        <f>(X142*AE142)/1000</f>
        <v>0</v>
      </c>
      <c r="AG142" s="11">
        <f>T142*N142</f>
        <v>9600</v>
      </c>
      <c r="AJ142" s="24"/>
      <c r="AK142" s="25" t="s">
        <v>158</v>
      </c>
      <c r="AL142" s="25" t="s">
        <v>169</v>
      </c>
      <c r="AM142" s="25"/>
      <c r="AN142" s="25" t="s">
        <v>170</v>
      </c>
      <c r="AO142" s="25"/>
      <c r="AP142" s="25" t="s">
        <v>171</v>
      </c>
      <c r="AQ142" s="25"/>
      <c r="AR142" s="25" t="s">
        <v>172</v>
      </c>
      <c r="AS142" s="25"/>
      <c r="AT142" s="25"/>
      <c r="AU142" s="25"/>
    </row>
    <row r="143" spans="1:47" ht="25" customHeight="1">
      <c r="B143" s="35">
        <v>43975</v>
      </c>
      <c r="C143" s="35"/>
      <c r="D143" s="45" t="s">
        <v>467</v>
      </c>
      <c r="E143" s="45">
        <v>43953</v>
      </c>
      <c r="F143" s="45"/>
      <c r="G143" s="45"/>
      <c r="H143" s="46"/>
      <c r="I143" s="46"/>
      <c r="J143" s="46"/>
      <c r="K143" s="46"/>
      <c r="L143" s="45"/>
      <c r="M143" s="62"/>
      <c r="N143" s="54"/>
      <c r="O143" s="54"/>
      <c r="P143" s="57"/>
      <c r="Q143" s="45"/>
      <c r="R143" s="45"/>
      <c r="S143" s="45"/>
      <c r="T143" s="38"/>
      <c r="U143" s="69"/>
      <c r="V143" s="38"/>
      <c r="W143" s="73"/>
      <c r="X143" s="38"/>
      <c r="Y143" s="38"/>
      <c r="Z143" s="38"/>
      <c r="AA143" s="38"/>
      <c r="AB143" s="46"/>
      <c r="AC143" s="38"/>
      <c r="AD143" s="38"/>
      <c r="AE143" s="16"/>
      <c r="AF143" s="19"/>
      <c r="AJ143" s="24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</row>
    <row r="144" spans="1:47" ht="25" customHeight="1">
      <c r="B144" s="39">
        <v>43976</v>
      </c>
      <c r="C144" s="39">
        <v>43983</v>
      </c>
      <c r="D144" s="43" t="s">
        <v>467</v>
      </c>
      <c r="E144" s="43">
        <v>43953</v>
      </c>
      <c r="F144" s="43" t="s">
        <v>47</v>
      </c>
      <c r="G144" s="43" t="s">
        <v>260</v>
      </c>
      <c r="H144" s="44" t="s">
        <v>349</v>
      </c>
      <c r="I144" s="44" t="s">
        <v>175</v>
      </c>
      <c r="J144" s="44" t="s">
        <v>176</v>
      </c>
      <c r="K144" s="44" t="s">
        <v>262</v>
      </c>
      <c r="L144" s="43" t="s">
        <v>350</v>
      </c>
      <c r="M144" s="61" t="s">
        <v>351</v>
      </c>
      <c r="N144" s="55">
        <v>24</v>
      </c>
      <c r="O144" s="55">
        <v>5</v>
      </c>
      <c r="P144" s="28">
        <v>6.1999999999999998E-3</v>
      </c>
      <c r="Q144" s="43" t="s">
        <v>352</v>
      </c>
      <c r="R144" s="43" t="s">
        <v>56</v>
      </c>
      <c r="S144" s="43" t="s">
        <v>57</v>
      </c>
      <c r="T144" s="42">
        <f>3500-5</f>
        <v>3495</v>
      </c>
      <c r="U144" s="70"/>
      <c r="V144" s="42">
        <v>3495</v>
      </c>
      <c r="W144" s="74">
        <f t="shared" ref="W144:W174" si="42">(V144+U144)-T144</f>
        <v>0</v>
      </c>
      <c r="X144" s="42">
        <f t="shared" ref="X144:X174" si="43">IF(W144&lt;0,((T144*N144)-((V144+U144)*N144)),0)</f>
        <v>0</v>
      </c>
      <c r="Y144" s="42"/>
      <c r="Z144" s="42"/>
      <c r="AA144" s="42"/>
      <c r="AB144" s="44"/>
      <c r="AC144" s="42">
        <f>SUM(O144*P144*X144)</f>
        <v>0</v>
      </c>
      <c r="AD144" s="42">
        <f t="shared" ref="AD144:AD174" si="44">AC144/0.54</f>
        <v>0</v>
      </c>
      <c r="AE144" s="15">
        <f>MID(M144,1,3)/1000</f>
        <v>0.13</v>
      </c>
      <c r="AF144" s="17">
        <f t="shared" ref="AF144:AF185" si="45">(X144*AE144)/1000</f>
        <v>0</v>
      </c>
      <c r="AG144" s="11">
        <f t="shared" ref="AG144:AG174" si="46">T144*N144</f>
        <v>83880</v>
      </c>
      <c r="AJ144" s="24"/>
      <c r="AK144" s="25">
        <v>12062338</v>
      </c>
      <c r="AL144" s="25">
        <v>12088231</v>
      </c>
      <c r="AM144" s="25">
        <v>12068233</v>
      </c>
      <c r="AN144" s="25"/>
      <c r="AO144" s="25"/>
      <c r="AP144" s="25">
        <v>12062075</v>
      </c>
      <c r="AQ144" s="25"/>
      <c r="AR144" s="25"/>
      <c r="AS144" s="25">
        <v>12061941</v>
      </c>
      <c r="AT144" s="25"/>
      <c r="AU144" s="25"/>
    </row>
    <row r="145" spans="1:47" ht="25" customHeight="1">
      <c r="B145" s="39">
        <v>43976</v>
      </c>
      <c r="C145" s="39">
        <v>43979</v>
      </c>
      <c r="D145" s="43" t="s">
        <v>467</v>
      </c>
      <c r="E145" s="43">
        <v>43953</v>
      </c>
      <c r="F145" s="43" t="s">
        <v>47</v>
      </c>
      <c r="G145" s="43" t="s">
        <v>260</v>
      </c>
      <c r="H145" s="44" t="s">
        <v>261</v>
      </c>
      <c r="I145" s="44" t="s">
        <v>175</v>
      </c>
      <c r="J145" s="44" t="s">
        <v>176</v>
      </c>
      <c r="K145" s="44" t="s">
        <v>262</v>
      </c>
      <c r="L145" s="43" t="s">
        <v>263</v>
      </c>
      <c r="M145" s="61" t="s">
        <v>195</v>
      </c>
      <c r="N145" s="55">
        <v>24</v>
      </c>
      <c r="O145" s="55">
        <v>5</v>
      </c>
      <c r="P145" s="28">
        <v>8.0000000000000002E-3</v>
      </c>
      <c r="Q145" s="43" t="s">
        <v>40</v>
      </c>
      <c r="R145" s="43" t="s">
        <v>56</v>
      </c>
      <c r="S145" s="43" t="s">
        <v>57</v>
      </c>
      <c r="T145" s="42">
        <f>2500-533</f>
        <v>1967</v>
      </c>
      <c r="U145" s="70"/>
      <c r="V145" s="42">
        <v>1967</v>
      </c>
      <c r="W145" s="74">
        <f t="shared" si="42"/>
        <v>0</v>
      </c>
      <c r="X145" s="42">
        <f t="shared" si="43"/>
        <v>0</v>
      </c>
      <c r="Y145" s="42"/>
      <c r="Z145" s="42"/>
      <c r="AA145" s="42"/>
      <c r="AB145" s="44" t="s">
        <v>353</v>
      </c>
      <c r="AC145" s="42">
        <f>SUM(O145*P145*X145)</f>
        <v>0</v>
      </c>
      <c r="AD145" s="42">
        <f t="shared" si="44"/>
        <v>0</v>
      </c>
      <c r="AE145" s="15">
        <f>MID(M145,1,3)/1000</f>
        <v>0.14499999999999999</v>
      </c>
      <c r="AF145" s="17">
        <f t="shared" si="45"/>
        <v>0</v>
      </c>
      <c r="AG145" s="11">
        <f t="shared" si="46"/>
        <v>47208</v>
      </c>
      <c r="AJ145" s="24"/>
      <c r="AK145" s="25">
        <v>12062338</v>
      </c>
      <c r="AL145" s="25">
        <v>12047514</v>
      </c>
      <c r="AM145" s="25">
        <v>12047515</v>
      </c>
      <c r="AN145" s="25"/>
      <c r="AO145" s="25"/>
      <c r="AP145" s="25" t="s">
        <v>264</v>
      </c>
      <c r="AQ145" s="25"/>
      <c r="AR145" s="25"/>
      <c r="AS145" s="25">
        <v>12064588</v>
      </c>
      <c r="AT145" s="25" t="s">
        <v>265</v>
      </c>
      <c r="AU145" s="25"/>
    </row>
    <row r="146" spans="1:47" ht="25" customHeight="1">
      <c r="A146" s="27" t="s">
        <v>120</v>
      </c>
      <c r="B146" s="39">
        <v>43976</v>
      </c>
      <c r="C146" s="39">
        <v>43983</v>
      </c>
      <c r="D146" s="43" t="s">
        <v>467</v>
      </c>
      <c r="E146" s="43">
        <v>43953</v>
      </c>
      <c r="F146" s="43" t="s">
        <v>343</v>
      </c>
      <c r="G146" s="43" t="s">
        <v>344</v>
      </c>
      <c r="H146" s="44" t="s">
        <v>345</v>
      </c>
      <c r="I146" s="44" t="s">
        <v>354</v>
      </c>
      <c r="J146" s="44" t="s">
        <v>355</v>
      </c>
      <c r="K146" s="44" t="s">
        <v>356</v>
      </c>
      <c r="L146" s="43" t="s">
        <v>357</v>
      </c>
      <c r="M146" s="61" t="s">
        <v>358</v>
      </c>
      <c r="N146" s="55">
        <v>18</v>
      </c>
      <c r="O146" s="55">
        <v>8</v>
      </c>
      <c r="P146" s="28">
        <v>5.0000000000000001E-3</v>
      </c>
      <c r="Q146" s="43" t="s">
        <v>55</v>
      </c>
      <c r="R146" s="43" t="s">
        <v>56</v>
      </c>
      <c r="S146" s="43" t="s">
        <v>89</v>
      </c>
      <c r="T146" s="42">
        <v>700</v>
      </c>
      <c r="U146" s="70"/>
      <c r="V146" s="42">
        <v>700</v>
      </c>
      <c r="W146" s="74">
        <f t="shared" si="42"/>
        <v>0</v>
      </c>
      <c r="X146" s="42">
        <f t="shared" si="43"/>
        <v>0</v>
      </c>
      <c r="Y146" s="42">
        <f>O146*X146</f>
        <v>0</v>
      </c>
      <c r="Z146" s="42">
        <v>2</v>
      </c>
      <c r="AA146" s="42">
        <f>X146*Z146</f>
        <v>0</v>
      </c>
      <c r="AB146" s="44"/>
      <c r="AC146" s="42">
        <f>((X146*O146)/5400)*29.25</f>
        <v>0</v>
      </c>
      <c r="AD146" s="42">
        <f t="shared" si="44"/>
        <v>0</v>
      </c>
      <c r="AE146" s="15">
        <f>MID(M146,1,2)/1000</f>
        <v>0.09</v>
      </c>
      <c r="AF146" s="17">
        <f t="shared" si="45"/>
        <v>0</v>
      </c>
      <c r="AG146" s="11">
        <f t="shared" si="46"/>
        <v>12600</v>
      </c>
      <c r="AJ146" s="24" t="s">
        <v>359</v>
      </c>
      <c r="AK146" s="25" t="s">
        <v>158</v>
      </c>
      <c r="AL146" s="25" t="s">
        <v>159</v>
      </c>
      <c r="AM146" s="25"/>
      <c r="AN146" s="25" t="s">
        <v>160</v>
      </c>
      <c r="AO146" s="25"/>
      <c r="AP146" s="25" t="s">
        <v>161</v>
      </c>
      <c r="AQ146" s="25"/>
      <c r="AR146" s="25" t="s">
        <v>162</v>
      </c>
      <c r="AS146" s="25"/>
      <c r="AT146" s="25"/>
      <c r="AU146" s="25"/>
    </row>
    <row r="147" spans="1:47" ht="25" customHeight="1">
      <c r="A147" s="27" t="s">
        <v>120</v>
      </c>
      <c r="B147" s="39">
        <v>43976</v>
      </c>
      <c r="C147" s="39">
        <v>43984</v>
      </c>
      <c r="D147" s="43" t="s">
        <v>467</v>
      </c>
      <c r="E147" s="43">
        <v>43953</v>
      </c>
      <c r="F147" s="43" t="s">
        <v>348</v>
      </c>
      <c r="G147" s="43" t="s">
        <v>134</v>
      </c>
      <c r="H147" s="44" t="s">
        <v>164</v>
      </c>
      <c r="I147" s="44" t="s">
        <v>84</v>
      </c>
      <c r="J147" s="44" t="s">
        <v>153</v>
      </c>
      <c r="K147" s="44" t="s">
        <v>165</v>
      </c>
      <c r="L147" s="43" t="s">
        <v>166</v>
      </c>
      <c r="M147" s="61" t="s">
        <v>167</v>
      </c>
      <c r="N147" s="55">
        <v>20</v>
      </c>
      <c r="O147" s="55">
        <v>12</v>
      </c>
      <c r="P147" s="28">
        <v>6.8100000000000001E-3</v>
      </c>
      <c r="Q147" s="43" t="s">
        <v>76</v>
      </c>
      <c r="R147" s="43" t="s">
        <v>56</v>
      </c>
      <c r="S147" s="43" t="s">
        <v>89</v>
      </c>
      <c r="T147" s="42">
        <f>1000-480</f>
        <v>520</v>
      </c>
      <c r="U147" s="70"/>
      <c r="V147" s="42">
        <v>520</v>
      </c>
      <c r="W147" s="74">
        <f t="shared" si="42"/>
        <v>0</v>
      </c>
      <c r="X147" s="42">
        <f t="shared" si="43"/>
        <v>0</v>
      </c>
      <c r="Y147" s="42">
        <f>O147*X147</f>
        <v>0</v>
      </c>
      <c r="Z147" s="42">
        <v>2</v>
      </c>
      <c r="AA147" s="42">
        <f>X147*Z147</f>
        <v>0</v>
      </c>
      <c r="AB147" s="44" t="s">
        <v>168</v>
      </c>
      <c r="AC147" s="42">
        <f t="shared" ref="AC147:AC174" si="47">SUM(O147*P147*X147)</f>
        <v>0</v>
      </c>
      <c r="AD147" s="42">
        <f t="shared" si="44"/>
        <v>0</v>
      </c>
      <c r="AE147" s="15">
        <f t="shared" ref="AE147:AE174" si="48">MID(M147,1,3)/1000</f>
        <v>0.154</v>
      </c>
      <c r="AF147" s="17">
        <f t="shared" si="45"/>
        <v>0</v>
      </c>
      <c r="AG147" s="11">
        <f t="shared" si="46"/>
        <v>10400</v>
      </c>
      <c r="AJ147" s="24"/>
      <c r="AK147" s="25" t="s">
        <v>158</v>
      </c>
      <c r="AL147" s="25" t="s">
        <v>169</v>
      </c>
      <c r="AM147" s="25"/>
      <c r="AN147" s="25" t="s">
        <v>170</v>
      </c>
      <c r="AO147" s="25"/>
      <c r="AP147" s="25" t="s">
        <v>171</v>
      </c>
      <c r="AQ147" s="25"/>
      <c r="AR147" s="25" t="s">
        <v>172</v>
      </c>
      <c r="AS147" s="25"/>
      <c r="AT147" s="25"/>
      <c r="AU147" s="25"/>
    </row>
    <row r="148" spans="1:47" ht="25" customHeight="1">
      <c r="A148" s="27" t="s">
        <v>120</v>
      </c>
      <c r="B148" s="39">
        <v>43976</v>
      </c>
      <c r="C148" s="39">
        <v>43991</v>
      </c>
      <c r="D148" s="43" t="s">
        <v>467</v>
      </c>
      <c r="E148" s="43">
        <v>43953</v>
      </c>
      <c r="F148" s="43" t="s">
        <v>348</v>
      </c>
      <c r="G148" s="43" t="s">
        <v>134</v>
      </c>
      <c r="H148" s="44" t="s">
        <v>164</v>
      </c>
      <c r="I148" s="44" t="s">
        <v>84</v>
      </c>
      <c r="J148" s="44" t="s">
        <v>153</v>
      </c>
      <c r="K148" s="44" t="s">
        <v>165</v>
      </c>
      <c r="L148" s="43" t="s">
        <v>166</v>
      </c>
      <c r="M148" s="61" t="s">
        <v>167</v>
      </c>
      <c r="N148" s="55">
        <v>20</v>
      </c>
      <c r="O148" s="55">
        <v>12</v>
      </c>
      <c r="P148" s="28">
        <v>6.8100000000000001E-3</v>
      </c>
      <c r="Q148" s="43" t="s">
        <v>76</v>
      </c>
      <c r="R148" s="43" t="s">
        <v>56</v>
      </c>
      <c r="S148" s="43" t="s">
        <v>89</v>
      </c>
      <c r="T148" s="42">
        <v>674</v>
      </c>
      <c r="U148" s="70"/>
      <c r="V148" s="42">
        <v>674</v>
      </c>
      <c r="W148" s="74">
        <f t="shared" si="42"/>
        <v>0</v>
      </c>
      <c r="X148" s="42">
        <f t="shared" si="43"/>
        <v>0</v>
      </c>
      <c r="Y148" s="42">
        <f>O148*X148</f>
        <v>0</v>
      </c>
      <c r="Z148" s="42">
        <v>2</v>
      </c>
      <c r="AA148" s="42">
        <f>X148*Z148</f>
        <v>0</v>
      </c>
      <c r="AB148" s="44" t="s">
        <v>168</v>
      </c>
      <c r="AC148" s="42">
        <f t="shared" si="47"/>
        <v>0</v>
      </c>
      <c r="AD148" s="42">
        <f t="shared" si="44"/>
        <v>0</v>
      </c>
      <c r="AE148" s="15">
        <f t="shared" si="48"/>
        <v>0.154</v>
      </c>
      <c r="AF148" s="17">
        <f t="shared" si="45"/>
        <v>0</v>
      </c>
      <c r="AG148" s="11">
        <f t="shared" si="46"/>
        <v>13480</v>
      </c>
      <c r="AJ148" s="24"/>
      <c r="AK148" s="25" t="s">
        <v>158</v>
      </c>
      <c r="AL148" s="25" t="s">
        <v>169</v>
      </c>
      <c r="AM148" s="25"/>
      <c r="AN148" s="25" t="s">
        <v>170</v>
      </c>
      <c r="AO148" s="25"/>
      <c r="AP148" s="25" t="s">
        <v>171</v>
      </c>
      <c r="AQ148" s="25"/>
      <c r="AR148" s="25" t="s">
        <v>172</v>
      </c>
      <c r="AS148" s="25"/>
      <c r="AT148" s="25"/>
      <c r="AU148" s="25"/>
    </row>
    <row r="149" spans="1:47" ht="25" customHeight="1">
      <c r="B149" s="39">
        <v>43977</v>
      </c>
      <c r="C149" s="39">
        <v>43979</v>
      </c>
      <c r="D149" s="43" t="s">
        <v>467</v>
      </c>
      <c r="E149" s="43">
        <v>43953</v>
      </c>
      <c r="F149" s="43" t="s">
        <v>47</v>
      </c>
      <c r="G149" s="43" t="s">
        <v>260</v>
      </c>
      <c r="H149" s="44" t="s">
        <v>261</v>
      </c>
      <c r="I149" s="44" t="s">
        <v>175</v>
      </c>
      <c r="J149" s="44" t="s">
        <v>176</v>
      </c>
      <c r="K149" s="44" t="s">
        <v>262</v>
      </c>
      <c r="L149" s="43" t="s">
        <v>263</v>
      </c>
      <c r="M149" s="61" t="s">
        <v>195</v>
      </c>
      <c r="N149" s="55">
        <v>24</v>
      </c>
      <c r="O149" s="55">
        <v>5</v>
      </c>
      <c r="P149" s="28">
        <v>8.0000000000000002E-3</v>
      </c>
      <c r="Q149" s="43" t="s">
        <v>40</v>
      </c>
      <c r="R149" s="43" t="s">
        <v>56</v>
      </c>
      <c r="S149" s="43" t="s">
        <v>57</v>
      </c>
      <c r="T149" s="42">
        <v>548</v>
      </c>
      <c r="U149" s="70"/>
      <c r="V149" s="42">
        <v>548</v>
      </c>
      <c r="W149" s="74">
        <f t="shared" si="42"/>
        <v>0</v>
      </c>
      <c r="X149" s="42">
        <f t="shared" si="43"/>
        <v>0</v>
      </c>
      <c r="Y149" s="42"/>
      <c r="Z149" s="42"/>
      <c r="AA149" s="42"/>
      <c r="AB149" s="44" t="s">
        <v>353</v>
      </c>
      <c r="AC149" s="42">
        <f t="shared" si="47"/>
        <v>0</v>
      </c>
      <c r="AD149" s="42">
        <f t="shared" si="44"/>
        <v>0</v>
      </c>
      <c r="AE149" s="15">
        <f t="shared" si="48"/>
        <v>0.14499999999999999</v>
      </c>
      <c r="AF149" s="17">
        <f t="shared" si="45"/>
        <v>0</v>
      </c>
      <c r="AG149" s="11">
        <f t="shared" si="46"/>
        <v>13152</v>
      </c>
      <c r="AJ149" s="24"/>
      <c r="AK149" s="25">
        <v>12062338</v>
      </c>
      <c r="AL149" s="25">
        <v>12047514</v>
      </c>
      <c r="AM149" s="25">
        <v>12047515</v>
      </c>
      <c r="AN149" s="25"/>
      <c r="AO149" s="25"/>
      <c r="AP149" s="25" t="s">
        <v>264</v>
      </c>
      <c r="AQ149" s="25"/>
      <c r="AR149" s="25"/>
      <c r="AS149" s="25">
        <v>12064588</v>
      </c>
      <c r="AT149" s="25" t="s">
        <v>265</v>
      </c>
      <c r="AU149" s="25"/>
    </row>
    <row r="150" spans="1:47" ht="25" customHeight="1">
      <c r="B150" s="39">
        <v>43977</v>
      </c>
      <c r="C150" s="39">
        <v>43984</v>
      </c>
      <c r="D150" s="43" t="s">
        <v>467</v>
      </c>
      <c r="E150" s="43">
        <v>43953</v>
      </c>
      <c r="F150" s="43" t="s">
        <v>360</v>
      </c>
      <c r="G150" s="43" t="s">
        <v>134</v>
      </c>
      <c r="H150" s="44" t="s">
        <v>164</v>
      </c>
      <c r="I150" s="44" t="s">
        <v>175</v>
      </c>
      <c r="J150" s="44" t="s">
        <v>176</v>
      </c>
      <c r="K150" s="44" t="s">
        <v>193</v>
      </c>
      <c r="L150" s="43" t="s">
        <v>194</v>
      </c>
      <c r="M150" s="61" t="s">
        <v>195</v>
      </c>
      <c r="N150" s="55">
        <v>24</v>
      </c>
      <c r="O150" s="55">
        <v>5</v>
      </c>
      <c r="P150" s="28">
        <v>8.0000000000000002E-3</v>
      </c>
      <c r="Q150" s="43" t="s">
        <v>40</v>
      </c>
      <c r="R150" s="43" t="s">
        <v>56</v>
      </c>
      <c r="S150" s="43" t="s">
        <v>57</v>
      </c>
      <c r="T150" s="42">
        <v>500</v>
      </c>
      <c r="U150" s="70"/>
      <c r="V150" s="42">
        <v>500</v>
      </c>
      <c r="W150" s="74">
        <f t="shared" si="42"/>
        <v>0</v>
      </c>
      <c r="X150" s="42">
        <f t="shared" si="43"/>
        <v>0</v>
      </c>
      <c r="Y150" s="42"/>
      <c r="Z150" s="42"/>
      <c r="AA150" s="42"/>
      <c r="AB150" s="44"/>
      <c r="AC150" s="42">
        <f t="shared" si="47"/>
        <v>0</v>
      </c>
      <c r="AD150" s="42">
        <f t="shared" si="44"/>
        <v>0</v>
      </c>
      <c r="AE150" s="15">
        <f t="shared" si="48"/>
        <v>0.14499999999999999</v>
      </c>
      <c r="AF150" s="17">
        <f t="shared" si="45"/>
        <v>0</v>
      </c>
      <c r="AG150" s="11">
        <f t="shared" si="46"/>
        <v>12000</v>
      </c>
      <c r="AJ150" s="24" t="s">
        <v>196</v>
      </c>
      <c r="AK150" s="25">
        <v>12062338</v>
      </c>
      <c r="AL150" s="25">
        <v>12047514</v>
      </c>
      <c r="AM150" s="25">
        <v>12047515</v>
      </c>
      <c r="AN150" s="25"/>
      <c r="AO150" s="25" t="s">
        <v>197</v>
      </c>
      <c r="AP150" s="25" t="s">
        <v>198</v>
      </c>
      <c r="AQ150" s="25" t="s">
        <v>199</v>
      </c>
      <c r="AR150" s="25"/>
      <c r="AS150" s="25" t="s">
        <v>200</v>
      </c>
      <c r="AT150" s="25" t="s">
        <v>201</v>
      </c>
      <c r="AU150" s="25" t="s">
        <v>202</v>
      </c>
    </row>
    <row r="151" spans="1:47" ht="25" customHeight="1">
      <c r="B151" s="39">
        <v>43977</v>
      </c>
      <c r="C151" s="39">
        <v>43997</v>
      </c>
      <c r="D151" s="43" t="s">
        <v>467</v>
      </c>
      <c r="E151" s="43">
        <v>43953</v>
      </c>
      <c r="F151" s="43" t="s">
        <v>360</v>
      </c>
      <c r="G151" s="43" t="s">
        <v>134</v>
      </c>
      <c r="H151" s="44" t="s">
        <v>164</v>
      </c>
      <c r="I151" s="44" t="s">
        <v>175</v>
      </c>
      <c r="J151" s="44" t="s">
        <v>176</v>
      </c>
      <c r="K151" s="44" t="s">
        <v>193</v>
      </c>
      <c r="L151" s="43" t="s">
        <v>194</v>
      </c>
      <c r="M151" s="61" t="s">
        <v>195</v>
      </c>
      <c r="N151" s="55">
        <v>24</v>
      </c>
      <c r="O151" s="55">
        <v>5</v>
      </c>
      <c r="P151" s="28">
        <v>8.0000000000000002E-3</v>
      </c>
      <c r="Q151" s="43" t="s">
        <v>40</v>
      </c>
      <c r="R151" s="43" t="s">
        <v>56</v>
      </c>
      <c r="S151" s="43" t="s">
        <v>57</v>
      </c>
      <c r="T151" s="42">
        <f>1000-500</f>
        <v>500</v>
      </c>
      <c r="U151" s="70"/>
      <c r="V151" s="42">
        <v>500</v>
      </c>
      <c r="W151" s="74">
        <f t="shared" si="42"/>
        <v>0</v>
      </c>
      <c r="X151" s="42">
        <f t="shared" si="43"/>
        <v>0</v>
      </c>
      <c r="Y151" s="42"/>
      <c r="Z151" s="42"/>
      <c r="AA151" s="42"/>
      <c r="AB151" s="44"/>
      <c r="AC151" s="42">
        <f t="shared" si="47"/>
        <v>0</v>
      </c>
      <c r="AD151" s="42">
        <f t="shared" si="44"/>
        <v>0</v>
      </c>
      <c r="AE151" s="15">
        <f t="shared" si="48"/>
        <v>0.14499999999999999</v>
      </c>
      <c r="AF151" s="17">
        <f t="shared" si="45"/>
        <v>0</v>
      </c>
      <c r="AG151" s="11">
        <f t="shared" si="46"/>
        <v>12000</v>
      </c>
      <c r="AJ151" s="24" t="s">
        <v>196</v>
      </c>
      <c r="AK151" s="25">
        <v>12062338</v>
      </c>
      <c r="AL151" s="25">
        <v>12047514</v>
      </c>
      <c r="AM151" s="25">
        <v>12047515</v>
      </c>
      <c r="AN151" s="25"/>
      <c r="AO151" s="25" t="s">
        <v>197</v>
      </c>
      <c r="AP151" s="25" t="s">
        <v>198</v>
      </c>
      <c r="AQ151" s="25" t="s">
        <v>199</v>
      </c>
      <c r="AR151" s="25"/>
      <c r="AS151" s="25" t="s">
        <v>200</v>
      </c>
      <c r="AT151" s="25" t="s">
        <v>201</v>
      </c>
      <c r="AU151" s="25" t="s">
        <v>202</v>
      </c>
    </row>
    <row r="152" spans="1:47" ht="25" customHeight="1">
      <c r="B152" s="39">
        <v>43977</v>
      </c>
      <c r="C152" s="39">
        <v>43984</v>
      </c>
      <c r="D152" s="43" t="s">
        <v>467</v>
      </c>
      <c r="E152" s="43">
        <v>43953</v>
      </c>
      <c r="F152" s="43" t="s">
        <v>361</v>
      </c>
      <c r="G152" s="43" t="s">
        <v>134</v>
      </c>
      <c r="H152" s="44" t="s">
        <v>164</v>
      </c>
      <c r="I152" s="44" t="s">
        <v>175</v>
      </c>
      <c r="J152" s="44" t="s">
        <v>204</v>
      </c>
      <c r="K152" s="44" t="s">
        <v>193</v>
      </c>
      <c r="L152" s="43" t="s">
        <v>205</v>
      </c>
      <c r="M152" s="61" t="s">
        <v>206</v>
      </c>
      <c r="N152" s="55">
        <v>24</v>
      </c>
      <c r="O152" s="55">
        <v>5</v>
      </c>
      <c r="P152" s="28">
        <v>8.0000000000000002E-3</v>
      </c>
      <c r="Q152" s="43" t="s">
        <v>40</v>
      </c>
      <c r="R152" s="43" t="s">
        <v>56</v>
      </c>
      <c r="S152" s="44" t="s">
        <v>102</v>
      </c>
      <c r="T152" s="42">
        <v>500</v>
      </c>
      <c r="U152" s="70">
        <f>(102)/24</f>
        <v>4.25</v>
      </c>
      <c r="V152" s="42">
        <f>996-500</f>
        <v>496</v>
      </c>
      <c r="W152" s="74">
        <f t="shared" si="42"/>
        <v>0.25</v>
      </c>
      <c r="X152" s="42">
        <f t="shared" si="43"/>
        <v>0</v>
      </c>
      <c r="Y152" s="42"/>
      <c r="Z152" s="42">
        <v>1</v>
      </c>
      <c r="AA152" s="42">
        <f>X152*Z152</f>
        <v>0</v>
      </c>
      <c r="AB152" s="44"/>
      <c r="AC152" s="42">
        <f t="shared" si="47"/>
        <v>0</v>
      </c>
      <c r="AD152" s="42">
        <f t="shared" si="44"/>
        <v>0</v>
      </c>
      <c r="AE152" s="15">
        <f t="shared" si="48"/>
        <v>0.115</v>
      </c>
      <c r="AF152" s="17">
        <f t="shared" si="45"/>
        <v>0</v>
      </c>
      <c r="AG152" s="11">
        <f t="shared" si="46"/>
        <v>12000</v>
      </c>
      <c r="AJ152" s="24" t="s">
        <v>207</v>
      </c>
      <c r="AK152" s="25">
        <v>12062338</v>
      </c>
      <c r="AL152" s="25">
        <v>12047514</v>
      </c>
      <c r="AM152" s="25">
        <v>12047515</v>
      </c>
      <c r="AN152" s="25"/>
      <c r="AO152" s="25" t="s">
        <v>197</v>
      </c>
      <c r="AP152" s="25" t="s">
        <v>208</v>
      </c>
      <c r="AQ152" s="25" t="s">
        <v>199</v>
      </c>
      <c r="AR152" s="25"/>
      <c r="AS152" s="25" t="s">
        <v>209</v>
      </c>
      <c r="AT152" s="25" t="s">
        <v>210</v>
      </c>
      <c r="AU152" s="25" t="s">
        <v>211</v>
      </c>
    </row>
    <row r="153" spans="1:47" ht="25" customHeight="1">
      <c r="B153" s="39">
        <v>43977</v>
      </c>
      <c r="C153" s="39">
        <v>43997</v>
      </c>
      <c r="D153" s="43" t="s">
        <v>467</v>
      </c>
      <c r="E153" s="43">
        <v>43953</v>
      </c>
      <c r="F153" s="43" t="s">
        <v>361</v>
      </c>
      <c r="G153" s="43" t="s">
        <v>134</v>
      </c>
      <c r="H153" s="44" t="s">
        <v>164</v>
      </c>
      <c r="I153" s="44" t="s">
        <v>175</v>
      </c>
      <c r="J153" s="44" t="s">
        <v>204</v>
      </c>
      <c r="K153" s="44" t="s">
        <v>193</v>
      </c>
      <c r="L153" s="43" t="s">
        <v>205</v>
      </c>
      <c r="M153" s="61" t="s">
        <v>206</v>
      </c>
      <c r="N153" s="55">
        <v>24</v>
      </c>
      <c r="O153" s="55">
        <v>5</v>
      </c>
      <c r="P153" s="28">
        <v>8.0000000000000002E-3</v>
      </c>
      <c r="Q153" s="43" t="s">
        <v>40</v>
      </c>
      <c r="R153" s="43" t="s">
        <v>56</v>
      </c>
      <c r="S153" s="44" t="s">
        <v>102</v>
      </c>
      <c r="T153" s="42">
        <f>1000-500</f>
        <v>500</v>
      </c>
      <c r="U153" s="70"/>
      <c r="V153" s="42">
        <f>500</f>
        <v>500</v>
      </c>
      <c r="W153" s="74">
        <f t="shared" si="42"/>
        <v>0</v>
      </c>
      <c r="X153" s="42">
        <f t="shared" si="43"/>
        <v>0</v>
      </c>
      <c r="Y153" s="42"/>
      <c r="Z153" s="42">
        <v>1</v>
      </c>
      <c r="AA153" s="42">
        <f>X153*Z153</f>
        <v>0</v>
      </c>
      <c r="AB153" s="44"/>
      <c r="AC153" s="42">
        <f t="shared" si="47"/>
        <v>0</v>
      </c>
      <c r="AD153" s="42">
        <f t="shared" si="44"/>
        <v>0</v>
      </c>
      <c r="AE153" s="15">
        <f t="shared" si="48"/>
        <v>0.115</v>
      </c>
      <c r="AF153" s="17">
        <f t="shared" si="45"/>
        <v>0</v>
      </c>
      <c r="AG153" s="11">
        <f t="shared" si="46"/>
        <v>12000</v>
      </c>
      <c r="AJ153" s="24" t="s">
        <v>207</v>
      </c>
      <c r="AK153" s="25">
        <v>12062338</v>
      </c>
      <c r="AL153" s="25">
        <v>12047514</v>
      </c>
      <c r="AM153" s="25">
        <v>12047515</v>
      </c>
      <c r="AN153" s="25"/>
      <c r="AO153" s="25" t="s">
        <v>197</v>
      </c>
      <c r="AP153" s="25" t="s">
        <v>208</v>
      </c>
      <c r="AQ153" s="25" t="s">
        <v>199</v>
      </c>
      <c r="AR153" s="25"/>
      <c r="AS153" s="25" t="s">
        <v>209</v>
      </c>
      <c r="AT153" s="25" t="s">
        <v>210</v>
      </c>
      <c r="AU153" s="25" t="s">
        <v>211</v>
      </c>
    </row>
    <row r="154" spans="1:47" ht="25" customHeight="1">
      <c r="B154" s="39">
        <v>43977</v>
      </c>
      <c r="C154" s="39">
        <v>43997</v>
      </c>
      <c r="D154" s="43" t="s">
        <v>467</v>
      </c>
      <c r="E154" s="43">
        <v>43953</v>
      </c>
      <c r="F154" s="43" t="s">
        <v>362</v>
      </c>
      <c r="G154" s="43" t="s">
        <v>363</v>
      </c>
      <c r="H154" s="44" t="s">
        <v>364</v>
      </c>
      <c r="I154" s="44" t="s">
        <v>175</v>
      </c>
      <c r="J154" s="44" t="s">
        <v>365</v>
      </c>
      <c r="K154" s="44" t="s">
        <v>366</v>
      </c>
      <c r="L154" s="43" t="s">
        <v>367</v>
      </c>
      <c r="M154" s="61" t="s">
        <v>368</v>
      </c>
      <c r="N154" s="55">
        <v>36</v>
      </c>
      <c r="O154" s="55">
        <v>4</v>
      </c>
      <c r="P154" s="28">
        <v>7.4999999999999997E-3</v>
      </c>
      <c r="Q154" s="43" t="s">
        <v>111</v>
      </c>
      <c r="R154" s="43" t="s">
        <v>112</v>
      </c>
      <c r="S154" s="43" t="s">
        <v>57</v>
      </c>
      <c r="T154" s="42">
        <v>1288</v>
      </c>
      <c r="U154" s="70"/>
      <c r="V154" s="42">
        <f>(67248)/36-580</f>
        <v>1288</v>
      </c>
      <c r="W154" s="74">
        <f t="shared" si="42"/>
        <v>0</v>
      </c>
      <c r="X154" s="42">
        <f t="shared" si="43"/>
        <v>0</v>
      </c>
      <c r="Y154" s="42"/>
      <c r="Z154" s="42"/>
      <c r="AA154" s="42"/>
      <c r="AB154" s="44"/>
      <c r="AC154" s="42">
        <f t="shared" si="47"/>
        <v>0</v>
      </c>
      <c r="AD154" s="42">
        <f t="shared" si="44"/>
        <v>0</v>
      </c>
      <c r="AE154" s="15">
        <f t="shared" si="48"/>
        <v>0.15</v>
      </c>
      <c r="AF154" s="17">
        <f t="shared" si="45"/>
        <v>0</v>
      </c>
      <c r="AG154" s="11">
        <f t="shared" si="46"/>
        <v>46368</v>
      </c>
      <c r="AJ154" s="24" t="s">
        <v>369</v>
      </c>
      <c r="AK154" s="25">
        <v>12062338</v>
      </c>
      <c r="AL154" s="25">
        <v>12047514</v>
      </c>
      <c r="AM154" s="25">
        <v>12047515</v>
      </c>
      <c r="AN154" s="25" t="s">
        <v>370</v>
      </c>
      <c r="AO154" s="25"/>
      <c r="AP154" s="25" t="s">
        <v>371</v>
      </c>
      <c r="AQ154" s="25" t="s">
        <v>341</v>
      </c>
      <c r="AR154" s="25"/>
      <c r="AS154" s="25" t="s">
        <v>372</v>
      </c>
      <c r="AT154" s="25"/>
      <c r="AU154" s="25"/>
    </row>
    <row r="155" spans="1:47" ht="25" customHeight="1">
      <c r="B155" s="39">
        <v>43977</v>
      </c>
      <c r="C155" s="39">
        <v>44025</v>
      </c>
      <c r="D155" s="43" t="s">
        <v>467</v>
      </c>
      <c r="E155" s="43">
        <v>43953</v>
      </c>
      <c r="F155" s="43" t="s">
        <v>373</v>
      </c>
      <c r="G155" s="43" t="s">
        <v>363</v>
      </c>
      <c r="H155" s="44" t="s">
        <v>364</v>
      </c>
      <c r="I155" s="44" t="s">
        <v>175</v>
      </c>
      <c r="J155" s="44" t="s">
        <v>365</v>
      </c>
      <c r="K155" s="44" t="s">
        <v>366</v>
      </c>
      <c r="L155" s="43" t="s">
        <v>367</v>
      </c>
      <c r="M155" s="61" t="s">
        <v>368</v>
      </c>
      <c r="N155" s="55">
        <v>36</v>
      </c>
      <c r="O155" s="55">
        <v>4</v>
      </c>
      <c r="P155" s="28">
        <v>7.4999999999999997E-3</v>
      </c>
      <c r="Q155" s="43" t="s">
        <v>111</v>
      </c>
      <c r="R155" s="43" t="s">
        <v>112</v>
      </c>
      <c r="S155" s="43" t="s">
        <v>57</v>
      </c>
      <c r="T155" s="42">
        <f>1288-708</f>
        <v>580</v>
      </c>
      <c r="U155" s="70"/>
      <c r="V155" s="42">
        <f>580</f>
        <v>580</v>
      </c>
      <c r="W155" s="74">
        <f t="shared" si="42"/>
        <v>0</v>
      </c>
      <c r="X155" s="42">
        <f t="shared" si="43"/>
        <v>0</v>
      </c>
      <c r="Y155" s="42"/>
      <c r="Z155" s="42"/>
      <c r="AA155" s="42"/>
      <c r="AB155" s="44" t="s">
        <v>374</v>
      </c>
      <c r="AC155" s="42">
        <f t="shared" si="47"/>
        <v>0</v>
      </c>
      <c r="AD155" s="42">
        <f t="shared" si="44"/>
        <v>0</v>
      </c>
      <c r="AE155" s="15">
        <f t="shared" si="48"/>
        <v>0.15</v>
      </c>
      <c r="AF155" s="17">
        <f t="shared" si="45"/>
        <v>0</v>
      </c>
      <c r="AG155" s="11">
        <f t="shared" si="46"/>
        <v>20880</v>
      </c>
      <c r="AJ155" s="24" t="s">
        <v>369</v>
      </c>
      <c r="AK155" s="25">
        <v>12062338</v>
      </c>
      <c r="AL155" s="25">
        <v>12047514</v>
      </c>
      <c r="AM155" s="25">
        <v>12047515</v>
      </c>
      <c r="AN155" s="25" t="s">
        <v>370</v>
      </c>
      <c r="AO155" s="25"/>
      <c r="AP155" s="25" t="s">
        <v>371</v>
      </c>
      <c r="AQ155" s="25" t="s">
        <v>341</v>
      </c>
      <c r="AR155" s="25"/>
      <c r="AS155" s="25" t="s">
        <v>372</v>
      </c>
      <c r="AT155" s="25"/>
      <c r="AU155" s="25"/>
    </row>
    <row r="156" spans="1:47" ht="25" customHeight="1">
      <c r="A156" s="27" t="s">
        <v>120</v>
      </c>
      <c r="B156" s="39">
        <v>43977</v>
      </c>
      <c r="C156" s="39">
        <v>43984</v>
      </c>
      <c r="D156" s="43" t="s">
        <v>467</v>
      </c>
      <c r="E156" s="43">
        <v>43953</v>
      </c>
      <c r="F156" s="43" t="s">
        <v>375</v>
      </c>
      <c r="G156" s="43" t="s">
        <v>134</v>
      </c>
      <c r="H156" s="44" t="s">
        <v>164</v>
      </c>
      <c r="I156" s="44" t="s">
        <v>84</v>
      </c>
      <c r="J156" s="44" t="s">
        <v>153</v>
      </c>
      <c r="K156" s="44" t="s">
        <v>214</v>
      </c>
      <c r="L156" s="43" t="s">
        <v>215</v>
      </c>
      <c r="M156" s="61" t="s">
        <v>216</v>
      </c>
      <c r="N156" s="55">
        <v>20</v>
      </c>
      <c r="O156" s="55">
        <v>8</v>
      </c>
      <c r="P156" s="28">
        <v>1.5E-3</v>
      </c>
      <c r="Q156" s="77" t="s">
        <v>217</v>
      </c>
      <c r="R156" s="43" t="s">
        <v>56</v>
      </c>
      <c r="S156" s="43" t="s">
        <v>89</v>
      </c>
      <c r="T156" s="42">
        <v>400</v>
      </c>
      <c r="U156" s="70"/>
      <c r="V156" s="42">
        <f>327+83-10</f>
        <v>400</v>
      </c>
      <c r="W156" s="74">
        <f t="shared" si="42"/>
        <v>0</v>
      </c>
      <c r="X156" s="42">
        <f t="shared" si="43"/>
        <v>0</v>
      </c>
      <c r="Y156" s="42">
        <f>O156*X156</f>
        <v>0</v>
      </c>
      <c r="Z156" s="42">
        <v>2</v>
      </c>
      <c r="AA156" s="42">
        <f>X156*Z156</f>
        <v>0</v>
      </c>
      <c r="AB156" s="44" t="s">
        <v>218</v>
      </c>
      <c r="AC156" s="42">
        <f t="shared" si="47"/>
        <v>0</v>
      </c>
      <c r="AD156" s="42">
        <f t="shared" si="44"/>
        <v>0</v>
      </c>
      <c r="AE156" s="15">
        <f t="shared" si="48"/>
        <v>0.19400000000000001</v>
      </c>
      <c r="AF156" s="17">
        <f t="shared" si="45"/>
        <v>0</v>
      </c>
      <c r="AG156" s="11">
        <f t="shared" si="46"/>
        <v>8000</v>
      </c>
      <c r="AJ156" s="24"/>
      <c r="AK156" s="25"/>
      <c r="AL156" s="25" t="s">
        <v>219</v>
      </c>
      <c r="AM156" s="25"/>
      <c r="AN156" s="25">
        <v>12064478</v>
      </c>
      <c r="AO156" s="25"/>
      <c r="AP156" s="25" t="s">
        <v>220</v>
      </c>
      <c r="AQ156" s="25"/>
      <c r="AR156" s="25" t="s">
        <v>221</v>
      </c>
      <c r="AS156" s="25"/>
      <c r="AT156" s="25"/>
      <c r="AU156" s="25"/>
    </row>
    <row r="157" spans="1:47" ht="25" customHeight="1">
      <c r="A157" s="27" t="s">
        <v>120</v>
      </c>
      <c r="B157" s="39">
        <v>43977</v>
      </c>
      <c r="C157" s="39">
        <v>43990</v>
      </c>
      <c r="D157" s="43" t="s">
        <v>467</v>
      </c>
      <c r="E157" s="43">
        <v>43953</v>
      </c>
      <c r="F157" s="43" t="s">
        <v>376</v>
      </c>
      <c r="G157" s="43" t="s">
        <v>344</v>
      </c>
      <c r="H157" s="44" t="s">
        <v>345</v>
      </c>
      <c r="I157" s="44" t="s">
        <v>84</v>
      </c>
      <c r="J157" s="44" t="s">
        <v>153</v>
      </c>
      <c r="K157" s="44" t="s">
        <v>214</v>
      </c>
      <c r="L157" s="43" t="s">
        <v>346</v>
      </c>
      <c r="M157" s="61" t="s">
        <v>347</v>
      </c>
      <c r="N157" s="55">
        <v>18</v>
      </c>
      <c r="O157" s="55">
        <v>8</v>
      </c>
      <c r="P157" s="28">
        <v>6.8100000000000001E-3</v>
      </c>
      <c r="Q157" s="43" t="s">
        <v>76</v>
      </c>
      <c r="R157" s="43" t="s">
        <v>56</v>
      </c>
      <c r="S157" s="43" t="s">
        <v>89</v>
      </c>
      <c r="T157" s="42">
        <v>1000</v>
      </c>
      <c r="U157" s="70"/>
      <c r="V157" s="42">
        <f>335+198+106+167+288-157+63</f>
        <v>1000</v>
      </c>
      <c r="W157" s="74">
        <f t="shared" si="42"/>
        <v>0</v>
      </c>
      <c r="X157" s="42">
        <f t="shared" si="43"/>
        <v>0</v>
      </c>
      <c r="Y157" s="42">
        <f>O157*X157</f>
        <v>0</v>
      </c>
      <c r="Z157" s="42">
        <v>1</v>
      </c>
      <c r="AA157" s="42">
        <f>X157*Z157</f>
        <v>0</v>
      </c>
      <c r="AB157" s="44"/>
      <c r="AC157" s="42">
        <f t="shared" si="47"/>
        <v>0</v>
      </c>
      <c r="AD157" s="42">
        <f t="shared" si="44"/>
        <v>0</v>
      </c>
      <c r="AE157" s="15">
        <f t="shared" si="48"/>
        <v>0.10100000000000001</v>
      </c>
      <c r="AF157" s="17">
        <f t="shared" si="45"/>
        <v>0</v>
      </c>
      <c r="AG157" s="11">
        <f t="shared" si="46"/>
        <v>18000</v>
      </c>
      <c r="AJ157" s="24" t="s">
        <v>157</v>
      </c>
      <c r="AK157" s="25" t="s">
        <v>158</v>
      </c>
      <c r="AL157" s="25" t="s">
        <v>159</v>
      </c>
      <c r="AM157" s="25"/>
      <c r="AN157" s="25" t="s">
        <v>160</v>
      </c>
      <c r="AO157" s="25"/>
      <c r="AP157" s="25" t="s">
        <v>161</v>
      </c>
      <c r="AQ157" s="25"/>
      <c r="AR157" s="25" t="s">
        <v>162</v>
      </c>
      <c r="AS157" s="25"/>
      <c r="AT157" s="25"/>
      <c r="AU157" s="25"/>
    </row>
    <row r="158" spans="1:47" ht="25" customHeight="1">
      <c r="A158" s="27" t="s">
        <v>120</v>
      </c>
      <c r="B158" s="39">
        <v>43977</v>
      </c>
      <c r="C158" s="39">
        <v>43991</v>
      </c>
      <c r="D158" s="43" t="s">
        <v>467</v>
      </c>
      <c r="E158" s="43">
        <v>43953</v>
      </c>
      <c r="F158" s="43" t="s">
        <v>348</v>
      </c>
      <c r="G158" s="43" t="s">
        <v>134</v>
      </c>
      <c r="H158" s="44" t="s">
        <v>164</v>
      </c>
      <c r="I158" s="44" t="s">
        <v>84</v>
      </c>
      <c r="J158" s="44" t="s">
        <v>153</v>
      </c>
      <c r="K158" s="44" t="s">
        <v>165</v>
      </c>
      <c r="L158" s="43" t="s">
        <v>166</v>
      </c>
      <c r="M158" s="61" t="s">
        <v>167</v>
      </c>
      <c r="N158" s="55">
        <v>20</v>
      </c>
      <c r="O158" s="55">
        <v>12</v>
      </c>
      <c r="P158" s="28">
        <v>6.8100000000000001E-3</v>
      </c>
      <c r="Q158" s="43" t="s">
        <v>76</v>
      </c>
      <c r="R158" s="43" t="s">
        <v>56</v>
      </c>
      <c r="S158" s="43" t="s">
        <v>89</v>
      </c>
      <c r="T158" s="42">
        <f>1300-674+22</f>
        <v>648</v>
      </c>
      <c r="U158" s="70"/>
      <c r="V158" s="42">
        <f>648</f>
        <v>648</v>
      </c>
      <c r="W158" s="74">
        <f t="shared" si="42"/>
        <v>0</v>
      </c>
      <c r="X158" s="42">
        <f t="shared" si="43"/>
        <v>0</v>
      </c>
      <c r="Y158" s="42">
        <f>O158*X158</f>
        <v>0</v>
      </c>
      <c r="Z158" s="42">
        <v>2</v>
      </c>
      <c r="AA158" s="42">
        <f>X158*Z158</f>
        <v>0</v>
      </c>
      <c r="AB158" s="44" t="s">
        <v>168</v>
      </c>
      <c r="AC158" s="42">
        <f t="shared" si="47"/>
        <v>0</v>
      </c>
      <c r="AD158" s="42">
        <f t="shared" si="44"/>
        <v>0</v>
      </c>
      <c r="AE158" s="15">
        <f t="shared" si="48"/>
        <v>0.154</v>
      </c>
      <c r="AF158" s="17">
        <f t="shared" si="45"/>
        <v>0</v>
      </c>
      <c r="AG158" s="11">
        <f t="shared" si="46"/>
        <v>12960</v>
      </c>
      <c r="AJ158" s="24"/>
      <c r="AK158" s="25" t="s">
        <v>158</v>
      </c>
      <c r="AL158" s="25" t="s">
        <v>169</v>
      </c>
      <c r="AM158" s="25"/>
      <c r="AN158" s="25" t="s">
        <v>170</v>
      </c>
      <c r="AO158" s="25"/>
      <c r="AP158" s="25" t="s">
        <v>171</v>
      </c>
      <c r="AQ158" s="25"/>
      <c r="AR158" s="25" t="s">
        <v>172</v>
      </c>
      <c r="AS158" s="25"/>
      <c r="AT158" s="25"/>
      <c r="AU158" s="25"/>
    </row>
    <row r="159" spans="1:47" ht="25" customHeight="1">
      <c r="B159" s="39">
        <v>43978</v>
      </c>
      <c r="C159" s="39">
        <v>43983</v>
      </c>
      <c r="D159" s="43" t="s">
        <v>467</v>
      </c>
      <c r="E159" s="43">
        <v>43953</v>
      </c>
      <c r="F159" s="43" t="s">
        <v>47</v>
      </c>
      <c r="G159" s="43" t="s">
        <v>260</v>
      </c>
      <c r="H159" s="44" t="s">
        <v>261</v>
      </c>
      <c r="I159" s="44" t="s">
        <v>175</v>
      </c>
      <c r="J159" s="44" t="s">
        <v>176</v>
      </c>
      <c r="K159" s="44" t="s">
        <v>262</v>
      </c>
      <c r="L159" s="43" t="s">
        <v>263</v>
      </c>
      <c r="M159" s="61" t="s">
        <v>195</v>
      </c>
      <c r="N159" s="55">
        <v>24</v>
      </c>
      <c r="O159" s="55">
        <v>5</v>
      </c>
      <c r="P159" s="28">
        <v>8.0000000000000002E-3</v>
      </c>
      <c r="Q159" s="43" t="s">
        <v>40</v>
      </c>
      <c r="R159" s="43" t="s">
        <v>56</v>
      </c>
      <c r="S159" s="43" t="s">
        <v>57</v>
      </c>
      <c r="T159" s="42">
        <f>2250+1050+135</f>
        <v>3435</v>
      </c>
      <c r="U159" s="70"/>
      <c r="V159" s="42">
        <f>82440/24</f>
        <v>3435</v>
      </c>
      <c r="W159" s="74">
        <f t="shared" si="42"/>
        <v>0</v>
      </c>
      <c r="X159" s="42">
        <f t="shared" si="43"/>
        <v>0</v>
      </c>
      <c r="Y159" s="42"/>
      <c r="Z159" s="42"/>
      <c r="AA159" s="42"/>
      <c r="AB159" s="44"/>
      <c r="AC159" s="42">
        <f t="shared" si="47"/>
        <v>0</v>
      </c>
      <c r="AD159" s="42">
        <f t="shared" si="44"/>
        <v>0</v>
      </c>
      <c r="AE159" s="15">
        <f t="shared" si="48"/>
        <v>0.14499999999999999</v>
      </c>
      <c r="AF159" s="17">
        <f t="shared" si="45"/>
        <v>0</v>
      </c>
      <c r="AG159" s="11">
        <f t="shared" si="46"/>
        <v>82440</v>
      </c>
      <c r="AJ159" s="24"/>
      <c r="AK159" s="25">
        <v>12062338</v>
      </c>
      <c r="AL159" s="25">
        <v>12047514</v>
      </c>
      <c r="AM159" s="25">
        <v>12047515</v>
      </c>
      <c r="AN159" s="25"/>
      <c r="AO159" s="25"/>
      <c r="AP159" s="25" t="s">
        <v>264</v>
      </c>
      <c r="AQ159" s="25"/>
      <c r="AR159" s="25"/>
      <c r="AS159" s="25">
        <v>12064588</v>
      </c>
      <c r="AT159" s="25" t="s">
        <v>265</v>
      </c>
      <c r="AU159" s="25"/>
    </row>
    <row r="160" spans="1:47" ht="25" customHeight="1">
      <c r="A160" s="26" t="s">
        <v>377</v>
      </c>
      <c r="B160" s="39">
        <v>43978</v>
      </c>
      <c r="C160" s="39">
        <v>43992</v>
      </c>
      <c r="D160" s="43" t="s">
        <v>467</v>
      </c>
      <c r="E160" s="43">
        <v>43953</v>
      </c>
      <c r="F160" s="43" t="s">
        <v>185</v>
      </c>
      <c r="G160" s="43" t="s">
        <v>104</v>
      </c>
      <c r="H160" s="44" t="s">
        <v>105</v>
      </c>
      <c r="I160" s="44" t="s">
        <v>106</v>
      </c>
      <c r="J160" s="44" t="s">
        <v>107</v>
      </c>
      <c r="K160" s="44" t="s">
        <v>108</v>
      </c>
      <c r="L160" s="43" t="s">
        <v>109</v>
      </c>
      <c r="M160" s="61" t="s">
        <v>110</v>
      </c>
      <c r="N160" s="55">
        <v>36</v>
      </c>
      <c r="O160" s="55">
        <v>5</v>
      </c>
      <c r="P160" s="28">
        <v>7.4999999999999997E-3</v>
      </c>
      <c r="Q160" s="43" t="s">
        <v>111</v>
      </c>
      <c r="R160" s="43" t="s">
        <v>112</v>
      </c>
      <c r="S160" s="43" t="s">
        <v>113</v>
      </c>
      <c r="T160" s="42">
        <v>360</v>
      </c>
      <c r="U160" s="70"/>
      <c r="V160" s="42">
        <f>(43560)/36-850</f>
        <v>360</v>
      </c>
      <c r="W160" s="74">
        <f>(V160+U160)-T160</f>
        <v>0</v>
      </c>
      <c r="X160" s="42">
        <f>IF(W160&lt;0,((T160*N160)-((V160+U160)*N160)),0)</f>
        <v>0</v>
      </c>
      <c r="Y160" s="42"/>
      <c r="Z160" s="42"/>
      <c r="AA160" s="42"/>
      <c r="AB160" s="44"/>
      <c r="AC160" s="42">
        <f t="shared" si="47"/>
        <v>0</v>
      </c>
      <c r="AD160" s="42">
        <f>AC160/0.54</f>
        <v>0</v>
      </c>
      <c r="AE160" s="15">
        <f>MID(M160,1,3)/1000</f>
        <v>0.308</v>
      </c>
      <c r="AF160" s="17">
        <f>(X160*AE160)/1000</f>
        <v>0</v>
      </c>
      <c r="AG160" s="11">
        <f>T160*N160</f>
        <v>12960</v>
      </c>
      <c r="AJ160" s="24"/>
      <c r="AK160" s="25">
        <v>12063755</v>
      </c>
      <c r="AL160" s="25">
        <v>12061353</v>
      </c>
      <c r="AM160" s="25">
        <v>12061354</v>
      </c>
      <c r="AN160" s="25">
        <v>12068566</v>
      </c>
      <c r="AO160" s="25"/>
      <c r="AP160" s="25">
        <v>12068565</v>
      </c>
      <c r="AQ160" s="25" t="s">
        <v>114</v>
      </c>
      <c r="AR160" s="25"/>
      <c r="AS160" s="25">
        <v>12068565</v>
      </c>
      <c r="AT160" s="25"/>
      <c r="AU160" s="25"/>
    </row>
    <row r="161" spans="1:47" ht="25" customHeight="1">
      <c r="B161" s="39">
        <v>43978</v>
      </c>
      <c r="C161" s="39">
        <v>44021</v>
      </c>
      <c r="D161" s="43" t="s">
        <v>467</v>
      </c>
      <c r="E161" s="43">
        <v>43953</v>
      </c>
      <c r="F161" s="43" t="s">
        <v>333</v>
      </c>
      <c r="G161" s="43" t="s">
        <v>104</v>
      </c>
      <c r="H161" s="44" t="s">
        <v>105</v>
      </c>
      <c r="I161" s="44" t="s">
        <v>106</v>
      </c>
      <c r="J161" s="44" t="s">
        <v>107</v>
      </c>
      <c r="K161" s="44" t="s">
        <v>108</v>
      </c>
      <c r="L161" s="43" t="s">
        <v>109</v>
      </c>
      <c r="M161" s="61" t="s">
        <v>110</v>
      </c>
      <c r="N161" s="55">
        <v>36</v>
      </c>
      <c r="O161" s="55">
        <v>5</v>
      </c>
      <c r="P161" s="28">
        <v>7.4999999999999997E-3</v>
      </c>
      <c r="Q161" s="43" t="s">
        <v>111</v>
      </c>
      <c r="R161" s="43" t="s">
        <v>112</v>
      </c>
      <c r="S161" s="43" t="s">
        <v>113</v>
      </c>
      <c r="T161" s="42">
        <f>792-215</f>
        <v>577</v>
      </c>
      <c r="U161" s="70"/>
      <c r="V161" s="42">
        <f>850-273</f>
        <v>577</v>
      </c>
      <c r="W161" s="74">
        <f>(V161+U161)-T161</f>
        <v>0</v>
      </c>
      <c r="X161" s="42">
        <f>IF(W161&lt;0,((T161*N161)-((V161+U161)*N161)),0)</f>
        <v>0</v>
      </c>
      <c r="Y161" s="42"/>
      <c r="Z161" s="42"/>
      <c r="AA161" s="42"/>
      <c r="AB161" s="44"/>
      <c r="AC161" s="42">
        <f t="shared" si="47"/>
        <v>0</v>
      </c>
      <c r="AD161" s="42">
        <f>AC161/0.54</f>
        <v>0</v>
      </c>
      <c r="AE161" s="15">
        <f>MID(M161,1,3)/1000</f>
        <v>0.308</v>
      </c>
      <c r="AF161" s="17">
        <f>(X161*AE161)/1000</f>
        <v>0</v>
      </c>
      <c r="AG161" s="11">
        <f>T161*N161</f>
        <v>20772</v>
      </c>
      <c r="AJ161" s="24"/>
      <c r="AK161" s="25">
        <v>12063755</v>
      </c>
      <c r="AL161" s="25">
        <v>12061353</v>
      </c>
      <c r="AM161" s="25">
        <v>12061354</v>
      </c>
      <c r="AN161" s="25">
        <v>12068566</v>
      </c>
      <c r="AO161" s="25"/>
      <c r="AP161" s="25">
        <v>12068565</v>
      </c>
      <c r="AQ161" s="25" t="s">
        <v>114</v>
      </c>
      <c r="AR161" s="25"/>
      <c r="AS161" s="25">
        <v>12068565</v>
      </c>
      <c r="AT161" s="25"/>
      <c r="AU161" s="25"/>
    </row>
    <row r="162" spans="1:47" ht="25" customHeight="1">
      <c r="B162" s="39">
        <v>43978</v>
      </c>
      <c r="C162" s="39">
        <v>44021</v>
      </c>
      <c r="D162" s="43" t="s">
        <v>467</v>
      </c>
      <c r="E162" s="43">
        <v>43953</v>
      </c>
      <c r="F162" s="43" t="s">
        <v>378</v>
      </c>
      <c r="G162" s="43" t="s">
        <v>104</v>
      </c>
      <c r="H162" s="44" t="s">
        <v>105</v>
      </c>
      <c r="I162" s="44" t="s">
        <v>106</v>
      </c>
      <c r="J162" s="44" t="s">
        <v>107</v>
      </c>
      <c r="K162" s="44" t="s">
        <v>108</v>
      </c>
      <c r="L162" s="43" t="s">
        <v>109</v>
      </c>
      <c r="M162" s="61" t="s">
        <v>110</v>
      </c>
      <c r="N162" s="55">
        <v>36</v>
      </c>
      <c r="O162" s="55">
        <v>5</v>
      </c>
      <c r="P162" s="28">
        <v>7.4999999999999997E-3</v>
      </c>
      <c r="Q162" s="43" t="s">
        <v>111</v>
      </c>
      <c r="R162" s="43" t="s">
        <v>112</v>
      </c>
      <c r="S162" s="43" t="s">
        <v>113</v>
      </c>
      <c r="T162" s="42">
        <f>550-277</f>
        <v>273</v>
      </c>
      <c r="U162" s="70"/>
      <c r="V162" s="42">
        <f>273</f>
        <v>273</v>
      </c>
      <c r="W162" s="74">
        <f>(V162+U162)-T162</f>
        <v>0</v>
      </c>
      <c r="X162" s="42">
        <f>IF(W162&lt;0,((T162*N162)-((V162+U162)*N162)),0)</f>
        <v>0</v>
      </c>
      <c r="Y162" s="42"/>
      <c r="Z162" s="42"/>
      <c r="AA162" s="42"/>
      <c r="AB162" s="44"/>
      <c r="AC162" s="42">
        <f t="shared" si="47"/>
        <v>0</v>
      </c>
      <c r="AD162" s="42">
        <f>AC162/0.54</f>
        <v>0</v>
      </c>
      <c r="AE162" s="15">
        <f>MID(M162,1,3)/1000</f>
        <v>0.308</v>
      </c>
      <c r="AF162" s="17">
        <f>(X162*AE162)/1000</f>
        <v>0</v>
      </c>
      <c r="AG162" s="11">
        <f>T162*N162</f>
        <v>9828</v>
      </c>
      <c r="AJ162" s="24"/>
      <c r="AK162" s="25">
        <v>12063755</v>
      </c>
      <c r="AL162" s="25">
        <v>12061353</v>
      </c>
      <c r="AM162" s="25">
        <v>12061354</v>
      </c>
      <c r="AN162" s="25">
        <v>12068566</v>
      </c>
      <c r="AO162" s="25"/>
      <c r="AP162" s="25">
        <v>12068565</v>
      </c>
      <c r="AQ162" s="25" t="s">
        <v>114</v>
      </c>
      <c r="AR162" s="25"/>
      <c r="AS162" s="25">
        <v>12068565</v>
      </c>
      <c r="AT162" s="25"/>
      <c r="AU162" s="25"/>
    </row>
    <row r="163" spans="1:47" ht="25" customHeight="1">
      <c r="A163" s="27" t="s">
        <v>120</v>
      </c>
      <c r="B163" s="39">
        <v>43978</v>
      </c>
      <c r="C163" s="39">
        <v>43984</v>
      </c>
      <c r="D163" s="43" t="s">
        <v>467</v>
      </c>
      <c r="E163" s="43">
        <v>43953</v>
      </c>
      <c r="F163" s="43" t="s">
        <v>375</v>
      </c>
      <c r="G163" s="43" t="s">
        <v>134</v>
      </c>
      <c r="H163" s="44" t="s">
        <v>164</v>
      </c>
      <c r="I163" s="44" t="s">
        <v>84</v>
      </c>
      <c r="J163" s="44" t="s">
        <v>153</v>
      </c>
      <c r="K163" s="44" t="s">
        <v>214</v>
      </c>
      <c r="L163" s="43" t="s">
        <v>215</v>
      </c>
      <c r="M163" s="61" t="s">
        <v>216</v>
      </c>
      <c r="N163" s="55">
        <v>20</v>
      </c>
      <c r="O163" s="55">
        <v>8</v>
      </c>
      <c r="P163" s="28">
        <v>1.5E-3</v>
      </c>
      <c r="Q163" s="77" t="s">
        <v>217</v>
      </c>
      <c r="R163" s="43" t="s">
        <v>56</v>
      </c>
      <c r="S163" s="43" t="s">
        <v>89</v>
      </c>
      <c r="T163" s="42">
        <f>700-400</f>
        <v>300</v>
      </c>
      <c r="U163" s="70"/>
      <c r="V163" s="42">
        <f>10+116+20-146+162+138</f>
        <v>300</v>
      </c>
      <c r="W163" s="74">
        <f>(V163+U163)-T163</f>
        <v>0</v>
      </c>
      <c r="X163" s="42">
        <f>IF(W163&lt;0,((T163*N163)-((V163+U163)*N163)),0)</f>
        <v>0</v>
      </c>
      <c r="Y163" s="42">
        <f>O163*X163</f>
        <v>0</v>
      </c>
      <c r="Z163" s="42">
        <v>2</v>
      </c>
      <c r="AA163" s="42">
        <f>X163*Z163</f>
        <v>0</v>
      </c>
      <c r="AB163" s="44" t="s">
        <v>218</v>
      </c>
      <c r="AC163" s="42">
        <f>SUM(O163*P163*X163)</f>
        <v>0</v>
      </c>
      <c r="AD163" s="42">
        <f>AC163/0.54</f>
        <v>0</v>
      </c>
      <c r="AE163" s="15">
        <f>MID(M163,1,3)/1000</f>
        <v>0.19400000000000001</v>
      </c>
      <c r="AF163" s="17">
        <f>(X163*AE163)/1000</f>
        <v>0</v>
      </c>
      <c r="AG163" s="11">
        <f>T163*N163</f>
        <v>6000</v>
      </c>
      <c r="AJ163" s="24"/>
      <c r="AK163" s="25"/>
      <c r="AL163" s="25" t="s">
        <v>219</v>
      </c>
      <c r="AM163" s="25"/>
      <c r="AN163" s="25">
        <v>12064478</v>
      </c>
      <c r="AO163" s="25"/>
      <c r="AP163" s="25" t="s">
        <v>220</v>
      </c>
      <c r="AQ163" s="25"/>
      <c r="AR163" s="25" t="s">
        <v>221</v>
      </c>
      <c r="AS163" s="25"/>
      <c r="AT163" s="25"/>
      <c r="AU163" s="25"/>
    </row>
    <row r="164" spans="1:47" ht="25" customHeight="1">
      <c r="A164" s="27" t="s">
        <v>120</v>
      </c>
      <c r="B164" s="39">
        <v>43978</v>
      </c>
      <c r="C164" s="39">
        <v>43990</v>
      </c>
      <c r="D164" s="43" t="s">
        <v>467</v>
      </c>
      <c r="E164" s="43">
        <v>43953</v>
      </c>
      <c r="F164" s="43" t="s">
        <v>376</v>
      </c>
      <c r="G164" s="43" t="s">
        <v>344</v>
      </c>
      <c r="H164" s="44" t="s">
        <v>345</v>
      </c>
      <c r="I164" s="44" t="s">
        <v>84</v>
      </c>
      <c r="J164" s="44" t="s">
        <v>153</v>
      </c>
      <c r="K164" s="44" t="s">
        <v>214</v>
      </c>
      <c r="L164" s="43" t="s">
        <v>346</v>
      </c>
      <c r="M164" s="61" t="s">
        <v>347</v>
      </c>
      <c r="N164" s="55">
        <v>18</v>
      </c>
      <c r="O164" s="55">
        <v>8</v>
      </c>
      <c r="P164" s="28">
        <v>6.8100000000000001E-3</v>
      </c>
      <c r="Q164" s="43" t="s">
        <v>76</v>
      </c>
      <c r="R164" s="43" t="s">
        <v>56</v>
      </c>
      <c r="S164" s="43" t="s">
        <v>89</v>
      </c>
      <c r="T164" s="42">
        <f>1400-1000</f>
        <v>400</v>
      </c>
      <c r="U164" s="70"/>
      <c r="V164" s="42">
        <f>157+823-63-517</f>
        <v>400</v>
      </c>
      <c r="W164" s="74">
        <f t="shared" si="42"/>
        <v>0</v>
      </c>
      <c r="X164" s="42">
        <f t="shared" si="43"/>
        <v>0</v>
      </c>
      <c r="Y164" s="42">
        <f>O164*X164</f>
        <v>0</v>
      </c>
      <c r="Z164" s="42">
        <v>1</v>
      </c>
      <c r="AA164" s="42">
        <f>X164*Z164</f>
        <v>0</v>
      </c>
      <c r="AB164" s="44"/>
      <c r="AC164" s="42">
        <f t="shared" si="47"/>
        <v>0</v>
      </c>
      <c r="AD164" s="42">
        <f t="shared" si="44"/>
        <v>0</v>
      </c>
      <c r="AE164" s="15">
        <f t="shared" si="48"/>
        <v>0.10100000000000001</v>
      </c>
      <c r="AF164" s="17">
        <f t="shared" si="45"/>
        <v>0</v>
      </c>
      <c r="AG164" s="11">
        <f t="shared" si="46"/>
        <v>7200</v>
      </c>
      <c r="AJ164" s="24" t="s">
        <v>157</v>
      </c>
      <c r="AK164" s="25" t="s">
        <v>158</v>
      </c>
      <c r="AL164" s="25" t="s">
        <v>159</v>
      </c>
      <c r="AM164" s="25"/>
      <c r="AN164" s="25" t="s">
        <v>160</v>
      </c>
      <c r="AO164" s="25"/>
      <c r="AP164" s="25" t="s">
        <v>161</v>
      </c>
      <c r="AQ164" s="25"/>
      <c r="AR164" s="25" t="s">
        <v>162</v>
      </c>
      <c r="AS164" s="25"/>
      <c r="AT164" s="25"/>
      <c r="AU164" s="25"/>
    </row>
    <row r="165" spans="1:47" ht="25" customHeight="1">
      <c r="A165" s="27" t="s">
        <v>120</v>
      </c>
      <c r="B165" s="39">
        <v>43978</v>
      </c>
      <c r="C165" s="39">
        <v>43992</v>
      </c>
      <c r="D165" s="43" t="s">
        <v>467</v>
      </c>
      <c r="E165" s="43">
        <v>43953</v>
      </c>
      <c r="F165" s="43" t="s">
        <v>379</v>
      </c>
      <c r="G165" s="43" t="s">
        <v>82</v>
      </c>
      <c r="H165" s="44" t="s">
        <v>380</v>
      </c>
      <c r="I165" s="44" t="s">
        <v>84</v>
      </c>
      <c r="J165" s="44" t="s">
        <v>85</v>
      </c>
      <c r="K165" s="44" t="s">
        <v>86</v>
      </c>
      <c r="L165" s="43" t="s">
        <v>381</v>
      </c>
      <c r="M165" s="61" t="s">
        <v>156</v>
      </c>
      <c r="N165" s="55">
        <v>8</v>
      </c>
      <c r="O165" s="55">
        <v>50</v>
      </c>
      <c r="P165" s="28">
        <v>6.8100000000000001E-3</v>
      </c>
      <c r="Q165" s="43" t="s">
        <v>76</v>
      </c>
      <c r="R165" s="43" t="s">
        <v>56</v>
      </c>
      <c r="S165" s="43" t="s">
        <v>89</v>
      </c>
      <c r="T165" s="42">
        <v>650</v>
      </c>
      <c r="U165" s="70"/>
      <c r="V165" s="42">
        <f>650</f>
        <v>650</v>
      </c>
      <c r="W165" s="74">
        <f t="shared" si="42"/>
        <v>0</v>
      </c>
      <c r="X165" s="42">
        <f t="shared" si="43"/>
        <v>0</v>
      </c>
      <c r="Y165" s="42">
        <f>O165*X165</f>
        <v>0</v>
      </c>
      <c r="Z165" s="42">
        <v>6</v>
      </c>
      <c r="AA165" s="42">
        <f>X165*Z165</f>
        <v>0</v>
      </c>
      <c r="AB165" s="44"/>
      <c r="AC165" s="42">
        <f t="shared" si="47"/>
        <v>0</v>
      </c>
      <c r="AD165" s="42">
        <f t="shared" si="44"/>
        <v>0</v>
      </c>
      <c r="AE165" s="15">
        <f t="shared" si="48"/>
        <v>0.6</v>
      </c>
      <c r="AF165" s="17">
        <f t="shared" si="45"/>
        <v>0</v>
      </c>
      <c r="AG165" s="11">
        <f t="shared" si="46"/>
        <v>5200</v>
      </c>
      <c r="AJ165" s="24"/>
      <c r="AK165" s="25">
        <v>12004862</v>
      </c>
      <c r="AL165" s="25">
        <v>12055234</v>
      </c>
      <c r="AM165" s="25"/>
      <c r="AN165" s="25" t="s">
        <v>92</v>
      </c>
      <c r="AO165" s="25"/>
      <c r="AP165" s="25">
        <v>12056200</v>
      </c>
      <c r="AQ165" s="25"/>
      <c r="AR165" s="25" t="s">
        <v>93</v>
      </c>
      <c r="AS165" s="25"/>
      <c r="AT165" s="25"/>
      <c r="AU165" s="25"/>
    </row>
    <row r="166" spans="1:47" ht="25" customHeight="1">
      <c r="B166" s="39">
        <v>43979</v>
      </c>
      <c r="C166" s="39">
        <v>43983</v>
      </c>
      <c r="D166" s="43" t="s">
        <v>467</v>
      </c>
      <c r="E166" s="43">
        <v>43953</v>
      </c>
      <c r="F166" s="43" t="s">
        <v>47</v>
      </c>
      <c r="G166" s="43" t="s">
        <v>260</v>
      </c>
      <c r="H166" s="44" t="s">
        <v>261</v>
      </c>
      <c r="I166" s="44" t="s">
        <v>175</v>
      </c>
      <c r="J166" s="44" t="s">
        <v>176</v>
      </c>
      <c r="K166" s="44" t="s">
        <v>262</v>
      </c>
      <c r="L166" s="43" t="s">
        <v>263</v>
      </c>
      <c r="M166" s="61" t="s">
        <v>195</v>
      </c>
      <c r="N166" s="55">
        <v>24</v>
      </c>
      <c r="O166" s="55">
        <v>5</v>
      </c>
      <c r="P166" s="28">
        <v>8.0000000000000002E-3</v>
      </c>
      <c r="Q166" s="43" t="s">
        <v>40</v>
      </c>
      <c r="R166" s="43" t="s">
        <v>56</v>
      </c>
      <c r="S166" s="43" t="s">
        <v>57</v>
      </c>
      <c r="T166" s="42">
        <f>1209+71</f>
        <v>1280</v>
      </c>
      <c r="U166" s="70"/>
      <c r="V166" s="42">
        <f>30720/24</f>
        <v>1280</v>
      </c>
      <c r="W166" s="74">
        <f>(V166+U166)-T166</f>
        <v>0</v>
      </c>
      <c r="X166" s="42">
        <f>IF(W166&lt;0,((T166*N166)-((V166+U166)*N166)),0)</f>
        <v>0</v>
      </c>
      <c r="Y166" s="42"/>
      <c r="Z166" s="42"/>
      <c r="AA166" s="42"/>
      <c r="AB166" s="44"/>
      <c r="AC166" s="42">
        <f t="shared" si="47"/>
        <v>0</v>
      </c>
      <c r="AD166" s="42">
        <f>AC166/0.54</f>
        <v>0</v>
      </c>
      <c r="AE166" s="15">
        <f>MID(M166,1,3)/1000</f>
        <v>0.14499999999999999</v>
      </c>
      <c r="AF166" s="17">
        <f>(X166*AE166)/1000</f>
        <v>0</v>
      </c>
      <c r="AG166" s="11">
        <f>T166*N166</f>
        <v>30720</v>
      </c>
      <c r="AJ166" s="24"/>
      <c r="AK166" s="25">
        <v>12062338</v>
      </c>
      <c r="AL166" s="25">
        <v>12047514</v>
      </c>
      <c r="AM166" s="25">
        <v>12047515</v>
      </c>
      <c r="AN166" s="25"/>
      <c r="AO166" s="25"/>
      <c r="AP166" s="25" t="s">
        <v>264</v>
      </c>
      <c r="AQ166" s="25"/>
      <c r="AR166" s="25"/>
      <c r="AS166" s="25">
        <v>12064588</v>
      </c>
      <c r="AT166" s="25" t="s">
        <v>265</v>
      </c>
      <c r="AU166" s="25"/>
    </row>
    <row r="167" spans="1:47" ht="25" customHeight="1">
      <c r="B167" s="39">
        <v>43979</v>
      </c>
      <c r="C167" s="39">
        <v>44027</v>
      </c>
      <c r="D167" s="43" t="s">
        <v>467</v>
      </c>
      <c r="E167" s="43">
        <v>43953</v>
      </c>
      <c r="F167" s="43" t="s">
        <v>382</v>
      </c>
      <c r="G167" s="43" t="s">
        <v>104</v>
      </c>
      <c r="H167" s="44" t="s">
        <v>105</v>
      </c>
      <c r="I167" s="44" t="s">
        <v>106</v>
      </c>
      <c r="J167" s="44" t="s">
        <v>107</v>
      </c>
      <c r="K167" s="44" t="s">
        <v>108</v>
      </c>
      <c r="L167" s="43" t="s">
        <v>109</v>
      </c>
      <c r="M167" s="61" t="s">
        <v>110</v>
      </c>
      <c r="N167" s="55">
        <v>36</v>
      </c>
      <c r="O167" s="55">
        <v>5</v>
      </c>
      <c r="P167" s="28">
        <v>7.4999999999999997E-3</v>
      </c>
      <c r="Q167" s="43" t="s">
        <v>111</v>
      </c>
      <c r="R167" s="43" t="s">
        <v>112</v>
      </c>
      <c r="S167" s="43" t="s">
        <v>113</v>
      </c>
      <c r="T167" s="42">
        <v>350</v>
      </c>
      <c r="U167" s="70"/>
      <c r="V167" s="42">
        <f>101340/36-2465</f>
        <v>350</v>
      </c>
      <c r="W167" s="74">
        <f>(V167+U167)-T167</f>
        <v>0</v>
      </c>
      <c r="X167" s="42">
        <f>IF(W167&lt;0,((T167*N167)-((V167+U167)*N167)),0)</f>
        <v>0</v>
      </c>
      <c r="Y167" s="42"/>
      <c r="Z167" s="42"/>
      <c r="AA167" s="42"/>
      <c r="AB167" s="44"/>
      <c r="AC167" s="42">
        <f>SUM(O167*P167*X167)</f>
        <v>0</v>
      </c>
      <c r="AD167" s="42">
        <f>AC167/0.54</f>
        <v>0</v>
      </c>
      <c r="AE167" s="15">
        <f>MID(M167,1,3)/1000</f>
        <v>0.308</v>
      </c>
      <c r="AF167" s="17">
        <f>(X167*AE167)/1000</f>
        <v>0</v>
      </c>
      <c r="AG167" s="11">
        <f>T167*N167</f>
        <v>12600</v>
      </c>
      <c r="AJ167" s="24"/>
      <c r="AK167" s="25">
        <v>12063755</v>
      </c>
      <c r="AL167" s="25">
        <v>12061353</v>
      </c>
      <c r="AM167" s="25">
        <v>12061354</v>
      </c>
      <c r="AN167" s="25">
        <v>12068566</v>
      </c>
      <c r="AO167" s="25"/>
      <c r="AP167" s="25">
        <v>12068565</v>
      </c>
      <c r="AQ167" s="25" t="s">
        <v>114</v>
      </c>
      <c r="AR167" s="25"/>
      <c r="AS167" s="25">
        <v>12068565</v>
      </c>
      <c r="AT167" s="25"/>
      <c r="AU167" s="25"/>
    </row>
    <row r="168" spans="1:47" ht="25" customHeight="1">
      <c r="B168" s="39">
        <v>43979</v>
      </c>
      <c r="C168" s="39">
        <v>44021</v>
      </c>
      <c r="D168" s="43" t="s">
        <v>467</v>
      </c>
      <c r="E168" s="43">
        <v>43953</v>
      </c>
      <c r="F168" s="43" t="s">
        <v>378</v>
      </c>
      <c r="G168" s="43" t="s">
        <v>104</v>
      </c>
      <c r="H168" s="44" t="s">
        <v>105</v>
      </c>
      <c r="I168" s="44" t="s">
        <v>106</v>
      </c>
      <c r="J168" s="44" t="s">
        <v>107</v>
      </c>
      <c r="K168" s="44" t="s">
        <v>108</v>
      </c>
      <c r="L168" s="43" t="s">
        <v>109</v>
      </c>
      <c r="M168" s="61" t="s">
        <v>110</v>
      </c>
      <c r="N168" s="55">
        <v>36</v>
      </c>
      <c r="O168" s="55">
        <v>5</v>
      </c>
      <c r="P168" s="28">
        <v>7.4999999999999997E-3</v>
      </c>
      <c r="Q168" s="43" t="s">
        <v>111</v>
      </c>
      <c r="R168" s="43" t="s">
        <v>112</v>
      </c>
      <c r="S168" s="43" t="s">
        <v>113</v>
      </c>
      <c r="T168" s="42">
        <f>792-560+277</f>
        <v>509</v>
      </c>
      <c r="U168" s="70"/>
      <c r="V168" s="42">
        <f>2465-1956</f>
        <v>509</v>
      </c>
      <c r="W168" s="74">
        <f>(V168+U168)-T168</f>
        <v>0</v>
      </c>
      <c r="X168" s="42">
        <f>IF(W168&lt;0,((T168*N168)-((V168+U168)*N168)),0)</f>
        <v>0</v>
      </c>
      <c r="Y168" s="42"/>
      <c r="Z168" s="42"/>
      <c r="AA168" s="42"/>
      <c r="AB168" s="44"/>
      <c r="AC168" s="42">
        <f t="shared" si="47"/>
        <v>0</v>
      </c>
      <c r="AD168" s="42">
        <f>AC168/0.54</f>
        <v>0</v>
      </c>
      <c r="AE168" s="15">
        <f>MID(M168,1,3)/1000</f>
        <v>0.308</v>
      </c>
      <c r="AF168" s="17">
        <f>(X168*AE168)/1000</f>
        <v>0</v>
      </c>
      <c r="AG168" s="11">
        <f>T168*N168</f>
        <v>18324</v>
      </c>
      <c r="AJ168" s="24"/>
      <c r="AK168" s="25">
        <v>12063755</v>
      </c>
      <c r="AL168" s="25">
        <v>12061353</v>
      </c>
      <c r="AM168" s="25">
        <v>12061354</v>
      </c>
      <c r="AN168" s="25">
        <v>12068566</v>
      </c>
      <c r="AO168" s="25"/>
      <c r="AP168" s="25">
        <v>12068565</v>
      </c>
      <c r="AQ168" s="25" t="s">
        <v>114</v>
      </c>
      <c r="AR168" s="25"/>
      <c r="AS168" s="25">
        <v>12068565</v>
      </c>
      <c r="AT168" s="25"/>
      <c r="AU168" s="25"/>
    </row>
    <row r="169" spans="1:47" ht="25" customHeight="1">
      <c r="B169" s="39">
        <v>43979</v>
      </c>
      <c r="C169" s="39">
        <v>44020</v>
      </c>
      <c r="D169" s="43" t="s">
        <v>467</v>
      </c>
      <c r="E169" s="43">
        <v>43953</v>
      </c>
      <c r="F169" s="43" t="s">
        <v>383</v>
      </c>
      <c r="G169" s="43" t="s">
        <v>104</v>
      </c>
      <c r="H169" s="44" t="s">
        <v>105</v>
      </c>
      <c r="I169" s="44" t="s">
        <v>106</v>
      </c>
      <c r="J169" s="44" t="s">
        <v>107</v>
      </c>
      <c r="K169" s="44" t="s">
        <v>108</v>
      </c>
      <c r="L169" s="43" t="s">
        <v>109</v>
      </c>
      <c r="M169" s="61" t="s">
        <v>110</v>
      </c>
      <c r="N169" s="55">
        <v>36</v>
      </c>
      <c r="O169" s="55">
        <v>5</v>
      </c>
      <c r="P169" s="28">
        <v>7.4999999999999997E-3</v>
      </c>
      <c r="Q169" s="43" t="s">
        <v>111</v>
      </c>
      <c r="R169" s="43" t="s">
        <v>112</v>
      </c>
      <c r="S169" s="43" t="s">
        <v>113</v>
      </c>
      <c r="T169" s="42">
        <v>792</v>
      </c>
      <c r="U169" s="70"/>
      <c r="V169" s="42">
        <f>1956-1164</f>
        <v>792</v>
      </c>
      <c r="W169" s="74">
        <f t="shared" si="42"/>
        <v>0</v>
      </c>
      <c r="X169" s="42">
        <f t="shared" si="43"/>
        <v>0</v>
      </c>
      <c r="Y169" s="42"/>
      <c r="Z169" s="42"/>
      <c r="AA169" s="42"/>
      <c r="AB169" s="44"/>
      <c r="AC169" s="42">
        <f t="shared" si="47"/>
        <v>0</v>
      </c>
      <c r="AD169" s="42">
        <f t="shared" si="44"/>
        <v>0</v>
      </c>
      <c r="AE169" s="15">
        <f t="shared" si="48"/>
        <v>0.308</v>
      </c>
      <c r="AF169" s="17">
        <f t="shared" si="45"/>
        <v>0</v>
      </c>
      <c r="AG169" s="11">
        <f t="shared" si="46"/>
        <v>28512</v>
      </c>
      <c r="AJ169" s="24"/>
      <c r="AK169" s="25">
        <v>12063755</v>
      </c>
      <c r="AL169" s="25">
        <v>12061353</v>
      </c>
      <c r="AM169" s="25">
        <v>12061354</v>
      </c>
      <c r="AN169" s="25">
        <v>12068566</v>
      </c>
      <c r="AO169" s="25"/>
      <c r="AP169" s="25">
        <v>12068565</v>
      </c>
      <c r="AQ169" s="25" t="s">
        <v>114</v>
      </c>
      <c r="AR169" s="25"/>
      <c r="AS169" s="25">
        <v>12068565</v>
      </c>
      <c r="AT169" s="25"/>
      <c r="AU169" s="25"/>
    </row>
    <row r="170" spans="1:47" ht="25" customHeight="1">
      <c r="B170" s="39">
        <v>43979</v>
      </c>
      <c r="C170" s="39">
        <v>44028</v>
      </c>
      <c r="D170" s="43" t="s">
        <v>467</v>
      </c>
      <c r="E170" s="43">
        <v>43953</v>
      </c>
      <c r="F170" s="43" t="s">
        <v>384</v>
      </c>
      <c r="G170" s="43" t="s">
        <v>104</v>
      </c>
      <c r="H170" s="44" t="s">
        <v>105</v>
      </c>
      <c r="I170" s="44" t="s">
        <v>106</v>
      </c>
      <c r="J170" s="44" t="s">
        <v>107</v>
      </c>
      <c r="K170" s="44" t="s">
        <v>108</v>
      </c>
      <c r="L170" s="43" t="s">
        <v>109</v>
      </c>
      <c r="M170" s="61" t="s">
        <v>110</v>
      </c>
      <c r="N170" s="55">
        <v>36</v>
      </c>
      <c r="O170" s="55">
        <v>5</v>
      </c>
      <c r="P170" s="28">
        <v>7.4999999999999997E-3</v>
      </c>
      <c r="Q170" s="43" t="s">
        <v>111</v>
      </c>
      <c r="R170" s="43" t="s">
        <v>112</v>
      </c>
      <c r="S170" s="43" t="s">
        <v>113</v>
      </c>
      <c r="T170" s="42">
        <v>792</v>
      </c>
      <c r="U170" s="70"/>
      <c r="V170" s="42">
        <f>1164-372</f>
        <v>792</v>
      </c>
      <c r="W170" s="74">
        <f t="shared" si="42"/>
        <v>0</v>
      </c>
      <c r="X170" s="42">
        <f t="shared" si="43"/>
        <v>0</v>
      </c>
      <c r="Y170" s="42"/>
      <c r="Z170" s="42"/>
      <c r="AA170" s="42"/>
      <c r="AB170" s="44"/>
      <c r="AC170" s="42">
        <f t="shared" si="47"/>
        <v>0</v>
      </c>
      <c r="AD170" s="42">
        <f t="shared" si="44"/>
        <v>0</v>
      </c>
      <c r="AE170" s="15">
        <f t="shared" si="48"/>
        <v>0.308</v>
      </c>
      <c r="AF170" s="17">
        <f t="shared" si="45"/>
        <v>0</v>
      </c>
      <c r="AG170" s="11">
        <f t="shared" si="46"/>
        <v>28512</v>
      </c>
      <c r="AJ170" s="24"/>
      <c r="AK170" s="25">
        <v>12063755</v>
      </c>
      <c r="AL170" s="25">
        <v>12061353</v>
      </c>
      <c r="AM170" s="25">
        <v>12061354</v>
      </c>
      <c r="AN170" s="25">
        <v>12068566</v>
      </c>
      <c r="AO170" s="25"/>
      <c r="AP170" s="25">
        <v>12068565</v>
      </c>
      <c r="AQ170" s="25" t="s">
        <v>114</v>
      </c>
      <c r="AR170" s="25"/>
      <c r="AS170" s="25">
        <v>12068565</v>
      </c>
      <c r="AT170" s="25"/>
      <c r="AU170" s="25"/>
    </row>
    <row r="171" spans="1:47" ht="25" customHeight="1">
      <c r="B171" s="39">
        <v>43979</v>
      </c>
      <c r="C171" s="39">
        <v>44027</v>
      </c>
      <c r="D171" s="43" t="s">
        <v>467</v>
      </c>
      <c r="E171" s="43">
        <v>43953</v>
      </c>
      <c r="F171" s="43" t="s">
        <v>385</v>
      </c>
      <c r="G171" s="43" t="s">
        <v>104</v>
      </c>
      <c r="H171" s="44" t="s">
        <v>105</v>
      </c>
      <c r="I171" s="44" t="s">
        <v>106</v>
      </c>
      <c r="J171" s="44" t="s">
        <v>107</v>
      </c>
      <c r="K171" s="44" t="s">
        <v>108</v>
      </c>
      <c r="L171" s="43" t="s">
        <v>109</v>
      </c>
      <c r="M171" s="61" t="s">
        <v>110</v>
      </c>
      <c r="N171" s="55">
        <v>36</v>
      </c>
      <c r="O171" s="55">
        <v>5</v>
      </c>
      <c r="P171" s="28">
        <v>7.4999999999999997E-3</v>
      </c>
      <c r="Q171" s="43" t="s">
        <v>111</v>
      </c>
      <c r="R171" s="43" t="s">
        <v>112</v>
      </c>
      <c r="S171" s="43" t="s">
        <v>113</v>
      </c>
      <c r="T171" s="42">
        <f>792/2-24</f>
        <v>372</v>
      </c>
      <c r="U171" s="70"/>
      <c r="V171" s="42">
        <f>372</f>
        <v>372</v>
      </c>
      <c r="W171" s="74">
        <f t="shared" si="42"/>
        <v>0</v>
      </c>
      <c r="X171" s="42">
        <f t="shared" si="43"/>
        <v>0</v>
      </c>
      <c r="Y171" s="42"/>
      <c r="Z171" s="42"/>
      <c r="AA171" s="42"/>
      <c r="AB171" s="44"/>
      <c r="AC171" s="42">
        <f t="shared" si="47"/>
        <v>0</v>
      </c>
      <c r="AD171" s="42">
        <f t="shared" si="44"/>
        <v>0</v>
      </c>
      <c r="AE171" s="15">
        <f t="shared" si="48"/>
        <v>0.308</v>
      </c>
      <c r="AF171" s="17">
        <f t="shared" si="45"/>
        <v>0</v>
      </c>
      <c r="AG171" s="11">
        <f t="shared" si="46"/>
        <v>13392</v>
      </c>
      <c r="AJ171" s="24"/>
      <c r="AK171" s="25">
        <v>12063755</v>
      </c>
      <c r="AL171" s="25">
        <v>12061353</v>
      </c>
      <c r="AM171" s="25">
        <v>12061354</v>
      </c>
      <c r="AN171" s="25">
        <v>12068566</v>
      </c>
      <c r="AO171" s="25"/>
      <c r="AP171" s="25">
        <v>12068565</v>
      </c>
      <c r="AQ171" s="25" t="s">
        <v>114</v>
      </c>
      <c r="AR171" s="25"/>
      <c r="AS171" s="25">
        <v>12068565</v>
      </c>
      <c r="AT171" s="25"/>
      <c r="AU171" s="25"/>
    </row>
    <row r="172" spans="1:47" ht="25" customHeight="1">
      <c r="A172" s="27" t="s">
        <v>120</v>
      </c>
      <c r="B172" s="39">
        <v>43979</v>
      </c>
      <c r="C172" s="39">
        <v>43990</v>
      </c>
      <c r="D172" s="43" t="s">
        <v>467</v>
      </c>
      <c r="E172" s="43">
        <v>43953</v>
      </c>
      <c r="F172" s="43" t="s">
        <v>376</v>
      </c>
      <c r="G172" s="43" t="s">
        <v>344</v>
      </c>
      <c r="H172" s="44" t="s">
        <v>345</v>
      </c>
      <c r="I172" s="44" t="s">
        <v>354</v>
      </c>
      <c r="J172" s="44" t="s">
        <v>355</v>
      </c>
      <c r="K172" s="44" t="s">
        <v>356</v>
      </c>
      <c r="L172" s="43" t="s">
        <v>357</v>
      </c>
      <c r="M172" s="61" t="s">
        <v>358</v>
      </c>
      <c r="N172" s="55">
        <v>18</v>
      </c>
      <c r="O172" s="55">
        <v>8</v>
      </c>
      <c r="P172" s="28">
        <v>5.0000000000000001E-3</v>
      </c>
      <c r="Q172" s="43" t="s">
        <v>55</v>
      </c>
      <c r="R172" s="43" t="s">
        <v>56</v>
      </c>
      <c r="S172" s="43" t="s">
        <v>89</v>
      </c>
      <c r="T172" s="42">
        <v>500</v>
      </c>
      <c r="U172" s="70"/>
      <c r="V172" s="42">
        <f>477+23</f>
        <v>500</v>
      </c>
      <c r="W172" s="74">
        <f>(V172+U172)-T172</f>
        <v>0</v>
      </c>
      <c r="X172" s="42">
        <f>IF(W172&lt;0,((T172*N172)-((V172+U172)*N172)),0)</f>
        <v>0</v>
      </c>
      <c r="Y172" s="42">
        <f>O172*X172</f>
        <v>0</v>
      </c>
      <c r="Z172" s="42">
        <v>2</v>
      </c>
      <c r="AA172" s="42">
        <f>X172*Z172</f>
        <v>0</v>
      </c>
      <c r="AB172" s="44"/>
      <c r="AC172" s="42">
        <f>((X172*O172)/5400)*29.25</f>
        <v>0</v>
      </c>
      <c r="AD172" s="42">
        <f>AC172/0.54</f>
        <v>0</v>
      </c>
      <c r="AE172" s="15">
        <f>MID(M172,1,2)/1000</f>
        <v>0.09</v>
      </c>
      <c r="AF172" s="17">
        <f t="shared" si="45"/>
        <v>0</v>
      </c>
      <c r="AG172" s="11">
        <f>T172*N172</f>
        <v>9000</v>
      </c>
      <c r="AJ172" s="24" t="s">
        <v>359</v>
      </c>
      <c r="AK172" s="25" t="s">
        <v>158</v>
      </c>
      <c r="AL172" s="25" t="s">
        <v>159</v>
      </c>
      <c r="AM172" s="25"/>
      <c r="AN172" s="25" t="s">
        <v>160</v>
      </c>
      <c r="AO172" s="25"/>
      <c r="AP172" s="25" t="s">
        <v>161</v>
      </c>
      <c r="AQ172" s="25"/>
      <c r="AR172" s="25" t="s">
        <v>162</v>
      </c>
      <c r="AS172" s="25"/>
      <c r="AT172" s="25"/>
      <c r="AU172" s="25"/>
    </row>
    <row r="173" spans="1:47" ht="25" customHeight="1">
      <c r="A173" s="27" t="s">
        <v>120</v>
      </c>
      <c r="B173" s="39">
        <v>43979</v>
      </c>
      <c r="C173" s="39">
        <v>43992</v>
      </c>
      <c r="D173" s="43" t="s">
        <v>467</v>
      </c>
      <c r="E173" s="43">
        <v>43953</v>
      </c>
      <c r="F173" s="43" t="s">
        <v>379</v>
      </c>
      <c r="G173" s="43" t="s">
        <v>82</v>
      </c>
      <c r="H173" s="44" t="s">
        <v>380</v>
      </c>
      <c r="I173" s="44" t="s">
        <v>84</v>
      </c>
      <c r="J173" s="44" t="s">
        <v>85</v>
      </c>
      <c r="K173" s="44" t="s">
        <v>86</v>
      </c>
      <c r="L173" s="43" t="s">
        <v>381</v>
      </c>
      <c r="M173" s="61" t="s">
        <v>156</v>
      </c>
      <c r="N173" s="55">
        <v>8</v>
      </c>
      <c r="O173" s="55">
        <v>50</v>
      </c>
      <c r="P173" s="28">
        <v>6.8100000000000001E-3</v>
      </c>
      <c r="Q173" s="43" t="s">
        <v>76</v>
      </c>
      <c r="R173" s="43" t="s">
        <v>56</v>
      </c>
      <c r="S173" s="43" t="s">
        <v>89</v>
      </c>
      <c r="T173" s="42">
        <f>800-650</f>
        <v>150</v>
      </c>
      <c r="U173" s="70"/>
      <c r="V173" s="42">
        <v>150</v>
      </c>
      <c r="W173" s="74">
        <f t="shared" si="42"/>
        <v>0</v>
      </c>
      <c r="X173" s="42">
        <f t="shared" si="43"/>
        <v>0</v>
      </c>
      <c r="Y173" s="42">
        <f>O173*X173</f>
        <v>0</v>
      </c>
      <c r="Z173" s="42">
        <v>6</v>
      </c>
      <c r="AA173" s="42">
        <f>X173*Z173</f>
        <v>0</v>
      </c>
      <c r="AB173" s="44"/>
      <c r="AC173" s="42">
        <f t="shared" si="47"/>
        <v>0</v>
      </c>
      <c r="AD173" s="42">
        <f t="shared" si="44"/>
        <v>0</v>
      </c>
      <c r="AE173" s="15">
        <f t="shared" si="48"/>
        <v>0.6</v>
      </c>
      <c r="AF173" s="17">
        <f t="shared" si="45"/>
        <v>0</v>
      </c>
      <c r="AG173" s="11">
        <f t="shared" si="46"/>
        <v>1200</v>
      </c>
      <c r="AJ173" s="24"/>
      <c r="AK173" s="25">
        <v>12004862</v>
      </c>
      <c r="AL173" s="25">
        <v>12055234</v>
      </c>
      <c r="AM173" s="25"/>
      <c r="AN173" s="25" t="s">
        <v>92</v>
      </c>
      <c r="AO173" s="25"/>
      <c r="AP173" s="25">
        <v>12056200</v>
      </c>
      <c r="AQ173" s="25"/>
      <c r="AR173" s="25" t="s">
        <v>93</v>
      </c>
      <c r="AS173" s="25"/>
      <c r="AT173" s="25"/>
      <c r="AU173" s="25"/>
    </row>
    <row r="174" spans="1:47" ht="25" customHeight="1">
      <c r="A174" s="27" t="s">
        <v>120</v>
      </c>
      <c r="B174" s="39">
        <v>43979</v>
      </c>
      <c r="C174" s="39">
        <v>43992</v>
      </c>
      <c r="D174" s="43" t="s">
        <v>467</v>
      </c>
      <c r="E174" s="43">
        <v>43953</v>
      </c>
      <c r="F174" s="43" t="s">
        <v>379</v>
      </c>
      <c r="G174" s="43" t="s">
        <v>82</v>
      </c>
      <c r="H174" s="44" t="s">
        <v>380</v>
      </c>
      <c r="I174" s="44" t="s">
        <v>84</v>
      </c>
      <c r="J174" s="44" t="s">
        <v>85</v>
      </c>
      <c r="K174" s="44" t="s">
        <v>165</v>
      </c>
      <c r="L174" s="43" t="s">
        <v>386</v>
      </c>
      <c r="M174" s="61" t="s">
        <v>167</v>
      </c>
      <c r="N174" s="55">
        <v>20</v>
      </c>
      <c r="O174" s="55">
        <v>12</v>
      </c>
      <c r="P174" s="28">
        <v>6.8100000000000001E-3</v>
      </c>
      <c r="Q174" s="43" t="s">
        <v>76</v>
      </c>
      <c r="R174" s="43" t="s">
        <v>56</v>
      </c>
      <c r="S174" s="43" t="s">
        <v>89</v>
      </c>
      <c r="T174" s="42">
        <f>1000+63</f>
        <v>1063</v>
      </c>
      <c r="U174" s="70"/>
      <c r="V174" s="42">
        <v>1063</v>
      </c>
      <c r="W174" s="74">
        <f t="shared" si="42"/>
        <v>0</v>
      </c>
      <c r="X174" s="42">
        <f t="shared" si="43"/>
        <v>0</v>
      </c>
      <c r="Y174" s="42">
        <f>O174*X174</f>
        <v>0</v>
      </c>
      <c r="Z174" s="42">
        <v>2</v>
      </c>
      <c r="AA174" s="42">
        <f>X174*Z174</f>
        <v>0</v>
      </c>
      <c r="AB174" s="44"/>
      <c r="AC174" s="42">
        <f t="shared" si="47"/>
        <v>0</v>
      </c>
      <c r="AD174" s="42">
        <f t="shared" si="44"/>
        <v>0</v>
      </c>
      <c r="AE174" s="15">
        <f t="shared" si="48"/>
        <v>0.154</v>
      </c>
      <c r="AF174" s="17">
        <f t="shared" si="45"/>
        <v>0</v>
      </c>
      <c r="AG174" s="11">
        <f t="shared" si="46"/>
        <v>21260</v>
      </c>
      <c r="AJ174" s="24"/>
      <c r="AK174" s="25">
        <v>12033473</v>
      </c>
      <c r="AL174" s="25" t="s">
        <v>169</v>
      </c>
      <c r="AM174" s="25"/>
      <c r="AN174" s="25" t="s">
        <v>259</v>
      </c>
      <c r="AO174" s="25"/>
      <c r="AP174" s="25">
        <v>12027007</v>
      </c>
      <c r="AQ174" s="25"/>
      <c r="AR174" s="25" t="s">
        <v>172</v>
      </c>
      <c r="AS174" s="25"/>
      <c r="AT174" s="25"/>
      <c r="AU174" s="25"/>
    </row>
    <row r="175" spans="1:47" ht="25" customHeight="1">
      <c r="B175" s="39">
        <v>43980</v>
      </c>
      <c r="C175" s="39">
        <v>44027</v>
      </c>
      <c r="D175" s="43" t="s">
        <v>467</v>
      </c>
      <c r="E175" s="43">
        <v>43953</v>
      </c>
      <c r="F175" s="43" t="s">
        <v>385</v>
      </c>
      <c r="G175" s="43" t="s">
        <v>104</v>
      </c>
      <c r="H175" s="44" t="s">
        <v>105</v>
      </c>
      <c r="I175" s="44" t="s">
        <v>106</v>
      </c>
      <c r="J175" s="44" t="s">
        <v>107</v>
      </c>
      <c r="K175" s="44" t="s">
        <v>108</v>
      </c>
      <c r="L175" s="43" t="s">
        <v>109</v>
      </c>
      <c r="M175" s="61" t="s">
        <v>110</v>
      </c>
      <c r="N175" s="55">
        <v>36</v>
      </c>
      <c r="O175" s="55">
        <v>5</v>
      </c>
      <c r="P175" s="28">
        <v>7.4999999999999997E-3</v>
      </c>
      <c r="Q175" s="43" t="s">
        <v>111</v>
      </c>
      <c r="R175" s="43" t="s">
        <v>112</v>
      </c>
      <c r="S175" s="43" t="s">
        <v>113</v>
      </c>
      <c r="T175" s="42">
        <f>792/2+24</f>
        <v>420</v>
      </c>
      <c r="U175" s="70"/>
      <c r="V175" s="42">
        <f>(113796/36)-2741</f>
        <v>420</v>
      </c>
      <c r="W175" s="74">
        <f>(V175+U175)-T175</f>
        <v>0</v>
      </c>
      <c r="X175" s="42">
        <f>IF(W175&lt;0,((T175*N175)-((V175+U175)*N175)),0)</f>
        <v>0</v>
      </c>
      <c r="Y175" s="42"/>
      <c r="Z175" s="42"/>
      <c r="AA175" s="42"/>
      <c r="AB175" s="44"/>
      <c r="AC175" s="42">
        <f>SUM(O175*P175*X175)</f>
        <v>0</v>
      </c>
      <c r="AD175" s="42">
        <f>AC175/0.54</f>
        <v>0</v>
      </c>
      <c r="AE175" s="15">
        <f>MID(M175,1,3)/1000</f>
        <v>0.308</v>
      </c>
      <c r="AF175" s="17">
        <f>(X175*AE175)/1000</f>
        <v>0</v>
      </c>
      <c r="AG175" s="11">
        <f>T175*N175</f>
        <v>15120</v>
      </c>
      <c r="AJ175" s="24"/>
      <c r="AK175" s="25">
        <v>12063755</v>
      </c>
      <c r="AL175" s="25">
        <v>12061353</v>
      </c>
      <c r="AM175" s="25">
        <v>12061354</v>
      </c>
      <c r="AN175" s="25">
        <v>12068566</v>
      </c>
      <c r="AO175" s="25"/>
      <c r="AP175" s="25">
        <v>12068565</v>
      </c>
      <c r="AQ175" s="25" t="s">
        <v>114</v>
      </c>
      <c r="AR175" s="25"/>
      <c r="AS175" s="25">
        <v>12068565</v>
      </c>
      <c r="AT175" s="25"/>
      <c r="AU175" s="25"/>
    </row>
    <row r="176" spans="1:47" ht="25" customHeight="1">
      <c r="B176" s="39">
        <v>43980</v>
      </c>
      <c r="C176" s="39">
        <v>44027</v>
      </c>
      <c r="D176" s="43" t="s">
        <v>467</v>
      </c>
      <c r="E176" s="43">
        <v>43953</v>
      </c>
      <c r="F176" s="43" t="s">
        <v>387</v>
      </c>
      <c r="G176" s="43" t="s">
        <v>104</v>
      </c>
      <c r="H176" s="44" t="s">
        <v>105</v>
      </c>
      <c r="I176" s="44" t="s">
        <v>106</v>
      </c>
      <c r="J176" s="44" t="s">
        <v>107</v>
      </c>
      <c r="K176" s="44" t="s">
        <v>108</v>
      </c>
      <c r="L176" s="43" t="s">
        <v>109</v>
      </c>
      <c r="M176" s="61" t="s">
        <v>110</v>
      </c>
      <c r="N176" s="55">
        <v>36</v>
      </c>
      <c r="O176" s="55">
        <v>5</v>
      </c>
      <c r="P176" s="28">
        <v>7.4999999999999997E-3</v>
      </c>
      <c r="Q176" s="43" t="s">
        <v>111</v>
      </c>
      <c r="R176" s="43" t="s">
        <v>112</v>
      </c>
      <c r="S176" s="43" t="s">
        <v>113</v>
      </c>
      <c r="T176" s="42">
        <v>792</v>
      </c>
      <c r="U176" s="70"/>
      <c r="V176" s="42">
        <f>2741-1949</f>
        <v>792</v>
      </c>
      <c r="W176" s="74">
        <f t="shared" ref="W176:W190" si="49">(V176+U176)-T176</f>
        <v>0</v>
      </c>
      <c r="X176" s="42">
        <f t="shared" ref="X176:X190" si="50">IF(W176&lt;0,((T176*N176)-((V176+U176)*N176)),0)</f>
        <v>0</v>
      </c>
      <c r="Y176" s="42"/>
      <c r="Z176" s="42"/>
      <c r="AA176" s="42"/>
      <c r="AB176" s="44"/>
      <c r="AC176" s="42">
        <f t="shared" ref="AC176:AC190" si="51">SUM(O176*P176*X176)</f>
        <v>0</v>
      </c>
      <c r="AD176" s="42">
        <f t="shared" ref="AD176:AD190" si="52">AC176/0.54</f>
        <v>0</v>
      </c>
      <c r="AE176" s="15">
        <f t="shared" ref="AE176:AE190" si="53">MID(M176,1,3)/1000</f>
        <v>0.308</v>
      </c>
      <c r="AF176" s="17">
        <f t="shared" si="45"/>
        <v>0</v>
      </c>
      <c r="AG176" s="11">
        <f t="shared" ref="AG176:AG190" si="54">T176*N176</f>
        <v>28512</v>
      </c>
      <c r="AJ176" s="24"/>
      <c r="AK176" s="25">
        <v>12063755</v>
      </c>
      <c r="AL176" s="25">
        <v>12061353</v>
      </c>
      <c r="AM176" s="25">
        <v>12061354</v>
      </c>
      <c r="AN176" s="25">
        <v>12068566</v>
      </c>
      <c r="AO176" s="25"/>
      <c r="AP176" s="25">
        <v>12068565</v>
      </c>
      <c r="AQ176" s="25" t="s">
        <v>114</v>
      </c>
      <c r="AR176" s="25"/>
      <c r="AS176" s="25">
        <v>12068565</v>
      </c>
      <c r="AT176" s="25"/>
      <c r="AU176" s="25"/>
    </row>
    <row r="177" spans="1:47" ht="25" customHeight="1">
      <c r="B177" s="39">
        <v>43980</v>
      </c>
      <c r="C177" s="39">
        <v>44035</v>
      </c>
      <c r="D177" s="43" t="s">
        <v>467</v>
      </c>
      <c r="E177" s="43">
        <v>43953</v>
      </c>
      <c r="F177" s="43" t="s">
        <v>388</v>
      </c>
      <c r="G177" s="43" t="s">
        <v>104</v>
      </c>
      <c r="H177" s="44" t="s">
        <v>105</v>
      </c>
      <c r="I177" s="44" t="s">
        <v>106</v>
      </c>
      <c r="J177" s="44" t="s">
        <v>107</v>
      </c>
      <c r="K177" s="44" t="s">
        <v>108</v>
      </c>
      <c r="L177" s="43" t="s">
        <v>109</v>
      </c>
      <c r="M177" s="61" t="s">
        <v>110</v>
      </c>
      <c r="N177" s="55">
        <v>36</v>
      </c>
      <c r="O177" s="55">
        <v>5</v>
      </c>
      <c r="P177" s="28">
        <v>7.4999999999999997E-3</v>
      </c>
      <c r="Q177" s="43" t="s">
        <v>111</v>
      </c>
      <c r="R177" s="43" t="s">
        <v>112</v>
      </c>
      <c r="S177" s="43" t="s">
        <v>113</v>
      </c>
      <c r="T177" s="42">
        <v>792</v>
      </c>
      <c r="U177" s="70"/>
      <c r="V177" s="42">
        <f>1949-1157</f>
        <v>792</v>
      </c>
      <c r="W177" s="74">
        <f t="shared" si="49"/>
        <v>0</v>
      </c>
      <c r="X177" s="42">
        <f t="shared" si="50"/>
        <v>0</v>
      </c>
      <c r="Y177" s="42"/>
      <c r="Z177" s="42"/>
      <c r="AA177" s="42"/>
      <c r="AB177" s="44"/>
      <c r="AC177" s="42">
        <f t="shared" si="51"/>
        <v>0</v>
      </c>
      <c r="AD177" s="42">
        <f t="shared" si="52"/>
        <v>0</v>
      </c>
      <c r="AE177" s="15">
        <f t="shared" si="53"/>
        <v>0.308</v>
      </c>
      <c r="AF177" s="17">
        <f t="shared" si="45"/>
        <v>0</v>
      </c>
      <c r="AG177" s="11">
        <f t="shared" si="54"/>
        <v>28512</v>
      </c>
      <c r="AJ177" s="24"/>
      <c r="AK177" s="25">
        <v>12063755</v>
      </c>
      <c r="AL177" s="25">
        <v>12061353</v>
      </c>
      <c r="AM177" s="25">
        <v>12061354</v>
      </c>
      <c r="AN177" s="25">
        <v>12068566</v>
      </c>
      <c r="AO177" s="25"/>
      <c r="AP177" s="25">
        <v>12068565</v>
      </c>
      <c r="AQ177" s="25" t="s">
        <v>114</v>
      </c>
      <c r="AR177" s="25"/>
      <c r="AS177" s="25">
        <v>12068565</v>
      </c>
      <c r="AT177" s="25"/>
      <c r="AU177" s="25"/>
    </row>
    <row r="178" spans="1:47" ht="25" customHeight="1">
      <c r="B178" s="39">
        <v>43980</v>
      </c>
      <c r="C178" s="39">
        <v>44034</v>
      </c>
      <c r="D178" s="43" t="s">
        <v>467</v>
      </c>
      <c r="E178" s="43">
        <v>43953</v>
      </c>
      <c r="F178" s="43" t="s">
        <v>389</v>
      </c>
      <c r="G178" s="43" t="s">
        <v>104</v>
      </c>
      <c r="H178" s="44" t="s">
        <v>105</v>
      </c>
      <c r="I178" s="44" t="s">
        <v>106</v>
      </c>
      <c r="J178" s="44" t="s">
        <v>107</v>
      </c>
      <c r="K178" s="44" t="s">
        <v>108</v>
      </c>
      <c r="L178" s="43" t="s">
        <v>109</v>
      </c>
      <c r="M178" s="61" t="s">
        <v>110</v>
      </c>
      <c r="N178" s="55">
        <v>36</v>
      </c>
      <c r="O178" s="55">
        <v>5</v>
      </c>
      <c r="P178" s="28">
        <v>7.4999999999999997E-3</v>
      </c>
      <c r="Q178" s="43" t="s">
        <v>111</v>
      </c>
      <c r="R178" s="43" t="s">
        <v>112</v>
      </c>
      <c r="S178" s="43" t="s">
        <v>113</v>
      </c>
      <c r="T178" s="42">
        <v>792</v>
      </c>
      <c r="U178" s="70"/>
      <c r="V178" s="42">
        <f>1157-365</f>
        <v>792</v>
      </c>
      <c r="W178" s="74">
        <f t="shared" si="49"/>
        <v>0</v>
      </c>
      <c r="X178" s="42">
        <f t="shared" si="50"/>
        <v>0</v>
      </c>
      <c r="Y178" s="42"/>
      <c r="Z178" s="42"/>
      <c r="AA178" s="42"/>
      <c r="AB178" s="44"/>
      <c r="AC178" s="42">
        <f t="shared" si="51"/>
        <v>0</v>
      </c>
      <c r="AD178" s="42">
        <f t="shared" si="52"/>
        <v>0</v>
      </c>
      <c r="AE178" s="15">
        <f t="shared" si="53"/>
        <v>0.308</v>
      </c>
      <c r="AF178" s="17">
        <f t="shared" si="45"/>
        <v>0</v>
      </c>
      <c r="AG178" s="11">
        <f t="shared" si="54"/>
        <v>28512</v>
      </c>
      <c r="AJ178" s="24"/>
      <c r="AK178" s="25">
        <v>12063755</v>
      </c>
      <c r="AL178" s="25">
        <v>12061353</v>
      </c>
      <c r="AM178" s="25">
        <v>12061354</v>
      </c>
      <c r="AN178" s="25">
        <v>12068566</v>
      </c>
      <c r="AO178" s="25"/>
      <c r="AP178" s="25">
        <v>12068565</v>
      </c>
      <c r="AQ178" s="25" t="s">
        <v>114</v>
      </c>
      <c r="AR178" s="25"/>
      <c r="AS178" s="25">
        <v>12068565</v>
      </c>
      <c r="AT178" s="25"/>
      <c r="AU178" s="25"/>
    </row>
    <row r="179" spans="1:47" ht="25" customHeight="1">
      <c r="B179" s="39">
        <v>43980</v>
      </c>
      <c r="C179" s="39">
        <v>44034</v>
      </c>
      <c r="D179" s="43" t="s">
        <v>467</v>
      </c>
      <c r="E179" s="43">
        <v>43953</v>
      </c>
      <c r="F179" s="43" t="s">
        <v>390</v>
      </c>
      <c r="G179" s="43" t="s">
        <v>104</v>
      </c>
      <c r="H179" s="44" t="s">
        <v>105</v>
      </c>
      <c r="I179" s="44" t="s">
        <v>106</v>
      </c>
      <c r="J179" s="44" t="s">
        <v>107</v>
      </c>
      <c r="K179" s="44" t="s">
        <v>108</v>
      </c>
      <c r="L179" s="43" t="s">
        <v>109</v>
      </c>
      <c r="M179" s="61" t="s">
        <v>110</v>
      </c>
      <c r="N179" s="55">
        <v>36</v>
      </c>
      <c r="O179" s="55">
        <v>5</v>
      </c>
      <c r="P179" s="28">
        <v>7.4999999999999997E-3</v>
      </c>
      <c r="Q179" s="43" t="s">
        <v>111</v>
      </c>
      <c r="R179" s="43" t="s">
        <v>112</v>
      </c>
      <c r="S179" s="43" t="s">
        <v>113</v>
      </c>
      <c r="T179" s="42">
        <f>135</f>
        <v>135</v>
      </c>
      <c r="U179" s="70"/>
      <c r="V179" s="42">
        <f>365-230</f>
        <v>135</v>
      </c>
      <c r="W179" s="74">
        <f t="shared" si="49"/>
        <v>0</v>
      </c>
      <c r="X179" s="42">
        <f t="shared" si="50"/>
        <v>0</v>
      </c>
      <c r="Y179" s="42"/>
      <c r="Z179" s="42"/>
      <c r="AA179" s="42"/>
      <c r="AB179" s="44"/>
      <c r="AC179" s="42">
        <f t="shared" si="51"/>
        <v>0</v>
      </c>
      <c r="AD179" s="42">
        <f t="shared" si="52"/>
        <v>0</v>
      </c>
      <c r="AE179" s="15">
        <f t="shared" si="53"/>
        <v>0.308</v>
      </c>
      <c r="AF179" s="17">
        <f t="shared" si="45"/>
        <v>0</v>
      </c>
      <c r="AG179" s="11">
        <f t="shared" si="54"/>
        <v>4860</v>
      </c>
      <c r="AJ179" s="24"/>
      <c r="AK179" s="25">
        <v>12063755</v>
      </c>
      <c r="AL179" s="25">
        <v>12061353</v>
      </c>
      <c r="AM179" s="25">
        <v>12061354</v>
      </c>
      <c r="AN179" s="25">
        <v>12068566</v>
      </c>
      <c r="AO179" s="25"/>
      <c r="AP179" s="25">
        <v>12068565</v>
      </c>
      <c r="AQ179" s="25" t="s">
        <v>114</v>
      </c>
      <c r="AR179" s="25"/>
      <c r="AS179" s="25">
        <v>12068565</v>
      </c>
      <c r="AT179" s="25"/>
      <c r="AU179" s="25"/>
    </row>
    <row r="180" spans="1:47" ht="25" customHeight="1">
      <c r="B180" s="39">
        <v>43980</v>
      </c>
      <c r="C180" s="39">
        <v>44025</v>
      </c>
      <c r="D180" s="43" t="s">
        <v>467</v>
      </c>
      <c r="E180" s="43">
        <v>43953</v>
      </c>
      <c r="F180" s="43" t="s">
        <v>373</v>
      </c>
      <c r="G180" s="43" t="s">
        <v>363</v>
      </c>
      <c r="H180" s="44" t="s">
        <v>364</v>
      </c>
      <c r="I180" s="44" t="s">
        <v>175</v>
      </c>
      <c r="J180" s="44" t="s">
        <v>365</v>
      </c>
      <c r="K180" s="44" t="s">
        <v>366</v>
      </c>
      <c r="L180" s="43" t="s">
        <v>367</v>
      </c>
      <c r="M180" s="61" t="s">
        <v>368</v>
      </c>
      <c r="N180" s="55">
        <v>36</v>
      </c>
      <c r="O180" s="55">
        <v>4</v>
      </c>
      <c r="P180" s="28">
        <v>7.4999999999999997E-3</v>
      </c>
      <c r="Q180" s="43" t="s">
        <v>111</v>
      </c>
      <c r="R180" s="43" t="s">
        <v>112</v>
      </c>
      <c r="S180" s="43" t="s">
        <v>57</v>
      </c>
      <c r="T180" s="42">
        <f>708</f>
        <v>708</v>
      </c>
      <c r="U180" s="70"/>
      <c r="V180" s="42">
        <f>22176/36+92</f>
        <v>708</v>
      </c>
      <c r="W180" s="74">
        <f t="shared" si="49"/>
        <v>0</v>
      </c>
      <c r="X180" s="42">
        <f t="shared" si="50"/>
        <v>0</v>
      </c>
      <c r="Y180" s="42"/>
      <c r="Z180" s="42"/>
      <c r="AA180" s="42"/>
      <c r="AB180" s="44" t="s">
        <v>374</v>
      </c>
      <c r="AC180" s="42">
        <f t="shared" si="51"/>
        <v>0</v>
      </c>
      <c r="AD180" s="42">
        <f t="shared" si="52"/>
        <v>0</v>
      </c>
      <c r="AE180" s="15">
        <f t="shared" si="53"/>
        <v>0.15</v>
      </c>
      <c r="AF180" s="17">
        <f t="shared" si="45"/>
        <v>0</v>
      </c>
      <c r="AG180" s="11">
        <f t="shared" si="54"/>
        <v>25488</v>
      </c>
      <c r="AJ180" s="24" t="s">
        <v>369</v>
      </c>
      <c r="AK180" s="25">
        <v>12062338</v>
      </c>
      <c r="AL180" s="25">
        <v>12047514</v>
      </c>
      <c r="AM180" s="25">
        <v>12047515</v>
      </c>
      <c r="AN180" s="25" t="s">
        <v>370</v>
      </c>
      <c r="AO180" s="25"/>
      <c r="AP180" s="25" t="s">
        <v>371</v>
      </c>
      <c r="AQ180" s="25" t="s">
        <v>341</v>
      </c>
      <c r="AR180" s="25"/>
      <c r="AS180" s="25" t="s">
        <v>372</v>
      </c>
      <c r="AT180" s="25"/>
      <c r="AU180" s="25"/>
    </row>
    <row r="181" spans="1:47" ht="25" customHeight="1">
      <c r="A181" s="27" t="s">
        <v>120</v>
      </c>
      <c r="B181" s="39">
        <v>43980</v>
      </c>
      <c r="C181" s="39">
        <v>43997</v>
      </c>
      <c r="D181" s="43" t="s">
        <v>467</v>
      </c>
      <c r="E181" s="43">
        <v>43953</v>
      </c>
      <c r="F181" s="43" t="s">
        <v>375</v>
      </c>
      <c r="G181" s="43" t="s">
        <v>134</v>
      </c>
      <c r="H181" s="44" t="s">
        <v>164</v>
      </c>
      <c r="I181" s="44" t="s">
        <v>84</v>
      </c>
      <c r="J181" s="44" t="s">
        <v>153</v>
      </c>
      <c r="K181" s="44" t="s">
        <v>214</v>
      </c>
      <c r="L181" s="43" t="s">
        <v>215</v>
      </c>
      <c r="M181" s="61" t="s">
        <v>216</v>
      </c>
      <c r="N181" s="55">
        <v>20</v>
      </c>
      <c r="O181" s="55">
        <v>8</v>
      </c>
      <c r="P181" s="28">
        <v>1.5E-3</v>
      </c>
      <c r="Q181" s="77" t="s">
        <v>217</v>
      </c>
      <c r="R181" s="43" t="s">
        <v>56</v>
      </c>
      <c r="S181" s="43" t="s">
        <v>89</v>
      </c>
      <c r="T181" s="42">
        <v>152</v>
      </c>
      <c r="U181" s="70"/>
      <c r="V181" s="42">
        <f>165+103-116+146-162+32-138</f>
        <v>30</v>
      </c>
      <c r="W181" s="74">
        <f>(V181+U181)-T181</f>
        <v>-122</v>
      </c>
      <c r="X181" s="42">
        <f>IF(W181&lt;0,((T181*N181)-((V181+U181)*N181)),0)</f>
        <v>2440</v>
      </c>
      <c r="Y181" s="42">
        <f>O181*X181</f>
        <v>19520</v>
      </c>
      <c r="Z181" s="42">
        <v>2</v>
      </c>
      <c r="AA181" s="42">
        <f>X181*Z181</f>
        <v>4880</v>
      </c>
      <c r="AB181" s="44" t="s">
        <v>218</v>
      </c>
      <c r="AC181" s="42">
        <f>SUM(O181*P181*X181)</f>
        <v>29.28</v>
      </c>
      <c r="AD181" s="42">
        <f>AC181/0.54</f>
        <v>54.222222222222221</v>
      </c>
      <c r="AE181" s="15">
        <f>MID(M181,1,3)/1000</f>
        <v>0.19400000000000001</v>
      </c>
      <c r="AF181" s="17">
        <f>(X181*AE181)/1000</f>
        <v>0.47336</v>
      </c>
      <c r="AG181" s="11">
        <f>T181*N181</f>
        <v>3040</v>
      </c>
      <c r="AJ181" s="24"/>
      <c r="AK181" s="25"/>
      <c r="AL181" s="25" t="s">
        <v>219</v>
      </c>
      <c r="AM181" s="25"/>
      <c r="AN181" s="25">
        <v>12064478</v>
      </c>
      <c r="AO181" s="25"/>
      <c r="AP181" s="25" t="s">
        <v>220</v>
      </c>
      <c r="AQ181" s="25"/>
      <c r="AR181" s="25" t="s">
        <v>221</v>
      </c>
      <c r="AS181" s="25"/>
      <c r="AT181" s="25"/>
      <c r="AU181" s="25"/>
    </row>
    <row r="182" spans="1:47" ht="25" customHeight="1">
      <c r="A182" s="27" t="s">
        <v>120</v>
      </c>
      <c r="B182" s="39">
        <v>43980</v>
      </c>
      <c r="C182" s="39">
        <v>43992</v>
      </c>
      <c r="D182" s="43" t="s">
        <v>467</v>
      </c>
      <c r="E182" s="43">
        <v>43953</v>
      </c>
      <c r="F182" s="43" t="s">
        <v>379</v>
      </c>
      <c r="G182" s="43" t="s">
        <v>82</v>
      </c>
      <c r="H182" s="44" t="s">
        <v>380</v>
      </c>
      <c r="I182" s="44" t="s">
        <v>84</v>
      </c>
      <c r="J182" s="44" t="s">
        <v>85</v>
      </c>
      <c r="K182" s="44" t="s">
        <v>165</v>
      </c>
      <c r="L182" s="43" t="s">
        <v>386</v>
      </c>
      <c r="M182" s="61" t="s">
        <v>167</v>
      </c>
      <c r="N182" s="55">
        <v>20</v>
      </c>
      <c r="O182" s="55">
        <v>12</v>
      </c>
      <c r="P182" s="28">
        <v>6.8100000000000001E-3</v>
      </c>
      <c r="Q182" s="43" t="s">
        <v>76</v>
      </c>
      <c r="R182" s="43" t="s">
        <v>56</v>
      </c>
      <c r="S182" s="43" t="s">
        <v>89</v>
      </c>
      <c r="T182" s="42">
        <f>2170-1000-63</f>
        <v>1107</v>
      </c>
      <c r="U182" s="70"/>
      <c r="V182" s="42">
        <v>1107</v>
      </c>
      <c r="W182" s="74">
        <f t="shared" si="49"/>
        <v>0</v>
      </c>
      <c r="X182" s="42">
        <f t="shared" si="50"/>
        <v>0</v>
      </c>
      <c r="Y182" s="42">
        <f>O182*X182</f>
        <v>0</v>
      </c>
      <c r="Z182" s="42">
        <v>2</v>
      </c>
      <c r="AA182" s="42">
        <f>X182*Z182</f>
        <v>0</v>
      </c>
      <c r="AB182" s="44"/>
      <c r="AC182" s="42">
        <f t="shared" si="51"/>
        <v>0</v>
      </c>
      <c r="AD182" s="42">
        <f t="shared" si="52"/>
        <v>0</v>
      </c>
      <c r="AE182" s="15">
        <f t="shared" si="53"/>
        <v>0.154</v>
      </c>
      <c r="AF182" s="17">
        <f t="shared" si="45"/>
        <v>0</v>
      </c>
      <c r="AG182" s="11">
        <f t="shared" si="54"/>
        <v>22140</v>
      </c>
      <c r="AJ182" s="24"/>
      <c r="AK182" s="25">
        <v>12033473</v>
      </c>
      <c r="AL182" s="25" t="s">
        <v>169</v>
      </c>
      <c r="AM182" s="25"/>
      <c r="AN182" s="25" t="s">
        <v>259</v>
      </c>
      <c r="AO182" s="25"/>
      <c r="AP182" s="25">
        <v>12027007</v>
      </c>
      <c r="AQ182" s="25"/>
      <c r="AR182" s="25" t="s">
        <v>172</v>
      </c>
      <c r="AS182" s="25"/>
      <c r="AT182" s="25"/>
      <c r="AU182" s="25"/>
    </row>
    <row r="183" spans="1:47" ht="25" customHeight="1">
      <c r="A183" s="27" t="s">
        <v>120</v>
      </c>
      <c r="B183" s="39">
        <v>43980</v>
      </c>
      <c r="C183" s="39">
        <v>43998</v>
      </c>
      <c r="D183" s="43" t="s">
        <v>467</v>
      </c>
      <c r="E183" s="43">
        <v>43953</v>
      </c>
      <c r="F183" s="43" t="s">
        <v>391</v>
      </c>
      <c r="G183" s="43" t="s">
        <v>392</v>
      </c>
      <c r="H183" s="44" t="s">
        <v>393</v>
      </c>
      <c r="I183" s="44" t="s">
        <v>84</v>
      </c>
      <c r="J183" s="44" t="s">
        <v>153</v>
      </c>
      <c r="K183" s="44" t="s">
        <v>165</v>
      </c>
      <c r="L183" s="43" t="s">
        <v>394</v>
      </c>
      <c r="M183" s="61" t="s">
        <v>395</v>
      </c>
      <c r="N183" s="55">
        <v>20</v>
      </c>
      <c r="O183" s="55">
        <v>12</v>
      </c>
      <c r="P183" s="28">
        <v>6.8100000000000001E-3</v>
      </c>
      <c r="Q183" s="43" t="s">
        <v>76</v>
      </c>
      <c r="R183" s="43" t="s">
        <v>56</v>
      </c>
      <c r="S183" s="43" t="s">
        <v>89</v>
      </c>
      <c r="T183" s="42">
        <v>501</v>
      </c>
      <c r="U183" s="70"/>
      <c r="V183" s="42">
        <f>308+189+4</f>
        <v>501</v>
      </c>
      <c r="W183" s="74">
        <f t="shared" si="49"/>
        <v>0</v>
      </c>
      <c r="X183" s="42">
        <f t="shared" si="50"/>
        <v>0</v>
      </c>
      <c r="Y183" s="42">
        <f>O183*X183</f>
        <v>0</v>
      </c>
      <c r="Z183" s="42">
        <v>2</v>
      </c>
      <c r="AA183" s="42">
        <f>X183*Z183</f>
        <v>0</v>
      </c>
      <c r="AB183" s="44"/>
      <c r="AC183" s="42">
        <f t="shared" si="51"/>
        <v>0</v>
      </c>
      <c r="AD183" s="42">
        <f t="shared" si="52"/>
        <v>0</v>
      </c>
      <c r="AE183" s="15">
        <f t="shared" si="53"/>
        <v>0.14399999999999999</v>
      </c>
      <c r="AF183" s="17">
        <f t="shared" si="45"/>
        <v>0</v>
      </c>
      <c r="AG183" s="11">
        <f t="shared" si="54"/>
        <v>10020</v>
      </c>
      <c r="AH183">
        <f>AG183*O183</f>
        <v>120240</v>
      </c>
      <c r="AJ183" s="24"/>
      <c r="AK183" s="25" t="s">
        <v>158</v>
      </c>
      <c r="AL183" s="25" t="s">
        <v>169</v>
      </c>
      <c r="AM183" s="25"/>
      <c r="AN183" s="25" t="s">
        <v>396</v>
      </c>
      <c r="AO183" s="25"/>
      <c r="AP183" s="25" t="s">
        <v>397</v>
      </c>
      <c r="AQ183" s="25"/>
      <c r="AR183" s="25" t="s">
        <v>398</v>
      </c>
      <c r="AS183" s="25"/>
      <c r="AT183" s="25"/>
      <c r="AU183" s="25"/>
    </row>
    <row r="184" spans="1:47" ht="25" customHeight="1">
      <c r="B184" s="39">
        <v>43981</v>
      </c>
      <c r="C184" s="39">
        <v>43998</v>
      </c>
      <c r="D184" s="43" t="s">
        <v>467</v>
      </c>
      <c r="E184" s="43">
        <v>43953</v>
      </c>
      <c r="F184" s="43" t="s">
        <v>391</v>
      </c>
      <c r="G184" s="43" t="s">
        <v>392</v>
      </c>
      <c r="H184" s="44" t="s">
        <v>393</v>
      </c>
      <c r="I184" s="44" t="s">
        <v>175</v>
      </c>
      <c r="J184" s="44" t="s">
        <v>176</v>
      </c>
      <c r="K184" s="44" t="s">
        <v>399</v>
      </c>
      <c r="L184" s="43" t="s">
        <v>400</v>
      </c>
      <c r="M184" s="61" t="s">
        <v>195</v>
      </c>
      <c r="N184" s="55">
        <v>24</v>
      </c>
      <c r="O184" s="55">
        <v>5</v>
      </c>
      <c r="P184" s="28">
        <v>8.0000000000000002E-3</v>
      </c>
      <c r="Q184" s="43" t="s">
        <v>40</v>
      </c>
      <c r="R184" s="43" t="s">
        <v>56</v>
      </c>
      <c r="S184" s="43" t="s">
        <v>57</v>
      </c>
      <c r="T184" s="42">
        <v>900</v>
      </c>
      <c r="U184" s="70">
        <f>323/24</f>
        <v>13.458333333333334</v>
      </c>
      <c r="V184" s="42">
        <f>21312/24+12</f>
        <v>900</v>
      </c>
      <c r="W184" s="74">
        <f t="shared" si="49"/>
        <v>13.458333333333371</v>
      </c>
      <c r="X184" s="42">
        <f t="shared" si="50"/>
        <v>0</v>
      </c>
      <c r="Y184" s="42"/>
      <c r="Z184" s="42"/>
      <c r="AA184" s="42"/>
      <c r="AB184" s="44"/>
      <c r="AC184" s="42">
        <f t="shared" si="51"/>
        <v>0</v>
      </c>
      <c r="AD184" s="42">
        <f t="shared" si="52"/>
        <v>0</v>
      </c>
      <c r="AE184" s="15">
        <f t="shared" si="53"/>
        <v>0.14499999999999999</v>
      </c>
      <c r="AF184" s="17">
        <f t="shared" si="45"/>
        <v>0</v>
      </c>
      <c r="AG184" s="11">
        <f t="shared" si="54"/>
        <v>21600</v>
      </c>
      <c r="AJ184" s="24"/>
      <c r="AK184" s="25">
        <v>12062338</v>
      </c>
      <c r="AL184" s="25">
        <v>12047514</v>
      </c>
      <c r="AM184" s="25">
        <v>12047515</v>
      </c>
      <c r="AN184" s="25"/>
      <c r="AO184" s="25" t="s">
        <v>401</v>
      </c>
      <c r="AP184" s="25" t="s">
        <v>402</v>
      </c>
      <c r="AQ184" s="25" t="s">
        <v>199</v>
      </c>
      <c r="AR184" s="25"/>
      <c r="AS184" s="25" t="s">
        <v>403</v>
      </c>
      <c r="AT184" s="25" t="s">
        <v>404</v>
      </c>
      <c r="AU184" s="25" t="s">
        <v>405</v>
      </c>
    </row>
    <row r="185" spans="1:47" ht="25" customHeight="1">
      <c r="B185" s="39">
        <v>43981</v>
      </c>
      <c r="C185" s="39">
        <v>43998</v>
      </c>
      <c r="D185" s="43" t="s">
        <v>467</v>
      </c>
      <c r="E185" s="43">
        <v>43953</v>
      </c>
      <c r="F185" s="43" t="s">
        <v>391</v>
      </c>
      <c r="G185" s="43" t="s">
        <v>392</v>
      </c>
      <c r="H185" s="44" t="s">
        <v>393</v>
      </c>
      <c r="I185" s="44" t="s">
        <v>175</v>
      </c>
      <c r="J185" s="44" t="s">
        <v>204</v>
      </c>
      <c r="K185" s="44" t="s">
        <v>406</v>
      </c>
      <c r="L185" s="43" t="s">
        <v>407</v>
      </c>
      <c r="M185" s="61" t="s">
        <v>206</v>
      </c>
      <c r="N185" s="55">
        <v>24</v>
      </c>
      <c r="O185" s="55">
        <v>5</v>
      </c>
      <c r="P185" s="28">
        <v>8.0000000000000002E-3</v>
      </c>
      <c r="Q185" s="43" t="s">
        <v>40</v>
      </c>
      <c r="R185" s="43" t="s">
        <v>56</v>
      </c>
      <c r="S185" s="44" t="s">
        <v>102</v>
      </c>
      <c r="T185" s="42">
        <v>150</v>
      </c>
      <c r="U185" s="70">
        <f>150/24</f>
        <v>6.25</v>
      </c>
      <c r="V185" s="42">
        <f>3552/24+2</f>
        <v>150</v>
      </c>
      <c r="W185" s="74">
        <f t="shared" si="49"/>
        <v>6.25</v>
      </c>
      <c r="X185" s="42">
        <f t="shared" si="50"/>
        <v>0</v>
      </c>
      <c r="Y185" s="42"/>
      <c r="Z185" s="42">
        <v>1</v>
      </c>
      <c r="AA185" s="42">
        <f>X185*Z185</f>
        <v>0</v>
      </c>
      <c r="AB185" s="44"/>
      <c r="AC185" s="42">
        <f t="shared" si="51"/>
        <v>0</v>
      </c>
      <c r="AD185" s="42">
        <f t="shared" si="52"/>
        <v>0</v>
      </c>
      <c r="AE185" s="15">
        <f t="shared" si="53"/>
        <v>0.115</v>
      </c>
      <c r="AF185" s="17">
        <f t="shared" si="45"/>
        <v>0</v>
      </c>
      <c r="AG185" s="11">
        <f t="shared" si="54"/>
        <v>3600</v>
      </c>
      <c r="AJ185" s="24"/>
      <c r="AK185" s="25">
        <v>12062338</v>
      </c>
      <c r="AL185" s="25">
        <v>12047514</v>
      </c>
      <c r="AM185" s="25">
        <v>12047515</v>
      </c>
      <c r="AN185" s="25"/>
      <c r="AO185" s="25" t="s">
        <v>401</v>
      </c>
      <c r="AP185" s="25" t="s">
        <v>208</v>
      </c>
      <c r="AQ185" s="25" t="s">
        <v>199</v>
      </c>
      <c r="AR185" s="25"/>
      <c r="AS185" s="25" t="s">
        <v>408</v>
      </c>
      <c r="AT185" s="25" t="s">
        <v>409</v>
      </c>
      <c r="AU185" s="25" t="s">
        <v>410</v>
      </c>
    </row>
    <row r="186" spans="1:47" ht="25" customHeight="1">
      <c r="B186" s="39">
        <v>43981</v>
      </c>
      <c r="C186" s="39">
        <v>43999</v>
      </c>
      <c r="D186" s="43" t="s">
        <v>467</v>
      </c>
      <c r="E186" s="43">
        <v>43953</v>
      </c>
      <c r="F186" s="43" t="s">
        <v>411</v>
      </c>
      <c r="G186" s="43" t="s">
        <v>104</v>
      </c>
      <c r="H186" s="44" t="s">
        <v>105</v>
      </c>
      <c r="I186" s="44" t="s">
        <v>175</v>
      </c>
      <c r="J186" s="44" t="s">
        <v>176</v>
      </c>
      <c r="K186" s="44" t="s">
        <v>177</v>
      </c>
      <c r="L186" s="43" t="s">
        <v>186</v>
      </c>
      <c r="M186" s="61" t="s">
        <v>187</v>
      </c>
      <c r="N186" s="55">
        <v>8</v>
      </c>
      <c r="O186" s="55">
        <v>5</v>
      </c>
      <c r="P186" s="28">
        <v>8.0000000000000002E-3</v>
      </c>
      <c r="Q186" s="43" t="s">
        <v>40</v>
      </c>
      <c r="R186" s="43" t="s">
        <v>112</v>
      </c>
      <c r="S186" s="43" t="s">
        <v>57</v>
      </c>
      <c r="T186" s="42">
        <v>621</v>
      </c>
      <c r="U186" s="70">
        <f>(4013+7878)/8-865</f>
        <v>621.375</v>
      </c>
      <c r="V186" s="42"/>
      <c r="W186" s="74">
        <f t="shared" si="49"/>
        <v>0.375</v>
      </c>
      <c r="X186" s="42">
        <f t="shared" si="50"/>
        <v>0</v>
      </c>
      <c r="Y186" s="42"/>
      <c r="Z186" s="42"/>
      <c r="AA186" s="42"/>
      <c r="AB186" s="44"/>
      <c r="AC186" s="42">
        <f t="shared" si="51"/>
        <v>0</v>
      </c>
      <c r="AD186" s="42">
        <f t="shared" si="52"/>
        <v>0</v>
      </c>
      <c r="AE186" s="15">
        <f t="shared" si="53"/>
        <v>0.14499999999999999</v>
      </c>
      <c r="AF186" s="17">
        <v>0.26621999999999996</v>
      </c>
      <c r="AG186" s="11">
        <f t="shared" si="54"/>
        <v>4968</v>
      </c>
      <c r="AJ186" s="24" t="s">
        <v>188</v>
      </c>
      <c r="AK186" s="25">
        <v>12062338</v>
      </c>
      <c r="AL186" s="25">
        <v>12047514</v>
      </c>
      <c r="AM186" s="25">
        <v>12047515</v>
      </c>
      <c r="AN186" s="25" t="s">
        <v>189</v>
      </c>
      <c r="AO186" s="25"/>
      <c r="AP186" s="25" t="s">
        <v>190</v>
      </c>
      <c r="AQ186" s="25"/>
      <c r="AR186" s="25"/>
      <c r="AS186" s="25"/>
      <c r="AT186" s="25"/>
      <c r="AU186" s="25"/>
    </row>
    <row r="187" spans="1:47" ht="25" customHeight="1">
      <c r="B187" s="39">
        <v>43981</v>
      </c>
      <c r="C187" s="39">
        <v>43999</v>
      </c>
      <c r="D187" s="43" t="s">
        <v>467</v>
      </c>
      <c r="E187" s="43">
        <v>43953</v>
      </c>
      <c r="F187" s="43" t="s">
        <v>412</v>
      </c>
      <c r="G187" s="43" t="s">
        <v>104</v>
      </c>
      <c r="H187" s="44" t="s">
        <v>105</v>
      </c>
      <c r="I187" s="44" t="s">
        <v>175</v>
      </c>
      <c r="J187" s="44" t="s">
        <v>176</v>
      </c>
      <c r="K187" s="44" t="s">
        <v>177</v>
      </c>
      <c r="L187" s="43" t="s">
        <v>186</v>
      </c>
      <c r="M187" s="61" t="s">
        <v>187</v>
      </c>
      <c r="N187" s="55">
        <v>8</v>
      </c>
      <c r="O187" s="55">
        <v>5</v>
      </c>
      <c r="P187" s="28">
        <v>8.0000000000000002E-3</v>
      </c>
      <c r="Q187" s="43" t="s">
        <v>40</v>
      </c>
      <c r="R187" s="43" t="s">
        <v>112</v>
      </c>
      <c r="S187" s="43" t="s">
        <v>57</v>
      </c>
      <c r="T187" s="42">
        <v>672</v>
      </c>
      <c r="U187" s="70">
        <f>865</f>
        <v>865</v>
      </c>
      <c r="V187" s="42"/>
      <c r="W187" s="74">
        <f t="shared" si="49"/>
        <v>193</v>
      </c>
      <c r="X187" s="42">
        <f t="shared" si="50"/>
        <v>0</v>
      </c>
      <c r="Y187" s="42"/>
      <c r="Z187" s="42"/>
      <c r="AA187" s="42"/>
      <c r="AB187" s="44"/>
      <c r="AC187" s="42">
        <f t="shared" si="51"/>
        <v>0</v>
      </c>
      <c r="AD187" s="42">
        <f t="shared" si="52"/>
        <v>0</v>
      </c>
      <c r="AE187" s="15">
        <f t="shared" si="53"/>
        <v>0.14499999999999999</v>
      </c>
      <c r="AF187" s="17">
        <v>0.26621999999999996</v>
      </c>
      <c r="AG187" s="11">
        <f t="shared" si="54"/>
        <v>5376</v>
      </c>
      <c r="AJ187" s="24" t="s">
        <v>188</v>
      </c>
      <c r="AK187" s="25">
        <v>12062338</v>
      </c>
      <c r="AL187" s="25">
        <v>12047514</v>
      </c>
      <c r="AM187" s="25">
        <v>12047515</v>
      </c>
      <c r="AN187" s="25" t="s">
        <v>189</v>
      </c>
      <c r="AO187" s="25"/>
      <c r="AP187" s="25" t="s">
        <v>190</v>
      </c>
      <c r="AQ187" s="25"/>
      <c r="AR187" s="25"/>
      <c r="AS187" s="25"/>
      <c r="AT187" s="25"/>
      <c r="AU187" s="25"/>
    </row>
    <row r="188" spans="1:47" ht="25" customHeight="1">
      <c r="B188" s="39">
        <v>43981</v>
      </c>
      <c r="C188" s="39">
        <v>43991</v>
      </c>
      <c r="D188" s="43" t="s">
        <v>467</v>
      </c>
      <c r="E188" s="43">
        <v>43953</v>
      </c>
      <c r="F188" s="43" t="s">
        <v>413</v>
      </c>
      <c r="G188" s="43" t="s">
        <v>104</v>
      </c>
      <c r="H188" s="44" t="s">
        <v>105</v>
      </c>
      <c r="I188" s="44" t="s">
        <v>106</v>
      </c>
      <c r="J188" s="44" t="s">
        <v>227</v>
      </c>
      <c r="K188" s="44" t="s">
        <v>236</v>
      </c>
      <c r="L188" s="43" t="s">
        <v>303</v>
      </c>
      <c r="M188" s="61" t="s">
        <v>304</v>
      </c>
      <c r="N188" s="55">
        <v>8</v>
      </c>
      <c r="O188" s="55">
        <v>5</v>
      </c>
      <c r="P188" s="28">
        <v>8.0000000000000002E-3</v>
      </c>
      <c r="Q188" s="43" t="s">
        <v>40</v>
      </c>
      <c r="R188" s="43" t="s">
        <v>112</v>
      </c>
      <c r="S188" s="43" t="s">
        <v>57</v>
      </c>
      <c r="T188" s="42">
        <v>3500</v>
      </c>
      <c r="U188" s="70"/>
      <c r="V188" s="42">
        <f>27457/8</f>
        <v>3432.125</v>
      </c>
      <c r="W188" s="74">
        <f t="shared" si="49"/>
        <v>-67.875</v>
      </c>
      <c r="X188" s="42">
        <f t="shared" si="50"/>
        <v>543</v>
      </c>
      <c r="Y188" s="42"/>
      <c r="Z188" s="42"/>
      <c r="AA188" s="42"/>
      <c r="AB188" s="44"/>
      <c r="AC188" s="42">
        <f t="shared" si="51"/>
        <v>21.72</v>
      </c>
      <c r="AD188" s="42">
        <f t="shared" si="52"/>
        <v>40.222222222222214</v>
      </c>
      <c r="AE188" s="15">
        <f t="shared" si="53"/>
        <v>0.25800000000000001</v>
      </c>
      <c r="AF188" s="17">
        <f t="shared" ref="AF188:AF193" si="55">(X188*AE188)/1000</f>
        <v>0.140094</v>
      </c>
      <c r="AG188" s="11">
        <f t="shared" si="54"/>
        <v>28000</v>
      </c>
      <c r="AJ188" s="24" t="s">
        <v>305</v>
      </c>
      <c r="AK188" s="25">
        <v>12062338</v>
      </c>
      <c r="AL188" s="25">
        <v>12042650</v>
      </c>
      <c r="AM188" s="25">
        <v>12042649</v>
      </c>
      <c r="AN188" s="25" t="s">
        <v>306</v>
      </c>
      <c r="AO188" s="25"/>
      <c r="AP188" s="25" t="s">
        <v>307</v>
      </c>
      <c r="AQ188" s="25"/>
      <c r="AR188" s="25"/>
      <c r="AS188" s="25"/>
      <c r="AT188" s="25"/>
      <c r="AU188" s="25"/>
    </row>
    <row r="189" spans="1:47" ht="25" customHeight="1">
      <c r="B189" s="39">
        <v>43981</v>
      </c>
      <c r="C189" s="39">
        <v>43999</v>
      </c>
      <c r="D189" s="43" t="s">
        <v>467</v>
      </c>
      <c r="E189" s="43">
        <v>43953</v>
      </c>
      <c r="F189" s="43" t="s">
        <v>411</v>
      </c>
      <c r="G189" s="43" t="s">
        <v>104</v>
      </c>
      <c r="H189" s="44" t="s">
        <v>105</v>
      </c>
      <c r="I189" s="44" t="s">
        <v>106</v>
      </c>
      <c r="J189" s="44" t="s">
        <v>227</v>
      </c>
      <c r="K189" s="44" t="s">
        <v>236</v>
      </c>
      <c r="L189" s="43" t="s">
        <v>414</v>
      </c>
      <c r="M189" s="61" t="s">
        <v>415</v>
      </c>
      <c r="N189" s="55">
        <v>24</v>
      </c>
      <c r="O189" s="55">
        <v>5</v>
      </c>
      <c r="P189" s="28">
        <v>8.0000000000000002E-3</v>
      </c>
      <c r="Q189" s="43" t="s">
        <v>40</v>
      </c>
      <c r="R189" s="43" t="s">
        <v>112</v>
      </c>
      <c r="S189" s="43" t="s">
        <v>57</v>
      </c>
      <c r="T189" s="42">
        <v>795</v>
      </c>
      <c r="U189" s="70"/>
      <c r="V189" s="42">
        <f>38160/24-795</f>
        <v>795</v>
      </c>
      <c r="W189" s="74">
        <f t="shared" si="49"/>
        <v>0</v>
      </c>
      <c r="X189" s="42">
        <f t="shared" si="50"/>
        <v>0</v>
      </c>
      <c r="Y189" s="42"/>
      <c r="Z189" s="42"/>
      <c r="AA189" s="42"/>
      <c r="AB189" s="44"/>
      <c r="AC189" s="42">
        <f t="shared" si="51"/>
        <v>0</v>
      </c>
      <c r="AD189" s="42">
        <f t="shared" si="52"/>
        <v>0</v>
      </c>
      <c r="AE189" s="15">
        <f t="shared" si="53"/>
        <v>0.25800000000000001</v>
      </c>
      <c r="AF189" s="17">
        <f t="shared" si="55"/>
        <v>0</v>
      </c>
      <c r="AG189" s="11">
        <f t="shared" si="54"/>
        <v>19080</v>
      </c>
      <c r="AJ189" s="24" t="s">
        <v>416</v>
      </c>
      <c r="AK189" s="25">
        <v>12062338</v>
      </c>
      <c r="AL189" s="25">
        <v>12042650</v>
      </c>
      <c r="AM189" s="25">
        <v>12042649</v>
      </c>
      <c r="AN189" s="25" t="s">
        <v>417</v>
      </c>
      <c r="AO189" s="25"/>
      <c r="AP189" s="25">
        <v>12069431</v>
      </c>
      <c r="AQ189" s="25" t="s">
        <v>418</v>
      </c>
      <c r="AR189" s="25"/>
      <c r="AS189" s="25" t="s">
        <v>419</v>
      </c>
      <c r="AT189" s="25"/>
      <c r="AU189" s="25"/>
    </row>
    <row r="190" spans="1:47" ht="25" customHeight="1">
      <c r="B190" s="39">
        <v>43981</v>
      </c>
      <c r="C190" s="39">
        <v>43999</v>
      </c>
      <c r="D190" s="43" t="s">
        <v>467</v>
      </c>
      <c r="E190" s="43">
        <v>43953</v>
      </c>
      <c r="F190" s="43" t="s">
        <v>412</v>
      </c>
      <c r="G190" s="43" t="s">
        <v>104</v>
      </c>
      <c r="H190" s="44" t="s">
        <v>105</v>
      </c>
      <c r="I190" s="44" t="s">
        <v>106</v>
      </c>
      <c r="J190" s="44" t="s">
        <v>227</v>
      </c>
      <c r="K190" s="44" t="s">
        <v>236</v>
      </c>
      <c r="L190" s="43" t="s">
        <v>414</v>
      </c>
      <c r="M190" s="61" t="s">
        <v>415</v>
      </c>
      <c r="N190" s="55">
        <v>24</v>
      </c>
      <c r="O190" s="55">
        <v>5</v>
      </c>
      <c r="P190" s="28">
        <v>8.0000000000000002E-3</v>
      </c>
      <c r="Q190" s="43" t="s">
        <v>40</v>
      </c>
      <c r="R190" s="43" t="s">
        <v>112</v>
      </c>
      <c r="S190" s="43" t="s">
        <v>57</v>
      </c>
      <c r="T190" s="42">
        <v>795</v>
      </c>
      <c r="U190" s="70">
        <f>61/24</f>
        <v>2.5416666666666665</v>
      </c>
      <c r="V190" s="42">
        <f>795</f>
        <v>795</v>
      </c>
      <c r="W190" s="74">
        <f t="shared" si="49"/>
        <v>2.5416666666666288</v>
      </c>
      <c r="X190" s="42">
        <f t="shared" si="50"/>
        <v>0</v>
      </c>
      <c r="Y190" s="42"/>
      <c r="Z190" s="42"/>
      <c r="AA190" s="42"/>
      <c r="AB190" s="44"/>
      <c r="AC190" s="42">
        <f t="shared" si="51"/>
        <v>0</v>
      </c>
      <c r="AD190" s="42">
        <f t="shared" si="52"/>
        <v>0</v>
      </c>
      <c r="AE190" s="15">
        <f t="shared" si="53"/>
        <v>0.25800000000000001</v>
      </c>
      <c r="AF190" s="17">
        <f t="shared" si="55"/>
        <v>0</v>
      </c>
      <c r="AG190" s="11">
        <f t="shared" si="54"/>
        <v>19080</v>
      </c>
      <c r="AJ190" s="24" t="s">
        <v>416</v>
      </c>
      <c r="AK190" s="25">
        <v>12062338</v>
      </c>
      <c r="AL190" s="25">
        <v>12042650</v>
      </c>
      <c r="AM190" s="25">
        <v>12042649</v>
      </c>
      <c r="AN190" s="25" t="s">
        <v>417</v>
      </c>
      <c r="AO190" s="25"/>
      <c r="AP190" s="25">
        <v>12069431</v>
      </c>
      <c r="AQ190" s="25" t="s">
        <v>418</v>
      </c>
      <c r="AR190" s="25"/>
      <c r="AS190" s="25" t="s">
        <v>419</v>
      </c>
      <c r="AT190" s="25"/>
      <c r="AU190" s="25"/>
    </row>
    <row r="191" spans="1:47" ht="25" customHeight="1">
      <c r="A191" s="26" t="s">
        <v>212</v>
      </c>
      <c r="B191" s="39">
        <v>43981</v>
      </c>
      <c r="C191" s="39">
        <v>43983</v>
      </c>
      <c r="D191" s="43" t="s">
        <v>467</v>
      </c>
      <c r="E191" s="43">
        <v>43953</v>
      </c>
      <c r="F191" s="43" t="s">
        <v>47</v>
      </c>
      <c r="G191" s="43" t="s">
        <v>48</v>
      </c>
      <c r="H191" s="44" t="s">
        <v>49</v>
      </c>
      <c r="I191" s="44" t="s">
        <v>61</v>
      </c>
      <c r="J191" s="44" t="s">
        <v>62</v>
      </c>
      <c r="K191" s="44" t="s">
        <v>63</v>
      </c>
      <c r="L191" s="43" t="s">
        <v>64</v>
      </c>
      <c r="M191" s="61" t="s">
        <v>65</v>
      </c>
      <c r="N191" s="55">
        <v>24</v>
      </c>
      <c r="O191" s="55">
        <v>3</v>
      </c>
      <c r="P191" s="28">
        <v>8.0000000000000002E-3</v>
      </c>
      <c r="Q191" s="43" t="s">
        <v>55</v>
      </c>
      <c r="R191" s="43" t="s">
        <v>56</v>
      </c>
      <c r="S191" s="43" t="s">
        <v>57</v>
      </c>
      <c r="T191" s="42">
        <f>625+6</f>
        <v>631</v>
      </c>
      <c r="U191" s="70"/>
      <c r="V191" s="42">
        <f>14328/24+2</f>
        <v>599</v>
      </c>
      <c r="W191" s="74">
        <f>(V191+U191)-T191</f>
        <v>-32</v>
      </c>
      <c r="X191" s="42">
        <f>IF(W191&lt;0,((T191*N191)-((V191+U191)*N191)),0)</f>
        <v>768</v>
      </c>
      <c r="Y191" s="42"/>
      <c r="Z191" s="42"/>
      <c r="AA191" s="42"/>
      <c r="AB191" s="44"/>
      <c r="AC191" s="42">
        <f>((X191*O191)/5400)*29.25</f>
        <v>12.48</v>
      </c>
      <c r="AD191" s="42">
        <f>AC191/0.54</f>
        <v>23.111111111111111</v>
      </c>
      <c r="AE191" s="15">
        <f>MID(M191,1,3)/1000</f>
        <v>0.216</v>
      </c>
      <c r="AF191" s="17">
        <f t="shared" si="55"/>
        <v>0.16588800000000001</v>
      </c>
      <c r="AG191" s="11">
        <f>T191*N191</f>
        <v>15144</v>
      </c>
      <c r="AJ191" s="24"/>
      <c r="AK191" s="25">
        <v>12062338</v>
      </c>
      <c r="AL191" s="25">
        <v>12042650</v>
      </c>
      <c r="AM191" s="25">
        <v>12042649</v>
      </c>
      <c r="AN191" s="25"/>
      <c r="AO191" s="25"/>
      <c r="AP191" s="25" t="s">
        <v>66</v>
      </c>
      <c r="AQ191" s="25"/>
      <c r="AR191" s="25"/>
      <c r="AS191" s="25" t="s">
        <v>67</v>
      </c>
      <c r="AT191" s="25">
        <v>12069367</v>
      </c>
      <c r="AU191" s="25"/>
    </row>
    <row r="192" spans="1:47" ht="25" customHeight="1">
      <c r="A192" s="27" t="s">
        <v>120</v>
      </c>
      <c r="B192" s="39">
        <v>43981</v>
      </c>
      <c r="C192" s="39">
        <v>43998</v>
      </c>
      <c r="D192" s="43" t="s">
        <v>467</v>
      </c>
      <c r="E192" s="43">
        <v>43953</v>
      </c>
      <c r="F192" s="43" t="s">
        <v>391</v>
      </c>
      <c r="G192" s="43" t="s">
        <v>392</v>
      </c>
      <c r="H192" s="44" t="s">
        <v>393</v>
      </c>
      <c r="I192" s="44" t="s">
        <v>84</v>
      </c>
      <c r="J192" s="44" t="s">
        <v>153</v>
      </c>
      <c r="K192" s="44" t="s">
        <v>165</v>
      </c>
      <c r="L192" s="43" t="s">
        <v>394</v>
      </c>
      <c r="M192" s="61" t="s">
        <v>395</v>
      </c>
      <c r="N192" s="55">
        <v>20</v>
      </c>
      <c r="O192" s="55">
        <v>12</v>
      </c>
      <c r="P192" s="28">
        <v>6.8100000000000001E-3</v>
      </c>
      <c r="Q192" s="43" t="s">
        <v>76</v>
      </c>
      <c r="R192" s="43" t="s">
        <v>56</v>
      </c>
      <c r="S192" s="43" t="s">
        <v>89</v>
      </c>
      <c r="T192" s="42">
        <f>1400-501</f>
        <v>899</v>
      </c>
      <c r="U192" s="70">
        <f>264/20</f>
        <v>13.2</v>
      </c>
      <c r="V192" s="42">
        <f>1088-189</f>
        <v>899</v>
      </c>
      <c r="W192" s="74">
        <f>(V192+U192)-T192</f>
        <v>13.200000000000045</v>
      </c>
      <c r="X192" s="42">
        <f>IF(W192&lt;0,((T192*N192)-((V192+U192)*N192)),0)</f>
        <v>0</v>
      </c>
      <c r="Y192" s="42">
        <f>O192*X192</f>
        <v>0</v>
      </c>
      <c r="Z192" s="42">
        <v>2</v>
      </c>
      <c r="AA192" s="42">
        <f>X192*Z192</f>
        <v>0</v>
      </c>
      <c r="AB192" s="44"/>
      <c r="AC192" s="42">
        <f>SUM(O192*P192*X192)</f>
        <v>0</v>
      </c>
      <c r="AD192" s="42">
        <f>AC192/0.54</f>
        <v>0</v>
      </c>
      <c r="AE192" s="15">
        <f>MID(M192,1,3)/1000</f>
        <v>0.14399999999999999</v>
      </c>
      <c r="AF192" s="17">
        <f t="shared" si="55"/>
        <v>0</v>
      </c>
      <c r="AG192" s="11">
        <f>T192*N192</f>
        <v>17980</v>
      </c>
      <c r="AH192">
        <f>AG192*O192</f>
        <v>215760</v>
      </c>
      <c r="AJ192" s="24"/>
      <c r="AK192" s="25" t="s">
        <v>158</v>
      </c>
      <c r="AL192" s="25" t="s">
        <v>169</v>
      </c>
      <c r="AM192" s="25"/>
      <c r="AN192" s="25" t="s">
        <v>396</v>
      </c>
      <c r="AO192" s="25"/>
      <c r="AP192" s="25" t="s">
        <v>397</v>
      </c>
      <c r="AQ192" s="25"/>
      <c r="AR192" s="25" t="s">
        <v>398</v>
      </c>
      <c r="AS192" s="25"/>
      <c r="AT192" s="25"/>
      <c r="AU192" s="25"/>
    </row>
    <row r="193" spans="1:47" ht="25" customHeight="1">
      <c r="A193" s="27" t="s">
        <v>120</v>
      </c>
      <c r="B193" s="39">
        <v>43981</v>
      </c>
      <c r="C193" s="39">
        <v>43997</v>
      </c>
      <c r="D193" s="43" t="s">
        <v>467</v>
      </c>
      <c r="E193" s="43">
        <v>43953</v>
      </c>
      <c r="F193" s="43" t="s">
        <v>420</v>
      </c>
      <c r="G193" s="43" t="s">
        <v>344</v>
      </c>
      <c r="H193" s="44" t="s">
        <v>345</v>
      </c>
      <c r="I193" s="44" t="s">
        <v>84</v>
      </c>
      <c r="J193" s="44" t="s">
        <v>153</v>
      </c>
      <c r="K193" s="44" t="s">
        <v>214</v>
      </c>
      <c r="L193" s="43" t="s">
        <v>346</v>
      </c>
      <c r="M193" s="61" t="s">
        <v>347</v>
      </c>
      <c r="N193" s="55">
        <v>18</v>
      </c>
      <c r="O193" s="55">
        <v>8</v>
      </c>
      <c r="P193" s="28">
        <v>6.8100000000000001E-3</v>
      </c>
      <c r="Q193" s="43" t="s">
        <v>76</v>
      </c>
      <c r="R193" s="43" t="s">
        <v>56</v>
      </c>
      <c r="S193" s="43" t="s">
        <v>89</v>
      </c>
      <c r="T193" s="42">
        <v>1200</v>
      </c>
      <c r="U193" s="70"/>
      <c r="V193" s="42">
        <v>1200</v>
      </c>
      <c r="W193" s="74">
        <f>(V193+U193)-T193</f>
        <v>0</v>
      </c>
      <c r="X193" s="42">
        <f>IF(W193&lt;0,((T193*N193)-((V193+U193)*N193)),0)</f>
        <v>0</v>
      </c>
      <c r="Y193" s="42">
        <f>O193*X193</f>
        <v>0</v>
      </c>
      <c r="Z193" s="42">
        <v>1</v>
      </c>
      <c r="AA193" s="42">
        <f>X193*Z193</f>
        <v>0</v>
      </c>
      <c r="AB193" s="44"/>
      <c r="AC193" s="42">
        <f>SUM(O193*P193*X193)</f>
        <v>0</v>
      </c>
      <c r="AD193" s="42">
        <f>AC193/0.54</f>
        <v>0</v>
      </c>
      <c r="AE193" s="15">
        <f>MID(M193,1,3)/1000</f>
        <v>0.10100000000000001</v>
      </c>
      <c r="AF193" s="17">
        <f t="shared" si="55"/>
        <v>0</v>
      </c>
      <c r="AG193" s="11">
        <f>T193*N193</f>
        <v>21600</v>
      </c>
      <c r="AJ193" s="24" t="s">
        <v>157</v>
      </c>
      <c r="AK193" s="25" t="s">
        <v>158</v>
      </c>
      <c r="AL193" s="25" t="s">
        <v>159</v>
      </c>
      <c r="AM193" s="25"/>
      <c r="AN193" s="25" t="s">
        <v>160</v>
      </c>
      <c r="AO193" s="25"/>
      <c r="AP193" s="25" t="s">
        <v>161</v>
      </c>
      <c r="AQ193" s="25"/>
      <c r="AR193" s="25" t="s">
        <v>162</v>
      </c>
      <c r="AS193" s="25"/>
      <c r="AT193" s="25"/>
      <c r="AU193" s="25"/>
    </row>
    <row r="194" spans="1:47" ht="25" customHeight="1">
      <c r="B194" s="35">
        <v>43982</v>
      </c>
      <c r="C194" s="35"/>
      <c r="D194" s="45" t="s">
        <v>468</v>
      </c>
      <c r="E194" s="45">
        <v>43953</v>
      </c>
      <c r="F194" s="45"/>
      <c r="G194" s="45"/>
      <c r="H194" s="46"/>
      <c r="I194" s="46"/>
      <c r="J194" s="46"/>
      <c r="K194" s="46"/>
      <c r="L194" s="45"/>
      <c r="M194" s="62"/>
      <c r="N194" s="54"/>
      <c r="O194" s="54"/>
      <c r="P194" s="57"/>
      <c r="Q194" s="45"/>
      <c r="R194" s="45"/>
      <c r="S194" s="45"/>
      <c r="T194" s="38"/>
      <c r="U194" s="69"/>
      <c r="V194" s="38"/>
      <c r="W194" s="73"/>
      <c r="X194" s="38"/>
      <c r="Y194" s="38"/>
      <c r="Z194" s="38"/>
      <c r="AA194" s="38"/>
      <c r="AB194" s="46"/>
      <c r="AC194" s="38"/>
      <c r="AD194" s="38"/>
      <c r="AE194" s="16"/>
      <c r="AF194" s="19"/>
      <c r="AJ194" s="24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</row>
  </sheetData>
  <autoFilter ref="A2:AU194" xr:uid="{00000000-0009-0000-0000-000005000000}"/>
  <conditionalFormatting sqref="B2:E2">
    <cfRule type="cellIs" dxfId="1" priority="1" stopIfTrue="1" operator="equal">
      <formula>41790.5</formula>
    </cfRule>
  </conditionalFormatting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tabColor rgb="FFFFFF00"/>
  </sheetPr>
  <dimension ref="A1:D1827"/>
  <sheetViews>
    <sheetView topLeftCell="A341" workbookViewId="0">
      <selection activeCell="B341" sqref="B1:B1048576"/>
    </sheetView>
  </sheetViews>
  <sheetFormatPr defaultRowHeight="14"/>
  <cols>
    <col min="1" max="1" width="17" style="5" customWidth="1"/>
    <col min="2" max="2" width="14" style="26" customWidth="1"/>
    <col min="3" max="3" width="15.25" style="47" customWidth="1"/>
    <col min="4" max="4" width="9" style="26" customWidth="1"/>
  </cols>
  <sheetData>
    <row r="1" spans="1:4">
      <c r="A1" s="48" t="s">
        <v>439</v>
      </c>
      <c r="B1" s="49" t="s">
        <v>440</v>
      </c>
      <c r="C1" s="50" t="s">
        <v>6</v>
      </c>
      <c r="D1" s="49"/>
    </row>
    <row r="2" spans="1:4">
      <c r="A2" s="5">
        <v>44197</v>
      </c>
      <c r="B2" s="26" t="s">
        <v>442</v>
      </c>
      <c r="C2" s="47">
        <v>44197</v>
      </c>
      <c r="D2" s="26" t="s">
        <v>444</v>
      </c>
    </row>
    <row r="3" spans="1:4">
      <c r="A3" s="5">
        <f>A2+1</f>
        <v>44198</v>
      </c>
      <c r="B3" s="26" t="s">
        <v>442</v>
      </c>
      <c r="C3" s="47">
        <v>44197</v>
      </c>
      <c r="D3" s="26" t="s">
        <v>445</v>
      </c>
    </row>
    <row r="4" spans="1:4">
      <c r="A4" s="5">
        <f t="shared" ref="A4:A67" si="0">A3+1</f>
        <v>44199</v>
      </c>
      <c r="B4" s="26" t="s">
        <v>446</v>
      </c>
      <c r="C4" s="47">
        <v>44197</v>
      </c>
      <c r="D4" s="26" t="s">
        <v>447</v>
      </c>
    </row>
    <row r="5" spans="1:4">
      <c r="A5" s="5">
        <f t="shared" si="0"/>
        <v>44200</v>
      </c>
      <c r="B5" s="26" t="s">
        <v>446</v>
      </c>
      <c r="C5" s="47">
        <v>44197</v>
      </c>
      <c r="D5" s="26" t="s">
        <v>448</v>
      </c>
    </row>
    <row r="6" spans="1:4">
      <c r="A6" s="5">
        <f t="shared" si="0"/>
        <v>44201</v>
      </c>
      <c r="B6" s="26" t="s">
        <v>446</v>
      </c>
      <c r="C6" s="47">
        <v>44197</v>
      </c>
      <c r="D6" s="26" t="s">
        <v>449</v>
      </c>
    </row>
    <row r="7" spans="1:4">
      <c r="A7" s="5">
        <f t="shared" si="0"/>
        <v>44202</v>
      </c>
      <c r="B7" s="26" t="s">
        <v>446</v>
      </c>
      <c r="C7" s="47">
        <v>44197</v>
      </c>
      <c r="D7" s="26" t="s">
        <v>441</v>
      </c>
    </row>
    <row r="8" spans="1:4">
      <c r="A8" s="5">
        <f t="shared" si="0"/>
        <v>44203</v>
      </c>
      <c r="B8" s="26" t="s">
        <v>446</v>
      </c>
      <c r="C8" s="47">
        <v>44197</v>
      </c>
      <c r="D8" s="26" t="s">
        <v>443</v>
      </c>
    </row>
    <row r="9" spans="1:4">
      <c r="A9" s="5">
        <f t="shared" si="0"/>
        <v>44204</v>
      </c>
      <c r="B9" s="26" t="s">
        <v>446</v>
      </c>
      <c r="C9" s="47">
        <v>44197</v>
      </c>
      <c r="D9" s="26" t="s">
        <v>444</v>
      </c>
    </row>
    <row r="10" spans="1:4">
      <c r="A10" s="5">
        <f t="shared" si="0"/>
        <v>44205</v>
      </c>
      <c r="B10" s="26" t="s">
        <v>446</v>
      </c>
      <c r="C10" s="47">
        <v>44197</v>
      </c>
      <c r="D10" s="26" t="s">
        <v>445</v>
      </c>
    </row>
    <row r="11" spans="1:4">
      <c r="A11" s="5">
        <f t="shared" si="0"/>
        <v>44206</v>
      </c>
      <c r="B11" s="26" t="s">
        <v>450</v>
      </c>
      <c r="C11" s="47">
        <v>44197</v>
      </c>
      <c r="D11" s="26" t="s">
        <v>447</v>
      </c>
    </row>
    <row r="12" spans="1:4">
      <c r="A12" s="5">
        <f t="shared" si="0"/>
        <v>44207</v>
      </c>
      <c r="B12" s="26" t="s">
        <v>450</v>
      </c>
      <c r="C12" s="47">
        <v>44197</v>
      </c>
      <c r="D12" s="26" t="s">
        <v>448</v>
      </c>
    </row>
    <row r="13" spans="1:4">
      <c r="A13" s="5">
        <f t="shared" si="0"/>
        <v>44208</v>
      </c>
      <c r="B13" s="26" t="s">
        <v>450</v>
      </c>
      <c r="C13" s="47">
        <v>44197</v>
      </c>
      <c r="D13" s="26" t="s">
        <v>449</v>
      </c>
    </row>
    <row r="14" spans="1:4">
      <c r="A14" s="5">
        <f t="shared" si="0"/>
        <v>44209</v>
      </c>
      <c r="B14" s="26" t="s">
        <v>450</v>
      </c>
      <c r="C14" s="47">
        <v>44197</v>
      </c>
      <c r="D14" s="26" t="s">
        <v>441</v>
      </c>
    </row>
    <row r="15" spans="1:4">
      <c r="A15" s="5">
        <f t="shared" si="0"/>
        <v>44210</v>
      </c>
      <c r="B15" s="26" t="s">
        <v>450</v>
      </c>
      <c r="C15" s="47">
        <v>44197</v>
      </c>
      <c r="D15" s="26" t="s">
        <v>443</v>
      </c>
    </row>
    <row r="16" spans="1:4">
      <c r="A16" s="5">
        <f t="shared" si="0"/>
        <v>44211</v>
      </c>
      <c r="B16" s="26" t="s">
        <v>450</v>
      </c>
      <c r="C16" s="47">
        <v>44197</v>
      </c>
      <c r="D16" s="26" t="s">
        <v>444</v>
      </c>
    </row>
    <row r="17" spans="1:4">
      <c r="A17" s="5">
        <f>A16+1</f>
        <v>44212</v>
      </c>
      <c r="B17" s="26" t="s">
        <v>450</v>
      </c>
      <c r="C17" s="47">
        <v>44197</v>
      </c>
      <c r="D17" s="26" t="s">
        <v>445</v>
      </c>
    </row>
    <row r="18" spans="1:4">
      <c r="A18" s="5">
        <f t="shared" si="0"/>
        <v>44213</v>
      </c>
      <c r="B18" s="26" t="s">
        <v>451</v>
      </c>
      <c r="C18" s="47">
        <v>44197</v>
      </c>
      <c r="D18" s="26" t="s">
        <v>447</v>
      </c>
    </row>
    <row r="19" spans="1:4">
      <c r="A19" s="5">
        <f t="shared" si="0"/>
        <v>44214</v>
      </c>
      <c r="B19" s="26" t="s">
        <v>451</v>
      </c>
      <c r="C19" s="47">
        <v>44197</v>
      </c>
      <c r="D19" s="26" t="s">
        <v>448</v>
      </c>
    </row>
    <row r="20" spans="1:4">
      <c r="A20" s="5">
        <f t="shared" si="0"/>
        <v>44215</v>
      </c>
      <c r="B20" s="26" t="s">
        <v>451</v>
      </c>
      <c r="C20" s="47">
        <v>44197</v>
      </c>
      <c r="D20" s="26" t="s">
        <v>449</v>
      </c>
    </row>
    <row r="21" spans="1:4">
      <c r="A21" s="5">
        <f t="shared" si="0"/>
        <v>44216</v>
      </c>
      <c r="B21" s="26" t="s">
        <v>451</v>
      </c>
      <c r="C21" s="47">
        <v>44197</v>
      </c>
      <c r="D21" s="26" t="s">
        <v>441</v>
      </c>
    </row>
    <row r="22" spans="1:4">
      <c r="A22" s="5">
        <f t="shared" si="0"/>
        <v>44217</v>
      </c>
      <c r="B22" s="26" t="s">
        <v>451</v>
      </c>
      <c r="C22" s="47">
        <v>44197</v>
      </c>
      <c r="D22" s="26" t="s">
        <v>443</v>
      </c>
    </row>
    <row r="23" spans="1:4">
      <c r="A23" s="5">
        <f t="shared" si="0"/>
        <v>44218</v>
      </c>
      <c r="B23" s="26" t="s">
        <v>451</v>
      </c>
      <c r="C23" s="47">
        <v>44197</v>
      </c>
      <c r="D23" s="26" t="s">
        <v>444</v>
      </c>
    </row>
    <row r="24" spans="1:4">
      <c r="A24" s="5">
        <f t="shared" si="0"/>
        <v>44219</v>
      </c>
      <c r="B24" s="26" t="s">
        <v>451</v>
      </c>
      <c r="C24" s="47">
        <v>44197</v>
      </c>
      <c r="D24" s="26" t="s">
        <v>445</v>
      </c>
    </row>
    <row r="25" spans="1:4">
      <c r="A25" s="5">
        <f t="shared" si="0"/>
        <v>44220</v>
      </c>
      <c r="B25" s="26" t="s">
        <v>452</v>
      </c>
      <c r="C25" s="47">
        <v>44197</v>
      </c>
      <c r="D25" s="26" t="s">
        <v>447</v>
      </c>
    </row>
    <row r="26" spans="1:4">
      <c r="A26" s="5">
        <f>A25+1</f>
        <v>44221</v>
      </c>
      <c r="B26" s="26" t="s">
        <v>452</v>
      </c>
      <c r="C26" s="47">
        <v>44197</v>
      </c>
      <c r="D26" s="26" t="s">
        <v>448</v>
      </c>
    </row>
    <row r="27" spans="1:4">
      <c r="A27" s="5">
        <f t="shared" si="0"/>
        <v>44222</v>
      </c>
      <c r="B27" s="26" t="s">
        <v>452</v>
      </c>
      <c r="C27" s="47">
        <v>44197</v>
      </c>
      <c r="D27" s="26" t="s">
        <v>449</v>
      </c>
    </row>
    <row r="28" spans="1:4">
      <c r="A28" s="5">
        <f t="shared" si="0"/>
        <v>44223</v>
      </c>
      <c r="B28" s="26" t="s">
        <v>452</v>
      </c>
      <c r="C28" s="47">
        <v>44197</v>
      </c>
      <c r="D28" s="26" t="s">
        <v>441</v>
      </c>
    </row>
    <row r="29" spans="1:4">
      <c r="A29" s="5">
        <f t="shared" si="0"/>
        <v>44224</v>
      </c>
      <c r="B29" s="26" t="s">
        <v>452</v>
      </c>
      <c r="C29" s="47">
        <v>44197</v>
      </c>
      <c r="D29" s="26" t="s">
        <v>443</v>
      </c>
    </row>
    <row r="30" spans="1:4">
      <c r="A30" s="5">
        <f t="shared" si="0"/>
        <v>44225</v>
      </c>
      <c r="B30" s="26" t="s">
        <v>452</v>
      </c>
      <c r="C30" s="47">
        <v>44197</v>
      </c>
      <c r="D30" s="26" t="s">
        <v>444</v>
      </c>
    </row>
    <row r="31" spans="1:4">
      <c r="A31" s="5">
        <f t="shared" si="0"/>
        <v>44226</v>
      </c>
      <c r="B31" s="26" t="s">
        <v>452</v>
      </c>
      <c r="C31" s="47">
        <v>44197</v>
      </c>
      <c r="D31" s="26" t="s">
        <v>445</v>
      </c>
    </row>
    <row r="32" spans="1:4">
      <c r="A32" s="5">
        <f t="shared" si="0"/>
        <v>44227</v>
      </c>
      <c r="B32" s="26" t="s">
        <v>453</v>
      </c>
      <c r="C32" s="47">
        <v>44197</v>
      </c>
      <c r="D32" s="26" t="s">
        <v>447</v>
      </c>
    </row>
    <row r="33" spans="1:4">
      <c r="A33" s="5">
        <f t="shared" si="0"/>
        <v>44228</v>
      </c>
      <c r="B33" s="26" t="s">
        <v>453</v>
      </c>
      <c r="C33" s="47">
        <v>44228</v>
      </c>
      <c r="D33" s="26" t="s">
        <v>448</v>
      </c>
    </row>
    <row r="34" spans="1:4">
      <c r="A34" s="5">
        <f t="shared" si="0"/>
        <v>44229</v>
      </c>
      <c r="B34" s="26" t="s">
        <v>453</v>
      </c>
      <c r="C34" s="47">
        <v>44228</v>
      </c>
      <c r="D34" s="26" t="s">
        <v>449</v>
      </c>
    </row>
    <row r="35" spans="1:4">
      <c r="A35" s="5">
        <f t="shared" si="0"/>
        <v>44230</v>
      </c>
      <c r="B35" s="26" t="s">
        <v>453</v>
      </c>
      <c r="C35" s="47">
        <v>44228</v>
      </c>
      <c r="D35" s="26" t="s">
        <v>441</v>
      </c>
    </row>
    <row r="36" spans="1:4">
      <c r="A36" s="5">
        <f t="shared" si="0"/>
        <v>44231</v>
      </c>
      <c r="B36" s="26" t="s">
        <v>453</v>
      </c>
      <c r="C36" s="47">
        <v>44228</v>
      </c>
      <c r="D36" s="26" t="s">
        <v>443</v>
      </c>
    </row>
    <row r="37" spans="1:4">
      <c r="A37" s="5">
        <f t="shared" si="0"/>
        <v>44232</v>
      </c>
      <c r="B37" s="26" t="s">
        <v>453</v>
      </c>
      <c r="C37" s="47">
        <v>44228</v>
      </c>
      <c r="D37" s="26" t="s">
        <v>444</v>
      </c>
    </row>
    <row r="38" spans="1:4">
      <c r="A38" s="5">
        <f t="shared" si="0"/>
        <v>44233</v>
      </c>
      <c r="B38" s="26" t="s">
        <v>453</v>
      </c>
      <c r="C38" s="47">
        <v>44228</v>
      </c>
      <c r="D38" s="26" t="s">
        <v>445</v>
      </c>
    </row>
    <row r="39" spans="1:4">
      <c r="A39" s="5">
        <f t="shared" si="0"/>
        <v>44234</v>
      </c>
      <c r="B39" s="26" t="s">
        <v>454</v>
      </c>
      <c r="C39" s="47">
        <v>44228</v>
      </c>
      <c r="D39" s="26" t="s">
        <v>447</v>
      </c>
    </row>
    <row r="40" spans="1:4">
      <c r="A40" s="5">
        <f t="shared" si="0"/>
        <v>44235</v>
      </c>
      <c r="B40" s="26" t="s">
        <v>454</v>
      </c>
      <c r="C40" s="47">
        <v>44228</v>
      </c>
      <c r="D40" s="26" t="s">
        <v>448</v>
      </c>
    </row>
    <row r="41" spans="1:4">
      <c r="A41" s="5">
        <f t="shared" si="0"/>
        <v>44236</v>
      </c>
      <c r="B41" s="26" t="s">
        <v>454</v>
      </c>
      <c r="C41" s="47">
        <v>44228</v>
      </c>
      <c r="D41" s="26" t="s">
        <v>449</v>
      </c>
    </row>
    <row r="42" spans="1:4">
      <c r="A42" s="5">
        <f t="shared" si="0"/>
        <v>44237</v>
      </c>
      <c r="B42" s="26" t="s">
        <v>454</v>
      </c>
      <c r="C42" s="47">
        <v>44228</v>
      </c>
      <c r="D42" s="26" t="s">
        <v>441</v>
      </c>
    </row>
    <row r="43" spans="1:4">
      <c r="A43" s="5">
        <f t="shared" si="0"/>
        <v>44238</v>
      </c>
      <c r="B43" s="26" t="s">
        <v>454</v>
      </c>
      <c r="C43" s="47">
        <v>44228</v>
      </c>
      <c r="D43" s="26" t="s">
        <v>443</v>
      </c>
    </row>
    <row r="44" spans="1:4">
      <c r="A44" s="5">
        <f t="shared" si="0"/>
        <v>44239</v>
      </c>
      <c r="B44" s="26" t="s">
        <v>454</v>
      </c>
      <c r="C44" s="47">
        <v>44228</v>
      </c>
      <c r="D44" s="26" t="s">
        <v>444</v>
      </c>
    </row>
    <row r="45" spans="1:4">
      <c r="A45" s="5">
        <f t="shared" si="0"/>
        <v>44240</v>
      </c>
      <c r="B45" s="26" t="s">
        <v>454</v>
      </c>
      <c r="C45" s="47">
        <v>44228</v>
      </c>
      <c r="D45" s="26" t="s">
        <v>445</v>
      </c>
    </row>
    <row r="46" spans="1:4">
      <c r="A46" s="5">
        <f t="shared" si="0"/>
        <v>44241</v>
      </c>
      <c r="B46" s="26" t="s">
        <v>455</v>
      </c>
      <c r="C46" s="47">
        <v>44228</v>
      </c>
      <c r="D46" s="26" t="s">
        <v>447</v>
      </c>
    </row>
    <row r="47" spans="1:4">
      <c r="A47" s="5">
        <f t="shared" si="0"/>
        <v>44242</v>
      </c>
      <c r="B47" s="26" t="s">
        <v>455</v>
      </c>
      <c r="C47" s="47">
        <v>44228</v>
      </c>
      <c r="D47" s="26" t="s">
        <v>448</v>
      </c>
    </row>
    <row r="48" spans="1:4">
      <c r="A48" s="5">
        <f t="shared" si="0"/>
        <v>44243</v>
      </c>
      <c r="B48" s="26" t="s">
        <v>455</v>
      </c>
      <c r="C48" s="47">
        <v>44228</v>
      </c>
      <c r="D48" s="26" t="s">
        <v>449</v>
      </c>
    </row>
    <row r="49" spans="1:4">
      <c r="A49" s="5">
        <f t="shared" si="0"/>
        <v>44244</v>
      </c>
      <c r="B49" s="26" t="s">
        <v>455</v>
      </c>
      <c r="C49" s="47">
        <v>44228</v>
      </c>
      <c r="D49" s="26" t="s">
        <v>441</v>
      </c>
    </row>
    <row r="50" spans="1:4">
      <c r="A50" s="5">
        <f t="shared" si="0"/>
        <v>44245</v>
      </c>
      <c r="B50" s="26" t="s">
        <v>455</v>
      </c>
      <c r="C50" s="47">
        <v>44228</v>
      </c>
      <c r="D50" s="26" t="s">
        <v>443</v>
      </c>
    </row>
    <row r="51" spans="1:4">
      <c r="A51" s="5">
        <f t="shared" si="0"/>
        <v>44246</v>
      </c>
      <c r="B51" s="26" t="s">
        <v>455</v>
      </c>
      <c r="C51" s="47">
        <v>44228</v>
      </c>
      <c r="D51" s="26" t="s">
        <v>444</v>
      </c>
    </row>
    <row r="52" spans="1:4">
      <c r="A52" s="5">
        <f t="shared" si="0"/>
        <v>44247</v>
      </c>
      <c r="B52" s="26" t="s">
        <v>455</v>
      </c>
      <c r="C52" s="47">
        <v>44228</v>
      </c>
      <c r="D52" s="26" t="s">
        <v>445</v>
      </c>
    </row>
    <row r="53" spans="1:4">
      <c r="A53" s="5">
        <f t="shared" si="0"/>
        <v>44248</v>
      </c>
      <c r="B53" s="26" t="s">
        <v>456</v>
      </c>
      <c r="C53" s="47">
        <v>44228</v>
      </c>
      <c r="D53" s="26" t="s">
        <v>447</v>
      </c>
    </row>
    <row r="54" spans="1:4">
      <c r="A54" s="5">
        <f t="shared" si="0"/>
        <v>44249</v>
      </c>
      <c r="B54" s="26" t="s">
        <v>456</v>
      </c>
      <c r="C54" s="47">
        <v>44228</v>
      </c>
      <c r="D54" s="26" t="s">
        <v>448</v>
      </c>
    </row>
    <row r="55" spans="1:4">
      <c r="A55" s="5">
        <f t="shared" si="0"/>
        <v>44250</v>
      </c>
      <c r="B55" s="26" t="s">
        <v>456</v>
      </c>
      <c r="C55" s="47">
        <v>44228</v>
      </c>
      <c r="D55" s="26" t="s">
        <v>449</v>
      </c>
    </row>
    <row r="56" spans="1:4">
      <c r="A56" s="5">
        <f t="shared" si="0"/>
        <v>44251</v>
      </c>
      <c r="B56" s="26" t="s">
        <v>456</v>
      </c>
      <c r="C56" s="47">
        <v>44228</v>
      </c>
      <c r="D56" s="26" t="s">
        <v>441</v>
      </c>
    </row>
    <row r="57" spans="1:4">
      <c r="A57" s="5">
        <f t="shared" si="0"/>
        <v>44252</v>
      </c>
      <c r="B57" s="26" t="s">
        <v>456</v>
      </c>
      <c r="C57" s="47">
        <v>44228</v>
      </c>
      <c r="D57" s="26" t="s">
        <v>443</v>
      </c>
    </row>
    <row r="58" spans="1:4">
      <c r="A58" s="5">
        <f t="shared" si="0"/>
        <v>44253</v>
      </c>
      <c r="B58" s="26" t="s">
        <v>456</v>
      </c>
      <c r="C58" s="47">
        <v>44228</v>
      </c>
      <c r="D58" s="26" t="s">
        <v>444</v>
      </c>
    </row>
    <row r="59" spans="1:4">
      <c r="A59" s="5">
        <f t="shared" si="0"/>
        <v>44254</v>
      </c>
      <c r="B59" s="26" t="s">
        <v>456</v>
      </c>
      <c r="C59" s="47">
        <v>44228</v>
      </c>
      <c r="D59" s="26" t="s">
        <v>445</v>
      </c>
    </row>
    <row r="60" spans="1:4">
      <c r="A60" s="5">
        <f t="shared" si="0"/>
        <v>44255</v>
      </c>
      <c r="B60" s="26" t="s">
        <v>457</v>
      </c>
      <c r="C60" s="47">
        <v>44228</v>
      </c>
      <c r="D60" s="26" t="s">
        <v>447</v>
      </c>
    </row>
    <row r="61" spans="1:4">
      <c r="A61" s="5">
        <f t="shared" si="0"/>
        <v>44256</v>
      </c>
      <c r="B61" s="26" t="s">
        <v>457</v>
      </c>
      <c r="C61" s="47">
        <v>44256</v>
      </c>
      <c r="D61" s="26" t="s">
        <v>448</v>
      </c>
    </row>
    <row r="62" spans="1:4">
      <c r="A62" s="5">
        <f t="shared" si="0"/>
        <v>44257</v>
      </c>
      <c r="B62" s="26" t="s">
        <v>457</v>
      </c>
      <c r="C62" s="47">
        <v>44256</v>
      </c>
      <c r="D62" s="26" t="s">
        <v>449</v>
      </c>
    </row>
    <row r="63" spans="1:4">
      <c r="A63" s="5">
        <f t="shared" si="0"/>
        <v>44258</v>
      </c>
      <c r="B63" s="26" t="s">
        <v>457</v>
      </c>
      <c r="C63" s="47">
        <v>44256</v>
      </c>
      <c r="D63" s="26" t="s">
        <v>441</v>
      </c>
    </row>
    <row r="64" spans="1:4">
      <c r="A64" s="5">
        <f t="shared" si="0"/>
        <v>44259</v>
      </c>
      <c r="B64" s="26" t="s">
        <v>457</v>
      </c>
      <c r="C64" s="47">
        <v>44256</v>
      </c>
      <c r="D64" s="26" t="s">
        <v>443</v>
      </c>
    </row>
    <row r="65" spans="1:4">
      <c r="A65" s="5">
        <f t="shared" si="0"/>
        <v>44260</v>
      </c>
      <c r="B65" s="26" t="s">
        <v>457</v>
      </c>
      <c r="C65" s="47">
        <v>44256</v>
      </c>
      <c r="D65" s="26" t="s">
        <v>444</v>
      </c>
    </row>
    <row r="66" spans="1:4">
      <c r="A66" s="5">
        <f t="shared" si="0"/>
        <v>44261</v>
      </c>
      <c r="B66" s="26" t="s">
        <v>457</v>
      </c>
      <c r="C66" s="47">
        <v>44256</v>
      </c>
      <c r="D66" s="26" t="s">
        <v>445</v>
      </c>
    </row>
    <row r="67" spans="1:4">
      <c r="A67" s="5">
        <f t="shared" si="0"/>
        <v>44262</v>
      </c>
      <c r="B67" s="26" t="s">
        <v>458</v>
      </c>
      <c r="C67" s="47">
        <v>44256</v>
      </c>
      <c r="D67" s="26" t="s">
        <v>447</v>
      </c>
    </row>
    <row r="68" spans="1:4">
      <c r="A68" s="5">
        <f t="shared" ref="A68:A131" si="1">A67+1</f>
        <v>44263</v>
      </c>
      <c r="B68" s="26" t="s">
        <v>458</v>
      </c>
      <c r="C68" s="47">
        <v>44256</v>
      </c>
      <c r="D68" s="26" t="s">
        <v>448</v>
      </c>
    </row>
    <row r="69" spans="1:4">
      <c r="A69" s="5">
        <f t="shared" si="1"/>
        <v>44264</v>
      </c>
      <c r="B69" s="26" t="s">
        <v>458</v>
      </c>
      <c r="C69" s="47">
        <v>44256</v>
      </c>
      <c r="D69" s="26" t="s">
        <v>449</v>
      </c>
    </row>
    <row r="70" spans="1:4">
      <c r="A70" s="5">
        <f t="shared" si="1"/>
        <v>44265</v>
      </c>
      <c r="B70" s="26" t="s">
        <v>458</v>
      </c>
      <c r="C70" s="47">
        <v>44256</v>
      </c>
      <c r="D70" s="26" t="s">
        <v>441</v>
      </c>
    </row>
    <row r="71" spans="1:4">
      <c r="A71" s="5">
        <f t="shared" si="1"/>
        <v>44266</v>
      </c>
      <c r="B71" s="26" t="s">
        <v>458</v>
      </c>
      <c r="C71" s="47">
        <v>44256</v>
      </c>
      <c r="D71" s="26" t="s">
        <v>443</v>
      </c>
    </row>
    <row r="72" spans="1:4">
      <c r="A72" s="5">
        <f t="shared" si="1"/>
        <v>44267</v>
      </c>
      <c r="B72" s="26" t="s">
        <v>458</v>
      </c>
      <c r="C72" s="47">
        <v>44256</v>
      </c>
      <c r="D72" s="26" t="s">
        <v>444</v>
      </c>
    </row>
    <row r="73" spans="1:4">
      <c r="A73" s="5">
        <f t="shared" si="1"/>
        <v>44268</v>
      </c>
      <c r="B73" s="26" t="s">
        <v>458</v>
      </c>
      <c r="C73" s="47">
        <v>44256</v>
      </c>
      <c r="D73" s="26" t="s">
        <v>445</v>
      </c>
    </row>
    <row r="74" spans="1:4">
      <c r="A74" s="5">
        <f t="shared" si="1"/>
        <v>44269</v>
      </c>
      <c r="B74" s="26" t="s">
        <v>459</v>
      </c>
      <c r="C74" s="47">
        <v>44256</v>
      </c>
      <c r="D74" s="26" t="s">
        <v>447</v>
      </c>
    </row>
    <row r="75" spans="1:4">
      <c r="A75" s="5">
        <f t="shared" si="1"/>
        <v>44270</v>
      </c>
      <c r="B75" s="26" t="s">
        <v>459</v>
      </c>
      <c r="C75" s="47">
        <v>44256</v>
      </c>
      <c r="D75" s="26" t="s">
        <v>448</v>
      </c>
    </row>
    <row r="76" spans="1:4">
      <c r="A76" s="5">
        <f t="shared" si="1"/>
        <v>44271</v>
      </c>
      <c r="B76" s="26" t="s">
        <v>459</v>
      </c>
      <c r="C76" s="47">
        <v>44256</v>
      </c>
      <c r="D76" s="26" t="s">
        <v>449</v>
      </c>
    </row>
    <row r="77" spans="1:4">
      <c r="A77" s="5">
        <f t="shared" si="1"/>
        <v>44272</v>
      </c>
      <c r="B77" s="26" t="s">
        <v>459</v>
      </c>
      <c r="C77" s="47">
        <v>44256</v>
      </c>
      <c r="D77" s="26" t="s">
        <v>441</v>
      </c>
    </row>
    <row r="78" spans="1:4">
      <c r="A78" s="5">
        <f t="shared" si="1"/>
        <v>44273</v>
      </c>
      <c r="B78" s="26" t="s">
        <v>459</v>
      </c>
      <c r="C78" s="47">
        <v>44256</v>
      </c>
      <c r="D78" s="26" t="s">
        <v>443</v>
      </c>
    </row>
    <row r="79" spans="1:4">
      <c r="A79" s="5">
        <f t="shared" si="1"/>
        <v>44274</v>
      </c>
      <c r="B79" s="26" t="s">
        <v>459</v>
      </c>
      <c r="C79" s="47">
        <v>44256</v>
      </c>
      <c r="D79" s="26" t="s">
        <v>444</v>
      </c>
    </row>
    <row r="80" spans="1:4">
      <c r="A80" s="5">
        <f t="shared" si="1"/>
        <v>44275</v>
      </c>
      <c r="B80" s="26" t="s">
        <v>459</v>
      </c>
      <c r="C80" s="47">
        <v>44256</v>
      </c>
      <c r="D80" s="26" t="s">
        <v>445</v>
      </c>
    </row>
    <row r="81" spans="1:4">
      <c r="A81" s="5">
        <f t="shared" si="1"/>
        <v>44276</v>
      </c>
      <c r="B81" s="26" t="s">
        <v>460</v>
      </c>
      <c r="C81" s="47">
        <v>44256</v>
      </c>
      <c r="D81" s="26" t="s">
        <v>447</v>
      </c>
    </row>
    <row r="82" spans="1:4">
      <c r="A82" s="5">
        <f t="shared" si="1"/>
        <v>44277</v>
      </c>
      <c r="B82" s="26" t="s">
        <v>460</v>
      </c>
      <c r="C82" s="47">
        <v>44256</v>
      </c>
      <c r="D82" s="26" t="s">
        <v>448</v>
      </c>
    </row>
    <row r="83" spans="1:4">
      <c r="A83" s="5">
        <f t="shared" si="1"/>
        <v>44278</v>
      </c>
      <c r="B83" s="26" t="s">
        <v>460</v>
      </c>
      <c r="C83" s="47">
        <v>44256</v>
      </c>
      <c r="D83" s="26" t="s">
        <v>449</v>
      </c>
    </row>
    <row r="84" spans="1:4">
      <c r="A84" s="5">
        <f t="shared" si="1"/>
        <v>44279</v>
      </c>
      <c r="B84" s="26" t="s">
        <v>460</v>
      </c>
      <c r="C84" s="47">
        <v>44256</v>
      </c>
      <c r="D84" s="26" t="s">
        <v>441</v>
      </c>
    </row>
    <row r="85" spans="1:4">
      <c r="A85" s="5">
        <f t="shared" si="1"/>
        <v>44280</v>
      </c>
      <c r="B85" s="26" t="s">
        <v>460</v>
      </c>
      <c r="C85" s="47">
        <v>44256</v>
      </c>
      <c r="D85" s="26" t="s">
        <v>443</v>
      </c>
    </row>
    <row r="86" spans="1:4">
      <c r="A86" s="5">
        <f t="shared" si="1"/>
        <v>44281</v>
      </c>
      <c r="B86" s="26" t="s">
        <v>460</v>
      </c>
      <c r="C86" s="47">
        <v>44256</v>
      </c>
      <c r="D86" s="26" t="s">
        <v>444</v>
      </c>
    </row>
    <row r="87" spans="1:4">
      <c r="A87" s="5">
        <f t="shared" si="1"/>
        <v>44282</v>
      </c>
      <c r="B87" s="26" t="s">
        <v>460</v>
      </c>
      <c r="C87" s="47">
        <v>44256</v>
      </c>
      <c r="D87" s="26" t="s">
        <v>445</v>
      </c>
    </row>
    <row r="88" spans="1:4">
      <c r="A88" s="5">
        <f t="shared" si="1"/>
        <v>44283</v>
      </c>
      <c r="B88" s="26" t="s">
        <v>461</v>
      </c>
      <c r="C88" s="47">
        <v>44256</v>
      </c>
      <c r="D88" s="26" t="s">
        <v>447</v>
      </c>
    </row>
    <row r="89" spans="1:4">
      <c r="A89" s="5">
        <f t="shared" si="1"/>
        <v>44284</v>
      </c>
      <c r="B89" s="26" t="s">
        <v>461</v>
      </c>
      <c r="C89" s="47">
        <v>44256</v>
      </c>
      <c r="D89" s="26" t="s">
        <v>448</v>
      </c>
    </row>
    <row r="90" spans="1:4">
      <c r="A90" s="5">
        <f t="shared" si="1"/>
        <v>44285</v>
      </c>
      <c r="B90" s="26" t="s">
        <v>461</v>
      </c>
      <c r="C90" s="47">
        <v>44256</v>
      </c>
      <c r="D90" s="26" t="s">
        <v>449</v>
      </c>
    </row>
    <row r="91" spans="1:4">
      <c r="A91" s="5">
        <f t="shared" si="1"/>
        <v>44286</v>
      </c>
      <c r="B91" s="26" t="s">
        <v>461</v>
      </c>
      <c r="C91" s="47">
        <v>44256</v>
      </c>
      <c r="D91" s="26" t="s">
        <v>441</v>
      </c>
    </row>
    <row r="92" spans="1:4">
      <c r="A92" s="5">
        <f t="shared" si="1"/>
        <v>44287</v>
      </c>
      <c r="B92" s="26" t="s">
        <v>461</v>
      </c>
      <c r="C92" s="47">
        <v>44287</v>
      </c>
      <c r="D92" s="26" t="s">
        <v>443</v>
      </c>
    </row>
    <row r="93" spans="1:4">
      <c r="A93" s="5">
        <f t="shared" si="1"/>
        <v>44288</v>
      </c>
      <c r="B93" s="26" t="s">
        <v>461</v>
      </c>
      <c r="C93" s="47">
        <v>44287</v>
      </c>
      <c r="D93" s="26" t="s">
        <v>444</v>
      </c>
    </row>
    <row r="94" spans="1:4">
      <c r="A94" s="5">
        <f t="shared" si="1"/>
        <v>44289</v>
      </c>
      <c r="B94" s="26" t="s">
        <v>461</v>
      </c>
      <c r="C94" s="47">
        <v>44287</v>
      </c>
      <c r="D94" s="26" t="s">
        <v>445</v>
      </c>
    </row>
    <row r="95" spans="1:4">
      <c r="A95" s="5">
        <f t="shared" si="1"/>
        <v>44290</v>
      </c>
      <c r="B95" s="26" t="s">
        <v>462</v>
      </c>
      <c r="C95" s="47">
        <v>44287</v>
      </c>
      <c r="D95" s="26" t="s">
        <v>447</v>
      </c>
    </row>
    <row r="96" spans="1:4">
      <c r="A96" s="5">
        <f t="shared" si="1"/>
        <v>44291</v>
      </c>
      <c r="B96" s="26" t="s">
        <v>462</v>
      </c>
      <c r="C96" s="47">
        <v>44287</v>
      </c>
      <c r="D96" s="26" t="s">
        <v>448</v>
      </c>
    </row>
    <row r="97" spans="1:4">
      <c r="A97" s="5">
        <f t="shared" si="1"/>
        <v>44292</v>
      </c>
      <c r="B97" s="26" t="s">
        <v>462</v>
      </c>
      <c r="C97" s="47">
        <v>44287</v>
      </c>
      <c r="D97" s="26" t="s">
        <v>449</v>
      </c>
    </row>
    <row r="98" spans="1:4">
      <c r="A98" s="5">
        <f t="shared" si="1"/>
        <v>44293</v>
      </c>
      <c r="B98" s="26" t="s">
        <v>462</v>
      </c>
      <c r="C98" s="47">
        <v>44287</v>
      </c>
      <c r="D98" s="26" t="s">
        <v>441</v>
      </c>
    </row>
    <row r="99" spans="1:4">
      <c r="A99" s="5">
        <f t="shared" si="1"/>
        <v>44294</v>
      </c>
      <c r="B99" s="26" t="s">
        <v>462</v>
      </c>
      <c r="C99" s="47">
        <v>44287</v>
      </c>
      <c r="D99" s="26" t="s">
        <v>443</v>
      </c>
    </row>
    <row r="100" spans="1:4">
      <c r="A100" s="5">
        <f t="shared" si="1"/>
        <v>44295</v>
      </c>
      <c r="B100" s="26" t="s">
        <v>462</v>
      </c>
      <c r="C100" s="47">
        <v>44287</v>
      </c>
      <c r="D100" s="26" t="s">
        <v>444</v>
      </c>
    </row>
    <row r="101" spans="1:4">
      <c r="A101" s="5">
        <f t="shared" si="1"/>
        <v>44296</v>
      </c>
      <c r="B101" s="26" t="s">
        <v>462</v>
      </c>
      <c r="C101" s="47">
        <v>44287</v>
      </c>
      <c r="D101" s="26" t="s">
        <v>445</v>
      </c>
    </row>
    <row r="102" spans="1:4">
      <c r="A102" s="5">
        <f t="shared" si="1"/>
        <v>44297</v>
      </c>
      <c r="B102" s="26" t="s">
        <v>463</v>
      </c>
      <c r="C102" s="47">
        <v>44287</v>
      </c>
      <c r="D102" s="26" t="s">
        <v>447</v>
      </c>
    </row>
    <row r="103" spans="1:4">
      <c r="A103" s="5">
        <f t="shared" si="1"/>
        <v>44298</v>
      </c>
      <c r="B103" s="26" t="s">
        <v>463</v>
      </c>
      <c r="C103" s="47">
        <v>44287</v>
      </c>
      <c r="D103" s="26" t="s">
        <v>448</v>
      </c>
    </row>
    <row r="104" spans="1:4">
      <c r="A104" s="5">
        <f t="shared" si="1"/>
        <v>44299</v>
      </c>
      <c r="B104" s="26" t="s">
        <v>463</v>
      </c>
      <c r="C104" s="47">
        <v>44287</v>
      </c>
      <c r="D104" s="26" t="s">
        <v>449</v>
      </c>
    </row>
    <row r="105" spans="1:4">
      <c r="A105" s="5">
        <f t="shared" si="1"/>
        <v>44300</v>
      </c>
      <c r="B105" s="26" t="s">
        <v>463</v>
      </c>
      <c r="C105" s="47">
        <v>44287</v>
      </c>
      <c r="D105" s="26" t="s">
        <v>441</v>
      </c>
    </row>
    <row r="106" spans="1:4">
      <c r="A106" s="5">
        <f t="shared" si="1"/>
        <v>44301</v>
      </c>
      <c r="B106" s="26" t="s">
        <v>463</v>
      </c>
      <c r="C106" s="47">
        <v>44287</v>
      </c>
      <c r="D106" s="26" t="s">
        <v>443</v>
      </c>
    </row>
    <row r="107" spans="1:4">
      <c r="A107" s="5">
        <f t="shared" si="1"/>
        <v>44302</v>
      </c>
      <c r="B107" s="26" t="s">
        <v>463</v>
      </c>
      <c r="C107" s="47">
        <v>44287</v>
      </c>
      <c r="D107" s="26" t="s">
        <v>444</v>
      </c>
    </row>
    <row r="108" spans="1:4">
      <c r="A108" s="5">
        <f t="shared" si="1"/>
        <v>44303</v>
      </c>
      <c r="B108" s="26" t="s">
        <v>463</v>
      </c>
      <c r="C108" s="47">
        <v>44287</v>
      </c>
      <c r="D108" s="26" t="s">
        <v>445</v>
      </c>
    </row>
    <row r="109" spans="1:4">
      <c r="A109" s="5">
        <f t="shared" si="1"/>
        <v>44304</v>
      </c>
      <c r="B109" s="26" t="s">
        <v>464</v>
      </c>
      <c r="C109" s="47">
        <v>44287</v>
      </c>
      <c r="D109" s="26" t="s">
        <v>447</v>
      </c>
    </row>
    <row r="110" spans="1:4">
      <c r="A110" s="5">
        <f t="shared" si="1"/>
        <v>44305</v>
      </c>
      <c r="B110" s="26" t="s">
        <v>464</v>
      </c>
      <c r="C110" s="47">
        <v>44287</v>
      </c>
      <c r="D110" s="26" t="s">
        <v>448</v>
      </c>
    </row>
    <row r="111" spans="1:4">
      <c r="A111" s="5">
        <f t="shared" si="1"/>
        <v>44306</v>
      </c>
      <c r="B111" s="26" t="s">
        <v>464</v>
      </c>
      <c r="C111" s="47">
        <v>44287</v>
      </c>
      <c r="D111" s="26" t="s">
        <v>449</v>
      </c>
    </row>
    <row r="112" spans="1:4">
      <c r="A112" s="5">
        <f t="shared" si="1"/>
        <v>44307</v>
      </c>
      <c r="B112" s="26" t="s">
        <v>464</v>
      </c>
      <c r="C112" s="47">
        <v>44287</v>
      </c>
      <c r="D112" s="26" t="s">
        <v>441</v>
      </c>
    </row>
    <row r="113" spans="1:4">
      <c r="A113" s="5">
        <f t="shared" si="1"/>
        <v>44308</v>
      </c>
      <c r="B113" s="26" t="s">
        <v>464</v>
      </c>
      <c r="C113" s="47">
        <v>44287</v>
      </c>
      <c r="D113" s="26" t="s">
        <v>443</v>
      </c>
    </row>
    <row r="114" spans="1:4">
      <c r="A114" s="5">
        <f t="shared" si="1"/>
        <v>44309</v>
      </c>
      <c r="B114" s="26" t="s">
        <v>464</v>
      </c>
      <c r="C114" s="47">
        <v>44287</v>
      </c>
      <c r="D114" s="26" t="s">
        <v>444</v>
      </c>
    </row>
    <row r="115" spans="1:4">
      <c r="A115" s="5">
        <f t="shared" si="1"/>
        <v>44310</v>
      </c>
      <c r="B115" s="26" t="s">
        <v>464</v>
      </c>
      <c r="C115" s="47">
        <v>44287</v>
      </c>
      <c r="D115" s="26" t="s">
        <v>445</v>
      </c>
    </row>
    <row r="116" spans="1:4">
      <c r="A116" s="5">
        <f t="shared" si="1"/>
        <v>44311</v>
      </c>
      <c r="B116" s="26" t="s">
        <v>465</v>
      </c>
      <c r="C116" s="47">
        <v>44287</v>
      </c>
      <c r="D116" s="26" t="s">
        <v>447</v>
      </c>
    </row>
    <row r="117" spans="1:4">
      <c r="A117" s="5">
        <f t="shared" si="1"/>
        <v>44312</v>
      </c>
      <c r="B117" s="26" t="s">
        <v>465</v>
      </c>
      <c r="C117" s="47">
        <v>44287</v>
      </c>
      <c r="D117" s="26" t="s">
        <v>448</v>
      </c>
    </row>
    <row r="118" spans="1:4">
      <c r="A118" s="5">
        <f t="shared" si="1"/>
        <v>44313</v>
      </c>
      <c r="B118" s="26" t="s">
        <v>465</v>
      </c>
      <c r="C118" s="47">
        <v>44287</v>
      </c>
      <c r="D118" s="26" t="s">
        <v>449</v>
      </c>
    </row>
    <row r="119" spans="1:4">
      <c r="A119" s="5">
        <f t="shared" si="1"/>
        <v>44314</v>
      </c>
      <c r="B119" s="26" t="s">
        <v>465</v>
      </c>
      <c r="C119" s="47">
        <v>44287</v>
      </c>
      <c r="D119" s="26" t="s">
        <v>441</v>
      </c>
    </row>
    <row r="120" spans="1:4">
      <c r="A120" s="5">
        <f t="shared" si="1"/>
        <v>44315</v>
      </c>
      <c r="B120" s="26" t="s">
        <v>465</v>
      </c>
      <c r="C120" s="47">
        <v>44287</v>
      </c>
      <c r="D120" s="26" t="s">
        <v>443</v>
      </c>
    </row>
    <row r="121" spans="1:4">
      <c r="A121" s="5">
        <f t="shared" si="1"/>
        <v>44316</v>
      </c>
      <c r="B121" s="26" t="s">
        <v>465</v>
      </c>
      <c r="C121" s="47">
        <v>44287</v>
      </c>
      <c r="D121" s="26" t="s">
        <v>444</v>
      </c>
    </row>
    <row r="122" spans="1:4">
      <c r="A122" s="5">
        <f t="shared" si="1"/>
        <v>44317</v>
      </c>
      <c r="B122" s="26" t="s">
        <v>465</v>
      </c>
      <c r="C122" s="47">
        <v>44317</v>
      </c>
      <c r="D122" s="26" t="s">
        <v>445</v>
      </c>
    </row>
    <row r="123" spans="1:4">
      <c r="A123" s="5">
        <f t="shared" si="1"/>
        <v>44318</v>
      </c>
      <c r="B123" s="26" t="s">
        <v>127</v>
      </c>
      <c r="C123" s="47">
        <v>44317</v>
      </c>
      <c r="D123" s="26" t="s">
        <v>447</v>
      </c>
    </row>
    <row r="124" spans="1:4">
      <c r="A124" s="5">
        <f t="shared" si="1"/>
        <v>44319</v>
      </c>
      <c r="B124" s="26" t="s">
        <v>127</v>
      </c>
      <c r="C124" s="47">
        <v>44317</v>
      </c>
      <c r="D124" s="26" t="s">
        <v>448</v>
      </c>
    </row>
    <row r="125" spans="1:4">
      <c r="A125" s="5">
        <f t="shared" si="1"/>
        <v>44320</v>
      </c>
      <c r="B125" s="26" t="s">
        <v>127</v>
      </c>
      <c r="C125" s="47">
        <v>44317</v>
      </c>
      <c r="D125" s="26" t="s">
        <v>449</v>
      </c>
    </row>
    <row r="126" spans="1:4">
      <c r="A126" s="5">
        <f t="shared" si="1"/>
        <v>44321</v>
      </c>
      <c r="B126" s="26" t="s">
        <v>127</v>
      </c>
      <c r="C126" s="47">
        <v>44317</v>
      </c>
      <c r="D126" s="26" t="s">
        <v>441</v>
      </c>
    </row>
    <row r="127" spans="1:4">
      <c r="A127" s="5">
        <f t="shared" si="1"/>
        <v>44322</v>
      </c>
      <c r="B127" s="26" t="s">
        <v>127</v>
      </c>
      <c r="C127" s="47">
        <v>44317</v>
      </c>
      <c r="D127" s="26" t="s">
        <v>443</v>
      </c>
    </row>
    <row r="128" spans="1:4">
      <c r="A128" s="5">
        <f t="shared" si="1"/>
        <v>44323</v>
      </c>
      <c r="B128" s="26" t="s">
        <v>127</v>
      </c>
      <c r="C128" s="47">
        <v>44317</v>
      </c>
      <c r="D128" s="26" t="s">
        <v>444</v>
      </c>
    </row>
    <row r="129" spans="1:4">
      <c r="A129" s="5">
        <f t="shared" si="1"/>
        <v>44324</v>
      </c>
      <c r="B129" s="26" t="s">
        <v>127</v>
      </c>
      <c r="C129" s="47">
        <v>44317</v>
      </c>
      <c r="D129" s="26" t="s">
        <v>445</v>
      </c>
    </row>
    <row r="130" spans="1:4">
      <c r="A130" s="5">
        <f t="shared" si="1"/>
        <v>44325</v>
      </c>
      <c r="B130" s="26" t="s">
        <v>223</v>
      </c>
      <c r="C130" s="47">
        <v>44317</v>
      </c>
      <c r="D130" s="26" t="s">
        <v>447</v>
      </c>
    </row>
    <row r="131" spans="1:4">
      <c r="A131" s="5">
        <f t="shared" si="1"/>
        <v>44326</v>
      </c>
      <c r="B131" s="26" t="s">
        <v>223</v>
      </c>
      <c r="C131" s="47">
        <v>44317</v>
      </c>
      <c r="D131" s="26" t="s">
        <v>448</v>
      </c>
    </row>
    <row r="132" spans="1:4">
      <c r="A132" s="5">
        <f t="shared" ref="A132:A195" si="2">A131+1</f>
        <v>44327</v>
      </c>
      <c r="B132" s="26" t="s">
        <v>223</v>
      </c>
      <c r="C132" s="47">
        <v>44317</v>
      </c>
      <c r="D132" s="26" t="s">
        <v>449</v>
      </c>
    </row>
    <row r="133" spans="1:4">
      <c r="A133" s="5">
        <f t="shared" si="2"/>
        <v>44328</v>
      </c>
      <c r="B133" s="26" t="s">
        <v>223</v>
      </c>
      <c r="C133" s="47">
        <v>44317</v>
      </c>
      <c r="D133" s="26" t="s">
        <v>441</v>
      </c>
    </row>
    <row r="134" spans="1:4">
      <c r="A134" s="5">
        <f t="shared" si="2"/>
        <v>44329</v>
      </c>
      <c r="B134" s="26" t="s">
        <v>223</v>
      </c>
      <c r="C134" s="47">
        <v>44317</v>
      </c>
      <c r="D134" s="26" t="s">
        <v>443</v>
      </c>
    </row>
    <row r="135" spans="1:4">
      <c r="A135" s="5">
        <f t="shared" si="2"/>
        <v>44330</v>
      </c>
      <c r="B135" s="26" t="s">
        <v>223</v>
      </c>
      <c r="C135" s="47">
        <v>44317</v>
      </c>
      <c r="D135" s="26" t="s">
        <v>444</v>
      </c>
    </row>
    <row r="136" spans="1:4">
      <c r="A136" s="5">
        <f t="shared" si="2"/>
        <v>44331</v>
      </c>
      <c r="B136" s="26" t="s">
        <v>223</v>
      </c>
      <c r="C136" s="47">
        <v>44317</v>
      </c>
      <c r="D136" s="26" t="s">
        <v>445</v>
      </c>
    </row>
    <row r="137" spans="1:4">
      <c r="A137" s="5">
        <f t="shared" si="2"/>
        <v>44332</v>
      </c>
      <c r="B137" s="26" t="s">
        <v>466</v>
      </c>
      <c r="C137" s="47">
        <v>44317</v>
      </c>
      <c r="D137" s="26" t="s">
        <v>447</v>
      </c>
    </row>
    <row r="138" spans="1:4">
      <c r="A138" s="5">
        <f t="shared" si="2"/>
        <v>44333</v>
      </c>
      <c r="B138" s="26" t="s">
        <v>466</v>
      </c>
      <c r="C138" s="47">
        <v>44317</v>
      </c>
      <c r="D138" s="26" t="s">
        <v>448</v>
      </c>
    </row>
    <row r="139" spans="1:4">
      <c r="A139" s="5">
        <f t="shared" si="2"/>
        <v>44334</v>
      </c>
      <c r="B139" s="26" t="s">
        <v>466</v>
      </c>
      <c r="C139" s="47">
        <v>44317</v>
      </c>
      <c r="D139" s="26" t="s">
        <v>449</v>
      </c>
    </row>
    <row r="140" spans="1:4">
      <c r="A140" s="5">
        <f t="shared" si="2"/>
        <v>44335</v>
      </c>
      <c r="B140" s="26" t="s">
        <v>466</v>
      </c>
      <c r="C140" s="47">
        <v>44317</v>
      </c>
      <c r="D140" s="26" t="s">
        <v>441</v>
      </c>
    </row>
    <row r="141" spans="1:4">
      <c r="A141" s="5">
        <f t="shared" si="2"/>
        <v>44336</v>
      </c>
      <c r="B141" s="26" t="s">
        <v>466</v>
      </c>
      <c r="C141" s="47">
        <v>44317</v>
      </c>
      <c r="D141" s="26" t="s">
        <v>443</v>
      </c>
    </row>
    <row r="142" spans="1:4">
      <c r="A142" s="5">
        <f t="shared" si="2"/>
        <v>44337</v>
      </c>
      <c r="B142" s="26" t="s">
        <v>466</v>
      </c>
      <c r="C142" s="47">
        <v>44317</v>
      </c>
      <c r="D142" s="26" t="s">
        <v>444</v>
      </c>
    </row>
    <row r="143" spans="1:4">
      <c r="A143" s="5">
        <f t="shared" si="2"/>
        <v>44338</v>
      </c>
      <c r="B143" s="26" t="s">
        <v>466</v>
      </c>
      <c r="C143" s="47">
        <v>44317</v>
      </c>
      <c r="D143" s="26" t="s">
        <v>445</v>
      </c>
    </row>
    <row r="144" spans="1:4">
      <c r="A144" s="5">
        <f t="shared" si="2"/>
        <v>44339</v>
      </c>
      <c r="B144" s="26" t="s">
        <v>467</v>
      </c>
      <c r="C144" s="47">
        <v>44317</v>
      </c>
      <c r="D144" s="26" t="s">
        <v>447</v>
      </c>
    </row>
    <row r="145" spans="1:4">
      <c r="A145" s="5">
        <f t="shared" si="2"/>
        <v>44340</v>
      </c>
      <c r="B145" s="26" t="s">
        <v>467</v>
      </c>
      <c r="C145" s="47">
        <v>44317</v>
      </c>
      <c r="D145" s="26" t="s">
        <v>448</v>
      </c>
    </row>
    <row r="146" spans="1:4">
      <c r="A146" s="5">
        <f t="shared" si="2"/>
        <v>44341</v>
      </c>
      <c r="B146" s="26" t="s">
        <v>467</v>
      </c>
      <c r="C146" s="47">
        <v>44317</v>
      </c>
      <c r="D146" s="26" t="s">
        <v>449</v>
      </c>
    </row>
    <row r="147" spans="1:4">
      <c r="A147" s="5">
        <f t="shared" si="2"/>
        <v>44342</v>
      </c>
      <c r="B147" s="26" t="s">
        <v>467</v>
      </c>
      <c r="C147" s="47">
        <v>44317</v>
      </c>
      <c r="D147" s="26" t="s">
        <v>441</v>
      </c>
    </row>
    <row r="148" spans="1:4">
      <c r="A148" s="5">
        <f t="shared" si="2"/>
        <v>44343</v>
      </c>
      <c r="B148" s="26" t="s">
        <v>467</v>
      </c>
      <c r="C148" s="47">
        <v>44317</v>
      </c>
      <c r="D148" s="26" t="s">
        <v>443</v>
      </c>
    </row>
    <row r="149" spans="1:4">
      <c r="A149" s="5">
        <f t="shared" si="2"/>
        <v>44344</v>
      </c>
      <c r="B149" s="26" t="s">
        <v>467</v>
      </c>
      <c r="C149" s="47">
        <v>44317</v>
      </c>
      <c r="D149" s="26" t="s">
        <v>444</v>
      </c>
    </row>
    <row r="150" spans="1:4">
      <c r="A150" s="5">
        <f t="shared" si="2"/>
        <v>44345</v>
      </c>
      <c r="B150" s="26" t="s">
        <v>467</v>
      </c>
      <c r="C150" s="47">
        <v>44317</v>
      </c>
      <c r="D150" s="26" t="s">
        <v>445</v>
      </c>
    </row>
    <row r="151" spans="1:4">
      <c r="A151" s="5">
        <f t="shared" si="2"/>
        <v>44346</v>
      </c>
      <c r="B151" s="26" t="s">
        <v>468</v>
      </c>
      <c r="C151" s="47">
        <v>44317</v>
      </c>
      <c r="D151" s="26" t="s">
        <v>447</v>
      </c>
    </row>
    <row r="152" spans="1:4">
      <c r="A152" s="5">
        <f t="shared" si="2"/>
        <v>44347</v>
      </c>
      <c r="B152" s="26" t="s">
        <v>468</v>
      </c>
      <c r="C152" s="47">
        <v>44317</v>
      </c>
      <c r="D152" s="26" t="s">
        <v>448</v>
      </c>
    </row>
    <row r="153" spans="1:4">
      <c r="A153" s="5">
        <f t="shared" si="2"/>
        <v>44348</v>
      </c>
      <c r="B153" s="26" t="s">
        <v>468</v>
      </c>
      <c r="C153" s="47">
        <v>44348</v>
      </c>
      <c r="D153" s="26" t="s">
        <v>449</v>
      </c>
    </row>
    <row r="154" spans="1:4">
      <c r="A154" s="5">
        <f t="shared" si="2"/>
        <v>44349</v>
      </c>
      <c r="B154" s="26" t="s">
        <v>468</v>
      </c>
      <c r="C154" s="47">
        <v>44348</v>
      </c>
      <c r="D154" s="26" t="s">
        <v>441</v>
      </c>
    </row>
    <row r="155" spans="1:4">
      <c r="A155" s="5">
        <f t="shared" si="2"/>
        <v>44350</v>
      </c>
      <c r="B155" s="26" t="s">
        <v>468</v>
      </c>
      <c r="C155" s="47">
        <v>44348</v>
      </c>
      <c r="D155" s="26" t="s">
        <v>443</v>
      </c>
    </row>
    <row r="156" spans="1:4">
      <c r="A156" s="5">
        <f t="shared" si="2"/>
        <v>44351</v>
      </c>
      <c r="B156" s="26" t="s">
        <v>468</v>
      </c>
      <c r="C156" s="47">
        <v>44348</v>
      </c>
      <c r="D156" s="26" t="s">
        <v>444</v>
      </c>
    </row>
    <row r="157" spans="1:4">
      <c r="A157" s="5">
        <f t="shared" si="2"/>
        <v>44352</v>
      </c>
      <c r="B157" s="26" t="s">
        <v>468</v>
      </c>
      <c r="C157" s="47">
        <v>44348</v>
      </c>
      <c r="D157" s="26" t="s">
        <v>445</v>
      </c>
    </row>
    <row r="158" spans="1:4">
      <c r="A158" s="5">
        <f t="shared" si="2"/>
        <v>44353</v>
      </c>
      <c r="B158" s="26" t="s">
        <v>469</v>
      </c>
      <c r="C158" s="47">
        <v>44348</v>
      </c>
      <c r="D158" s="26" t="s">
        <v>447</v>
      </c>
    </row>
    <row r="159" spans="1:4">
      <c r="A159" s="5">
        <f t="shared" si="2"/>
        <v>44354</v>
      </c>
      <c r="B159" s="26" t="s">
        <v>469</v>
      </c>
      <c r="C159" s="47">
        <v>44348</v>
      </c>
      <c r="D159" s="26" t="s">
        <v>448</v>
      </c>
    </row>
    <row r="160" spans="1:4">
      <c r="A160" s="5">
        <f t="shared" si="2"/>
        <v>44355</v>
      </c>
      <c r="B160" s="26" t="s">
        <v>469</v>
      </c>
      <c r="C160" s="47">
        <v>44348</v>
      </c>
      <c r="D160" s="26" t="s">
        <v>449</v>
      </c>
    </row>
    <row r="161" spans="1:4">
      <c r="A161" s="5">
        <f t="shared" si="2"/>
        <v>44356</v>
      </c>
      <c r="B161" s="26" t="s">
        <v>469</v>
      </c>
      <c r="C161" s="47">
        <v>44348</v>
      </c>
      <c r="D161" s="26" t="s">
        <v>441</v>
      </c>
    </row>
    <row r="162" spans="1:4">
      <c r="A162" s="5">
        <f t="shared" si="2"/>
        <v>44357</v>
      </c>
      <c r="B162" s="26" t="s">
        <v>469</v>
      </c>
      <c r="C162" s="47">
        <v>44348</v>
      </c>
      <c r="D162" s="26" t="s">
        <v>443</v>
      </c>
    </row>
    <row r="163" spans="1:4">
      <c r="A163" s="5">
        <f t="shared" si="2"/>
        <v>44358</v>
      </c>
      <c r="B163" s="26" t="s">
        <v>469</v>
      </c>
      <c r="C163" s="47">
        <v>44348</v>
      </c>
      <c r="D163" s="26" t="s">
        <v>444</v>
      </c>
    </row>
    <row r="164" spans="1:4">
      <c r="A164" s="5">
        <f t="shared" si="2"/>
        <v>44359</v>
      </c>
      <c r="B164" s="26" t="s">
        <v>469</v>
      </c>
      <c r="C164" s="47">
        <v>44348</v>
      </c>
      <c r="D164" s="26" t="s">
        <v>445</v>
      </c>
    </row>
    <row r="165" spans="1:4">
      <c r="A165" s="5">
        <f t="shared" si="2"/>
        <v>44360</v>
      </c>
      <c r="B165" s="26" t="s">
        <v>470</v>
      </c>
      <c r="C165" s="47">
        <v>44348</v>
      </c>
      <c r="D165" s="26" t="s">
        <v>447</v>
      </c>
    </row>
    <row r="166" spans="1:4">
      <c r="A166" s="5">
        <f t="shared" si="2"/>
        <v>44361</v>
      </c>
      <c r="B166" s="26" t="s">
        <v>470</v>
      </c>
      <c r="C166" s="47">
        <v>44348</v>
      </c>
      <c r="D166" s="26" t="s">
        <v>448</v>
      </c>
    </row>
    <row r="167" spans="1:4">
      <c r="A167" s="5">
        <f t="shared" si="2"/>
        <v>44362</v>
      </c>
      <c r="B167" s="26" t="s">
        <v>470</v>
      </c>
      <c r="C167" s="47">
        <v>44348</v>
      </c>
      <c r="D167" s="26" t="s">
        <v>449</v>
      </c>
    </row>
    <row r="168" spans="1:4">
      <c r="A168" s="5">
        <f t="shared" si="2"/>
        <v>44363</v>
      </c>
      <c r="B168" s="26" t="s">
        <v>470</v>
      </c>
      <c r="C168" s="47">
        <v>44348</v>
      </c>
      <c r="D168" s="26" t="s">
        <v>441</v>
      </c>
    </row>
    <row r="169" spans="1:4">
      <c r="A169" s="5">
        <f t="shared" si="2"/>
        <v>44364</v>
      </c>
      <c r="B169" s="26" t="s">
        <v>470</v>
      </c>
      <c r="C169" s="47">
        <v>44348</v>
      </c>
      <c r="D169" s="26" t="s">
        <v>443</v>
      </c>
    </row>
    <row r="170" spans="1:4">
      <c r="A170" s="5">
        <f t="shared" si="2"/>
        <v>44365</v>
      </c>
      <c r="B170" s="26" t="s">
        <v>470</v>
      </c>
      <c r="C170" s="47">
        <v>44348</v>
      </c>
      <c r="D170" s="26" t="s">
        <v>444</v>
      </c>
    </row>
    <row r="171" spans="1:4">
      <c r="A171" s="5">
        <f t="shared" si="2"/>
        <v>44366</v>
      </c>
      <c r="B171" s="26" t="s">
        <v>470</v>
      </c>
      <c r="C171" s="47">
        <v>44348</v>
      </c>
      <c r="D171" s="26" t="s">
        <v>445</v>
      </c>
    </row>
    <row r="172" spans="1:4">
      <c r="A172" s="5">
        <f t="shared" si="2"/>
        <v>44367</v>
      </c>
      <c r="B172" s="26" t="s">
        <v>471</v>
      </c>
      <c r="C172" s="47">
        <v>44348</v>
      </c>
      <c r="D172" s="26" t="s">
        <v>447</v>
      </c>
    </row>
    <row r="173" spans="1:4">
      <c r="A173" s="5">
        <f t="shared" si="2"/>
        <v>44368</v>
      </c>
      <c r="B173" s="26" t="s">
        <v>471</v>
      </c>
      <c r="C173" s="47">
        <v>44348</v>
      </c>
      <c r="D173" s="26" t="s">
        <v>448</v>
      </c>
    </row>
    <row r="174" spans="1:4">
      <c r="A174" s="5">
        <f t="shared" si="2"/>
        <v>44369</v>
      </c>
      <c r="B174" s="26" t="s">
        <v>471</v>
      </c>
      <c r="C174" s="47">
        <v>44348</v>
      </c>
      <c r="D174" s="26" t="s">
        <v>449</v>
      </c>
    </row>
    <row r="175" spans="1:4">
      <c r="A175" s="5">
        <f t="shared" si="2"/>
        <v>44370</v>
      </c>
      <c r="B175" s="26" t="s">
        <v>471</v>
      </c>
      <c r="C175" s="47">
        <v>44348</v>
      </c>
      <c r="D175" s="26" t="s">
        <v>441</v>
      </c>
    </row>
    <row r="176" spans="1:4">
      <c r="A176" s="5">
        <f t="shared" si="2"/>
        <v>44371</v>
      </c>
      <c r="B176" s="26" t="s">
        <v>471</v>
      </c>
      <c r="C176" s="47">
        <v>44348</v>
      </c>
      <c r="D176" s="26" t="s">
        <v>443</v>
      </c>
    </row>
    <row r="177" spans="1:4">
      <c r="A177" s="5">
        <f t="shared" si="2"/>
        <v>44372</v>
      </c>
      <c r="B177" s="26" t="s">
        <v>471</v>
      </c>
      <c r="C177" s="47">
        <v>44348</v>
      </c>
      <c r="D177" s="26" t="s">
        <v>444</v>
      </c>
    </row>
    <row r="178" spans="1:4">
      <c r="A178" s="5">
        <f t="shared" si="2"/>
        <v>44373</v>
      </c>
      <c r="B178" s="26" t="s">
        <v>471</v>
      </c>
      <c r="C178" s="47">
        <v>44348</v>
      </c>
      <c r="D178" s="26" t="s">
        <v>445</v>
      </c>
    </row>
    <row r="179" spans="1:4">
      <c r="A179" s="5">
        <f t="shared" si="2"/>
        <v>44374</v>
      </c>
      <c r="B179" s="26" t="s">
        <v>472</v>
      </c>
      <c r="C179" s="47">
        <v>44348</v>
      </c>
      <c r="D179" s="26" t="s">
        <v>447</v>
      </c>
    </row>
    <row r="180" spans="1:4">
      <c r="A180" s="5">
        <f t="shared" si="2"/>
        <v>44375</v>
      </c>
      <c r="B180" s="26" t="s">
        <v>472</v>
      </c>
      <c r="C180" s="47">
        <v>44348</v>
      </c>
      <c r="D180" s="26" t="s">
        <v>448</v>
      </c>
    </row>
    <row r="181" spans="1:4">
      <c r="A181" s="5">
        <f t="shared" si="2"/>
        <v>44376</v>
      </c>
      <c r="B181" s="26" t="s">
        <v>472</v>
      </c>
      <c r="C181" s="47">
        <v>44348</v>
      </c>
      <c r="D181" s="26" t="s">
        <v>449</v>
      </c>
    </row>
    <row r="182" spans="1:4">
      <c r="A182" s="5">
        <f t="shared" si="2"/>
        <v>44377</v>
      </c>
      <c r="B182" s="26" t="s">
        <v>472</v>
      </c>
      <c r="C182" s="47">
        <v>44348</v>
      </c>
      <c r="D182" s="26" t="s">
        <v>441</v>
      </c>
    </row>
    <row r="183" spans="1:4">
      <c r="A183" s="5">
        <f t="shared" si="2"/>
        <v>44378</v>
      </c>
      <c r="B183" s="26" t="s">
        <v>472</v>
      </c>
      <c r="C183" s="47">
        <v>44378</v>
      </c>
      <c r="D183" s="26" t="s">
        <v>443</v>
      </c>
    </row>
    <row r="184" spans="1:4">
      <c r="A184" s="5">
        <f t="shared" si="2"/>
        <v>44379</v>
      </c>
      <c r="B184" s="26" t="s">
        <v>472</v>
      </c>
      <c r="C184" s="47">
        <v>44378</v>
      </c>
      <c r="D184" s="26" t="s">
        <v>444</v>
      </c>
    </row>
    <row r="185" spans="1:4">
      <c r="A185" s="5">
        <f t="shared" si="2"/>
        <v>44380</v>
      </c>
      <c r="B185" s="26" t="s">
        <v>472</v>
      </c>
      <c r="C185" s="47">
        <v>44378</v>
      </c>
      <c r="D185" s="26" t="s">
        <v>445</v>
      </c>
    </row>
    <row r="186" spans="1:4">
      <c r="A186" s="5">
        <f t="shared" si="2"/>
        <v>44381</v>
      </c>
      <c r="B186" s="26" t="s">
        <v>473</v>
      </c>
      <c r="C186" s="47">
        <v>44378</v>
      </c>
      <c r="D186" s="26" t="s">
        <v>447</v>
      </c>
    </row>
    <row r="187" spans="1:4">
      <c r="A187" s="5">
        <f t="shared" si="2"/>
        <v>44382</v>
      </c>
      <c r="B187" s="26" t="s">
        <v>473</v>
      </c>
      <c r="C187" s="47">
        <v>44378</v>
      </c>
      <c r="D187" s="26" t="s">
        <v>448</v>
      </c>
    </row>
    <row r="188" spans="1:4">
      <c r="A188" s="5">
        <f t="shared" si="2"/>
        <v>44383</v>
      </c>
      <c r="B188" s="26" t="s">
        <v>473</v>
      </c>
      <c r="C188" s="47">
        <v>44378</v>
      </c>
      <c r="D188" s="26" t="s">
        <v>449</v>
      </c>
    </row>
    <row r="189" spans="1:4">
      <c r="A189" s="5">
        <f t="shared" si="2"/>
        <v>44384</v>
      </c>
      <c r="B189" s="26" t="s">
        <v>473</v>
      </c>
      <c r="C189" s="47">
        <v>44378</v>
      </c>
      <c r="D189" s="26" t="s">
        <v>441</v>
      </c>
    </row>
    <row r="190" spans="1:4">
      <c r="A190" s="5">
        <f t="shared" si="2"/>
        <v>44385</v>
      </c>
      <c r="B190" s="26" t="s">
        <v>473</v>
      </c>
      <c r="C190" s="47">
        <v>44378</v>
      </c>
      <c r="D190" s="26" t="s">
        <v>443</v>
      </c>
    </row>
    <row r="191" spans="1:4">
      <c r="A191" s="5">
        <f t="shared" si="2"/>
        <v>44386</v>
      </c>
      <c r="B191" s="26" t="s">
        <v>473</v>
      </c>
      <c r="C191" s="47">
        <v>44378</v>
      </c>
      <c r="D191" s="26" t="s">
        <v>444</v>
      </c>
    </row>
    <row r="192" spans="1:4">
      <c r="A192" s="5">
        <f t="shared" si="2"/>
        <v>44387</v>
      </c>
      <c r="B192" s="26" t="s">
        <v>473</v>
      </c>
      <c r="C192" s="47">
        <v>44378</v>
      </c>
      <c r="D192" s="26" t="s">
        <v>445</v>
      </c>
    </row>
    <row r="193" spans="1:4">
      <c r="A193" s="5">
        <f t="shared" si="2"/>
        <v>44388</v>
      </c>
      <c r="B193" s="26" t="s">
        <v>474</v>
      </c>
      <c r="C193" s="47">
        <v>44378</v>
      </c>
      <c r="D193" s="26" t="s">
        <v>447</v>
      </c>
    </row>
    <row r="194" spans="1:4">
      <c r="A194" s="5">
        <f t="shared" si="2"/>
        <v>44389</v>
      </c>
      <c r="B194" s="26" t="s">
        <v>474</v>
      </c>
      <c r="C194" s="47">
        <v>44378</v>
      </c>
      <c r="D194" s="26" t="s">
        <v>448</v>
      </c>
    </row>
    <row r="195" spans="1:4">
      <c r="A195" s="5">
        <f t="shared" si="2"/>
        <v>44390</v>
      </c>
      <c r="B195" s="26" t="s">
        <v>474</v>
      </c>
      <c r="C195" s="47">
        <v>44378</v>
      </c>
      <c r="D195" s="26" t="s">
        <v>449</v>
      </c>
    </row>
    <row r="196" spans="1:4">
      <c r="A196" s="5">
        <f t="shared" ref="A196:A259" si="3">A195+1</f>
        <v>44391</v>
      </c>
      <c r="B196" s="26" t="s">
        <v>474</v>
      </c>
      <c r="C196" s="47">
        <v>44378</v>
      </c>
      <c r="D196" s="26" t="s">
        <v>441</v>
      </c>
    </row>
    <row r="197" spans="1:4">
      <c r="A197" s="5">
        <f t="shared" si="3"/>
        <v>44392</v>
      </c>
      <c r="B197" s="26" t="s">
        <v>474</v>
      </c>
      <c r="C197" s="47">
        <v>44378</v>
      </c>
      <c r="D197" s="26" t="s">
        <v>443</v>
      </c>
    </row>
    <row r="198" spans="1:4">
      <c r="A198" s="5">
        <f t="shared" si="3"/>
        <v>44393</v>
      </c>
      <c r="B198" s="26" t="s">
        <v>474</v>
      </c>
      <c r="C198" s="47">
        <v>44378</v>
      </c>
      <c r="D198" s="26" t="s">
        <v>444</v>
      </c>
    </row>
    <row r="199" spans="1:4">
      <c r="A199" s="5">
        <f t="shared" si="3"/>
        <v>44394</v>
      </c>
      <c r="B199" s="26" t="s">
        <v>474</v>
      </c>
      <c r="C199" s="47">
        <v>44378</v>
      </c>
      <c r="D199" s="26" t="s">
        <v>445</v>
      </c>
    </row>
    <row r="200" spans="1:4">
      <c r="A200" s="5">
        <f t="shared" si="3"/>
        <v>44395</v>
      </c>
      <c r="B200" s="26" t="s">
        <v>475</v>
      </c>
      <c r="C200" s="47">
        <v>44378</v>
      </c>
      <c r="D200" s="26" t="s">
        <v>447</v>
      </c>
    </row>
    <row r="201" spans="1:4">
      <c r="A201" s="5">
        <f t="shared" si="3"/>
        <v>44396</v>
      </c>
      <c r="B201" s="26" t="s">
        <v>475</v>
      </c>
      <c r="C201" s="47">
        <v>44378</v>
      </c>
      <c r="D201" s="26" t="s">
        <v>448</v>
      </c>
    </row>
    <row r="202" spans="1:4">
      <c r="A202" s="5">
        <f t="shared" si="3"/>
        <v>44397</v>
      </c>
      <c r="B202" s="26" t="s">
        <v>475</v>
      </c>
      <c r="C202" s="47">
        <v>44378</v>
      </c>
      <c r="D202" s="26" t="s">
        <v>449</v>
      </c>
    </row>
    <row r="203" spans="1:4">
      <c r="A203" s="5">
        <f t="shared" si="3"/>
        <v>44398</v>
      </c>
      <c r="B203" s="26" t="s">
        <v>475</v>
      </c>
      <c r="C203" s="47">
        <v>44378</v>
      </c>
      <c r="D203" s="26" t="s">
        <v>441</v>
      </c>
    </row>
    <row r="204" spans="1:4">
      <c r="A204" s="5">
        <f t="shared" si="3"/>
        <v>44399</v>
      </c>
      <c r="B204" s="26" t="s">
        <v>475</v>
      </c>
      <c r="C204" s="47">
        <v>44378</v>
      </c>
      <c r="D204" s="26" t="s">
        <v>443</v>
      </c>
    </row>
    <row r="205" spans="1:4">
      <c r="A205" s="5">
        <f t="shared" si="3"/>
        <v>44400</v>
      </c>
      <c r="B205" s="26" t="s">
        <v>475</v>
      </c>
      <c r="C205" s="47">
        <v>44378</v>
      </c>
      <c r="D205" s="26" t="s">
        <v>444</v>
      </c>
    </row>
    <row r="206" spans="1:4">
      <c r="A206" s="5">
        <f t="shared" si="3"/>
        <v>44401</v>
      </c>
      <c r="B206" s="26" t="s">
        <v>475</v>
      </c>
      <c r="C206" s="47">
        <v>44378</v>
      </c>
      <c r="D206" s="26" t="s">
        <v>445</v>
      </c>
    </row>
    <row r="207" spans="1:4">
      <c r="A207" s="5">
        <f t="shared" si="3"/>
        <v>44402</v>
      </c>
      <c r="B207" s="26" t="s">
        <v>476</v>
      </c>
      <c r="C207" s="47">
        <v>44378</v>
      </c>
      <c r="D207" s="26" t="s">
        <v>447</v>
      </c>
    </row>
    <row r="208" spans="1:4">
      <c r="A208" s="5">
        <f t="shared" si="3"/>
        <v>44403</v>
      </c>
      <c r="B208" s="26" t="s">
        <v>476</v>
      </c>
      <c r="C208" s="47">
        <v>44378</v>
      </c>
      <c r="D208" s="26" t="s">
        <v>448</v>
      </c>
    </row>
    <row r="209" spans="1:4">
      <c r="A209" s="5">
        <f t="shared" si="3"/>
        <v>44404</v>
      </c>
      <c r="B209" s="26" t="s">
        <v>476</v>
      </c>
      <c r="C209" s="47">
        <v>44378</v>
      </c>
      <c r="D209" s="26" t="s">
        <v>449</v>
      </c>
    </row>
    <row r="210" spans="1:4">
      <c r="A210" s="5">
        <f t="shared" si="3"/>
        <v>44405</v>
      </c>
      <c r="B210" s="26" t="s">
        <v>476</v>
      </c>
      <c r="C210" s="47">
        <v>44378</v>
      </c>
      <c r="D210" s="26" t="s">
        <v>441</v>
      </c>
    </row>
    <row r="211" spans="1:4">
      <c r="A211" s="5">
        <f t="shared" si="3"/>
        <v>44406</v>
      </c>
      <c r="B211" s="26" t="s">
        <v>476</v>
      </c>
      <c r="C211" s="47">
        <v>44378</v>
      </c>
      <c r="D211" s="26" t="s">
        <v>443</v>
      </c>
    </row>
    <row r="212" spans="1:4">
      <c r="A212" s="5">
        <f t="shared" si="3"/>
        <v>44407</v>
      </c>
      <c r="B212" s="26" t="s">
        <v>476</v>
      </c>
      <c r="C212" s="47">
        <v>44378</v>
      </c>
      <c r="D212" s="26" t="s">
        <v>444</v>
      </c>
    </row>
    <row r="213" spans="1:4">
      <c r="A213" s="5">
        <f t="shared" si="3"/>
        <v>44408</v>
      </c>
      <c r="B213" s="26" t="s">
        <v>476</v>
      </c>
      <c r="C213" s="47">
        <v>44378</v>
      </c>
      <c r="D213" s="26" t="s">
        <v>445</v>
      </c>
    </row>
    <row r="214" spans="1:4">
      <c r="A214" s="5">
        <f t="shared" si="3"/>
        <v>44409</v>
      </c>
      <c r="B214" s="26" t="s">
        <v>477</v>
      </c>
      <c r="C214" s="47">
        <v>44409</v>
      </c>
      <c r="D214" s="26" t="s">
        <v>447</v>
      </c>
    </row>
    <row r="215" spans="1:4">
      <c r="A215" s="5">
        <f t="shared" si="3"/>
        <v>44410</v>
      </c>
      <c r="B215" s="26" t="s">
        <v>477</v>
      </c>
      <c r="C215" s="47">
        <v>44409</v>
      </c>
      <c r="D215" s="26" t="s">
        <v>448</v>
      </c>
    </row>
    <row r="216" spans="1:4">
      <c r="A216" s="5">
        <f t="shared" si="3"/>
        <v>44411</v>
      </c>
      <c r="B216" s="26" t="s">
        <v>477</v>
      </c>
      <c r="C216" s="47">
        <v>44409</v>
      </c>
      <c r="D216" s="26" t="s">
        <v>449</v>
      </c>
    </row>
    <row r="217" spans="1:4">
      <c r="A217" s="5">
        <f t="shared" si="3"/>
        <v>44412</v>
      </c>
      <c r="B217" s="26" t="s">
        <v>477</v>
      </c>
      <c r="C217" s="47">
        <v>44409</v>
      </c>
      <c r="D217" s="26" t="s">
        <v>441</v>
      </c>
    </row>
    <row r="218" spans="1:4">
      <c r="A218" s="5">
        <f t="shared" si="3"/>
        <v>44413</v>
      </c>
      <c r="B218" s="26" t="s">
        <v>477</v>
      </c>
      <c r="C218" s="47">
        <v>44409</v>
      </c>
      <c r="D218" s="26" t="s">
        <v>443</v>
      </c>
    </row>
    <row r="219" spans="1:4">
      <c r="A219" s="5">
        <f t="shared" si="3"/>
        <v>44414</v>
      </c>
      <c r="B219" s="26" t="s">
        <v>477</v>
      </c>
      <c r="C219" s="47">
        <v>44409</v>
      </c>
      <c r="D219" s="26" t="s">
        <v>444</v>
      </c>
    </row>
    <row r="220" spans="1:4">
      <c r="A220" s="5">
        <f t="shared" si="3"/>
        <v>44415</v>
      </c>
      <c r="B220" s="26" t="s">
        <v>477</v>
      </c>
      <c r="C220" s="47">
        <v>44409</v>
      </c>
      <c r="D220" s="26" t="s">
        <v>445</v>
      </c>
    </row>
    <row r="221" spans="1:4">
      <c r="A221" s="5">
        <f t="shared" si="3"/>
        <v>44416</v>
      </c>
      <c r="B221" s="26" t="s">
        <v>478</v>
      </c>
      <c r="C221" s="47">
        <v>44409</v>
      </c>
      <c r="D221" s="26" t="s">
        <v>447</v>
      </c>
    </row>
    <row r="222" spans="1:4">
      <c r="A222" s="5">
        <f t="shared" si="3"/>
        <v>44417</v>
      </c>
      <c r="B222" s="26" t="s">
        <v>478</v>
      </c>
      <c r="C222" s="47">
        <v>44409</v>
      </c>
      <c r="D222" s="26" t="s">
        <v>448</v>
      </c>
    </row>
    <row r="223" spans="1:4">
      <c r="A223" s="5">
        <f t="shared" si="3"/>
        <v>44418</v>
      </c>
      <c r="B223" s="26" t="s">
        <v>478</v>
      </c>
      <c r="C223" s="47">
        <v>44409</v>
      </c>
      <c r="D223" s="26" t="s">
        <v>449</v>
      </c>
    </row>
    <row r="224" spans="1:4">
      <c r="A224" s="5">
        <f t="shared" si="3"/>
        <v>44419</v>
      </c>
      <c r="B224" s="26" t="s">
        <v>478</v>
      </c>
      <c r="C224" s="47">
        <v>44409</v>
      </c>
      <c r="D224" s="26" t="s">
        <v>441</v>
      </c>
    </row>
    <row r="225" spans="1:4">
      <c r="A225" s="5">
        <f t="shared" si="3"/>
        <v>44420</v>
      </c>
      <c r="B225" s="26" t="s">
        <v>478</v>
      </c>
      <c r="C225" s="47">
        <v>44409</v>
      </c>
      <c r="D225" s="26" t="s">
        <v>443</v>
      </c>
    </row>
    <row r="226" spans="1:4">
      <c r="A226" s="5">
        <f t="shared" si="3"/>
        <v>44421</v>
      </c>
      <c r="B226" s="26" t="s">
        <v>478</v>
      </c>
      <c r="C226" s="47">
        <v>44409</v>
      </c>
      <c r="D226" s="26" t="s">
        <v>444</v>
      </c>
    </row>
    <row r="227" spans="1:4">
      <c r="A227" s="5">
        <f t="shared" si="3"/>
        <v>44422</v>
      </c>
      <c r="B227" s="26" t="s">
        <v>478</v>
      </c>
      <c r="C227" s="47">
        <v>44409</v>
      </c>
      <c r="D227" s="26" t="s">
        <v>445</v>
      </c>
    </row>
    <row r="228" spans="1:4">
      <c r="A228" s="5">
        <f t="shared" si="3"/>
        <v>44423</v>
      </c>
      <c r="B228" s="26" t="s">
        <v>479</v>
      </c>
      <c r="C228" s="47">
        <v>44409</v>
      </c>
      <c r="D228" s="26" t="s">
        <v>447</v>
      </c>
    </row>
    <row r="229" spans="1:4">
      <c r="A229" s="5">
        <f t="shared" si="3"/>
        <v>44424</v>
      </c>
      <c r="B229" s="26" t="s">
        <v>479</v>
      </c>
      <c r="C229" s="47">
        <v>44409</v>
      </c>
      <c r="D229" s="26" t="s">
        <v>448</v>
      </c>
    </row>
    <row r="230" spans="1:4">
      <c r="A230" s="5">
        <f t="shared" si="3"/>
        <v>44425</v>
      </c>
      <c r="B230" s="26" t="s">
        <v>479</v>
      </c>
      <c r="C230" s="47">
        <v>44409</v>
      </c>
      <c r="D230" s="26" t="s">
        <v>449</v>
      </c>
    </row>
    <row r="231" spans="1:4">
      <c r="A231" s="5">
        <f t="shared" si="3"/>
        <v>44426</v>
      </c>
      <c r="B231" s="26" t="s">
        <v>479</v>
      </c>
      <c r="C231" s="47">
        <v>44409</v>
      </c>
      <c r="D231" s="26" t="s">
        <v>441</v>
      </c>
    </row>
    <row r="232" spans="1:4">
      <c r="A232" s="5">
        <f t="shared" si="3"/>
        <v>44427</v>
      </c>
      <c r="B232" s="26" t="s">
        <v>479</v>
      </c>
      <c r="C232" s="47">
        <v>44409</v>
      </c>
      <c r="D232" s="26" t="s">
        <v>443</v>
      </c>
    </row>
    <row r="233" spans="1:4">
      <c r="A233" s="5">
        <f t="shared" si="3"/>
        <v>44428</v>
      </c>
      <c r="B233" s="26" t="s">
        <v>479</v>
      </c>
      <c r="C233" s="47">
        <v>44409</v>
      </c>
      <c r="D233" s="26" t="s">
        <v>444</v>
      </c>
    </row>
    <row r="234" spans="1:4">
      <c r="A234" s="5">
        <f t="shared" si="3"/>
        <v>44429</v>
      </c>
      <c r="B234" s="26" t="s">
        <v>479</v>
      </c>
      <c r="C234" s="47">
        <v>44409</v>
      </c>
      <c r="D234" s="26" t="s">
        <v>445</v>
      </c>
    </row>
    <row r="235" spans="1:4">
      <c r="A235" s="5">
        <f t="shared" si="3"/>
        <v>44430</v>
      </c>
      <c r="B235" s="26" t="s">
        <v>480</v>
      </c>
      <c r="C235" s="47">
        <v>44409</v>
      </c>
      <c r="D235" s="26" t="s">
        <v>447</v>
      </c>
    </row>
    <row r="236" spans="1:4">
      <c r="A236" s="5">
        <f t="shared" si="3"/>
        <v>44431</v>
      </c>
      <c r="B236" s="26" t="s">
        <v>480</v>
      </c>
      <c r="C236" s="47">
        <v>44409</v>
      </c>
      <c r="D236" s="26" t="s">
        <v>448</v>
      </c>
    </row>
    <row r="237" spans="1:4">
      <c r="A237" s="5">
        <f t="shared" si="3"/>
        <v>44432</v>
      </c>
      <c r="B237" s="26" t="s">
        <v>480</v>
      </c>
      <c r="C237" s="47">
        <v>44409</v>
      </c>
      <c r="D237" s="26" t="s">
        <v>449</v>
      </c>
    </row>
    <row r="238" spans="1:4">
      <c r="A238" s="5">
        <f t="shared" si="3"/>
        <v>44433</v>
      </c>
      <c r="B238" s="26" t="s">
        <v>480</v>
      </c>
      <c r="C238" s="47">
        <v>44409</v>
      </c>
      <c r="D238" s="26" t="s">
        <v>441</v>
      </c>
    </row>
    <row r="239" spans="1:4">
      <c r="A239" s="5">
        <f t="shared" si="3"/>
        <v>44434</v>
      </c>
      <c r="B239" s="26" t="s">
        <v>480</v>
      </c>
      <c r="C239" s="47">
        <v>44409</v>
      </c>
      <c r="D239" s="26" t="s">
        <v>443</v>
      </c>
    </row>
    <row r="240" spans="1:4">
      <c r="A240" s="5">
        <f t="shared" si="3"/>
        <v>44435</v>
      </c>
      <c r="B240" s="26" t="s">
        <v>480</v>
      </c>
      <c r="C240" s="47">
        <v>44409</v>
      </c>
      <c r="D240" s="26" t="s">
        <v>444</v>
      </c>
    </row>
    <row r="241" spans="1:4">
      <c r="A241" s="5">
        <f t="shared" si="3"/>
        <v>44436</v>
      </c>
      <c r="B241" s="26" t="s">
        <v>480</v>
      </c>
      <c r="C241" s="47">
        <v>44409</v>
      </c>
      <c r="D241" s="26" t="s">
        <v>445</v>
      </c>
    </row>
    <row r="242" spans="1:4">
      <c r="A242" s="5">
        <f t="shared" si="3"/>
        <v>44437</v>
      </c>
      <c r="B242" s="26" t="s">
        <v>481</v>
      </c>
      <c r="C242" s="47">
        <v>44409</v>
      </c>
      <c r="D242" s="26" t="s">
        <v>447</v>
      </c>
    </row>
    <row r="243" spans="1:4">
      <c r="A243" s="5">
        <f t="shared" si="3"/>
        <v>44438</v>
      </c>
      <c r="B243" s="26" t="s">
        <v>481</v>
      </c>
      <c r="C243" s="47">
        <v>44409</v>
      </c>
      <c r="D243" s="26" t="s">
        <v>448</v>
      </c>
    </row>
    <row r="244" spans="1:4">
      <c r="A244" s="5">
        <f t="shared" si="3"/>
        <v>44439</v>
      </c>
      <c r="B244" s="26" t="s">
        <v>481</v>
      </c>
      <c r="C244" s="47">
        <v>44409</v>
      </c>
      <c r="D244" s="26" t="s">
        <v>449</v>
      </c>
    </row>
    <row r="245" spans="1:4">
      <c r="A245" s="5">
        <f t="shared" si="3"/>
        <v>44440</v>
      </c>
      <c r="B245" s="26" t="s">
        <v>481</v>
      </c>
      <c r="C245" s="47">
        <v>44440</v>
      </c>
      <c r="D245" s="26" t="s">
        <v>441</v>
      </c>
    </row>
    <row r="246" spans="1:4">
      <c r="A246" s="5">
        <f t="shared" si="3"/>
        <v>44441</v>
      </c>
      <c r="B246" s="26" t="s">
        <v>481</v>
      </c>
      <c r="C246" s="47">
        <v>44440</v>
      </c>
      <c r="D246" s="26" t="s">
        <v>443</v>
      </c>
    </row>
    <row r="247" spans="1:4">
      <c r="A247" s="5">
        <f t="shared" si="3"/>
        <v>44442</v>
      </c>
      <c r="B247" s="26" t="s">
        <v>481</v>
      </c>
      <c r="C247" s="47">
        <v>44440</v>
      </c>
      <c r="D247" s="26" t="s">
        <v>444</v>
      </c>
    </row>
    <row r="248" spans="1:4">
      <c r="A248" s="5">
        <f t="shared" si="3"/>
        <v>44443</v>
      </c>
      <c r="B248" s="26" t="s">
        <v>481</v>
      </c>
      <c r="C248" s="47">
        <v>44440</v>
      </c>
      <c r="D248" s="26" t="s">
        <v>445</v>
      </c>
    </row>
    <row r="249" spans="1:4">
      <c r="A249" s="5">
        <f t="shared" si="3"/>
        <v>44444</v>
      </c>
      <c r="B249" s="26" t="s">
        <v>482</v>
      </c>
      <c r="C249" s="47">
        <v>44440</v>
      </c>
      <c r="D249" s="26" t="s">
        <v>447</v>
      </c>
    </row>
    <row r="250" spans="1:4">
      <c r="A250" s="5">
        <f t="shared" si="3"/>
        <v>44445</v>
      </c>
      <c r="B250" s="26" t="s">
        <v>482</v>
      </c>
      <c r="C250" s="47">
        <v>44440</v>
      </c>
      <c r="D250" s="26" t="s">
        <v>448</v>
      </c>
    </row>
    <row r="251" spans="1:4">
      <c r="A251" s="5">
        <f t="shared" si="3"/>
        <v>44446</v>
      </c>
      <c r="B251" s="26" t="s">
        <v>482</v>
      </c>
      <c r="C251" s="47">
        <v>44440</v>
      </c>
      <c r="D251" s="26" t="s">
        <v>449</v>
      </c>
    </row>
    <row r="252" spans="1:4">
      <c r="A252" s="5">
        <f t="shared" si="3"/>
        <v>44447</v>
      </c>
      <c r="B252" s="26" t="s">
        <v>482</v>
      </c>
      <c r="C252" s="47">
        <v>44440</v>
      </c>
      <c r="D252" s="26" t="s">
        <v>441</v>
      </c>
    </row>
    <row r="253" spans="1:4">
      <c r="A253" s="5">
        <f t="shared" si="3"/>
        <v>44448</v>
      </c>
      <c r="B253" s="26" t="s">
        <v>482</v>
      </c>
      <c r="C253" s="47">
        <v>44440</v>
      </c>
      <c r="D253" s="26" t="s">
        <v>443</v>
      </c>
    </row>
    <row r="254" spans="1:4">
      <c r="A254" s="5">
        <f t="shared" si="3"/>
        <v>44449</v>
      </c>
      <c r="B254" s="26" t="s">
        <v>482</v>
      </c>
      <c r="C254" s="47">
        <v>44440</v>
      </c>
      <c r="D254" s="26" t="s">
        <v>444</v>
      </c>
    </row>
    <row r="255" spans="1:4">
      <c r="A255" s="5">
        <f t="shared" si="3"/>
        <v>44450</v>
      </c>
      <c r="B255" s="26" t="s">
        <v>482</v>
      </c>
      <c r="C255" s="47">
        <v>44440</v>
      </c>
      <c r="D255" s="26" t="s">
        <v>445</v>
      </c>
    </row>
    <row r="256" spans="1:4">
      <c r="A256" s="5">
        <f t="shared" si="3"/>
        <v>44451</v>
      </c>
      <c r="B256" s="26" t="s">
        <v>483</v>
      </c>
      <c r="C256" s="47">
        <v>44440</v>
      </c>
      <c r="D256" s="26" t="s">
        <v>447</v>
      </c>
    </row>
    <row r="257" spans="1:4">
      <c r="A257" s="5">
        <f t="shared" si="3"/>
        <v>44452</v>
      </c>
      <c r="B257" s="26" t="s">
        <v>483</v>
      </c>
      <c r="C257" s="47">
        <v>44440</v>
      </c>
      <c r="D257" s="26" t="s">
        <v>448</v>
      </c>
    </row>
    <row r="258" spans="1:4">
      <c r="A258" s="5">
        <f t="shared" si="3"/>
        <v>44453</v>
      </c>
      <c r="B258" s="26" t="s">
        <v>483</v>
      </c>
      <c r="C258" s="47">
        <v>44440</v>
      </c>
      <c r="D258" s="26" t="s">
        <v>449</v>
      </c>
    </row>
    <row r="259" spans="1:4">
      <c r="A259" s="5">
        <f t="shared" si="3"/>
        <v>44454</v>
      </c>
      <c r="B259" s="26" t="s">
        <v>483</v>
      </c>
      <c r="C259" s="47">
        <v>44440</v>
      </c>
      <c r="D259" s="26" t="s">
        <v>441</v>
      </c>
    </row>
    <row r="260" spans="1:4">
      <c r="A260" s="5">
        <f t="shared" ref="A260:A323" si="4">A259+1</f>
        <v>44455</v>
      </c>
      <c r="B260" s="26" t="s">
        <v>483</v>
      </c>
      <c r="C260" s="47">
        <v>44440</v>
      </c>
      <c r="D260" s="26" t="s">
        <v>443</v>
      </c>
    </row>
    <row r="261" spans="1:4">
      <c r="A261" s="5">
        <f t="shared" si="4"/>
        <v>44456</v>
      </c>
      <c r="B261" s="26" t="s">
        <v>483</v>
      </c>
      <c r="C261" s="47">
        <v>44440</v>
      </c>
      <c r="D261" s="26" t="s">
        <v>444</v>
      </c>
    </row>
    <row r="262" spans="1:4">
      <c r="A262" s="5">
        <f t="shared" si="4"/>
        <v>44457</v>
      </c>
      <c r="B262" s="26" t="s">
        <v>483</v>
      </c>
      <c r="C262" s="47">
        <v>44440</v>
      </c>
      <c r="D262" s="26" t="s">
        <v>445</v>
      </c>
    </row>
    <row r="263" spans="1:4">
      <c r="A263" s="5">
        <f t="shared" si="4"/>
        <v>44458</v>
      </c>
      <c r="B263" s="26" t="s">
        <v>484</v>
      </c>
      <c r="C263" s="47">
        <v>44440</v>
      </c>
      <c r="D263" s="26" t="s">
        <v>447</v>
      </c>
    </row>
    <row r="264" spans="1:4">
      <c r="A264" s="5">
        <f t="shared" si="4"/>
        <v>44459</v>
      </c>
      <c r="B264" s="26" t="s">
        <v>484</v>
      </c>
      <c r="C264" s="47">
        <v>44440</v>
      </c>
      <c r="D264" s="26" t="s">
        <v>448</v>
      </c>
    </row>
    <row r="265" spans="1:4">
      <c r="A265" s="5">
        <f t="shared" si="4"/>
        <v>44460</v>
      </c>
      <c r="B265" s="26" t="s">
        <v>484</v>
      </c>
      <c r="C265" s="47">
        <v>44440</v>
      </c>
      <c r="D265" s="26" t="s">
        <v>449</v>
      </c>
    </row>
    <row r="266" spans="1:4">
      <c r="A266" s="5">
        <f t="shared" si="4"/>
        <v>44461</v>
      </c>
      <c r="B266" s="26" t="s">
        <v>484</v>
      </c>
      <c r="C266" s="47">
        <v>44440</v>
      </c>
      <c r="D266" s="26" t="s">
        <v>441</v>
      </c>
    </row>
    <row r="267" spans="1:4">
      <c r="A267" s="5">
        <f t="shared" si="4"/>
        <v>44462</v>
      </c>
      <c r="B267" s="26" t="s">
        <v>484</v>
      </c>
      <c r="C267" s="47">
        <v>44440</v>
      </c>
      <c r="D267" s="26" t="s">
        <v>443</v>
      </c>
    </row>
    <row r="268" spans="1:4">
      <c r="A268" s="5">
        <f t="shared" si="4"/>
        <v>44463</v>
      </c>
      <c r="B268" s="26" t="s">
        <v>484</v>
      </c>
      <c r="C268" s="47">
        <v>44440</v>
      </c>
      <c r="D268" s="26" t="s">
        <v>444</v>
      </c>
    </row>
    <row r="269" spans="1:4">
      <c r="A269" s="5">
        <f t="shared" si="4"/>
        <v>44464</v>
      </c>
      <c r="B269" s="26" t="s">
        <v>484</v>
      </c>
      <c r="C269" s="47">
        <v>44440</v>
      </c>
      <c r="D269" s="26" t="s">
        <v>445</v>
      </c>
    </row>
    <row r="270" spans="1:4">
      <c r="A270" s="5">
        <f t="shared" si="4"/>
        <v>44465</v>
      </c>
      <c r="B270" s="26" t="s">
        <v>485</v>
      </c>
      <c r="C270" s="47">
        <v>44440</v>
      </c>
      <c r="D270" s="26" t="s">
        <v>447</v>
      </c>
    </row>
    <row r="271" spans="1:4">
      <c r="A271" s="5">
        <f t="shared" si="4"/>
        <v>44466</v>
      </c>
      <c r="B271" s="26" t="s">
        <v>485</v>
      </c>
      <c r="C271" s="47">
        <v>44440</v>
      </c>
      <c r="D271" s="26" t="s">
        <v>448</v>
      </c>
    </row>
    <row r="272" spans="1:4">
      <c r="A272" s="5">
        <f t="shared" si="4"/>
        <v>44467</v>
      </c>
      <c r="B272" s="26" t="s">
        <v>485</v>
      </c>
      <c r="C272" s="47">
        <v>44440</v>
      </c>
      <c r="D272" s="26" t="s">
        <v>449</v>
      </c>
    </row>
    <row r="273" spans="1:4">
      <c r="A273" s="5">
        <f t="shared" si="4"/>
        <v>44468</v>
      </c>
      <c r="B273" s="26" t="s">
        <v>485</v>
      </c>
      <c r="C273" s="47">
        <v>44440</v>
      </c>
      <c r="D273" s="26" t="s">
        <v>441</v>
      </c>
    </row>
    <row r="274" spans="1:4">
      <c r="A274" s="5">
        <f t="shared" si="4"/>
        <v>44469</v>
      </c>
      <c r="B274" s="26" t="s">
        <v>485</v>
      </c>
      <c r="C274" s="47">
        <v>44440</v>
      </c>
      <c r="D274" s="26" t="s">
        <v>443</v>
      </c>
    </row>
    <row r="275" spans="1:4">
      <c r="A275" s="5">
        <f t="shared" si="4"/>
        <v>44470</v>
      </c>
      <c r="B275" s="26" t="s">
        <v>485</v>
      </c>
      <c r="C275" s="47">
        <v>44470</v>
      </c>
      <c r="D275" s="26" t="s">
        <v>444</v>
      </c>
    </row>
    <row r="276" spans="1:4">
      <c r="A276" s="5">
        <f t="shared" si="4"/>
        <v>44471</v>
      </c>
      <c r="B276" s="26" t="s">
        <v>485</v>
      </c>
      <c r="C276" s="47">
        <v>44470</v>
      </c>
      <c r="D276" s="26" t="s">
        <v>445</v>
      </c>
    </row>
    <row r="277" spans="1:4">
      <c r="A277" s="5">
        <f t="shared" si="4"/>
        <v>44472</v>
      </c>
      <c r="B277" s="26" t="s">
        <v>486</v>
      </c>
      <c r="C277" s="47">
        <v>44470</v>
      </c>
      <c r="D277" s="26" t="s">
        <v>447</v>
      </c>
    </row>
    <row r="278" spans="1:4">
      <c r="A278" s="5">
        <f t="shared" si="4"/>
        <v>44473</v>
      </c>
      <c r="B278" s="26" t="s">
        <v>486</v>
      </c>
      <c r="C278" s="47">
        <v>44470</v>
      </c>
      <c r="D278" s="26" t="s">
        <v>448</v>
      </c>
    </row>
    <row r="279" spans="1:4">
      <c r="A279" s="5">
        <f t="shared" si="4"/>
        <v>44474</v>
      </c>
      <c r="B279" s="26" t="s">
        <v>486</v>
      </c>
      <c r="C279" s="47">
        <v>44470</v>
      </c>
      <c r="D279" s="26" t="s">
        <v>449</v>
      </c>
    </row>
    <row r="280" spans="1:4">
      <c r="A280" s="5">
        <f t="shared" si="4"/>
        <v>44475</v>
      </c>
      <c r="B280" s="26" t="s">
        <v>486</v>
      </c>
      <c r="C280" s="47">
        <v>44470</v>
      </c>
      <c r="D280" s="26" t="s">
        <v>441</v>
      </c>
    </row>
    <row r="281" spans="1:4">
      <c r="A281" s="5">
        <f t="shared" si="4"/>
        <v>44476</v>
      </c>
      <c r="B281" s="26" t="s">
        <v>486</v>
      </c>
      <c r="C281" s="47">
        <v>44470</v>
      </c>
      <c r="D281" s="26" t="s">
        <v>443</v>
      </c>
    </row>
    <row r="282" spans="1:4">
      <c r="A282" s="5">
        <f t="shared" si="4"/>
        <v>44477</v>
      </c>
      <c r="B282" s="26" t="s">
        <v>486</v>
      </c>
      <c r="C282" s="47">
        <v>44470</v>
      </c>
      <c r="D282" s="26" t="s">
        <v>444</v>
      </c>
    </row>
    <row r="283" spans="1:4">
      <c r="A283" s="5">
        <f t="shared" si="4"/>
        <v>44478</v>
      </c>
      <c r="B283" s="26" t="s">
        <v>486</v>
      </c>
      <c r="C283" s="47">
        <v>44470</v>
      </c>
      <c r="D283" s="26" t="s">
        <v>445</v>
      </c>
    </row>
    <row r="284" spans="1:4">
      <c r="A284" s="5">
        <f t="shared" si="4"/>
        <v>44479</v>
      </c>
      <c r="B284" s="26" t="s">
        <v>487</v>
      </c>
      <c r="C284" s="47">
        <v>44470</v>
      </c>
      <c r="D284" s="26" t="s">
        <v>447</v>
      </c>
    </row>
    <row r="285" spans="1:4">
      <c r="A285" s="5">
        <f t="shared" si="4"/>
        <v>44480</v>
      </c>
      <c r="B285" s="26" t="s">
        <v>487</v>
      </c>
      <c r="C285" s="47">
        <v>44470</v>
      </c>
      <c r="D285" s="26" t="s">
        <v>448</v>
      </c>
    </row>
    <row r="286" spans="1:4">
      <c r="A286" s="5">
        <f t="shared" si="4"/>
        <v>44481</v>
      </c>
      <c r="B286" s="26" t="s">
        <v>487</v>
      </c>
      <c r="C286" s="47">
        <v>44470</v>
      </c>
      <c r="D286" s="26" t="s">
        <v>449</v>
      </c>
    </row>
    <row r="287" spans="1:4">
      <c r="A287" s="5">
        <f t="shared" si="4"/>
        <v>44482</v>
      </c>
      <c r="B287" s="26" t="s">
        <v>487</v>
      </c>
      <c r="C287" s="47">
        <v>44470</v>
      </c>
      <c r="D287" s="26" t="s">
        <v>441</v>
      </c>
    </row>
    <row r="288" spans="1:4">
      <c r="A288" s="5">
        <f t="shared" si="4"/>
        <v>44483</v>
      </c>
      <c r="B288" s="26" t="s">
        <v>487</v>
      </c>
      <c r="C288" s="47">
        <v>44470</v>
      </c>
      <c r="D288" s="26" t="s">
        <v>443</v>
      </c>
    </row>
    <row r="289" spans="1:4">
      <c r="A289" s="5">
        <f t="shared" si="4"/>
        <v>44484</v>
      </c>
      <c r="B289" s="26" t="s">
        <v>487</v>
      </c>
      <c r="C289" s="47">
        <v>44470</v>
      </c>
      <c r="D289" s="26" t="s">
        <v>444</v>
      </c>
    </row>
    <row r="290" spans="1:4">
      <c r="A290" s="5">
        <f t="shared" si="4"/>
        <v>44485</v>
      </c>
      <c r="B290" s="26" t="s">
        <v>487</v>
      </c>
      <c r="C290" s="47">
        <v>44470</v>
      </c>
      <c r="D290" s="26" t="s">
        <v>445</v>
      </c>
    </row>
    <row r="291" spans="1:4">
      <c r="A291" s="5">
        <f t="shared" si="4"/>
        <v>44486</v>
      </c>
      <c r="B291" s="26" t="s">
        <v>488</v>
      </c>
      <c r="C291" s="47">
        <v>44470</v>
      </c>
      <c r="D291" s="26" t="s">
        <v>447</v>
      </c>
    </row>
    <row r="292" spans="1:4">
      <c r="A292" s="5">
        <f t="shared" si="4"/>
        <v>44487</v>
      </c>
      <c r="B292" s="26" t="s">
        <v>488</v>
      </c>
      <c r="C292" s="47">
        <v>44470</v>
      </c>
      <c r="D292" s="26" t="s">
        <v>448</v>
      </c>
    </row>
    <row r="293" spans="1:4">
      <c r="A293" s="5">
        <f t="shared" si="4"/>
        <v>44488</v>
      </c>
      <c r="B293" s="26" t="s">
        <v>488</v>
      </c>
      <c r="C293" s="47">
        <v>44470</v>
      </c>
      <c r="D293" s="26" t="s">
        <v>449</v>
      </c>
    </row>
    <row r="294" spans="1:4">
      <c r="A294" s="5">
        <f t="shared" si="4"/>
        <v>44489</v>
      </c>
      <c r="B294" s="26" t="s">
        <v>488</v>
      </c>
      <c r="C294" s="47">
        <v>44470</v>
      </c>
      <c r="D294" s="26" t="s">
        <v>441</v>
      </c>
    </row>
    <row r="295" spans="1:4">
      <c r="A295" s="5">
        <f t="shared" si="4"/>
        <v>44490</v>
      </c>
      <c r="B295" s="26" t="s">
        <v>488</v>
      </c>
      <c r="C295" s="47">
        <v>44470</v>
      </c>
      <c r="D295" s="26" t="s">
        <v>443</v>
      </c>
    </row>
    <row r="296" spans="1:4">
      <c r="A296" s="5">
        <f t="shared" si="4"/>
        <v>44491</v>
      </c>
      <c r="B296" s="26" t="s">
        <v>488</v>
      </c>
      <c r="C296" s="47">
        <v>44470</v>
      </c>
      <c r="D296" s="26" t="s">
        <v>444</v>
      </c>
    </row>
    <row r="297" spans="1:4">
      <c r="A297" s="5">
        <f t="shared" si="4"/>
        <v>44492</v>
      </c>
      <c r="B297" s="26" t="s">
        <v>488</v>
      </c>
      <c r="C297" s="47">
        <v>44470</v>
      </c>
      <c r="D297" s="26" t="s">
        <v>445</v>
      </c>
    </row>
    <row r="298" spans="1:4">
      <c r="A298" s="5">
        <f t="shared" si="4"/>
        <v>44493</v>
      </c>
      <c r="B298" s="26" t="s">
        <v>489</v>
      </c>
      <c r="C298" s="47">
        <v>44470</v>
      </c>
      <c r="D298" s="26" t="s">
        <v>447</v>
      </c>
    </row>
    <row r="299" spans="1:4">
      <c r="A299" s="5">
        <f t="shared" si="4"/>
        <v>44494</v>
      </c>
      <c r="B299" s="26" t="s">
        <v>489</v>
      </c>
      <c r="C299" s="47">
        <v>44470</v>
      </c>
      <c r="D299" s="26" t="s">
        <v>448</v>
      </c>
    </row>
    <row r="300" spans="1:4">
      <c r="A300" s="5">
        <f t="shared" si="4"/>
        <v>44495</v>
      </c>
      <c r="B300" s="26" t="s">
        <v>489</v>
      </c>
      <c r="C300" s="47">
        <v>44470</v>
      </c>
      <c r="D300" s="26" t="s">
        <v>449</v>
      </c>
    </row>
    <row r="301" spans="1:4">
      <c r="A301" s="5">
        <f t="shared" si="4"/>
        <v>44496</v>
      </c>
      <c r="B301" s="26" t="s">
        <v>489</v>
      </c>
      <c r="C301" s="47">
        <v>44470</v>
      </c>
      <c r="D301" s="26" t="s">
        <v>441</v>
      </c>
    </row>
    <row r="302" spans="1:4">
      <c r="A302" s="5">
        <f t="shared" si="4"/>
        <v>44497</v>
      </c>
      <c r="B302" s="26" t="s">
        <v>489</v>
      </c>
      <c r="C302" s="47">
        <v>44470</v>
      </c>
      <c r="D302" s="26" t="s">
        <v>443</v>
      </c>
    </row>
    <row r="303" spans="1:4">
      <c r="A303" s="5">
        <f t="shared" si="4"/>
        <v>44498</v>
      </c>
      <c r="B303" s="26" t="s">
        <v>489</v>
      </c>
      <c r="C303" s="47">
        <v>44470</v>
      </c>
      <c r="D303" s="26" t="s">
        <v>444</v>
      </c>
    </row>
    <row r="304" spans="1:4">
      <c r="A304" s="5">
        <f t="shared" si="4"/>
        <v>44499</v>
      </c>
      <c r="B304" s="26" t="s">
        <v>489</v>
      </c>
      <c r="C304" s="47">
        <v>44470</v>
      </c>
      <c r="D304" s="26" t="s">
        <v>445</v>
      </c>
    </row>
    <row r="305" spans="1:4">
      <c r="A305" s="5">
        <f t="shared" si="4"/>
        <v>44500</v>
      </c>
      <c r="B305" s="26" t="s">
        <v>490</v>
      </c>
      <c r="C305" s="47">
        <v>44470</v>
      </c>
      <c r="D305" s="26" t="s">
        <v>447</v>
      </c>
    </row>
    <row r="306" spans="1:4">
      <c r="A306" s="5">
        <f t="shared" si="4"/>
        <v>44501</v>
      </c>
      <c r="B306" s="26" t="s">
        <v>490</v>
      </c>
      <c r="C306" s="47">
        <v>44501</v>
      </c>
      <c r="D306" s="26" t="s">
        <v>448</v>
      </c>
    </row>
    <row r="307" spans="1:4">
      <c r="A307" s="5">
        <f t="shared" si="4"/>
        <v>44502</v>
      </c>
      <c r="B307" s="26" t="s">
        <v>490</v>
      </c>
      <c r="C307" s="47">
        <v>44501</v>
      </c>
      <c r="D307" s="26" t="s">
        <v>449</v>
      </c>
    </row>
    <row r="308" spans="1:4">
      <c r="A308" s="5">
        <f t="shared" si="4"/>
        <v>44503</v>
      </c>
      <c r="B308" s="26" t="s">
        <v>490</v>
      </c>
      <c r="C308" s="47">
        <v>44501</v>
      </c>
      <c r="D308" s="26" t="s">
        <v>441</v>
      </c>
    </row>
    <row r="309" spans="1:4">
      <c r="A309" s="5">
        <f t="shared" si="4"/>
        <v>44504</v>
      </c>
      <c r="B309" s="26" t="s">
        <v>490</v>
      </c>
      <c r="C309" s="47">
        <v>44501</v>
      </c>
      <c r="D309" s="26" t="s">
        <v>443</v>
      </c>
    </row>
    <row r="310" spans="1:4">
      <c r="A310" s="5">
        <f t="shared" si="4"/>
        <v>44505</v>
      </c>
      <c r="B310" s="26" t="s">
        <v>490</v>
      </c>
      <c r="C310" s="47">
        <v>44501</v>
      </c>
      <c r="D310" s="26" t="s">
        <v>444</v>
      </c>
    </row>
    <row r="311" spans="1:4">
      <c r="A311" s="5">
        <f t="shared" si="4"/>
        <v>44506</v>
      </c>
      <c r="B311" s="26" t="s">
        <v>490</v>
      </c>
      <c r="C311" s="47">
        <v>44501</v>
      </c>
      <c r="D311" s="26" t="s">
        <v>445</v>
      </c>
    </row>
    <row r="312" spans="1:4">
      <c r="A312" s="5">
        <f t="shared" si="4"/>
        <v>44507</v>
      </c>
      <c r="B312" s="26" t="s">
        <v>491</v>
      </c>
      <c r="C312" s="47">
        <v>44501</v>
      </c>
      <c r="D312" s="26" t="s">
        <v>447</v>
      </c>
    </row>
    <row r="313" spans="1:4">
      <c r="A313" s="5">
        <f t="shared" si="4"/>
        <v>44508</v>
      </c>
      <c r="B313" s="26" t="s">
        <v>491</v>
      </c>
      <c r="C313" s="47">
        <v>44501</v>
      </c>
      <c r="D313" s="26" t="s">
        <v>448</v>
      </c>
    </row>
    <row r="314" spans="1:4">
      <c r="A314" s="5">
        <f t="shared" si="4"/>
        <v>44509</v>
      </c>
      <c r="B314" s="26" t="s">
        <v>491</v>
      </c>
      <c r="C314" s="47">
        <v>44501</v>
      </c>
      <c r="D314" s="26" t="s">
        <v>449</v>
      </c>
    </row>
    <row r="315" spans="1:4">
      <c r="A315" s="5">
        <f t="shared" si="4"/>
        <v>44510</v>
      </c>
      <c r="B315" s="26" t="s">
        <v>491</v>
      </c>
      <c r="C315" s="47">
        <v>44501</v>
      </c>
      <c r="D315" s="26" t="s">
        <v>441</v>
      </c>
    </row>
    <row r="316" spans="1:4">
      <c r="A316" s="5">
        <f t="shared" si="4"/>
        <v>44511</v>
      </c>
      <c r="B316" s="26" t="s">
        <v>491</v>
      </c>
      <c r="C316" s="47">
        <v>44501</v>
      </c>
      <c r="D316" s="26" t="s">
        <v>443</v>
      </c>
    </row>
    <row r="317" spans="1:4">
      <c r="A317" s="5">
        <f t="shared" si="4"/>
        <v>44512</v>
      </c>
      <c r="B317" s="26" t="s">
        <v>491</v>
      </c>
      <c r="C317" s="47">
        <v>44501</v>
      </c>
      <c r="D317" s="26" t="s">
        <v>444</v>
      </c>
    </row>
    <row r="318" spans="1:4">
      <c r="A318" s="5">
        <f t="shared" si="4"/>
        <v>44513</v>
      </c>
      <c r="B318" s="26" t="s">
        <v>491</v>
      </c>
      <c r="C318" s="47">
        <v>44501</v>
      </c>
      <c r="D318" s="26" t="s">
        <v>445</v>
      </c>
    </row>
    <row r="319" spans="1:4">
      <c r="A319" s="5">
        <f t="shared" si="4"/>
        <v>44514</v>
      </c>
      <c r="B319" s="26" t="s">
        <v>492</v>
      </c>
      <c r="C319" s="47">
        <v>44501</v>
      </c>
      <c r="D319" s="26" t="s">
        <v>447</v>
      </c>
    </row>
    <row r="320" spans="1:4">
      <c r="A320" s="5">
        <f t="shared" si="4"/>
        <v>44515</v>
      </c>
      <c r="B320" s="26" t="s">
        <v>492</v>
      </c>
      <c r="C320" s="47">
        <v>44501</v>
      </c>
      <c r="D320" s="26" t="s">
        <v>448</v>
      </c>
    </row>
    <row r="321" spans="1:4">
      <c r="A321" s="5">
        <f t="shared" si="4"/>
        <v>44516</v>
      </c>
      <c r="B321" s="26" t="s">
        <v>492</v>
      </c>
      <c r="C321" s="47">
        <v>44501</v>
      </c>
      <c r="D321" s="26" t="s">
        <v>449</v>
      </c>
    </row>
    <row r="322" spans="1:4">
      <c r="A322" s="5">
        <f t="shared" si="4"/>
        <v>44517</v>
      </c>
      <c r="B322" s="26" t="s">
        <v>492</v>
      </c>
      <c r="C322" s="47">
        <v>44501</v>
      </c>
      <c r="D322" s="26" t="s">
        <v>441</v>
      </c>
    </row>
    <row r="323" spans="1:4">
      <c r="A323" s="5">
        <f t="shared" si="4"/>
        <v>44518</v>
      </c>
      <c r="B323" s="26" t="s">
        <v>492</v>
      </c>
      <c r="C323" s="47">
        <v>44501</v>
      </c>
      <c r="D323" s="26" t="s">
        <v>443</v>
      </c>
    </row>
    <row r="324" spans="1:4">
      <c r="A324" s="5">
        <f t="shared" ref="A324:A387" si="5">A323+1</f>
        <v>44519</v>
      </c>
      <c r="B324" s="26" t="s">
        <v>492</v>
      </c>
      <c r="C324" s="47">
        <v>44501</v>
      </c>
      <c r="D324" s="26" t="s">
        <v>444</v>
      </c>
    </row>
    <row r="325" spans="1:4">
      <c r="A325" s="5">
        <f t="shared" si="5"/>
        <v>44520</v>
      </c>
      <c r="B325" s="26" t="s">
        <v>492</v>
      </c>
      <c r="C325" s="47">
        <v>44501</v>
      </c>
      <c r="D325" s="26" t="s">
        <v>445</v>
      </c>
    </row>
    <row r="326" spans="1:4">
      <c r="A326" s="5">
        <f t="shared" si="5"/>
        <v>44521</v>
      </c>
      <c r="B326" s="26" t="s">
        <v>493</v>
      </c>
      <c r="C326" s="47">
        <v>44501</v>
      </c>
      <c r="D326" s="26" t="s">
        <v>447</v>
      </c>
    </row>
    <row r="327" spans="1:4">
      <c r="A327" s="5">
        <f t="shared" si="5"/>
        <v>44522</v>
      </c>
      <c r="B327" s="26" t="s">
        <v>493</v>
      </c>
      <c r="C327" s="47">
        <v>44501</v>
      </c>
      <c r="D327" s="26" t="s">
        <v>448</v>
      </c>
    </row>
    <row r="328" spans="1:4">
      <c r="A328" s="5">
        <f t="shared" si="5"/>
        <v>44523</v>
      </c>
      <c r="B328" s="26" t="s">
        <v>493</v>
      </c>
      <c r="C328" s="47">
        <v>44501</v>
      </c>
      <c r="D328" s="26" t="s">
        <v>449</v>
      </c>
    </row>
    <row r="329" spans="1:4">
      <c r="A329" s="5">
        <f t="shared" si="5"/>
        <v>44524</v>
      </c>
      <c r="B329" s="26" t="s">
        <v>493</v>
      </c>
      <c r="C329" s="47">
        <v>44501</v>
      </c>
      <c r="D329" s="26" t="s">
        <v>441</v>
      </c>
    </row>
    <row r="330" spans="1:4">
      <c r="A330" s="5">
        <f t="shared" si="5"/>
        <v>44525</v>
      </c>
      <c r="B330" s="26" t="s">
        <v>493</v>
      </c>
      <c r="C330" s="47">
        <v>44501</v>
      </c>
      <c r="D330" s="26" t="s">
        <v>443</v>
      </c>
    </row>
    <row r="331" spans="1:4">
      <c r="A331" s="5">
        <f t="shared" si="5"/>
        <v>44526</v>
      </c>
      <c r="B331" s="26" t="s">
        <v>493</v>
      </c>
      <c r="C331" s="47">
        <v>44501</v>
      </c>
      <c r="D331" s="26" t="s">
        <v>444</v>
      </c>
    </row>
    <row r="332" spans="1:4">
      <c r="A332" s="5">
        <f t="shared" si="5"/>
        <v>44527</v>
      </c>
      <c r="B332" s="26" t="s">
        <v>493</v>
      </c>
      <c r="C332" s="47">
        <v>44501</v>
      </c>
      <c r="D332" s="26" t="s">
        <v>445</v>
      </c>
    </row>
    <row r="333" spans="1:4">
      <c r="A333" s="5">
        <f t="shared" si="5"/>
        <v>44528</v>
      </c>
      <c r="B333" s="26" t="s">
        <v>494</v>
      </c>
      <c r="C333" s="47">
        <v>44501</v>
      </c>
      <c r="D333" s="26" t="s">
        <v>447</v>
      </c>
    </row>
    <row r="334" spans="1:4">
      <c r="A334" s="5">
        <f t="shared" si="5"/>
        <v>44529</v>
      </c>
      <c r="B334" s="26" t="s">
        <v>494</v>
      </c>
      <c r="C334" s="47">
        <v>44501</v>
      </c>
      <c r="D334" s="26" t="s">
        <v>448</v>
      </c>
    </row>
    <row r="335" spans="1:4">
      <c r="A335" s="5">
        <f t="shared" si="5"/>
        <v>44530</v>
      </c>
      <c r="B335" s="26" t="s">
        <v>494</v>
      </c>
      <c r="C335" s="47">
        <v>44501</v>
      </c>
      <c r="D335" s="26" t="s">
        <v>449</v>
      </c>
    </row>
    <row r="336" spans="1:4">
      <c r="A336" s="5">
        <f t="shared" si="5"/>
        <v>44531</v>
      </c>
      <c r="B336" s="26" t="s">
        <v>494</v>
      </c>
      <c r="C336" s="47">
        <v>44531</v>
      </c>
      <c r="D336" s="26" t="s">
        <v>441</v>
      </c>
    </row>
    <row r="337" spans="1:4">
      <c r="A337" s="5">
        <f t="shared" si="5"/>
        <v>44532</v>
      </c>
      <c r="B337" s="26" t="s">
        <v>494</v>
      </c>
      <c r="C337" s="47">
        <v>44531</v>
      </c>
      <c r="D337" s="26" t="s">
        <v>443</v>
      </c>
    </row>
    <row r="338" spans="1:4">
      <c r="A338" s="5">
        <f t="shared" si="5"/>
        <v>44533</v>
      </c>
      <c r="B338" s="26" t="s">
        <v>494</v>
      </c>
      <c r="C338" s="47">
        <v>44531</v>
      </c>
      <c r="D338" s="26" t="s">
        <v>444</v>
      </c>
    </row>
    <row r="339" spans="1:4">
      <c r="A339" s="5">
        <f t="shared" si="5"/>
        <v>44534</v>
      </c>
      <c r="B339" s="26" t="s">
        <v>494</v>
      </c>
      <c r="C339" s="47">
        <v>44531</v>
      </c>
      <c r="D339" s="26" t="s">
        <v>445</v>
      </c>
    </row>
    <row r="340" spans="1:4">
      <c r="A340" s="5">
        <f t="shared" si="5"/>
        <v>44535</v>
      </c>
      <c r="B340" s="26" t="s">
        <v>495</v>
      </c>
      <c r="C340" s="47">
        <v>44531</v>
      </c>
      <c r="D340" s="26" t="s">
        <v>447</v>
      </c>
    </row>
    <row r="341" spans="1:4">
      <c r="A341" s="5">
        <f t="shared" si="5"/>
        <v>44536</v>
      </c>
      <c r="B341" s="26" t="s">
        <v>495</v>
      </c>
      <c r="C341" s="47">
        <v>44531</v>
      </c>
      <c r="D341" s="26" t="s">
        <v>448</v>
      </c>
    </row>
    <row r="342" spans="1:4">
      <c r="A342" s="5">
        <f t="shared" si="5"/>
        <v>44537</v>
      </c>
      <c r="B342" s="26" t="s">
        <v>495</v>
      </c>
      <c r="C342" s="47">
        <v>44531</v>
      </c>
      <c r="D342" s="26" t="s">
        <v>449</v>
      </c>
    </row>
    <row r="343" spans="1:4">
      <c r="A343" s="5">
        <f t="shared" si="5"/>
        <v>44538</v>
      </c>
      <c r="B343" s="26" t="s">
        <v>495</v>
      </c>
      <c r="C343" s="47">
        <v>44531</v>
      </c>
      <c r="D343" s="26" t="s">
        <v>441</v>
      </c>
    </row>
    <row r="344" spans="1:4">
      <c r="A344" s="5">
        <f t="shared" si="5"/>
        <v>44539</v>
      </c>
      <c r="B344" s="26" t="s">
        <v>495</v>
      </c>
      <c r="C344" s="47">
        <v>44531</v>
      </c>
      <c r="D344" s="26" t="s">
        <v>443</v>
      </c>
    </row>
    <row r="345" spans="1:4">
      <c r="A345" s="5">
        <f t="shared" si="5"/>
        <v>44540</v>
      </c>
      <c r="B345" s="26" t="s">
        <v>495</v>
      </c>
      <c r="C345" s="47">
        <v>44531</v>
      </c>
      <c r="D345" s="26" t="s">
        <v>444</v>
      </c>
    </row>
    <row r="346" spans="1:4">
      <c r="A346" s="5">
        <f t="shared" si="5"/>
        <v>44541</v>
      </c>
      <c r="B346" s="26" t="s">
        <v>495</v>
      </c>
      <c r="C346" s="47">
        <v>44531</v>
      </c>
      <c r="D346" s="26" t="s">
        <v>445</v>
      </c>
    </row>
    <row r="347" spans="1:4">
      <c r="A347" s="5">
        <f t="shared" si="5"/>
        <v>44542</v>
      </c>
      <c r="B347" s="26" t="s">
        <v>496</v>
      </c>
      <c r="C347" s="47">
        <v>44531</v>
      </c>
      <c r="D347" s="26" t="s">
        <v>447</v>
      </c>
    </row>
    <row r="348" spans="1:4">
      <c r="A348" s="5">
        <f t="shared" si="5"/>
        <v>44543</v>
      </c>
      <c r="B348" s="26" t="s">
        <v>496</v>
      </c>
      <c r="C348" s="47">
        <v>44531</v>
      </c>
      <c r="D348" s="26" t="s">
        <v>448</v>
      </c>
    </row>
    <row r="349" spans="1:4">
      <c r="A349" s="5">
        <f t="shared" si="5"/>
        <v>44544</v>
      </c>
      <c r="B349" s="26" t="s">
        <v>496</v>
      </c>
      <c r="C349" s="47">
        <v>44531</v>
      </c>
      <c r="D349" s="26" t="s">
        <v>449</v>
      </c>
    </row>
    <row r="350" spans="1:4">
      <c r="A350" s="5">
        <f t="shared" si="5"/>
        <v>44545</v>
      </c>
      <c r="B350" s="26" t="s">
        <v>496</v>
      </c>
      <c r="C350" s="47">
        <v>44531</v>
      </c>
      <c r="D350" s="26" t="s">
        <v>441</v>
      </c>
    </row>
    <row r="351" spans="1:4">
      <c r="A351" s="5">
        <f t="shared" si="5"/>
        <v>44546</v>
      </c>
      <c r="B351" s="26" t="s">
        <v>496</v>
      </c>
      <c r="C351" s="47">
        <v>44531</v>
      </c>
      <c r="D351" s="26" t="s">
        <v>443</v>
      </c>
    </row>
    <row r="352" spans="1:4">
      <c r="A352" s="5">
        <f t="shared" si="5"/>
        <v>44547</v>
      </c>
      <c r="B352" s="26" t="s">
        <v>496</v>
      </c>
      <c r="C352" s="47">
        <v>44531</v>
      </c>
      <c r="D352" s="26" t="s">
        <v>444</v>
      </c>
    </row>
    <row r="353" spans="1:4">
      <c r="A353" s="5">
        <f t="shared" si="5"/>
        <v>44548</v>
      </c>
      <c r="B353" s="26" t="s">
        <v>496</v>
      </c>
      <c r="C353" s="47">
        <v>44531</v>
      </c>
      <c r="D353" s="26" t="s">
        <v>445</v>
      </c>
    </row>
    <row r="354" spans="1:4">
      <c r="A354" s="5">
        <f t="shared" si="5"/>
        <v>44549</v>
      </c>
      <c r="B354" s="26" t="s">
        <v>497</v>
      </c>
      <c r="C354" s="47">
        <v>44531</v>
      </c>
      <c r="D354" s="26" t="s">
        <v>447</v>
      </c>
    </row>
    <row r="355" spans="1:4">
      <c r="A355" s="5">
        <f t="shared" si="5"/>
        <v>44550</v>
      </c>
      <c r="B355" s="26" t="s">
        <v>497</v>
      </c>
      <c r="C355" s="47">
        <v>44531</v>
      </c>
      <c r="D355" s="26" t="s">
        <v>448</v>
      </c>
    </row>
    <row r="356" spans="1:4">
      <c r="A356" s="5">
        <f t="shared" si="5"/>
        <v>44551</v>
      </c>
      <c r="B356" s="26" t="s">
        <v>497</v>
      </c>
      <c r="C356" s="47">
        <v>44531</v>
      </c>
      <c r="D356" s="26" t="s">
        <v>449</v>
      </c>
    </row>
    <row r="357" spans="1:4">
      <c r="A357" s="5">
        <f t="shared" si="5"/>
        <v>44552</v>
      </c>
      <c r="B357" s="26" t="s">
        <v>497</v>
      </c>
      <c r="C357" s="47">
        <v>44531</v>
      </c>
      <c r="D357" s="26" t="s">
        <v>441</v>
      </c>
    </row>
    <row r="358" spans="1:4">
      <c r="A358" s="5">
        <f t="shared" si="5"/>
        <v>44553</v>
      </c>
      <c r="B358" s="26" t="s">
        <v>497</v>
      </c>
      <c r="C358" s="47">
        <v>44531</v>
      </c>
      <c r="D358" s="26" t="s">
        <v>443</v>
      </c>
    </row>
    <row r="359" spans="1:4">
      <c r="A359" s="5">
        <f t="shared" si="5"/>
        <v>44554</v>
      </c>
      <c r="B359" s="26" t="s">
        <v>497</v>
      </c>
      <c r="C359" s="47">
        <v>44531</v>
      </c>
      <c r="D359" s="26" t="s">
        <v>444</v>
      </c>
    </row>
    <row r="360" spans="1:4">
      <c r="A360" s="5">
        <f t="shared" si="5"/>
        <v>44555</v>
      </c>
      <c r="B360" s="26" t="s">
        <v>497</v>
      </c>
      <c r="C360" s="47">
        <v>44531</v>
      </c>
      <c r="D360" s="26" t="s">
        <v>445</v>
      </c>
    </row>
    <row r="361" spans="1:4">
      <c r="A361" s="5">
        <f t="shared" si="5"/>
        <v>44556</v>
      </c>
      <c r="B361" s="26" t="s">
        <v>498</v>
      </c>
      <c r="C361" s="47">
        <v>44531</v>
      </c>
      <c r="D361" s="26" t="s">
        <v>447</v>
      </c>
    </row>
    <row r="362" spans="1:4">
      <c r="A362" s="5">
        <f t="shared" si="5"/>
        <v>44557</v>
      </c>
      <c r="B362" s="26" t="s">
        <v>498</v>
      </c>
      <c r="C362" s="47">
        <v>44531</v>
      </c>
      <c r="D362" s="26" t="s">
        <v>448</v>
      </c>
    </row>
    <row r="363" spans="1:4">
      <c r="A363" s="5">
        <f t="shared" si="5"/>
        <v>44558</v>
      </c>
      <c r="B363" s="26" t="s">
        <v>498</v>
      </c>
      <c r="C363" s="47">
        <v>44531</v>
      </c>
      <c r="D363" s="26" t="s">
        <v>449</v>
      </c>
    </row>
    <row r="364" spans="1:4">
      <c r="A364" s="5">
        <f t="shared" si="5"/>
        <v>44559</v>
      </c>
      <c r="B364" s="26" t="s">
        <v>498</v>
      </c>
      <c r="C364" s="47">
        <v>44531</v>
      </c>
      <c r="D364" s="26" t="s">
        <v>441</v>
      </c>
    </row>
    <row r="365" spans="1:4">
      <c r="A365" s="5">
        <f t="shared" si="5"/>
        <v>44560</v>
      </c>
      <c r="B365" s="26" t="s">
        <v>498</v>
      </c>
      <c r="C365" s="47">
        <v>44531</v>
      </c>
      <c r="D365" s="26" t="s">
        <v>443</v>
      </c>
    </row>
    <row r="366" spans="1:4">
      <c r="A366" s="5">
        <f t="shared" si="5"/>
        <v>44561</v>
      </c>
      <c r="B366" s="26" t="s">
        <v>498</v>
      </c>
      <c r="C366" s="47">
        <v>44531</v>
      </c>
      <c r="D366" s="26" t="s">
        <v>441</v>
      </c>
    </row>
    <row r="367" spans="1:4">
      <c r="A367" s="5">
        <f t="shared" si="5"/>
        <v>44562</v>
      </c>
      <c r="B367" s="26" t="s">
        <v>498</v>
      </c>
      <c r="C367" s="47">
        <v>44562</v>
      </c>
      <c r="D367" s="26" t="s">
        <v>445</v>
      </c>
    </row>
    <row r="368" spans="1:4">
      <c r="A368" s="5">
        <f t="shared" si="5"/>
        <v>44563</v>
      </c>
      <c r="B368" s="26" t="s">
        <v>442</v>
      </c>
      <c r="C368" s="47">
        <v>44562</v>
      </c>
      <c r="D368" s="26" t="s">
        <v>447</v>
      </c>
    </row>
    <row r="369" spans="1:4">
      <c r="A369" s="5">
        <f t="shared" si="5"/>
        <v>44564</v>
      </c>
      <c r="B369" s="26" t="s">
        <v>442</v>
      </c>
      <c r="C369" s="47">
        <v>44562</v>
      </c>
      <c r="D369" s="26" t="s">
        <v>448</v>
      </c>
    </row>
    <row r="370" spans="1:4">
      <c r="A370" s="5">
        <f t="shared" si="5"/>
        <v>44565</v>
      </c>
      <c r="B370" s="26" t="s">
        <v>442</v>
      </c>
      <c r="C370" s="47">
        <v>44562</v>
      </c>
      <c r="D370" s="26" t="s">
        <v>449</v>
      </c>
    </row>
    <row r="371" spans="1:4">
      <c r="A371" s="5">
        <f t="shared" si="5"/>
        <v>44566</v>
      </c>
      <c r="B371" s="26" t="s">
        <v>442</v>
      </c>
      <c r="C371" s="47">
        <v>44562</v>
      </c>
      <c r="D371" s="26" t="s">
        <v>441</v>
      </c>
    </row>
    <row r="372" spans="1:4">
      <c r="A372" s="5">
        <f t="shared" si="5"/>
        <v>44567</v>
      </c>
      <c r="B372" s="26" t="s">
        <v>442</v>
      </c>
      <c r="C372" s="47">
        <v>44562</v>
      </c>
      <c r="D372" s="26" t="s">
        <v>443</v>
      </c>
    </row>
    <row r="373" spans="1:4">
      <c r="A373" s="5">
        <f t="shared" si="5"/>
        <v>44568</v>
      </c>
      <c r="B373" s="26" t="s">
        <v>442</v>
      </c>
      <c r="C373" s="47">
        <v>44562</v>
      </c>
      <c r="D373" s="26" t="s">
        <v>444</v>
      </c>
    </row>
    <row r="374" spans="1:4">
      <c r="A374" s="5">
        <f t="shared" si="5"/>
        <v>44569</v>
      </c>
      <c r="B374" s="26" t="s">
        <v>442</v>
      </c>
      <c r="C374" s="47">
        <v>44562</v>
      </c>
      <c r="D374" s="26" t="s">
        <v>445</v>
      </c>
    </row>
    <row r="375" spans="1:4">
      <c r="A375" s="5">
        <f t="shared" si="5"/>
        <v>44570</v>
      </c>
      <c r="B375" s="26" t="s">
        <v>446</v>
      </c>
      <c r="C375" s="47">
        <v>44562</v>
      </c>
      <c r="D375" s="26" t="s">
        <v>447</v>
      </c>
    </row>
    <row r="376" spans="1:4">
      <c r="A376" s="5">
        <f t="shared" si="5"/>
        <v>44571</v>
      </c>
      <c r="B376" s="26" t="s">
        <v>446</v>
      </c>
      <c r="C376" s="47">
        <v>44562</v>
      </c>
      <c r="D376" s="26" t="s">
        <v>448</v>
      </c>
    </row>
    <row r="377" spans="1:4">
      <c r="A377" s="5">
        <f t="shared" si="5"/>
        <v>44572</v>
      </c>
      <c r="B377" s="26" t="s">
        <v>446</v>
      </c>
      <c r="C377" s="47">
        <v>44562</v>
      </c>
      <c r="D377" s="26" t="s">
        <v>449</v>
      </c>
    </row>
    <row r="378" spans="1:4">
      <c r="A378" s="5">
        <f t="shared" si="5"/>
        <v>44573</v>
      </c>
      <c r="B378" s="26" t="s">
        <v>446</v>
      </c>
      <c r="C378" s="47">
        <v>44562</v>
      </c>
      <c r="D378" s="26" t="s">
        <v>441</v>
      </c>
    </row>
    <row r="379" spans="1:4">
      <c r="A379" s="5">
        <f t="shared" si="5"/>
        <v>44574</v>
      </c>
      <c r="B379" s="26" t="s">
        <v>446</v>
      </c>
      <c r="C379" s="47">
        <v>44562</v>
      </c>
      <c r="D379" s="26" t="s">
        <v>443</v>
      </c>
    </row>
    <row r="380" spans="1:4">
      <c r="A380" s="5">
        <f t="shared" si="5"/>
        <v>44575</v>
      </c>
      <c r="B380" s="26" t="s">
        <v>446</v>
      </c>
      <c r="C380" s="47">
        <v>44562</v>
      </c>
      <c r="D380" s="26" t="s">
        <v>444</v>
      </c>
    </row>
    <row r="381" spans="1:4">
      <c r="A381" s="5">
        <f t="shared" si="5"/>
        <v>44576</v>
      </c>
      <c r="B381" s="26" t="s">
        <v>446</v>
      </c>
      <c r="C381" s="47">
        <v>44562</v>
      </c>
      <c r="D381" s="26" t="s">
        <v>445</v>
      </c>
    </row>
    <row r="382" spans="1:4">
      <c r="A382" s="5">
        <f t="shared" si="5"/>
        <v>44577</v>
      </c>
      <c r="B382" s="26" t="s">
        <v>450</v>
      </c>
      <c r="C382" s="47">
        <v>44562</v>
      </c>
      <c r="D382" s="26" t="s">
        <v>447</v>
      </c>
    </row>
    <row r="383" spans="1:4">
      <c r="A383" s="5">
        <f t="shared" si="5"/>
        <v>44578</v>
      </c>
      <c r="B383" s="26" t="s">
        <v>450</v>
      </c>
      <c r="C383" s="47">
        <v>44562</v>
      </c>
      <c r="D383" s="26" t="s">
        <v>448</v>
      </c>
    </row>
    <row r="384" spans="1:4">
      <c r="A384" s="5">
        <f t="shared" si="5"/>
        <v>44579</v>
      </c>
      <c r="B384" s="26" t="s">
        <v>450</v>
      </c>
      <c r="C384" s="47">
        <v>44562</v>
      </c>
      <c r="D384" s="26" t="s">
        <v>449</v>
      </c>
    </row>
    <row r="385" spans="1:4">
      <c r="A385" s="5">
        <f t="shared" si="5"/>
        <v>44580</v>
      </c>
      <c r="B385" s="26" t="s">
        <v>450</v>
      </c>
      <c r="C385" s="47">
        <v>44562</v>
      </c>
      <c r="D385" s="26" t="s">
        <v>441</v>
      </c>
    </row>
    <row r="386" spans="1:4">
      <c r="A386" s="5">
        <f t="shared" si="5"/>
        <v>44581</v>
      </c>
      <c r="B386" s="26" t="s">
        <v>450</v>
      </c>
      <c r="C386" s="47">
        <v>44562</v>
      </c>
      <c r="D386" s="26" t="s">
        <v>443</v>
      </c>
    </row>
    <row r="387" spans="1:4">
      <c r="A387" s="5">
        <f t="shared" si="5"/>
        <v>44582</v>
      </c>
      <c r="B387" s="26" t="s">
        <v>450</v>
      </c>
      <c r="C387" s="47">
        <v>44562</v>
      </c>
      <c r="D387" s="26" t="s">
        <v>444</v>
      </c>
    </row>
    <row r="388" spans="1:4">
      <c r="A388" s="5">
        <f t="shared" ref="A388:A451" si="6">A387+1</f>
        <v>44583</v>
      </c>
      <c r="B388" s="26" t="s">
        <v>450</v>
      </c>
      <c r="C388" s="47">
        <v>44562</v>
      </c>
      <c r="D388" s="26" t="s">
        <v>445</v>
      </c>
    </row>
    <row r="389" spans="1:4">
      <c r="A389" s="5">
        <f t="shared" si="6"/>
        <v>44584</v>
      </c>
      <c r="B389" s="26" t="s">
        <v>451</v>
      </c>
      <c r="C389" s="47">
        <v>44562</v>
      </c>
      <c r="D389" s="26" t="s">
        <v>447</v>
      </c>
    </row>
    <row r="390" spans="1:4">
      <c r="A390" s="5">
        <f t="shared" si="6"/>
        <v>44585</v>
      </c>
      <c r="B390" s="26" t="s">
        <v>451</v>
      </c>
      <c r="C390" s="47">
        <v>44562</v>
      </c>
      <c r="D390" s="26" t="s">
        <v>448</v>
      </c>
    </row>
    <row r="391" spans="1:4">
      <c r="A391" s="5">
        <f t="shared" si="6"/>
        <v>44586</v>
      </c>
      <c r="B391" s="26" t="s">
        <v>451</v>
      </c>
      <c r="C391" s="47">
        <v>44562</v>
      </c>
      <c r="D391" s="26" t="s">
        <v>449</v>
      </c>
    </row>
    <row r="392" spans="1:4">
      <c r="A392" s="5">
        <f t="shared" si="6"/>
        <v>44587</v>
      </c>
      <c r="B392" s="26" t="s">
        <v>451</v>
      </c>
      <c r="C392" s="47">
        <v>44562</v>
      </c>
      <c r="D392" s="26" t="s">
        <v>441</v>
      </c>
    </row>
    <row r="393" spans="1:4">
      <c r="A393" s="5">
        <f t="shared" si="6"/>
        <v>44588</v>
      </c>
      <c r="B393" s="26" t="s">
        <v>451</v>
      </c>
      <c r="C393" s="47">
        <v>44562</v>
      </c>
      <c r="D393" s="26" t="s">
        <v>443</v>
      </c>
    </row>
    <row r="394" spans="1:4">
      <c r="A394" s="5">
        <f t="shared" si="6"/>
        <v>44589</v>
      </c>
      <c r="B394" s="26" t="s">
        <v>451</v>
      </c>
      <c r="C394" s="47">
        <v>44562</v>
      </c>
      <c r="D394" s="26" t="s">
        <v>444</v>
      </c>
    </row>
    <row r="395" spans="1:4">
      <c r="A395" s="5">
        <f t="shared" si="6"/>
        <v>44590</v>
      </c>
      <c r="B395" s="26" t="s">
        <v>451</v>
      </c>
      <c r="C395" s="47">
        <v>44562</v>
      </c>
      <c r="D395" s="26" t="s">
        <v>445</v>
      </c>
    </row>
    <row r="396" spans="1:4">
      <c r="A396" s="5">
        <f t="shared" si="6"/>
        <v>44591</v>
      </c>
      <c r="B396" s="26" t="s">
        <v>452</v>
      </c>
      <c r="C396" s="47">
        <v>44562</v>
      </c>
      <c r="D396" s="26" t="s">
        <v>447</v>
      </c>
    </row>
    <row r="397" spans="1:4">
      <c r="A397" s="5">
        <f t="shared" si="6"/>
        <v>44592</v>
      </c>
      <c r="B397" s="26" t="s">
        <v>452</v>
      </c>
      <c r="C397" s="47">
        <v>44562</v>
      </c>
      <c r="D397" s="26" t="s">
        <v>448</v>
      </c>
    </row>
    <row r="398" spans="1:4">
      <c r="A398" s="5">
        <f t="shared" si="6"/>
        <v>44593</v>
      </c>
      <c r="B398" s="26" t="s">
        <v>452</v>
      </c>
      <c r="C398" s="47">
        <v>44593</v>
      </c>
      <c r="D398" s="26" t="s">
        <v>449</v>
      </c>
    </row>
    <row r="399" spans="1:4">
      <c r="A399" s="5">
        <f t="shared" si="6"/>
        <v>44594</v>
      </c>
      <c r="B399" s="26" t="s">
        <v>452</v>
      </c>
      <c r="C399" s="47">
        <v>44593</v>
      </c>
      <c r="D399" s="26" t="s">
        <v>441</v>
      </c>
    </row>
    <row r="400" spans="1:4">
      <c r="A400" s="5">
        <f t="shared" si="6"/>
        <v>44595</v>
      </c>
      <c r="B400" s="26" t="s">
        <v>452</v>
      </c>
      <c r="C400" s="47">
        <v>44593</v>
      </c>
      <c r="D400" s="26" t="s">
        <v>443</v>
      </c>
    </row>
    <row r="401" spans="1:4">
      <c r="A401" s="5">
        <f t="shared" si="6"/>
        <v>44596</v>
      </c>
      <c r="B401" s="26" t="s">
        <v>452</v>
      </c>
      <c r="C401" s="47">
        <v>44593</v>
      </c>
      <c r="D401" s="26" t="s">
        <v>444</v>
      </c>
    </row>
    <row r="402" spans="1:4">
      <c r="A402" s="5">
        <f t="shared" si="6"/>
        <v>44597</v>
      </c>
      <c r="B402" s="26" t="s">
        <v>452</v>
      </c>
      <c r="C402" s="47">
        <v>44593</v>
      </c>
      <c r="D402" s="26" t="s">
        <v>445</v>
      </c>
    </row>
    <row r="403" spans="1:4">
      <c r="A403" s="5">
        <f t="shared" si="6"/>
        <v>44598</v>
      </c>
      <c r="B403" s="26" t="s">
        <v>453</v>
      </c>
      <c r="C403" s="47">
        <v>44593</v>
      </c>
      <c r="D403" s="26" t="s">
        <v>447</v>
      </c>
    </row>
    <row r="404" spans="1:4">
      <c r="A404" s="5">
        <f t="shared" si="6"/>
        <v>44599</v>
      </c>
      <c r="B404" s="26" t="s">
        <v>453</v>
      </c>
      <c r="C404" s="47">
        <v>44593</v>
      </c>
      <c r="D404" s="26" t="s">
        <v>448</v>
      </c>
    </row>
    <row r="405" spans="1:4">
      <c r="A405" s="5">
        <f t="shared" si="6"/>
        <v>44600</v>
      </c>
      <c r="B405" s="26" t="s">
        <v>453</v>
      </c>
      <c r="C405" s="47">
        <v>44593</v>
      </c>
      <c r="D405" s="26" t="s">
        <v>449</v>
      </c>
    </row>
    <row r="406" spans="1:4">
      <c r="A406" s="5">
        <f t="shared" si="6"/>
        <v>44601</v>
      </c>
      <c r="B406" s="26" t="s">
        <v>453</v>
      </c>
      <c r="C406" s="47">
        <v>44593</v>
      </c>
      <c r="D406" s="26" t="s">
        <v>441</v>
      </c>
    </row>
    <row r="407" spans="1:4">
      <c r="A407" s="5">
        <f t="shared" si="6"/>
        <v>44602</v>
      </c>
      <c r="B407" s="26" t="s">
        <v>453</v>
      </c>
      <c r="C407" s="47">
        <v>44593</v>
      </c>
      <c r="D407" s="26" t="s">
        <v>443</v>
      </c>
    </row>
    <row r="408" spans="1:4">
      <c r="A408" s="5">
        <f t="shared" si="6"/>
        <v>44603</v>
      </c>
      <c r="B408" s="26" t="s">
        <v>453</v>
      </c>
      <c r="C408" s="47">
        <v>44593</v>
      </c>
      <c r="D408" s="26" t="s">
        <v>444</v>
      </c>
    </row>
    <row r="409" spans="1:4">
      <c r="A409" s="5">
        <f t="shared" si="6"/>
        <v>44604</v>
      </c>
      <c r="B409" s="26" t="s">
        <v>453</v>
      </c>
      <c r="C409" s="47">
        <v>44593</v>
      </c>
      <c r="D409" s="26" t="s">
        <v>445</v>
      </c>
    </row>
    <row r="410" spans="1:4">
      <c r="A410" s="5">
        <f t="shared" si="6"/>
        <v>44605</v>
      </c>
      <c r="B410" s="26" t="s">
        <v>454</v>
      </c>
      <c r="C410" s="47">
        <v>44593</v>
      </c>
      <c r="D410" s="26" t="s">
        <v>447</v>
      </c>
    </row>
    <row r="411" spans="1:4">
      <c r="A411" s="5">
        <f t="shared" si="6"/>
        <v>44606</v>
      </c>
      <c r="B411" s="26" t="s">
        <v>454</v>
      </c>
      <c r="C411" s="47">
        <v>44593</v>
      </c>
      <c r="D411" s="26" t="s">
        <v>448</v>
      </c>
    </row>
    <row r="412" spans="1:4">
      <c r="A412" s="5">
        <f t="shared" si="6"/>
        <v>44607</v>
      </c>
      <c r="B412" s="26" t="s">
        <v>454</v>
      </c>
      <c r="C412" s="47">
        <v>44593</v>
      </c>
      <c r="D412" s="26" t="s">
        <v>449</v>
      </c>
    </row>
    <row r="413" spans="1:4">
      <c r="A413" s="5">
        <f t="shared" si="6"/>
        <v>44608</v>
      </c>
      <c r="B413" s="26" t="s">
        <v>454</v>
      </c>
      <c r="C413" s="47">
        <v>44593</v>
      </c>
      <c r="D413" s="26" t="s">
        <v>441</v>
      </c>
    </row>
    <row r="414" spans="1:4">
      <c r="A414" s="5">
        <f t="shared" si="6"/>
        <v>44609</v>
      </c>
      <c r="B414" s="26" t="s">
        <v>454</v>
      </c>
      <c r="C414" s="47">
        <v>44593</v>
      </c>
      <c r="D414" s="26" t="s">
        <v>443</v>
      </c>
    </row>
    <row r="415" spans="1:4">
      <c r="A415" s="5">
        <f t="shared" si="6"/>
        <v>44610</v>
      </c>
      <c r="B415" s="26" t="s">
        <v>454</v>
      </c>
      <c r="C415" s="47">
        <v>44593</v>
      </c>
      <c r="D415" s="26" t="s">
        <v>444</v>
      </c>
    </row>
    <row r="416" spans="1:4">
      <c r="A416" s="5">
        <f t="shared" si="6"/>
        <v>44611</v>
      </c>
      <c r="B416" s="26" t="s">
        <v>454</v>
      </c>
      <c r="C416" s="47">
        <v>44593</v>
      </c>
      <c r="D416" s="26" t="s">
        <v>445</v>
      </c>
    </row>
    <row r="417" spans="1:4">
      <c r="A417" s="5">
        <f t="shared" si="6"/>
        <v>44612</v>
      </c>
      <c r="B417" s="26" t="s">
        <v>455</v>
      </c>
      <c r="C417" s="47">
        <v>44593</v>
      </c>
      <c r="D417" s="26" t="s">
        <v>447</v>
      </c>
    </row>
    <row r="418" spans="1:4">
      <c r="A418" s="5">
        <f t="shared" si="6"/>
        <v>44613</v>
      </c>
      <c r="B418" s="26" t="s">
        <v>455</v>
      </c>
      <c r="C418" s="47">
        <v>44593</v>
      </c>
      <c r="D418" s="26" t="s">
        <v>448</v>
      </c>
    </row>
    <row r="419" spans="1:4">
      <c r="A419" s="5">
        <f t="shared" si="6"/>
        <v>44614</v>
      </c>
      <c r="B419" s="26" t="s">
        <v>455</v>
      </c>
      <c r="C419" s="47">
        <v>44593</v>
      </c>
      <c r="D419" s="26" t="s">
        <v>449</v>
      </c>
    </row>
    <row r="420" spans="1:4">
      <c r="A420" s="5">
        <f t="shared" si="6"/>
        <v>44615</v>
      </c>
      <c r="B420" s="26" t="s">
        <v>455</v>
      </c>
      <c r="C420" s="47">
        <v>44593</v>
      </c>
      <c r="D420" s="26" t="s">
        <v>441</v>
      </c>
    </row>
    <row r="421" spans="1:4">
      <c r="A421" s="5">
        <f t="shared" si="6"/>
        <v>44616</v>
      </c>
      <c r="B421" s="26" t="s">
        <v>455</v>
      </c>
      <c r="C421" s="47">
        <v>44593</v>
      </c>
      <c r="D421" s="26" t="s">
        <v>443</v>
      </c>
    </row>
    <row r="422" spans="1:4">
      <c r="A422" s="5">
        <f t="shared" si="6"/>
        <v>44617</v>
      </c>
      <c r="B422" s="26" t="s">
        <v>455</v>
      </c>
      <c r="C422" s="47">
        <v>44593</v>
      </c>
      <c r="D422" s="26" t="s">
        <v>444</v>
      </c>
    </row>
    <row r="423" spans="1:4">
      <c r="A423" s="5">
        <f t="shared" si="6"/>
        <v>44618</v>
      </c>
      <c r="B423" s="26" t="s">
        <v>455</v>
      </c>
      <c r="C423" s="47">
        <v>44593</v>
      </c>
      <c r="D423" s="26" t="s">
        <v>445</v>
      </c>
    </row>
    <row r="424" spans="1:4">
      <c r="A424" s="5">
        <f t="shared" si="6"/>
        <v>44619</v>
      </c>
      <c r="B424" s="26" t="s">
        <v>456</v>
      </c>
      <c r="C424" s="47">
        <v>44593</v>
      </c>
      <c r="D424" s="26" t="s">
        <v>447</v>
      </c>
    </row>
    <row r="425" spans="1:4">
      <c r="A425" s="5">
        <f t="shared" si="6"/>
        <v>44620</v>
      </c>
      <c r="B425" s="26" t="s">
        <v>456</v>
      </c>
      <c r="C425" s="47">
        <v>44593</v>
      </c>
      <c r="D425" s="26" t="s">
        <v>448</v>
      </c>
    </row>
    <row r="426" spans="1:4">
      <c r="A426" s="5">
        <f t="shared" si="6"/>
        <v>44621</v>
      </c>
      <c r="B426" s="26" t="s">
        <v>456</v>
      </c>
      <c r="C426" s="47">
        <v>44621</v>
      </c>
      <c r="D426" s="26" t="s">
        <v>449</v>
      </c>
    </row>
    <row r="427" spans="1:4">
      <c r="A427" s="5">
        <f t="shared" si="6"/>
        <v>44622</v>
      </c>
      <c r="B427" s="26" t="s">
        <v>456</v>
      </c>
      <c r="C427" s="47">
        <v>44621</v>
      </c>
      <c r="D427" s="26" t="s">
        <v>441</v>
      </c>
    </row>
    <row r="428" spans="1:4">
      <c r="A428" s="5">
        <f t="shared" si="6"/>
        <v>44623</v>
      </c>
      <c r="B428" s="26" t="s">
        <v>456</v>
      </c>
      <c r="C428" s="47">
        <v>44621</v>
      </c>
      <c r="D428" s="26" t="s">
        <v>443</v>
      </c>
    </row>
    <row r="429" spans="1:4">
      <c r="A429" s="5">
        <f t="shared" si="6"/>
        <v>44624</v>
      </c>
      <c r="B429" s="26" t="s">
        <v>456</v>
      </c>
      <c r="C429" s="47">
        <v>44621</v>
      </c>
      <c r="D429" s="26" t="s">
        <v>444</v>
      </c>
    </row>
    <row r="430" spans="1:4">
      <c r="A430" s="5">
        <f t="shared" si="6"/>
        <v>44625</v>
      </c>
      <c r="B430" s="26" t="s">
        <v>456</v>
      </c>
      <c r="C430" s="47">
        <v>44621</v>
      </c>
      <c r="D430" s="26" t="s">
        <v>445</v>
      </c>
    </row>
    <row r="431" spans="1:4">
      <c r="A431" s="5">
        <f t="shared" si="6"/>
        <v>44626</v>
      </c>
      <c r="B431" s="26" t="s">
        <v>457</v>
      </c>
      <c r="C431" s="47">
        <v>44621</v>
      </c>
      <c r="D431" s="26" t="s">
        <v>447</v>
      </c>
    </row>
    <row r="432" spans="1:4">
      <c r="A432" s="5">
        <f t="shared" si="6"/>
        <v>44627</v>
      </c>
      <c r="B432" s="26" t="s">
        <v>457</v>
      </c>
      <c r="C432" s="47">
        <v>44621</v>
      </c>
      <c r="D432" s="26" t="s">
        <v>448</v>
      </c>
    </row>
    <row r="433" spans="1:4">
      <c r="A433" s="5">
        <f t="shared" si="6"/>
        <v>44628</v>
      </c>
      <c r="B433" s="26" t="s">
        <v>457</v>
      </c>
      <c r="C433" s="47">
        <v>44621</v>
      </c>
      <c r="D433" s="26" t="s">
        <v>449</v>
      </c>
    </row>
    <row r="434" spans="1:4">
      <c r="A434" s="5">
        <f t="shared" si="6"/>
        <v>44629</v>
      </c>
      <c r="B434" s="26" t="s">
        <v>457</v>
      </c>
      <c r="C434" s="47">
        <v>44621</v>
      </c>
      <c r="D434" s="26" t="s">
        <v>441</v>
      </c>
    </row>
    <row r="435" spans="1:4">
      <c r="A435" s="5">
        <f t="shared" si="6"/>
        <v>44630</v>
      </c>
      <c r="B435" s="26" t="s">
        <v>457</v>
      </c>
      <c r="C435" s="47">
        <v>44621</v>
      </c>
      <c r="D435" s="26" t="s">
        <v>443</v>
      </c>
    </row>
    <row r="436" spans="1:4">
      <c r="A436" s="5">
        <f t="shared" si="6"/>
        <v>44631</v>
      </c>
      <c r="B436" s="26" t="s">
        <v>457</v>
      </c>
      <c r="C436" s="47">
        <v>44621</v>
      </c>
      <c r="D436" s="26" t="s">
        <v>444</v>
      </c>
    </row>
    <row r="437" spans="1:4">
      <c r="A437" s="5">
        <f t="shared" si="6"/>
        <v>44632</v>
      </c>
      <c r="B437" s="26" t="s">
        <v>457</v>
      </c>
      <c r="C437" s="47">
        <v>44621</v>
      </c>
      <c r="D437" s="26" t="s">
        <v>445</v>
      </c>
    </row>
    <row r="438" spans="1:4">
      <c r="A438" s="5">
        <f t="shared" si="6"/>
        <v>44633</v>
      </c>
      <c r="B438" s="26" t="s">
        <v>458</v>
      </c>
      <c r="C438" s="47">
        <v>44621</v>
      </c>
      <c r="D438" s="26" t="s">
        <v>447</v>
      </c>
    </row>
    <row r="439" spans="1:4">
      <c r="A439" s="5">
        <f t="shared" si="6"/>
        <v>44634</v>
      </c>
      <c r="B439" s="26" t="s">
        <v>458</v>
      </c>
      <c r="C439" s="47">
        <v>44621</v>
      </c>
      <c r="D439" s="26" t="s">
        <v>448</v>
      </c>
    </row>
    <row r="440" spans="1:4">
      <c r="A440" s="5">
        <f t="shared" si="6"/>
        <v>44635</v>
      </c>
      <c r="B440" s="26" t="s">
        <v>458</v>
      </c>
      <c r="C440" s="47">
        <v>44621</v>
      </c>
      <c r="D440" s="26" t="s">
        <v>449</v>
      </c>
    </row>
    <row r="441" spans="1:4">
      <c r="A441" s="5">
        <f t="shared" si="6"/>
        <v>44636</v>
      </c>
      <c r="B441" s="26" t="s">
        <v>458</v>
      </c>
      <c r="C441" s="47">
        <v>44621</v>
      </c>
      <c r="D441" s="26" t="s">
        <v>441</v>
      </c>
    </row>
    <row r="442" spans="1:4">
      <c r="A442" s="5">
        <f t="shared" si="6"/>
        <v>44637</v>
      </c>
      <c r="B442" s="26" t="s">
        <v>458</v>
      </c>
      <c r="C442" s="47">
        <v>44621</v>
      </c>
      <c r="D442" s="26" t="s">
        <v>443</v>
      </c>
    </row>
    <row r="443" spans="1:4">
      <c r="A443" s="5">
        <f t="shared" si="6"/>
        <v>44638</v>
      </c>
      <c r="B443" s="26" t="s">
        <v>458</v>
      </c>
      <c r="C443" s="47">
        <v>44621</v>
      </c>
      <c r="D443" s="26" t="s">
        <v>444</v>
      </c>
    </row>
    <row r="444" spans="1:4">
      <c r="A444" s="5">
        <f t="shared" si="6"/>
        <v>44639</v>
      </c>
      <c r="B444" s="26" t="s">
        <v>458</v>
      </c>
      <c r="C444" s="47">
        <v>44621</v>
      </c>
      <c r="D444" s="26" t="s">
        <v>445</v>
      </c>
    </row>
    <row r="445" spans="1:4">
      <c r="A445" s="5">
        <f t="shared" si="6"/>
        <v>44640</v>
      </c>
      <c r="B445" s="26" t="s">
        <v>459</v>
      </c>
      <c r="C445" s="47">
        <v>44621</v>
      </c>
      <c r="D445" s="26" t="s">
        <v>447</v>
      </c>
    </row>
    <row r="446" spans="1:4">
      <c r="A446" s="5">
        <f t="shared" si="6"/>
        <v>44641</v>
      </c>
      <c r="B446" s="26" t="s">
        <v>459</v>
      </c>
      <c r="C446" s="47">
        <v>44621</v>
      </c>
      <c r="D446" s="26" t="s">
        <v>448</v>
      </c>
    </row>
    <row r="447" spans="1:4">
      <c r="A447" s="5">
        <f t="shared" si="6"/>
        <v>44642</v>
      </c>
      <c r="B447" s="26" t="s">
        <v>459</v>
      </c>
      <c r="C447" s="47">
        <v>44621</v>
      </c>
      <c r="D447" s="26" t="s">
        <v>449</v>
      </c>
    </row>
    <row r="448" spans="1:4">
      <c r="A448" s="5">
        <f t="shared" si="6"/>
        <v>44643</v>
      </c>
      <c r="B448" s="26" t="s">
        <v>459</v>
      </c>
      <c r="C448" s="47">
        <v>44621</v>
      </c>
      <c r="D448" s="26" t="s">
        <v>441</v>
      </c>
    </row>
    <row r="449" spans="1:4">
      <c r="A449" s="5">
        <f t="shared" si="6"/>
        <v>44644</v>
      </c>
      <c r="B449" s="26" t="s">
        <v>459</v>
      </c>
      <c r="C449" s="47">
        <v>44621</v>
      </c>
      <c r="D449" s="26" t="s">
        <v>443</v>
      </c>
    </row>
    <row r="450" spans="1:4">
      <c r="A450" s="5">
        <f t="shared" si="6"/>
        <v>44645</v>
      </c>
      <c r="B450" s="26" t="s">
        <v>459</v>
      </c>
      <c r="C450" s="47">
        <v>44621</v>
      </c>
      <c r="D450" s="26" t="s">
        <v>444</v>
      </c>
    </row>
    <row r="451" spans="1:4">
      <c r="A451" s="5">
        <f t="shared" si="6"/>
        <v>44646</v>
      </c>
      <c r="B451" s="26" t="s">
        <v>459</v>
      </c>
      <c r="C451" s="47">
        <v>44621</v>
      </c>
      <c r="D451" s="26" t="s">
        <v>445</v>
      </c>
    </row>
    <row r="452" spans="1:4">
      <c r="A452" s="5">
        <f t="shared" ref="A452:A515" si="7">A451+1</f>
        <v>44647</v>
      </c>
      <c r="B452" s="26" t="s">
        <v>460</v>
      </c>
      <c r="C452" s="47">
        <v>44621</v>
      </c>
      <c r="D452" s="26" t="s">
        <v>447</v>
      </c>
    </row>
    <row r="453" spans="1:4">
      <c r="A453" s="5">
        <f t="shared" si="7"/>
        <v>44648</v>
      </c>
      <c r="B453" s="26" t="s">
        <v>460</v>
      </c>
      <c r="C453" s="47">
        <v>44621</v>
      </c>
      <c r="D453" s="26" t="s">
        <v>448</v>
      </c>
    </row>
    <row r="454" spans="1:4">
      <c r="A454" s="5">
        <f t="shared" si="7"/>
        <v>44649</v>
      </c>
      <c r="B454" s="26" t="s">
        <v>460</v>
      </c>
      <c r="C454" s="47">
        <v>44621</v>
      </c>
      <c r="D454" s="26" t="s">
        <v>449</v>
      </c>
    </row>
    <row r="455" spans="1:4">
      <c r="A455" s="5">
        <f t="shared" si="7"/>
        <v>44650</v>
      </c>
      <c r="B455" s="26" t="s">
        <v>460</v>
      </c>
      <c r="C455" s="47">
        <v>44621</v>
      </c>
      <c r="D455" s="26" t="s">
        <v>441</v>
      </c>
    </row>
    <row r="456" spans="1:4">
      <c r="A456" s="5">
        <f t="shared" si="7"/>
        <v>44651</v>
      </c>
      <c r="B456" s="26" t="s">
        <v>460</v>
      </c>
      <c r="C456" s="47">
        <v>44621</v>
      </c>
      <c r="D456" s="26" t="s">
        <v>443</v>
      </c>
    </row>
    <row r="457" spans="1:4">
      <c r="A457" s="5">
        <f t="shared" si="7"/>
        <v>44652</v>
      </c>
      <c r="B457" s="26" t="s">
        <v>460</v>
      </c>
      <c r="C457" s="47">
        <v>44652</v>
      </c>
      <c r="D457" s="26" t="s">
        <v>444</v>
      </c>
    </row>
    <row r="458" spans="1:4">
      <c r="A458" s="5">
        <f t="shared" si="7"/>
        <v>44653</v>
      </c>
      <c r="B458" s="26" t="s">
        <v>460</v>
      </c>
      <c r="C458" s="47">
        <v>44652</v>
      </c>
      <c r="D458" s="26" t="s">
        <v>445</v>
      </c>
    </row>
    <row r="459" spans="1:4">
      <c r="A459" s="5">
        <f t="shared" si="7"/>
        <v>44654</v>
      </c>
      <c r="B459" s="26" t="s">
        <v>461</v>
      </c>
      <c r="C459" s="47">
        <v>44652</v>
      </c>
      <c r="D459" s="26" t="s">
        <v>447</v>
      </c>
    </row>
    <row r="460" spans="1:4">
      <c r="A460" s="5">
        <f t="shared" si="7"/>
        <v>44655</v>
      </c>
      <c r="B460" s="26" t="s">
        <v>461</v>
      </c>
      <c r="C460" s="47">
        <v>44652</v>
      </c>
      <c r="D460" s="26" t="s">
        <v>448</v>
      </c>
    </row>
    <row r="461" spans="1:4">
      <c r="A461" s="5">
        <f t="shared" si="7"/>
        <v>44656</v>
      </c>
      <c r="B461" s="26" t="s">
        <v>461</v>
      </c>
      <c r="C461" s="47">
        <v>44652</v>
      </c>
      <c r="D461" s="26" t="s">
        <v>449</v>
      </c>
    </row>
    <row r="462" spans="1:4">
      <c r="A462" s="5">
        <f t="shared" si="7"/>
        <v>44657</v>
      </c>
      <c r="B462" s="26" t="s">
        <v>461</v>
      </c>
      <c r="C462" s="47">
        <v>44652</v>
      </c>
      <c r="D462" s="26" t="s">
        <v>441</v>
      </c>
    </row>
    <row r="463" spans="1:4">
      <c r="A463" s="5">
        <f t="shared" si="7"/>
        <v>44658</v>
      </c>
      <c r="B463" s="26" t="s">
        <v>461</v>
      </c>
      <c r="C463" s="47">
        <v>44652</v>
      </c>
      <c r="D463" s="26" t="s">
        <v>443</v>
      </c>
    </row>
    <row r="464" spans="1:4">
      <c r="A464" s="5">
        <f t="shared" si="7"/>
        <v>44659</v>
      </c>
      <c r="B464" s="26" t="s">
        <v>461</v>
      </c>
      <c r="C464" s="47">
        <v>44652</v>
      </c>
      <c r="D464" s="26" t="s">
        <v>444</v>
      </c>
    </row>
    <row r="465" spans="1:4">
      <c r="A465" s="5">
        <f t="shared" si="7"/>
        <v>44660</v>
      </c>
      <c r="B465" s="26" t="s">
        <v>461</v>
      </c>
      <c r="C465" s="47">
        <v>44652</v>
      </c>
      <c r="D465" s="26" t="s">
        <v>445</v>
      </c>
    </row>
    <row r="466" spans="1:4">
      <c r="A466" s="5">
        <f t="shared" si="7"/>
        <v>44661</v>
      </c>
      <c r="B466" s="26" t="s">
        <v>462</v>
      </c>
      <c r="C466" s="47">
        <v>44652</v>
      </c>
      <c r="D466" s="26" t="s">
        <v>447</v>
      </c>
    </row>
    <row r="467" spans="1:4">
      <c r="A467" s="5">
        <f t="shared" si="7"/>
        <v>44662</v>
      </c>
      <c r="B467" s="26" t="s">
        <v>462</v>
      </c>
      <c r="C467" s="47">
        <v>44652</v>
      </c>
      <c r="D467" s="26" t="s">
        <v>448</v>
      </c>
    </row>
    <row r="468" spans="1:4">
      <c r="A468" s="5">
        <f t="shared" si="7"/>
        <v>44663</v>
      </c>
      <c r="B468" s="26" t="s">
        <v>462</v>
      </c>
      <c r="C468" s="47">
        <v>44652</v>
      </c>
      <c r="D468" s="26" t="s">
        <v>449</v>
      </c>
    </row>
    <row r="469" spans="1:4">
      <c r="A469" s="5">
        <f t="shared" si="7"/>
        <v>44664</v>
      </c>
      <c r="B469" s="26" t="s">
        <v>462</v>
      </c>
      <c r="C469" s="47">
        <v>44652</v>
      </c>
      <c r="D469" s="26" t="s">
        <v>441</v>
      </c>
    </row>
    <row r="470" spans="1:4">
      <c r="A470" s="5">
        <f t="shared" si="7"/>
        <v>44665</v>
      </c>
      <c r="B470" s="26" t="s">
        <v>462</v>
      </c>
      <c r="C470" s="47">
        <v>44652</v>
      </c>
      <c r="D470" s="26" t="s">
        <v>443</v>
      </c>
    </row>
    <row r="471" spans="1:4">
      <c r="A471" s="5">
        <f t="shared" si="7"/>
        <v>44666</v>
      </c>
      <c r="B471" s="26" t="s">
        <v>462</v>
      </c>
      <c r="C471" s="47">
        <v>44652</v>
      </c>
      <c r="D471" s="26" t="s">
        <v>444</v>
      </c>
    </row>
    <row r="472" spans="1:4">
      <c r="A472" s="5">
        <f t="shared" si="7"/>
        <v>44667</v>
      </c>
      <c r="B472" s="26" t="s">
        <v>462</v>
      </c>
      <c r="C472" s="47">
        <v>44652</v>
      </c>
      <c r="D472" s="26" t="s">
        <v>445</v>
      </c>
    </row>
    <row r="473" spans="1:4">
      <c r="A473" s="5">
        <f t="shared" si="7"/>
        <v>44668</v>
      </c>
      <c r="B473" s="26" t="s">
        <v>463</v>
      </c>
      <c r="C473" s="47">
        <v>44652</v>
      </c>
      <c r="D473" s="26" t="s">
        <v>447</v>
      </c>
    </row>
    <row r="474" spans="1:4">
      <c r="A474" s="5">
        <f t="shared" si="7"/>
        <v>44669</v>
      </c>
      <c r="B474" s="26" t="s">
        <v>463</v>
      </c>
      <c r="C474" s="47">
        <v>44652</v>
      </c>
      <c r="D474" s="26" t="s">
        <v>448</v>
      </c>
    </row>
    <row r="475" spans="1:4">
      <c r="A475" s="5">
        <f t="shared" si="7"/>
        <v>44670</v>
      </c>
      <c r="B475" s="26" t="s">
        <v>463</v>
      </c>
      <c r="C475" s="47">
        <v>44652</v>
      </c>
      <c r="D475" s="26" t="s">
        <v>449</v>
      </c>
    </row>
    <row r="476" spans="1:4">
      <c r="A476" s="5">
        <f t="shared" si="7"/>
        <v>44671</v>
      </c>
      <c r="B476" s="26" t="s">
        <v>463</v>
      </c>
      <c r="C476" s="47">
        <v>44652</v>
      </c>
      <c r="D476" s="26" t="s">
        <v>441</v>
      </c>
    </row>
    <row r="477" spans="1:4">
      <c r="A477" s="5">
        <f t="shared" si="7"/>
        <v>44672</v>
      </c>
      <c r="B477" s="26" t="s">
        <v>463</v>
      </c>
      <c r="C477" s="47">
        <v>44652</v>
      </c>
      <c r="D477" s="26" t="s">
        <v>443</v>
      </c>
    </row>
    <row r="478" spans="1:4">
      <c r="A478" s="5">
        <f t="shared" si="7"/>
        <v>44673</v>
      </c>
      <c r="B478" s="26" t="s">
        <v>463</v>
      </c>
      <c r="C478" s="47">
        <v>44652</v>
      </c>
      <c r="D478" s="26" t="s">
        <v>444</v>
      </c>
    </row>
    <row r="479" spans="1:4">
      <c r="A479" s="5">
        <f t="shared" si="7"/>
        <v>44674</v>
      </c>
      <c r="B479" s="26" t="s">
        <v>463</v>
      </c>
      <c r="C479" s="47">
        <v>44652</v>
      </c>
      <c r="D479" s="26" t="s">
        <v>445</v>
      </c>
    </row>
    <row r="480" spans="1:4">
      <c r="A480" s="5">
        <f t="shared" si="7"/>
        <v>44675</v>
      </c>
      <c r="B480" s="26" t="s">
        <v>464</v>
      </c>
      <c r="C480" s="47">
        <v>44652</v>
      </c>
      <c r="D480" s="26" t="s">
        <v>447</v>
      </c>
    </row>
    <row r="481" spans="1:4">
      <c r="A481" s="5">
        <f t="shared" si="7"/>
        <v>44676</v>
      </c>
      <c r="B481" s="26" t="s">
        <v>464</v>
      </c>
      <c r="C481" s="47">
        <v>44652</v>
      </c>
      <c r="D481" s="26" t="s">
        <v>448</v>
      </c>
    </row>
    <row r="482" spans="1:4">
      <c r="A482" s="5">
        <f t="shared" si="7"/>
        <v>44677</v>
      </c>
      <c r="B482" s="26" t="s">
        <v>464</v>
      </c>
      <c r="C482" s="47">
        <v>44652</v>
      </c>
      <c r="D482" s="26" t="s">
        <v>449</v>
      </c>
    </row>
    <row r="483" spans="1:4">
      <c r="A483" s="5">
        <f t="shared" si="7"/>
        <v>44678</v>
      </c>
      <c r="B483" s="26" t="s">
        <v>464</v>
      </c>
      <c r="C483" s="47">
        <v>44652</v>
      </c>
      <c r="D483" s="26" t="s">
        <v>441</v>
      </c>
    </row>
    <row r="484" spans="1:4">
      <c r="A484" s="5">
        <f t="shared" si="7"/>
        <v>44679</v>
      </c>
      <c r="B484" s="26" t="s">
        <v>464</v>
      </c>
      <c r="C484" s="47">
        <v>44652</v>
      </c>
      <c r="D484" s="26" t="s">
        <v>443</v>
      </c>
    </row>
    <row r="485" spans="1:4">
      <c r="A485" s="5">
        <f t="shared" si="7"/>
        <v>44680</v>
      </c>
      <c r="B485" s="26" t="s">
        <v>464</v>
      </c>
      <c r="C485" s="47">
        <v>44652</v>
      </c>
      <c r="D485" s="26" t="s">
        <v>444</v>
      </c>
    </row>
    <row r="486" spans="1:4">
      <c r="A486" s="5">
        <f t="shared" si="7"/>
        <v>44681</v>
      </c>
      <c r="B486" s="26" t="s">
        <v>464</v>
      </c>
      <c r="C486" s="47">
        <v>44652</v>
      </c>
      <c r="D486" s="26" t="s">
        <v>445</v>
      </c>
    </row>
    <row r="487" spans="1:4">
      <c r="A487" s="5">
        <f t="shared" si="7"/>
        <v>44682</v>
      </c>
      <c r="B487" s="26" t="s">
        <v>465</v>
      </c>
      <c r="C487" s="47">
        <v>44682</v>
      </c>
      <c r="D487" s="26" t="s">
        <v>447</v>
      </c>
    </row>
    <row r="488" spans="1:4">
      <c r="A488" s="5">
        <f t="shared" si="7"/>
        <v>44683</v>
      </c>
      <c r="B488" s="26" t="s">
        <v>465</v>
      </c>
      <c r="C488" s="47">
        <v>44682</v>
      </c>
      <c r="D488" s="26" t="s">
        <v>448</v>
      </c>
    </row>
    <row r="489" spans="1:4">
      <c r="A489" s="5">
        <f t="shared" si="7"/>
        <v>44684</v>
      </c>
      <c r="B489" s="26" t="s">
        <v>465</v>
      </c>
      <c r="C489" s="47">
        <v>44682</v>
      </c>
      <c r="D489" s="26" t="s">
        <v>449</v>
      </c>
    </row>
    <row r="490" spans="1:4">
      <c r="A490" s="5">
        <f t="shared" si="7"/>
        <v>44685</v>
      </c>
      <c r="B490" s="26" t="s">
        <v>465</v>
      </c>
      <c r="C490" s="47">
        <v>44682</v>
      </c>
      <c r="D490" s="26" t="s">
        <v>441</v>
      </c>
    </row>
    <row r="491" spans="1:4">
      <c r="A491" s="5">
        <f t="shared" si="7"/>
        <v>44686</v>
      </c>
      <c r="B491" s="26" t="s">
        <v>465</v>
      </c>
      <c r="C491" s="47">
        <v>44682</v>
      </c>
      <c r="D491" s="26" t="s">
        <v>443</v>
      </c>
    </row>
    <row r="492" spans="1:4">
      <c r="A492" s="5">
        <f t="shared" si="7"/>
        <v>44687</v>
      </c>
      <c r="B492" s="26" t="s">
        <v>465</v>
      </c>
      <c r="C492" s="47">
        <v>44682</v>
      </c>
      <c r="D492" s="26" t="s">
        <v>444</v>
      </c>
    </row>
    <row r="493" spans="1:4">
      <c r="A493" s="5">
        <f t="shared" si="7"/>
        <v>44688</v>
      </c>
      <c r="B493" s="26" t="s">
        <v>465</v>
      </c>
      <c r="C493" s="47">
        <v>44682</v>
      </c>
      <c r="D493" s="26" t="s">
        <v>445</v>
      </c>
    </row>
    <row r="494" spans="1:4">
      <c r="A494" s="5">
        <f t="shared" si="7"/>
        <v>44689</v>
      </c>
      <c r="B494" s="26" t="s">
        <v>127</v>
      </c>
      <c r="C494" s="47">
        <v>44682</v>
      </c>
      <c r="D494" s="26" t="s">
        <v>447</v>
      </c>
    </row>
    <row r="495" spans="1:4">
      <c r="A495" s="5">
        <f t="shared" si="7"/>
        <v>44690</v>
      </c>
      <c r="B495" s="26" t="s">
        <v>127</v>
      </c>
      <c r="C495" s="47">
        <v>44682</v>
      </c>
      <c r="D495" s="26" t="s">
        <v>448</v>
      </c>
    </row>
    <row r="496" spans="1:4">
      <c r="A496" s="5">
        <f t="shared" si="7"/>
        <v>44691</v>
      </c>
      <c r="B496" s="26" t="s">
        <v>127</v>
      </c>
      <c r="C496" s="47">
        <v>44682</v>
      </c>
      <c r="D496" s="26" t="s">
        <v>449</v>
      </c>
    </row>
    <row r="497" spans="1:4">
      <c r="A497" s="5">
        <f t="shared" si="7"/>
        <v>44692</v>
      </c>
      <c r="B497" s="26" t="s">
        <v>127</v>
      </c>
      <c r="C497" s="47">
        <v>44682</v>
      </c>
      <c r="D497" s="26" t="s">
        <v>441</v>
      </c>
    </row>
    <row r="498" spans="1:4">
      <c r="A498" s="5">
        <f t="shared" si="7"/>
        <v>44693</v>
      </c>
      <c r="B498" s="26" t="s">
        <v>127</v>
      </c>
      <c r="C498" s="47">
        <v>44682</v>
      </c>
      <c r="D498" s="26" t="s">
        <v>443</v>
      </c>
    </row>
    <row r="499" spans="1:4">
      <c r="A499" s="5">
        <f t="shared" si="7"/>
        <v>44694</v>
      </c>
      <c r="B499" s="26" t="s">
        <v>127</v>
      </c>
      <c r="C499" s="47">
        <v>44682</v>
      </c>
      <c r="D499" s="26" t="s">
        <v>444</v>
      </c>
    </row>
    <row r="500" spans="1:4">
      <c r="A500" s="5">
        <f t="shared" si="7"/>
        <v>44695</v>
      </c>
      <c r="B500" s="26" t="s">
        <v>127</v>
      </c>
      <c r="C500" s="47">
        <v>44682</v>
      </c>
      <c r="D500" s="26" t="s">
        <v>445</v>
      </c>
    </row>
    <row r="501" spans="1:4">
      <c r="A501" s="5">
        <f t="shared" si="7"/>
        <v>44696</v>
      </c>
      <c r="B501" s="26" t="s">
        <v>223</v>
      </c>
      <c r="C501" s="47">
        <v>44682</v>
      </c>
      <c r="D501" s="26" t="s">
        <v>447</v>
      </c>
    </row>
    <row r="502" spans="1:4">
      <c r="A502" s="5">
        <f t="shared" si="7"/>
        <v>44697</v>
      </c>
      <c r="B502" s="26" t="s">
        <v>223</v>
      </c>
      <c r="C502" s="47">
        <v>44682</v>
      </c>
      <c r="D502" s="26" t="s">
        <v>448</v>
      </c>
    </row>
    <row r="503" spans="1:4">
      <c r="A503" s="5">
        <f t="shared" si="7"/>
        <v>44698</v>
      </c>
      <c r="B503" s="26" t="s">
        <v>223</v>
      </c>
      <c r="C503" s="47">
        <v>44682</v>
      </c>
      <c r="D503" s="26" t="s">
        <v>449</v>
      </c>
    </row>
    <row r="504" spans="1:4">
      <c r="A504" s="5">
        <f t="shared" si="7"/>
        <v>44699</v>
      </c>
      <c r="B504" s="26" t="s">
        <v>223</v>
      </c>
      <c r="C504" s="47">
        <v>44682</v>
      </c>
      <c r="D504" s="26" t="s">
        <v>441</v>
      </c>
    </row>
    <row r="505" spans="1:4">
      <c r="A505" s="5">
        <f t="shared" si="7"/>
        <v>44700</v>
      </c>
      <c r="B505" s="26" t="s">
        <v>223</v>
      </c>
      <c r="C505" s="47">
        <v>44682</v>
      </c>
      <c r="D505" s="26" t="s">
        <v>443</v>
      </c>
    </row>
    <row r="506" spans="1:4">
      <c r="A506" s="5">
        <f t="shared" si="7"/>
        <v>44701</v>
      </c>
      <c r="B506" s="26" t="s">
        <v>223</v>
      </c>
      <c r="C506" s="47">
        <v>44682</v>
      </c>
      <c r="D506" s="26" t="s">
        <v>444</v>
      </c>
    </row>
    <row r="507" spans="1:4">
      <c r="A507" s="5">
        <f t="shared" si="7"/>
        <v>44702</v>
      </c>
      <c r="B507" s="26" t="s">
        <v>223</v>
      </c>
      <c r="C507" s="47">
        <v>44682</v>
      </c>
      <c r="D507" s="26" t="s">
        <v>445</v>
      </c>
    </row>
    <row r="508" spans="1:4">
      <c r="A508" s="5">
        <f t="shared" si="7"/>
        <v>44703</v>
      </c>
      <c r="B508" s="26" t="s">
        <v>466</v>
      </c>
      <c r="C508" s="47">
        <v>44682</v>
      </c>
      <c r="D508" s="26" t="s">
        <v>447</v>
      </c>
    </row>
    <row r="509" spans="1:4">
      <c r="A509" s="5">
        <f t="shared" si="7"/>
        <v>44704</v>
      </c>
      <c r="B509" s="26" t="s">
        <v>466</v>
      </c>
      <c r="C509" s="47">
        <v>44682</v>
      </c>
      <c r="D509" s="26" t="s">
        <v>448</v>
      </c>
    </row>
    <row r="510" spans="1:4">
      <c r="A510" s="5">
        <f t="shared" si="7"/>
        <v>44705</v>
      </c>
      <c r="B510" s="26" t="s">
        <v>466</v>
      </c>
      <c r="C510" s="47">
        <v>44682</v>
      </c>
      <c r="D510" s="26" t="s">
        <v>449</v>
      </c>
    </row>
    <row r="511" spans="1:4">
      <c r="A511" s="5">
        <f t="shared" si="7"/>
        <v>44706</v>
      </c>
      <c r="B511" s="26" t="s">
        <v>466</v>
      </c>
      <c r="C511" s="47">
        <v>44682</v>
      </c>
      <c r="D511" s="26" t="s">
        <v>441</v>
      </c>
    </row>
    <row r="512" spans="1:4">
      <c r="A512" s="5">
        <f t="shared" si="7"/>
        <v>44707</v>
      </c>
      <c r="B512" s="26" t="s">
        <v>466</v>
      </c>
      <c r="C512" s="47">
        <v>44682</v>
      </c>
      <c r="D512" s="26" t="s">
        <v>443</v>
      </c>
    </row>
    <row r="513" spans="1:4">
      <c r="A513" s="5">
        <f t="shared" si="7"/>
        <v>44708</v>
      </c>
      <c r="B513" s="26" t="s">
        <v>466</v>
      </c>
      <c r="C513" s="47">
        <v>44682</v>
      </c>
      <c r="D513" s="26" t="s">
        <v>444</v>
      </c>
    </row>
    <row r="514" spans="1:4">
      <c r="A514" s="5">
        <f t="shared" si="7"/>
        <v>44709</v>
      </c>
      <c r="B514" s="26" t="s">
        <v>466</v>
      </c>
      <c r="C514" s="47">
        <v>44682</v>
      </c>
      <c r="D514" s="26" t="s">
        <v>445</v>
      </c>
    </row>
    <row r="515" spans="1:4">
      <c r="A515" s="5">
        <f t="shared" si="7"/>
        <v>44710</v>
      </c>
      <c r="B515" s="26" t="s">
        <v>467</v>
      </c>
      <c r="C515" s="47">
        <v>44682</v>
      </c>
      <c r="D515" s="26" t="s">
        <v>447</v>
      </c>
    </row>
    <row r="516" spans="1:4">
      <c r="A516" s="5">
        <f t="shared" ref="A516:A579" si="8">A515+1</f>
        <v>44711</v>
      </c>
      <c r="B516" s="26" t="s">
        <v>467</v>
      </c>
      <c r="C516" s="47">
        <v>44682</v>
      </c>
      <c r="D516" s="26" t="s">
        <v>448</v>
      </c>
    </row>
    <row r="517" spans="1:4">
      <c r="A517" s="5">
        <f t="shared" si="8"/>
        <v>44712</v>
      </c>
      <c r="B517" s="26" t="s">
        <v>467</v>
      </c>
      <c r="C517" s="47">
        <v>44682</v>
      </c>
      <c r="D517" s="26" t="s">
        <v>449</v>
      </c>
    </row>
    <row r="518" spans="1:4">
      <c r="A518" s="5">
        <f t="shared" si="8"/>
        <v>44713</v>
      </c>
      <c r="B518" s="26" t="s">
        <v>467</v>
      </c>
      <c r="C518" s="47">
        <v>44713</v>
      </c>
      <c r="D518" s="26" t="s">
        <v>441</v>
      </c>
    </row>
    <row r="519" spans="1:4">
      <c r="A519" s="5">
        <f t="shared" si="8"/>
        <v>44714</v>
      </c>
      <c r="B519" s="26" t="s">
        <v>467</v>
      </c>
      <c r="C519" s="47">
        <v>44713</v>
      </c>
      <c r="D519" s="26" t="s">
        <v>443</v>
      </c>
    </row>
    <row r="520" spans="1:4">
      <c r="A520" s="5">
        <f t="shared" si="8"/>
        <v>44715</v>
      </c>
      <c r="B520" s="26" t="s">
        <v>467</v>
      </c>
      <c r="C520" s="47">
        <v>44713</v>
      </c>
      <c r="D520" s="26" t="s">
        <v>444</v>
      </c>
    </row>
    <row r="521" spans="1:4">
      <c r="A521" s="5">
        <f t="shared" si="8"/>
        <v>44716</v>
      </c>
      <c r="B521" s="26" t="s">
        <v>467</v>
      </c>
      <c r="C521" s="47">
        <v>44713</v>
      </c>
      <c r="D521" s="26" t="s">
        <v>445</v>
      </c>
    </row>
    <row r="522" spans="1:4">
      <c r="A522" s="5">
        <f t="shared" si="8"/>
        <v>44717</v>
      </c>
      <c r="B522" s="26" t="s">
        <v>468</v>
      </c>
      <c r="C522" s="47">
        <v>44713</v>
      </c>
      <c r="D522" s="26" t="s">
        <v>447</v>
      </c>
    </row>
    <row r="523" spans="1:4">
      <c r="A523" s="5">
        <f t="shared" si="8"/>
        <v>44718</v>
      </c>
      <c r="B523" s="26" t="s">
        <v>468</v>
      </c>
      <c r="C523" s="47">
        <v>44713</v>
      </c>
      <c r="D523" s="26" t="s">
        <v>448</v>
      </c>
    </row>
    <row r="524" spans="1:4">
      <c r="A524" s="5">
        <f t="shared" si="8"/>
        <v>44719</v>
      </c>
      <c r="B524" s="26" t="s">
        <v>468</v>
      </c>
      <c r="C524" s="47">
        <v>44713</v>
      </c>
      <c r="D524" s="26" t="s">
        <v>449</v>
      </c>
    </row>
    <row r="525" spans="1:4">
      <c r="A525" s="5">
        <f t="shared" si="8"/>
        <v>44720</v>
      </c>
      <c r="B525" s="26" t="s">
        <v>468</v>
      </c>
      <c r="C525" s="47">
        <v>44713</v>
      </c>
      <c r="D525" s="26" t="s">
        <v>441</v>
      </c>
    </row>
    <row r="526" spans="1:4">
      <c r="A526" s="5">
        <f t="shared" si="8"/>
        <v>44721</v>
      </c>
      <c r="B526" s="26" t="s">
        <v>468</v>
      </c>
      <c r="C526" s="47">
        <v>44713</v>
      </c>
      <c r="D526" s="26" t="s">
        <v>443</v>
      </c>
    </row>
    <row r="527" spans="1:4">
      <c r="A527" s="5">
        <f t="shared" si="8"/>
        <v>44722</v>
      </c>
      <c r="B527" s="26" t="s">
        <v>468</v>
      </c>
      <c r="C527" s="47">
        <v>44713</v>
      </c>
      <c r="D527" s="26" t="s">
        <v>444</v>
      </c>
    </row>
    <row r="528" spans="1:4">
      <c r="A528" s="5">
        <f t="shared" si="8"/>
        <v>44723</v>
      </c>
      <c r="B528" s="26" t="s">
        <v>468</v>
      </c>
      <c r="C528" s="47">
        <v>44713</v>
      </c>
      <c r="D528" s="26" t="s">
        <v>445</v>
      </c>
    </row>
    <row r="529" spans="1:4">
      <c r="A529" s="5">
        <f t="shared" si="8"/>
        <v>44724</v>
      </c>
      <c r="B529" s="26" t="s">
        <v>469</v>
      </c>
      <c r="C529" s="47">
        <v>44713</v>
      </c>
      <c r="D529" s="26" t="s">
        <v>447</v>
      </c>
    </row>
    <row r="530" spans="1:4">
      <c r="A530" s="5">
        <f t="shared" si="8"/>
        <v>44725</v>
      </c>
      <c r="B530" s="26" t="s">
        <v>469</v>
      </c>
      <c r="C530" s="47">
        <v>44713</v>
      </c>
      <c r="D530" s="26" t="s">
        <v>448</v>
      </c>
    </row>
    <row r="531" spans="1:4">
      <c r="A531" s="5">
        <f t="shared" si="8"/>
        <v>44726</v>
      </c>
      <c r="B531" s="26" t="s">
        <v>469</v>
      </c>
      <c r="C531" s="47">
        <v>44713</v>
      </c>
      <c r="D531" s="26" t="s">
        <v>449</v>
      </c>
    </row>
    <row r="532" spans="1:4">
      <c r="A532" s="5">
        <f t="shared" si="8"/>
        <v>44727</v>
      </c>
      <c r="B532" s="26" t="s">
        <v>469</v>
      </c>
      <c r="C532" s="47">
        <v>44713</v>
      </c>
      <c r="D532" s="26" t="s">
        <v>441</v>
      </c>
    </row>
    <row r="533" spans="1:4">
      <c r="A533" s="5">
        <f t="shared" si="8"/>
        <v>44728</v>
      </c>
      <c r="B533" s="26" t="s">
        <v>469</v>
      </c>
      <c r="C533" s="47">
        <v>44713</v>
      </c>
      <c r="D533" s="26" t="s">
        <v>443</v>
      </c>
    </row>
    <row r="534" spans="1:4">
      <c r="A534" s="5">
        <f t="shared" si="8"/>
        <v>44729</v>
      </c>
      <c r="B534" s="26" t="s">
        <v>469</v>
      </c>
      <c r="C534" s="47">
        <v>44713</v>
      </c>
      <c r="D534" s="26" t="s">
        <v>444</v>
      </c>
    </row>
    <row r="535" spans="1:4">
      <c r="A535" s="5">
        <f t="shared" si="8"/>
        <v>44730</v>
      </c>
      <c r="B535" s="26" t="s">
        <v>469</v>
      </c>
      <c r="C535" s="47">
        <v>44713</v>
      </c>
      <c r="D535" s="26" t="s">
        <v>445</v>
      </c>
    </row>
    <row r="536" spans="1:4">
      <c r="A536" s="5">
        <f t="shared" si="8"/>
        <v>44731</v>
      </c>
      <c r="B536" s="26" t="s">
        <v>470</v>
      </c>
      <c r="C536" s="47">
        <v>44713</v>
      </c>
      <c r="D536" s="26" t="s">
        <v>447</v>
      </c>
    </row>
    <row r="537" spans="1:4">
      <c r="A537" s="5">
        <f t="shared" si="8"/>
        <v>44732</v>
      </c>
      <c r="B537" s="26" t="s">
        <v>470</v>
      </c>
      <c r="C537" s="47">
        <v>44713</v>
      </c>
      <c r="D537" s="26" t="s">
        <v>448</v>
      </c>
    </row>
    <row r="538" spans="1:4">
      <c r="A538" s="5">
        <f t="shared" si="8"/>
        <v>44733</v>
      </c>
      <c r="B538" s="26" t="s">
        <v>470</v>
      </c>
      <c r="C538" s="47">
        <v>44713</v>
      </c>
      <c r="D538" s="26" t="s">
        <v>449</v>
      </c>
    </row>
    <row r="539" spans="1:4">
      <c r="A539" s="5">
        <f t="shared" si="8"/>
        <v>44734</v>
      </c>
      <c r="B539" s="26" t="s">
        <v>470</v>
      </c>
      <c r="C539" s="47">
        <v>44713</v>
      </c>
      <c r="D539" s="26" t="s">
        <v>441</v>
      </c>
    </row>
    <row r="540" spans="1:4">
      <c r="A540" s="5">
        <f t="shared" si="8"/>
        <v>44735</v>
      </c>
      <c r="B540" s="26" t="s">
        <v>470</v>
      </c>
      <c r="C540" s="47">
        <v>44713</v>
      </c>
      <c r="D540" s="26" t="s">
        <v>443</v>
      </c>
    </row>
    <row r="541" spans="1:4">
      <c r="A541" s="5">
        <f t="shared" si="8"/>
        <v>44736</v>
      </c>
      <c r="B541" s="26" t="s">
        <v>470</v>
      </c>
      <c r="C541" s="47">
        <v>44713</v>
      </c>
      <c r="D541" s="26" t="s">
        <v>444</v>
      </c>
    </row>
    <row r="542" spans="1:4">
      <c r="A542" s="5">
        <f t="shared" si="8"/>
        <v>44737</v>
      </c>
      <c r="B542" s="26" t="s">
        <v>470</v>
      </c>
      <c r="C542" s="47">
        <v>44713</v>
      </c>
      <c r="D542" s="26" t="s">
        <v>445</v>
      </c>
    </row>
    <row r="543" spans="1:4">
      <c r="A543" s="5">
        <f t="shared" si="8"/>
        <v>44738</v>
      </c>
      <c r="B543" s="26" t="s">
        <v>471</v>
      </c>
      <c r="C543" s="47">
        <v>44713</v>
      </c>
      <c r="D543" s="26" t="s">
        <v>447</v>
      </c>
    </row>
    <row r="544" spans="1:4">
      <c r="A544" s="5">
        <f t="shared" si="8"/>
        <v>44739</v>
      </c>
      <c r="B544" s="26" t="s">
        <v>471</v>
      </c>
      <c r="C544" s="47">
        <v>44713</v>
      </c>
      <c r="D544" s="26" t="s">
        <v>448</v>
      </c>
    </row>
    <row r="545" spans="1:4">
      <c r="A545" s="5">
        <f t="shared" si="8"/>
        <v>44740</v>
      </c>
      <c r="B545" s="26" t="s">
        <v>471</v>
      </c>
      <c r="C545" s="47">
        <v>44713</v>
      </c>
      <c r="D545" s="26" t="s">
        <v>449</v>
      </c>
    </row>
    <row r="546" spans="1:4">
      <c r="A546" s="5">
        <f t="shared" si="8"/>
        <v>44741</v>
      </c>
      <c r="B546" s="26" t="s">
        <v>471</v>
      </c>
      <c r="C546" s="47">
        <v>44713</v>
      </c>
      <c r="D546" s="26" t="s">
        <v>441</v>
      </c>
    </row>
    <row r="547" spans="1:4">
      <c r="A547" s="5">
        <f t="shared" si="8"/>
        <v>44742</v>
      </c>
      <c r="B547" s="26" t="s">
        <v>471</v>
      </c>
      <c r="C547" s="47">
        <v>44713</v>
      </c>
      <c r="D547" s="26" t="s">
        <v>443</v>
      </c>
    </row>
    <row r="548" spans="1:4">
      <c r="A548" s="5">
        <f t="shared" si="8"/>
        <v>44743</v>
      </c>
      <c r="B548" s="26" t="s">
        <v>471</v>
      </c>
      <c r="C548" s="47">
        <v>44743</v>
      </c>
      <c r="D548" s="26" t="s">
        <v>444</v>
      </c>
    </row>
    <row r="549" spans="1:4">
      <c r="A549" s="5">
        <f t="shared" si="8"/>
        <v>44744</v>
      </c>
      <c r="B549" s="26" t="s">
        <v>471</v>
      </c>
      <c r="C549" s="47">
        <v>44743</v>
      </c>
      <c r="D549" s="26" t="s">
        <v>445</v>
      </c>
    </row>
    <row r="550" spans="1:4">
      <c r="A550" s="5">
        <f t="shared" si="8"/>
        <v>44745</v>
      </c>
      <c r="B550" s="26" t="s">
        <v>472</v>
      </c>
      <c r="C550" s="47">
        <v>44743</v>
      </c>
      <c r="D550" s="26" t="s">
        <v>447</v>
      </c>
    </row>
    <row r="551" spans="1:4">
      <c r="A551" s="5">
        <f t="shared" si="8"/>
        <v>44746</v>
      </c>
      <c r="B551" s="26" t="s">
        <v>472</v>
      </c>
      <c r="C551" s="47">
        <v>44743</v>
      </c>
      <c r="D551" s="26" t="s">
        <v>448</v>
      </c>
    </row>
    <row r="552" spans="1:4">
      <c r="A552" s="5">
        <f t="shared" si="8"/>
        <v>44747</v>
      </c>
      <c r="B552" s="26" t="s">
        <v>472</v>
      </c>
      <c r="C552" s="47">
        <v>44743</v>
      </c>
      <c r="D552" s="26" t="s">
        <v>449</v>
      </c>
    </row>
    <row r="553" spans="1:4">
      <c r="A553" s="5">
        <f t="shared" si="8"/>
        <v>44748</v>
      </c>
      <c r="B553" s="26" t="s">
        <v>472</v>
      </c>
      <c r="C553" s="47">
        <v>44743</v>
      </c>
      <c r="D553" s="26" t="s">
        <v>441</v>
      </c>
    </row>
    <row r="554" spans="1:4">
      <c r="A554" s="5">
        <f t="shared" si="8"/>
        <v>44749</v>
      </c>
      <c r="B554" s="26" t="s">
        <v>472</v>
      </c>
      <c r="C554" s="47">
        <v>44743</v>
      </c>
      <c r="D554" s="26" t="s">
        <v>443</v>
      </c>
    </row>
    <row r="555" spans="1:4">
      <c r="A555" s="5">
        <f t="shared" si="8"/>
        <v>44750</v>
      </c>
      <c r="B555" s="26" t="s">
        <v>472</v>
      </c>
      <c r="C555" s="47">
        <v>44743</v>
      </c>
      <c r="D555" s="26" t="s">
        <v>444</v>
      </c>
    </row>
    <row r="556" spans="1:4">
      <c r="A556" s="5">
        <f t="shared" si="8"/>
        <v>44751</v>
      </c>
      <c r="B556" s="26" t="s">
        <v>472</v>
      </c>
      <c r="C556" s="47">
        <v>44743</v>
      </c>
      <c r="D556" s="26" t="s">
        <v>445</v>
      </c>
    </row>
    <row r="557" spans="1:4">
      <c r="A557" s="5">
        <f t="shared" si="8"/>
        <v>44752</v>
      </c>
      <c r="B557" s="26" t="s">
        <v>473</v>
      </c>
      <c r="C557" s="47">
        <v>44743</v>
      </c>
      <c r="D557" s="26" t="s">
        <v>447</v>
      </c>
    </row>
    <row r="558" spans="1:4">
      <c r="A558" s="5">
        <f t="shared" si="8"/>
        <v>44753</v>
      </c>
      <c r="B558" s="26" t="s">
        <v>473</v>
      </c>
      <c r="C558" s="47">
        <v>44743</v>
      </c>
      <c r="D558" s="26" t="s">
        <v>448</v>
      </c>
    </row>
    <row r="559" spans="1:4">
      <c r="A559" s="5">
        <f t="shared" si="8"/>
        <v>44754</v>
      </c>
      <c r="B559" s="26" t="s">
        <v>473</v>
      </c>
      <c r="C559" s="47">
        <v>44743</v>
      </c>
      <c r="D559" s="26" t="s">
        <v>449</v>
      </c>
    </row>
    <row r="560" spans="1:4">
      <c r="A560" s="5">
        <f t="shared" si="8"/>
        <v>44755</v>
      </c>
      <c r="B560" s="26" t="s">
        <v>473</v>
      </c>
      <c r="C560" s="47">
        <v>44743</v>
      </c>
      <c r="D560" s="26" t="s">
        <v>441</v>
      </c>
    </row>
    <row r="561" spans="1:4">
      <c r="A561" s="5">
        <f t="shared" si="8"/>
        <v>44756</v>
      </c>
      <c r="B561" s="26" t="s">
        <v>473</v>
      </c>
      <c r="C561" s="47">
        <v>44743</v>
      </c>
      <c r="D561" s="26" t="s">
        <v>443</v>
      </c>
    </row>
    <row r="562" spans="1:4">
      <c r="A562" s="5">
        <f t="shared" si="8"/>
        <v>44757</v>
      </c>
      <c r="B562" s="26" t="s">
        <v>473</v>
      </c>
      <c r="C562" s="47">
        <v>44743</v>
      </c>
      <c r="D562" s="26" t="s">
        <v>444</v>
      </c>
    </row>
    <row r="563" spans="1:4">
      <c r="A563" s="5">
        <f t="shared" si="8"/>
        <v>44758</v>
      </c>
      <c r="B563" s="26" t="s">
        <v>473</v>
      </c>
      <c r="C563" s="47">
        <v>44743</v>
      </c>
      <c r="D563" s="26" t="s">
        <v>445</v>
      </c>
    </row>
    <row r="564" spans="1:4">
      <c r="A564" s="5">
        <f t="shared" si="8"/>
        <v>44759</v>
      </c>
      <c r="B564" s="26" t="s">
        <v>474</v>
      </c>
      <c r="C564" s="47">
        <v>44743</v>
      </c>
      <c r="D564" s="26" t="s">
        <v>447</v>
      </c>
    </row>
    <row r="565" spans="1:4">
      <c r="A565" s="5">
        <f t="shared" si="8"/>
        <v>44760</v>
      </c>
      <c r="B565" s="26" t="s">
        <v>474</v>
      </c>
      <c r="C565" s="47">
        <v>44743</v>
      </c>
      <c r="D565" s="26" t="s">
        <v>448</v>
      </c>
    </row>
    <row r="566" spans="1:4">
      <c r="A566" s="5">
        <f t="shared" si="8"/>
        <v>44761</v>
      </c>
      <c r="B566" s="26" t="s">
        <v>474</v>
      </c>
      <c r="C566" s="47">
        <v>44743</v>
      </c>
      <c r="D566" s="26" t="s">
        <v>449</v>
      </c>
    </row>
    <row r="567" spans="1:4">
      <c r="A567" s="5">
        <f t="shared" si="8"/>
        <v>44762</v>
      </c>
      <c r="B567" s="26" t="s">
        <v>474</v>
      </c>
      <c r="C567" s="47">
        <v>44743</v>
      </c>
      <c r="D567" s="26" t="s">
        <v>441</v>
      </c>
    </row>
    <row r="568" spans="1:4">
      <c r="A568" s="5">
        <f t="shared" si="8"/>
        <v>44763</v>
      </c>
      <c r="B568" s="26" t="s">
        <v>474</v>
      </c>
      <c r="C568" s="47">
        <v>44743</v>
      </c>
      <c r="D568" s="26" t="s">
        <v>443</v>
      </c>
    </row>
    <row r="569" spans="1:4">
      <c r="A569" s="5">
        <f t="shared" si="8"/>
        <v>44764</v>
      </c>
      <c r="B569" s="26" t="s">
        <v>474</v>
      </c>
      <c r="C569" s="47">
        <v>44743</v>
      </c>
      <c r="D569" s="26" t="s">
        <v>444</v>
      </c>
    </row>
    <row r="570" spans="1:4">
      <c r="A570" s="5">
        <f t="shared" si="8"/>
        <v>44765</v>
      </c>
      <c r="B570" s="26" t="s">
        <v>474</v>
      </c>
      <c r="C570" s="47">
        <v>44743</v>
      </c>
      <c r="D570" s="26" t="s">
        <v>445</v>
      </c>
    </row>
    <row r="571" spans="1:4">
      <c r="A571" s="5">
        <f t="shared" si="8"/>
        <v>44766</v>
      </c>
      <c r="B571" s="26" t="s">
        <v>475</v>
      </c>
      <c r="C571" s="47">
        <v>44743</v>
      </c>
      <c r="D571" s="26" t="s">
        <v>447</v>
      </c>
    </row>
    <row r="572" spans="1:4">
      <c r="A572" s="5">
        <f t="shared" si="8"/>
        <v>44767</v>
      </c>
      <c r="B572" s="26" t="s">
        <v>475</v>
      </c>
      <c r="C572" s="47">
        <v>44743</v>
      </c>
      <c r="D572" s="26" t="s">
        <v>448</v>
      </c>
    </row>
    <row r="573" spans="1:4">
      <c r="A573" s="5">
        <f t="shared" si="8"/>
        <v>44768</v>
      </c>
      <c r="B573" s="26" t="s">
        <v>475</v>
      </c>
      <c r="C573" s="47">
        <v>44743</v>
      </c>
      <c r="D573" s="26" t="s">
        <v>449</v>
      </c>
    </row>
    <row r="574" spans="1:4">
      <c r="A574" s="5">
        <f t="shared" si="8"/>
        <v>44769</v>
      </c>
      <c r="B574" s="26" t="s">
        <v>475</v>
      </c>
      <c r="C574" s="47">
        <v>44743</v>
      </c>
      <c r="D574" s="26" t="s">
        <v>441</v>
      </c>
    </row>
    <row r="575" spans="1:4">
      <c r="A575" s="5">
        <f t="shared" si="8"/>
        <v>44770</v>
      </c>
      <c r="B575" s="26" t="s">
        <v>475</v>
      </c>
      <c r="C575" s="47">
        <v>44743</v>
      </c>
      <c r="D575" s="26" t="s">
        <v>443</v>
      </c>
    </row>
    <row r="576" spans="1:4">
      <c r="A576" s="5">
        <f t="shared" si="8"/>
        <v>44771</v>
      </c>
      <c r="B576" s="26" t="s">
        <v>475</v>
      </c>
      <c r="C576" s="47">
        <v>44743</v>
      </c>
      <c r="D576" s="26" t="s">
        <v>444</v>
      </c>
    </row>
    <row r="577" spans="1:4">
      <c r="A577" s="5">
        <f t="shared" si="8"/>
        <v>44772</v>
      </c>
      <c r="B577" s="26" t="s">
        <v>475</v>
      </c>
      <c r="C577" s="47">
        <v>44743</v>
      </c>
      <c r="D577" s="26" t="s">
        <v>445</v>
      </c>
    </row>
    <row r="578" spans="1:4">
      <c r="A578" s="5">
        <f t="shared" si="8"/>
        <v>44773</v>
      </c>
      <c r="B578" s="26" t="s">
        <v>476</v>
      </c>
      <c r="C578" s="47">
        <v>44743</v>
      </c>
      <c r="D578" s="26" t="s">
        <v>447</v>
      </c>
    </row>
    <row r="579" spans="1:4">
      <c r="A579" s="5">
        <f t="shared" si="8"/>
        <v>44774</v>
      </c>
      <c r="B579" s="26" t="s">
        <v>476</v>
      </c>
      <c r="C579" s="47">
        <v>44774</v>
      </c>
      <c r="D579" s="26" t="s">
        <v>448</v>
      </c>
    </row>
    <row r="580" spans="1:4">
      <c r="A580" s="5">
        <f t="shared" ref="A580:A643" si="9">A579+1</f>
        <v>44775</v>
      </c>
      <c r="B580" s="26" t="s">
        <v>476</v>
      </c>
      <c r="C580" s="47">
        <v>44774</v>
      </c>
      <c r="D580" s="26" t="s">
        <v>449</v>
      </c>
    </row>
    <row r="581" spans="1:4">
      <c r="A581" s="5">
        <f t="shared" si="9"/>
        <v>44776</v>
      </c>
      <c r="B581" s="26" t="s">
        <v>476</v>
      </c>
      <c r="C581" s="47">
        <v>44774</v>
      </c>
      <c r="D581" s="26" t="s">
        <v>441</v>
      </c>
    </row>
    <row r="582" spans="1:4">
      <c r="A582" s="5">
        <f t="shared" si="9"/>
        <v>44777</v>
      </c>
      <c r="B582" s="26" t="s">
        <v>476</v>
      </c>
      <c r="C582" s="47">
        <v>44774</v>
      </c>
      <c r="D582" s="26" t="s">
        <v>443</v>
      </c>
    </row>
    <row r="583" spans="1:4">
      <c r="A583" s="5">
        <f t="shared" si="9"/>
        <v>44778</v>
      </c>
      <c r="B583" s="26" t="s">
        <v>476</v>
      </c>
      <c r="C583" s="47">
        <v>44774</v>
      </c>
      <c r="D583" s="26" t="s">
        <v>444</v>
      </c>
    </row>
    <row r="584" spans="1:4">
      <c r="A584" s="5">
        <f t="shared" si="9"/>
        <v>44779</v>
      </c>
      <c r="B584" s="26" t="s">
        <v>476</v>
      </c>
      <c r="C584" s="47">
        <v>44774</v>
      </c>
      <c r="D584" s="26" t="s">
        <v>445</v>
      </c>
    </row>
    <row r="585" spans="1:4">
      <c r="A585" s="5">
        <f t="shared" si="9"/>
        <v>44780</v>
      </c>
      <c r="B585" s="26" t="s">
        <v>477</v>
      </c>
      <c r="C585" s="47">
        <v>44774</v>
      </c>
      <c r="D585" s="26" t="s">
        <v>447</v>
      </c>
    </row>
    <row r="586" spans="1:4">
      <c r="A586" s="5">
        <f t="shared" si="9"/>
        <v>44781</v>
      </c>
      <c r="B586" s="26" t="s">
        <v>477</v>
      </c>
      <c r="C586" s="47">
        <v>44774</v>
      </c>
      <c r="D586" s="26" t="s">
        <v>448</v>
      </c>
    </row>
    <row r="587" spans="1:4">
      <c r="A587" s="5">
        <f t="shared" si="9"/>
        <v>44782</v>
      </c>
      <c r="B587" s="26" t="s">
        <v>477</v>
      </c>
      <c r="C587" s="47">
        <v>44774</v>
      </c>
      <c r="D587" s="26" t="s">
        <v>449</v>
      </c>
    </row>
    <row r="588" spans="1:4">
      <c r="A588" s="5">
        <f t="shared" si="9"/>
        <v>44783</v>
      </c>
      <c r="B588" s="26" t="s">
        <v>477</v>
      </c>
      <c r="C588" s="47">
        <v>44774</v>
      </c>
      <c r="D588" s="26" t="s">
        <v>441</v>
      </c>
    </row>
    <row r="589" spans="1:4">
      <c r="A589" s="5">
        <f t="shared" si="9"/>
        <v>44784</v>
      </c>
      <c r="B589" s="26" t="s">
        <v>477</v>
      </c>
      <c r="C589" s="47">
        <v>44774</v>
      </c>
      <c r="D589" s="26" t="s">
        <v>443</v>
      </c>
    </row>
    <row r="590" spans="1:4">
      <c r="A590" s="5">
        <f t="shared" si="9"/>
        <v>44785</v>
      </c>
      <c r="B590" s="26" t="s">
        <v>477</v>
      </c>
      <c r="C590" s="47">
        <v>44774</v>
      </c>
      <c r="D590" s="26" t="s">
        <v>444</v>
      </c>
    </row>
    <row r="591" spans="1:4">
      <c r="A591" s="5">
        <f t="shared" si="9"/>
        <v>44786</v>
      </c>
      <c r="B591" s="26" t="s">
        <v>477</v>
      </c>
      <c r="C591" s="47">
        <v>44774</v>
      </c>
      <c r="D591" s="26" t="s">
        <v>445</v>
      </c>
    </row>
    <row r="592" spans="1:4">
      <c r="A592" s="5">
        <f t="shared" si="9"/>
        <v>44787</v>
      </c>
      <c r="B592" s="26" t="s">
        <v>478</v>
      </c>
      <c r="C592" s="47">
        <v>44774</v>
      </c>
      <c r="D592" s="26" t="s">
        <v>447</v>
      </c>
    </row>
    <row r="593" spans="1:4">
      <c r="A593" s="5">
        <f t="shared" si="9"/>
        <v>44788</v>
      </c>
      <c r="B593" s="26" t="s">
        <v>478</v>
      </c>
      <c r="C593" s="47">
        <v>44774</v>
      </c>
      <c r="D593" s="26" t="s">
        <v>448</v>
      </c>
    </row>
    <row r="594" spans="1:4">
      <c r="A594" s="5">
        <f t="shared" si="9"/>
        <v>44789</v>
      </c>
      <c r="B594" s="26" t="s">
        <v>478</v>
      </c>
      <c r="C594" s="47">
        <v>44774</v>
      </c>
      <c r="D594" s="26" t="s">
        <v>449</v>
      </c>
    </row>
    <row r="595" spans="1:4">
      <c r="A595" s="5">
        <f t="shared" si="9"/>
        <v>44790</v>
      </c>
      <c r="B595" s="26" t="s">
        <v>478</v>
      </c>
      <c r="C595" s="47">
        <v>44774</v>
      </c>
      <c r="D595" s="26" t="s">
        <v>441</v>
      </c>
    </row>
    <row r="596" spans="1:4">
      <c r="A596" s="5">
        <f t="shared" si="9"/>
        <v>44791</v>
      </c>
      <c r="B596" s="26" t="s">
        <v>478</v>
      </c>
      <c r="C596" s="47">
        <v>44774</v>
      </c>
      <c r="D596" s="26" t="s">
        <v>443</v>
      </c>
    </row>
    <row r="597" spans="1:4">
      <c r="A597" s="5">
        <f t="shared" si="9"/>
        <v>44792</v>
      </c>
      <c r="B597" s="26" t="s">
        <v>478</v>
      </c>
      <c r="C597" s="47">
        <v>44774</v>
      </c>
      <c r="D597" s="26" t="s">
        <v>444</v>
      </c>
    </row>
    <row r="598" spans="1:4">
      <c r="A598" s="5">
        <f t="shared" si="9"/>
        <v>44793</v>
      </c>
      <c r="B598" s="26" t="s">
        <v>478</v>
      </c>
      <c r="C598" s="47">
        <v>44774</v>
      </c>
      <c r="D598" s="26" t="s">
        <v>445</v>
      </c>
    </row>
    <row r="599" spans="1:4">
      <c r="A599" s="5">
        <f t="shared" si="9"/>
        <v>44794</v>
      </c>
      <c r="B599" s="26" t="s">
        <v>479</v>
      </c>
      <c r="C599" s="47">
        <v>44774</v>
      </c>
      <c r="D599" s="26" t="s">
        <v>447</v>
      </c>
    </row>
    <row r="600" spans="1:4">
      <c r="A600" s="5">
        <f t="shared" si="9"/>
        <v>44795</v>
      </c>
      <c r="B600" s="26" t="s">
        <v>479</v>
      </c>
      <c r="C600" s="47">
        <v>44774</v>
      </c>
      <c r="D600" s="26" t="s">
        <v>448</v>
      </c>
    </row>
    <row r="601" spans="1:4">
      <c r="A601" s="5">
        <f t="shared" si="9"/>
        <v>44796</v>
      </c>
      <c r="B601" s="26" t="s">
        <v>479</v>
      </c>
      <c r="C601" s="47">
        <v>44774</v>
      </c>
      <c r="D601" s="26" t="s">
        <v>449</v>
      </c>
    </row>
    <row r="602" spans="1:4">
      <c r="A602" s="5">
        <f t="shared" si="9"/>
        <v>44797</v>
      </c>
      <c r="B602" s="26" t="s">
        <v>479</v>
      </c>
      <c r="C602" s="47">
        <v>44774</v>
      </c>
      <c r="D602" s="26" t="s">
        <v>441</v>
      </c>
    </row>
    <row r="603" spans="1:4">
      <c r="A603" s="5">
        <f t="shared" si="9"/>
        <v>44798</v>
      </c>
      <c r="B603" s="26" t="s">
        <v>479</v>
      </c>
      <c r="C603" s="47">
        <v>44774</v>
      </c>
      <c r="D603" s="26" t="s">
        <v>443</v>
      </c>
    </row>
    <row r="604" spans="1:4">
      <c r="A604" s="5">
        <f t="shared" si="9"/>
        <v>44799</v>
      </c>
      <c r="B604" s="26" t="s">
        <v>479</v>
      </c>
      <c r="C604" s="47">
        <v>44774</v>
      </c>
      <c r="D604" s="26" t="s">
        <v>444</v>
      </c>
    </row>
    <row r="605" spans="1:4">
      <c r="A605" s="5">
        <f t="shared" si="9"/>
        <v>44800</v>
      </c>
      <c r="B605" s="26" t="s">
        <v>479</v>
      </c>
      <c r="C605" s="47">
        <v>44774</v>
      </c>
      <c r="D605" s="26" t="s">
        <v>445</v>
      </c>
    </row>
    <row r="606" spans="1:4">
      <c r="A606" s="5">
        <f t="shared" si="9"/>
        <v>44801</v>
      </c>
      <c r="B606" s="26" t="s">
        <v>480</v>
      </c>
      <c r="C606" s="47">
        <v>44774</v>
      </c>
      <c r="D606" s="26" t="s">
        <v>447</v>
      </c>
    </row>
    <row r="607" spans="1:4">
      <c r="A607" s="5">
        <f t="shared" si="9"/>
        <v>44802</v>
      </c>
      <c r="B607" s="26" t="s">
        <v>480</v>
      </c>
      <c r="C607" s="47">
        <v>44774</v>
      </c>
      <c r="D607" s="26" t="s">
        <v>448</v>
      </c>
    </row>
    <row r="608" spans="1:4">
      <c r="A608" s="5">
        <f t="shared" si="9"/>
        <v>44803</v>
      </c>
      <c r="B608" s="26" t="s">
        <v>480</v>
      </c>
      <c r="C608" s="47">
        <v>44774</v>
      </c>
      <c r="D608" s="26" t="s">
        <v>449</v>
      </c>
    </row>
    <row r="609" spans="1:4">
      <c r="A609" s="5">
        <f t="shared" si="9"/>
        <v>44804</v>
      </c>
      <c r="B609" s="26" t="s">
        <v>480</v>
      </c>
      <c r="C609" s="47">
        <v>44774</v>
      </c>
      <c r="D609" s="26" t="s">
        <v>441</v>
      </c>
    </row>
    <row r="610" spans="1:4">
      <c r="A610" s="5">
        <f t="shared" si="9"/>
        <v>44805</v>
      </c>
      <c r="B610" s="26" t="s">
        <v>480</v>
      </c>
      <c r="C610" s="47">
        <v>44805</v>
      </c>
      <c r="D610" s="26" t="s">
        <v>443</v>
      </c>
    </row>
    <row r="611" spans="1:4">
      <c r="A611" s="5">
        <f t="shared" si="9"/>
        <v>44806</v>
      </c>
      <c r="B611" s="26" t="s">
        <v>480</v>
      </c>
      <c r="C611" s="47">
        <v>44805</v>
      </c>
      <c r="D611" s="26" t="s">
        <v>444</v>
      </c>
    </row>
    <row r="612" spans="1:4">
      <c r="A612" s="5">
        <f t="shared" si="9"/>
        <v>44807</v>
      </c>
      <c r="B612" s="26" t="s">
        <v>480</v>
      </c>
      <c r="C612" s="47">
        <v>44805</v>
      </c>
      <c r="D612" s="26" t="s">
        <v>445</v>
      </c>
    </row>
    <row r="613" spans="1:4">
      <c r="A613" s="5">
        <f t="shared" si="9"/>
        <v>44808</v>
      </c>
      <c r="B613" s="26" t="s">
        <v>481</v>
      </c>
      <c r="C613" s="47">
        <v>44805</v>
      </c>
      <c r="D613" s="26" t="s">
        <v>447</v>
      </c>
    </row>
    <row r="614" spans="1:4">
      <c r="A614" s="5">
        <f t="shared" si="9"/>
        <v>44809</v>
      </c>
      <c r="B614" s="26" t="s">
        <v>481</v>
      </c>
      <c r="C614" s="47">
        <v>44805</v>
      </c>
      <c r="D614" s="26" t="s">
        <v>448</v>
      </c>
    </row>
    <row r="615" spans="1:4">
      <c r="A615" s="5">
        <f t="shared" si="9"/>
        <v>44810</v>
      </c>
      <c r="B615" s="26" t="s">
        <v>481</v>
      </c>
      <c r="C615" s="47">
        <v>44805</v>
      </c>
      <c r="D615" s="26" t="s">
        <v>449</v>
      </c>
    </row>
    <row r="616" spans="1:4">
      <c r="A616" s="5">
        <f t="shared" si="9"/>
        <v>44811</v>
      </c>
      <c r="B616" s="26" t="s">
        <v>481</v>
      </c>
      <c r="C616" s="47">
        <v>44805</v>
      </c>
      <c r="D616" s="26" t="s">
        <v>441</v>
      </c>
    </row>
    <row r="617" spans="1:4">
      <c r="A617" s="5">
        <f t="shared" si="9"/>
        <v>44812</v>
      </c>
      <c r="B617" s="26" t="s">
        <v>481</v>
      </c>
      <c r="C617" s="47">
        <v>44805</v>
      </c>
      <c r="D617" s="26" t="s">
        <v>443</v>
      </c>
    </row>
    <row r="618" spans="1:4">
      <c r="A618" s="5">
        <f t="shared" si="9"/>
        <v>44813</v>
      </c>
      <c r="B618" s="26" t="s">
        <v>481</v>
      </c>
      <c r="C618" s="47">
        <v>44805</v>
      </c>
      <c r="D618" s="26" t="s">
        <v>444</v>
      </c>
    </row>
    <row r="619" spans="1:4">
      <c r="A619" s="5">
        <f t="shared" si="9"/>
        <v>44814</v>
      </c>
      <c r="B619" s="26" t="s">
        <v>481</v>
      </c>
      <c r="C619" s="47">
        <v>44805</v>
      </c>
      <c r="D619" s="26" t="s">
        <v>445</v>
      </c>
    </row>
    <row r="620" spans="1:4">
      <c r="A620" s="5">
        <f t="shared" si="9"/>
        <v>44815</v>
      </c>
      <c r="B620" s="26" t="s">
        <v>482</v>
      </c>
      <c r="C620" s="47">
        <v>44805</v>
      </c>
      <c r="D620" s="26" t="s">
        <v>447</v>
      </c>
    </row>
    <row r="621" spans="1:4">
      <c r="A621" s="5">
        <f t="shared" si="9"/>
        <v>44816</v>
      </c>
      <c r="B621" s="26" t="s">
        <v>482</v>
      </c>
      <c r="C621" s="47">
        <v>44805</v>
      </c>
      <c r="D621" s="26" t="s">
        <v>448</v>
      </c>
    </row>
    <row r="622" spans="1:4">
      <c r="A622" s="5">
        <f t="shared" si="9"/>
        <v>44817</v>
      </c>
      <c r="B622" s="26" t="s">
        <v>482</v>
      </c>
      <c r="C622" s="47">
        <v>44805</v>
      </c>
      <c r="D622" s="26" t="s">
        <v>449</v>
      </c>
    </row>
    <row r="623" spans="1:4">
      <c r="A623" s="5">
        <f t="shared" si="9"/>
        <v>44818</v>
      </c>
      <c r="B623" s="26" t="s">
        <v>482</v>
      </c>
      <c r="C623" s="47">
        <v>44805</v>
      </c>
      <c r="D623" s="26" t="s">
        <v>441</v>
      </c>
    </row>
    <row r="624" spans="1:4">
      <c r="A624" s="5">
        <f t="shared" si="9"/>
        <v>44819</v>
      </c>
      <c r="B624" s="26" t="s">
        <v>482</v>
      </c>
      <c r="C624" s="47">
        <v>44805</v>
      </c>
      <c r="D624" s="26" t="s">
        <v>443</v>
      </c>
    </row>
    <row r="625" spans="1:4">
      <c r="A625" s="5">
        <f t="shared" si="9"/>
        <v>44820</v>
      </c>
      <c r="B625" s="26" t="s">
        <v>482</v>
      </c>
      <c r="C625" s="47">
        <v>44805</v>
      </c>
      <c r="D625" s="26" t="s">
        <v>444</v>
      </c>
    </row>
    <row r="626" spans="1:4">
      <c r="A626" s="5">
        <f t="shared" si="9"/>
        <v>44821</v>
      </c>
      <c r="B626" s="26" t="s">
        <v>482</v>
      </c>
      <c r="C626" s="47">
        <v>44805</v>
      </c>
      <c r="D626" s="26" t="s">
        <v>445</v>
      </c>
    </row>
    <row r="627" spans="1:4">
      <c r="A627" s="5">
        <f t="shared" si="9"/>
        <v>44822</v>
      </c>
      <c r="B627" s="26" t="s">
        <v>483</v>
      </c>
      <c r="C627" s="47">
        <v>44805</v>
      </c>
      <c r="D627" s="26" t="s">
        <v>447</v>
      </c>
    </row>
    <row r="628" spans="1:4">
      <c r="A628" s="5">
        <f t="shared" si="9"/>
        <v>44823</v>
      </c>
      <c r="B628" s="26" t="s">
        <v>483</v>
      </c>
      <c r="C628" s="47">
        <v>44805</v>
      </c>
      <c r="D628" s="26" t="s">
        <v>448</v>
      </c>
    </row>
    <row r="629" spans="1:4">
      <c r="A629" s="5">
        <f t="shared" si="9"/>
        <v>44824</v>
      </c>
      <c r="B629" s="26" t="s">
        <v>483</v>
      </c>
      <c r="C629" s="47">
        <v>44805</v>
      </c>
      <c r="D629" s="26" t="s">
        <v>449</v>
      </c>
    </row>
    <row r="630" spans="1:4">
      <c r="A630" s="5">
        <f t="shared" si="9"/>
        <v>44825</v>
      </c>
      <c r="B630" s="26" t="s">
        <v>483</v>
      </c>
      <c r="C630" s="47">
        <v>44805</v>
      </c>
      <c r="D630" s="26" t="s">
        <v>441</v>
      </c>
    </row>
    <row r="631" spans="1:4">
      <c r="A631" s="5">
        <f t="shared" si="9"/>
        <v>44826</v>
      </c>
      <c r="B631" s="26" t="s">
        <v>483</v>
      </c>
      <c r="C631" s="47">
        <v>44805</v>
      </c>
      <c r="D631" s="26" t="s">
        <v>443</v>
      </c>
    </row>
    <row r="632" spans="1:4">
      <c r="A632" s="5">
        <f t="shared" si="9"/>
        <v>44827</v>
      </c>
      <c r="B632" s="26" t="s">
        <v>483</v>
      </c>
      <c r="C632" s="47">
        <v>44805</v>
      </c>
      <c r="D632" s="26" t="s">
        <v>444</v>
      </c>
    </row>
    <row r="633" spans="1:4">
      <c r="A633" s="5">
        <f t="shared" si="9"/>
        <v>44828</v>
      </c>
      <c r="B633" s="26" t="s">
        <v>483</v>
      </c>
      <c r="C633" s="47">
        <v>44805</v>
      </c>
      <c r="D633" s="26" t="s">
        <v>445</v>
      </c>
    </row>
    <row r="634" spans="1:4">
      <c r="A634" s="5">
        <f t="shared" si="9"/>
        <v>44829</v>
      </c>
      <c r="B634" s="26" t="s">
        <v>484</v>
      </c>
      <c r="C634" s="47">
        <v>44805</v>
      </c>
      <c r="D634" s="26" t="s">
        <v>447</v>
      </c>
    </row>
    <row r="635" spans="1:4">
      <c r="A635" s="5">
        <f t="shared" si="9"/>
        <v>44830</v>
      </c>
      <c r="B635" s="26" t="s">
        <v>484</v>
      </c>
      <c r="C635" s="47">
        <v>44805</v>
      </c>
      <c r="D635" s="26" t="s">
        <v>448</v>
      </c>
    </row>
    <row r="636" spans="1:4">
      <c r="A636" s="5">
        <f t="shared" si="9"/>
        <v>44831</v>
      </c>
      <c r="B636" s="26" t="s">
        <v>484</v>
      </c>
      <c r="C636" s="47">
        <v>44805</v>
      </c>
      <c r="D636" s="26" t="s">
        <v>449</v>
      </c>
    </row>
    <row r="637" spans="1:4">
      <c r="A637" s="5">
        <f t="shared" si="9"/>
        <v>44832</v>
      </c>
      <c r="B637" s="26" t="s">
        <v>484</v>
      </c>
      <c r="C637" s="47">
        <v>44805</v>
      </c>
      <c r="D637" s="26" t="s">
        <v>441</v>
      </c>
    </row>
    <row r="638" spans="1:4">
      <c r="A638" s="5">
        <f t="shared" si="9"/>
        <v>44833</v>
      </c>
      <c r="B638" s="26" t="s">
        <v>484</v>
      </c>
      <c r="C638" s="47">
        <v>44805</v>
      </c>
      <c r="D638" s="26" t="s">
        <v>443</v>
      </c>
    </row>
    <row r="639" spans="1:4">
      <c r="A639" s="5">
        <f t="shared" si="9"/>
        <v>44834</v>
      </c>
      <c r="B639" s="26" t="s">
        <v>484</v>
      </c>
      <c r="C639" s="47">
        <v>44805</v>
      </c>
      <c r="D639" s="26" t="s">
        <v>444</v>
      </c>
    </row>
    <row r="640" spans="1:4">
      <c r="A640" s="5">
        <f t="shared" si="9"/>
        <v>44835</v>
      </c>
      <c r="B640" s="26" t="s">
        <v>484</v>
      </c>
      <c r="C640" s="47">
        <v>44835</v>
      </c>
      <c r="D640" s="26" t="s">
        <v>445</v>
      </c>
    </row>
    <row r="641" spans="1:4">
      <c r="A641" s="5">
        <f t="shared" si="9"/>
        <v>44836</v>
      </c>
      <c r="B641" s="26" t="s">
        <v>485</v>
      </c>
      <c r="C641" s="47">
        <v>44835</v>
      </c>
      <c r="D641" s="26" t="s">
        <v>447</v>
      </c>
    </row>
    <row r="642" spans="1:4">
      <c r="A642" s="5">
        <f t="shared" si="9"/>
        <v>44837</v>
      </c>
      <c r="B642" s="26" t="s">
        <v>485</v>
      </c>
      <c r="C642" s="47">
        <v>44835</v>
      </c>
      <c r="D642" s="26" t="s">
        <v>448</v>
      </c>
    </row>
    <row r="643" spans="1:4">
      <c r="A643" s="5">
        <f t="shared" si="9"/>
        <v>44838</v>
      </c>
      <c r="B643" s="26" t="s">
        <v>485</v>
      </c>
      <c r="C643" s="47">
        <v>44835</v>
      </c>
      <c r="D643" s="26" t="s">
        <v>449</v>
      </c>
    </row>
    <row r="644" spans="1:4">
      <c r="A644" s="5">
        <f t="shared" ref="A644:A707" si="10">A643+1</f>
        <v>44839</v>
      </c>
      <c r="B644" s="26" t="s">
        <v>485</v>
      </c>
      <c r="C644" s="47">
        <v>44835</v>
      </c>
      <c r="D644" s="26" t="s">
        <v>441</v>
      </c>
    </row>
    <row r="645" spans="1:4">
      <c r="A645" s="5">
        <f t="shared" si="10"/>
        <v>44840</v>
      </c>
      <c r="B645" s="26" t="s">
        <v>485</v>
      </c>
      <c r="C645" s="47">
        <v>44835</v>
      </c>
      <c r="D645" s="26" t="s">
        <v>443</v>
      </c>
    </row>
    <row r="646" spans="1:4">
      <c r="A646" s="5">
        <f t="shared" si="10"/>
        <v>44841</v>
      </c>
      <c r="B646" s="26" t="s">
        <v>485</v>
      </c>
      <c r="C646" s="47">
        <v>44835</v>
      </c>
      <c r="D646" s="26" t="s">
        <v>444</v>
      </c>
    </row>
    <row r="647" spans="1:4">
      <c r="A647" s="5">
        <f t="shared" si="10"/>
        <v>44842</v>
      </c>
      <c r="B647" s="26" t="s">
        <v>485</v>
      </c>
      <c r="C647" s="47">
        <v>44835</v>
      </c>
      <c r="D647" s="26" t="s">
        <v>445</v>
      </c>
    </row>
    <row r="648" spans="1:4">
      <c r="A648" s="5">
        <f t="shared" si="10"/>
        <v>44843</v>
      </c>
      <c r="B648" s="26" t="s">
        <v>486</v>
      </c>
      <c r="C648" s="47">
        <v>44835</v>
      </c>
      <c r="D648" s="26" t="s">
        <v>447</v>
      </c>
    </row>
    <row r="649" spans="1:4">
      <c r="A649" s="5">
        <f t="shared" si="10"/>
        <v>44844</v>
      </c>
      <c r="B649" s="26" t="s">
        <v>486</v>
      </c>
      <c r="C649" s="47">
        <v>44835</v>
      </c>
      <c r="D649" s="26" t="s">
        <v>448</v>
      </c>
    </row>
    <row r="650" spans="1:4">
      <c r="A650" s="5">
        <f t="shared" si="10"/>
        <v>44845</v>
      </c>
      <c r="B650" s="26" t="s">
        <v>486</v>
      </c>
      <c r="C650" s="47">
        <v>44835</v>
      </c>
      <c r="D650" s="26" t="s">
        <v>449</v>
      </c>
    </row>
    <row r="651" spans="1:4">
      <c r="A651" s="5">
        <f t="shared" si="10"/>
        <v>44846</v>
      </c>
      <c r="B651" s="26" t="s">
        <v>486</v>
      </c>
      <c r="C651" s="47">
        <v>44835</v>
      </c>
      <c r="D651" s="26" t="s">
        <v>441</v>
      </c>
    </row>
    <row r="652" spans="1:4">
      <c r="A652" s="5">
        <f t="shared" si="10"/>
        <v>44847</v>
      </c>
      <c r="B652" s="26" t="s">
        <v>486</v>
      </c>
      <c r="C652" s="47">
        <v>44835</v>
      </c>
      <c r="D652" s="26" t="s">
        <v>443</v>
      </c>
    </row>
    <row r="653" spans="1:4">
      <c r="A653" s="5">
        <f t="shared" si="10"/>
        <v>44848</v>
      </c>
      <c r="B653" s="26" t="s">
        <v>486</v>
      </c>
      <c r="C653" s="47">
        <v>44835</v>
      </c>
      <c r="D653" s="26" t="s">
        <v>444</v>
      </c>
    </row>
    <row r="654" spans="1:4">
      <c r="A654" s="5">
        <f t="shared" si="10"/>
        <v>44849</v>
      </c>
      <c r="B654" s="26" t="s">
        <v>486</v>
      </c>
      <c r="C654" s="47">
        <v>44835</v>
      </c>
      <c r="D654" s="26" t="s">
        <v>445</v>
      </c>
    </row>
    <row r="655" spans="1:4">
      <c r="A655" s="5">
        <f t="shared" si="10"/>
        <v>44850</v>
      </c>
      <c r="B655" s="26" t="s">
        <v>487</v>
      </c>
      <c r="C655" s="47">
        <v>44835</v>
      </c>
      <c r="D655" s="26" t="s">
        <v>447</v>
      </c>
    </row>
    <row r="656" spans="1:4">
      <c r="A656" s="5">
        <f t="shared" si="10"/>
        <v>44851</v>
      </c>
      <c r="B656" s="26" t="s">
        <v>487</v>
      </c>
      <c r="C656" s="47">
        <v>44835</v>
      </c>
      <c r="D656" s="26" t="s">
        <v>448</v>
      </c>
    </row>
    <row r="657" spans="1:4">
      <c r="A657" s="5">
        <f t="shared" si="10"/>
        <v>44852</v>
      </c>
      <c r="B657" s="26" t="s">
        <v>487</v>
      </c>
      <c r="C657" s="47">
        <v>44835</v>
      </c>
      <c r="D657" s="26" t="s">
        <v>449</v>
      </c>
    </row>
    <row r="658" spans="1:4">
      <c r="A658" s="5">
        <f t="shared" si="10"/>
        <v>44853</v>
      </c>
      <c r="B658" s="26" t="s">
        <v>487</v>
      </c>
      <c r="C658" s="47">
        <v>44835</v>
      </c>
      <c r="D658" s="26" t="s">
        <v>441</v>
      </c>
    </row>
    <row r="659" spans="1:4">
      <c r="A659" s="5">
        <f t="shared" si="10"/>
        <v>44854</v>
      </c>
      <c r="B659" s="26" t="s">
        <v>487</v>
      </c>
      <c r="C659" s="47">
        <v>44835</v>
      </c>
      <c r="D659" s="26" t="s">
        <v>443</v>
      </c>
    </row>
    <row r="660" spans="1:4">
      <c r="A660" s="5">
        <f t="shared" si="10"/>
        <v>44855</v>
      </c>
      <c r="B660" s="26" t="s">
        <v>487</v>
      </c>
      <c r="C660" s="47">
        <v>44835</v>
      </c>
      <c r="D660" s="26" t="s">
        <v>444</v>
      </c>
    </row>
    <row r="661" spans="1:4">
      <c r="A661" s="5">
        <f t="shared" si="10"/>
        <v>44856</v>
      </c>
      <c r="B661" s="26" t="s">
        <v>487</v>
      </c>
      <c r="C661" s="47">
        <v>44835</v>
      </c>
      <c r="D661" s="26" t="s">
        <v>445</v>
      </c>
    </row>
    <row r="662" spans="1:4">
      <c r="A662" s="5">
        <f t="shared" si="10"/>
        <v>44857</v>
      </c>
      <c r="B662" s="26" t="s">
        <v>488</v>
      </c>
      <c r="C662" s="47">
        <v>44835</v>
      </c>
      <c r="D662" s="26" t="s">
        <v>447</v>
      </c>
    </row>
    <row r="663" spans="1:4">
      <c r="A663" s="5">
        <f t="shared" si="10"/>
        <v>44858</v>
      </c>
      <c r="B663" s="26" t="s">
        <v>488</v>
      </c>
      <c r="C663" s="47">
        <v>44835</v>
      </c>
      <c r="D663" s="26" t="s">
        <v>448</v>
      </c>
    </row>
    <row r="664" spans="1:4">
      <c r="A664" s="5">
        <f t="shared" si="10"/>
        <v>44859</v>
      </c>
      <c r="B664" s="26" t="s">
        <v>488</v>
      </c>
      <c r="C664" s="47">
        <v>44835</v>
      </c>
      <c r="D664" s="26" t="s">
        <v>449</v>
      </c>
    </row>
    <row r="665" spans="1:4">
      <c r="A665" s="5">
        <f t="shared" si="10"/>
        <v>44860</v>
      </c>
      <c r="B665" s="26" t="s">
        <v>488</v>
      </c>
      <c r="C665" s="47">
        <v>44835</v>
      </c>
      <c r="D665" s="26" t="s">
        <v>441</v>
      </c>
    </row>
    <row r="666" spans="1:4">
      <c r="A666" s="5">
        <f t="shared" si="10"/>
        <v>44861</v>
      </c>
      <c r="B666" s="26" t="s">
        <v>488</v>
      </c>
      <c r="C666" s="47">
        <v>44835</v>
      </c>
      <c r="D666" s="26" t="s">
        <v>443</v>
      </c>
    </row>
    <row r="667" spans="1:4">
      <c r="A667" s="5">
        <f t="shared" si="10"/>
        <v>44862</v>
      </c>
      <c r="B667" s="26" t="s">
        <v>488</v>
      </c>
      <c r="C667" s="47">
        <v>44835</v>
      </c>
      <c r="D667" s="26" t="s">
        <v>444</v>
      </c>
    </row>
    <row r="668" spans="1:4">
      <c r="A668" s="5">
        <f t="shared" si="10"/>
        <v>44863</v>
      </c>
      <c r="B668" s="26" t="s">
        <v>488</v>
      </c>
      <c r="C668" s="47">
        <v>44835</v>
      </c>
      <c r="D668" s="26" t="s">
        <v>445</v>
      </c>
    </row>
    <row r="669" spans="1:4">
      <c r="A669" s="5">
        <f t="shared" si="10"/>
        <v>44864</v>
      </c>
      <c r="B669" s="26" t="s">
        <v>489</v>
      </c>
      <c r="C669" s="47">
        <v>44835</v>
      </c>
      <c r="D669" s="26" t="s">
        <v>447</v>
      </c>
    </row>
    <row r="670" spans="1:4">
      <c r="A670" s="5">
        <f t="shared" si="10"/>
        <v>44865</v>
      </c>
      <c r="B670" s="26" t="s">
        <v>489</v>
      </c>
      <c r="C670" s="47">
        <v>44835</v>
      </c>
      <c r="D670" s="26" t="s">
        <v>448</v>
      </c>
    </row>
    <row r="671" spans="1:4">
      <c r="A671" s="5">
        <f t="shared" si="10"/>
        <v>44866</v>
      </c>
      <c r="B671" s="26" t="s">
        <v>489</v>
      </c>
      <c r="C671" s="47">
        <v>44866</v>
      </c>
      <c r="D671" s="26" t="s">
        <v>449</v>
      </c>
    </row>
    <row r="672" spans="1:4">
      <c r="A672" s="5">
        <f t="shared" si="10"/>
        <v>44867</v>
      </c>
      <c r="B672" s="26" t="s">
        <v>489</v>
      </c>
      <c r="C672" s="47">
        <v>44866</v>
      </c>
      <c r="D672" s="26" t="s">
        <v>441</v>
      </c>
    </row>
    <row r="673" spans="1:4">
      <c r="A673" s="5">
        <f t="shared" si="10"/>
        <v>44868</v>
      </c>
      <c r="B673" s="26" t="s">
        <v>489</v>
      </c>
      <c r="C673" s="47">
        <v>44866</v>
      </c>
      <c r="D673" s="26" t="s">
        <v>443</v>
      </c>
    </row>
    <row r="674" spans="1:4">
      <c r="A674" s="5">
        <f t="shared" si="10"/>
        <v>44869</v>
      </c>
      <c r="B674" s="26" t="s">
        <v>489</v>
      </c>
      <c r="C674" s="47">
        <v>44866</v>
      </c>
      <c r="D674" s="26" t="s">
        <v>444</v>
      </c>
    </row>
    <row r="675" spans="1:4">
      <c r="A675" s="5">
        <f t="shared" si="10"/>
        <v>44870</v>
      </c>
      <c r="B675" s="26" t="s">
        <v>489</v>
      </c>
      <c r="C675" s="47">
        <v>44866</v>
      </c>
      <c r="D675" s="26" t="s">
        <v>445</v>
      </c>
    </row>
    <row r="676" spans="1:4">
      <c r="A676" s="5">
        <f t="shared" si="10"/>
        <v>44871</v>
      </c>
      <c r="B676" s="26" t="s">
        <v>490</v>
      </c>
      <c r="C676" s="47">
        <v>44866</v>
      </c>
      <c r="D676" s="26" t="s">
        <v>447</v>
      </c>
    </row>
    <row r="677" spans="1:4">
      <c r="A677" s="5">
        <f t="shared" si="10"/>
        <v>44872</v>
      </c>
      <c r="B677" s="26" t="s">
        <v>490</v>
      </c>
      <c r="C677" s="47">
        <v>44866</v>
      </c>
      <c r="D677" s="26" t="s">
        <v>448</v>
      </c>
    </row>
    <row r="678" spans="1:4">
      <c r="A678" s="5">
        <f t="shared" si="10"/>
        <v>44873</v>
      </c>
      <c r="B678" s="26" t="s">
        <v>490</v>
      </c>
      <c r="C678" s="47">
        <v>44866</v>
      </c>
      <c r="D678" s="26" t="s">
        <v>449</v>
      </c>
    </row>
    <row r="679" spans="1:4">
      <c r="A679" s="5">
        <f t="shared" si="10"/>
        <v>44874</v>
      </c>
      <c r="B679" s="26" t="s">
        <v>490</v>
      </c>
      <c r="C679" s="47">
        <v>44866</v>
      </c>
      <c r="D679" s="26" t="s">
        <v>441</v>
      </c>
    </row>
    <row r="680" spans="1:4">
      <c r="A680" s="5">
        <f t="shared" si="10"/>
        <v>44875</v>
      </c>
      <c r="B680" s="26" t="s">
        <v>490</v>
      </c>
      <c r="C680" s="47">
        <v>44866</v>
      </c>
      <c r="D680" s="26" t="s">
        <v>443</v>
      </c>
    </row>
    <row r="681" spans="1:4">
      <c r="A681" s="5">
        <f t="shared" si="10"/>
        <v>44876</v>
      </c>
      <c r="B681" s="26" t="s">
        <v>490</v>
      </c>
      <c r="C681" s="47">
        <v>44866</v>
      </c>
      <c r="D681" s="26" t="s">
        <v>444</v>
      </c>
    </row>
    <row r="682" spans="1:4">
      <c r="A682" s="5">
        <f t="shared" si="10"/>
        <v>44877</v>
      </c>
      <c r="B682" s="26" t="s">
        <v>490</v>
      </c>
      <c r="C682" s="47">
        <v>44866</v>
      </c>
      <c r="D682" s="26" t="s">
        <v>445</v>
      </c>
    </row>
    <row r="683" spans="1:4">
      <c r="A683" s="5">
        <f t="shared" si="10"/>
        <v>44878</v>
      </c>
      <c r="B683" s="26" t="s">
        <v>491</v>
      </c>
      <c r="C683" s="47">
        <v>44866</v>
      </c>
      <c r="D683" s="26" t="s">
        <v>447</v>
      </c>
    </row>
    <row r="684" spans="1:4">
      <c r="A684" s="5">
        <f t="shared" si="10"/>
        <v>44879</v>
      </c>
      <c r="B684" s="26" t="s">
        <v>491</v>
      </c>
      <c r="C684" s="47">
        <v>44866</v>
      </c>
      <c r="D684" s="26" t="s">
        <v>448</v>
      </c>
    </row>
    <row r="685" spans="1:4">
      <c r="A685" s="5">
        <f t="shared" si="10"/>
        <v>44880</v>
      </c>
      <c r="B685" s="26" t="s">
        <v>491</v>
      </c>
      <c r="C685" s="47">
        <v>44866</v>
      </c>
      <c r="D685" s="26" t="s">
        <v>449</v>
      </c>
    </row>
    <row r="686" spans="1:4">
      <c r="A686" s="5">
        <f t="shared" si="10"/>
        <v>44881</v>
      </c>
      <c r="B686" s="26" t="s">
        <v>491</v>
      </c>
      <c r="C686" s="47">
        <v>44866</v>
      </c>
      <c r="D686" s="26" t="s">
        <v>441</v>
      </c>
    </row>
    <row r="687" spans="1:4">
      <c r="A687" s="5">
        <f t="shared" si="10"/>
        <v>44882</v>
      </c>
      <c r="B687" s="26" t="s">
        <v>491</v>
      </c>
      <c r="C687" s="47">
        <v>44866</v>
      </c>
      <c r="D687" s="26" t="s">
        <v>443</v>
      </c>
    </row>
    <row r="688" spans="1:4">
      <c r="A688" s="5">
        <f t="shared" si="10"/>
        <v>44883</v>
      </c>
      <c r="B688" s="26" t="s">
        <v>491</v>
      </c>
      <c r="C688" s="47">
        <v>44866</v>
      </c>
      <c r="D688" s="26" t="s">
        <v>444</v>
      </c>
    </row>
    <row r="689" spans="1:4">
      <c r="A689" s="5">
        <f t="shared" si="10"/>
        <v>44884</v>
      </c>
      <c r="B689" s="26" t="s">
        <v>491</v>
      </c>
      <c r="C689" s="47">
        <v>44866</v>
      </c>
      <c r="D689" s="26" t="s">
        <v>445</v>
      </c>
    </row>
    <row r="690" spans="1:4">
      <c r="A690" s="5">
        <f t="shared" si="10"/>
        <v>44885</v>
      </c>
      <c r="B690" s="26" t="s">
        <v>492</v>
      </c>
      <c r="C690" s="47">
        <v>44866</v>
      </c>
      <c r="D690" s="26" t="s">
        <v>447</v>
      </c>
    </row>
    <row r="691" spans="1:4">
      <c r="A691" s="5">
        <f t="shared" si="10"/>
        <v>44886</v>
      </c>
      <c r="B691" s="26" t="s">
        <v>492</v>
      </c>
      <c r="C691" s="47">
        <v>44866</v>
      </c>
      <c r="D691" s="26" t="s">
        <v>448</v>
      </c>
    </row>
    <row r="692" spans="1:4">
      <c r="A692" s="5">
        <f t="shared" si="10"/>
        <v>44887</v>
      </c>
      <c r="B692" s="26" t="s">
        <v>492</v>
      </c>
      <c r="C692" s="47">
        <v>44866</v>
      </c>
      <c r="D692" s="26" t="s">
        <v>449</v>
      </c>
    </row>
    <row r="693" spans="1:4">
      <c r="A693" s="5">
        <f t="shared" si="10"/>
        <v>44888</v>
      </c>
      <c r="B693" s="26" t="s">
        <v>492</v>
      </c>
      <c r="C693" s="47">
        <v>44866</v>
      </c>
      <c r="D693" s="26" t="s">
        <v>441</v>
      </c>
    </row>
    <row r="694" spans="1:4">
      <c r="A694" s="5">
        <f t="shared" si="10"/>
        <v>44889</v>
      </c>
      <c r="B694" s="26" t="s">
        <v>492</v>
      </c>
      <c r="C694" s="47">
        <v>44866</v>
      </c>
      <c r="D694" s="26" t="s">
        <v>443</v>
      </c>
    </row>
    <row r="695" spans="1:4">
      <c r="A695" s="5">
        <f t="shared" si="10"/>
        <v>44890</v>
      </c>
      <c r="B695" s="26" t="s">
        <v>492</v>
      </c>
      <c r="C695" s="47">
        <v>44866</v>
      </c>
      <c r="D695" s="26" t="s">
        <v>444</v>
      </c>
    </row>
    <row r="696" spans="1:4">
      <c r="A696" s="5">
        <f t="shared" si="10"/>
        <v>44891</v>
      </c>
      <c r="B696" s="26" t="s">
        <v>492</v>
      </c>
      <c r="C696" s="47">
        <v>44866</v>
      </c>
      <c r="D696" s="26" t="s">
        <v>445</v>
      </c>
    </row>
    <row r="697" spans="1:4">
      <c r="A697" s="5">
        <f t="shared" si="10"/>
        <v>44892</v>
      </c>
      <c r="B697" s="26" t="s">
        <v>493</v>
      </c>
      <c r="C697" s="47">
        <v>44866</v>
      </c>
      <c r="D697" s="26" t="s">
        <v>447</v>
      </c>
    </row>
    <row r="698" spans="1:4">
      <c r="A698" s="5">
        <f t="shared" si="10"/>
        <v>44893</v>
      </c>
      <c r="B698" s="26" t="s">
        <v>493</v>
      </c>
      <c r="C698" s="47">
        <v>44866</v>
      </c>
      <c r="D698" s="26" t="s">
        <v>448</v>
      </c>
    </row>
    <row r="699" spans="1:4">
      <c r="A699" s="5">
        <f t="shared" si="10"/>
        <v>44894</v>
      </c>
      <c r="B699" s="26" t="s">
        <v>493</v>
      </c>
      <c r="C699" s="47">
        <v>44866</v>
      </c>
      <c r="D699" s="26" t="s">
        <v>449</v>
      </c>
    </row>
    <row r="700" spans="1:4">
      <c r="A700" s="5">
        <f t="shared" si="10"/>
        <v>44895</v>
      </c>
      <c r="B700" s="26" t="s">
        <v>493</v>
      </c>
      <c r="C700" s="47">
        <v>44866</v>
      </c>
      <c r="D700" s="26" t="s">
        <v>441</v>
      </c>
    </row>
    <row r="701" spans="1:4">
      <c r="A701" s="5">
        <f t="shared" si="10"/>
        <v>44896</v>
      </c>
      <c r="B701" s="26" t="s">
        <v>493</v>
      </c>
      <c r="C701" s="47">
        <v>44896</v>
      </c>
      <c r="D701" s="26" t="s">
        <v>443</v>
      </c>
    </row>
    <row r="702" spans="1:4">
      <c r="A702" s="5">
        <f t="shared" si="10"/>
        <v>44897</v>
      </c>
      <c r="B702" s="26" t="s">
        <v>493</v>
      </c>
      <c r="C702" s="47">
        <v>44896</v>
      </c>
      <c r="D702" s="26" t="s">
        <v>444</v>
      </c>
    </row>
    <row r="703" spans="1:4">
      <c r="A703" s="5">
        <f t="shared" si="10"/>
        <v>44898</v>
      </c>
      <c r="B703" s="26" t="s">
        <v>493</v>
      </c>
      <c r="C703" s="47">
        <v>44896</v>
      </c>
      <c r="D703" s="26" t="s">
        <v>445</v>
      </c>
    </row>
    <row r="704" spans="1:4">
      <c r="A704" s="5">
        <f t="shared" si="10"/>
        <v>44899</v>
      </c>
      <c r="B704" s="26" t="s">
        <v>494</v>
      </c>
      <c r="C704" s="47">
        <v>44896</v>
      </c>
      <c r="D704" s="26" t="s">
        <v>447</v>
      </c>
    </row>
    <row r="705" spans="1:4">
      <c r="A705" s="5">
        <f t="shared" si="10"/>
        <v>44900</v>
      </c>
      <c r="B705" s="26" t="s">
        <v>494</v>
      </c>
      <c r="C705" s="47">
        <v>44896</v>
      </c>
      <c r="D705" s="26" t="s">
        <v>448</v>
      </c>
    </row>
    <row r="706" spans="1:4">
      <c r="A706" s="5">
        <f t="shared" si="10"/>
        <v>44901</v>
      </c>
      <c r="B706" s="26" t="s">
        <v>494</v>
      </c>
      <c r="C706" s="47">
        <v>44896</v>
      </c>
      <c r="D706" s="26" t="s">
        <v>449</v>
      </c>
    </row>
    <row r="707" spans="1:4">
      <c r="A707" s="5">
        <f t="shared" si="10"/>
        <v>44902</v>
      </c>
      <c r="B707" s="26" t="s">
        <v>494</v>
      </c>
      <c r="C707" s="47">
        <v>44896</v>
      </c>
      <c r="D707" s="26" t="s">
        <v>441</v>
      </c>
    </row>
    <row r="708" spans="1:4">
      <c r="A708" s="5">
        <f t="shared" ref="A708:A731" si="11">A707+1</f>
        <v>44903</v>
      </c>
      <c r="B708" s="26" t="s">
        <v>494</v>
      </c>
      <c r="C708" s="47">
        <v>44896</v>
      </c>
      <c r="D708" s="26" t="s">
        <v>443</v>
      </c>
    </row>
    <row r="709" spans="1:4">
      <c r="A709" s="5">
        <f t="shared" si="11"/>
        <v>44904</v>
      </c>
      <c r="B709" s="26" t="s">
        <v>494</v>
      </c>
      <c r="C709" s="47">
        <v>44896</v>
      </c>
      <c r="D709" s="26" t="s">
        <v>444</v>
      </c>
    </row>
    <row r="710" spans="1:4">
      <c r="A710" s="5">
        <f t="shared" si="11"/>
        <v>44905</v>
      </c>
      <c r="B710" s="26" t="s">
        <v>494</v>
      </c>
      <c r="C710" s="47">
        <v>44896</v>
      </c>
      <c r="D710" s="26" t="s">
        <v>445</v>
      </c>
    </row>
    <row r="711" spans="1:4">
      <c r="A711" s="5">
        <f t="shared" si="11"/>
        <v>44906</v>
      </c>
      <c r="B711" s="26" t="s">
        <v>495</v>
      </c>
      <c r="C711" s="47">
        <v>44896</v>
      </c>
      <c r="D711" s="26" t="s">
        <v>447</v>
      </c>
    </row>
    <row r="712" spans="1:4">
      <c r="A712" s="5">
        <f t="shared" si="11"/>
        <v>44907</v>
      </c>
      <c r="B712" s="26" t="s">
        <v>495</v>
      </c>
      <c r="C712" s="47">
        <v>44896</v>
      </c>
      <c r="D712" s="26" t="s">
        <v>448</v>
      </c>
    </row>
    <row r="713" spans="1:4">
      <c r="A713" s="5">
        <f t="shared" si="11"/>
        <v>44908</v>
      </c>
      <c r="B713" s="26" t="s">
        <v>495</v>
      </c>
      <c r="C713" s="47">
        <v>44896</v>
      </c>
      <c r="D713" s="26" t="s">
        <v>449</v>
      </c>
    </row>
    <row r="714" spans="1:4">
      <c r="A714" s="5">
        <f t="shared" si="11"/>
        <v>44909</v>
      </c>
      <c r="B714" s="26" t="s">
        <v>495</v>
      </c>
      <c r="C714" s="47">
        <v>44896</v>
      </c>
      <c r="D714" s="26" t="s">
        <v>441</v>
      </c>
    </row>
    <row r="715" spans="1:4">
      <c r="A715" s="5">
        <f t="shared" si="11"/>
        <v>44910</v>
      </c>
      <c r="B715" s="26" t="s">
        <v>495</v>
      </c>
      <c r="C715" s="47">
        <v>44896</v>
      </c>
      <c r="D715" s="26" t="s">
        <v>443</v>
      </c>
    </row>
    <row r="716" spans="1:4">
      <c r="A716" s="5">
        <f t="shared" si="11"/>
        <v>44911</v>
      </c>
      <c r="B716" s="26" t="s">
        <v>495</v>
      </c>
      <c r="C716" s="47">
        <v>44896</v>
      </c>
      <c r="D716" s="26" t="s">
        <v>444</v>
      </c>
    </row>
    <row r="717" spans="1:4">
      <c r="A717" s="5">
        <f t="shared" si="11"/>
        <v>44912</v>
      </c>
      <c r="B717" s="26" t="s">
        <v>495</v>
      </c>
      <c r="C717" s="47">
        <v>44896</v>
      </c>
      <c r="D717" s="26" t="s">
        <v>445</v>
      </c>
    </row>
    <row r="718" spans="1:4">
      <c r="A718" s="5">
        <f t="shared" si="11"/>
        <v>44913</v>
      </c>
      <c r="B718" s="26" t="s">
        <v>496</v>
      </c>
      <c r="C718" s="47">
        <v>44896</v>
      </c>
      <c r="D718" s="26" t="s">
        <v>447</v>
      </c>
    </row>
    <row r="719" spans="1:4">
      <c r="A719" s="5">
        <f t="shared" si="11"/>
        <v>44914</v>
      </c>
      <c r="B719" s="26" t="s">
        <v>496</v>
      </c>
      <c r="C719" s="47">
        <v>44896</v>
      </c>
      <c r="D719" s="26" t="s">
        <v>448</v>
      </c>
    </row>
    <row r="720" spans="1:4">
      <c r="A720" s="5">
        <f t="shared" si="11"/>
        <v>44915</v>
      </c>
      <c r="B720" s="26" t="s">
        <v>496</v>
      </c>
      <c r="C720" s="47">
        <v>44896</v>
      </c>
      <c r="D720" s="26" t="s">
        <v>449</v>
      </c>
    </row>
    <row r="721" spans="1:4">
      <c r="A721" s="5">
        <f t="shared" si="11"/>
        <v>44916</v>
      </c>
      <c r="B721" s="26" t="s">
        <v>496</v>
      </c>
      <c r="C721" s="47">
        <v>44896</v>
      </c>
      <c r="D721" s="26" t="s">
        <v>441</v>
      </c>
    </row>
    <row r="722" spans="1:4">
      <c r="A722" s="5">
        <f t="shared" si="11"/>
        <v>44917</v>
      </c>
      <c r="B722" s="26" t="s">
        <v>496</v>
      </c>
      <c r="C722" s="47">
        <v>44896</v>
      </c>
      <c r="D722" s="26" t="s">
        <v>443</v>
      </c>
    </row>
    <row r="723" spans="1:4">
      <c r="A723" s="5">
        <f t="shared" si="11"/>
        <v>44918</v>
      </c>
      <c r="B723" s="26" t="s">
        <v>496</v>
      </c>
      <c r="C723" s="47">
        <v>44896</v>
      </c>
      <c r="D723" s="26" t="s">
        <v>444</v>
      </c>
    </row>
    <row r="724" spans="1:4">
      <c r="A724" s="5">
        <f t="shared" si="11"/>
        <v>44919</v>
      </c>
      <c r="B724" s="26" t="s">
        <v>496</v>
      </c>
      <c r="C724" s="47">
        <v>44896</v>
      </c>
      <c r="D724" s="26" t="s">
        <v>445</v>
      </c>
    </row>
    <row r="725" spans="1:4">
      <c r="A725" s="5">
        <f t="shared" si="11"/>
        <v>44920</v>
      </c>
      <c r="B725" s="26" t="s">
        <v>497</v>
      </c>
      <c r="C725" s="47">
        <v>44896</v>
      </c>
      <c r="D725" s="26" t="s">
        <v>447</v>
      </c>
    </row>
    <row r="726" spans="1:4">
      <c r="A726" s="5">
        <f t="shared" si="11"/>
        <v>44921</v>
      </c>
      <c r="B726" s="26" t="s">
        <v>497</v>
      </c>
      <c r="C726" s="47">
        <v>44896</v>
      </c>
      <c r="D726" s="26" t="s">
        <v>448</v>
      </c>
    </row>
    <row r="727" spans="1:4">
      <c r="A727" s="5">
        <f t="shared" si="11"/>
        <v>44922</v>
      </c>
      <c r="B727" s="26" t="s">
        <v>497</v>
      </c>
      <c r="C727" s="47">
        <v>44896</v>
      </c>
      <c r="D727" s="26" t="s">
        <v>449</v>
      </c>
    </row>
    <row r="728" spans="1:4">
      <c r="A728" s="5">
        <f t="shared" si="11"/>
        <v>44923</v>
      </c>
      <c r="B728" s="26" t="s">
        <v>497</v>
      </c>
      <c r="C728" s="47">
        <v>44896</v>
      </c>
      <c r="D728" s="26" t="s">
        <v>441</v>
      </c>
    </row>
    <row r="729" spans="1:4">
      <c r="A729" s="5">
        <f t="shared" si="11"/>
        <v>44924</v>
      </c>
      <c r="B729" s="26" t="s">
        <v>497</v>
      </c>
      <c r="C729" s="47">
        <v>44896</v>
      </c>
      <c r="D729" s="26" t="s">
        <v>443</v>
      </c>
    </row>
    <row r="730" spans="1:4">
      <c r="A730" s="5">
        <f t="shared" si="11"/>
        <v>44925</v>
      </c>
      <c r="B730" s="26" t="s">
        <v>497</v>
      </c>
      <c r="C730" s="47">
        <v>44896</v>
      </c>
      <c r="D730" s="26" t="s">
        <v>444</v>
      </c>
    </row>
    <row r="731" spans="1:4">
      <c r="A731" s="5">
        <f t="shared" si="11"/>
        <v>44926</v>
      </c>
      <c r="B731" s="26" t="s">
        <v>497</v>
      </c>
      <c r="C731" s="47">
        <v>44896</v>
      </c>
      <c r="D731" s="26" t="s">
        <v>445</v>
      </c>
    </row>
    <row r="732" spans="1:4">
      <c r="A732" s="5">
        <v>44927</v>
      </c>
      <c r="B732" s="26" t="s">
        <v>442</v>
      </c>
      <c r="C732" s="47">
        <v>44927</v>
      </c>
      <c r="D732" s="26" t="s">
        <v>447</v>
      </c>
    </row>
    <row r="733" spans="1:4">
      <c r="A733" s="5">
        <v>44928</v>
      </c>
      <c r="B733" s="26" t="s">
        <v>442</v>
      </c>
      <c r="C733" s="47">
        <v>44927</v>
      </c>
      <c r="D733" s="26" t="s">
        <v>448</v>
      </c>
    </row>
    <row r="734" spans="1:4">
      <c r="A734" s="5">
        <v>44929</v>
      </c>
      <c r="B734" s="26" t="s">
        <v>442</v>
      </c>
      <c r="C734" s="47">
        <v>44927</v>
      </c>
      <c r="D734" s="26" t="s">
        <v>449</v>
      </c>
    </row>
    <row r="735" spans="1:4">
      <c r="A735" s="5">
        <v>44930</v>
      </c>
      <c r="B735" s="26" t="s">
        <v>442</v>
      </c>
      <c r="C735" s="47">
        <v>44927</v>
      </c>
      <c r="D735" s="26" t="s">
        <v>441</v>
      </c>
    </row>
    <row r="736" spans="1:4">
      <c r="A736" s="5">
        <v>44931</v>
      </c>
      <c r="B736" s="26" t="s">
        <v>442</v>
      </c>
      <c r="C736" s="47">
        <v>44927</v>
      </c>
      <c r="D736" s="26" t="s">
        <v>443</v>
      </c>
    </row>
    <row r="737" spans="1:4">
      <c r="A737" s="5">
        <v>44932</v>
      </c>
      <c r="B737" s="26" t="s">
        <v>442</v>
      </c>
      <c r="C737" s="47">
        <v>44927</v>
      </c>
      <c r="D737" s="26" t="s">
        <v>444</v>
      </c>
    </row>
    <row r="738" spans="1:4">
      <c r="A738" s="5">
        <v>44933</v>
      </c>
      <c r="B738" s="26" t="s">
        <v>442</v>
      </c>
      <c r="C738" s="47">
        <v>44927</v>
      </c>
      <c r="D738" s="26" t="s">
        <v>445</v>
      </c>
    </row>
    <row r="739" spans="1:4">
      <c r="A739" s="5">
        <v>44934</v>
      </c>
      <c r="B739" s="26" t="s">
        <v>446</v>
      </c>
      <c r="C739" s="47">
        <v>44927</v>
      </c>
      <c r="D739" s="26" t="s">
        <v>447</v>
      </c>
    </row>
    <row r="740" spans="1:4">
      <c r="A740" s="5">
        <v>44935</v>
      </c>
      <c r="B740" s="26" t="s">
        <v>446</v>
      </c>
      <c r="C740" s="47">
        <v>44927</v>
      </c>
      <c r="D740" s="26" t="s">
        <v>448</v>
      </c>
    </row>
    <row r="741" spans="1:4">
      <c r="A741" s="5">
        <v>44936</v>
      </c>
      <c r="B741" s="26" t="s">
        <v>446</v>
      </c>
      <c r="C741" s="47">
        <v>44927</v>
      </c>
      <c r="D741" s="26" t="s">
        <v>449</v>
      </c>
    </row>
    <row r="742" spans="1:4">
      <c r="A742" s="5">
        <v>44937</v>
      </c>
      <c r="B742" s="26" t="s">
        <v>446</v>
      </c>
      <c r="C742" s="47">
        <v>44927</v>
      </c>
      <c r="D742" s="26" t="s">
        <v>441</v>
      </c>
    </row>
    <row r="743" spans="1:4">
      <c r="A743" s="5">
        <v>44938</v>
      </c>
      <c r="B743" s="26" t="s">
        <v>446</v>
      </c>
      <c r="C743" s="47">
        <v>44927</v>
      </c>
      <c r="D743" s="26" t="s">
        <v>443</v>
      </c>
    </row>
    <row r="744" spans="1:4">
      <c r="A744" s="5">
        <v>44939</v>
      </c>
      <c r="B744" s="26" t="s">
        <v>446</v>
      </c>
      <c r="C744" s="47">
        <v>44927</v>
      </c>
      <c r="D744" s="26" t="s">
        <v>444</v>
      </c>
    </row>
    <row r="745" spans="1:4">
      <c r="A745" s="5">
        <v>44940</v>
      </c>
      <c r="B745" s="26" t="s">
        <v>446</v>
      </c>
      <c r="C745" s="47">
        <v>44927</v>
      </c>
      <c r="D745" s="26" t="s">
        <v>445</v>
      </c>
    </row>
    <row r="746" spans="1:4">
      <c r="A746" s="5">
        <v>44941</v>
      </c>
      <c r="B746" s="26" t="s">
        <v>450</v>
      </c>
      <c r="C746" s="47">
        <v>44927</v>
      </c>
      <c r="D746" s="26" t="s">
        <v>447</v>
      </c>
    </row>
    <row r="747" spans="1:4">
      <c r="A747" s="5">
        <v>44942</v>
      </c>
      <c r="B747" s="26" t="s">
        <v>450</v>
      </c>
      <c r="C747" s="47">
        <v>44927</v>
      </c>
      <c r="D747" s="26" t="s">
        <v>448</v>
      </c>
    </row>
    <row r="748" spans="1:4">
      <c r="A748" s="5">
        <v>44943</v>
      </c>
      <c r="B748" s="26" t="s">
        <v>450</v>
      </c>
      <c r="C748" s="47">
        <v>44927</v>
      </c>
      <c r="D748" s="26" t="s">
        <v>449</v>
      </c>
    </row>
    <row r="749" spans="1:4">
      <c r="A749" s="5">
        <v>44944</v>
      </c>
      <c r="B749" s="26" t="s">
        <v>450</v>
      </c>
      <c r="C749" s="47">
        <v>44927</v>
      </c>
      <c r="D749" s="26" t="s">
        <v>441</v>
      </c>
    </row>
    <row r="750" spans="1:4">
      <c r="A750" s="5">
        <v>44945</v>
      </c>
      <c r="B750" s="26" t="s">
        <v>450</v>
      </c>
      <c r="C750" s="47">
        <v>44927</v>
      </c>
      <c r="D750" s="26" t="s">
        <v>443</v>
      </c>
    </row>
    <row r="751" spans="1:4">
      <c r="A751" s="5">
        <v>44946</v>
      </c>
      <c r="B751" s="26" t="s">
        <v>450</v>
      </c>
      <c r="C751" s="47">
        <v>44927</v>
      </c>
      <c r="D751" s="26" t="s">
        <v>444</v>
      </c>
    </row>
    <row r="752" spans="1:4">
      <c r="A752" s="5">
        <v>44947</v>
      </c>
      <c r="B752" s="26" t="s">
        <v>450</v>
      </c>
      <c r="C752" s="47">
        <v>44927</v>
      </c>
      <c r="D752" s="26" t="s">
        <v>445</v>
      </c>
    </row>
    <row r="753" spans="1:4">
      <c r="A753" s="5">
        <v>44948</v>
      </c>
      <c r="B753" s="26" t="s">
        <v>451</v>
      </c>
      <c r="C753" s="47">
        <v>44927</v>
      </c>
      <c r="D753" s="26" t="s">
        <v>447</v>
      </c>
    </row>
    <row r="754" spans="1:4">
      <c r="A754" s="5">
        <v>44949</v>
      </c>
      <c r="B754" s="26" t="s">
        <v>451</v>
      </c>
      <c r="C754" s="47">
        <v>44927</v>
      </c>
      <c r="D754" s="26" t="s">
        <v>448</v>
      </c>
    </row>
    <row r="755" spans="1:4">
      <c r="A755" s="5">
        <v>44950</v>
      </c>
      <c r="B755" s="26" t="s">
        <v>451</v>
      </c>
      <c r="C755" s="47">
        <v>44927</v>
      </c>
      <c r="D755" s="26" t="s">
        <v>449</v>
      </c>
    </row>
    <row r="756" spans="1:4">
      <c r="A756" s="5">
        <v>44951</v>
      </c>
      <c r="B756" s="26" t="s">
        <v>451</v>
      </c>
      <c r="C756" s="47">
        <v>44927</v>
      </c>
      <c r="D756" s="26" t="s">
        <v>441</v>
      </c>
    </row>
    <row r="757" spans="1:4">
      <c r="A757" s="5">
        <v>44952</v>
      </c>
      <c r="B757" s="26" t="s">
        <v>451</v>
      </c>
      <c r="C757" s="47">
        <v>44927</v>
      </c>
      <c r="D757" s="26" t="s">
        <v>443</v>
      </c>
    </row>
    <row r="758" spans="1:4">
      <c r="A758" s="5">
        <v>44953</v>
      </c>
      <c r="B758" s="26" t="s">
        <v>451</v>
      </c>
      <c r="C758" s="47">
        <v>44927</v>
      </c>
      <c r="D758" s="26" t="s">
        <v>444</v>
      </c>
    </row>
    <row r="759" spans="1:4">
      <c r="A759" s="5">
        <v>44954</v>
      </c>
      <c r="B759" s="26" t="s">
        <v>451</v>
      </c>
      <c r="C759" s="47">
        <v>44927</v>
      </c>
      <c r="D759" s="26" t="s">
        <v>445</v>
      </c>
    </row>
    <row r="760" spans="1:4">
      <c r="A760" s="5">
        <v>44955</v>
      </c>
      <c r="B760" s="26" t="s">
        <v>452</v>
      </c>
      <c r="C760" s="47">
        <v>44927</v>
      </c>
      <c r="D760" s="26" t="s">
        <v>447</v>
      </c>
    </row>
    <row r="761" spans="1:4">
      <c r="A761" s="5">
        <v>44956</v>
      </c>
      <c r="B761" s="26" t="s">
        <v>452</v>
      </c>
      <c r="C761" s="47">
        <v>44927</v>
      </c>
      <c r="D761" s="26" t="s">
        <v>448</v>
      </c>
    </row>
    <row r="762" spans="1:4">
      <c r="A762" s="5">
        <v>44957</v>
      </c>
      <c r="B762" s="26" t="s">
        <v>452</v>
      </c>
      <c r="C762" s="47">
        <v>44927</v>
      </c>
      <c r="D762" s="26" t="s">
        <v>449</v>
      </c>
    </row>
    <row r="763" spans="1:4">
      <c r="A763" s="5">
        <v>44958</v>
      </c>
      <c r="B763" s="26" t="s">
        <v>452</v>
      </c>
      <c r="C763" s="47">
        <v>44958</v>
      </c>
      <c r="D763" s="26" t="s">
        <v>441</v>
      </c>
    </row>
    <row r="764" spans="1:4">
      <c r="A764" s="5">
        <v>44959</v>
      </c>
      <c r="B764" s="26" t="s">
        <v>452</v>
      </c>
      <c r="C764" s="47">
        <v>44958</v>
      </c>
      <c r="D764" s="26" t="s">
        <v>443</v>
      </c>
    </row>
    <row r="765" spans="1:4">
      <c r="A765" s="5">
        <v>44960</v>
      </c>
      <c r="B765" s="26" t="s">
        <v>452</v>
      </c>
      <c r="C765" s="47">
        <v>44958</v>
      </c>
      <c r="D765" s="26" t="s">
        <v>444</v>
      </c>
    </row>
    <row r="766" spans="1:4">
      <c r="A766" s="5">
        <v>44961</v>
      </c>
      <c r="B766" s="26" t="s">
        <v>452</v>
      </c>
      <c r="C766" s="47">
        <v>44958</v>
      </c>
      <c r="D766" s="26" t="s">
        <v>445</v>
      </c>
    </row>
    <row r="767" spans="1:4">
      <c r="A767" s="5">
        <v>44962</v>
      </c>
      <c r="B767" s="26" t="s">
        <v>453</v>
      </c>
      <c r="C767" s="47">
        <v>44958</v>
      </c>
      <c r="D767" s="26" t="s">
        <v>447</v>
      </c>
    </row>
    <row r="768" spans="1:4">
      <c r="A768" s="5">
        <v>44963</v>
      </c>
      <c r="B768" s="26" t="s">
        <v>453</v>
      </c>
      <c r="C768" s="47">
        <v>44958</v>
      </c>
      <c r="D768" s="26" t="s">
        <v>448</v>
      </c>
    </row>
    <row r="769" spans="1:4">
      <c r="A769" s="5">
        <v>44964</v>
      </c>
      <c r="B769" s="26" t="s">
        <v>453</v>
      </c>
      <c r="C769" s="47">
        <v>44958</v>
      </c>
      <c r="D769" s="26" t="s">
        <v>449</v>
      </c>
    </row>
    <row r="770" spans="1:4">
      <c r="A770" s="5">
        <v>44965</v>
      </c>
      <c r="B770" s="26" t="s">
        <v>453</v>
      </c>
      <c r="C770" s="47">
        <v>44958</v>
      </c>
      <c r="D770" s="26" t="s">
        <v>441</v>
      </c>
    </row>
    <row r="771" spans="1:4">
      <c r="A771" s="5">
        <v>44966</v>
      </c>
      <c r="B771" s="26" t="s">
        <v>453</v>
      </c>
      <c r="C771" s="47">
        <v>44958</v>
      </c>
      <c r="D771" s="26" t="s">
        <v>443</v>
      </c>
    </row>
    <row r="772" spans="1:4">
      <c r="A772" s="5">
        <v>44967</v>
      </c>
      <c r="B772" s="26" t="s">
        <v>453</v>
      </c>
      <c r="C772" s="47">
        <v>44958</v>
      </c>
      <c r="D772" s="26" t="s">
        <v>444</v>
      </c>
    </row>
    <row r="773" spans="1:4">
      <c r="A773" s="5">
        <v>44968</v>
      </c>
      <c r="B773" s="26" t="s">
        <v>453</v>
      </c>
      <c r="C773" s="47">
        <v>44958</v>
      </c>
      <c r="D773" s="26" t="s">
        <v>445</v>
      </c>
    </row>
    <row r="774" spans="1:4">
      <c r="A774" s="5">
        <v>44969</v>
      </c>
      <c r="B774" s="26" t="s">
        <v>454</v>
      </c>
      <c r="C774" s="47">
        <v>44958</v>
      </c>
      <c r="D774" s="26" t="s">
        <v>447</v>
      </c>
    </row>
    <row r="775" spans="1:4">
      <c r="A775" s="5">
        <v>44970</v>
      </c>
      <c r="B775" s="26" t="s">
        <v>454</v>
      </c>
      <c r="C775" s="47">
        <v>44958</v>
      </c>
      <c r="D775" s="26" t="s">
        <v>448</v>
      </c>
    </row>
    <row r="776" spans="1:4">
      <c r="A776" s="5">
        <v>44971</v>
      </c>
      <c r="B776" s="26" t="s">
        <v>454</v>
      </c>
      <c r="C776" s="47">
        <v>44958</v>
      </c>
      <c r="D776" s="26" t="s">
        <v>449</v>
      </c>
    </row>
    <row r="777" spans="1:4">
      <c r="A777" s="5">
        <v>44972</v>
      </c>
      <c r="B777" s="26" t="s">
        <v>454</v>
      </c>
      <c r="C777" s="47">
        <v>44958</v>
      </c>
      <c r="D777" s="26" t="s">
        <v>441</v>
      </c>
    </row>
    <row r="778" spans="1:4">
      <c r="A778" s="5">
        <v>44973</v>
      </c>
      <c r="B778" s="26" t="s">
        <v>454</v>
      </c>
      <c r="C778" s="47">
        <v>44958</v>
      </c>
      <c r="D778" s="26" t="s">
        <v>443</v>
      </c>
    </row>
    <row r="779" spans="1:4">
      <c r="A779" s="5">
        <v>44974</v>
      </c>
      <c r="B779" s="26" t="s">
        <v>454</v>
      </c>
      <c r="C779" s="47">
        <v>44958</v>
      </c>
      <c r="D779" s="26" t="s">
        <v>444</v>
      </c>
    </row>
    <row r="780" spans="1:4">
      <c r="A780" s="5">
        <v>44975</v>
      </c>
      <c r="B780" s="26" t="s">
        <v>454</v>
      </c>
      <c r="C780" s="47">
        <v>44958</v>
      </c>
      <c r="D780" s="26" t="s">
        <v>445</v>
      </c>
    </row>
    <row r="781" spans="1:4">
      <c r="A781" s="5">
        <v>44976</v>
      </c>
      <c r="B781" s="26" t="s">
        <v>455</v>
      </c>
      <c r="C781" s="47">
        <v>44958</v>
      </c>
      <c r="D781" s="26" t="s">
        <v>447</v>
      </c>
    </row>
    <row r="782" spans="1:4">
      <c r="A782" s="5">
        <v>44977</v>
      </c>
      <c r="B782" s="26" t="s">
        <v>455</v>
      </c>
      <c r="C782" s="47">
        <v>44958</v>
      </c>
      <c r="D782" s="26" t="s">
        <v>448</v>
      </c>
    </row>
    <row r="783" spans="1:4">
      <c r="A783" s="5">
        <v>44978</v>
      </c>
      <c r="B783" s="26" t="s">
        <v>455</v>
      </c>
      <c r="C783" s="47">
        <v>44958</v>
      </c>
      <c r="D783" s="26" t="s">
        <v>449</v>
      </c>
    </row>
    <row r="784" spans="1:4">
      <c r="A784" s="5">
        <v>44979</v>
      </c>
      <c r="B784" s="26" t="s">
        <v>455</v>
      </c>
      <c r="C784" s="47">
        <v>44958</v>
      </c>
      <c r="D784" s="26" t="s">
        <v>441</v>
      </c>
    </row>
    <row r="785" spans="1:4">
      <c r="A785" s="5">
        <v>44980</v>
      </c>
      <c r="B785" s="26" t="s">
        <v>455</v>
      </c>
      <c r="C785" s="47">
        <v>44958</v>
      </c>
      <c r="D785" s="26" t="s">
        <v>443</v>
      </c>
    </row>
    <row r="786" spans="1:4">
      <c r="A786" s="5">
        <v>44981</v>
      </c>
      <c r="B786" s="26" t="s">
        <v>455</v>
      </c>
      <c r="C786" s="47">
        <v>44958</v>
      </c>
      <c r="D786" s="26" t="s">
        <v>444</v>
      </c>
    </row>
    <row r="787" spans="1:4">
      <c r="A787" s="5">
        <v>44982</v>
      </c>
      <c r="B787" s="26" t="s">
        <v>455</v>
      </c>
      <c r="C787" s="47">
        <v>44958</v>
      </c>
      <c r="D787" s="26" t="s">
        <v>445</v>
      </c>
    </row>
    <row r="788" spans="1:4">
      <c r="A788" s="5">
        <v>44983</v>
      </c>
      <c r="B788" s="26" t="s">
        <v>456</v>
      </c>
      <c r="C788" s="47">
        <v>44958</v>
      </c>
      <c r="D788" s="26" t="s">
        <v>447</v>
      </c>
    </row>
    <row r="789" spans="1:4">
      <c r="A789" s="5">
        <v>44984</v>
      </c>
      <c r="B789" s="26" t="s">
        <v>456</v>
      </c>
      <c r="C789" s="47">
        <v>44958</v>
      </c>
      <c r="D789" s="26" t="s">
        <v>448</v>
      </c>
    </row>
    <row r="790" spans="1:4">
      <c r="A790" s="5">
        <v>44985</v>
      </c>
      <c r="B790" s="26" t="s">
        <v>456</v>
      </c>
      <c r="C790" s="47">
        <v>44958</v>
      </c>
      <c r="D790" s="26" t="s">
        <v>449</v>
      </c>
    </row>
    <row r="791" spans="1:4">
      <c r="A791" s="5">
        <v>44986</v>
      </c>
      <c r="B791" s="26" t="s">
        <v>456</v>
      </c>
      <c r="C791" s="47">
        <v>44986</v>
      </c>
      <c r="D791" s="26" t="s">
        <v>441</v>
      </c>
    </row>
    <row r="792" spans="1:4">
      <c r="A792" s="5">
        <v>44987</v>
      </c>
      <c r="B792" s="26" t="s">
        <v>456</v>
      </c>
      <c r="C792" s="47">
        <v>44986</v>
      </c>
      <c r="D792" s="26" t="s">
        <v>443</v>
      </c>
    </row>
    <row r="793" spans="1:4">
      <c r="A793" s="5">
        <v>44988</v>
      </c>
      <c r="B793" s="26" t="s">
        <v>456</v>
      </c>
      <c r="C793" s="47">
        <v>44986</v>
      </c>
      <c r="D793" s="26" t="s">
        <v>444</v>
      </c>
    </row>
    <row r="794" spans="1:4">
      <c r="A794" s="5">
        <v>44989</v>
      </c>
      <c r="B794" s="26" t="s">
        <v>456</v>
      </c>
      <c r="C794" s="47">
        <v>44986</v>
      </c>
      <c r="D794" s="26" t="s">
        <v>445</v>
      </c>
    </row>
    <row r="795" spans="1:4">
      <c r="A795" s="5">
        <v>44990</v>
      </c>
      <c r="B795" s="26" t="s">
        <v>457</v>
      </c>
      <c r="C795" s="47">
        <v>44986</v>
      </c>
      <c r="D795" s="26" t="s">
        <v>447</v>
      </c>
    </row>
    <row r="796" spans="1:4">
      <c r="A796" s="5">
        <v>44991</v>
      </c>
      <c r="B796" s="26" t="s">
        <v>457</v>
      </c>
      <c r="C796" s="47">
        <v>44986</v>
      </c>
      <c r="D796" s="26" t="s">
        <v>448</v>
      </c>
    </row>
    <row r="797" spans="1:4">
      <c r="A797" s="5">
        <v>44992</v>
      </c>
      <c r="B797" s="26" t="s">
        <v>457</v>
      </c>
      <c r="C797" s="47">
        <v>44986</v>
      </c>
      <c r="D797" s="26" t="s">
        <v>449</v>
      </c>
    </row>
    <row r="798" spans="1:4">
      <c r="A798" s="5">
        <v>44993</v>
      </c>
      <c r="B798" s="26" t="s">
        <v>457</v>
      </c>
      <c r="C798" s="47">
        <v>44986</v>
      </c>
      <c r="D798" s="26" t="s">
        <v>441</v>
      </c>
    </row>
    <row r="799" spans="1:4">
      <c r="A799" s="5">
        <v>44994</v>
      </c>
      <c r="B799" s="26" t="s">
        <v>457</v>
      </c>
      <c r="C799" s="47">
        <v>44986</v>
      </c>
      <c r="D799" s="26" t="s">
        <v>443</v>
      </c>
    </row>
    <row r="800" spans="1:4">
      <c r="A800" s="5">
        <v>44995</v>
      </c>
      <c r="B800" s="26" t="s">
        <v>457</v>
      </c>
      <c r="C800" s="47">
        <v>44986</v>
      </c>
      <c r="D800" s="26" t="s">
        <v>444</v>
      </c>
    </row>
    <row r="801" spans="1:4">
      <c r="A801" s="5">
        <v>44996</v>
      </c>
      <c r="B801" s="26" t="s">
        <v>457</v>
      </c>
      <c r="C801" s="47">
        <v>44986</v>
      </c>
      <c r="D801" s="26" t="s">
        <v>445</v>
      </c>
    </row>
    <row r="802" spans="1:4">
      <c r="A802" s="5">
        <v>44997</v>
      </c>
      <c r="B802" s="26" t="s">
        <v>458</v>
      </c>
      <c r="C802" s="47">
        <v>44986</v>
      </c>
      <c r="D802" s="26" t="s">
        <v>447</v>
      </c>
    </row>
    <row r="803" spans="1:4">
      <c r="A803" s="5">
        <v>44998</v>
      </c>
      <c r="B803" s="26" t="s">
        <v>458</v>
      </c>
      <c r="C803" s="47">
        <v>44986</v>
      </c>
      <c r="D803" s="26" t="s">
        <v>448</v>
      </c>
    </row>
    <row r="804" spans="1:4">
      <c r="A804" s="5">
        <v>44999</v>
      </c>
      <c r="B804" s="26" t="s">
        <v>458</v>
      </c>
      <c r="C804" s="47">
        <v>44986</v>
      </c>
      <c r="D804" s="26" t="s">
        <v>449</v>
      </c>
    </row>
    <row r="805" spans="1:4">
      <c r="A805" s="5">
        <v>45000</v>
      </c>
      <c r="B805" s="26" t="s">
        <v>458</v>
      </c>
      <c r="C805" s="47">
        <v>44986</v>
      </c>
      <c r="D805" s="26" t="s">
        <v>441</v>
      </c>
    </row>
    <row r="806" spans="1:4">
      <c r="A806" s="5">
        <v>45001</v>
      </c>
      <c r="B806" s="26" t="s">
        <v>458</v>
      </c>
      <c r="C806" s="47">
        <v>44986</v>
      </c>
      <c r="D806" s="26" t="s">
        <v>443</v>
      </c>
    </row>
    <row r="807" spans="1:4">
      <c r="A807" s="5">
        <v>45002</v>
      </c>
      <c r="B807" s="26" t="s">
        <v>458</v>
      </c>
      <c r="C807" s="47">
        <v>44986</v>
      </c>
      <c r="D807" s="26" t="s">
        <v>444</v>
      </c>
    </row>
    <row r="808" spans="1:4">
      <c r="A808" s="5">
        <v>45003</v>
      </c>
      <c r="B808" s="26" t="s">
        <v>458</v>
      </c>
      <c r="C808" s="47">
        <v>44986</v>
      </c>
      <c r="D808" s="26" t="s">
        <v>445</v>
      </c>
    </row>
    <row r="809" spans="1:4">
      <c r="A809" s="5">
        <v>45004</v>
      </c>
      <c r="B809" s="26" t="s">
        <v>459</v>
      </c>
      <c r="C809" s="47">
        <v>44986</v>
      </c>
      <c r="D809" s="26" t="s">
        <v>447</v>
      </c>
    </row>
    <row r="810" spans="1:4">
      <c r="A810" s="5">
        <v>45005</v>
      </c>
      <c r="B810" s="26" t="s">
        <v>459</v>
      </c>
      <c r="C810" s="47">
        <v>44986</v>
      </c>
      <c r="D810" s="26" t="s">
        <v>448</v>
      </c>
    </row>
    <row r="811" spans="1:4">
      <c r="A811" s="5">
        <v>45006</v>
      </c>
      <c r="B811" s="26" t="s">
        <v>459</v>
      </c>
      <c r="C811" s="47">
        <v>44986</v>
      </c>
      <c r="D811" s="26" t="s">
        <v>449</v>
      </c>
    </row>
    <row r="812" spans="1:4">
      <c r="A812" s="5">
        <v>45007</v>
      </c>
      <c r="B812" s="26" t="s">
        <v>459</v>
      </c>
      <c r="C812" s="47">
        <v>44986</v>
      </c>
      <c r="D812" s="26" t="s">
        <v>441</v>
      </c>
    </row>
    <row r="813" spans="1:4">
      <c r="A813" s="5">
        <v>45008</v>
      </c>
      <c r="B813" s="26" t="s">
        <v>459</v>
      </c>
      <c r="C813" s="47">
        <v>44986</v>
      </c>
      <c r="D813" s="26" t="s">
        <v>443</v>
      </c>
    </row>
    <row r="814" spans="1:4">
      <c r="A814" s="5">
        <v>45009</v>
      </c>
      <c r="B814" s="26" t="s">
        <v>459</v>
      </c>
      <c r="C814" s="47">
        <v>44986</v>
      </c>
      <c r="D814" s="26" t="s">
        <v>444</v>
      </c>
    </row>
    <row r="815" spans="1:4">
      <c r="A815" s="5">
        <v>45010</v>
      </c>
      <c r="B815" s="26" t="s">
        <v>459</v>
      </c>
      <c r="C815" s="47">
        <v>44986</v>
      </c>
      <c r="D815" s="26" t="s">
        <v>445</v>
      </c>
    </row>
    <row r="816" spans="1:4">
      <c r="A816" s="5">
        <v>45011</v>
      </c>
      <c r="B816" s="26" t="s">
        <v>460</v>
      </c>
      <c r="C816" s="47">
        <v>44986</v>
      </c>
      <c r="D816" s="26" t="s">
        <v>447</v>
      </c>
    </row>
    <row r="817" spans="1:4">
      <c r="A817" s="5">
        <v>45012</v>
      </c>
      <c r="B817" s="26" t="s">
        <v>460</v>
      </c>
      <c r="C817" s="47">
        <v>44986</v>
      </c>
      <c r="D817" s="26" t="s">
        <v>448</v>
      </c>
    </row>
    <row r="818" spans="1:4">
      <c r="A818" s="5">
        <v>45013</v>
      </c>
      <c r="B818" s="26" t="s">
        <v>460</v>
      </c>
      <c r="C818" s="47">
        <v>44986</v>
      </c>
      <c r="D818" s="26" t="s">
        <v>449</v>
      </c>
    </row>
    <row r="819" spans="1:4">
      <c r="A819" s="5">
        <v>45014</v>
      </c>
      <c r="B819" s="26" t="s">
        <v>460</v>
      </c>
      <c r="C819" s="47">
        <v>44986</v>
      </c>
      <c r="D819" s="26" t="s">
        <v>441</v>
      </c>
    </row>
    <row r="820" spans="1:4">
      <c r="A820" s="5">
        <v>45015</v>
      </c>
      <c r="B820" s="26" t="s">
        <v>460</v>
      </c>
      <c r="C820" s="47">
        <v>44986</v>
      </c>
      <c r="D820" s="26" t="s">
        <v>443</v>
      </c>
    </row>
    <row r="821" spans="1:4">
      <c r="A821" s="5">
        <v>45016</v>
      </c>
      <c r="B821" s="26" t="s">
        <v>460</v>
      </c>
      <c r="C821" s="47">
        <v>44986</v>
      </c>
      <c r="D821" s="26" t="s">
        <v>444</v>
      </c>
    </row>
    <row r="822" spans="1:4">
      <c r="A822" s="5">
        <v>45017</v>
      </c>
      <c r="B822" s="26" t="s">
        <v>460</v>
      </c>
      <c r="C822" s="47">
        <v>45017</v>
      </c>
      <c r="D822" s="26" t="s">
        <v>445</v>
      </c>
    </row>
    <row r="823" spans="1:4">
      <c r="A823" s="5">
        <v>45018</v>
      </c>
      <c r="B823" s="26" t="s">
        <v>461</v>
      </c>
      <c r="C823" s="47">
        <v>45017</v>
      </c>
      <c r="D823" s="26" t="s">
        <v>447</v>
      </c>
    </row>
    <row r="824" spans="1:4">
      <c r="A824" s="5">
        <v>45019</v>
      </c>
      <c r="B824" s="26" t="s">
        <v>461</v>
      </c>
      <c r="C824" s="47">
        <v>45017</v>
      </c>
      <c r="D824" s="26" t="s">
        <v>448</v>
      </c>
    </row>
    <row r="825" spans="1:4">
      <c r="A825" s="5">
        <v>45020</v>
      </c>
      <c r="B825" s="26" t="s">
        <v>461</v>
      </c>
      <c r="C825" s="47">
        <v>45017</v>
      </c>
      <c r="D825" s="26" t="s">
        <v>449</v>
      </c>
    </row>
    <row r="826" spans="1:4">
      <c r="A826" s="5">
        <v>45021</v>
      </c>
      <c r="B826" s="26" t="s">
        <v>461</v>
      </c>
      <c r="C826" s="47">
        <v>45017</v>
      </c>
      <c r="D826" s="26" t="s">
        <v>441</v>
      </c>
    </row>
    <row r="827" spans="1:4">
      <c r="A827" s="5">
        <v>45022</v>
      </c>
      <c r="B827" s="26" t="s">
        <v>461</v>
      </c>
      <c r="C827" s="47">
        <v>45017</v>
      </c>
      <c r="D827" s="26" t="s">
        <v>443</v>
      </c>
    </row>
    <row r="828" spans="1:4">
      <c r="A828" s="5">
        <v>45023</v>
      </c>
      <c r="B828" s="26" t="s">
        <v>461</v>
      </c>
      <c r="C828" s="47">
        <v>45017</v>
      </c>
      <c r="D828" s="26" t="s">
        <v>444</v>
      </c>
    </row>
    <row r="829" spans="1:4">
      <c r="A829" s="5">
        <v>45024</v>
      </c>
      <c r="B829" s="26" t="s">
        <v>461</v>
      </c>
      <c r="C829" s="47">
        <v>45017</v>
      </c>
      <c r="D829" s="26" t="s">
        <v>445</v>
      </c>
    </row>
    <row r="830" spans="1:4">
      <c r="A830" s="5">
        <v>45025</v>
      </c>
      <c r="B830" s="26" t="s">
        <v>462</v>
      </c>
      <c r="C830" s="47">
        <v>45017</v>
      </c>
      <c r="D830" s="26" t="s">
        <v>447</v>
      </c>
    </row>
    <row r="831" spans="1:4">
      <c r="A831" s="5">
        <v>45026</v>
      </c>
      <c r="B831" s="26" t="s">
        <v>462</v>
      </c>
      <c r="C831" s="47">
        <v>45017</v>
      </c>
      <c r="D831" s="26" t="s">
        <v>448</v>
      </c>
    </row>
    <row r="832" spans="1:4">
      <c r="A832" s="5">
        <v>45027</v>
      </c>
      <c r="B832" s="26" t="s">
        <v>462</v>
      </c>
      <c r="C832" s="47">
        <v>45017</v>
      </c>
      <c r="D832" s="26" t="s">
        <v>449</v>
      </c>
    </row>
    <row r="833" spans="1:4">
      <c r="A833" s="5">
        <v>45028</v>
      </c>
      <c r="B833" s="26" t="s">
        <v>462</v>
      </c>
      <c r="C833" s="47">
        <v>45017</v>
      </c>
      <c r="D833" s="26" t="s">
        <v>441</v>
      </c>
    </row>
    <row r="834" spans="1:4">
      <c r="A834" s="5">
        <v>45029</v>
      </c>
      <c r="B834" s="26" t="s">
        <v>462</v>
      </c>
      <c r="C834" s="47">
        <v>45017</v>
      </c>
      <c r="D834" s="26" t="s">
        <v>443</v>
      </c>
    </row>
    <row r="835" spans="1:4">
      <c r="A835" s="5">
        <v>45030</v>
      </c>
      <c r="B835" s="26" t="s">
        <v>462</v>
      </c>
      <c r="C835" s="47">
        <v>45017</v>
      </c>
      <c r="D835" s="26" t="s">
        <v>444</v>
      </c>
    </row>
    <row r="836" spans="1:4">
      <c r="A836" s="5">
        <v>45031</v>
      </c>
      <c r="B836" s="26" t="s">
        <v>462</v>
      </c>
      <c r="C836" s="47">
        <v>45017</v>
      </c>
      <c r="D836" s="26" t="s">
        <v>445</v>
      </c>
    </row>
    <row r="837" spans="1:4">
      <c r="A837" s="5">
        <v>45032</v>
      </c>
      <c r="B837" s="26" t="s">
        <v>463</v>
      </c>
      <c r="C837" s="47">
        <v>45017</v>
      </c>
      <c r="D837" s="26" t="s">
        <v>447</v>
      </c>
    </row>
    <row r="838" spans="1:4">
      <c r="A838" s="5">
        <v>45033</v>
      </c>
      <c r="B838" s="26" t="s">
        <v>463</v>
      </c>
      <c r="C838" s="47">
        <v>45017</v>
      </c>
      <c r="D838" s="26" t="s">
        <v>448</v>
      </c>
    </row>
    <row r="839" spans="1:4">
      <c r="A839" s="5">
        <v>45034</v>
      </c>
      <c r="B839" s="26" t="s">
        <v>463</v>
      </c>
      <c r="C839" s="47">
        <v>45017</v>
      </c>
      <c r="D839" s="26" t="s">
        <v>449</v>
      </c>
    </row>
    <row r="840" spans="1:4">
      <c r="A840" s="5">
        <v>45035</v>
      </c>
      <c r="B840" s="26" t="s">
        <v>463</v>
      </c>
      <c r="C840" s="47">
        <v>45017</v>
      </c>
      <c r="D840" s="26" t="s">
        <v>441</v>
      </c>
    </row>
    <row r="841" spans="1:4">
      <c r="A841" s="5">
        <v>45036</v>
      </c>
      <c r="B841" s="26" t="s">
        <v>463</v>
      </c>
      <c r="C841" s="47">
        <v>45017</v>
      </c>
      <c r="D841" s="26" t="s">
        <v>443</v>
      </c>
    </row>
    <row r="842" spans="1:4">
      <c r="A842" s="5">
        <v>45037</v>
      </c>
      <c r="B842" s="26" t="s">
        <v>463</v>
      </c>
      <c r="C842" s="47">
        <v>45017</v>
      </c>
      <c r="D842" s="26" t="s">
        <v>444</v>
      </c>
    </row>
    <row r="843" spans="1:4">
      <c r="A843" s="5">
        <v>45038</v>
      </c>
      <c r="B843" s="26" t="s">
        <v>463</v>
      </c>
      <c r="C843" s="47">
        <v>45017</v>
      </c>
      <c r="D843" s="26" t="s">
        <v>445</v>
      </c>
    </row>
    <row r="844" spans="1:4">
      <c r="A844" s="5">
        <v>45039</v>
      </c>
      <c r="B844" s="26" t="s">
        <v>464</v>
      </c>
      <c r="C844" s="47">
        <v>45017</v>
      </c>
      <c r="D844" s="26" t="s">
        <v>447</v>
      </c>
    </row>
    <row r="845" spans="1:4">
      <c r="A845" s="5">
        <v>45040</v>
      </c>
      <c r="B845" s="26" t="s">
        <v>464</v>
      </c>
      <c r="C845" s="47">
        <v>45017</v>
      </c>
      <c r="D845" s="26" t="s">
        <v>448</v>
      </c>
    </row>
    <row r="846" spans="1:4">
      <c r="A846" s="5">
        <v>45041</v>
      </c>
      <c r="B846" s="26" t="s">
        <v>464</v>
      </c>
      <c r="C846" s="47">
        <v>45017</v>
      </c>
      <c r="D846" s="26" t="s">
        <v>449</v>
      </c>
    </row>
    <row r="847" spans="1:4">
      <c r="A847" s="5">
        <v>45042</v>
      </c>
      <c r="B847" s="26" t="s">
        <v>464</v>
      </c>
      <c r="C847" s="47">
        <v>45017</v>
      </c>
      <c r="D847" s="26" t="s">
        <v>441</v>
      </c>
    </row>
    <row r="848" spans="1:4">
      <c r="A848" s="5">
        <v>45043</v>
      </c>
      <c r="B848" s="26" t="s">
        <v>464</v>
      </c>
      <c r="C848" s="47">
        <v>45017</v>
      </c>
      <c r="D848" s="26" t="s">
        <v>443</v>
      </c>
    </row>
    <row r="849" spans="1:4">
      <c r="A849" s="5">
        <v>45044</v>
      </c>
      <c r="B849" s="26" t="s">
        <v>464</v>
      </c>
      <c r="C849" s="47">
        <v>45017</v>
      </c>
      <c r="D849" s="26" t="s">
        <v>444</v>
      </c>
    </row>
    <row r="850" spans="1:4">
      <c r="A850" s="5">
        <v>45045</v>
      </c>
      <c r="B850" s="26" t="s">
        <v>464</v>
      </c>
      <c r="C850" s="47">
        <v>45017</v>
      </c>
      <c r="D850" s="26" t="s">
        <v>445</v>
      </c>
    </row>
    <row r="851" spans="1:4">
      <c r="A851" s="5">
        <v>45046</v>
      </c>
      <c r="B851" s="26" t="s">
        <v>465</v>
      </c>
      <c r="C851" s="47">
        <v>45017</v>
      </c>
      <c r="D851" s="26" t="s">
        <v>447</v>
      </c>
    </row>
    <row r="852" spans="1:4">
      <c r="A852" s="5">
        <v>45047</v>
      </c>
      <c r="B852" s="26" t="s">
        <v>465</v>
      </c>
      <c r="C852" s="47">
        <v>45047</v>
      </c>
      <c r="D852" s="26" t="s">
        <v>448</v>
      </c>
    </row>
    <row r="853" spans="1:4">
      <c r="A853" s="5">
        <v>45048</v>
      </c>
      <c r="B853" s="26" t="s">
        <v>465</v>
      </c>
      <c r="C853" s="47">
        <v>45047</v>
      </c>
      <c r="D853" s="26" t="s">
        <v>449</v>
      </c>
    </row>
    <row r="854" spans="1:4">
      <c r="A854" s="5">
        <v>45049</v>
      </c>
      <c r="B854" s="26" t="s">
        <v>465</v>
      </c>
      <c r="C854" s="47">
        <v>45047</v>
      </c>
      <c r="D854" s="26" t="s">
        <v>441</v>
      </c>
    </row>
    <row r="855" spans="1:4">
      <c r="A855" s="5">
        <v>45050</v>
      </c>
      <c r="B855" s="26" t="s">
        <v>465</v>
      </c>
      <c r="C855" s="47">
        <v>45047</v>
      </c>
      <c r="D855" s="26" t="s">
        <v>443</v>
      </c>
    </row>
    <row r="856" spans="1:4">
      <c r="A856" s="5">
        <v>45051</v>
      </c>
      <c r="B856" s="26" t="s">
        <v>465</v>
      </c>
      <c r="C856" s="47">
        <v>45047</v>
      </c>
      <c r="D856" s="26" t="s">
        <v>444</v>
      </c>
    </row>
    <row r="857" spans="1:4">
      <c r="A857" s="5">
        <v>45052</v>
      </c>
      <c r="B857" s="26" t="s">
        <v>465</v>
      </c>
      <c r="C857" s="47">
        <v>45047</v>
      </c>
      <c r="D857" s="26" t="s">
        <v>445</v>
      </c>
    </row>
    <row r="858" spans="1:4">
      <c r="A858" s="5">
        <v>45053</v>
      </c>
      <c r="B858" s="26" t="s">
        <v>127</v>
      </c>
      <c r="C858" s="47">
        <v>45047</v>
      </c>
      <c r="D858" s="26" t="s">
        <v>447</v>
      </c>
    </row>
    <row r="859" spans="1:4">
      <c r="A859" s="5">
        <v>45054</v>
      </c>
      <c r="B859" s="26" t="s">
        <v>127</v>
      </c>
      <c r="C859" s="47">
        <v>45047</v>
      </c>
      <c r="D859" s="26" t="s">
        <v>448</v>
      </c>
    </row>
    <row r="860" spans="1:4">
      <c r="A860" s="5">
        <v>45055</v>
      </c>
      <c r="B860" s="26" t="s">
        <v>127</v>
      </c>
      <c r="C860" s="47">
        <v>45047</v>
      </c>
      <c r="D860" s="26" t="s">
        <v>449</v>
      </c>
    </row>
    <row r="861" spans="1:4">
      <c r="A861" s="5">
        <v>45056</v>
      </c>
      <c r="B861" s="26" t="s">
        <v>127</v>
      </c>
      <c r="C861" s="47">
        <v>45047</v>
      </c>
      <c r="D861" s="26" t="s">
        <v>441</v>
      </c>
    </row>
    <row r="862" spans="1:4">
      <c r="A862" s="5">
        <v>45057</v>
      </c>
      <c r="B862" s="26" t="s">
        <v>127</v>
      </c>
      <c r="C862" s="47">
        <v>45047</v>
      </c>
      <c r="D862" s="26" t="s">
        <v>443</v>
      </c>
    </row>
    <row r="863" spans="1:4">
      <c r="A863" s="5">
        <v>45058</v>
      </c>
      <c r="B863" s="26" t="s">
        <v>127</v>
      </c>
      <c r="C863" s="47">
        <v>45047</v>
      </c>
      <c r="D863" s="26" t="s">
        <v>444</v>
      </c>
    </row>
    <row r="864" spans="1:4">
      <c r="A864" s="5">
        <v>45059</v>
      </c>
      <c r="B864" s="26" t="s">
        <v>127</v>
      </c>
      <c r="C864" s="47">
        <v>45047</v>
      </c>
      <c r="D864" s="26" t="s">
        <v>445</v>
      </c>
    </row>
    <row r="865" spans="1:4">
      <c r="A865" s="5">
        <v>45060</v>
      </c>
      <c r="B865" s="26" t="s">
        <v>223</v>
      </c>
      <c r="C865" s="47">
        <v>45047</v>
      </c>
      <c r="D865" s="26" t="s">
        <v>447</v>
      </c>
    </row>
    <row r="866" spans="1:4">
      <c r="A866" s="5">
        <v>45061</v>
      </c>
      <c r="B866" s="26" t="s">
        <v>223</v>
      </c>
      <c r="C866" s="47">
        <v>45047</v>
      </c>
      <c r="D866" s="26" t="s">
        <v>448</v>
      </c>
    </row>
    <row r="867" spans="1:4">
      <c r="A867" s="5">
        <v>45062</v>
      </c>
      <c r="B867" s="26" t="s">
        <v>223</v>
      </c>
      <c r="C867" s="47">
        <v>45047</v>
      </c>
      <c r="D867" s="26" t="s">
        <v>449</v>
      </c>
    </row>
    <row r="868" spans="1:4">
      <c r="A868" s="5">
        <v>45063</v>
      </c>
      <c r="B868" s="26" t="s">
        <v>223</v>
      </c>
      <c r="C868" s="47">
        <v>45047</v>
      </c>
      <c r="D868" s="26" t="s">
        <v>441</v>
      </c>
    </row>
    <row r="869" spans="1:4">
      <c r="A869" s="5">
        <v>45064</v>
      </c>
      <c r="B869" s="26" t="s">
        <v>223</v>
      </c>
      <c r="C869" s="47">
        <v>45047</v>
      </c>
      <c r="D869" s="26" t="s">
        <v>443</v>
      </c>
    </row>
    <row r="870" spans="1:4">
      <c r="A870" s="5">
        <v>45065</v>
      </c>
      <c r="B870" s="26" t="s">
        <v>223</v>
      </c>
      <c r="C870" s="47">
        <v>45047</v>
      </c>
      <c r="D870" s="26" t="s">
        <v>444</v>
      </c>
    </row>
    <row r="871" spans="1:4">
      <c r="A871" s="5">
        <v>45066</v>
      </c>
      <c r="B871" s="26" t="s">
        <v>223</v>
      </c>
      <c r="C871" s="47">
        <v>45047</v>
      </c>
      <c r="D871" s="26" t="s">
        <v>445</v>
      </c>
    </row>
    <row r="872" spans="1:4">
      <c r="A872" s="5">
        <v>45067</v>
      </c>
      <c r="B872" s="26" t="s">
        <v>466</v>
      </c>
      <c r="C872" s="47">
        <v>45047</v>
      </c>
      <c r="D872" s="26" t="s">
        <v>447</v>
      </c>
    </row>
    <row r="873" spans="1:4">
      <c r="A873" s="5">
        <v>45068</v>
      </c>
      <c r="B873" s="26" t="s">
        <v>466</v>
      </c>
      <c r="C873" s="47">
        <v>45047</v>
      </c>
      <c r="D873" s="26" t="s">
        <v>448</v>
      </c>
    </row>
    <row r="874" spans="1:4">
      <c r="A874" s="5">
        <v>45069</v>
      </c>
      <c r="B874" s="26" t="s">
        <v>466</v>
      </c>
      <c r="C874" s="47">
        <v>45047</v>
      </c>
      <c r="D874" s="26" t="s">
        <v>449</v>
      </c>
    </row>
    <row r="875" spans="1:4">
      <c r="A875" s="5">
        <v>45070</v>
      </c>
      <c r="B875" s="26" t="s">
        <v>466</v>
      </c>
      <c r="C875" s="47">
        <v>45047</v>
      </c>
      <c r="D875" s="26" t="s">
        <v>441</v>
      </c>
    </row>
    <row r="876" spans="1:4">
      <c r="A876" s="5">
        <v>45071</v>
      </c>
      <c r="B876" s="26" t="s">
        <v>466</v>
      </c>
      <c r="C876" s="47">
        <v>45047</v>
      </c>
      <c r="D876" s="26" t="s">
        <v>443</v>
      </c>
    </row>
    <row r="877" spans="1:4">
      <c r="A877" s="5">
        <v>45072</v>
      </c>
      <c r="B877" s="26" t="s">
        <v>466</v>
      </c>
      <c r="C877" s="47">
        <v>45047</v>
      </c>
      <c r="D877" s="26" t="s">
        <v>444</v>
      </c>
    </row>
    <row r="878" spans="1:4">
      <c r="A878" s="5">
        <v>45073</v>
      </c>
      <c r="B878" s="26" t="s">
        <v>466</v>
      </c>
      <c r="C878" s="47">
        <v>45047</v>
      </c>
      <c r="D878" s="26" t="s">
        <v>445</v>
      </c>
    </row>
    <row r="879" spans="1:4">
      <c r="A879" s="5">
        <v>45074</v>
      </c>
      <c r="B879" s="26" t="s">
        <v>467</v>
      </c>
      <c r="C879" s="47">
        <v>45047</v>
      </c>
      <c r="D879" s="26" t="s">
        <v>447</v>
      </c>
    </row>
    <row r="880" spans="1:4">
      <c r="A880" s="5">
        <v>45075</v>
      </c>
      <c r="B880" s="26" t="s">
        <v>467</v>
      </c>
      <c r="C880" s="47">
        <v>45047</v>
      </c>
      <c r="D880" s="26" t="s">
        <v>448</v>
      </c>
    </row>
    <row r="881" spans="1:4">
      <c r="A881" s="5">
        <v>45076</v>
      </c>
      <c r="B881" s="26" t="s">
        <v>467</v>
      </c>
      <c r="C881" s="47">
        <v>45047</v>
      </c>
      <c r="D881" s="26" t="s">
        <v>449</v>
      </c>
    </row>
    <row r="882" spans="1:4">
      <c r="A882" s="5">
        <v>45077</v>
      </c>
      <c r="B882" s="26" t="s">
        <v>467</v>
      </c>
      <c r="C882" s="47">
        <v>45047</v>
      </c>
      <c r="D882" s="26" t="s">
        <v>441</v>
      </c>
    </row>
    <row r="883" spans="1:4">
      <c r="A883" s="5">
        <v>45078</v>
      </c>
      <c r="B883" s="26" t="s">
        <v>467</v>
      </c>
      <c r="C883" s="47">
        <v>45078</v>
      </c>
      <c r="D883" s="26" t="s">
        <v>443</v>
      </c>
    </row>
    <row r="884" spans="1:4">
      <c r="A884" s="5">
        <v>45079</v>
      </c>
      <c r="B884" s="26" t="s">
        <v>467</v>
      </c>
      <c r="C884" s="47">
        <v>45078</v>
      </c>
      <c r="D884" s="26" t="s">
        <v>444</v>
      </c>
    </row>
    <row r="885" spans="1:4">
      <c r="A885" s="5">
        <v>45080</v>
      </c>
      <c r="B885" s="26" t="s">
        <v>467</v>
      </c>
      <c r="C885" s="47">
        <v>45078</v>
      </c>
      <c r="D885" s="26" t="s">
        <v>445</v>
      </c>
    </row>
    <row r="886" spans="1:4">
      <c r="A886" s="5">
        <v>45081</v>
      </c>
      <c r="B886" s="26" t="s">
        <v>468</v>
      </c>
      <c r="C886" s="47">
        <v>45078</v>
      </c>
      <c r="D886" s="26" t="s">
        <v>447</v>
      </c>
    </row>
    <row r="887" spans="1:4">
      <c r="A887" s="5">
        <v>45082</v>
      </c>
      <c r="B887" s="26" t="s">
        <v>468</v>
      </c>
      <c r="C887" s="47">
        <v>45078</v>
      </c>
      <c r="D887" s="26" t="s">
        <v>448</v>
      </c>
    </row>
    <row r="888" spans="1:4">
      <c r="A888" s="5">
        <v>45083</v>
      </c>
      <c r="B888" s="26" t="s">
        <v>468</v>
      </c>
      <c r="C888" s="47">
        <v>45078</v>
      </c>
      <c r="D888" s="26" t="s">
        <v>449</v>
      </c>
    </row>
    <row r="889" spans="1:4">
      <c r="A889" s="5">
        <v>45084</v>
      </c>
      <c r="B889" s="26" t="s">
        <v>468</v>
      </c>
      <c r="C889" s="47">
        <v>45078</v>
      </c>
      <c r="D889" s="26" t="s">
        <v>441</v>
      </c>
    </row>
    <row r="890" spans="1:4">
      <c r="A890" s="5">
        <v>45085</v>
      </c>
      <c r="B890" s="26" t="s">
        <v>468</v>
      </c>
      <c r="C890" s="47">
        <v>45078</v>
      </c>
      <c r="D890" s="26" t="s">
        <v>443</v>
      </c>
    </row>
    <row r="891" spans="1:4">
      <c r="A891" s="5">
        <v>45086</v>
      </c>
      <c r="B891" s="26" t="s">
        <v>468</v>
      </c>
      <c r="C891" s="47">
        <v>45078</v>
      </c>
      <c r="D891" s="26" t="s">
        <v>444</v>
      </c>
    </row>
    <row r="892" spans="1:4">
      <c r="A892" s="5">
        <v>45087</v>
      </c>
      <c r="B892" s="26" t="s">
        <v>468</v>
      </c>
      <c r="C892" s="47">
        <v>45078</v>
      </c>
      <c r="D892" s="26" t="s">
        <v>445</v>
      </c>
    </row>
    <row r="893" spans="1:4">
      <c r="A893" s="5">
        <v>45088</v>
      </c>
      <c r="B893" s="26" t="s">
        <v>469</v>
      </c>
      <c r="C893" s="47">
        <v>45078</v>
      </c>
      <c r="D893" s="26" t="s">
        <v>447</v>
      </c>
    </row>
    <row r="894" spans="1:4">
      <c r="A894" s="5">
        <v>45089</v>
      </c>
      <c r="B894" s="26" t="s">
        <v>469</v>
      </c>
      <c r="C894" s="47">
        <v>45078</v>
      </c>
      <c r="D894" s="26" t="s">
        <v>448</v>
      </c>
    </row>
    <row r="895" spans="1:4">
      <c r="A895" s="5">
        <v>45090</v>
      </c>
      <c r="B895" s="26" t="s">
        <v>469</v>
      </c>
      <c r="C895" s="47">
        <v>45078</v>
      </c>
      <c r="D895" s="26" t="s">
        <v>449</v>
      </c>
    </row>
    <row r="896" spans="1:4">
      <c r="A896" s="5">
        <v>45091</v>
      </c>
      <c r="B896" s="26" t="s">
        <v>469</v>
      </c>
      <c r="C896" s="47">
        <v>45078</v>
      </c>
      <c r="D896" s="26" t="s">
        <v>441</v>
      </c>
    </row>
    <row r="897" spans="1:4">
      <c r="A897" s="5">
        <v>45092</v>
      </c>
      <c r="B897" s="26" t="s">
        <v>469</v>
      </c>
      <c r="C897" s="47">
        <v>45078</v>
      </c>
      <c r="D897" s="26" t="s">
        <v>443</v>
      </c>
    </row>
    <row r="898" spans="1:4">
      <c r="A898" s="5">
        <v>45093</v>
      </c>
      <c r="B898" s="26" t="s">
        <v>469</v>
      </c>
      <c r="C898" s="47">
        <v>45078</v>
      </c>
      <c r="D898" s="26" t="s">
        <v>444</v>
      </c>
    </row>
    <row r="899" spans="1:4">
      <c r="A899" s="5">
        <v>45094</v>
      </c>
      <c r="B899" s="26" t="s">
        <v>469</v>
      </c>
      <c r="C899" s="47">
        <v>45078</v>
      </c>
      <c r="D899" s="26" t="s">
        <v>445</v>
      </c>
    </row>
    <row r="900" spans="1:4">
      <c r="A900" s="5">
        <v>45095</v>
      </c>
      <c r="B900" s="26" t="s">
        <v>470</v>
      </c>
      <c r="C900" s="47">
        <v>45078</v>
      </c>
      <c r="D900" s="26" t="s">
        <v>447</v>
      </c>
    </row>
    <row r="901" spans="1:4">
      <c r="A901" s="5">
        <v>45096</v>
      </c>
      <c r="B901" s="26" t="s">
        <v>470</v>
      </c>
      <c r="C901" s="47">
        <v>45078</v>
      </c>
      <c r="D901" s="26" t="s">
        <v>448</v>
      </c>
    </row>
    <row r="902" spans="1:4">
      <c r="A902" s="5">
        <v>45097</v>
      </c>
      <c r="B902" s="26" t="s">
        <v>470</v>
      </c>
      <c r="C902" s="47">
        <v>45078</v>
      </c>
      <c r="D902" s="26" t="s">
        <v>449</v>
      </c>
    </row>
    <row r="903" spans="1:4">
      <c r="A903" s="5">
        <v>45098</v>
      </c>
      <c r="B903" s="26" t="s">
        <v>470</v>
      </c>
      <c r="C903" s="47">
        <v>45078</v>
      </c>
      <c r="D903" s="26" t="s">
        <v>441</v>
      </c>
    </row>
    <row r="904" spans="1:4">
      <c r="A904" s="5">
        <v>45099</v>
      </c>
      <c r="B904" s="26" t="s">
        <v>470</v>
      </c>
      <c r="C904" s="47">
        <v>45078</v>
      </c>
      <c r="D904" s="26" t="s">
        <v>443</v>
      </c>
    </row>
    <row r="905" spans="1:4">
      <c r="A905" s="5">
        <v>45100</v>
      </c>
      <c r="B905" s="26" t="s">
        <v>470</v>
      </c>
      <c r="C905" s="47">
        <v>45078</v>
      </c>
      <c r="D905" s="26" t="s">
        <v>444</v>
      </c>
    </row>
    <row r="906" spans="1:4">
      <c r="A906" s="5">
        <v>45101</v>
      </c>
      <c r="B906" s="26" t="s">
        <v>470</v>
      </c>
      <c r="C906" s="47">
        <v>45078</v>
      </c>
      <c r="D906" s="26" t="s">
        <v>445</v>
      </c>
    </row>
    <row r="907" spans="1:4">
      <c r="A907" s="5">
        <v>45102</v>
      </c>
      <c r="B907" s="26" t="s">
        <v>471</v>
      </c>
      <c r="C907" s="47">
        <v>45078</v>
      </c>
      <c r="D907" s="26" t="s">
        <v>447</v>
      </c>
    </row>
    <row r="908" spans="1:4">
      <c r="A908" s="5">
        <v>45103</v>
      </c>
      <c r="B908" s="26" t="s">
        <v>471</v>
      </c>
      <c r="C908" s="47">
        <v>45078</v>
      </c>
      <c r="D908" s="26" t="s">
        <v>448</v>
      </c>
    </row>
    <row r="909" spans="1:4">
      <c r="A909" s="5">
        <v>45104</v>
      </c>
      <c r="B909" s="26" t="s">
        <v>471</v>
      </c>
      <c r="C909" s="47">
        <v>45078</v>
      </c>
      <c r="D909" s="26" t="s">
        <v>449</v>
      </c>
    </row>
    <row r="910" spans="1:4">
      <c r="A910" s="5">
        <v>45105</v>
      </c>
      <c r="B910" s="26" t="s">
        <v>471</v>
      </c>
      <c r="C910" s="47">
        <v>45078</v>
      </c>
      <c r="D910" s="26" t="s">
        <v>441</v>
      </c>
    </row>
    <row r="911" spans="1:4">
      <c r="A911" s="5">
        <v>45106</v>
      </c>
      <c r="B911" s="26" t="s">
        <v>471</v>
      </c>
      <c r="C911" s="47">
        <v>45078</v>
      </c>
      <c r="D911" s="26" t="s">
        <v>443</v>
      </c>
    </row>
    <row r="912" spans="1:4">
      <c r="A912" s="5">
        <v>45107</v>
      </c>
      <c r="B912" s="26" t="s">
        <v>471</v>
      </c>
      <c r="C912" s="47">
        <v>45078</v>
      </c>
      <c r="D912" s="26" t="s">
        <v>444</v>
      </c>
    </row>
    <row r="913" spans="1:4">
      <c r="A913" s="5">
        <v>45108</v>
      </c>
      <c r="B913" s="26" t="s">
        <v>471</v>
      </c>
      <c r="C913" s="47">
        <v>45108</v>
      </c>
      <c r="D913" s="26" t="s">
        <v>445</v>
      </c>
    </row>
    <row r="914" spans="1:4">
      <c r="A914" s="5">
        <v>45109</v>
      </c>
      <c r="B914" s="26" t="s">
        <v>472</v>
      </c>
      <c r="C914" s="47">
        <v>45108</v>
      </c>
      <c r="D914" s="26" t="s">
        <v>447</v>
      </c>
    </row>
    <row r="915" spans="1:4">
      <c r="A915" s="5">
        <v>45110</v>
      </c>
      <c r="B915" s="26" t="s">
        <v>472</v>
      </c>
      <c r="C915" s="47">
        <v>45108</v>
      </c>
      <c r="D915" s="26" t="s">
        <v>448</v>
      </c>
    </row>
    <row r="916" spans="1:4">
      <c r="A916" s="5">
        <v>45111</v>
      </c>
      <c r="B916" s="26" t="s">
        <v>472</v>
      </c>
      <c r="C916" s="47">
        <v>45108</v>
      </c>
      <c r="D916" s="26" t="s">
        <v>449</v>
      </c>
    </row>
    <row r="917" spans="1:4">
      <c r="A917" s="5">
        <v>45112</v>
      </c>
      <c r="B917" s="26" t="s">
        <v>472</v>
      </c>
      <c r="C917" s="47">
        <v>45108</v>
      </c>
      <c r="D917" s="26" t="s">
        <v>441</v>
      </c>
    </row>
    <row r="918" spans="1:4">
      <c r="A918" s="5">
        <v>45113</v>
      </c>
      <c r="B918" s="26" t="s">
        <v>472</v>
      </c>
      <c r="C918" s="47">
        <v>45108</v>
      </c>
      <c r="D918" s="26" t="s">
        <v>443</v>
      </c>
    </row>
    <row r="919" spans="1:4">
      <c r="A919" s="5">
        <v>45114</v>
      </c>
      <c r="B919" s="26" t="s">
        <v>472</v>
      </c>
      <c r="C919" s="47">
        <v>45108</v>
      </c>
      <c r="D919" s="26" t="s">
        <v>444</v>
      </c>
    </row>
    <row r="920" spans="1:4">
      <c r="A920" s="5">
        <v>45115</v>
      </c>
      <c r="B920" s="26" t="s">
        <v>472</v>
      </c>
      <c r="C920" s="47">
        <v>45108</v>
      </c>
      <c r="D920" s="26" t="s">
        <v>445</v>
      </c>
    </row>
    <row r="921" spans="1:4">
      <c r="A921" s="5">
        <v>45116</v>
      </c>
      <c r="B921" s="26" t="s">
        <v>473</v>
      </c>
      <c r="C921" s="47">
        <v>45108</v>
      </c>
      <c r="D921" s="26" t="s">
        <v>447</v>
      </c>
    </row>
    <row r="922" spans="1:4">
      <c r="A922" s="5">
        <v>45117</v>
      </c>
      <c r="B922" s="26" t="s">
        <v>473</v>
      </c>
      <c r="C922" s="47">
        <v>45108</v>
      </c>
      <c r="D922" s="26" t="s">
        <v>448</v>
      </c>
    </row>
    <row r="923" spans="1:4">
      <c r="A923" s="5">
        <v>45118</v>
      </c>
      <c r="B923" s="26" t="s">
        <v>473</v>
      </c>
      <c r="C923" s="47">
        <v>45108</v>
      </c>
      <c r="D923" s="26" t="s">
        <v>449</v>
      </c>
    </row>
    <row r="924" spans="1:4">
      <c r="A924" s="5">
        <v>45119</v>
      </c>
      <c r="B924" s="26" t="s">
        <v>473</v>
      </c>
      <c r="C924" s="47">
        <v>45108</v>
      </c>
      <c r="D924" s="26" t="s">
        <v>441</v>
      </c>
    </row>
    <row r="925" spans="1:4">
      <c r="A925" s="5">
        <v>45120</v>
      </c>
      <c r="B925" s="26" t="s">
        <v>473</v>
      </c>
      <c r="C925" s="47">
        <v>45108</v>
      </c>
      <c r="D925" s="26" t="s">
        <v>443</v>
      </c>
    </row>
    <row r="926" spans="1:4">
      <c r="A926" s="5">
        <v>45121</v>
      </c>
      <c r="B926" s="26" t="s">
        <v>473</v>
      </c>
      <c r="C926" s="47">
        <v>45108</v>
      </c>
      <c r="D926" s="26" t="s">
        <v>444</v>
      </c>
    </row>
    <row r="927" spans="1:4">
      <c r="A927" s="5">
        <v>45122</v>
      </c>
      <c r="B927" s="26" t="s">
        <v>473</v>
      </c>
      <c r="C927" s="47">
        <v>45108</v>
      </c>
      <c r="D927" s="26" t="s">
        <v>445</v>
      </c>
    </row>
    <row r="928" spans="1:4">
      <c r="A928" s="5">
        <v>45123</v>
      </c>
      <c r="B928" s="26" t="s">
        <v>474</v>
      </c>
      <c r="C928" s="47">
        <v>45108</v>
      </c>
      <c r="D928" s="26" t="s">
        <v>447</v>
      </c>
    </row>
    <row r="929" spans="1:4">
      <c r="A929" s="5">
        <v>45124</v>
      </c>
      <c r="B929" s="26" t="s">
        <v>474</v>
      </c>
      <c r="C929" s="47">
        <v>45108</v>
      </c>
      <c r="D929" s="26" t="s">
        <v>448</v>
      </c>
    </row>
    <row r="930" spans="1:4">
      <c r="A930" s="5">
        <v>45125</v>
      </c>
      <c r="B930" s="26" t="s">
        <v>474</v>
      </c>
      <c r="C930" s="47">
        <v>45108</v>
      </c>
      <c r="D930" s="26" t="s">
        <v>449</v>
      </c>
    </row>
    <row r="931" spans="1:4">
      <c r="A931" s="5">
        <v>45126</v>
      </c>
      <c r="B931" s="26" t="s">
        <v>474</v>
      </c>
      <c r="C931" s="47">
        <v>45108</v>
      </c>
      <c r="D931" s="26" t="s">
        <v>441</v>
      </c>
    </row>
    <row r="932" spans="1:4">
      <c r="A932" s="5">
        <v>45127</v>
      </c>
      <c r="B932" s="26" t="s">
        <v>474</v>
      </c>
      <c r="C932" s="47">
        <v>45108</v>
      </c>
      <c r="D932" s="26" t="s">
        <v>443</v>
      </c>
    </row>
    <row r="933" spans="1:4">
      <c r="A933" s="5">
        <v>45128</v>
      </c>
      <c r="B933" s="26" t="s">
        <v>474</v>
      </c>
      <c r="C933" s="47">
        <v>45108</v>
      </c>
      <c r="D933" s="26" t="s">
        <v>444</v>
      </c>
    </row>
    <row r="934" spans="1:4">
      <c r="A934" s="5">
        <v>45129</v>
      </c>
      <c r="B934" s="26" t="s">
        <v>474</v>
      </c>
      <c r="C934" s="47">
        <v>45108</v>
      </c>
      <c r="D934" s="26" t="s">
        <v>445</v>
      </c>
    </row>
    <row r="935" spans="1:4">
      <c r="A935" s="5">
        <v>45130</v>
      </c>
      <c r="B935" s="26" t="s">
        <v>475</v>
      </c>
      <c r="C935" s="47">
        <v>45108</v>
      </c>
      <c r="D935" s="26" t="s">
        <v>447</v>
      </c>
    </row>
    <row r="936" spans="1:4">
      <c r="A936" s="5">
        <v>45131</v>
      </c>
      <c r="B936" s="26" t="s">
        <v>475</v>
      </c>
      <c r="C936" s="47">
        <v>45108</v>
      </c>
      <c r="D936" s="26" t="s">
        <v>448</v>
      </c>
    </row>
    <row r="937" spans="1:4">
      <c r="A937" s="5">
        <v>45132</v>
      </c>
      <c r="B937" s="26" t="s">
        <v>475</v>
      </c>
      <c r="C937" s="47">
        <v>45108</v>
      </c>
      <c r="D937" s="26" t="s">
        <v>449</v>
      </c>
    </row>
    <row r="938" spans="1:4">
      <c r="A938" s="5">
        <v>45133</v>
      </c>
      <c r="B938" s="26" t="s">
        <v>475</v>
      </c>
      <c r="C938" s="47">
        <v>45108</v>
      </c>
      <c r="D938" s="26" t="s">
        <v>441</v>
      </c>
    </row>
    <row r="939" spans="1:4">
      <c r="A939" s="5">
        <v>45134</v>
      </c>
      <c r="B939" s="26" t="s">
        <v>475</v>
      </c>
      <c r="C939" s="47">
        <v>45108</v>
      </c>
      <c r="D939" s="26" t="s">
        <v>443</v>
      </c>
    </row>
    <row r="940" spans="1:4">
      <c r="A940" s="5">
        <v>45135</v>
      </c>
      <c r="B940" s="26" t="s">
        <v>475</v>
      </c>
      <c r="C940" s="47">
        <v>45108</v>
      </c>
      <c r="D940" s="26" t="s">
        <v>444</v>
      </c>
    </row>
    <row r="941" spans="1:4">
      <c r="A941" s="5">
        <v>45136</v>
      </c>
      <c r="B941" s="26" t="s">
        <v>475</v>
      </c>
      <c r="C941" s="47">
        <v>45108</v>
      </c>
      <c r="D941" s="26" t="s">
        <v>445</v>
      </c>
    </row>
    <row r="942" spans="1:4">
      <c r="A942" s="5">
        <v>45137</v>
      </c>
      <c r="B942" s="26" t="s">
        <v>476</v>
      </c>
      <c r="C942" s="47">
        <v>45108</v>
      </c>
      <c r="D942" s="26" t="s">
        <v>447</v>
      </c>
    </row>
    <row r="943" spans="1:4">
      <c r="A943" s="5">
        <v>45138</v>
      </c>
      <c r="B943" s="26" t="s">
        <v>476</v>
      </c>
      <c r="C943" s="47">
        <v>45108</v>
      </c>
      <c r="D943" s="26" t="s">
        <v>448</v>
      </c>
    </row>
    <row r="944" spans="1:4">
      <c r="A944" s="5">
        <v>45139</v>
      </c>
      <c r="B944" s="26" t="s">
        <v>476</v>
      </c>
      <c r="C944" s="47">
        <v>45139</v>
      </c>
      <c r="D944" s="26" t="s">
        <v>449</v>
      </c>
    </row>
    <row r="945" spans="1:4">
      <c r="A945" s="5">
        <v>45140</v>
      </c>
      <c r="B945" s="26" t="s">
        <v>476</v>
      </c>
      <c r="C945" s="47">
        <v>45139</v>
      </c>
      <c r="D945" s="26" t="s">
        <v>441</v>
      </c>
    </row>
    <row r="946" spans="1:4">
      <c r="A946" s="5">
        <v>45141</v>
      </c>
      <c r="B946" s="26" t="s">
        <v>476</v>
      </c>
      <c r="C946" s="47">
        <v>45139</v>
      </c>
      <c r="D946" s="26" t="s">
        <v>443</v>
      </c>
    </row>
    <row r="947" spans="1:4">
      <c r="A947" s="5">
        <v>45142</v>
      </c>
      <c r="B947" s="26" t="s">
        <v>476</v>
      </c>
      <c r="C947" s="47">
        <v>45139</v>
      </c>
      <c r="D947" s="26" t="s">
        <v>444</v>
      </c>
    </row>
    <row r="948" spans="1:4">
      <c r="A948" s="5">
        <v>45143</v>
      </c>
      <c r="B948" s="26" t="s">
        <v>476</v>
      </c>
      <c r="C948" s="47">
        <v>45139</v>
      </c>
      <c r="D948" s="26" t="s">
        <v>445</v>
      </c>
    </row>
    <row r="949" spans="1:4">
      <c r="A949" s="5">
        <v>45144</v>
      </c>
      <c r="B949" s="26" t="s">
        <v>477</v>
      </c>
      <c r="C949" s="47">
        <v>45139</v>
      </c>
      <c r="D949" s="26" t="s">
        <v>447</v>
      </c>
    </row>
    <row r="950" spans="1:4">
      <c r="A950" s="5">
        <v>45145</v>
      </c>
      <c r="B950" s="26" t="s">
        <v>477</v>
      </c>
      <c r="C950" s="47">
        <v>45139</v>
      </c>
      <c r="D950" s="26" t="s">
        <v>448</v>
      </c>
    </row>
    <row r="951" spans="1:4">
      <c r="A951" s="5">
        <v>45146</v>
      </c>
      <c r="B951" s="26" t="s">
        <v>477</v>
      </c>
      <c r="C951" s="47">
        <v>45139</v>
      </c>
      <c r="D951" s="26" t="s">
        <v>449</v>
      </c>
    </row>
    <row r="952" spans="1:4">
      <c r="A952" s="5">
        <v>45147</v>
      </c>
      <c r="B952" s="26" t="s">
        <v>477</v>
      </c>
      <c r="C952" s="47">
        <v>45139</v>
      </c>
      <c r="D952" s="26" t="s">
        <v>441</v>
      </c>
    </row>
    <row r="953" spans="1:4">
      <c r="A953" s="5">
        <v>45148</v>
      </c>
      <c r="B953" s="26" t="s">
        <v>477</v>
      </c>
      <c r="C953" s="47">
        <v>45139</v>
      </c>
      <c r="D953" s="26" t="s">
        <v>443</v>
      </c>
    </row>
    <row r="954" spans="1:4">
      <c r="A954" s="5">
        <v>45149</v>
      </c>
      <c r="B954" s="26" t="s">
        <v>477</v>
      </c>
      <c r="C954" s="47">
        <v>45139</v>
      </c>
      <c r="D954" s="26" t="s">
        <v>444</v>
      </c>
    </row>
    <row r="955" spans="1:4">
      <c r="A955" s="5">
        <v>45150</v>
      </c>
      <c r="B955" s="26" t="s">
        <v>477</v>
      </c>
      <c r="C955" s="47">
        <v>45139</v>
      </c>
      <c r="D955" s="26" t="s">
        <v>445</v>
      </c>
    </row>
    <row r="956" spans="1:4">
      <c r="A956" s="5">
        <v>45151</v>
      </c>
      <c r="B956" s="26" t="s">
        <v>478</v>
      </c>
      <c r="C956" s="47">
        <v>45139</v>
      </c>
      <c r="D956" s="26" t="s">
        <v>447</v>
      </c>
    </row>
    <row r="957" spans="1:4">
      <c r="A957" s="5">
        <v>45152</v>
      </c>
      <c r="B957" s="26" t="s">
        <v>478</v>
      </c>
      <c r="C957" s="47">
        <v>45139</v>
      </c>
      <c r="D957" s="26" t="s">
        <v>448</v>
      </c>
    </row>
    <row r="958" spans="1:4">
      <c r="A958" s="5">
        <v>45153</v>
      </c>
      <c r="B958" s="26" t="s">
        <v>478</v>
      </c>
      <c r="C958" s="47">
        <v>45139</v>
      </c>
      <c r="D958" s="26" t="s">
        <v>449</v>
      </c>
    </row>
    <row r="959" spans="1:4">
      <c r="A959" s="5">
        <v>45154</v>
      </c>
      <c r="B959" s="26" t="s">
        <v>478</v>
      </c>
      <c r="C959" s="47">
        <v>45139</v>
      </c>
      <c r="D959" s="26" t="s">
        <v>441</v>
      </c>
    </row>
    <row r="960" spans="1:4">
      <c r="A960" s="5">
        <v>45155</v>
      </c>
      <c r="B960" s="26" t="s">
        <v>478</v>
      </c>
      <c r="C960" s="47">
        <v>45139</v>
      </c>
      <c r="D960" s="26" t="s">
        <v>443</v>
      </c>
    </row>
    <row r="961" spans="1:4">
      <c r="A961" s="5">
        <v>45156</v>
      </c>
      <c r="B961" s="26" t="s">
        <v>478</v>
      </c>
      <c r="C961" s="47">
        <v>45139</v>
      </c>
      <c r="D961" s="26" t="s">
        <v>444</v>
      </c>
    </row>
    <row r="962" spans="1:4">
      <c r="A962" s="5">
        <v>45157</v>
      </c>
      <c r="B962" s="26" t="s">
        <v>478</v>
      </c>
      <c r="C962" s="47">
        <v>45139</v>
      </c>
      <c r="D962" s="26" t="s">
        <v>445</v>
      </c>
    </row>
    <row r="963" spans="1:4">
      <c r="A963" s="5">
        <v>45158</v>
      </c>
      <c r="B963" s="26" t="s">
        <v>479</v>
      </c>
      <c r="C963" s="47">
        <v>45139</v>
      </c>
      <c r="D963" s="26" t="s">
        <v>447</v>
      </c>
    </row>
    <row r="964" spans="1:4">
      <c r="A964" s="5">
        <v>45159</v>
      </c>
      <c r="B964" s="26" t="s">
        <v>479</v>
      </c>
      <c r="C964" s="47">
        <v>45139</v>
      </c>
      <c r="D964" s="26" t="s">
        <v>448</v>
      </c>
    </row>
    <row r="965" spans="1:4">
      <c r="A965" s="5">
        <v>45160</v>
      </c>
      <c r="B965" s="26" t="s">
        <v>479</v>
      </c>
      <c r="C965" s="47">
        <v>45139</v>
      </c>
      <c r="D965" s="26" t="s">
        <v>449</v>
      </c>
    </row>
    <row r="966" spans="1:4">
      <c r="A966" s="5">
        <v>45161</v>
      </c>
      <c r="B966" s="26" t="s">
        <v>479</v>
      </c>
      <c r="C966" s="47">
        <v>45139</v>
      </c>
      <c r="D966" s="26" t="s">
        <v>441</v>
      </c>
    </row>
    <row r="967" spans="1:4">
      <c r="A967" s="5">
        <v>45162</v>
      </c>
      <c r="B967" s="26" t="s">
        <v>479</v>
      </c>
      <c r="C967" s="47">
        <v>45139</v>
      </c>
      <c r="D967" s="26" t="s">
        <v>443</v>
      </c>
    </row>
    <row r="968" spans="1:4">
      <c r="A968" s="5">
        <v>45163</v>
      </c>
      <c r="B968" s="26" t="s">
        <v>479</v>
      </c>
      <c r="C968" s="47">
        <v>45139</v>
      </c>
      <c r="D968" s="26" t="s">
        <v>444</v>
      </c>
    </row>
    <row r="969" spans="1:4">
      <c r="A969" s="5">
        <v>45164</v>
      </c>
      <c r="B969" s="26" t="s">
        <v>479</v>
      </c>
      <c r="C969" s="47">
        <v>45139</v>
      </c>
      <c r="D969" s="26" t="s">
        <v>445</v>
      </c>
    </row>
    <row r="970" spans="1:4">
      <c r="A970" s="5">
        <v>45165</v>
      </c>
      <c r="B970" s="26" t="s">
        <v>480</v>
      </c>
      <c r="C970" s="47">
        <v>45139</v>
      </c>
      <c r="D970" s="26" t="s">
        <v>447</v>
      </c>
    </row>
    <row r="971" spans="1:4">
      <c r="A971" s="5">
        <v>45166</v>
      </c>
      <c r="B971" s="26" t="s">
        <v>480</v>
      </c>
      <c r="C971" s="47">
        <v>45139</v>
      </c>
      <c r="D971" s="26" t="s">
        <v>448</v>
      </c>
    </row>
    <row r="972" spans="1:4">
      <c r="A972" s="5">
        <v>45167</v>
      </c>
      <c r="B972" s="26" t="s">
        <v>480</v>
      </c>
      <c r="C972" s="47">
        <v>45139</v>
      </c>
      <c r="D972" s="26" t="s">
        <v>449</v>
      </c>
    </row>
    <row r="973" spans="1:4">
      <c r="A973" s="5">
        <v>45168</v>
      </c>
      <c r="B973" s="26" t="s">
        <v>480</v>
      </c>
      <c r="C973" s="47">
        <v>45139</v>
      </c>
      <c r="D973" s="26" t="s">
        <v>441</v>
      </c>
    </row>
    <row r="974" spans="1:4">
      <c r="A974" s="5">
        <v>45169</v>
      </c>
      <c r="B974" s="26" t="s">
        <v>480</v>
      </c>
      <c r="C974" s="47">
        <v>45139</v>
      </c>
      <c r="D974" s="26" t="s">
        <v>443</v>
      </c>
    </row>
    <row r="975" spans="1:4">
      <c r="A975" s="5">
        <v>45170</v>
      </c>
      <c r="B975" s="26" t="s">
        <v>480</v>
      </c>
      <c r="C975" s="47">
        <v>45170</v>
      </c>
      <c r="D975" s="26" t="s">
        <v>444</v>
      </c>
    </row>
    <row r="976" spans="1:4">
      <c r="A976" s="5">
        <v>45171</v>
      </c>
      <c r="B976" s="26" t="s">
        <v>480</v>
      </c>
      <c r="C976" s="47">
        <v>45170</v>
      </c>
      <c r="D976" s="26" t="s">
        <v>445</v>
      </c>
    </row>
    <row r="977" spans="1:4">
      <c r="A977" s="5">
        <v>45172</v>
      </c>
      <c r="B977" s="26" t="s">
        <v>481</v>
      </c>
      <c r="C977" s="47">
        <v>45170</v>
      </c>
      <c r="D977" s="26" t="s">
        <v>447</v>
      </c>
    </row>
    <row r="978" spans="1:4">
      <c r="A978" s="5">
        <v>45173</v>
      </c>
      <c r="B978" s="26" t="s">
        <v>481</v>
      </c>
      <c r="C978" s="47">
        <v>45170</v>
      </c>
      <c r="D978" s="26" t="s">
        <v>448</v>
      </c>
    </row>
    <row r="979" spans="1:4">
      <c r="A979" s="5">
        <v>45174</v>
      </c>
      <c r="B979" s="26" t="s">
        <v>481</v>
      </c>
      <c r="C979" s="47">
        <v>45170</v>
      </c>
      <c r="D979" s="26" t="s">
        <v>449</v>
      </c>
    </row>
    <row r="980" spans="1:4">
      <c r="A980" s="5">
        <v>45175</v>
      </c>
      <c r="B980" s="26" t="s">
        <v>481</v>
      </c>
      <c r="C980" s="47">
        <v>45170</v>
      </c>
      <c r="D980" s="26" t="s">
        <v>441</v>
      </c>
    </row>
    <row r="981" spans="1:4">
      <c r="A981" s="5">
        <v>45176</v>
      </c>
      <c r="B981" s="26" t="s">
        <v>481</v>
      </c>
      <c r="C981" s="47">
        <v>45170</v>
      </c>
      <c r="D981" s="26" t="s">
        <v>443</v>
      </c>
    </row>
    <row r="982" spans="1:4">
      <c r="A982" s="5">
        <v>45177</v>
      </c>
      <c r="B982" s="26" t="s">
        <v>481</v>
      </c>
      <c r="C982" s="47">
        <v>45170</v>
      </c>
      <c r="D982" s="26" t="s">
        <v>444</v>
      </c>
    </row>
    <row r="983" spans="1:4">
      <c r="A983" s="5">
        <v>45178</v>
      </c>
      <c r="B983" s="26" t="s">
        <v>481</v>
      </c>
      <c r="C983" s="47">
        <v>45170</v>
      </c>
      <c r="D983" s="26" t="s">
        <v>445</v>
      </c>
    </row>
    <row r="984" spans="1:4">
      <c r="A984" s="5">
        <v>45179</v>
      </c>
      <c r="B984" s="26" t="s">
        <v>482</v>
      </c>
      <c r="C984" s="47">
        <v>45170</v>
      </c>
      <c r="D984" s="26" t="s">
        <v>447</v>
      </c>
    </row>
    <row r="985" spans="1:4">
      <c r="A985" s="5">
        <v>45180</v>
      </c>
      <c r="B985" s="26" t="s">
        <v>482</v>
      </c>
      <c r="C985" s="47">
        <v>45170</v>
      </c>
      <c r="D985" s="26" t="s">
        <v>448</v>
      </c>
    </row>
    <row r="986" spans="1:4">
      <c r="A986" s="5">
        <v>45181</v>
      </c>
      <c r="B986" s="26" t="s">
        <v>482</v>
      </c>
      <c r="C986" s="47">
        <v>45170</v>
      </c>
      <c r="D986" s="26" t="s">
        <v>449</v>
      </c>
    </row>
    <row r="987" spans="1:4">
      <c r="A987" s="5">
        <v>45182</v>
      </c>
      <c r="B987" s="26" t="s">
        <v>482</v>
      </c>
      <c r="C987" s="47">
        <v>45170</v>
      </c>
      <c r="D987" s="26" t="s">
        <v>441</v>
      </c>
    </row>
    <row r="988" spans="1:4">
      <c r="A988" s="5">
        <v>45183</v>
      </c>
      <c r="B988" s="26" t="s">
        <v>482</v>
      </c>
      <c r="C988" s="47">
        <v>45170</v>
      </c>
      <c r="D988" s="26" t="s">
        <v>443</v>
      </c>
    </row>
    <row r="989" spans="1:4">
      <c r="A989" s="5">
        <v>45184</v>
      </c>
      <c r="B989" s="26" t="s">
        <v>482</v>
      </c>
      <c r="C989" s="47">
        <v>45170</v>
      </c>
      <c r="D989" s="26" t="s">
        <v>444</v>
      </c>
    </row>
    <row r="990" spans="1:4">
      <c r="A990" s="5">
        <v>45185</v>
      </c>
      <c r="B990" s="26" t="s">
        <v>482</v>
      </c>
      <c r="C990" s="47">
        <v>45170</v>
      </c>
      <c r="D990" s="26" t="s">
        <v>445</v>
      </c>
    </row>
    <row r="991" spans="1:4">
      <c r="A991" s="5">
        <v>45186</v>
      </c>
      <c r="B991" s="26" t="s">
        <v>483</v>
      </c>
      <c r="C991" s="47">
        <v>45170</v>
      </c>
      <c r="D991" s="26" t="s">
        <v>447</v>
      </c>
    </row>
    <row r="992" spans="1:4">
      <c r="A992" s="5">
        <v>45187</v>
      </c>
      <c r="B992" s="26" t="s">
        <v>483</v>
      </c>
      <c r="C992" s="47">
        <v>45170</v>
      </c>
      <c r="D992" s="26" t="s">
        <v>448</v>
      </c>
    </row>
    <row r="993" spans="1:4">
      <c r="A993" s="5">
        <v>45188</v>
      </c>
      <c r="B993" s="26" t="s">
        <v>483</v>
      </c>
      <c r="C993" s="47">
        <v>45170</v>
      </c>
      <c r="D993" s="26" t="s">
        <v>449</v>
      </c>
    </row>
    <row r="994" spans="1:4">
      <c r="A994" s="5">
        <v>45189</v>
      </c>
      <c r="B994" s="26" t="s">
        <v>483</v>
      </c>
      <c r="C994" s="47">
        <v>45170</v>
      </c>
      <c r="D994" s="26" t="s">
        <v>441</v>
      </c>
    </row>
    <row r="995" spans="1:4">
      <c r="A995" s="5">
        <v>45190</v>
      </c>
      <c r="B995" s="26" t="s">
        <v>483</v>
      </c>
      <c r="C995" s="47">
        <v>45170</v>
      </c>
      <c r="D995" s="26" t="s">
        <v>443</v>
      </c>
    </row>
    <row r="996" spans="1:4">
      <c r="A996" s="5">
        <v>45191</v>
      </c>
      <c r="B996" s="26" t="s">
        <v>483</v>
      </c>
      <c r="C996" s="47">
        <v>45170</v>
      </c>
      <c r="D996" s="26" t="s">
        <v>444</v>
      </c>
    </row>
    <row r="997" spans="1:4">
      <c r="A997" s="5">
        <v>45192</v>
      </c>
      <c r="B997" s="26" t="s">
        <v>483</v>
      </c>
      <c r="C997" s="47">
        <v>45170</v>
      </c>
      <c r="D997" s="26" t="s">
        <v>445</v>
      </c>
    </row>
    <row r="998" spans="1:4">
      <c r="A998" s="5">
        <v>45193</v>
      </c>
      <c r="B998" s="26" t="s">
        <v>484</v>
      </c>
      <c r="C998" s="47">
        <v>45170</v>
      </c>
      <c r="D998" s="26" t="s">
        <v>447</v>
      </c>
    </row>
    <row r="999" spans="1:4">
      <c r="A999" s="5">
        <v>45194</v>
      </c>
      <c r="B999" s="26" t="s">
        <v>484</v>
      </c>
      <c r="C999" s="47">
        <v>45170</v>
      </c>
      <c r="D999" s="26" t="s">
        <v>448</v>
      </c>
    </row>
    <row r="1000" spans="1:4">
      <c r="A1000" s="5">
        <v>45195</v>
      </c>
      <c r="B1000" s="26" t="s">
        <v>484</v>
      </c>
      <c r="C1000" s="47">
        <v>45170</v>
      </c>
      <c r="D1000" s="26" t="s">
        <v>449</v>
      </c>
    </row>
    <row r="1001" spans="1:4">
      <c r="A1001" s="5">
        <v>45196</v>
      </c>
      <c r="B1001" s="26" t="s">
        <v>484</v>
      </c>
      <c r="C1001" s="47">
        <v>45170</v>
      </c>
      <c r="D1001" s="26" t="s">
        <v>441</v>
      </c>
    </row>
    <row r="1002" spans="1:4">
      <c r="A1002" s="5">
        <v>45197</v>
      </c>
      <c r="B1002" s="26" t="s">
        <v>484</v>
      </c>
      <c r="C1002" s="47">
        <v>45170</v>
      </c>
      <c r="D1002" s="26" t="s">
        <v>443</v>
      </c>
    </row>
    <row r="1003" spans="1:4">
      <c r="A1003" s="5">
        <v>45198</v>
      </c>
      <c r="B1003" s="26" t="s">
        <v>484</v>
      </c>
      <c r="C1003" s="47">
        <v>45170</v>
      </c>
      <c r="D1003" s="26" t="s">
        <v>444</v>
      </c>
    </row>
    <row r="1004" spans="1:4">
      <c r="A1004" s="5">
        <v>45199</v>
      </c>
      <c r="B1004" s="26" t="s">
        <v>484</v>
      </c>
      <c r="C1004" s="47">
        <v>45170</v>
      </c>
      <c r="D1004" s="26" t="s">
        <v>445</v>
      </c>
    </row>
    <row r="1005" spans="1:4">
      <c r="A1005" s="5">
        <v>45200</v>
      </c>
      <c r="B1005" s="26" t="s">
        <v>485</v>
      </c>
      <c r="C1005" s="47">
        <v>45200</v>
      </c>
      <c r="D1005" s="26" t="s">
        <v>447</v>
      </c>
    </row>
    <row r="1006" spans="1:4">
      <c r="A1006" s="5">
        <v>45201</v>
      </c>
      <c r="B1006" s="26" t="s">
        <v>485</v>
      </c>
      <c r="C1006" s="47">
        <v>45200</v>
      </c>
      <c r="D1006" s="26" t="s">
        <v>448</v>
      </c>
    </row>
    <row r="1007" spans="1:4">
      <c r="A1007" s="5">
        <v>45202</v>
      </c>
      <c r="B1007" s="26" t="s">
        <v>485</v>
      </c>
      <c r="C1007" s="47">
        <v>45200</v>
      </c>
      <c r="D1007" s="26" t="s">
        <v>449</v>
      </c>
    </row>
    <row r="1008" spans="1:4">
      <c r="A1008" s="5">
        <v>45203</v>
      </c>
      <c r="B1008" s="26" t="s">
        <v>485</v>
      </c>
      <c r="C1008" s="47">
        <v>45200</v>
      </c>
      <c r="D1008" s="26" t="s">
        <v>441</v>
      </c>
    </row>
    <row r="1009" spans="1:4">
      <c r="A1009" s="5">
        <v>45204</v>
      </c>
      <c r="B1009" s="26" t="s">
        <v>485</v>
      </c>
      <c r="C1009" s="47">
        <v>45200</v>
      </c>
      <c r="D1009" s="26" t="s">
        <v>443</v>
      </c>
    </row>
    <row r="1010" spans="1:4">
      <c r="A1010" s="5">
        <v>45205</v>
      </c>
      <c r="B1010" s="26" t="s">
        <v>485</v>
      </c>
      <c r="C1010" s="47">
        <v>45200</v>
      </c>
      <c r="D1010" s="26" t="s">
        <v>444</v>
      </c>
    </row>
    <row r="1011" spans="1:4">
      <c r="A1011" s="5">
        <v>45206</v>
      </c>
      <c r="B1011" s="26" t="s">
        <v>485</v>
      </c>
      <c r="C1011" s="47">
        <v>45200</v>
      </c>
      <c r="D1011" s="26" t="s">
        <v>445</v>
      </c>
    </row>
    <row r="1012" spans="1:4">
      <c r="A1012" s="5">
        <v>45207</v>
      </c>
      <c r="B1012" s="26" t="s">
        <v>486</v>
      </c>
      <c r="C1012" s="47">
        <v>45200</v>
      </c>
      <c r="D1012" s="26" t="s">
        <v>447</v>
      </c>
    </row>
    <row r="1013" spans="1:4">
      <c r="A1013" s="5">
        <v>45208</v>
      </c>
      <c r="B1013" s="26" t="s">
        <v>486</v>
      </c>
      <c r="C1013" s="47">
        <v>45200</v>
      </c>
      <c r="D1013" s="26" t="s">
        <v>448</v>
      </c>
    </row>
    <row r="1014" spans="1:4">
      <c r="A1014" s="5">
        <v>45209</v>
      </c>
      <c r="B1014" s="26" t="s">
        <v>486</v>
      </c>
      <c r="C1014" s="47">
        <v>45200</v>
      </c>
      <c r="D1014" s="26" t="s">
        <v>449</v>
      </c>
    </row>
    <row r="1015" spans="1:4">
      <c r="A1015" s="5">
        <v>45210</v>
      </c>
      <c r="B1015" s="26" t="s">
        <v>486</v>
      </c>
      <c r="C1015" s="47">
        <v>45200</v>
      </c>
      <c r="D1015" s="26" t="s">
        <v>441</v>
      </c>
    </row>
    <row r="1016" spans="1:4">
      <c r="A1016" s="5">
        <v>45211</v>
      </c>
      <c r="B1016" s="26" t="s">
        <v>486</v>
      </c>
      <c r="C1016" s="47">
        <v>45200</v>
      </c>
      <c r="D1016" s="26" t="s">
        <v>443</v>
      </c>
    </row>
    <row r="1017" spans="1:4">
      <c r="A1017" s="5">
        <v>45212</v>
      </c>
      <c r="B1017" s="26" t="s">
        <v>486</v>
      </c>
      <c r="C1017" s="47">
        <v>45200</v>
      </c>
      <c r="D1017" s="26" t="s">
        <v>444</v>
      </c>
    </row>
    <row r="1018" spans="1:4">
      <c r="A1018" s="5">
        <v>45213</v>
      </c>
      <c r="B1018" s="26" t="s">
        <v>486</v>
      </c>
      <c r="C1018" s="47">
        <v>45200</v>
      </c>
      <c r="D1018" s="26" t="s">
        <v>445</v>
      </c>
    </row>
    <row r="1019" spans="1:4">
      <c r="A1019" s="5">
        <v>45214</v>
      </c>
      <c r="B1019" s="26" t="s">
        <v>487</v>
      </c>
      <c r="C1019" s="47">
        <v>45200</v>
      </c>
      <c r="D1019" s="26" t="s">
        <v>447</v>
      </c>
    </row>
    <row r="1020" spans="1:4">
      <c r="A1020" s="5">
        <v>45215</v>
      </c>
      <c r="B1020" s="26" t="s">
        <v>487</v>
      </c>
      <c r="C1020" s="47">
        <v>45200</v>
      </c>
      <c r="D1020" s="26" t="s">
        <v>448</v>
      </c>
    </row>
    <row r="1021" spans="1:4">
      <c r="A1021" s="5">
        <v>45216</v>
      </c>
      <c r="B1021" s="26" t="s">
        <v>487</v>
      </c>
      <c r="C1021" s="47">
        <v>45200</v>
      </c>
      <c r="D1021" s="26" t="s">
        <v>449</v>
      </c>
    </row>
    <row r="1022" spans="1:4">
      <c r="A1022" s="5">
        <v>45217</v>
      </c>
      <c r="B1022" s="26" t="s">
        <v>487</v>
      </c>
      <c r="C1022" s="47">
        <v>45200</v>
      </c>
      <c r="D1022" s="26" t="s">
        <v>441</v>
      </c>
    </row>
    <row r="1023" spans="1:4">
      <c r="A1023" s="5">
        <v>45218</v>
      </c>
      <c r="B1023" s="26" t="s">
        <v>487</v>
      </c>
      <c r="C1023" s="47">
        <v>45200</v>
      </c>
      <c r="D1023" s="26" t="s">
        <v>443</v>
      </c>
    </row>
    <row r="1024" spans="1:4">
      <c r="A1024" s="5">
        <v>45219</v>
      </c>
      <c r="B1024" s="26" t="s">
        <v>487</v>
      </c>
      <c r="C1024" s="47">
        <v>45200</v>
      </c>
      <c r="D1024" s="26" t="s">
        <v>444</v>
      </c>
    </row>
    <row r="1025" spans="1:4">
      <c r="A1025" s="5">
        <v>45220</v>
      </c>
      <c r="B1025" s="26" t="s">
        <v>487</v>
      </c>
      <c r="C1025" s="47">
        <v>45200</v>
      </c>
      <c r="D1025" s="26" t="s">
        <v>445</v>
      </c>
    </row>
    <row r="1026" spans="1:4">
      <c r="A1026" s="5">
        <v>45221</v>
      </c>
      <c r="B1026" s="26" t="s">
        <v>488</v>
      </c>
      <c r="C1026" s="47">
        <v>45200</v>
      </c>
      <c r="D1026" s="26" t="s">
        <v>447</v>
      </c>
    </row>
    <row r="1027" spans="1:4">
      <c r="A1027" s="5">
        <v>45222</v>
      </c>
      <c r="B1027" s="26" t="s">
        <v>488</v>
      </c>
      <c r="C1027" s="47">
        <v>45200</v>
      </c>
      <c r="D1027" s="26" t="s">
        <v>448</v>
      </c>
    </row>
    <row r="1028" spans="1:4">
      <c r="A1028" s="5">
        <v>45223</v>
      </c>
      <c r="B1028" s="26" t="s">
        <v>488</v>
      </c>
      <c r="C1028" s="47">
        <v>45200</v>
      </c>
      <c r="D1028" s="26" t="s">
        <v>449</v>
      </c>
    </row>
    <row r="1029" spans="1:4">
      <c r="A1029" s="5">
        <v>45224</v>
      </c>
      <c r="B1029" s="26" t="s">
        <v>488</v>
      </c>
      <c r="C1029" s="47">
        <v>45200</v>
      </c>
      <c r="D1029" s="26" t="s">
        <v>441</v>
      </c>
    </row>
    <row r="1030" spans="1:4">
      <c r="A1030" s="5">
        <v>45225</v>
      </c>
      <c r="B1030" s="26" t="s">
        <v>488</v>
      </c>
      <c r="C1030" s="47">
        <v>45200</v>
      </c>
      <c r="D1030" s="26" t="s">
        <v>443</v>
      </c>
    </row>
    <row r="1031" spans="1:4">
      <c r="A1031" s="5">
        <v>45226</v>
      </c>
      <c r="B1031" s="26" t="s">
        <v>488</v>
      </c>
      <c r="C1031" s="47">
        <v>45200</v>
      </c>
      <c r="D1031" s="26" t="s">
        <v>444</v>
      </c>
    </row>
    <row r="1032" spans="1:4">
      <c r="A1032" s="5">
        <v>45227</v>
      </c>
      <c r="B1032" s="26" t="s">
        <v>488</v>
      </c>
      <c r="C1032" s="47">
        <v>45200</v>
      </c>
      <c r="D1032" s="26" t="s">
        <v>445</v>
      </c>
    </row>
    <row r="1033" spans="1:4">
      <c r="A1033" s="5">
        <v>45228</v>
      </c>
      <c r="B1033" s="26" t="s">
        <v>489</v>
      </c>
      <c r="C1033" s="47">
        <v>45200</v>
      </c>
      <c r="D1033" s="26" t="s">
        <v>447</v>
      </c>
    </row>
    <row r="1034" spans="1:4">
      <c r="A1034" s="5">
        <v>45229</v>
      </c>
      <c r="B1034" s="26" t="s">
        <v>489</v>
      </c>
      <c r="C1034" s="47">
        <v>45200</v>
      </c>
      <c r="D1034" s="26" t="s">
        <v>448</v>
      </c>
    </row>
    <row r="1035" spans="1:4">
      <c r="A1035" s="5">
        <v>45230</v>
      </c>
      <c r="B1035" s="26" t="s">
        <v>489</v>
      </c>
      <c r="C1035" s="47">
        <v>45200</v>
      </c>
      <c r="D1035" s="26" t="s">
        <v>449</v>
      </c>
    </row>
    <row r="1036" spans="1:4">
      <c r="A1036" s="5">
        <v>45231</v>
      </c>
      <c r="B1036" s="26" t="s">
        <v>489</v>
      </c>
      <c r="C1036" s="47">
        <v>45231</v>
      </c>
      <c r="D1036" s="26" t="s">
        <v>441</v>
      </c>
    </row>
    <row r="1037" spans="1:4">
      <c r="A1037" s="5">
        <v>45232</v>
      </c>
      <c r="B1037" s="26" t="s">
        <v>489</v>
      </c>
      <c r="C1037" s="47">
        <v>45231</v>
      </c>
      <c r="D1037" s="26" t="s">
        <v>443</v>
      </c>
    </row>
    <row r="1038" spans="1:4">
      <c r="A1038" s="5">
        <v>45233</v>
      </c>
      <c r="B1038" s="26" t="s">
        <v>489</v>
      </c>
      <c r="C1038" s="47">
        <v>45231</v>
      </c>
      <c r="D1038" s="26" t="s">
        <v>444</v>
      </c>
    </row>
    <row r="1039" spans="1:4">
      <c r="A1039" s="5">
        <v>45234</v>
      </c>
      <c r="B1039" s="26" t="s">
        <v>489</v>
      </c>
      <c r="C1039" s="47">
        <v>45231</v>
      </c>
      <c r="D1039" s="26" t="s">
        <v>445</v>
      </c>
    </row>
    <row r="1040" spans="1:4">
      <c r="A1040" s="5">
        <v>45235</v>
      </c>
      <c r="B1040" s="26" t="s">
        <v>490</v>
      </c>
      <c r="C1040" s="47">
        <v>45231</v>
      </c>
      <c r="D1040" s="26" t="s">
        <v>447</v>
      </c>
    </row>
    <row r="1041" spans="1:4">
      <c r="A1041" s="5">
        <v>45236</v>
      </c>
      <c r="B1041" s="26" t="s">
        <v>490</v>
      </c>
      <c r="C1041" s="47">
        <v>45231</v>
      </c>
      <c r="D1041" s="26" t="s">
        <v>448</v>
      </c>
    </row>
    <row r="1042" spans="1:4">
      <c r="A1042" s="5">
        <v>45237</v>
      </c>
      <c r="B1042" s="26" t="s">
        <v>490</v>
      </c>
      <c r="C1042" s="47">
        <v>45231</v>
      </c>
      <c r="D1042" s="26" t="s">
        <v>449</v>
      </c>
    </row>
    <row r="1043" spans="1:4">
      <c r="A1043" s="5">
        <v>45238</v>
      </c>
      <c r="B1043" s="26" t="s">
        <v>490</v>
      </c>
      <c r="C1043" s="47">
        <v>45231</v>
      </c>
      <c r="D1043" s="26" t="s">
        <v>441</v>
      </c>
    </row>
    <row r="1044" spans="1:4">
      <c r="A1044" s="5">
        <v>45239</v>
      </c>
      <c r="B1044" s="26" t="s">
        <v>490</v>
      </c>
      <c r="C1044" s="47">
        <v>45231</v>
      </c>
      <c r="D1044" s="26" t="s">
        <v>443</v>
      </c>
    </row>
    <row r="1045" spans="1:4">
      <c r="A1045" s="5">
        <v>45240</v>
      </c>
      <c r="B1045" s="26" t="s">
        <v>490</v>
      </c>
      <c r="C1045" s="47">
        <v>45231</v>
      </c>
      <c r="D1045" s="26" t="s">
        <v>444</v>
      </c>
    </row>
    <row r="1046" spans="1:4">
      <c r="A1046" s="5">
        <v>45241</v>
      </c>
      <c r="B1046" s="26" t="s">
        <v>490</v>
      </c>
      <c r="C1046" s="47">
        <v>45231</v>
      </c>
      <c r="D1046" s="26" t="s">
        <v>445</v>
      </c>
    </row>
    <row r="1047" spans="1:4">
      <c r="A1047" s="5">
        <v>45242</v>
      </c>
      <c r="B1047" s="26" t="s">
        <v>491</v>
      </c>
      <c r="C1047" s="47">
        <v>45231</v>
      </c>
      <c r="D1047" s="26" t="s">
        <v>447</v>
      </c>
    </row>
    <row r="1048" spans="1:4">
      <c r="A1048" s="5">
        <v>45243</v>
      </c>
      <c r="B1048" s="26" t="s">
        <v>491</v>
      </c>
      <c r="C1048" s="47">
        <v>45231</v>
      </c>
      <c r="D1048" s="26" t="s">
        <v>448</v>
      </c>
    </row>
    <row r="1049" spans="1:4">
      <c r="A1049" s="5">
        <v>45244</v>
      </c>
      <c r="B1049" s="26" t="s">
        <v>491</v>
      </c>
      <c r="C1049" s="47">
        <v>45231</v>
      </c>
      <c r="D1049" s="26" t="s">
        <v>449</v>
      </c>
    </row>
    <row r="1050" spans="1:4">
      <c r="A1050" s="5">
        <v>45245</v>
      </c>
      <c r="B1050" s="26" t="s">
        <v>491</v>
      </c>
      <c r="C1050" s="47">
        <v>45231</v>
      </c>
      <c r="D1050" s="26" t="s">
        <v>441</v>
      </c>
    </row>
    <row r="1051" spans="1:4">
      <c r="A1051" s="5">
        <v>45246</v>
      </c>
      <c r="B1051" s="26" t="s">
        <v>491</v>
      </c>
      <c r="C1051" s="47">
        <v>45231</v>
      </c>
      <c r="D1051" s="26" t="s">
        <v>443</v>
      </c>
    </row>
    <row r="1052" spans="1:4">
      <c r="A1052" s="5">
        <v>45247</v>
      </c>
      <c r="B1052" s="26" t="s">
        <v>491</v>
      </c>
      <c r="C1052" s="47">
        <v>45231</v>
      </c>
      <c r="D1052" s="26" t="s">
        <v>444</v>
      </c>
    </row>
    <row r="1053" spans="1:4">
      <c r="A1053" s="5">
        <v>45248</v>
      </c>
      <c r="B1053" s="26" t="s">
        <v>491</v>
      </c>
      <c r="C1053" s="47">
        <v>45231</v>
      </c>
      <c r="D1053" s="26" t="s">
        <v>445</v>
      </c>
    </row>
    <row r="1054" spans="1:4">
      <c r="A1054" s="5">
        <v>45249</v>
      </c>
      <c r="B1054" s="26" t="s">
        <v>492</v>
      </c>
      <c r="C1054" s="47">
        <v>45231</v>
      </c>
      <c r="D1054" s="26" t="s">
        <v>447</v>
      </c>
    </row>
    <row r="1055" spans="1:4">
      <c r="A1055" s="5">
        <v>45250</v>
      </c>
      <c r="B1055" s="26" t="s">
        <v>492</v>
      </c>
      <c r="C1055" s="47">
        <v>45231</v>
      </c>
      <c r="D1055" s="26" t="s">
        <v>448</v>
      </c>
    </row>
    <row r="1056" spans="1:4">
      <c r="A1056" s="5">
        <v>45251</v>
      </c>
      <c r="B1056" s="26" t="s">
        <v>492</v>
      </c>
      <c r="C1056" s="47">
        <v>45231</v>
      </c>
      <c r="D1056" s="26" t="s">
        <v>449</v>
      </c>
    </row>
    <row r="1057" spans="1:4">
      <c r="A1057" s="5">
        <v>45252</v>
      </c>
      <c r="B1057" s="26" t="s">
        <v>492</v>
      </c>
      <c r="C1057" s="47">
        <v>45231</v>
      </c>
      <c r="D1057" s="26" t="s">
        <v>441</v>
      </c>
    </row>
    <row r="1058" spans="1:4">
      <c r="A1058" s="5">
        <v>45253</v>
      </c>
      <c r="B1058" s="26" t="s">
        <v>492</v>
      </c>
      <c r="C1058" s="47">
        <v>45231</v>
      </c>
      <c r="D1058" s="26" t="s">
        <v>443</v>
      </c>
    </row>
    <row r="1059" spans="1:4">
      <c r="A1059" s="5">
        <v>45254</v>
      </c>
      <c r="B1059" s="26" t="s">
        <v>492</v>
      </c>
      <c r="C1059" s="47">
        <v>45231</v>
      </c>
      <c r="D1059" s="26" t="s">
        <v>444</v>
      </c>
    </row>
    <row r="1060" spans="1:4">
      <c r="A1060" s="5">
        <v>45255</v>
      </c>
      <c r="B1060" s="26" t="s">
        <v>492</v>
      </c>
      <c r="C1060" s="47">
        <v>45231</v>
      </c>
      <c r="D1060" s="26" t="s">
        <v>445</v>
      </c>
    </row>
    <row r="1061" spans="1:4">
      <c r="A1061" s="5">
        <v>45256</v>
      </c>
      <c r="B1061" s="26" t="s">
        <v>493</v>
      </c>
      <c r="C1061" s="47">
        <v>45231</v>
      </c>
      <c r="D1061" s="26" t="s">
        <v>447</v>
      </c>
    </row>
    <row r="1062" spans="1:4">
      <c r="A1062" s="5">
        <v>45257</v>
      </c>
      <c r="B1062" s="26" t="s">
        <v>493</v>
      </c>
      <c r="C1062" s="47">
        <v>45231</v>
      </c>
      <c r="D1062" s="26" t="s">
        <v>448</v>
      </c>
    </row>
    <row r="1063" spans="1:4">
      <c r="A1063" s="5">
        <v>45258</v>
      </c>
      <c r="B1063" s="26" t="s">
        <v>493</v>
      </c>
      <c r="C1063" s="47">
        <v>45231</v>
      </c>
      <c r="D1063" s="26" t="s">
        <v>449</v>
      </c>
    </row>
    <row r="1064" spans="1:4">
      <c r="A1064" s="5">
        <v>45259</v>
      </c>
      <c r="B1064" s="26" t="s">
        <v>493</v>
      </c>
      <c r="C1064" s="47">
        <v>45231</v>
      </c>
      <c r="D1064" s="26" t="s">
        <v>441</v>
      </c>
    </row>
    <row r="1065" spans="1:4">
      <c r="A1065" s="5">
        <v>45260</v>
      </c>
      <c r="B1065" s="26" t="s">
        <v>493</v>
      </c>
      <c r="C1065" s="47">
        <v>45231</v>
      </c>
      <c r="D1065" s="26" t="s">
        <v>443</v>
      </c>
    </row>
    <row r="1066" spans="1:4">
      <c r="A1066" s="5">
        <v>45261</v>
      </c>
      <c r="B1066" s="26" t="s">
        <v>493</v>
      </c>
      <c r="C1066" s="47">
        <v>45261</v>
      </c>
      <c r="D1066" s="26" t="s">
        <v>444</v>
      </c>
    </row>
    <row r="1067" spans="1:4">
      <c r="A1067" s="5">
        <v>45262</v>
      </c>
      <c r="B1067" s="26" t="s">
        <v>493</v>
      </c>
      <c r="C1067" s="47">
        <v>45261</v>
      </c>
      <c r="D1067" s="26" t="s">
        <v>445</v>
      </c>
    </row>
    <row r="1068" spans="1:4">
      <c r="A1068" s="5">
        <v>45263</v>
      </c>
      <c r="B1068" s="26" t="s">
        <v>494</v>
      </c>
      <c r="C1068" s="47">
        <v>45261</v>
      </c>
      <c r="D1068" s="26" t="s">
        <v>447</v>
      </c>
    </row>
    <row r="1069" spans="1:4">
      <c r="A1069" s="5">
        <v>45264</v>
      </c>
      <c r="B1069" s="26" t="s">
        <v>494</v>
      </c>
      <c r="C1069" s="47">
        <v>45261</v>
      </c>
      <c r="D1069" s="26" t="s">
        <v>448</v>
      </c>
    </row>
    <row r="1070" spans="1:4">
      <c r="A1070" s="5">
        <v>45265</v>
      </c>
      <c r="B1070" s="26" t="s">
        <v>494</v>
      </c>
      <c r="C1070" s="47">
        <v>45261</v>
      </c>
      <c r="D1070" s="26" t="s">
        <v>449</v>
      </c>
    </row>
    <row r="1071" spans="1:4">
      <c r="A1071" s="5">
        <v>45266</v>
      </c>
      <c r="B1071" s="26" t="s">
        <v>494</v>
      </c>
      <c r="C1071" s="47">
        <v>45261</v>
      </c>
      <c r="D1071" s="26" t="s">
        <v>441</v>
      </c>
    </row>
    <row r="1072" spans="1:4">
      <c r="A1072" s="5">
        <v>45267</v>
      </c>
      <c r="B1072" s="26" t="s">
        <v>494</v>
      </c>
      <c r="C1072" s="47">
        <v>45261</v>
      </c>
      <c r="D1072" s="26" t="s">
        <v>443</v>
      </c>
    </row>
    <row r="1073" spans="1:4">
      <c r="A1073" s="5">
        <v>45268</v>
      </c>
      <c r="B1073" s="26" t="s">
        <v>494</v>
      </c>
      <c r="C1073" s="47">
        <v>45261</v>
      </c>
      <c r="D1073" s="26" t="s">
        <v>444</v>
      </c>
    </row>
    <row r="1074" spans="1:4">
      <c r="A1074" s="5">
        <v>45269</v>
      </c>
      <c r="B1074" s="26" t="s">
        <v>494</v>
      </c>
      <c r="C1074" s="47">
        <v>45261</v>
      </c>
      <c r="D1074" s="26" t="s">
        <v>445</v>
      </c>
    </row>
    <row r="1075" spans="1:4">
      <c r="A1075" s="5">
        <v>45270</v>
      </c>
      <c r="B1075" s="26" t="s">
        <v>495</v>
      </c>
      <c r="C1075" s="47">
        <v>45261</v>
      </c>
      <c r="D1075" s="26" t="s">
        <v>447</v>
      </c>
    </row>
    <row r="1076" spans="1:4">
      <c r="A1076" s="5">
        <v>45271</v>
      </c>
      <c r="B1076" s="26" t="s">
        <v>495</v>
      </c>
      <c r="C1076" s="47">
        <v>45261</v>
      </c>
      <c r="D1076" s="26" t="s">
        <v>448</v>
      </c>
    </row>
    <row r="1077" spans="1:4">
      <c r="A1077" s="5">
        <v>45272</v>
      </c>
      <c r="B1077" s="26" t="s">
        <v>495</v>
      </c>
      <c r="C1077" s="47">
        <v>45261</v>
      </c>
      <c r="D1077" s="26" t="s">
        <v>449</v>
      </c>
    </row>
    <row r="1078" spans="1:4">
      <c r="A1078" s="5">
        <v>45273</v>
      </c>
      <c r="B1078" s="26" t="s">
        <v>495</v>
      </c>
      <c r="C1078" s="47">
        <v>45261</v>
      </c>
      <c r="D1078" s="26" t="s">
        <v>441</v>
      </c>
    </row>
    <row r="1079" spans="1:4">
      <c r="A1079" s="5">
        <v>45274</v>
      </c>
      <c r="B1079" s="26" t="s">
        <v>495</v>
      </c>
      <c r="C1079" s="47">
        <v>45261</v>
      </c>
      <c r="D1079" s="26" t="s">
        <v>443</v>
      </c>
    </row>
    <row r="1080" spans="1:4">
      <c r="A1080" s="5">
        <v>45275</v>
      </c>
      <c r="B1080" s="26" t="s">
        <v>495</v>
      </c>
      <c r="C1080" s="47">
        <v>45261</v>
      </c>
      <c r="D1080" s="26" t="s">
        <v>444</v>
      </c>
    </row>
    <row r="1081" spans="1:4">
      <c r="A1081" s="5">
        <v>45276</v>
      </c>
      <c r="B1081" s="26" t="s">
        <v>495</v>
      </c>
      <c r="C1081" s="47">
        <v>45261</v>
      </c>
      <c r="D1081" s="26" t="s">
        <v>445</v>
      </c>
    </row>
    <row r="1082" spans="1:4">
      <c r="A1082" s="5">
        <v>45277</v>
      </c>
      <c r="B1082" s="26" t="s">
        <v>496</v>
      </c>
      <c r="C1082" s="47">
        <v>45261</v>
      </c>
      <c r="D1082" s="26" t="s">
        <v>447</v>
      </c>
    </row>
    <row r="1083" spans="1:4">
      <c r="A1083" s="5">
        <v>45278</v>
      </c>
      <c r="B1083" s="26" t="s">
        <v>496</v>
      </c>
      <c r="C1083" s="47">
        <v>45261</v>
      </c>
      <c r="D1083" s="26" t="s">
        <v>448</v>
      </c>
    </row>
    <row r="1084" spans="1:4">
      <c r="A1084" s="5">
        <v>45279</v>
      </c>
      <c r="B1084" s="26" t="s">
        <v>496</v>
      </c>
      <c r="C1084" s="47">
        <v>45261</v>
      </c>
      <c r="D1084" s="26" t="s">
        <v>449</v>
      </c>
    </row>
    <row r="1085" spans="1:4">
      <c r="A1085" s="5">
        <v>45280</v>
      </c>
      <c r="B1085" s="26" t="s">
        <v>496</v>
      </c>
      <c r="C1085" s="47">
        <v>45261</v>
      </c>
      <c r="D1085" s="26" t="s">
        <v>441</v>
      </c>
    </row>
    <row r="1086" spans="1:4">
      <c r="A1086" s="5">
        <v>45281</v>
      </c>
      <c r="B1086" s="26" t="s">
        <v>496</v>
      </c>
      <c r="C1086" s="47">
        <v>45261</v>
      </c>
      <c r="D1086" s="26" t="s">
        <v>443</v>
      </c>
    </row>
    <row r="1087" spans="1:4">
      <c r="A1087" s="5">
        <v>45282</v>
      </c>
      <c r="B1087" s="26" t="s">
        <v>496</v>
      </c>
      <c r="C1087" s="47">
        <v>45261</v>
      </c>
      <c r="D1087" s="26" t="s">
        <v>444</v>
      </c>
    </row>
    <row r="1088" spans="1:4">
      <c r="A1088" s="5">
        <v>45283</v>
      </c>
      <c r="B1088" s="26" t="s">
        <v>496</v>
      </c>
      <c r="C1088" s="47">
        <v>45261</v>
      </c>
      <c r="D1088" s="26" t="s">
        <v>445</v>
      </c>
    </row>
    <row r="1089" spans="1:4">
      <c r="A1089" s="5">
        <v>45284</v>
      </c>
      <c r="B1089" s="26" t="s">
        <v>497</v>
      </c>
      <c r="C1089" s="47">
        <v>45261</v>
      </c>
      <c r="D1089" s="26" t="s">
        <v>447</v>
      </c>
    </row>
    <row r="1090" spans="1:4">
      <c r="A1090" s="5">
        <v>45285</v>
      </c>
      <c r="B1090" s="26" t="s">
        <v>497</v>
      </c>
      <c r="C1090" s="47">
        <v>45261</v>
      </c>
      <c r="D1090" s="26" t="s">
        <v>448</v>
      </c>
    </row>
    <row r="1091" spans="1:4">
      <c r="A1091" s="5">
        <v>45286</v>
      </c>
      <c r="B1091" s="26" t="s">
        <v>497</v>
      </c>
      <c r="C1091" s="47">
        <v>45261</v>
      </c>
      <c r="D1091" s="26" t="s">
        <v>449</v>
      </c>
    </row>
    <row r="1092" spans="1:4">
      <c r="A1092" s="5">
        <v>45287</v>
      </c>
      <c r="B1092" s="26" t="s">
        <v>497</v>
      </c>
      <c r="C1092" s="47">
        <v>45261</v>
      </c>
      <c r="D1092" s="26" t="s">
        <v>441</v>
      </c>
    </row>
    <row r="1093" spans="1:4">
      <c r="A1093" s="5">
        <v>45288</v>
      </c>
      <c r="B1093" s="26" t="s">
        <v>497</v>
      </c>
      <c r="C1093" s="47">
        <v>45261</v>
      </c>
      <c r="D1093" s="26" t="s">
        <v>443</v>
      </c>
    </row>
    <row r="1094" spans="1:4">
      <c r="A1094" s="5">
        <v>45289</v>
      </c>
      <c r="B1094" s="26" t="s">
        <v>497</v>
      </c>
      <c r="C1094" s="47">
        <v>45261</v>
      </c>
      <c r="D1094" s="26" t="s">
        <v>444</v>
      </c>
    </row>
    <row r="1095" spans="1:4">
      <c r="A1095" s="5">
        <v>45290</v>
      </c>
      <c r="B1095" s="26" t="s">
        <v>497</v>
      </c>
      <c r="C1095" s="47">
        <v>45261</v>
      </c>
      <c r="D1095" s="26" t="s">
        <v>445</v>
      </c>
    </row>
    <row r="1096" spans="1:4">
      <c r="A1096" s="5">
        <v>45291</v>
      </c>
      <c r="B1096" s="26" t="s">
        <v>497</v>
      </c>
      <c r="C1096" s="47">
        <v>45261</v>
      </c>
      <c r="D1096" s="26" t="s">
        <v>447</v>
      </c>
    </row>
    <row r="1097" spans="1:4">
      <c r="A1097" s="82">
        <f t="shared" ref="A1097:A1160" si="12">A1096+1</f>
        <v>45292</v>
      </c>
      <c r="B1097" s="83" t="s">
        <v>442</v>
      </c>
      <c r="C1097" s="84">
        <v>45292</v>
      </c>
      <c r="D1097" s="85" t="s">
        <v>448</v>
      </c>
    </row>
    <row r="1098" spans="1:4">
      <c r="A1098" s="86">
        <f t="shared" si="12"/>
        <v>45293</v>
      </c>
      <c r="B1098" s="87" t="s">
        <v>442</v>
      </c>
      <c r="C1098" s="88">
        <v>45292</v>
      </c>
      <c r="D1098" s="89" t="s">
        <v>449</v>
      </c>
    </row>
    <row r="1099" spans="1:4">
      <c r="A1099" s="86">
        <f t="shared" si="12"/>
        <v>45294</v>
      </c>
      <c r="B1099" s="87" t="s">
        <v>442</v>
      </c>
      <c r="C1099" s="88">
        <v>45292</v>
      </c>
      <c r="D1099" s="89" t="s">
        <v>441</v>
      </c>
    </row>
    <row r="1100" spans="1:4">
      <c r="A1100" s="86">
        <f t="shared" si="12"/>
        <v>45295</v>
      </c>
      <c r="B1100" s="87" t="s">
        <v>442</v>
      </c>
      <c r="C1100" s="88">
        <v>45292</v>
      </c>
      <c r="D1100" s="89" t="s">
        <v>443</v>
      </c>
    </row>
    <row r="1101" spans="1:4">
      <c r="A1101" s="86">
        <f t="shared" si="12"/>
        <v>45296</v>
      </c>
      <c r="B1101" s="87" t="s">
        <v>442</v>
      </c>
      <c r="C1101" s="88">
        <v>45292</v>
      </c>
      <c r="D1101" s="89" t="s">
        <v>444</v>
      </c>
    </row>
    <row r="1102" spans="1:4">
      <c r="A1102" s="86">
        <f t="shared" si="12"/>
        <v>45297</v>
      </c>
      <c r="B1102" s="87" t="s">
        <v>442</v>
      </c>
      <c r="C1102" s="88">
        <v>45292</v>
      </c>
      <c r="D1102" s="89" t="s">
        <v>445</v>
      </c>
    </row>
    <row r="1103" spans="1:4">
      <c r="A1103" s="86">
        <f t="shared" si="12"/>
        <v>45298</v>
      </c>
      <c r="B1103" s="87" t="s">
        <v>442</v>
      </c>
      <c r="C1103" s="88">
        <v>45292</v>
      </c>
      <c r="D1103" s="89" t="s">
        <v>447</v>
      </c>
    </row>
    <row r="1104" spans="1:4">
      <c r="A1104" s="86">
        <f t="shared" si="12"/>
        <v>45299</v>
      </c>
      <c r="B1104" s="87" t="s">
        <v>446</v>
      </c>
      <c r="C1104" s="88">
        <v>45292</v>
      </c>
      <c r="D1104" s="89" t="s">
        <v>448</v>
      </c>
    </row>
    <row r="1105" spans="1:4">
      <c r="A1105" s="86">
        <f t="shared" si="12"/>
        <v>45300</v>
      </c>
      <c r="B1105" s="87" t="s">
        <v>446</v>
      </c>
      <c r="C1105" s="88">
        <v>45292</v>
      </c>
      <c r="D1105" s="89" t="s">
        <v>449</v>
      </c>
    </row>
    <row r="1106" spans="1:4">
      <c r="A1106" s="86">
        <f t="shared" si="12"/>
        <v>45301</v>
      </c>
      <c r="B1106" s="87" t="s">
        <v>446</v>
      </c>
      <c r="C1106" s="88">
        <v>45292</v>
      </c>
      <c r="D1106" s="89" t="s">
        <v>441</v>
      </c>
    </row>
    <row r="1107" spans="1:4">
      <c r="A1107" s="86">
        <f t="shared" si="12"/>
        <v>45302</v>
      </c>
      <c r="B1107" s="87" t="s">
        <v>446</v>
      </c>
      <c r="C1107" s="88">
        <v>45292</v>
      </c>
      <c r="D1107" s="89" t="s">
        <v>443</v>
      </c>
    </row>
    <row r="1108" spans="1:4">
      <c r="A1108" s="86">
        <f t="shared" si="12"/>
        <v>45303</v>
      </c>
      <c r="B1108" s="87" t="s">
        <v>446</v>
      </c>
      <c r="C1108" s="88">
        <v>45292</v>
      </c>
      <c r="D1108" s="89" t="s">
        <v>444</v>
      </c>
    </row>
    <row r="1109" spans="1:4">
      <c r="A1109" s="86">
        <f t="shared" si="12"/>
        <v>45304</v>
      </c>
      <c r="B1109" s="87" t="s">
        <v>446</v>
      </c>
      <c r="C1109" s="88">
        <v>45292</v>
      </c>
      <c r="D1109" s="89" t="s">
        <v>445</v>
      </c>
    </row>
    <row r="1110" spans="1:4">
      <c r="A1110" s="86">
        <f t="shared" si="12"/>
        <v>45305</v>
      </c>
      <c r="B1110" s="87" t="s">
        <v>446</v>
      </c>
      <c r="C1110" s="88">
        <v>45292</v>
      </c>
      <c r="D1110" s="89" t="s">
        <v>447</v>
      </c>
    </row>
    <row r="1111" spans="1:4">
      <c r="A1111" s="86">
        <f t="shared" si="12"/>
        <v>45306</v>
      </c>
      <c r="B1111" s="87" t="s">
        <v>450</v>
      </c>
      <c r="C1111" s="88">
        <v>45292</v>
      </c>
      <c r="D1111" s="89" t="s">
        <v>448</v>
      </c>
    </row>
    <row r="1112" spans="1:4">
      <c r="A1112" s="86">
        <f t="shared" si="12"/>
        <v>45307</v>
      </c>
      <c r="B1112" s="87" t="s">
        <v>450</v>
      </c>
      <c r="C1112" s="88">
        <v>45292</v>
      </c>
      <c r="D1112" s="89" t="s">
        <v>449</v>
      </c>
    </row>
    <row r="1113" spans="1:4">
      <c r="A1113" s="86">
        <f t="shared" si="12"/>
        <v>45308</v>
      </c>
      <c r="B1113" s="87" t="s">
        <v>450</v>
      </c>
      <c r="C1113" s="88">
        <v>45292</v>
      </c>
      <c r="D1113" s="89" t="s">
        <v>441</v>
      </c>
    </row>
    <row r="1114" spans="1:4">
      <c r="A1114" s="86">
        <f t="shared" si="12"/>
        <v>45309</v>
      </c>
      <c r="B1114" s="87" t="s">
        <v>450</v>
      </c>
      <c r="C1114" s="88">
        <v>45292</v>
      </c>
      <c r="D1114" s="89" t="s">
        <v>443</v>
      </c>
    </row>
    <row r="1115" spans="1:4">
      <c r="A1115" s="86">
        <f t="shared" si="12"/>
        <v>45310</v>
      </c>
      <c r="B1115" s="87" t="s">
        <v>450</v>
      </c>
      <c r="C1115" s="88">
        <v>45292</v>
      </c>
      <c r="D1115" s="89" t="s">
        <v>444</v>
      </c>
    </row>
    <row r="1116" spans="1:4">
      <c r="A1116" s="86">
        <f t="shared" si="12"/>
        <v>45311</v>
      </c>
      <c r="B1116" s="87" t="s">
        <v>450</v>
      </c>
      <c r="C1116" s="88">
        <v>45292</v>
      </c>
      <c r="D1116" s="89" t="s">
        <v>445</v>
      </c>
    </row>
    <row r="1117" spans="1:4">
      <c r="A1117" s="86">
        <f t="shared" si="12"/>
        <v>45312</v>
      </c>
      <c r="B1117" s="87" t="s">
        <v>450</v>
      </c>
      <c r="C1117" s="88">
        <v>45292</v>
      </c>
      <c r="D1117" s="89" t="s">
        <v>447</v>
      </c>
    </row>
    <row r="1118" spans="1:4">
      <c r="A1118" s="86">
        <f t="shared" si="12"/>
        <v>45313</v>
      </c>
      <c r="B1118" s="87" t="s">
        <v>451</v>
      </c>
      <c r="C1118" s="88">
        <v>45292</v>
      </c>
      <c r="D1118" s="89" t="s">
        <v>448</v>
      </c>
    </row>
    <row r="1119" spans="1:4">
      <c r="A1119" s="86">
        <f t="shared" si="12"/>
        <v>45314</v>
      </c>
      <c r="B1119" s="87" t="s">
        <v>451</v>
      </c>
      <c r="C1119" s="88">
        <v>45292</v>
      </c>
      <c r="D1119" s="89" t="s">
        <v>449</v>
      </c>
    </row>
    <row r="1120" spans="1:4">
      <c r="A1120" s="86">
        <f t="shared" si="12"/>
        <v>45315</v>
      </c>
      <c r="B1120" s="87" t="s">
        <v>451</v>
      </c>
      <c r="C1120" s="88">
        <v>45292</v>
      </c>
      <c r="D1120" s="89" t="s">
        <v>441</v>
      </c>
    </row>
    <row r="1121" spans="1:4">
      <c r="A1121" s="86">
        <f t="shared" si="12"/>
        <v>45316</v>
      </c>
      <c r="B1121" s="87" t="s">
        <v>451</v>
      </c>
      <c r="C1121" s="88">
        <v>45292</v>
      </c>
      <c r="D1121" s="89" t="s">
        <v>443</v>
      </c>
    </row>
    <row r="1122" spans="1:4">
      <c r="A1122" s="86">
        <f t="shared" si="12"/>
        <v>45317</v>
      </c>
      <c r="B1122" s="87" t="s">
        <v>451</v>
      </c>
      <c r="C1122" s="88">
        <v>45292</v>
      </c>
      <c r="D1122" s="89" t="s">
        <v>444</v>
      </c>
    </row>
    <row r="1123" spans="1:4">
      <c r="A1123" s="86">
        <f t="shared" si="12"/>
        <v>45318</v>
      </c>
      <c r="B1123" s="87" t="s">
        <v>451</v>
      </c>
      <c r="C1123" s="88">
        <v>45292</v>
      </c>
      <c r="D1123" s="89" t="s">
        <v>445</v>
      </c>
    </row>
    <row r="1124" spans="1:4">
      <c r="A1124" s="86">
        <f t="shared" si="12"/>
        <v>45319</v>
      </c>
      <c r="B1124" s="87" t="s">
        <v>451</v>
      </c>
      <c r="C1124" s="88">
        <v>45292</v>
      </c>
      <c r="D1124" s="89" t="s">
        <v>447</v>
      </c>
    </row>
    <row r="1125" spans="1:4">
      <c r="A1125" s="86">
        <f t="shared" si="12"/>
        <v>45320</v>
      </c>
      <c r="B1125" s="87" t="s">
        <v>452</v>
      </c>
      <c r="C1125" s="88">
        <v>45292</v>
      </c>
      <c r="D1125" s="89" t="s">
        <v>448</v>
      </c>
    </row>
    <row r="1126" spans="1:4">
      <c r="A1126" s="86">
        <f t="shared" si="12"/>
        <v>45321</v>
      </c>
      <c r="B1126" s="87" t="s">
        <v>452</v>
      </c>
      <c r="C1126" s="88">
        <v>45292</v>
      </c>
      <c r="D1126" s="89" t="s">
        <v>449</v>
      </c>
    </row>
    <row r="1127" spans="1:4">
      <c r="A1127" s="86">
        <f t="shared" si="12"/>
        <v>45322</v>
      </c>
      <c r="B1127" s="87" t="s">
        <v>452</v>
      </c>
      <c r="C1127" s="88">
        <v>45292</v>
      </c>
      <c r="D1127" s="89" t="s">
        <v>441</v>
      </c>
    </row>
    <row r="1128" spans="1:4">
      <c r="A1128" s="86">
        <f t="shared" si="12"/>
        <v>45323</v>
      </c>
      <c r="B1128" s="87" t="s">
        <v>452</v>
      </c>
      <c r="C1128" s="88">
        <v>45323</v>
      </c>
      <c r="D1128" s="89" t="s">
        <v>443</v>
      </c>
    </row>
    <row r="1129" spans="1:4">
      <c r="A1129" s="86">
        <f t="shared" si="12"/>
        <v>45324</v>
      </c>
      <c r="B1129" s="87" t="s">
        <v>452</v>
      </c>
      <c r="C1129" s="88">
        <v>45323</v>
      </c>
      <c r="D1129" s="89" t="s">
        <v>444</v>
      </c>
    </row>
    <row r="1130" spans="1:4">
      <c r="A1130" s="86">
        <f t="shared" si="12"/>
        <v>45325</v>
      </c>
      <c r="B1130" s="87" t="s">
        <v>452</v>
      </c>
      <c r="C1130" s="88">
        <v>45323</v>
      </c>
      <c r="D1130" s="89" t="s">
        <v>445</v>
      </c>
    </row>
    <row r="1131" spans="1:4">
      <c r="A1131" s="86">
        <f t="shared" si="12"/>
        <v>45326</v>
      </c>
      <c r="B1131" s="87" t="s">
        <v>452</v>
      </c>
      <c r="C1131" s="88">
        <v>45323</v>
      </c>
      <c r="D1131" s="89" t="s">
        <v>447</v>
      </c>
    </row>
    <row r="1132" spans="1:4">
      <c r="A1132" s="86">
        <f t="shared" si="12"/>
        <v>45327</v>
      </c>
      <c r="B1132" s="87" t="s">
        <v>453</v>
      </c>
      <c r="C1132" s="88">
        <v>45323</v>
      </c>
      <c r="D1132" s="89" t="s">
        <v>448</v>
      </c>
    </row>
    <row r="1133" spans="1:4">
      <c r="A1133" s="86">
        <f t="shared" si="12"/>
        <v>45328</v>
      </c>
      <c r="B1133" s="87" t="s">
        <v>453</v>
      </c>
      <c r="C1133" s="88">
        <v>45323</v>
      </c>
      <c r="D1133" s="89" t="s">
        <v>449</v>
      </c>
    </row>
    <row r="1134" spans="1:4">
      <c r="A1134" s="86">
        <f t="shared" si="12"/>
        <v>45329</v>
      </c>
      <c r="B1134" s="87" t="s">
        <v>453</v>
      </c>
      <c r="C1134" s="88">
        <v>45323</v>
      </c>
      <c r="D1134" s="89" t="s">
        <v>441</v>
      </c>
    </row>
    <row r="1135" spans="1:4">
      <c r="A1135" s="86">
        <f t="shared" si="12"/>
        <v>45330</v>
      </c>
      <c r="B1135" s="87" t="s">
        <v>453</v>
      </c>
      <c r="C1135" s="88">
        <v>45323</v>
      </c>
      <c r="D1135" s="89" t="s">
        <v>443</v>
      </c>
    </row>
    <row r="1136" spans="1:4">
      <c r="A1136" s="86">
        <f t="shared" si="12"/>
        <v>45331</v>
      </c>
      <c r="B1136" s="87" t="s">
        <v>453</v>
      </c>
      <c r="C1136" s="88">
        <v>45323</v>
      </c>
      <c r="D1136" s="89" t="s">
        <v>444</v>
      </c>
    </row>
    <row r="1137" spans="1:4">
      <c r="A1137" s="86">
        <f t="shared" si="12"/>
        <v>45332</v>
      </c>
      <c r="B1137" s="87" t="s">
        <v>453</v>
      </c>
      <c r="C1137" s="88">
        <v>45323</v>
      </c>
      <c r="D1137" s="89" t="s">
        <v>445</v>
      </c>
    </row>
    <row r="1138" spans="1:4">
      <c r="A1138" s="86">
        <f t="shared" si="12"/>
        <v>45333</v>
      </c>
      <c r="B1138" s="87" t="s">
        <v>453</v>
      </c>
      <c r="C1138" s="88">
        <v>45323</v>
      </c>
      <c r="D1138" s="89" t="s">
        <v>447</v>
      </c>
    </row>
    <row r="1139" spans="1:4">
      <c r="A1139" s="86">
        <f t="shared" si="12"/>
        <v>45334</v>
      </c>
      <c r="B1139" s="87" t="s">
        <v>454</v>
      </c>
      <c r="C1139" s="88">
        <v>45323</v>
      </c>
      <c r="D1139" s="89" t="s">
        <v>448</v>
      </c>
    </row>
    <row r="1140" spans="1:4">
      <c r="A1140" s="86">
        <f t="shared" si="12"/>
        <v>45335</v>
      </c>
      <c r="B1140" s="87" t="s">
        <v>454</v>
      </c>
      <c r="C1140" s="88">
        <v>45323</v>
      </c>
      <c r="D1140" s="89" t="s">
        <v>449</v>
      </c>
    </row>
    <row r="1141" spans="1:4">
      <c r="A1141" s="86">
        <f t="shared" si="12"/>
        <v>45336</v>
      </c>
      <c r="B1141" s="87" t="s">
        <v>454</v>
      </c>
      <c r="C1141" s="88">
        <v>45323</v>
      </c>
      <c r="D1141" s="89" t="s">
        <v>441</v>
      </c>
    </row>
    <row r="1142" spans="1:4">
      <c r="A1142" s="86">
        <f t="shared" si="12"/>
        <v>45337</v>
      </c>
      <c r="B1142" s="87" t="s">
        <v>454</v>
      </c>
      <c r="C1142" s="88">
        <v>45323</v>
      </c>
      <c r="D1142" s="89" t="s">
        <v>443</v>
      </c>
    </row>
    <row r="1143" spans="1:4">
      <c r="A1143" s="86">
        <f t="shared" si="12"/>
        <v>45338</v>
      </c>
      <c r="B1143" s="87" t="s">
        <v>454</v>
      </c>
      <c r="C1143" s="88">
        <v>45323</v>
      </c>
      <c r="D1143" s="89" t="s">
        <v>444</v>
      </c>
    </row>
    <row r="1144" spans="1:4">
      <c r="A1144" s="86">
        <f t="shared" si="12"/>
        <v>45339</v>
      </c>
      <c r="B1144" s="87" t="s">
        <v>454</v>
      </c>
      <c r="C1144" s="88">
        <v>45323</v>
      </c>
      <c r="D1144" s="89" t="s">
        <v>445</v>
      </c>
    </row>
    <row r="1145" spans="1:4">
      <c r="A1145" s="86">
        <f t="shared" si="12"/>
        <v>45340</v>
      </c>
      <c r="B1145" s="87" t="s">
        <v>454</v>
      </c>
      <c r="C1145" s="88">
        <v>45323</v>
      </c>
      <c r="D1145" s="89" t="s">
        <v>447</v>
      </c>
    </row>
    <row r="1146" spans="1:4">
      <c r="A1146" s="86">
        <f t="shared" si="12"/>
        <v>45341</v>
      </c>
      <c r="B1146" s="87" t="s">
        <v>455</v>
      </c>
      <c r="C1146" s="88">
        <v>45323</v>
      </c>
      <c r="D1146" s="89" t="s">
        <v>448</v>
      </c>
    </row>
    <row r="1147" spans="1:4">
      <c r="A1147" s="86">
        <f t="shared" si="12"/>
        <v>45342</v>
      </c>
      <c r="B1147" s="87" t="s">
        <v>455</v>
      </c>
      <c r="C1147" s="88">
        <v>45323</v>
      </c>
      <c r="D1147" s="89" t="s">
        <v>449</v>
      </c>
    </row>
    <row r="1148" spans="1:4">
      <c r="A1148" s="86">
        <f t="shared" si="12"/>
        <v>45343</v>
      </c>
      <c r="B1148" s="87" t="s">
        <v>455</v>
      </c>
      <c r="C1148" s="88">
        <v>45323</v>
      </c>
      <c r="D1148" s="89" t="s">
        <v>441</v>
      </c>
    </row>
    <row r="1149" spans="1:4">
      <c r="A1149" s="86">
        <f t="shared" si="12"/>
        <v>45344</v>
      </c>
      <c r="B1149" s="87" t="s">
        <v>455</v>
      </c>
      <c r="C1149" s="88">
        <v>45323</v>
      </c>
      <c r="D1149" s="89" t="s">
        <v>443</v>
      </c>
    </row>
    <row r="1150" spans="1:4">
      <c r="A1150" s="86">
        <f t="shared" si="12"/>
        <v>45345</v>
      </c>
      <c r="B1150" s="87" t="s">
        <v>455</v>
      </c>
      <c r="C1150" s="88">
        <v>45323</v>
      </c>
      <c r="D1150" s="89" t="s">
        <v>444</v>
      </c>
    </row>
    <row r="1151" spans="1:4">
      <c r="A1151" s="86">
        <f t="shared" si="12"/>
        <v>45346</v>
      </c>
      <c r="B1151" s="87" t="s">
        <v>455</v>
      </c>
      <c r="C1151" s="88">
        <v>45323</v>
      </c>
      <c r="D1151" s="89" t="s">
        <v>445</v>
      </c>
    </row>
    <row r="1152" spans="1:4">
      <c r="A1152" s="86">
        <f t="shared" si="12"/>
        <v>45347</v>
      </c>
      <c r="B1152" s="87" t="s">
        <v>455</v>
      </c>
      <c r="C1152" s="88">
        <v>45323</v>
      </c>
      <c r="D1152" s="89" t="s">
        <v>447</v>
      </c>
    </row>
    <row r="1153" spans="1:4">
      <c r="A1153" s="86">
        <f t="shared" si="12"/>
        <v>45348</v>
      </c>
      <c r="B1153" s="87" t="s">
        <v>456</v>
      </c>
      <c r="C1153" s="88">
        <v>45323</v>
      </c>
      <c r="D1153" s="89" t="s">
        <v>448</v>
      </c>
    </row>
    <row r="1154" spans="1:4">
      <c r="A1154" s="86">
        <f t="shared" si="12"/>
        <v>45349</v>
      </c>
      <c r="B1154" s="87" t="s">
        <v>456</v>
      </c>
      <c r="C1154" s="88">
        <v>45323</v>
      </c>
      <c r="D1154" s="89" t="s">
        <v>449</v>
      </c>
    </row>
    <row r="1155" spans="1:4">
      <c r="A1155" s="86">
        <f t="shared" si="12"/>
        <v>45350</v>
      </c>
      <c r="B1155" s="87" t="s">
        <v>456</v>
      </c>
      <c r="C1155" s="88">
        <v>45323</v>
      </c>
      <c r="D1155" s="89" t="s">
        <v>441</v>
      </c>
    </row>
    <row r="1156" spans="1:4">
      <c r="A1156" s="86">
        <f t="shared" si="12"/>
        <v>45351</v>
      </c>
      <c r="B1156" s="87" t="s">
        <v>456</v>
      </c>
      <c r="C1156" s="88">
        <v>45323</v>
      </c>
      <c r="D1156" s="89" t="s">
        <v>443</v>
      </c>
    </row>
    <row r="1157" spans="1:4">
      <c r="A1157" s="86">
        <f t="shared" si="12"/>
        <v>45352</v>
      </c>
      <c r="B1157" s="87" t="s">
        <v>456</v>
      </c>
      <c r="C1157" s="88">
        <v>45352</v>
      </c>
      <c r="D1157" s="89" t="s">
        <v>444</v>
      </c>
    </row>
    <row r="1158" spans="1:4">
      <c r="A1158" s="86">
        <f t="shared" si="12"/>
        <v>45353</v>
      </c>
      <c r="B1158" s="87" t="s">
        <v>456</v>
      </c>
      <c r="C1158" s="88">
        <v>45352</v>
      </c>
      <c r="D1158" s="89" t="s">
        <v>445</v>
      </c>
    </row>
    <row r="1159" spans="1:4">
      <c r="A1159" s="86">
        <f t="shared" si="12"/>
        <v>45354</v>
      </c>
      <c r="B1159" s="87" t="s">
        <v>456</v>
      </c>
      <c r="C1159" s="88">
        <v>45352</v>
      </c>
      <c r="D1159" s="89" t="s">
        <v>447</v>
      </c>
    </row>
    <row r="1160" spans="1:4">
      <c r="A1160" s="86">
        <f t="shared" si="12"/>
        <v>45355</v>
      </c>
      <c r="B1160" s="87" t="s">
        <v>457</v>
      </c>
      <c r="C1160" s="88">
        <v>45352</v>
      </c>
      <c r="D1160" s="89" t="s">
        <v>448</v>
      </c>
    </row>
    <row r="1161" spans="1:4">
      <c r="A1161" s="86">
        <f t="shared" ref="A1161:A1224" si="13">A1160+1</f>
        <v>45356</v>
      </c>
      <c r="B1161" s="87" t="s">
        <v>457</v>
      </c>
      <c r="C1161" s="88">
        <v>45352</v>
      </c>
      <c r="D1161" s="89" t="s">
        <v>449</v>
      </c>
    </row>
    <row r="1162" spans="1:4">
      <c r="A1162" s="86">
        <f t="shared" si="13"/>
        <v>45357</v>
      </c>
      <c r="B1162" s="87" t="s">
        <v>457</v>
      </c>
      <c r="C1162" s="88">
        <v>45352</v>
      </c>
      <c r="D1162" s="89" t="s">
        <v>441</v>
      </c>
    </row>
    <row r="1163" spans="1:4">
      <c r="A1163" s="86">
        <f t="shared" si="13"/>
        <v>45358</v>
      </c>
      <c r="B1163" s="87" t="s">
        <v>457</v>
      </c>
      <c r="C1163" s="88">
        <v>45352</v>
      </c>
      <c r="D1163" s="89" t="s">
        <v>443</v>
      </c>
    </row>
    <row r="1164" spans="1:4">
      <c r="A1164" s="86">
        <f t="shared" si="13"/>
        <v>45359</v>
      </c>
      <c r="B1164" s="87" t="s">
        <v>457</v>
      </c>
      <c r="C1164" s="88">
        <v>45352</v>
      </c>
      <c r="D1164" s="89" t="s">
        <v>444</v>
      </c>
    </row>
    <row r="1165" spans="1:4">
      <c r="A1165" s="86">
        <f t="shared" si="13"/>
        <v>45360</v>
      </c>
      <c r="B1165" s="87" t="s">
        <v>457</v>
      </c>
      <c r="C1165" s="88">
        <v>45352</v>
      </c>
      <c r="D1165" s="89" t="s">
        <v>445</v>
      </c>
    </row>
    <row r="1166" spans="1:4">
      <c r="A1166" s="86">
        <f t="shared" si="13"/>
        <v>45361</v>
      </c>
      <c r="B1166" s="87" t="s">
        <v>457</v>
      </c>
      <c r="C1166" s="88">
        <v>45352</v>
      </c>
      <c r="D1166" s="89" t="s">
        <v>447</v>
      </c>
    </row>
    <row r="1167" spans="1:4">
      <c r="A1167" s="86">
        <f t="shared" si="13"/>
        <v>45362</v>
      </c>
      <c r="B1167" s="87" t="s">
        <v>458</v>
      </c>
      <c r="C1167" s="88">
        <v>45352</v>
      </c>
      <c r="D1167" s="89" t="s">
        <v>448</v>
      </c>
    </row>
    <row r="1168" spans="1:4">
      <c r="A1168" s="86">
        <f t="shared" si="13"/>
        <v>45363</v>
      </c>
      <c r="B1168" s="87" t="s">
        <v>458</v>
      </c>
      <c r="C1168" s="88">
        <v>45352</v>
      </c>
      <c r="D1168" s="89" t="s">
        <v>449</v>
      </c>
    </row>
    <row r="1169" spans="1:4">
      <c r="A1169" s="86">
        <f t="shared" si="13"/>
        <v>45364</v>
      </c>
      <c r="B1169" s="87" t="s">
        <v>458</v>
      </c>
      <c r="C1169" s="88">
        <v>45352</v>
      </c>
      <c r="D1169" s="89" t="s">
        <v>441</v>
      </c>
    </row>
    <row r="1170" spans="1:4">
      <c r="A1170" s="86">
        <f t="shared" si="13"/>
        <v>45365</v>
      </c>
      <c r="B1170" s="87" t="s">
        <v>458</v>
      </c>
      <c r="C1170" s="88">
        <v>45352</v>
      </c>
      <c r="D1170" s="89" t="s">
        <v>443</v>
      </c>
    </row>
    <row r="1171" spans="1:4">
      <c r="A1171" s="86">
        <f t="shared" si="13"/>
        <v>45366</v>
      </c>
      <c r="B1171" s="87" t="s">
        <v>458</v>
      </c>
      <c r="C1171" s="88">
        <v>45352</v>
      </c>
      <c r="D1171" s="89" t="s">
        <v>444</v>
      </c>
    </row>
    <row r="1172" spans="1:4">
      <c r="A1172" s="86">
        <f t="shared" si="13"/>
        <v>45367</v>
      </c>
      <c r="B1172" s="87" t="s">
        <v>458</v>
      </c>
      <c r="C1172" s="88">
        <v>45352</v>
      </c>
      <c r="D1172" s="89" t="s">
        <v>445</v>
      </c>
    </row>
    <row r="1173" spans="1:4">
      <c r="A1173" s="86">
        <f t="shared" si="13"/>
        <v>45368</v>
      </c>
      <c r="B1173" s="87" t="s">
        <v>458</v>
      </c>
      <c r="C1173" s="88">
        <v>45352</v>
      </c>
      <c r="D1173" s="89" t="s">
        <v>447</v>
      </c>
    </row>
    <row r="1174" spans="1:4">
      <c r="A1174" s="86">
        <f t="shared" si="13"/>
        <v>45369</v>
      </c>
      <c r="B1174" s="87" t="s">
        <v>459</v>
      </c>
      <c r="C1174" s="88">
        <v>45352</v>
      </c>
      <c r="D1174" s="89" t="s">
        <v>448</v>
      </c>
    </row>
    <row r="1175" spans="1:4">
      <c r="A1175" s="86">
        <f t="shared" si="13"/>
        <v>45370</v>
      </c>
      <c r="B1175" s="87" t="s">
        <v>459</v>
      </c>
      <c r="C1175" s="88">
        <v>45352</v>
      </c>
      <c r="D1175" s="89" t="s">
        <v>449</v>
      </c>
    </row>
    <row r="1176" spans="1:4">
      <c r="A1176" s="86">
        <f t="shared" si="13"/>
        <v>45371</v>
      </c>
      <c r="B1176" s="87" t="s">
        <v>459</v>
      </c>
      <c r="C1176" s="88">
        <v>45352</v>
      </c>
      <c r="D1176" s="89" t="s">
        <v>441</v>
      </c>
    </row>
    <row r="1177" spans="1:4">
      <c r="A1177" s="86">
        <f t="shared" si="13"/>
        <v>45372</v>
      </c>
      <c r="B1177" s="87" t="s">
        <v>459</v>
      </c>
      <c r="C1177" s="88">
        <v>45352</v>
      </c>
      <c r="D1177" s="89" t="s">
        <v>443</v>
      </c>
    </row>
    <row r="1178" spans="1:4">
      <c r="A1178" s="86">
        <f t="shared" si="13"/>
        <v>45373</v>
      </c>
      <c r="B1178" s="87" t="s">
        <v>459</v>
      </c>
      <c r="C1178" s="88">
        <v>45352</v>
      </c>
      <c r="D1178" s="89" t="s">
        <v>444</v>
      </c>
    </row>
    <row r="1179" spans="1:4">
      <c r="A1179" s="86">
        <f t="shared" si="13"/>
        <v>45374</v>
      </c>
      <c r="B1179" s="87" t="s">
        <v>459</v>
      </c>
      <c r="C1179" s="88">
        <v>45352</v>
      </c>
      <c r="D1179" s="89" t="s">
        <v>445</v>
      </c>
    </row>
    <row r="1180" spans="1:4">
      <c r="A1180" s="86">
        <f t="shared" si="13"/>
        <v>45375</v>
      </c>
      <c r="B1180" s="87" t="s">
        <v>459</v>
      </c>
      <c r="C1180" s="88">
        <v>45352</v>
      </c>
      <c r="D1180" s="89" t="s">
        <v>447</v>
      </c>
    </row>
    <row r="1181" spans="1:4">
      <c r="A1181" s="86">
        <f t="shared" si="13"/>
        <v>45376</v>
      </c>
      <c r="B1181" s="87" t="s">
        <v>460</v>
      </c>
      <c r="C1181" s="88">
        <v>45352</v>
      </c>
      <c r="D1181" s="89" t="s">
        <v>448</v>
      </c>
    </row>
    <row r="1182" spans="1:4">
      <c r="A1182" s="86">
        <f t="shared" si="13"/>
        <v>45377</v>
      </c>
      <c r="B1182" s="87" t="s">
        <v>460</v>
      </c>
      <c r="C1182" s="88">
        <v>45352</v>
      </c>
      <c r="D1182" s="89" t="s">
        <v>449</v>
      </c>
    </row>
    <row r="1183" spans="1:4">
      <c r="A1183" s="86">
        <f t="shared" si="13"/>
        <v>45378</v>
      </c>
      <c r="B1183" s="87" t="s">
        <v>460</v>
      </c>
      <c r="C1183" s="88">
        <v>45352</v>
      </c>
      <c r="D1183" s="89" t="s">
        <v>441</v>
      </c>
    </row>
    <row r="1184" spans="1:4">
      <c r="A1184" s="86">
        <f t="shared" si="13"/>
        <v>45379</v>
      </c>
      <c r="B1184" s="87" t="s">
        <v>460</v>
      </c>
      <c r="C1184" s="88">
        <v>45352</v>
      </c>
      <c r="D1184" s="89" t="s">
        <v>443</v>
      </c>
    </row>
    <row r="1185" spans="1:4">
      <c r="A1185" s="86">
        <f t="shared" si="13"/>
        <v>45380</v>
      </c>
      <c r="B1185" s="87" t="s">
        <v>460</v>
      </c>
      <c r="C1185" s="88">
        <v>45352</v>
      </c>
      <c r="D1185" s="89" t="s">
        <v>444</v>
      </c>
    </row>
    <row r="1186" spans="1:4">
      <c r="A1186" s="86">
        <f t="shared" si="13"/>
        <v>45381</v>
      </c>
      <c r="B1186" s="87" t="s">
        <v>460</v>
      </c>
      <c r="C1186" s="88">
        <v>45352</v>
      </c>
      <c r="D1186" s="89" t="s">
        <v>445</v>
      </c>
    </row>
    <row r="1187" spans="1:4">
      <c r="A1187" s="86">
        <f t="shared" si="13"/>
        <v>45382</v>
      </c>
      <c r="B1187" s="87" t="s">
        <v>460</v>
      </c>
      <c r="C1187" s="88">
        <v>45352</v>
      </c>
      <c r="D1187" s="89" t="s">
        <v>447</v>
      </c>
    </row>
    <row r="1188" spans="1:4">
      <c r="A1188" s="86">
        <f t="shared" si="13"/>
        <v>45383</v>
      </c>
      <c r="B1188" s="87" t="s">
        <v>461</v>
      </c>
      <c r="C1188" s="88">
        <v>45383</v>
      </c>
      <c r="D1188" s="89" t="s">
        <v>448</v>
      </c>
    </row>
    <row r="1189" spans="1:4">
      <c r="A1189" s="86">
        <f t="shared" si="13"/>
        <v>45384</v>
      </c>
      <c r="B1189" s="87" t="s">
        <v>461</v>
      </c>
      <c r="C1189" s="88">
        <v>45383</v>
      </c>
      <c r="D1189" s="89" t="s">
        <v>449</v>
      </c>
    </row>
    <row r="1190" spans="1:4">
      <c r="A1190" s="86">
        <f t="shared" si="13"/>
        <v>45385</v>
      </c>
      <c r="B1190" s="87" t="s">
        <v>461</v>
      </c>
      <c r="C1190" s="88">
        <v>45383</v>
      </c>
      <c r="D1190" s="89" t="s">
        <v>441</v>
      </c>
    </row>
    <row r="1191" spans="1:4">
      <c r="A1191" s="86">
        <f t="shared" si="13"/>
        <v>45386</v>
      </c>
      <c r="B1191" s="87" t="s">
        <v>461</v>
      </c>
      <c r="C1191" s="88">
        <v>45383</v>
      </c>
      <c r="D1191" s="89" t="s">
        <v>443</v>
      </c>
    </row>
    <row r="1192" spans="1:4">
      <c r="A1192" s="86">
        <f t="shared" si="13"/>
        <v>45387</v>
      </c>
      <c r="B1192" s="87" t="s">
        <v>461</v>
      </c>
      <c r="C1192" s="88">
        <v>45383</v>
      </c>
      <c r="D1192" s="89" t="s">
        <v>444</v>
      </c>
    </row>
    <row r="1193" spans="1:4">
      <c r="A1193" s="86">
        <f t="shared" si="13"/>
        <v>45388</v>
      </c>
      <c r="B1193" s="87" t="s">
        <v>461</v>
      </c>
      <c r="C1193" s="88">
        <v>45383</v>
      </c>
      <c r="D1193" s="89" t="s">
        <v>445</v>
      </c>
    </row>
    <row r="1194" spans="1:4">
      <c r="A1194" s="86">
        <f t="shared" si="13"/>
        <v>45389</v>
      </c>
      <c r="B1194" s="87" t="s">
        <v>461</v>
      </c>
      <c r="C1194" s="88">
        <v>45383</v>
      </c>
      <c r="D1194" s="89" t="s">
        <v>447</v>
      </c>
    </row>
    <row r="1195" spans="1:4">
      <c r="A1195" s="86">
        <f t="shared" si="13"/>
        <v>45390</v>
      </c>
      <c r="B1195" s="87" t="s">
        <v>462</v>
      </c>
      <c r="C1195" s="88">
        <v>45383</v>
      </c>
      <c r="D1195" s="89" t="s">
        <v>448</v>
      </c>
    </row>
    <row r="1196" spans="1:4">
      <c r="A1196" s="86">
        <f t="shared" si="13"/>
        <v>45391</v>
      </c>
      <c r="B1196" s="87" t="s">
        <v>462</v>
      </c>
      <c r="C1196" s="88">
        <v>45383</v>
      </c>
      <c r="D1196" s="89" t="s">
        <v>449</v>
      </c>
    </row>
    <row r="1197" spans="1:4">
      <c r="A1197" s="86">
        <f t="shared" si="13"/>
        <v>45392</v>
      </c>
      <c r="B1197" s="87" t="s">
        <v>462</v>
      </c>
      <c r="C1197" s="88">
        <v>45383</v>
      </c>
      <c r="D1197" s="89" t="s">
        <v>441</v>
      </c>
    </row>
    <row r="1198" spans="1:4">
      <c r="A1198" s="86">
        <f t="shared" si="13"/>
        <v>45393</v>
      </c>
      <c r="B1198" s="87" t="s">
        <v>462</v>
      </c>
      <c r="C1198" s="88">
        <v>45383</v>
      </c>
      <c r="D1198" s="89" t="s">
        <v>443</v>
      </c>
    </row>
    <row r="1199" spans="1:4">
      <c r="A1199" s="86">
        <f t="shared" si="13"/>
        <v>45394</v>
      </c>
      <c r="B1199" s="87" t="s">
        <v>462</v>
      </c>
      <c r="C1199" s="88">
        <v>45383</v>
      </c>
      <c r="D1199" s="89" t="s">
        <v>444</v>
      </c>
    </row>
    <row r="1200" spans="1:4">
      <c r="A1200" s="86">
        <f t="shared" si="13"/>
        <v>45395</v>
      </c>
      <c r="B1200" s="87" t="s">
        <v>462</v>
      </c>
      <c r="C1200" s="88">
        <v>45383</v>
      </c>
      <c r="D1200" s="89" t="s">
        <v>445</v>
      </c>
    </row>
    <row r="1201" spans="1:4">
      <c r="A1201" s="86">
        <f t="shared" si="13"/>
        <v>45396</v>
      </c>
      <c r="B1201" s="87" t="s">
        <v>462</v>
      </c>
      <c r="C1201" s="88">
        <v>45383</v>
      </c>
      <c r="D1201" s="89" t="s">
        <v>447</v>
      </c>
    </row>
    <row r="1202" spans="1:4">
      <c r="A1202" s="86">
        <f t="shared" si="13"/>
        <v>45397</v>
      </c>
      <c r="B1202" s="87" t="s">
        <v>463</v>
      </c>
      <c r="C1202" s="88">
        <v>45383</v>
      </c>
      <c r="D1202" s="89" t="s">
        <v>448</v>
      </c>
    </row>
    <row r="1203" spans="1:4">
      <c r="A1203" s="86">
        <f t="shared" si="13"/>
        <v>45398</v>
      </c>
      <c r="B1203" s="87" t="s">
        <v>463</v>
      </c>
      <c r="C1203" s="88">
        <v>45383</v>
      </c>
      <c r="D1203" s="89" t="s">
        <v>449</v>
      </c>
    </row>
    <row r="1204" spans="1:4">
      <c r="A1204" s="86">
        <f t="shared" si="13"/>
        <v>45399</v>
      </c>
      <c r="B1204" s="87" t="s">
        <v>463</v>
      </c>
      <c r="C1204" s="88">
        <v>45383</v>
      </c>
      <c r="D1204" s="89" t="s">
        <v>441</v>
      </c>
    </row>
    <row r="1205" spans="1:4">
      <c r="A1205" s="86">
        <f t="shared" si="13"/>
        <v>45400</v>
      </c>
      <c r="B1205" s="87" t="s">
        <v>463</v>
      </c>
      <c r="C1205" s="88">
        <v>45383</v>
      </c>
      <c r="D1205" s="89" t="s">
        <v>443</v>
      </c>
    </row>
    <row r="1206" spans="1:4">
      <c r="A1206" s="86">
        <f t="shared" si="13"/>
        <v>45401</v>
      </c>
      <c r="B1206" s="87" t="s">
        <v>463</v>
      </c>
      <c r="C1206" s="88">
        <v>45383</v>
      </c>
      <c r="D1206" s="89" t="s">
        <v>444</v>
      </c>
    </row>
    <row r="1207" spans="1:4">
      <c r="A1207" s="86">
        <f t="shared" si="13"/>
        <v>45402</v>
      </c>
      <c r="B1207" s="87" t="s">
        <v>463</v>
      </c>
      <c r="C1207" s="88">
        <v>45383</v>
      </c>
      <c r="D1207" s="89" t="s">
        <v>445</v>
      </c>
    </row>
    <row r="1208" spans="1:4">
      <c r="A1208" s="86">
        <f t="shared" si="13"/>
        <v>45403</v>
      </c>
      <c r="B1208" s="87" t="s">
        <v>463</v>
      </c>
      <c r="C1208" s="88">
        <v>45383</v>
      </c>
      <c r="D1208" s="89" t="s">
        <v>447</v>
      </c>
    </row>
    <row r="1209" spans="1:4">
      <c r="A1209" s="86">
        <f t="shared" si="13"/>
        <v>45404</v>
      </c>
      <c r="B1209" s="87" t="s">
        <v>464</v>
      </c>
      <c r="C1209" s="88">
        <v>45383</v>
      </c>
      <c r="D1209" s="89" t="s">
        <v>448</v>
      </c>
    </row>
    <row r="1210" spans="1:4">
      <c r="A1210" s="86">
        <f t="shared" si="13"/>
        <v>45405</v>
      </c>
      <c r="B1210" s="87" t="s">
        <v>464</v>
      </c>
      <c r="C1210" s="88">
        <v>45383</v>
      </c>
      <c r="D1210" s="89" t="s">
        <v>449</v>
      </c>
    </row>
    <row r="1211" spans="1:4">
      <c r="A1211" s="86">
        <f t="shared" si="13"/>
        <v>45406</v>
      </c>
      <c r="B1211" s="87" t="s">
        <v>464</v>
      </c>
      <c r="C1211" s="88">
        <v>45383</v>
      </c>
      <c r="D1211" s="89" t="s">
        <v>441</v>
      </c>
    </row>
    <row r="1212" spans="1:4">
      <c r="A1212" s="86">
        <f t="shared" si="13"/>
        <v>45407</v>
      </c>
      <c r="B1212" s="87" t="s">
        <v>464</v>
      </c>
      <c r="C1212" s="88">
        <v>45383</v>
      </c>
      <c r="D1212" s="89" t="s">
        <v>443</v>
      </c>
    </row>
    <row r="1213" spans="1:4">
      <c r="A1213" s="86">
        <f t="shared" si="13"/>
        <v>45408</v>
      </c>
      <c r="B1213" s="87" t="s">
        <v>464</v>
      </c>
      <c r="C1213" s="88">
        <v>45383</v>
      </c>
      <c r="D1213" s="89" t="s">
        <v>444</v>
      </c>
    </row>
    <row r="1214" spans="1:4">
      <c r="A1214" s="86">
        <f t="shared" si="13"/>
        <v>45409</v>
      </c>
      <c r="B1214" s="87" t="s">
        <v>464</v>
      </c>
      <c r="C1214" s="88">
        <v>45383</v>
      </c>
      <c r="D1214" s="89" t="s">
        <v>445</v>
      </c>
    </row>
    <row r="1215" spans="1:4">
      <c r="A1215" s="86">
        <f t="shared" si="13"/>
        <v>45410</v>
      </c>
      <c r="B1215" s="87" t="s">
        <v>464</v>
      </c>
      <c r="C1215" s="88">
        <v>45383</v>
      </c>
      <c r="D1215" s="89" t="s">
        <v>447</v>
      </c>
    </row>
    <row r="1216" spans="1:4">
      <c r="A1216" s="86">
        <f t="shared" si="13"/>
        <v>45411</v>
      </c>
      <c r="B1216" s="87" t="s">
        <v>465</v>
      </c>
      <c r="C1216" s="88">
        <v>45383</v>
      </c>
      <c r="D1216" s="89" t="s">
        <v>448</v>
      </c>
    </row>
    <row r="1217" spans="1:4">
      <c r="A1217" s="86">
        <f t="shared" si="13"/>
        <v>45412</v>
      </c>
      <c r="B1217" s="87" t="s">
        <v>465</v>
      </c>
      <c r="C1217" s="88">
        <v>45383</v>
      </c>
      <c r="D1217" s="89" t="s">
        <v>449</v>
      </c>
    </row>
    <row r="1218" spans="1:4">
      <c r="A1218" s="86">
        <f t="shared" si="13"/>
        <v>45413</v>
      </c>
      <c r="B1218" s="87" t="s">
        <v>465</v>
      </c>
      <c r="C1218" s="88">
        <v>45413</v>
      </c>
      <c r="D1218" s="89" t="s">
        <v>441</v>
      </c>
    </row>
    <row r="1219" spans="1:4">
      <c r="A1219" s="86">
        <f t="shared" si="13"/>
        <v>45414</v>
      </c>
      <c r="B1219" s="87" t="s">
        <v>465</v>
      </c>
      <c r="C1219" s="88">
        <v>45413</v>
      </c>
      <c r="D1219" s="89" t="s">
        <v>443</v>
      </c>
    </row>
    <row r="1220" spans="1:4">
      <c r="A1220" s="86">
        <f t="shared" si="13"/>
        <v>45415</v>
      </c>
      <c r="B1220" s="87" t="s">
        <v>465</v>
      </c>
      <c r="C1220" s="88">
        <v>45413</v>
      </c>
      <c r="D1220" s="89" t="s">
        <v>444</v>
      </c>
    </row>
    <row r="1221" spans="1:4">
      <c r="A1221" s="86">
        <f t="shared" si="13"/>
        <v>45416</v>
      </c>
      <c r="B1221" s="87" t="s">
        <v>465</v>
      </c>
      <c r="C1221" s="88">
        <v>45413</v>
      </c>
      <c r="D1221" s="89" t="s">
        <v>445</v>
      </c>
    </row>
    <row r="1222" spans="1:4">
      <c r="A1222" s="86">
        <f t="shared" si="13"/>
        <v>45417</v>
      </c>
      <c r="B1222" s="87" t="s">
        <v>465</v>
      </c>
      <c r="C1222" s="88">
        <v>45413</v>
      </c>
      <c r="D1222" s="89" t="s">
        <v>447</v>
      </c>
    </row>
    <row r="1223" spans="1:4">
      <c r="A1223" s="86">
        <f t="shared" si="13"/>
        <v>45418</v>
      </c>
      <c r="B1223" s="87" t="s">
        <v>127</v>
      </c>
      <c r="C1223" s="88">
        <v>45413</v>
      </c>
      <c r="D1223" s="89" t="s">
        <v>448</v>
      </c>
    </row>
    <row r="1224" spans="1:4">
      <c r="A1224" s="86">
        <f t="shared" si="13"/>
        <v>45419</v>
      </c>
      <c r="B1224" s="87" t="s">
        <v>127</v>
      </c>
      <c r="C1224" s="88">
        <v>45413</v>
      </c>
      <c r="D1224" s="89" t="s">
        <v>449</v>
      </c>
    </row>
    <row r="1225" spans="1:4">
      <c r="A1225" s="86">
        <f t="shared" ref="A1225:A1288" si="14">A1224+1</f>
        <v>45420</v>
      </c>
      <c r="B1225" s="87" t="s">
        <v>127</v>
      </c>
      <c r="C1225" s="88">
        <v>45413</v>
      </c>
      <c r="D1225" s="89" t="s">
        <v>441</v>
      </c>
    </row>
    <row r="1226" spans="1:4">
      <c r="A1226" s="86">
        <f t="shared" si="14"/>
        <v>45421</v>
      </c>
      <c r="B1226" s="87" t="s">
        <v>127</v>
      </c>
      <c r="C1226" s="88">
        <v>45413</v>
      </c>
      <c r="D1226" s="89" t="s">
        <v>443</v>
      </c>
    </row>
    <row r="1227" spans="1:4">
      <c r="A1227" s="86">
        <f t="shared" si="14"/>
        <v>45422</v>
      </c>
      <c r="B1227" s="87" t="s">
        <v>127</v>
      </c>
      <c r="C1227" s="88">
        <v>45413</v>
      </c>
      <c r="D1227" s="89" t="s">
        <v>444</v>
      </c>
    </row>
    <row r="1228" spans="1:4">
      <c r="A1228" s="86">
        <f t="shared" si="14"/>
        <v>45423</v>
      </c>
      <c r="B1228" s="87" t="s">
        <v>127</v>
      </c>
      <c r="C1228" s="88">
        <v>45413</v>
      </c>
      <c r="D1228" s="89" t="s">
        <v>445</v>
      </c>
    </row>
    <row r="1229" spans="1:4">
      <c r="A1229" s="86">
        <f t="shared" si="14"/>
        <v>45424</v>
      </c>
      <c r="B1229" s="87" t="s">
        <v>127</v>
      </c>
      <c r="C1229" s="88">
        <v>45413</v>
      </c>
      <c r="D1229" s="89" t="s">
        <v>447</v>
      </c>
    </row>
    <row r="1230" spans="1:4">
      <c r="A1230" s="86">
        <f t="shared" si="14"/>
        <v>45425</v>
      </c>
      <c r="B1230" s="87" t="s">
        <v>223</v>
      </c>
      <c r="C1230" s="88">
        <v>45413</v>
      </c>
      <c r="D1230" s="89" t="s">
        <v>448</v>
      </c>
    </row>
    <row r="1231" spans="1:4">
      <c r="A1231" s="86">
        <f t="shared" si="14"/>
        <v>45426</v>
      </c>
      <c r="B1231" s="87" t="s">
        <v>223</v>
      </c>
      <c r="C1231" s="88">
        <v>45413</v>
      </c>
      <c r="D1231" s="89" t="s">
        <v>449</v>
      </c>
    </row>
    <row r="1232" spans="1:4">
      <c r="A1232" s="86">
        <f t="shared" si="14"/>
        <v>45427</v>
      </c>
      <c r="B1232" s="87" t="s">
        <v>223</v>
      </c>
      <c r="C1232" s="88">
        <v>45413</v>
      </c>
      <c r="D1232" s="89" t="s">
        <v>441</v>
      </c>
    </row>
    <row r="1233" spans="1:4">
      <c r="A1233" s="86">
        <f t="shared" si="14"/>
        <v>45428</v>
      </c>
      <c r="B1233" s="87" t="s">
        <v>223</v>
      </c>
      <c r="C1233" s="88">
        <v>45413</v>
      </c>
      <c r="D1233" s="89" t="s">
        <v>443</v>
      </c>
    </row>
    <row r="1234" spans="1:4">
      <c r="A1234" s="86">
        <f t="shared" si="14"/>
        <v>45429</v>
      </c>
      <c r="B1234" s="87" t="s">
        <v>223</v>
      </c>
      <c r="C1234" s="88">
        <v>45413</v>
      </c>
      <c r="D1234" s="89" t="s">
        <v>444</v>
      </c>
    </row>
    <row r="1235" spans="1:4">
      <c r="A1235" s="86">
        <f t="shared" si="14"/>
        <v>45430</v>
      </c>
      <c r="B1235" s="87" t="s">
        <v>223</v>
      </c>
      <c r="C1235" s="88">
        <v>45413</v>
      </c>
      <c r="D1235" s="89" t="s">
        <v>445</v>
      </c>
    </row>
    <row r="1236" spans="1:4">
      <c r="A1236" s="86">
        <f t="shared" si="14"/>
        <v>45431</v>
      </c>
      <c r="B1236" s="87" t="s">
        <v>223</v>
      </c>
      <c r="C1236" s="88">
        <v>45413</v>
      </c>
      <c r="D1236" s="89" t="s">
        <v>447</v>
      </c>
    </row>
    <row r="1237" spans="1:4">
      <c r="A1237" s="86">
        <f t="shared" si="14"/>
        <v>45432</v>
      </c>
      <c r="B1237" s="87" t="s">
        <v>466</v>
      </c>
      <c r="C1237" s="88">
        <v>45413</v>
      </c>
      <c r="D1237" s="89" t="s">
        <v>448</v>
      </c>
    </row>
    <row r="1238" spans="1:4">
      <c r="A1238" s="86">
        <f t="shared" si="14"/>
        <v>45433</v>
      </c>
      <c r="B1238" s="87" t="s">
        <v>466</v>
      </c>
      <c r="C1238" s="88">
        <v>45413</v>
      </c>
      <c r="D1238" s="89" t="s">
        <v>449</v>
      </c>
    </row>
    <row r="1239" spans="1:4">
      <c r="A1239" s="86">
        <f t="shared" si="14"/>
        <v>45434</v>
      </c>
      <c r="B1239" s="87" t="s">
        <v>466</v>
      </c>
      <c r="C1239" s="88">
        <v>45413</v>
      </c>
      <c r="D1239" s="89" t="s">
        <v>441</v>
      </c>
    </row>
    <row r="1240" spans="1:4">
      <c r="A1240" s="86">
        <f t="shared" si="14"/>
        <v>45435</v>
      </c>
      <c r="B1240" s="87" t="s">
        <v>466</v>
      </c>
      <c r="C1240" s="88">
        <v>45413</v>
      </c>
      <c r="D1240" s="89" t="s">
        <v>443</v>
      </c>
    </row>
    <row r="1241" spans="1:4">
      <c r="A1241" s="86">
        <f t="shared" si="14"/>
        <v>45436</v>
      </c>
      <c r="B1241" s="87" t="s">
        <v>466</v>
      </c>
      <c r="C1241" s="88">
        <v>45413</v>
      </c>
      <c r="D1241" s="89" t="s">
        <v>444</v>
      </c>
    </row>
    <row r="1242" spans="1:4">
      <c r="A1242" s="86">
        <f t="shared" si="14"/>
        <v>45437</v>
      </c>
      <c r="B1242" s="87" t="s">
        <v>466</v>
      </c>
      <c r="C1242" s="88">
        <v>45413</v>
      </c>
      <c r="D1242" s="89" t="s">
        <v>445</v>
      </c>
    </row>
    <row r="1243" spans="1:4">
      <c r="A1243" s="86">
        <f t="shared" si="14"/>
        <v>45438</v>
      </c>
      <c r="B1243" s="87" t="s">
        <v>466</v>
      </c>
      <c r="C1243" s="88">
        <v>45413</v>
      </c>
      <c r="D1243" s="89" t="s">
        <v>447</v>
      </c>
    </row>
    <row r="1244" spans="1:4">
      <c r="A1244" s="86">
        <f t="shared" si="14"/>
        <v>45439</v>
      </c>
      <c r="B1244" s="87" t="s">
        <v>467</v>
      </c>
      <c r="C1244" s="88">
        <v>45413</v>
      </c>
      <c r="D1244" s="89" t="s">
        <v>448</v>
      </c>
    </row>
    <row r="1245" spans="1:4">
      <c r="A1245" s="86">
        <f t="shared" si="14"/>
        <v>45440</v>
      </c>
      <c r="B1245" s="87" t="s">
        <v>467</v>
      </c>
      <c r="C1245" s="88">
        <v>45413</v>
      </c>
      <c r="D1245" s="89" t="s">
        <v>449</v>
      </c>
    </row>
    <row r="1246" spans="1:4">
      <c r="A1246" s="86">
        <f t="shared" si="14"/>
        <v>45441</v>
      </c>
      <c r="B1246" s="87" t="s">
        <v>467</v>
      </c>
      <c r="C1246" s="88">
        <v>45413</v>
      </c>
      <c r="D1246" s="89" t="s">
        <v>441</v>
      </c>
    </row>
    <row r="1247" spans="1:4">
      <c r="A1247" s="86">
        <f t="shared" si="14"/>
        <v>45442</v>
      </c>
      <c r="B1247" s="87" t="s">
        <v>467</v>
      </c>
      <c r="C1247" s="88">
        <v>45413</v>
      </c>
      <c r="D1247" s="89" t="s">
        <v>443</v>
      </c>
    </row>
    <row r="1248" spans="1:4">
      <c r="A1248" s="86">
        <f t="shared" si="14"/>
        <v>45443</v>
      </c>
      <c r="B1248" s="87" t="s">
        <v>467</v>
      </c>
      <c r="C1248" s="88">
        <v>45413</v>
      </c>
      <c r="D1248" s="89" t="s">
        <v>444</v>
      </c>
    </row>
    <row r="1249" spans="1:4">
      <c r="A1249" s="86">
        <f t="shared" si="14"/>
        <v>45444</v>
      </c>
      <c r="B1249" s="87" t="s">
        <v>467</v>
      </c>
      <c r="C1249" s="88">
        <v>45444</v>
      </c>
      <c r="D1249" s="89" t="s">
        <v>445</v>
      </c>
    </row>
    <row r="1250" spans="1:4">
      <c r="A1250" s="86">
        <f t="shared" si="14"/>
        <v>45445</v>
      </c>
      <c r="B1250" s="87" t="s">
        <v>467</v>
      </c>
      <c r="C1250" s="88">
        <v>45444</v>
      </c>
      <c r="D1250" s="89" t="s">
        <v>447</v>
      </c>
    </row>
    <row r="1251" spans="1:4">
      <c r="A1251" s="86">
        <f t="shared" si="14"/>
        <v>45446</v>
      </c>
      <c r="B1251" s="87" t="s">
        <v>468</v>
      </c>
      <c r="C1251" s="88">
        <v>45444</v>
      </c>
      <c r="D1251" s="89" t="s">
        <v>448</v>
      </c>
    </row>
    <row r="1252" spans="1:4">
      <c r="A1252" s="86">
        <f t="shared" si="14"/>
        <v>45447</v>
      </c>
      <c r="B1252" s="87" t="s">
        <v>468</v>
      </c>
      <c r="C1252" s="88">
        <v>45444</v>
      </c>
      <c r="D1252" s="89" t="s">
        <v>449</v>
      </c>
    </row>
    <row r="1253" spans="1:4">
      <c r="A1253" s="86">
        <f t="shared" si="14"/>
        <v>45448</v>
      </c>
      <c r="B1253" s="87" t="s">
        <v>468</v>
      </c>
      <c r="C1253" s="88">
        <v>45444</v>
      </c>
      <c r="D1253" s="89" t="s">
        <v>441</v>
      </c>
    </row>
    <row r="1254" spans="1:4">
      <c r="A1254" s="86">
        <f t="shared" si="14"/>
        <v>45449</v>
      </c>
      <c r="B1254" s="87" t="s">
        <v>468</v>
      </c>
      <c r="C1254" s="88">
        <v>45444</v>
      </c>
      <c r="D1254" s="89" t="s">
        <v>443</v>
      </c>
    </row>
    <row r="1255" spans="1:4">
      <c r="A1255" s="86">
        <f t="shared" si="14"/>
        <v>45450</v>
      </c>
      <c r="B1255" s="87" t="s">
        <v>468</v>
      </c>
      <c r="C1255" s="88">
        <v>45444</v>
      </c>
      <c r="D1255" s="89" t="s">
        <v>444</v>
      </c>
    </row>
    <row r="1256" spans="1:4">
      <c r="A1256" s="86">
        <f t="shared" si="14"/>
        <v>45451</v>
      </c>
      <c r="B1256" s="87" t="s">
        <v>468</v>
      </c>
      <c r="C1256" s="88">
        <v>45444</v>
      </c>
      <c r="D1256" s="89" t="s">
        <v>445</v>
      </c>
    </row>
    <row r="1257" spans="1:4">
      <c r="A1257" s="86">
        <f t="shared" si="14"/>
        <v>45452</v>
      </c>
      <c r="B1257" s="87" t="s">
        <v>468</v>
      </c>
      <c r="C1257" s="88">
        <v>45444</v>
      </c>
      <c r="D1257" s="89" t="s">
        <v>447</v>
      </c>
    </row>
    <row r="1258" spans="1:4">
      <c r="A1258" s="86">
        <f t="shared" si="14"/>
        <v>45453</v>
      </c>
      <c r="B1258" s="87" t="s">
        <v>469</v>
      </c>
      <c r="C1258" s="88">
        <v>45444</v>
      </c>
      <c r="D1258" s="89" t="s">
        <v>448</v>
      </c>
    </row>
    <row r="1259" spans="1:4">
      <c r="A1259" s="86">
        <f t="shared" si="14"/>
        <v>45454</v>
      </c>
      <c r="B1259" s="87" t="s">
        <v>469</v>
      </c>
      <c r="C1259" s="88">
        <v>45444</v>
      </c>
      <c r="D1259" s="89" t="s">
        <v>449</v>
      </c>
    </row>
    <row r="1260" spans="1:4">
      <c r="A1260" s="86">
        <f t="shared" si="14"/>
        <v>45455</v>
      </c>
      <c r="B1260" s="87" t="s">
        <v>469</v>
      </c>
      <c r="C1260" s="88">
        <v>45444</v>
      </c>
      <c r="D1260" s="89" t="s">
        <v>441</v>
      </c>
    </row>
    <row r="1261" spans="1:4">
      <c r="A1261" s="86">
        <f t="shared" si="14"/>
        <v>45456</v>
      </c>
      <c r="B1261" s="87" t="s">
        <v>469</v>
      </c>
      <c r="C1261" s="88">
        <v>45444</v>
      </c>
      <c r="D1261" s="89" t="s">
        <v>443</v>
      </c>
    </row>
    <row r="1262" spans="1:4">
      <c r="A1262" s="86">
        <f t="shared" si="14"/>
        <v>45457</v>
      </c>
      <c r="B1262" s="87" t="s">
        <v>469</v>
      </c>
      <c r="C1262" s="88">
        <v>45444</v>
      </c>
      <c r="D1262" s="89" t="s">
        <v>444</v>
      </c>
    </row>
    <row r="1263" spans="1:4">
      <c r="A1263" s="86">
        <f t="shared" si="14"/>
        <v>45458</v>
      </c>
      <c r="B1263" s="87" t="s">
        <v>469</v>
      </c>
      <c r="C1263" s="88">
        <v>45444</v>
      </c>
      <c r="D1263" s="89" t="s">
        <v>445</v>
      </c>
    </row>
    <row r="1264" spans="1:4">
      <c r="A1264" s="86">
        <f t="shared" si="14"/>
        <v>45459</v>
      </c>
      <c r="B1264" s="87" t="s">
        <v>469</v>
      </c>
      <c r="C1264" s="88">
        <v>45444</v>
      </c>
      <c r="D1264" s="89" t="s">
        <v>447</v>
      </c>
    </row>
    <row r="1265" spans="1:4">
      <c r="A1265" s="86">
        <f t="shared" si="14"/>
        <v>45460</v>
      </c>
      <c r="B1265" s="87" t="s">
        <v>470</v>
      </c>
      <c r="C1265" s="88">
        <v>45444</v>
      </c>
      <c r="D1265" s="89" t="s">
        <v>448</v>
      </c>
    </row>
    <row r="1266" spans="1:4">
      <c r="A1266" s="86">
        <f t="shared" si="14"/>
        <v>45461</v>
      </c>
      <c r="B1266" s="87" t="s">
        <v>470</v>
      </c>
      <c r="C1266" s="88">
        <v>45444</v>
      </c>
      <c r="D1266" s="89" t="s">
        <v>449</v>
      </c>
    </row>
    <row r="1267" spans="1:4">
      <c r="A1267" s="86">
        <f t="shared" si="14"/>
        <v>45462</v>
      </c>
      <c r="B1267" s="87" t="s">
        <v>470</v>
      </c>
      <c r="C1267" s="88">
        <v>45444</v>
      </c>
      <c r="D1267" s="89" t="s">
        <v>441</v>
      </c>
    </row>
    <row r="1268" spans="1:4">
      <c r="A1268" s="86">
        <f t="shared" si="14"/>
        <v>45463</v>
      </c>
      <c r="B1268" s="87" t="s">
        <v>470</v>
      </c>
      <c r="C1268" s="88">
        <v>45444</v>
      </c>
      <c r="D1268" s="89" t="s">
        <v>443</v>
      </c>
    </row>
    <row r="1269" spans="1:4">
      <c r="A1269" s="86">
        <f t="shared" si="14"/>
        <v>45464</v>
      </c>
      <c r="B1269" s="87" t="s">
        <v>470</v>
      </c>
      <c r="C1269" s="88">
        <v>45444</v>
      </c>
      <c r="D1269" s="89" t="s">
        <v>444</v>
      </c>
    </row>
    <row r="1270" spans="1:4">
      <c r="A1270" s="86">
        <f t="shared" si="14"/>
        <v>45465</v>
      </c>
      <c r="B1270" s="87" t="s">
        <v>470</v>
      </c>
      <c r="C1270" s="88">
        <v>45444</v>
      </c>
      <c r="D1270" s="89" t="s">
        <v>445</v>
      </c>
    </row>
    <row r="1271" spans="1:4">
      <c r="A1271" s="86">
        <f t="shared" si="14"/>
        <v>45466</v>
      </c>
      <c r="B1271" s="87" t="s">
        <v>470</v>
      </c>
      <c r="C1271" s="88">
        <v>45444</v>
      </c>
      <c r="D1271" s="89" t="s">
        <v>447</v>
      </c>
    </row>
    <row r="1272" spans="1:4">
      <c r="A1272" s="86">
        <f t="shared" si="14"/>
        <v>45467</v>
      </c>
      <c r="B1272" s="87" t="s">
        <v>471</v>
      </c>
      <c r="C1272" s="88">
        <v>45444</v>
      </c>
      <c r="D1272" s="89" t="s">
        <v>448</v>
      </c>
    </row>
    <row r="1273" spans="1:4">
      <c r="A1273" s="86">
        <f t="shared" si="14"/>
        <v>45468</v>
      </c>
      <c r="B1273" s="87" t="s">
        <v>471</v>
      </c>
      <c r="C1273" s="88">
        <v>45444</v>
      </c>
      <c r="D1273" s="89" t="s">
        <v>449</v>
      </c>
    </row>
    <row r="1274" spans="1:4">
      <c r="A1274" s="86">
        <f t="shared" si="14"/>
        <v>45469</v>
      </c>
      <c r="B1274" s="87" t="s">
        <v>471</v>
      </c>
      <c r="C1274" s="88">
        <v>45444</v>
      </c>
      <c r="D1274" s="89" t="s">
        <v>441</v>
      </c>
    </row>
    <row r="1275" spans="1:4">
      <c r="A1275" s="86">
        <f t="shared" si="14"/>
        <v>45470</v>
      </c>
      <c r="B1275" s="87" t="s">
        <v>471</v>
      </c>
      <c r="C1275" s="88">
        <v>45444</v>
      </c>
      <c r="D1275" s="89" t="s">
        <v>443</v>
      </c>
    </row>
    <row r="1276" spans="1:4">
      <c r="A1276" s="86">
        <f t="shared" si="14"/>
        <v>45471</v>
      </c>
      <c r="B1276" s="87" t="s">
        <v>471</v>
      </c>
      <c r="C1276" s="88">
        <v>45444</v>
      </c>
      <c r="D1276" s="89" t="s">
        <v>444</v>
      </c>
    </row>
    <row r="1277" spans="1:4">
      <c r="A1277" s="86">
        <f t="shared" si="14"/>
        <v>45472</v>
      </c>
      <c r="B1277" s="87" t="s">
        <v>471</v>
      </c>
      <c r="C1277" s="88">
        <v>45444</v>
      </c>
      <c r="D1277" s="89" t="s">
        <v>445</v>
      </c>
    </row>
    <row r="1278" spans="1:4">
      <c r="A1278" s="86">
        <f t="shared" si="14"/>
        <v>45473</v>
      </c>
      <c r="B1278" s="87" t="s">
        <v>471</v>
      </c>
      <c r="C1278" s="88">
        <v>45444</v>
      </c>
      <c r="D1278" s="89" t="s">
        <v>447</v>
      </c>
    </row>
    <row r="1279" spans="1:4">
      <c r="A1279" s="86">
        <f t="shared" si="14"/>
        <v>45474</v>
      </c>
      <c r="B1279" s="87" t="s">
        <v>472</v>
      </c>
      <c r="C1279" s="88">
        <v>45474</v>
      </c>
      <c r="D1279" s="89" t="s">
        <v>448</v>
      </c>
    </row>
    <row r="1280" spans="1:4">
      <c r="A1280" s="86">
        <f t="shared" si="14"/>
        <v>45475</v>
      </c>
      <c r="B1280" s="87" t="s">
        <v>472</v>
      </c>
      <c r="C1280" s="88">
        <v>45474</v>
      </c>
      <c r="D1280" s="89" t="s">
        <v>449</v>
      </c>
    </row>
    <row r="1281" spans="1:4">
      <c r="A1281" s="86">
        <f t="shared" si="14"/>
        <v>45476</v>
      </c>
      <c r="B1281" s="87" t="s">
        <v>472</v>
      </c>
      <c r="C1281" s="88">
        <v>45474</v>
      </c>
      <c r="D1281" s="89" t="s">
        <v>441</v>
      </c>
    </row>
    <row r="1282" spans="1:4">
      <c r="A1282" s="86">
        <f t="shared" si="14"/>
        <v>45477</v>
      </c>
      <c r="B1282" s="87" t="s">
        <v>472</v>
      </c>
      <c r="C1282" s="88">
        <v>45474</v>
      </c>
      <c r="D1282" s="89" t="s">
        <v>443</v>
      </c>
    </row>
    <row r="1283" spans="1:4">
      <c r="A1283" s="86">
        <f t="shared" si="14"/>
        <v>45478</v>
      </c>
      <c r="B1283" s="87" t="s">
        <v>472</v>
      </c>
      <c r="C1283" s="88">
        <v>45474</v>
      </c>
      <c r="D1283" s="89" t="s">
        <v>444</v>
      </c>
    </row>
    <row r="1284" spans="1:4">
      <c r="A1284" s="86">
        <f t="shared" si="14"/>
        <v>45479</v>
      </c>
      <c r="B1284" s="87" t="s">
        <v>472</v>
      </c>
      <c r="C1284" s="88">
        <v>45474</v>
      </c>
      <c r="D1284" s="89" t="s">
        <v>445</v>
      </c>
    </row>
    <row r="1285" spans="1:4">
      <c r="A1285" s="86">
        <f t="shared" si="14"/>
        <v>45480</v>
      </c>
      <c r="B1285" s="87" t="s">
        <v>472</v>
      </c>
      <c r="C1285" s="88">
        <v>45474</v>
      </c>
      <c r="D1285" s="89" t="s">
        <v>447</v>
      </c>
    </row>
    <row r="1286" spans="1:4">
      <c r="A1286" s="86">
        <f t="shared" si="14"/>
        <v>45481</v>
      </c>
      <c r="B1286" s="87" t="s">
        <v>473</v>
      </c>
      <c r="C1286" s="88">
        <v>45474</v>
      </c>
      <c r="D1286" s="89" t="s">
        <v>448</v>
      </c>
    </row>
    <row r="1287" spans="1:4">
      <c r="A1287" s="86">
        <f t="shared" si="14"/>
        <v>45482</v>
      </c>
      <c r="B1287" s="87" t="s">
        <v>473</v>
      </c>
      <c r="C1287" s="88">
        <v>45474</v>
      </c>
      <c r="D1287" s="89" t="s">
        <v>449</v>
      </c>
    </row>
    <row r="1288" spans="1:4">
      <c r="A1288" s="86">
        <f t="shared" si="14"/>
        <v>45483</v>
      </c>
      <c r="B1288" s="87" t="s">
        <v>473</v>
      </c>
      <c r="C1288" s="88">
        <v>45474</v>
      </c>
      <c r="D1288" s="89" t="s">
        <v>441</v>
      </c>
    </row>
    <row r="1289" spans="1:4">
      <c r="A1289" s="86">
        <f t="shared" ref="A1289:A1352" si="15">A1288+1</f>
        <v>45484</v>
      </c>
      <c r="B1289" s="87" t="s">
        <v>473</v>
      </c>
      <c r="C1289" s="88">
        <v>45474</v>
      </c>
      <c r="D1289" s="89" t="s">
        <v>443</v>
      </c>
    </row>
    <row r="1290" spans="1:4">
      <c r="A1290" s="86">
        <f t="shared" si="15"/>
        <v>45485</v>
      </c>
      <c r="B1290" s="87" t="s">
        <v>473</v>
      </c>
      <c r="C1290" s="88">
        <v>45474</v>
      </c>
      <c r="D1290" s="89" t="s">
        <v>444</v>
      </c>
    </row>
    <row r="1291" spans="1:4">
      <c r="A1291" s="86">
        <f t="shared" si="15"/>
        <v>45486</v>
      </c>
      <c r="B1291" s="87" t="s">
        <v>473</v>
      </c>
      <c r="C1291" s="88">
        <v>45474</v>
      </c>
      <c r="D1291" s="89" t="s">
        <v>445</v>
      </c>
    </row>
    <row r="1292" spans="1:4">
      <c r="A1292" s="86">
        <f t="shared" si="15"/>
        <v>45487</v>
      </c>
      <c r="B1292" s="87" t="s">
        <v>473</v>
      </c>
      <c r="C1292" s="88">
        <v>45474</v>
      </c>
      <c r="D1292" s="89" t="s">
        <v>447</v>
      </c>
    </row>
    <row r="1293" spans="1:4">
      <c r="A1293" s="86">
        <f t="shared" si="15"/>
        <v>45488</v>
      </c>
      <c r="B1293" s="87" t="s">
        <v>474</v>
      </c>
      <c r="C1293" s="88">
        <v>45474</v>
      </c>
      <c r="D1293" s="89" t="s">
        <v>448</v>
      </c>
    </row>
    <row r="1294" spans="1:4">
      <c r="A1294" s="86">
        <f t="shared" si="15"/>
        <v>45489</v>
      </c>
      <c r="B1294" s="87" t="s">
        <v>474</v>
      </c>
      <c r="C1294" s="88">
        <v>45474</v>
      </c>
      <c r="D1294" s="89" t="s">
        <v>449</v>
      </c>
    </row>
    <row r="1295" spans="1:4">
      <c r="A1295" s="86">
        <f t="shared" si="15"/>
        <v>45490</v>
      </c>
      <c r="B1295" s="87" t="s">
        <v>474</v>
      </c>
      <c r="C1295" s="88">
        <v>45474</v>
      </c>
      <c r="D1295" s="89" t="s">
        <v>441</v>
      </c>
    </row>
    <row r="1296" spans="1:4">
      <c r="A1296" s="86">
        <f t="shared" si="15"/>
        <v>45491</v>
      </c>
      <c r="B1296" s="87" t="s">
        <v>474</v>
      </c>
      <c r="C1296" s="88">
        <v>45474</v>
      </c>
      <c r="D1296" s="89" t="s">
        <v>443</v>
      </c>
    </row>
    <row r="1297" spans="1:4">
      <c r="A1297" s="86">
        <f t="shared" si="15"/>
        <v>45492</v>
      </c>
      <c r="B1297" s="87" t="s">
        <v>474</v>
      </c>
      <c r="C1297" s="88">
        <v>45474</v>
      </c>
      <c r="D1297" s="89" t="s">
        <v>444</v>
      </c>
    </row>
    <row r="1298" spans="1:4">
      <c r="A1298" s="86">
        <f t="shared" si="15"/>
        <v>45493</v>
      </c>
      <c r="B1298" s="87" t="s">
        <v>474</v>
      </c>
      <c r="C1298" s="88">
        <v>45474</v>
      </c>
      <c r="D1298" s="89" t="s">
        <v>445</v>
      </c>
    </row>
    <row r="1299" spans="1:4">
      <c r="A1299" s="86">
        <f t="shared" si="15"/>
        <v>45494</v>
      </c>
      <c r="B1299" s="87" t="s">
        <v>474</v>
      </c>
      <c r="C1299" s="88">
        <v>45474</v>
      </c>
      <c r="D1299" s="89" t="s">
        <v>447</v>
      </c>
    </row>
    <row r="1300" spans="1:4">
      <c r="A1300" s="86">
        <f t="shared" si="15"/>
        <v>45495</v>
      </c>
      <c r="B1300" s="87" t="s">
        <v>475</v>
      </c>
      <c r="C1300" s="88">
        <v>45474</v>
      </c>
      <c r="D1300" s="89" t="s">
        <v>448</v>
      </c>
    </row>
    <row r="1301" spans="1:4">
      <c r="A1301" s="86">
        <f t="shared" si="15"/>
        <v>45496</v>
      </c>
      <c r="B1301" s="87" t="s">
        <v>475</v>
      </c>
      <c r="C1301" s="88">
        <v>45474</v>
      </c>
      <c r="D1301" s="89" t="s">
        <v>449</v>
      </c>
    </row>
    <row r="1302" spans="1:4">
      <c r="A1302" s="86">
        <f t="shared" si="15"/>
        <v>45497</v>
      </c>
      <c r="B1302" s="87" t="s">
        <v>475</v>
      </c>
      <c r="C1302" s="88">
        <v>45474</v>
      </c>
      <c r="D1302" s="89" t="s">
        <v>441</v>
      </c>
    </row>
    <row r="1303" spans="1:4">
      <c r="A1303" s="86">
        <f t="shared" si="15"/>
        <v>45498</v>
      </c>
      <c r="B1303" s="87" t="s">
        <v>475</v>
      </c>
      <c r="C1303" s="88">
        <v>45474</v>
      </c>
      <c r="D1303" s="89" t="s">
        <v>443</v>
      </c>
    </row>
    <row r="1304" spans="1:4">
      <c r="A1304" s="86">
        <f t="shared" si="15"/>
        <v>45499</v>
      </c>
      <c r="B1304" s="87" t="s">
        <v>475</v>
      </c>
      <c r="C1304" s="88">
        <v>45474</v>
      </c>
      <c r="D1304" s="89" t="s">
        <v>444</v>
      </c>
    </row>
    <row r="1305" spans="1:4">
      <c r="A1305" s="86">
        <f t="shared" si="15"/>
        <v>45500</v>
      </c>
      <c r="B1305" s="87" t="s">
        <v>475</v>
      </c>
      <c r="C1305" s="88">
        <v>45474</v>
      </c>
      <c r="D1305" s="89" t="s">
        <v>445</v>
      </c>
    </row>
    <row r="1306" spans="1:4">
      <c r="A1306" s="86">
        <f t="shared" si="15"/>
        <v>45501</v>
      </c>
      <c r="B1306" s="87" t="s">
        <v>475</v>
      </c>
      <c r="C1306" s="88">
        <v>45474</v>
      </c>
      <c r="D1306" s="89" t="s">
        <v>447</v>
      </c>
    </row>
    <row r="1307" spans="1:4">
      <c r="A1307" s="86">
        <f t="shared" si="15"/>
        <v>45502</v>
      </c>
      <c r="B1307" s="87" t="s">
        <v>476</v>
      </c>
      <c r="C1307" s="88">
        <v>45474</v>
      </c>
      <c r="D1307" s="89" t="s">
        <v>448</v>
      </c>
    </row>
    <row r="1308" spans="1:4">
      <c r="A1308" s="86">
        <f t="shared" si="15"/>
        <v>45503</v>
      </c>
      <c r="B1308" s="87" t="s">
        <v>476</v>
      </c>
      <c r="C1308" s="88">
        <v>45474</v>
      </c>
      <c r="D1308" s="89" t="s">
        <v>449</v>
      </c>
    </row>
    <row r="1309" spans="1:4">
      <c r="A1309" s="86">
        <f t="shared" si="15"/>
        <v>45504</v>
      </c>
      <c r="B1309" s="87" t="s">
        <v>476</v>
      </c>
      <c r="C1309" s="88">
        <v>45474</v>
      </c>
      <c r="D1309" s="89" t="s">
        <v>441</v>
      </c>
    </row>
    <row r="1310" spans="1:4">
      <c r="A1310" s="86">
        <f t="shared" si="15"/>
        <v>45505</v>
      </c>
      <c r="B1310" s="87" t="s">
        <v>476</v>
      </c>
      <c r="C1310" s="88">
        <v>45505</v>
      </c>
      <c r="D1310" s="89" t="s">
        <v>443</v>
      </c>
    </row>
    <row r="1311" spans="1:4">
      <c r="A1311" s="86">
        <f t="shared" si="15"/>
        <v>45506</v>
      </c>
      <c r="B1311" s="87" t="s">
        <v>476</v>
      </c>
      <c r="C1311" s="88">
        <v>45505</v>
      </c>
      <c r="D1311" s="89" t="s">
        <v>444</v>
      </c>
    </row>
    <row r="1312" spans="1:4">
      <c r="A1312" s="86">
        <f t="shared" si="15"/>
        <v>45507</v>
      </c>
      <c r="B1312" s="87" t="s">
        <v>476</v>
      </c>
      <c r="C1312" s="88">
        <v>45505</v>
      </c>
      <c r="D1312" s="89" t="s">
        <v>445</v>
      </c>
    </row>
    <row r="1313" spans="1:4">
      <c r="A1313" s="86">
        <f t="shared" si="15"/>
        <v>45508</v>
      </c>
      <c r="B1313" s="87" t="s">
        <v>476</v>
      </c>
      <c r="C1313" s="88">
        <v>45505</v>
      </c>
      <c r="D1313" s="89" t="s">
        <v>447</v>
      </c>
    </row>
    <row r="1314" spans="1:4">
      <c r="A1314" s="86">
        <f t="shared" si="15"/>
        <v>45509</v>
      </c>
      <c r="B1314" s="87" t="s">
        <v>477</v>
      </c>
      <c r="C1314" s="88">
        <v>45505</v>
      </c>
      <c r="D1314" s="89" t="s">
        <v>448</v>
      </c>
    </row>
    <row r="1315" spans="1:4">
      <c r="A1315" s="86">
        <f t="shared" si="15"/>
        <v>45510</v>
      </c>
      <c r="B1315" s="87" t="s">
        <v>477</v>
      </c>
      <c r="C1315" s="88">
        <v>45505</v>
      </c>
      <c r="D1315" s="89" t="s">
        <v>449</v>
      </c>
    </row>
    <row r="1316" spans="1:4">
      <c r="A1316" s="86">
        <f t="shared" si="15"/>
        <v>45511</v>
      </c>
      <c r="B1316" s="87" t="s">
        <v>477</v>
      </c>
      <c r="C1316" s="88">
        <v>45505</v>
      </c>
      <c r="D1316" s="89" t="s">
        <v>441</v>
      </c>
    </row>
    <row r="1317" spans="1:4">
      <c r="A1317" s="86">
        <f t="shared" si="15"/>
        <v>45512</v>
      </c>
      <c r="B1317" s="87" t="s">
        <v>477</v>
      </c>
      <c r="C1317" s="88">
        <v>45505</v>
      </c>
      <c r="D1317" s="89" t="s">
        <v>443</v>
      </c>
    </row>
    <row r="1318" spans="1:4">
      <c r="A1318" s="86">
        <f t="shared" si="15"/>
        <v>45513</v>
      </c>
      <c r="B1318" s="87" t="s">
        <v>477</v>
      </c>
      <c r="C1318" s="88">
        <v>45505</v>
      </c>
      <c r="D1318" s="89" t="s">
        <v>444</v>
      </c>
    </row>
    <row r="1319" spans="1:4">
      <c r="A1319" s="86">
        <f t="shared" si="15"/>
        <v>45514</v>
      </c>
      <c r="B1319" s="87" t="s">
        <v>477</v>
      </c>
      <c r="C1319" s="88">
        <v>45505</v>
      </c>
      <c r="D1319" s="89" t="s">
        <v>445</v>
      </c>
    </row>
    <row r="1320" spans="1:4">
      <c r="A1320" s="86">
        <f t="shared" si="15"/>
        <v>45515</v>
      </c>
      <c r="B1320" s="87" t="s">
        <v>477</v>
      </c>
      <c r="C1320" s="88">
        <v>45505</v>
      </c>
      <c r="D1320" s="89" t="s">
        <v>447</v>
      </c>
    </row>
    <row r="1321" spans="1:4">
      <c r="A1321" s="86">
        <f t="shared" si="15"/>
        <v>45516</v>
      </c>
      <c r="B1321" s="87" t="s">
        <v>478</v>
      </c>
      <c r="C1321" s="88">
        <v>45505</v>
      </c>
      <c r="D1321" s="89" t="s">
        <v>448</v>
      </c>
    </row>
    <row r="1322" spans="1:4">
      <c r="A1322" s="86">
        <f t="shared" si="15"/>
        <v>45517</v>
      </c>
      <c r="B1322" s="87" t="s">
        <v>478</v>
      </c>
      <c r="C1322" s="88">
        <v>45505</v>
      </c>
      <c r="D1322" s="89" t="s">
        <v>449</v>
      </c>
    </row>
    <row r="1323" spans="1:4">
      <c r="A1323" s="86">
        <f t="shared" si="15"/>
        <v>45518</v>
      </c>
      <c r="B1323" s="87" t="s">
        <v>478</v>
      </c>
      <c r="C1323" s="88">
        <v>45505</v>
      </c>
      <c r="D1323" s="89" t="s">
        <v>441</v>
      </c>
    </row>
    <row r="1324" spans="1:4">
      <c r="A1324" s="86">
        <f t="shared" si="15"/>
        <v>45519</v>
      </c>
      <c r="B1324" s="87" t="s">
        <v>478</v>
      </c>
      <c r="C1324" s="88">
        <v>45505</v>
      </c>
      <c r="D1324" s="89" t="s">
        <v>443</v>
      </c>
    </row>
    <row r="1325" spans="1:4">
      <c r="A1325" s="86">
        <f t="shared" si="15"/>
        <v>45520</v>
      </c>
      <c r="B1325" s="87" t="s">
        <v>478</v>
      </c>
      <c r="C1325" s="88">
        <v>45505</v>
      </c>
      <c r="D1325" s="89" t="s">
        <v>444</v>
      </c>
    </row>
    <row r="1326" spans="1:4">
      <c r="A1326" s="86">
        <f t="shared" si="15"/>
        <v>45521</v>
      </c>
      <c r="B1326" s="87" t="s">
        <v>478</v>
      </c>
      <c r="C1326" s="88">
        <v>45505</v>
      </c>
      <c r="D1326" s="89" t="s">
        <v>445</v>
      </c>
    </row>
    <row r="1327" spans="1:4">
      <c r="A1327" s="86">
        <f t="shared" si="15"/>
        <v>45522</v>
      </c>
      <c r="B1327" s="87" t="s">
        <v>478</v>
      </c>
      <c r="C1327" s="88">
        <v>45505</v>
      </c>
      <c r="D1327" s="89" t="s">
        <v>447</v>
      </c>
    </row>
    <row r="1328" spans="1:4">
      <c r="A1328" s="86">
        <f t="shared" si="15"/>
        <v>45523</v>
      </c>
      <c r="B1328" s="87" t="s">
        <v>479</v>
      </c>
      <c r="C1328" s="88">
        <v>45505</v>
      </c>
      <c r="D1328" s="89" t="s">
        <v>448</v>
      </c>
    </row>
    <row r="1329" spans="1:4">
      <c r="A1329" s="86">
        <f t="shared" si="15"/>
        <v>45524</v>
      </c>
      <c r="B1329" s="87" t="s">
        <v>479</v>
      </c>
      <c r="C1329" s="88">
        <v>45505</v>
      </c>
      <c r="D1329" s="89" t="s">
        <v>449</v>
      </c>
    </row>
    <row r="1330" spans="1:4">
      <c r="A1330" s="86">
        <f t="shared" si="15"/>
        <v>45525</v>
      </c>
      <c r="B1330" s="87" t="s">
        <v>479</v>
      </c>
      <c r="C1330" s="88">
        <v>45505</v>
      </c>
      <c r="D1330" s="89" t="s">
        <v>441</v>
      </c>
    </row>
    <row r="1331" spans="1:4">
      <c r="A1331" s="86">
        <f t="shared" si="15"/>
        <v>45526</v>
      </c>
      <c r="B1331" s="87" t="s">
        <v>479</v>
      </c>
      <c r="C1331" s="88">
        <v>45505</v>
      </c>
      <c r="D1331" s="89" t="s">
        <v>443</v>
      </c>
    </row>
    <row r="1332" spans="1:4">
      <c r="A1332" s="86">
        <f t="shared" si="15"/>
        <v>45527</v>
      </c>
      <c r="B1332" s="87" t="s">
        <v>479</v>
      </c>
      <c r="C1332" s="88">
        <v>45505</v>
      </c>
      <c r="D1332" s="89" t="s">
        <v>444</v>
      </c>
    </row>
    <row r="1333" spans="1:4">
      <c r="A1333" s="86">
        <f t="shared" si="15"/>
        <v>45528</v>
      </c>
      <c r="B1333" s="87" t="s">
        <v>479</v>
      </c>
      <c r="C1333" s="88">
        <v>45505</v>
      </c>
      <c r="D1333" s="89" t="s">
        <v>445</v>
      </c>
    </row>
    <row r="1334" spans="1:4">
      <c r="A1334" s="86">
        <f t="shared" si="15"/>
        <v>45529</v>
      </c>
      <c r="B1334" s="87" t="s">
        <v>479</v>
      </c>
      <c r="C1334" s="88">
        <v>45505</v>
      </c>
      <c r="D1334" s="89" t="s">
        <v>447</v>
      </c>
    </row>
    <row r="1335" spans="1:4">
      <c r="A1335" s="86">
        <f t="shared" si="15"/>
        <v>45530</v>
      </c>
      <c r="B1335" s="87" t="s">
        <v>480</v>
      </c>
      <c r="C1335" s="88">
        <v>45505</v>
      </c>
      <c r="D1335" s="89" t="s">
        <v>448</v>
      </c>
    </row>
    <row r="1336" spans="1:4">
      <c r="A1336" s="86">
        <f t="shared" si="15"/>
        <v>45531</v>
      </c>
      <c r="B1336" s="87" t="s">
        <v>480</v>
      </c>
      <c r="C1336" s="88">
        <v>45505</v>
      </c>
      <c r="D1336" s="89" t="s">
        <v>449</v>
      </c>
    </row>
    <row r="1337" spans="1:4">
      <c r="A1337" s="86">
        <f t="shared" si="15"/>
        <v>45532</v>
      </c>
      <c r="B1337" s="87" t="s">
        <v>480</v>
      </c>
      <c r="C1337" s="88">
        <v>45505</v>
      </c>
      <c r="D1337" s="89" t="s">
        <v>441</v>
      </c>
    </row>
    <row r="1338" spans="1:4">
      <c r="A1338" s="86">
        <f t="shared" si="15"/>
        <v>45533</v>
      </c>
      <c r="B1338" s="87" t="s">
        <v>480</v>
      </c>
      <c r="C1338" s="88">
        <v>45505</v>
      </c>
      <c r="D1338" s="89" t="s">
        <v>443</v>
      </c>
    </row>
    <row r="1339" spans="1:4">
      <c r="A1339" s="86">
        <f t="shared" si="15"/>
        <v>45534</v>
      </c>
      <c r="B1339" s="87" t="s">
        <v>480</v>
      </c>
      <c r="C1339" s="88">
        <v>45505</v>
      </c>
      <c r="D1339" s="89" t="s">
        <v>444</v>
      </c>
    </row>
    <row r="1340" spans="1:4">
      <c r="A1340" s="86">
        <f t="shared" si="15"/>
        <v>45535</v>
      </c>
      <c r="B1340" s="87" t="s">
        <v>480</v>
      </c>
      <c r="C1340" s="88">
        <v>45505</v>
      </c>
      <c r="D1340" s="89" t="s">
        <v>445</v>
      </c>
    </row>
    <row r="1341" spans="1:4">
      <c r="A1341" s="86">
        <f t="shared" si="15"/>
        <v>45536</v>
      </c>
      <c r="B1341" s="87" t="s">
        <v>480</v>
      </c>
      <c r="C1341" s="88">
        <v>45536</v>
      </c>
      <c r="D1341" s="89" t="s">
        <v>447</v>
      </c>
    </row>
    <row r="1342" spans="1:4">
      <c r="A1342" s="86">
        <f t="shared" si="15"/>
        <v>45537</v>
      </c>
      <c r="B1342" s="87" t="s">
        <v>481</v>
      </c>
      <c r="C1342" s="88">
        <v>45536</v>
      </c>
      <c r="D1342" s="89" t="s">
        <v>448</v>
      </c>
    </row>
    <row r="1343" spans="1:4">
      <c r="A1343" s="86">
        <f t="shared" si="15"/>
        <v>45538</v>
      </c>
      <c r="B1343" s="87" t="s">
        <v>481</v>
      </c>
      <c r="C1343" s="88">
        <v>45536</v>
      </c>
      <c r="D1343" s="89" t="s">
        <v>449</v>
      </c>
    </row>
    <row r="1344" spans="1:4">
      <c r="A1344" s="86">
        <f t="shared" si="15"/>
        <v>45539</v>
      </c>
      <c r="B1344" s="87" t="s">
        <v>481</v>
      </c>
      <c r="C1344" s="88">
        <v>45536</v>
      </c>
      <c r="D1344" s="89" t="s">
        <v>441</v>
      </c>
    </row>
    <row r="1345" spans="1:4">
      <c r="A1345" s="86">
        <f t="shared" si="15"/>
        <v>45540</v>
      </c>
      <c r="B1345" s="87" t="s">
        <v>481</v>
      </c>
      <c r="C1345" s="88">
        <v>45536</v>
      </c>
      <c r="D1345" s="89" t="s">
        <v>443</v>
      </c>
    </row>
    <row r="1346" spans="1:4">
      <c r="A1346" s="86">
        <f t="shared" si="15"/>
        <v>45541</v>
      </c>
      <c r="B1346" s="87" t="s">
        <v>481</v>
      </c>
      <c r="C1346" s="88">
        <v>45536</v>
      </c>
      <c r="D1346" s="89" t="s">
        <v>444</v>
      </c>
    </row>
    <row r="1347" spans="1:4">
      <c r="A1347" s="86">
        <f t="shared" si="15"/>
        <v>45542</v>
      </c>
      <c r="B1347" s="87" t="s">
        <v>481</v>
      </c>
      <c r="C1347" s="88">
        <v>45536</v>
      </c>
      <c r="D1347" s="89" t="s">
        <v>445</v>
      </c>
    </row>
    <row r="1348" spans="1:4">
      <c r="A1348" s="86">
        <f t="shared" si="15"/>
        <v>45543</v>
      </c>
      <c r="B1348" s="87" t="s">
        <v>481</v>
      </c>
      <c r="C1348" s="88">
        <v>45536</v>
      </c>
      <c r="D1348" s="89" t="s">
        <v>447</v>
      </c>
    </row>
    <row r="1349" spans="1:4">
      <c r="A1349" s="86">
        <f t="shared" si="15"/>
        <v>45544</v>
      </c>
      <c r="B1349" s="87" t="s">
        <v>482</v>
      </c>
      <c r="C1349" s="88">
        <v>45536</v>
      </c>
      <c r="D1349" s="89" t="s">
        <v>448</v>
      </c>
    </row>
    <row r="1350" spans="1:4">
      <c r="A1350" s="86">
        <f t="shared" si="15"/>
        <v>45545</v>
      </c>
      <c r="B1350" s="87" t="s">
        <v>482</v>
      </c>
      <c r="C1350" s="88">
        <v>45536</v>
      </c>
      <c r="D1350" s="89" t="s">
        <v>449</v>
      </c>
    </row>
    <row r="1351" spans="1:4">
      <c r="A1351" s="86">
        <f t="shared" si="15"/>
        <v>45546</v>
      </c>
      <c r="B1351" s="87" t="s">
        <v>482</v>
      </c>
      <c r="C1351" s="88">
        <v>45536</v>
      </c>
      <c r="D1351" s="89" t="s">
        <v>441</v>
      </c>
    </row>
    <row r="1352" spans="1:4">
      <c r="A1352" s="86">
        <f t="shared" si="15"/>
        <v>45547</v>
      </c>
      <c r="B1352" s="87" t="s">
        <v>482</v>
      </c>
      <c r="C1352" s="88">
        <v>45536</v>
      </c>
      <c r="D1352" s="89" t="s">
        <v>443</v>
      </c>
    </row>
    <row r="1353" spans="1:4">
      <c r="A1353" s="86">
        <f t="shared" ref="A1353:A1416" si="16">A1352+1</f>
        <v>45548</v>
      </c>
      <c r="B1353" s="87" t="s">
        <v>482</v>
      </c>
      <c r="C1353" s="88">
        <v>45536</v>
      </c>
      <c r="D1353" s="89" t="s">
        <v>444</v>
      </c>
    </row>
    <row r="1354" spans="1:4">
      <c r="A1354" s="86">
        <f t="shared" si="16"/>
        <v>45549</v>
      </c>
      <c r="B1354" s="87" t="s">
        <v>482</v>
      </c>
      <c r="C1354" s="88">
        <v>45536</v>
      </c>
      <c r="D1354" s="89" t="s">
        <v>445</v>
      </c>
    </row>
    <row r="1355" spans="1:4">
      <c r="A1355" s="86">
        <f t="shared" si="16"/>
        <v>45550</v>
      </c>
      <c r="B1355" s="87" t="s">
        <v>482</v>
      </c>
      <c r="C1355" s="88">
        <v>45536</v>
      </c>
      <c r="D1355" s="89" t="s">
        <v>447</v>
      </c>
    </row>
    <row r="1356" spans="1:4">
      <c r="A1356" s="86">
        <f t="shared" si="16"/>
        <v>45551</v>
      </c>
      <c r="B1356" s="87" t="s">
        <v>483</v>
      </c>
      <c r="C1356" s="88">
        <v>45536</v>
      </c>
      <c r="D1356" s="89" t="s">
        <v>448</v>
      </c>
    </row>
    <row r="1357" spans="1:4">
      <c r="A1357" s="86">
        <f t="shared" si="16"/>
        <v>45552</v>
      </c>
      <c r="B1357" s="87" t="s">
        <v>483</v>
      </c>
      <c r="C1357" s="88">
        <v>45536</v>
      </c>
      <c r="D1357" s="89" t="s">
        <v>449</v>
      </c>
    </row>
    <row r="1358" spans="1:4">
      <c r="A1358" s="86">
        <f t="shared" si="16"/>
        <v>45553</v>
      </c>
      <c r="B1358" s="87" t="s">
        <v>483</v>
      </c>
      <c r="C1358" s="88">
        <v>45536</v>
      </c>
      <c r="D1358" s="89" t="s">
        <v>441</v>
      </c>
    </row>
    <row r="1359" spans="1:4">
      <c r="A1359" s="86">
        <f t="shared" si="16"/>
        <v>45554</v>
      </c>
      <c r="B1359" s="87" t="s">
        <v>483</v>
      </c>
      <c r="C1359" s="88">
        <v>45536</v>
      </c>
      <c r="D1359" s="89" t="s">
        <v>443</v>
      </c>
    </row>
    <row r="1360" spans="1:4">
      <c r="A1360" s="86">
        <f t="shared" si="16"/>
        <v>45555</v>
      </c>
      <c r="B1360" s="87" t="s">
        <v>483</v>
      </c>
      <c r="C1360" s="88">
        <v>45536</v>
      </c>
      <c r="D1360" s="89" t="s">
        <v>444</v>
      </c>
    </row>
    <row r="1361" spans="1:4">
      <c r="A1361" s="86">
        <f t="shared" si="16"/>
        <v>45556</v>
      </c>
      <c r="B1361" s="87" t="s">
        <v>483</v>
      </c>
      <c r="C1361" s="88">
        <v>45536</v>
      </c>
      <c r="D1361" s="89" t="s">
        <v>445</v>
      </c>
    </row>
    <row r="1362" spans="1:4">
      <c r="A1362" s="86">
        <f t="shared" si="16"/>
        <v>45557</v>
      </c>
      <c r="B1362" s="87" t="s">
        <v>483</v>
      </c>
      <c r="C1362" s="88">
        <v>45536</v>
      </c>
      <c r="D1362" s="89" t="s">
        <v>447</v>
      </c>
    </row>
    <row r="1363" spans="1:4">
      <c r="A1363" s="86">
        <f t="shared" si="16"/>
        <v>45558</v>
      </c>
      <c r="B1363" s="87" t="s">
        <v>484</v>
      </c>
      <c r="C1363" s="88">
        <v>45536</v>
      </c>
      <c r="D1363" s="89" t="s">
        <v>448</v>
      </c>
    </row>
    <row r="1364" spans="1:4">
      <c r="A1364" s="86">
        <f t="shared" si="16"/>
        <v>45559</v>
      </c>
      <c r="B1364" s="87" t="s">
        <v>484</v>
      </c>
      <c r="C1364" s="88">
        <v>45536</v>
      </c>
      <c r="D1364" s="89" t="s">
        <v>449</v>
      </c>
    </row>
    <row r="1365" spans="1:4">
      <c r="A1365" s="86">
        <f t="shared" si="16"/>
        <v>45560</v>
      </c>
      <c r="B1365" s="87" t="s">
        <v>484</v>
      </c>
      <c r="C1365" s="88">
        <v>45536</v>
      </c>
      <c r="D1365" s="89" t="s">
        <v>441</v>
      </c>
    </row>
    <row r="1366" spans="1:4">
      <c r="A1366" s="86">
        <f t="shared" si="16"/>
        <v>45561</v>
      </c>
      <c r="B1366" s="87" t="s">
        <v>484</v>
      </c>
      <c r="C1366" s="88">
        <v>45536</v>
      </c>
      <c r="D1366" s="89" t="s">
        <v>443</v>
      </c>
    </row>
    <row r="1367" spans="1:4">
      <c r="A1367" s="86">
        <f t="shared" si="16"/>
        <v>45562</v>
      </c>
      <c r="B1367" s="87" t="s">
        <v>484</v>
      </c>
      <c r="C1367" s="88">
        <v>45536</v>
      </c>
      <c r="D1367" s="89" t="s">
        <v>444</v>
      </c>
    </row>
    <row r="1368" spans="1:4">
      <c r="A1368" s="86">
        <f t="shared" si="16"/>
        <v>45563</v>
      </c>
      <c r="B1368" s="87" t="s">
        <v>484</v>
      </c>
      <c r="C1368" s="88">
        <v>45536</v>
      </c>
      <c r="D1368" s="89" t="s">
        <v>445</v>
      </c>
    </row>
    <row r="1369" spans="1:4">
      <c r="A1369" s="86">
        <f t="shared" si="16"/>
        <v>45564</v>
      </c>
      <c r="B1369" s="87" t="s">
        <v>484</v>
      </c>
      <c r="C1369" s="88">
        <v>45536</v>
      </c>
      <c r="D1369" s="89" t="s">
        <v>447</v>
      </c>
    </row>
    <row r="1370" spans="1:4">
      <c r="A1370" s="86">
        <f t="shared" si="16"/>
        <v>45565</v>
      </c>
      <c r="B1370" s="87" t="s">
        <v>485</v>
      </c>
      <c r="C1370" s="88">
        <v>45536</v>
      </c>
      <c r="D1370" s="89" t="s">
        <v>448</v>
      </c>
    </row>
    <row r="1371" spans="1:4">
      <c r="A1371" s="86">
        <f t="shared" si="16"/>
        <v>45566</v>
      </c>
      <c r="B1371" s="87" t="s">
        <v>485</v>
      </c>
      <c r="C1371" s="88">
        <v>45566</v>
      </c>
      <c r="D1371" s="89" t="s">
        <v>449</v>
      </c>
    </row>
    <row r="1372" spans="1:4">
      <c r="A1372" s="86">
        <f t="shared" si="16"/>
        <v>45567</v>
      </c>
      <c r="B1372" s="87" t="s">
        <v>485</v>
      </c>
      <c r="C1372" s="88">
        <v>45566</v>
      </c>
      <c r="D1372" s="89" t="s">
        <v>441</v>
      </c>
    </row>
    <row r="1373" spans="1:4">
      <c r="A1373" s="86">
        <f t="shared" si="16"/>
        <v>45568</v>
      </c>
      <c r="B1373" s="87" t="s">
        <v>485</v>
      </c>
      <c r="C1373" s="88">
        <v>45566</v>
      </c>
      <c r="D1373" s="89" t="s">
        <v>443</v>
      </c>
    </row>
    <row r="1374" spans="1:4">
      <c r="A1374" s="86">
        <f t="shared" si="16"/>
        <v>45569</v>
      </c>
      <c r="B1374" s="87" t="s">
        <v>485</v>
      </c>
      <c r="C1374" s="88">
        <v>45566</v>
      </c>
      <c r="D1374" s="89" t="s">
        <v>444</v>
      </c>
    </row>
    <row r="1375" spans="1:4">
      <c r="A1375" s="86">
        <f t="shared" si="16"/>
        <v>45570</v>
      </c>
      <c r="B1375" s="87" t="s">
        <v>485</v>
      </c>
      <c r="C1375" s="88">
        <v>45566</v>
      </c>
      <c r="D1375" s="89" t="s">
        <v>445</v>
      </c>
    </row>
    <row r="1376" spans="1:4">
      <c r="A1376" s="86">
        <f t="shared" si="16"/>
        <v>45571</v>
      </c>
      <c r="B1376" s="87" t="s">
        <v>485</v>
      </c>
      <c r="C1376" s="88">
        <v>45566</v>
      </c>
      <c r="D1376" s="89" t="s">
        <v>447</v>
      </c>
    </row>
    <row r="1377" spans="1:4">
      <c r="A1377" s="86">
        <f t="shared" si="16"/>
        <v>45572</v>
      </c>
      <c r="B1377" s="87" t="s">
        <v>486</v>
      </c>
      <c r="C1377" s="88">
        <v>45566</v>
      </c>
      <c r="D1377" s="89" t="s">
        <v>448</v>
      </c>
    </row>
    <row r="1378" spans="1:4">
      <c r="A1378" s="86">
        <f t="shared" si="16"/>
        <v>45573</v>
      </c>
      <c r="B1378" s="87" t="s">
        <v>486</v>
      </c>
      <c r="C1378" s="88">
        <v>45566</v>
      </c>
      <c r="D1378" s="89" t="s">
        <v>449</v>
      </c>
    </row>
    <row r="1379" spans="1:4">
      <c r="A1379" s="86">
        <f t="shared" si="16"/>
        <v>45574</v>
      </c>
      <c r="B1379" s="87" t="s">
        <v>486</v>
      </c>
      <c r="C1379" s="88">
        <v>45566</v>
      </c>
      <c r="D1379" s="89" t="s">
        <v>441</v>
      </c>
    </row>
    <row r="1380" spans="1:4">
      <c r="A1380" s="86">
        <f t="shared" si="16"/>
        <v>45575</v>
      </c>
      <c r="B1380" s="87" t="s">
        <v>486</v>
      </c>
      <c r="C1380" s="88">
        <v>45566</v>
      </c>
      <c r="D1380" s="89" t="s">
        <v>443</v>
      </c>
    </row>
    <row r="1381" spans="1:4">
      <c r="A1381" s="86">
        <f t="shared" si="16"/>
        <v>45576</v>
      </c>
      <c r="B1381" s="87" t="s">
        <v>486</v>
      </c>
      <c r="C1381" s="88">
        <v>45566</v>
      </c>
      <c r="D1381" s="89" t="s">
        <v>444</v>
      </c>
    </row>
    <row r="1382" spans="1:4">
      <c r="A1382" s="86">
        <f t="shared" si="16"/>
        <v>45577</v>
      </c>
      <c r="B1382" s="87" t="s">
        <v>486</v>
      </c>
      <c r="C1382" s="88">
        <v>45566</v>
      </c>
      <c r="D1382" s="89" t="s">
        <v>445</v>
      </c>
    </row>
    <row r="1383" spans="1:4">
      <c r="A1383" s="86">
        <f t="shared" si="16"/>
        <v>45578</v>
      </c>
      <c r="B1383" s="87" t="s">
        <v>486</v>
      </c>
      <c r="C1383" s="88">
        <v>45566</v>
      </c>
      <c r="D1383" s="89" t="s">
        <v>447</v>
      </c>
    </row>
    <row r="1384" spans="1:4">
      <c r="A1384" s="86">
        <f t="shared" si="16"/>
        <v>45579</v>
      </c>
      <c r="B1384" s="87" t="s">
        <v>487</v>
      </c>
      <c r="C1384" s="88">
        <v>45566</v>
      </c>
      <c r="D1384" s="89" t="s">
        <v>448</v>
      </c>
    </row>
    <row r="1385" spans="1:4">
      <c r="A1385" s="86">
        <f t="shared" si="16"/>
        <v>45580</v>
      </c>
      <c r="B1385" s="87" t="s">
        <v>487</v>
      </c>
      <c r="C1385" s="88">
        <v>45566</v>
      </c>
      <c r="D1385" s="89" t="s">
        <v>449</v>
      </c>
    </row>
    <row r="1386" spans="1:4">
      <c r="A1386" s="86">
        <f t="shared" si="16"/>
        <v>45581</v>
      </c>
      <c r="B1386" s="87" t="s">
        <v>487</v>
      </c>
      <c r="C1386" s="88">
        <v>45566</v>
      </c>
      <c r="D1386" s="89" t="s">
        <v>441</v>
      </c>
    </row>
    <row r="1387" spans="1:4">
      <c r="A1387" s="86">
        <f t="shared" si="16"/>
        <v>45582</v>
      </c>
      <c r="B1387" s="87" t="s">
        <v>487</v>
      </c>
      <c r="C1387" s="88">
        <v>45566</v>
      </c>
      <c r="D1387" s="89" t="s">
        <v>443</v>
      </c>
    </row>
    <row r="1388" spans="1:4">
      <c r="A1388" s="86">
        <f t="shared" si="16"/>
        <v>45583</v>
      </c>
      <c r="B1388" s="87" t="s">
        <v>487</v>
      </c>
      <c r="C1388" s="88">
        <v>45566</v>
      </c>
      <c r="D1388" s="89" t="s">
        <v>444</v>
      </c>
    </row>
    <row r="1389" spans="1:4">
      <c r="A1389" s="86">
        <f t="shared" si="16"/>
        <v>45584</v>
      </c>
      <c r="B1389" s="87" t="s">
        <v>487</v>
      </c>
      <c r="C1389" s="88">
        <v>45566</v>
      </c>
      <c r="D1389" s="89" t="s">
        <v>445</v>
      </c>
    </row>
    <row r="1390" spans="1:4">
      <c r="A1390" s="86">
        <f t="shared" si="16"/>
        <v>45585</v>
      </c>
      <c r="B1390" s="87" t="s">
        <v>487</v>
      </c>
      <c r="C1390" s="88">
        <v>45566</v>
      </c>
      <c r="D1390" s="89" t="s">
        <v>447</v>
      </c>
    </row>
    <row r="1391" spans="1:4">
      <c r="A1391" s="86">
        <f t="shared" si="16"/>
        <v>45586</v>
      </c>
      <c r="B1391" s="87" t="s">
        <v>488</v>
      </c>
      <c r="C1391" s="88">
        <v>45566</v>
      </c>
      <c r="D1391" s="89" t="s">
        <v>448</v>
      </c>
    </row>
    <row r="1392" spans="1:4">
      <c r="A1392" s="86">
        <f t="shared" si="16"/>
        <v>45587</v>
      </c>
      <c r="B1392" s="87" t="s">
        <v>488</v>
      </c>
      <c r="C1392" s="88">
        <v>45566</v>
      </c>
      <c r="D1392" s="89" t="s">
        <v>449</v>
      </c>
    </row>
    <row r="1393" spans="1:4">
      <c r="A1393" s="86">
        <f t="shared" si="16"/>
        <v>45588</v>
      </c>
      <c r="B1393" s="87" t="s">
        <v>488</v>
      </c>
      <c r="C1393" s="88">
        <v>45566</v>
      </c>
      <c r="D1393" s="89" t="s">
        <v>441</v>
      </c>
    </row>
    <row r="1394" spans="1:4">
      <c r="A1394" s="86">
        <f t="shared" si="16"/>
        <v>45589</v>
      </c>
      <c r="B1394" s="87" t="s">
        <v>488</v>
      </c>
      <c r="C1394" s="88">
        <v>45566</v>
      </c>
      <c r="D1394" s="89" t="s">
        <v>443</v>
      </c>
    </row>
    <row r="1395" spans="1:4">
      <c r="A1395" s="86">
        <f t="shared" si="16"/>
        <v>45590</v>
      </c>
      <c r="B1395" s="87" t="s">
        <v>488</v>
      </c>
      <c r="C1395" s="88">
        <v>45566</v>
      </c>
      <c r="D1395" s="89" t="s">
        <v>444</v>
      </c>
    </row>
    <row r="1396" spans="1:4">
      <c r="A1396" s="86">
        <f t="shared" si="16"/>
        <v>45591</v>
      </c>
      <c r="B1396" s="87" t="s">
        <v>488</v>
      </c>
      <c r="C1396" s="88">
        <v>45566</v>
      </c>
      <c r="D1396" s="89" t="s">
        <v>445</v>
      </c>
    </row>
    <row r="1397" spans="1:4">
      <c r="A1397" s="86">
        <f t="shared" si="16"/>
        <v>45592</v>
      </c>
      <c r="B1397" s="87" t="s">
        <v>488</v>
      </c>
      <c r="C1397" s="88">
        <v>45566</v>
      </c>
      <c r="D1397" s="89" t="s">
        <v>447</v>
      </c>
    </row>
    <row r="1398" spans="1:4">
      <c r="A1398" s="86">
        <f t="shared" si="16"/>
        <v>45593</v>
      </c>
      <c r="B1398" s="87" t="s">
        <v>489</v>
      </c>
      <c r="C1398" s="88">
        <v>45566</v>
      </c>
      <c r="D1398" s="89" t="s">
        <v>448</v>
      </c>
    </row>
    <row r="1399" spans="1:4">
      <c r="A1399" s="86">
        <f t="shared" si="16"/>
        <v>45594</v>
      </c>
      <c r="B1399" s="87" t="s">
        <v>489</v>
      </c>
      <c r="C1399" s="88">
        <v>45566</v>
      </c>
      <c r="D1399" s="89" t="s">
        <v>449</v>
      </c>
    </row>
    <row r="1400" spans="1:4">
      <c r="A1400" s="86">
        <f t="shared" si="16"/>
        <v>45595</v>
      </c>
      <c r="B1400" s="87" t="s">
        <v>489</v>
      </c>
      <c r="C1400" s="88">
        <v>45566</v>
      </c>
      <c r="D1400" s="89" t="s">
        <v>441</v>
      </c>
    </row>
    <row r="1401" spans="1:4">
      <c r="A1401" s="86">
        <f t="shared" si="16"/>
        <v>45596</v>
      </c>
      <c r="B1401" s="87" t="s">
        <v>489</v>
      </c>
      <c r="C1401" s="88">
        <v>45566</v>
      </c>
      <c r="D1401" s="89" t="s">
        <v>443</v>
      </c>
    </row>
    <row r="1402" spans="1:4">
      <c r="A1402" s="86">
        <f t="shared" si="16"/>
        <v>45597</v>
      </c>
      <c r="B1402" s="87" t="s">
        <v>489</v>
      </c>
      <c r="C1402" s="88">
        <v>45597</v>
      </c>
      <c r="D1402" s="89" t="s">
        <v>444</v>
      </c>
    </row>
    <row r="1403" spans="1:4">
      <c r="A1403" s="86">
        <f t="shared" si="16"/>
        <v>45598</v>
      </c>
      <c r="B1403" s="87" t="s">
        <v>489</v>
      </c>
      <c r="C1403" s="88">
        <v>45597</v>
      </c>
      <c r="D1403" s="89" t="s">
        <v>445</v>
      </c>
    </row>
    <row r="1404" spans="1:4">
      <c r="A1404" s="86">
        <f t="shared" si="16"/>
        <v>45599</v>
      </c>
      <c r="B1404" s="87" t="s">
        <v>489</v>
      </c>
      <c r="C1404" s="88">
        <v>45597</v>
      </c>
      <c r="D1404" s="89" t="s">
        <v>447</v>
      </c>
    </row>
    <row r="1405" spans="1:4">
      <c r="A1405" s="86">
        <f t="shared" si="16"/>
        <v>45600</v>
      </c>
      <c r="B1405" s="87" t="s">
        <v>490</v>
      </c>
      <c r="C1405" s="88">
        <v>45597</v>
      </c>
      <c r="D1405" s="89" t="s">
        <v>448</v>
      </c>
    </row>
    <row r="1406" spans="1:4">
      <c r="A1406" s="86">
        <f t="shared" si="16"/>
        <v>45601</v>
      </c>
      <c r="B1406" s="87" t="s">
        <v>490</v>
      </c>
      <c r="C1406" s="88">
        <v>45597</v>
      </c>
      <c r="D1406" s="89" t="s">
        <v>449</v>
      </c>
    </row>
    <row r="1407" spans="1:4">
      <c r="A1407" s="86">
        <f t="shared" si="16"/>
        <v>45602</v>
      </c>
      <c r="B1407" s="87" t="s">
        <v>490</v>
      </c>
      <c r="C1407" s="88">
        <v>45597</v>
      </c>
      <c r="D1407" s="89" t="s">
        <v>441</v>
      </c>
    </row>
    <row r="1408" spans="1:4">
      <c r="A1408" s="86">
        <f t="shared" si="16"/>
        <v>45603</v>
      </c>
      <c r="B1408" s="87" t="s">
        <v>490</v>
      </c>
      <c r="C1408" s="88">
        <v>45597</v>
      </c>
      <c r="D1408" s="89" t="s">
        <v>443</v>
      </c>
    </row>
    <row r="1409" spans="1:4">
      <c r="A1409" s="86">
        <f t="shared" si="16"/>
        <v>45604</v>
      </c>
      <c r="B1409" s="87" t="s">
        <v>490</v>
      </c>
      <c r="C1409" s="88">
        <v>45597</v>
      </c>
      <c r="D1409" s="89" t="s">
        <v>444</v>
      </c>
    </row>
    <row r="1410" spans="1:4">
      <c r="A1410" s="86">
        <f t="shared" si="16"/>
        <v>45605</v>
      </c>
      <c r="B1410" s="87" t="s">
        <v>490</v>
      </c>
      <c r="C1410" s="88">
        <v>45597</v>
      </c>
      <c r="D1410" s="89" t="s">
        <v>445</v>
      </c>
    </row>
    <row r="1411" spans="1:4">
      <c r="A1411" s="86">
        <f t="shared" si="16"/>
        <v>45606</v>
      </c>
      <c r="B1411" s="87" t="s">
        <v>490</v>
      </c>
      <c r="C1411" s="88">
        <v>45597</v>
      </c>
      <c r="D1411" s="89" t="s">
        <v>447</v>
      </c>
    </row>
    <row r="1412" spans="1:4">
      <c r="A1412" s="86">
        <f t="shared" si="16"/>
        <v>45607</v>
      </c>
      <c r="B1412" s="87" t="s">
        <v>491</v>
      </c>
      <c r="C1412" s="88">
        <v>45597</v>
      </c>
      <c r="D1412" s="89" t="s">
        <v>448</v>
      </c>
    </row>
    <row r="1413" spans="1:4">
      <c r="A1413" s="86">
        <f t="shared" si="16"/>
        <v>45608</v>
      </c>
      <c r="B1413" s="87" t="s">
        <v>491</v>
      </c>
      <c r="C1413" s="88">
        <v>45597</v>
      </c>
      <c r="D1413" s="89" t="s">
        <v>449</v>
      </c>
    </row>
    <row r="1414" spans="1:4">
      <c r="A1414" s="86">
        <f t="shared" si="16"/>
        <v>45609</v>
      </c>
      <c r="B1414" s="87" t="s">
        <v>491</v>
      </c>
      <c r="C1414" s="88">
        <v>45597</v>
      </c>
      <c r="D1414" s="89" t="s">
        <v>441</v>
      </c>
    </row>
    <row r="1415" spans="1:4">
      <c r="A1415" s="86">
        <f t="shared" si="16"/>
        <v>45610</v>
      </c>
      <c r="B1415" s="87" t="s">
        <v>491</v>
      </c>
      <c r="C1415" s="88">
        <v>45597</v>
      </c>
      <c r="D1415" s="89" t="s">
        <v>443</v>
      </c>
    </row>
    <row r="1416" spans="1:4">
      <c r="A1416" s="86">
        <f t="shared" si="16"/>
        <v>45611</v>
      </c>
      <c r="B1416" s="87" t="s">
        <v>491</v>
      </c>
      <c r="C1416" s="88">
        <v>45597</v>
      </c>
      <c r="D1416" s="89" t="s">
        <v>444</v>
      </c>
    </row>
    <row r="1417" spans="1:4">
      <c r="A1417" s="86">
        <f t="shared" ref="A1417:A1462" si="17">A1416+1</f>
        <v>45612</v>
      </c>
      <c r="B1417" s="87" t="s">
        <v>491</v>
      </c>
      <c r="C1417" s="88">
        <v>45597</v>
      </c>
      <c r="D1417" s="89" t="s">
        <v>445</v>
      </c>
    </row>
    <row r="1418" spans="1:4">
      <c r="A1418" s="86">
        <f t="shared" si="17"/>
        <v>45613</v>
      </c>
      <c r="B1418" s="87" t="s">
        <v>491</v>
      </c>
      <c r="C1418" s="88">
        <v>45597</v>
      </c>
      <c r="D1418" s="89" t="s">
        <v>447</v>
      </c>
    </row>
    <row r="1419" spans="1:4">
      <c r="A1419" s="86">
        <f t="shared" si="17"/>
        <v>45614</v>
      </c>
      <c r="B1419" s="87" t="s">
        <v>492</v>
      </c>
      <c r="C1419" s="88">
        <v>45597</v>
      </c>
      <c r="D1419" s="89" t="s">
        <v>448</v>
      </c>
    </row>
    <row r="1420" spans="1:4">
      <c r="A1420" s="86">
        <f t="shared" si="17"/>
        <v>45615</v>
      </c>
      <c r="B1420" s="87" t="s">
        <v>492</v>
      </c>
      <c r="C1420" s="88">
        <v>45597</v>
      </c>
      <c r="D1420" s="89" t="s">
        <v>449</v>
      </c>
    </row>
    <row r="1421" spans="1:4">
      <c r="A1421" s="86">
        <f t="shared" si="17"/>
        <v>45616</v>
      </c>
      <c r="B1421" s="87" t="s">
        <v>492</v>
      </c>
      <c r="C1421" s="88">
        <v>45597</v>
      </c>
      <c r="D1421" s="89" t="s">
        <v>441</v>
      </c>
    </row>
    <row r="1422" spans="1:4">
      <c r="A1422" s="86">
        <f t="shared" si="17"/>
        <v>45617</v>
      </c>
      <c r="B1422" s="87" t="s">
        <v>492</v>
      </c>
      <c r="C1422" s="88">
        <v>45597</v>
      </c>
      <c r="D1422" s="89" t="s">
        <v>443</v>
      </c>
    </row>
    <row r="1423" spans="1:4">
      <c r="A1423" s="86">
        <f t="shared" si="17"/>
        <v>45618</v>
      </c>
      <c r="B1423" s="87" t="s">
        <v>492</v>
      </c>
      <c r="C1423" s="88">
        <v>45597</v>
      </c>
      <c r="D1423" s="89" t="s">
        <v>444</v>
      </c>
    </row>
    <row r="1424" spans="1:4">
      <c r="A1424" s="86">
        <f t="shared" si="17"/>
        <v>45619</v>
      </c>
      <c r="B1424" s="87" t="s">
        <v>492</v>
      </c>
      <c r="C1424" s="88">
        <v>45597</v>
      </c>
      <c r="D1424" s="89" t="s">
        <v>445</v>
      </c>
    </row>
    <row r="1425" spans="1:4">
      <c r="A1425" s="86">
        <f t="shared" si="17"/>
        <v>45620</v>
      </c>
      <c r="B1425" s="87" t="s">
        <v>492</v>
      </c>
      <c r="C1425" s="88">
        <v>45597</v>
      </c>
      <c r="D1425" s="89" t="s">
        <v>447</v>
      </c>
    </row>
    <row r="1426" spans="1:4">
      <c r="A1426" s="86">
        <f t="shared" si="17"/>
        <v>45621</v>
      </c>
      <c r="B1426" s="87" t="s">
        <v>493</v>
      </c>
      <c r="C1426" s="88">
        <v>45597</v>
      </c>
      <c r="D1426" s="89" t="s">
        <v>448</v>
      </c>
    </row>
    <row r="1427" spans="1:4">
      <c r="A1427" s="86">
        <f t="shared" si="17"/>
        <v>45622</v>
      </c>
      <c r="B1427" s="87" t="s">
        <v>493</v>
      </c>
      <c r="C1427" s="88">
        <v>45597</v>
      </c>
      <c r="D1427" s="89" t="s">
        <v>449</v>
      </c>
    </row>
    <row r="1428" spans="1:4">
      <c r="A1428" s="86">
        <f t="shared" si="17"/>
        <v>45623</v>
      </c>
      <c r="B1428" s="87" t="s">
        <v>493</v>
      </c>
      <c r="C1428" s="88">
        <v>45597</v>
      </c>
      <c r="D1428" s="89" t="s">
        <v>441</v>
      </c>
    </row>
    <row r="1429" spans="1:4">
      <c r="A1429" s="86">
        <f t="shared" si="17"/>
        <v>45624</v>
      </c>
      <c r="B1429" s="87" t="s">
        <v>493</v>
      </c>
      <c r="C1429" s="88">
        <v>45597</v>
      </c>
      <c r="D1429" s="89" t="s">
        <v>443</v>
      </c>
    </row>
    <row r="1430" spans="1:4">
      <c r="A1430" s="86">
        <f t="shared" si="17"/>
        <v>45625</v>
      </c>
      <c r="B1430" s="87" t="s">
        <v>493</v>
      </c>
      <c r="C1430" s="88">
        <v>45597</v>
      </c>
      <c r="D1430" s="89" t="s">
        <v>444</v>
      </c>
    </row>
    <row r="1431" spans="1:4">
      <c r="A1431" s="86">
        <f t="shared" si="17"/>
        <v>45626</v>
      </c>
      <c r="B1431" s="87" t="s">
        <v>493</v>
      </c>
      <c r="C1431" s="88">
        <v>45597</v>
      </c>
      <c r="D1431" s="89" t="s">
        <v>445</v>
      </c>
    </row>
    <row r="1432" spans="1:4">
      <c r="A1432" s="86">
        <f t="shared" si="17"/>
        <v>45627</v>
      </c>
      <c r="B1432" s="87" t="s">
        <v>493</v>
      </c>
      <c r="C1432" s="88">
        <v>45627</v>
      </c>
      <c r="D1432" s="89" t="s">
        <v>447</v>
      </c>
    </row>
    <row r="1433" spans="1:4">
      <c r="A1433" s="86">
        <f t="shared" si="17"/>
        <v>45628</v>
      </c>
      <c r="B1433" s="87" t="s">
        <v>494</v>
      </c>
      <c r="C1433" s="88">
        <v>45627</v>
      </c>
      <c r="D1433" s="89" t="s">
        <v>448</v>
      </c>
    </row>
    <row r="1434" spans="1:4">
      <c r="A1434" s="86">
        <f t="shared" si="17"/>
        <v>45629</v>
      </c>
      <c r="B1434" s="87" t="s">
        <v>494</v>
      </c>
      <c r="C1434" s="88">
        <v>45627</v>
      </c>
      <c r="D1434" s="89" t="s">
        <v>449</v>
      </c>
    </row>
    <row r="1435" spans="1:4">
      <c r="A1435" s="86">
        <f t="shared" si="17"/>
        <v>45630</v>
      </c>
      <c r="B1435" s="87" t="s">
        <v>494</v>
      </c>
      <c r="C1435" s="88">
        <v>45627</v>
      </c>
      <c r="D1435" s="89" t="s">
        <v>441</v>
      </c>
    </row>
    <row r="1436" spans="1:4">
      <c r="A1436" s="86">
        <f t="shared" si="17"/>
        <v>45631</v>
      </c>
      <c r="B1436" s="87" t="s">
        <v>494</v>
      </c>
      <c r="C1436" s="88">
        <v>45627</v>
      </c>
      <c r="D1436" s="89" t="s">
        <v>443</v>
      </c>
    </row>
    <row r="1437" spans="1:4">
      <c r="A1437" s="86">
        <f t="shared" si="17"/>
        <v>45632</v>
      </c>
      <c r="B1437" s="87" t="s">
        <v>494</v>
      </c>
      <c r="C1437" s="88">
        <v>45627</v>
      </c>
      <c r="D1437" s="89" t="s">
        <v>444</v>
      </c>
    </row>
    <row r="1438" spans="1:4">
      <c r="A1438" s="86">
        <f t="shared" si="17"/>
        <v>45633</v>
      </c>
      <c r="B1438" s="87" t="s">
        <v>494</v>
      </c>
      <c r="C1438" s="88">
        <v>45627</v>
      </c>
      <c r="D1438" s="89" t="s">
        <v>445</v>
      </c>
    </row>
    <row r="1439" spans="1:4">
      <c r="A1439" s="86">
        <f t="shared" si="17"/>
        <v>45634</v>
      </c>
      <c r="B1439" s="87" t="s">
        <v>494</v>
      </c>
      <c r="C1439" s="88">
        <v>45627</v>
      </c>
      <c r="D1439" s="89" t="s">
        <v>447</v>
      </c>
    </row>
    <row r="1440" spans="1:4">
      <c r="A1440" s="86">
        <f t="shared" si="17"/>
        <v>45635</v>
      </c>
      <c r="B1440" s="87" t="s">
        <v>495</v>
      </c>
      <c r="C1440" s="88">
        <v>45627</v>
      </c>
      <c r="D1440" s="89" t="s">
        <v>448</v>
      </c>
    </row>
    <row r="1441" spans="1:4">
      <c r="A1441" s="86">
        <f t="shared" si="17"/>
        <v>45636</v>
      </c>
      <c r="B1441" s="87" t="s">
        <v>495</v>
      </c>
      <c r="C1441" s="88">
        <v>45627</v>
      </c>
      <c r="D1441" s="89" t="s">
        <v>449</v>
      </c>
    </row>
    <row r="1442" spans="1:4">
      <c r="A1442" s="86">
        <f t="shared" si="17"/>
        <v>45637</v>
      </c>
      <c r="B1442" s="87" t="s">
        <v>495</v>
      </c>
      <c r="C1442" s="88">
        <v>45627</v>
      </c>
      <c r="D1442" s="89" t="s">
        <v>441</v>
      </c>
    </row>
    <row r="1443" spans="1:4">
      <c r="A1443" s="86">
        <f t="shared" si="17"/>
        <v>45638</v>
      </c>
      <c r="B1443" s="87" t="s">
        <v>495</v>
      </c>
      <c r="C1443" s="88">
        <v>45627</v>
      </c>
      <c r="D1443" s="89" t="s">
        <v>443</v>
      </c>
    </row>
    <row r="1444" spans="1:4">
      <c r="A1444" s="86">
        <f t="shared" si="17"/>
        <v>45639</v>
      </c>
      <c r="B1444" s="87" t="s">
        <v>495</v>
      </c>
      <c r="C1444" s="88">
        <v>45627</v>
      </c>
      <c r="D1444" s="89" t="s">
        <v>444</v>
      </c>
    </row>
    <row r="1445" spans="1:4">
      <c r="A1445" s="86">
        <f t="shared" si="17"/>
        <v>45640</v>
      </c>
      <c r="B1445" s="87" t="s">
        <v>495</v>
      </c>
      <c r="C1445" s="88">
        <v>45627</v>
      </c>
      <c r="D1445" s="89" t="s">
        <v>445</v>
      </c>
    </row>
    <row r="1446" spans="1:4">
      <c r="A1446" s="86">
        <f t="shared" si="17"/>
        <v>45641</v>
      </c>
      <c r="B1446" s="87" t="s">
        <v>495</v>
      </c>
      <c r="C1446" s="88">
        <v>45627</v>
      </c>
      <c r="D1446" s="89" t="s">
        <v>447</v>
      </c>
    </row>
    <row r="1447" spans="1:4">
      <c r="A1447" s="86">
        <f t="shared" si="17"/>
        <v>45642</v>
      </c>
      <c r="B1447" s="87" t="s">
        <v>496</v>
      </c>
      <c r="C1447" s="88">
        <v>45627</v>
      </c>
      <c r="D1447" s="89" t="s">
        <v>448</v>
      </c>
    </row>
    <row r="1448" spans="1:4">
      <c r="A1448" s="86">
        <f t="shared" si="17"/>
        <v>45643</v>
      </c>
      <c r="B1448" s="87" t="s">
        <v>496</v>
      </c>
      <c r="C1448" s="88">
        <v>45627</v>
      </c>
      <c r="D1448" s="89" t="s">
        <v>449</v>
      </c>
    </row>
    <row r="1449" spans="1:4">
      <c r="A1449" s="86">
        <f t="shared" si="17"/>
        <v>45644</v>
      </c>
      <c r="B1449" s="87" t="s">
        <v>496</v>
      </c>
      <c r="C1449" s="88">
        <v>45627</v>
      </c>
      <c r="D1449" s="89" t="s">
        <v>441</v>
      </c>
    </row>
    <row r="1450" spans="1:4">
      <c r="A1450" s="86">
        <f t="shared" si="17"/>
        <v>45645</v>
      </c>
      <c r="B1450" s="87" t="s">
        <v>496</v>
      </c>
      <c r="C1450" s="88">
        <v>45627</v>
      </c>
      <c r="D1450" s="89" t="s">
        <v>443</v>
      </c>
    </row>
    <row r="1451" spans="1:4">
      <c r="A1451" s="86">
        <f t="shared" si="17"/>
        <v>45646</v>
      </c>
      <c r="B1451" s="87" t="s">
        <v>496</v>
      </c>
      <c r="C1451" s="88">
        <v>45627</v>
      </c>
      <c r="D1451" s="89" t="s">
        <v>444</v>
      </c>
    </row>
    <row r="1452" spans="1:4">
      <c r="A1452" s="86">
        <f t="shared" si="17"/>
        <v>45647</v>
      </c>
      <c r="B1452" s="87" t="s">
        <v>496</v>
      </c>
      <c r="C1452" s="88">
        <v>45627</v>
      </c>
      <c r="D1452" s="89" t="s">
        <v>445</v>
      </c>
    </row>
    <row r="1453" spans="1:4">
      <c r="A1453" s="86">
        <f t="shared" si="17"/>
        <v>45648</v>
      </c>
      <c r="B1453" s="87" t="s">
        <v>496</v>
      </c>
      <c r="C1453" s="88">
        <v>45627</v>
      </c>
      <c r="D1453" s="89" t="s">
        <v>447</v>
      </c>
    </row>
    <row r="1454" spans="1:4">
      <c r="A1454" s="86">
        <f t="shared" si="17"/>
        <v>45649</v>
      </c>
      <c r="B1454" s="87" t="s">
        <v>497</v>
      </c>
      <c r="C1454" s="88">
        <v>45627</v>
      </c>
      <c r="D1454" s="89" t="s">
        <v>448</v>
      </c>
    </row>
    <row r="1455" spans="1:4">
      <c r="A1455" s="86">
        <f t="shared" si="17"/>
        <v>45650</v>
      </c>
      <c r="B1455" s="87" t="s">
        <v>497</v>
      </c>
      <c r="C1455" s="88">
        <v>45627</v>
      </c>
      <c r="D1455" s="89" t="s">
        <v>449</v>
      </c>
    </row>
    <row r="1456" spans="1:4">
      <c r="A1456" s="86">
        <f t="shared" si="17"/>
        <v>45651</v>
      </c>
      <c r="B1456" s="87" t="s">
        <v>497</v>
      </c>
      <c r="C1456" s="88">
        <v>45627</v>
      </c>
      <c r="D1456" s="89" t="s">
        <v>441</v>
      </c>
    </row>
    <row r="1457" spans="1:4">
      <c r="A1457" s="86">
        <f t="shared" si="17"/>
        <v>45652</v>
      </c>
      <c r="B1457" s="87" t="s">
        <v>497</v>
      </c>
      <c r="C1457" s="88">
        <v>45627</v>
      </c>
      <c r="D1457" s="89" t="s">
        <v>443</v>
      </c>
    </row>
    <row r="1458" spans="1:4">
      <c r="A1458" s="86">
        <f t="shared" si="17"/>
        <v>45653</v>
      </c>
      <c r="B1458" s="87" t="s">
        <v>497</v>
      </c>
      <c r="C1458" s="88">
        <v>45627</v>
      </c>
      <c r="D1458" s="89" t="s">
        <v>444</v>
      </c>
    </row>
    <row r="1459" spans="1:4">
      <c r="A1459" s="86">
        <f t="shared" si="17"/>
        <v>45654</v>
      </c>
      <c r="B1459" s="87" t="s">
        <v>497</v>
      </c>
      <c r="C1459" s="88">
        <v>45627</v>
      </c>
      <c r="D1459" s="89" t="s">
        <v>445</v>
      </c>
    </row>
    <row r="1460" spans="1:4">
      <c r="A1460" s="86">
        <f t="shared" si="17"/>
        <v>45655</v>
      </c>
      <c r="B1460" s="87" t="s">
        <v>497</v>
      </c>
      <c r="C1460" s="88">
        <v>45627</v>
      </c>
      <c r="D1460" s="89" t="s">
        <v>447</v>
      </c>
    </row>
    <row r="1461" spans="1:4">
      <c r="A1461" s="86">
        <f t="shared" si="17"/>
        <v>45656</v>
      </c>
      <c r="B1461" s="87" t="s">
        <v>498</v>
      </c>
      <c r="C1461" s="88">
        <v>45627</v>
      </c>
      <c r="D1461" s="89" t="s">
        <v>448</v>
      </c>
    </row>
    <row r="1462" spans="1:4">
      <c r="A1462" s="86">
        <f t="shared" si="17"/>
        <v>45657</v>
      </c>
      <c r="B1462" s="87" t="s">
        <v>498</v>
      </c>
      <c r="C1462" s="88">
        <v>45627</v>
      </c>
      <c r="D1462" s="89" t="s">
        <v>449</v>
      </c>
    </row>
    <row r="1463" spans="1:4">
      <c r="A1463" s="86">
        <v>45658</v>
      </c>
      <c r="B1463" s="87" t="s">
        <v>2061</v>
      </c>
      <c r="C1463" s="88">
        <v>45658</v>
      </c>
      <c r="D1463" s="89" t="s">
        <v>2062</v>
      </c>
    </row>
    <row r="1464" spans="1:4">
      <c r="A1464" s="86">
        <v>45659</v>
      </c>
      <c r="B1464" s="87" t="s">
        <v>2061</v>
      </c>
      <c r="C1464" s="88">
        <v>45658</v>
      </c>
      <c r="D1464" s="89" t="s">
        <v>2063</v>
      </c>
    </row>
    <row r="1465" spans="1:4">
      <c r="A1465" s="86">
        <v>45660</v>
      </c>
      <c r="B1465" s="87" t="s">
        <v>2061</v>
      </c>
      <c r="C1465" s="88">
        <v>45658</v>
      </c>
      <c r="D1465" s="89" t="s">
        <v>2064</v>
      </c>
    </row>
    <row r="1466" spans="1:4">
      <c r="A1466" s="86">
        <v>45661</v>
      </c>
      <c r="B1466" s="87" t="s">
        <v>2061</v>
      </c>
      <c r="C1466" s="88">
        <v>45658</v>
      </c>
      <c r="D1466" s="89" t="s">
        <v>2065</v>
      </c>
    </row>
    <row r="1467" spans="1:4">
      <c r="A1467" s="86">
        <v>45662</v>
      </c>
      <c r="B1467" s="87" t="s">
        <v>2066</v>
      </c>
      <c r="C1467" s="88">
        <v>45658</v>
      </c>
      <c r="D1467" s="89" t="s">
        <v>2067</v>
      </c>
    </row>
    <row r="1468" spans="1:4">
      <c r="A1468" s="86">
        <v>45663</v>
      </c>
      <c r="B1468" s="87" t="s">
        <v>2066</v>
      </c>
      <c r="C1468" s="88">
        <v>45658</v>
      </c>
      <c r="D1468" s="89" t="s">
        <v>2068</v>
      </c>
    </row>
    <row r="1469" spans="1:4">
      <c r="A1469" s="86">
        <v>45664</v>
      </c>
      <c r="B1469" s="87" t="s">
        <v>2066</v>
      </c>
      <c r="C1469" s="88">
        <v>45658</v>
      </c>
      <c r="D1469" s="89" t="s">
        <v>2069</v>
      </c>
    </row>
    <row r="1470" spans="1:4">
      <c r="A1470" s="86">
        <v>45665</v>
      </c>
      <c r="B1470" s="87" t="s">
        <v>2066</v>
      </c>
      <c r="C1470" s="88">
        <v>45658</v>
      </c>
      <c r="D1470" s="89" t="s">
        <v>2062</v>
      </c>
    </row>
    <row r="1471" spans="1:4">
      <c r="A1471" s="86">
        <v>45666</v>
      </c>
      <c r="B1471" s="87" t="s">
        <v>2066</v>
      </c>
      <c r="C1471" s="88">
        <v>45658</v>
      </c>
      <c r="D1471" s="89" t="s">
        <v>2063</v>
      </c>
    </row>
    <row r="1472" spans="1:4">
      <c r="A1472" s="86">
        <v>45667</v>
      </c>
      <c r="B1472" s="87" t="s">
        <v>2066</v>
      </c>
      <c r="C1472" s="88">
        <v>45658</v>
      </c>
      <c r="D1472" s="89" t="s">
        <v>2064</v>
      </c>
    </row>
    <row r="1473" spans="1:4">
      <c r="A1473" s="86">
        <v>45668</v>
      </c>
      <c r="B1473" s="87" t="s">
        <v>2066</v>
      </c>
      <c r="C1473" s="88">
        <v>45658</v>
      </c>
      <c r="D1473" s="89" t="s">
        <v>2065</v>
      </c>
    </row>
    <row r="1474" spans="1:4">
      <c r="A1474" s="86">
        <v>45669</v>
      </c>
      <c r="B1474" s="87" t="s">
        <v>2070</v>
      </c>
      <c r="C1474" s="88">
        <v>45658</v>
      </c>
      <c r="D1474" s="89" t="s">
        <v>2067</v>
      </c>
    </row>
    <row r="1475" spans="1:4">
      <c r="A1475" s="86">
        <v>45670</v>
      </c>
      <c r="B1475" s="87" t="s">
        <v>2070</v>
      </c>
      <c r="C1475" s="88">
        <v>45658</v>
      </c>
      <c r="D1475" s="89" t="s">
        <v>2068</v>
      </c>
    </row>
    <row r="1476" spans="1:4">
      <c r="A1476" s="86">
        <v>45671</v>
      </c>
      <c r="B1476" s="87" t="s">
        <v>2070</v>
      </c>
      <c r="C1476" s="88">
        <v>45658</v>
      </c>
      <c r="D1476" s="89" t="s">
        <v>2069</v>
      </c>
    </row>
    <row r="1477" spans="1:4">
      <c r="A1477" s="86">
        <v>45672</v>
      </c>
      <c r="B1477" s="87" t="s">
        <v>2070</v>
      </c>
      <c r="C1477" s="88">
        <v>45658</v>
      </c>
      <c r="D1477" s="89" t="s">
        <v>2062</v>
      </c>
    </row>
    <row r="1478" spans="1:4">
      <c r="A1478" s="86">
        <v>45673</v>
      </c>
      <c r="B1478" s="87" t="s">
        <v>2070</v>
      </c>
      <c r="C1478" s="88">
        <v>45658</v>
      </c>
      <c r="D1478" s="89" t="s">
        <v>2063</v>
      </c>
    </row>
    <row r="1479" spans="1:4">
      <c r="A1479" s="86">
        <v>45674</v>
      </c>
      <c r="B1479" s="87" t="s">
        <v>2070</v>
      </c>
      <c r="C1479" s="88">
        <v>45658</v>
      </c>
      <c r="D1479" s="89" t="s">
        <v>2064</v>
      </c>
    </row>
    <row r="1480" spans="1:4">
      <c r="A1480" s="86">
        <v>45675</v>
      </c>
      <c r="B1480" s="87" t="s">
        <v>2070</v>
      </c>
      <c r="C1480" s="88">
        <v>45658</v>
      </c>
      <c r="D1480" s="89" t="s">
        <v>2065</v>
      </c>
    </row>
    <row r="1481" spans="1:4">
      <c r="A1481" s="86">
        <v>45676</v>
      </c>
      <c r="B1481" s="87" t="s">
        <v>2071</v>
      </c>
      <c r="C1481" s="88">
        <v>45658</v>
      </c>
      <c r="D1481" s="89" t="s">
        <v>2067</v>
      </c>
    </row>
    <row r="1482" spans="1:4">
      <c r="A1482" s="86">
        <v>45677</v>
      </c>
      <c r="B1482" s="87" t="s">
        <v>2071</v>
      </c>
      <c r="C1482" s="88">
        <v>45658</v>
      </c>
      <c r="D1482" s="89" t="s">
        <v>2068</v>
      </c>
    </row>
    <row r="1483" spans="1:4">
      <c r="A1483" s="86">
        <v>45678</v>
      </c>
      <c r="B1483" s="87" t="s">
        <v>2071</v>
      </c>
      <c r="C1483" s="88">
        <v>45658</v>
      </c>
      <c r="D1483" s="89" t="s">
        <v>2069</v>
      </c>
    </row>
    <row r="1484" spans="1:4">
      <c r="A1484" s="86">
        <v>45679</v>
      </c>
      <c r="B1484" s="87" t="s">
        <v>2071</v>
      </c>
      <c r="C1484" s="88">
        <v>45658</v>
      </c>
      <c r="D1484" s="89" t="s">
        <v>2062</v>
      </c>
    </row>
    <row r="1485" spans="1:4">
      <c r="A1485" s="86">
        <v>45680</v>
      </c>
      <c r="B1485" s="87" t="s">
        <v>2071</v>
      </c>
      <c r="C1485" s="88">
        <v>45658</v>
      </c>
      <c r="D1485" s="89" t="s">
        <v>2063</v>
      </c>
    </row>
    <row r="1486" spans="1:4">
      <c r="A1486" s="86">
        <v>45681</v>
      </c>
      <c r="B1486" s="87" t="s">
        <v>2071</v>
      </c>
      <c r="C1486" s="88">
        <v>45658</v>
      </c>
      <c r="D1486" s="89" t="s">
        <v>2064</v>
      </c>
    </row>
    <row r="1487" spans="1:4">
      <c r="A1487" s="86">
        <v>45682</v>
      </c>
      <c r="B1487" s="87" t="s">
        <v>2071</v>
      </c>
      <c r="C1487" s="88">
        <v>45658</v>
      </c>
      <c r="D1487" s="89" t="s">
        <v>2065</v>
      </c>
    </row>
    <row r="1488" spans="1:4">
      <c r="A1488" s="86">
        <v>45683</v>
      </c>
      <c r="B1488" s="87" t="s">
        <v>2072</v>
      </c>
      <c r="C1488" s="88">
        <v>45658</v>
      </c>
      <c r="D1488" s="89" t="s">
        <v>2067</v>
      </c>
    </row>
    <row r="1489" spans="1:4">
      <c r="A1489" s="86">
        <v>45684</v>
      </c>
      <c r="B1489" s="87" t="s">
        <v>2072</v>
      </c>
      <c r="C1489" s="88">
        <v>45658</v>
      </c>
      <c r="D1489" s="89" t="s">
        <v>2068</v>
      </c>
    </row>
    <row r="1490" spans="1:4">
      <c r="A1490" s="86">
        <v>45685</v>
      </c>
      <c r="B1490" s="87" t="s">
        <v>2072</v>
      </c>
      <c r="C1490" s="88">
        <v>45658</v>
      </c>
      <c r="D1490" s="89" t="s">
        <v>2069</v>
      </c>
    </row>
    <row r="1491" spans="1:4">
      <c r="A1491" s="86">
        <v>45686</v>
      </c>
      <c r="B1491" s="87" t="s">
        <v>2072</v>
      </c>
      <c r="C1491" s="88">
        <v>45658</v>
      </c>
      <c r="D1491" s="89" t="s">
        <v>2062</v>
      </c>
    </row>
    <row r="1492" spans="1:4">
      <c r="A1492" s="86">
        <v>45687</v>
      </c>
      <c r="B1492" s="87" t="s">
        <v>2072</v>
      </c>
      <c r="C1492" s="88">
        <v>45658</v>
      </c>
      <c r="D1492" s="89" t="s">
        <v>2063</v>
      </c>
    </row>
    <row r="1493" spans="1:4">
      <c r="A1493" s="86">
        <v>45688</v>
      </c>
      <c r="B1493" s="87" t="s">
        <v>2072</v>
      </c>
      <c r="C1493" s="88">
        <v>45658</v>
      </c>
      <c r="D1493" s="89" t="s">
        <v>2064</v>
      </c>
    </row>
    <row r="1494" spans="1:4">
      <c r="A1494" s="86">
        <v>45689</v>
      </c>
      <c r="B1494" s="87" t="s">
        <v>2072</v>
      </c>
      <c r="C1494" s="88">
        <v>45689</v>
      </c>
      <c r="D1494" s="89" t="s">
        <v>2065</v>
      </c>
    </row>
    <row r="1495" spans="1:4">
      <c r="A1495" s="86">
        <v>45690</v>
      </c>
      <c r="B1495" s="87" t="s">
        <v>2073</v>
      </c>
      <c r="C1495" s="88">
        <v>45689</v>
      </c>
      <c r="D1495" s="89" t="s">
        <v>2067</v>
      </c>
    </row>
    <row r="1496" spans="1:4">
      <c r="A1496" s="86">
        <v>45691</v>
      </c>
      <c r="B1496" s="87" t="s">
        <v>2073</v>
      </c>
      <c r="C1496" s="88">
        <v>45689</v>
      </c>
      <c r="D1496" s="89" t="s">
        <v>2068</v>
      </c>
    </row>
    <row r="1497" spans="1:4">
      <c r="A1497" s="86">
        <v>45692</v>
      </c>
      <c r="B1497" s="87" t="s">
        <v>2073</v>
      </c>
      <c r="C1497" s="88">
        <v>45689</v>
      </c>
      <c r="D1497" s="89" t="s">
        <v>2069</v>
      </c>
    </row>
    <row r="1498" spans="1:4">
      <c r="A1498" s="86">
        <v>45693</v>
      </c>
      <c r="B1498" s="87" t="s">
        <v>2073</v>
      </c>
      <c r="C1498" s="88">
        <v>45689</v>
      </c>
      <c r="D1498" s="89" t="s">
        <v>2062</v>
      </c>
    </row>
    <row r="1499" spans="1:4">
      <c r="A1499" s="86">
        <v>45694</v>
      </c>
      <c r="B1499" s="87" t="s">
        <v>2073</v>
      </c>
      <c r="C1499" s="88">
        <v>45689</v>
      </c>
      <c r="D1499" s="89" t="s">
        <v>2063</v>
      </c>
    </row>
    <row r="1500" spans="1:4">
      <c r="A1500" s="86">
        <v>45695</v>
      </c>
      <c r="B1500" s="87" t="s">
        <v>2073</v>
      </c>
      <c r="C1500" s="88">
        <v>45689</v>
      </c>
      <c r="D1500" s="89" t="s">
        <v>2064</v>
      </c>
    </row>
    <row r="1501" spans="1:4">
      <c r="A1501" s="86">
        <v>45696</v>
      </c>
      <c r="B1501" s="87" t="s">
        <v>2073</v>
      </c>
      <c r="C1501" s="88">
        <v>45689</v>
      </c>
      <c r="D1501" s="89" t="s">
        <v>2065</v>
      </c>
    </row>
    <row r="1502" spans="1:4">
      <c r="A1502" s="86">
        <v>45697</v>
      </c>
      <c r="B1502" s="87" t="s">
        <v>2074</v>
      </c>
      <c r="C1502" s="88">
        <v>45689</v>
      </c>
      <c r="D1502" s="89" t="s">
        <v>2067</v>
      </c>
    </row>
    <row r="1503" spans="1:4">
      <c r="A1503" s="86">
        <v>45698</v>
      </c>
      <c r="B1503" s="87" t="s">
        <v>2074</v>
      </c>
      <c r="C1503" s="88">
        <v>45689</v>
      </c>
      <c r="D1503" s="89" t="s">
        <v>2068</v>
      </c>
    </row>
    <row r="1504" spans="1:4">
      <c r="A1504" s="86">
        <v>45699</v>
      </c>
      <c r="B1504" s="87" t="s">
        <v>2074</v>
      </c>
      <c r="C1504" s="88">
        <v>45689</v>
      </c>
      <c r="D1504" s="89" t="s">
        <v>2069</v>
      </c>
    </row>
    <row r="1505" spans="1:4">
      <c r="A1505" s="86">
        <v>45700</v>
      </c>
      <c r="B1505" s="87" t="s">
        <v>2074</v>
      </c>
      <c r="C1505" s="88">
        <v>45689</v>
      </c>
      <c r="D1505" s="89" t="s">
        <v>2062</v>
      </c>
    </row>
    <row r="1506" spans="1:4">
      <c r="A1506" s="86">
        <v>45701</v>
      </c>
      <c r="B1506" s="87" t="s">
        <v>2074</v>
      </c>
      <c r="C1506" s="88">
        <v>45689</v>
      </c>
      <c r="D1506" s="89" t="s">
        <v>2063</v>
      </c>
    </row>
    <row r="1507" spans="1:4">
      <c r="A1507" s="86">
        <v>45702</v>
      </c>
      <c r="B1507" s="87" t="s">
        <v>2074</v>
      </c>
      <c r="C1507" s="88">
        <v>45689</v>
      </c>
      <c r="D1507" s="89" t="s">
        <v>2064</v>
      </c>
    </row>
    <row r="1508" spans="1:4">
      <c r="A1508" s="86">
        <v>45703</v>
      </c>
      <c r="B1508" s="87" t="s">
        <v>2074</v>
      </c>
      <c r="C1508" s="88">
        <v>45689</v>
      </c>
      <c r="D1508" s="89" t="s">
        <v>2065</v>
      </c>
    </row>
    <row r="1509" spans="1:4">
      <c r="A1509" s="86">
        <v>45704</v>
      </c>
      <c r="B1509" s="87" t="s">
        <v>2075</v>
      </c>
      <c r="C1509" s="88">
        <v>45689</v>
      </c>
      <c r="D1509" s="89" t="s">
        <v>2067</v>
      </c>
    </row>
    <row r="1510" spans="1:4">
      <c r="A1510" s="86">
        <v>45705</v>
      </c>
      <c r="B1510" s="87" t="s">
        <v>2075</v>
      </c>
      <c r="C1510" s="88">
        <v>45689</v>
      </c>
      <c r="D1510" s="89" t="s">
        <v>2068</v>
      </c>
    </row>
    <row r="1511" spans="1:4">
      <c r="A1511" s="86">
        <v>45706</v>
      </c>
      <c r="B1511" s="87" t="s">
        <v>2075</v>
      </c>
      <c r="C1511" s="88">
        <v>45689</v>
      </c>
      <c r="D1511" s="89" t="s">
        <v>2069</v>
      </c>
    </row>
    <row r="1512" spans="1:4">
      <c r="A1512" s="86">
        <v>45707</v>
      </c>
      <c r="B1512" s="87" t="s">
        <v>2075</v>
      </c>
      <c r="C1512" s="88">
        <v>45689</v>
      </c>
      <c r="D1512" s="89" t="s">
        <v>2062</v>
      </c>
    </row>
    <row r="1513" spans="1:4">
      <c r="A1513" s="86">
        <v>45708</v>
      </c>
      <c r="B1513" s="87" t="s">
        <v>2075</v>
      </c>
      <c r="C1513" s="88">
        <v>45689</v>
      </c>
      <c r="D1513" s="89" t="s">
        <v>2063</v>
      </c>
    </row>
    <row r="1514" spans="1:4">
      <c r="A1514" s="86">
        <v>45709</v>
      </c>
      <c r="B1514" s="87" t="s">
        <v>2075</v>
      </c>
      <c r="C1514" s="88">
        <v>45689</v>
      </c>
      <c r="D1514" s="89" t="s">
        <v>2064</v>
      </c>
    </row>
    <row r="1515" spans="1:4">
      <c r="A1515" s="86">
        <v>45710</v>
      </c>
      <c r="B1515" s="87" t="s">
        <v>2075</v>
      </c>
      <c r="C1515" s="88">
        <v>45689</v>
      </c>
      <c r="D1515" s="89" t="s">
        <v>2065</v>
      </c>
    </row>
    <row r="1516" spans="1:4">
      <c r="A1516" s="86">
        <v>45711</v>
      </c>
      <c r="B1516" s="87" t="s">
        <v>2076</v>
      </c>
      <c r="C1516" s="88">
        <v>45689</v>
      </c>
      <c r="D1516" s="89" t="s">
        <v>2067</v>
      </c>
    </row>
    <row r="1517" spans="1:4">
      <c r="A1517" s="86">
        <v>45712</v>
      </c>
      <c r="B1517" s="87" t="s">
        <v>2076</v>
      </c>
      <c r="C1517" s="88">
        <v>45689</v>
      </c>
      <c r="D1517" s="89" t="s">
        <v>2068</v>
      </c>
    </row>
    <row r="1518" spans="1:4">
      <c r="A1518" s="86">
        <v>45713</v>
      </c>
      <c r="B1518" s="87" t="s">
        <v>2076</v>
      </c>
      <c r="C1518" s="88">
        <v>45689</v>
      </c>
      <c r="D1518" s="89" t="s">
        <v>2069</v>
      </c>
    </row>
    <row r="1519" spans="1:4">
      <c r="A1519" s="86">
        <v>45714</v>
      </c>
      <c r="B1519" s="87" t="s">
        <v>2076</v>
      </c>
      <c r="C1519" s="88">
        <v>45689</v>
      </c>
      <c r="D1519" s="89" t="s">
        <v>2062</v>
      </c>
    </row>
    <row r="1520" spans="1:4">
      <c r="A1520" s="86">
        <v>45715</v>
      </c>
      <c r="B1520" s="87" t="s">
        <v>2076</v>
      </c>
      <c r="C1520" s="88">
        <v>45689</v>
      </c>
      <c r="D1520" s="89" t="s">
        <v>2063</v>
      </c>
    </row>
    <row r="1521" spans="1:4">
      <c r="A1521" s="86">
        <v>45716</v>
      </c>
      <c r="B1521" s="87" t="s">
        <v>2076</v>
      </c>
      <c r="C1521" s="88">
        <v>45689</v>
      </c>
      <c r="D1521" s="89" t="s">
        <v>2064</v>
      </c>
    </row>
    <row r="1522" spans="1:4">
      <c r="A1522" s="86">
        <v>45717</v>
      </c>
      <c r="B1522" s="87" t="s">
        <v>2076</v>
      </c>
      <c r="C1522" s="88">
        <v>45717</v>
      </c>
      <c r="D1522" s="89" t="s">
        <v>2065</v>
      </c>
    </row>
    <row r="1523" spans="1:4">
      <c r="A1523" s="86">
        <v>45718</v>
      </c>
      <c r="B1523" s="87" t="s">
        <v>2077</v>
      </c>
      <c r="C1523" s="88">
        <v>45717</v>
      </c>
      <c r="D1523" s="89" t="s">
        <v>2067</v>
      </c>
    </row>
    <row r="1524" spans="1:4">
      <c r="A1524" s="86">
        <v>45719</v>
      </c>
      <c r="B1524" s="87" t="s">
        <v>2077</v>
      </c>
      <c r="C1524" s="88">
        <v>45717</v>
      </c>
      <c r="D1524" s="89" t="s">
        <v>2068</v>
      </c>
    </row>
    <row r="1525" spans="1:4">
      <c r="A1525" s="86">
        <v>45720</v>
      </c>
      <c r="B1525" s="87" t="s">
        <v>2077</v>
      </c>
      <c r="C1525" s="88">
        <v>45717</v>
      </c>
      <c r="D1525" s="89" t="s">
        <v>2069</v>
      </c>
    </row>
    <row r="1526" spans="1:4">
      <c r="A1526" s="86">
        <v>45721</v>
      </c>
      <c r="B1526" s="87" t="s">
        <v>2077</v>
      </c>
      <c r="C1526" s="88">
        <v>45717</v>
      </c>
      <c r="D1526" s="89" t="s">
        <v>2062</v>
      </c>
    </row>
    <row r="1527" spans="1:4">
      <c r="A1527" s="86">
        <v>45722</v>
      </c>
      <c r="B1527" s="87" t="s">
        <v>2077</v>
      </c>
      <c r="C1527" s="88">
        <v>45717</v>
      </c>
      <c r="D1527" s="89" t="s">
        <v>2063</v>
      </c>
    </row>
    <row r="1528" spans="1:4">
      <c r="A1528" s="86">
        <v>45723</v>
      </c>
      <c r="B1528" s="87" t="s">
        <v>2077</v>
      </c>
      <c r="C1528" s="88">
        <v>45717</v>
      </c>
      <c r="D1528" s="89" t="s">
        <v>2064</v>
      </c>
    </row>
    <row r="1529" spans="1:4">
      <c r="A1529" s="86">
        <v>45724</v>
      </c>
      <c r="B1529" s="87" t="s">
        <v>2077</v>
      </c>
      <c r="C1529" s="88">
        <v>45717</v>
      </c>
      <c r="D1529" s="89" t="s">
        <v>2065</v>
      </c>
    </row>
    <row r="1530" spans="1:4">
      <c r="A1530" s="86">
        <v>45725</v>
      </c>
      <c r="B1530" s="87" t="s">
        <v>2078</v>
      </c>
      <c r="C1530" s="88">
        <v>45717</v>
      </c>
      <c r="D1530" s="89" t="s">
        <v>2067</v>
      </c>
    </row>
    <row r="1531" spans="1:4">
      <c r="A1531" s="86">
        <v>45726</v>
      </c>
      <c r="B1531" s="87" t="s">
        <v>2078</v>
      </c>
      <c r="C1531" s="88">
        <v>45717</v>
      </c>
      <c r="D1531" s="89" t="s">
        <v>2068</v>
      </c>
    </row>
    <row r="1532" spans="1:4">
      <c r="A1532" s="86">
        <v>45727</v>
      </c>
      <c r="B1532" s="87" t="s">
        <v>2078</v>
      </c>
      <c r="C1532" s="88">
        <v>45717</v>
      </c>
      <c r="D1532" s="89" t="s">
        <v>2069</v>
      </c>
    </row>
    <row r="1533" spans="1:4">
      <c r="A1533" s="86">
        <v>45728</v>
      </c>
      <c r="B1533" s="87" t="s">
        <v>2078</v>
      </c>
      <c r="C1533" s="88">
        <v>45717</v>
      </c>
      <c r="D1533" s="89" t="s">
        <v>2062</v>
      </c>
    </row>
    <row r="1534" spans="1:4">
      <c r="A1534" s="86">
        <v>45729</v>
      </c>
      <c r="B1534" s="87" t="s">
        <v>2078</v>
      </c>
      <c r="C1534" s="88">
        <v>45717</v>
      </c>
      <c r="D1534" s="89" t="s">
        <v>2063</v>
      </c>
    </row>
    <row r="1535" spans="1:4">
      <c r="A1535" s="86">
        <v>45730</v>
      </c>
      <c r="B1535" s="87" t="s">
        <v>2078</v>
      </c>
      <c r="C1535" s="88">
        <v>45717</v>
      </c>
      <c r="D1535" s="89" t="s">
        <v>2064</v>
      </c>
    </row>
    <row r="1536" spans="1:4">
      <c r="A1536" s="86">
        <v>45731</v>
      </c>
      <c r="B1536" s="87" t="s">
        <v>2078</v>
      </c>
      <c r="C1536" s="88">
        <v>45717</v>
      </c>
      <c r="D1536" s="89" t="s">
        <v>2065</v>
      </c>
    </row>
    <row r="1537" spans="1:4">
      <c r="A1537" s="86">
        <v>45732</v>
      </c>
      <c r="B1537" s="87" t="s">
        <v>2079</v>
      </c>
      <c r="C1537" s="88">
        <v>45717</v>
      </c>
      <c r="D1537" s="89" t="s">
        <v>2067</v>
      </c>
    </row>
    <row r="1538" spans="1:4">
      <c r="A1538" s="86">
        <v>45733</v>
      </c>
      <c r="B1538" s="87" t="s">
        <v>2079</v>
      </c>
      <c r="C1538" s="88">
        <v>45717</v>
      </c>
      <c r="D1538" s="89" t="s">
        <v>2068</v>
      </c>
    </row>
    <row r="1539" spans="1:4">
      <c r="A1539" s="86">
        <v>45734</v>
      </c>
      <c r="B1539" s="87" t="s">
        <v>2079</v>
      </c>
      <c r="C1539" s="88">
        <v>45717</v>
      </c>
      <c r="D1539" s="89" t="s">
        <v>2069</v>
      </c>
    </row>
    <row r="1540" spans="1:4">
      <c r="A1540" s="86">
        <v>45735</v>
      </c>
      <c r="B1540" s="87" t="s">
        <v>2079</v>
      </c>
      <c r="C1540" s="88">
        <v>45717</v>
      </c>
      <c r="D1540" s="89" t="s">
        <v>2062</v>
      </c>
    </row>
    <row r="1541" spans="1:4">
      <c r="A1541" s="86">
        <v>45736</v>
      </c>
      <c r="B1541" s="87" t="s">
        <v>2079</v>
      </c>
      <c r="C1541" s="88">
        <v>45717</v>
      </c>
      <c r="D1541" s="89" t="s">
        <v>2063</v>
      </c>
    </row>
    <row r="1542" spans="1:4">
      <c r="A1542" s="86">
        <v>45737</v>
      </c>
      <c r="B1542" s="87" t="s">
        <v>2079</v>
      </c>
      <c r="C1542" s="88">
        <v>45717</v>
      </c>
      <c r="D1542" s="89" t="s">
        <v>2064</v>
      </c>
    </row>
    <row r="1543" spans="1:4">
      <c r="A1543" s="86">
        <v>45738</v>
      </c>
      <c r="B1543" s="87" t="s">
        <v>2079</v>
      </c>
      <c r="C1543" s="88">
        <v>45717</v>
      </c>
      <c r="D1543" s="89" t="s">
        <v>2065</v>
      </c>
    </row>
    <row r="1544" spans="1:4">
      <c r="A1544" s="86">
        <v>45739</v>
      </c>
      <c r="B1544" s="87" t="s">
        <v>2080</v>
      </c>
      <c r="C1544" s="88">
        <v>45717</v>
      </c>
      <c r="D1544" s="89" t="s">
        <v>2067</v>
      </c>
    </row>
    <row r="1545" spans="1:4">
      <c r="A1545" s="86">
        <v>45740</v>
      </c>
      <c r="B1545" s="87" t="s">
        <v>2080</v>
      </c>
      <c r="C1545" s="88">
        <v>45717</v>
      </c>
      <c r="D1545" s="89" t="s">
        <v>2068</v>
      </c>
    </row>
    <row r="1546" spans="1:4">
      <c r="A1546" s="86">
        <v>45741</v>
      </c>
      <c r="B1546" s="87" t="s">
        <v>2080</v>
      </c>
      <c r="C1546" s="88">
        <v>45717</v>
      </c>
      <c r="D1546" s="89" t="s">
        <v>2069</v>
      </c>
    </row>
    <row r="1547" spans="1:4">
      <c r="A1547" s="86">
        <v>45742</v>
      </c>
      <c r="B1547" s="87" t="s">
        <v>2080</v>
      </c>
      <c r="C1547" s="88">
        <v>45717</v>
      </c>
      <c r="D1547" s="89" t="s">
        <v>2062</v>
      </c>
    </row>
    <row r="1548" spans="1:4">
      <c r="A1548" s="86">
        <v>45743</v>
      </c>
      <c r="B1548" s="87" t="s">
        <v>2080</v>
      </c>
      <c r="C1548" s="88">
        <v>45717</v>
      </c>
      <c r="D1548" s="89" t="s">
        <v>2063</v>
      </c>
    </row>
    <row r="1549" spans="1:4">
      <c r="A1549" s="86">
        <v>45744</v>
      </c>
      <c r="B1549" s="87" t="s">
        <v>2080</v>
      </c>
      <c r="C1549" s="88">
        <v>45717</v>
      </c>
      <c r="D1549" s="89" t="s">
        <v>2064</v>
      </c>
    </row>
    <row r="1550" spans="1:4">
      <c r="A1550" s="86">
        <v>45745</v>
      </c>
      <c r="B1550" s="87" t="s">
        <v>2080</v>
      </c>
      <c r="C1550" s="88">
        <v>45717</v>
      </c>
      <c r="D1550" s="89" t="s">
        <v>2065</v>
      </c>
    </row>
    <row r="1551" spans="1:4">
      <c r="A1551" s="86">
        <v>45746</v>
      </c>
      <c r="B1551" s="87" t="s">
        <v>2081</v>
      </c>
      <c r="C1551" s="88">
        <v>45717</v>
      </c>
      <c r="D1551" s="89" t="s">
        <v>2067</v>
      </c>
    </row>
    <row r="1552" spans="1:4">
      <c r="A1552" s="86">
        <v>45747</v>
      </c>
      <c r="B1552" s="87" t="s">
        <v>2081</v>
      </c>
      <c r="C1552" s="88">
        <v>45717</v>
      </c>
      <c r="D1552" s="89" t="s">
        <v>2068</v>
      </c>
    </row>
    <row r="1553" spans="1:4">
      <c r="A1553" s="86">
        <v>45748</v>
      </c>
      <c r="B1553" s="87" t="s">
        <v>2081</v>
      </c>
      <c r="C1553" s="88">
        <v>45748</v>
      </c>
      <c r="D1553" s="89" t="s">
        <v>2069</v>
      </c>
    </row>
    <row r="1554" spans="1:4">
      <c r="A1554" s="86">
        <v>45749</v>
      </c>
      <c r="B1554" s="87" t="s">
        <v>2081</v>
      </c>
      <c r="C1554" s="88">
        <v>45748</v>
      </c>
      <c r="D1554" s="89" t="s">
        <v>2062</v>
      </c>
    </row>
    <row r="1555" spans="1:4">
      <c r="A1555" s="86">
        <v>45750</v>
      </c>
      <c r="B1555" s="87" t="s">
        <v>2081</v>
      </c>
      <c r="C1555" s="88">
        <v>45748</v>
      </c>
      <c r="D1555" s="89" t="s">
        <v>2063</v>
      </c>
    </row>
    <row r="1556" spans="1:4">
      <c r="A1556" s="86">
        <v>45751</v>
      </c>
      <c r="B1556" s="87" t="s">
        <v>2081</v>
      </c>
      <c r="C1556" s="88">
        <v>45748</v>
      </c>
      <c r="D1556" s="89" t="s">
        <v>2064</v>
      </c>
    </row>
    <row r="1557" spans="1:4">
      <c r="A1557" s="86">
        <v>45752</v>
      </c>
      <c r="B1557" s="87" t="s">
        <v>2081</v>
      </c>
      <c r="C1557" s="88">
        <v>45748</v>
      </c>
      <c r="D1557" s="89" t="s">
        <v>2065</v>
      </c>
    </row>
    <row r="1558" spans="1:4">
      <c r="A1558" s="86">
        <v>45753</v>
      </c>
      <c r="B1558" s="87" t="s">
        <v>2082</v>
      </c>
      <c r="C1558" s="88">
        <v>45748</v>
      </c>
      <c r="D1558" s="89" t="s">
        <v>2067</v>
      </c>
    </row>
    <row r="1559" spans="1:4">
      <c r="A1559" s="86">
        <v>45754</v>
      </c>
      <c r="B1559" s="87" t="s">
        <v>2082</v>
      </c>
      <c r="C1559" s="88">
        <v>45748</v>
      </c>
      <c r="D1559" s="89" t="s">
        <v>2068</v>
      </c>
    </row>
    <row r="1560" spans="1:4">
      <c r="A1560" s="86">
        <v>45755</v>
      </c>
      <c r="B1560" s="87" t="s">
        <v>2082</v>
      </c>
      <c r="C1560" s="88">
        <v>45748</v>
      </c>
      <c r="D1560" s="89" t="s">
        <v>2069</v>
      </c>
    </row>
    <row r="1561" spans="1:4">
      <c r="A1561" s="86">
        <v>45756</v>
      </c>
      <c r="B1561" s="87" t="s">
        <v>2082</v>
      </c>
      <c r="C1561" s="88">
        <v>45748</v>
      </c>
      <c r="D1561" s="89" t="s">
        <v>2062</v>
      </c>
    </row>
    <row r="1562" spans="1:4">
      <c r="A1562" s="86">
        <v>45757</v>
      </c>
      <c r="B1562" s="87" t="s">
        <v>2082</v>
      </c>
      <c r="C1562" s="88">
        <v>45748</v>
      </c>
      <c r="D1562" s="89" t="s">
        <v>2063</v>
      </c>
    </row>
    <row r="1563" spans="1:4">
      <c r="A1563" s="86">
        <v>45758</v>
      </c>
      <c r="B1563" s="87" t="s">
        <v>2082</v>
      </c>
      <c r="C1563" s="88">
        <v>45748</v>
      </c>
      <c r="D1563" s="89" t="s">
        <v>2064</v>
      </c>
    </row>
    <row r="1564" spans="1:4">
      <c r="A1564" s="86">
        <v>45759</v>
      </c>
      <c r="B1564" s="87" t="s">
        <v>2082</v>
      </c>
      <c r="C1564" s="88">
        <v>45748</v>
      </c>
      <c r="D1564" s="89" t="s">
        <v>2065</v>
      </c>
    </row>
    <row r="1565" spans="1:4">
      <c r="A1565" s="86">
        <v>45760</v>
      </c>
      <c r="B1565" s="87" t="s">
        <v>2083</v>
      </c>
      <c r="C1565" s="88">
        <v>45748</v>
      </c>
      <c r="D1565" s="89" t="s">
        <v>2067</v>
      </c>
    </row>
    <row r="1566" spans="1:4">
      <c r="A1566" s="86">
        <v>45761</v>
      </c>
      <c r="B1566" s="87" t="s">
        <v>2083</v>
      </c>
      <c r="C1566" s="88">
        <v>45748</v>
      </c>
      <c r="D1566" s="89" t="s">
        <v>2068</v>
      </c>
    </row>
    <row r="1567" spans="1:4">
      <c r="A1567" s="86">
        <v>45762</v>
      </c>
      <c r="B1567" s="87" t="s">
        <v>2083</v>
      </c>
      <c r="C1567" s="88">
        <v>45748</v>
      </c>
      <c r="D1567" s="89" t="s">
        <v>2069</v>
      </c>
    </row>
    <row r="1568" spans="1:4">
      <c r="A1568" s="86">
        <v>45763</v>
      </c>
      <c r="B1568" s="87" t="s">
        <v>2083</v>
      </c>
      <c r="C1568" s="88">
        <v>45748</v>
      </c>
      <c r="D1568" s="89" t="s">
        <v>2062</v>
      </c>
    </row>
    <row r="1569" spans="1:4">
      <c r="A1569" s="86">
        <v>45764</v>
      </c>
      <c r="B1569" s="87" t="s">
        <v>2083</v>
      </c>
      <c r="C1569" s="88">
        <v>45748</v>
      </c>
      <c r="D1569" s="89" t="s">
        <v>2063</v>
      </c>
    </row>
    <row r="1570" spans="1:4">
      <c r="A1570" s="86">
        <v>45765</v>
      </c>
      <c r="B1570" s="87" t="s">
        <v>2083</v>
      </c>
      <c r="C1570" s="88">
        <v>45748</v>
      </c>
      <c r="D1570" s="89" t="s">
        <v>2064</v>
      </c>
    </row>
    <row r="1571" spans="1:4">
      <c r="A1571" s="86">
        <v>45766</v>
      </c>
      <c r="B1571" s="87" t="s">
        <v>2083</v>
      </c>
      <c r="C1571" s="88">
        <v>45748</v>
      </c>
      <c r="D1571" s="89" t="s">
        <v>2065</v>
      </c>
    </row>
    <row r="1572" spans="1:4">
      <c r="A1572" s="86">
        <v>45767</v>
      </c>
      <c r="B1572" s="87" t="s">
        <v>2084</v>
      </c>
      <c r="C1572" s="88">
        <v>45748</v>
      </c>
      <c r="D1572" s="89" t="s">
        <v>2067</v>
      </c>
    </row>
    <row r="1573" spans="1:4">
      <c r="A1573" s="86">
        <v>45768</v>
      </c>
      <c r="B1573" s="87" t="s">
        <v>2084</v>
      </c>
      <c r="C1573" s="88">
        <v>45748</v>
      </c>
      <c r="D1573" s="89" t="s">
        <v>2068</v>
      </c>
    </row>
    <row r="1574" spans="1:4">
      <c r="A1574" s="86">
        <v>45769</v>
      </c>
      <c r="B1574" s="87" t="s">
        <v>2084</v>
      </c>
      <c r="C1574" s="88">
        <v>45748</v>
      </c>
      <c r="D1574" s="89" t="s">
        <v>2069</v>
      </c>
    </row>
    <row r="1575" spans="1:4">
      <c r="A1575" s="86">
        <v>45770</v>
      </c>
      <c r="B1575" s="87" t="s">
        <v>2084</v>
      </c>
      <c r="C1575" s="88">
        <v>45748</v>
      </c>
      <c r="D1575" s="89" t="s">
        <v>2062</v>
      </c>
    </row>
    <row r="1576" spans="1:4">
      <c r="A1576" s="86">
        <v>45771</v>
      </c>
      <c r="B1576" s="87" t="s">
        <v>2084</v>
      </c>
      <c r="C1576" s="88">
        <v>45748</v>
      </c>
      <c r="D1576" s="89" t="s">
        <v>2063</v>
      </c>
    </row>
    <row r="1577" spans="1:4">
      <c r="A1577" s="86">
        <v>45772</v>
      </c>
      <c r="B1577" s="87" t="s">
        <v>2084</v>
      </c>
      <c r="C1577" s="88">
        <v>45748</v>
      </c>
      <c r="D1577" s="89" t="s">
        <v>2064</v>
      </c>
    </row>
    <row r="1578" spans="1:4">
      <c r="A1578" s="86">
        <v>45773</v>
      </c>
      <c r="B1578" s="87" t="s">
        <v>2084</v>
      </c>
      <c r="C1578" s="88">
        <v>45748</v>
      </c>
      <c r="D1578" s="89" t="s">
        <v>2065</v>
      </c>
    </row>
    <row r="1579" spans="1:4">
      <c r="A1579" s="86">
        <v>45774</v>
      </c>
      <c r="B1579" s="87" t="s">
        <v>2085</v>
      </c>
      <c r="C1579" s="88">
        <v>45748</v>
      </c>
      <c r="D1579" s="89" t="s">
        <v>2067</v>
      </c>
    </row>
    <row r="1580" spans="1:4">
      <c r="A1580" s="86">
        <v>45775</v>
      </c>
      <c r="B1580" s="87" t="s">
        <v>2085</v>
      </c>
      <c r="C1580" s="88">
        <v>45748</v>
      </c>
      <c r="D1580" s="89" t="s">
        <v>2068</v>
      </c>
    </row>
    <row r="1581" spans="1:4">
      <c r="A1581" s="86">
        <v>45776</v>
      </c>
      <c r="B1581" s="87" t="s">
        <v>2085</v>
      </c>
      <c r="C1581" s="88">
        <v>45748</v>
      </c>
      <c r="D1581" s="89" t="s">
        <v>2069</v>
      </c>
    </row>
    <row r="1582" spans="1:4">
      <c r="A1582" s="86">
        <v>45777</v>
      </c>
      <c r="B1582" s="87" t="s">
        <v>2085</v>
      </c>
      <c r="C1582" s="88">
        <v>45748</v>
      </c>
      <c r="D1582" s="89" t="s">
        <v>2062</v>
      </c>
    </row>
    <row r="1583" spans="1:4">
      <c r="A1583" s="86">
        <v>45778</v>
      </c>
      <c r="B1583" s="87" t="s">
        <v>2085</v>
      </c>
      <c r="C1583" s="88">
        <v>45778</v>
      </c>
      <c r="D1583" s="89" t="s">
        <v>2063</v>
      </c>
    </row>
    <row r="1584" spans="1:4">
      <c r="A1584" s="86">
        <v>45779</v>
      </c>
      <c r="B1584" s="87" t="s">
        <v>2085</v>
      </c>
      <c r="C1584" s="88">
        <v>45778</v>
      </c>
      <c r="D1584" s="89" t="s">
        <v>2064</v>
      </c>
    </row>
    <row r="1585" spans="1:4">
      <c r="A1585" s="86">
        <v>45780</v>
      </c>
      <c r="B1585" s="87" t="s">
        <v>2085</v>
      </c>
      <c r="C1585" s="88">
        <v>45778</v>
      </c>
      <c r="D1585" s="89" t="s">
        <v>2065</v>
      </c>
    </row>
    <row r="1586" spans="1:4">
      <c r="A1586" s="86">
        <v>45781</v>
      </c>
      <c r="B1586" s="87" t="s">
        <v>2086</v>
      </c>
      <c r="C1586" s="88">
        <v>45778</v>
      </c>
      <c r="D1586" s="89" t="s">
        <v>2067</v>
      </c>
    </row>
    <row r="1587" spans="1:4">
      <c r="A1587" s="86">
        <v>45782</v>
      </c>
      <c r="B1587" s="87" t="s">
        <v>2086</v>
      </c>
      <c r="C1587" s="88">
        <v>45778</v>
      </c>
      <c r="D1587" s="89" t="s">
        <v>2068</v>
      </c>
    </row>
    <row r="1588" spans="1:4">
      <c r="A1588" s="86">
        <v>45783</v>
      </c>
      <c r="B1588" s="87" t="s">
        <v>2086</v>
      </c>
      <c r="C1588" s="88">
        <v>45778</v>
      </c>
      <c r="D1588" s="89" t="s">
        <v>2069</v>
      </c>
    </row>
    <row r="1589" spans="1:4">
      <c r="A1589" s="86">
        <v>45784</v>
      </c>
      <c r="B1589" s="87" t="s">
        <v>2086</v>
      </c>
      <c r="C1589" s="88">
        <v>45778</v>
      </c>
      <c r="D1589" s="89" t="s">
        <v>2062</v>
      </c>
    </row>
    <row r="1590" spans="1:4">
      <c r="A1590" s="86">
        <v>45785</v>
      </c>
      <c r="B1590" s="87" t="s">
        <v>2086</v>
      </c>
      <c r="C1590" s="88">
        <v>45778</v>
      </c>
      <c r="D1590" s="89" t="s">
        <v>2063</v>
      </c>
    </row>
    <row r="1591" spans="1:4">
      <c r="A1591" s="86">
        <v>45786</v>
      </c>
      <c r="B1591" s="87" t="s">
        <v>2086</v>
      </c>
      <c r="C1591" s="88">
        <v>45778</v>
      </c>
      <c r="D1591" s="89" t="s">
        <v>2064</v>
      </c>
    </row>
    <row r="1592" spans="1:4">
      <c r="A1592" s="86">
        <v>45787</v>
      </c>
      <c r="B1592" s="87" t="s">
        <v>2086</v>
      </c>
      <c r="C1592" s="88">
        <v>45778</v>
      </c>
      <c r="D1592" s="89" t="s">
        <v>2065</v>
      </c>
    </row>
    <row r="1593" spans="1:4">
      <c r="A1593" s="86">
        <v>45788</v>
      </c>
      <c r="B1593" s="87" t="s">
        <v>2087</v>
      </c>
      <c r="C1593" s="88">
        <v>45778</v>
      </c>
      <c r="D1593" s="89" t="s">
        <v>2067</v>
      </c>
    </row>
    <row r="1594" spans="1:4">
      <c r="A1594" s="86">
        <v>45789</v>
      </c>
      <c r="B1594" s="87" t="s">
        <v>2087</v>
      </c>
      <c r="C1594" s="88">
        <v>45778</v>
      </c>
      <c r="D1594" s="89" t="s">
        <v>2068</v>
      </c>
    </row>
    <row r="1595" spans="1:4">
      <c r="A1595" s="86">
        <v>45790</v>
      </c>
      <c r="B1595" s="87" t="s">
        <v>2087</v>
      </c>
      <c r="C1595" s="88">
        <v>45778</v>
      </c>
      <c r="D1595" s="89" t="s">
        <v>2069</v>
      </c>
    </row>
    <row r="1596" spans="1:4">
      <c r="A1596" s="86">
        <v>45791</v>
      </c>
      <c r="B1596" s="87" t="s">
        <v>2087</v>
      </c>
      <c r="C1596" s="88">
        <v>45778</v>
      </c>
      <c r="D1596" s="89" t="s">
        <v>2062</v>
      </c>
    </row>
    <row r="1597" spans="1:4">
      <c r="A1597" s="86">
        <v>45792</v>
      </c>
      <c r="B1597" s="87" t="s">
        <v>2087</v>
      </c>
      <c r="C1597" s="88">
        <v>45778</v>
      </c>
      <c r="D1597" s="89" t="s">
        <v>2063</v>
      </c>
    </row>
    <row r="1598" spans="1:4">
      <c r="A1598" s="86">
        <v>45793</v>
      </c>
      <c r="B1598" s="87" t="s">
        <v>2087</v>
      </c>
      <c r="C1598" s="88">
        <v>45778</v>
      </c>
      <c r="D1598" s="89" t="s">
        <v>2064</v>
      </c>
    </row>
    <row r="1599" spans="1:4">
      <c r="A1599" s="86">
        <v>45794</v>
      </c>
      <c r="B1599" s="87" t="s">
        <v>2087</v>
      </c>
      <c r="C1599" s="88">
        <v>45778</v>
      </c>
      <c r="D1599" s="89" t="s">
        <v>2065</v>
      </c>
    </row>
    <row r="1600" spans="1:4">
      <c r="A1600" s="86">
        <v>45795</v>
      </c>
      <c r="B1600" s="87" t="s">
        <v>2088</v>
      </c>
      <c r="C1600" s="88">
        <v>45778</v>
      </c>
      <c r="D1600" s="89" t="s">
        <v>2067</v>
      </c>
    </row>
    <row r="1601" spans="1:4">
      <c r="A1601" s="86">
        <v>45796</v>
      </c>
      <c r="B1601" s="87" t="s">
        <v>2088</v>
      </c>
      <c r="C1601" s="88">
        <v>45778</v>
      </c>
      <c r="D1601" s="89" t="s">
        <v>2068</v>
      </c>
    </row>
    <row r="1602" spans="1:4">
      <c r="A1602" s="86">
        <v>45797</v>
      </c>
      <c r="B1602" s="87" t="s">
        <v>2088</v>
      </c>
      <c r="C1602" s="88">
        <v>45778</v>
      </c>
      <c r="D1602" s="89" t="s">
        <v>2069</v>
      </c>
    </row>
    <row r="1603" spans="1:4">
      <c r="A1603" s="86">
        <v>45798</v>
      </c>
      <c r="B1603" s="87" t="s">
        <v>2088</v>
      </c>
      <c r="C1603" s="88">
        <v>45778</v>
      </c>
      <c r="D1603" s="89" t="s">
        <v>2062</v>
      </c>
    </row>
    <row r="1604" spans="1:4">
      <c r="A1604" s="86">
        <v>45799</v>
      </c>
      <c r="B1604" s="87" t="s">
        <v>2088</v>
      </c>
      <c r="C1604" s="88">
        <v>45778</v>
      </c>
      <c r="D1604" s="89" t="s">
        <v>2063</v>
      </c>
    </row>
    <row r="1605" spans="1:4">
      <c r="A1605" s="86">
        <v>45800</v>
      </c>
      <c r="B1605" s="87" t="s">
        <v>2088</v>
      </c>
      <c r="C1605" s="88">
        <v>45778</v>
      </c>
      <c r="D1605" s="89" t="s">
        <v>2064</v>
      </c>
    </row>
    <row r="1606" spans="1:4">
      <c r="A1606" s="86">
        <v>45801</v>
      </c>
      <c r="B1606" s="87" t="s">
        <v>2088</v>
      </c>
      <c r="C1606" s="88">
        <v>45778</v>
      </c>
      <c r="D1606" s="89" t="s">
        <v>2065</v>
      </c>
    </row>
    <row r="1607" spans="1:4">
      <c r="A1607" s="86">
        <v>45802</v>
      </c>
      <c r="B1607" s="87" t="s">
        <v>2089</v>
      </c>
      <c r="C1607" s="88">
        <v>45778</v>
      </c>
      <c r="D1607" s="89" t="s">
        <v>2067</v>
      </c>
    </row>
    <row r="1608" spans="1:4">
      <c r="A1608" s="86">
        <v>45803</v>
      </c>
      <c r="B1608" s="87" t="s">
        <v>2089</v>
      </c>
      <c r="C1608" s="88">
        <v>45778</v>
      </c>
      <c r="D1608" s="89" t="s">
        <v>2068</v>
      </c>
    </row>
    <row r="1609" spans="1:4">
      <c r="A1609" s="86">
        <v>45804</v>
      </c>
      <c r="B1609" s="87" t="s">
        <v>2089</v>
      </c>
      <c r="C1609" s="88">
        <v>45778</v>
      </c>
      <c r="D1609" s="89" t="s">
        <v>2069</v>
      </c>
    </row>
    <row r="1610" spans="1:4">
      <c r="A1610" s="86">
        <v>45805</v>
      </c>
      <c r="B1610" s="87" t="s">
        <v>2089</v>
      </c>
      <c r="C1610" s="88">
        <v>45778</v>
      </c>
      <c r="D1610" s="89" t="s">
        <v>2062</v>
      </c>
    </row>
    <row r="1611" spans="1:4">
      <c r="A1611" s="86">
        <v>45806</v>
      </c>
      <c r="B1611" s="87" t="s">
        <v>2089</v>
      </c>
      <c r="C1611" s="88">
        <v>45778</v>
      </c>
      <c r="D1611" s="89" t="s">
        <v>2063</v>
      </c>
    </row>
    <row r="1612" spans="1:4">
      <c r="A1612" s="86">
        <v>45807</v>
      </c>
      <c r="B1612" s="87" t="s">
        <v>2089</v>
      </c>
      <c r="C1612" s="88">
        <v>45778</v>
      </c>
      <c r="D1612" s="89" t="s">
        <v>2064</v>
      </c>
    </row>
    <row r="1613" spans="1:4">
      <c r="A1613" s="86">
        <v>45808</v>
      </c>
      <c r="B1613" s="87" t="s">
        <v>2089</v>
      </c>
      <c r="C1613" s="88">
        <v>45778</v>
      </c>
      <c r="D1613" s="89" t="s">
        <v>2065</v>
      </c>
    </row>
    <row r="1614" spans="1:4">
      <c r="A1614" s="86">
        <v>45809</v>
      </c>
      <c r="B1614" s="87" t="s">
        <v>2090</v>
      </c>
      <c r="C1614" s="88">
        <v>45809</v>
      </c>
      <c r="D1614" s="89" t="s">
        <v>2067</v>
      </c>
    </row>
    <row r="1615" spans="1:4">
      <c r="A1615" s="86">
        <v>45810</v>
      </c>
      <c r="B1615" s="87" t="s">
        <v>2090</v>
      </c>
      <c r="C1615" s="88">
        <v>45809</v>
      </c>
      <c r="D1615" s="89" t="s">
        <v>2068</v>
      </c>
    </row>
    <row r="1616" spans="1:4">
      <c r="A1616" s="86">
        <v>45811</v>
      </c>
      <c r="B1616" s="87" t="s">
        <v>2090</v>
      </c>
      <c r="C1616" s="88">
        <v>45809</v>
      </c>
      <c r="D1616" s="89" t="s">
        <v>2069</v>
      </c>
    </row>
    <row r="1617" spans="1:4">
      <c r="A1617" s="86">
        <v>45812</v>
      </c>
      <c r="B1617" s="87" t="s">
        <v>2090</v>
      </c>
      <c r="C1617" s="88">
        <v>45809</v>
      </c>
      <c r="D1617" s="89" t="s">
        <v>2062</v>
      </c>
    </row>
    <row r="1618" spans="1:4">
      <c r="A1618" s="86">
        <v>45813</v>
      </c>
      <c r="B1618" s="87" t="s">
        <v>2090</v>
      </c>
      <c r="C1618" s="88">
        <v>45809</v>
      </c>
      <c r="D1618" s="89" t="s">
        <v>2063</v>
      </c>
    </row>
    <row r="1619" spans="1:4">
      <c r="A1619" s="86">
        <v>45814</v>
      </c>
      <c r="B1619" s="87" t="s">
        <v>2090</v>
      </c>
      <c r="C1619" s="88">
        <v>45809</v>
      </c>
      <c r="D1619" s="89" t="s">
        <v>2064</v>
      </c>
    </row>
    <row r="1620" spans="1:4">
      <c r="A1620" s="86">
        <v>45815</v>
      </c>
      <c r="B1620" s="87" t="s">
        <v>2090</v>
      </c>
      <c r="C1620" s="88">
        <v>45809</v>
      </c>
      <c r="D1620" s="89" t="s">
        <v>2065</v>
      </c>
    </row>
    <row r="1621" spans="1:4">
      <c r="A1621" s="86">
        <v>45816</v>
      </c>
      <c r="B1621" s="87" t="s">
        <v>2091</v>
      </c>
      <c r="C1621" s="88">
        <v>45809</v>
      </c>
      <c r="D1621" s="89" t="s">
        <v>2067</v>
      </c>
    </row>
    <row r="1622" spans="1:4">
      <c r="A1622" s="86">
        <v>45817</v>
      </c>
      <c r="B1622" s="87" t="s">
        <v>2091</v>
      </c>
      <c r="C1622" s="88">
        <v>45809</v>
      </c>
      <c r="D1622" s="89" t="s">
        <v>2068</v>
      </c>
    </row>
    <row r="1623" spans="1:4">
      <c r="A1623" s="86">
        <v>45818</v>
      </c>
      <c r="B1623" s="87" t="s">
        <v>2091</v>
      </c>
      <c r="C1623" s="88">
        <v>45809</v>
      </c>
      <c r="D1623" s="89" t="s">
        <v>2069</v>
      </c>
    </row>
    <row r="1624" spans="1:4">
      <c r="A1624" s="86">
        <v>45819</v>
      </c>
      <c r="B1624" s="87" t="s">
        <v>2091</v>
      </c>
      <c r="C1624" s="88">
        <v>45809</v>
      </c>
      <c r="D1624" s="89" t="s">
        <v>2062</v>
      </c>
    </row>
    <row r="1625" spans="1:4">
      <c r="A1625" s="86">
        <v>45820</v>
      </c>
      <c r="B1625" s="87" t="s">
        <v>2091</v>
      </c>
      <c r="C1625" s="88">
        <v>45809</v>
      </c>
      <c r="D1625" s="89" t="s">
        <v>2063</v>
      </c>
    </row>
    <row r="1626" spans="1:4">
      <c r="A1626" s="86">
        <v>45821</v>
      </c>
      <c r="B1626" s="87" t="s">
        <v>2091</v>
      </c>
      <c r="C1626" s="88">
        <v>45809</v>
      </c>
      <c r="D1626" s="89" t="s">
        <v>2064</v>
      </c>
    </row>
    <row r="1627" spans="1:4">
      <c r="A1627" s="86">
        <v>45822</v>
      </c>
      <c r="B1627" s="87" t="s">
        <v>2091</v>
      </c>
      <c r="C1627" s="88">
        <v>45809</v>
      </c>
      <c r="D1627" s="89" t="s">
        <v>2065</v>
      </c>
    </row>
    <row r="1628" spans="1:4">
      <c r="A1628" s="86">
        <v>45823</v>
      </c>
      <c r="B1628" s="87" t="s">
        <v>2092</v>
      </c>
      <c r="C1628" s="88">
        <v>45809</v>
      </c>
      <c r="D1628" s="89" t="s">
        <v>2067</v>
      </c>
    </row>
    <row r="1629" spans="1:4">
      <c r="A1629" s="86">
        <v>45824</v>
      </c>
      <c r="B1629" s="87" t="s">
        <v>2092</v>
      </c>
      <c r="C1629" s="88">
        <v>45809</v>
      </c>
      <c r="D1629" s="89" t="s">
        <v>2068</v>
      </c>
    </row>
    <row r="1630" spans="1:4">
      <c r="A1630" s="86">
        <v>45825</v>
      </c>
      <c r="B1630" s="87" t="s">
        <v>2092</v>
      </c>
      <c r="C1630" s="88">
        <v>45809</v>
      </c>
      <c r="D1630" s="89" t="s">
        <v>2069</v>
      </c>
    </row>
    <row r="1631" spans="1:4">
      <c r="A1631" s="86">
        <v>45826</v>
      </c>
      <c r="B1631" s="87" t="s">
        <v>2092</v>
      </c>
      <c r="C1631" s="88">
        <v>45809</v>
      </c>
      <c r="D1631" s="89" t="s">
        <v>2062</v>
      </c>
    </row>
    <row r="1632" spans="1:4">
      <c r="A1632" s="86">
        <v>45827</v>
      </c>
      <c r="B1632" s="87" t="s">
        <v>2092</v>
      </c>
      <c r="C1632" s="88">
        <v>45809</v>
      </c>
      <c r="D1632" s="89" t="s">
        <v>2063</v>
      </c>
    </row>
    <row r="1633" spans="1:4">
      <c r="A1633" s="86">
        <v>45828</v>
      </c>
      <c r="B1633" s="87" t="s">
        <v>2092</v>
      </c>
      <c r="C1633" s="88">
        <v>45809</v>
      </c>
      <c r="D1633" s="89" t="s">
        <v>2064</v>
      </c>
    </row>
    <row r="1634" spans="1:4">
      <c r="A1634" s="86">
        <v>45829</v>
      </c>
      <c r="B1634" s="87" t="s">
        <v>2092</v>
      </c>
      <c r="C1634" s="88">
        <v>45809</v>
      </c>
      <c r="D1634" s="89" t="s">
        <v>2065</v>
      </c>
    </row>
    <row r="1635" spans="1:4">
      <c r="A1635" s="86">
        <v>45830</v>
      </c>
      <c r="B1635" s="87" t="s">
        <v>2093</v>
      </c>
      <c r="C1635" s="88">
        <v>45809</v>
      </c>
      <c r="D1635" s="89" t="s">
        <v>2067</v>
      </c>
    </row>
    <row r="1636" spans="1:4">
      <c r="A1636" s="86">
        <v>45831</v>
      </c>
      <c r="B1636" s="87" t="s">
        <v>2093</v>
      </c>
      <c r="C1636" s="88">
        <v>45809</v>
      </c>
      <c r="D1636" s="89" t="s">
        <v>2068</v>
      </c>
    </row>
    <row r="1637" spans="1:4">
      <c r="A1637" s="86">
        <v>45832</v>
      </c>
      <c r="B1637" s="87" t="s">
        <v>2093</v>
      </c>
      <c r="C1637" s="88">
        <v>45809</v>
      </c>
      <c r="D1637" s="89" t="s">
        <v>2069</v>
      </c>
    </row>
    <row r="1638" spans="1:4">
      <c r="A1638" s="86">
        <v>45833</v>
      </c>
      <c r="B1638" s="87" t="s">
        <v>2093</v>
      </c>
      <c r="C1638" s="88">
        <v>45809</v>
      </c>
      <c r="D1638" s="89" t="s">
        <v>2062</v>
      </c>
    </row>
    <row r="1639" spans="1:4">
      <c r="A1639" s="86">
        <v>45834</v>
      </c>
      <c r="B1639" s="87" t="s">
        <v>2093</v>
      </c>
      <c r="C1639" s="88">
        <v>45809</v>
      </c>
      <c r="D1639" s="89" t="s">
        <v>2063</v>
      </c>
    </row>
    <row r="1640" spans="1:4">
      <c r="A1640" s="86">
        <v>45835</v>
      </c>
      <c r="B1640" s="87" t="s">
        <v>2093</v>
      </c>
      <c r="C1640" s="88">
        <v>45809</v>
      </c>
      <c r="D1640" s="89" t="s">
        <v>2064</v>
      </c>
    </row>
    <row r="1641" spans="1:4">
      <c r="A1641" s="86">
        <v>45836</v>
      </c>
      <c r="B1641" s="87" t="s">
        <v>2093</v>
      </c>
      <c r="C1641" s="88">
        <v>45809</v>
      </c>
      <c r="D1641" s="89" t="s">
        <v>2065</v>
      </c>
    </row>
    <row r="1642" spans="1:4">
      <c r="A1642" s="86">
        <v>45837</v>
      </c>
      <c r="B1642" s="87" t="s">
        <v>2094</v>
      </c>
      <c r="C1642" s="88">
        <v>45809</v>
      </c>
      <c r="D1642" s="89" t="s">
        <v>2067</v>
      </c>
    </row>
    <row r="1643" spans="1:4">
      <c r="A1643" s="86">
        <v>45838</v>
      </c>
      <c r="B1643" s="87" t="s">
        <v>2094</v>
      </c>
      <c r="C1643" s="88">
        <v>45809</v>
      </c>
      <c r="D1643" s="89" t="s">
        <v>2068</v>
      </c>
    </row>
    <row r="1644" spans="1:4">
      <c r="A1644" s="86">
        <v>45839</v>
      </c>
      <c r="B1644" s="87" t="s">
        <v>2094</v>
      </c>
      <c r="C1644" s="88">
        <v>45839</v>
      </c>
      <c r="D1644" s="89" t="s">
        <v>2069</v>
      </c>
    </row>
    <row r="1645" spans="1:4">
      <c r="A1645" s="86">
        <v>45840</v>
      </c>
      <c r="B1645" s="87" t="s">
        <v>2094</v>
      </c>
      <c r="C1645" s="88">
        <v>45839</v>
      </c>
      <c r="D1645" s="89" t="s">
        <v>2062</v>
      </c>
    </row>
    <row r="1646" spans="1:4">
      <c r="A1646" s="86">
        <v>45841</v>
      </c>
      <c r="B1646" s="87" t="s">
        <v>2094</v>
      </c>
      <c r="C1646" s="88">
        <v>45839</v>
      </c>
      <c r="D1646" s="89" t="s">
        <v>2063</v>
      </c>
    </row>
    <row r="1647" spans="1:4">
      <c r="A1647" s="86">
        <v>45842</v>
      </c>
      <c r="B1647" s="87" t="s">
        <v>2094</v>
      </c>
      <c r="C1647" s="88">
        <v>45839</v>
      </c>
      <c r="D1647" s="89" t="s">
        <v>2064</v>
      </c>
    </row>
    <row r="1648" spans="1:4">
      <c r="A1648" s="86">
        <v>45843</v>
      </c>
      <c r="B1648" s="87" t="s">
        <v>2094</v>
      </c>
      <c r="C1648" s="88">
        <v>45839</v>
      </c>
      <c r="D1648" s="89" t="s">
        <v>2065</v>
      </c>
    </row>
    <row r="1649" spans="1:4">
      <c r="A1649" s="86">
        <v>45844</v>
      </c>
      <c r="B1649" s="87" t="s">
        <v>2095</v>
      </c>
      <c r="C1649" s="88">
        <v>45839</v>
      </c>
      <c r="D1649" s="89" t="s">
        <v>2067</v>
      </c>
    </row>
    <row r="1650" spans="1:4">
      <c r="A1650" s="86">
        <v>45845</v>
      </c>
      <c r="B1650" s="87" t="s">
        <v>2095</v>
      </c>
      <c r="C1650" s="88">
        <v>45839</v>
      </c>
      <c r="D1650" s="89" t="s">
        <v>2068</v>
      </c>
    </row>
    <row r="1651" spans="1:4">
      <c r="A1651" s="86">
        <v>45846</v>
      </c>
      <c r="B1651" s="87" t="s">
        <v>2095</v>
      </c>
      <c r="C1651" s="88">
        <v>45839</v>
      </c>
      <c r="D1651" s="89" t="s">
        <v>2069</v>
      </c>
    </row>
    <row r="1652" spans="1:4">
      <c r="A1652" s="86">
        <v>45847</v>
      </c>
      <c r="B1652" s="87" t="s">
        <v>2095</v>
      </c>
      <c r="C1652" s="88">
        <v>45839</v>
      </c>
      <c r="D1652" s="89" t="s">
        <v>2062</v>
      </c>
    </row>
    <row r="1653" spans="1:4">
      <c r="A1653" s="86">
        <v>45848</v>
      </c>
      <c r="B1653" s="87" t="s">
        <v>2095</v>
      </c>
      <c r="C1653" s="88">
        <v>45839</v>
      </c>
      <c r="D1653" s="89" t="s">
        <v>2063</v>
      </c>
    </row>
    <row r="1654" spans="1:4">
      <c r="A1654" s="86">
        <v>45849</v>
      </c>
      <c r="B1654" s="87" t="s">
        <v>2095</v>
      </c>
      <c r="C1654" s="88">
        <v>45839</v>
      </c>
      <c r="D1654" s="89" t="s">
        <v>2064</v>
      </c>
    </row>
    <row r="1655" spans="1:4">
      <c r="A1655" s="86">
        <v>45850</v>
      </c>
      <c r="B1655" s="87" t="s">
        <v>2095</v>
      </c>
      <c r="C1655" s="88">
        <v>45839</v>
      </c>
      <c r="D1655" s="89" t="s">
        <v>2065</v>
      </c>
    </row>
    <row r="1656" spans="1:4">
      <c r="A1656" s="86">
        <v>45851</v>
      </c>
      <c r="B1656" s="87" t="s">
        <v>2096</v>
      </c>
      <c r="C1656" s="88">
        <v>45839</v>
      </c>
      <c r="D1656" s="89" t="s">
        <v>2067</v>
      </c>
    </row>
    <row r="1657" spans="1:4">
      <c r="A1657" s="86">
        <v>45852</v>
      </c>
      <c r="B1657" s="87" t="s">
        <v>2096</v>
      </c>
      <c r="C1657" s="88">
        <v>45839</v>
      </c>
      <c r="D1657" s="89" t="s">
        <v>2068</v>
      </c>
    </row>
    <row r="1658" spans="1:4">
      <c r="A1658" s="86">
        <v>45853</v>
      </c>
      <c r="B1658" s="87" t="s">
        <v>2096</v>
      </c>
      <c r="C1658" s="88">
        <v>45839</v>
      </c>
      <c r="D1658" s="89" t="s">
        <v>2069</v>
      </c>
    </row>
    <row r="1659" spans="1:4">
      <c r="A1659" s="86">
        <v>45854</v>
      </c>
      <c r="B1659" s="87" t="s">
        <v>2096</v>
      </c>
      <c r="C1659" s="88">
        <v>45839</v>
      </c>
      <c r="D1659" s="89" t="s">
        <v>2062</v>
      </c>
    </row>
    <row r="1660" spans="1:4">
      <c r="A1660" s="86">
        <v>45855</v>
      </c>
      <c r="B1660" s="87" t="s">
        <v>2096</v>
      </c>
      <c r="C1660" s="88">
        <v>45839</v>
      </c>
      <c r="D1660" s="89" t="s">
        <v>2063</v>
      </c>
    </row>
    <row r="1661" spans="1:4">
      <c r="A1661" s="86">
        <v>45856</v>
      </c>
      <c r="B1661" s="87" t="s">
        <v>2096</v>
      </c>
      <c r="C1661" s="88">
        <v>45839</v>
      </c>
      <c r="D1661" s="89" t="s">
        <v>2064</v>
      </c>
    </row>
    <row r="1662" spans="1:4">
      <c r="A1662" s="86">
        <v>45857</v>
      </c>
      <c r="B1662" s="87" t="s">
        <v>2096</v>
      </c>
      <c r="C1662" s="88">
        <v>45839</v>
      </c>
      <c r="D1662" s="89" t="s">
        <v>2065</v>
      </c>
    </row>
    <row r="1663" spans="1:4">
      <c r="A1663" s="86">
        <v>45858</v>
      </c>
      <c r="B1663" s="87" t="s">
        <v>2097</v>
      </c>
      <c r="C1663" s="88">
        <v>45839</v>
      </c>
      <c r="D1663" s="89" t="s">
        <v>2067</v>
      </c>
    </row>
    <row r="1664" spans="1:4">
      <c r="A1664" s="86">
        <v>45859</v>
      </c>
      <c r="B1664" s="87" t="s">
        <v>2097</v>
      </c>
      <c r="C1664" s="88">
        <v>45839</v>
      </c>
      <c r="D1664" s="89" t="s">
        <v>2068</v>
      </c>
    </row>
    <row r="1665" spans="1:4">
      <c r="A1665" s="86">
        <v>45860</v>
      </c>
      <c r="B1665" s="87" t="s">
        <v>2097</v>
      </c>
      <c r="C1665" s="88">
        <v>45839</v>
      </c>
      <c r="D1665" s="89" t="s">
        <v>2069</v>
      </c>
    </row>
    <row r="1666" spans="1:4">
      <c r="A1666" s="86">
        <v>45861</v>
      </c>
      <c r="B1666" s="87" t="s">
        <v>2097</v>
      </c>
      <c r="C1666" s="88">
        <v>45839</v>
      </c>
      <c r="D1666" s="89" t="s">
        <v>2062</v>
      </c>
    </row>
    <row r="1667" spans="1:4">
      <c r="A1667" s="86">
        <v>45862</v>
      </c>
      <c r="B1667" s="87" t="s">
        <v>2097</v>
      </c>
      <c r="C1667" s="88">
        <v>45839</v>
      </c>
      <c r="D1667" s="89" t="s">
        <v>2063</v>
      </c>
    </row>
    <row r="1668" spans="1:4">
      <c r="A1668" s="86">
        <v>45863</v>
      </c>
      <c r="B1668" s="87" t="s">
        <v>2097</v>
      </c>
      <c r="C1668" s="88">
        <v>45839</v>
      </c>
      <c r="D1668" s="89" t="s">
        <v>2064</v>
      </c>
    </row>
    <row r="1669" spans="1:4">
      <c r="A1669" s="86">
        <v>45864</v>
      </c>
      <c r="B1669" s="87" t="s">
        <v>2097</v>
      </c>
      <c r="C1669" s="88">
        <v>45839</v>
      </c>
      <c r="D1669" s="89" t="s">
        <v>2065</v>
      </c>
    </row>
    <row r="1670" spans="1:4">
      <c r="A1670" s="86">
        <v>45865</v>
      </c>
      <c r="B1670" s="87" t="s">
        <v>2098</v>
      </c>
      <c r="C1670" s="88">
        <v>45839</v>
      </c>
      <c r="D1670" s="89" t="s">
        <v>2067</v>
      </c>
    </row>
    <row r="1671" spans="1:4">
      <c r="A1671" s="86">
        <v>45866</v>
      </c>
      <c r="B1671" s="87" t="s">
        <v>2098</v>
      </c>
      <c r="C1671" s="88">
        <v>45839</v>
      </c>
      <c r="D1671" s="89" t="s">
        <v>2068</v>
      </c>
    </row>
    <row r="1672" spans="1:4">
      <c r="A1672" s="86">
        <v>45867</v>
      </c>
      <c r="B1672" s="87" t="s">
        <v>2098</v>
      </c>
      <c r="C1672" s="88">
        <v>45839</v>
      </c>
      <c r="D1672" s="89" t="s">
        <v>2069</v>
      </c>
    </row>
    <row r="1673" spans="1:4">
      <c r="A1673" s="86">
        <v>45868</v>
      </c>
      <c r="B1673" s="87" t="s">
        <v>2098</v>
      </c>
      <c r="C1673" s="88">
        <v>45839</v>
      </c>
      <c r="D1673" s="89" t="s">
        <v>2062</v>
      </c>
    </row>
    <row r="1674" spans="1:4">
      <c r="A1674" s="86">
        <v>45869</v>
      </c>
      <c r="B1674" s="87" t="s">
        <v>2098</v>
      </c>
      <c r="C1674" s="88">
        <v>45839</v>
      </c>
      <c r="D1674" s="89" t="s">
        <v>2063</v>
      </c>
    </row>
    <row r="1675" spans="1:4">
      <c r="A1675" s="86">
        <v>45870</v>
      </c>
      <c r="B1675" s="87" t="s">
        <v>2098</v>
      </c>
      <c r="C1675" s="88">
        <v>45870</v>
      </c>
      <c r="D1675" s="89" t="s">
        <v>2064</v>
      </c>
    </row>
    <row r="1676" spans="1:4">
      <c r="A1676" s="86">
        <v>45871</v>
      </c>
      <c r="B1676" s="87" t="s">
        <v>2098</v>
      </c>
      <c r="C1676" s="88">
        <v>45870</v>
      </c>
      <c r="D1676" s="89" t="s">
        <v>2065</v>
      </c>
    </row>
    <row r="1677" spans="1:4">
      <c r="A1677" s="86">
        <v>45872</v>
      </c>
      <c r="B1677" s="87" t="s">
        <v>2099</v>
      </c>
      <c r="C1677" s="88">
        <v>45870</v>
      </c>
      <c r="D1677" s="89" t="s">
        <v>2067</v>
      </c>
    </row>
    <row r="1678" spans="1:4">
      <c r="A1678" s="86">
        <v>45873</v>
      </c>
      <c r="B1678" s="87" t="s">
        <v>2099</v>
      </c>
      <c r="C1678" s="88">
        <v>45870</v>
      </c>
      <c r="D1678" s="89" t="s">
        <v>2068</v>
      </c>
    </row>
    <row r="1679" spans="1:4">
      <c r="A1679" s="86">
        <v>45874</v>
      </c>
      <c r="B1679" s="87" t="s">
        <v>2099</v>
      </c>
      <c r="C1679" s="88">
        <v>45870</v>
      </c>
      <c r="D1679" s="89" t="s">
        <v>2069</v>
      </c>
    </row>
    <row r="1680" spans="1:4">
      <c r="A1680" s="86">
        <v>45875</v>
      </c>
      <c r="B1680" s="87" t="s">
        <v>2099</v>
      </c>
      <c r="C1680" s="88">
        <v>45870</v>
      </c>
      <c r="D1680" s="89" t="s">
        <v>2062</v>
      </c>
    </row>
    <row r="1681" spans="1:4">
      <c r="A1681" s="86">
        <v>45876</v>
      </c>
      <c r="B1681" s="87" t="s">
        <v>2099</v>
      </c>
      <c r="C1681" s="88">
        <v>45870</v>
      </c>
      <c r="D1681" s="89" t="s">
        <v>2063</v>
      </c>
    </row>
    <row r="1682" spans="1:4">
      <c r="A1682" s="86">
        <v>45877</v>
      </c>
      <c r="B1682" s="87" t="s">
        <v>2099</v>
      </c>
      <c r="C1682" s="88">
        <v>45870</v>
      </c>
      <c r="D1682" s="89" t="s">
        <v>2064</v>
      </c>
    </row>
    <row r="1683" spans="1:4">
      <c r="A1683" s="86">
        <v>45878</v>
      </c>
      <c r="B1683" s="87" t="s">
        <v>2099</v>
      </c>
      <c r="C1683" s="88">
        <v>45870</v>
      </c>
      <c r="D1683" s="89" t="s">
        <v>2065</v>
      </c>
    </row>
    <row r="1684" spans="1:4">
      <c r="A1684" s="86">
        <v>45879</v>
      </c>
      <c r="B1684" s="87" t="s">
        <v>2100</v>
      </c>
      <c r="C1684" s="88">
        <v>45870</v>
      </c>
      <c r="D1684" s="89" t="s">
        <v>2067</v>
      </c>
    </row>
    <row r="1685" spans="1:4">
      <c r="A1685" s="86">
        <v>45880</v>
      </c>
      <c r="B1685" s="87" t="s">
        <v>2100</v>
      </c>
      <c r="C1685" s="88">
        <v>45870</v>
      </c>
      <c r="D1685" s="89" t="s">
        <v>2068</v>
      </c>
    </row>
    <row r="1686" spans="1:4">
      <c r="A1686" s="86">
        <v>45881</v>
      </c>
      <c r="B1686" s="87" t="s">
        <v>2100</v>
      </c>
      <c r="C1686" s="88">
        <v>45870</v>
      </c>
      <c r="D1686" s="89" t="s">
        <v>2069</v>
      </c>
    </row>
    <row r="1687" spans="1:4">
      <c r="A1687" s="86">
        <v>45882</v>
      </c>
      <c r="B1687" s="87" t="s">
        <v>2100</v>
      </c>
      <c r="C1687" s="88">
        <v>45870</v>
      </c>
      <c r="D1687" s="89" t="s">
        <v>2062</v>
      </c>
    </row>
    <row r="1688" spans="1:4">
      <c r="A1688" s="86">
        <v>45883</v>
      </c>
      <c r="B1688" s="87" t="s">
        <v>2100</v>
      </c>
      <c r="C1688" s="88">
        <v>45870</v>
      </c>
      <c r="D1688" s="89" t="s">
        <v>2063</v>
      </c>
    </row>
    <row r="1689" spans="1:4">
      <c r="A1689" s="86">
        <v>45884</v>
      </c>
      <c r="B1689" s="87" t="s">
        <v>2100</v>
      </c>
      <c r="C1689" s="88">
        <v>45870</v>
      </c>
      <c r="D1689" s="89" t="s">
        <v>2064</v>
      </c>
    </row>
    <row r="1690" spans="1:4">
      <c r="A1690" s="86">
        <v>45885</v>
      </c>
      <c r="B1690" s="87" t="s">
        <v>2100</v>
      </c>
      <c r="C1690" s="88">
        <v>45870</v>
      </c>
      <c r="D1690" s="89" t="s">
        <v>2065</v>
      </c>
    </row>
    <row r="1691" spans="1:4">
      <c r="A1691" s="86">
        <v>45886</v>
      </c>
      <c r="B1691" s="87" t="s">
        <v>2101</v>
      </c>
      <c r="C1691" s="88">
        <v>45870</v>
      </c>
      <c r="D1691" s="89" t="s">
        <v>2067</v>
      </c>
    </row>
    <row r="1692" spans="1:4">
      <c r="A1692" s="86">
        <v>45887</v>
      </c>
      <c r="B1692" s="87" t="s">
        <v>2101</v>
      </c>
      <c r="C1692" s="88">
        <v>45870</v>
      </c>
      <c r="D1692" s="89" t="s">
        <v>2068</v>
      </c>
    </row>
    <row r="1693" spans="1:4">
      <c r="A1693" s="86">
        <v>45888</v>
      </c>
      <c r="B1693" s="87" t="s">
        <v>2101</v>
      </c>
      <c r="C1693" s="88">
        <v>45870</v>
      </c>
      <c r="D1693" s="89" t="s">
        <v>2069</v>
      </c>
    </row>
    <row r="1694" spans="1:4">
      <c r="A1694" s="86">
        <v>45889</v>
      </c>
      <c r="B1694" s="87" t="s">
        <v>2101</v>
      </c>
      <c r="C1694" s="88">
        <v>45870</v>
      </c>
      <c r="D1694" s="89" t="s">
        <v>2062</v>
      </c>
    </row>
    <row r="1695" spans="1:4">
      <c r="A1695" s="86">
        <v>45890</v>
      </c>
      <c r="B1695" s="87" t="s">
        <v>2101</v>
      </c>
      <c r="C1695" s="88">
        <v>45870</v>
      </c>
      <c r="D1695" s="89" t="s">
        <v>2063</v>
      </c>
    </row>
    <row r="1696" spans="1:4">
      <c r="A1696" s="86">
        <v>45891</v>
      </c>
      <c r="B1696" s="87" t="s">
        <v>2101</v>
      </c>
      <c r="C1696" s="88">
        <v>45870</v>
      </c>
      <c r="D1696" s="89" t="s">
        <v>2064</v>
      </c>
    </row>
    <row r="1697" spans="1:4">
      <c r="A1697" s="86">
        <v>45892</v>
      </c>
      <c r="B1697" s="87" t="s">
        <v>2101</v>
      </c>
      <c r="C1697" s="88">
        <v>45870</v>
      </c>
      <c r="D1697" s="89" t="s">
        <v>2065</v>
      </c>
    </row>
    <row r="1698" spans="1:4">
      <c r="A1698" s="86">
        <v>45893</v>
      </c>
      <c r="B1698" s="87" t="s">
        <v>2102</v>
      </c>
      <c r="C1698" s="88">
        <v>45870</v>
      </c>
      <c r="D1698" s="89" t="s">
        <v>2067</v>
      </c>
    </row>
    <row r="1699" spans="1:4">
      <c r="A1699" s="86">
        <v>45894</v>
      </c>
      <c r="B1699" s="87" t="s">
        <v>2102</v>
      </c>
      <c r="C1699" s="88">
        <v>45870</v>
      </c>
      <c r="D1699" s="89" t="s">
        <v>2068</v>
      </c>
    </row>
    <row r="1700" spans="1:4">
      <c r="A1700" s="86">
        <v>45895</v>
      </c>
      <c r="B1700" s="87" t="s">
        <v>2102</v>
      </c>
      <c r="C1700" s="88">
        <v>45870</v>
      </c>
      <c r="D1700" s="89" t="s">
        <v>2069</v>
      </c>
    </row>
    <row r="1701" spans="1:4">
      <c r="A1701" s="86">
        <v>45896</v>
      </c>
      <c r="B1701" s="87" t="s">
        <v>2102</v>
      </c>
      <c r="C1701" s="88">
        <v>45870</v>
      </c>
      <c r="D1701" s="89" t="s">
        <v>2062</v>
      </c>
    </row>
    <row r="1702" spans="1:4">
      <c r="A1702" s="86">
        <v>45897</v>
      </c>
      <c r="B1702" s="87" t="s">
        <v>2102</v>
      </c>
      <c r="C1702" s="88">
        <v>45870</v>
      </c>
      <c r="D1702" s="89" t="s">
        <v>2063</v>
      </c>
    </row>
    <row r="1703" spans="1:4">
      <c r="A1703" s="86">
        <v>45898</v>
      </c>
      <c r="B1703" s="87" t="s">
        <v>2102</v>
      </c>
      <c r="C1703" s="88">
        <v>45870</v>
      </c>
      <c r="D1703" s="89" t="s">
        <v>2064</v>
      </c>
    </row>
    <row r="1704" spans="1:4">
      <c r="A1704" s="86">
        <v>45899</v>
      </c>
      <c r="B1704" s="87" t="s">
        <v>2102</v>
      </c>
      <c r="C1704" s="88">
        <v>45870</v>
      </c>
      <c r="D1704" s="89" t="s">
        <v>2065</v>
      </c>
    </row>
    <row r="1705" spans="1:4">
      <c r="A1705" s="86">
        <v>45900</v>
      </c>
      <c r="B1705" s="87" t="s">
        <v>2103</v>
      </c>
      <c r="C1705" s="88">
        <v>45870</v>
      </c>
      <c r="D1705" s="89" t="s">
        <v>2067</v>
      </c>
    </row>
    <row r="1706" spans="1:4">
      <c r="A1706" s="86">
        <v>45901</v>
      </c>
      <c r="B1706" s="87" t="s">
        <v>2103</v>
      </c>
      <c r="C1706" s="88">
        <v>45901</v>
      </c>
      <c r="D1706" s="89" t="s">
        <v>2068</v>
      </c>
    </row>
    <row r="1707" spans="1:4">
      <c r="A1707" s="86">
        <v>45902</v>
      </c>
      <c r="B1707" s="87" t="s">
        <v>2103</v>
      </c>
      <c r="C1707" s="88">
        <v>45901</v>
      </c>
      <c r="D1707" s="89" t="s">
        <v>2069</v>
      </c>
    </row>
    <row r="1708" spans="1:4">
      <c r="A1708" s="86">
        <v>45903</v>
      </c>
      <c r="B1708" s="87" t="s">
        <v>2103</v>
      </c>
      <c r="C1708" s="88">
        <v>45901</v>
      </c>
      <c r="D1708" s="89" t="s">
        <v>2062</v>
      </c>
    </row>
    <row r="1709" spans="1:4">
      <c r="A1709" s="86">
        <v>45904</v>
      </c>
      <c r="B1709" s="87" t="s">
        <v>2103</v>
      </c>
      <c r="C1709" s="88">
        <v>45901</v>
      </c>
      <c r="D1709" s="89" t="s">
        <v>2063</v>
      </c>
    </row>
    <row r="1710" spans="1:4">
      <c r="A1710" s="86">
        <v>45905</v>
      </c>
      <c r="B1710" s="87" t="s">
        <v>2103</v>
      </c>
      <c r="C1710" s="88">
        <v>45901</v>
      </c>
      <c r="D1710" s="89" t="s">
        <v>2064</v>
      </c>
    </row>
    <row r="1711" spans="1:4">
      <c r="A1711" s="86">
        <v>45906</v>
      </c>
      <c r="B1711" s="87" t="s">
        <v>2103</v>
      </c>
      <c r="C1711" s="88">
        <v>45901</v>
      </c>
      <c r="D1711" s="89" t="s">
        <v>2065</v>
      </c>
    </row>
    <row r="1712" spans="1:4">
      <c r="A1712" s="86">
        <v>45907</v>
      </c>
      <c r="B1712" s="87" t="s">
        <v>2104</v>
      </c>
      <c r="C1712" s="88">
        <v>45901</v>
      </c>
      <c r="D1712" s="89" t="s">
        <v>2067</v>
      </c>
    </row>
    <row r="1713" spans="1:4">
      <c r="A1713" s="86">
        <v>45908</v>
      </c>
      <c r="B1713" s="87" t="s">
        <v>2104</v>
      </c>
      <c r="C1713" s="88">
        <v>45901</v>
      </c>
      <c r="D1713" s="89" t="s">
        <v>2068</v>
      </c>
    </row>
    <row r="1714" spans="1:4">
      <c r="A1714" s="86">
        <v>45909</v>
      </c>
      <c r="B1714" s="87" t="s">
        <v>2104</v>
      </c>
      <c r="C1714" s="88">
        <v>45901</v>
      </c>
      <c r="D1714" s="89" t="s">
        <v>2069</v>
      </c>
    </row>
    <row r="1715" spans="1:4">
      <c r="A1715" s="86">
        <v>45910</v>
      </c>
      <c r="B1715" s="87" t="s">
        <v>2104</v>
      </c>
      <c r="C1715" s="88">
        <v>45901</v>
      </c>
      <c r="D1715" s="89" t="s">
        <v>2062</v>
      </c>
    </row>
    <row r="1716" spans="1:4">
      <c r="A1716" s="86">
        <v>45911</v>
      </c>
      <c r="B1716" s="87" t="s">
        <v>2104</v>
      </c>
      <c r="C1716" s="88">
        <v>45901</v>
      </c>
      <c r="D1716" s="89" t="s">
        <v>2063</v>
      </c>
    </row>
    <row r="1717" spans="1:4">
      <c r="A1717" s="86">
        <v>45912</v>
      </c>
      <c r="B1717" s="87" t="s">
        <v>2104</v>
      </c>
      <c r="C1717" s="88">
        <v>45901</v>
      </c>
      <c r="D1717" s="89" t="s">
        <v>2064</v>
      </c>
    </row>
    <row r="1718" spans="1:4">
      <c r="A1718" s="86">
        <v>45913</v>
      </c>
      <c r="B1718" s="87" t="s">
        <v>2104</v>
      </c>
      <c r="C1718" s="88">
        <v>45901</v>
      </c>
      <c r="D1718" s="89" t="s">
        <v>2065</v>
      </c>
    </row>
    <row r="1719" spans="1:4">
      <c r="A1719" s="86">
        <v>45914</v>
      </c>
      <c r="B1719" s="87" t="s">
        <v>2105</v>
      </c>
      <c r="C1719" s="88">
        <v>45901</v>
      </c>
      <c r="D1719" s="89" t="s">
        <v>2067</v>
      </c>
    </row>
    <row r="1720" spans="1:4">
      <c r="A1720" s="86">
        <v>45915</v>
      </c>
      <c r="B1720" s="87" t="s">
        <v>2105</v>
      </c>
      <c r="C1720" s="88">
        <v>45901</v>
      </c>
      <c r="D1720" s="89" t="s">
        <v>2068</v>
      </c>
    </row>
    <row r="1721" spans="1:4">
      <c r="A1721" s="86">
        <v>45916</v>
      </c>
      <c r="B1721" s="87" t="s">
        <v>2105</v>
      </c>
      <c r="C1721" s="88">
        <v>45901</v>
      </c>
      <c r="D1721" s="89" t="s">
        <v>2069</v>
      </c>
    </row>
    <row r="1722" spans="1:4">
      <c r="A1722" s="86">
        <v>45917</v>
      </c>
      <c r="B1722" s="87" t="s">
        <v>2105</v>
      </c>
      <c r="C1722" s="88">
        <v>45901</v>
      </c>
      <c r="D1722" s="89" t="s">
        <v>2062</v>
      </c>
    </row>
    <row r="1723" spans="1:4">
      <c r="A1723" s="86">
        <v>45918</v>
      </c>
      <c r="B1723" s="87" t="s">
        <v>2105</v>
      </c>
      <c r="C1723" s="88">
        <v>45901</v>
      </c>
      <c r="D1723" s="89" t="s">
        <v>2063</v>
      </c>
    </row>
    <row r="1724" spans="1:4">
      <c r="A1724" s="86">
        <v>45919</v>
      </c>
      <c r="B1724" s="87" t="s">
        <v>2105</v>
      </c>
      <c r="C1724" s="88">
        <v>45901</v>
      </c>
      <c r="D1724" s="89" t="s">
        <v>2064</v>
      </c>
    </row>
    <row r="1725" spans="1:4">
      <c r="A1725" s="86">
        <v>45920</v>
      </c>
      <c r="B1725" s="87" t="s">
        <v>2105</v>
      </c>
      <c r="C1725" s="88">
        <v>45901</v>
      </c>
      <c r="D1725" s="89" t="s">
        <v>2065</v>
      </c>
    </row>
    <row r="1726" spans="1:4">
      <c r="A1726" s="86">
        <v>45921</v>
      </c>
      <c r="B1726" s="87" t="s">
        <v>2106</v>
      </c>
      <c r="C1726" s="88">
        <v>45901</v>
      </c>
      <c r="D1726" s="89" t="s">
        <v>2067</v>
      </c>
    </row>
    <row r="1727" spans="1:4">
      <c r="A1727" s="86">
        <v>45922</v>
      </c>
      <c r="B1727" s="87" t="s">
        <v>2106</v>
      </c>
      <c r="C1727" s="88">
        <v>45901</v>
      </c>
      <c r="D1727" s="89" t="s">
        <v>2068</v>
      </c>
    </row>
    <row r="1728" spans="1:4">
      <c r="A1728" s="86">
        <v>45923</v>
      </c>
      <c r="B1728" s="87" t="s">
        <v>2106</v>
      </c>
      <c r="C1728" s="88">
        <v>45901</v>
      </c>
      <c r="D1728" s="89" t="s">
        <v>2069</v>
      </c>
    </row>
    <row r="1729" spans="1:4">
      <c r="A1729" s="86">
        <v>45924</v>
      </c>
      <c r="B1729" s="87" t="s">
        <v>2106</v>
      </c>
      <c r="C1729" s="88">
        <v>45901</v>
      </c>
      <c r="D1729" s="89" t="s">
        <v>2062</v>
      </c>
    </row>
    <row r="1730" spans="1:4">
      <c r="A1730" s="86">
        <v>45925</v>
      </c>
      <c r="B1730" s="87" t="s">
        <v>2106</v>
      </c>
      <c r="C1730" s="88">
        <v>45901</v>
      </c>
      <c r="D1730" s="89" t="s">
        <v>2063</v>
      </c>
    </row>
    <row r="1731" spans="1:4">
      <c r="A1731" s="86">
        <v>45926</v>
      </c>
      <c r="B1731" s="87" t="s">
        <v>2106</v>
      </c>
      <c r="C1731" s="88">
        <v>45901</v>
      </c>
      <c r="D1731" s="89" t="s">
        <v>2064</v>
      </c>
    </row>
    <row r="1732" spans="1:4">
      <c r="A1732" s="86">
        <v>45927</v>
      </c>
      <c r="B1732" s="87" t="s">
        <v>2106</v>
      </c>
      <c r="C1732" s="88">
        <v>45901</v>
      </c>
      <c r="D1732" s="89" t="s">
        <v>2065</v>
      </c>
    </row>
    <row r="1733" spans="1:4">
      <c r="A1733" s="86">
        <v>45928</v>
      </c>
      <c r="B1733" s="87" t="s">
        <v>2107</v>
      </c>
      <c r="C1733" s="88">
        <v>45901</v>
      </c>
      <c r="D1733" s="89" t="s">
        <v>2067</v>
      </c>
    </row>
    <row r="1734" spans="1:4">
      <c r="A1734" s="86">
        <v>45929</v>
      </c>
      <c r="B1734" s="87" t="s">
        <v>2107</v>
      </c>
      <c r="C1734" s="88">
        <v>45901</v>
      </c>
      <c r="D1734" s="89" t="s">
        <v>2068</v>
      </c>
    </row>
    <row r="1735" spans="1:4">
      <c r="A1735" s="86">
        <v>45930</v>
      </c>
      <c r="B1735" s="87" t="s">
        <v>2107</v>
      </c>
      <c r="C1735" s="88">
        <v>45901</v>
      </c>
      <c r="D1735" s="89" t="s">
        <v>2069</v>
      </c>
    </row>
    <row r="1736" spans="1:4">
      <c r="A1736" s="86">
        <v>45931</v>
      </c>
      <c r="B1736" s="87" t="s">
        <v>2107</v>
      </c>
      <c r="C1736" s="88">
        <v>45931</v>
      </c>
      <c r="D1736" s="89" t="s">
        <v>2062</v>
      </c>
    </row>
    <row r="1737" spans="1:4">
      <c r="A1737" s="86">
        <v>45932</v>
      </c>
      <c r="B1737" s="87" t="s">
        <v>2107</v>
      </c>
      <c r="C1737" s="88">
        <v>45931</v>
      </c>
      <c r="D1737" s="89" t="s">
        <v>2063</v>
      </c>
    </row>
    <row r="1738" spans="1:4">
      <c r="A1738" s="86">
        <v>45933</v>
      </c>
      <c r="B1738" s="87" t="s">
        <v>2107</v>
      </c>
      <c r="C1738" s="88">
        <v>45931</v>
      </c>
      <c r="D1738" s="89" t="s">
        <v>2064</v>
      </c>
    </row>
    <row r="1739" spans="1:4">
      <c r="A1739" s="86">
        <v>45934</v>
      </c>
      <c r="B1739" s="87" t="s">
        <v>2107</v>
      </c>
      <c r="C1739" s="88">
        <v>45931</v>
      </c>
      <c r="D1739" s="89" t="s">
        <v>2065</v>
      </c>
    </row>
    <row r="1740" spans="1:4">
      <c r="A1740" s="86">
        <v>45935</v>
      </c>
      <c r="B1740" s="87" t="s">
        <v>2108</v>
      </c>
      <c r="C1740" s="88">
        <v>45931</v>
      </c>
      <c r="D1740" s="89" t="s">
        <v>2067</v>
      </c>
    </row>
    <row r="1741" spans="1:4">
      <c r="A1741" s="86">
        <v>45936</v>
      </c>
      <c r="B1741" s="87" t="s">
        <v>2108</v>
      </c>
      <c r="C1741" s="88">
        <v>45931</v>
      </c>
      <c r="D1741" s="89" t="s">
        <v>2068</v>
      </c>
    </row>
    <row r="1742" spans="1:4">
      <c r="A1742" s="86">
        <v>45937</v>
      </c>
      <c r="B1742" s="87" t="s">
        <v>2108</v>
      </c>
      <c r="C1742" s="88">
        <v>45931</v>
      </c>
      <c r="D1742" s="89" t="s">
        <v>2069</v>
      </c>
    </row>
    <row r="1743" spans="1:4">
      <c r="A1743" s="86">
        <v>45938</v>
      </c>
      <c r="B1743" s="87" t="s">
        <v>2108</v>
      </c>
      <c r="C1743" s="88">
        <v>45931</v>
      </c>
      <c r="D1743" s="89" t="s">
        <v>2062</v>
      </c>
    </row>
    <row r="1744" spans="1:4">
      <c r="A1744" s="86">
        <v>45939</v>
      </c>
      <c r="B1744" s="87" t="s">
        <v>2108</v>
      </c>
      <c r="C1744" s="88">
        <v>45931</v>
      </c>
      <c r="D1744" s="89" t="s">
        <v>2063</v>
      </c>
    </row>
    <row r="1745" spans="1:4">
      <c r="A1745" s="86">
        <v>45940</v>
      </c>
      <c r="B1745" s="87" t="s">
        <v>2108</v>
      </c>
      <c r="C1745" s="88">
        <v>45931</v>
      </c>
      <c r="D1745" s="89" t="s">
        <v>2064</v>
      </c>
    </row>
    <row r="1746" spans="1:4">
      <c r="A1746" s="86">
        <v>45941</v>
      </c>
      <c r="B1746" s="87" t="s">
        <v>2108</v>
      </c>
      <c r="C1746" s="88">
        <v>45931</v>
      </c>
      <c r="D1746" s="89" t="s">
        <v>2065</v>
      </c>
    </row>
    <row r="1747" spans="1:4">
      <c r="A1747" s="86">
        <v>45942</v>
      </c>
      <c r="B1747" s="87" t="s">
        <v>2109</v>
      </c>
      <c r="C1747" s="88">
        <v>45931</v>
      </c>
      <c r="D1747" s="89" t="s">
        <v>2067</v>
      </c>
    </row>
    <row r="1748" spans="1:4">
      <c r="A1748" s="86">
        <v>45943</v>
      </c>
      <c r="B1748" s="87" t="s">
        <v>2109</v>
      </c>
      <c r="C1748" s="88">
        <v>45931</v>
      </c>
      <c r="D1748" s="89" t="s">
        <v>2068</v>
      </c>
    </row>
    <row r="1749" spans="1:4">
      <c r="A1749" s="86">
        <v>45944</v>
      </c>
      <c r="B1749" s="87" t="s">
        <v>2109</v>
      </c>
      <c r="C1749" s="88">
        <v>45931</v>
      </c>
      <c r="D1749" s="89" t="s">
        <v>2069</v>
      </c>
    </row>
    <row r="1750" spans="1:4">
      <c r="A1750" s="86">
        <v>45945</v>
      </c>
      <c r="B1750" s="87" t="s">
        <v>2109</v>
      </c>
      <c r="C1750" s="88">
        <v>45931</v>
      </c>
      <c r="D1750" s="89" t="s">
        <v>2062</v>
      </c>
    </row>
    <row r="1751" spans="1:4">
      <c r="A1751" s="86">
        <v>45946</v>
      </c>
      <c r="B1751" s="87" t="s">
        <v>2109</v>
      </c>
      <c r="C1751" s="88">
        <v>45931</v>
      </c>
      <c r="D1751" s="89" t="s">
        <v>2063</v>
      </c>
    </row>
    <row r="1752" spans="1:4">
      <c r="A1752" s="86">
        <v>45947</v>
      </c>
      <c r="B1752" s="87" t="s">
        <v>2109</v>
      </c>
      <c r="C1752" s="88">
        <v>45931</v>
      </c>
      <c r="D1752" s="89" t="s">
        <v>2064</v>
      </c>
    </row>
    <row r="1753" spans="1:4">
      <c r="A1753" s="86">
        <v>45948</v>
      </c>
      <c r="B1753" s="87" t="s">
        <v>2109</v>
      </c>
      <c r="C1753" s="88">
        <v>45931</v>
      </c>
      <c r="D1753" s="89" t="s">
        <v>2065</v>
      </c>
    </row>
    <row r="1754" spans="1:4">
      <c r="A1754" s="86">
        <v>45949</v>
      </c>
      <c r="B1754" s="87" t="s">
        <v>2110</v>
      </c>
      <c r="C1754" s="88">
        <v>45931</v>
      </c>
      <c r="D1754" s="89" t="s">
        <v>2067</v>
      </c>
    </row>
    <row r="1755" spans="1:4">
      <c r="A1755" s="86">
        <v>45950</v>
      </c>
      <c r="B1755" s="87" t="s">
        <v>2110</v>
      </c>
      <c r="C1755" s="88">
        <v>45931</v>
      </c>
      <c r="D1755" s="89" t="s">
        <v>2068</v>
      </c>
    </row>
    <row r="1756" spans="1:4">
      <c r="A1756" s="86">
        <v>45951</v>
      </c>
      <c r="B1756" s="87" t="s">
        <v>2110</v>
      </c>
      <c r="C1756" s="88">
        <v>45931</v>
      </c>
      <c r="D1756" s="89" t="s">
        <v>2069</v>
      </c>
    </row>
    <row r="1757" spans="1:4">
      <c r="A1757" s="86">
        <v>45952</v>
      </c>
      <c r="B1757" s="87" t="s">
        <v>2110</v>
      </c>
      <c r="C1757" s="88">
        <v>45931</v>
      </c>
      <c r="D1757" s="89" t="s">
        <v>2062</v>
      </c>
    </row>
    <row r="1758" spans="1:4">
      <c r="A1758" s="86">
        <v>45953</v>
      </c>
      <c r="B1758" s="87" t="s">
        <v>2110</v>
      </c>
      <c r="C1758" s="88">
        <v>45931</v>
      </c>
      <c r="D1758" s="89" t="s">
        <v>2063</v>
      </c>
    </row>
    <row r="1759" spans="1:4">
      <c r="A1759" s="86">
        <v>45954</v>
      </c>
      <c r="B1759" s="87" t="s">
        <v>2110</v>
      </c>
      <c r="C1759" s="88">
        <v>45931</v>
      </c>
      <c r="D1759" s="89" t="s">
        <v>2064</v>
      </c>
    </row>
    <row r="1760" spans="1:4">
      <c r="A1760" s="86">
        <v>45955</v>
      </c>
      <c r="B1760" s="87" t="s">
        <v>2110</v>
      </c>
      <c r="C1760" s="88">
        <v>45931</v>
      </c>
      <c r="D1760" s="89" t="s">
        <v>2065</v>
      </c>
    </row>
    <row r="1761" spans="1:4">
      <c r="A1761" s="86">
        <v>45956</v>
      </c>
      <c r="B1761" s="87" t="s">
        <v>2111</v>
      </c>
      <c r="C1761" s="88">
        <v>45931</v>
      </c>
      <c r="D1761" s="89" t="s">
        <v>2067</v>
      </c>
    </row>
    <row r="1762" spans="1:4">
      <c r="A1762" s="86">
        <v>45957</v>
      </c>
      <c r="B1762" s="87" t="s">
        <v>2111</v>
      </c>
      <c r="C1762" s="88">
        <v>45931</v>
      </c>
      <c r="D1762" s="89" t="s">
        <v>2068</v>
      </c>
    </row>
    <row r="1763" spans="1:4">
      <c r="A1763" s="86">
        <v>45958</v>
      </c>
      <c r="B1763" s="87" t="s">
        <v>2111</v>
      </c>
      <c r="C1763" s="88">
        <v>45931</v>
      </c>
      <c r="D1763" s="89" t="s">
        <v>2069</v>
      </c>
    </row>
    <row r="1764" spans="1:4">
      <c r="A1764" s="86">
        <v>45959</v>
      </c>
      <c r="B1764" s="87" t="s">
        <v>2111</v>
      </c>
      <c r="C1764" s="88">
        <v>45931</v>
      </c>
      <c r="D1764" s="89" t="s">
        <v>2062</v>
      </c>
    </row>
    <row r="1765" spans="1:4">
      <c r="A1765" s="86">
        <v>45960</v>
      </c>
      <c r="B1765" s="87" t="s">
        <v>2111</v>
      </c>
      <c r="C1765" s="88">
        <v>45931</v>
      </c>
      <c r="D1765" s="89" t="s">
        <v>2063</v>
      </c>
    </row>
    <row r="1766" spans="1:4">
      <c r="A1766" s="86">
        <v>45961</v>
      </c>
      <c r="B1766" s="87" t="s">
        <v>2111</v>
      </c>
      <c r="C1766" s="88">
        <v>45931</v>
      </c>
      <c r="D1766" s="89" t="s">
        <v>2064</v>
      </c>
    </row>
    <row r="1767" spans="1:4">
      <c r="A1767" s="86">
        <v>45962</v>
      </c>
      <c r="B1767" s="87" t="s">
        <v>2111</v>
      </c>
      <c r="C1767" s="88">
        <v>45962</v>
      </c>
      <c r="D1767" s="89" t="s">
        <v>2065</v>
      </c>
    </row>
    <row r="1768" spans="1:4">
      <c r="A1768" s="86">
        <v>45963</v>
      </c>
      <c r="B1768" s="87" t="s">
        <v>2112</v>
      </c>
      <c r="C1768" s="88">
        <v>45962</v>
      </c>
      <c r="D1768" s="89" t="s">
        <v>2067</v>
      </c>
    </row>
    <row r="1769" spans="1:4">
      <c r="A1769" s="86">
        <v>45964</v>
      </c>
      <c r="B1769" s="87" t="s">
        <v>2112</v>
      </c>
      <c r="C1769" s="88">
        <v>45962</v>
      </c>
      <c r="D1769" s="89" t="s">
        <v>2068</v>
      </c>
    </row>
    <row r="1770" spans="1:4">
      <c r="A1770" s="86">
        <v>45965</v>
      </c>
      <c r="B1770" s="87" t="s">
        <v>2112</v>
      </c>
      <c r="C1770" s="88">
        <v>45962</v>
      </c>
      <c r="D1770" s="89" t="s">
        <v>2069</v>
      </c>
    </row>
    <row r="1771" spans="1:4">
      <c r="A1771" s="86">
        <v>45966</v>
      </c>
      <c r="B1771" s="87" t="s">
        <v>2112</v>
      </c>
      <c r="C1771" s="88">
        <v>45962</v>
      </c>
      <c r="D1771" s="89" t="s">
        <v>2062</v>
      </c>
    </row>
    <row r="1772" spans="1:4">
      <c r="A1772" s="86">
        <v>45967</v>
      </c>
      <c r="B1772" s="87" t="s">
        <v>2112</v>
      </c>
      <c r="C1772" s="88">
        <v>45962</v>
      </c>
      <c r="D1772" s="89" t="s">
        <v>2063</v>
      </c>
    </row>
    <row r="1773" spans="1:4">
      <c r="A1773" s="86">
        <v>45968</v>
      </c>
      <c r="B1773" s="87" t="s">
        <v>2112</v>
      </c>
      <c r="C1773" s="88">
        <v>45962</v>
      </c>
      <c r="D1773" s="89" t="s">
        <v>2064</v>
      </c>
    </row>
    <row r="1774" spans="1:4">
      <c r="A1774" s="86">
        <v>45969</v>
      </c>
      <c r="B1774" s="87" t="s">
        <v>2112</v>
      </c>
      <c r="C1774" s="88">
        <v>45962</v>
      </c>
      <c r="D1774" s="89" t="s">
        <v>2065</v>
      </c>
    </row>
    <row r="1775" spans="1:4">
      <c r="A1775" s="86">
        <v>45970</v>
      </c>
      <c r="B1775" s="87" t="s">
        <v>2113</v>
      </c>
      <c r="C1775" s="88">
        <v>45962</v>
      </c>
      <c r="D1775" s="89" t="s">
        <v>2067</v>
      </c>
    </row>
    <row r="1776" spans="1:4">
      <c r="A1776" s="86">
        <v>45971</v>
      </c>
      <c r="B1776" s="87" t="s">
        <v>2113</v>
      </c>
      <c r="C1776" s="88">
        <v>45962</v>
      </c>
      <c r="D1776" s="89" t="s">
        <v>2068</v>
      </c>
    </row>
    <row r="1777" spans="1:4">
      <c r="A1777" s="86">
        <v>45972</v>
      </c>
      <c r="B1777" s="87" t="s">
        <v>2113</v>
      </c>
      <c r="C1777" s="88">
        <v>45962</v>
      </c>
      <c r="D1777" s="89" t="s">
        <v>2069</v>
      </c>
    </row>
    <row r="1778" spans="1:4">
      <c r="A1778" s="86">
        <v>45973</v>
      </c>
      <c r="B1778" s="87" t="s">
        <v>2113</v>
      </c>
      <c r="C1778" s="88">
        <v>45962</v>
      </c>
      <c r="D1778" s="89" t="s">
        <v>2062</v>
      </c>
    </row>
    <row r="1779" spans="1:4">
      <c r="A1779" s="86">
        <v>45974</v>
      </c>
      <c r="B1779" s="87" t="s">
        <v>2113</v>
      </c>
      <c r="C1779" s="88">
        <v>45962</v>
      </c>
      <c r="D1779" s="89" t="s">
        <v>2063</v>
      </c>
    </row>
    <row r="1780" spans="1:4">
      <c r="A1780" s="86">
        <v>45975</v>
      </c>
      <c r="B1780" s="87" t="s">
        <v>2113</v>
      </c>
      <c r="C1780" s="88">
        <v>45962</v>
      </c>
      <c r="D1780" s="89" t="s">
        <v>2064</v>
      </c>
    </row>
    <row r="1781" spans="1:4">
      <c r="A1781" s="86">
        <v>45976</v>
      </c>
      <c r="B1781" s="87" t="s">
        <v>2113</v>
      </c>
      <c r="C1781" s="88">
        <v>45962</v>
      </c>
      <c r="D1781" s="89" t="s">
        <v>2065</v>
      </c>
    </row>
    <row r="1782" spans="1:4">
      <c r="A1782" s="86">
        <v>45977</v>
      </c>
      <c r="B1782" s="87" t="s">
        <v>2114</v>
      </c>
      <c r="C1782" s="88">
        <v>45962</v>
      </c>
      <c r="D1782" s="89" t="s">
        <v>2067</v>
      </c>
    </row>
    <row r="1783" spans="1:4">
      <c r="A1783" s="86">
        <v>45978</v>
      </c>
      <c r="B1783" s="87" t="s">
        <v>2114</v>
      </c>
      <c r="C1783" s="88">
        <v>45962</v>
      </c>
      <c r="D1783" s="89" t="s">
        <v>2068</v>
      </c>
    </row>
    <row r="1784" spans="1:4">
      <c r="A1784" s="86">
        <v>45979</v>
      </c>
      <c r="B1784" s="87" t="s">
        <v>2114</v>
      </c>
      <c r="C1784" s="88">
        <v>45962</v>
      </c>
      <c r="D1784" s="89" t="s">
        <v>2069</v>
      </c>
    </row>
    <row r="1785" spans="1:4">
      <c r="A1785" s="86">
        <v>45980</v>
      </c>
      <c r="B1785" s="87" t="s">
        <v>2114</v>
      </c>
      <c r="C1785" s="88">
        <v>45962</v>
      </c>
      <c r="D1785" s="89" t="s">
        <v>2062</v>
      </c>
    </row>
    <row r="1786" spans="1:4">
      <c r="A1786" s="86">
        <v>45981</v>
      </c>
      <c r="B1786" s="87" t="s">
        <v>2114</v>
      </c>
      <c r="C1786" s="88">
        <v>45962</v>
      </c>
      <c r="D1786" s="89" t="s">
        <v>2063</v>
      </c>
    </row>
    <row r="1787" spans="1:4">
      <c r="A1787" s="86">
        <v>45982</v>
      </c>
      <c r="B1787" s="87" t="s">
        <v>2114</v>
      </c>
      <c r="C1787" s="88">
        <v>45962</v>
      </c>
      <c r="D1787" s="89" t="s">
        <v>2064</v>
      </c>
    </row>
    <row r="1788" spans="1:4">
      <c r="A1788" s="86">
        <v>45983</v>
      </c>
      <c r="B1788" s="87" t="s">
        <v>2114</v>
      </c>
      <c r="C1788" s="88">
        <v>45962</v>
      </c>
      <c r="D1788" s="89" t="s">
        <v>2065</v>
      </c>
    </row>
    <row r="1789" spans="1:4">
      <c r="A1789" s="86">
        <v>45984</v>
      </c>
      <c r="B1789" s="87" t="s">
        <v>2115</v>
      </c>
      <c r="C1789" s="88">
        <v>45962</v>
      </c>
      <c r="D1789" s="89" t="s">
        <v>2067</v>
      </c>
    </row>
    <row r="1790" spans="1:4">
      <c r="A1790" s="86">
        <v>45985</v>
      </c>
      <c r="B1790" s="87" t="s">
        <v>2115</v>
      </c>
      <c r="C1790" s="88">
        <v>45962</v>
      </c>
      <c r="D1790" s="89" t="s">
        <v>2068</v>
      </c>
    </row>
    <row r="1791" spans="1:4">
      <c r="A1791" s="86">
        <v>45986</v>
      </c>
      <c r="B1791" s="87" t="s">
        <v>2115</v>
      </c>
      <c r="C1791" s="88">
        <v>45962</v>
      </c>
      <c r="D1791" s="89" t="s">
        <v>2069</v>
      </c>
    </row>
    <row r="1792" spans="1:4">
      <c r="A1792" s="86">
        <v>45987</v>
      </c>
      <c r="B1792" s="87" t="s">
        <v>2115</v>
      </c>
      <c r="C1792" s="88">
        <v>45962</v>
      </c>
      <c r="D1792" s="89" t="s">
        <v>2062</v>
      </c>
    </row>
    <row r="1793" spans="1:4">
      <c r="A1793" s="86">
        <v>45988</v>
      </c>
      <c r="B1793" s="87" t="s">
        <v>2115</v>
      </c>
      <c r="C1793" s="88">
        <v>45962</v>
      </c>
      <c r="D1793" s="89" t="s">
        <v>2063</v>
      </c>
    </row>
    <row r="1794" spans="1:4">
      <c r="A1794" s="86">
        <v>45989</v>
      </c>
      <c r="B1794" s="87" t="s">
        <v>2115</v>
      </c>
      <c r="C1794" s="88">
        <v>45962</v>
      </c>
      <c r="D1794" s="89" t="s">
        <v>2064</v>
      </c>
    </row>
    <row r="1795" spans="1:4">
      <c r="A1795" s="86">
        <v>45990</v>
      </c>
      <c r="B1795" s="87" t="s">
        <v>2115</v>
      </c>
      <c r="C1795" s="88">
        <v>45962</v>
      </c>
      <c r="D1795" s="89" t="s">
        <v>2065</v>
      </c>
    </row>
    <row r="1796" spans="1:4">
      <c r="A1796" s="86">
        <v>45991</v>
      </c>
      <c r="B1796" s="87" t="s">
        <v>2116</v>
      </c>
      <c r="C1796" s="88">
        <v>45962</v>
      </c>
      <c r="D1796" s="89" t="s">
        <v>2067</v>
      </c>
    </row>
    <row r="1797" spans="1:4">
      <c r="A1797" s="86">
        <v>45992</v>
      </c>
      <c r="B1797" s="87" t="s">
        <v>2116</v>
      </c>
      <c r="C1797" s="88">
        <v>45992</v>
      </c>
      <c r="D1797" s="89" t="s">
        <v>2068</v>
      </c>
    </row>
    <row r="1798" spans="1:4">
      <c r="A1798" s="86">
        <v>45993</v>
      </c>
      <c r="B1798" s="87" t="s">
        <v>2116</v>
      </c>
      <c r="C1798" s="88">
        <v>45992</v>
      </c>
      <c r="D1798" s="89" t="s">
        <v>2069</v>
      </c>
    </row>
    <row r="1799" spans="1:4">
      <c r="A1799" s="86">
        <v>45994</v>
      </c>
      <c r="B1799" s="87" t="s">
        <v>2116</v>
      </c>
      <c r="C1799" s="88">
        <v>45992</v>
      </c>
      <c r="D1799" s="89" t="s">
        <v>2062</v>
      </c>
    </row>
    <row r="1800" spans="1:4">
      <c r="A1800" s="86">
        <v>45995</v>
      </c>
      <c r="B1800" s="87" t="s">
        <v>2116</v>
      </c>
      <c r="C1800" s="88">
        <v>45992</v>
      </c>
      <c r="D1800" s="89" t="s">
        <v>2063</v>
      </c>
    </row>
    <row r="1801" spans="1:4">
      <c r="A1801" s="86">
        <v>45996</v>
      </c>
      <c r="B1801" s="87" t="s">
        <v>2116</v>
      </c>
      <c r="C1801" s="88">
        <v>45992</v>
      </c>
      <c r="D1801" s="89" t="s">
        <v>2064</v>
      </c>
    </row>
    <row r="1802" spans="1:4">
      <c r="A1802" s="86">
        <v>45997</v>
      </c>
      <c r="B1802" s="87" t="s">
        <v>2116</v>
      </c>
      <c r="C1802" s="88">
        <v>45992</v>
      </c>
      <c r="D1802" s="89" t="s">
        <v>2065</v>
      </c>
    </row>
    <row r="1803" spans="1:4">
      <c r="A1803" s="86">
        <v>45998</v>
      </c>
      <c r="B1803" s="87" t="s">
        <v>2117</v>
      </c>
      <c r="C1803" s="88">
        <v>45992</v>
      </c>
      <c r="D1803" s="89" t="s">
        <v>2067</v>
      </c>
    </row>
    <row r="1804" spans="1:4">
      <c r="A1804" s="86">
        <v>45999</v>
      </c>
      <c r="B1804" s="87" t="s">
        <v>2117</v>
      </c>
      <c r="C1804" s="88">
        <v>45992</v>
      </c>
      <c r="D1804" s="89" t="s">
        <v>2068</v>
      </c>
    </row>
    <row r="1805" spans="1:4">
      <c r="A1805" s="86">
        <v>46000</v>
      </c>
      <c r="B1805" s="87" t="s">
        <v>2117</v>
      </c>
      <c r="C1805" s="88">
        <v>45992</v>
      </c>
      <c r="D1805" s="89" t="s">
        <v>2069</v>
      </c>
    </row>
    <row r="1806" spans="1:4">
      <c r="A1806" s="86">
        <v>46001</v>
      </c>
      <c r="B1806" s="87" t="s">
        <v>2117</v>
      </c>
      <c r="C1806" s="88">
        <v>45992</v>
      </c>
      <c r="D1806" s="89" t="s">
        <v>2062</v>
      </c>
    </row>
    <row r="1807" spans="1:4">
      <c r="A1807" s="86">
        <v>46002</v>
      </c>
      <c r="B1807" s="87" t="s">
        <v>2117</v>
      </c>
      <c r="C1807" s="88">
        <v>45992</v>
      </c>
      <c r="D1807" s="89" t="s">
        <v>2063</v>
      </c>
    </row>
    <row r="1808" spans="1:4">
      <c r="A1808" s="86">
        <v>46003</v>
      </c>
      <c r="B1808" s="87" t="s">
        <v>2117</v>
      </c>
      <c r="C1808" s="88">
        <v>45992</v>
      </c>
      <c r="D1808" s="89" t="s">
        <v>2064</v>
      </c>
    </row>
    <row r="1809" spans="1:4">
      <c r="A1809" s="86">
        <v>46004</v>
      </c>
      <c r="B1809" s="87" t="s">
        <v>2117</v>
      </c>
      <c r="C1809" s="88">
        <v>45992</v>
      </c>
      <c r="D1809" s="89" t="s">
        <v>2065</v>
      </c>
    </row>
    <row r="1810" spans="1:4">
      <c r="A1810" s="86">
        <v>46005</v>
      </c>
      <c r="B1810" s="87" t="s">
        <v>2118</v>
      </c>
      <c r="C1810" s="88">
        <v>45992</v>
      </c>
      <c r="D1810" s="89" t="s">
        <v>2067</v>
      </c>
    </row>
    <row r="1811" spans="1:4">
      <c r="A1811" s="86">
        <v>46006</v>
      </c>
      <c r="B1811" s="87" t="s">
        <v>2118</v>
      </c>
      <c r="C1811" s="88">
        <v>45992</v>
      </c>
      <c r="D1811" s="89" t="s">
        <v>2068</v>
      </c>
    </row>
    <row r="1812" spans="1:4">
      <c r="A1812" s="86">
        <v>46007</v>
      </c>
      <c r="B1812" s="87" t="s">
        <v>2118</v>
      </c>
      <c r="C1812" s="88">
        <v>45992</v>
      </c>
      <c r="D1812" s="89" t="s">
        <v>2069</v>
      </c>
    </row>
    <row r="1813" spans="1:4">
      <c r="A1813" s="86">
        <v>46008</v>
      </c>
      <c r="B1813" s="87" t="s">
        <v>2118</v>
      </c>
      <c r="C1813" s="88">
        <v>45992</v>
      </c>
      <c r="D1813" s="89" t="s">
        <v>2062</v>
      </c>
    </row>
    <row r="1814" spans="1:4">
      <c r="A1814" s="86">
        <v>46009</v>
      </c>
      <c r="B1814" s="87" t="s">
        <v>2118</v>
      </c>
      <c r="C1814" s="88">
        <v>45992</v>
      </c>
      <c r="D1814" s="89" t="s">
        <v>2063</v>
      </c>
    </row>
    <row r="1815" spans="1:4">
      <c r="A1815" s="86">
        <v>46010</v>
      </c>
      <c r="B1815" s="87" t="s">
        <v>2118</v>
      </c>
      <c r="C1815" s="88">
        <v>45992</v>
      </c>
      <c r="D1815" s="89" t="s">
        <v>2064</v>
      </c>
    </row>
    <row r="1816" spans="1:4">
      <c r="A1816" s="86">
        <v>46011</v>
      </c>
      <c r="B1816" s="87" t="s">
        <v>2118</v>
      </c>
      <c r="C1816" s="88">
        <v>45992</v>
      </c>
      <c r="D1816" s="89" t="s">
        <v>2065</v>
      </c>
    </row>
    <row r="1817" spans="1:4">
      <c r="A1817" s="86">
        <v>46012</v>
      </c>
      <c r="B1817" s="87" t="s">
        <v>2119</v>
      </c>
      <c r="C1817" s="88">
        <v>45992</v>
      </c>
      <c r="D1817" s="89" t="s">
        <v>2067</v>
      </c>
    </row>
    <row r="1818" spans="1:4">
      <c r="A1818" s="86">
        <v>46013</v>
      </c>
      <c r="B1818" s="87" t="s">
        <v>2119</v>
      </c>
      <c r="C1818" s="88">
        <v>45992</v>
      </c>
      <c r="D1818" s="89" t="s">
        <v>2068</v>
      </c>
    </row>
    <row r="1819" spans="1:4">
      <c r="A1819" s="86">
        <v>46014</v>
      </c>
      <c r="B1819" s="87" t="s">
        <v>2119</v>
      </c>
      <c r="C1819" s="88">
        <v>45992</v>
      </c>
      <c r="D1819" s="89" t="s">
        <v>2069</v>
      </c>
    </row>
    <row r="1820" spans="1:4">
      <c r="A1820" s="86">
        <v>46015</v>
      </c>
      <c r="B1820" s="87" t="s">
        <v>2119</v>
      </c>
      <c r="C1820" s="88">
        <v>45992</v>
      </c>
      <c r="D1820" s="89" t="s">
        <v>2062</v>
      </c>
    </row>
    <row r="1821" spans="1:4">
      <c r="A1821" s="86">
        <v>46016</v>
      </c>
      <c r="B1821" s="87" t="s">
        <v>2119</v>
      </c>
      <c r="C1821" s="88">
        <v>45992</v>
      </c>
      <c r="D1821" s="89" t="s">
        <v>2063</v>
      </c>
    </row>
    <row r="1822" spans="1:4">
      <c r="A1822" s="86">
        <v>46017</v>
      </c>
      <c r="B1822" s="87" t="s">
        <v>2119</v>
      </c>
      <c r="C1822" s="88">
        <v>45992</v>
      </c>
      <c r="D1822" s="89" t="s">
        <v>2064</v>
      </c>
    </row>
    <row r="1823" spans="1:4">
      <c r="A1823" s="86">
        <v>46018</v>
      </c>
      <c r="B1823" s="87" t="s">
        <v>2119</v>
      </c>
      <c r="C1823" s="88">
        <v>45992</v>
      </c>
      <c r="D1823" s="89" t="s">
        <v>2065</v>
      </c>
    </row>
    <row r="1824" spans="1:4">
      <c r="A1824" s="86">
        <v>46019</v>
      </c>
      <c r="B1824" s="87" t="s">
        <v>2120</v>
      </c>
      <c r="C1824" s="88">
        <v>45992</v>
      </c>
      <c r="D1824" s="89" t="s">
        <v>2067</v>
      </c>
    </row>
    <row r="1825" spans="1:4">
      <c r="A1825" s="86">
        <v>46020</v>
      </c>
      <c r="B1825" s="87" t="s">
        <v>2120</v>
      </c>
      <c r="C1825" s="88">
        <v>45992</v>
      </c>
      <c r="D1825" s="89" t="s">
        <v>2068</v>
      </c>
    </row>
    <row r="1826" spans="1:4">
      <c r="A1826" s="86">
        <v>46021</v>
      </c>
      <c r="B1826" s="87" t="s">
        <v>2120</v>
      </c>
      <c r="C1826" s="88">
        <v>45992</v>
      </c>
      <c r="D1826" s="89" t="s">
        <v>2069</v>
      </c>
    </row>
    <row r="1827" spans="1:4">
      <c r="A1827" s="86">
        <v>46022</v>
      </c>
      <c r="B1827" s="87" t="s">
        <v>2120</v>
      </c>
      <c r="C1827" s="88">
        <v>45992</v>
      </c>
      <c r="D1827" s="89" t="s">
        <v>2062</v>
      </c>
    </row>
  </sheetData>
  <pageMargins left="0.7" right="0.7" top="0.75" bottom="0.75" header="0.3" footer="0.3"/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83f2930-0148-4c87-b6d0-55bf734acac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0E1624690A0645804608E5BB2CB973" ma:contentTypeVersion="16" ma:contentTypeDescription="Create a new document." ma:contentTypeScope="" ma:versionID="a7c8e15647b77e8e19b86b962515ad78">
  <xsd:schema xmlns:xsd="http://www.w3.org/2001/XMLSchema" xmlns:xs="http://www.w3.org/2001/XMLSchema" xmlns:p="http://schemas.microsoft.com/office/2006/metadata/properties" xmlns:ns3="383f2930-0148-4c87-b6d0-55bf734acacd" xmlns:ns4="bc447754-297a-4f81-ad5e-71611247aaac" targetNamespace="http://schemas.microsoft.com/office/2006/metadata/properties" ma:root="true" ma:fieldsID="acaaaec0017dfb1f0f7efcae377d4d2a" ns3:_="" ns4:_="">
    <xsd:import namespace="383f2930-0148-4c87-b6d0-55bf734acacd"/>
    <xsd:import namespace="bc447754-297a-4f81-ad5e-71611247aaa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f2930-0148-4c87-b6d0-55bf734aca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447754-297a-4f81-ad5e-71611247aaa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4F7AA8-0C56-49BC-9F5C-E507534E9C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882AF7-86B6-4407-A455-DF519F711B2A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purl.org/dc/terms/"/>
    <ds:schemaRef ds:uri="http://purl.org/dc/dcmitype/"/>
    <ds:schemaRef ds:uri="bc447754-297a-4f81-ad5e-71611247aaac"/>
    <ds:schemaRef ds:uri="383f2930-0148-4c87-b6d0-55bf734acacd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3F12E4C-2803-432A-B51D-CB7EF81A3F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3f2930-0148-4c87-b6d0-55bf734acacd"/>
    <ds:schemaRef ds:uri="bc447754-297a-4f81-ad5e-71611247aa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แผนผลิต</vt:lpstr>
      <vt:lpstr>Sheet2</vt:lpstr>
      <vt:lpstr>RM &amp; PD</vt:lpstr>
      <vt:lpstr>Sheet5</vt:lpstr>
      <vt:lpstr>Assortment</vt:lpstr>
      <vt:lpstr>Plan</vt:lpstr>
      <vt:lpstr>Plan Adj</vt:lpstr>
      <vt:lpstr>Sheet4</vt:lpstr>
      <vt:lpstr>COOKED IN TRAY ผลิตโรง 2</vt:lpstr>
      <vt:lpstr>แผนล้างผัก</vt:lpstr>
      <vt:lpstr>Sheet1</vt:lpstr>
      <vt:lpstr>May-20</vt:lpstr>
      <vt:lpstr>Week</vt:lpstr>
      <vt:lpstr>'COOKED IN TRAY ผลิตโรง 2'!Print_Titles</vt:lpstr>
      <vt:lpstr>แผนผลิต!Print_Titles</vt:lpstr>
    </vt:vector>
  </TitlesOfParts>
  <Company>Dell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Thanatorn Tawilai</dc:creator>
  <cp:lastModifiedBy>PARINYA THEPHI</cp:lastModifiedBy>
  <cp:lastPrinted>2024-02-05T02:13:25Z</cp:lastPrinted>
  <dcterms:created xsi:type="dcterms:W3CDTF">2020-06-02T07:37:53Z</dcterms:created>
  <dcterms:modified xsi:type="dcterms:W3CDTF">2026-09-11T09:12:43Z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0x010100870E1624690A0645804608E5BB2CB973</vt:lpwstr>
  </property>
</Properties>
</file>